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comments7.xml" ContentType="application/vnd.openxmlformats-officedocument.spreadsheetml.comments+xml"/>
  <Override PartName="/xl/tables/table11.xml" ContentType="application/vnd.openxmlformats-officedocument.spreadsheetml.table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tables/table13.xml" ContentType="application/vnd.openxmlformats-officedocument.spreadsheetml.table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comments12.xml" ContentType="application/vnd.openxmlformats-officedocument.spreadsheetml.comments+xml"/>
  <Override PartName="/xl/drawings/drawing9.xml" ContentType="application/vnd.openxmlformats-officedocument.drawing+xml"/>
  <Override PartName="/xl/tables/table16.xml" ContentType="application/vnd.openxmlformats-officedocument.spreadsheetml.table+xml"/>
  <Override PartName="/xl/comments13.xml" ContentType="application/vnd.openxmlformats-officedocument.spreadsheetml.comments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comments14.xml" ContentType="application/vnd.openxmlformats-officedocument.spreadsheetml.comments+xml"/>
  <Override PartName="/xl/drawings/drawing11.xml" ContentType="application/vnd.openxmlformats-officedocument.drawing+xml"/>
  <Override PartName="/xl/tables/table18.xml" ContentType="application/vnd.openxmlformats-officedocument.spreadsheetml.table+xml"/>
  <Override PartName="/xl/comments15.xml" ContentType="application/vnd.openxmlformats-officedocument.spreadsheetml.comments+xml"/>
  <Override PartName="/xl/drawings/drawing12.xml" ContentType="application/vnd.openxmlformats-officedocument.drawing+xml"/>
  <Override PartName="/xl/tables/table19.xml" ContentType="application/vnd.openxmlformats-officedocument.spreadsheetml.table+xml"/>
  <Override PartName="/xl/comments16.xml" ContentType="application/vnd.openxmlformats-officedocument.spreadsheetml.comments+xml"/>
  <Override PartName="/xl/drawings/drawing13.xml" ContentType="application/vnd.openxmlformats-officedocument.drawing+xml"/>
  <Override PartName="/xl/tables/table20.xml" ContentType="application/vnd.openxmlformats-officedocument.spreadsheetml.table+xml"/>
  <Override PartName="/xl/comments17.xml" ContentType="application/vnd.openxmlformats-officedocument.spreadsheetml.comments+xml"/>
  <Override PartName="/xl/drawings/drawing14.xml" ContentType="application/vnd.openxmlformats-officedocument.drawing+xml"/>
  <Override PartName="/xl/tables/table21.xml" ContentType="application/vnd.openxmlformats-officedocument.spreadsheetml.table+xml"/>
  <Override PartName="/xl/comments18.xml" ContentType="application/vnd.openxmlformats-officedocument.spreadsheetml.comments+xml"/>
  <Override PartName="/xl/drawings/drawing15.xml" ContentType="application/vnd.openxmlformats-officedocument.drawing+xml"/>
  <Override PartName="/xl/tables/table22.xml" ContentType="application/vnd.openxmlformats-officedocument.spreadsheetml.table+xml"/>
  <Override PartName="/xl/comments19.xml" ContentType="application/vnd.openxmlformats-officedocument.spreadsheetml.comments+xml"/>
  <Override PartName="/xl/drawings/drawing16.xml" ContentType="application/vnd.openxmlformats-officedocument.drawing+xml"/>
  <Override PartName="/xl/tables/table23.xml" ContentType="application/vnd.openxmlformats-officedocument.spreadsheetml.table+xml"/>
  <Override PartName="/xl/comments20.xml" ContentType="application/vnd.openxmlformats-officedocument.spreadsheetml.comments+xml"/>
  <Override PartName="/xl/drawings/drawing17.xml" ContentType="application/vnd.openxmlformats-officedocument.drawing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drawings/drawing18.xml" ContentType="application/vnd.openxmlformats-officedocument.drawing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drawings/drawing19.xml" ContentType="application/vnd.openxmlformats-officedocument.drawing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drawings/drawing20.xml" ContentType="application/vnd.openxmlformats-officedocument.drawing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drawings/drawing21.xml" ContentType="application/vnd.openxmlformats-officedocument.drawing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drawings/drawing22.xml" ContentType="application/vnd.openxmlformats-officedocument.drawing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drawings/drawing23.xml" ContentType="application/vnd.openxmlformats-officedocument.drawing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drawings/drawing24.xml" ContentType="application/vnd.openxmlformats-officedocument.drawing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drawings/drawing25.xml" ContentType="application/vnd.openxmlformats-officedocument.drawing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drawings/drawing26.xml" ContentType="application/vnd.openxmlformats-officedocument.drawing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drawings/drawing27.xml" ContentType="application/vnd.openxmlformats-officedocument.drawing+xml"/>
  <Override PartName="/xl/tables/table34.xml" ContentType="application/vnd.openxmlformats-officedocument.spreadsheetml.table+xml"/>
  <Override PartName="/xl/comments32.xml" ContentType="application/vnd.openxmlformats-officedocument.spreadsheetml.comments+xml"/>
  <Override PartName="/xl/drawings/drawing28.xml" ContentType="application/vnd.openxmlformats-officedocument.drawing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drawings/drawing29.xml" ContentType="application/vnd.openxmlformats-officedocument.drawing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drawings/drawing30.xml" ContentType="application/vnd.openxmlformats-officedocument.drawing+xml"/>
  <Override PartName="/xl/tables/table37.xml" ContentType="application/vnd.openxmlformats-officedocument.spreadsheetml.table+xml"/>
  <Override PartName="/xl/comments36.xml" ContentType="application/vnd.openxmlformats-officedocument.spreadsheetml.comments+xml"/>
  <Override PartName="/xl/drawings/drawing31.xml" ContentType="application/vnd.openxmlformats-officedocument.drawing+xml"/>
  <Override PartName="/xl/tables/table38.xml" ContentType="application/vnd.openxmlformats-officedocument.spreadsheetml.table+xml"/>
  <Override PartName="/xl/comments37.xml" ContentType="application/vnd.openxmlformats-officedocument.spreadsheetml.comments+xml"/>
  <Override PartName="/xl/drawings/drawing32.xml" ContentType="application/vnd.openxmlformats-officedocument.drawing+xml"/>
  <Override PartName="/xl/tables/table39.xml" ContentType="application/vnd.openxmlformats-officedocument.spreadsheetml.table+xml"/>
  <Override PartName="/xl/comments38.xml" ContentType="application/vnd.openxmlformats-officedocument.spreadsheetml.comments+xml"/>
  <Override PartName="/xl/drawings/drawing33.xml" ContentType="application/vnd.openxmlformats-officedocument.drawing+xml"/>
  <Override PartName="/xl/tables/table40.xml" ContentType="application/vnd.openxmlformats-officedocument.spreadsheetml.table+xml"/>
  <Override PartName="/xl/comments39.xml" ContentType="application/vnd.openxmlformats-officedocument.spreadsheetml.comments+xml"/>
  <Override PartName="/xl/drawings/drawing34.xml" ContentType="application/vnd.openxmlformats-officedocument.drawing+xml"/>
  <Override PartName="/xl/tables/table41.xml" ContentType="application/vnd.openxmlformats-officedocument.spreadsheetml.table+xml"/>
  <Override PartName="/xl/comments40.xml" ContentType="application/vnd.openxmlformats-officedocument.spreadsheetml.comments+xml"/>
  <Override PartName="/xl/drawings/drawing35.xml" ContentType="application/vnd.openxmlformats-officedocument.drawing+xml"/>
  <Override PartName="/xl/tables/table42.xml" ContentType="application/vnd.openxmlformats-officedocument.spreadsheetml.table+xml"/>
  <Override PartName="/xl/comments41.xml" ContentType="application/vnd.openxmlformats-officedocument.spreadsheetml.comments+xml"/>
  <Override PartName="/xl/drawings/drawing36.xml" ContentType="application/vnd.openxmlformats-officedocument.drawing+xml"/>
  <Override PartName="/xl/tables/table43.xml" ContentType="application/vnd.openxmlformats-officedocument.spreadsheetml.table+xml"/>
  <Override PartName="/xl/comments42.xml" ContentType="application/vnd.openxmlformats-officedocument.spreadsheetml.comments+xml"/>
  <Override PartName="/xl/drawings/drawing37.xml" ContentType="application/vnd.openxmlformats-officedocument.drawing+xml"/>
  <Override PartName="/xl/tables/table44.xml" ContentType="application/vnd.openxmlformats-officedocument.spreadsheetml.table+xml"/>
  <Override PartName="/xl/comments43.xml" ContentType="application/vnd.openxmlformats-officedocument.spreadsheetml.comments+xml"/>
  <Override PartName="/xl/drawings/drawing38.xml" ContentType="application/vnd.openxmlformats-officedocument.drawing+xml"/>
  <Override PartName="/xl/tables/table45.xml" ContentType="application/vnd.openxmlformats-officedocument.spreadsheetml.table+xml"/>
  <Override PartName="/xl/comments44.xml" ContentType="application/vnd.openxmlformats-officedocument.spreadsheetml.comments+xml"/>
  <Override PartName="/xl/drawings/drawing39.xml" ContentType="application/vnd.openxmlformats-officedocument.drawing+xml"/>
  <Override PartName="/xl/tables/table46.xml" ContentType="application/vnd.openxmlformats-officedocument.spreadsheetml.table+xml"/>
  <Override PartName="/xl/comments45.xml" ContentType="application/vnd.openxmlformats-officedocument.spreadsheetml.comments+xml"/>
  <Override PartName="/xl/drawings/drawing40.xml" ContentType="application/vnd.openxmlformats-officedocument.drawing+xml"/>
  <Override PartName="/xl/tables/table47.xml" ContentType="application/vnd.openxmlformats-officedocument.spreadsheetml.table+xml"/>
  <Override PartName="/xl/comments46.xml" ContentType="application/vnd.openxmlformats-officedocument.spreadsheetml.comments+xml"/>
  <Override PartName="/xl/drawings/drawing41.xml" ContentType="application/vnd.openxmlformats-officedocument.drawing+xml"/>
  <Override PartName="/xl/tables/table48.xml" ContentType="application/vnd.openxmlformats-officedocument.spreadsheetml.table+xml"/>
  <Override PartName="/xl/comments47.xml" ContentType="application/vnd.openxmlformats-officedocument.spreadsheetml.comments+xml"/>
  <Override PartName="/xl/drawings/drawing42.xml" ContentType="application/vnd.openxmlformats-officedocument.drawing+xml"/>
  <Override PartName="/xl/tables/table49.xml" ContentType="application/vnd.openxmlformats-officedocument.spreadsheetml.table+xml"/>
  <Override PartName="/xl/comments48.xml" ContentType="application/vnd.openxmlformats-officedocument.spreadsheetml.comments+xml"/>
  <Override PartName="/xl/drawings/drawing43.xml" ContentType="application/vnd.openxmlformats-officedocument.drawing+xml"/>
  <Override PartName="/xl/tables/table50.xml" ContentType="application/vnd.openxmlformats-officedocument.spreadsheetml.table+xml"/>
  <Override PartName="/xl/comments49.xml" ContentType="application/vnd.openxmlformats-officedocument.spreadsheetml.comments+xml"/>
  <Override PartName="/xl/drawings/drawing44.xml" ContentType="application/vnd.openxmlformats-officedocument.drawing+xml"/>
  <Override PartName="/xl/tables/table51.xml" ContentType="application/vnd.openxmlformats-officedocument.spreadsheetml.table+xml"/>
  <Override PartName="/xl/comments50.xml" ContentType="application/vnd.openxmlformats-officedocument.spreadsheetml.comments+xml"/>
  <Override PartName="/xl/drawings/drawing45.xml" ContentType="application/vnd.openxmlformats-officedocument.drawing+xml"/>
  <Override PartName="/xl/tables/table52.xml" ContentType="application/vnd.openxmlformats-officedocument.spreadsheetml.table+xml"/>
  <Override PartName="/xl/comments51.xml" ContentType="application/vnd.openxmlformats-officedocument.spreadsheetml.comments+xml"/>
  <Override PartName="/xl/drawings/drawing46.xml" ContentType="application/vnd.openxmlformats-officedocument.drawing+xml"/>
  <Override PartName="/xl/tables/table53.xml" ContentType="application/vnd.openxmlformats-officedocument.spreadsheetml.table+xml"/>
  <Override PartName="/xl/comments52.xml" ContentType="application/vnd.openxmlformats-officedocument.spreadsheetml.comments+xml"/>
  <Override PartName="/xl/drawings/drawing47.xml" ContentType="application/vnd.openxmlformats-officedocument.drawing+xml"/>
  <Override PartName="/xl/tables/table5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\\WIN-SHARE\Share\1 Штаб\1.25 Ком-й депар ЖК АмГрад\Коммерческий департамент ЖК\Отдел продаж\Планируемые ДДУ и ДКП\"/>
    </mc:Choice>
  </mc:AlternateContent>
  <xr:revisionPtr revIDLastSave="0" documentId="13_ncr:1_{F3229A4E-9319-4E35-9A5D-9E81AD3902F2}" xr6:coauthVersionLast="47" xr6:coauthVersionMax="47" xr10:uidLastSave="{00000000-0000-0000-0000-000000000000}"/>
  <bookViews>
    <workbookView xWindow="-120" yWindow="-120" windowWidth="29040" windowHeight="15840" tabRatio="791" firstSheet="38" activeTab="64" xr2:uid="{00000000-000D-0000-FFFF-FFFF00000000}"/>
  </bookViews>
  <sheets>
    <sheet name="Списки" sheetId="24" state="hidden" r:id="rId1"/>
    <sheet name="Март" sheetId="1" state="hidden" r:id="rId2"/>
    <sheet name="Апрель" sheetId="2" state="hidden" r:id="rId3"/>
    <sheet name="Май" sheetId="3" state="hidden" r:id="rId4"/>
    <sheet name="Июнь" sheetId="6" state="hidden" r:id="rId5"/>
    <sheet name="2кв2021" sheetId="9" state="hidden" r:id="rId6"/>
    <sheet name="Июль" sheetId="7" state="hidden" r:id="rId7"/>
    <sheet name="Август" sheetId="15" state="hidden" r:id="rId8"/>
    <sheet name="3кв21" sheetId="21" state="hidden" r:id="rId9"/>
    <sheet name="Сентябрь" sheetId="17" state="hidden" r:id="rId10"/>
    <sheet name="Октябрь" sheetId="19" state="hidden" r:id="rId11"/>
    <sheet name="Ноябрь21" sheetId="25" state="hidden" r:id="rId12"/>
    <sheet name="Декабрь21" sheetId="27" state="hidden" r:id="rId13"/>
    <sheet name="Январь 22" sheetId="29" state="hidden" r:id="rId14"/>
    <sheet name="Февраль 22" sheetId="30" state="hidden" r:id="rId15"/>
    <sheet name="Ноябрь" sheetId="22" state="hidden" r:id="rId16"/>
    <sheet name="Март 22" sheetId="31" state="hidden" r:id="rId17"/>
    <sheet name="Апрель 22 " sheetId="33" state="hidden" r:id="rId18"/>
    <sheet name="Май 22" sheetId="34" state="hidden" r:id="rId19"/>
    <sheet name="Июнь 22 " sheetId="35" state="hidden" r:id="rId20"/>
    <sheet name="Июль 22" sheetId="37" state="hidden" r:id="rId21"/>
    <sheet name="Август 22" sheetId="38" state="hidden" r:id="rId22"/>
    <sheet name="Сентябрь 22" sheetId="39" state="hidden" r:id="rId23"/>
    <sheet name="Октябрь 22" sheetId="41" state="hidden" r:id="rId24"/>
    <sheet name="Ноябрь 22" sheetId="43" state="hidden" r:id="rId25"/>
    <sheet name="Декабрь 22" sheetId="44" state="hidden" r:id="rId26"/>
    <sheet name="Январь 23" sheetId="45" state="hidden" r:id="rId27"/>
    <sheet name="Февраль 2023" sheetId="47" state="hidden" r:id="rId28"/>
    <sheet name="Март 2023" sheetId="49" state="hidden" r:id="rId29"/>
    <sheet name="Апрель 2023" sheetId="50" state="hidden" r:id="rId30"/>
    <sheet name="Май 2023" sheetId="53" state="hidden" r:id="rId31"/>
    <sheet name="Июнь 2023" sheetId="54" state="hidden" r:id="rId32"/>
    <sheet name="Июль 2023" sheetId="55" state="hidden" r:id="rId33"/>
    <sheet name="Август 2023 " sheetId="56" state="hidden" r:id="rId34"/>
    <sheet name="Сентябрь 2023" sheetId="57" state="hidden" r:id="rId35"/>
    <sheet name="Октябрь 2023" sheetId="58" state="hidden" r:id="rId36"/>
    <sheet name="Ноябрь 2023" sheetId="60" state="hidden" r:id="rId37"/>
    <sheet name="Декабрь 2023" sheetId="61" state="hidden" r:id="rId38"/>
    <sheet name="ИПП 3кв25" sheetId="90" r:id="rId39"/>
    <sheet name="ИПП 2кв25" sheetId="86" r:id="rId40"/>
    <sheet name="ИПП 1кв25" sheetId="81" r:id="rId41"/>
    <sheet name="ИПП 2кв24" sheetId="66" state="hidden" r:id="rId42"/>
    <sheet name="ИПП 3кв24" sheetId="73" state="hidden" r:id="rId43"/>
    <sheet name="Январь 2024" sheetId="62" state="hidden" r:id="rId44"/>
    <sheet name="ИПП (2)" sheetId="67" state="hidden" r:id="rId45"/>
    <sheet name="Февраль 2024" sheetId="63" state="hidden" r:id="rId46"/>
    <sheet name="Март 2024" sheetId="64" state="hidden" r:id="rId47"/>
    <sheet name="ИПП 4кв24" sheetId="78" state="hidden" r:id="rId48"/>
    <sheet name="Апрель 2024" sheetId="68" state="hidden" r:id="rId49"/>
    <sheet name="Май 2024" sheetId="69" state="hidden" r:id="rId50"/>
    <sheet name="Июнь 2024" sheetId="70" state="hidden" r:id="rId51"/>
    <sheet name="Июль 2024" sheetId="72" state="hidden" r:id="rId52"/>
    <sheet name="Август 2024" sheetId="74" state="hidden" r:id="rId53"/>
    <sheet name="Сентябрь 2024" sheetId="75" state="hidden" r:id="rId54"/>
    <sheet name="Октябрь 2024" sheetId="76" state="hidden" r:id="rId55"/>
    <sheet name="Ноябрь 2024" sheetId="79" state="hidden" r:id="rId56"/>
    <sheet name="Декабрь 2024" sheetId="80" state="hidden" r:id="rId57"/>
    <sheet name="Январь 2025" sheetId="82" r:id="rId58"/>
    <sheet name="Февраль 2025" sheetId="83" r:id="rId59"/>
    <sheet name="Март 2025" sheetId="84" r:id="rId60"/>
    <sheet name="Апрель 2025" sheetId="85" r:id="rId61"/>
    <sheet name="Май 2025" sheetId="87" r:id="rId62"/>
    <sheet name="Июнь 2025" sheetId="88" r:id="rId63"/>
    <sheet name="Июль 2025" sheetId="89" r:id="rId64"/>
    <sheet name="Август 2025" sheetId="91" r:id="rId65"/>
    <sheet name="РД" sheetId="36" state="hidden" r:id="rId66"/>
    <sheet name="Индивидуальный план" sheetId="23" state="hidden" r:id="rId67"/>
  </sheets>
  <definedNames>
    <definedName name="_xlnm._FilterDatabase" localSheetId="7" hidden="1">Август!$A$2:$Q$51</definedName>
    <definedName name="_xlnm._FilterDatabase" localSheetId="2" hidden="1">Апрель!$A$2:$S$95</definedName>
    <definedName name="_xlnm._FilterDatabase" localSheetId="6" hidden="1">Июль!$A$2:$Q$53</definedName>
    <definedName name="_xlnm._FilterDatabase" localSheetId="4" hidden="1">Июнь!$A$2:$R$75</definedName>
    <definedName name="_xlnm._FilterDatabase" localSheetId="3" hidden="1">Май!$A$2:$R$35</definedName>
    <definedName name="ExternalData_1" localSheetId="65" hidden="1">РД!$A$2:$AN$2740</definedName>
    <definedName name="_xlnm.Print_Area" localSheetId="7">Август!$A$1:$Q$5</definedName>
    <definedName name="_xlnm.Print_Area" localSheetId="33">'Август 2023 '!$A$1:$U$168</definedName>
    <definedName name="_xlnm.Print_Area" localSheetId="52">'Август 2024'!$A$1:$V$158</definedName>
    <definedName name="_xlnm.Print_Area" localSheetId="64">'Август 2025'!$A$1:$V$192</definedName>
    <definedName name="_xlnm.Print_Area" localSheetId="29">'Апрель 2023'!$A$1:$U$144</definedName>
    <definedName name="_xlnm.Print_Area" localSheetId="48">'Апрель 2024'!$A$1:$V$185</definedName>
    <definedName name="_xlnm.Print_Area" localSheetId="60">'Апрель 2025'!$A$1:$V$180</definedName>
    <definedName name="_xlnm.Print_Area" localSheetId="37">'Декабрь 2023'!$A$1:$V$186</definedName>
    <definedName name="_xlnm.Print_Area" localSheetId="56">'Декабрь 2024'!$A$1:$V$173</definedName>
    <definedName name="_xlnm.Print_Area" localSheetId="6">Июль!$A$1:$Q$10</definedName>
    <definedName name="_xlnm.Print_Area" localSheetId="32">'Июль 2023'!$A$1:$U$131</definedName>
    <definedName name="_xlnm.Print_Area" localSheetId="51">'Июль 2024'!$A$1:$V$158</definedName>
    <definedName name="_xlnm.Print_Area" localSheetId="63">'Июль 2025'!$A$1:$V$192</definedName>
    <definedName name="_xlnm.Print_Area" localSheetId="31">'Июнь 2023'!$A$1:$U$108</definedName>
    <definedName name="_xlnm.Print_Area" localSheetId="50">'Июнь 2024'!$A$1:$V$193</definedName>
    <definedName name="_xlnm.Print_Area" localSheetId="62">'Июнь 2025'!$A$1:$V$187</definedName>
    <definedName name="_xlnm.Print_Area" localSheetId="49">'Май 2024'!$A$1:$V$190</definedName>
    <definedName name="_xlnm.Print_Area" localSheetId="61">'Май 2025'!$A$1:$V$180</definedName>
    <definedName name="_xlnm.Print_Area" localSheetId="28">'Март 2023'!$A$1:$U$125</definedName>
    <definedName name="_xlnm.Print_Area" localSheetId="46">'Март 2024'!$A$1:$V$185</definedName>
    <definedName name="_xlnm.Print_Area" localSheetId="59">'Март 2025'!$A$1:$V$181</definedName>
    <definedName name="_xlnm.Print_Area" localSheetId="36">'Ноябрь 2023'!$A$1:$V$187</definedName>
    <definedName name="_xlnm.Print_Area" localSheetId="55">'Ноябрь 2024'!$A$1:$V$154</definedName>
    <definedName name="_xlnm.Print_Area" localSheetId="35">'Октябрь 2023'!$A$1:$V$197</definedName>
    <definedName name="_xlnm.Print_Area" localSheetId="54">'Октябрь 2024'!$A$1:$V$158</definedName>
    <definedName name="_xlnm.Print_Area" localSheetId="34">'Сентябрь 2023'!$A$1:$V$192</definedName>
    <definedName name="_xlnm.Print_Area" localSheetId="53">'Сентябрь 2024'!$A$1:$V$158</definedName>
    <definedName name="_xlnm.Print_Area" localSheetId="27">'Февраль 2023'!$A$1:$V$127</definedName>
    <definedName name="_xlnm.Print_Area" localSheetId="45">'Февраль 2024'!$A$1:$V$186</definedName>
    <definedName name="_xlnm.Print_Area" localSheetId="58">'Февраль 2025'!$A$1:$V$181</definedName>
    <definedName name="_xlnm.Print_Area" localSheetId="43">'Январь 2024'!$A$1:$V$186</definedName>
    <definedName name="_xlnm.Print_Area" localSheetId="57">'Январь 2025'!$A$1:$V$180</definedName>
    <definedName name="Срез_Вариант_оплаты">#N/A</definedName>
    <definedName name="Срез_Дом">#N/A</definedName>
    <definedName name="Срез_ИМ">#N/A</definedName>
    <definedName name="Срез_МОП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8"/>
        <x14:slicerCache r:id="rId69"/>
        <x14:slicerCache r:id="rId70"/>
        <x14:slicerCache r:id="rId71"/>
      </x15:slicerCaches>
    </ext>
  </extLst>
</workbook>
</file>

<file path=xl/calcChain.xml><?xml version="1.0" encoding="utf-8"?>
<calcChain xmlns="http://schemas.openxmlformats.org/spreadsheetml/2006/main">
  <c r="F190" i="91" l="1"/>
  <c r="E190" i="91"/>
  <c r="D190" i="91"/>
  <c r="C190" i="91"/>
  <c r="B190" i="91"/>
  <c r="F189" i="91"/>
  <c r="E189" i="91"/>
  <c r="D189" i="91"/>
  <c r="C189" i="91"/>
  <c r="B189" i="91"/>
  <c r="F186" i="91"/>
  <c r="E186" i="91"/>
  <c r="D186" i="91"/>
  <c r="C186" i="91"/>
  <c r="B186" i="91"/>
  <c r="F185" i="91"/>
  <c r="D185" i="91"/>
  <c r="C185" i="91"/>
  <c r="B185" i="91"/>
  <c r="F184" i="91"/>
  <c r="D184" i="91"/>
  <c r="C184" i="91"/>
  <c r="B184" i="91"/>
  <c r="F183" i="91"/>
  <c r="D183" i="91"/>
  <c r="C183" i="91"/>
  <c r="B183" i="91"/>
  <c r="F182" i="91"/>
  <c r="D182" i="91"/>
  <c r="C182" i="91"/>
  <c r="B182" i="91"/>
  <c r="F181" i="91"/>
  <c r="E181" i="91"/>
  <c r="D181" i="91"/>
  <c r="C181" i="91"/>
  <c r="B181" i="91"/>
  <c r="C177" i="91"/>
  <c r="B177" i="91"/>
  <c r="I176" i="91"/>
  <c r="H176" i="91"/>
  <c r="K176" i="91" s="1"/>
  <c r="G176" i="91"/>
  <c r="J176" i="91" s="1"/>
  <c r="F176" i="91"/>
  <c r="E176" i="91"/>
  <c r="D176" i="91"/>
  <c r="I175" i="91"/>
  <c r="H175" i="91"/>
  <c r="K175" i="91" s="1"/>
  <c r="G175" i="91"/>
  <c r="J175" i="91" s="1"/>
  <c r="F175" i="91"/>
  <c r="E175" i="91"/>
  <c r="D175" i="91"/>
  <c r="C173" i="91"/>
  <c r="B173" i="91"/>
  <c r="I172" i="91"/>
  <c r="H172" i="91"/>
  <c r="K172" i="91" s="1"/>
  <c r="G172" i="91"/>
  <c r="J172" i="91" s="1"/>
  <c r="F172" i="91"/>
  <c r="E172" i="91"/>
  <c r="D172" i="91"/>
  <c r="I171" i="91"/>
  <c r="H171" i="91"/>
  <c r="K171" i="91" s="1"/>
  <c r="G171" i="91"/>
  <c r="J171" i="91" s="1"/>
  <c r="F171" i="91"/>
  <c r="D171" i="91"/>
  <c r="I170" i="91"/>
  <c r="H170" i="91"/>
  <c r="K170" i="91" s="1"/>
  <c r="G170" i="91"/>
  <c r="J170" i="91" s="1"/>
  <c r="F170" i="91"/>
  <c r="D170" i="91"/>
  <c r="I169" i="91"/>
  <c r="H169" i="91"/>
  <c r="K169" i="91" s="1"/>
  <c r="G169" i="91"/>
  <c r="J169" i="91" s="1"/>
  <c r="F169" i="91"/>
  <c r="D169" i="91"/>
  <c r="I168" i="91"/>
  <c r="H168" i="91"/>
  <c r="K168" i="91" s="1"/>
  <c r="G168" i="91"/>
  <c r="J168" i="91" s="1"/>
  <c r="F168" i="91"/>
  <c r="E168" i="91"/>
  <c r="D168" i="91"/>
  <c r="I167" i="91"/>
  <c r="H167" i="91"/>
  <c r="K167" i="91" s="1"/>
  <c r="G167" i="91"/>
  <c r="J167" i="91" s="1"/>
  <c r="F167" i="91"/>
  <c r="E167" i="91"/>
  <c r="D167" i="91"/>
  <c r="I162" i="91"/>
  <c r="H162" i="91"/>
  <c r="G162" i="91"/>
  <c r="F162" i="91"/>
  <c r="D162" i="91"/>
  <c r="I161" i="91"/>
  <c r="H161" i="91"/>
  <c r="G161" i="91"/>
  <c r="F161" i="91"/>
  <c r="D161" i="91"/>
  <c r="I158" i="91"/>
  <c r="H158" i="91"/>
  <c r="G158" i="91"/>
  <c r="F158" i="91"/>
  <c r="D158" i="91"/>
  <c r="I157" i="91"/>
  <c r="H157" i="91"/>
  <c r="G157" i="91"/>
  <c r="F157" i="91"/>
  <c r="D157" i="91"/>
  <c r="I156" i="91"/>
  <c r="H156" i="91"/>
  <c r="G156" i="91"/>
  <c r="F156" i="91"/>
  <c r="D156" i="91"/>
  <c r="I155" i="91"/>
  <c r="H155" i="91"/>
  <c r="G155" i="91"/>
  <c r="F155" i="91"/>
  <c r="D155" i="91"/>
  <c r="I154" i="91"/>
  <c r="H154" i="91"/>
  <c r="G154" i="91"/>
  <c r="F154" i="91"/>
  <c r="D154" i="91"/>
  <c r="I153" i="91"/>
  <c r="H153" i="91"/>
  <c r="G153" i="91"/>
  <c r="F153" i="91"/>
  <c r="D153" i="91"/>
  <c r="I148" i="91"/>
  <c r="H148" i="91"/>
  <c r="G148" i="91"/>
  <c r="F148" i="91"/>
  <c r="E148" i="91"/>
  <c r="D148" i="91"/>
  <c r="I147" i="91"/>
  <c r="H147" i="91"/>
  <c r="G147" i="91"/>
  <c r="F147" i="91"/>
  <c r="F149" i="91" s="1"/>
  <c r="E147" i="91"/>
  <c r="D147" i="91"/>
  <c r="I144" i="91"/>
  <c r="H144" i="91"/>
  <c r="G144" i="91"/>
  <c r="F144" i="91"/>
  <c r="E144" i="91"/>
  <c r="D144" i="91"/>
  <c r="I143" i="91"/>
  <c r="H143" i="91"/>
  <c r="G143" i="91"/>
  <c r="F143" i="91"/>
  <c r="E143" i="91"/>
  <c r="D143" i="91"/>
  <c r="I142" i="91"/>
  <c r="H142" i="91"/>
  <c r="G142" i="91"/>
  <c r="F142" i="91"/>
  <c r="E142" i="91"/>
  <c r="D142" i="91"/>
  <c r="I141" i="91"/>
  <c r="H141" i="91"/>
  <c r="G141" i="91"/>
  <c r="F141" i="91"/>
  <c r="E141" i="91"/>
  <c r="D141" i="91"/>
  <c r="I140" i="91"/>
  <c r="H140" i="91"/>
  <c r="G140" i="91"/>
  <c r="F140" i="91"/>
  <c r="E140" i="91"/>
  <c r="D140" i="91"/>
  <c r="I139" i="91"/>
  <c r="H139" i="91"/>
  <c r="G139" i="91"/>
  <c r="F139" i="91"/>
  <c r="E139" i="91"/>
  <c r="D139" i="91"/>
  <c r="I134" i="91"/>
  <c r="H134" i="91"/>
  <c r="G134" i="91"/>
  <c r="F134" i="91"/>
  <c r="E134" i="91"/>
  <c r="D134" i="91"/>
  <c r="I133" i="91"/>
  <c r="H133" i="91"/>
  <c r="G133" i="91"/>
  <c r="F133" i="91"/>
  <c r="F135" i="91" s="1"/>
  <c r="E133" i="91"/>
  <c r="D133" i="91"/>
  <c r="D135" i="91" s="1"/>
  <c r="I130" i="91"/>
  <c r="H130" i="91"/>
  <c r="G130" i="91"/>
  <c r="F130" i="91"/>
  <c r="E130" i="91"/>
  <c r="D130" i="91"/>
  <c r="I129" i="91"/>
  <c r="H129" i="91"/>
  <c r="G129" i="91"/>
  <c r="F129" i="91"/>
  <c r="E129" i="91"/>
  <c r="D129" i="91"/>
  <c r="I128" i="91"/>
  <c r="H128" i="91"/>
  <c r="G128" i="91"/>
  <c r="F128" i="91"/>
  <c r="E128" i="91"/>
  <c r="D128" i="91"/>
  <c r="I127" i="91"/>
  <c r="H127" i="91"/>
  <c r="G127" i="91"/>
  <c r="F127" i="91"/>
  <c r="E127" i="91"/>
  <c r="D127" i="91"/>
  <c r="I126" i="91"/>
  <c r="H126" i="91"/>
  <c r="G126" i="91"/>
  <c r="F126" i="91"/>
  <c r="E126" i="91"/>
  <c r="D126" i="91"/>
  <c r="I125" i="91"/>
  <c r="H125" i="91"/>
  <c r="G125" i="91"/>
  <c r="F125" i="91"/>
  <c r="E125" i="91"/>
  <c r="D125" i="91"/>
  <c r="I120" i="91"/>
  <c r="H120" i="91"/>
  <c r="G120" i="91"/>
  <c r="F120" i="91"/>
  <c r="D120" i="91"/>
  <c r="I119" i="91"/>
  <c r="H119" i="91"/>
  <c r="G119" i="91"/>
  <c r="F119" i="91"/>
  <c r="D119" i="91"/>
  <c r="I116" i="91"/>
  <c r="H116" i="91"/>
  <c r="G116" i="91"/>
  <c r="F116" i="91"/>
  <c r="D116" i="91"/>
  <c r="I115" i="91"/>
  <c r="H115" i="91"/>
  <c r="G115" i="91"/>
  <c r="F115" i="91"/>
  <c r="D115" i="91"/>
  <c r="I114" i="91"/>
  <c r="H114" i="91"/>
  <c r="G114" i="91"/>
  <c r="F114" i="91"/>
  <c r="D114" i="91"/>
  <c r="I113" i="91"/>
  <c r="H113" i="91"/>
  <c r="G113" i="91"/>
  <c r="F113" i="91"/>
  <c r="E113" i="91"/>
  <c r="D113" i="91"/>
  <c r="I112" i="91"/>
  <c r="H112" i="91"/>
  <c r="G112" i="91"/>
  <c r="F112" i="91"/>
  <c r="D112" i="91"/>
  <c r="I111" i="91"/>
  <c r="H111" i="91"/>
  <c r="G111" i="91"/>
  <c r="F111" i="91"/>
  <c r="E111" i="91"/>
  <c r="D111" i="91"/>
  <c r="I106" i="91"/>
  <c r="H106" i="91"/>
  <c r="G106" i="91"/>
  <c r="F106" i="91"/>
  <c r="D106" i="91"/>
  <c r="I105" i="91"/>
  <c r="H105" i="91"/>
  <c r="G105" i="91"/>
  <c r="F105" i="91"/>
  <c r="D105" i="91"/>
  <c r="I102" i="91"/>
  <c r="H102" i="91"/>
  <c r="G102" i="91"/>
  <c r="F102" i="91"/>
  <c r="D102" i="91"/>
  <c r="I101" i="91"/>
  <c r="H101" i="91"/>
  <c r="G101" i="91"/>
  <c r="F101" i="91"/>
  <c r="D101" i="91"/>
  <c r="I100" i="91"/>
  <c r="H100" i="91"/>
  <c r="G100" i="91"/>
  <c r="F100" i="91"/>
  <c r="D100" i="91"/>
  <c r="I99" i="91"/>
  <c r="H99" i="91"/>
  <c r="G99" i="91"/>
  <c r="F99" i="91"/>
  <c r="E99" i="91"/>
  <c r="D99" i="91"/>
  <c r="I98" i="91"/>
  <c r="H98" i="91"/>
  <c r="G98" i="91"/>
  <c r="F98" i="91"/>
  <c r="E98" i="91"/>
  <c r="D98" i="91"/>
  <c r="I97" i="91"/>
  <c r="H97" i="91"/>
  <c r="G97" i="91"/>
  <c r="F97" i="91"/>
  <c r="D97" i="91"/>
  <c r="I92" i="91"/>
  <c r="H92" i="91"/>
  <c r="G92" i="91"/>
  <c r="F92" i="91"/>
  <c r="D92" i="91"/>
  <c r="I91" i="91"/>
  <c r="H91" i="91"/>
  <c r="G91" i="91"/>
  <c r="F91" i="91"/>
  <c r="D91" i="91"/>
  <c r="I88" i="91"/>
  <c r="H88" i="91"/>
  <c r="G88" i="91"/>
  <c r="F88" i="91"/>
  <c r="D88" i="91"/>
  <c r="I87" i="91"/>
  <c r="H87" i="91"/>
  <c r="G87" i="91"/>
  <c r="F87" i="91"/>
  <c r="D87" i="91"/>
  <c r="I86" i="91"/>
  <c r="H86" i="91"/>
  <c r="G86" i="91"/>
  <c r="F86" i="91"/>
  <c r="D86" i="91"/>
  <c r="I85" i="91"/>
  <c r="H85" i="91"/>
  <c r="G85" i="91"/>
  <c r="F85" i="91"/>
  <c r="D85" i="91"/>
  <c r="I84" i="91"/>
  <c r="H84" i="91"/>
  <c r="G84" i="91"/>
  <c r="F84" i="91"/>
  <c r="D84" i="91"/>
  <c r="I83" i="91"/>
  <c r="H83" i="91"/>
  <c r="G83" i="91"/>
  <c r="F83" i="91"/>
  <c r="D83" i="91"/>
  <c r="I78" i="91"/>
  <c r="H78" i="91"/>
  <c r="G78" i="91"/>
  <c r="F78" i="91"/>
  <c r="E78" i="91"/>
  <c r="D78" i="91"/>
  <c r="I77" i="91"/>
  <c r="H77" i="91"/>
  <c r="G77" i="91"/>
  <c r="F77" i="91"/>
  <c r="E77" i="91"/>
  <c r="D77" i="91"/>
  <c r="I74" i="91"/>
  <c r="H74" i="91"/>
  <c r="G74" i="91"/>
  <c r="F74" i="91"/>
  <c r="E74" i="91"/>
  <c r="D74" i="91"/>
  <c r="I73" i="91"/>
  <c r="H73" i="91"/>
  <c r="G73" i="91"/>
  <c r="F73" i="91"/>
  <c r="E73" i="91"/>
  <c r="D73" i="91"/>
  <c r="I72" i="91"/>
  <c r="H72" i="91"/>
  <c r="G72" i="91"/>
  <c r="F72" i="91"/>
  <c r="E72" i="91"/>
  <c r="D72" i="91"/>
  <c r="I71" i="91"/>
  <c r="H71" i="91"/>
  <c r="G71" i="91"/>
  <c r="F71" i="91"/>
  <c r="E71" i="91"/>
  <c r="D71" i="91"/>
  <c r="I70" i="91"/>
  <c r="H70" i="91"/>
  <c r="G70" i="91"/>
  <c r="F70" i="91"/>
  <c r="E70" i="91"/>
  <c r="D70" i="91"/>
  <c r="I69" i="91"/>
  <c r="H69" i="91"/>
  <c r="G69" i="91"/>
  <c r="F69" i="91"/>
  <c r="E69" i="91"/>
  <c r="D69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E115" i="91" s="1"/>
  <c r="V20" i="91"/>
  <c r="V19" i="91"/>
  <c r="V18" i="91"/>
  <c r="E87" i="91" s="1"/>
  <c r="V17" i="91"/>
  <c r="V16" i="91"/>
  <c r="E171" i="91" s="1"/>
  <c r="V15" i="91"/>
  <c r="V14" i="91"/>
  <c r="V13" i="91"/>
  <c r="V12" i="91"/>
  <c r="V11" i="91"/>
  <c r="V10" i="91"/>
  <c r="E116" i="91" s="1"/>
  <c r="V9" i="91"/>
  <c r="E170" i="91" s="1"/>
  <c r="V8" i="91"/>
  <c r="V7" i="91"/>
  <c r="V6" i="91"/>
  <c r="V5" i="91"/>
  <c r="V4" i="91"/>
  <c r="J2" i="91"/>
  <c r="G2" i="91"/>
  <c r="C2" i="91"/>
  <c r="I134" i="89"/>
  <c r="H134" i="89"/>
  <c r="G134" i="89"/>
  <c r="F134" i="89"/>
  <c r="E134" i="89"/>
  <c r="D134" i="89"/>
  <c r="I133" i="89"/>
  <c r="H133" i="89"/>
  <c r="G133" i="89"/>
  <c r="F133" i="89"/>
  <c r="E133" i="89"/>
  <c r="D133" i="89"/>
  <c r="I130" i="89"/>
  <c r="H130" i="89"/>
  <c r="G130" i="89"/>
  <c r="F130" i="89"/>
  <c r="E130" i="89"/>
  <c r="D130" i="89"/>
  <c r="I129" i="89"/>
  <c r="H129" i="89"/>
  <c r="G129" i="89"/>
  <c r="F129" i="89"/>
  <c r="E129" i="89"/>
  <c r="D129" i="89"/>
  <c r="I128" i="89"/>
  <c r="H128" i="89"/>
  <c r="G128" i="89"/>
  <c r="F128" i="89"/>
  <c r="E128" i="89"/>
  <c r="D128" i="89"/>
  <c r="I127" i="89"/>
  <c r="H127" i="89"/>
  <c r="G127" i="89"/>
  <c r="F127" i="89"/>
  <c r="E127" i="89"/>
  <c r="D127" i="89"/>
  <c r="I126" i="89"/>
  <c r="H126" i="89"/>
  <c r="G126" i="89"/>
  <c r="F126" i="89"/>
  <c r="E126" i="89"/>
  <c r="D126" i="89"/>
  <c r="I125" i="89"/>
  <c r="H125" i="89"/>
  <c r="G125" i="89"/>
  <c r="F125" i="89"/>
  <c r="E125" i="89"/>
  <c r="D125" i="89"/>
  <c r="I148" i="89"/>
  <c r="H148" i="89"/>
  <c r="G148" i="89"/>
  <c r="F148" i="89"/>
  <c r="E148" i="89"/>
  <c r="D148" i="89"/>
  <c r="I147" i="89"/>
  <c r="H147" i="89"/>
  <c r="G147" i="89"/>
  <c r="F147" i="89"/>
  <c r="E147" i="89"/>
  <c r="D147" i="89"/>
  <c r="I144" i="89"/>
  <c r="H144" i="89"/>
  <c r="G144" i="89"/>
  <c r="F144" i="89"/>
  <c r="E144" i="89"/>
  <c r="D144" i="89"/>
  <c r="I143" i="89"/>
  <c r="H143" i="89"/>
  <c r="G143" i="89"/>
  <c r="F143" i="89"/>
  <c r="E143" i="89"/>
  <c r="D143" i="89"/>
  <c r="I142" i="89"/>
  <c r="H142" i="89"/>
  <c r="G142" i="89"/>
  <c r="F142" i="89"/>
  <c r="E142" i="89"/>
  <c r="D142" i="89"/>
  <c r="I141" i="89"/>
  <c r="H141" i="89"/>
  <c r="G141" i="89"/>
  <c r="F141" i="89"/>
  <c r="E141" i="89"/>
  <c r="D141" i="89"/>
  <c r="I140" i="89"/>
  <c r="H140" i="89"/>
  <c r="G140" i="89"/>
  <c r="F140" i="89"/>
  <c r="E140" i="89"/>
  <c r="D140" i="89"/>
  <c r="I139" i="89"/>
  <c r="H139" i="89"/>
  <c r="G139" i="89"/>
  <c r="F139" i="89"/>
  <c r="E139" i="89"/>
  <c r="D139" i="89"/>
  <c r="G149" i="91" l="1"/>
  <c r="E97" i="91"/>
  <c r="E83" i="91"/>
  <c r="E185" i="91"/>
  <c r="H79" i="91"/>
  <c r="H93" i="91"/>
  <c r="G135" i="91"/>
  <c r="I149" i="91"/>
  <c r="I177" i="91"/>
  <c r="E177" i="91"/>
  <c r="F177" i="91"/>
  <c r="E182" i="91"/>
  <c r="G93" i="91"/>
  <c r="E106" i="91"/>
  <c r="E102" i="91"/>
  <c r="E86" i="91"/>
  <c r="E88" i="91"/>
  <c r="E92" i="91"/>
  <c r="E84" i="91"/>
  <c r="E100" i="91"/>
  <c r="E155" i="91"/>
  <c r="E169" i="91"/>
  <c r="E173" i="91" s="1"/>
  <c r="E85" i="91"/>
  <c r="E183" i="91"/>
  <c r="F191" i="91"/>
  <c r="D107" i="91"/>
  <c r="E184" i="91"/>
  <c r="E161" i="91"/>
  <c r="E156" i="91"/>
  <c r="E105" i="91"/>
  <c r="D191" i="91"/>
  <c r="F79" i="91"/>
  <c r="D163" i="91"/>
  <c r="F173" i="91"/>
  <c r="E191" i="91"/>
  <c r="F107" i="91"/>
  <c r="D93" i="91"/>
  <c r="F89" i="91"/>
  <c r="D121" i="91"/>
  <c r="I75" i="91"/>
  <c r="F93" i="91"/>
  <c r="D187" i="91"/>
  <c r="H107" i="91"/>
  <c r="B191" i="91"/>
  <c r="D145" i="91"/>
  <c r="F159" i="91"/>
  <c r="D177" i="91"/>
  <c r="C191" i="91"/>
  <c r="F75" i="91"/>
  <c r="F131" i="91"/>
  <c r="H121" i="91"/>
  <c r="G145" i="91"/>
  <c r="I103" i="91"/>
  <c r="I107" i="91"/>
  <c r="G79" i="91"/>
  <c r="I93" i="91"/>
  <c r="I117" i="91"/>
  <c r="G89" i="91"/>
  <c r="H163" i="91"/>
  <c r="H135" i="91"/>
  <c r="H149" i="91"/>
  <c r="E131" i="91"/>
  <c r="E149" i="91"/>
  <c r="D89" i="91"/>
  <c r="D103" i="91"/>
  <c r="F117" i="91"/>
  <c r="D75" i="91"/>
  <c r="D131" i="91"/>
  <c r="D159" i="91"/>
  <c r="F163" i="91"/>
  <c r="F145" i="91"/>
  <c r="D149" i="91"/>
  <c r="D173" i="91"/>
  <c r="D117" i="91"/>
  <c r="F121" i="91"/>
  <c r="D79" i="91"/>
  <c r="F103" i="91"/>
  <c r="E75" i="91"/>
  <c r="E79" i="91"/>
  <c r="E135" i="91"/>
  <c r="E145" i="91"/>
  <c r="F187" i="91"/>
  <c r="G121" i="91"/>
  <c r="G163" i="91"/>
  <c r="G107" i="91"/>
  <c r="I121" i="91"/>
  <c r="H145" i="91"/>
  <c r="I163" i="91"/>
  <c r="H173" i="91"/>
  <c r="G173" i="91"/>
  <c r="H89" i="91"/>
  <c r="I89" i="91"/>
  <c r="G131" i="91"/>
  <c r="I173" i="91"/>
  <c r="J173" i="91"/>
  <c r="I131" i="91"/>
  <c r="I135" i="91"/>
  <c r="G159" i="91"/>
  <c r="B187" i="91"/>
  <c r="C187" i="91"/>
  <c r="G75" i="91"/>
  <c r="G103" i="91"/>
  <c r="G117" i="91"/>
  <c r="I145" i="91"/>
  <c r="H75" i="91"/>
  <c r="H117" i="91"/>
  <c r="I159" i="91"/>
  <c r="I79" i="91"/>
  <c r="K173" i="91"/>
  <c r="H131" i="91"/>
  <c r="H159" i="91"/>
  <c r="V2" i="91"/>
  <c r="E157" i="91"/>
  <c r="E162" i="91"/>
  <c r="G177" i="91"/>
  <c r="J177" i="91" s="1"/>
  <c r="H103" i="91"/>
  <c r="E101" i="91"/>
  <c r="E153" i="91"/>
  <c r="H177" i="91"/>
  <c r="K177" i="91" s="1"/>
  <c r="E91" i="91"/>
  <c r="E114" i="91"/>
  <c r="E119" i="91"/>
  <c r="E154" i="91"/>
  <c r="E158" i="91"/>
  <c r="E120" i="91"/>
  <c r="E112" i="91"/>
  <c r="D149" i="89"/>
  <c r="F149" i="89"/>
  <c r="I149" i="89"/>
  <c r="G145" i="89"/>
  <c r="F135" i="89"/>
  <c r="D145" i="89"/>
  <c r="F131" i="89"/>
  <c r="G135" i="89"/>
  <c r="H135" i="89"/>
  <c r="I145" i="89"/>
  <c r="H131" i="89"/>
  <c r="I131" i="89"/>
  <c r="I135" i="89"/>
  <c r="F145" i="89"/>
  <c r="D135" i="89"/>
  <c r="G149" i="89"/>
  <c r="D131" i="89"/>
  <c r="H149" i="89"/>
  <c r="H145" i="89"/>
  <c r="G131" i="89"/>
  <c r="C58" i="90"/>
  <c r="C59" i="90"/>
  <c r="C60" i="90"/>
  <c r="C61" i="90"/>
  <c r="C62" i="90"/>
  <c r="Z48" i="90"/>
  <c r="Y48" i="90"/>
  <c r="V48" i="90"/>
  <c r="U48" i="90"/>
  <c r="AC5" i="90"/>
  <c r="AC6" i="90"/>
  <c r="AC7" i="90"/>
  <c r="AC8" i="90"/>
  <c r="AC9" i="90"/>
  <c r="AC10" i="90"/>
  <c r="AC11" i="90"/>
  <c r="AC12" i="90"/>
  <c r="AC13" i="90"/>
  <c r="AC14" i="90"/>
  <c r="AC15" i="90"/>
  <c r="AD5" i="90"/>
  <c r="AD6" i="90"/>
  <c r="AD7" i="90"/>
  <c r="AD8" i="90"/>
  <c r="AD9" i="90"/>
  <c r="AD10" i="90"/>
  <c r="AD11" i="90"/>
  <c r="AD12" i="90"/>
  <c r="AD13" i="90"/>
  <c r="AD14" i="90"/>
  <c r="AD15" i="90"/>
  <c r="AD4" i="90"/>
  <c r="AC4" i="90"/>
  <c r="E93" i="91" l="1"/>
  <c r="E107" i="91"/>
  <c r="E89" i="91"/>
  <c r="E103" i="91"/>
  <c r="E187" i="91"/>
  <c r="E163" i="91"/>
  <c r="E117" i="91"/>
  <c r="E159" i="91"/>
  <c r="E121" i="91"/>
  <c r="C67" i="90"/>
  <c r="C66" i="90"/>
  <c r="Z32" i="90"/>
  <c r="Y32" i="90"/>
  <c r="C57" i="90"/>
  <c r="C51" i="90"/>
  <c r="V32" i="90"/>
  <c r="U32" i="90"/>
  <c r="C46" i="90"/>
  <c r="D44" i="90" s="1"/>
  <c r="C34" i="90"/>
  <c r="Z16" i="90"/>
  <c r="Y16" i="90"/>
  <c r="C29" i="90"/>
  <c r="D28" i="90" s="1"/>
  <c r="C17" i="90"/>
  <c r="D15" i="90" s="1"/>
  <c r="V16" i="90"/>
  <c r="U16" i="90"/>
  <c r="C12" i="90"/>
  <c r="D9" i="90" s="1"/>
  <c r="V4" i="89"/>
  <c r="F190" i="89"/>
  <c r="E190" i="89"/>
  <c r="D190" i="89"/>
  <c r="C190" i="89"/>
  <c r="B190" i="89"/>
  <c r="F189" i="89"/>
  <c r="E189" i="89"/>
  <c r="D189" i="89"/>
  <c r="C189" i="89"/>
  <c r="B189" i="89"/>
  <c r="F186" i="89"/>
  <c r="E186" i="89"/>
  <c r="D186" i="89"/>
  <c r="C186" i="89"/>
  <c r="B186" i="89"/>
  <c r="F185" i="89"/>
  <c r="D185" i="89"/>
  <c r="C185" i="89"/>
  <c r="B185" i="89"/>
  <c r="F184" i="89"/>
  <c r="D184" i="89"/>
  <c r="C184" i="89"/>
  <c r="B184" i="89"/>
  <c r="F183" i="89"/>
  <c r="D183" i="89"/>
  <c r="C183" i="89"/>
  <c r="B183" i="89"/>
  <c r="F182" i="89"/>
  <c r="D182" i="89"/>
  <c r="C182" i="89"/>
  <c r="B182" i="89"/>
  <c r="F181" i="89"/>
  <c r="E181" i="89"/>
  <c r="D181" i="89"/>
  <c r="C181" i="89"/>
  <c r="B181" i="89"/>
  <c r="C177" i="89"/>
  <c r="B177" i="89"/>
  <c r="I176" i="89"/>
  <c r="H176" i="89"/>
  <c r="K176" i="89" s="1"/>
  <c r="G176" i="89"/>
  <c r="J176" i="89" s="1"/>
  <c r="F176" i="89"/>
  <c r="E176" i="89"/>
  <c r="D176" i="89"/>
  <c r="I175" i="89"/>
  <c r="H175" i="89"/>
  <c r="K175" i="89" s="1"/>
  <c r="G175" i="89"/>
  <c r="F175" i="89"/>
  <c r="E175" i="89"/>
  <c r="D175" i="89"/>
  <c r="C173" i="89"/>
  <c r="B173" i="89"/>
  <c r="I172" i="89"/>
  <c r="H172" i="89"/>
  <c r="K172" i="89" s="1"/>
  <c r="G172" i="89"/>
  <c r="J172" i="89" s="1"/>
  <c r="F172" i="89"/>
  <c r="E172" i="89"/>
  <c r="D172" i="89"/>
  <c r="I171" i="89"/>
  <c r="H171" i="89"/>
  <c r="K171" i="89" s="1"/>
  <c r="G171" i="89"/>
  <c r="J171" i="89" s="1"/>
  <c r="F171" i="89"/>
  <c r="E171" i="89"/>
  <c r="D171" i="89"/>
  <c r="I170" i="89"/>
  <c r="H170" i="89"/>
  <c r="K170" i="89" s="1"/>
  <c r="G170" i="89"/>
  <c r="J170" i="89" s="1"/>
  <c r="F170" i="89"/>
  <c r="D170" i="89"/>
  <c r="I169" i="89"/>
  <c r="H169" i="89"/>
  <c r="K169" i="89" s="1"/>
  <c r="G169" i="89"/>
  <c r="J169" i="89" s="1"/>
  <c r="F169" i="89"/>
  <c r="E169" i="89"/>
  <c r="D169" i="89"/>
  <c r="I168" i="89"/>
  <c r="H168" i="89"/>
  <c r="K168" i="89" s="1"/>
  <c r="G168" i="89"/>
  <c r="J168" i="89" s="1"/>
  <c r="F168" i="89"/>
  <c r="D168" i="89"/>
  <c r="I167" i="89"/>
  <c r="H167" i="89"/>
  <c r="K167" i="89" s="1"/>
  <c r="G167" i="89"/>
  <c r="J167" i="89" s="1"/>
  <c r="F167" i="89"/>
  <c r="E167" i="89"/>
  <c r="D167" i="89"/>
  <c r="I162" i="89"/>
  <c r="H162" i="89"/>
  <c r="G162" i="89"/>
  <c r="F162" i="89"/>
  <c r="D162" i="89"/>
  <c r="I161" i="89"/>
  <c r="H161" i="89"/>
  <c r="G161" i="89"/>
  <c r="F161" i="89"/>
  <c r="D161" i="89"/>
  <c r="I158" i="89"/>
  <c r="H158" i="89"/>
  <c r="G158" i="89"/>
  <c r="F158" i="89"/>
  <c r="D158" i="89"/>
  <c r="I157" i="89"/>
  <c r="H157" i="89"/>
  <c r="G157" i="89"/>
  <c r="F157" i="89"/>
  <c r="D157" i="89"/>
  <c r="I156" i="89"/>
  <c r="H156" i="89"/>
  <c r="G156" i="89"/>
  <c r="F156" i="89"/>
  <c r="D156" i="89"/>
  <c r="I155" i="89"/>
  <c r="H155" i="89"/>
  <c r="G155" i="89"/>
  <c r="F155" i="89"/>
  <c r="D155" i="89"/>
  <c r="I154" i="89"/>
  <c r="H154" i="89"/>
  <c r="G154" i="89"/>
  <c r="F154" i="89"/>
  <c r="D154" i="89"/>
  <c r="I153" i="89"/>
  <c r="H153" i="89"/>
  <c r="G153" i="89"/>
  <c r="F153" i="89"/>
  <c r="D153" i="89"/>
  <c r="I120" i="89"/>
  <c r="H120" i="89"/>
  <c r="G120" i="89"/>
  <c r="F120" i="89"/>
  <c r="D120" i="89"/>
  <c r="I119" i="89"/>
  <c r="H119" i="89"/>
  <c r="G119" i="89"/>
  <c r="F119" i="89"/>
  <c r="D119" i="89"/>
  <c r="I116" i="89"/>
  <c r="H116" i="89"/>
  <c r="G116" i="89"/>
  <c r="F116" i="89"/>
  <c r="D116" i="89"/>
  <c r="I115" i="89"/>
  <c r="H115" i="89"/>
  <c r="G115" i="89"/>
  <c r="F115" i="89"/>
  <c r="D115" i="89"/>
  <c r="I114" i="89"/>
  <c r="H114" i="89"/>
  <c r="G114" i="89"/>
  <c r="F114" i="89"/>
  <c r="D114" i="89"/>
  <c r="I113" i="89"/>
  <c r="H113" i="89"/>
  <c r="G113" i="89"/>
  <c r="F113" i="89"/>
  <c r="E113" i="89"/>
  <c r="D113" i="89"/>
  <c r="I112" i="89"/>
  <c r="H112" i="89"/>
  <c r="G112" i="89"/>
  <c r="F112" i="89"/>
  <c r="D112" i="89"/>
  <c r="I111" i="89"/>
  <c r="H111" i="89"/>
  <c r="G111" i="89"/>
  <c r="F111" i="89"/>
  <c r="E111" i="89"/>
  <c r="D111" i="89"/>
  <c r="I106" i="89"/>
  <c r="H106" i="89"/>
  <c r="G106" i="89"/>
  <c r="F106" i="89"/>
  <c r="D106" i="89"/>
  <c r="I105" i="89"/>
  <c r="H105" i="89"/>
  <c r="G105" i="89"/>
  <c r="F105" i="89"/>
  <c r="E105" i="89"/>
  <c r="D105" i="89"/>
  <c r="I102" i="89"/>
  <c r="H102" i="89"/>
  <c r="G102" i="89"/>
  <c r="F102" i="89"/>
  <c r="E102" i="89"/>
  <c r="D102" i="89"/>
  <c r="I101" i="89"/>
  <c r="H101" i="89"/>
  <c r="G101" i="89"/>
  <c r="F101" i="89"/>
  <c r="D101" i="89"/>
  <c r="I100" i="89"/>
  <c r="H100" i="89"/>
  <c r="G100" i="89"/>
  <c r="F100" i="89"/>
  <c r="E100" i="89"/>
  <c r="D100" i="89"/>
  <c r="I99" i="89"/>
  <c r="H99" i="89"/>
  <c r="G99" i="89"/>
  <c r="F99" i="89"/>
  <c r="E99" i="89"/>
  <c r="D99" i="89"/>
  <c r="I98" i="89"/>
  <c r="H98" i="89"/>
  <c r="G98" i="89"/>
  <c r="F98" i="89"/>
  <c r="E98" i="89"/>
  <c r="D98" i="89"/>
  <c r="I97" i="89"/>
  <c r="H97" i="89"/>
  <c r="G97" i="89"/>
  <c r="F97" i="89"/>
  <c r="D97" i="89"/>
  <c r="I92" i="89"/>
  <c r="H92" i="89"/>
  <c r="G92" i="89"/>
  <c r="F92" i="89"/>
  <c r="D92" i="89"/>
  <c r="I91" i="89"/>
  <c r="H91" i="89"/>
  <c r="G91" i="89"/>
  <c r="F91" i="89"/>
  <c r="D91" i="89"/>
  <c r="I88" i="89"/>
  <c r="H88" i="89"/>
  <c r="G88" i="89"/>
  <c r="F88" i="89"/>
  <c r="D88" i="89"/>
  <c r="I87" i="89"/>
  <c r="H87" i="89"/>
  <c r="G87" i="89"/>
  <c r="F87" i="89"/>
  <c r="D87" i="89"/>
  <c r="I86" i="89"/>
  <c r="H86" i="89"/>
  <c r="G86" i="89"/>
  <c r="F86" i="89"/>
  <c r="D86" i="89"/>
  <c r="I85" i="89"/>
  <c r="H85" i="89"/>
  <c r="G85" i="89"/>
  <c r="F85" i="89"/>
  <c r="D85" i="89"/>
  <c r="I84" i="89"/>
  <c r="H84" i="89"/>
  <c r="G84" i="89"/>
  <c r="F84" i="89"/>
  <c r="D84" i="89"/>
  <c r="I83" i="89"/>
  <c r="H83" i="89"/>
  <c r="G83" i="89"/>
  <c r="F83" i="89"/>
  <c r="D83" i="89"/>
  <c r="I78" i="89"/>
  <c r="H78" i="89"/>
  <c r="G78" i="89"/>
  <c r="F78" i="89"/>
  <c r="E78" i="89"/>
  <c r="D78" i="89"/>
  <c r="I77" i="89"/>
  <c r="H77" i="89"/>
  <c r="G77" i="89"/>
  <c r="F77" i="89"/>
  <c r="E77" i="89"/>
  <c r="D77" i="89"/>
  <c r="I74" i="89"/>
  <c r="H74" i="89"/>
  <c r="G74" i="89"/>
  <c r="F74" i="89"/>
  <c r="E74" i="89"/>
  <c r="D74" i="89"/>
  <c r="I73" i="89"/>
  <c r="H73" i="89"/>
  <c r="G73" i="89"/>
  <c r="F73" i="89"/>
  <c r="E73" i="89"/>
  <c r="D73" i="89"/>
  <c r="I72" i="89"/>
  <c r="H72" i="89"/>
  <c r="G72" i="89"/>
  <c r="F72" i="89"/>
  <c r="E72" i="89"/>
  <c r="D72" i="89"/>
  <c r="I71" i="89"/>
  <c r="H71" i="89"/>
  <c r="G71" i="89"/>
  <c r="F71" i="89"/>
  <c r="E71" i="89"/>
  <c r="D71" i="89"/>
  <c r="I70" i="89"/>
  <c r="H70" i="89"/>
  <c r="G70" i="89"/>
  <c r="F70" i="89"/>
  <c r="D70" i="89"/>
  <c r="I69" i="89"/>
  <c r="H69" i="89"/>
  <c r="G69" i="89"/>
  <c r="F69" i="89"/>
  <c r="E69" i="89"/>
  <c r="D69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E83" i="89" s="1"/>
  <c r="V27" i="89"/>
  <c r="V26" i="89"/>
  <c r="V25" i="89"/>
  <c r="V24" i="89"/>
  <c r="V23" i="89"/>
  <c r="V22" i="89"/>
  <c r="V21" i="89"/>
  <c r="E115" i="89" s="1"/>
  <c r="V20" i="89"/>
  <c r="V19" i="89"/>
  <c r="V18" i="89"/>
  <c r="E70" i="89"/>
  <c r="V17" i="89"/>
  <c r="V16" i="89"/>
  <c r="V15" i="89"/>
  <c r="V14" i="89"/>
  <c r="E97" i="89" s="1"/>
  <c r="V13" i="89"/>
  <c r="V12" i="89"/>
  <c r="V11" i="89"/>
  <c r="V10" i="89"/>
  <c r="V9" i="89"/>
  <c r="E170" i="89" s="1"/>
  <c r="V8" i="89"/>
  <c r="V7" i="89"/>
  <c r="E182" i="89" s="1"/>
  <c r="V6" i="89"/>
  <c r="V5" i="89"/>
  <c r="J2" i="89"/>
  <c r="G2" i="89"/>
  <c r="C2" i="89"/>
  <c r="AI43" i="23"/>
  <c r="AI44" i="23" s="1"/>
  <c r="AF43" i="23"/>
  <c r="AF44" i="23" s="1"/>
  <c r="AE43" i="23"/>
  <c r="AE44" i="23" s="1"/>
  <c r="AA43" i="23"/>
  <c r="AA44" i="23" s="1"/>
  <c r="AY42" i="23"/>
  <c r="AQ42" i="23"/>
  <c r="AU41" i="23"/>
  <c r="AM41" i="23" s="1"/>
  <c r="AU40" i="23"/>
  <c r="AI40" i="23"/>
  <c r="AF40" i="23"/>
  <c r="AE40" i="23"/>
  <c r="AA40" i="23"/>
  <c r="C40" i="23"/>
  <c r="C41" i="23" s="1"/>
  <c r="B40" i="23"/>
  <c r="B41" i="23" s="1"/>
  <c r="AI39" i="23"/>
  <c r="AF39" i="23"/>
  <c r="AE39" i="23"/>
  <c r="AA39" i="23"/>
  <c r="T39" i="23"/>
  <c r="S39" i="23"/>
  <c r="P39" i="23"/>
  <c r="O39" i="23"/>
  <c r="L39" i="23"/>
  <c r="K39" i="23"/>
  <c r="AI38" i="23"/>
  <c r="AF38" i="23"/>
  <c r="AE38" i="23"/>
  <c r="AA38" i="23"/>
  <c r="T38" i="23"/>
  <c r="S38" i="23"/>
  <c r="P38" i="23"/>
  <c r="O38" i="23"/>
  <c r="L38" i="23"/>
  <c r="K38" i="23"/>
  <c r="AY37" i="23"/>
  <c r="AU37" i="23"/>
  <c r="AQ37" i="23"/>
  <c r="AI37" i="23"/>
  <c r="AF37" i="23"/>
  <c r="AE37" i="23"/>
  <c r="AA37" i="23"/>
  <c r="C37" i="23"/>
  <c r="B37" i="23"/>
  <c r="AY36" i="23"/>
  <c r="AU36" i="23"/>
  <c r="AQ36" i="23"/>
  <c r="AI36" i="23"/>
  <c r="AF36" i="23"/>
  <c r="AE36" i="23"/>
  <c r="AA36" i="23"/>
  <c r="C36" i="23"/>
  <c r="B36" i="23"/>
  <c r="AY35" i="23"/>
  <c r="AU35" i="23"/>
  <c r="AQ35" i="23"/>
  <c r="AI35" i="23"/>
  <c r="AF35" i="23"/>
  <c r="AE35" i="23"/>
  <c r="AA35" i="23"/>
  <c r="T35" i="23"/>
  <c r="S35" i="23"/>
  <c r="P35" i="23"/>
  <c r="O35" i="23"/>
  <c r="L35" i="23"/>
  <c r="K35" i="23"/>
  <c r="C35" i="23"/>
  <c r="B35" i="23"/>
  <c r="AY34" i="23"/>
  <c r="AU34" i="23"/>
  <c r="AQ34" i="23"/>
  <c r="T34" i="23"/>
  <c r="S34" i="23"/>
  <c r="P34" i="23"/>
  <c r="O34" i="23"/>
  <c r="L34" i="23"/>
  <c r="K34" i="23"/>
  <c r="AY33" i="23"/>
  <c r="AU33" i="23"/>
  <c r="AQ33" i="23"/>
  <c r="T33" i="23"/>
  <c r="S33" i="23"/>
  <c r="P33" i="23"/>
  <c r="O33" i="23"/>
  <c r="L33" i="23"/>
  <c r="K33" i="23"/>
  <c r="T32" i="23"/>
  <c r="S32" i="23"/>
  <c r="P32" i="23"/>
  <c r="O32" i="23"/>
  <c r="L32" i="23"/>
  <c r="K32" i="23"/>
  <c r="T31" i="23"/>
  <c r="S31" i="23"/>
  <c r="P31" i="23"/>
  <c r="O31" i="23"/>
  <c r="L31" i="23"/>
  <c r="K31" i="23"/>
  <c r="AI30" i="23"/>
  <c r="AF30" i="23"/>
  <c r="AE30" i="23"/>
  <c r="AA30" i="23"/>
  <c r="AJ29" i="23"/>
  <c r="AB29" i="23"/>
  <c r="AB43" i="23" s="1"/>
  <c r="W29" i="23"/>
  <c r="AY28" i="23"/>
  <c r="AU28" i="23"/>
  <c r="AQ28" i="23"/>
  <c r="AJ28" i="23"/>
  <c r="AB28" i="23"/>
  <c r="W28" i="23"/>
  <c r="AZ27" i="23"/>
  <c r="AV27" i="23"/>
  <c r="AR27" i="23"/>
  <c r="AM27" i="23"/>
  <c r="T27" i="23"/>
  <c r="S27" i="23"/>
  <c r="P27" i="23"/>
  <c r="O27" i="23"/>
  <c r="L27" i="23"/>
  <c r="K27" i="23"/>
  <c r="AZ26" i="23"/>
  <c r="AV26" i="23"/>
  <c r="AR26" i="23"/>
  <c r="AM26" i="23"/>
  <c r="AI26" i="23"/>
  <c r="AF26" i="23"/>
  <c r="AE26" i="23"/>
  <c r="AA26" i="23"/>
  <c r="H26" i="23"/>
  <c r="G26" i="23"/>
  <c r="AJ25" i="23"/>
  <c r="AB25" i="23"/>
  <c r="AB40" i="23" s="1"/>
  <c r="W25" i="23"/>
  <c r="H25" i="23"/>
  <c r="G25" i="23"/>
  <c r="AY24" i="23"/>
  <c r="AU24" i="23"/>
  <c r="AQ24" i="23"/>
  <c r="AJ24" i="23"/>
  <c r="AB24" i="23"/>
  <c r="AB39" i="23" s="1"/>
  <c r="W24" i="23"/>
  <c r="AZ23" i="23"/>
  <c r="AV23" i="23"/>
  <c r="AR23" i="23"/>
  <c r="AM23" i="23"/>
  <c r="AJ23" i="23"/>
  <c r="AB23" i="23"/>
  <c r="AB38" i="23" s="1"/>
  <c r="W23" i="23"/>
  <c r="T23" i="23"/>
  <c r="S23" i="23"/>
  <c r="P23" i="23"/>
  <c r="O23" i="23"/>
  <c r="L23" i="23"/>
  <c r="K23" i="23"/>
  <c r="AZ22" i="23"/>
  <c r="AV22" i="23"/>
  <c r="AR22" i="23"/>
  <c r="AM22" i="23"/>
  <c r="AJ22" i="23"/>
  <c r="AB22" i="23"/>
  <c r="W22" i="23"/>
  <c r="H22" i="23"/>
  <c r="G22" i="23"/>
  <c r="AZ21" i="23"/>
  <c r="AV21" i="23"/>
  <c r="AR21" i="23"/>
  <c r="AM21" i="23"/>
  <c r="AJ21" i="23"/>
  <c r="AB21" i="23"/>
  <c r="AB36" i="23" s="1"/>
  <c r="W21" i="23"/>
  <c r="H21" i="23"/>
  <c r="G21" i="23"/>
  <c r="AZ20" i="23"/>
  <c r="AV20" i="23"/>
  <c r="AR20" i="23"/>
  <c r="AM20" i="23"/>
  <c r="AJ20" i="23"/>
  <c r="AB20" i="23"/>
  <c r="W20" i="23"/>
  <c r="H20" i="23"/>
  <c r="G20" i="23"/>
  <c r="AZ19" i="23"/>
  <c r="AV19" i="23"/>
  <c r="AR19" i="23"/>
  <c r="AM19" i="23"/>
  <c r="H19" i="23"/>
  <c r="G19" i="23"/>
  <c r="H18" i="23"/>
  <c r="G18" i="23"/>
  <c r="AI15" i="23"/>
  <c r="AF15" i="23"/>
  <c r="AE15" i="23"/>
  <c r="AB15" i="23"/>
  <c r="AA15" i="23"/>
  <c r="AY14" i="23"/>
  <c r="AU14" i="23"/>
  <c r="AQ14" i="23"/>
  <c r="AJ14" i="23"/>
  <c r="W14" i="23"/>
  <c r="T14" i="23"/>
  <c r="S14" i="23"/>
  <c r="P14" i="23"/>
  <c r="O14" i="23"/>
  <c r="L14" i="23"/>
  <c r="K14" i="23"/>
  <c r="AZ13" i="23"/>
  <c r="AV13" i="23"/>
  <c r="AR13" i="23"/>
  <c r="AM13" i="23"/>
  <c r="AJ13" i="23"/>
  <c r="W13" i="23"/>
  <c r="H13" i="23"/>
  <c r="G13" i="23"/>
  <c r="AZ12" i="23"/>
  <c r="AV12" i="23"/>
  <c r="AR12" i="23"/>
  <c r="AM12" i="23"/>
  <c r="H12" i="23"/>
  <c r="G12" i="23"/>
  <c r="AI11" i="23"/>
  <c r="AF11" i="23"/>
  <c r="AE11" i="23"/>
  <c r="AA11" i="23"/>
  <c r="AY10" i="23"/>
  <c r="AU10" i="23"/>
  <c r="AQ10" i="23"/>
  <c r="AJ10" i="23"/>
  <c r="X10" i="23" s="1"/>
  <c r="W10" i="23"/>
  <c r="T10" i="23"/>
  <c r="S10" i="23"/>
  <c r="P10" i="23"/>
  <c r="O10" i="23"/>
  <c r="L10" i="23"/>
  <c r="K10" i="23"/>
  <c r="AZ9" i="23"/>
  <c r="AV9" i="23"/>
  <c r="AR9" i="23"/>
  <c r="AM9" i="23"/>
  <c r="AJ9" i="23"/>
  <c r="W9" i="23"/>
  <c r="H9" i="23"/>
  <c r="G9" i="23"/>
  <c r="AZ8" i="23"/>
  <c r="AV8" i="23"/>
  <c r="AR8" i="23"/>
  <c r="AM8" i="23"/>
  <c r="AJ8" i="23"/>
  <c r="W8" i="23"/>
  <c r="H8" i="23"/>
  <c r="G8" i="23"/>
  <c r="AZ7" i="23"/>
  <c r="AV7" i="23"/>
  <c r="AR7" i="23"/>
  <c r="AM7" i="23"/>
  <c r="AJ7" i="23"/>
  <c r="W7" i="23"/>
  <c r="H7" i="23"/>
  <c r="G7" i="23"/>
  <c r="AZ6" i="23"/>
  <c r="AV6" i="23"/>
  <c r="AR6" i="23"/>
  <c r="AM6" i="23"/>
  <c r="AJ6" i="23"/>
  <c r="W6" i="23"/>
  <c r="H6" i="23"/>
  <c r="G6" i="23"/>
  <c r="AZ5" i="23"/>
  <c r="AV5" i="23"/>
  <c r="AR5" i="23"/>
  <c r="AM5" i="23"/>
  <c r="AJ5" i="23"/>
  <c r="AB5" i="23"/>
  <c r="W5" i="23"/>
  <c r="H5" i="23"/>
  <c r="G5" i="23"/>
  <c r="AH1" i="36"/>
  <c r="Q1" i="36"/>
  <c r="J1" i="36"/>
  <c r="M185" i="88"/>
  <c r="L185" i="88"/>
  <c r="K185" i="88"/>
  <c r="J185" i="88"/>
  <c r="I185" i="88"/>
  <c r="H185" i="88"/>
  <c r="G185" i="88"/>
  <c r="F185" i="88"/>
  <c r="E185" i="88"/>
  <c r="D185" i="88"/>
  <c r="C185" i="88"/>
  <c r="B185" i="88"/>
  <c r="M184" i="88"/>
  <c r="L184" i="88"/>
  <c r="K184" i="88"/>
  <c r="J184" i="88"/>
  <c r="I184" i="88"/>
  <c r="H184" i="88"/>
  <c r="G184" i="88"/>
  <c r="F184" i="88"/>
  <c r="E184" i="88"/>
  <c r="D184" i="88"/>
  <c r="C184" i="88"/>
  <c r="B184" i="88"/>
  <c r="M183" i="88"/>
  <c r="L183" i="88"/>
  <c r="K183" i="88"/>
  <c r="J183" i="88"/>
  <c r="I183" i="88"/>
  <c r="H183" i="88"/>
  <c r="G183" i="88"/>
  <c r="F183" i="88"/>
  <c r="E183" i="88"/>
  <c r="D183" i="88"/>
  <c r="C183" i="88"/>
  <c r="B183" i="88"/>
  <c r="M180" i="88"/>
  <c r="L180" i="88"/>
  <c r="K180" i="88"/>
  <c r="J180" i="88"/>
  <c r="I180" i="88"/>
  <c r="H180" i="88"/>
  <c r="G180" i="88"/>
  <c r="F180" i="88"/>
  <c r="E180" i="88"/>
  <c r="D180" i="88"/>
  <c r="C180" i="88"/>
  <c r="B180" i="88"/>
  <c r="M179" i="88"/>
  <c r="L179" i="88"/>
  <c r="K179" i="88"/>
  <c r="J179" i="88"/>
  <c r="I179" i="88"/>
  <c r="H179" i="88"/>
  <c r="G179" i="88"/>
  <c r="F179" i="88"/>
  <c r="E179" i="88"/>
  <c r="D179" i="88"/>
  <c r="C179" i="88"/>
  <c r="B179" i="88"/>
  <c r="M178" i="88"/>
  <c r="L178" i="88"/>
  <c r="K178" i="88"/>
  <c r="J178" i="88"/>
  <c r="I178" i="88"/>
  <c r="H178" i="88"/>
  <c r="G178" i="88"/>
  <c r="F178" i="88"/>
  <c r="E178" i="88"/>
  <c r="D178" i="88"/>
  <c r="C178" i="88"/>
  <c r="B178" i="88"/>
  <c r="M177" i="88"/>
  <c r="L177" i="88"/>
  <c r="K177" i="88"/>
  <c r="J177" i="88"/>
  <c r="I177" i="88"/>
  <c r="H177" i="88"/>
  <c r="G177" i="88"/>
  <c r="F177" i="88"/>
  <c r="D177" i="88"/>
  <c r="C177" i="88"/>
  <c r="B177" i="88"/>
  <c r="M176" i="88"/>
  <c r="L176" i="88"/>
  <c r="K176" i="88"/>
  <c r="J176" i="88"/>
  <c r="I176" i="88"/>
  <c r="H176" i="88"/>
  <c r="G176" i="88"/>
  <c r="F176" i="88"/>
  <c r="D176" i="88"/>
  <c r="C176" i="88"/>
  <c r="B176" i="88"/>
  <c r="M175" i="88"/>
  <c r="L175" i="88"/>
  <c r="K175" i="88"/>
  <c r="J175" i="88"/>
  <c r="I175" i="88"/>
  <c r="H175" i="88"/>
  <c r="G175" i="88"/>
  <c r="F175" i="88"/>
  <c r="D175" i="88"/>
  <c r="C175" i="88"/>
  <c r="B175" i="88"/>
  <c r="M174" i="88"/>
  <c r="L174" i="88"/>
  <c r="K174" i="88"/>
  <c r="J174" i="88"/>
  <c r="I174" i="88"/>
  <c r="H174" i="88"/>
  <c r="G174" i="88"/>
  <c r="F174" i="88"/>
  <c r="E174" i="88"/>
  <c r="D174" i="88"/>
  <c r="C174" i="88"/>
  <c r="B174" i="88"/>
  <c r="C170" i="88"/>
  <c r="B170" i="88"/>
  <c r="O169" i="88"/>
  <c r="N169" i="88"/>
  <c r="M169" i="88"/>
  <c r="L169" i="88"/>
  <c r="I169" i="88"/>
  <c r="H169" i="88"/>
  <c r="K169" i="88" s="1"/>
  <c r="G169" i="88"/>
  <c r="J169" i="88" s="1"/>
  <c r="F169" i="88"/>
  <c r="E169" i="88"/>
  <c r="D169" i="88"/>
  <c r="O168" i="88"/>
  <c r="N168" i="88"/>
  <c r="M168" i="88"/>
  <c r="L168" i="88"/>
  <c r="I168" i="88"/>
  <c r="H168" i="88"/>
  <c r="K168" i="88" s="1"/>
  <c r="G168" i="88"/>
  <c r="J168" i="88" s="1"/>
  <c r="F168" i="88"/>
  <c r="D168" i="88"/>
  <c r="O167" i="88"/>
  <c r="N167" i="88"/>
  <c r="M167" i="88"/>
  <c r="L167" i="88"/>
  <c r="I167" i="88"/>
  <c r="H167" i="88"/>
  <c r="G167" i="88"/>
  <c r="F167" i="88"/>
  <c r="E167" i="88"/>
  <c r="D167" i="88"/>
  <c r="C165" i="88"/>
  <c r="B165" i="88"/>
  <c r="O164" i="88"/>
  <c r="N164" i="88"/>
  <c r="M164" i="88"/>
  <c r="L164" i="88"/>
  <c r="I164" i="88"/>
  <c r="H164" i="88"/>
  <c r="K164" i="88" s="1"/>
  <c r="G164" i="88"/>
  <c r="J164" i="88" s="1"/>
  <c r="F164" i="88"/>
  <c r="E164" i="88"/>
  <c r="D164" i="88"/>
  <c r="O163" i="88"/>
  <c r="N163" i="88"/>
  <c r="M163" i="88"/>
  <c r="L163" i="88"/>
  <c r="I163" i="88"/>
  <c r="H163" i="88"/>
  <c r="K163" i="88" s="1"/>
  <c r="G163" i="88"/>
  <c r="J163" i="88" s="1"/>
  <c r="F163" i="88"/>
  <c r="E163" i="88"/>
  <c r="D163" i="88"/>
  <c r="O162" i="88"/>
  <c r="N162" i="88"/>
  <c r="M162" i="88"/>
  <c r="L162" i="88"/>
  <c r="I162" i="88"/>
  <c r="H162" i="88"/>
  <c r="K162" i="88" s="1"/>
  <c r="G162" i="88"/>
  <c r="J162" i="88" s="1"/>
  <c r="F162" i="88"/>
  <c r="E162" i="88"/>
  <c r="D162" i="88"/>
  <c r="O161" i="88"/>
  <c r="N161" i="88"/>
  <c r="M161" i="88"/>
  <c r="L161" i="88"/>
  <c r="I161" i="88"/>
  <c r="H161" i="88"/>
  <c r="K161" i="88" s="1"/>
  <c r="G161" i="88"/>
  <c r="J161" i="88" s="1"/>
  <c r="F161" i="88"/>
  <c r="E161" i="88"/>
  <c r="D161" i="88"/>
  <c r="O160" i="88"/>
  <c r="N160" i="88"/>
  <c r="M160" i="88"/>
  <c r="L160" i="88"/>
  <c r="I160" i="88"/>
  <c r="H160" i="88"/>
  <c r="K160" i="88" s="1"/>
  <c r="G160" i="88"/>
  <c r="J160" i="88" s="1"/>
  <c r="F160" i="88"/>
  <c r="E160" i="88"/>
  <c r="D160" i="88"/>
  <c r="O159" i="88"/>
  <c r="N159" i="88"/>
  <c r="M159" i="88"/>
  <c r="L159" i="88"/>
  <c r="I159" i="88"/>
  <c r="H159" i="88"/>
  <c r="K159" i="88" s="1"/>
  <c r="G159" i="88"/>
  <c r="J159" i="88" s="1"/>
  <c r="F159" i="88"/>
  <c r="E159" i="88"/>
  <c r="D159" i="88"/>
  <c r="O158" i="88"/>
  <c r="N158" i="88"/>
  <c r="M158" i="88"/>
  <c r="L158" i="88"/>
  <c r="I158" i="88"/>
  <c r="H158" i="88"/>
  <c r="G158" i="88"/>
  <c r="J158" i="88" s="1"/>
  <c r="F158" i="88"/>
  <c r="D158" i="88"/>
  <c r="O157" i="88"/>
  <c r="N157" i="88"/>
  <c r="M157" i="88"/>
  <c r="L157" i="88"/>
  <c r="I157" i="88"/>
  <c r="H157" i="88"/>
  <c r="K157" i="88" s="1"/>
  <c r="G157" i="88"/>
  <c r="J157" i="88" s="1"/>
  <c r="F157" i="88"/>
  <c r="E157" i="88"/>
  <c r="D157" i="88"/>
  <c r="I152" i="88"/>
  <c r="H152" i="88"/>
  <c r="G152" i="88"/>
  <c r="F152" i="88"/>
  <c r="E152" i="88"/>
  <c r="D152" i="88"/>
  <c r="I151" i="88"/>
  <c r="H151" i="88"/>
  <c r="G151" i="88"/>
  <c r="F151" i="88"/>
  <c r="D151" i="88"/>
  <c r="P150" i="88"/>
  <c r="O150" i="88"/>
  <c r="N150" i="88"/>
  <c r="M150" i="88"/>
  <c r="L150" i="88"/>
  <c r="I150" i="88"/>
  <c r="H150" i="88"/>
  <c r="G150" i="88"/>
  <c r="F150" i="88"/>
  <c r="D150" i="88"/>
  <c r="P147" i="88"/>
  <c r="O147" i="88"/>
  <c r="N147" i="88"/>
  <c r="M147" i="88"/>
  <c r="L147" i="88"/>
  <c r="I147" i="88"/>
  <c r="H147" i="88"/>
  <c r="K147" i="88" s="1"/>
  <c r="G147" i="88"/>
  <c r="J147" i="88" s="1"/>
  <c r="F147" i="88"/>
  <c r="D147" i="88"/>
  <c r="P146" i="88"/>
  <c r="O146" i="88"/>
  <c r="N146" i="88"/>
  <c r="M146" i="88"/>
  <c r="L146" i="88"/>
  <c r="I146" i="88"/>
  <c r="H146" i="88"/>
  <c r="K146" i="88" s="1"/>
  <c r="G146" i="88"/>
  <c r="J146" i="88" s="1"/>
  <c r="F146" i="88"/>
  <c r="E146" i="88"/>
  <c r="D146" i="88"/>
  <c r="P145" i="88"/>
  <c r="O145" i="88"/>
  <c r="N145" i="88"/>
  <c r="M145" i="88"/>
  <c r="L145" i="88"/>
  <c r="I145" i="88"/>
  <c r="H145" i="88"/>
  <c r="G145" i="88"/>
  <c r="F145" i="88"/>
  <c r="D145" i="88"/>
  <c r="P144" i="88"/>
  <c r="O144" i="88"/>
  <c r="N144" i="88"/>
  <c r="M144" i="88"/>
  <c r="L144" i="88"/>
  <c r="I144" i="88"/>
  <c r="H144" i="88"/>
  <c r="G144" i="88"/>
  <c r="F144" i="88"/>
  <c r="D144" i="88"/>
  <c r="P143" i="88"/>
  <c r="P152" i="88" s="1"/>
  <c r="O143" i="88"/>
  <c r="O152" i="88" s="1"/>
  <c r="N143" i="88"/>
  <c r="N152" i="88" s="1"/>
  <c r="M143" i="88"/>
  <c r="M152" i="88" s="1"/>
  <c r="L143" i="88"/>
  <c r="L152" i="88" s="1"/>
  <c r="I143" i="88"/>
  <c r="H143" i="88"/>
  <c r="G143" i="88"/>
  <c r="F143" i="88"/>
  <c r="D143" i="88"/>
  <c r="P142" i="88"/>
  <c r="O142" i="88"/>
  <c r="N142" i="88"/>
  <c r="M142" i="88"/>
  <c r="L142" i="88"/>
  <c r="I142" i="88"/>
  <c r="H142" i="88"/>
  <c r="G142" i="88"/>
  <c r="F142" i="88"/>
  <c r="D142" i="88"/>
  <c r="P141" i="88"/>
  <c r="P151" i="88" s="1"/>
  <c r="O141" i="88"/>
  <c r="O151" i="88" s="1"/>
  <c r="N141" i="88"/>
  <c r="N151" i="88" s="1"/>
  <c r="M141" i="88"/>
  <c r="M151" i="88" s="1"/>
  <c r="L141" i="88"/>
  <c r="L151" i="88" s="1"/>
  <c r="I141" i="88"/>
  <c r="H141" i="88"/>
  <c r="G141" i="88"/>
  <c r="F141" i="88"/>
  <c r="D141" i="88"/>
  <c r="P140" i="88"/>
  <c r="O140" i="88"/>
  <c r="N140" i="88"/>
  <c r="M140" i="88"/>
  <c r="L140" i="88"/>
  <c r="I140" i="88"/>
  <c r="H140" i="88"/>
  <c r="G140" i="88"/>
  <c r="F140" i="88"/>
  <c r="D140" i="88"/>
  <c r="P135" i="88"/>
  <c r="O135" i="88"/>
  <c r="N135" i="88"/>
  <c r="M135" i="88"/>
  <c r="L135" i="88"/>
  <c r="I135" i="88"/>
  <c r="H135" i="88"/>
  <c r="G135" i="88"/>
  <c r="F135" i="88"/>
  <c r="E135" i="88"/>
  <c r="D135" i="88"/>
  <c r="P134" i="88"/>
  <c r="O134" i="88"/>
  <c r="N134" i="88"/>
  <c r="M134" i="88"/>
  <c r="L134" i="88"/>
  <c r="I134" i="88"/>
  <c r="H134" i="88"/>
  <c r="G134" i="88"/>
  <c r="F134" i="88"/>
  <c r="E134" i="88"/>
  <c r="D134" i="88"/>
  <c r="P133" i="88"/>
  <c r="O133" i="88"/>
  <c r="N133" i="88"/>
  <c r="M133" i="88"/>
  <c r="L133" i="88"/>
  <c r="I133" i="88"/>
  <c r="H133" i="88"/>
  <c r="G133" i="88"/>
  <c r="F133" i="88"/>
  <c r="D133" i="88"/>
  <c r="P130" i="88"/>
  <c r="O130" i="88"/>
  <c r="N130" i="88"/>
  <c r="M130" i="88"/>
  <c r="L130" i="88"/>
  <c r="I130" i="88"/>
  <c r="H130" i="88"/>
  <c r="K130" i="88" s="1"/>
  <c r="G130" i="88"/>
  <c r="J130" i="88" s="1"/>
  <c r="F130" i="88"/>
  <c r="E130" i="88"/>
  <c r="D130" i="88"/>
  <c r="P129" i="88"/>
  <c r="O129" i="88"/>
  <c r="N129" i="88"/>
  <c r="M129" i="88"/>
  <c r="L129" i="88"/>
  <c r="I129" i="88"/>
  <c r="H129" i="88"/>
  <c r="K129" i="88" s="1"/>
  <c r="G129" i="88"/>
  <c r="J129" i="88" s="1"/>
  <c r="F129" i="88"/>
  <c r="E129" i="88"/>
  <c r="D129" i="88"/>
  <c r="P128" i="88"/>
  <c r="O128" i="88"/>
  <c r="N128" i="88"/>
  <c r="M128" i="88"/>
  <c r="L128" i="88"/>
  <c r="I128" i="88"/>
  <c r="H128" i="88"/>
  <c r="G128" i="88"/>
  <c r="F128" i="88"/>
  <c r="D128" i="88"/>
  <c r="P127" i="88"/>
  <c r="O127" i="88"/>
  <c r="N127" i="88"/>
  <c r="M127" i="88"/>
  <c r="L127" i="88"/>
  <c r="I127" i="88"/>
  <c r="H127" i="88"/>
  <c r="G127" i="88"/>
  <c r="F127" i="88"/>
  <c r="E127" i="88"/>
  <c r="D127" i="88"/>
  <c r="P126" i="88"/>
  <c r="O126" i="88"/>
  <c r="N126" i="88"/>
  <c r="M126" i="88"/>
  <c r="L126" i="88"/>
  <c r="I126" i="88"/>
  <c r="H126" i="88"/>
  <c r="G126" i="88"/>
  <c r="F126" i="88"/>
  <c r="E126" i="88"/>
  <c r="D126" i="88"/>
  <c r="P125" i="88"/>
  <c r="O125" i="88"/>
  <c r="N125" i="88"/>
  <c r="M125" i="88"/>
  <c r="L125" i="88"/>
  <c r="I125" i="88"/>
  <c r="H125" i="88"/>
  <c r="G125" i="88"/>
  <c r="F125" i="88"/>
  <c r="E125" i="88"/>
  <c r="D125" i="88"/>
  <c r="P124" i="88"/>
  <c r="O124" i="88"/>
  <c r="N124" i="88"/>
  <c r="M124" i="88"/>
  <c r="L124" i="88"/>
  <c r="I124" i="88"/>
  <c r="H124" i="88"/>
  <c r="G124" i="88"/>
  <c r="F124" i="88"/>
  <c r="D124" i="88"/>
  <c r="P123" i="88"/>
  <c r="O123" i="88"/>
  <c r="N123" i="88"/>
  <c r="M123" i="88"/>
  <c r="L123" i="88"/>
  <c r="I123" i="88"/>
  <c r="H123" i="88"/>
  <c r="G123" i="88"/>
  <c r="F123" i="88"/>
  <c r="E123" i="88"/>
  <c r="D123" i="88"/>
  <c r="P118" i="88"/>
  <c r="O118" i="88"/>
  <c r="N118" i="88"/>
  <c r="M118" i="88"/>
  <c r="L118" i="88"/>
  <c r="I118" i="88"/>
  <c r="H118" i="88"/>
  <c r="G118" i="88"/>
  <c r="F118" i="88"/>
  <c r="E118" i="88"/>
  <c r="D118" i="88"/>
  <c r="P117" i="88"/>
  <c r="O117" i="88"/>
  <c r="N117" i="88"/>
  <c r="M117" i="88"/>
  <c r="L117" i="88"/>
  <c r="I117" i="88"/>
  <c r="H117" i="88"/>
  <c r="G117" i="88"/>
  <c r="F117" i="88"/>
  <c r="D117" i="88"/>
  <c r="P116" i="88"/>
  <c r="O116" i="88"/>
  <c r="N116" i="88"/>
  <c r="M116" i="88"/>
  <c r="L116" i="88"/>
  <c r="I116" i="88"/>
  <c r="H116" i="88"/>
  <c r="G116" i="88"/>
  <c r="F116" i="88"/>
  <c r="E116" i="88"/>
  <c r="D116" i="88"/>
  <c r="P113" i="88"/>
  <c r="O113" i="88"/>
  <c r="N113" i="88"/>
  <c r="M113" i="88"/>
  <c r="L113" i="88"/>
  <c r="I113" i="88"/>
  <c r="H113" i="88"/>
  <c r="K113" i="88" s="1"/>
  <c r="G113" i="88"/>
  <c r="J113" i="88" s="1"/>
  <c r="F113" i="88"/>
  <c r="E113" i="88"/>
  <c r="D113" i="88"/>
  <c r="P112" i="88"/>
  <c r="O112" i="88"/>
  <c r="N112" i="88"/>
  <c r="M112" i="88"/>
  <c r="L112" i="88"/>
  <c r="I112" i="88"/>
  <c r="H112" i="88"/>
  <c r="K112" i="88" s="1"/>
  <c r="G112" i="88"/>
  <c r="J112" i="88" s="1"/>
  <c r="F112" i="88"/>
  <c r="E112" i="88"/>
  <c r="D112" i="88"/>
  <c r="P111" i="88"/>
  <c r="O111" i="88"/>
  <c r="N111" i="88"/>
  <c r="M111" i="88"/>
  <c r="L111" i="88"/>
  <c r="I111" i="88"/>
  <c r="H111" i="88"/>
  <c r="G111" i="88"/>
  <c r="F111" i="88"/>
  <c r="E111" i="88"/>
  <c r="D111" i="88"/>
  <c r="P110" i="88"/>
  <c r="O110" i="88"/>
  <c r="N110" i="88"/>
  <c r="M110" i="88"/>
  <c r="L110" i="88"/>
  <c r="I110" i="88"/>
  <c r="H110" i="88"/>
  <c r="G110" i="88"/>
  <c r="F110" i="88"/>
  <c r="E110" i="88"/>
  <c r="D110" i="88"/>
  <c r="P109" i="88"/>
  <c r="O109" i="88"/>
  <c r="N109" i="88"/>
  <c r="M109" i="88"/>
  <c r="L109" i="88"/>
  <c r="I109" i="88"/>
  <c r="H109" i="88"/>
  <c r="G109" i="88"/>
  <c r="F109" i="88"/>
  <c r="E109" i="88"/>
  <c r="D109" i="88"/>
  <c r="P108" i="88"/>
  <c r="O108" i="88"/>
  <c r="N108" i="88"/>
  <c r="M108" i="88"/>
  <c r="L108" i="88"/>
  <c r="I108" i="88"/>
  <c r="H108" i="88"/>
  <c r="G108" i="88"/>
  <c r="F108" i="88"/>
  <c r="E108" i="88"/>
  <c r="D108" i="88"/>
  <c r="P107" i="88"/>
  <c r="O107" i="88"/>
  <c r="N107" i="88"/>
  <c r="M107" i="88"/>
  <c r="L107" i="88"/>
  <c r="I107" i="88"/>
  <c r="H107" i="88"/>
  <c r="G107" i="88"/>
  <c r="F107" i="88"/>
  <c r="E107" i="88"/>
  <c r="D107" i="88"/>
  <c r="P106" i="88"/>
  <c r="O106" i="88"/>
  <c r="N106" i="88"/>
  <c r="M106" i="88"/>
  <c r="L106" i="88"/>
  <c r="I106" i="88"/>
  <c r="H106" i="88"/>
  <c r="G106" i="88"/>
  <c r="F106" i="88"/>
  <c r="E106" i="88"/>
  <c r="D106" i="88"/>
  <c r="P101" i="88"/>
  <c r="O101" i="88"/>
  <c r="N101" i="88"/>
  <c r="M101" i="88"/>
  <c r="L101" i="88"/>
  <c r="I101" i="88"/>
  <c r="H101" i="88"/>
  <c r="G101" i="88"/>
  <c r="F101" i="88"/>
  <c r="E101" i="88"/>
  <c r="D101" i="88"/>
  <c r="P100" i="88"/>
  <c r="O100" i="88"/>
  <c r="N100" i="88"/>
  <c r="M100" i="88"/>
  <c r="L100" i="88"/>
  <c r="I100" i="88"/>
  <c r="H100" i="88"/>
  <c r="G100" i="88"/>
  <c r="F100" i="88"/>
  <c r="D100" i="88"/>
  <c r="P99" i="88"/>
  <c r="O99" i="88"/>
  <c r="N99" i="88"/>
  <c r="M99" i="88"/>
  <c r="L99" i="88"/>
  <c r="I99" i="88"/>
  <c r="H99" i="88"/>
  <c r="G99" i="88"/>
  <c r="F99" i="88"/>
  <c r="D99" i="88"/>
  <c r="P96" i="88"/>
  <c r="O96" i="88"/>
  <c r="N96" i="88"/>
  <c r="M96" i="88"/>
  <c r="L96" i="88"/>
  <c r="I96" i="88"/>
  <c r="H96" i="88"/>
  <c r="K96" i="88" s="1"/>
  <c r="G96" i="88"/>
  <c r="J96" i="88" s="1"/>
  <c r="F96" i="88"/>
  <c r="D96" i="88"/>
  <c r="P95" i="88"/>
  <c r="O95" i="88"/>
  <c r="N95" i="88"/>
  <c r="M95" i="88"/>
  <c r="L95" i="88"/>
  <c r="I95" i="88"/>
  <c r="H95" i="88"/>
  <c r="K95" i="88" s="1"/>
  <c r="G95" i="88"/>
  <c r="J95" i="88" s="1"/>
  <c r="F95" i="88"/>
  <c r="E95" i="88"/>
  <c r="D95" i="88"/>
  <c r="P94" i="88"/>
  <c r="O94" i="88"/>
  <c r="N94" i="88"/>
  <c r="M94" i="88"/>
  <c r="L94" i="88"/>
  <c r="I94" i="88"/>
  <c r="H94" i="88"/>
  <c r="G94" i="88"/>
  <c r="F94" i="88"/>
  <c r="D94" i="88"/>
  <c r="P93" i="88"/>
  <c r="O93" i="88"/>
  <c r="N93" i="88"/>
  <c r="M93" i="88"/>
  <c r="L93" i="88"/>
  <c r="I93" i="88"/>
  <c r="H93" i="88"/>
  <c r="G93" i="88"/>
  <c r="F93" i="88"/>
  <c r="D93" i="88"/>
  <c r="P92" i="88"/>
  <c r="O92" i="88"/>
  <c r="N92" i="88"/>
  <c r="M92" i="88"/>
  <c r="L92" i="88"/>
  <c r="I92" i="88"/>
  <c r="H92" i="88"/>
  <c r="G92" i="88"/>
  <c r="F92" i="88"/>
  <c r="D92" i="88"/>
  <c r="P91" i="88"/>
  <c r="O91" i="88"/>
  <c r="N91" i="88"/>
  <c r="M91" i="88"/>
  <c r="L91" i="88"/>
  <c r="I91" i="88"/>
  <c r="H91" i="88"/>
  <c r="G91" i="88"/>
  <c r="F91" i="88"/>
  <c r="D91" i="88"/>
  <c r="P90" i="88"/>
  <c r="O90" i="88"/>
  <c r="N90" i="88"/>
  <c r="M90" i="88"/>
  <c r="L90" i="88"/>
  <c r="I90" i="88"/>
  <c r="H90" i="88"/>
  <c r="G90" i="88"/>
  <c r="F90" i="88"/>
  <c r="D90" i="88"/>
  <c r="P89" i="88"/>
  <c r="O89" i="88"/>
  <c r="N89" i="88"/>
  <c r="M89" i="88"/>
  <c r="L89" i="88"/>
  <c r="I89" i="88"/>
  <c r="H89" i="88"/>
  <c r="G89" i="88"/>
  <c r="F89" i="88"/>
  <c r="D89" i="88"/>
  <c r="P84" i="88"/>
  <c r="O84" i="88"/>
  <c r="N84" i="88"/>
  <c r="M84" i="88"/>
  <c r="L84" i="88"/>
  <c r="I84" i="88"/>
  <c r="H84" i="88"/>
  <c r="G84" i="88"/>
  <c r="F84" i="88"/>
  <c r="E84" i="88"/>
  <c r="D84" i="88"/>
  <c r="P83" i="88"/>
  <c r="O83" i="88"/>
  <c r="N83" i="88"/>
  <c r="M83" i="88"/>
  <c r="L83" i="88"/>
  <c r="I83" i="88"/>
  <c r="H83" i="88"/>
  <c r="G83" i="88"/>
  <c r="F83" i="88"/>
  <c r="D83" i="88"/>
  <c r="P82" i="88"/>
  <c r="O82" i="88"/>
  <c r="N82" i="88"/>
  <c r="M82" i="88"/>
  <c r="L82" i="88"/>
  <c r="I82" i="88"/>
  <c r="H82" i="88"/>
  <c r="G82" i="88"/>
  <c r="F82" i="88"/>
  <c r="E82" i="88"/>
  <c r="D82" i="88"/>
  <c r="P79" i="88"/>
  <c r="O79" i="88"/>
  <c r="N79" i="88"/>
  <c r="M79" i="88"/>
  <c r="L79" i="88"/>
  <c r="I79" i="88"/>
  <c r="H79" i="88"/>
  <c r="K79" i="88" s="1"/>
  <c r="G79" i="88"/>
  <c r="J79" i="88" s="1"/>
  <c r="F79" i="88"/>
  <c r="E79" i="88"/>
  <c r="D79" i="88"/>
  <c r="P78" i="88"/>
  <c r="O78" i="88"/>
  <c r="N78" i="88"/>
  <c r="M78" i="88"/>
  <c r="L78" i="88"/>
  <c r="I78" i="88"/>
  <c r="H78" i="88"/>
  <c r="K78" i="88" s="1"/>
  <c r="G78" i="88"/>
  <c r="J78" i="88" s="1"/>
  <c r="F78" i="88"/>
  <c r="E78" i="88"/>
  <c r="D78" i="88"/>
  <c r="P77" i="88"/>
  <c r="O77" i="88"/>
  <c r="N77" i="88"/>
  <c r="M77" i="88"/>
  <c r="L77" i="88"/>
  <c r="I77" i="88"/>
  <c r="H77" i="88"/>
  <c r="G77" i="88"/>
  <c r="F77" i="88"/>
  <c r="E77" i="88"/>
  <c r="D77" i="88"/>
  <c r="P76" i="88"/>
  <c r="O76" i="88"/>
  <c r="N76" i="88"/>
  <c r="M76" i="88"/>
  <c r="L76" i="88"/>
  <c r="I76" i="88"/>
  <c r="H76" i="88"/>
  <c r="G76" i="88"/>
  <c r="F76" i="88"/>
  <c r="E76" i="88"/>
  <c r="D76" i="88"/>
  <c r="P75" i="88"/>
  <c r="O75" i="88"/>
  <c r="N75" i="88"/>
  <c r="M75" i="88"/>
  <c r="L75" i="88"/>
  <c r="I75" i="88"/>
  <c r="H75" i="88"/>
  <c r="G75" i="88"/>
  <c r="F75" i="88"/>
  <c r="E75" i="88"/>
  <c r="D75" i="88"/>
  <c r="P74" i="88"/>
  <c r="O74" i="88"/>
  <c r="N74" i="88"/>
  <c r="M74" i="88"/>
  <c r="L74" i="88"/>
  <c r="I74" i="88"/>
  <c r="H74" i="88"/>
  <c r="G74" i="88"/>
  <c r="F74" i="88"/>
  <c r="E74" i="88"/>
  <c r="D74" i="88"/>
  <c r="P73" i="88"/>
  <c r="O73" i="88"/>
  <c r="N73" i="88"/>
  <c r="M73" i="88"/>
  <c r="L73" i="88"/>
  <c r="I73" i="88"/>
  <c r="H73" i="88"/>
  <c r="G73" i="88"/>
  <c r="F73" i="88"/>
  <c r="D73" i="88"/>
  <c r="P72" i="88"/>
  <c r="O72" i="88"/>
  <c r="N72" i="88"/>
  <c r="M72" i="88"/>
  <c r="L72" i="88"/>
  <c r="I72" i="88"/>
  <c r="H72" i="88"/>
  <c r="G72" i="88"/>
  <c r="F72" i="88"/>
  <c r="E72" i="88"/>
  <c r="D72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E128" i="88" s="1"/>
  <c r="V29" i="88"/>
  <c r="E140" i="88" s="1"/>
  <c r="V28" i="88"/>
  <c r="V27" i="88"/>
  <c r="V26" i="88"/>
  <c r="V25" i="88"/>
  <c r="E117" i="88" s="1"/>
  <c r="V24" i="88"/>
  <c r="V23" i="88"/>
  <c r="V22" i="88"/>
  <c r="V21" i="88"/>
  <c r="V20" i="88"/>
  <c r="V19" i="88"/>
  <c r="V18" i="88"/>
  <c r="E83" i="88" s="1"/>
  <c r="V17" i="88"/>
  <c r="V16" i="88"/>
  <c r="V15" i="88"/>
  <c r="V14" i="88"/>
  <c r="V13" i="88"/>
  <c r="V12" i="88"/>
  <c r="E158" i="88" s="1"/>
  <c r="V11" i="88"/>
  <c r="V10" i="88"/>
  <c r="V9" i="88"/>
  <c r="V8" i="88"/>
  <c r="V7" i="88"/>
  <c r="V6" i="88"/>
  <c r="V5" i="88"/>
  <c r="J2" i="88"/>
  <c r="G2" i="88"/>
  <c r="C2" i="88"/>
  <c r="M178" i="87"/>
  <c r="L178" i="87"/>
  <c r="K178" i="87"/>
  <c r="J178" i="87"/>
  <c r="I178" i="87"/>
  <c r="H178" i="87"/>
  <c r="G178" i="87"/>
  <c r="F178" i="87"/>
  <c r="E178" i="87"/>
  <c r="D178" i="87"/>
  <c r="C178" i="87"/>
  <c r="B178" i="87"/>
  <c r="M177" i="87"/>
  <c r="L177" i="87"/>
  <c r="K177" i="87"/>
  <c r="J177" i="87"/>
  <c r="I177" i="87"/>
  <c r="H177" i="87"/>
  <c r="G177" i="87"/>
  <c r="F177" i="87"/>
  <c r="E177" i="87"/>
  <c r="D177" i="87"/>
  <c r="C177" i="87"/>
  <c r="B177" i="87"/>
  <c r="M176" i="87"/>
  <c r="L176" i="87"/>
  <c r="K176" i="87"/>
  <c r="J176" i="87"/>
  <c r="I176" i="87"/>
  <c r="H176" i="87"/>
  <c r="G176" i="87"/>
  <c r="F176" i="87"/>
  <c r="E176" i="87"/>
  <c r="D176" i="87"/>
  <c r="C176" i="87"/>
  <c r="B176" i="87"/>
  <c r="M173" i="87"/>
  <c r="L173" i="87"/>
  <c r="K173" i="87"/>
  <c r="J173" i="87"/>
  <c r="I173" i="87"/>
  <c r="H173" i="87"/>
  <c r="G173" i="87"/>
  <c r="F173" i="87"/>
  <c r="E173" i="87"/>
  <c r="D173" i="87"/>
  <c r="C173" i="87"/>
  <c r="B173" i="87"/>
  <c r="M172" i="87"/>
  <c r="L172" i="87"/>
  <c r="K172" i="87"/>
  <c r="J172" i="87"/>
  <c r="I172" i="87"/>
  <c r="H172" i="87"/>
  <c r="G172" i="87"/>
  <c r="F172" i="87"/>
  <c r="D172" i="87"/>
  <c r="C172" i="87"/>
  <c r="B172" i="87"/>
  <c r="M171" i="87"/>
  <c r="L171" i="87"/>
  <c r="K171" i="87"/>
  <c r="J171" i="87"/>
  <c r="I171" i="87"/>
  <c r="H171" i="87"/>
  <c r="G171" i="87"/>
  <c r="F171" i="87"/>
  <c r="D171" i="87"/>
  <c r="C171" i="87"/>
  <c r="B171" i="87"/>
  <c r="M170" i="87"/>
  <c r="L170" i="87"/>
  <c r="K170" i="87"/>
  <c r="J170" i="87"/>
  <c r="I170" i="87"/>
  <c r="H170" i="87"/>
  <c r="G170" i="87"/>
  <c r="F170" i="87"/>
  <c r="D170" i="87"/>
  <c r="C170" i="87"/>
  <c r="B170" i="87"/>
  <c r="M169" i="87"/>
  <c r="L169" i="87"/>
  <c r="K169" i="87"/>
  <c r="J169" i="87"/>
  <c r="I169" i="87"/>
  <c r="H169" i="87"/>
  <c r="G169" i="87"/>
  <c r="F169" i="87"/>
  <c r="E169" i="87"/>
  <c r="D169" i="87"/>
  <c r="C169" i="87"/>
  <c r="B169" i="87"/>
  <c r="M168" i="87"/>
  <c r="L168" i="87"/>
  <c r="K168" i="87"/>
  <c r="J168" i="87"/>
  <c r="I168" i="87"/>
  <c r="H168" i="87"/>
  <c r="G168" i="87"/>
  <c r="F168" i="87"/>
  <c r="E168" i="87"/>
  <c r="D168" i="87"/>
  <c r="C168" i="87"/>
  <c r="B168" i="87"/>
  <c r="C164" i="87"/>
  <c r="B164" i="87"/>
  <c r="O163" i="87"/>
  <c r="N163" i="87"/>
  <c r="M163" i="87"/>
  <c r="L163" i="87"/>
  <c r="I163" i="87"/>
  <c r="H163" i="87"/>
  <c r="K163" i="87" s="1"/>
  <c r="G163" i="87"/>
  <c r="J163" i="87" s="1"/>
  <c r="F163" i="87"/>
  <c r="E163" i="87"/>
  <c r="D163" i="87"/>
  <c r="O162" i="87"/>
  <c r="N162" i="87"/>
  <c r="M162" i="87"/>
  <c r="L162" i="87"/>
  <c r="I162" i="87"/>
  <c r="H162" i="87"/>
  <c r="K162" i="87" s="1"/>
  <c r="G162" i="87"/>
  <c r="J162" i="87" s="1"/>
  <c r="F162" i="87"/>
  <c r="E162" i="87"/>
  <c r="D162" i="87"/>
  <c r="O161" i="87"/>
  <c r="N161" i="87"/>
  <c r="M161" i="87"/>
  <c r="L161" i="87"/>
  <c r="I161" i="87"/>
  <c r="H161" i="87"/>
  <c r="G161" i="87"/>
  <c r="F161" i="87"/>
  <c r="E161" i="87"/>
  <c r="D161" i="87"/>
  <c r="C159" i="87"/>
  <c r="B159" i="87"/>
  <c r="O158" i="87"/>
  <c r="N158" i="87"/>
  <c r="M158" i="87"/>
  <c r="L158" i="87"/>
  <c r="I158" i="87"/>
  <c r="H158" i="87"/>
  <c r="K158" i="87" s="1"/>
  <c r="G158" i="87"/>
  <c r="J158" i="87" s="1"/>
  <c r="F158" i="87"/>
  <c r="E158" i="87"/>
  <c r="D158" i="87"/>
  <c r="O157" i="87"/>
  <c r="N157" i="87"/>
  <c r="M157" i="87"/>
  <c r="L157" i="87"/>
  <c r="I157" i="87"/>
  <c r="H157" i="87"/>
  <c r="K157" i="87" s="1"/>
  <c r="G157" i="87"/>
  <c r="J157" i="87" s="1"/>
  <c r="F157" i="87"/>
  <c r="E157" i="87"/>
  <c r="D157" i="87"/>
  <c r="O156" i="87"/>
  <c r="N156" i="87"/>
  <c r="M156" i="87"/>
  <c r="L156" i="87"/>
  <c r="I156" i="87"/>
  <c r="H156" i="87"/>
  <c r="K156" i="87" s="1"/>
  <c r="G156" i="87"/>
  <c r="J156" i="87" s="1"/>
  <c r="F156" i="87"/>
  <c r="E156" i="87"/>
  <c r="D156" i="87"/>
  <c r="O155" i="87"/>
  <c r="N155" i="87"/>
  <c r="M155" i="87"/>
  <c r="L155" i="87"/>
  <c r="I155" i="87"/>
  <c r="H155" i="87"/>
  <c r="K155" i="87" s="1"/>
  <c r="G155" i="87"/>
  <c r="J155" i="87" s="1"/>
  <c r="F155" i="87"/>
  <c r="E155" i="87"/>
  <c r="D155" i="87"/>
  <c r="O154" i="87"/>
  <c r="N154" i="87"/>
  <c r="M154" i="87"/>
  <c r="L154" i="87"/>
  <c r="I154" i="87"/>
  <c r="H154" i="87"/>
  <c r="K154" i="87" s="1"/>
  <c r="G154" i="87"/>
  <c r="J154" i="87" s="1"/>
  <c r="F154" i="87"/>
  <c r="E154" i="87"/>
  <c r="D154" i="87"/>
  <c r="O153" i="87"/>
  <c r="N153" i="87"/>
  <c r="M153" i="87"/>
  <c r="L153" i="87"/>
  <c r="I153" i="87"/>
  <c r="H153" i="87"/>
  <c r="K153" i="87" s="1"/>
  <c r="G153" i="87"/>
  <c r="J153" i="87" s="1"/>
  <c r="F153" i="87"/>
  <c r="E153" i="87"/>
  <c r="D153" i="87"/>
  <c r="O152" i="87"/>
  <c r="N152" i="87"/>
  <c r="M152" i="87"/>
  <c r="L152" i="87"/>
  <c r="I152" i="87"/>
  <c r="H152" i="87"/>
  <c r="K152" i="87" s="1"/>
  <c r="G152" i="87"/>
  <c r="F152" i="87"/>
  <c r="E152" i="87"/>
  <c r="D152" i="87"/>
  <c r="I147" i="87"/>
  <c r="H147" i="87"/>
  <c r="G147" i="87"/>
  <c r="F147" i="87"/>
  <c r="E147" i="87"/>
  <c r="D147" i="87"/>
  <c r="I146" i="87"/>
  <c r="H146" i="87"/>
  <c r="G146" i="87"/>
  <c r="F146" i="87"/>
  <c r="D146" i="87"/>
  <c r="P145" i="87"/>
  <c r="O145" i="87"/>
  <c r="N145" i="87"/>
  <c r="M145" i="87"/>
  <c r="L145" i="87"/>
  <c r="I145" i="87"/>
  <c r="H145" i="87"/>
  <c r="G145" i="87"/>
  <c r="F145" i="87"/>
  <c r="D145" i="87"/>
  <c r="P142" i="87"/>
  <c r="O142" i="87"/>
  <c r="N142" i="87"/>
  <c r="M142" i="87"/>
  <c r="L142" i="87"/>
  <c r="I142" i="87"/>
  <c r="H142" i="87"/>
  <c r="K142" i="87" s="1"/>
  <c r="G142" i="87"/>
  <c r="J142" i="87" s="1"/>
  <c r="F142" i="87"/>
  <c r="D142" i="87"/>
  <c r="P141" i="87"/>
  <c r="O141" i="87"/>
  <c r="N141" i="87"/>
  <c r="M141" i="87"/>
  <c r="L141" i="87"/>
  <c r="I141" i="87"/>
  <c r="H141" i="87"/>
  <c r="K141" i="87" s="1"/>
  <c r="G141" i="87"/>
  <c r="J141" i="87" s="1"/>
  <c r="F141" i="87"/>
  <c r="E141" i="87"/>
  <c r="D141" i="87"/>
  <c r="P140" i="87"/>
  <c r="O140" i="87"/>
  <c r="N140" i="87"/>
  <c r="M140" i="87"/>
  <c r="L140" i="87"/>
  <c r="I140" i="87"/>
  <c r="H140" i="87"/>
  <c r="G140" i="87"/>
  <c r="F140" i="87"/>
  <c r="D140" i="87"/>
  <c r="P139" i="87"/>
  <c r="P147" i="87" s="1"/>
  <c r="O139" i="87"/>
  <c r="O147" i="87" s="1"/>
  <c r="N139" i="87"/>
  <c r="N147" i="87" s="1"/>
  <c r="M139" i="87"/>
  <c r="M147" i="87" s="1"/>
  <c r="L139" i="87"/>
  <c r="L147" i="87" s="1"/>
  <c r="I139" i="87"/>
  <c r="H139" i="87"/>
  <c r="G139" i="87"/>
  <c r="F139" i="87"/>
  <c r="D139" i="87"/>
  <c r="P138" i="87"/>
  <c r="O138" i="87"/>
  <c r="N138" i="87"/>
  <c r="M138" i="87"/>
  <c r="L138" i="87"/>
  <c r="I138" i="87"/>
  <c r="H138" i="87"/>
  <c r="G138" i="87"/>
  <c r="F138" i="87"/>
  <c r="D138" i="87"/>
  <c r="P137" i="87"/>
  <c r="P146" i="87" s="1"/>
  <c r="O137" i="87"/>
  <c r="O146" i="87" s="1"/>
  <c r="N137" i="87"/>
  <c r="N146" i="87" s="1"/>
  <c r="M137" i="87"/>
  <c r="M146" i="87" s="1"/>
  <c r="L137" i="87"/>
  <c r="L146" i="87" s="1"/>
  <c r="I137" i="87"/>
  <c r="H137" i="87"/>
  <c r="G137" i="87"/>
  <c r="F137" i="87"/>
  <c r="D137" i="87"/>
  <c r="P136" i="87"/>
  <c r="O136" i="87"/>
  <c r="N136" i="87"/>
  <c r="M136" i="87"/>
  <c r="L136" i="87"/>
  <c r="I136" i="87"/>
  <c r="H136" i="87"/>
  <c r="G136" i="87"/>
  <c r="F136" i="87"/>
  <c r="D136" i="87"/>
  <c r="P131" i="87"/>
  <c r="O131" i="87"/>
  <c r="N131" i="87"/>
  <c r="M131" i="87"/>
  <c r="L131" i="87"/>
  <c r="I131" i="87"/>
  <c r="H131" i="87"/>
  <c r="G131" i="87"/>
  <c r="F131" i="87"/>
  <c r="E131" i="87"/>
  <c r="D131" i="87"/>
  <c r="P130" i="87"/>
  <c r="O130" i="87"/>
  <c r="N130" i="87"/>
  <c r="M130" i="87"/>
  <c r="L130" i="87"/>
  <c r="I130" i="87"/>
  <c r="H130" i="87"/>
  <c r="G130" i="87"/>
  <c r="F130" i="87"/>
  <c r="D130" i="87"/>
  <c r="P129" i="87"/>
  <c r="O129" i="87"/>
  <c r="N129" i="87"/>
  <c r="M129" i="87"/>
  <c r="L129" i="87"/>
  <c r="I129" i="87"/>
  <c r="H129" i="87"/>
  <c r="G129" i="87"/>
  <c r="F129" i="87"/>
  <c r="D129" i="87"/>
  <c r="P126" i="87"/>
  <c r="O126" i="87"/>
  <c r="N126" i="87"/>
  <c r="M126" i="87"/>
  <c r="L126" i="87"/>
  <c r="I126" i="87"/>
  <c r="H126" i="87"/>
  <c r="K126" i="87" s="1"/>
  <c r="G126" i="87"/>
  <c r="J126" i="87" s="1"/>
  <c r="F126" i="87"/>
  <c r="D126" i="87"/>
  <c r="P125" i="87"/>
  <c r="O125" i="87"/>
  <c r="N125" i="87"/>
  <c r="M125" i="87"/>
  <c r="L125" i="87"/>
  <c r="I125" i="87"/>
  <c r="H125" i="87"/>
  <c r="K125" i="87" s="1"/>
  <c r="G125" i="87"/>
  <c r="J125" i="87" s="1"/>
  <c r="F125" i="87"/>
  <c r="E125" i="87"/>
  <c r="D125" i="87"/>
  <c r="P124" i="87"/>
  <c r="O124" i="87"/>
  <c r="N124" i="87"/>
  <c r="M124" i="87"/>
  <c r="L124" i="87"/>
  <c r="I124" i="87"/>
  <c r="H124" i="87"/>
  <c r="G124" i="87"/>
  <c r="F124" i="87"/>
  <c r="D124" i="87"/>
  <c r="P123" i="87"/>
  <c r="O123" i="87"/>
  <c r="N123" i="87"/>
  <c r="M123" i="87"/>
  <c r="L123" i="87"/>
  <c r="I123" i="87"/>
  <c r="H123" i="87"/>
  <c r="G123" i="87"/>
  <c r="F123" i="87"/>
  <c r="D123" i="87"/>
  <c r="P122" i="87"/>
  <c r="O122" i="87"/>
  <c r="N122" i="87"/>
  <c r="M122" i="87"/>
  <c r="L122" i="87"/>
  <c r="I122" i="87"/>
  <c r="H122" i="87"/>
  <c r="G122" i="87"/>
  <c r="F122" i="87"/>
  <c r="E122" i="87"/>
  <c r="D122" i="87"/>
  <c r="P121" i="87"/>
  <c r="O121" i="87"/>
  <c r="N121" i="87"/>
  <c r="M121" i="87"/>
  <c r="L121" i="87"/>
  <c r="I121" i="87"/>
  <c r="H121" i="87"/>
  <c r="G121" i="87"/>
  <c r="F121" i="87"/>
  <c r="E121" i="87"/>
  <c r="D121" i="87"/>
  <c r="P120" i="87"/>
  <c r="O120" i="87"/>
  <c r="N120" i="87"/>
  <c r="M120" i="87"/>
  <c r="L120" i="87"/>
  <c r="I120" i="87"/>
  <c r="H120" i="87"/>
  <c r="G120" i="87"/>
  <c r="F120" i="87"/>
  <c r="D120" i="87"/>
  <c r="P115" i="87"/>
  <c r="O115" i="87"/>
  <c r="N115" i="87"/>
  <c r="M115" i="87"/>
  <c r="L115" i="87"/>
  <c r="I115" i="87"/>
  <c r="H115" i="87"/>
  <c r="G115" i="87"/>
  <c r="F115" i="87"/>
  <c r="E115" i="87"/>
  <c r="D115" i="87"/>
  <c r="P114" i="87"/>
  <c r="O114" i="87"/>
  <c r="N114" i="87"/>
  <c r="M114" i="87"/>
  <c r="L114" i="87"/>
  <c r="I114" i="87"/>
  <c r="H114" i="87"/>
  <c r="G114" i="87"/>
  <c r="F114" i="87"/>
  <c r="D114" i="87"/>
  <c r="P113" i="87"/>
  <c r="O113" i="87"/>
  <c r="N113" i="87"/>
  <c r="M113" i="87"/>
  <c r="L113" i="87"/>
  <c r="I113" i="87"/>
  <c r="H113" i="87"/>
  <c r="G113" i="87"/>
  <c r="F113" i="87"/>
  <c r="D113" i="87"/>
  <c r="P110" i="87"/>
  <c r="O110" i="87"/>
  <c r="N110" i="87"/>
  <c r="M110" i="87"/>
  <c r="L110" i="87"/>
  <c r="I110" i="87"/>
  <c r="H110" i="87"/>
  <c r="K110" i="87" s="1"/>
  <c r="G110" i="87"/>
  <c r="J110" i="87" s="1"/>
  <c r="F110" i="87"/>
  <c r="E110" i="87"/>
  <c r="D110" i="87"/>
  <c r="P109" i="87"/>
  <c r="O109" i="87"/>
  <c r="N109" i="87"/>
  <c r="M109" i="87"/>
  <c r="L109" i="87"/>
  <c r="I109" i="87"/>
  <c r="H109" i="87"/>
  <c r="K109" i="87" s="1"/>
  <c r="G109" i="87"/>
  <c r="J109" i="87" s="1"/>
  <c r="F109" i="87"/>
  <c r="E109" i="87"/>
  <c r="D109" i="87"/>
  <c r="P108" i="87"/>
  <c r="O108" i="87"/>
  <c r="N108" i="87"/>
  <c r="M108" i="87"/>
  <c r="L108" i="87"/>
  <c r="I108" i="87"/>
  <c r="H108" i="87"/>
  <c r="G108" i="87"/>
  <c r="F108" i="87"/>
  <c r="E108" i="87"/>
  <c r="D108" i="87"/>
  <c r="P107" i="87"/>
  <c r="O107" i="87"/>
  <c r="N107" i="87"/>
  <c r="M107" i="87"/>
  <c r="L107" i="87"/>
  <c r="I107" i="87"/>
  <c r="H107" i="87"/>
  <c r="G107" i="87"/>
  <c r="F107" i="87"/>
  <c r="E107" i="87"/>
  <c r="D107" i="87"/>
  <c r="P106" i="87"/>
  <c r="O106" i="87"/>
  <c r="N106" i="87"/>
  <c r="M106" i="87"/>
  <c r="L106" i="87"/>
  <c r="I106" i="87"/>
  <c r="H106" i="87"/>
  <c r="G106" i="87"/>
  <c r="F106" i="87"/>
  <c r="E106" i="87"/>
  <c r="D106" i="87"/>
  <c r="P105" i="87"/>
  <c r="O105" i="87"/>
  <c r="N105" i="87"/>
  <c r="M105" i="87"/>
  <c r="L105" i="87"/>
  <c r="I105" i="87"/>
  <c r="H105" i="87"/>
  <c r="G105" i="87"/>
  <c r="F105" i="87"/>
  <c r="D105" i="87"/>
  <c r="P104" i="87"/>
  <c r="O104" i="87"/>
  <c r="N104" i="87"/>
  <c r="M104" i="87"/>
  <c r="L104" i="87"/>
  <c r="I104" i="87"/>
  <c r="H104" i="87"/>
  <c r="G104" i="87"/>
  <c r="F104" i="87"/>
  <c r="D104" i="87"/>
  <c r="P99" i="87"/>
  <c r="O99" i="87"/>
  <c r="N99" i="87"/>
  <c r="M99" i="87"/>
  <c r="L99" i="87"/>
  <c r="I99" i="87"/>
  <c r="H99" i="87"/>
  <c r="G99" i="87"/>
  <c r="F99" i="87"/>
  <c r="E99" i="87"/>
  <c r="D99" i="87"/>
  <c r="P98" i="87"/>
  <c r="O98" i="87"/>
  <c r="N98" i="87"/>
  <c r="M98" i="87"/>
  <c r="L98" i="87"/>
  <c r="I98" i="87"/>
  <c r="H98" i="87"/>
  <c r="G98" i="87"/>
  <c r="F98" i="87"/>
  <c r="D98" i="87"/>
  <c r="P97" i="87"/>
  <c r="O97" i="87"/>
  <c r="N97" i="87"/>
  <c r="M97" i="87"/>
  <c r="L97" i="87"/>
  <c r="I97" i="87"/>
  <c r="H97" i="87"/>
  <c r="G97" i="87"/>
  <c r="F97" i="87"/>
  <c r="D97" i="87"/>
  <c r="P94" i="87"/>
  <c r="O94" i="87"/>
  <c r="N94" i="87"/>
  <c r="M94" i="87"/>
  <c r="L94" i="87"/>
  <c r="I94" i="87"/>
  <c r="H94" i="87"/>
  <c r="K94" i="87" s="1"/>
  <c r="G94" i="87"/>
  <c r="J94" i="87" s="1"/>
  <c r="F94" i="87"/>
  <c r="D94" i="87"/>
  <c r="P93" i="87"/>
  <c r="O93" i="87"/>
  <c r="N93" i="87"/>
  <c r="M93" i="87"/>
  <c r="L93" i="87"/>
  <c r="I93" i="87"/>
  <c r="H93" i="87"/>
  <c r="K93" i="87" s="1"/>
  <c r="G93" i="87"/>
  <c r="J93" i="87" s="1"/>
  <c r="F93" i="87"/>
  <c r="E93" i="87"/>
  <c r="D93" i="87"/>
  <c r="P92" i="87"/>
  <c r="O92" i="87"/>
  <c r="N92" i="87"/>
  <c r="M92" i="87"/>
  <c r="L92" i="87"/>
  <c r="I92" i="87"/>
  <c r="H92" i="87"/>
  <c r="G92" i="87"/>
  <c r="F92" i="87"/>
  <c r="D92" i="87"/>
  <c r="P91" i="87"/>
  <c r="O91" i="87"/>
  <c r="N91" i="87"/>
  <c r="M91" i="87"/>
  <c r="L91" i="87"/>
  <c r="I91" i="87"/>
  <c r="H91" i="87"/>
  <c r="G91" i="87"/>
  <c r="F91" i="87"/>
  <c r="D91" i="87"/>
  <c r="P90" i="87"/>
  <c r="O90" i="87"/>
  <c r="N90" i="87"/>
  <c r="M90" i="87"/>
  <c r="L90" i="87"/>
  <c r="I90" i="87"/>
  <c r="H90" i="87"/>
  <c r="G90" i="87"/>
  <c r="F90" i="87"/>
  <c r="D90" i="87"/>
  <c r="P89" i="87"/>
  <c r="O89" i="87"/>
  <c r="N89" i="87"/>
  <c r="M89" i="87"/>
  <c r="L89" i="87"/>
  <c r="I89" i="87"/>
  <c r="H89" i="87"/>
  <c r="G89" i="87"/>
  <c r="F89" i="87"/>
  <c r="E89" i="87"/>
  <c r="D89" i="87"/>
  <c r="P88" i="87"/>
  <c r="O88" i="87"/>
  <c r="N88" i="87"/>
  <c r="M88" i="87"/>
  <c r="L88" i="87"/>
  <c r="I88" i="87"/>
  <c r="H88" i="87"/>
  <c r="G88" i="87"/>
  <c r="F88" i="87"/>
  <c r="D88" i="87"/>
  <c r="P83" i="87"/>
  <c r="O83" i="87"/>
  <c r="N83" i="87"/>
  <c r="M83" i="87"/>
  <c r="L83" i="87"/>
  <c r="I83" i="87"/>
  <c r="H83" i="87"/>
  <c r="G83" i="87"/>
  <c r="F83" i="87"/>
  <c r="E83" i="87"/>
  <c r="D83" i="87"/>
  <c r="P82" i="87"/>
  <c r="O82" i="87"/>
  <c r="N82" i="87"/>
  <c r="M82" i="87"/>
  <c r="L82" i="87"/>
  <c r="I82" i="87"/>
  <c r="H82" i="87"/>
  <c r="G82" i="87"/>
  <c r="F82" i="87"/>
  <c r="E82" i="87"/>
  <c r="D82" i="87"/>
  <c r="P81" i="87"/>
  <c r="O81" i="87"/>
  <c r="N81" i="87"/>
  <c r="M81" i="87"/>
  <c r="L81" i="87"/>
  <c r="I81" i="87"/>
  <c r="H81" i="87"/>
  <c r="G81" i="87"/>
  <c r="F81" i="87"/>
  <c r="E81" i="87"/>
  <c r="D81" i="87"/>
  <c r="P78" i="87"/>
  <c r="O78" i="87"/>
  <c r="N78" i="87"/>
  <c r="M78" i="87"/>
  <c r="L78" i="87"/>
  <c r="I78" i="87"/>
  <c r="H78" i="87"/>
  <c r="K78" i="87" s="1"/>
  <c r="G78" i="87"/>
  <c r="J78" i="87" s="1"/>
  <c r="F78" i="87"/>
  <c r="E78" i="87"/>
  <c r="D78" i="87"/>
  <c r="P77" i="87"/>
  <c r="O77" i="87"/>
  <c r="N77" i="87"/>
  <c r="M77" i="87"/>
  <c r="L77" i="87"/>
  <c r="I77" i="87"/>
  <c r="H77" i="87"/>
  <c r="K77" i="87" s="1"/>
  <c r="G77" i="87"/>
  <c r="J77" i="87" s="1"/>
  <c r="F77" i="87"/>
  <c r="E77" i="87"/>
  <c r="D77" i="87"/>
  <c r="P76" i="87"/>
  <c r="O76" i="87"/>
  <c r="N76" i="87"/>
  <c r="M76" i="87"/>
  <c r="L76" i="87"/>
  <c r="I76" i="87"/>
  <c r="H76" i="87"/>
  <c r="G76" i="87"/>
  <c r="F76" i="87"/>
  <c r="E76" i="87"/>
  <c r="D76" i="87"/>
  <c r="P75" i="87"/>
  <c r="O75" i="87"/>
  <c r="N75" i="87"/>
  <c r="M75" i="87"/>
  <c r="L75" i="87"/>
  <c r="I75" i="87"/>
  <c r="H75" i="87"/>
  <c r="G75" i="87"/>
  <c r="F75" i="87"/>
  <c r="E75" i="87"/>
  <c r="D75" i="87"/>
  <c r="P74" i="87"/>
  <c r="O74" i="87"/>
  <c r="N74" i="87"/>
  <c r="M74" i="87"/>
  <c r="L74" i="87"/>
  <c r="I74" i="87"/>
  <c r="H74" i="87"/>
  <c r="G74" i="87"/>
  <c r="F74" i="87"/>
  <c r="E74" i="87"/>
  <c r="D74" i="87"/>
  <c r="P73" i="87"/>
  <c r="O73" i="87"/>
  <c r="N73" i="87"/>
  <c r="M73" i="87"/>
  <c r="L73" i="87"/>
  <c r="I73" i="87"/>
  <c r="H73" i="87"/>
  <c r="G73" i="87"/>
  <c r="F73" i="87"/>
  <c r="E73" i="87"/>
  <c r="D73" i="87"/>
  <c r="P72" i="87"/>
  <c r="O72" i="87"/>
  <c r="N72" i="87"/>
  <c r="M72" i="87"/>
  <c r="L72" i="87"/>
  <c r="I72" i="87"/>
  <c r="H72" i="87"/>
  <c r="G72" i="87"/>
  <c r="F72" i="87"/>
  <c r="E72" i="87"/>
  <c r="D72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E124" i="87" s="1"/>
  <c r="V20" i="87"/>
  <c r="V19" i="87"/>
  <c r="V18" i="87"/>
  <c r="V17" i="87"/>
  <c r="V16" i="87"/>
  <c r="V15" i="87"/>
  <c r="V14" i="87"/>
  <c r="V13" i="87"/>
  <c r="V12" i="87"/>
  <c r="V11" i="87"/>
  <c r="E88" i="87" s="1"/>
  <c r="V10" i="87"/>
  <c r="E120" i="87" s="1"/>
  <c r="V9" i="87"/>
  <c r="V8" i="87"/>
  <c r="V7" i="87"/>
  <c r="V6" i="87"/>
  <c r="V5" i="87"/>
  <c r="V4" i="87"/>
  <c r="J2" i="87"/>
  <c r="G2" i="87"/>
  <c r="C2" i="87"/>
  <c r="M178" i="85"/>
  <c r="L178" i="85"/>
  <c r="K178" i="85"/>
  <c r="J178" i="85"/>
  <c r="I178" i="85"/>
  <c r="H178" i="85"/>
  <c r="G178" i="85"/>
  <c r="F178" i="85"/>
  <c r="E178" i="85"/>
  <c r="D178" i="85"/>
  <c r="C178" i="85"/>
  <c r="B178" i="85"/>
  <c r="M177" i="85"/>
  <c r="L177" i="85"/>
  <c r="K177" i="85"/>
  <c r="J177" i="85"/>
  <c r="I177" i="85"/>
  <c r="H177" i="85"/>
  <c r="G177" i="85"/>
  <c r="F177" i="85"/>
  <c r="E177" i="85"/>
  <c r="D177" i="85"/>
  <c r="C177" i="85"/>
  <c r="B177" i="85"/>
  <c r="M176" i="85"/>
  <c r="L176" i="85"/>
  <c r="K176" i="85"/>
  <c r="J176" i="85"/>
  <c r="I176" i="85"/>
  <c r="H176" i="85"/>
  <c r="G176" i="85"/>
  <c r="F176" i="85"/>
  <c r="E176" i="85"/>
  <c r="D176" i="85"/>
  <c r="C176" i="85"/>
  <c r="B176" i="85"/>
  <c r="M173" i="85"/>
  <c r="L173" i="85"/>
  <c r="K173" i="85"/>
  <c r="J173" i="85"/>
  <c r="I173" i="85"/>
  <c r="H173" i="85"/>
  <c r="G173" i="85"/>
  <c r="F173" i="85"/>
  <c r="E173" i="85"/>
  <c r="D173" i="85"/>
  <c r="C173" i="85"/>
  <c r="B173" i="85"/>
  <c r="M172" i="85"/>
  <c r="L172" i="85"/>
  <c r="K172" i="85"/>
  <c r="J172" i="85"/>
  <c r="I172" i="85"/>
  <c r="H172" i="85"/>
  <c r="G172" i="85"/>
  <c r="F172" i="85"/>
  <c r="E172" i="85"/>
  <c r="D172" i="85"/>
  <c r="C172" i="85"/>
  <c r="B172" i="85"/>
  <c r="M171" i="85"/>
  <c r="L171" i="85"/>
  <c r="K171" i="85"/>
  <c r="J171" i="85"/>
  <c r="I171" i="85"/>
  <c r="H171" i="85"/>
  <c r="G171" i="85"/>
  <c r="F171" i="85"/>
  <c r="D171" i="85"/>
  <c r="C171" i="85"/>
  <c r="B171" i="85"/>
  <c r="M170" i="85"/>
  <c r="L170" i="85"/>
  <c r="K170" i="85"/>
  <c r="J170" i="85"/>
  <c r="I170" i="85"/>
  <c r="H170" i="85"/>
  <c r="G170" i="85"/>
  <c r="F170" i="85"/>
  <c r="E170" i="85"/>
  <c r="D170" i="85"/>
  <c r="C170" i="85"/>
  <c r="B170" i="85"/>
  <c r="M169" i="85"/>
  <c r="L169" i="85"/>
  <c r="K169" i="85"/>
  <c r="J169" i="85"/>
  <c r="I169" i="85"/>
  <c r="H169" i="85"/>
  <c r="G169" i="85"/>
  <c r="F169" i="85"/>
  <c r="E169" i="85"/>
  <c r="D169" i="85"/>
  <c r="C169" i="85"/>
  <c r="B169" i="85"/>
  <c r="M168" i="85"/>
  <c r="L168" i="85"/>
  <c r="K168" i="85"/>
  <c r="J168" i="85"/>
  <c r="I168" i="85"/>
  <c r="H168" i="85"/>
  <c r="G168" i="85"/>
  <c r="F168" i="85"/>
  <c r="D168" i="85"/>
  <c r="C168" i="85"/>
  <c r="B168" i="85"/>
  <c r="C164" i="85"/>
  <c r="B164" i="85"/>
  <c r="O163" i="85"/>
  <c r="N163" i="85"/>
  <c r="M163" i="85"/>
  <c r="L163" i="85"/>
  <c r="I163" i="85"/>
  <c r="H163" i="85"/>
  <c r="K163" i="85" s="1"/>
  <c r="G163" i="85"/>
  <c r="J163" i="85" s="1"/>
  <c r="F163" i="85"/>
  <c r="E163" i="85"/>
  <c r="D163" i="85"/>
  <c r="O162" i="85"/>
  <c r="N162" i="85"/>
  <c r="M162" i="85"/>
  <c r="L162" i="85"/>
  <c r="I162" i="85"/>
  <c r="H162" i="85"/>
  <c r="K162" i="85" s="1"/>
  <c r="G162" i="85"/>
  <c r="J162" i="85" s="1"/>
  <c r="F162" i="85"/>
  <c r="E162" i="85"/>
  <c r="D162" i="85"/>
  <c r="O161" i="85"/>
  <c r="N161" i="85"/>
  <c r="M161" i="85"/>
  <c r="L161" i="85"/>
  <c r="I161" i="85"/>
  <c r="H161" i="85"/>
  <c r="G161" i="85"/>
  <c r="F161" i="85"/>
  <c r="E161" i="85"/>
  <c r="D161" i="85"/>
  <c r="C159" i="85"/>
  <c r="B159" i="85"/>
  <c r="O158" i="85"/>
  <c r="N158" i="85"/>
  <c r="M158" i="85"/>
  <c r="L158" i="85"/>
  <c r="I158" i="85"/>
  <c r="H158" i="85"/>
  <c r="K158" i="85" s="1"/>
  <c r="G158" i="85"/>
  <c r="J158" i="85" s="1"/>
  <c r="F158" i="85"/>
  <c r="E158" i="85"/>
  <c r="D158" i="85"/>
  <c r="O157" i="85"/>
  <c r="N157" i="85"/>
  <c r="M157" i="85"/>
  <c r="L157" i="85"/>
  <c r="I157" i="85"/>
  <c r="H157" i="85"/>
  <c r="K157" i="85" s="1"/>
  <c r="G157" i="85"/>
  <c r="J157" i="85" s="1"/>
  <c r="F157" i="85"/>
  <c r="E157" i="85"/>
  <c r="D157" i="85"/>
  <c r="O156" i="85"/>
  <c r="N156" i="85"/>
  <c r="M156" i="85"/>
  <c r="L156" i="85"/>
  <c r="I156" i="85"/>
  <c r="H156" i="85"/>
  <c r="K156" i="85" s="1"/>
  <c r="G156" i="85"/>
  <c r="J156" i="85" s="1"/>
  <c r="F156" i="85"/>
  <c r="E156" i="85"/>
  <c r="D156" i="85"/>
  <c r="O155" i="85"/>
  <c r="N155" i="85"/>
  <c r="M155" i="85"/>
  <c r="L155" i="85"/>
  <c r="I155" i="85"/>
  <c r="H155" i="85"/>
  <c r="K155" i="85" s="1"/>
  <c r="G155" i="85"/>
  <c r="J155" i="85" s="1"/>
  <c r="F155" i="85"/>
  <c r="E155" i="85"/>
  <c r="D155" i="85"/>
  <c r="O154" i="85"/>
  <c r="N154" i="85"/>
  <c r="M154" i="85"/>
  <c r="L154" i="85"/>
  <c r="I154" i="85"/>
  <c r="H154" i="85"/>
  <c r="K154" i="85" s="1"/>
  <c r="G154" i="85"/>
  <c r="J154" i="85" s="1"/>
  <c r="F154" i="85"/>
  <c r="E154" i="85"/>
  <c r="D154" i="85"/>
  <c r="O153" i="85"/>
  <c r="N153" i="85"/>
  <c r="M153" i="85"/>
  <c r="L153" i="85"/>
  <c r="I153" i="85"/>
  <c r="H153" i="85"/>
  <c r="K153" i="85" s="1"/>
  <c r="G153" i="85"/>
  <c r="J153" i="85" s="1"/>
  <c r="F153" i="85"/>
  <c r="E153" i="85"/>
  <c r="D153" i="85"/>
  <c r="O152" i="85"/>
  <c r="N152" i="85"/>
  <c r="M152" i="85"/>
  <c r="L152" i="85"/>
  <c r="I152" i="85"/>
  <c r="H152" i="85"/>
  <c r="K152" i="85" s="1"/>
  <c r="G152" i="85"/>
  <c r="J152" i="85" s="1"/>
  <c r="F152" i="85"/>
  <c r="E152" i="85"/>
  <c r="D152" i="85"/>
  <c r="I147" i="85"/>
  <c r="H147" i="85"/>
  <c r="G147" i="85"/>
  <c r="F147" i="85"/>
  <c r="E147" i="85"/>
  <c r="D147" i="85"/>
  <c r="I146" i="85"/>
  <c r="H146" i="85"/>
  <c r="G146" i="85"/>
  <c r="F146" i="85"/>
  <c r="D146" i="85"/>
  <c r="P145" i="85"/>
  <c r="O145" i="85"/>
  <c r="N145" i="85"/>
  <c r="M145" i="85"/>
  <c r="L145" i="85"/>
  <c r="I145" i="85"/>
  <c r="H145" i="85"/>
  <c r="G145" i="85"/>
  <c r="F145" i="85"/>
  <c r="D145" i="85"/>
  <c r="P142" i="85"/>
  <c r="O142" i="85"/>
  <c r="N142" i="85"/>
  <c r="M142" i="85"/>
  <c r="L142" i="85"/>
  <c r="I142" i="85"/>
  <c r="H142" i="85"/>
  <c r="K142" i="85" s="1"/>
  <c r="G142" i="85"/>
  <c r="J142" i="85" s="1"/>
  <c r="F142" i="85"/>
  <c r="D142" i="85"/>
  <c r="P141" i="85"/>
  <c r="O141" i="85"/>
  <c r="N141" i="85"/>
  <c r="M141" i="85"/>
  <c r="L141" i="85"/>
  <c r="I141" i="85"/>
  <c r="H141" i="85"/>
  <c r="K141" i="85" s="1"/>
  <c r="G141" i="85"/>
  <c r="J141" i="85" s="1"/>
  <c r="F141" i="85"/>
  <c r="E141" i="85"/>
  <c r="D141" i="85"/>
  <c r="P140" i="85"/>
  <c r="O140" i="85"/>
  <c r="N140" i="85"/>
  <c r="M140" i="85"/>
  <c r="L140" i="85"/>
  <c r="I140" i="85"/>
  <c r="H140" i="85"/>
  <c r="G140" i="85"/>
  <c r="F140" i="85"/>
  <c r="D140" i="85"/>
  <c r="P139" i="85"/>
  <c r="P147" i="85" s="1"/>
  <c r="O139" i="85"/>
  <c r="O147" i="85" s="1"/>
  <c r="N139" i="85"/>
  <c r="N147" i="85" s="1"/>
  <c r="M139" i="85"/>
  <c r="M147" i="85" s="1"/>
  <c r="L139" i="85"/>
  <c r="L147" i="85" s="1"/>
  <c r="I139" i="85"/>
  <c r="H139" i="85"/>
  <c r="G139" i="85"/>
  <c r="F139" i="85"/>
  <c r="D139" i="85"/>
  <c r="P138" i="85"/>
  <c r="O138" i="85"/>
  <c r="N138" i="85"/>
  <c r="M138" i="85"/>
  <c r="L138" i="85"/>
  <c r="I138" i="85"/>
  <c r="H138" i="85"/>
  <c r="G138" i="85"/>
  <c r="F138" i="85"/>
  <c r="D138" i="85"/>
  <c r="P137" i="85"/>
  <c r="P146" i="85" s="1"/>
  <c r="O137" i="85"/>
  <c r="O146" i="85" s="1"/>
  <c r="N137" i="85"/>
  <c r="N146" i="85" s="1"/>
  <c r="M137" i="85"/>
  <c r="M146" i="85" s="1"/>
  <c r="L137" i="85"/>
  <c r="I137" i="85"/>
  <c r="H137" i="85"/>
  <c r="G137" i="85"/>
  <c r="F137" i="85"/>
  <c r="D137" i="85"/>
  <c r="P136" i="85"/>
  <c r="O136" i="85"/>
  <c r="N136" i="85"/>
  <c r="M136" i="85"/>
  <c r="L136" i="85"/>
  <c r="I136" i="85"/>
  <c r="H136" i="85"/>
  <c r="G136" i="85"/>
  <c r="F136" i="85"/>
  <c r="D136" i="85"/>
  <c r="P131" i="85"/>
  <c r="O131" i="85"/>
  <c r="N131" i="85"/>
  <c r="M131" i="85"/>
  <c r="L131" i="85"/>
  <c r="I131" i="85"/>
  <c r="H131" i="85"/>
  <c r="G131" i="85"/>
  <c r="F131" i="85"/>
  <c r="E131" i="85"/>
  <c r="D131" i="85"/>
  <c r="P130" i="85"/>
  <c r="O130" i="85"/>
  <c r="N130" i="85"/>
  <c r="M130" i="85"/>
  <c r="L130" i="85"/>
  <c r="I130" i="85"/>
  <c r="H130" i="85"/>
  <c r="G130" i="85"/>
  <c r="F130" i="85"/>
  <c r="D130" i="85"/>
  <c r="P129" i="85"/>
  <c r="O129" i="85"/>
  <c r="N129" i="85"/>
  <c r="M129" i="85"/>
  <c r="L129" i="85"/>
  <c r="I129" i="85"/>
  <c r="H129" i="85"/>
  <c r="G129" i="85"/>
  <c r="F129" i="85"/>
  <c r="D129" i="85"/>
  <c r="P126" i="85"/>
  <c r="O126" i="85"/>
  <c r="N126" i="85"/>
  <c r="M126" i="85"/>
  <c r="L126" i="85"/>
  <c r="I126" i="85"/>
  <c r="H126" i="85"/>
  <c r="K126" i="85" s="1"/>
  <c r="G126" i="85"/>
  <c r="J126" i="85" s="1"/>
  <c r="F126" i="85"/>
  <c r="D126" i="85"/>
  <c r="P125" i="85"/>
  <c r="O125" i="85"/>
  <c r="N125" i="85"/>
  <c r="M125" i="85"/>
  <c r="L125" i="85"/>
  <c r="I125" i="85"/>
  <c r="H125" i="85"/>
  <c r="K125" i="85" s="1"/>
  <c r="G125" i="85"/>
  <c r="J125" i="85" s="1"/>
  <c r="F125" i="85"/>
  <c r="E125" i="85"/>
  <c r="D125" i="85"/>
  <c r="P124" i="85"/>
  <c r="O124" i="85"/>
  <c r="N124" i="85"/>
  <c r="M124" i="85"/>
  <c r="L124" i="85"/>
  <c r="I124" i="85"/>
  <c r="H124" i="85"/>
  <c r="G124" i="85"/>
  <c r="F124" i="85"/>
  <c r="D124" i="85"/>
  <c r="P123" i="85"/>
  <c r="O123" i="85"/>
  <c r="N123" i="85"/>
  <c r="M123" i="85"/>
  <c r="L123" i="85"/>
  <c r="I123" i="85"/>
  <c r="H123" i="85"/>
  <c r="G123" i="85"/>
  <c r="F123" i="85"/>
  <c r="D123" i="85"/>
  <c r="P122" i="85"/>
  <c r="O122" i="85"/>
  <c r="N122" i="85"/>
  <c r="M122" i="85"/>
  <c r="L122" i="85"/>
  <c r="I122" i="85"/>
  <c r="H122" i="85"/>
  <c r="G122" i="85"/>
  <c r="F122" i="85"/>
  <c r="E122" i="85"/>
  <c r="D122" i="85"/>
  <c r="P121" i="85"/>
  <c r="O121" i="85"/>
  <c r="N121" i="85"/>
  <c r="M121" i="85"/>
  <c r="L121" i="85"/>
  <c r="I121" i="85"/>
  <c r="H121" i="85"/>
  <c r="G121" i="85"/>
  <c r="F121" i="85"/>
  <c r="D121" i="85"/>
  <c r="P120" i="85"/>
  <c r="O120" i="85"/>
  <c r="N120" i="85"/>
  <c r="M120" i="85"/>
  <c r="L120" i="85"/>
  <c r="I120" i="85"/>
  <c r="H120" i="85"/>
  <c r="G120" i="85"/>
  <c r="F120" i="85"/>
  <c r="D120" i="85"/>
  <c r="P115" i="85"/>
  <c r="O115" i="85"/>
  <c r="N115" i="85"/>
  <c r="M115" i="85"/>
  <c r="L115" i="85"/>
  <c r="I115" i="85"/>
  <c r="H115" i="85"/>
  <c r="G115" i="85"/>
  <c r="F115" i="85"/>
  <c r="E115" i="85"/>
  <c r="D115" i="85"/>
  <c r="P114" i="85"/>
  <c r="O114" i="85"/>
  <c r="N114" i="85"/>
  <c r="M114" i="85"/>
  <c r="L114" i="85"/>
  <c r="I114" i="85"/>
  <c r="H114" i="85"/>
  <c r="G114" i="85"/>
  <c r="F114" i="85"/>
  <c r="D114" i="85"/>
  <c r="P113" i="85"/>
  <c r="O113" i="85"/>
  <c r="N113" i="85"/>
  <c r="M113" i="85"/>
  <c r="L113" i="85"/>
  <c r="I113" i="85"/>
  <c r="H113" i="85"/>
  <c r="G113" i="85"/>
  <c r="F113" i="85"/>
  <c r="D113" i="85"/>
  <c r="P110" i="85"/>
  <c r="O110" i="85"/>
  <c r="N110" i="85"/>
  <c r="M110" i="85"/>
  <c r="L110" i="85"/>
  <c r="I110" i="85"/>
  <c r="H110" i="85"/>
  <c r="K110" i="85" s="1"/>
  <c r="G110" i="85"/>
  <c r="J110" i="85" s="1"/>
  <c r="F110" i="85"/>
  <c r="E110" i="85"/>
  <c r="D110" i="85"/>
  <c r="P109" i="85"/>
  <c r="O109" i="85"/>
  <c r="N109" i="85"/>
  <c r="M109" i="85"/>
  <c r="L109" i="85"/>
  <c r="I109" i="85"/>
  <c r="H109" i="85"/>
  <c r="K109" i="85" s="1"/>
  <c r="G109" i="85"/>
  <c r="J109" i="85" s="1"/>
  <c r="F109" i="85"/>
  <c r="E109" i="85"/>
  <c r="D109" i="85"/>
  <c r="P108" i="85"/>
  <c r="O108" i="85"/>
  <c r="N108" i="85"/>
  <c r="M108" i="85"/>
  <c r="L108" i="85"/>
  <c r="I108" i="85"/>
  <c r="H108" i="85"/>
  <c r="G108" i="85"/>
  <c r="F108" i="85"/>
  <c r="E108" i="85"/>
  <c r="D108" i="85"/>
  <c r="P107" i="85"/>
  <c r="O107" i="85"/>
  <c r="N107" i="85"/>
  <c r="M107" i="85"/>
  <c r="L107" i="85"/>
  <c r="I107" i="85"/>
  <c r="H107" i="85"/>
  <c r="G107" i="85"/>
  <c r="F107" i="85"/>
  <c r="D107" i="85"/>
  <c r="P106" i="85"/>
  <c r="O106" i="85"/>
  <c r="N106" i="85"/>
  <c r="M106" i="85"/>
  <c r="L106" i="85"/>
  <c r="I106" i="85"/>
  <c r="H106" i="85"/>
  <c r="G106" i="85"/>
  <c r="F106" i="85"/>
  <c r="E106" i="85"/>
  <c r="D106" i="85"/>
  <c r="P105" i="85"/>
  <c r="O105" i="85"/>
  <c r="N105" i="85"/>
  <c r="M105" i="85"/>
  <c r="L105" i="85"/>
  <c r="I105" i="85"/>
  <c r="H105" i="85"/>
  <c r="G105" i="85"/>
  <c r="F105" i="85"/>
  <c r="D105" i="85"/>
  <c r="P104" i="85"/>
  <c r="O104" i="85"/>
  <c r="N104" i="85"/>
  <c r="M104" i="85"/>
  <c r="L104" i="85"/>
  <c r="I104" i="85"/>
  <c r="H104" i="85"/>
  <c r="G104" i="85"/>
  <c r="F104" i="85"/>
  <c r="E104" i="85"/>
  <c r="D104" i="85"/>
  <c r="P99" i="85"/>
  <c r="O99" i="85"/>
  <c r="N99" i="85"/>
  <c r="M99" i="85"/>
  <c r="L99" i="85"/>
  <c r="I99" i="85"/>
  <c r="H99" i="85"/>
  <c r="G99" i="85"/>
  <c r="F99" i="85"/>
  <c r="E99" i="85"/>
  <c r="D99" i="85"/>
  <c r="P98" i="85"/>
  <c r="O98" i="85"/>
  <c r="N98" i="85"/>
  <c r="M98" i="85"/>
  <c r="L98" i="85"/>
  <c r="I98" i="85"/>
  <c r="H98" i="85"/>
  <c r="G98" i="85"/>
  <c r="F98" i="85"/>
  <c r="D98" i="85"/>
  <c r="P97" i="85"/>
  <c r="O97" i="85"/>
  <c r="N97" i="85"/>
  <c r="M97" i="85"/>
  <c r="L97" i="85"/>
  <c r="I97" i="85"/>
  <c r="H97" i="85"/>
  <c r="G97" i="85"/>
  <c r="F97" i="85"/>
  <c r="D97" i="85"/>
  <c r="P94" i="85"/>
  <c r="O94" i="85"/>
  <c r="N94" i="85"/>
  <c r="M94" i="85"/>
  <c r="L94" i="85"/>
  <c r="I94" i="85"/>
  <c r="H94" i="85"/>
  <c r="K94" i="85" s="1"/>
  <c r="G94" i="85"/>
  <c r="J94" i="85" s="1"/>
  <c r="F94" i="85"/>
  <c r="D94" i="85"/>
  <c r="P93" i="85"/>
  <c r="O93" i="85"/>
  <c r="N93" i="85"/>
  <c r="M93" i="85"/>
  <c r="L93" i="85"/>
  <c r="I93" i="85"/>
  <c r="H93" i="85"/>
  <c r="K93" i="85" s="1"/>
  <c r="G93" i="85"/>
  <c r="J93" i="85" s="1"/>
  <c r="F93" i="85"/>
  <c r="E93" i="85"/>
  <c r="D93" i="85"/>
  <c r="P92" i="85"/>
  <c r="O92" i="85"/>
  <c r="N92" i="85"/>
  <c r="M92" i="85"/>
  <c r="L92" i="85"/>
  <c r="I92" i="85"/>
  <c r="H92" i="85"/>
  <c r="G92" i="85"/>
  <c r="F92" i="85"/>
  <c r="D92" i="85"/>
  <c r="P91" i="85"/>
  <c r="O91" i="85"/>
  <c r="N91" i="85"/>
  <c r="M91" i="85"/>
  <c r="L91" i="85"/>
  <c r="I91" i="85"/>
  <c r="H91" i="85"/>
  <c r="G91" i="85"/>
  <c r="F91" i="85"/>
  <c r="D91" i="85"/>
  <c r="P90" i="85"/>
  <c r="O90" i="85"/>
  <c r="N90" i="85"/>
  <c r="M90" i="85"/>
  <c r="L90" i="85"/>
  <c r="I90" i="85"/>
  <c r="H90" i="85"/>
  <c r="G90" i="85"/>
  <c r="F90" i="85"/>
  <c r="D90" i="85"/>
  <c r="P89" i="85"/>
  <c r="O89" i="85"/>
  <c r="N89" i="85"/>
  <c r="M89" i="85"/>
  <c r="L89" i="85"/>
  <c r="I89" i="85"/>
  <c r="H89" i="85"/>
  <c r="G89" i="85"/>
  <c r="F89" i="85"/>
  <c r="D89" i="85"/>
  <c r="P88" i="85"/>
  <c r="O88" i="85"/>
  <c r="N88" i="85"/>
  <c r="M88" i="85"/>
  <c r="L88" i="85"/>
  <c r="I88" i="85"/>
  <c r="H88" i="85"/>
  <c r="G88" i="85"/>
  <c r="F88" i="85"/>
  <c r="D88" i="85"/>
  <c r="P83" i="85"/>
  <c r="O83" i="85"/>
  <c r="N83" i="85"/>
  <c r="M83" i="85"/>
  <c r="L83" i="85"/>
  <c r="I83" i="85"/>
  <c r="H83" i="85"/>
  <c r="G83" i="85"/>
  <c r="F83" i="85"/>
  <c r="E83" i="85"/>
  <c r="D83" i="85"/>
  <c r="P82" i="85"/>
  <c r="O82" i="85"/>
  <c r="N82" i="85"/>
  <c r="M82" i="85"/>
  <c r="L82" i="85"/>
  <c r="I82" i="85"/>
  <c r="H82" i="85"/>
  <c r="G82" i="85"/>
  <c r="F82" i="85"/>
  <c r="E82" i="85"/>
  <c r="D82" i="85"/>
  <c r="P81" i="85"/>
  <c r="O81" i="85"/>
  <c r="N81" i="85"/>
  <c r="M81" i="85"/>
  <c r="L81" i="85"/>
  <c r="I81" i="85"/>
  <c r="H81" i="85"/>
  <c r="G81" i="85"/>
  <c r="F81" i="85"/>
  <c r="E81" i="85"/>
  <c r="D81" i="85"/>
  <c r="P78" i="85"/>
  <c r="O78" i="85"/>
  <c r="N78" i="85"/>
  <c r="M78" i="85"/>
  <c r="L78" i="85"/>
  <c r="I78" i="85"/>
  <c r="H78" i="85"/>
  <c r="K78" i="85" s="1"/>
  <c r="G78" i="85"/>
  <c r="J78" i="85" s="1"/>
  <c r="F78" i="85"/>
  <c r="E78" i="85"/>
  <c r="D78" i="85"/>
  <c r="P77" i="85"/>
  <c r="O77" i="85"/>
  <c r="N77" i="85"/>
  <c r="M77" i="85"/>
  <c r="L77" i="85"/>
  <c r="I77" i="85"/>
  <c r="H77" i="85"/>
  <c r="K77" i="85" s="1"/>
  <c r="G77" i="85"/>
  <c r="J77" i="85" s="1"/>
  <c r="F77" i="85"/>
  <c r="E77" i="85"/>
  <c r="D77" i="85"/>
  <c r="P76" i="85"/>
  <c r="O76" i="85"/>
  <c r="N76" i="85"/>
  <c r="M76" i="85"/>
  <c r="L76" i="85"/>
  <c r="I76" i="85"/>
  <c r="H76" i="85"/>
  <c r="G76" i="85"/>
  <c r="F76" i="85"/>
  <c r="E76" i="85"/>
  <c r="D76" i="85"/>
  <c r="P75" i="85"/>
  <c r="O75" i="85"/>
  <c r="N75" i="85"/>
  <c r="M75" i="85"/>
  <c r="L75" i="85"/>
  <c r="I75" i="85"/>
  <c r="H75" i="85"/>
  <c r="G75" i="85"/>
  <c r="F75" i="85"/>
  <c r="E75" i="85"/>
  <c r="D75" i="85"/>
  <c r="P74" i="85"/>
  <c r="O74" i="85"/>
  <c r="N74" i="85"/>
  <c r="M74" i="85"/>
  <c r="L74" i="85"/>
  <c r="I74" i="85"/>
  <c r="H74" i="85"/>
  <c r="G74" i="85"/>
  <c r="F74" i="85"/>
  <c r="E74" i="85"/>
  <c r="D74" i="85"/>
  <c r="P73" i="85"/>
  <c r="O73" i="85"/>
  <c r="N73" i="85"/>
  <c r="M73" i="85"/>
  <c r="L73" i="85"/>
  <c r="I73" i="85"/>
  <c r="H73" i="85"/>
  <c r="G73" i="85"/>
  <c r="F73" i="85"/>
  <c r="E73" i="85"/>
  <c r="D73" i="85"/>
  <c r="P72" i="85"/>
  <c r="O72" i="85"/>
  <c r="N72" i="85"/>
  <c r="M72" i="85"/>
  <c r="L72" i="85"/>
  <c r="I72" i="85"/>
  <c r="H72" i="85"/>
  <c r="G72" i="85"/>
  <c r="F72" i="85"/>
  <c r="E72" i="85"/>
  <c r="D72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E123" i="85" s="1"/>
  <c r="V32" i="85"/>
  <c r="V31" i="85"/>
  <c r="V30" i="85"/>
  <c r="E105" i="85" s="1"/>
  <c r="V29" i="85"/>
  <c r="V28" i="85"/>
  <c r="V27" i="85"/>
  <c r="E124" i="85" s="1"/>
  <c r="V26" i="85"/>
  <c r="V25" i="85"/>
  <c r="V24" i="85"/>
  <c r="E171" i="85" s="1"/>
  <c r="V23" i="85"/>
  <c r="V22" i="85"/>
  <c r="V21" i="85"/>
  <c r="V20" i="85"/>
  <c r="V19" i="85"/>
  <c r="V18" i="85"/>
  <c r="E107" i="85" s="1"/>
  <c r="V17" i="85"/>
  <c r="V16" i="85"/>
  <c r="V15" i="85"/>
  <c r="V14" i="85"/>
  <c r="V13" i="85"/>
  <c r="V12" i="85"/>
  <c r="V11" i="85"/>
  <c r="V10" i="85"/>
  <c r="V9" i="85"/>
  <c r="V8" i="85"/>
  <c r="V7" i="85"/>
  <c r="V6" i="85"/>
  <c r="V5" i="85"/>
  <c r="E168" i="85" s="1"/>
  <c r="V4" i="85"/>
  <c r="J2" i="85"/>
  <c r="G2" i="85"/>
  <c r="C2" i="85"/>
  <c r="M179" i="84"/>
  <c r="L179" i="84"/>
  <c r="K179" i="84"/>
  <c r="J179" i="84"/>
  <c r="I179" i="84"/>
  <c r="H179" i="84"/>
  <c r="G179" i="84"/>
  <c r="F179" i="84"/>
  <c r="E179" i="84"/>
  <c r="D179" i="84"/>
  <c r="C179" i="84"/>
  <c r="B179" i="84"/>
  <c r="M178" i="84"/>
  <c r="L178" i="84"/>
  <c r="K178" i="84"/>
  <c r="J178" i="84"/>
  <c r="I178" i="84"/>
  <c r="H178" i="84"/>
  <c r="G178" i="84"/>
  <c r="F178" i="84"/>
  <c r="E178" i="84"/>
  <c r="D178" i="84"/>
  <c r="C178" i="84"/>
  <c r="B178" i="84"/>
  <c r="M177" i="84"/>
  <c r="L177" i="84"/>
  <c r="K177" i="84"/>
  <c r="J177" i="84"/>
  <c r="I177" i="84"/>
  <c r="H177" i="84"/>
  <c r="G177" i="84"/>
  <c r="F177" i="84"/>
  <c r="E177" i="84"/>
  <c r="D177" i="84"/>
  <c r="C177" i="84"/>
  <c r="B177" i="84"/>
  <c r="M174" i="84"/>
  <c r="L174" i="84"/>
  <c r="K174" i="84"/>
  <c r="J174" i="84"/>
  <c r="I174" i="84"/>
  <c r="H174" i="84"/>
  <c r="G174" i="84"/>
  <c r="F174" i="84"/>
  <c r="E174" i="84"/>
  <c r="D174" i="84"/>
  <c r="C174" i="84"/>
  <c r="B174" i="84"/>
  <c r="M173" i="84"/>
  <c r="L173" i="84"/>
  <c r="K173" i="84"/>
  <c r="J173" i="84"/>
  <c r="I173" i="84"/>
  <c r="H173" i="84"/>
  <c r="G173" i="84"/>
  <c r="F173" i="84"/>
  <c r="D173" i="84"/>
  <c r="C173" i="84"/>
  <c r="B173" i="84"/>
  <c r="M172" i="84"/>
  <c r="L172" i="84"/>
  <c r="K172" i="84"/>
  <c r="J172" i="84"/>
  <c r="I172" i="84"/>
  <c r="H172" i="84"/>
  <c r="G172" i="84"/>
  <c r="F172" i="84"/>
  <c r="D172" i="84"/>
  <c r="C172" i="84"/>
  <c r="B172" i="84"/>
  <c r="M171" i="84"/>
  <c r="L171" i="84"/>
  <c r="K171" i="84"/>
  <c r="J171" i="84"/>
  <c r="I171" i="84"/>
  <c r="H171" i="84"/>
  <c r="G171" i="84"/>
  <c r="F171" i="84"/>
  <c r="D171" i="84"/>
  <c r="C171" i="84"/>
  <c r="B171" i="84"/>
  <c r="M170" i="84"/>
  <c r="L170" i="84"/>
  <c r="K170" i="84"/>
  <c r="J170" i="84"/>
  <c r="I170" i="84"/>
  <c r="H170" i="84"/>
  <c r="G170" i="84"/>
  <c r="F170" i="84"/>
  <c r="D170" i="84"/>
  <c r="C170" i="84"/>
  <c r="B170" i="84"/>
  <c r="M169" i="84"/>
  <c r="L169" i="84"/>
  <c r="K169" i="84"/>
  <c r="J169" i="84"/>
  <c r="I169" i="84"/>
  <c r="H169" i="84"/>
  <c r="G169" i="84"/>
  <c r="F169" i="84"/>
  <c r="D169" i="84"/>
  <c r="C169" i="84"/>
  <c r="B169" i="84"/>
  <c r="C165" i="84"/>
  <c r="B165" i="84"/>
  <c r="O164" i="84"/>
  <c r="N164" i="84"/>
  <c r="M164" i="84"/>
  <c r="L164" i="84"/>
  <c r="I164" i="84"/>
  <c r="H164" i="84"/>
  <c r="K164" i="84" s="1"/>
  <c r="G164" i="84"/>
  <c r="J164" i="84" s="1"/>
  <c r="F164" i="84"/>
  <c r="E164" i="84"/>
  <c r="D164" i="84"/>
  <c r="O163" i="84"/>
  <c r="N163" i="84"/>
  <c r="M163" i="84"/>
  <c r="L163" i="84"/>
  <c r="I163" i="84"/>
  <c r="H163" i="84"/>
  <c r="K163" i="84" s="1"/>
  <c r="G163" i="84"/>
  <c r="J163" i="84" s="1"/>
  <c r="F163" i="84"/>
  <c r="E163" i="84"/>
  <c r="D163" i="84"/>
  <c r="O162" i="84"/>
  <c r="N162" i="84"/>
  <c r="M162" i="84"/>
  <c r="L162" i="84"/>
  <c r="I162" i="84"/>
  <c r="H162" i="84"/>
  <c r="K162" i="84" s="1"/>
  <c r="G162" i="84"/>
  <c r="J162" i="84" s="1"/>
  <c r="F162" i="84"/>
  <c r="E162" i="84"/>
  <c r="D162" i="84"/>
  <c r="C160" i="84"/>
  <c r="B160" i="84"/>
  <c r="O159" i="84"/>
  <c r="N159" i="84"/>
  <c r="M159" i="84"/>
  <c r="L159" i="84"/>
  <c r="I159" i="84"/>
  <c r="H159" i="84"/>
  <c r="K159" i="84" s="1"/>
  <c r="G159" i="84"/>
  <c r="J159" i="84" s="1"/>
  <c r="F159" i="84"/>
  <c r="E159" i="84"/>
  <c r="D159" i="84"/>
  <c r="O158" i="84"/>
  <c r="N158" i="84"/>
  <c r="M158" i="84"/>
  <c r="L158" i="84"/>
  <c r="I158" i="84"/>
  <c r="H158" i="84"/>
  <c r="K158" i="84" s="1"/>
  <c r="G158" i="84"/>
  <c r="J158" i="84" s="1"/>
  <c r="F158" i="84"/>
  <c r="E158" i="84"/>
  <c r="D158" i="84"/>
  <c r="O157" i="84"/>
  <c r="N157" i="84"/>
  <c r="M157" i="84"/>
  <c r="L157" i="84"/>
  <c r="I157" i="84"/>
  <c r="H157" i="84"/>
  <c r="K157" i="84" s="1"/>
  <c r="G157" i="84"/>
  <c r="J157" i="84" s="1"/>
  <c r="F157" i="84"/>
  <c r="E157" i="84"/>
  <c r="D157" i="84"/>
  <c r="O156" i="84"/>
  <c r="N156" i="84"/>
  <c r="M156" i="84"/>
  <c r="L156" i="84"/>
  <c r="I156" i="84"/>
  <c r="H156" i="84"/>
  <c r="K156" i="84" s="1"/>
  <c r="G156" i="84"/>
  <c r="J156" i="84" s="1"/>
  <c r="F156" i="84"/>
  <c r="E156" i="84"/>
  <c r="D156" i="84"/>
  <c r="O155" i="84"/>
  <c r="N155" i="84"/>
  <c r="M155" i="84"/>
  <c r="L155" i="84"/>
  <c r="I155" i="84"/>
  <c r="H155" i="84"/>
  <c r="K155" i="84" s="1"/>
  <c r="G155" i="84"/>
  <c r="J155" i="84" s="1"/>
  <c r="F155" i="84"/>
  <c r="D155" i="84"/>
  <c r="O154" i="84"/>
  <c r="N154" i="84"/>
  <c r="M154" i="84"/>
  <c r="L154" i="84"/>
  <c r="I154" i="84"/>
  <c r="H154" i="84"/>
  <c r="K154" i="84" s="1"/>
  <c r="G154" i="84"/>
  <c r="J154" i="84" s="1"/>
  <c r="F154" i="84"/>
  <c r="E154" i="84"/>
  <c r="D154" i="84"/>
  <c r="O153" i="84"/>
  <c r="N153" i="84"/>
  <c r="M153" i="84"/>
  <c r="L153" i="84"/>
  <c r="I153" i="84"/>
  <c r="H153" i="84"/>
  <c r="G153" i="84"/>
  <c r="J153" i="84" s="1"/>
  <c r="F153" i="84"/>
  <c r="E153" i="84"/>
  <c r="D153" i="84"/>
  <c r="I148" i="84"/>
  <c r="H148" i="84"/>
  <c r="G148" i="84"/>
  <c r="F148" i="84"/>
  <c r="E148" i="84"/>
  <c r="D148" i="84"/>
  <c r="I147" i="84"/>
  <c r="H147" i="84"/>
  <c r="G147" i="84"/>
  <c r="F147" i="84"/>
  <c r="D147" i="84"/>
  <c r="P146" i="84"/>
  <c r="O146" i="84"/>
  <c r="N146" i="84"/>
  <c r="M146" i="84"/>
  <c r="L146" i="84"/>
  <c r="I146" i="84"/>
  <c r="H146" i="84"/>
  <c r="G146" i="84"/>
  <c r="F146" i="84"/>
  <c r="D146" i="84"/>
  <c r="P143" i="84"/>
  <c r="O143" i="84"/>
  <c r="N143" i="84"/>
  <c r="M143" i="84"/>
  <c r="L143" i="84"/>
  <c r="I143" i="84"/>
  <c r="H143" i="84"/>
  <c r="K143" i="84" s="1"/>
  <c r="G143" i="84"/>
  <c r="J143" i="84" s="1"/>
  <c r="F143" i="84"/>
  <c r="D143" i="84"/>
  <c r="P142" i="84"/>
  <c r="O142" i="84"/>
  <c r="N142" i="84"/>
  <c r="M142" i="84"/>
  <c r="L142" i="84"/>
  <c r="I142" i="84"/>
  <c r="H142" i="84"/>
  <c r="K142" i="84" s="1"/>
  <c r="G142" i="84"/>
  <c r="J142" i="84" s="1"/>
  <c r="F142" i="84"/>
  <c r="E142" i="84"/>
  <c r="D142" i="84"/>
  <c r="P141" i="84"/>
  <c r="O141" i="84"/>
  <c r="N141" i="84"/>
  <c r="M141" i="84"/>
  <c r="L141" i="84"/>
  <c r="I141" i="84"/>
  <c r="H141" i="84"/>
  <c r="G141" i="84"/>
  <c r="F141" i="84"/>
  <c r="D141" i="84"/>
  <c r="P140" i="84"/>
  <c r="P148" i="84" s="1"/>
  <c r="O140" i="84"/>
  <c r="O148" i="84" s="1"/>
  <c r="N140" i="84"/>
  <c r="N148" i="84" s="1"/>
  <c r="M140" i="84"/>
  <c r="M148" i="84" s="1"/>
  <c r="L140" i="84"/>
  <c r="L148" i="84" s="1"/>
  <c r="I140" i="84"/>
  <c r="H140" i="84"/>
  <c r="G140" i="84"/>
  <c r="F140" i="84"/>
  <c r="D140" i="84"/>
  <c r="P139" i="84"/>
  <c r="O139" i="84"/>
  <c r="N139" i="84"/>
  <c r="M139" i="84"/>
  <c r="L139" i="84"/>
  <c r="I139" i="84"/>
  <c r="H139" i="84"/>
  <c r="G139" i="84"/>
  <c r="F139" i="84"/>
  <c r="D139" i="84"/>
  <c r="P138" i="84"/>
  <c r="P147" i="84" s="1"/>
  <c r="O138" i="84"/>
  <c r="O147" i="84" s="1"/>
  <c r="N138" i="84"/>
  <c r="N147" i="84" s="1"/>
  <c r="M138" i="84"/>
  <c r="L138" i="84"/>
  <c r="L147" i="84" s="1"/>
  <c r="I138" i="84"/>
  <c r="H138" i="84"/>
  <c r="G138" i="84"/>
  <c r="F138" i="84"/>
  <c r="D138" i="84"/>
  <c r="P137" i="84"/>
  <c r="O137" i="84"/>
  <c r="N137" i="84"/>
  <c r="M137" i="84"/>
  <c r="L137" i="84"/>
  <c r="I137" i="84"/>
  <c r="H137" i="84"/>
  <c r="G137" i="84"/>
  <c r="F137" i="84"/>
  <c r="D137" i="84"/>
  <c r="P132" i="84"/>
  <c r="O132" i="84"/>
  <c r="N132" i="84"/>
  <c r="M132" i="84"/>
  <c r="L132" i="84"/>
  <c r="I132" i="84"/>
  <c r="H132" i="84"/>
  <c r="G132" i="84"/>
  <c r="F132" i="84"/>
  <c r="E132" i="84"/>
  <c r="D132" i="84"/>
  <c r="P131" i="84"/>
  <c r="O131" i="84"/>
  <c r="N131" i="84"/>
  <c r="M131" i="84"/>
  <c r="L131" i="84"/>
  <c r="I131" i="84"/>
  <c r="H131" i="84"/>
  <c r="G131" i="84"/>
  <c r="F131" i="84"/>
  <c r="D131" i="84"/>
  <c r="P130" i="84"/>
  <c r="O130" i="84"/>
  <c r="N130" i="84"/>
  <c r="M130" i="84"/>
  <c r="L130" i="84"/>
  <c r="I130" i="84"/>
  <c r="H130" i="84"/>
  <c r="G130" i="84"/>
  <c r="F130" i="84"/>
  <c r="D130" i="84"/>
  <c r="P127" i="84"/>
  <c r="O127" i="84"/>
  <c r="N127" i="84"/>
  <c r="M127" i="84"/>
  <c r="L127" i="84"/>
  <c r="I127" i="84"/>
  <c r="H127" i="84"/>
  <c r="K127" i="84" s="1"/>
  <c r="G127" i="84"/>
  <c r="J127" i="84" s="1"/>
  <c r="F127" i="84"/>
  <c r="D127" i="84"/>
  <c r="P126" i="84"/>
  <c r="O126" i="84"/>
  <c r="N126" i="84"/>
  <c r="M126" i="84"/>
  <c r="L126" i="84"/>
  <c r="I126" i="84"/>
  <c r="H126" i="84"/>
  <c r="K126" i="84" s="1"/>
  <c r="G126" i="84"/>
  <c r="J126" i="84" s="1"/>
  <c r="F126" i="84"/>
  <c r="E126" i="84"/>
  <c r="D126" i="84"/>
  <c r="P125" i="84"/>
  <c r="O125" i="84"/>
  <c r="N125" i="84"/>
  <c r="M125" i="84"/>
  <c r="L125" i="84"/>
  <c r="I125" i="84"/>
  <c r="H125" i="84"/>
  <c r="G125" i="84"/>
  <c r="F125" i="84"/>
  <c r="D125" i="84"/>
  <c r="P124" i="84"/>
  <c r="O124" i="84"/>
  <c r="N124" i="84"/>
  <c r="M124" i="84"/>
  <c r="L124" i="84"/>
  <c r="I124" i="84"/>
  <c r="H124" i="84"/>
  <c r="G124" i="84"/>
  <c r="F124" i="84"/>
  <c r="D124" i="84"/>
  <c r="P123" i="84"/>
  <c r="O123" i="84"/>
  <c r="N123" i="84"/>
  <c r="M123" i="84"/>
  <c r="L123" i="84"/>
  <c r="I123" i="84"/>
  <c r="H123" i="84"/>
  <c r="G123" i="84"/>
  <c r="F123" i="84"/>
  <c r="D123" i="84"/>
  <c r="P122" i="84"/>
  <c r="O122" i="84"/>
  <c r="N122" i="84"/>
  <c r="M122" i="84"/>
  <c r="L122" i="84"/>
  <c r="I122" i="84"/>
  <c r="H122" i="84"/>
  <c r="G122" i="84"/>
  <c r="F122" i="84"/>
  <c r="D122" i="84"/>
  <c r="P121" i="84"/>
  <c r="O121" i="84"/>
  <c r="N121" i="84"/>
  <c r="M121" i="84"/>
  <c r="L121" i="84"/>
  <c r="I121" i="84"/>
  <c r="H121" i="84"/>
  <c r="G121" i="84"/>
  <c r="F121" i="84"/>
  <c r="D121" i="84"/>
  <c r="P116" i="84"/>
  <c r="O116" i="84"/>
  <c r="N116" i="84"/>
  <c r="M116" i="84"/>
  <c r="L116" i="84"/>
  <c r="I116" i="84"/>
  <c r="H116" i="84"/>
  <c r="G116" i="84"/>
  <c r="F116" i="84"/>
  <c r="E116" i="84"/>
  <c r="D116" i="84"/>
  <c r="P115" i="84"/>
  <c r="O115" i="84"/>
  <c r="N115" i="84"/>
  <c r="M115" i="84"/>
  <c r="L115" i="84"/>
  <c r="I115" i="84"/>
  <c r="H115" i="84"/>
  <c r="G115" i="84"/>
  <c r="F115" i="84"/>
  <c r="D115" i="84"/>
  <c r="P114" i="84"/>
  <c r="O114" i="84"/>
  <c r="N114" i="84"/>
  <c r="M114" i="84"/>
  <c r="L114" i="84"/>
  <c r="I114" i="84"/>
  <c r="H114" i="84"/>
  <c r="G114" i="84"/>
  <c r="F114" i="84"/>
  <c r="D114" i="84"/>
  <c r="P111" i="84"/>
  <c r="O111" i="84"/>
  <c r="N111" i="84"/>
  <c r="M111" i="84"/>
  <c r="L111" i="84"/>
  <c r="I111" i="84"/>
  <c r="H111" i="84"/>
  <c r="K111" i="84" s="1"/>
  <c r="G111" i="84"/>
  <c r="J111" i="84" s="1"/>
  <c r="F111" i="84"/>
  <c r="D111" i="84"/>
  <c r="P110" i="84"/>
  <c r="O110" i="84"/>
  <c r="N110" i="84"/>
  <c r="M110" i="84"/>
  <c r="L110" i="84"/>
  <c r="I110" i="84"/>
  <c r="H110" i="84"/>
  <c r="K110" i="84" s="1"/>
  <c r="G110" i="84"/>
  <c r="J110" i="84" s="1"/>
  <c r="F110" i="84"/>
  <c r="E110" i="84"/>
  <c r="D110" i="84"/>
  <c r="P109" i="84"/>
  <c r="O109" i="84"/>
  <c r="N109" i="84"/>
  <c r="M109" i="84"/>
  <c r="L109" i="84"/>
  <c r="I109" i="84"/>
  <c r="H109" i="84"/>
  <c r="G109" i="84"/>
  <c r="F109" i="84"/>
  <c r="E109" i="84"/>
  <c r="D109" i="84"/>
  <c r="P108" i="84"/>
  <c r="O108" i="84"/>
  <c r="N108" i="84"/>
  <c r="M108" i="84"/>
  <c r="L108" i="84"/>
  <c r="I108" i="84"/>
  <c r="H108" i="84"/>
  <c r="G108" i="84"/>
  <c r="F108" i="84"/>
  <c r="E108" i="84"/>
  <c r="D108" i="84"/>
  <c r="P107" i="84"/>
  <c r="O107" i="84"/>
  <c r="N107" i="84"/>
  <c r="M107" i="84"/>
  <c r="L107" i="84"/>
  <c r="I107" i="84"/>
  <c r="H107" i="84"/>
  <c r="G107" i="84"/>
  <c r="F107" i="84"/>
  <c r="E107" i="84"/>
  <c r="D107" i="84"/>
  <c r="P106" i="84"/>
  <c r="O106" i="84"/>
  <c r="N106" i="84"/>
  <c r="M106" i="84"/>
  <c r="L106" i="84"/>
  <c r="I106" i="84"/>
  <c r="H106" i="84"/>
  <c r="G106" i="84"/>
  <c r="F106" i="84"/>
  <c r="D106" i="84"/>
  <c r="P105" i="84"/>
  <c r="O105" i="84"/>
  <c r="N105" i="84"/>
  <c r="M105" i="84"/>
  <c r="L105" i="84"/>
  <c r="I105" i="84"/>
  <c r="H105" i="84"/>
  <c r="G105" i="84"/>
  <c r="F105" i="84"/>
  <c r="D105" i="84"/>
  <c r="P100" i="84"/>
  <c r="O100" i="84"/>
  <c r="N100" i="84"/>
  <c r="M100" i="84"/>
  <c r="L100" i="84"/>
  <c r="I100" i="84"/>
  <c r="H100" i="84"/>
  <c r="G100" i="84"/>
  <c r="F100" i="84"/>
  <c r="E100" i="84"/>
  <c r="D100" i="84"/>
  <c r="P99" i="84"/>
  <c r="O99" i="84"/>
  <c r="N99" i="84"/>
  <c r="M99" i="84"/>
  <c r="L99" i="84"/>
  <c r="I99" i="84"/>
  <c r="H99" i="84"/>
  <c r="G99" i="84"/>
  <c r="F99" i="84"/>
  <c r="D99" i="84"/>
  <c r="P98" i="84"/>
  <c r="O98" i="84"/>
  <c r="N98" i="84"/>
  <c r="M98" i="84"/>
  <c r="L98" i="84"/>
  <c r="I98" i="84"/>
  <c r="H98" i="84"/>
  <c r="G98" i="84"/>
  <c r="F98" i="84"/>
  <c r="D98" i="84"/>
  <c r="P95" i="84"/>
  <c r="O95" i="84"/>
  <c r="N95" i="84"/>
  <c r="M95" i="84"/>
  <c r="L95" i="84"/>
  <c r="I95" i="84"/>
  <c r="H95" i="84"/>
  <c r="K95" i="84" s="1"/>
  <c r="G95" i="84"/>
  <c r="J95" i="84" s="1"/>
  <c r="F95" i="84"/>
  <c r="E95" i="84"/>
  <c r="D95" i="84"/>
  <c r="P94" i="84"/>
  <c r="O94" i="84"/>
  <c r="N94" i="84"/>
  <c r="M94" i="84"/>
  <c r="L94" i="84"/>
  <c r="I94" i="84"/>
  <c r="H94" i="84"/>
  <c r="K94" i="84" s="1"/>
  <c r="G94" i="84"/>
  <c r="J94" i="84" s="1"/>
  <c r="F94" i="84"/>
  <c r="E94" i="84"/>
  <c r="D94" i="84"/>
  <c r="P93" i="84"/>
  <c r="O93" i="84"/>
  <c r="N93" i="84"/>
  <c r="M93" i="84"/>
  <c r="L93" i="84"/>
  <c r="I93" i="84"/>
  <c r="H93" i="84"/>
  <c r="G93" i="84"/>
  <c r="F93" i="84"/>
  <c r="D93" i="84"/>
  <c r="P92" i="84"/>
  <c r="O92" i="84"/>
  <c r="N92" i="84"/>
  <c r="M92" i="84"/>
  <c r="L92" i="84"/>
  <c r="I92" i="84"/>
  <c r="H92" i="84"/>
  <c r="G92" i="84"/>
  <c r="F92" i="84"/>
  <c r="D92" i="84"/>
  <c r="P91" i="84"/>
  <c r="O91" i="84"/>
  <c r="N91" i="84"/>
  <c r="M91" i="84"/>
  <c r="L91" i="84"/>
  <c r="I91" i="84"/>
  <c r="H91" i="84"/>
  <c r="G91" i="84"/>
  <c r="F91" i="84"/>
  <c r="D91" i="84"/>
  <c r="P90" i="84"/>
  <c r="O90" i="84"/>
  <c r="N90" i="84"/>
  <c r="M90" i="84"/>
  <c r="L90" i="84"/>
  <c r="I90" i="84"/>
  <c r="H90" i="84"/>
  <c r="G90" i="84"/>
  <c r="F90" i="84"/>
  <c r="E90" i="84"/>
  <c r="D90" i="84"/>
  <c r="P89" i="84"/>
  <c r="O89" i="84"/>
  <c r="N89" i="84"/>
  <c r="M89" i="84"/>
  <c r="L89" i="84"/>
  <c r="I89" i="84"/>
  <c r="H89" i="84"/>
  <c r="G89" i="84"/>
  <c r="F89" i="84"/>
  <c r="D89" i="84"/>
  <c r="P84" i="84"/>
  <c r="O84" i="84"/>
  <c r="N84" i="84"/>
  <c r="M84" i="84"/>
  <c r="L84" i="84"/>
  <c r="I84" i="84"/>
  <c r="H84" i="84"/>
  <c r="G84" i="84"/>
  <c r="F84" i="84"/>
  <c r="E84" i="84"/>
  <c r="D84" i="84"/>
  <c r="P83" i="84"/>
  <c r="O83" i="84"/>
  <c r="N83" i="84"/>
  <c r="M83" i="84"/>
  <c r="L83" i="84"/>
  <c r="I83" i="84"/>
  <c r="H83" i="84"/>
  <c r="G83" i="84"/>
  <c r="F83" i="84"/>
  <c r="E83" i="84"/>
  <c r="D83" i="84"/>
  <c r="P82" i="84"/>
  <c r="O82" i="84"/>
  <c r="N82" i="84"/>
  <c r="M82" i="84"/>
  <c r="L82" i="84"/>
  <c r="I82" i="84"/>
  <c r="H82" i="84"/>
  <c r="G82" i="84"/>
  <c r="F82" i="84"/>
  <c r="D82" i="84"/>
  <c r="P79" i="84"/>
  <c r="O79" i="84"/>
  <c r="N79" i="84"/>
  <c r="M79" i="84"/>
  <c r="L79" i="84"/>
  <c r="I79" i="84"/>
  <c r="H79" i="84"/>
  <c r="K79" i="84" s="1"/>
  <c r="G79" i="84"/>
  <c r="J79" i="84" s="1"/>
  <c r="F79" i="84"/>
  <c r="E79" i="84"/>
  <c r="D79" i="84"/>
  <c r="P78" i="84"/>
  <c r="O78" i="84"/>
  <c r="N78" i="84"/>
  <c r="M78" i="84"/>
  <c r="L78" i="84"/>
  <c r="I78" i="84"/>
  <c r="H78" i="84"/>
  <c r="K78" i="84" s="1"/>
  <c r="G78" i="84"/>
  <c r="J78" i="84" s="1"/>
  <c r="F78" i="84"/>
  <c r="E78" i="84"/>
  <c r="D78" i="84"/>
  <c r="P77" i="84"/>
  <c r="O77" i="84"/>
  <c r="N77" i="84"/>
  <c r="M77" i="84"/>
  <c r="L77" i="84"/>
  <c r="I77" i="84"/>
  <c r="H77" i="84"/>
  <c r="G77" i="84"/>
  <c r="F77" i="84"/>
  <c r="E77" i="84"/>
  <c r="D77" i="84"/>
  <c r="P76" i="84"/>
  <c r="O76" i="84"/>
  <c r="N76" i="84"/>
  <c r="M76" i="84"/>
  <c r="L76" i="84"/>
  <c r="I76" i="84"/>
  <c r="H76" i="84"/>
  <c r="G76" i="84"/>
  <c r="F76" i="84"/>
  <c r="D76" i="84"/>
  <c r="P75" i="84"/>
  <c r="O75" i="84"/>
  <c r="N75" i="84"/>
  <c r="M75" i="84"/>
  <c r="L75" i="84"/>
  <c r="I75" i="84"/>
  <c r="H75" i="84"/>
  <c r="G75" i="84"/>
  <c r="F75" i="84"/>
  <c r="E75" i="84"/>
  <c r="D75" i="84"/>
  <c r="P74" i="84"/>
  <c r="O74" i="84"/>
  <c r="N74" i="84"/>
  <c r="M74" i="84"/>
  <c r="L74" i="84"/>
  <c r="I74" i="84"/>
  <c r="H74" i="84"/>
  <c r="G74" i="84"/>
  <c r="F74" i="84"/>
  <c r="E74" i="84"/>
  <c r="D74" i="84"/>
  <c r="P73" i="84"/>
  <c r="O73" i="84"/>
  <c r="N73" i="84"/>
  <c r="M73" i="84"/>
  <c r="L73" i="84"/>
  <c r="I73" i="84"/>
  <c r="H73" i="84"/>
  <c r="G73" i="84"/>
  <c r="F73" i="84"/>
  <c r="E73" i="84"/>
  <c r="D73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E82" i="84" s="1"/>
  <c r="V36" i="84"/>
  <c r="V35" i="84"/>
  <c r="V34" i="84"/>
  <c r="V33" i="84"/>
  <c r="V32" i="84"/>
  <c r="V31" i="84"/>
  <c r="V30" i="84"/>
  <c r="V29" i="84"/>
  <c r="V28" i="84"/>
  <c r="V27" i="84"/>
  <c r="E89" i="84" s="1"/>
  <c r="V26" i="84"/>
  <c r="V25" i="84"/>
  <c r="V24" i="84"/>
  <c r="V23" i="84"/>
  <c r="V22" i="84"/>
  <c r="V21" i="84"/>
  <c r="E155" i="84" s="1"/>
  <c r="V20" i="84"/>
  <c r="V19" i="84"/>
  <c r="E173" i="84" s="1"/>
  <c r="V18" i="84"/>
  <c r="V17" i="84"/>
  <c r="E105" i="84" s="1"/>
  <c r="V16" i="84"/>
  <c r="V15" i="84"/>
  <c r="V14" i="84"/>
  <c r="V13" i="84"/>
  <c r="E169" i="84" s="1"/>
  <c r="V12" i="84"/>
  <c r="V11" i="84"/>
  <c r="V10" i="84"/>
  <c r="V9" i="84"/>
  <c r="E170" i="84" s="1"/>
  <c r="V8" i="84"/>
  <c r="V7" i="84"/>
  <c r="V6" i="84"/>
  <c r="V5" i="84"/>
  <c r="V4" i="84"/>
  <c r="J2" i="84"/>
  <c r="G2" i="84"/>
  <c r="C2" i="84"/>
  <c r="M179" i="83"/>
  <c r="L179" i="83"/>
  <c r="K179" i="83"/>
  <c r="J179" i="83"/>
  <c r="I179" i="83"/>
  <c r="H179" i="83"/>
  <c r="G179" i="83"/>
  <c r="F179" i="83"/>
  <c r="E179" i="83"/>
  <c r="D179" i="83"/>
  <c r="C179" i="83"/>
  <c r="B179" i="83"/>
  <c r="M178" i="83"/>
  <c r="L178" i="83"/>
  <c r="K178" i="83"/>
  <c r="J178" i="83"/>
  <c r="I178" i="83"/>
  <c r="H178" i="83"/>
  <c r="G178" i="83"/>
  <c r="F178" i="83"/>
  <c r="D178" i="83"/>
  <c r="C178" i="83"/>
  <c r="B178" i="83"/>
  <c r="M177" i="83"/>
  <c r="L177" i="83"/>
  <c r="K177" i="83"/>
  <c r="J177" i="83"/>
  <c r="I177" i="83"/>
  <c r="H177" i="83"/>
  <c r="G177" i="83"/>
  <c r="F177" i="83"/>
  <c r="E177" i="83"/>
  <c r="D177" i="83"/>
  <c r="C177" i="83"/>
  <c r="B177" i="83"/>
  <c r="M174" i="83"/>
  <c r="L174" i="83"/>
  <c r="K174" i="83"/>
  <c r="J174" i="83"/>
  <c r="I174" i="83"/>
  <c r="H174" i="83"/>
  <c r="G174" i="83"/>
  <c r="F174" i="83"/>
  <c r="E174" i="83"/>
  <c r="D174" i="83"/>
  <c r="C174" i="83"/>
  <c r="B174" i="83"/>
  <c r="M173" i="83"/>
  <c r="L173" i="83"/>
  <c r="K173" i="83"/>
  <c r="J173" i="83"/>
  <c r="I173" i="83"/>
  <c r="H173" i="83"/>
  <c r="G173" i="83"/>
  <c r="F173" i="83"/>
  <c r="D173" i="83"/>
  <c r="C173" i="83"/>
  <c r="B173" i="83"/>
  <c r="M172" i="83"/>
  <c r="L172" i="83"/>
  <c r="K172" i="83"/>
  <c r="J172" i="83"/>
  <c r="I172" i="83"/>
  <c r="H172" i="83"/>
  <c r="G172" i="83"/>
  <c r="F172" i="83"/>
  <c r="D172" i="83"/>
  <c r="C172" i="83"/>
  <c r="B172" i="83"/>
  <c r="M171" i="83"/>
  <c r="L171" i="83"/>
  <c r="K171" i="83"/>
  <c r="J171" i="83"/>
  <c r="I171" i="83"/>
  <c r="H171" i="83"/>
  <c r="G171" i="83"/>
  <c r="F171" i="83"/>
  <c r="D171" i="83"/>
  <c r="C171" i="83"/>
  <c r="B171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69" i="83"/>
  <c r="L169" i="83"/>
  <c r="K169" i="83"/>
  <c r="J169" i="83"/>
  <c r="I169" i="83"/>
  <c r="H169" i="83"/>
  <c r="G169" i="83"/>
  <c r="F169" i="83"/>
  <c r="E169" i="83"/>
  <c r="D169" i="83"/>
  <c r="C169" i="83"/>
  <c r="B169" i="83"/>
  <c r="C165" i="83"/>
  <c r="B165" i="83"/>
  <c r="O164" i="83"/>
  <c r="N164" i="83"/>
  <c r="M164" i="83"/>
  <c r="L164" i="83"/>
  <c r="I164" i="83"/>
  <c r="H164" i="83"/>
  <c r="K164" i="83" s="1"/>
  <c r="G164" i="83"/>
  <c r="J164" i="83" s="1"/>
  <c r="F164" i="83"/>
  <c r="E164" i="83"/>
  <c r="D164" i="83"/>
  <c r="O163" i="83"/>
  <c r="N163" i="83"/>
  <c r="M163" i="83"/>
  <c r="L163" i="83"/>
  <c r="I163" i="83"/>
  <c r="H163" i="83"/>
  <c r="K163" i="83" s="1"/>
  <c r="G163" i="83"/>
  <c r="J163" i="83" s="1"/>
  <c r="F163" i="83"/>
  <c r="E163" i="83"/>
  <c r="D163" i="83"/>
  <c r="O162" i="83"/>
  <c r="N162" i="83"/>
  <c r="M162" i="83"/>
  <c r="L162" i="83"/>
  <c r="I162" i="83"/>
  <c r="H162" i="83"/>
  <c r="G162" i="83"/>
  <c r="J162" i="83" s="1"/>
  <c r="F162" i="83"/>
  <c r="E162" i="83"/>
  <c r="D162" i="83"/>
  <c r="C160" i="83"/>
  <c r="B160" i="83"/>
  <c r="O159" i="83"/>
  <c r="N159" i="83"/>
  <c r="M159" i="83"/>
  <c r="L159" i="83"/>
  <c r="I159" i="83"/>
  <c r="H159" i="83"/>
  <c r="K159" i="83" s="1"/>
  <c r="G159" i="83"/>
  <c r="J159" i="83" s="1"/>
  <c r="F159" i="83"/>
  <c r="E159" i="83"/>
  <c r="D159" i="83"/>
  <c r="O158" i="83"/>
  <c r="N158" i="83"/>
  <c r="M158" i="83"/>
  <c r="L158" i="83"/>
  <c r="I158" i="83"/>
  <c r="H158" i="83"/>
  <c r="K158" i="83" s="1"/>
  <c r="G158" i="83"/>
  <c r="J158" i="83" s="1"/>
  <c r="F158" i="83"/>
  <c r="E158" i="83"/>
  <c r="D158" i="83"/>
  <c r="O157" i="83"/>
  <c r="N157" i="83"/>
  <c r="M157" i="83"/>
  <c r="L157" i="83"/>
  <c r="I157" i="83"/>
  <c r="H157" i="83"/>
  <c r="K157" i="83" s="1"/>
  <c r="G157" i="83"/>
  <c r="J157" i="83" s="1"/>
  <c r="F157" i="83"/>
  <c r="E157" i="83"/>
  <c r="D157" i="83"/>
  <c r="O156" i="83"/>
  <c r="N156" i="83"/>
  <c r="M156" i="83"/>
  <c r="L156" i="83"/>
  <c r="I156" i="83"/>
  <c r="H156" i="83"/>
  <c r="K156" i="83" s="1"/>
  <c r="G156" i="83"/>
  <c r="J156" i="83" s="1"/>
  <c r="F156" i="83"/>
  <c r="E156" i="83"/>
  <c r="D156" i="83"/>
  <c r="O155" i="83"/>
  <c r="N155" i="83"/>
  <c r="M155" i="83"/>
  <c r="L155" i="83"/>
  <c r="I155" i="83"/>
  <c r="H155" i="83"/>
  <c r="K155" i="83" s="1"/>
  <c r="G155" i="83"/>
  <c r="J155" i="83" s="1"/>
  <c r="F155" i="83"/>
  <c r="E155" i="83"/>
  <c r="D155" i="83"/>
  <c r="O154" i="83"/>
  <c r="N154" i="83"/>
  <c r="M154" i="83"/>
  <c r="L154" i="83"/>
  <c r="I154" i="83"/>
  <c r="H154" i="83"/>
  <c r="K154" i="83" s="1"/>
  <c r="G154" i="83"/>
  <c r="J154" i="83" s="1"/>
  <c r="F154" i="83"/>
  <c r="E154" i="83"/>
  <c r="D154" i="83"/>
  <c r="O153" i="83"/>
  <c r="N153" i="83"/>
  <c r="M153" i="83"/>
  <c r="L153" i="83"/>
  <c r="I153" i="83"/>
  <c r="H153" i="83"/>
  <c r="G153" i="83"/>
  <c r="J153" i="83" s="1"/>
  <c r="F153" i="83"/>
  <c r="E153" i="83"/>
  <c r="D153" i="83"/>
  <c r="I148" i="83"/>
  <c r="H148" i="83"/>
  <c r="G148" i="83"/>
  <c r="F148" i="83"/>
  <c r="E148" i="83"/>
  <c r="D148" i="83"/>
  <c r="I147" i="83"/>
  <c r="H147" i="83"/>
  <c r="G147" i="83"/>
  <c r="F147" i="83"/>
  <c r="D147" i="83"/>
  <c r="P146" i="83"/>
  <c r="O146" i="83"/>
  <c r="N146" i="83"/>
  <c r="M146" i="83"/>
  <c r="L146" i="83"/>
  <c r="I146" i="83"/>
  <c r="H146" i="83"/>
  <c r="G146" i="83"/>
  <c r="F146" i="83"/>
  <c r="D146" i="83"/>
  <c r="P143" i="83"/>
  <c r="O143" i="83"/>
  <c r="N143" i="83"/>
  <c r="M143" i="83"/>
  <c r="L143" i="83"/>
  <c r="I143" i="83"/>
  <c r="H143" i="83"/>
  <c r="K143" i="83" s="1"/>
  <c r="G143" i="83"/>
  <c r="J143" i="83" s="1"/>
  <c r="F143" i="83"/>
  <c r="D143" i="83"/>
  <c r="P142" i="83"/>
  <c r="O142" i="83"/>
  <c r="N142" i="83"/>
  <c r="M142" i="83"/>
  <c r="L142" i="83"/>
  <c r="I142" i="83"/>
  <c r="H142" i="83"/>
  <c r="K142" i="83" s="1"/>
  <c r="G142" i="83"/>
  <c r="J142" i="83" s="1"/>
  <c r="F142" i="83"/>
  <c r="E142" i="83"/>
  <c r="D142" i="83"/>
  <c r="P141" i="83"/>
  <c r="O141" i="83"/>
  <c r="N141" i="83"/>
  <c r="M141" i="83"/>
  <c r="L141" i="83"/>
  <c r="I141" i="83"/>
  <c r="H141" i="83"/>
  <c r="G141" i="83"/>
  <c r="F141" i="83"/>
  <c r="D141" i="83"/>
  <c r="P140" i="83"/>
  <c r="P148" i="83" s="1"/>
  <c r="O140" i="83"/>
  <c r="O148" i="83" s="1"/>
  <c r="N140" i="83"/>
  <c r="N148" i="83" s="1"/>
  <c r="M140" i="83"/>
  <c r="M148" i="83" s="1"/>
  <c r="L140" i="83"/>
  <c r="L148" i="83" s="1"/>
  <c r="I140" i="83"/>
  <c r="H140" i="83"/>
  <c r="G140" i="83"/>
  <c r="F140" i="83"/>
  <c r="D140" i="83"/>
  <c r="P139" i="83"/>
  <c r="O139" i="83"/>
  <c r="N139" i="83"/>
  <c r="M139" i="83"/>
  <c r="L139" i="83"/>
  <c r="I139" i="83"/>
  <c r="H139" i="83"/>
  <c r="G139" i="83"/>
  <c r="F139" i="83"/>
  <c r="D139" i="83"/>
  <c r="P138" i="83"/>
  <c r="O138" i="83"/>
  <c r="O147" i="83" s="1"/>
  <c r="N138" i="83"/>
  <c r="N147" i="83" s="1"/>
  <c r="M138" i="83"/>
  <c r="M147" i="83" s="1"/>
  <c r="L138" i="83"/>
  <c r="L147" i="83" s="1"/>
  <c r="I138" i="83"/>
  <c r="H138" i="83"/>
  <c r="G138" i="83"/>
  <c r="F138" i="83"/>
  <c r="D138" i="83"/>
  <c r="P137" i="83"/>
  <c r="O137" i="83"/>
  <c r="N137" i="83"/>
  <c r="M137" i="83"/>
  <c r="L137" i="83"/>
  <c r="I137" i="83"/>
  <c r="H137" i="83"/>
  <c r="G137" i="83"/>
  <c r="F137" i="83"/>
  <c r="D137" i="83"/>
  <c r="P132" i="83"/>
  <c r="O132" i="83"/>
  <c r="N132" i="83"/>
  <c r="M132" i="83"/>
  <c r="L132" i="83"/>
  <c r="I132" i="83"/>
  <c r="H132" i="83"/>
  <c r="G132" i="83"/>
  <c r="F132" i="83"/>
  <c r="E132" i="83"/>
  <c r="D132" i="83"/>
  <c r="P131" i="83"/>
  <c r="O131" i="83"/>
  <c r="N131" i="83"/>
  <c r="M131" i="83"/>
  <c r="L131" i="83"/>
  <c r="I131" i="83"/>
  <c r="H131" i="83"/>
  <c r="G131" i="83"/>
  <c r="F131" i="83"/>
  <c r="E131" i="83"/>
  <c r="D131" i="83"/>
  <c r="P130" i="83"/>
  <c r="O130" i="83"/>
  <c r="N130" i="83"/>
  <c r="M130" i="83"/>
  <c r="L130" i="83"/>
  <c r="I130" i="83"/>
  <c r="H130" i="83"/>
  <c r="G130" i="83"/>
  <c r="F130" i="83"/>
  <c r="E130" i="83"/>
  <c r="D130" i="83"/>
  <c r="P127" i="83"/>
  <c r="O127" i="83"/>
  <c r="N127" i="83"/>
  <c r="M127" i="83"/>
  <c r="L127" i="83"/>
  <c r="I127" i="83"/>
  <c r="H127" i="83"/>
  <c r="K127" i="83" s="1"/>
  <c r="G127" i="83"/>
  <c r="J127" i="83" s="1"/>
  <c r="F127" i="83"/>
  <c r="D127" i="83"/>
  <c r="P126" i="83"/>
  <c r="O126" i="83"/>
  <c r="N126" i="83"/>
  <c r="M126" i="83"/>
  <c r="L126" i="83"/>
  <c r="I126" i="83"/>
  <c r="H126" i="83"/>
  <c r="K126" i="83" s="1"/>
  <c r="G126" i="83"/>
  <c r="J126" i="83" s="1"/>
  <c r="F126" i="83"/>
  <c r="E126" i="83"/>
  <c r="D126" i="83"/>
  <c r="P125" i="83"/>
  <c r="O125" i="83"/>
  <c r="N125" i="83"/>
  <c r="M125" i="83"/>
  <c r="L125" i="83"/>
  <c r="I125" i="83"/>
  <c r="H125" i="83"/>
  <c r="G125" i="83"/>
  <c r="F125" i="83"/>
  <c r="D125" i="83"/>
  <c r="P124" i="83"/>
  <c r="O124" i="83"/>
  <c r="N124" i="83"/>
  <c r="M124" i="83"/>
  <c r="L124" i="83"/>
  <c r="I124" i="83"/>
  <c r="H124" i="83"/>
  <c r="G124" i="83"/>
  <c r="F124" i="83"/>
  <c r="D124" i="83"/>
  <c r="P123" i="83"/>
  <c r="O123" i="83"/>
  <c r="N123" i="83"/>
  <c r="M123" i="83"/>
  <c r="L123" i="83"/>
  <c r="I123" i="83"/>
  <c r="H123" i="83"/>
  <c r="G123" i="83"/>
  <c r="F123" i="83"/>
  <c r="D123" i="83"/>
  <c r="P122" i="83"/>
  <c r="O122" i="83"/>
  <c r="N122" i="83"/>
  <c r="M122" i="83"/>
  <c r="L122" i="83"/>
  <c r="I122" i="83"/>
  <c r="H122" i="83"/>
  <c r="G122" i="83"/>
  <c r="F122" i="83"/>
  <c r="D122" i="83"/>
  <c r="P121" i="83"/>
  <c r="O121" i="83"/>
  <c r="N121" i="83"/>
  <c r="M121" i="83"/>
  <c r="L121" i="83"/>
  <c r="I121" i="83"/>
  <c r="H121" i="83"/>
  <c r="G121" i="83"/>
  <c r="F121" i="83"/>
  <c r="D121" i="83"/>
  <c r="P116" i="83"/>
  <c r="O116" i="83"/>
  <c r="N116" i="83"/>
  <c r="M116" i="83"/>
  <c r="L116" i="83"/>
  <c r="I116" i="83"/>
  <c r="H116" i="83"/>
  <c r="G116" i="83"/>
  <c r="F116" i="83"/>
  <c r="E116" i="83"/>
  <c r="D116" i="83"/>
  <c r="P115" i="83"/>
  <c r="O115" i="83"/>
  <c r="N115" i="83"/>
  <c r="M115" i="83"/>
  <c r="L115" i="83"/>
  <c r="I115" i="83"/>
  <c r="H115" i="83"/>
  <c r="G115" i="83"/>
  <c r="F115" i="83"/>
  <c r="D115" i="83"/>
  <c r="P114" i="83"/>
  <c r="O114" i="83"/>
  <c r="N114" i="83"/>
  <c r="M114" i="83"/>
  <c r="L114" i="83"/>
  <c r="I114" i="83"/>
  <c r="H114" i="83"/>
  <c r="G114" i="83"/>
  <c r="F114" i="83"/>
  <c r="E114" i="83"/>
  <c r="D114" i="83"/>
  <c r="P111" i="83"/>
  <c r="O111" i="83"/>
  <c r="N111" i="83"/>
  <c r="M111" i="83"/>
  <c r="L111" i="83"/>
  <c r="I111" i="83"/>
  <c r="H111" i="83"/>
  <c r="K111" i="83" s="1"/>
  <c r="G111" i="83"/>
  <c r="J111" i="83" s="1"/>
  <c r="F111" i="83"/>
  <c r="D111" i="83"/>
  <c r="P110" i="83"/>
  <c r="O110" i="83"/>
  <c r="N110" i="83"/>
  <c r="M110" i="83"/>
  <c r="L110" i="83"/>
  <c r="I110" i="83"/>
  <c r="H110" i="83"/>
  <c r="K110" i="83" s="1"/>
  <c r="G110" i="83"/>
  <c r="J110" i="83" s="1"/>
  <c r="F110" i="83"/>
  <c r="E110" i="83"/>
  <c r="D110" i="83"/>
  <c r="P109" i="83"/>
  <c r="O109" i="83"/>
  <c r="N109" i="83"/>
  <c r="M109" i="83"/>
  <c r="L109" i="83"/>
  <c r="I109" i="83"/>
  <c r="H109" i="83"/>
  <c r="G109" i="83"/>
  <c r="F109" i="83"/>
  <c r="E109" i="83"/>
  <c r="D109" i="83"/>
  <c r="P108" i="83"/>
  <c r="O108" i="83"/>
  <c r="N108" i="83"/>
  <c r="M108" i="83"/>
  <c r="L108" i="83"/>
  <c r="I108" i="83"/>
  <c r="H108" i="83"/>
  <c r="G108" i="83"/>
  <c r="F108" i="83"/>
  <c r="E108" i="83"/>
  <c r="D108" i="83"/>
  <c r="P107" i="83"/>
  <c r="O107" i="83"/>
  <c r="N107" i="83"/>
  <c r="M107" i="83"/>
  <c r="L107" i="83"/>
  <c r="I107" i="83"/>
  <c r="H107" i="83"/>
  <c r="G107" i="83"/>
  <c r="F107" i="83"/>
  <c r="D107" i="83"/>
  <c r="P106" i="83"/>
  <c r="O106" i="83"/>
  <c r="N106" i="83"/>
  <c r="M106" i="83"/>
  <c r="L106" i="83"/>
  <c r="I106" i="83"/>
  <c r="H106" i="83"/>
  <c r="G106" i="83"/>
  <c r="F106" i="83"/>
  <c r="D106" i="83"/>
  <c r="P105" i="83"/>
  <c r="O105" i="83"/>
  <c r="N105" i="83"/>
  <c r="M105" i="83"/>
  <c r="L105" i="83"/>
  <c r="I105" i="83"/>
  <c r="H105" i="83"/>
  <c r="G105" i="83"/>
  <c r="F105" i="83"/>
  <c r="E105" i="83"/>
  <c r="D105" i="83"/>
  <c r="P100" i="83"/>
  <c r="O100" i="83"/>
  <c r="N100" i="83"/>
  <c r="M100" i="83"/>
  <c r="L100" i="83"/>
  <c r="I100" i="83"/>
  <c r="H100" i="83"/>
  <c r="G100" i="83"/>
  <c r="F100" i="83"/>
  <c r="E100" i="83"/>
  <c r="D100" i="83"/>
  <c r="P99" i="83"/>
  <c r="O99" i="83"/>
  <c r="N99" i="83"/>
  <c r="M99" i="83"/>
  <c r="L99" i="83"/>
  <c r="I99" i="83"/>
  <c r="H99" i="83"/>
  <c r="G99" i="83"/>
  <c r="F99" i="83"/>
  <c r="D99" i="83"/>
  <c r="P98" i="83"/>
  <c r="O98" i="83"/>
  <c r="N98" i="83"/>
  <c r="M98" i="83"/>
  <c r="L98" i="83"/>
  <c r="I98" i="83"/>
  <c r="H98" i="83"/>
  <c r="G98" i="83"/>
  <c r="F98" i="83"/>
  <c r="D98" i="83"/>
  <c r="P95" i="83"/>
  <c r="O95" i="83"/>
  <c r="N95" i="83"/>
  <c r="M95" i="83"/>
  <c r="L95" i="83"/>
  <c r="I95" i="83"/>
  <c r="H95" i="83"/>
  <c r="K95" i="83" s="1"/>
  <c r="G95" i="83"/>
  <c r="J95" i="83" s="1"/>
  <c r="F95" i="83"/>
  <c r="D95" i="83"/>
  <c r="P94" i="83"/>
  <c r="O94" i="83"/>
  <c r="N94" i="83"/>
  <c r="M94" i="83"/>
  <c r="L94" i="83"/>
  <c r="I94" i="83"/>
  <c r="H94" i="83"/>
  <c r="K94" i="83" s="1"/>
  <c r="G94" i="83"/>
  <c r="J94" i="83" s="1"/>
  <c r="F94" i="83"/>
  <c r="E94" i="83"/>
  <c r="D94" i="83"/>
  <c r="P93" i="83"/>
  <c r="O93" i="83"/>
  <c r="N93" i="83"/>
  <c r="M93" i="83"/>
  <c r="L93" i="83"/>
  <c r="I93" i="83"/>
  <c r="H93" i="83"/>
  <c r="G93" i="83"/>
  <c r="F93" i="83"/>
  <c r="D93" i="83"/>
  <c r="P92" i="83"/>
  <c r="O92" i="83"/>
  <c r="N92" i="83"/>
  <c r="M92" i="83"/>
  <c r="L92" i="83"/>
  <c r="I92" i="83"/>
  <c r="H92" i="83"/>
  <c r="G92" i="83"/>
  <c r="F92" i="83"/>
  <c r="D92" i="83"/>
  <c r="P91" i="83"/>
  <c r="O91" i="83"/>
  <c r="N91" i="83"/>
  <c r="M91" i="83"/>
  <c r="L91" i="83"/>
  <c r="I91" i="83"/>
  <c r="H91" i="83"/>
  <c r="G91" i="83"/>
  <c r="F91" i="83"/>
  <c r="E91" i="83"/>
  <c r="D91" i="83"/>
  <c r="P90" i="83"/>
  <c r="O90" i="83"/>
  <c r="N90" i="83"/>
  <c r="M90" i="83"/>
  <c r="L90" i="83"/>
  <c r="I90" i="83"/>
  <c r="H90" i="83"/>
  <c r="G90" i="83"/>
  <c r="F90" i="83"/>
  <c r="D90" i="83"/>
  <c r="P89" i="83"/>
  <c r="O89" i="83"/>
  <c r="N89" i="83"/>
  <c r="M89" i="83"/>
  <c r="L89" i="83"/>
  <c r="I89" i="83"/>
  <c r="H89" i="83"/>
  <c r="G89" i="83"/>
  <c r="F89" i="83"/>
  <c r="D89" i="83"/>
  <c r="P84" i="83"/>
  <c r="O84" i="83"/>
  <c r="N84" i="83"/>
  <c r="M84" i="83"/>
  <c r="L84" i="83"/>
  <c r="I84" i="83"/>
  <c r="H84" i="83"/>
  <c r="G84" i="83"/>
  <c r="F84" i="83"/>
  <c r="E84" i="83"/>
  <c r="D84" i="83"/>
  <c r="P83" i="83"/>
  <c r="O83" i="83"/>
  <c r="N83" i="83"/>
  <c r="M83" i="83"/>
  <c r="L83" i="83"/>
  <c r="I83" i="83"/>
  <c r="H83" i="83"/>
  <c r="G83" i="83"/>
  <c r="F83" i="83"/>
  <c r="E83" i="83"/>
  <c r="D83" i="83"/>
  <c r="P82" i="83"/>
  <c r="O82" i="83"/>
  <c r="N82" i="83"/>
  <c r="M82" i="83"/>
  <c r="L82" i="83"/>
  <c r="I82" i="83"/>
  <c r="H82" i="83"/>
  <c r="G82" i="83"/>
  <c r="F82" i="83"/>
  <c r="E82" i="83"/>
  <c r="D82" i="83"/>
  <c r="P79" i="83"/>
  <c r="O79" i="83"/>
  <c r="N79" i="83"/>
  <c r="M79" i="83"/>
  <c r="L79" i="83"/>
  <c r="I79" i="83"/>
  <c r="H79" i="83"/>
  <c r="K79" i="83" s="1"/>
  <c r="G79" i="83"/>
  <c r="J79" i="83" s="1"/>
  <c r="F79" i="83"/>
  <c r="E79" i="83"/>
  <c r="D79" i="83"/>
  <c r="P78" i="83"/>
  <c r="O78" i="83"/>
  <c r="N78" i="83"/>
  <c r="M78" i="83"/>
  <c r="L78" i="83"/>
  <c r="I78" i="83"/>
  <c r="H78" i="83"/>
  <c r="K78" i="83" s="1"/>
  <c r="G78" i="83"/>
  <c r="J78" i="83" s="1"/>
  <c r="F78" i="83"/>
  <c r="E78" i="83"/>
  <c r="D78" i="83"/>
  <c r="P77" i="83"/>
  <c r="O77" i="83"/>
  <c r="N77" i="83"/>
  <c r="M77" i="83"/>
  <c r="L77" i="83"/>
  <c r="I77" i="83"/>
  <c r="H77" i="83"/>
  <c r="G77" i="83"/>
  <c r="F77" i="83"/>
  <c r="E77" i="83"/>
  <c r="D77" i="83"/>
  <c r="P76" i="83"/>
  <c r="O76" i="83"/>
  <c r="N76" i="83"/>
  <c r="M76" i="83"/>
  <c r="L76" i="83"/>
  <c r="I76" i="83"/>
  <c r="H76" i="83"/>
  <c r="G76" i="83"/>
  <c r="F76" i="83"/>
  <c r="E76" i="83"/>
  <c r="D76" i="83"/>
  <c r="P75" i="83"/>
  <c r="O75" i="83"/>
  <c r="N75" i="83"/>
  <c r="M75" i="83"/>
  <c r="L75" i="83"/>
  <c r="I75" i="83"/>
  <c r="H75" i="83"/>
  <c r="G75" i="83"/>
  <c r="F75" i="83"/>
  <c r="E75" i="83"/>
  <c r="D75" i="83"/>
  <c r="P74" i="83"/>
  <c r="O74" i="83"/>
  <c r="N74" i="83"/>
  <c r="M74" i="83"/>
  <c r="L74" i="83"/>
  <c r="I74" i="83"/>
  <c r="H74" i="83"/>
  <c r="G74" i="83"/>
  <c r="F74" i="83"/>
  <c r="E74" i="83"/>
  <c r="D74" i="83"/>
  <c r="P73" i="83"/>
  <c r="O73" i="83"/>
  <c r="N73" i="83"/>
  <c r="M73" i="83"/>
  <c r="L73" i="83"/>
  <c r="I73" i="83"/>
  <c r="H73" i="83"/>
  <c r="G73" i="83"/>
  <c r="F73" i="83"/>
  <c r="E73" i="83"/>
  <c r="D73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E121" i="83" s="1"/>
  <c r="V36" i="83"/>
  <c r="V35" i="83"/>
  <c r="V34" i="83"/>
  <c r="V33" i="83"/>
  <c r="V32" i="83"/>
  <c r="V31" i="83"/>
  <c r="V30" i="83"/>
  <c r="V29" i="83"/>
  <c r="V28" i="83"/>
  <c r="V27" i="83"/>
  <c r="E107" i="83" s="1"/>
  <c r="V26" i="83"/>
  <c r="V25" i="83"/>
  <c r="V24" i="83"/>
  <c r="V23" i="83"/>
  <c r="V22" i="83"/>
  <c r="E123" i="83" s="1"/>
  <c r="V21" i="83"/>
  <c r="V20" i="83"/>
  <c r="V19" i="83"/>
  <c r="V18" i="83"/>
  <c r="V17" i="83"/>
  <c r="E92" i="83" s="1"/>
  <c r="V16" i="83"/>
  <c r="V15" i="83"/>
  <c r="V14" i="83"/>
  <c r="V13" i="83"/>
  <c r="V12" i="83"/>
  <c r="V11" i="83"/>
  <c r="E106" i="83" s="1"/>
  <c r="V10" i="83"/>
  <c r="V9" i="83"/>
  <c r="V8" i="83"/>
  <c r="V7" i="83"/>
  <c r="V6" i="83"/>
  <c r="V5" i="83"/>
  <c r="V4" i="83"/>
  <c r="J2" i="83"/>
  <c r="G2" i="83"/>
  <c r="C2" i="83"/>
  <c r="M178" i="82"/>
  <c r="L178" i="82"/>
  <c r="K178" i="82"/>
  <c r="J178" i="82"/>
  <c r="I178" i="82"/>
  <c r="H178" i="82"/>
  <c r="G178" i="82"/>
  <c r="F178" i="82"/>
  <c r="E178" i="82"/>
  <c r="D178" i="82"/>
  <c r="C178" i="82"/>
  <c r="B178" i="82"/>
  <c r="M177" i="82"/>
  <c r="L177" i="82"/>
  <c r="K177" i="82"/>
  <c r="J177" i="82"/>
  <c r="I177" i="82"/>
  <c r="H177" i="82"/>
  <c r="G177" i="82"/>
  <c r="F177" i="82"/>
  <c r="E177" i="82"/>
  <c r="D177" i="82"/>
  <c r="C177" i="82"/>
  <c r="B177" i="82"/>
  <c r="M176" i="82"/>
  <c r="L176" i="82"/>
  <c r="K176" i="82"/>
  <c r="J176" i="82"/>
  <c r="I176" i="82"/>
  <c r="H176" i="82"/>
  <c r="G176" i="82"/>
  <c r="F176" i="82"/>
  <c r="E176" i="82"/>
  <c r="D176" i="82"/>
  <c r="C176" i="82"/>
  <c r="B176" i="82"/>
  <c r="M173" i="82"/>
  <c r="L173" i="82"/>
  <c r="K173" i="82"/>
  <c r="J173" i="82"/>
  <c r="I173" i="82"/>
  <c r="H173" i="82"/>
  <c r="G173" i="82"/>
  <c r="F173" i="82"/>
  <c r="E173" i="82"/>
  <c r="D173" i="82"/>
  <c r="C173" i="82"/>
  <c r="B173" i="82"/>
  <c r="M172" i="82"/>
  <c r="L172" i="82"/>
  <c r="K172" i="82"/>
  <c r="J172" i="82"/>
  <c r="I172" i="82"/>
  <c r="H172" i="82"/>
  <c r="G172" i="82"/>
  <c r="F172" i="82"/>
  <c r="E172" i="82"/>
  <c r="D172" i="82"/>
  <c r="C172" i="82"/>
  <c r="B172" i="82"/>
  <c r="M171" i="82"/>
  <c r="L171" i="82"/>
  <c r="K171" i="82"/>
  <c r="J171" i="82"/>
  <c r="I171" i="82"/>
  <c r="H171" i="82"/>
  <c r="G171" i="82"/>
  <c r="F171" i="82"/>
  <c r="E171" i="82"/>
  <c r="D171" i="82"/>
  <c r="C171" i="82"/>
  <c r="B171" i="82"/>
  <c r="M170" i="82"/>
  <c r="L170" i="82"/>
  <c r="K170" i="82"/>
  <c r="J170" i="82"/>
  <c r="I170" i="82"/>
  <c r="H170" i="82"/>
  <c r="G170" i="82"/>
  <c r="F170" i="82"/>
  <c r="E170" i="82"/>
  <c r="D170" i="82"/>
  <c r="C170" i="82"/>
  <c r="B170" i="82"/>
  <c r="M169" i="82"/>
  <c r="L169" i="82"/>
  <c r="K169" i="82"/>
  <c r="J169" i="82"/>
  <c r="I169" i="82"/>
  <c r="H169" i="82"/>
  <c r="G169" i="82"/>
  <c r="F169" i="82"/>
  <c r="D169" i="82"/>
  <c r="C169" i="82"/>
  <c r="B169" i="82"/>
  <c r="M168" i="82"/>
  <c r="L168" i="82"/>
  <c r="K168" i="82"/>
  <c r="J168" i="82"/>
  <c r="I168" i="82"/>
  <c r="H168" i="82"/>
  <c r="G168" i="82"/>
  <c r="F168" i="82"/>
  <c r="E168" i="82"/>
  <c r="D168" i="82"/>
  <c r="C168" i="82"/>
  <c r="B168" i="82"/>
  <c r="C164" i="82"/>
  <c r="B164" i="82"/>
  <c r="O163" i="82"/>
  <c r="N163" i="82"/>
  <c r="M163" i="82"/>
  <c r="L163" i="82"/>
  <c r="I163" i="82"/>
  <c r="H163" i="82"/>
  <c r="K163" i="82" s="1"/>
  <c r="G163" i="82"/>
  <c r="J163" i="82" s="1"/>
  <c r="F163" i="82"/>
  <c r="E163" i="82"/>
  <c r="D163" i="82"/>
  <c r="O162" i="82"/>
  <c r="N162" i="82"/>
  <c r="M162" i="82"/>
  <c r="L162" i="82"/>
  <c r="I162" i="82"/>
  <c r="H162" i="82"/>
  <c r="K162" i="82" s="1"/>
  <c r="G162" i="82"/>
  <c r="J162" i="82" s="1"/>
  <c r="F162" i="82"/>
  <c r="E162" i="82"/>
  <c r="D162" i="82"/>
  <c r="O161" i="82"/>
  <c r="N161" i="82"/>
  <c r="M161" i="82"/>
  <c r="L161" i="82"/>
  <c r="I161" i="82"/>
  <c r="H161" i="82"/>
  <c r="G161" i="82"/>
  <c r="J161" i="82" s="1"/>
  <c r="F161" i="82"/>
  <c r="E161" i="82"/>
  <c r="D161" i="82"/>
  <c r="C159" i="82"/>
  <c r="B159" i="82"/>
  <c r="O158" i="82"/>
  <c r="N158" i="82"/>
  <c r="M158" i="82"/>
  <c r="L158" i="82"/>
  <c r="I158" i="82"/>
  <c r="H158" i="82"/>
  <c r="K158" i="82" s="1"/>
  <c r="G158" i="82"/>
  <c r="J158" i="82" s="1"/>
  <c r="F158" i="82"/>
  <c r="E158" i="82"/>
  <c r="D158" i="82"/>
  <c r="O157" i="82"/>
  <c r="N157" i="82"/>
  <c r="M157" i="82"/>
  <c r="L157" i="82"/>
  <c r="I157" i="82"/>
  <c r="H157" i="82"/>
  <c r="K157" i="82" s="1"/>
  <c r="G157" i="82"/>
  <c r="J157" i="82" s="1"/>
  <c r="F157" i="82"/>
  <c r="E157" i="82"/>
  <c r="D157" i="82"/>
  <c r="O156" i="82"/>
  <c r="N156" i="82"/>
  <c r="M156" i="82"/>
  <c r="L156" i="82"/>
  <c r="I156" i="82"/>
  <c r="H156" i="82"/>
  <c r="K156" i="82" s="1"/>
  <c r="G156" i="82"/>
  <c r="J156" i="82" s="1"/>
  <c r="F156" i="82"/>
  <c r="E156" i="82"/>
  <c r="D156" i="82"/>
  <c r="O155" i="82"/>
  <c r="N155" i="82"/>
  <c r="M155" i="82"/>
  <c r="L155" i="82"/>
  <c r="I155" i="82"/>
  <c r="H155" i="82"/>
  <c r="K155" i="82" s="1"/>
  <c r="G155" i="82"/>
  <c r="J155" i="82" s="1"/>
  <c r="F155" i="82"/>
  <c r="E155" i="82"/>
  <c r="D155" i="82"/>
  <c r="O154" i="82"/>
  <c r="N154" i="82"/>
  <c r="M154" i="82"/>
  <c r="L154" i="82"/>
  <c r="I154" i="82"/>
  <c r="H154" i="82"/>
  <c r="K154" i="82" s="1"/>
  <c r="G154" i="82"/>
  <c r="J154" i="82" s="1"/>
  <c r="F154" i="82"/>
  <c r="E154" i="82"/>
  <c r="D154" i="82"/>
  <c r="O153" i="82"/>
  <c r="N153" i="82"/>
  <c r="M153" i="82"/>
  <c r="L153" i="82"/>
  <c r="I153" i="82"/>
  <c r="H153" i="82"/>
  <c r="K153" i="82" s="1"/>
  <c r="G153" i="82"/>
  <c r="J153" i="82" s="1"/>
  <c r="F153" i="82"/>
  <c r="E153" i="82"/>
  <c r="D153" i="82"/>
  <c r="O152" i="82"/>
  <c r="N152" i="82"/>
  <c r="M152" i="82"/>
  <c r="L152" i="82"/>
  <c r="I152" i="82"/>
  <c r="H152" i="82"/>
  <c r="G152" i="82"/>
  <c r="F152" i="82"/>
  <c r="E152" i="82"/>
  <c r="D152" i="82"/>
  <c r="I147" i="82"/>
  <c r="H147" i="82"/>
  <c r="G147" i="82"/>
  <c r="F147" i="82"/>
  <c r="E147" i="82"/>
  <c r="D147" i="82"/>
  <c r="I146" i="82"/>
  <c r="H146" i="82"/>
  <c r="G146" i="82"/>
  <c r="F146" i="82"/>
  <c r="D146" i="82"/>
  <c r="P145" i="82"/>
  <c r="O145" i="82"/>
  <c r="N145" i="82"/>
  <c r="M145" i="82"/>
  <c r="L145" i="82"/>
  <c r="I145" i="82"/>
  <c r="H145" i="82"/>
  <c r="G145" i="82"/>
  <c r="F145" i="82"/>
  <c r="D145" i="82"/>
  <c r="P142" i="82"/>
  <c r="O142" i="82"/>
  <c r="N142" i="82"/>
  <c r="M142" i="82"/>
  <c r="L142" i="82"/>
  <c r="I142" i="82"/>
  <c r="H142" i="82"/>
  <c r="K142" i="82" s="1"/>
  <c r="G142" i="82"/>
  <c r="J142" i="82" s="1"/>
  <c r="F142" i="82"/>
  <c r="D142" i="82"/>
  <c r="P141" i="82"/>
  <c r="O141" i="82"/>
  <c r="N141" i="82"/>
  <c r="M141" i="82"/>
  <c r="L141" i="82"/>
  <c r="I141" i="82"/>
  <c r="H141" i="82"/>
  <c r="K141" i="82" s="1"/>
  <c r="G141" i="82"/>
  <c r="J141" i="82" s="1"/>
  <c r="F141" i="82"/>
  <c r="E141" i="82"/>
  <c r="D141" i="82"/>
  <c r="P140" i="82"/>
  <c r="O140" i="82"/>
  <c r="N140" i="82"/>
  <c r="M140" i="82"/>
  <c r="L140" i="82"/>
  <c r="I140" i="82"/>
  <c r="H140" i="82"/>
  <c r="G140" i="82"/>
  <c r="F140" i="82"/>
  <c r="D140" i="82"/>
  <c r="P139" i="82"/>
  <c r="P147" i="82" s="1"/>
  <c r="O139" i="82"/>
  <c r="O147" i="82" s="1"/>
  <c r="N139" i="82"/>
  <c r="N147" i="82" s="1"/>
  <c r="M139" i="82"/>
  <c r="M147" i="82" s="1"/>
  <c r="L139" i="82"/>
  <c r="L147" i="82" s="1"/>
  <c r="I139" i="82"/>
  <c r="H139" i="82"/>
  <c r="G139" i="82"/>
  <c r="F139" i="82"/>
  <c r="D139" i="82"/>
  <c r="P138" i="82"/>
  <c r="O138" i="82"/>
  <c r="N138" i="82"/>
  <c r="M138" i="82"/>
  <c r="L138" i="82"/>
  <c r="I138" i="82"/>
  <c r="H138" i="82"/>
  <c r="G138" i="82"/>
  <c r="F138" i="82"/>
  <c r="E138" i="82"/>
  <c r="D138" i="82"/>
  <c r="P137" i="82"/>
  <c r="P146" i="82" s="1"/>
  <c r="O137" i="82"/>
  <c r="O146" i="82" s="1"/>
  <c r="N137" i="82"/>
  <c r="N146" i="82" s="1"/>
  <c r="M137" i="82"/>
  <c r="M146" i="82" s="1"/>
  <c r="L137" i="82"/>
  <c r="L146" i="82" s="1"/>
  <c r="I137" i="82"/>
  <c r="H137" i="82"/>
  <c r="G137" i="82"/>
  <c r="F137" i="82"/>
  <c r="D137" i="82"/>
  <c r="P136" i="82"/>
  <c r="O136" i="82"/>
  <c r="N136" i="82"/>
  <c r="M136" i="82"/>
  <c r="L136" i="82"/>
  <c r="I136" i="82"/>
  <c r="H136" i="82"/>
  <c r="G136" i="82"/>
  <c r="F136" i="82"/>
  <c r="E136" i="82"/>
  <c r="D136" i="82"/>
  <c r="P131" i="82"/>
  <c r="O131" i="82"/>
  <c r="N131" i="82"/>
  <c r="M131" i="82"/>
  <c r="L131" i="82"/>
  <c r="I131" i="82"/>
  <c r="H131" i="82"/>
  <c r="G131" i="82"/>
  <c r="F131" i="82"/>
  <c r="E131" i="82"/>
  <c r="D131" i="82"/>
  <c r="P130" i="82"/>
  <c r="O130" i="82"/>
  <c r="N130" i="82"/>
  <c r="M130" i="82"/>
  <c r="L130" i="82"/>
  <c r="I130" i="82"/>
  <c r="H130" i="82"/>
  <c r="G130" i="82"/>
  <c r="F130" i="82"/>
  <c r="E130" i="82"/>
  <c r="D130" i="82"/>
  <c r="P129" i="82"/>
  <c r="O129" i="82"/>
  <c r="N129" i="82"/>
  <c r="M129" i="82"/>
  <c r="L129" i="82"/>
  <c r="I129" i="82"/>
  <c r="H129" i="82"/>
  <c r="G129" i="82"/>
  <c r="F129" i="82"/>
  <c r="E129" i="82"/>
  <c r="D129" i="82"/>
  <c r="P126" i="82"/>
  <c r="O126" i="82"/>
  <c r="N126" i="82"/>
  <c r="M126" i="82"/>
  <c r="L126" i="82"/>
  <c r="I126" i="82"/>
  <c r="H126" i="82"/>
  <c r="K126" i="82" s="1"/>
  <c r="G126" i="82"/>
  <c r="J126" i="82" s="1"/>
  <c r="F126" i="82"/>
  <c r="D126" i="82"/>
  <c r="P125" i="82"/>
  <c r="O125" i="82"/>
  <c r="N125" i="82"/>
  <c r="M125" i="82"/>
  <c r="L125" i="82"/>
  <c r="I125" i="82"/>
  <c r="H125" i="82"/>
  <c r="K125" i="82" s="1"/>
  <c r="G125" i="82"/>
  <c r="J125" i="82" s="1"/>
  <c r="F125" i="82"/>
  <c r="E125" i="82"/>
  <c r="D125" i="82"/>
  <c r="P124" i="82"/>
  <c r="O124" i="82"/>
  <c r="N124" i="82"/>
  <c r="M124" i="82"/>
  <c r="L124" i="82"/>
  <c r="I124" i="82"/>
  <c r="H124" i="82"/>
  <c r="G124" i="82"/>
  <c r="F124" i="82"/>
  <c r="E124" i="82"/>
  <c r="D124" i="82"/>
  <c r="P123" i="82"/>
  <c r="O123" i="82"/>
  <c r="N123" i="82"/>
  <c r="M123" i="82"/>
  <c r="L123" i="82"/>
  <c r="I123" i="82"/>
  <c r="H123" i="82"/>
  <c r="G123" i="82"/>
  <c r="F123" i="82"/>
  <c r="D123" i="82"/>
  <c r="P122" i="82"/>
  <c r="O122" i="82"/>
  <c r="N122" i="82"/>
  <c r="M122" i="82"/>
  <c r="L122" i="82"/>
  <c r="I122" i="82"/>
  <c r="H122" i="82"/>
  <c r="G122" i="82"/>
  <c r="F122" i="82"/>
  <c r="E122" i="82"/>
  <c r="D122" i="82"/>
  <c r="P121" i="82"/>
  <c r="O121" i="82"/>
  <c r="N121" i="82"/>
  <c r="M121" i="82"/>
  <c r="L121" i="82"/>
  <c r="I121" i="82"/>
  <c r="H121" i="82"/>
  <c r="G121" i="82"/>
  <c r="F121" i="82"/>
  <c r="D121" i="82"/>
  <c r="P120" i="82"/>
  <c r="O120" i="82"/>
  <c r="N120" i="82"/>
  <c r="M120" i="82"/>
  <c r="L120" i="82"/>
  <c r="I120" i="82"/>
  <c r="H120" i="82"/>
  <c r="G120" i="82"/>
  <c r="F120" i="82"/>
  <c r="E120" i="82"/>
  <c r="D120" i="82"/>
  <c r="P115" i="82"/>
  <c r="O115" i="82"/>
  <c r="N115" i="82"/>
  <c r="M115" i="82"/>
  <c r="L115" i="82"/>
  <c r="I115" i="82"/>
  <c r="H115" i="82"/>
  <c r="G115" i="82"/>
  <c r="F115" i="82"/>
  <c r="E115" i="82"/>
  <c r="D115" i="82"/>
  <c r="P114" i="82"/>
  <c r="O114" i="82"/>
  <c r="N114" i="82"/>
  <c r="M114" i="82"/>
  <c r="L114" i="82"/>
  <c r="I114" i="82"/>
  <c r="H114" i="82"/>
  <c r="G114" i="82"/>
  <c r="F114" i="82"/>
  <c r="E114" i="82"/>
  <c r="D114" i="82"/>
  <c r="P113" i="82"/>
  <c r="O113" i="82"/>
  <c r="N113" i="82"/>
  <c r="M113" i="82"/>
  <c r="L113" i="82"/>
  <c r="I113" i="82"/>
  <c r="H113" i="82"/>
  <c r="G113" i="82"/>
  <c r="F113" i="82"/>
  <c r="E113" i="82"/>
  <c r="D113" i="82"/>
  <c r="P110" i="82"/>
  <c r="O110" i="82"/>
  <c r="N110" i="82"/>
  <c r="M110" i="82"/>
  <c r="L110" i="82"/>
  <c r="I110" i="82"/>
  <c r="H110" i="82"/>
  <c r="K110" i="82" s="1"/>
  <c r="G110" i="82"/>
  <c r="J110" i="82" s="1"/>
  <c r="F110" i="82"/>
  <c r="E110" i="82"/>
  <c r="D110" i="82"/>
  <c r="P109" i="82"/>
  <c r="O109" i="82"/>
  <c r="N109" i="82"/>
  <c r="M109" i="82"/>
  <c r="L109" i="82"/>
  <c r="I109" i="82"/>
  <c r="H109" i="82"/>
  <c r="K109" i="82" s="1"/>
  <c r="G109" i="82"/>
  <c r="J109" i="82" s="1"/>
  <c r="F109" i="82"/>
  <c r="E109" i="82"/>
  <c r="D109" i="82"/>
  <c r="P108" i="82"/>
  <c r="O108" i="82"/>
  <c r="N108" i="82"/>
  <c r="M108" i="82"/>
  <c r="L108" i="82"/>
  <c r="I108" i="82"/>
  <c r="H108" i="82"/>
  <c r="G108" i="82"/>
  <c r="F108" i="82"/>
  <c r="E108" i="82"/>
  <c r="D108" i="82"/>
  <c r="P107" i="82"/>
  <c r="O107" i="82"/>
  <c r="N107" i="82"/>
  <c r="M107" i="82"/>
  <c r="L107" i="82"/>
  <c r="I107" i="82"/>
  <c r="H107" i="82"/>
  <c r="G107" i="82"/>
  <c r="F107" i="82"/>
  <c r="E107" i="82"/>
  <c r="D107" i="82"/>
  <c r="P106" i="82"/>
  <c r="O106" i="82"/>
  <c r="N106" i="82"/>
  <c r="M106" i="82"/>
  <c r="L106" i="82"/>
  <c r="I106" i="82"/>
  <c r="H106" i="82"/>
  <c r="G106" i="82"/>
  <c r="F106" i="82"/>
  <c r="E106" i="82"/>
  <c r="D106" i="82"/>
  <c r="P105" i="82"/>
  <c r="O105" i="82"/>
  <c r="N105" i="82"/>
  <c r="M105" i="82"/>
  <c r="L105" i="82"/>
  <c r="I105" i="82"/>
  <c r="H105" i="82"/>
  <c r="G105" i="82"/>
  <c r="F105" i="82"/>
  <c r="E105" i="82"/>
  <c r="D105" i="82"/>
  <c r="P104" i="82"/>
  <c r="O104" i="82"/>
  <c r="N104" i="82"/>
  <c r="M104" i="82"/>
  <c r="L104" i="82"/>
  <c r="I104" i="82"/>
  <c r="H104" i="82"/>
  <c r="G104" i="82"/>
  <c r="F104" i="82"/>
  <c r="E104" i="82"/>
  <c r="D104" i="82"/>
  <c r="P99" i="82"/>
  <c r="O99" i="82"/>
  <c r="N99" i="82"/>
  <c r="M99" i="82"/>
  <c r="L99" i="82"/>
  <c r="I99" i="82"/>
  <c r="H99" i="82"/>
  <c r="G99" i="82"/>
  <c r="F99" i="82"/>
  <c r="E99" i="82"/>
  <c r="D99" i="82"/>
  <c r="P98" i="82"/>
  <c r="O98" i="82"/>
  <c r="N98" i="82"/>
  <c r="M98" i="82"/>
  <c r="L98" i="82"/>
  <c r="I98" i="82"/>
  <c r="H98" i="82"/>
  <c r="G98" i="82"/>
  <c r="F98" i="82"/>
  <c r="D98" i="82"/>
  <c r="P97" i="82"/>
  <c r="O97" i="82"/>
  <c r="N97" i="82"/>
  <c r="M97" i="82"/>
  <c r="L97" i="82"/>
  <c r="I97" i="82"/>
  <c r="H97" i="82"/>
  <c r="G97" i="82"/>
  <c r="F97" i="82"/>
  <c r="D97" i="82"/>
  <c r="P94" i="82"/>
  <c r="O94" i="82"/>
  <c r="N94" i="82"/>
  <c r="M94" i="82"/>
  <c r="L94" i="82"/>
  <c r="I94" i="82"/>
  <c r="H94" i="82"/>
  <c r="K94" i="82" s="1"/>
  <c r="G94" i="82"/>
  <c r="J94" i="82" s="1"/>
  <c r="F94" i="82"/>
  <c r="E94" i="82"/>
  <c r="D94" i="82"/>
  <c r="P93" i="82"/>
  <c r="O93" i="82"/>
  <c r="N93" i="82"/>
  <c r="M93" i="82"/>
  <c r="L93" i="82"/>
  <c r="I93" i="82"/>
  <c r="H93" i="82"/>
  <c r="K93" i="82" s="1"/>
  <c r="G93" i="82"/>
  <c r="J93" i="82" s="1"/>
  <c r="F93" i="82"/>
  <c r="E93" i="82"/>
  <c r="D93" i="82"/>
  <c r="P92" i="82"/>
  <c r="O92" i="82"/>
  <c r="N92" i="82"/>
  <c r="M92" i="82"/>
  <c r="L92" i="82"/>
  <c r="I92" i="82"/>
  <c r="H92" i="82"/>
  <c r="G92" i="82"/>
  <c r="F92" i="82"/>
  <c r="D92" i="82"/>
  <c r="P91" i="82"/>
  <c r="O91" i="82"/>
  <c r="N91" i="82"/>
  <c r="M91" i="82"/>
  <c r="L91" i="82"/>
  <c r="I91" i="82"/>
  <c r="H91" i="82"/>
  <c r="G91" i="82"/>
  <c r="F91" i="82"/>
  <c r="D91" i="82"/>
  <c r="P90" i="82"/>
  <c r="O90" i="82"/>
  <c r="N90" i="82"/>
  <c r="M90" i="82"/>
  <c r="L90" i="82"/>
  <c r="I90" i="82"/>
  <c r="H90" i="82"/>
  <c r="G90" i="82"/>
  <c r="F90" i="82"/>
  <c r="E90" i="82"/>
  <c r="D90" i="82"/>
  <c r="P89" i="82"/>
  <c r="O89" i="82"/>
  <c r="N89" i="82"/>
  <c r="M89" i="82"/>
  <c r="L89" i="82"/>
  <c r="I89" i="82"/>
  <c r="H89" i="82"/>
  <c r="G89" i="82"/>
  <c r="F89" i="82"/>
  <c r="E89" i="82"/>
  <c r="D89" i="82"/>
  <c r="P88" i="82"/>
  <c r="O88" i="82"/>
  <c r="N88" i="82"/>
  <c r="M88" i="82"/>
  <c r="L88" i="82"/>
  <c r="I88" i="82"/>
  <c r="H88" i="82"/>
  <c r="G88" i="82"/>
  <c r="F88" i="82"/>
  <c r="E88" i="82"/>
  <c r="D88" i="82"/>
  <c r="P83" i="82"/>
  <c r="O83" i="82"/>
  <c r="N83" i="82"/>
  <c r="M83" i="82"/>
  <c r="L83" i="82"/>
  <c r="I83" i="82"/>
  <c r="H83" i="82"/>
  <c r="G83" i="82"/>
  <c r="F83" i="82"/>
  <c r="E83" i="82"/>
  <c r="D83" i="82"/>
  <c r="P82" i="82"/>
  <c r="O82" i="82"/>
  <c r="N82" i="82"/>
  <c r="M82" i="82"/>
  <c r="L82" i="82"/>
  <c r="I82" i="82"/>
  <c r="H82" i="82"/>
  <c r="G82" i="82"/>
  <c r="F82" i="82"/>
  <c r="E82" i="82"/>
  <c r="D82" i="82"/>
  <c r="P81" i="82"/>
  <c r="O81" i="82"/>
  <c r="N81" i="82"/>
  <c r="M81" i="82"/>
  <c r="L81" i="82"/>
  <c r="I81" i="82"/>
  <c r="H81" i="82"/>
  <c r="G81" i="82"/>
  <c r="F81" i="82"/>
  <c r="E81" i="82"/>
  <c r="D81" i="82"/>
  <c r="P78" i="82"/>
  <c r="O78" i="82"/>
  <c r="N78" i="82"/>
  <c r="M78" i="82"/>
  <c r="L78" i="82"/>
  <c r="I78" i="82"/>
  <c r="H78" i="82"/>
  <c r="K78" i="82" s="1"/>
  <c r="G78" i="82"/>
  <c r="J78" i="82" s="1"/>
  <c r="F78" i="82"/>
  <c r="E78" i="82"/>
  <c r="D78" i="82"/>
  <c r="P77" i="82"/>
  <c r="O77" i="82"/>
  <c r="N77" i="82"/>
  <c r="M77" i="82"/>
  <c r="L77" i="82"/>
  <c r="I77" i="82"/>
  <c r="H77" i="82"/>
  <c r="K77" i="82" s="1"/>
  <c r="G77" i="82"/>
  <c r="J77" i="82" s="1"/>
  <c r="F77" i="82"/>
  <c r="E77" i="82"/>
  <c r="D77" i="82"/>
  <c r="P76" i="82"/>
  <c r="O76" i="82"/>
  <c r="N76" i="82"/>
  <c r="M76" i="82"/>
  <c r="L76" i="82"/>
  <c r="I76" i="82"/>
  <c r="H76" i="82"/>
  <c r="G76" i="82"/>
  <c r="F76" i="82"/>
  <c r="E76" i="82"/>
  <c r="D76" i="82"/>
  <c r="P75" i="82"/>
  <c r="O75" i="82"/>
  <c r="N75" i="82"/>
  <c r="M75" i="82"/>
  <c r="L75" i="82"/>
  <c r="I75" i="82"/>
  <c r="H75" i="82"/>
  <c r="G75" i="82"/>
  <c r="F75" i="82"/>
  <c r="E75" i="82"/>
  <c r="D75" i="82"/>
  <c r="P74" i="82"/>
  <c r="O74" i="82"/>
  <c r="N74" i="82"/>
  <c r="M74" i="82"/>
  <c r="L74" i="82"/>
  <c r="I74" i="82"/>
  <c r="H74" i="82"/>
  <c r="G74" i="82"/>
  <c r="F74" i="82"/>
  <c r="E74" i="82"/>
  <c r="D74" i="82"/>
  <c r="P73" i="82"/>
  <c r="O73" i="82"/>
  <c r="N73" i="82"/>
  <c r="M73" i="82"/>
  <c r="L73" i="82"/>
  <c r="I73" i="82"/>
  <c r="H73" i="82"/>
  <c r="G73" i="82"/>
  <c r="F73" i="82"/>
  <c r="E73" i="82"/>
  <c r="D73" i="82"/>
  <c r="P72" i="82"/>
  <c r="O72" i="82"/>
  <c r="N72" i="82"/>
  <c r="M72" i="82"/>
  <c r="L72" i="82"/>
  <c r="I72" i="82"/>
  <c r="H72" i="82"/>
  <c r="G72" i="82"/>
  <c r="F72" i="82"/>
  <c r="E72" i="82"/>
  <c r="D72" i="82"/>
  <c r="V64" i="82"/>
  <c r="V63" i="82"/>
  <c r="V62" i="82"/>
  <c r="V61" i="82"/>
  <c r="V60" i="82"/>
  <c r="V59" i="82"/>
  <c r="V58" i="82"/>
  <c r="V57" i="82"/>
  <c r="V56" i="82"/>
  <c r="V55" i="82"/>
  <c r="V54" i="82"/>
  <c r="V53" i="82"/>
  <c r="V52" i="82"/>
  <c r="V51" i="82"/>
  <c r="V50" i="82"/>
  <c r="V49" i="82"/>
  <c r="V48" i="82"/>
  <c r="V47" i="82"/>
  <c r="V46" i="82"/>
  <c r="V45" i="82"/>
  <c r="V44" i="82"/>
  <c r="V43" i="82"/>
  <c r="V42" i="82"/>
  <c r="V41" i="82"/>
  <c r="V40" i="82"/>
  <c r="V39" i="82"/>
  <c r="V38" i="82"/>
  <c r="V37" i="82"/>
  <c r="V36" i="82"/>
  <c r="V35" i="82"/>
  <c r="V34" i="82"/>
  <c r="V33" i="82"/>
  <c r="V32" i="82"/>
  <c r="V31" i="82"/>
  <c r="V30" i="82"/>
  <c r="V29" i="82"/>
  <c r="V28" i="82"/>
  <c r="V27" i="82"/>
  <c r="V26" i="82"/>
  <c r="V25" i="82"/>
  <c r="V24" i="82"/>
  <c r="V23" i="82"/>
  <c r="V22" i="82"/>
  <c r="V21" i="82"/>
  <c r="V20" i="82"/>
  <c r="V19" i="82"/>
  <c r="V18" i="82"/>
  <c r="V17" i="82"/>
  <c r="V16" i="82"/>
  <c r="V15" i="82"/>
  <c r="V14" i="82"/>
  <c r="V13" i="82"/>
  <c r="V12" i="82"/>
  <c r="V11" i="82"/>
  <c r="V10" i="82"/>
  <c r="V9" i="82"/>
  <c r="V8" i="82"/>
  <c r="V7" i="82"/>
  <c r="V6" i="82"/>
  <c r="V5" i="82"/>
  <c r="V4" i="82"/>
  <c r="V3" i="82"/>
  <c r="M171" i="80"/>
  <c r="L171" i="80"/>
  <c r="K171" i="80"/>
  <c r="J171" i="80"/>
  <c r="I171" i="80"/>
  <c r="H171" i="80"/>
  <c r="G171" i="80"/>
  <c r="F171" i="80"/>
  <c r="E171" i="80"/>
  <c r="D171" i="80"/>
  <c r="C171" i="80"/>
  <c r="B171" i="80"/>
  <c r="M170" i="80"/>
  <c r="L170" i="80"/>
  <c r="K170" i="80"/>
  <c r="J170" i="80"/>
  <c r="I170" i="80"/>
  <c r="H170" i="80"/>
  <c r="G170" i="80"/>
  <c r="F170" i="80"/>
  <c r="E170" i="80"/>
  <c r="D170" i="80"/>
  <c r="C170" i="80"/>
  <c r="B170" i="80"/>
  <c r="M169" i="80"/>
  <c r="L169" i="80"/>
  <c r="K169" i="80"/>
  <c r="J169" i="80"/>
  <c r="I169" i="80"/>
  <c r="H169" i="80"/>
  <c r="G169" i="80"/>
  <c r="F169" i="80"/>
  <c r="D169" i="80"/>
  <c r="C169" i="80"/>
  <c r="B169" i="80"/>
  <c r="M167" i="80"/>
  <c r="M166" i="80"/>
  <c r="L166" i="80"/>
  <c r="K166" i="80"/>
  <c r="J166" i="80"/>
  <c r="I166" i="80"/>
  <c r="H166" i="80"/>
  <c r="G166" i="80"/>
  <c r="F166" i="80"/>
  <c r="E166" i="80"/>
  <c r="D166" i="80"/>
  <c r="C166" i="80"/>
  <c r="B166" i="80"/>
  <c r="M165" i="80"/>
  <c r="L165" i="80"/>
  <c r="K165" i="80"/>
  <c r="J165" i="80"/>
  <c r="I165" i="80"/>
  <c r="H165" i="80"/>
  <c r="G165" i="80"/>
  <c r="F165" i="80"/>
  <c r="D165" i="80"/>
  <c r="C165" i="80"/>
  <c r="B165" i="80"/>
  <c r="M164" i="80"/>
  <c r="L164" i="80"/>
  <c r="K164" i="80"/>
  <c r="J164" i="80"/>
  <c r="I164" i="80"/>
  <c r="H164" i="80"/>
  <c r="G164" i="80"/>
  <c r="F164" i="80"/>
  <c r="D164" i="80"/>
  <c r="C164" i="80"/>
  <c r="B164" i="80"/>
  <c r="M163" i="80"/>
  <c r="L163" i="80"/>
  <c r="K163" i="80"/>
  <c r="J163" i="80"/>
  <c r="I163" i="80"/>
  <c r="H163" i="80"/>
  <c r="G163" i="80"/>
  <c r="F163" i="80"/>
  <c r="D163" i="80"/>
  <c r="C163" i="80"/>
  <c r="B163" i="80"/>
  <c r="M162" i="80"/>
  <c r="L162" i="80"/>
  <c r="K162" i="80"/>
  <c r="J162" i="80"/>
  <c r="I162" i="80"/>
  <c r="H162" i="80"/>
  <c r="G162" i="80"/>
  <c r="F162" i="80"/>
  <c r="D162" i="80"/>
  <c r="C162" i="80"/>
  <c r="B162" i="80"/>
  <c r="C158" i="80"/>
  <c r="B158" i="80"/>
  <c r="O157" i="80"/>
  <c r="N157" i="80"/>
  <c r="M157" i="80"/>
  <c r="L157" i="80"/>
  <c r="I157" i="80"/>
  <c r="H157" i="80"/>
  <c r="K157" i="80" s="1"/>
  <c r="G157" i="80"/>
  <c r="J157" i="80" s="1"/>
  <c r="F157" i="80"/>
  <c r="E157" i="80"/>
  <c r="D157" i="80"/>
  <c r="O156" i="80"/>
  <c r="N156" i="80"/>
  <c r="M156" i="80"/>
  <c r="L156" i="80"/>
  <c r="I156" i="80"/>
  <c r="H156" i="80"/>
  <c r="K156" i="80" s="1"/>
  <c r="G156" i="80"/>
  <c r="J156" i="80" s="1"/>
  <c r="F156" i="80"/>
  <c r="E156" i="80"/>
  <c r="D156" i="80"/>
  <c r="O155" i="80"/>
  <c r="N155" i="80"/>
  <c r="M155" i="80"/>
  <c r="L155" i="80"/>
  <c r="I155" i="80"/>
  <c r="H155" i="80"/>
  <c r="K155" i="80" s="1"/>
  <c r="G155" i="80"/>
  <c r="J155" i="80" s="1"/>
  <c r="F155" i="80"/>
  <c r="E155" i="80"/>
  <c r="D155" i="80"/>
  <c r="C153" i="80"/>
  <c r="B153" i="80"/>
  <c r="O152" i="80"/>
  <c r="N152" i="80"/>
  <c r="M152" i="80"/>
  <c r="L152" i="80"/>
  <c r="I152" i="80"/>
  <c r="H152" i="80"/>
  <c r="K152" i="80" s="1"/>
  <c r="G152" i="80"/>
  <c r="J152" i="80" s="1"/>
  <c r="F152" i="80"/>
  <c r="E152" i="80"/>
  <c r="D152" i="80"/>
  <c r="O151" i="80"/>
  <c r="N151" i="80"/>
  <c r="M151" i="80"/>
  <c r="L151" i="80"/>
  <c r="I151" i="80"/>
  <c r="H151" i="80"/>
  <c r="K151" i="80" s="1"/>
  <c r="G151" i="80"/>
  <c r="J151" i="80" s="1"/>
  <c r="F151" i="80"/>
  <c r="E151" i="80"/>
  <c r="D151" i="80"/>
  <c r="O150" i="80"/>
  <c r="N150" i="80"/>
  <c r="M150" i="80"/>
  <c r="L150" i="80"/>
  <c r="I150" i="80"/>
  <c r="H150" i="80"/>
  <c r="K150" i="80" s="1"/>
  <c r="G150" i="80"/>
  <c r="J150" i="80" s="1"/>
  <c r="F150" i="80"/>
  <c r="E150" i="80"/>
  <c r="D150" i="80"/>
  <c r="O149" i="80"/>
  <c r="N149" i="80"/>
  <c r="M149" i="80"/>
  <c r="L149" i="80"/>
  <c r="I149" i="80"/>
  <c r="H149" i="80"/>
  <c r="K149" i="80" s="1"/>
  <c r="G149" i="80"/>
  <c r="J149" i="80" s="1"/>
  <c r="F149" i="80"/>
  <c r="E149" i="80"/>
  <c r="D149" i="80"/>
  <c r="O148" i="80"/>
  <c r="N148" i="80"/>
  <c r="M148" i="80"/>
  <c r="L148" i="80"/>
  <c r="I148" i="80"/>
  <c r="H148" i="80"/>
  <c r="K148" i="80" s="1"/>
  <c r="G148" i="80"/>
  <c r="J148" i="80" s="1"/>
  <c r="F148" i="80"/>
  <c r="E148" i="80"/>
  <c r="D148" i="80"/>
  <c r="O147" i="80"/>
  <c r="N147" i="80"/>
  <c r="M147" i="80"/>
  <c r="L147" i="80"/>
  <c r="I147" i="80"/>
  <c r="H147" i="80"/>
  <c r="K147" i="80" s="1"/>
  <c r="G147" i="80"/>
  <c r="F147" i="80"/>
  <c r="E147" i="80"/>
  <c r="D147" i="80"/>
  <c r="I142" i="80"/>
  <c r="H142" i="80"/>
  <c r="G142" i="80"/>
  <c r="F142" i="80"/>
  <c r="E142" i="80"/>
  <c r="D142" i="80"/>
  <c r="I141" i="80"/>
  <c r="H141" i="80"/>
  <c r="G141" i="80"/>
  <c r="F141" i="80"/>
  <c r="E141" i="80"/>
  <c r="D141" i="80"/>
  <c r="P140" i="80"/>
  <c r="O140" i="80"/>
  <c r="N140" i="80"/>
  <c r="M140" i="80"/>
  <c r="L140" i="80"/>
  <c r="I140" i="80"/>
  <c r="H140" i="80"/>
  <c r="G140" i="80"/>
  <c r="F140" i="80"/>
  <c r="D140" i="80"/>
  <c r="P137" i="80"/>
  <c r="O137" i="80"/>
  <c r="N137" i="80"/>
  <c r="M137" i="80"/>
  <c r="L137" i="80"/>
  <c r="I137" i="80"/>
  <c r="H137" i="80"/>
  <c r="K137" i="80" s="1"/>
  <c r="G137" i="80"/>
  <c r="J137" i="80" s="1"/>
  <c r="F137" i="80"/>
  <c r="D137" i="80"/>
  <c r="P136" i="80"/>
  <c r="O136" i="80"/>
  <c r="N136" i="80"/>
  <c r="M136" i="80"/>
  <c r="L136" i="80"/>
  <c r="I136" i="80"/>
  <c r="H136" i="80"/>
  <c r="K136" i="80" s="1"/>
  <c r="G136" i="80"/>
  <c r="J136" i="80" s="1"/>
  <c r="F136" i="80"/>
  <c r="E136" i="80"/>
  <c r="D136" i="80"/>
  <c r="P135" i="80"/>
  <c r="O135" i="80"/>
  <c r="N135" i="80"/>
  <c r="M135" i="80"/>
  <c r="L135" i="80"/>
  <c r="I135" i="80"/>
  <c r="H135" i="80"/>
  <c r="G135" i="80"/>
  <c r="F135" i="80"/>
  <c r="D135" i="80"/>
  <c r="P134" i="80"/>
  <c r="P142" i="80" s="1"/>
  <c r="O134" i="80"/>
  <c r="O142" i="80" s="1"/>
  <c r="N134" i="80"/>
  <c r="N142" i="80" s="1"/>
  <c r="M134" i="80"/>
  <c r="M142" i="80" s="1"/>
  <c r="L134" i="80"/>
  <c r="L142" i="80" s="1"/>
  <c r="I134" i="80"/>
  <c r="H134" i="80"/>
  <c r="G134" i="80"/>
  <c r="F134" i="80"/>
  <c r="D134" i="80"/>
  <c r="P133" i="80"/>
  <c r="O133" i="80"/>
  <c r="N133" i="80"/>
  <c r="M133" i="80"/>
  <c r="L133" i="80"/>
  <c r="I133" i="80"/>
  <c r="H133" i="80"/>
  <c r="G133" i="80"/>
  <c r="F133" i="80"/>
  <c r="D133" i="80"/>
  <c r="P132" i="80"/>
  <c r="O132" i="80"/>
  <c r="O141" i="80" s="1"/>
  <c r="N132" i="80"/>
  <c r="N141" i="80" s="1"/>
  <c r="M132" i="80"/>
  <c r="M141" i="80" s="1"/>
  <c r="L132" i="80"/>
  <c r="L141" i="80" s="1"/>
  <c r="I132" i="80"/>
  <c r="H132" i="80"/>
  <c r="G132" i="80"/>
  <c r="F132" i="80"/>
  <c r="D132" i="80"/>
  <c r="P127" i="80"/>
  <c r="O127" i="80"/>
  <c r="N127" i="80"/>
  <c r="M127" i="80"/>
  <c r="L127" i="80"/>
  <c r="I127" i="80"/>
  <c r="H127" i="80"/>
  <c r="G127" i="80"/>
  <c r="F127" i="80"/>
  <c r="E127" i="80"/>
  <c r="D127" i="80"/>
  <c r="P126" i="80"/>
  <c r="O126" i="80"/>
  <c r="N126" i="80"/>
  <c r="M126" i="80"/>
  <c r="L126" i="80"/>
  <c r="I126" i="80"/>
  <c r="H126" i="80"/>
  <c r="G126" i="80"/>
  <c r="F126" i="80"/>
  <c r="E126" i="80"/>
  <c r="D126" i="80"/>
  <c r="P125" i="80"/>
  <c r="O125" i="80"/>
  <c r="N125" i="80"/>
  <c r="M125" i="80"/>
  <c r="L125" i="80"/>
  <c r="I125" i="80"/>
  <c r="H125" i="80"/>
  <c r="G125" i="80"/>
  <c r="F125" i="80"/>
  <c r="D125" i="80"/>
  <c r="P122" i="80"/>
  <c r="O122" i="80"/>
  <c r="N122" i="80"/>
  <c r="M122" i="80"/>
  <c r="L122" i="80"/>
  <c r="I122" i="80"/>
  <c r="H122" i="80"/>
  <c r="K122" i="80" s="1"/>
  <c r="G122" i="80"/>
  <c r="J122" i="80" s="1"/>
  <c r="F122" i="80"/>
  <c r="D122" i="80"/>
  <c r="P121" i="80"/>
  <c r="O121" i="80"/>
  <c r="N121" i="80"/>
  <c r="M121" i="80"/>
  <c r="L121" i="80"/>
  <c r="I121" i="80"/>
  <c r="H121" i="80"/>
  <c r="K121" i="80" s="1"/>
  <c r="G121" i="80"/>
  <c r="J121" i="80" s="1"/>
  <c r="F121" i="80"/>
  <c r="E121" i="80"/>
  <c r="D121" i="80"/>
  <c r="P120" i="80"/>
  <c r="O120" i="80"/>
  <c r="N120" i="80"/>
  <c r="M120" i="80"/>
  <c r="L120" i="80"/>
  <c r="I120" i="80"/>
  <c r="H120" i="80"/>
  <c r="G120" i="80"/>
  <c r="F120" i="80"/>
  <c r="D120" i="80"/>
  <c r="P119" i="80"/>
  <c r="O119" i="80"/>
  <c r="N119" i="80"/>
  <c r="M119" i="80"/>
  <c r="L119" i="80"/>
  <c r="I119" i="80"/>
  <c r="H119" i="80"/>
  <c r="G119" i="80"/>
  <c r="F119" i="80"/>
  <c r="D119" i="80"/>
  <c r="P118" i="80"/>
  <c r="O118" i="80"/>
  <c r="N118" i="80"/>
  <c r="M118" i="80"/>
  <c r="L118" i="80"/>
  <c r="I118" i="80"/>
  <c r="H118" i="80"/>
  <c r="G118" i="80"/>
  <c r="F118" i="80"/>
  <c r="E118" i="80"/>
  <c r="D118" i="80"/>
  <c r="P117" i="80"/>
  <c r="O117" i="80"/>
  <c r="N117" i="80"/>
  <c r="M117" i="80"/>
  <c r="L117" i="80"/>
  <c r="I117" i="80"/>
  <c r="H117" i="80"/>
  <c r="G117" i="80"/>
  <c r="F117" i="80"/>
  <c r="D117" i="80"/>
  <c r="P112" i="80"/>
  <c r="O112" i="80"/>
  <c r="N112" i="80"/>
  <c r="M112" i="80"/>
  <c r="L112" i="80"/>
  <c r="I112" i="80"/>
  <c r="H112" i="80"/>
  <c r="G112" i="80"/>
  <c r="F112" i="80"/>
  <c r="E112" i="80"/>
  <c r="D112" i="80"/>
  <c r="P111" i="80"/>
  <c r="O111" i="80"/>
  <c r="N111" i="80"/>
  <c r="M111" i="80"/>
  <c r="L111" i="80"/>
  <c r="I111" i="80"/>
  <c r="H111" i="80"/>
  <c r="G111" i="80"/>
  <c r="F111" i="80"/>
  <c r="E111" i="80"/>
  <c r="D111" i="80"/>
  <c r="P110" i="80"/>
  <c r="O110" i="80"/>
  <c r="N110" i="80"/>
  <c r="M110" i="80"/>
  <c r="L110" i="80"/>
  <c r="I110" i="80"/>
  <c r="H110" i="80"/>
  <c r="G110" i="80"/>
  <c r="F110" i="80"/>
  <c r="D110" i="80"/>
  <c r="P107" i="80"/>
  <c r="O107" i="80"/>
  <c r="N107" i="80"/>
  <c r="M107" i="80"/>
  <c r="L107" i="80"/>
  <c r="I107" i="80"/>
  <c r="H107" i="80"/>
  <c r="K107" i="80" s="1"/>
  <c r="G107" i="80"/>
  <c r="J107" i="80" s="1"/>
  <c r="F107" i="80"/>
  <c r="D107" i="80"/>
  <c r="P106" i="80"/>
  <c r="O106" i="80"/>
  <c r="N106" i="80"/>
  <c r="M106" i="80"/>
  <c r="L106" i="80"/>
  <c r="I106" i="80"/>
  <c r="H106" i="80"/>
  <c r="K106" i="80" s="1"/>
  <c r="G106" i="80"/>
  <c r="J106" i="80" s="1"/>
  <c r="F106" i="80"/>
  <c r="E106" i="80"/>
  <c r="D106" i="80"/>
  <c r="P105" i="80"/>
  <c r="O105" i="80"/>
  <c r="N105" i="80"/>
  <c r="M105" i="80"/>
  <c r="L105" i="80"/>
  <c r="I105" i="80"/>
  <c r="H105" i="80"/>
  <c r="G105" i="80"/>
  <c r="F105" i="80"/>
  <c r="D105" i="80"/>
  <c r="P104" i="80"/>
  <c r="O104" i="80"/>
  <c r="N104" i="80"/>
  <c r="M104" i="80"/>
  <c r="L104" i="80"/>
  <c r="I104" i="80"/>
  <c r="H104" i="80"/>
  <c r="G104" i="80"/>
  <c r="F104" i="80"/>
  <c r="D104" i="80"/>
  <c r="P103" i="80"/>
  <c r="O103" i="80"/>
  <c r="N103" i="80"/>
  <c r="M103" i="80"/>
  <c r="L103" i="80"/>
  <c r="I103" i="80"/>
  <c r="H103" i="80"/>
  <c r="G103" i="80"/>
  <c r="F103" i="80"/>
  <c r="E103" i="80"/>
  <c r="D103" i="80"/>
  <c r="P102" i="80"/>
  <c r="O102" i="80"/>
  <c r="N102" i="80"/>
  <c r="M102" i="80"/>
  <c r="L102" i="80"/>
  <c r="I102" i="80"/>
  <c r="H102" i="80"/>
  <c r="G102" i="80"/>
  <c r="F102" i="80"/>
  <c r="D102" i="80"/>
  <c r="P97" i="80"/>
  <c r="O97" i="80"/>
  <c r="N97" i="80"/>
  <c r="M97" i="80"/>
  <c r="L97" i="80"/>
  <c r="I97" i="80"/>
  <c r="H97" i="80"/>
  <c r="G97" i="80"/>
  <c r="F97" i="80"/>
  <c r="E97" i="80"/>
  <c r="D97" i="80"/>
  <c r="P96" i="80"/>
  <c r="O96" i="80"/>
  <c r="N96" i="80"/>
  <c r="M96" i="80"/>
  <c r="L96" i="80"/>
  <c r="I96" i="80"/>
  <c r="H96" i="80"/>
  <c r="G96" i="80"/>
  <c r="F96" i="80"/>
  <c r="E96" i="80"/>
  <c r="D96" i="80"/>
  <c r="P95" i="80"/>
  <c r="O95" i="80"/>
  <c r="N95" i="80"/>
  <c r="M95" i="80"/>
  <c r="L95" i="80"/>
  <c r="I95" i="80"/>
  <c r="H95" i="80"/>
  <c r="G95" i="80"/>
  <c r="F95" i="80"/>
  <c r="D95" i="80"/>
  <c r="P92" i="80"/>
  <c r="O92" i="80"/>
  <c r="N92" i="80"/>
  <c r="M92" i="80"/>
  <c r="L92" i="80"/>
  <c r="I92" i="80"/>
  <c r="H92" i="80"/>
  <c r="K92" i="80" s="1"/>
  <c r="G92" i="80"/>
  <c r="J92" i="80" s="1"/>
  <c r="F92" i="80"/>
  <c r="D92" i="80"/>
  <c r="P91" i="80"/>
  <c r="O91" i="80"/>
  <c r="N91" i="80"/>
  <c r="M91" i="80"/>
  <c r="L91" i="80"/>
  <c r="I91" i="80"/>
  <c r="H91" i="80"/>
  <c r="K91" i="80" s="1"/>
  <c r="G91" i="80"/>
  <c r="J91" i="80" s="1"/>
  <c r="F91" i="80"/>
  <c r="E91" i="80"/>
  <c r="D91" i="80"/>
  <c r="P90" i="80"/>
  <c r="O90" i="80"/>
  <c r="N90" i="80"/>
  <c r="M90" i="80"/>
  <c r="L90" i="80"/>
  <c r="I90" i="80"/>
  <c r="H90" i="80"/>
  <c r="G90" i="80"/>
  <c r="F90" i="80"/>
  <c r="D90" i="80"/>
  <c r="P89" i="80"/>
  <c r="O89" i="80"/>
  <c r="N89" i="80"/>
  <c r="M89" i="80"/>
  <c r="L89" i="80"/>
  <c r="I89" i="80"/>
  <c r="H89" i="80"/>
  <c r="G89" i="80"/>
  <c r="F89" i="80"/>
  <c r="D89" i="80"/>
  <c r="P88" i="80"/>
  <c r="O88" i="80"/>
  <c r="N88" i="80"/>
  <c r="M88" i="80"/>
  <c r="L88" i="80"/>
  <c r="I88" i="80"/>
  <c r="H88" i="80"/>
  <c r="G88" i="80"/>
  <c r="F88" i="80"/>
  <c r="D88" i="80"/>
  <c r="P87" i="80"/>
  <c r="O87" i="80"/>
  <c r="N87" i="80"/>
  <c r="M87" i="80"/>
  <c r="L87" i="80"/>
  <c r="I87" i="80"/>
  <c r="H87" i="80"/>
  <c r="G87" i="80"/>
  <c r="F87" i="80"/>
  <c r="D87" i="80"/>
  <c r="P82" i="80"/>
  <c r="O82" i="80"/>
  <c r="N82" i="80"/>
  <c r="M82" i="80"/>
  <c r="L82" i="80"/>
  <c r="I82" i="80"/>
  <c r="H82" i="80"/>
  <c r="G82" i="80"/>
  <c r="F82" i="80"/>
  <c r="E82" i="80"/>
  <c r="D82" i="80"/>
  <c r="P81" i="80"/>
  <c r="O81" i="80"/>
  <c r="N81" i="80"/>
  <c r="M81" i="80"/>
  <c r="L81" i="80"/>
  <c r="I81" i="80"/>
  <c r="H81" i="80"/>
  <c r="G81" i="80"/>
  <c r="F81" i="80"/>
  <c r="E81" i="80"/>
  <c r="D81" i="80"/>
  <c r="P80" i="80"/>
  <c r="O80" i="80"/>
  <c r="N80" i="80"/>
  <c r="M80" i="80"/>
  <c r="L80" i="80"/>
  <c r="I80" i="80"/>
  <c r="H80" i="80"/>
  <c r="G80" i="80"/>
  <c r="F80" i="80"/>
  <c r="E80" i="80"/>
  <c r="D80" i="80"/>
  <c r="P77" i="80"/>
  <c r="O77" i="80"/>
  <c r="N77" i="80"/>
  <c r="M77" i="80"/>
  <c r="L77" i="80"/>
  <c r="I77" i="80"/>
  <c r="H77" i="80"/>
  <c r="K77" i="80" s="1"/>
  <c r="G77" i="80"/>
  <c r="J77" i="80" s="1"/>
  <c r="F77" i="80"/>
  <c r="E77" i="80"/>
  <c r="D77" i="80"/>
  <c r="P76" i="80"/>
  <c r="O76" i="80"/>
  <c r="N76" i="80"/>
  <c r="M76" i="80"/>
  <c r="L76" i="80"/>
  <c r="I76" i="80"/>
  <c r="H76" i="80"/>
  <c r="K76" i="80" s="1"/>
  <c r="G76" i="80"/>
  <c r="J76" i="80" s="1"/>
  <c r="F76" i="80"/>
  <c r="E76" i="80"/>
  <c r="D76" i="80"/>
  <c r="P75" i="80"/>
  <c r="O75" i="80"/>
  <c r="N75" i="80"/>
  <c r="M75" i="80"/>
  <c r="L75" i="80"/>
  <c r="I75" i="80"/>
  <c r="H75" i="80"/>
  <c r="G75" i="80"/>
  <c r="F75" i="80"/>
  <c r="E75" i="80"/>
  <c r="D75" i="80"/>
  <c r="P74" i="80"/>
  <c r="O74" i="80"/>
  <c r="N74" i="80"/>
  <c r="M74" i="80"/>
  <c r="L74" i="80"/>
  <c r="I74" i="80"/>
  <c r="H74" i="80"/>
  <c r="G74" i="80"/>
  <c r="F74" i="80"/>
  <c r="E74" i="80"/>
  <c r="D74" i="80"/>
  <c r="P73" i="80"/>
  <c r="O73" i="80"/>
  <c r="N73" i="80"/>
  <c r="M73" i="80"/>
  <c r="L73" i="80"/>
  <c r="I73" i="80"/>
  <c r="H73" i="80"/>
  <c r="G73" i="80"/>
  <c r="F73" i="80"/>
  <c r="E73" i="80"/>
  <c r="D73" i="80"/>
  <c r="P72" i="80"/>
  <c r="O72" i="80"/>
  <c r="N72" i="80"/>
  <c r="M72" i="80"/>
  <c r="L72" i="80"/>
  <c r="I72" i="80"/>
  <c r="H72" i="80"/>
  <c r="G72" i="80"/>
  <c r="F72" i="80"/>
  <c r="D72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E105" i="80" s="1"/>
  <c r="V25" i="80"/>
  <c r="V24" i="80"/>
  <c r="V23" i="80"/>
  <c r="V22" i="80"/>
  <c r="V21" i="80"/>
  <c r="V20" i="80"/>
  <c r="V19" i="80"/>
  <c r="V18" i="80"/>
  <c r="V17" i="80"/>
  <c r="V16" i="80"/>
  <c r="E117" i="80" s="1"/>
  <c r="V15" i="80"/>
  <c r="V14" i="80"/>
  <c r="V13" i="80"/>
  <c r="E162" i="80" s="1"/>
  <c r="V12" i="80"/>
  <c r="V11" i="80"/>
  <c r="V10" i="80"/>
  <c r="V9" i="80"/>
  <c r="V8" i="80"/>
  <c r="V7" i="80"/>
  <c r="V6" i="80"/>
  <c r="E119" i="80" s="1"/>
  <c r="V5" i="80"/>
  <c r="V4" i="80"/>
  <c r="V3" i="80"/>
  <c r="M152" i="79"/>
  <c r="L152" i="79"/>
  <c r="K152" i="79"/>
  <c r="J152" i="79"/>
  <c r="I152" i="79"/>
  <c r="H152" i="79"/>
  <c r="G152" i="79"/>
  <c r="F152" i="79"/>
  <c r="E152" i="79"/>
  <c r="D152" i="79"/>
  <c r="C152" i="79"/>
  <c r="B152" i="79"/>
  <c r="M151" i="79"/>
  <c r="L151" i="79"/>
  <c r="K151" i="79"/>
  <c r="J151" i="79"/>
  <c r="I151" i="79"/>
  <c r="H151" i="79"/>
  <c r="G151" i="79"/>
  <c r="F151" i="79"/>
  <c r="D151" i="79"/>
  <c r="C151" i="79"/>
  <c r="B151" i="79"/>
  <c r="M150" i="79"/>
  <c r="L150" i="79"/>
  <c r="K150" i="79"/>
  <c r="J150" i="79"/>
  <c r="I150" i="79"/>
  <c r="H150" i="79"/>
  <c r="G150" i="79"/>
  <c r="F150" i="79"/>
  <c r="E150" i="79"/>
  <c r="D150" i="79"/>
  <c r="C150" i="79"/>
  <c r="B150" i="79"/>
  <c r="M148" i="79"/>
  <c r="M147" i="79"/>
  <c r="L147" i="79"/>
  <c r="K147" i="79"/>
  <c r="J147" i="79"/>
  <c r="I147" i="79"/>
  <c r="H147" i="79"/>
  <c r="G147" i="79"/>
  <c r="F147" i="79"/>
  <c r="E147" i="79"/>
  <c r="D147" i="79"/>
  <c r="C147" i="79"/>
  <c r="B147" i="79"/>
  <c r="M146" i="79"/>
  <c r="L146" i="79"/>
  <c r="K146" i="79"/>
  <c r="J146" i="79"/>
  <c r="I146" i="79"/>
  <c r="H146" i="79"/>
  <c r="G146" i="79"/>
  <c r="F146" i="79"/>
  <c r="D146" i="79"/>
  <c r="C146" i="79"/>
  <c r="B146" i="79"/>
  <c r="M145" i="79"/>
  <c r="L145" i="79"/>
  <c r="K145" i="79"/>
  <c r="J145" i="79"/>
  <c r="I145" i="79"/>
  <c r="H145" i="79"/>
  <c r="G145" i="79"/>
  <c r="F145" i="79"/>
  <c r="D145" i="79"/>
  <c r="C145" i="79"/>
  <c r="B145" i="79"/>
  <c r="M144" i="79"/>
  <c r="L144" i="79"/>
  <c r="K144" i="79"/>
  <c r="J144" i="79"/>
  <c r="I144" i="79"/>
  <c r="H144" i="79"/>
  <c r="G144" i="79"/>
  <c r="F144" i="79"/>
  <c r="E144" i="79"/>
  <c r="D144" i="79"/>
  <c r="C144" i="79"/>
  <c r="B144" i="79"/>
  <c r="M143" i="79"/>
  <c r="L143" i="79"/>
  <c r="K143" i="79"/>
  <c r="J143" i="79"/>
  <c r="I143" i="79"/>
  <c r="H143" i="79"/>
  <c r="G143" i="79"/>
  <c r="F143" i="79"/>
  <c r="D143" i="79"/>
  <c r="C143" i="79"/>
  <c r="B143" i="79"/>
  <c r="C139" i="79"/>
  <c r="B139" i="79"/>
  <c r="O138" i="79"/>
  <c r="N138" i="79"/>
  <c r="M138" i="79"/>
  <c r="L138" i="79"/>
  <c r="I138" i="79"/>
  <c r="H138" i="79"/>
  <c r="K138" i="79" s="1"/>
  <c r="G138" i="79"/>
  <c r="J138" i="79" s="1"/>
  <c r="F138" i="79"/>
  <c r="E138" i="79"/>
  <c r="D138" i="79"/>
  <c r="O137" i="79"/>
  <c r="N137" i="79"/>
  <c r="M137" i="79"/>
  <c r="L137" i="79"/>
  <c r="I137" i="79"/>
  <c r="H137" i="79"/>
  <c r="K137" i="79" s="1"/>
  <c r="G137" i="79"/>
  <c r="J137" i="79" s="1"/>
  <c r="F137" i="79"/>
  <c r="E137" i="79"/>
  <c r="D137" i="79"/>
  <c r="O136" i="79"/>
  <c r="N136" i="79"/>
  <c r="M136" i="79"/>
  <c r="L136" i="79"/>
  <c r="I136" i="79"/>
  <c r="H136" i="79"/>
  <c r="K136" i="79" s="1"/>
  <c r="G136" i="79"/>
  <c r="J136" i="79" s="1"/>
  <c r="F136" i="79"/>
  <c r="E136" i="79"/>
  <c r="D136" i="79"/>
  <c r="C134" i="79"/>
  <c r="B134" i="79"/>
  <c r="O133" i="79"/>
  <c r="N133" i="79"/>
  <c r="M133" i="79"/>
  <c r="L133" i="79"/>
  <c r="I133" i="79"/>
  <c r="H133" i="79"/>
  <c r="K133" i="79" s="1"/>
  <c r="G133" i="79"/>
  <c r="J133" i="79" s="1"/>
  <c r="F133" i="79"/>
  <c r="E133" i="79"/>
  <c r="D133" i="79"/>
  <c r="O132" i="79"/>
  <c r="N132" i="79"/>
  <c r="M132" i="79"/>
  <c r="L132" i="79"/>
  <c r="I132" i="79"/>
  <c r="H132" i="79"/>
  <c r="K132" i="79" s="1"/>
  <c r="G132" i="79"/>
  <c r="J132" i="79" s="1"/>
  <c r="F132" i="79"/>
  <c r="E132" i="79"/>
  <c r="D132" i="79"/>
  <c r="O131" i="79"/>
  <c r="N131" i="79"/>
  <c r="M131" i="79"/>
  <c r="L131" i="79"/>
  <c r="I131" i="79"/>
  <c r="H131" i="79"/>
  <c r="K131" i="79" s="1"/>
  <c r="G131" i="79"/>
  <c r="J131" i="79" s="1"/>
  <c r="F131" i="79"/>
  <c r="E131" i="79"/>
  <c r="D131" i="79"/>
  <c r="O130" i="79"/>
  <c r="N130" i="79"/>
  <c r="M130" i="79"/>
  <c r="L130" i="79"/>
  <c r="I130" i="79"/>
  <c r="H130" i="79"/>
  <c r="K130" i="79" s="1"/>
  <c r="G130" i="79"/>
  <c r="J130" i="79" s="1"/>
  <c r="F130" i="79"/>
  <c r="E130" i="79"/>
  <c r="D130" i="79"/>
  <c r="O129" i="79"/>
  <c r="N129" i="79"/>
  <c r="M129" i="79"/>
  <c r="L129" i="79"/>
  <c r="I129" i="79"/>
  <c r="H129" i="79"/>
  <c r="K129" i="79" s="1"/>
  <c r="G129" i="79"/>
  <c r="J129" i="79" s="1"/>
  <c r="F129" i="79"/>
  <c r="E129" i="79"/>
  <c r="D129" i="79"/>
  <c r="O128" i="79"/>
  <c r="N128" i="79"/>
  <c r="M128" i="79"/>
  <c r="L128" i="79"/>
  <c r="I128" i="79"/>
  <c r="H128" i="79"/>
  <c r="G128" i="79"/>
  <c r="J128" i="79" s="1"/>
  <c r="F128" i="79"/>
  <c r="E128" i="79"/>
  <c r="D128" i="79"/>
  <c r="I123" i="79"/>
  <c r="H123" i="79"/>
  <c r="G123" i="79"/>
  <c r="F123" i="79"/>
  <c r="E123" i="79"/>
  <c r="D123" i="79"/>
  <c r="C123" i="79"/>
  <c r="B123" i="79"/>
  <c r="P122" i="79"/>
  <c r="O122" i="79"/>
  <c r="N122" i="79"/>
  <c r="M122" i="79"/>
  <c r="L122" i="79"/>
  <c r="I122" i="79"/>
  <c r="H122" i="79"/>
  <c r="G122" i="79"/>
  <c r="F122" i="79"/>
  <c r="D122" i="79"/>
  <c r="C122" i="79"/>
  <c r="B122" i="79"/>
  <c r="P119" i="79"/>
  <c r="O119" i="79"/>
  <c r="N119" i="79"/>
  <c r="M119" i="79"/>
  <c r="L119" i="79"/>
  <c r="I119" i="79"/>
  <c r="H119" i="79"/>
  <c r="K119" i="79" s="1"/>
  <c r="G119" i="79"/>
  <c r="J119" i="79" s="1"/>
  <c r="F119" i="79"/>
  <c r="D119" i="79"/>
  <c r="P118" i="79"/>
  <c r="O118" i="79"/>
  <c r="N118" i="79"/>
  <c r="M118" i="79"/>
  <c r="L118" i="79"/>
  <c r="I118" i="79"/>
  <c r="H118" i="79"/>
  <c r="K118" i="79" s="1"/>
  <c r="G118" i="79"/>
  <c r="J118" i="79" s="1"/>
  <c r="F118" i="79"/>
  <c r="E118" i="79"/>
  <c r="D118" i="79"/>
  <c r="P117" i="79"/>
  <c r="O117" i="79"/>
  <c r="N117" i="79"/>
  <c r="M117" i="79"/>
  <c r="L117" i="79"/>
  <c r="I117" i="79"/>
  <c r="H117" i="79"/>
  <c r="G117" i="79"/>
  <c r="F117" i="79"/>
  <c r="D117" i="79"/>
  <c r="C117" i="79"/>
  <c r="B117" i="79"/>
  <c r="P116" i="79"/>
  <c r="O116" i="79"/>
  <c r="N116" i="79"/>
  <c r="M116" i="79"/>
  <c r="L116" i="79"/>
  <c r="I116" i="79"/>
  <c r="H116" i="79"/>
  <c r="G116" i="79"/>
  <c r="F116" i="79"/>
  <c r="D116" i="79"/>
  <c r="C116" i="79"/>
  <c r="B116" i="79"/>
  <c r="P115" i="79"/>
  <c r="O115" i="79"/>
  <c r="N115" i="79"/>
  <c r="M115" i="79"/>
  <c r="L115" i="79"/>
  <c r="I115" i="79"/>
  <c r="H115" i="79"/>
  <c r="G115" i="79"/>
  <c r="F115" i="79"/>
  <c r="E115" i="79"/>
  <c r="D115" i="79"/>
  <c r="C115" i="79"/>
  <c r="B115" i="79"/>
  <c r="P114" i="79"/>
  <c r="P123" i="79" s="1"/>
  <c r="O114" i="79"/>
  <c r="O123" i="79" s="1"/>
  <c r="N114" i="79"/>
  <c r="N123" i="79" s="1"/>
  <c r="M114" i="79"/>
  <c r="M123" i="79" s="1"/>
  <c r="L114" i="79"/>
  <c r="L123" i="79" s="1"/>
  <c r="I114" i="79"/>
  <c r="H114" i="79"/>
  <c r="G114" i="79"/>
  <c r="F114" i="79"/>
  <c r="D114" i="79"/>
  <c r="C114" i="79"/>
  <c r="B114" i="79"/>
  <c r="P109" i="79"/>
  <c r="O109" i="79"/>
  <c r="N109" i="79"/>
  <c r="M109" i="79"/>
  <c r="L109" i="79"/>
  <c r="I109" i="79"/>
  <c r="H109" i="79"/>
  <c r="G109" i="79"/>
  <c r="F109" i="79"/>
  <c r="E109" i="79"/>
  <c r="D109" i="79"/>
  <c r="C109" i="79"/>
  <c r="B109" i="79"/>
  <c r="P108" i="79"/>
  <c r="O108" i="79"/>
  <c r="N108" i="79"/>
  <c r="M108" i="79"/>
  <c r="L108" i="79"/>
  <c r="I108" i="79"/>
  <c r="H108" i="79"/>
  <c r="G108" i="79"/>
  <c r="F108" i="79"/>
  <c r="D108" i="79"/>
  <c r="P105" i="79"/>
  <c r="O105" i="79"/>
  <c r="N105" i="79"/>
  <c r="M105" i="79"/>
  <c r="L105" i="79"/>
  <c r="I105" i="79"/>
  <c r="H105" i="79"/>
  <c r="K105" i="79" s="1"/>
  <c r="G105" i="79"/>
  <c r="J105" i="79" s="1"/>
  <c r="F105" i="79"/>
  <c r="D105" i="79"/>
  <c r="P104" i="79"/>
  <c r="O104" i="79"/>
  <c r="N104" i="79"/>
  <c r="M104" i="79"/>
  <c r="L104" i="79"/>
  <c r="I104" i="79"/>
  <c r="H104" i="79"/>
  <c r="K104" i="79" s="1"/>
  <c r="G104" i="79"/>
  <c r="J104" i="79" s="1"/>
  <c r="F104" i="79"/>
  <c r="E104" i="79"/>
  <c r="D104" i="79"/>
  <c r="P103" i="79"/>
  <c r="O103" i="79"/>
  <c r="N103" i="79"/>
  <c r="M103" i="79"/>
  <c r="L103" i="79"/>
  <c r="I103" i="79"/>
  <c r="H103" i="79"/>
  <c r="G103" i="79"/>
  <c r="F103" i="79"/>
  <c r="E103" i="79"/>
  <c r="D103" i="79"/>
  <c r="P102" i="79"/>
  <c r="O102" i="79"/>
  <c r="N102" i="79"/>
  <c r="M102" i="79"/>
  <c r="L102" i="79"/>
  <c r="I102" i="79"/>
  <c r="H102" i="79"/>
  <c r="G102" i="79"/>
  <c r="F102" i="79"/>
  <c r="D102" i="79"/>
  <c r="P101" i="79"/>
  <c r="O101" i="79"/>
  <c r="N101" i="79"/>
  <c r="M101" i="79"/>
  <c r="L101" i="79"/>
  <c r="I101" i="79"/>
  <c r="H101" i="79"/>
  <c r="G101" i="79"/>
  <c r="F101" i="79"/>
  <c r="E101" i="79"/>
  <c r="D101" i="79"/>
  <c r="P100" i="79"/>
  <c r="O100" i="79"/>
  <c r="N100" i="79"/>
  <c r="M100" i="79"/>
  <c r="L100" i="79"/>
  <c r="I100" i="79"/>
  <c r="H100" i="79"/>
  <c r="G100" i="79"/>
  <c r="F100" i="79"/>
  <c r="D100" i="79"/>
  <c r="P95" i="79"/>
  <c r="O95" i="79"/>
  <c r="N95" i="79"/>
  <c r="M95" i="79"/>
  <c r="L95" i="79"/>
  <c r="I95" i="79"/>
  <c r="H95" i="79"/>
  <c r="G95" i="79"/>
  <c r="F95" i="79"/>
  <c r="E95" i="79"/>
  <c r="D95" i="79"/>
  <c r="C95" i="79"/>
  <c r="B95" i="79"/>
  <c r="P94" i="79"/>
  <c r="O94" i="79"/>
  <c r="N94" i="79"/>
  <c r="M94" i="79"/>
  <c r="L94" i="79"/>
  <c r="I94" i="79"/>
  <c r="H94" i="79"/>
  <c r="G94" i="79"/>
  <c r="F94" i="79"/>
  <c r="D94" i="79"/>
  <c r="P91" i="79"/>
  <c r="O91" i="79"/>
  <c r="N91" i="79"/>
  <c r="M91" i="79"/>
  <c r="L91" i="79"/>
  <c r="I91" i="79"/>
  <c r="H91" i="79"/>
  <c r="K91" i="79" s="1"/>
  <c r="G91" i="79"/>
  <c r="J91" i="79" s="1"/>
  <c r="F91" i="79"/>
  <c r="D91" i="79"/>
  <c r="P90" i="79"/>
  <c r="O90" i="79"/>
  <c r="N90" i="79"/>
  <c r="M90" i="79"/>
  <c r="L90" i="79"/>
  <c r="I90" i="79"/>
  <c r="H90" i="79"/>
  <c r="K90" i="79" s="1"/>
  <c r="G90" i="79"/>
  <c r="J90" i="79" s="1"/>
  <c r="F90" i="79"/>
  <c r="E90" i="79"/>
  <c r="D90" i="79"/>
  <c r="P89" i="79"/>
  <c r="O89" i="79"/>
  <c r="N89" i="79"/>
  <c r="M89" i="79"/>
  <c r="L89" i="79"/>
  <c r="I89" i="79"/>
  <c r="H89" i="79"/>
  <c r="G89" i="79"/>
  <c r="F89" i="79"/>
  <c r="D89" i="79"/>
  <c r="P88" i="79"/>
  <c r="O88" i="79"/>
  <c r="N88" i="79"/>
  <c r="M88" i="79"/>
  <c r="L88" i="79"/>
  <c r="I88" i="79"/>
  <c r="H88" i="79"/>
  <c r="G88" i="79"/>
  <c r="F88" i="79"/>
  <c r="D88" i="79"/>
  <c r="P87" i="79"/>
  <c r="O87" i="79"/>
  <c r="N87" i="79"/>
  <c r="M87" i="79"/>
  <c r="L87" i="79"/>
  <c r="I87" i="79"/>
  <c r="H87" i="79"/>
  <c r="G87" i="79"/>
  <c r="F87" i="79"/>
  <c r="E87" i="79"/>
  <c r="D87" i="79"/>
  <c r="P86" i="79"/>
  <c r="O86" i="79"/>
  <c r="N86" i="79"/>
  <c r="M86" i="79"/>
  <c r="L86" i="79"/>
  <c r="I86" i="79"/>
  <c r="H86" i="79"/>
  <c r="G86" i="79"/>
  <c r="F86" i="79"/>
  <c r="D86" i="79"/>
  <c r="P81" i="79"/>
  <c r="O81" i="79"/>
  <c r="N81" i="79"/>
  <c r="M81" i="79"/>
  <c r="L81" i="79"/>
  <c r="I81" i="79"/>
  <c r="H81" i="79"/>
  <c r="G81" i="79"/>
  <c r="F81" i="79"/>
  <c r="E81" i="79"/>
  <c r="D81" i="79"/>
  <c r="C81" i="79"/>
  <c r="B81" i="79"/>
  <c r="P80" i="79"/>
  <c r="O80" i="79"/>
  <c r="N80" i="79"/>
  <c r="M80" i="79"/>
  <c r="L80" i="79"/>
  <c r="I80" i="79"/>
  <c r="H80" i="79"/>
  <c r="G80" i="79"/>
  <c r="F80" i="79"/>
  <c r="E80" i="79"/>
  <c r="D80" i="79"/>
  <c r="P77" i="79"/>
  <c r="O77" i="79"/>
  <c r="N77" i="79"/>
  <c r="M77" i="79"/>
  <c r="L77" i="79"/>
  <c r="I77" i="79"/>
  <c r="H77" i="79"/>
  <c r="K77" i="79" s="1"/>
  <c r="G77" i="79"/>
  <c r="J77" i="79" s="1"/>
  <c r="F77" i="79"/>
  <c r="E77" i="79"/>
  <c r="D77" i="79"/>
  <c r="P76" i="79"/>
  <c r="O76" i="79"/>
  <c r="N76" i="79"/>
  <c r="M76" i="79"/>
  <c r="L76" i="79"/>
  <c r="I76" i="79"/>
  <c r="H76" i="79"/>
  <c r="K76" i="79" s="1"/>
  <c r="G76" i="79"/>
  <c r="J76" i="79" s="1"/>
  <c r="F76" i="79"/>
  <c r="E76" i="79"/>
  <c r="D76" i="79"/>
  <c r="P75" i="79"/>
  <c r="O75" i="79"/>
  <c r="N75" i="79"/>
  <c r="M75" i="79"/>
  <c r="L75" i="79"/>
  <c r="I75" i="79"/>
  <c r="H75" i="79"/>
  <c r="G75" i="79"/>
  <c r="F75" i="79"/>
  <c r="E75" i="79"/>
  <c r="D75" i="79"/>
  <c r="P74" i="79"/>
  <c r="O74" i="79"/>
  <c r="N74" i="79"/>
  <c r="M74" i="79"/>
  <c r="L74" i="79"/>
  <c r="I74" i="79"/>
  <c r="H74" i="79"/>
  <c r="G74" i="79"/>
  <c r="F74" i="79"/>
  <c r="E74" i="79"/>
  <c r="D74" i="79"/>
  <c r="P73" i="79"/>
  <c r="O73" i="79"/>
  <c r="N73" i="79"/>
  <c r="M73" i="79"/>
  <c r="L73" i="79"/>
  <c r="I73" i="79"/>
  <c r="H73" i="79"/>
  <c r="G73" i="79"/>
  <c r="F73" i="79"/>
  <c r="E73" i="79"/>
  <c r="D73" i="79"/>
  <c r="P72" i="79"/>
  <c r="O72" i="79"/>
  <c r="N72" i="79"/>
  <c r="M72" i="79"/>
  <c r="L72" i="79"/>
  <c r="I72" i="79"/>
  <c r="H72" i="79"/>
  <c r="G72" i="79"/>
  <c r="F72" i="79"/>
  <c r="E72" i="79"/>
  <c r="D72" i="79"/>
  <c r="V64" i="79"/>
  <c r="V63" i="79"/>
  <c r="V62" i="79"/>
  <c r="V61" i="79"/>
  <c r="V60" i="79"/>
  <c r="V59" i="79"/>
  <c r="V58" i="79"/>
  <c r="V57" i="79"/>
  <c r="V56" i="79"/>
  <c r="V55" i="79"/>
  <c r="V54" i="79"/>
  <c r="V53" i="79"/>
  <c r="V52" i="79"/>
  <c r="V51" i="79"/>
  <c r="V50" i="79"/>
  <c r="V49" i="79"/>
  <c r="V48" i="79"/>
  <c r="V47" i="79"/>
  <c r="V46" i="79"/>
  <c r="V45" i="79"/>
  <c r="V44" i="79"/>
  <c r="V43" i="79"/>
  <c r="V42" i="79"/>
  <c r="V41" i="79"/>
  <c r="V40" i="79"/>
  <c r="V39" i="79"/>
  <c r="V38" i="79"/>
  <c r="V37" i="79"/>
  <c r="V36" i="79"/>
  <c r="V35" i="79"/>
  <c r="V34" i="79"/>
  <c r="V33" i="79"/>
  <c r="V32" i="79"/>
  <c r="V31" i="79"/>
  <c r="V30" i="79"/>
  <c r="V29" i="79"/>
  <c r="V28" i="79"/>
  <c r="V27" i="79"/>
  <c r="V26" i="79"/>
  <c r="V25" i="79"/>
  <c r="V24" i="79"/>
  <c r="V23" i="79"/>
  <c r="V22" i="79"/>
  <c r="V21" i="79"/>
  <c r="E100" i="79" s="1"/>
  <c r="V20" i="79"/>
  <c r="V19" i="79"/>
  <c r="V18" i="79"/>
  <c r="V17" i="79"/>
  <c r="V16" i="79"/>
  <c r="V15" i="79"/>
  <c r="V14" i="79"/>
  <c r="V13" i="79"/>
  <c r="V12" i="79"/>
  <c r="V11" i="79"/>
  <c r="V10" i="79"/>
  <c r="V9" i="79"/>
  <c r="V8" i="79"/>
  <c r="V7" i="79"/>
  <c r="V6" i="79"/>
  <c r="V5" i="79"/>
  <c r="V4" i="79"/>
  <c r="V3" i="79"/>
  <c r="M156" i="76"/>
  <c r="L156" i="76"/>
  <c r="K156" i="76"/>
  <c r="J156" i="76"/>
  <c r="I156" i="76"/>
  <c r="H156" i="76"/>
  <c r="G156" i="76"/>
  <c r="F156" i="76"/>
  <c r="E156" i="76"/>
  <c r="D156" i="76"/>
  <c r="C156" i="76"/>
  <c r="B156" i="76"/>
  <c r="M155" i="76"/>
  <c r="L155" i="76"/>
  <c r="K155" i="76"/>
  <c r="J155" i="76"/>
  <c r="I155" i="76"/>
  <c r="H155" i="76"/>
  <c r="G155" i="76"/>
  <c r="F155" i="76"/>
  <c r="D155" i="76"/>
  <c r="C155" i="76"/>
  <c r="B155" i="76"/>
  <c r="M154" i="76"/>
  <c r="L154" i="76"/>
  <c r="K154" i="76"/>
  <c r="J154" i="76"/>
  <c r="I154" i="76"/>
  <c r="H154" i="76"/>
  <c r="G154" i="76"/>
  <c r="F154" i="76"/>
  <c r="E154" i="76"/>
  <c r="D154" i="76"/>
  <c r="C154" i="76"/>
  <c r="B154" i="76"/>
  <c r="M152" i="76"/>
  <c r="M151" i="76"/>
  <c r="L151" i="76"/>
  <c r="K151" i="76"/>
  <c r="J151" i="76"/>
  <c r="I151" i="76"/>
  <c r="H151" i="76"/>
  <c r="G151" i="76"/>
  <c r="F151" i="76"/>
  <c r="E151" i="76"/>
  <c r="D151" i="76"/>
  <c r="C151" i="76"/>
  <c r="B151" i="76"/>
  <c r="M150" i="76"/>
  <c r="L150" i="76"/>
  <c r="K150" i="76"/>
  <c r="J150" i="76"/>
  <c r="I150" i="76"/>
  <c r="H150" i="76"/>
  <c r="G150" i="76"/>
  <c r="F150" i="76"/>
  <c r="D150" i="76"/>
  <c r="C150" i="76"/>
  <c r="B150" i="76"/>
  <c r="M149" i="76"/>
  <c r="L149" i="76"/>
  <c r="K149" i="76"/>
  <c r="J149" i="76"/>
  <c r="I149" i="76"/>
  <c r="H149" i="76"/>
  <c r="G149" i="76"/>
  <c r="F149" i="76"/>
  <c r="D149" i="76"/>
  <c r="C149" i="76"/>
  <c r="B149" i="76"/>
  <c r="M148" i="76"/>
  <c r="L148" i="76"/>
  <c r="K148" i="76"/>
  <c r="J148" i="76"/>
  <c r="I148" i="76"/>
  <c r="H148" i="76"/>
  <c r="G148" i="76"/>
  <c r="F148" i="76"/>
  <c r="E148" i="76"/>
  <c r="D148" i="76"/>
  <c r="C148" i="76"/>
  <c r="B148" i="76"/>
  <c r="M147" i="76"/>
  <c r="L147" i="76"/>
  <c r="K147" i="76"/>
  <c r="J147" i="76"/>
  <c r="I147" i="76"/>
  <c r="H147" i="76"/>
  <c r="G147" i="76"/>
  <c r="F147" i="76"/>
  <c r="D147" i="76"/>
  <c r="C147" i="76"/>
  <c r="B147" i="76"/>
  <c r="C143" i="76"/>
  <c r="B143" i="76"/>
  <c r="O142" i="76"/>
  <c r="N142" i="76"/>
  <c r="M142" i="76"/>
  <c r="L142" i="76"/>
  <c r="I142" i="76"/>
  <c r="H142" i="76"/>
  <c r="K142" i="76" s="1"/>
  <c r="G142" i="76"/>
  <c r="J142" i="76" s="1"/>
  <c r="F142" i="76"/>
  <c r="E142" i="76"/>
  <c r="D142" i="76"/>
  <c r="O141" i="76"/>
  <c r="N141" i="76"/>
  <c r="M141" i="76"/>
  <c r="L141" i="76"/>
  <c r="I141" i="76"/>
  <c r="H141" i="76"/>
  <c r="K141" i="76" s="1"/>
  <c r="G141" i="76"/>
  <c r="J141" i="76" s="1"/>
  <c r="F141" i="76"/>
  <c r="E141" i="76"/>
  <c r="D141" i="76"/>
  <c r="O140" i="76"/>
  <c r="N140" i="76"/>
  <c r="M140" i="76"/>
  <c r="L140" i="76"/>
  <c r="I140" i="76"/>
  <c r="H140" i="76"/>
  <c r="K140" i="76" s="1"/>
  <c r="G140" i="76"/>
  <c r="F140" i="76"/>
  <c r="E140" i="76"/>
  <c r="D140" i="76"/>
  <c r="C138" i="76"/>
  <c r="B138" i="76"/>
  <c r="O137" i="76"/>
  <c r="N137" i="76"/>
  <c r="M137" i="76"/>
  <c r="L137" i="76"/>
  <c r="I137" i="76"/>
  <c r="H137" i="76"/>
  <c r="K137" i="76" s="1"/>
  <c r="G137" i="76"/>
  <c r="J137" i="76" s="1"/>
  <c r="F137" i="76"/>
  <c r="E137" i="76"/>
  <c r="D137" i="76"/>
  <c r="O136" i="76"/>
  <c r="N136" i="76"/>
  <c r="M136" i="76"/>
  <c r="L136" i="76"/>
  <c r="I136" i="76"/>
  <c r="H136" i="76"/>
  <c r="K136" i="76" s="1"/>
  <c r="G136" i="76"/>
  <c r="J136" i="76" s="1"/>
  <c r="F136" i="76"/>
  <c r="E136" i="76"/>
  <c r="D136" i="76"/>
  <c r="O135" i="76"/>
  <c r="N135" i="76"/>
  <c r="M135" i="76"/>
  <c r="L135" i="76"/>
  <c r="I135" i="76"/>
  <c r="H135" i="76"/>
  <c r="K135" i="76" s="1"/>
  <c r="G135" i="76"/>
  <c r="J135" i="76" s="1"/>
  <c r="F135" i="76"/>
  <c r="E135" i="76"/>
  <c r="D135" i="76"/>
  <c r="O134" i="76"/>
  <c r="N134" i="76"/>
  <c r="M134" i="76"/>
  <c r="L134" i="76"/>
  <c r="I134" i="76"/>
  <c r="H134" i="76"/>
  <c r="K134" i="76" s="1"/>
  <c r="G134" i="76"/>
  <c r="J134" i="76" s="1"/>
  <c r="F134" i="76"/>
  <c r="E134" i="76"/>
  <c r="D134" i="76"/>
  <c r="O133" i="76"/>
  <c r="N133" i="76"/>
  <c r="M133" i="76"/>
  <c r="L133" i="76"/>
  <c r="I133" i="76"/>
  <c r="H133" i="76"/>
  <c r="K133" i="76" s="1"/>
  <c r="G133" i="76"/>
  <c r="J133" i="76" s="1"/>
  <c r="F133" i="76"/>
  <c r="E133" i="76"/>
  <c r="D133" i="76"/>
  <c r="O132" i="76"/>
  <c r="N132" i="76"/>
  <c r="M132" i="76"/>
  <c r="L132" i="76"/>
  <c r="I132" i="76"/>
  <c r="H132" i="76"/>
  <c r="G132" i="76"/>
  <c r="F132" i="76"/>
  <c r="E132" i="76"/>
  <c r="D132" i="76"/>
  <c r="I127" i="76"/>
  <c r="H127" i="76"/>
  <c r="G127" i="76"/>
  <c r="F127" i="76"/>
  <c r="E127" i="76"/>
  <c r="D127" i="76"/>
  <c r="C127" i="76"/>
  <c r="B127" i="76"/>
  <c r="I126" i="76"/>
  <c r="H126" i="76"/>
  <c r="G126" i="76"/>
  <c r="F126" i="76"/>
  <c r="D126" i="76"/>
  <c r="C126" i="76"/>
  <c r="B126" i="76"/>
  <c r="P125" i="76"/>
  <c r="O125" i="76"/>
  <c r="N125" i="76"/>
  <c r="M125" i="76"/>
  <c r="L125" i="76"/>
  <c r="I125" i="76"/>
  <c r="H125" i="76"/>
  <c r="G125" i="76"/>
  <c r="F125" i="76"/>
  <c r="E125" i="76"/>
  <c r="D125" i="76"/>
  <c r="C125" i="76"/>
  <c r="B125" i="76"/>
  <c r="P122" i="76"/>
  <c r="O122" i="76"/>
  <c r="N122" i="76"/>
  <c r="M122" i="76"/>
  <c r="L122" i="76"/>
  <c r="I122" i="76"/>
  <c r="H122" i="76"/>
  <c r="K122" i="76" s="1"/>
  <c r="G122" i="76"/>
  <c r="J122" i="76" s="1"/>
  <c r="F122" i="76"/>
  <c r="D122" i="76"/>
  <c r="P121" i="76"/>
  <c r="O121" i="76"/>
  <c r="N121" i="76"/>
  <c r="M121" i="76"/>
  <c r="L121" i="76"/>
  <c r="I121" i="76"/>
  <c r="H121" i="76"/>
  <c r="K121" i="76" s="1"/>
  <c r="G121" i="76"/>
  <c r="J121" i="76" s="1"/>
  <c r="F121" i="76"/>
  <c r="E121" i="76"/>
  <c r="D121" i="76"/>
  <c r="P120" i="76"/>
  <c r="O120" i="76"/>
  <c r="N120" i="76"/>
  <c r="M120" i="76"/>
  <c r="L120" i="76"/>
  <c r="I120" i="76"/>
  <c r="H120" i="76"/>
  <c r="G120" i="76"/>
  <c r="F120" i="76"/>
  <c r="D120" i="76"/>
  <c r="C120" i="76"/>
  <c r="B120" i="76"/>
  <c r="P119" i="76"/>
  <c r="P127" i="76" s="1"/>
  <c r="O119" i="76"/>
  <c r="O127" i="76" s="1"/>
  <c r="N119" i="76"/>
  <c r="N127" i="76" s="1"/>
  <c r="M119" i="76"/>
  <c r="M127" i="76" s="1"/>
  <c r="L119" i="76"/>
  <c r="L127" i="76" s="1"/>
  <c r="I119" i="76"/>
  <c r="H119" i="76"/>
  <c r="G119" i="76"/>
  <c r="F119" i="76"/>
  <c r="D119" i="76"/>
  <c r="C119" i="76"/>
  <c r="B119" i="76"/>
  <c r="P118" i="76"/>
  <c r="O118" i="76"/>
  <c r="N118" i="76"/>
  <c r="M118" i="76"/>
  <c r="L118" i="76"/>
  <c r="I118" i="76"/>
  <c r="H118" i="76"/>
  <c r="G118" i="76"/>
  <c r="F118" i="76"/>
  <c r="E118" i="76"/>
  <c r="D118" i="76"/>
  <c r="C118" i="76"/>
  <c r="B118" i="76"/>
  <c r="P117" i="76"/>
  <c r="P126" i="76" s="1"/>
  <c r="O117" i="76"/>
  <c r="O126" i="76" s="1"/>
  <c r="N117" i="76"/>
  <c r="N126" i="76" s="1"/>
  <c r="M117" i="76"/>
  <c r="M126" i="76" s="1"/>
  <c r="L117" i="76"/>
  <c r="L126" i="76" s="1"/>
  <c r="I117" i="76"/>
  <c r="H117" i="76"/>
  <c r="G117" i="76"/>
  <c r="F117" i="76"/>
  <c r="D117" i="76"/>
  <c r="C117" i="76"/>
  <c r="B117" i="76"/>
  <c r="P112" i="76"/>
  <c r="O112" i="76"/>
  <c r="N112" i="76"/>
  <c r="M112" i="76"/>
  <c r="L112" i="76"/>
  <c r="I112" i="76"/>
  <c r="H112" i="76"/>
  <c r="G112" i="76"/>
  <c r="F112" i="76"/>
  <c r="E112" i="76"/>
  <c r="D112" i="76"/>
  <c r="C112" i="76"/>
  <c r="B112" i="76"/>
  <c r="P111" i="76"/>
  <c r="O111" i="76"/>
  <c r="N111" i="76"/>
  <c r="M111" i="76"/>
  <c r="L111" i="76"/>
  <c r="I111" i="76"/>
  <c r="H111" i="76"/>
  <c r="G111" i="76"/>
  <c r="F111" i="76"/>
  <c r="E111" i="76"/>
  <c r="D111" i="76"/>
  <c r="P110" i="76"/>
  <c r="O110" i="76"/>
  <c r="N110" i="76"/>
  <c r="M110" i="76"/>
  <c r="L110" i="76"/>
  <c r="I110" i="76"/>
  <c r="H110" i="76"/>
  <c r="G110" i="76"/>
  <c r="F110" i="76"/>
  <c r="E110" i="76"/>
  <c r="D110" i="76"/>
  <c r="P107" i="76"/>
  <c r="O107" i="76"/>
  <c r="N107" i="76"/>
  <c r="M107" i="76"/>
  <c r="L107" i="76"/>
  <c r="I107" i="76"/>
  <c r="H107" i="76"/>
  <c r="K107" i="76" s="1"/>
  <c r="G107" i="76"/>
  <c r="J107" i="76" s="1"/>
  <c r="F107" i="76"/>
  <c r="E107" i="76"/>
  <c r="D107" i="76"/>
  <c r="P106" i="76"/>
  <c r="O106" i="76"/>
  <c r="N106" i="76"/>
  <c r="M106" i="76"/>
  <c r="L106" i="76"/>
  <c r="I106" i="76"/>
  <c r="H106" i="76"/>
  <c r="K106" i="76" s="1"/>
  <c r="G106" i="76"/>
  <c r="J106" i="76" s="1"/>
  <c r="F106" i="76"/>
  <c r="E106" i="76"/>
  <c r="D106" i="76"/>
  <c r="P105" i="76"/>
  <c r="O105" i="76"/>
  <c r="N105" i="76"/>
  <c r="M105" i="76"/>
  <c r="L105" i="76"/>
  <c r="I105" i="76"/>
  <c r="H105" i="76"/>
  <c r="G105" i="76"/>
  <c r="F105" i="76"/>
  <c r="D105" i="76"/>
  <c r="P104" i="76"/>
  <c r="O104" i="76"/>
  <c r="N104" i="76"/>
  <c r="M104" i="76"/>
  <c r="L104" i="76"/>
  <c r="I104" i="76"/>
  <c r="H104" i="76"/>
  <c r="G104" i="76"/>
  <c r="F104" i="76"/>
  <c r="E104" i="76"/>
  <c r="D104" i="76"/>
  <c r="P103" i="76"/>
  <c r="O103" i="76"/>
  <c r="N103" i="76"/>
  <c r="M103" i="76"/>
  <c r="L103" i="76"/>
  <c r="I103" i="76"/>
  <c r="H103" i="76"/>
  <c r="G103" i="76"/>
  <c r="F103" i="76"/>
  <c r="E103" i="76"/>
  <c r="D103" i="76"/>
  <c r="P102" i="76"/>
  <c r="O102" i="76"/>
  <c r="N102" i="76"/>
  <c r="M102" i="76"/>
  <c r="L102" i="76"/>
  <c r="I102" i="76"/>
  <c r="H102" i="76"/>
  <c r="G102" i="76"/>
  <c r="F102" i="76"/>
  <c r="E102" i="76"/>
  <c r="D102" i="76"/>
  <c r="P97" i="76"/>
  <c r="O97" i="76"/>
  <c r="N97" i="76"/>
  <c r="M97" i="76"/>
  <c r="L97" i="76"/>
  <c r="I97" i="76"/>
  <c r="H97" i="76"/>
  <c r="G97" i="76"/>
  <c r="F97" i="76"/>
  <c r="E97" i="76"/>
  <c r="D97" i="76"/>
  <c r="C97" i="76"/>
  <c r="B97" i="76"/>
  <c r="P96" i="76"/>
  <c r="O96" i="76"/>
  <c r="N96" i="76"/>
  <c r="M96" i="76"/>
  <c r="L96" i="76"/>
  <c r="I96" i="76"/>
  <c r="H96" i="76"/>
  <c r="G96" i="76"/>
  <c r="F96" i="76"/>
  <c r="D96" i="76"/>
  <c r="P95" i="76"/>
  <c r="O95" i="76"/>
  <c r="N95" i="76"/>
  <c r="M95" i="76"/>
  <c r="L95" i="76"/>
  <c r="I95" i="76"/>
  <c r="H95" i="76"/>
  <c r="G95" i="76"/>
  <c r="F95" i="76"/>
  <c r="E95" i="76"/>
  <c r="D95" i="76"/>
  <c r="P92" i="76"/>
  <c r="O92" i="76"/>
  <c r="N92" i="76"/>
  <c r="M92" i="76"/>
  <c r="L92" i="76"/>
  <c r="I92" i="76"/>
  <c r="H92" i="76"/>
  <c r="K92" i="76" s="1"/>
  <c r="G92" i="76"/>
  <c r="J92" i="76" s="1"/>
  <c r="F92" i="76"/>
  <c r="D92" i="76"/>
  <c r="P91" i="76"/>
  <c r="O91" i="76"/>
  <c r="N91" i="76"/>
  <c r="M91" i="76"/>
  <c r="L91" i="76"/>
  <c r="I91" i="76"/>
  <c r="H91" i="76"/>
  <c r="K91" i="76" s="1"/>
  <c r="G91" i="76"/>
  <c r="J91" i="76" s="1"/>
  <c r="F91" i="76"/>
  <c r="E91" i="76"/>
  <c r="D91" i="76"/>
  <c r="P90" i="76"/>
  <c r="O90" i="76"/>
  <c r="N90" i="76"/>
  <c r="M90" i="76"/>
  <c r="L90" i="76"/>
  <c r="I90" i="76"/>
  <c r="H90" i="76"/>
  <c r="G90" i="76"/>
  <c r="F90" i="76"/>
  <c r="D90" i="76"/>
  <c r="P89" i="76"/>
  <c r="O89" i="76"/>
  <c r="N89" i="76"/>
  <c r="M89" i="76"/>
  <c r="L89" i="76"/>
  <c r="I89" i="76"/>
  <c r="H89" i="76"/>
  <c r="G89" i="76"/>
  <c r="F89" i="76"/>
  <c r="D89" i="76"/>
  <c r="P88" i="76"/>
  <c r="O88" i="76"/>
  <c r="N88" i="76"/>
  <c r="M88" i="76"/>
  <c r="L88" i="76"/>
  <c r="I88" i="76"/>
  <c r="H88" i="76"/>
  <c r="G88" i="76"/>
  <c r="F88" i="76"/>
  <c r="E88" i="76"/>
  <c r="D88" i="76"/>
  <c r="P87" i="76"/>
  <c r="O87" i="76"/>
  <c r="N87" i="76"/>
  <c r="M87" i="76"/>
  <c r="L87" i="76"/>
  <c r="I87" i="76"/>
  <c r="H87" i="76"/>
  <c r="G87" i="76"/>
  <c r="F87" i="76"/>
  <c r="D87" i="76"/>
  <c r="P82" i="76"/>
  <c r="O82" i="76"/>
  <c r="N82" i="76"/>
  <c r="M82" i="76"/>
  <c r="L82" i="76"/>
  <c r="I82" i="76"/>
  <c r="H82" i="76"/>
  <c r="G82" i="76"/>
  <c r="F82" i="76"/>
  <c r="E82" i="76"/>
  <c r="D82" i="76"/>
  <c r="C82" i="76"/>
  <c r="B82" i="76"/>
  <c r="P81" i="76"/>
  <c r="O81" i="76"/>
  <c r="N81" i="76"/>
  <c r="M81" i="76"/>
  <c r="L81" i="76"/>
  <c r="I81" i="76"/>
  <c r="H81" i="76"/>
  <c r="G81" i="76"/>
  <c r="F81" i="76"/>
  <c r="E81" i="76"/>
  <c r="D81" i="76"/>
  <c r="P80" i="76"/>
  <c r="O80" i="76"/>
  <c r="N80" i="76"/>
  <c r="M80" i="76"/>
  <c r="L80" i="76"/>
  <c r="I80" i="76"/>
  <c r="H80" i="76"/>
  <c r="G80" i="76"/>
  <c r="F80" i="76"/>
  <c r="E80" i="76"/>
  <c r="D80" i="76"/>
  <c r="P77" i="76"/>
  <c r="O77" i="76"/>
  <c r="N77" i="76"/>
  <c r="M77" i="76"/>
  <c r="L77" i="76"/>
  <c r="I77" i="76"/>
  <c r="H77" i="76"/>
  <c r="K77" i="76" s="1"/>
  <c r="G77" i="76"/>
  <c r="J77" i="76" s="1"/>
  <c r="F77" i="76"/>
  <c r="E77" i="76"/>
  <c r="D77" i="76"/>
  <c r="P76" i="76"/>
  <c r="O76" i="76"/>
  <c r="N76" i="76"/>
  <c r="M76" i="76"/>
  <c r="L76" i="76"/>
  <c r="I76" i="76"/>
  <c r="H76" i="76"/>
  <c r="K76" i="76" s="1"/>
  <c r="G76" i="76"/>
  <c r="J76" i="76" s="1"/>
  <c r="F76" i="76"/>
  <c r="E76" i="76"/>
  <c r="D76" i="76"/>
  <c r="P75" i="76"/>
  <c r="O75" i="76"/>
  <c r="N75" i="76"/>
  <c r="M75" i="76"/>
  <c r="L75" i="76"/>
  <c r="I75" i="76"/>
  <c r="H75" i="76"/>
  <c r="G75" i="76"/>
  <c r="F75" i="76"/>
  <c r="E75" i="76"/>
  <c r="D75" i="76"/>
  <c r="P74" i="76"/>
  <c r="O74" i="76"/>
  <c r="N74" i="76"/>
  <c r="M74" i="76"/>
  <c r="L74" i="76"/>
  <c r="I74" i="76"/>
  <c r="H74" i="76"/>
  <c r="G74" i="76"/>
  <c r="F74" i="76"/>
  <c r="E74" i="76"/>
  <c r="D74" i="76"/>
  <c r="P73" i="76"/>
  <c r="O73" i="76"/>
  <c r="N73" i="76"/>
  <c r="M73" i="76"/>
  <c r="L73" i="76"/>
  <c r="I73" i="76"/>
  <c r="H73" i="76"/>
  <c r="G73" i="76"/>
  <c r="F73" i="76"/>
  <c r="E73" i="76"/>
  <c r="D73" i="76"/>
  <c r="P72" i="76"/>
  <c r="O72" i="76"/>
  <c r="N72" i="76"/>
  <c r="M72" i="76"/>
  <c r="L72" i="76"/>
  <c r="I72" i="76"/>
  <c r="H72" i="76"/>
  <c r="G72" i="76"/>
  <c r="F72" i="76"/>
  <c r="E72" i="76"/>
  <c r="D72" i="76"/>
  <c r="V64" i="76"/>
  <c r="V63" i="76"/>
  <c r="V62" i="76"/>
  <c r="V61" i="76"/>
  <c r="V60" i="76"/>
  <c r="V59" i="76"/>
  <c r="V58" i="76"/>
  <c r="V57" i="76"/>
  <c r="V56" i="76"/>
  <c r="V55" i="76"/>
  <c r="V54" i="76"/>
  <c r="V53" i="76"/>
  <c r="V52" i="76"/>
  <c r="V51" i="76"/>
  <c r="V50" i="76"/>
  <c r="V49" i="76"/>
  <c r="V48" i="76"/>
  <c r="V47" i="76"/>
  <c r="V46" i="76"/>
  <c r="V45" i="76"/>
  <c r="V44" i="76"/>
  <c r="V43" i="76"/>
  <c r="V42" i="76"/>
  <c r="V41" i="76"/>
  <c r="V40" i="76"/>
  <c r="V39" i="76"/>
  <c r="V38" i="76"/>
  <c r="V37" i="76"/>
  <c r="V36" i="76"/>
  <c r="V35" i="76"/>
  <c r="V34" i="76"/>
  <c r="V33" i="76"/>
  <c r="V32" i="76"/>
  <c r="V31" i="76"/>
  <c r="V30" i="76"/>
  <c r="V29" i="76"/>
  <c r="V28" i="76"/>
  <c r="V27" i="76"/>
  <c r="V26" i="76"/>
  <c r="V25" i="76"/>
  <c r="V24" i="76"/>
  <c r="V23" i="76"/>
  <c r="V22" i="76"/>
  <c r="V21" i="76"/>
  <c r="V20" i="76"/>
  <c r="V19" i="76"/>
  <c r="V18" i="76"/>
  <c r="V17" i="76"/>
  <c r="E105" i="76" s="1"/>
  <c r="V16" i="76"/>
  <c r="V15" i="76"/>
  <c r="V14" i="76"/>
  <c r="V13" i="76"/>
  <c r="V12" i="76"/>
  <c r="V11" i="76"/>
  <c r="V10" i="76"/>
  <c r="V9" i="76"/>
  <c r="V8" i="76"/>
  <c r="V7" i="76"/>
  <c r="V6" i="76"/>
  <c r="V5" i="76"/>
  <c r="V4" i="76"/>
  <c r="V3" i="76"/>
  <c r="M156" i="75"/>
  <c r="L156" i="75"/>
  <c r="K156" i="75"/>
  <c r="J156" i="75"/>
  <c r="I156" i="75"/>
  <c r="H156" i="75"/>
  <c r="G156" i="75"/>
  <c r="F156" i="75"/>
  <c r="E156" i="75"/>
  <c r="D156" i="75"/>
  <c r="C156" i="75"/>
  <c r="B156" i="75"/>
  <c r="M155" i="75"/>
  <c r="L155" i="75"/>
  <c r="K155" i="75"/>
  <c r="J155" i="75"/>
  <c r="I155" i="75"/>
  <c r="H155" i="75"/>
  <c r="G155" i="75"/>
  <c r="F155" i="75"/>
  <c r="D155" i="75"/>
  <c r="C155" i="75"/>
  <c r="B155" i="75"/>
  <c r="M154" i="75"/>
  <c r="L154" i="75"/>
  <c r="K154" i="75"/>
  <c r="J154" i="75"/>
  <c r="I154" i="75"/>
  <c r="H154" i="75"/>
  <c r="G154" i="75"/>
  <c r="F154" i="75"/>
  <c r="D154" i="75"/>
  <c r="C154" i="75"/>
  <c r="B154" i="75"/>
  <c r="M152" i="75"/>
  <c r="M151" i="75"/>
  <c r="L151" i="75"/>
  <c r="K151" i="75"/>
  <c r="J151" i="75"/>
  <c r="I151" i="75"/>
  <c r="H151" i="75"/>
  <c r="G151" i="75"/>
  <c r="F151" i="75"/>
  <c r="E151" i="75"/>
  <c r="D151" i="75"/>
  <c r="C151" i="75"/>
  <c r="B151" i="75"/>
  <c r="M150" i="75"/>
  <c r="L150" i="75"/>
  <c r="K150" i="75"/>
  <c r="J150" i="75"/>
  <c r="I150" i="75"/>
  <c r="H150" i="75"/>
  <c r="G150" i="75"/>
  <c r="F150" i="75"/>
  <c r="D150" i="75"/>
  <c r="C150" i="75"/>
  <c r="B150" i="75"/>
  <c r="M149" i="75"/>
  <c r="L149" i="75"/>
  <c r="K149" i="75"/>
  <c r="J149" i="75"/>
  <c r="I149" i="75"/>
  <c r="H149" i="75"/>
  <c r="G149" i="75"/>
  <c r="F149" i="75"/>
  <c r="D149" i="75"/>
  <c r="C149" i="75"/>
  <c r="B149" i="75"/>
  <c r="M148" i="75"/>
  <c r="L148" i="75"/>
  <c r="K148" i="75"/>
  <c r="J148" i="75"/>
  <c r="I148" i="75"/>
  <c r="H148" i="75"/>
  <c r="G148" i="75"/>
  <c r="F148" i="75"/>
  <c r="D148" i="75"/>
  <c r="C148" i="75"/>
  <c r="B148" i="75"/>
  <c r="M147" i="75"/>
  <c r="L147" i="75"/>
  <c r="K147" i="75"/>
  <c r="J147" i="75"/>
  <c r="I147" i="75"/>
  <c r="H147" i="75"/>
  <c r="G147" i="75"/>
  <c r="F147" i="75"/>
  <c r="D147" i="75"/>
  <c r="C147" i="75"/>
  <c r="B147" i="75"/>
  <c r="C143" i="75"/>
  <c r="B143" i="75"/>
  <c r="O142" i="75"/>
  <c r="N142" i="75"/>
  <c r="M142" i="75"/>
  <c r="L142" i="75"/>
  <c r="I142" i="75"/>
  <c r="H142" i="75"/>
  <c r="K142" i="75" s="1"/>
  <c r="G142" i="75"/>
  <c r="J142" i="75" s="1"/>
  <c r="F142" i="75"/>
  <c r="E142" i="75"/>
  <c r="D142" i="75"/>
  <c r="O141" i="75"/>
  <c r="N141" i="75"/>
  <c r="M141" i="75"/>
  <c r="L141" i="75"/>
  <c r="I141" i="75"/>
  <c r="H141" i="75"/>
  <c r="K141" i="75" s="1"/>
  <c r="G141" i="75"/>
  <c r="J141" i="75" s="1"/>
  <c r="F141" i="75"/>
  <c r="E141" i="75"/>
  <c r="D141" i="75"/>
  <c r="O140" i="75"/>
  <c r="N140" i="75"/>
  <c r="M140" i="75"/>
  <c r="L140" i="75"/>
  <c r="I140" i="75"/>
  <c r="H140" i="75"/>
  <c r="G140" i="75"/>
  <c r="F140" i="75"/>
  <c r="E140" i="75"/>
  <c r="D140" i="75"/>
  <c r="C138" i="75"/>
  <c r="B138" i="75"/>
  <c r="O137" i="75"/>
  <c r="N137" i="75"/>
  <c r="M137" i="75"/>
  <c r="L137" i="75"/>
  <c r="I137" i="75"/>
  <c r="H137" i="75"/>
  <c r="K137" i="75" s="1"/>
  <c r="G137" i="75"/>
  <c r="J137" i="75" s="1"/>
  <c r="F137" i="75"/>
  <c r="E137" i="75"/>
  <c r="D137" i="75"/>
  <c r="O136" i="75"/>
  <c r="N136" i="75"/>
  <c r="M136" i="75"/>
  <c r="L136" i="75"/>
  <c r="I136" i="75"/>
  <c r="H136" i="75"/>
  <c r="K136" i="75" s="1"/>
  <c r="G136" i="75"/>
  <c r="J136" i="75" s="1"/>
  <c r="F136" i="75"/>
  <c r="E136" i="75"/>
  <c r="D136" i="75"/>
  <c r="O135" i="75"/>
  <c r="N135" i="75"/>
  <c r="M135" i="75"/>
  <c r="L135" i="75"/>
  <c r="I135" i="75"/>
  <c r="H135" i="75"/>
  <c r="K135" i="75" s="1"/>
  <c r="G135" i="75"/>
  <c r="J135" i="75" s="1"/>
  <c r="F135" i="75"/>
  <c r="E135" i="75"/>
  <c r="D135" i="75"/>
  <c r="O134" i="75"/>
  <c r="N134" i="75"/>
  <c r="M134" i="75"/>
  <c r="L134" i="75"/>
  <c r="I134" i="75"/>
  <c r="H134" i="75"/>
  <c r="K134" i="75" s="1"/>
  <c r="G134" i="75"/>
  <c r="J134" i="75" s="1"/>
  <c r="F134" i="75"/>
  <c r="E134" i="75"/>
  <c r="D134" i="75"/>
  <c r="O133" i="75"/>
  <c r="N133" i="75"/>
  <c r="M133" i="75"/>
  <c r="L133" i="75"/>
  <c r="I133" i="75"/>
  <c r="H133" i="75"/>
  <c r="K133" i="75" s="1"/>
  <c r="G133" i="75"/>
  <c r="J133" i="75" s="1"/>
  <c r="F133" i="75"/>
  <c r="E133" i="75"/>
  <c r="D133" i="75"/>
  <c r="O132" i="75"/>
  <c r="N132" i="75"/>
  <c r="M132" i="75"/>
  <c r="L132" i="75"/>
  <c r="I132" i="75"/>
  <c r="H132" i="75"/>
  <c r="K132" i="75" s="1"/>
  <c r="G132" i="75"/>
  <c r="J132" i="75" s="1"/>
  <c r="F132" i="75"/>
  <c r="E132" i="75"/>
  <c r="D132" i="75"/>
  <c r="I127" i="75"/>
  <c r="H127" i="75"/>
  <c r="G127" i="75"/>
  <c r="F127" i="75"/>
  <c r="E127" i="75"/>
  <c r="D127" i="75"/>
  <c r="I126" i="75"/>
  <c r="H126" i="75"/>
  <c r="G126" i="75"/>
  <c r="F126" i="75"/>
  <c r="D126" i="75"/>
  <c r="P125" i="75"/>
  <c r="O125" i="75"/>
  <c r="N125" i="75"/>
  <c r="M125" i="75"/>
  <c r="L125" i="75"/>
  <c r="I125" i="75"/>
  <c r="H125" i="75"/>
  <c r="G125" i="75"/>
  <c r="F125" i="75"/>
  <c r="D125" i="75"/>
  <c r="P122" i="75"/>
  <c r="O122" i="75"/>
  <c r="N122" i="75"/>
  <c r="M122" i="75"/>
  <c r="L122" i="75"/>
  <c r="I122" i="75"/>
  <c r="H122" i="75"/>
  <c r="K122" i="75" s="1"/>
  <c r="G122" i="75"/>
  <c r="J122" i="75" s="1"/>
  <c r="F122" i="75"/>
  <c r="D122" i="75"/>
  <c r="P121" i="75"/>
  <c r="O121" i="75"/>
  <c r="N121" i="75"/>
  <c r="M121" i="75"/>
  <c r="L121" i="75"/>
  <c r="I121" i="75"/>
  <c r="H121" i="75"/>
  <c r="K121" i="75" s="1"/>
  <c r="G121" i="75"/>
  <c r="J121" i="75" s="1"/>
  <c r="F121" i="75"/>
  <c r="E121" i="75"/>
  <c r="D121" i="75"/>
  <c r="P120" i="75"/>
  <c r="O120" i="75"/>
  <c r="N120" i="75"/>
  <c r="M120" i="75"/>
  <c r="L120" i="75"/>
  <c r="I120" i="75"/>
  <c r="H120" i="75"/>
  <c r="G120" i="75"/>
  <c r="F120" i="75"/>
  <c r="D120" i="75"/>
  <c r="P119" i="75"/>
  <c r="P127" i="75" s="1"/>
  <c r="O119" i="75"/>
  <c r="O127" i="75" s="1"/>
  <c r="N119" i="75"/>
  <c r="N127" i="75" s="1"/>
  <c r="M119" i="75"/>
  <c r="M127" i="75" s="1"/>
  <c r="L119" i="75"/>
  <c r="L127" i="75" s="1"/>
  <c r="I119" i="75"/>
  <c r="H119" i="75"/>
  <c r="G119" i="75"/>
  <c r="F119" i="75"/>
  <c r="D119" i="75"/>
  <c r="P118" i="75"/>
  <c r="O118" i="75"/>
  <c r="N118" i="75"/>
  <c r="M118" i="75"/>
  <c r="L118" i="75"/>
  <c r="I118" i="75"/>
  <c r="H118" i="75"/>
  <c r="G118" i="75"/>
  <c r="F118" i="75"/>
  <c r="D118" i="75"/>
  <c r="P117" i="75"/>
  <c r="P126" i="75" s="1"/>
  <c r="O117" i="75"/>
  <c r="O126" i="75" s="1"/>
  <c r="N117" i="75"/>
  <c r="M117" i="75"/>
  <c r="M126" i="75" s="1"/>
  <c r="L117" i="75"/>
  <c r="L126" i="75" s="1"/>
  <c r="I117" i="75"/>
  <c r="H117" i="75"/>
  <c r="G117" i="75"/>
  <c r="F117" i="75"/>
  <c r="D117" i="75"/>
  <c r="P112" i="75"/>
  <c r="O112" i="75"/>
  <c r="N112" i="75"/>
  <c r="M112" i="75"/>
  <c r="L112" i="75"/>
  <c r="I112" i="75"/>
  <c r="H112" i="75"/>
  <c r="G112" i="75"/>
  <c r="F112" i="75"/>
  <c r="E112" i="75"/>
  <c r="D112" i="75"/>
  <c r="P111" i="75"/>
  <c r="O111" i="75"/>
  <c r="N111" i="75"/>
  <c r="M111" i="75"/>
  <c r="L111" i="75"/>
  <c r="I111" i="75"/>
  <c r="H111" i="75"/>
  <c r="G111" i="75"/>
  <c r="F111" i="75"/>
  <c r="E111" i="75"/>
  <c r="D111" i="75"/>
  <c r="P110" i="75"/>
  <c r="O110" i="75"/>
  <c r="N110" i="75"/>
  <c r="M110" i="75"/>
  <c r="L110" i="75"/>
  <c r="I110" i="75"/>
  <c r="H110" i="75"/>
  <c r="G110" i="75"/>
  <c r="F110" i="75"/>
  <c r="E110" i="75"/>
  <c r="D110" i="75"/>
  <c r="P107" i="75"/>
  <c r="O107" i="75"/>
  <c r="N107" i="75"/>
  <c r="M107" i="75"/>
  <c r="L107" i="75"/>
  <c r="I107" i="75"/>
  <c r="H107" i="75"/>
  <c r="K107" i="75" s="1"/>
  <c r="G107" i="75"/>
  <c r="J107" i="75" s="1"/>
  <c r="F107" i="75"/>
  <c r="E107" i="75"/>
  <c r="D107" i="75"/>
  <c r="P106" i="75"/>
  <c r="O106" i="75"/>
  <c r="N106" i="75"/>
  <c r="M106" i="75"/>
  <c r="L106" i="75"/>
  <c r="I106" i="75"/>
  <c r="H106" i="75"/>
  <c r="K106" i="75" s="1"/>
  <c r="G106" i="75"/>
  <c r="J106" i="75" s="1"/>
  <c r="F106" i="75"/>
  <c r="E106" i="75"/>
  <c r="D106" i="75"/>
  <c r="P105" i="75"/>
  <c r="O105" i="75"/>
  <c r="N105" i="75"/>
  <c r="M105" i="75"/>
  <c r="L105" i="75"/>
  <c r="I105" i="75"/>
  <c r="H105" i="75"/>
  <c r="G105" i="75"/>
  <c r="F105" i="75"/>
  <c r="E105" i="75"/>
  <c r="D105" i="75"/>
  <c r="P104" i="75"/>
  <c r="O104" i="75"/>
  <c r="N104" i="75"/>
  <c r="M104" i="75"/>
  <c r="L104" i="75"/>
  <c r="I104" i="75"/>
  <c r="H104" i="75"/>
  <c r="G104" i="75"/>
  <c r="F104" i="75"/>
  <c r="E104" i="75"/>
  <c r="D104" i="75"/>
  <c r="P103" i="75"/>
  <c r="O103" i="75"/>
  <c r="N103" i="75"/>
  <c r="M103" i="75"/>
  <c r="L103" i="75"/>
  <c r="I103" i="75"/>
  <c r="H103" i="75"/>
  <c r="G103" i="75"/>
  <c r="F103" i="75"/>
  <c r="E103" i="75"/>
  <c r="D103" i="75"/>
  <c r="P102" i="75"/>
  <c r="O102" i="75"/>
  <c r="N102" i="75"/>
  <c r="M102" i="75"/>
  <c r="L102" i="75"/>
  <c r="I102" i="75"/>
  <c r="H102" i="75"/>
  <c r="G102" i="75"/>
  <c r="F102" i="75"/>
  <c r="E102" i="75"/>
  <c r="D102" i="75"/>
  <c r="P97" i="75"/>
  <c r="O97" i="75"/>
  <c r="N97" i="75"/>
  <c r="M97" i="75"/>
  <c r="L97" i="75"/>
  <c r="I97" i="75"/>
  <c r="H97" i="75"/>
  <c r="G97" i="75"/>
  <c r="F97" i="75"/>
  <c r="E97" i="75"/>
  <c r="D97" i="75"/>
  <c r="P96" i="75"/>
  <c r="O96" i="75"/>
  <c r="N96" i="75"/>
  <c r="M96" i="75"/>
  <c r="L96" i="75"/>
  <c r="I96" i="75"/>
  <c r="H96" i="75"/>
  <c r="G96" i="75"/>
  <c r="F96" i="75"/>
  <c r="D96" i="75"/>
  <c r="P95" i="75"/>
  <c r="O95" i="75"/>
  <c r="N95" i="75"/>
  <c r="M95" i="75"/>
  <c r="L95" i="75"/>
  <c r="I95" i="75"/>
  <c r="H95" i="75"/>
  <c r="G95" i="75"/>
  <c r="F95" i="75"/>
  <c r="D95" i="75"/>
  <c r="P92" i="75"/>
  <c r="O92" i="75"/>
  <c r="N92" i="75"/>
  <c r="M92" i="75"/>
  <c r="L92" i="75"/>
  <c r="I92" i="75"/>
  <c r="H92" i="75"/>
  <c r="K92" i="75" s="1"/>
  <c r="G92" i="75"/>
  <c r="J92" i="75" s="1"/>
  <c r="F92" i="75"/>
  <c r="D92" i="75"/>
  <c r="P91" i="75"/>
  <c r="O91" i="75"/>
  <c r="N91" i="75"/>
  <c r="M91" i="75"/>
  <c r="L91" i="75"/>
  <c r="I91" i="75"/>
  <c r="H91" i="75"/>
  <c r="K91" i="75" s="1"/>
  <c r="G91" i="75"/>
  <c r="J91" i="75" s="1"/>
  <c r="F91" i="75"/>
  <c r="E91" i="75"/>
  <c r="D91" i="75"/>
  <c r="P90" i="75"/>
  <c r="O90" i="75"/>
  <c r="N90" i="75"/>
  <c r="M90" i="75"/>
  <c r="L90" i="75"/>
  <c r="I90" i="75"/>
  <c r="H90" i="75"/>
  <c r="G90" i="75"/>
  <c r="F90" i="75"/>
  <c r="D90" i="75"/>
  <c r="P89" i="75"/>
  <c r="O89" i="75"/>
  <c r="N89" i="75"/>
  <c r="M89" i="75"/>
  <c r="L89" i="75"/>
  <c r="I89" i="75"/>
  <c r="H89" i="75"/>
  <c r="G89" i="75"/>
  <c r="F89" i="75"/>
  <c r="D89" i="75"/>
  <c r="P88" i="75"/>
  <c r="O88" i="75"/>
  <c r="N88" i="75"/>
  <c r="M88" i="75"/>
  <c r="L88" i="75"/>
  <c r="I88" i="75"/>
  <c r="H88" i="75"/>
  <c r="G88" i="75"/>
  <c r="F88" i="75"/>
  <c r="D88" i="75"/>
  <c r="P87" i="75"/>
  <c r="O87" i="75"/>
  <c r="N87" i="75"/>
  <c r="M87" i="75"/>
  <c r="L87" i="75"/>
  <c r="I87" i="75"/>
  <c r="H87" i="75"/>
  <c r="G87" i="75"/>
  <c r="F87" i="75"/>
  <c r="D87" i="75"/>
  <c r="P82" i="75"/>
  <c r="O82" i="75"/>
  <c r="N82" i="75"/>
  <c r="M82" i="75"/>
  <c r="L82" i="75"/>
  <c r="I82" i="75"/>
  <c r="H82" i="75"/>
  <c r="G82" i="75"/>
  <c r="F82" i="75"/>
  <c r="E82" i="75"/>
  <c r="D82" i="75"/>
  <c r="P81" i="75"/>
  <c r="O81" i="75"/>
  <c r="N81" i="75"/>
  <c r="M81" i="75"/>
  <c r="L81" i="75"/>
  <c r="I81" i="75"/>
  <c r="H81" i="75"/>
  <c r="G81" i="75"/>
  <c r="F81" i="75"/>
  <c r="D81" i="75"/>
  <c r="P80" i="75"/>
  <c r="O80" i="75"/>
  <c r="N80" i="75"/>
  <c r="M80" i="75"/>
  <c r="L80" i="75"/>
  <c r="I80" i="75"/>
  <c r="H80" i="75"/>
  <c r="G80" i="75"/>
  <c r="F80" i="75"/>
  <c r="D80" i="75"/>
  <c r="P77" i="75"/>
  <c r="O77" i="75"/>
  <c r="N77" i="75"/>
  <c r="M77" i="75"/>
  <c r="L77" i="75"/>
  <c r="I77" i="75"/>
  <c r="H77" i="75"/>
  <c r="K77" i="75" s="1"/>
  <c r="G77" i="75"/>
  <c r="J77" i="75" s="1"/>
  <c r="F77" i="75"/>
  <c r="D77" i="75"/>
  <c r="P76" i="75"/>
  <c r="O76" i="75"/>
  <c r="N76" i="75"/>
  <c r="M76" i="75"/>
  <c r="L76" i="75"/>
  <c r="I76" i="75"/>
  <c r="H76" i="75"/>
  <c r="K76" i="75" s="1"/>
  <c r="G76" i="75"/>
  <c r="J76" i="75" s="1"/>
  <c r="F76" i="75"/>
  <c r="E76" i="75"/>
  <c r="D76" i="75"/>
  <c r="P75" i="75"/>
  <c r="O75" i="75"/>
  <c r="N75" i="75"/>
  <c r="M75" i="75"/>
  <c r="L75" i="75"/>
  <c r="I75" i="75"/>
  <c r="H75" i="75"/>
  <c r="G75" i="75"/>
  <c r="F75" i="75"/>
  <c r="D75" i="75"/>
  <c r="P74" i="75"/>
  <c r="O74" i="75"/>
  <c r="N74" i="75"/>
  <c r="M74" i="75"/>
  <c r="L74" i="75"/>
  <c r="I74" i="75"/>
  <c r="H74" i="75"/>
  <c r="G74" i="75"/>
  <c r="F74" i="75"/>
  <c r="D74" i="75"/>
  <c r="P73" i="75"/>
  <c r="O73" i="75"/>
  <c r="N73" i="75"/>
  <c r="M73" i="75"/>
  <c r="L73" i="75"/>
  <c r="I73" i="75"/>
  <c r="H73" i="75"/>
  <c r="G73" i="75"/>
  <c r="F73" i="75"/>
  <c r="E73" i="75"/>
  <c r="D73" i="75"/>
  <c r="P72" i="75"/>
  <c r="O72" i="75"/>
  <c r="N72" i="75"/>
  <c r="M72" i="75"/>
  <c r="L72" i="75"/>
  <c r="I72" i="75"/>
  <c r="H72" i="75"/>
  <c r="G72" i="75"/>
  <c r="F72" i="75"/>
  <c r="D72" i="75"/>
  <c r="V64" i="75"/>
  <c r="V63" i="75"/>
  <c r="V62" i="75"/>
  <c r="V61" i="75"/>
  <c r="V60" i="75"/>
  <c r="V59" i="75"/>
  <c r="V58" i="75"/>
  <c r="V57" i="75"/>
  <c r="V56" i="75"/>
  <c r="V55" i="75"/>
  <c r="V54" i="75"/>
  <c r="V53" i="75"/>
  <c r="V52" i="75"/>
  <c r="V51" i="75"/>
  <c r="V50" i="75"/>
  <c r="V49" i="75"/>
  <c r="V48" i="75"/>
  <c r="V47" i="75"/>
  <c r="V46" i="75"/>
  <c r="V45" i="75"/>
  <c r="V44" i="75"/>
  <c r="V43" i="75"/>
  <c r="V42" i="75"/>
  <c r="V41" i="75"/>
  <c r="V40" i="75"/>
  <c r="V39" i="75"/>
  <c r="V38" i="75"/>
  <c r="V37" i="75"/>
  <c r="V36" i="75"/>
  <c r="V35" i="75"/>
  <c r="V34" i="75"/>
  <c r="V33" i="75"/>
  <c r="V32" i="75"/>
  <c r="V31" i="75"/>
  <c r="V30" i="75"/>
  <c r="V29" i="75"/>
  <c r="V28" i="75"/>
  <c r="V27" i="75"/>
  <c r="V26" i="75"/>
  <c r="V25" i="75"/>
  <c r="V24" i="75"/>
  <c r="V23" i="75"/>
  <c r="V22" i="75"/>
  <c r="V21" i="75"/>
  <c r="V20" i="75"/>
  <c r="E149" i="75" s="1"/>
  <c r="V19" i="75"/>
  <c r="V18" i="75"/>
  <c r="V17" i="75"/>
  <c r="E90" i="75" s="1"/>
  <c r="V16" i="75"/>
  <c r="V15" i="75"/>
  <c r="V14" i="75"/>
  <c r="E150" i="75" s="1"/>
  <c r="V13" i="75"/>
  <c r="V12" i="75"/>
  <c r="V11" i="75"/>
  <c r="V10" i="75"/>
  <c r="V9" i="75"/>
  <c r="V8" i="75"/>
  <c r="E74" i="75" s="1"/>
  <c r="V7" i="75"/>
  <c r="V6" i="75"/>
  <c r="E118" i="75" s="1"/>
  <c r="V5" i="75"/>
  <c r="V4" i="75"/>
  <c r="V3" i="75"/>
  <c r="E72" i="75" s="1"/>
  <c r="M156" i="74"/>
  <c r="L156" i="74"/>
  <c r="K156" i="74"/>
  <c r="J156" i="74"/>
  <c r="I156" i="74"/>
  <c r="H156" i="74"/>
  <c r="G156" i="74"/>
  <c r="F156" i="74"/>
  <c r="E156" i="74"/>
  <c r="D156" i="74"/>
  <c r="C156" i="74"/>
  <c r="B156" i="74"/>
  <c r="M155" i="74"/>
  <c r="L155" i="74"/>
  <c r="K155" i="74"/>
  <c r="J155" i="74"/>
  <c r="I155" i="74"/>
  <c r="H155" i="74"/>
  <c r="G155" i="74"/>
  <c r="F155" i="74"/>
  <c r="D155" i="74"/>
  <c r="C155" i="74"/>
  <c r="B155" i="74"/>
  <c r="M154" i="74"/>
  <c r="L154" i="74"/>
  <c r="K154" i="74"/>
  <c r="J154" i="74"/>
  <c r="I154" i="74"/>
  <c r="H154" i="74"/>
  <c r="G154" i="74"/>
  <c r="F154" i="74"/>
  <c r="E154" i="74"/>
  <c r="D154" i="74"/>
  <c r="C154" i="74"/>
  <c r="B154" i="74"/>
  <c r="M152" i="74"/>
  <c r="M151" i="74"/>
  <c r="L151" i="74"/>
  <c r="K151" i="74"/>
  <c r="J151" i="74"/>
  <c r="I151" i="74"/>
  <c r="H151" i="74"/>
  <c r="G151" i="74"/>
  <c r="F151" i="74"/>
  <c r="E151" i="74"/>
  <c r="D151" i="74"/>
  <c r="C151" i="74"/>
  <c r="B151" i="74"/>
  <c r="M150" i="74"/>
  <c r="L150" i="74"/>
  <c r="K150" i="74"/>
  <c r="J150" i="74"/>
  <c r="I150" i="74"/>
  <c r="H150" i="74"/>
  <c r="G150" i="74"/>
  <c r="F150" i="74"/>
  <c r="E150" i="74"/>
  <c r="D150" i="74"/>
  <c r="C150" i="74"/>
  <c r="B150" i="74"/>
  <c r="M149" i="74"/>
  <c r="L149" i="74"/>
  <c r="K149" i="74"/>
  <c r="J149" i="74"/>
  <c r="I149" i="74"/>
  <c r="H149" i="74"/>
  <c r="G149" i="74"/>
  <c r="F149" i="74"/>
  <c r="D149" i="74"/>
  <c r="C149" i="74"/>
  <c r="B149" i="74"/>
  <c r="M148" i="74"/>
  <c r="L148" i="74"/>
  <c r="K148" i="74"/>
  <c r="J148" i="74"/>
  <c r="I148" i="74"/>
  <c r="H148" i="74"/>
  <c r="G148" i="74"/>
  <c r="F148" i="74"/>
  <c r="E148" i="74"/>
  <c r="D148" i="74"/>
  <c r="C148" i="74"/>
  <c r="B148" i="74"/>
  <c r="M147" i="74"/>
  <c r="L147" i="74"/>
  <c r="K147" i="74"/>
  <c r="J147" i="74"/>
  <c r="I147" i="74"/>
  <c r="H147" i="74"/>
  <c r="G147" i="74"/>
  <c r="F147" i="74"/>
  <c r="D147" i="74"/>
  <c r="C147" i="74"/>
  <c r="B147" i="74"/>
  <c r="C143" i="74"/>
  <c r="B143" i="74"/>
  <c r="O142" i="74"/>
  <c r="N142" i="74"/>
  <c r="M142" i="74"/>
  <c r="L142" i="74"/>
  <c r="I142" i="74"/>
  <c r="H142" i="74"/>
  <c r="K142" i="74" s="1"/>
  <c r="G142" i="74"/>
  <c r="J142" i="74" s="1"/>
  <c r="F142" i="74"/>
  <c r="E142" i="74"/>
  <c r="D142" i="74"/>
  <c r="O141" i="74"/>
  <c r="N141" i="74"/>
  <c r="M141" i="74"/>
  <c r="L141" i="74"/>
  <c r="I141" i="74"/>
  <c r="H141" i="74"/>
  <c r="K141" i="74" s="1"/>
  <c r="G141" i="74"/>
  <c r="J141" i="74" s="1"/>
  <c r="F141" i="74"/>
  <c r="E141" i="74"/>
  <c r="D141" i="74"/>
  <c r="O140" i="74"/>
  <c r="N140" i="74"/>
  <c r="M140" i="74"/>
  <c r="L140" i="74"/>
  <c r="I140" i="74"/>
  <c r="H140" i="74"/>
  <c r="K140" i="74" s="1"/>
  <c r="G140" i="74"/>
  <c r="J140" i="74" s="1"/>
  <c r="F140" i="74"/>
  <c r="E140" i="74"/>
  <c r="D140" i="74"/>
  <c r="C138" i="74"/>
  <c r="B138" i="74"/>
  <c r="O137" i="74"/>
  <c r="N137" i="74"/>
  <c r="M137" i="74"/>
  <c r="L137" i="74"/>
  <c r="I137" i="74"/>
  <c r="H137" i="74"/>
  <c r="K137" i="74" s="1"/>
  <c r="G137" i="74"/>
  <c r="J137" i="74" s="1"/>
  <c r="F137" i="74"/>
  <c r="E137" i="74"/>
  <c r="D137" i="74"/>
  <c r="O136" i="74"/>
  <c r="N136" i="74"/>
  <c r="M136" i="74"/>
  <c r="L136" i="74"/>
  <c r="I136" i="74"/>
  <c r="H136" i="74"/>
  <c r="K136" i="74" s="1"/>
  <c r="G136" i="74"/>
  <c r="J136" i="74" s="1"/>
  <c r="F136" i="74"/>
  <c r="E136" i="74"/>
  <c r="D136" i="74"/>
  <c r="O135" i="74"/>
  <c r="N135" i="74"/>
  <c r="M135" i="74"/>
  <c r="L135" i="74"/>
  <c r="I135" i="74"/>
  <c r="H135" i="74"/>
  <c r="K135" i="74" s="1"/>
  <c r="G135" i="74"/>
  <c r="J135" i="74" s="1"/>
  <c r="F135" i="74"/>
  <c r="E135" i="74"/>
  <c r="D135" i="74"/>
  <c r="O134" i="74"/>
  <c r="N134" i="74"/>
  <c r="M134" i="74"/>
  <c r="L134" i="74"/>
  <c r="I134" i="74"/>
  <c r="H134" i="74"/>
  <c r="K134" i="74" s="1"/>
  <c r="G134" i="74"/>
  <c r="J134" i="74" s="1"/>
  <c r="F134" i="74"/>
  <c r="E134" i="74"/>
  <c r="D134" i="74"/>
  <c r="O133" i="74"/>
  <c r="N133" i="74"/>
  <c r="M133" i="74"/>
  <c r="L133" i="74"/>
  <c r="I133" i="74"/>
  <c r="H133" i="74"/>
  <c r="K133" i="74" s="1"/>
  <c r="G133" i="74"/>
  <c r="J133" i="74" s="1"/>
  <c r="F133" i="74"/>
  <c r="E133" i="74"/>
  <c r="D133" i="74"/>
  <c r="O132" i="74"/>
  <c r="N132" i="74"/>
  <c r="M132" i="74"/>
  <c r="L132" i="74"/>
  <c r="I132" i="74"/>
  <c r="H132" i="74"/>
  <c r="G132" i="74"/>
  <c r="J132" i="74" s="1"/>
  <c r="F132" i="74"/>
  <c r="E132" i="74"/>
  <c r="D132" i="74"/>
  <c r="I127" i="74"/>
  <c r="H127" i="74"/>
  <c r="G127" i="74"/>
  <c r="F127" i="74"/>
  <c r="E127" i="74"/>
  <c r="D127" i="74"/>
  <c r="I126" i="74"/>
  <c r="H126" i="74"/>
  <c r="G126" i="74"/>
  <c r="F126" i="74"/>
  <c r="D126" i="74"/>
  <c r="P125" i="74"/>
  <c r="O125" i="74"/>
  <c r="N125" i="74"/>
  <c r="M125" i="74"/>
  <c r="L125" i="74"/>
  <c r="I125" i="74"/>
  <c r="H125" i="74"/>
  <c r="G125" i="74"/>
  <c r="F125" i="74"/>
  <c r="D125" i="74"/>
  <c r="P122" i="74"/>
  <c r="O122" i="74"/>
  <c r="N122" i="74"/>
  <c r="M122" i="74"/>
  <c r="L122" i="74"/>
  <c r="I122" i="74"/>
  <c r="H122" i="74"/>
  <c r="K122" i="74" s="1"/>
  <c r="G122" i="74"/>
  <c r="J122" i="74" s="1"/>
  <c r="F122" i="74"/>
  <c r="D122" i="74"/>
  <c r="P121" i="74"/>
  <c r="O121" i="74"/>
  <c r="N121" i="74"/>
  <c r="M121" i="74"/>
  <c r="L121" i="74"/>
  <c r="I121" i="74"/>
  <c r="H121" i="74"/>
  <c r="K121" i="74" s="1"/>
  <c r="G121" i="74"/>
  <c r="J121" i="74" s="1"/>
  <c r="F121" i="74"/>
  <c r="E121" i="74"/>
  <c r="D121" i="74"/>
  <c r="P120" i="74"/>
  <c r="O120" i="74"/>
  <c r="N120" i="74"/>
  <c r="M120" i="74"/>
  <c r="L120" i="74"/>
  <c r="I120" i="74"/>
  <c r="H120" i="74"/>
  <c r="G120" i="74"/>
  <c r="F120" i="74"/>
  <c r="D120" i="74"/>
  <c r="P119" i="74"/>
  <c r="P127" i="74" s="1"/>
  <c r="O119" i="74"/>
  <c r="O127" i="74" s="1"/>
  <c r="N119" i="74"/>
  <c r="N127" i="74" s="1"/>
  <c r="M119" i="74"/>
  <c r="M127" i="74" s="1"/>
  <c r="L119" i="74"/>
  <c r="L127" i="74" s="1"/>
  <c r="I119" i="74"/>
  <c r="H119" i="74"/>
  <c r="G119" i="74"/>
  <c r="F119" i="74"/>
  <c r="D119" i="74"/>
  <c r="P118" i="74"/>
  <c r="O118" i="74"/>
  <c r="N118" i="74"/>
  <c r="M118" i="74"/>
  <c r="L118" i="74"/>
  <c r="I118" i="74"/>
  <c r="H118" i="74"/>
  <c r="G118" i="74"/>
  <c r="F118" i="74"/>
  <c r="D118" i="74"/>
  <c r="P117" i="74"/>
  <c r="P126" i="74" s="1"/>
  <c r="O117" i="74"/>
  <c r="O126" i="74" s="1"/>
  <c r="N117" i="74"/>
  <c r="N126" i="74" s="1"/>
  <c r="M117" i="74"/>
  <c r="M126" i="74" s="1"/>
  <c r="L117" i="74"/>
  <c r="I117" i="74"/>
  <c r="H117" i="74"/>
  <c r="G117" i="74"/>
  <c r="F117" i="74"/>
  <c r="D117" i="74"/>
  <c r="P112" i="74"/>
  <c r="O112" i="74"/>
  <c r="N112" i="74"/>
  <c r="M112" i="74"/>
  <c r="L112" i="74"/>
  <c r="I112" i="74"/>
  <c r="H112" i="74"/>
  <c r="G112" i="74"/>
  <c r="F112" i="74"/>
  <c r="E112" i="74"/>
  <c r="D112" i="74"/>
  <c r="P111" i="74"/>
  <c r="O111" i="74"/>
  <c r="N111" i="74"/>
  <c r="M111" i="74"/>
  <c r="L111" i="74"/>
  <c r="I111" i="74"/>
  <c r="H111" i="74"/>
  <c r="G111" i="74"/>
  <c r="F111" i="74"/>
  <c r="E111" i="74"/>
  <c r="D111" i="74"/>
  <c r="P110" i="74"/>
  <c r="O110" i="74"/>
  <c r="N110" i="74"/>
  <c r="M110" i="74"/>
  <c r="L110" i="74"/>
  <c r="I110" i="74"/>
  <c r="H110" i="74"/>
  <c r="G110" i="74"/>
  <c r="F110" i="74"/>
  <c r="E110" i="74"/>
  <c r="D110" i="74"/>
  <c r="P107" i="74"/>
  <c r="O107" i="74"/>
  <c r="N107" i="74"/>
  <c r="M107" i="74"/>
  <c r="L107" i="74"/>
  <c r="I107" i="74"/>
  <c r="H107" i="74"/>
  <c r="K107" i="74" s="1"/>
  <c r="G107" i="74"/>
  <c r="J107" i="74" s="1"/>
  <c r="F107" i="74"/>
  <c r="E107" i="74"/>
  <c r="D107" i="74"/>
  <c r="P106" i="74"/>
  <c r="O106" i="74"/>
  <c r="N106" i="74"/>
  <c r="M106" i="74"/>
  <c r="L106" i="74"/>
  <c r="I106" i="74"/>
  <c r="H106" i="74"/>
  <c r="K106" i="74" s="1"/>
  <c r="G106" i="74"/>
  <c r="J106" i="74" s="1"/>
  <c r="F106" i="74"/>
  <c r="E106" i="74"/>
  <c r="D106" i="74"/>
  <c r="P105" i="74"/>
  <c r="O105" i="74"/>
  <c r="N105" i="74"/>
  <c r="M105" i="74"/>
  <c r="L105" i="74"/>
  <c r="I105" i="74"/>
  <c r="H105" i="74"/>
  <c r="G105" i="74"/>
  <c r="F105" i="74"/>
  <c r="D105" i="74"/>
  <c r="P104" i="74"/>
  <c r="O104" i="74"/>
  <c r="N104" i="74"/>
  <c r="M104" i="74"/>
  <c r="L104" i="74"/>
  <c r="I104" i="74"/>
  <c r="H104" i="74"/>
  <c r="G104" i="74"/>
  <c r="F104" i="74"/>
  <c r="E104" i="74"/>
  <c r="D104" i="74"/>
  <c r="P103" i="74"/>
  <c r="O103" i="74"/>
  <c r="N103" i="74"/>
  <c r="M103" i="74"/>
  <c r="L103" i="74"/>
  <c r="I103" i="74"/>
  <c r="H103" i="74"/>
  <c r="G103" i="74"/>
  <c r="F103" i="74"/>
  <c r="E103" i="74"/>
  <c r="D103" i="74"/>
  <c r="P102" i="74"/>
  <c r="O102" i="74"/>
  <c r="N102" i="74"/>
  <c r="M102" i="74"/>
  <c r="L102" i="74"/>
  <c r="I102" i="74"/>
  <c r="H102" i="74"/>
  <c r="G102" i="74"/>
  <c r="F102" i="74"/>
  <c r="E102" i="74"/>
  <c r="D102" i="74"/>
  <c r="P97" i="74"/>
  <c r="O97" i="74"/>
  <c r="N97" i="74"/>
  <c r="M97" i="74"/>
  <c r="L97" i="74"/>
  <c r="I97" i="74"/>
  <c r="H97" i="74"/>
  <c r="G97" i="74"/>
  <c r="F97" i="74"/>
  <c r="E97" i="74"/>
  <c r="D97" i="74"/>
  <c r="P96" i="74"/>
  <c r="O96" i="74"/>
  <c r="N96" i="74"/>
  <c r="M96" i="74"/>
  <c r="L96" i="74"/>
  <c r="I96" i="74"/>
  <c r="H96" i="74"/>
  <c r="G96" i="74"/>
  <c r="F96" i="74"/>
  <c r="D96" i="74"/>
  <c r="P95" i="74"/>
  <c r="O95" i="74"/>
  <c r="N95" i="74"/>
  <c r="M95" i="74"/>
  <c r="L95" i="74"/>
  <c r="I95" i="74"/>
  <c r="H95" i="74"/>
  <c r="G95" i="74"/>
  <c r="F95" i="74"/>
  <c r="D95" i="74"/>
  <c r="P92" i="74"/>
  <c r="O92" i="74"/>
  <c r="N92" i="74"/>
  <c r="M92" i="74"/>
  <c r="L92" i="74"/>
  <c r="I92" i="74"/>
  <c r="H92" i="74"/>
  <c r="K92" i="74" s="1"/>
  <c r="G92" i="74"/>
  <c r="J92" i="74" s="1"/>
  <c r="F92" i="74"/>
  <c r="D92" i="74"/>
  <c r="P91" i="74"/>
  <c r="O91" i="74"/>
  <c r="N91" i="74"/>
  <c r="M91" i="74"/>
  <c r="L91" i="74"/>
  <c r="I91" i="74"/>
  <c r="H91" i="74"/>
  <c r="K91" i="74" s="1"/>
  <c r="G91" i="74"/>
  <c r="J91" i="74" s="1"/>
  <c r="F91" i="74"/>
  <c r="E91" i="74"/>
  <c r="D91" i="74"/>
  <c r="P90" i="74"/>
  <c r="O90" i="74"/>
  <c r="N90" i="74"/>
  <c r="M90" i="74"/>
  <c r="L90" i="74"/>
  <c r="I90" i="74"/>
  <c r="H90" i="74"/>
  <c r="G90" i="74"/>
  <c r="F90" i="74"/>
  <c r="D90" i="74"/>
  <c r="P89" i="74"/>
  <c r="O89" i="74"/>
  <c r="N89" i="74"/>
  <c r="M89" i="74"/>
  <c r="L89" i="74"/>
  <c r="I89" i="74"/>
  <c r="H89" i="74"/>
  <c r="G89" i="74"/>
  <c r="F89" i="74"/>
  <c r="D89" i="74"/>
  <c r="P88" i="74"/>
  <c r="O88" i="74"/>
  <c r="N88" i="74"/>
  <c r="M88" i="74"/>
  <c r="L88" i="74"/>
  <c r="I88" i="74"/>
  <c r="H88" i="74"/>
  <c r="G88" i="74"/>
  <c r="F88" i="74"/>
  <c r="E88" i="74"/>
  <c r="D88" i="74"/>
  <c r="P87" i="74"/>
  <c r="O87" i="74"/>
  <c r="N87" i="74"/>
  <c r="M87" i="74"/>
  <c r="L87" i="74"/>
  <c r="I87" i="74"/>
  <c r="H87" i="74"/>
  <c r="G87" i="74"/>
  <c r="F87" i="74"/>
  <c r="D87" i="74"/>
  <c r="P82" i="74"/>
  <c r="O82" i="74"/>
  <c r="N82" i="74"/>
  <c r="M82" i="74"/>
  <c r="L82" i="74"/>
  <c r="I82" i="74"/>
  <c r="H82" i="74"/>
  <c r="G82" i="74"/>
  <c r="F82" i="74"/>
  <c r="E82" i="74"/>
  <c r="D82" i="74"/>
  <c r="P81" i="74"/>
  <c r="O81" i="74"/>
  <c r="N81" i="74"/>
  <c r="M81" i="74"/>
  <c r="L81" i="74"/>
  <c r="I81" i="74"/>
  <c r="H81" i="74"/>
  <c r="G81" i="74"/>
  <c r="F81" i="74"/>
  <c r="D81" i="74"/>
  <c r="P80" i="74"/>
  <c r="O80" i="74"/>
  <c r="N80" i="74"/>
  <c r="M80" i="74"/>
  <c r="L80" i="74"/>
  <c r="I80" i="74"/>
  <c r="H80" i="74"/>
  <c r="G80" i="74"/>
  <c r="F80" i="74"/>
  <c r="D80" i="74"/>
  <c r="P77" i="74"/>
  <c r="O77" i="74"/>
  <c r="N77" i="74"/>
  <c r="M77" i="74"/>
  <c r="L77" i="74"/>
  <c r="I77" i="74"/>
  <c r="H77" i="74"/>
  <c r="K77" i="74" s="1"/>
  <c r="G77" i="74"/>
  <c r="J77" i="74" s="1"/>
  <c r="F77" i="74"/>
  <c r="D77" i="74"/>
  <c r="P76" i="74"/>
  <c r="O76" i="74"/>
  <c r="N76" i="74"/>
  <c r="M76" i="74"/>
  <c r="L76" i="74"/>
  <c r="I76" i="74"/>
  <c r="H76" i="74"/>
  <c r="K76" i="74" s="1"/>
  <c r="G76" i="74"/>
  <c r="J76" i="74" s="1"/>
  <c r="F76" i="74"/>
  <c r="E76" i="74"/>
  <c r="D76" i="74"/>
  <c r="P75" i="74"/>
  <c r="O75" i="74"/>
  <c r="N75" i="74"/>
  <c r="M75" i="74"/>
  <c r="L75" i="74"/>
  <c r="I75" i="74"/>
  <c r="H75" i="74"/>
  <c r="G75" i="74"/>
  <c r="F75" i="74"/>
  <c r="D75" i="74"/>
  <c r="P74" i="74"/>
  <c r="O74" i="74"/>
  <c r="N74" i="74"/>
  <c r="M74" i="74"/>
  <c r="L74" i="74"/>
  <c r="I74" i="74"/>
  <c r="H74" i="74"/>
  <c r="G74" i="74"/>
  <c r="F74" i="74"/>
  <c r="D74" i="74"/>
  <c r="P73" i="74"/>
  <c r="O73" i="74"/>
  <c r="N73" i="74"/>
  <c r="M73" i="74"/>
  <c r="L73" i="74"/>
  <c r="I73" i="74"/>
  <c r="H73" i="74"/>
  <c r="G73" i="74"/>
  <c r="F73" i="74"/>
  <c r="D73" i="74"/>
  <c r="P72" i="74"/>
  <c r="O72" i="74"/>
  <c r="N72" i="74"/>
  <c r="M72" i="74"/>
  <c r="L72" i="74"/>
  <c r="I72" i="74"/>
  <c r="H72" i="74"/>
  <c r="G72" i="74"/>
  <c r="F72" i="74"/>
  <c r="D72" i="74"/>
  <c r="V64" i="74"/>
  <c r="V63" i="74"/>
  <c r="V62" i="74"/>
  <c r="V61" i="74"/>
  <c r="V60" i="74"/>
  <c r="V59" i="74"/>
  <c r="V58" i="74"/>
  <c r="V57" i="74"/>
  <c r="V56" i="74"/>
  <c r="V55" i="74"/>
  <c r="V54" i="74"/>
  <c r="V53" i="74"/>
  <c r="V52" i="74"/>
  <c r="V51" i="74"/>
  <c r="V50" i="74"/>
  <c r="V49" i="74"/>
  <c r="V48" i="74"/>
  <c r="V47" i="74"/>
  <c r="V46" i="74"/>
  <c r="V45" i="74"/>
  <c r="V44" i="74"/>
  <c r="V43" i="74"/>
  <c r="V42" i="74"/>
  <c r="V41" i="74"/>
  <c r="V40" i="74"/>
  <c r="V39" i="74"/>
  <c r="V38" i="74"/>
  <c r="V37" i="74"/>
  <c r="V36" i="74"/>
  <c r="V35" i="74"/>
  <c r="V34" i="74"/>
  <c r="V33" i="74"/>
  <c r="V32" i="74"/>
  <c r="V31" i="74"/>
  <c r="V30" i="74"/>
  <c r="V29" i="74"/>
  <c r="V28" i="74"/>
  <c r="E149" i="74" s="1"/>
  <c r="V27" i="74"/>
  <c r="V26" i="74"/>
  <c r="V25" i="74"/>
  <c r="V24" i="74"/>
  <c r="V23" i="74"/>
  <c r="E75" i="74" s="1"/>
  <c r="V22" i="74"/>
  <c r="E77" i="74" s="1"/>
  <c r="V21" i="74"/>
  <c r="V20" i="74"/>
  <c r="V19" i="74"/>
  <c r="V18" i="74"/>
  <c r="E72" i="74" s="1"/>
  <c r="V17" i="74"/>
  <c r="V16" i="74"/>
  <c r="E118" i="74" s="1"/>
  <c r="V15" i="74"/>
  <c r="V14" i="74"/>
  <c r="V13" i="74"/>
  <c r="V12" i="74"/>
  <c r="V11" i="74"/>
  <c r="V10" i="74"/>
  <c r="E105" i="74" s="1"/>
  <c r="V9" i="74"/>
  <c r="V8" i="74"/>
  <c r="V7" i="74"/>
  <c r="V6" i="74"/>
  <c r="V5" i="74"/>
  <c r="V4" i="74"/>
  <c r="V3" i="74"/>
  <c r="M156" i="72"/>
  <c r="L156" i="72"/>
  <c r="K156" i="72"/>
  <c r="J156" i="72"/>
  <c r="I156" i="72"/>
  <c r="H156" i="72"/>
  <c r="G156" i="72"/>
  <c r="F156" i="72"/>
  <c r="E156" i="72"/>
  <c r="D156" i="72"/>
  <c r="C156" i="72"/>
  <c r="B156" i="72"/>
  <c r="M155" i="72"/>
  <c r="L155" i="72"/>
  <c r="K155" i="72"/>
  <c r="J155" i="72"/>
  <c r="I155" i="72"/>
  <c r="H155" i="72"/>
  <c r="G155" i="72"/>
  <c r="F155" i="72"/>
  <c r="E155" i="72"/>
  <c r="D155" i="72"/>
  <c r="C155" i="72"/>
  <c r="B155" i="72"/>
  <c r="M154" i="72"/>
  <c r="L154" i="72"/>
  <c r="K154" i="72"/>
  <c r="J154" i="72"/>
  <c r="I154" i="72"/>
  <c r="H154" i="72"/>
  <c r="G154" i="72"/>
  <c r="F154" i="72"/>
  <c r="E154" i="72"/>
  <c r="D154" i="72"/>
  <c r="C154" i="72"/>
  <c r="B154" i="72"/>
  <c r="M152" i="72"/>
  <c r="M151" i="72"/>
  <c r="L151" i="72"/>
  <c r="K151" i="72"/>
  <c r="J151" i="72"/>
  <c r="I151" i="72"/>
  <c r="H151" i="72"/>
  <c r="G151" i="72"/>
  <c r="F151" i="72"/>
  <c r="E151" i="72"/>
  <c r="D151" i="72"/>
  <c r="C151" i="72"/>
  <c r="B151" i="72"/>
  <c r="M150" i="72"/>
  <c r="L150" i="72"/>
  <c r="K150" i="72"/>
  <c r="J150" i="72"/>
  <c r="I150" i="72"/>
  <c r="H150" i="72"/>
  <c r="G150" i="72"/>
  <c r="F150" i="72"/>
  <c r="E150" i="72"/>
  <c r="D150" i="72"/>
  <c r="C150" i="72"/>
  <c r="B150" i="72"/>
  <c r="M149" i="72"/>
  <c r="L149" i="72"/>
  <c r="K149" i="72"/>
  <c r="J149" i="72"/>
  <c r="I149" i="72"/>
  <c r="H149" i="72"/>
  <c r="G149" i="72"/>
  <c r="F149" i="72"/>
  <c r="E149" i="72"/>
  <c r="D149" i="72"/>
  <c r="C149" i="72"/>
  <c r="B149" i="72"/>
  <c r="M148" i="72"/>
  <c r="L148" i="72"/>
  <c r="K148" i="72"/>
  <c r="J148" i="72"/>
  <c r="I148" i="72"/>
  <c r="H148" i="72"/>
  <c r="G148" i="72"/>
  <c r="F148" i="72"/>
  <c r="E148" i="72"/>
  <c r="D148" i="72"/>
  <c r="C148" i="72"/>
  <c r="B148" i="72"/>
  <c r="M147" i="72"/>
  <c r="L147" i="72"/>
  <c r="K147" i="72"/>
  <c r="J147" i="72"/>
  <c r="I147" i="72"/>
  <c r="H147" i="72"/>
  <c r="G147" i="72"/>
  <c r="F147" i="72"/>
  <c r="E147" i="72"/>
  <c r="D147" i="72"/>
  <c r="C147" i="72"/>
  <c r="B147" i="72"/>
  <c r="C143" i="72"/>
  <c r="B143" i="72"/>
  <c r="O142" i="72"/>
  <c r="N142" i="72"/>
  <c r="M142" i="72"/>
  <c r="L142" i="72"/>
  <c r="I142" i="72"/>
  <c r="H142" i="72"/>
  <c r="K142" i="72" s="1"/>
  <c r="G142" i="72"/>
  <c r="J142" i="72" s="1"/>
  <c r="F142" i="72"/>
  <c r="E142" i="72"/>
  <c r="D142" i="72"/>
  <c r="O141" i="72"/>
  <c r="N141" i="72"/>
  <c r="M141" i="72"/>
  <c r="L141" i="72"/>
  <c r="I141" i="72"/>
  <c r="H141" i="72"/>
  <c r="K141" i="72" s="1"/>
  <c r="G141" i="72"/>
  <c r="J141" i="72" s="1"/>
  <c r="F141" i="72"/>
  <c r="E141" i="72"/>
  <c r="D141" i="72"/>
  <c r="O140" i="72"/>
  <c r="N140" i="72"/>
  <c r="M140" i="72"/>
  <c r="L140" i="72"/>
  <c r="I140" i="72"/>
  <c r="H140" i="72"/>
  <c r="K140" i="72" s="1"/>
  <c r="G140" i="72"/>
  <c r="J140" i="72" s="1"/>
  <c r="F140" i="72"/>
  <c r="E140" i="72"/>
  <c r="D140" i="72"/>
  <c r="C138" i="72"/>
  <c r="B138" i="72"/>
  <c r="O137" i="72"/>
  <c r="N137" i="72"/>
  <c r="M137" i="72"/>
  <c r="L137" i="72"/>
  <c r="I137" i="72"/>
  <c r="H137" i="72"/>
  <c r="K137" i="72" s="1"/>
  <c r="G137" i="72"/>
  <c r="J137" i="72" s="1"/>
  <c r="F137" i="72"/>
  <c r="E137" i="72"/>
  <c r="D137" i="72"/>
  <c r="O136" i="72"/>
  <c r="N136" i="72"/>
  <c r="M136" i="72"/>
  <c r="L136" i="72"/>
  <c r="I136" i="72"/>
  <c r="H136" i="72"/>
  <c r="K136" i="72" s="1"/>
  <c r="G136" i="72"/>
  <c r="J136" i="72" s="1"/>
  <c r="F136" i="72"/>
  <c r="E136" i="72"/>
  <c r="D136" i="72"/>
  <c r="O135" i="72"/>
  <c r="N135" i="72"/>
  <c r="M135" i="72"/>
  <c r="L135" i="72"/>
  <c r="I135" i="72"/>
  <c r="H135" i="72"/>
  <c r="K135" i="72" s="1"/>
  <c r="G135" i="72"/>
  <c r="J135" i="72" s="1"/>
  <c r="F135" i="72"/>
  <c r="E135" i="72"/>
  <c r="D135" i="72"/>
  <c r="O134" i="72"/>
  <c r="N134" i="72"/>
  <c r="M134" i="72"/>
  <c r="L134" i="72"/>
  <c r="I134" i="72"/>
  <c r="H134" i="72"/>
  <c r="K134" i="72" s="1"/>
  <c r="G134" i="72"/>
  <c r="J134" i="72" s="1"/>
  <c r="F134" i="72"/>
  <c r="E134" i="72"/>
  <c r="D134" i="72"/>
  <c r="O133" i="72"/>
  <c r="N133" i="72"/>
  <c r="M133" i="72"/>
  <c r="L133" i="72"/>
  <c r="I133" i="72"/>
  <c r="H133" i="72"/>
  <c r="K133" i="72" s="1"/>
  <c r="G133" i="72"/>
  <c r="J133" i="72" s="1"/>
  <c r="F133" i="72"/>
  <c r="E133" i="72"/>
  <c r="D133" i="72"/>
  <c r="O132" i="72"/>
  <c r="N132" i="72"/>
  <c r="M132" i="72"/>
  <c r="L132" i="72"/>
  <c r="I132" i="72"/>
  <c r="H132" i="72"/>
  <c r="K132" i="72" s="1"/>
  <c r="G132" i="72"/>
  <c r="J132" i="72" s="1"/>
  <c r="F132" i="72"/>
  <c r="E132" i="72"/>
  <c r="D132" i="72"/>
  <c r="I127" i="72"/>
  <c r="H127" i="72"/>
  <c r="G127" i="72"/>
  <c r="F127" i="72"/>
  <c r="E127" i="72"/>
  <c r="D127" i="72"/>
  <c r="I126" i="72"/>
  <c r="H126" i="72"/>
  <c r="G126" i="72"/>
  <c r="F126" i="72"/>
  <c r="D126" i="72"/>
  <c r="P125" i="72"/>
  <c r="O125" i="72"/>
  <c r="N125" i="72"/>
  <c r="M125" i="72"/>
  <c r="L125" i="72"/>
  <c r="I125" i="72"/>
  <c r="H125" i="72"/>
  <c r="G125" i="72"/>
  <c r="F125" i="72"/>
  <c r="D125" i="72"/>
  <c r="P122" i="72"/>
  <c r="O122" i="72"/>
  <c r="N122" i="72"/>
  <c r="M122" i="72"/>
  <c r="L122" i="72"/>
  <c r="I122" i="72"/>
  <c r="H122" i="72"/>
  <c r="K122" i="72" s="1"/>
  <c r="G122" i="72"/>
  <c r="J122" i="72" s="1"/>
  <c r="F122" i="72"/>
  <c r="E122" i="72"/>
  <c r="D122" i="72"/>
  <c r="P121" i="72"/>
  <c r="O121" i="72"/>
  <c r="N121" i="72"/>
  <c r="M121" i="72"/>
  <c r="L121" i="72"/>
  <c r="I121" i="72"/>
  <c r="H121" i="72"/>
  <c r="K121" i="72" s="1"/>
  <c r="G121" i="72"/>
  <c r="J121" i="72" s="1"/>
  <c r="F121" i="72"/>
  <c r="E121" i="72"/>
  <c r="D121" i="72"/>
  <c r="P120" i="72"/>
  <c r="O120" i="72"/>
  <c r="N120" i="72"/>
  <c r="M120" i="72"/>
  <c r="L120" i="72"/>
  <c r="I120" i="72"/>
  <c r="H120" i="72"/>
  <c r="G120" i="72"/>
  <c r="F120" i="72"/>
  <c r="D120" i="72"/>
  <c r="P119" i="72"/>
  <c r="P127" i="72" s="1"/>
  <c r="O119" i="72"/>
  <c r="O127" i="72" s="1"/>
  <c r="N119" i="72"/>
  <c r="N127" i="72" s="1"/>
  <c r="M119" i="72"/>
  <c r="M127" i="72" s="1"/>
  <c r="L119" i="72"/>
  <c r="L127" i="72" s="1"/>
  <c r="I119" i="72"/>
  <c r="H119" i="72"/>
  <c r="G119" i="72"/>
  <c r="F119" i="72"/>
  <c r="D119" i="72"/>
  <c r="P118" i="72"/>
  <c r="O118" i="72"/>
  <c r="N118" i="72"/>
  <c r="M118" i="72"/>
  <c r="L118" i="72"/>
  <c r="I118" i="72"/>
  <c r="H118" i="72"/>
  <c r="G118" i="72"/>
  <c r="F118" i="72"/>
  <c r="E118" i="72"/>
  <c r="D118" i="72"/>
  <c r="P117" i="72"/>
  <c r="P126" i="72" s="1"/>
  <c r="O117" i="72"/>
  <c r="O126" i="72" s="1"/>
  <c r="N117" i="72"/>
  <c r="M117" i="72"/>
  <c r="M126" i="72" s="1"/>
  <c r="L117" i="72"/>
  <c r="L126" i="72" s="1"/>
  <c r="I117" i="72"/>
  <c r="H117" i="72"/>
  <c r="G117" i="72"/>
  <c r="F117" i="72"/>
  <c r="D117" i="72"/>
  <c r="P112" i="72"/>
  <c r="O112" i="72"/>
  <c r="N112" i="72"/>
  <c r="M112" i="72"/>
  <c r="L112" i="72"/>
  <c r="I112" i="72"/>
  <c r="H112" i="72"/>
  <c r="G112" i="72"/>
  <c r="F112" i="72"/>
  <c r="E112" i="72"/>
  <c r="D112" i="72"/>
  <c r="P111" i="72"/>
  <c r="O111" i="72"/>
  <c r="N111" i="72"/>
  <c r="M111" i="72"/>
  <c r="L111" i="72"/>
  <c r="I111" i="72"/>
  <c r="H111" i="72"/>
  <c r="G111" i="72"/>
  <c r="F111" i="72"/>
  <c r="E111" i="72"/>
  <c r="D111" i="72"/>
  <c r="P110" i="72"/>
  <c r="O110" i="72"/>
  <c r="N110" i="72"/>
  <c r="M110" i="72"/>
  <c r="L110" i="72"/>
  <c r="I110" i="72"/>
  <c r="H110" i="72"/>
  <c r="G110" i="72"/>
  <c r="F110" i="72"/>
  <c r="E110" i="72"/>
  <c r="D110" i="72"/>
  <c r="P107" i="72"/>
  <c r="O107" i="72"/>
  <c r="N107" i="72"/>
  <c r="M107" i="72"/>
  <c r="L107" i="72"/>
  <c r="I107" i="72"/>
  <c r="H107" i="72"/>
  <c r="K107" i="72" s="1"/>
  <c r="G107" i="72"/>
  <c r="J107" i="72" s="1"/>
  <c r="F107" i="72"/>
  <c r="E107" i="72"/>
  <c r="D107" i="72"/>
  <c r="P106" i="72"/>
  <c r="O106" i="72"/>
  <c r="N106" i="72"/>
  <c r="M106" i="72"/>
  <c r="L106" i="72"/>
  <c r="I106" i="72"/>
  <c r="H106" i="72"/>
  <c r="K106" i="72" s="1"/>
  <c r="G106" i="72"/>
  <c r="J106" i="72" s="1"/>
  <c r="F106" i="72"/>
  <c r="E106" i="72"/>
  <c r="D106" i="72"/>
  <c r="P105" i="72"/>
  <c r="O105" i="72"/>
  <c r="N105" i="72"/>
  <c r="M105" i="72"/>
  <c r="L105" i="72"/>
  <c r="I105" i="72"/>
  <c r="H105" i="72"/>
  <c r="G105" i="72"/>
  <c r="F105" i="72"/>
  <c r="D105" i="72"/>
  <c r="P104" i="72"/>
  <c r="O104" i="72"/>
  <c r="N104" i="72"/>
  <c r="M104" i="72"/>
  <c r="L104" i="72"/>
  <c r="I104" i="72"/>
  <c r="H104" i="72"/>
  <c r="G104" i="72"/>
  <c r="F104" i="72"/>
  <c r="E104" i="72"/>
  <c r="D104" i="72"/>
  <c r="P103" i="72"/>
  <c r="O103" i="72"/>
  <c r="N103" i="72"/>
  <c r="M103" i="72"/>
  <c r="L103" i="72"/>
  <c r="I103" i="72"/>
  <c r="H103" i="72"/>
  <c r="G103" i="72"/>
  <c r="F103" i="72"/>
  <c r="E103" i="72"/>
  <c r="D103" i="72"/>
  <c r="P102" i="72"/>
  <c r="O102" i="72"/>
  <c r="N102" i="72"/>
  <c r="M102" i="72"/>
  <c r="L102" i="72"/>
  <c r="I102" i="72"/>
  <c r="H102" i="72"/>
  <c r="G102" i="72"/>
  <c r="F102" i="72"/>
  <c r="E102" i="72"/>
  <c r="D102" i="72"/>
  <c r="P97" i="72"/>
  <c r="O97" i="72"/>
  <c r="N97" i="72"/>
  <c r="M97" i="72"/>
  <c r="L97" i="72"/>
  <c r="I97" i="72"/>
  <c r="H97" i="72"/>
  <c r="G97" i="72"/>
  <c r="F97" i="72"/>
  <c r="E97" i="72"/>
  <c r="D97" i="72"/>
  <c r="P96" i="72"/>
  <c r="O96" i="72"/>
  <c r="N96" i="72"/>
  <c r="M96" i="72"/>
  <c r="L96" i="72"/>
  <c r="I96" i="72"/>
  <c r="H96" i="72"/>
  <c r="G96" i="72"/>
  <c r="F96" i="72"/>
  <c r="D96" i="72"/>
  <c r="P95" i="72"/>
  <c r="O95" i="72"/>
  <c r="N95" i="72"/>
  <c r="M95" i="72"/>
  <c r="L95" i="72"/>
  <c r="I95" i="72"/>
  <c r="H95" i="72"/>
  <c r="G95" i="72"/>
  <c r="F95" i="72"/>
  <c r="D95" i="72"/>
  <c r="P92" i="72"/>
  <c r="O92" i="72"/>
  <c r="N92" i="72"/>
  <c r="M92" i="72"/>
  <c r="L92" i="72"/>
  <c r="I92" i="72"/>
  <c r="H92" i="72"/>
  <c r="K92" i="72" s="1"/>
  <c r="G92" i="72"/>
  <c r="J92" i="72" s="1"/>
  <c r="F92" i="72"/>
  <c r="E92" i="72"/>
  <c r="D92" i="72"/>
  <c r="P91" i="72"/>
  <c r="O91" i="72"/>
  <c r="N91" i="72"/>
  <c r="M91" i="72"/>
  <c r="L91" i="72"/>
  <c r="I91" i="72"/>
  <c r="H91" i="72"/>
  <c r="K91" i="72" s="1"/>
  <c r="G91" i="72"/>
  <c r="J91" i="72" s="1"/>
  <c r="F91" i="72"/>
  <c r="E91" i="72"/>
  <c r="D91" i="72"/>
  <c r="P90" i="72"/>
  <c r="O90" i="72"/>
  <c r="N90" i="72"/>
  <c r="M90" i="72"/>
  <c r="L90" i="72"/>
  <c r="I90" i="72"/>
  <c r="H90" i="72"/>
  <c r="G90" i="72"/>
  <c r="F90" i="72"/>
  <c r="D90" i="72"/>
  <c r="P89" i="72"/>
  <c r="O89" i="72"/>
  <c r="N89" i="72"/>
  <c r="M89" i="72"/>
  <c r="L89" i="72"/>
  <c r="I89" i="72"/>
  <c r="H89" i="72"/>
  <c r="G89" i="72"/>
  <c r="F89" i="72"/>
  <c r="D89" i="72"/>
  <c r="P88" i="72"/>
  <c r="O88" i="72"/>
  <c r="N88" i="72"/>
  <c r="M88" i="72"/>
  <c r="L88" i="72"/>
  <c r="I88" i="72"/>
  <c r="H88" i="72"/>
  <c r="G88" i="72"/>
  <c r="F88" i="72"/>
  <c r="E88" i="72"/>
  <c r="D88" i="72"/>
  <c r="P87" i="72"/>
  <c r="O87" i="72"/>
  <c r="N87" i="72"/>
  <c r="M87" i="72"/>
  <c r="L87" i="72"/>
  <c r="I87" i="72"/>
  <c r="H87" i="72"/>
  <c r="G87" i="72"/>
  <c r="F87" i="72"/>
  <c r="D87" i="72"/>
  <c r="P82" i="72"/>
  <c r="O82" i="72"/>
  <c r="N82" i="72"/>
  <c r="M82" i="72"/>
  <c r="L82" i="72"/>
  <c r="I82" i="72"/>
  <c r="H82" i="72"/>
  <c r="G82" i="72"/>
  <c r="F82" i="72"/>
  <c r="E82" i="72"/>
  <c r="D82" i="72"/>
  <c r="P81" i="72"/>
  <c r="O81" i="72"/>
  <c r="N81" i="72"/>
  <c r="M81" i="72"/>
  <c r="L81" i="72"/>
  <c r="I81" i="72"/>
  <c r="H81" i="72"/>
  <c r="G81" i="72"/>
  <c r="F81" i="72"/>
  <c r="D81" i="72"/>
  <c r="P80" i="72"/>
  <c r="O80" i="72"/>
  <c r="N80" i="72"/>
  <c r="M80" i="72"/>
  <c r="L80" i="72"/>
  <c r="I80" i="72"/>
  <c r="H80" i="72"/>
  <c r="G80" i="72"/>
  <c r="F80" i="72"/>
  <c r="E80" i="72"/>
  <c r="D80" i="72"/>
  <c r="P77" i="72"/>
  <c r="O77" i="72"/>
  <c r="N77" i="72"/>
  <c r="M77" i="72"/>
  <c r="L77" i="72"/>
  <c r="I77" i="72"/>
  <c r="H77" i="72"/>
  <c r="K77" i="72" s="1"/>
  <c r="G77" i="72"/>
  <c r="J77" i="72" s="1"/>
  <c r="F77" i="72"/>
  <c r="E77" i="72"/>
  <c r="D77" i="72"/>
  <c r="P76" i="72"/>
  <c r="O76" i="72"/>
  <c r="N76" i="72"/>
  <c r="M76" i="72"/>
  <c r="L76" i="72"/>
  <c r="I76" i="72"/>
  <c r="H76" i="72"/>
  <c r="K76" i="72" s="1"/>
  <c r="G76" i="72"/>
  <c r="J76" i="72" s="1"/>
  <c r="F76" i="72"/>
  <c r="E76" i="72"/>
  <c r="D76" i="72"/>
  <c r="P75" i="72"/>
  <c r="O75" i="72"/>
  <c r="N75" i="72"/>
  <c r="M75" i="72"/>
  <c r="L75" i="72"/>
  <c r="I75" i="72"/>
  <c r="H75" i="72"/>
  <c r="G75" i="72"/>
  <c r="F75" i="72"/>
  <c r="E75" i="72"/>
  <c r="D75" i="72"/>
  <c r="P74" i="72"/>
  <c r="O74" i="72"/>
  <c r="N74" i="72"/>
  <c r="M74" i="72"/>
  <c r="L74" i="72"/>
  <c r="I74" i="72"/>
  <c r="H74" i="72"/>
  <c r="G74" i="72"/>
  <c r="F74" i="72"/>
  <c r="D74" i="72"/>
  <c r="P73" i="72"/>
  <c r="O73" i="72"/>
  <c r="N73" i="72"/>
  <c r="M73" i="72"/>
  <c r="L73" i="72"/>
  <c r="I73" i="72"/>
  <c r="H73" i="72"/>
  <c r="G73" i="72"/>
  <c r="F73" i="72"/>
  <c r="E73" i="72"/>
  <c r="D73" i="72"/>
  <c r="P72" i="72"/>
  <c r="O72" i="72"/>
  <c r="N72" i="72"/>
  <c r="M72" i="72"/>
  <c r="L72" i="72"/>
  <c r="I72" i="72"/>
  <c r="H72" i="72"/>
  <c r="G72" i="72"/>
  <c r="F72" i="72"/>
  <c r="D72" i="72"/>
  <c r="V64" i="72"/>
  <c r="V63" i="72"/>
  <c r="V62" i="72"/>
  <c r="V61" i="72"/>
  <c r="V60" i="72"/>
  <c r="V59" i="72"/>
  <c r="V58" i="72"/>
  <c r="V57" i="72"/>
  <c r="V56" i="72"/>
  <c r="V55" i="72"/>
  <c r="V54" i="72"/>
  <c r="V53" i="72"/>
  <c r="V52" i="72"/>
  <c r="V51" i="72"/>
  <c r="V50" i="72"/>
  <c r="V49" i="72"/>
  <c r="V48" i="72"/>
  <c r="V47" i="72"/>
  <c r="V46" i="72"/>
  <c r="V45" i="72"/>
  <c r="V44" i="72"/>
  <c r="V43" i="72"/>
  <c r="V42" i="72"/>
  <c r="V41" i="72"/>
  <c r="V40" i="72"/>
  <c r="V39" i="72"/>
  <c r="V38" i="72"/>
  <c r="V37" i="72"/>
  <c r="V36" i="72"/>
  <c r="V35" i="72"/>
  <c r="V34" i="72"/>
  <c r="V33" i="72"/>
  <c r="V32" i="72"/>
  <c r="V31" i="72"/>
  <c r="V30" i="72"/>
  <c r="V29" i="72"/>
  <c r="V28" i="72"/>
  <c r="V27" i="72"/>
  <c r="V26" i="72"/>
  <c r="V25" i="72"/>
  <c r="V24" i="72"/>
  <c r="E105" i="72" s="1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E72" i="72" s="1"/>
  <c r="V10" i="72"/>
  <c r="V9" i="72"/>
  <c r="V8" i="72"/>
  <c r="V7" i="72"/>
  <c r="V6" i="72"/>
  <c r="V5" i="72"/>
  <c r="V4" i="72"/>
  <c r="V3" i="72"/>
  <c r="M191" i="70"/>
  <c r="L191" i="70"/>
  <c r="K191" i="70"/>
  <c r="J191" i="70"/>
  <c r="I191" i="70"/>
  <c r="H191" i="70"/>
  <c r="G191" i="70"/>
  <c r="F191" i="70"/>
  <c r="D191" i="70"/>
  <c r="C191" i="70"/>
  <c r="B191" i="70"/>
  <c r="M190" i="70"/>
  <c r="L190" i="70"/>
  <c r="K190" i="70"/>
  <c r="J190" i="70"/>
  <c r="I190" i="70"/>
  <c r="H190" i="70"/>
  <c r="G190" i="70"/>
  <c r="F190" i="70"/>
  <c r="D190" i="70"/>
  <c r="C190" i="70"/>
  <c r="B190" i="70"/>
  <c r="M189" i="70"/>
  <c r="L189" i="70"/>
  <c r="K189" i="70"/>
  <c r="J189" i="70"/>
  <c r="I189" i="70"/>
  <c r="H189" i="70"/>
  <c r="G189" i="70"/>
  <c r="F189" i="70"/>
  <c r="D189" i="70"/>
  <c r="C189" i="70"/>
  <c r="B189" i="70"/>
  <c r="M187" i="70"/>
  <c r="M186" i="70"/>
  <c r="L186" i="70"/>
  <c r="K186" i="70"/>
  <c r="J186" i="70"/>
  <c r="I186" i="70"/>
  <c r="H186" i="70"/>
  <c r="G186" i="70"/>
  <c r="F186" i="70"/>
  <c r="E186" i="70"/>
  <c r="D186" i="70"/>
  <c r="C186" i="70"/>
  <c r="B186" i="70"/>
  <c r="M185" i="70"/>
  <c r="L185" i="70"/>
  <c r="K185" i="70"/>
  <c r="J185" i="70"/>
  <c r="I185" i="70"/>
  <c r="H185" i="70"/>
  <c r="G185" i="70"/>
  <c r="F185" i="70"/>
  <c r="D185" i="70"/>
  <c r="C185" i="70"/>
  <c r="B185" i="70"/>
  <c r="M184" i="70"/>
  <c r="L184" i="70"/>
  <c r="K184" i="70"/>
  <c r="J184" i="70"/>
  <c r="I184" i="70"/>
  <c r="H184" i="70"/>
  <c r="G184" i="70"/>
  <c r="F184" i="70"/>
  <c r="D184" i="70"/>
  <c r="C184" i="70"/>
  <c r="B184" i="70"/>
  <c r="M183" i="70"/>
  <c r="L183" i="70"/>
  <c r="K183" i="70"/>
  <c r="J183" i="70"/>
  <c r="I183" i="70"/>
  <c r="H183" i="70"/>
  <c r="G183" i="70"/>
  <c r="F183" i="70"/>
  <c r="E183" i="70"/>
  <c r="D183" i="70"/>
  <c r="C183" i="70"/>
  <c r="B183" i="70"/>
  <c r="M182" i="70"/>
  <c r="L182" i="70"/>
  <c r="K182" i="70"/>
  <c r="J182" i="70"/>
  <c r="I182" i="70"/>
  <c r="H182" i="70"/>
  <c r="G182" i="70"/>
  <c r="F182" i="70"/>
  <c r="D182" i="70"/>
  <c r="C182" i="70"/>
  <c r="B182" i="70"/>
  <c r="M181" i="70"/>
  <c r="L181" i="70"/>
  <c r="K181" i="70"/>
  <c r="J181" i="70"/>
  <c r="I181" i="70"/>
  <c r="H181" i="70"/>
  <c r="G181" i="70"/>
  <c r="F181" i="70"/>
  <c r="E181" i="70"/>
  <c r="D181" i="70"/>
  <c r="C181" i="70"/>
  <c r="B181" i="70"/>
  <c r="C177" i="70"/>
  <c r="B177" i="70"/>
  <c r="N176" i="70"/>
  <c r="M176" i="70"/>
  <c r="L176" i="70"/>
  <c r="I176" i="70"/>
  <c r="H176" i="70"/>
  <c r="K176" i="70" s="1"/>
  <c r="G176" i="70"/>
  <c r="J176" i="70" s="1"/>
  <c r="F176" i="70"/>
  <c r="E176" i="70"/>
  <c r="D176" i="70"/>
  <c r="N175" i="70"/>
  <c r="M175" i="70"/>
  <c r="L175" i="70"/>
  <c r="I175" i="70"/>
  <c r="H175" i="70"/>
  <c r="G175" i="70"/>
  <c r="J175" i="70" s="1"/>
  <c r="F175" i="70"/>
  <c r="E175" i="70"/>
  <c r="D175" i="70"/>
  <c r="N174" i="70"/>
  <c r="M174" i="70"/>
  <c r="L174" i="70"/>
  <c r="I174" i="70"/>
  <c r="H174" i="70"/>
  <c r="K174" i="70" s="1"/>
  <c r="G174" i="70"/>
  <c r="F174" i="70"/>
  <c r="E174" i="70"/>
  <c r="D174" i="70"/>
  <c r="C172" i="70"/>
  <c r="B172" i="70"/>
  <c r="N171" i="70"/>
  <c r="M171" i="70"/>
  <c r="L171" i="70"/>
  <c r="I171" i="70"/>
  <c r="H171" i="70"/>
  <c r="K171" i="70" s="1"/>
  <c r="G171" i="70"/>
  <c r="J171" i="70" s="1"/>
  <c r="F171" i="70"/>
  <c r="E171" i="70"/>
  <c r="D171" i="70"/>
  <c r="N170" i="70"/>
  <c r="M170" i="70"/>
  <c r="L170" i="70"/>
  <c r="I170" i="70"/>
  <c r="H170" i="70"/>
  <c r="K170" i="70" s="1"/>
  <c r="G170" i="70"/>
  <c r="J170" i="70" s="1"/>
  <c r="F170" i="70"/>
  <c r="E170" i="70"/>
  <c r="D170" i="70"/>
  <c r="N169" i="70"/>
  <c r="M169" i="70"/>
  <c r="L169" i="70"/>
  <c r="I169" i="70"/>
  <c r="H169" i="70"/>
  <c r="K169" i="70" s="1"/>
  <c r="G169" i="70"/>
  <c r="J169" i="70" s="1"/>
  <c r="F169" i="70"/>
  <c r="E169" i="70"/>
  <c r="D169" i="70"/>
  <c r="N168" i="70"/>
  <c r="M168" i="70"/>
  <c r="L168" i="70"/>
  <c r="I168" i="70"/>
  <c r="H168" i="70"/>
  <c r="K168" i="70" s="1"/>
  <c r="G168" i="70"/>
  <c r="J168" i="70" s="1"/>
  <c r="F168" i="70"/>
  <c r="E168" i="70"/>
  <c r="D168" i="70"/>
  <c r="N167" i="70"/>
  <c r="M167" i="70"/>
  <c r="L167" i="70"/>
  <c r="I167" i="70"/>
  <c r="H167" i="70"/>
  <c r="K167" i="70" s="1"/>
  <c r="G167" i="70"/>
  <c r="J167" i="70" s="1"/>
  <c r="F167" i="70"/>
  <c r="E167" i="70"/>
  <c r="D167" i="70"/>
  <c r="N166" i="70"/>
  <c r="M166" i="70"/>
  <c r="L166" i="70"/>
  <c r="I166" i="70"/>
  <c r="H166" i="70"/>
  <c r="K166" i="70" s="1"/>
  <c r="G166" i="70"/>
  <c r="J166" i="70" s="1"/>
  <c r="F166" i="70"/>
  <c r="E166" i="70"/>
  <c r="D166" i="70"/>
  <c r="N165" i="70"/>
  <c r="M165" i="70"/>
  <c r="L165" i="70"/>
  <c r="I165" i="70"/>
  <c r="H165" i="70"/>
  <c r="K165" i="70" s="1"/>
  <c r="G165" i="70"/>
  <c r="J165" i="70" s="1"/>
  <c r="F165" i="70"/>
  <c r="E165" i="70"/>
  <c r="D165" i="70"/>
  <c r="I160" i="70"/>
  <c r="H160" i="70"/>
  <c r="G160" i="70"/>
  <c r="F160" i="70"/>
  <c r="D160" i="70"/>
  <c r="I159" i="70"/>
  <c r="H159" i="70"/>
  <c r="G159" i="70"/>
  <c r="F159" i="70"/>
  <c r="D159" i="70"/>
  <c r="I158" i="70"/>
  <c r="H158" i="70"/>
  <c r="G158" i="70"/>
  <c r="F158" i="70"/>
  <c r="D158" i="70"/>
  <c r="I155" i="70"/>
  <c r="H155" i="70"/>
  <c r="K155" i="70" s="1"/>
  <c r="G155" i="70"/>
  <c r="J155" i="70" s="1"/>
  <c r="F155" i="70"/>
  <c r="D155" i="70"/>
  <c r="I154" i="70"/>
  <c r="H154" i="70"/>
  <c r="K154" i="70" s="1"/>
  <c r="G154" i="70"/>
  <c r="J154" i="70" s="1"/>
  <c r="F154" i="70"/>
  <c r="E154" i="70"/>
  <c r="D154" i="70"/>
  <c r="I153" i="70"/>
  <c r="H153" i="70"/>
  <c r="G153" i="70"/>
  <c r="F153" i="70"/>
  <c r="D153" i="70"/>
  <c r="I152" i="70"/>
  <c r="H152" i="70"/>
  <c r="G152" i="70"/>
  <c r="F152" i="70"/>
  <c r="D152" i="70"/>
  <c r="I151" i="70"/>
  <c r="H151" i="70"/>
  <c r="G151" i="70"/>
  <c r="F151" i="70"/>
  <c r="E151" i="70"/>
  <c r="D151" i="70"/>
  <c r="I150" i="70"/>
  <c r="H150" i="70"/>
  <c r="G150" i="70"/>
  <c r="F150" i="70"/>
  <c r="D150" i="70"/>
  <c r="I149" i="70"/>
  <c r="H149" i="70"/>
  <c r="G149" i="70"/>
  <c r="F149" i="70"/>
  <c r="D149" i="70"/>
  <c r="P144" i="70"/>
  <c r="O144" i="70"/>
  <c r="N144" i="70"/>
  <c r="M144" i="70"/>
  <c r="L144" i="70"/>
  <c r="I144" i="70"/>
  <c r="H144" i="70"/>
  <c r="G144" i="70"/>
  <c r="F144" i="70"/>
  <c r="D144" i="70"/>
  <c r="P143" i="70"/>
  <c r="O143" i="70"/>
  <c r="N143" i="70"/>
  <c r="M143" i="70"/>
  <c r="L143" i="70"/>
  <c r="I143" i="70"/>
  <c r="H143" i="70"/>
  <c r="G143" i="70"/>
  <c r="F143" i="70"/>
  <c r="D143" i="70"/>
  <c r="P142" i="70"/>
  <c r="O142" i="70"/>
  <c r="N142" i="70"/>
  <c r="M142" i="70"/>
  <c r="L142" i="70"/>
  <c r="I142" i="70"/>
  <c r="H142" i="70"/>
  <c r="G142" i="70"/>
  <c r="F142" i="70"/>
  <c r="D142" i="70"/>
  <c r="P139" i="70"/>
  <c r="O139" i="70"/>
  <c r="N139" i="70"/>
  <c r="M139" i="70"/>
  <c r="L139" i="70"/>
  <c r="I139" i="70"/>
  <c r="H139" i="70"/>
  <c r="K139" i="70" s="1"/>
  <c r="G139" i="70"/>
  <c r="J139" i="70" s="1"/>
  <c r="F139" i="70"/>
  <c r="D139" i="70"/>
  <c r="P138" i="70"/>
  <c r="O138" i="70"/>
  <c r="N138" i="70"/>
  <c r="M138" i="70"/>
  <c r="L138" i="70"/>
  <c r="I138" i="70"/>
  <c r="H138" i="70"/>
  <c r="K138" i="70" s="1"/>
  <c r="G138" i="70"/>
  <c r="J138" i="70" s="1"/>
  <c r="F138" i="70"/>
  <c r="E138" i="70"/>
  <c r="D138" i="70"/>
  <c r="P137" i="70"/>
  <c r="O137" i="70"/>
  <c r="N137" i="70"/>
  <c r="M137" i="70"/>
  <c r="L137" i="70"/>
  <c r="I137" i="70"/>
  <c r="H137" i="70"/>
  <c r="G137" i="70"/>
  <c r="F137" i="70"/>
  <c r="D137" i="70"/>
  <c r="P136" i="70"/>
  <c r="O136" i="70"/>
  <c r="N136" i="70"/>
  <c r="M136" i="70"/>
  <c r="L136" i="70"/>
  <c r="I136" i="70"/>
  <c r="H136" i="70"/>
  <c r="G136" i="70"/>
  <c r="F136" i="70"/>
  <c r="D136" i="70"/>
  <c r="P135" i="70"/>
  <c r="O135" i="70"/>
  <c r="N135" i="70"/>
  <c r="M135" i="70"/>
  <c r="L135" i="70"/>
  <c r="I135" i="70"/>
  <c r="H135" i="70"/>
  <c r="G135" i="70"/>
  <c r="F135" i="70"/>
  <c r="E135" i="70"/>
  <c r="D135" i="70"/>
  <c r="P134" i="70"/>
  <c r="O134" i="70"/>
  <c r="N134" i="70"/>
  <c r="M134" i="70"/>
  <c r="L134" i="70"/>
  <c r="I134" i="70"/>
  <c r="H134" i="70"/>
  <c r="G134" i="70"/>
  <c r="F134" i="70"/>
  <c r="D134" i="70"/>
  <c r="P133" i="70"/>
  <c r="O133" i="70"/>
  <c r="N133" i="70"/>
  <c r="M133" i="70"/>
  <c r="L133" i="70"/>
  <c r="I133" i="70"/>
  <c r="H133" i="70"/>
  <c r="G133" i="70"/>
  <c r="F133" i="70"/>
  <c r="D133" i="70"/>
  <c r="P128" i="70"/>
  <c r="O128" i="70"/>
  <c r="N128" i="70"/>
  <c r="M128" i="70"/>
  <c r="L128" i="70"/>
  <c r="I128" i="70"/>
  <c r="H128" i="70"/>
  <c r="G128" i="70"/>
  <c r="F128" i="70"/>
  <c r="D128" i="70"/>
  <c r="I127" i="70"/>
  <c r="H127" i="70"/>
  <c r="G127" i="70"/>
  <c r="F127" i="70"/>
  <c r="D127" i="70"/>
  <c r="P126" i="70"/>
  <c r="O126" i="70"/>
  <c r="N126" i="70"/>
  <c r="M126" i="70"/>
  <c r="L126" i="70"/>
  <c r="I126" i="70"/>
  <c r="H126" i="70"/>
  <c r="G126" i="70"/>
  <c r="F126" i="70"/>
  <c r="D126" i="70"/>
  <c r="P123" i="70"/>
  <c r="O123" i="70"/>
  <c r="N123" i="70"/>
  <c r="M123" i="70"/>
  <c r="L123" i="70"/>
  <c r="I123" i="70"/>
  <c r="H123" i="70"/>
  <c r="K123" i="70" s="1"/>
  <c r="G123" i="70"/>
  <c r="J123" i="70" s="1"/>
  <c r="F123" i="70"/>
  <c r="D123" i="70"/>
  <c r="P122" i="70"/>
  <c r="O122" i="70"/>
  <c r="N122" i="70"/>
  <c r="M122" i="70"/>
  <c r="L122" i="70"/>
  <c r="I122" i="70"/>
  <c r="H122" i="70"/>
  <c r="K122" i="70" s="1"/>
  <c r="G122" i="70"/>
  <c r="J122" i="70" s="1"/>
  <c r="F122" i="70"/>
  <c r="E122" i="70"/>
  <c r="D122" i="70"/>
  <c r="P121" i="70"/>
  <c r="O121" i="70"/>
  <c r="N121" i="70"/>
  <c r="M121" i="70"/>
  <c r="L121" i="70"/>
  <c r="I121" i="70"/>
  <c r="H121" i="70"/>
  <c r="G121" i="70"/>
  <c r="F121" i="70"/>
  <c r="D121" i="70"/>
  <c r="P120" i="70"/>
  <c r="O120" i="70"/>
  <c r="N120" i="70"/>
  <c r="M120" i="70"/>
  <c r="L120" i="70"/>
  <c r="I120" i="70"/>
  <c r="H120" i="70"/>
  <c r="G120" i="70"/>
  <c r="F120" i="70"/>
  <c r="D120" i="70"/>
  <c r="P119" i="70"/>
  <c r="O119" i="70"/>
  <c r="N119" i="70"/>
  <c r="M119" i="70"/>
  <c r="L119" i="70"/>
  <c r="I119" i="70"/>
  <c r="H119" i="70"/>
  <c r="G119" i="70"/>
  <c r="F119" i="70"/>
  <c r="E119" i="70"/>
  <c r="D119" i="70"/>
  <c r="P118" i="70"/>
  <c r="O118" i="70"/>
  <c r="N118" i="70"/>
  <c r="M118" i="70"/>
  <c r="L118" i="70"/>
  <c r="I118" i="70"/>
  <c r="H118" i="70"/>
  <c r="G118" i="70"/>
  <c r="F118" i="70"/>
  <c r="D118" i="70"/>
  <c r="P117" i="70"/>
  <c r="P127" i="70" s="1"/>
  <c r="O117" i="70"/>
  <c r="O127" i="70" s="1"/>
  <c r="N117" i="70"/>
  <c r="M117" i="70"/>
  <c r="L117" i="70"/>
  <c r="L127" i="70" s="1"/>
  <c r="I117" i="70"/>
  <c r="H117" i="70"/>
  <c r="G117" i="70"/>
  <c r="F117" i="70"/>
  <c r="D117" i="70"/>
  <c r="U109" i="70"/>
  <c r="U108" i="70"/>
  <c r="U107" i="70"/>
  <c r="U106" i="70"/>
  <c r="U105" i="70"/>
  <c r="U104" i="70"/>
  <c r="U103" i="70"/>
  <c r="U102" i="70"/>
  <c r="U101" i="70"/>
  <c r="U100" i="70"/>
  <c r="U99" i="70"/>
  <c r="U98" i="70"/>
  <c r="U97" i="70"/>
  <c r="U96" i="70"/>
  <c r="U95" i="70"/>
  <c r="U94" i="70"/>
  <c r="U93" i="70"/>
  <c r="U92" i="70"/>
  <c r="U91" i="70"/>
  <c r="U90" i="70"/>
  <c r="U89" i="70"/>
  <c r="U88" i="70"/>
  <c r="U87" i="70"/>
  <c r="U86" i="70"/>
  <c r="U85" i="70"/>
  <c r="U84" i="70"/>
  <c r="U83" i="70"/>
  <c r="U82" i="70"/>
  <c r="U81" i="70"/>
  <c r="U80" i="70"/>
  <c r="U79" i="70"/>
  <c r="U78" i="70"/>
  <c r="U77" i="70"/>
  <c r="U76" i="70"/>
  <c r="U75" i="70"/>
  <c r="U74" i="70"/>
  <c r="U73" i="70"/>
  <c r="U72" i="70"/>
  <c r="U71" i="70"/>
  <c r="U70" i="70"/>
  <c r="E117" i="70" s="1"/>
  <c r="U69" i="70"/>
  <c r="U68" i="70"/>
  <c r="U67" i="70"/>
  <c r="U66" i="70"/>
  <c r="U65" i="70"/>
  <c r="U64" i="70"/>
  <c r="E123" i="70" s="1"/>
  <c r="U63" i="70"/>
  <c r="U62" i="70"/>
  <c r="U61" i="70"/>
  <c r="U60" i="70"/>
  <c r="U59" i="70"/>
  <c r="U58" i="70"/>
  <c r="U57" i="70"/>
  <c r="U56" i="70"/>
  <c r="U55" i="70"/>
  <c r="U54" i="70"/>
  <c r="U53" i="70"/>
  <c r="U52" i="70"/>
  <c r="U51" i="70"/>
  <c r="U50" i="70"/>
  <c r="U49" i="70"/>
  <c r="U48" i="70"/>
  <c r="U47" i="70"/>
  <c r="U46" i="70"/>
  <c r="U45" i="70"/>
  <c r="U44" i="70"/>
  <c r="U43" i="70"/>
  <c r="U42" i="70"/>
  <c r="U41" i="70"/>
  <c r="U40" i="70"/>
  <c r="U39" i="70"/>
  <c r="U38" i="70"/>
  <c r="U37" i="70"/>
  <c r="U36" i="70"/>
  <c r="U35" i="70"/>
  <c r="U34" i="70"/>
  <c r="U33" i="70"/>
  <c r="U32" i="70"/>
  <c r="E126" i="70" s="1"/>
  <c r="U31" i="70"/>
  <c r="U30" i="70"/>
  <c r="U29" i="70"/>
  <c r="U28" i="70"/>
  <c r="U27" i="70"/>
  <c r="U26" i="70"/>
  <c r="U25" i="70"/>
  <c r="U24" i="70"/>
  <c r="U23" i="70"/>
  <c r="U22" i="70"/>
  <c r="U21" i="70"/>
  <c r="U20" i="70"/>
  <c r="U19" i="70"/>
  <c r="U18" i="70"/>
  <c r="U17" i="70"/>
  <c r="U16" i="70"/>
  <c r="U15" i="70"/>
  <c r="U14" i="70"/>
  <c r="U13" i="70"/>
  <c r="U12" i="70"/>
  <c r="U11" i="70"/>
  <c r="U10" i="70"/>
  <c r="U9" i="70"/>
  <c r="U8" i="70"/>
  <c r="U7" i="70"/>
  <c r="U6" i="70"/>
  <c r="U5" i="70"/>
  <c r="U4" i="70"/>
  <c r="U3" i="70"/>
  <c r="M189" i="69"/>
  <c r="F189" i="69"/>
  <c r="E189" i="69"/>
  <c r="D189" i="69"/>
  <c r="M188" i="69"/>
  <c r="L188" i="69"/>
  <c r="K188" i="69"/>
  <c r="J188" i="69"/>
  <c r="I188" i="69"/>
  <c r="H188" i="69"/>
  <c r="G188" i="69"/>
  <c r="C188" i="69"/>
  <c r="B188" i="69"/>
  <c r="M187" i="69"/>
  <c r="L187" i="69"/>
  <c r="K187" i="69"/>
  <c r="J187" i="69"/>
  <c r="I187" i="69"/>
  <c r="H187" i="69"/>
  <c r="G187" i="69"/>
  <c r="C187" i="69"/>
  <c r="B187" i="69"/>
  <c r="M185" i="69"/>
  <c r="M184" i="69"/>
  <c r="L184" i="69"/>
  <c r="K184" i="69"/>
  <c r="J184" i="69"/>
  <c r="I184" i="69"/>
  <c r="H184" i="69"/>
  <c r="G184" i="69"/>
  <c r="F184" i="69"/>
  <c r="E184" i="69"/>
  <c r="D184" i="69"/>
  <c r="C184" i="69"/>
  <c r="B184" i="69"/>
  <c r="M183" i="69"/>
  <c r="L183" i="69"/>
  <c r="K183" i="69"/>
  <c r="J183" i="69"/>
  <c r="I183" i="69"/>
  <c r="H183" i="69"/>
  <c r="G183" i="69"/>
  <c r="F183" i="69"/>
  <c r="E183" i="69"/>
  <c r="D183" i="69"/>
  <c r="C183" i="69"/>
  <c r="B183" i="69"/>
  <c r="M182" i="69"/>
  <c r="L182" i="69"/>
  <c r="K182" i="69"/>
  <c r="J182" i="69"/>
  <c r="I182" i="69"/>
  <c r="H182" i="69"/>
  <c r="G182" i="69"/>
  <c r="F182" i="69"/>
  <c r="E182" i="69"/>
  <c r="D182" i="69"/>
  <c r="C182" i="69"/>
  <c r="B182" i="69"/>
  <c r="M181" i="69"/>
  <c r="L181" i="69"/>
  <c r="K181" i="69"/>
  <c r="J181" i="69"/>
  <c r="I181" i="69"/>
  <c r="H181" i="69"/>
  <c r="G181" i="69"/>
  <c r="F181" i="69"/>
  <c r="E181" i="69"/>
  <c r="D181" i="69"/>
  <c r="C181" i="69"/>
  <c r="B181" i="69"/>
  <c r="M180" i="69"/>
  <c r="L180" i="69"/>
  <c r="K180" i="69"/>
  <c r="J180" i="69"/>
  <c r="I180" i="69"/>
  <c r="H180" i="69"/>
  <c r="G180" i="69"/>
  <c r="F180" i="69"/>
  <c r="E180" i="69"/>
  <c r="D180" i="69"/>
  <c r="C180" i="69"/>
  <c r="B180" i="69"/>
  <c r="M179" i="69"/>
  <c r="L179" i="69"/>
  <c r="K179" i="69"/>
  <c r="J179" i="69"/>
  <c r="I179" i="69"/>
  <c r="H179" i="69"/>
  <c r="G179" i="69"/>
  <c r="F179" i="69"/>
  <c r="E179" i="69"/>
  <c r="D179" i="69"/>
  <c r="C179" i="69"/>
  <c r="B179" i="69"/>
  <c r="M178" i="69"/>
  <c r="L178" i="69"/>
  <c r="K178" i="69"/>
  <c r="J178" i="69"/>
  <c r="I178" i="69"/>
  <c r="H178" i="69"/>
  <c r="G178" i="69"/>
  <c r="F178" i="69"/>
  <c r="E178" i="69"/>
  <c r="D178" i="69"/>
  <c r="C178" i="69"/>
  <c r="B178" i="69"/>
  <c r="C174" i="69"/>
  <c r="B174" i="69"/>
  <c r="N173" i="69"/>
  <c r="M173" i="69"/>
  <c r="L173" i="69"/>
  <c r="I173" i="69"/>
  <c r="H173" i="69"/>
  <c r="K173" i="69" s="1"/>
  <c r="G173" i="69"/>
  <c r="J173" i="69" s="1"/>
  <c r="F173" i="69"/>
  <c r="E173" i="69"/>
  <c r="D173" i="69"/>
  <c r="N172" i="69"/>
  <c r="M172" i="69"/>
  <c r="L172" i="69"/>
  <c r="I172" i="69"/>
  <c r="H172" i="69"/>
  <c r="G172" i="69"/>
  <c r="J172" i="69" s="1"/>
  <c r="F172" i="69"/>
  <c r="E172" i="69"/>
  <c r="D172" i="69"/>
  <c r="C170" i="69"/>
  <c r="B170" i="69"/>
  <c r="N169" i="69"/>
  <c r="M169" i="69"/>
  <c r="L169" i="69"/>
  <c r="I169" i="69"/>
  <c r="H169" i="69"/>
  <c r="K169" i="69" s="1"/>
  <c r="G169" i="69"/>
  <c r="J169" i="69" s="1"/>
  <c r="F169" i="69"/>
  <c r="E169" i="69"/>
  <c r="D169" i="69"/>
  <c r="N168" i="69"/>
  <c r="M168" i="69"/>
  <c r="L168" i="69"/>
  <c r="I168" i="69"/>
  <c r="H168" i="69"/>
  <c r="K168" i="69" s="1"/>
  <c r="G168" i="69"/>
  <c r="J168" i="69" s="1"/>
  <c r="F168" i="69"/>
  <c r="E168" i="69"/>
  <c r="D168" i="69"/>
  <c r="N167" i="69"/>
  <c r="M167" i="69"/>
  <c r="L167" i="69"/>
  <c r="I167" i="69"/>
  <c r="H167" i="69"/>
  <c r="K167" i="69" s="1"/>
  <c r="G167" i="69"/>
  <c r="J167" i="69" s="1"/>
  <c r="F167" i="69"/>
  <c r="E167" i="69"/>
  <c r="D167" i="69"/>
  <c r="N166" i="69"/>
  <c r="M166" i="69"/>
  <c r="L166" i="69"/>
  <c r="I166" i="69"/>
  <c r="H166" i="69"/>
  <c r="K166" i="69" s="1"/>
  <c r="G166" i="69"/>
  <c r="J166" i="69" s="1"/>
  <c r="F166" i="69"/>
  <c r="E166" i="69"/>
  <c r="D166" i="69"/>
  <c r="N165" i="69"/>
  <c r="M165" i="69"/>
  <c r="L165" i="69"/>
  <c r="I165" i="69"/>
  <c r="H165" i="69"/>
  <c r="K165" i="69" s="1"/>
  <c r="G165" i="69"/>
  <c r="J165" i="69" s="1"/>
  <c r="F165" i="69"/>
  <c r="E165" i="69"/>
  <c r="D165" i="69"/>
  <c r="N164" i="69"/>
  <c r="M164" i="69"/>
  <c r="L164" i="69"/>
  <c r="I164" i="69"/>
  <c r="H164" i="69"/>
  <c r="G164" i="69"/>
  <c r="J164" i="69" s="1"/>
  <c r="F164" i="69"/>
  <c r="E164" i="69"/>
  <c r="D164" i="69"/>
  <c r="N163" i="69"/>
  <c r="M163" i="69"/>
  <c r="L163" i="69"/>
  <c r="I163" i="69"/>
  <c r="H163" i="69"/>
  <c r="K163" i="69" s="1"/>
  <c r="G163" i="69"/>
  <c r="J163" i="69" s="1"/>
  <c r="F163" i="69"/>
  <c r="E163" i="69"/>
  <c r="D163" i="69"/>
  <c r="I158" i="69"/>
  <c r="H158" i="69"/>
  <c r="G158" i="69"/>
  <c r="F158" i="69"/>
  <c r="D158" i="69"/>
  <c r="I157" i="69"/>
  <c r="H157" i="69"/>
  <c r="G157" i="69"/>
  <c r="F157" i="69"/>
  <c r="D157" i="69"/>
  <c r="I154" i="69"/>
  <c r="H154" i="69"/>
  <c r="K154" i="69" s="1"/>
  <c r="G154" i="69"/>
  <c r="J154" i="69" s="1"/>
  <c r="F154" i="69"/>
  <c r="D154" i="69"/>
  <c r="I153" i="69"/>
  <c r="H153" i="69"/>
  <c r="K153" i="69" s="1"/>
  <c r="G153" i="69"/>
  <c r="J153" i="69" s="1"/>
  <c r="F153" i="69"/>
  <c r="E153" i="69"/>
  <c r="D153" i="69"/>
  <c r="I152" i="69"/>
  <c r="H152" i="69"/>
  <c r="G152" i="69"/>
  <c r="F152" i="69"/>
  <c r="D152" i="69"/>
  <c r="I151" i="69"/>
  <c r="H151" i="69"/>
  <c r="G151" i="69"/>
  <c r="F151" i="69"/>
  <c r="D151" i="69"/>
  <c r="I150" i="69"/>
  <c r="H150" i="69"/>
  <c r="G150" i="69"/>
  <c r="F150" i="69"/>
  <c r="D150" i="69"/>
  <c r="I149" i="69"/>
  <c r="H149" i="69"/>
  <c r="G149" i="69"/>
  <c r="F149" i="69"/>
  <c r="D149" i="69"/>
  <c r="I148" i="69"/>
  <c r="H148" i="69"/>
  <c r="G148" i="69"/>
  <c r="F148" i="69"/>
  <c r="D148" i="69"/>
  <c r="P143" i="69"/>
  <c r="O143" i="69"/>
  <c r="N143" i="69"/>
  <c r="M143" i="69"/>
  <c r="L143" i="69"/>
  <c r="I143" i="69"/>
  <c r="H143" i="69"/>
  <c r="G143" i="69"/>
  <c r="F143" i="69"/>
  <c r="D143" i="69"/>
  <c r="P142" i="69"/>
  <c r="O142" i="69"/>
  <c r="N142" i="69"/>
  <c r="M142" i="69"/>
  <c r="L142" i="69"/>
  <c r="I142" i="69"/>
  <c r="H142" i="69"/>
  <c r="G142" i="69"/>
  <c r="F142" i="69"/>
  <c r="D142" i="69"/>
  <c r="P139" i="69"/>
  <c r="O139" i="69"/>
  <c r="N139" i="69"/>
  <c r="M139" i="69"/>
  <c r="L139" i="69"/>
  <c r="I139" i="69"/>
  <c r="H139" i="69"/>
  <c r="K139" i="69" s="1"/>
  <c r="G139" i="69"/>
  <c r="J139" i="69" s="1"/>
  <c r="F139" i="69"/>
  <c r="D139" i="69"/>
  <c r="P138" i="69"/>
  <c r="O138" i="69"/>
  <c r="N138" i="69"/>
  <c r="M138" i="69"/>
  <c r="L138" i="69"/>
  <c r="I138" i="69"/>
  <c r="H138" i="69"/>
  <c r="K138" i="69" s="1"/>
  <c r="G138" i="69"/>
  <c r="J138" i="69" s="1"/>
  <c r="F138" i="69"/>
  <c r="E138" i="69"/>
  <c r="D138" i="69"/>
  <c r="P137" i="69"/>
  <c r="O137" i="69"/>
  <c r="N137" i="69"/>
  <c r="M137" i="69"/>
  <c r="L137" i="69"/>
  <c r="I137" i="69"/>
  <c r="H137" i="69"/>
  <c r="G137" i="69"/>
  <c r="F137" i="69"/>
  <c r="D137" i="69"/>
  <c r="P136" i="69"/>
  <c r="O136" i="69"/>
  <c r="N136" i="69"/>
  <c r="M136" i="69"/>
  <c r="L136" i="69"/>
  <c r="I136" i="69"/>
  <c r="H136" i="69"/>
  <c r="G136" i="69"/>
  <c r="F136" i="69"/>
  <c r="D136" i="69"/>
  <c r="P135" i="69"/>
  <c r="O135" i="69"/>
  <c r="N135" i="69"/>
  <c r="M135" i="69"/>
  <c r="L135" i="69"/>
  <c r="I135" i="69"/>
  <c r="H135" i="69"/>
  <c r="G135" i="69"/>
  <c r="F135" i="69"/>
  <c r="D135" i="69"/>
  <c r="P134" i="69"/>
  <c r="O134" i="69"/>
  <c r="N134" i="69"/>
  <c r="M134" i="69"/>
  <c r="L134" i="69"/>
  <c r="I134" i="69"/>
  <c r="H134" i="69"/>
  <c r="G134" i="69"/>
  <c r="F134" i="69"/>
  <c r="D134" i="69"/>
  <c r="P133" i="69"/>
  <c r="O133" i="69"/>
  <c r="N133" i="69"/>
  <c r="M133" i="69"/>
  <c r="L133" i="69"/>
  <c r="I133" i="69"/>
  <c r="H133" i="69"/>
  <c r="G133" i="69"/>
  <c r="F133" i="69"/>
  <c r="D133" i="69"/>
  <c r="P128" i="69"/>
  <c r="O128" i="69"/>
  <c r="N128" i="69"/>
  <c r="M128" i="69"/>
  <c r="L128" i="69"/>
  <c r="I128" i="69"/>
  <c r="H128" i="69"/>
  <c r="G128" i="69"/>
  <c r="F128" i="69"/>
  <c r="D128" i="69"/>
  <c r="P127" i="69"/>
  <c r="O127" i="69"/>
  <c r="N127" i="69"/>
  <c r="M127" i="69"/>
  <c r="L127" i="69"/>
  <c r="I127" i="69"/>
  <c r="H127" i="69"/>
  <c r="G127" i="69"/>
  <c r="F127" i="69"/>
  <c r="D127" i="69"/>
  <c r="P124" i="69"/>
  <c r="O124" i="69"/>
  <c r="N124" i="69"/>
  <c r="M124" i="69"/>
  <c r="L124" i="69"/>
  <c r="I124" i="69"/>
  <c r="H124" i="69"/>
  <c r="K124" i="69" s="1"/>
  <c r="G124" i="69"/>
  <c r="J124" i="69" s="1"/>
  <c r="F124" i="69"/>
  <c r="D124" i="69"/>
  <c r="P123" i="69"/>
  <c r="O123" i="69"/>
  <c r="N123" i="69"/>
  <c r="M123" i="69"/>
  <c r="L123" i="69"/>
  <c r="I123" i="69"/>
  <c r="H123" i="69"/>
  <c r="K123" i="69" s="1"/>
  <c r="G123" i="69"/>
  <c r="J123" i="69" s="1"/>
  <c r="F123" i="69"/>
  <c r="E123" i="69"/>
  <c r="D123" i="69"/>
  <c r="P122" i="69"/>
  <c r="O122" i="69"/>
  <c r="N122" i="69"/>
  <c r="M122" i="69"/>
  <c r="L122" i="69"/>
  <c r="I122" i="69"/>
  <c r="H122" i="69"/>
  <c r="G122" i="69"/>
  <c r="F122" i="69"/>
  <c r="E122" i="69"/>
  <c r="D122" i="69"/>
  <c r="P121" i="69"/>
  <c r="O121" i="69"/>
  <c r="N121" i="69"/>
  <c r="M121" i="69"/>
  <c r="L121" i="69"/>
  <c r="I121" i="69"/>
  <c r="H121" i="69"/>
  <c r="G121" i="69"/>
  <c r="F121" i="69"/>
  <c r="D121" i="69"/>
  <c r="P120" i="69"/>
  <c r="O120" i="69"/>
  <c r="N120" i="69"/>
  <c r="M120" i="69"/>
  <c r="L120" i="69"/>
  <c r="I120" i="69"/>
  <c r="H120" i="69"/>
  <c r="G120" i="69"/>
  <c r="F120" i="69"/>
  <c r="E120" i="69"/>
  <c r="D120" i="69"/>
  <c r="P119" i="69"/>
  <c r="O119" i="69"/>
  <c r="N119" i="69"/>
  <c r="M119" i="69"/>
  <c r="L119" i="69"/>
  <c r="I119" i="69"/>
  <c r="H119" i="69"/>
  <c r="G119" i="69"/>
  <c r="F119" i="69"/>
  <c r="D119" i="69"/>
  <c r="P118" i="69"/>
  <c r="O118" i="69"/>
  <c r="N118" i="69"/>
  <c r="M118" i="69"/>
  <c r="L118" i="69"/>
  <c r="I118" i="69"/>
  <c r="H118" i="69"/>
  <c r="G118" i="69"/>
  <c r="F118" i="69"/>
  <c r="D118" i="69"/>
  <c r="U110" i="69"/>
  <c r="U109" i="69"/>
  <c r="U108" i="69"/>
  <c r="U107" i="69"/>
  <c r="U106" i="69"/>
  <c r="U105" i="69"/>
  <c r="U104" i="69"/>
  <c r="U103" i="69"/>
  <c r="U102" i="69"/>
  <c r="U101" i="69"/>
  <c r="U100" i="69"/>
  <c r="U99" i="69"/>
  <c r="U98" i="69"/>
  <c r="U97" i="69"/>
  <c r="U96" i="69"/>
  <c r="U95" i="69"/>
  <c r="U94" i="69"/>
  <c r="U93" i="69"/>
  <c r="U92" i="69"/>
  <c r="U91" i="69"/>
  <c r="U90" i="69"/>
  <c r="U89" i="69"/>
  <c r="U88" i="69"/>
  <c r="U87" i="69"/>
  <c r="U86" i="69"/>
  <c r="U85" i="69"/>
  <c r="U84" i="69"/>
  <c r="U83" i="69"/>
  <c r="U82" i="69"/>
  <c r="U81" i="69"/>
  <c r="U80" i="69"/>
  <c r="U79" i="69"/>
  <c r="U78" i="69"/>
  <c r="U77" i="69"/>
  <c r="U76" i="69"/>
  <c r="U75" i="69"/>
  <c r="U74" i="69"/>
  <c r="U73" i="69"/>
  <c r="U72" i="69"/>
  <c r="U71" i="69"/>
  <c r="U70" i="69"/>
  <c r="U69" i="69"/>
  <c r="U68" i="69"/>
  <c r="U67" i="69"/>
  <c r="U66" i="69"/>
  <c r="U65" i="69"/>
  <c r="U64" i="69"/>
  <c r="U63" i="69"/>
  <c r="U62" i="69"/>
  <c r="U61" i="69"/>
  <c r="U60" i="69"/>
  <c r="U59" i="69"/>
  <c r="U58" i="69"/>
  <c r="U57" i="69"/>
  <c r="U56" i="69"/>
  <c r="U55" i="69"/>
  <c r="U54" i="69"/>
  <c r="U53" i="69"/>
  <c r="U52" i="69"/>
  <c r="U51" i="69"/>
  <c r="U50" i="69"/>
  <c r="U49" i="69"/>
  <c r="U48" i="69"/>
  <c r="U47" i="69"/>
  <c r="U46" i="69"/>
  <c r="U45" i="69"/>
  <c r="U44" i="69"/>
  <c r="U43" i="69"/>
  <c r="U42" i="69"/>
  <c r="U41" i="69"/>
  <c r="U40" i="69"/>
  <c r="U39" i="69"/>
  <c r="U38" i="69"/>
  <c r="U37" i="69"/>
  <c r="U36" i="69"/>
  <c r="U35" i="69"/>
  <c r="U34" i="69"/>
  <c r="U33" i="69"/>
  <c r="U32" i="69"/>
  <c r="U31" i="69"/>
  <c r="U30" i="69"/>
  <c r="U29" i="69"/>
  <c r="E118" i="69" s="1"/>
  <c r="U28" i="69"/>
  <c r="U27" i="69"/>
  <c r="U26" i="69"/>
  <c r="U25" i="69"/>
  <c r="U24" i="69"/>
  <c r="U23" i="69"/>
  <c r="U22" i="69"/>
  <c r="U21" i="69"/>
  <c r="U20" i="69"/>
  <c r="U19" i="69"/>
  <c r="E137" i="69" s="1"/>
  <c r="U18" i="69"/>
  <c r="U17" i="69"/>
  <c r="U16" i="69"/>
  <c r="U15" i="69"/>
  <c r="U14" i="69"/>
  <c r="U13" i="69"/>
  <c r="U12" i="69"/>
  <c r="U11" i="69"/>
  <c r="U10" i="69"/>
  <c r="U9" i="69"/>
  <c r="U8" i="69"/>
  <c r="U7" i="69"/>
  <c r="U6" i="69"/>
  <c r="U5" i="69"/>
  <c r="U4" i="69"/>
  <c r="U3" i="69"/>
  <c r="M184" i="68"/>
  <c r="F184" i="68"/>
  <c r="E184" i="68"/>
  <c r="D184" i="68"/>
  <c r="M183" i="68"/>
  <c r="L183" i="68"/>
  <c r="K183" i="68"/>
  <c r="J183" i="68"/>
  <c r="I183" i="68"/>
  <c r="H183" i="68"/>
  <c r="G183" i="68"/>
  <c r="C183" i="68"/>
  <c r="B183" i="68"/>
  <c r="M182" i="68"/>
  <c r="L182" i="68"/>
  <c r="K182" i="68"/>
  <c r="J182" i="68"/>
  <c r="I182" i="68"/>
  <c r="H182" i="68"/>
  <c r="G182" i="68"/>
  <c r="C182" i="68"/>
  <c r="B182" i="68"/>
  <c r="M180" i="68"/>
  <c r="M179" i="68"/>
  <c r="L179" i="68"/>
  <c r="K179" i="68"/>
  <c r="J179" i="68"/>
  <c r="I179" i="68"/>
  <c r="H179" i="68"/>
  <c r="G179" i="68"/>
  <c r="F179" i="68"/>
  <c r="E179" i="68"/>
  <c r="D179" i="68"/>
  <c r="C179" i="68"/>
  <c r="B179" i="68"/>
  <c r="M178" i="68"/>
  <c r="L178" i="68"/>
  <c r="K178" i="68"/>
  <c r="J178" i="68"/>
  <c r="I178" i="68"/>
  <c r="H178" i="68"/>
  <c r="G178" i="68"/>
  <c r="F178" i="68"/>
  <c r="E178" i="68"/>
  <c r="D178" i="68"/>
  <c r="C178" i="68"/>
  <c r="B178" i="68"/>
  <c r="M177" i="68"/>
  <c r="L177" i="68"/>
  <c r="K177" i="68"/>
  <c r="J177" i="68"/>
  <c r="I177" i="68"/>
  <c r="H177" i="68"/>
  <c r="G177" i="68"/>
  <c r="F177" i="68"/>
  <c r="E177" i="68"/>
  <c r="D177" i="68"/>
  <c r="C177" i="68"/>
  <c r="B177" i="68"/>
  <c r="M176" i="68"/>
  <c r="L176" i="68"/>
  <c r="K176" i="68"/>
  <c r="J176" i="68"/>
  <c r="I176" i="68"/>
  <c r="H176" i="68"/>
  <c r="G176" i="68"/>
  <c r="F176" i="68"/>
  <c r="E176" i="68"/>
  <c r="D176" i="68"/>
  <c r="C176" i="68"/>
  <c r="B176" i="68"/>
  <c r="M175" i="68"/>
  <c r="L175" i="68"/>
  <c r="K175" i="68"/>
  <c r="J175" i="68"/>
  <c r="I175" i="68"/>
  <c r="H175" i="68"/>
  <c r="G175" i="68"/>
  <c r="F175" i="68"/>
  <c r="E175" i="68"/>
  <c r="D175" i="68"/>
  <c r="C175" i="68"/>
  <c r="B175" i="68"/>
  <c r="M174" i="68"/>
  <c r="L174" i="68"/>
  <c r="K174" i="68"/>
  <c r="J174" i="68"/>
  <c r="I174" i="68"/>
  <c r="H174" i="68"/>
  <c r="G174" i="68"/>
  <c r="F174" i="68"/>
  <c r="E174" i="68"/>
  <c r="D174" i="68"/>
  <c r="C174" i="68"/>
  <c r="B174" i="68"/>
  <c r="C170" i="68"/>
  <c r="B170" i="68"/>
  <c r="N169" i="68"/>
  <c r="M169" i="68"/>
  <c r="L169" i="68"/>
  <c r="I169" i="68"/>
  <c r="H169" i="68"/>
  <c r="K169" i="68" s="1"/>
  <c r="G169" i="68"/>
  <c r="J169" i="68" s="1"/>
  <c r="F169" i="68"/>
  <c r="E169" i="68"/>
  <c r="D169" i="68"/>
  <c r="N168" i="68"/>
  <c r="M168" i="68"/>
  <c r="L168" i="68"/>
  <c r="I168" i="68"/>
  <c r="H168" i="68"/>
  <c r="G168" i="68"/>
  <c r="F168" i="68"/>
  <c r="E168" i="68"/>
  <c r="D168" i="68"/>
  <c r="C166" i="68"/>
  <c r="B166" i="68"/>
  <c r="N165" i="68"/>
  <c r="M165" i="68"/>
  <c r="L165" i="68"/>
  <c r="I165" i="68"/>
  <c r="H165" i="68"/>
  <c r="K165" i="68" s="1"/>
  <c r="G165" i="68"/>
  <c r="J165" i="68" s="1"/>
  <c r="F165" i="68"/>
  <c r="E165" i="68"/>
  <c r="D165" i="68"/>
  <c r="N164" i="68"/>
  <c r="M164" i="68"/>
  <c r="L164" i="68"/>
  <c r="I164" i="68"/>
  <c r="H164" i="68"/>
  <c r="K164" i="68" s="1"/>
  <c r="G164" i="68"/>
  <c r="J164" i="68" s="1"/>
  <c r="F164" i="68"/>
  <c r="E164" i="68"/>
  <c r="D164" i="68"/>
  <c r="N163" i="68"/>
  <c r="M163" i="68"/>
  <c r="L163" i="68"/>
  <c r="I163" i="68"/>
  <c r="H163" i="68"/>
  <c r="K163" i="68" s="1"/>
  <c r="G163" i="68"/>
  <c r="J163" i="68" s="1"/>
  <c r="F163" i="68"/>
  <c r="E163" i="68"/>
  <c r="D163" i="68"/>
  <c r="N162" i="68"/>
  <c r="M162" i="68"/>
  <c r="L162" i="68"/>
  <c r="I162" i="68"/>
  <c r="H162" i="68"/>
  <c r="K162" i="68" s="1"/>
  <c r="G162" i="68"/>
  <c r="J162" i="68" s="1"/>
  <c r="F162" i="68"/>
  <c r="E162" i="68"/>
  <c r="D162" i="68"/>
  <c r="N161" i="68"/>
  <c r="M161" i="68"/>
  <c r="L161" i="68"/>
  <c r="I161" i="68"/>
  <c r="H161" i="68"/>
  <c r="K161" i="68" s="1"/>
  <c r="G161" i="68"/>
  <c r="J161" i="68" s="1"/>
  <c r="F161" i="68"/>
  <c r="E161" i="68"/>
  <c r="D161" i="68"/>
  <c r="N160" i="68"/>
  <c r="M160" i="68"/>
  <c r="L160" i="68"/>
  <c r="I160" i="68"/>
  <c r="H160" i="68"/>
  <c r="G160" i="68"/>
  <c r="J160" i="68" s="1"/>
  <c r="F160" i="68"/>
  <c r="E160" i="68"/>
  <c r="D160" i="68"/>
  <c r="I155" i="68"/>
  <c r="H155" i="68"/>
  <c r="G155" i="68"/>
  <c r="F155" i="68"/>
  <c r="D155" i="68"/>
  <c r="I154" i="68"/>
  <c r="H154" i="68"/>
  <c r="G154" i="68"/>
  <c r="F154" i="68"/>
  <c r="D154" i="68"/>
  <c r="I151" i="68"/>
  <c r="H151" i="68"/>
  <c r="K151" i="68" s="1"/>
  <c r="G151" i="68"/>
  <c r="J151" i="68" s="1"/>
  <c r="F151" i="68"/>
  <c r="D151" i="68"/>
  <c r="I150" i="68"/>
  <c r="H150" i="68"/>
  <c r="K150" i="68" s="1"/>
  <c r="G150" i="68"/>
  <c r="J150" i="68" s="1"/>
  <c r="F150" i="68"/>
  <c r="E150" i="68"/>
  <c r="D150" i="68"/>
  <c r="I149" i="68"/>
  <c r="H149" i="68"/>
  <c r="G149" i="68"/>
  <c r="F149" i="68"/>
  <c r="D149" i="68"/>
  <c r="I148" i="68"/>
  <c r="H148" i="68"/>
  <c r="G148" i="68"/>
  <c r="F148" i="68"/>
  <c r="D148" i="68"/>
  <c r="I147" i="68"/>
  <c r="H147" i="68"/>
  <c r="G147" i="68"/>
  <c r="F147" i="68"/>
  <c r="D147" i="68"/>
  <c r="I146" i="68"/>
  <c r="H146" i="68"/>
  <c r="G146" i="68"/>
  <c r="F146" i="68"/>
  <c r="D146" i="68"/>
  <c r="P141" i="68"/>
  <c r="O141" i="68"/>
  <c r="N141" i="68"/>
  <c r="M141" i="68"/>
  <c r="L141" i="68"/>
  <c r="I141" i="68"/>
  <c r="H141" i="68"/>
  <c r="G141" i="68"/>
  <c r="F141" i="68"/>
  <c r="D141" i="68"/>
  <c r="C141" i="68"/>
  <c r="B141" i="68"/>
  <c r="P140" i="68"/>
  <c r="O140" i="68"/>
  <c r="N140" i="68"/>
  <c r="M140" i="68"/>
  <c r="L140" i="68"/>
  <c r="I140" i="68"/>
  <c r="H140" i="68"/>
  <c r="G140" i="68"/>
  <c r="F140" i="68"/>
  <c r="D140" i="68"/>
  <c r="C140" i="68"/>
  <c r="B140" i="68"/>
  <c r="P137" i="68"/>
  <c r="O137" i="68"/>
  <c r="N137" i="68"/>
  <c r="M137" i="68"/>
  <c r="L137" i="68"/>
  <c r="I137" i="68"/>
  <c r="H137" i="68"/>
  <c r="G137" i="68"/>
  <c r="F137" i="68"/>
  <c r="D137" i="68"/>
  <c r="C137" i="68"/>
  <c r="B137" i="68"/>
  <c r="P136" i="68"/>
  <c r="O136" i="68"/>
  <c r="N136" i="68"/>
  <c r="M136" i="68"/>
  <c r="L136" i="68"/>
  <c r="I136" i="68"/>
  <c r="H136" i="68"/>
  <c r="G136" i="68"/>
  <c r="F136" i="68"/>
  <c r="E136" i="68"/>
  <c r="D136" i="68"/>
  <c r="C136" i="68"/>
  <c r="B136" i="68"/>
  <c r="P135" i="68"/>
  <c r="O135" i="68"/>
  <c r="N135" i="68"/>
  <c r="M135" i="68"/>
  <c r="L135" i="68"/>
  <c r="I135" i="68"/>
  <c r="H135" i="68"/>
  <c r="G135" i="68"/>
  <c r="F135" i="68"/>
  <c r="D135" i="68"/>
  <c r="C135" i="68"/>
  <c r="B135" i="68"/>
  <c r="P134" i="68"/>
  <c r="O134" i="68"/>
  <c r="N134" i="68"/>
  <c r="M134" i="68"/>
  <c r="L134" i="68"/>
  <c r="I134" i="68"/>
  <c r="H134" i="68"/>
  <c r="G134" i="68"/>
  <c r="F134" i="68"/>
  <c r="D134" i="68"/>
  <c r="C134" i="68"/>
  <c r="B134" i="68"/>
  <c r="P133" i="68"/>
  <c r="O133" i="68"/>
  <c r="N133" i="68"/>
  <c r="M133" i="68"/>
  <c r="L133" i="68"/>
  <c r="I133" i="68"/>
  <c r="H133" i="68"/>
  <c r="G133" i="68"/>
  <c r="F133" i="68"/>
  <c r="D133" i="68"/>
  <c r="C133" i="68"/>
  <c r="B133" i="68"/>
  <c r="P132" i="68"/>
  <c r="O132" i="68"/>
  <c r="N132" i="68"/>
  <c r="M132" i="68"/>
  <c r="L132" i="68"/>
  <c r="I132" i="68"/>
  <c r="H132" i="68"/>
  <c r="G132" i="68"/>
  <c r="F132" i="68"/>
  <c r="D132" i="68"/>
  <c r="C132" i="68"/>
  <c r="B132" i="68"/>
  <c r="P127" i="68"/>
  <c r="O127" i="68"/>
  <c r="N127" i="68"/>
  <c r="M127" i="68"/>
  <c r="L127" i="68"/>
  <c r="I127" i="68"/>
  <c r="H127" i="68"/>
  <c r="G127" i="68"/>
  <c r="F127" i="68"/>
  <c r="D127" i="68"/>
  <c r="C127" i="68"/>
  <c r="B127" i="68"/>
  <c r="P126" i="68"/>
  <c r="O126" i="68"/>
  <c r="N126" i="68"/>
  <c r="M126" i="68"/>
  <c r="L126" i="68"/>
  <c r="I126" i="68"/>
  <c r="H126" i="68"/>
  <c r="G126" i="68"/>
  <c r="F126" i="68"/>
  <c r="D126" i="68"/>
  <c r="C126" i="68"/>
  <c r="B126" i="68"/>
  <c r="P123" i="68"/>
  <c r="O123" i="68"/>
  <c r="N123" i="68"/>
  <c r="M123" i="68"/>
  <c r="L123" i="68"/>
  <c r="I123" i="68"/>
  <c r="H123" i="68"/>
  <c r="G123" i="68"/>
  <c r="F123" i="68"/>
  <c r="D123" i="68"/>
  <c r="C123" i="68"/>
  <c r="B123" i="68"/>
  <c r="P122" i="68"/>
  <c r="O122" i="68"/>
  <c r="N122" i="68"/>
  <c r="M122" i="68"/>
  <c r="L122" i="68"/>
  <c r="I122" i="68"/>
  <c r="H122" i="68"/>
  <c r="G122" i="68"/>
  <c r="F122" i="68"/>
  <c r="E122" i="68"/>
  <c r="D122" i="68"/>
  <c r="C122" i="68"/>
  <c r="B122" i="68"/>
  <c r="P121" i="68"/>
  <c r="O121" i="68"/>
  <c r="N121" i="68"/>
  <c r="M121" i="68"/>
  <c r="L121" i="68"/>
  <c r="I121" i="68"/>
  <c r="H121" i="68"/>
  <c r="G121" i="68"/>
  <c r="F121" i="68"/>
  <c r="D121" i="68"/>
  <c r="C121" i="68"/>
  <c r="B121" i="68"/>
  <c r="P120" i="68"/>
  <c r="O120" i="68"/>
  <c r="N120" i="68"/>
  <c r="M120" i="68"/>
  <c r="L120" i="68"/>
  <c r="I120" i="68"/>
  <c r="H120" i="68"/>
  <c r="G120" i="68"/>
  <c r="F120" i="68"/>
  <c r="D120" i="68"/>
  <c r="C120" i="68"/>
  <c r="B120" i="68"/>
  <c r="P119" i="68"/>
  <c r="O119" i="68"/>
  <c r="N119" i="68"/>
  <c r="M119" i="68"/>
  <c r="L119" i="68"/>
  <c r="I119" i="68"/>
  <c r="H119" i="68"/>
  <c r="G119" i="68"/>
  <c r="F119" i="68"/>
  <c r="D119" i="68"/>
  <c r="C119" i="68"/>
  <c r="B119" i="68"/>
  <c r="P118" i="68"/>
  <c r="O118" i="68"/>
  <c r="N118" i="68"/>
  <c r="M118" i="68"/>
  <c r="L118" i="68"/>
  <c r="I118" i="68"/>
  <c r="H118" i="68"/>
  <c r="G118" i="68"/>
  <c r="F118" i="68"/>
  <c r="E118" i="68"/>
  <c r="D118" i="68"/>
  <c r="C118" i="68"/>
  <c r="B118" i="68"/>
  <c r="U110" i="68"/>
  <c r="U109" i="68"/>
  <c r="U108" i="68"/>
  <c r="U107" i="68"/>
  <c r="U106" i="68"/>
  <c r="U105" i="68"/>
  <c r="U104" i="68"/>
  <c r="U103" i="68"/>
  <c r="U102" i="68"/>
  <c r="U101" i="68"/>
  <c r="U100" i="68"/>
  <c r="U99" i="68"/>
  <c r="U98" i="68"/>
  <c r="U97" i="68"/>
  <c r="U96" i="68"/>
  <c r="U95" i="68"/>
  <c r="U94" i="68"/>
  <c r="U93" i="68"/>
  <c r="U92" i="68"/>
  <c r="U91" i="68"/>
  <c r="U90" i="68"/>
  <c r="U89" i="68"/>
  <c r="U88" i="68"/>
  <c r="U87" i="68"/>
  <c r="U86" i="68"/>
  <c r="U85" i="68"/>
  <c r="U84" i="68"/>
  <c r="U83" i="68"/>
  <c r="U82" i="68"/>
  <c r="U81" i="68"/>
  <c r="U80" i="68"/>
  <c r="U79" i="68"/>
  <c r="U78" i="68"/>
  <c r="U77" i="68"/>
  <c r="U76" i="68"/>
  <c r="U75" i="68"/>
  <c r="U74" i="68"/>
  <c r="U73" i="68"/>
  <c r="U72" i="68"/>
  <c r="U71" i="68"/>
  <c r="U70" i="68"/>
  <c r="U69" i="68"/>
  <c r="U68" i="68"/>
  <c r="U67" i="68"/>
  <c r="U66" i="68"/>
  <c r="U65" i="68"/>
  <c r="U64" i="68"/>
  <c r="U63" i="68"/>
  <c r="U62" i="68"/>
  <c r="U61" i="68"/>
  <c r="U60" i="68"/>
  <c r="U59" i="68"/>
  <c r="U58" i="68"/>
  <c r="U57" i="68"/>
  <c r="U56" i="68"/>
  <c r="U55" i="68"/>
  <c r="U54" i="68"/>
  <c r="U53" i="68"/>
  <c r="U52" i="68"/>
  <c r="U51" i="68"/>
  <c r="U50" i="68"/>
  <c r="U49" i="68"/>
  <c r="U48" i="68"/>
  <c r="U47" i="68"/>
  <c r="U46" i="68"/>
  <c r="U45" i="68"/>
  <c r="U44" i="68"/>
  <c r="U43" i="68"/>
  <c r="U42" i="68"/>
  <c r="U41" i="68"/>
  <c r="U40" i="68"/>
  <c r="U39" i="68"/>
  <c r="U38" i="68"/>
  <c r="U37" i="68"/>
  <c r="U36" i="68"/>
  <c r="U35" i="68"/>
  <c r="U34" i="68"/>
  <c r="U33" i="68"/>
  <c r="U32" i="68"/>
  <c r="U31" i="68"/>
  <c r="U30" i="68"/>
  <c r="U29" i="68"/>
  <c r="U28" i="68"/>
  <c r="U27" i="68"/>
  <c r="U26" i="68"/>
  <c r="U25" i="68"/>
  <c r="U24" i="68"/>
  <c r="U23" i="68"/>
  <c r="U22" i="68"/>
  <c r="U21" i="68"/>
  <c r="E119" i="68" s="1"/>
  <c r="U20" i="68"/>
  <c r="U19" i="68"/>
  <c r="U18" i="68"/>
  <c r="U17" i="68"/>
  <c r="U16" i="68"/>
  <c r="U15" i="68"/>
  <c r="U14" i="68"/>
  <c r="U13" i="68"/>
  <c r="U12" i="68"/>
  <c r="U11" i="68"/>
  <c r="U10" i="68"/>
  <c r="U9" i="68"/>
  <c r="U8" i="68"/>
  <c r="E120" i="68" s="1"/>
  <c r="U7" i="68"/>
  <c r="U6" i="68"/>
  <c r="U5" i="68"/>
  <c r="U4" i="68"/>
  <c r="U3" i="68"/>
  <c r="AP70" i="78"/>
  <c r="AO70" i="78"/>
  <c r="C63" i="78"/>
  <c r="C62" i="78"/>
  <c r="C61" i="78"/>
  <c r="C57" i="78"/>
  <c r="C56" i="78"/>
  <c r="C54" i="78"/>
  <c r="P51" i="78"/>
  <c r="AD51" i="78" s="1"/>
  <c r="C48" i="78"/>
  <c r="C42" i="78"/>
  <c r="D41" i="78"/>
  <c r="G41" i="78" s="1"/>
  <c r="B90" i="80" s="1"/>
  <c r="J90" i="80" s="1"/>
  <c r="D40" i="78"/>
  <c r="J40" i="78" s="1"/>
  <c r="C104" i="80" s="1"/>
  <c r="K104" i="80" s="1"/>
  <c r="D39" i="78"/>
  <c r="I39" i="78" s="1"/>
  <c r="B103" i="80" s="1"/>
  <c r="D38" i="78"/>
  <c r="K38" i="78" s="1"/>
  <c r="P35" i="78"/>
  <c r="Q46" i="78" s="1"/>
  <c r="C32" i="78"/>
  <c r="D31" i="78"/>
  <c r="D30" i="78"/>
  <c r="D29" i="78"/>
  <c r="C26" i="78"/>
  <c r="D25" i="78"/>
  <c r="J25" i="78" s="1"/>
  <c r="C103" i="79" s="1"/>
  <c r="D24" i="78"/>
  <c r="H24" i="78" s="1"/>
  <c r="C88" i="79" s="1"/>
  <c r="D23" i="78"/>
  <c r="I23" i="78" s="1"/>
  <c r="D22" i="78"/>
  <c r="F22" i="78" s="1"/>
  <c r="C72" i="79" s="1"/>
  <c r="P19" i="78"/>
  <c r="R30" i="78" s="1"/>
  <c r="C16" i="78"/>
  <c r="D15" i="78"/>
  <c r="D14" i="78"/>
  <c r="D13" i="78"/>
  <c r="C10" i="78"/>
  <c r="D9" i="78"/>
  <c r="J9" i="78" s="1"/>
  <c r="D8" i="78"/>
  <c r="J8" i="78" s="1"/>
  <c r="D7" i="78"/>
  <c r="I7" i="78" s="1"/>
  <c r="D6" i="78"/>
  <c r="H6" i="78" s="1"/>
  <c r="P3" i="78"/>
  <c r="M184" i="64"/>
  <c r="F184" i="64"/>
  <c r="E184" i="64"/>
  <c r="D184" i="64"/>
  <c r="M183" i="64"/>
  <c r="L183" i="64"/>
  <c r="K183" i="64"/>
  <c r="J183" i="64"/>
  <c r="I183" i="64"/>
  <c r="H183" i="64"/>
  <c r="G183" i="64"/>
  <c r="C183" i="64"/>
  <c r="B183" i="64"/>
  <c r="M182" i="64"/>
  <c r="L182" i="64"/>
  <c r="K182" i="64"/>
  <c r="J182" i="64"/>
  <c r="I182" i="64"/>
  <c r="H182" i="64"/>
  <c r="G182" i="64"/>
  <c r="C182" i="64"/>
  <c r="B182" i="64"/>
  <c r="M180" i="64"/>
  <c r="M179" i="64"/>
  <c r="L179" i="64"/>
  <c r="K179" i="64"/>
  <c r="J179" i="64"/>
  <c r="I179" i="64"/>
  <c r="H179" i="64"/>
  <c r="G179" i="64"/>
  <c r="F179" i="64"/>
  <c r="E179" i="64"/>
  <c r="D179" i="64"/>
  <c r="C179" i="64"/>
  <c r="B179" i="64"/>
  <c r="M178" i="64"/>
  <c r="L178" i="64"/>
  <c r="K178" i="64"/>
  <c r="J178" i="64"/>
  <c r="I178" i="64"/>
  <c r="H178" i="64"/>
  <c r="G178" i="64"/>
  <c r="F178" i="64"/>
  <c r="E178" i="64"/>
  <c r="D178" i="64"/>
  <c r="C178" i="64"/>
  <c r="B178" i="64"/>
  <c r="M177" i="64"/>
  <c r="L177" i="64"/>
  <c r="K177" i="64"/>
  <c r="J177" i="64"/>
  <c r="I177" i="64"/>
  <c r="H177" i="64"/>
  <c r="G177" i="64"/>
  <c r="F177" i="64"/>
  <c r="E177" i="64"/>
  <c r="D177" i="64"/>
  <c r="C177" i="64"/>
  <c r="B177" i="64"/>
  <c r="M176" i="64"/>
  <c r="L176" i="64"/>
  <c r="K176" i="64"/>
  <c r="J176" i="64"/>
  <c r="I176" i="64"/>
  <c r="H176" i="64"/>
  <c r="G176" i="64"/>
  <c r="F176" i="64"/>
  <c r="E176" i="64"/>
  <c r="D176" i="64"/>
  <c r="C176" i="64"/>
  <c r="B176" i="64"/>
  <c r="M175" i="64"/>
  <c r="L175" i="64"/>
  <c r="K175" i="64"/>
  <c r="J175" i="64"/>
  <c r="I175" i="64"/>
  <c r="H175" i="64"/>
  <c r="G175" i="64"/>
  <c r="F175" i="64"/>
  <c r="E175" i="64"/>
  <c r="D175" i="64"/>
  <c r="C175" i="64"/>
  <c r="B175" i="64"/>
  <c r="M174" i="64"/>
  <c r="L174" i="64"/>
  <c r="K174" i="64"/>
  <c r="J174" i="64"/>
  <c r="I174" i="64"/>
  <c r="H174" i="64"/>
  <c r="G174" i="64"/>
  <c r="F174" i="64"/>
  <c r="E174" i="64"/>
  <c r="D174" i="64"/>
  <c r="C174" i="64"/>
  <c r="B174" i="64"/>
  <c r="C170" i="64"/>
  <c r="B170" i="64"/>
  <c r="N169" i="64"/>
  <c r="M169" i="64"/>
  <c r="L169" i="64"/>
  <c r="I169" i="64"/>
  <c r="H169" i="64"/>
  <c r="K169" i="64" s="1"/>
  <c r="G169" i="64"/>
  <c r="J169" i="64" s="1"/>
  <c r="F169" i="64"/>
  <c r="E169" i="64"/>
  <c r="D169" i="64"/>
  <c r="N168" i="64"/>
  <c r="M168" i="64"/>
  <c r="L168" i="64"/>
  <c r="I168" i="64"/>
  <c r="H168" i="64"/>
  <c r="G168" i="64"/>
  <c r="J168" i="64" s="1"/>
  <c r="F168" i="64"/>
  <c r="E168" i="64"/>
  <c r="D168" i="64"/>
  <c r="C166" i="64"/>
  <c r="B166" i="64"/>
  <c r="N165" i="64"/>
  <c r="M165" i="64"/>
  <c r="L165" i="64"/>
  <c r="I165" i="64"/>
  <c r="H165" i="64"/>
  <c r="K165" i="64" s="1"/>
  <c r="G165" i="64"/>
  <c r="J165" i="64" s="1"/>
  <c r="F165" i="64"/>
  <c r="E165" i="64"/>
  <c r="D165" i="64"/>
  <c r="N164" i="64"/>
  <c r="M164" i="64"/>
  <c r="L164" i="64"/>
  <c r="I164" i="64"/>
  <c r="H164" i="64"/>
  <c r="K164" i="64" s="1"/>
  <c r="G164" i="64"/>
  <c r="J164" i="64" s="1"/>
  <c r="F164" i="64"/>
  <c r="E164" i="64"/>
  <c r="D164" i="64"/>
  <c r="N163" i="64"/>
  <c r="M163" i="64"/>
  <c r="L163" i="64"/>
  <c r="I163" i="64"/>
  <c r="H163" i="64"/>
  <c r="K163" i="64" s="1"/>
  <c r="G163" i="64"/>
  <c r="J163" i="64" s="1"/>
  <c r="F163" i="64"/>
  <c r="E163" i="64"/>
  <c r="D163" i="64"/>
  <c r="N162" i="64"/>
  <c r="M162" i="64"/>
  <c r="L162" i="64"/>
  <c r="I162" i="64"/>
  <c r="H162" i="64"/>
  <c r="K162" i="64" s="1"/>
  <c r="G162" i="64"/>
  <c r="J162" i="64" s="1"/>
  <c r="F162" i="64"/>
  <c r="E162" i="64"/>
  <c r="D162" i="64"/>
  <c r="N161" i="64"/>
  <c r="M161" i="64"/>
  <c r="L161" i="64"/>
  <c r="I161" i="64"/>
  <c r="H161" i="64"/>
  <c r="K161" i="64" s="1"/>
  <c r="G161" i="64"/>
  <c r="J161" i="64" s="1"/>
  <c r="F161" i="64"/>
  <c r="E161" i="64"/>
  <c r="D161" i="64"/>
  <c r="N160" i="64"/>
  <c r="M160" i="64"/>
  <c r="L160" i="64"/>
  <c r="I160" i="64"/>
  <c r="H160" i="64"/>
  <c r="K160" i="64" s="1"/>
  <c r="G160" i="64"/>
  <c r="F160" i="64"/>
  <c r="E160" i="64"/>
  <c r="D160" i="64"/>
  <c r="I155" i="64"/>
  <c r="H155" i="64"/>
  <c r="G155" i="64"/>
  <c r="F155" i="64"/>
  <c r="D155" i="64"/>
  <c r="I154" i="64"/>
  <c r="H154" i="64"/>
  <c r="G154" i="64"/>
  <c r="F154" i="64"/>
  <c r="D154" i="64"/>
  <c r="I151" i="64"/>
  <c r="H151" i="64"/>
  <c r="K151" i="64" s="1"/>
  <c r="G151" i="64"/>
  <c r="J151" i="64" s="1"/>
  <c r="F151" i="64"/>
  <c r="D151" i="64"/>
  <c r="I150" i="64"/>
  <c r="H150" i="64"/>
  <c r="K150" i="64" s="1"/>
  <c r="G150" i="64"/>
  <c r="J150" i="64" s="1"/>
  <c r="F150" i="64"/>
  <c r="E150" i="64"/>
  <c r="D150" i="64"/>
  <c r="I149" i="64"/>
  <c r="H149" i="64"/>
  <c r="G149" i="64"/>
  <c r="F149" i="64"/>
  <c r="D149" i="64"/>
  <c r="I148" i="64"/>
  <c r="H148" i="64"/>
  <c r="G148" i="64"/>
  <c r="F148" i="64"/>
  <c r="D148" i="64"/>
  <c r="I147" i="64"/>
  <c r="H147" i="64"/>
  <c r="G147" i="64"/>
  <c r="F147" i="64"/>
  <c r="D147" i="64"/>
  <c r="I146" i="64"/>
  <c r="H146" i="64"/>
  <c r="G146" i="64"/>
  <c r="F146" i="64"/>
  <c r="E146" i="64"/>
  <c r="D146" i="64"/>
  <c r="P141" i="64"/>
  <c r="O141" i="64"/>
  <c r="N141" i="64"/>
  <c r="M141" i="64"/>
  <c r="L141" i="64"/>
  <c r="I141" i="64"/>
  <c r="H141" i="64"/>
  <c r="G141" i="64"/>
  <c r="F141" i="64"/>
  <c r="D141" i="64"/>
  <c r="C141" i="64"/>
  <c r="B141" i="64"/>
  <c r="P140" i="64"/>
  <c r="O140" i="64"/>
  <c r="N140" i="64"/>
  <c r="M140" i="64"/>
  <c r="L140" i="64"/>
  <c r="I140" i="64"/>
  <c r="H140" i="64"/>
  <c r="G140" i="64"/>
  <c r="F140" i="64"/>
  <c r="D140" i="64"/>
  <c r="C140" i="64"/>
  <c r="B140" i="64"/>
  <c r="P137" i="64"/>
  <c r="O137" i="64"/>
  <c r="N137" i="64"/>
  <c r="M137" i="64"/>
  <c r="L137" i="64"/>
  <c r="I137" i="64"/>
  <c r="H137" i="64"/>
  <c r="G137" i="64"/>
  <c r="F137" i="64"/>
  <c r="D137" i="64"/>
  <c r="C137" i="64"/>
  <c r="B137" i="64"/>
  <c r="P136" i="64"/>
  <c r="O136" i="64"/>
  <c r="N136" i="64"/>
  <c r="M136" i="64"/>
  <c r="L136" i="64"/>
  <c r="I136" i="64"/>
  <c r="H136" i="64"/>
  <c r="G136" i="64"/>
  <c r="F136" i="64"/>
  <c r="E136" i="64"/>
  <c r="D136" i="64"/>
  <c r="C136" i="64"/>
  <c r="B136" i="64"/>
  <c r="P135" i="64"/>
  <c r="O135" i="64"/>
  <c r="N135" i="64"/>
  <c r="M135" i="64"/>
  <c r="L135" i="64"/>
  <c r="I135" i="64"/>
  <c r="H135" i="64"/>
  <c r="G135" i="64"/>
  <c r="F135" i="64"/>
  <c r="D135" i="64"/>
  <c r="C135" i="64"/>
  <c r="B135" i="64"/>
  <c r="P134" i="64"/>
  <c r="O134" i="64"/>
  <c r="N134" i="64"/>
  <c r="M134" i="64"/>
  <c r="L134" i="64"/>
  <c r="I134" i="64"/>
  <c r="H134" i="64"/>
  <c r="G134" i="64"/>
  <c r="F134" i="64"/>
  <c r="D134" i="64"/>
  <c r="C134" i="64"/>
  <c r="B134" i="64"/>
  <c r="P133" i="64"/>
  <c r="O133" i="64"/>
  <c r="N133" i="64"/>
  <c r="M133" i="64"/>
  <c r="L133" i="64"/>
  <c r="I133" i="64"/>
  <c r="H133" i="64"/>
  <c r="G133" i="64"/>
  <c r="F133" i="64"/>
  <c r="D133" i="64"/>
  <c r="C133" i="64"/>
  <c r="B133" i="64"/>
  <c r="P132" i="64"/>
  <c r="O132" i="64"/>
  <c r="N132" i="64"/>
  <c r="M132" i="64"/>
  <c r="L132" i="64"/>
  <c r="I132" i="64"/>
  <c r="H132" i="64"/>
  <c r="G132" i="64"/>
  <c r="F132" i="64"/>
  <c r="E132" i="64"/>
  <c r="D132" i="64"/>
  <c r="C132" i="64"/>
  <c r="B132" i="64"/>
  <c r="P127" i="64"/>
  <c r="O127" i="64"/>
  <c r="N127" i="64"/>
  <c r="M127" i="64"/>
  <c r="L127" i="64"/>
  <c r="I127" i="64"/>
  <c r="H127" i="64"/>
  <c r="G127" i="64"/>
  <c r="F127" i="64"/>
  <c r="D127" i="64"/>
  <c r="C127" i="64"/>
  <c r="B127" i="64"/>
  <c r="P126" i="64"/>
  <c r="O126" i="64"/>
  <c r="N126" i="64"/>
  <c r="M126" i="64"/>
  <c r="L126" i="64"/>
  <c r="I126" i="64"/>
  <c r="H126" i="64"/>
  <c r="G126" i="64"/>
  <c r="F126" i="64"/>
  <c r="D126" i="64"/>
  <c r="C126" i="64"/>
  <c r="B126" i="64"/>
  <c r="P123" i="64"/>
  <c r="O123" i="64"/>
  <c r="N123" i="64"/>
  <c r="M123" i="64"/>
  <c r="L123" i="64"/>
  <c r="I123" i="64"/>
  <c r="H123" i="64"/>
  <c r="G123" i="64"/>
  <c r="F123" i="64"/>
  <c r="D123" i="64"/>
  <c r="C123" i="64"/>
  <c r="B123" i="64"/>
  <c r="P122" i="64"/>
  <c r="O122" i="64"/>
  <c r="N122" i="64"/>
  <c r="M122" i="64"/>
  <c r="L122" i="64"/>
  <c r="I122" i="64"/>
  <c r="H122" i="64"/>
  <c r="G122" i="64"/>
  <c r="F122" i="64"/>
  <c r="E122" i="64"/>
  <c r="D122" i="64"/>
  <c r="C122" i="64"/>
  <c r="B122" i="64"/>
  <c r="P121" i="64"/>
  <c r="O121" i="64"/>
  <c r="N121" i="64"/>
  <c r="M121" i="64"/>
  <c r="L121" i="64"/>
  <c r="I121" i="64"/>
  <c r="H121" i="64"/>
  <c r="G121" i="64"/>
  <c r="F121" i="64"/>
  <c r="D121" i="64"/>
  <c r="C121" i="64"/>
  <c r="B121" i="64"/>
  <c r="P120" i="64"/>
  <c r="O120" i="64"/>
  <c r="N120" i="64"/>
  <c r="M120" i="64"/>
  <c r="L120" i="64"/>
  <c r="I120" i="64"/>
  <c r="H120" i="64"/>
  <c r="G120" i="64"/>
  <c r="F120" i="64"/>
  <c r="D120" i="64"/>
  <c r="C120" i="64"/>
  <c r="B120" i="64"/>
  <c r="P119" i="64"/>
  <c r="O119" i="64"/>
  <c r="N119" i="64"/>
  <c r="M119" i="64"/>
  <c r="L119" i="64"/>
  <c r="I119" i="64"/>
  <c r="H119" i="64"/>
  <c r="G119" i="64"/>
  <c r="F119" i="64"/>
  <c r="D119" i="64"/>
  <c r="C119" i="64"/>
  <c r="B119" i="64"/>
  <c r="P118" i="64"/>
  <c r="O118" i="64"/>
  <c r="N118" i="64"/>
  <c r="M118" i="64"/>
  <c r="L118" i="64"/>
  <c r="I118" i="64"/>
  <c r="H118" i="64"/>
  <c r="G118" i="64"/>
  <c r="F118" i="64"/>
  <c r="E118" i="64"/>
  <c r="D118" i="64"/>
  <c r="C118" i="64"/>
  <c r="B118" i="64"/>
  <c r="U110" i="64"/>
  <c r="U109" i="64"/>
  <c r="U108" i="64"/>
  <c r="U107" i="64"/>
  <c r="U106" i="64"/>
  <c r="U105" i="64"/>
  <c r="U104" i="64"/>
  <c r="U103" i="64"/>
  <c r="U102" i="64"/>
  <c r="U101" i="64"/>
  <c r="U100" i="64"/>
  <c r="U99" i="64"/>
  <c r="U98" i="64"/>
  <c r="U97" i="64"/>
  <c r="U96" i="64"/>
  <c r="U95" i="64"/>
  <c r="U94" i="64"/>
  <c r="U93" i="64"/>
  <c r="U92" i="64"/>
  <c r="U91" i="64"/>
  <c r="U90" i="64"/>
  <c r="U89" i="64"/>
  <c r="U88" i="64"/>
  <c r="U87" i="64"/>
  <c r="U86" i="64"/>
  <c r="U85" i="64"/>
  <c r="U84" i="64"/>
  <c r="U83" i="64"/>
  <c r="U82" i="64"/>
  <c r="U81" i="64"/>
  <c r="U80" i="64"/>
  <c r="U79" i="64"/>
  <c r="U78" i="64"/>
  <c r="U77" i="64"/>
  <c r="U76" i="64"/>
  <c r="U75" i="64"/>
  <c r="U74" i="64"/>
  <c r="U73" i="64"/>
  <c r="U72" i="64"/>
  <c r="U71" i="64"/>
  <c r="U70" i="64"/>
  <c r="U69" i="64"/>
  <c r="U68" i="64"/>
  <c r="U67" i="64"/>
  <c r="U66" i="64"/>
  <c r="U65" i="64"/>
  <c r="U64" i="64"/>
  <c r="U63" i="64"/>
  <c r="U62" i="64"/>
  <c r="U61" i="64"/>
  <c r="U60" i="64"/>
  <c r="U59" i="64"/>
  <c r="U58" i="64"/>
  <c r="U57" i="64"/>
  <c r="U56" i="64"/>
  <c r="U55" i="64"/>
  <c r="U54" i="64"/>
  <c r="U53" i="64"/>
  <c r="U52" i="64"/>
  <c r="U51" i="64"/>
  <c r="U50" i="64"/>
  <c r="U49" i="64"/>
  <c r="U48" i="64"/>
  <c r="U47" i="64"/>
  <c r="U46" i="64"/>
  <c r="U45" i="64"/>
  <c r="U44" i="64"/>
  <c r="U43" i="64"/>
  <c r="U42" i="64"/>
  <c r="U41" i="64"/>
  <c r="U40" i="64"/>
  <c r="U39" i="64"/>
  <c r="U38" i="64"/>
  <c r="U37" i="64"/>
  <c r="U36" i="64"/>
  <c r="U35" i="64"/>
  <c r="U34" i="64"/>
  <c r="U33" i="64"/>
  <c r="U32" i="64"/>
  <c r="U31" i="64"/>
  <c r="U30" i="64"/>
  <c r="U29" i="64"/>
  <c r="U28" i="64"/>
  <c r="U27" i="64"/>
  <c r="U26" i="64"/>
  <c r="U25" i="64"/>
  <c r="U24" i="64"/>
  <c r="U23" i="64"/>
  <c r="U22" i="64"/>
  <c r="U21" i="64"/>
  <c r="U20" i="64"/>
  <c r="U19" i="64"/>
  <c r="U18" i="64"/>
  <c r="U17" i="64"/>
  <c r="U16" i="64"/>
  <c r="U15" i="64"/>
  <c r="U14" i="64"/>
  <c r="U13" i="64"/>
  <c r="U12" i="64"/>
  <c r="U11" i="64"/>
  <c r="U10" i="64"/>
  <c r="U9" i="64"/>
  <c r="U8" i="64"/>
  <c r="U7" i="64"/>
  <c r="U6" i="64"/>
  <c r="U5" i="64"/>
  <c r="U4" i="64"/>
  <c r="U3" i="64"/>
  <c r="N185" i="63"/>
  <c r="G185" i="63"/>
  <c r="F185" i="63"/>
  <c r="E185" i="63"/>
  <c r="N184" i="63"/>
  <c r="M184" i="63"/>
  <c r="L184" i="63"/>
  <c r="K184" i="63"/>
  <c r="J184" i="63"/>
  <c r="I184" i="63"/>
  <c r="H184" i="63"/>
  <c r="D184" i="63"/>
  <c r="C184" i="63"/>
  <c r="B184" i="63"/>
  <c r="N183" i="63"/>
  <c r="M183" i="63"/>
  <c r="L183" i="63"/>
  <c r="K183" i="63"/>
  <c r="J183" i="63"/>
  <c r="I183" i="63"/>
  <c r="H183" i="63"/>
  <c r="D183" i="63"/>
  <c r="C183" i="63"/>
  <c r="B183" i="63"/>
  <c r="N181" i="63"/>
  <c r="N180" i="63"/>
  <c r="M180" i="63"/>
  <c r="L180" i="63"/>
  <c r="K180" i="63"/>
  <c r="J180" i="63"/>
  <c r="I180" i="63"/>
  <c r="H180" i="63"/>
  <c r="G180" i="63"/>
  <c r="F180" i="63"/>
  <c r="E180" i="63"/>
  <c r="D180" i="63"/>
  <c r="C180" i="63"/>
  <c r="B180" i="63"/>
  <c r="N179" i="63"/>
  <c r="M179" i="63"/>
  <c r="L179" i="63"/>
  <c r="K179" i="63"/>
  <c r="J179" i="63"/>
  <c r="I179" i="63"/>
  <c r="H179" i="63"/>
  <c r="G179" i="63"/>
  <c r="F179" i="63"/>
  <c r="E179" i="63"/>
  <c r="D179" i="63"/>
  <c r="C179" i="63"/>
  <c r="B179" i="63"/>
  <c r="N178" i="63"/>
  <c r="M178" i="63"/>
  <c r="L178" i="63"/>
  <c r="K178" i="63"/>
  <c r="J178" i="63"/>
  <c r="I178" i="63"/>
  <c r="H178" i="63"/>
  <c r="G178" i="63"/>
  <c r="F178" i="63"/>
  <c r="E178" i="63"/>
  <c r="D178" i="63"/>
  <c r="C178" i="63"/>
  <c r="B178" i="63"/>
  <c r="N177" i="63"/>
  <c r="M177" i="63"/>
  <c r="L177" i="63"/>
  <c r="K177" i="63"/>
  <c r="J177" i="63"/>
  <c r="I177" i="63"/>
  <c r="H177" i="63"/>
  <c r="G177" i="63"/>
  <c r="F177" i="63"/>
  <c r="E177" i="63"/>
  <c r="D177" i="63"/>
  <c r="C177" i="63"/>
  <c r="B177" i="63"/>
  <c r="N176" i="63"/>
  <c r="M176" i="63"/>
  <c r="L176" i="63"/>
  <c r="K176" i="63"/>
  <c r="J176" i="63"/>
  <c r="I176" i="63"/>
  <c r="H176" i="63"/>
  <c r="G176" i="63"/>
  <c r="F176" i="63"/>
  <c r="E176" i="63"/>
  <c r="D176" i="63"/>
  <c r="C176" i="63"/>
  <c r="B176" i="63"/>
  <c r="N175" i="63"/>
  <c r="M175" i="63"/>
  <c r="L175" i="63"/>
  <c r="K175" i="63"/>
  <c r="J175" i="63"/>
  <c r="I175" i="63"/>
  <c r="H175" i="63"/>
  <c r="G175" i="63"/>
  <c r="F175" i="63"/>
  <c r="E175" i="63"/>
  <c r="D175" i="63"/>
  <c r="C175" i="63"/>
  <c r="B175" i="63"/>
  <c r="D170" i="63"/>
  <c r="C170" i="63"/>
  <c r="B170" i="63"/>
  <c r="O169" i="63"/>
  <c r="N169" i="63"/>
  <c r="M169" i="63"/>
  <c r="J169" i="63"/>
  <c r="I169" i="63"/>
  <c r="L169" i="63" s="1"/>
  <c r="H169" i="63"/>
  <c r="K169" i="63" s="1"/>
  <c r="G169" i="63"/>
  <c r="F169" i="63"/>
  <c r="E169" i="63"/>
  <c r="O168" i="63"/>
  <c r="N168" i="63"/>
  <c r="M168" i="63"/>
  <c r="J168" i="63"/>
  <c r="I168" i="63"/>
  <c r="H168" i="63"/>
  <c r="K168" i="63" s="1"/>
  <c r="G168" i="63"/>
  <c r="E168" i="63"/>
  <c r="D166" i="63"/>
  <c r="C166" i="63"/>
  <c r="B166" i="63"/>
  <c r="O165" i="63"/>
  <c r="N165" i="63"/>
  <c r="M165" i="63"/>
  <c r="J165" i="63"/>
  <c r="I165" i="63"/>
  <c r="L165" i="63" s="1"/>
  <c r="H165" i="63"/>
  <c r="K165" i="63" s="1"/>
  <c r="G165" i="63"/>
  <c r="F165" i="63"/>
  <c r="E165" i="63"/>
  <c r="O164" i="63"/>
  <c r="N164" i="63"/>
  <c r="M164" i="63"/>
  <c r="J164" i="63"/>
  <c r="I164" i="63"/>
  <c r="L164" i="63" s="1"/>
  <c r="H164" i="63"/>
  <c r="K164" i="63" s="1"/>
  <c r="G164" i="63"/>
  <c r="F164" i="63"/>
  <c r="E164" i="63"/>
  <c r="O163" i="63"/>
  <c r="N163" i="63"/>
  <c r="M163" i="63"/>
  <c r="J163" i="63"/>
  <c r="I163" i="63"/>
  <c r="L163" i="63" s="1"/>
  <c r="H163" i="63"/>
  <c r="K163" i="63" s="1"/>
  <c r="G163" i="63"/>
  <c r="F163" i="63"/>
  <c r="E163" i="63"/>
  <c r="O162" i="63"/>
  <c r="N162" i="63"/>
  <c r="M162" i="63"/>
  <c r="J162" i="63"/>
  <c r="I162" i="63"/>
  <c r="L162" i="63" s="1"/>
  <c r="H162" i="63"/>
  <c r="K162" i="63" s="1"/>
  <c r="G162" i="63"/>
  <c r="F162" i="63"/>
  <c r="E162" i="63"/>
  <c r="O161" i="63"/>
  <c r="N161" i="63"/>
  <c r="M161" i="63"/>
  <c r="J161" i="63"/>
  <c r="I161" i="63"/>
  <c r="L161" i="63" s="1"/>
  <c r="H161" i="63"/>
  <c r="K161" i="63" s="1"/>
  <c r="G161" i="63"/>
  <c r="E161" i="63"/>
  <c r="O160" i="63"/>
  <c r="N160" i="63"/>
  <c r="M160" i="63"/>
  <c r="J160" i="63"/>
  <c r="I160" i="63"/>
  <c r="H160" i="63"/>
  <c r="K160" i="63" s="1"/>
  <c r="G160" i="63"/>
  <c r="F160" i="63"/>
  <c r="E160" i="63"/>
  <c r="D156" i="63"/>
  <c r="J155" i="63"/>
  <c r="I155" i="63"/>
  <c r="H155" i="63"/>
  <c r="G155" i="63"/>
  <c r="E155" i="63"/>
  <c r="B155" i="63"/>
  <c r="J154" i="63"/>
  <c r="I154" i="63"/>
  <c r="H154" i="63"/>
  <c r="G154" i="63"/>
  <c r="E154" i="63"/>
  <c r="B154" i="63"/>
  <c r="D152" i="63"/>
  <c r="J151" i="63"/>
  <c r="I151" i="63"/>
  <c r="L151" i="63" s="1"/>
  <c r="H151" i="63"/>
  <c r="K151" i="63" s="1"/>
  <c r="G151" i="63"/>
  <c r="E151" i="63"/>
  <c r="J150" i="63"/>
  <c r="I150" i="63"/>
  <c r="L150" i="63" s="1"/>
  <c r="H150" i="63"/>
  <c r="K150" i="63" s="1"/>
  <c r="G150" i="63"/>
  <c r="F150" i="63"/>
  <c r="E150" i="63"/>
  <c r="J149" i="63"/>
  <c r="I149" i="63"/>
  <c r="H149" i="63"/>
  <c r="G149" i="63"/>
  <c r="E149" i="63"/>
  <c r="B149" i="63"/>
  <c r="J148" i="63"/>
  <c r="I148" i="63"/>
  <c r="H148" i="63"/>
  <c r="G148" i="63"/>
  <c r="E148" i="63"/>
  <c r="B148" i="63"/>
  <c r="J147" i="63"/>
  <c r="I147" i="63"/>
  <c r="H147" i="63"/>
  <c r="G147" i="63"/>
  <c r="F147" i="63"/>
  <c r="E147" i="63"/>
  <c r="B147" i="63"/>
  <c r="J146" i="63"/>
  <c r="I146" i="63"/>
  <c r="H146" i="63"/>
  <c r="G146" i="63"/>
  <c r="E146" i="63"/>
  <c r="B146" i="63"/>
  <c r="D142" i="63"/>
  <c r="Q141" i="63"/>
  <c r="P141" i="63"/>
  <c r="O141" i="63"/>
  <c r="N141" i="63"/>
  <c r="M141" i="63"/>
  <c r="J141" i="63"/>
  <c r="I141" i="63"/>
  <c r="H141" i="63"/>
  <c r="G141" i="63"/>
  <c r="E141" i="63"/>
  <c r="C141" i="63"/>
  <c r="B141" i="63"/>
  <c r="Q140" i="63"/>
  <c r="P140" i="63"/>
  <c r="O140" i="63"/>
  <c r="N140" i="63"/>
  <c r="M140" i="63"/>
  <c r="J140" i="63"/>
  <c r="I140" i="63"/>
  <c r="H140" i="63"/>
  <c r="G140" i="63"/>
  <c r="E140" i="63"/>
  <c r="C140" i="63"/>
  <c r="B140" i="63"/>
  <c r="D138" i="63"/>
  <c r="Q137" i="63"/>
  <c r="P137" i="63"/>
  <c r="O137" i="63"/>
  <c r="N137" i="63"/>
  <c r="M137" i="63"/>
  <c r="J137" i="63"/>
  <c r="I137" i="63"/>
  <c r="H137" i="63"/>
  <c r="G137" i="63"/>
  <c r="E137" i="63"/>
  <c r="C137" i="63"/>
  <c r="B137" i="63"/>
  <c r="Q136" i="63"/>
  <c r="P136" i="63"/>
  <c r="O136" i="63"/>
  <c r="N136" i="63"/>
  <c r="M136" i="63"/>
  <c r="J136" i="63"/>
  <c r="I136" i="63"/>
  <c r="H136" i="63"/>
  <c r="G136" i="63"/>
  <c r="F136" i="63"/>
  <c r="E136" i="63"/>
  <c r="C136" i="63"/>
  <c r="B136" i="63"/>
  <c r="Q135" i="63"/>
  <c r="P135" i="63"/>
  <c r="O135" i="63"/>
  <c r="N135" i="63"/>
  <c r="M135" i="63"/>
  <c r="J135" i="63"/>
  <c r="I135" i="63"/>
  <c r="H135" i="63"/>
  <c r="G135" i="63"/>
  <c r="E135" i="63"/>
  <c r="C135" i="63"/>
  <c r="B135" i="63"/>
  <c r="Q134" i="63"/>
  <c r="P134" i="63"/>
  <c r="O134" i="63"/>
  <c r="N134" i="63"/>
  <c r="M134" i="63"/>
  <c r="J134" i="63"/>
  <c r="I134" i="63"/>
  <c r="H134" i="63"/>
  <c r="G134" i="63"/>
  <c r="E134" i="63"/>
  <c r="C134" i="63"/>
  <c r="B134" i="63"/>
  <c r="Q133" i="63"/>
  <c r="P133" i="63"/>
  <c r="O133" i="63"/>
  <c r="N133" i="63"/>
  <c r="M133" i="63"/>
  <c r="J133" i="63"/>
  <c r="I133" i="63"/>
  <c r="H133" i="63"/>
  <c r="G133" i="63"/>
  <c r="E133" i="63"/>
  <c r="C133" i="63"/>
  <c r="B133" i="63"/>
  <c r="Q132" i="63"/>
  <c r="P132" i="63"/>
  <c r="O132" i="63"/>
  <c r="N132" i="63"/>
  <c r="M132" i="63"/>
  <c r="J132" i="63"/>
  <c r="I132" i="63"/>
  <c r="H132" i="63"/>
  <c r="G132" i="63"/>
  <c r="F132" i="63"/>
  <c r="E132" i="63"/>
  <c r="C132" i="63"/>
  <c r="B132" i="63"/>
  <c r="D128" i="63"/>
  <c r="Q127" i="63"/>
  <c r="P127" i="63"/>
  <c r="O127" i="63"/>
  <c r="N127" i="63"/>
  <c r="M127" i="63"/>
  <c r="J127" i="63"/>
  <c r="I127" i="63"/>
  <c r="H127" i="63"/>
  <c r="G127" i="63"/>
  <c r="E127" i="63"/>
  <c r="C127" i="63"/>
  <c r="B127" i="63"/>
  <c r="Q126" i="63"/>
  <c r="P126" i="63"/>
  <c r="O126" i="63"/>
  <c r="N126" i="63"/>
  <c r="M126" i="63"/>
  <c r="J126" i="63"/>
  <c r="I126" i="63"/>
  <c r="H126" i="63"/>
  <c r="G126" i="63"/>
  <c r="E126" i="63"/>
  <c r="C126" i="63"/>
  <c r="B126" i="63"/>
  <c r="D124" i="63"/>
  <c r="Q123" i="63"/>
  <c r="P123" i="63"/>
  <c r="O123" i="63"/>
  <c r="N123" i="63"/>
  <c r="M123" i="63"/>
  <c r="J123" i="63"/>
  <c r="I123" i="63"/>
  <c r="H123" i="63"/>
  <c r="G123" i="63"/>
  <c r="E123" i="63"/>
  <c r="C123" i="63"/>
  <c r="B123" i="63"/>
  <c r="Q122" i="63"/>
  <c r="P122" i="63"/>
  <c r="O122" i="63"/>
  <c r="N122" i="63"/>
  <c r="M122" i="63"/>
  <c r="J122" i="63"/>
  <c r="I122" i="63"/>
  <c r="H122" i="63"/>
  <c r="G122" i="63"/>
  <c r="F122" i="63"/>
  <c r="E122" i="63"/>
  <c r="C122" i="63"/>
  <c r="B122" i="63"/>
  <c r="Q121" i="63"/>
  <c r="P121" i="63"/>
  <c r="O121" i="63"/>
  <c r="N121" i="63"/>
  <c r="M121" i="63"/>
  <c r="J121" i="63"/>
  <c r="I121" i="63"/>
  <c r="H121" i="63"/>
  <c r="G121" i="63"/>
  <c r="E121" i="63"/>
  <c r="C121" i="63"/>
  <c r="B121" i="63"/>
  <c r="Q120" i="63"/>
  <c r="P120" i="63"/>
  <c r="O120" i="63"/>
  <c r="N120" i="63"/>
  <c r="M120" i="63"/>
  <c r="J120" i="63"/>
  <c r="I120" i="63"/>
  <c r="H120" i="63"/>
  <c r="G120" i="63"/>
  <c r="E120" i="63"/>
  <c r="C120" i="63"/>
  <c r="B120" i="63"/>
  <c r="Q119" i="63"/>
  <c r="P119" i="63"/>
  <c r="O119" i="63"/>
  <c r="N119" i="63"/>
  <c r="M119" i="63"/>
  <c r="J119" i="63"/>
  <c r="I119" i="63"/>
  <c r="H119" i="63"/>
  <c r="G119" i="63"/>
  <c r="E119" i="63"/>
  <c r="C119" i="63"/>
  <c r="B119" i="63"/>
  <c r="Q118" i="63"/>
  <c r="P118" i="63"/>
  <c r="O118" i="63"/>
  <c r="N118" i="63"/>
  <c r="M118" i="63"/>
  <c r="J118" i="63"/>
  <c r="I118" i="63"/>
  <c r="H118" i="63"/>
  <c r="G118" i="63"/>
  <c r="F118" i="63"/>
  <c r="E118" i="63"/>
  <c r="C118" i="63"/>
  <c r="B118" i="63"/>
  <c r="U110" i="63"/>
  <c r="U109" i="63"/>
  <c r="U108" i="63"/>
  <c r="U107" i="63"/>
  <c r="U106" i="63"/>
  <c r="U105" i="63"/>
  <c r="U104" i="63"/>
  <c r="U103" i="63"/>
  <c r="U102" i="63"/>
  <c r="U101" i="63"/>
  <c r="U100" i="63"/>
  <c r="U99" i="63"/>
  <c r="U98" i="63"/>
  <c r="U97" i="63"/>
  <c r="U96" i="63"/>
  <c r="U95" i="63"/>
  <c r="U94" i="63"/>
  <c r="U93" i="63"/>
  <c r="U92" i="63"/>
  <c r="U91" i="63"/>
  <c r="U90" i="63"/>
  <c r="U89" i="63"/>
  <c r="U88" i="63"/>
  <c r="U87" i="63"/>
  <c r="U86" i="63"/>
  <c r="U85" i="63"/>
  <c r="U84" i="63"/>
  <c r="U83" i="63"/>
  <c r="U82" i="63"/>
  <c r="U81" i="63"/>
  <c r="U80" i="63"/>
  <c r="U79" i="63"/>
  <c r="U78" i="63"/>
  <c r="U77" i="63"/>
  <c r="U76" i="63"/>
  <c r="U75" i="63"/>
  <c r="U74" i="63"/>
  <c r="U73" i="63"/>
  <c r="U72" i="63"/>
  <c r="U71" i="63"/>
  <c r="U70" i="63"/>
  <c r="U69" i="63"/>
  <c r="U68" i="63"/>
  <c r="U67" i="63"/>
  <c r="U66" i="63"/>
  <c r="U65" i="63"/>
  <c r="U64" i="63"/>
  <c r="U63" i="63"/>
  <c r="U62" i="63"/>
  <c r="U61" i="63"/>
  <c r="U60" i="63"/>
  <c r="U59" i="63"/>
  <c r="U58" i="63"/>
  <c r="U57" i="63"/>
  <c r="U56" i="63"/>
  <c r="U55" i="63"/>
  <c r="U54" i="63"/>
  <c r="U53" i="63"/>
  <c r="U52" i="63"/>
  <c r="U51" i="63"/>
  <c r="U50" i="63"/>
  <c r="U49" i="63"/>
  <c r="U48" i="63"/>
  <c r="U47" i="63"/>
  <c r="U46" i="63"/>
  <c r="U45" i="63"/>
  <c r="U44" i="63"/>
  <c r="U43" i="63"/>
  <c r="U42" i="63"/>
  <c r="U41" i="63"/>
  <c r="U40" i="63"/>
  <c r="U39" i="63"/>
  <c r="U38" i="63"/>
  <c r="U37" i="63"/>
  <c r="U36" i="63"/>
  <c r="U35" i="63"/>
  <c r="U34" i="63"/>
  <c r="U33" i="63"/>
  <c r="U32" i="63"/>
  <c r="U31" i="63"/>
  <c r="U30" i="63"/>
  <c r="F168" i="63" s="1"/>
  <c r="U29" i="63"/>
  <c r="U28" i="63"/>
  <c r="U27" i="63"/>
  <c r="U26" i="63"/>
  <c r="U25" i="63"/>
  <c r="F137" i="63" s="1"/>
  <c r="U24" i="63"/>
  <c r="U23" i="63"/>
  <c r="U22" i="63"/>
  <c r="U21" i="63"/>
  <c r="U20" i="63"/>
  <c r="U19" i="63"/>
  <c r="U18" i="63"/>
  <c r="U17" i="63"/>
  <c r="U16" i="63"/>
  <c r="F121" i="63" s="1"/>
  <c r="U15" i="63"/>
  <c r="U14" i="63"/>
  <c r="U13" i="63"/>
  <c r="U12" i="63"/>
  <c r="F123" i="63" s="1"/>
  <c r="U11" i="63"/>
  <c r="U10" i="63"/>
  <c r="U9" i="63"/>
  <c r="U8" i="63"/>
  <c r="U7" i="63"/>
  <c r="U6" i="63"/>
  <c r="U5" i="63"/>
  <c r="U4" i="63"/>
  <c r="U3" i="63"/>
  <c r="C60" i="67"/>
  <c r="C59" i="67"/>
  <c r="C55" i="67"/>
  <c r="C54" i="67"/>
  <c r="C53" i="67"/>
  <c r="C52" i="67"/>
  <c r="H51" i="67"/>
  <c r="G51" i="67"/>
  <c r="F51" i="67"/>
  <c r="E51" i="67"/>
  <c r="C51" i="67"/>
  <c r="C50" i="67"/>
  <c r="H45" i="67"/>
  <c r="G45" i="67"/>
  <c r="F45" i="67"/>
  <c r="E45" i="67"/>
  <c r="C45" i="67"/>
  <c r="J44" i="67"/>
  <c r="I44" i="67"/>
  <c r="D44" i="67"/>
  <c r="J43" i="67"/>
  <c r="I43" i="67"/>
  <c r="D43" i="67"/>
  <c r="C40" i="67"/>
  <c r="J39" i="67"/>
  <c r="I39" i="67"/>
  <c r="D39" i="67"/>
  <c r="J38" i="67"/>
  <c r="I38" i="67"/>
  <c r="D38" i="67"/>
  <c r="D37" i="67"/>
  <c r="F37" i="67" s="1"/>
  <c r="J36" i="67"/>
  <c r="I36" i="67"/>
  <c r="D36" i="67"/>
  <c r="J35" i="67"/>
  <c r="I35" i="67"/>
  <c r="D35" i="67"/>
  <c r="D51" i="67" s="1"/>
  <c r="C30" i="67"/>
  <c r="D29" i="67"/>
  <c r="D28" i="67"/>
  <c r="C25" i="67"/>
  <c r="D24" i="67"/>
  <c r="G24" i="67" s="1"/>
  <c r="D23" i="67"/>
  <c r="E23" i="67" s="1"/>
  <c r="D22" i="67"/>
  <c r="F22" i="67" s="1"/>
  <c r="D21" i="67"/>
  <c r="F21" i="67" s="1"/>
  <c r="D20" i="67"/>
  <c r="H20" i="67" s="1"/>
  <c r="C15" i="67"/>
  <c r="D14" i="67"/>
  <c r="D13" i="67"/>
  <c r="C10" i="67"/>
  <c r="D9" i="67"/>
  <c r="F9" i="67" s="1"/>
  <c r="D8" i="67"/>
  <c r="G8" i="67" s="1"/>
  <c r="D7" i="67"/>
  <c r="E7" i="67" s="1"/>
  <c r="D6" i="67"/>
  <c r="F6" i="67" s="1"/>
  <c r="D5" i="67"/>
  <c r="H5" i="67" s="1"/>
  <c r="N185" i="62"/>
  <c r="G185" i="62"/>
  <c r="F185" i="62"/>
  <c r="E185" i="62"/>
  <c r="N184" i="62"/>
  <c r="M184" i="62"/>
  <c r="L184" i="62"/>
  <c r="K184" i="62"/>
  <c r="J184" i="62"/>
  <c r="I184" i="62"/>
  <c r="H184" i="62"/>
  <c r="D184" i="62"/>
  <c r="C184" i="62"/>
  <c r="B184" i="62"/>
  <c r="N183" i="62"/>
  <c r="M183" i="62"/>
  <c r="L183" i="62"/>
  <c r="K183" i="62"/>
  <c r="J183" i="62"/>
  <c r="I183" i="62"/>
  <c r="H183" i="62"/>
  <c r="D183" i="62"/>
  <c r="C183" i="62"/>
  <c r="B183" i="62"/>
  <c r="N181" i="62"/>
  <c r="N180" i="62"/>
  <c r="M180" i="62"/>
  <c r="L180" i="62"/>
  <c r="K180" i="62"/>
  <c r="J180" i="62"/>
  <c r="I180" i="62"/>
  <c r="H180" i="62"/>
  <c r="G180" i="62"/>
  <c r="F180" i="62"/>
  <c r="E180" i="62"/>
  <c r="D180" i="62"/>
  <c r="C180" i="62"/>
  <c r="B180" i="62"/>
  <c r="N179" i="62"/>
  <c r="M179" i="62"/>
  <c r="L179" i="62"/>
  <c r="K179" i="62"/>
  <c r="J179" i="62"/>
  <c r="I179" i="62"/>
  <c r="H179" i="62"/>
  <c r="G179" i="62"/>
  <c r="F179" i="62"/>
  <c r="E179" i="62"/>
  <c r="D179" i="62"/>
  <c r="C179" i="62"/>
  <c r="B179" i="62"/>
  <c r="N178" i="62"/>
  <c r="M178" i="62"/>
  <c r="L178" i="62"/>
  <c r="K178" i="62"/>
  <c r="J178" i="62"/>
  <c r="I178" i="62"/>
  <c r="H178" i="62"/>
  <c r="G178" i="62"/>
  <c r="F178" i="62"/>
  <c r="E178" i="62"/>
  <c r="D178" i="62"/>
  <c r="C178" i="62"/>
  <c r="B178" i="62"/>
  <c r="N177" i="62"/>
  <c r="M177" i="62"/>
  <c r="L177" i="62"/>
  <c r="K177" i="62"/>
  <c r="J177" i="62"/>
  <c r="I177" i="62"/>
  <c r="H177" i="62"/>
  <c r="G177" i="62"/>
  <c r="F177" i="62"/>
  <c r="E177" i="62"/>
  <c r="D177" i="62"/>
  <c r="C177" i="62"/>
  <c r="B177" i="62"/>
  <c r="N176" i="62"/>
  <c r="M176" i="62"/>
  <c r="L176" i="62"/>
  <c r="K176" i="62"/>
  <c r="J176" i="62"/>
  <c r="I176" i="62"/>
  <c r="H176" i="62"/>
  <c r="G176" i="62"/>
  <c r="F176" i="62"/>
  <c r="E176" i="62"/>
  <c r="D176" i="62"/>
  <c r="C176" i="62"/>
  <c r="B176" i="62"/>
  <c r="N175" i="62"/>
  <c r="M175" i="62"/>
  <c r="L175" i="62"/>
  <c r="K175" i="62"/>
  <c r="J175" i="62"/>
  <c r="I175" i="62"/>
  <c r="H175" i="62"/>
  <c r="G175" i="62"/>
  <c r="F175" i="62"/>
  <c r="E175" i="62"/>
  <c r="D175" i="62"/>
  <c r="C175" i="62"/>
  <c r="B175" i="62"/>
  <c r="D170" i="62"/>
  <c r="C170" i="62"/>
  <c r="B170" i="62"/>
  <c r="O169" i="62"/>
  <c r="N169" i="62"/>
  <c r="M169" i="62"/>
  <c r="J169" i="62"/>
  <c r="I169" i="62"/>
  <c r="L169" i="62" s="1"/>
  <c r="H169" i="62"/>
  <c r="K169" i="62" s="1"/>
  <c r="G169" i="62"/>
  <c r="F169" i="62"/>
  <c r="E169" i="62"/>
  <c r="O168" i="62"/>
  <c r="N168" i="62"/>
  <c r="M168" i="62"/>
  <c r="J168" i="62"/>
  <c r="I168" i="62"/>
  <c r="L168" i="62" s="1"/>
  <c r="H168" i="62"/>
  <c r="K168" i="62" s="1"/>
  <c r="G168" i="62"/>
  <c r="F168" i="62"/>
  <c r="E168" i="62"/>
  <c r="D166" i="62"/>
  <c r="C166" i="62"/>
  <c r="B166" i="62"/>
  <c r="O165" i="62"/>
  <c r="N165" i="62"/>
  <c r="M165" i="62"/>
  <c r="J165" i="62"/>
  <c r="I165" i="62"/>
  <c r="L165" i="62" s="1"/>
  <c r="H165" i="62"/>
  <c r="K165" i="62" s="1"/>
  <c r="G165" i="62"/>
  <c r="F165" i="62"/>
  <c r="E165" i="62"/>
  <c r="O164" i="62"/>
  <c r="N164" i="62"/>
  <c r="M164" i="62"/>
  <c r="J164" i="62"/>
  <c r="I164" i="62"/>
  <c r="L164" i="62" s="1"/>
  <c r="H164" i="62"/>
  <c r="K164" i="62" s="1"/>
  <c r="G164" i="62"/>
  <c r="F164" i="62"/>
  <c r="E164" i="62"/>
  <c r="O163" i="62"/>
  <c r="N163" i="62"/>
  <c r="M163" i="62"/>
  <c r="J163" i="62"/>
  <c r="I163" i="62"/>
  <c r="L163" i="62" s="1"/>
  <c r="H163" i="62"/>
  <c r="K163" i="62" s="1"/>
  <c r="G163" i="62"/>
  <c r="F163" i="62"/>
  <c r="E163" i="62"/>
  <c r="O162" i="62"/>
  <c r="N162" i="62"/>
  <c r="M162" i="62"/>
  <c r="J162" i="62"/>
  <c r="I162" i="62"/>
  <c r="L162" i="62" s="1"/>
  <c r="H162" i="62"/>
  <c r="K162" i="62" s="1"/>
  <c r="G162" i="62"/>
  <c r="F162" i="62"/>
  <c r="E162" i="62"/>
  <c r="O161" i="62"/>
  <c r="N161" i="62"/>
  <c r="M161" i="62"/>
  <c r="J161" i="62"/>
  <c r="I161" i="62"/>
  <c r="L161" i="62" s="1"/>
  <c r="H161" i="62"/>
  <c r="K161" i="62" s="1"/>
  <c r="G161" i="62"/>
  <c r="F161" i="62"/>
  <c r="E161" i="62"/>
  <c r="O160" i="62"/>
  <c r="N160" i="62"/>
  <c r="M160" i="62"/>
  <c r="J160" i="62"/>
  <c r="I160" i="62"/>
  <c r="L160" i="62" s="1"/>
  <c r="H160" i="62"/>
  <c r="G160" i="62"/>
  <c r="F160" i="62"/>
  <c r="E160" i="62"/>
  <c r="D156" i="62"/>
  <c r="J155" i="62"/>
  <c r="I155" i="62"/>
  <c r="H155" i="62"/>
  <c r="G155" i="62"/>
  <c r="E155" i="62"/>
  <c r="B155" i="62"/>
  <c r="J154" i="62"/>
  <c r="I154" i="62"/>
  <c r="H154" i="62"/>
  <c r="G154" i="62"/>
  <c r="E154" i="62"/>
  <c r="B154" i="62"/>
  <c r="D152" i="62"/>
  <c r="J151" i="62"/>
  <c r="I151" i="62"/>
  <c r="L151" i="62" s="1"/>
  <c r="H151" i="62"/>
  <c r="K151" i="62" s="1"/>
  <c r="G151" i="62"/>
  <c r="E151" i="62"/>
  <c r="J150" i="62"/>
  <c r="I150" i="62"/>
  <c r="L150" i="62" s="1"/>
  <c r="H150" i="62"/>
  <c r="K150" i="62" s="1"/>
  <c r="G150" i="62"/>
  <c r="F150" i="62"/>
  <c r="E150" i="62"/>
  <c r="J149" i="62"/>
  <c r="I149" i="62"/>
  <c r="H149" i="62"/>
  <c r="G149" i="62"/>
  <c r="E149" i="62"/>
  <c r="B149" i="62"/>
  <c r="J148" i="62"/>
  <c r="I148" i="62"/>
  <c r="H148" i="62"/>
  <c r="G148" i="62"/>
  <c r="E148" i="62"/>
  <c r="B148" i="62"/>
  <c r="J147" i="62"/>
  <c r="I147" i="62"/>
  <c r="H147" i="62"/>
  <c r="G147" i="62"/>
  <c r="E147" i="62"/>
  <c r="B147" i="62"/>
  <c r="J146" i="62"/>
  <c r="I146" i="62"/>
  <c r="H146" i="62"/>
  <c r="G146" i="62"/>
  <c r="E146" i="62"/>
  <c r="B146" i="62"/>
  <c r="D142" i="62"/>
  <c r="Q141" i="62"/>
  <c r="P141" i="62"/>
  <c r="O141" i="62"/>
  <c r="N141" i="62"/>
  <c r="M141" i="62"/>
  <c r="J141" i="62"/>
  <c r="I141" i="62"/>
  <c r="H141" i="62"/>
  <c r="G141" i="62"/>
  <c r="E141" i="62"/>
  <c r="C141" i="62"/>
  <c r="B141" i="62"/>
  <c r="Q140" i="62"/>
  <c r="P140" i="62"/>
  <c r="O140" i="62"/>
  <c r="N140" i="62"/>
  <c r="M140" i="62"/>
  <c r="J140" i="62"/>
  <c r="I140" i="62"/>
  <c r="H140" i="62"/>
  <c r="G140" i="62"/>
  <c r="E140" i="62"/>
  <c r="C140" i="62"/>
  <c r="B140" i="62"/>
  <c r="D138" i="62"/>
  <c r="Q137" i="62"/>
  <c r="P137" i="62"/>
  <c r="O137" i="62"/>
  <c r="N137" i="62"/>
  <c r="M137" i="62"/>
  <c r="J137" i="62"/>
  <c r="I137" i="62"/>
  <c r="H137" i="62"/>
  <c r="G137" i="62"/>
  <c r="E137" i="62"/>
  <c r="C137" i="62"/>
  <c r="B137" i="62"/>
  <c r="Q136" i="62"/>
  <c r="P136" i="62"/>
  <c r="O136" i="62"/>
  <c r="N136" i="62"/>
  <c r="M136" i="62"/>
  <c r="J136" i="62"/>
  <c r="I136" i="62"/>
  <c r="H136" i="62"/>
  <c r="G136" i="62"/>
  <c r="F136" i="62"/>
  <c r="E136" i="62"/>
  <c r="C136" i="62"/>
  <c r="B136" i="62"/>
  <c r="Q135" i="62"/>
  <c r="P135" i="62"/>
  <c r="O135" i="62"/>
  <c r="N135" i="62"/>
  <c r="M135" i="62"/>
  <c r="J135" i="62"/>
  <c r="I135" i="62"/>
  <c r="H135" i="62"/>
  <c r="G135" i="62"/>
  <c r="E135" i="62"/>
  <c r="C135" i="62"/>
  <c r="B135" i="62"/>
  <c r="Q134" i="62"/>
  <c r="P134" i="62"/>
  <c r="O134" i="62"/>
  <c r="N134" i="62"/>
  <c r="M134" i="62"/>
  <c r="J134" i="62"/>
  <c r="I134" i="62"/>
  <c r="H134" i="62"/>
  <c r="G134" i="62"/>
  <c r="E134" i="62"/>
  <c r="C134" i="62"/>
  <c r="B134" i="62"/>
  <c r="Q133" i="62"/>
  <c r="P133" i="62"/>
  <c r="O133" i="62"/>
  <c r="N133" i="62"/>
  <c r="M133" i="62"/>
  <c r="J133" i="62"/>
  <c r="I133" i="62"/>
  <c r="H133" i="62"/>
  <c r="G133" i="62"/>
  <c r="F133" i="62"/>
  <c r="E133" i="62"/>
  <c r="C133" i="62"/>
  <c r="B133" i="62"/>
  <c r="Q132" i="62"/>
  <c r="P132" i="62"/>
  <c r="O132" i="62"/>
  <c r="N132" i="62"/>
  <c r="M132" i="62"/>
  <c r="J132" i="62"/>
  <c r="I132" i="62"/>
  <c r="H132" i="62"/>
  <c r="G132" i="62"/>
  <c r="E132" i="62"/>
  <c r="C132" i="62"/>
  <c r="B132" i="62"/>
  <c r="D128" i="62"/>
  <c r="Q127" i="62"/>
  <c r="P127" i="62"/>
  <c r="O127" i="62"/>
  <c r="N127" i="62"/>
  <c r="M127" i="62"/>
  <c r="J127" i="62"/>
  <c r="I127" i="62"/>
  <c r="H127" i="62"/>
  <c r="G127" i="62"/>
  <c r="E127" i="62"/>
  <c r="C127" i="62"/>
  <c r="B127" i="62"/>
  <c r="Q126" i="62"/>
  <c r="P126" i="62"/>
  <c r="O126" i="62"/>
  <c r="N126" i="62"/>
  <c r="M126" i="62"/>
  <c r="J126" i="62"/>
  <c r="I126" i="62"/>
  <c r="H126" i="62"/>
  <c r="G126" i="62"/>
  <c r="E126" i="62"/>
  <c r="C126" i="62"/>
  <c r="B126" i="62"/>
  <c r="D124" i="62"/>
  <c r="Q123" i="62"/>
  <c r="P123" i="62"/>
  <c r="O123" i="62"/>
  <c r="N123" i="62"/>
  <c r="M123" i="62"/>
  <c r="J123" i="62"/>
  <c r="I123" i="62"/>
  <c r="H123" i="62"/>
  <c r="G123" i="62"/>
  <c r="E123" i="62"/>
  <c r="C123" i="62"/>
  <c r="B123" i="62"/>
  <c r="Q122" i="62"/>
  <c r="P122" i="62"/>
  <c r="O122" i="62"/>
  <c r="N122" i="62"/>
  <c r="M122" i="62"/>
  <c r="J122" i="62"/>
  <c r="I122" i="62"/>
  <c r="H122" i="62"/>
  <c r="G122" i="62"/>
  <c r="F122" i="62"/>
  <c r="E122" i="62"/>
  <c r="C122" i="62"/>
  <c r="B122" i="62"/>
  <c r="Q121" i="62"/>
  <c r="P121" i="62"/>
  <c r="O121" i="62"/>
  <c r="N121" i="62"/>
  <c r="M121" i="62"/>
  <c r="J121" i="62"/>
  <c r="I121" i="62"/>
  <c r="H121" i="62"/>
  <c r="G121" i="62"/>
  <c r="E121" i="62"/>
  <c r="C121" i="62"/>
  <c r="B121" i="62"/>
  <c r="Q120" i="62"/>
  <c r="P120" i="62"/>
  <c r="O120" i="62"/>
  <c r="N120" i="62"/>
  <c r="M120" i="62"/>
  <c r="J120" i="62"/>
  <c r="I120" i="62"/>
  <c r="H120" i="62"/>
  <c r="G120" i="62"/>
  <c r="E120" i="62"/>
  <c r="C120" i="62"/>
  <c r="B120" i="62"/>
  <c r="Q119" i="62"/>
  <c r="P119" i="62"/>
  <c r="O119" i="62"/>
  <c r="N119" i="62"/>
  <c r="M119" i="62"/>
  <c r="J119" i="62"/>
  <c r="I119" i="62"/>
  <c r="H119" i="62"/>
  <c r="G119" i="62"/>
  <c r="E119" i="62"/>
  <c r="C119" i="62"/>
  <c r="B119" i="62"/>
  <c r="Q118" i="62"/>
  <c r="P118" i="62"/>
  <c r="O118" i="62"/>
  <c r="N118" i="62"/>
  <c r="M118" i="62"/>
  <c r="J118" i="62"/>
  <c r="I118" i="62"/>
  <c r="H118" i="62"/>
  <c r="G118" i="62"/>
  <c r="E118" i="62"/>
  <c r="C118" i="62"/>
  <c r="B118" i="62"/>
  <c r="U110" i="62"/>
  <c r="U109" i="62"/>
  <c r="U108" i="62"/>
  <c r="U107" i="62"/>
  <c r="U106" i="62"/>
  <c r="U105" i="62"/>
  <c r="U104" i="62"/>
  <c r="U103" i="62"/>
  <c r="U102" i="62"/>
  <c r="U101" i="62"/>
  <c r="U100" i="62"/>
  <c r="U99" i="62"/>
  <c r="U98" i="62"/>
  <c r="U97" i="62"/>
  <c r="U96" i="62"/>
  <c r="U95" i="62"/>
  <c r="U94" i="62"/>
  <c r="U93" i="62"/>
  <c r="U92" i="62"/>
  <c r="U91" i="62"/>
  <c r="U90" i="62"/>
  <c r="U89" i="62"/>
  <c r="U88" i="62"/>
  <c r="U87" i="62"/>
  <c r="U86" i="62"/>
  <c r="U85" i="62"/>
  <c r="U84" i="62"/>
  <c r="U83" i="62"/>
  <c r="U82" i="62"/>
  <c r="U81" i="62"/>
  <c r="U80" i="62"/>
  <c r="U79" i="62"/>
  <c r="U78" i="62"/>
  <c r="U77" i="62"/>
  <c r="U76" i="62"/>
  <c r="U75" i="62"/>
  <c r="U74" i="62"/>
  <c r="U73" i="62"/>
  <c r="U72" i="62"/>
  <c r="U71" i="62"/>
  <c r="U70" i="62"/>
  <c r="U69" i="62"/>
  <c r="U68" i="62"/>
  <c r="U67" i="62"/>
  <c r="U66" i="62"/>
  <c r="U65" i="62"/>
  <c r="U64" i="62"/>
  <c r="U63" i="62"/>
  <c r="U62" i="62"/>
  <c r="U61" i="62"/>
  <c r="U60" i="62"/>
  <c r="U59" i="62"/>
  <c r="U58" i="62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F137" i="62" s="1"/>
  <c r="U21" i="62"/>
  <c r="U20" i="62"/>
  <c r="U19" i="62"/>
  <c r="U18" i="62"/>
  <c r="U17" i="62"/>
  <c r="U16" i="62"/>
  <c r="U15" i="62"/>
  <c r="F118" i="62" s="1"/>
  <c r="U14" i="62"/>
  <c r="F132" i="62" s="1"/>
  <c r="U13" i="62"/>
  <c r="U12" i="62"/>
  <c r="U11" i="62"/>
  <c r="U10" i="62"/>
  <c r="U9" i="62"/>
  <c r="U8" i="62"/>
  <c r="U7" i="62"/>
  <c r="U6" i="62"/>
  <c r="U5" i="62"/>
  <c r="U4" i="62"/>
  <c r="U3" i="62"/>
  <c r="C63" i="73"/>
  <c r="C62" i="73"/>
  <c r="C61" i="73"/>
  <c r="J58" i="73"/>
  <c r="I58" i="73"/>
  <c r="H58" i="73"/>
  <c r="G58" i="73"/>
  <c r="F58" i="73"/>
  <c r="E58" i="73"/>
  <c r="C57" i="73"/>
  <c r="C56" i="73"/>
  <c r="C54" i="73"/>
  <c r="N51" i="73"/>
  <c r="Z51" i="73" s="1"/>
  <c r="C48" i="73"/>
  <c r="D45" i="73" s="1"/>
  <c r="C42" i="73"/>
  <c r="D41" i="73"/>
  <c r="I41" i="73" s="1"/>
  <c r="B105" i="75" s="1"/>
  <c r="D40" i="73"/>
  <c r="I40" i="73" s="1"/>
  <c r="B104" i="75" s="1"/>
  <c r="D39" i="73"/>
  <c r="H39" i="73" s="1"/>
  <c r="C88" i="75" s="1"/>
  <c r="D38" i="73"/>
  <c r="H38" i="73" s="1"/>
  <c r="C87" i="75" s="1"/>
  <c r="N35" i="73"/>
  <c r="T47" i="73" s="1"/>
  <c r="C32" i="73"/>
  <c r="D31" i="73"/>
  <c r="D30" i="73"/>
  <c r="D29" i="73"/>
  <c r="C26" i="73"/>
  <c r="D25" i="73"/>
  <c r="E25" i="73" s="1"/>
  <c r="D24" i="73"/>
  <c r="H24" i="73" s="1"/>
  <c r="C89" i="74" s="1"/>
  <c r="D23" i="73"/>
  <c r="E23" i="73" s="1"/>
  <c r="D22" i="73"/>
  <c r="J22" i="73" s="1"/>
  <c r="C102" i="74" s="1"/>
  <c r="N19" i="73"/>
  <c r="Z19" i="73" s="1"/>
  <c r="AE25" i="73" s="1"/>
  <c r="C16" i="73"/>
  <c r="D15" i="73"/>
  <c r="D14" i="73"/>
  <c r="D13" i="73"/>
  <c r="C10" i="73"/>
  <c r="D9" i="73"/>
  <c r="J9" i="73" s="1"/>
  <c r="C105" i="72" s="1"/>
  <c r="D8" i="73"/>
  <c r="J8" i="73" s="1"/>
  <c r="C104" i="72" s="1"/>
  <c r="K104" i="72" s="1"/>
  <c r="D7" i="73"/>
  <c r="D6" i="73"/>
  <c r="H6" i="73" s="1"/>
  <c r="N3" i="73"/>
  <c r="C69" i="66"/>
  <c r="C68" i="66"/>
  <c r="C67" i="66"/>
  <c r="H64" i="66"/>
  <c r="G64" i="66"/>
  <c r="F64" i="66"/>
  <c r="E64" i="66"/>
  <c r="C63" i="66"/>
  <c r="C62" i="66"/>
  <c r="C61" i="66"/>
  <c r="C60" i="66"/>
  <c r="C59" i="66"/>
  <c r="C52" i="66"/>
  <c r="D51" i="66" s="1"/>
  <c r="C46" i="66"/>
  <c r="D45" i="66"/>
  <c r="D44" i="66"/>
  <c r="H44" i="66" s="1"/>
  <c r="C136" i="70" s="1"/>
  <c r="D43" i="66"/>
  <c r="G43" i="66" s="1"/>
  <c r="B135" i="70" s="1"/>
  <c r="D42" i="66"/>
  <c r="G42" i="66" s="1"/>
  <c r="B134" i="70" s="1"/>
  <c r="D41" i="66"/>
  <c r="E41" i="66" s="1"/>
  <c r="B117" i="70" s="1"/>
  <c r="L36" i="66"/>
  <c r="N47" i="66" s="1"/>
  <c r="C34" i="66"/>
  <c r="D33" i="66"/>
  <c r="D32" i="66"/>
  <c r="D31" i="66"/>
  <c r="C28" i="66"/>
  <c r="D27" i="66"/>
  <c r="G27" i="66" s="1"/>
  <c r="B137" i="69" s="1"/>
  <c r="D26" i="66"/>
  <c r="G26" i="66" s="1"/>
  <c r="B136" i="69" s="1"/>
  <c r="D25" i="66"/>
  <c r="D24" i="66"/>
  <c r="D23" i="66"/>
  <c r="H23" i="66" s="1"/>
  <c r="C133" i="69" s="1"/>
  <c r="L19" i="66"/>
  <c r="O27" i="66" s="1"/>
  <c r="C16" i="66"/>
  <c r="D15" i="66"/>
  <c r="D14" i="66"/>
  <c r="D13" i="66"/>
  <c r="C10" i="66"/>
  <c r="D9" i="66"/>
  <c r="E9" i="66" s="1"/>
  <c r="D8" i="66"/>
  <c r="F8" i="66" s="1"/>
  <c r="D7" i="66"/>
  <c r="H7" i="66" s="1"/>
  <c r="D6" i="66"/>
  <c r="H6" i="66" s="1"/>
  <c r="D5" i="66"/>
  <c r="G5" i="66" s="1"/>
  <c r="L2" i="66"/>
  <c r="M10" i="66" s="1"/>
  <c r="C67" i="81"/>
  <c r="C66" i="81"/>
  <c r="AR65" i="81"/>
  <c r="AQ65" i="81"/>
  <c r="C65" i="81"/>
  <c r="C61" i="81"/>
  <c r="C60" i="81"/>
  <c r="C58" i="81"/>
  <c r="C57" i="81"/>
  <c r="P54" i="81"/>
  <c r="AD54" i="81" s="1"/>
  <c r="C51" i="81"/>
  <c r="AR48" i="81"/>
  <c r="AQ48" i="81"/>
  <c r="C45" i="81"/>
  <c r="D43" i="81" s="1"/>
  <c r="G43" i="81" s="1"/>
  <c r="B92" i="84" s="1"/>
  <c r="P37" i="81"/>
  <c r="C34" i="81"/>
  <c r="D31" i="81" s="1"/>
  <c r="AR32" i="81"/>
  <c r="AQ32" i="81"/>
  <c r="C28" i="81"/>
  <c r="D26" i="81" s="1"/>
  <c r="F26" i="81" s="1"/>
  <c r="AD20" i="81"/>
  <c r="AI27" i="81" s="1"/>
  <c r="P20" i="81"/>
  <c r="U33" i="81" s="1"/>
  <c r="C17" i="81"/>
  <c r="D14" i="81" s="1"/>
  <c r="AR16" i="81"/>
  <c r="AQ16" i="81"/>
  <c r="AV15" i="81"/>
  <c r="AU15" i="81"/>
  <c r="AV14" i="81"/>
  <c r="AU14" i="81"/>
  <c r="AV13" i="81"/>
  <c r="AU13" i="81"/>
  <c r="AV12" i="81"/>
  <c r="AU12" i="81"/>
  <c r="AV11" i="81"/>
  <c r="AU11" i="81"/>
  <c r="C11" i="81"/>
  <c r="D10" i="81" s="1"/>
  <c r="K10" i="81" s="1"/>
  <c r="AV10" i="81"/>
  <c r="AU10" i="81"/>
  <c r="AV9" i="81"/>
  <c r="AU9" i="81"/>
  <c r="AV8" i="81"/>
  <c r="AU8" i="81"/>
  <c r="AV7" i="81"/>
  <c r="AU7" i="81"/>
  <c r="AV6" i="81"/>
  <c r="AU6" i="81"/>
  <c r="AV5" i="81"/>
  <c r="AU5" i="81"/>
  <c r="AV4" i="81"/>
  <c r="AU4" i="81"/>
  <c r="AD3" i="81"/>
  <c r="AI9" i="81" s="1"/>
  <c r="P3" i="81"/>
  <c r="C71" i="86"/>
  <c r="C70" i="86"/>
  <c r="C69" i="86"/>
  <c r="AR65" i="86"/>
  <c r="AQ65" i="86"/>
  <c r="C65" i="86"/>
  <c r="C64" i="86"/>
  <c r="C63" i="86"/>
  <c r="C61" i="86"/>
  <c r="C60" i="86"/>
  <c r="P54" i="86"/>
  <c r="AD54" i="86" s="1"/>
  <c r="C54" i="86"/>
  <c r="D53" i="86" s="1"/>
  <c r="AR48" i="86"/>
  <c r="AQ48" i="86"/>
  <c r="C48" i="86"/>
  <c r="D44" i="86" s="1"/>
  <c r="P37" i="86"/>
  <c r="R50" i="86" s="1"/>
  <c r="C36" i="86"/>
  <c r="D33" i="86" s="1"/>
  <c r="AR32" i="86"/>
  <c r="AQ32" i="86"/>
  <c r="C30" i="86"/>
  <c r="D27" i="86" s="1"/>
  <c r="AD20" i="86"/>
  <c r="AG33" i="86" s="1"/>
  <c r="P20" i="86"/>
  <c r="V33" i="86" s="1"/>
  <c r="C18" i="86"/>
  <c r="D17" i="86" s="1"/>
  <c r="AR16" i="86"/>
  <c r="AQ16" i="86"/>
  <c r="AV15" i="86"/>
  <c r="AU15" i="86"/>
  <c r="AV14" i="86"/>
  <c r="AU14" i="86"/>
  <c r="AV13" i="86"/>
  <c r="AU13" i="86"/>
  <c r="AV12" i="86"/>
  <c r="AU12" i="86"/>
  <c r="C12" i="86"/>
  <c r="D11" i="86" s="1"/>
  <c r="AV11" i="86"/>
  <c r="AU11" i="86"/>
  <c r="AV10" i="86"/>
  <c r="AU10" i="86"/>
  <c r="AV9" i="86"/>
  <c r="AU9" i="86"/>
  <c r="AV8" i="86"/>
  <c r="AU8" i="86"/>
  <c r="AV7" i="86"/>
  <c r="AU7" i="86"/>
  <c r="AV6" i="86"/>
  <c r="AU6" i="86"/>
  <c r="AV5" i="86"/>
  <c r="AU5" i="86"/>
  <c r="AV4" i="86"/>
  <c r="AU4" i="86"/>
  <c r="AD3" i="86"/>
  <c r="AJ16" i="86" s="1"/>
  <c r="P3" i="86"/>
  <c r="N185" i="61"/>
  <c r="G185" i="61"/>
  <c r="F185" i="61"/>
  <c r="E185" i="61"/>
  <c r="N184" i="61"/>
  <c r="M184" i="61"/>
  <c r="L184" i="61"/>
  <c r="K184" i="61"/>
  <c r="J184" i="61"/>
  <c r="I184" i="61"/>
  <c r="H184" i="61"/>
  <c r="D184" i="61"/>
  <c r="C184" i="61"/>
  <c r="B184" i="61"/>
  <c r="N183" i="61"/>
  <c r="M183" i="61"/>
  <c r="L183" i="61"/>
  <c r="K183" i="61"/>
  <c r="J183" i="61"/>
  <c r="I183" i="61"/>
  <c r="H183" i="61"/>
  <c r="D183" i="61"/>
  <c r="C183" i="61"/>
  <c r="B183" i="61"/>
  <c r="N181" i="61"/>
  <c r="N180" i="61"/>
  <c r="M180" i="61"/>
  <c r="L180" i="61"/>
  <c r="K180" i="61"/>
  <c r="J180" i="61"/>
  <c r="I180" i="61"/>
  <c r="H180" i="61"/>
  <c r="G180" i="61"/>
  <c r="F180" i="61"/>
  <c r="E180" i="61"/>
  <c r="D180" i="61"/>
  <c r="C180" i="61"/>
  <c r="B180" i="61"/>
  <c r="N179" i="61"/>
  <c r="M179" i="61"/>
  <c r="L179" i="61"/>
  <c r="K179" i="61"/>
  <c r="J179" i="61"/>
  <c r="I179" i="61"/>
  <c r="H179" i="61"/>
  <c r="G179" i="61"/>
  <c r="F179" i="61"/>
  <c r="E179" i="61"/>
  <c r="D179" i="61"/>
  <c r="C179" i="61"/>
  <c r="B179" i="61"/>
  <c r="N178" i="61"/>
  <c r="M178" i="61"/>
  <c r="L178" i="61"/>
  <c r="K178" i="61"/>
  <c r="J178" i="61"/>
  <c r="I178" i="61"/>
  <c r="H178" i="61"/>
  <c r="G178" i="61"/>
  <c r="F178" i="61"/>
  <c r="E178" i="61"/>
  <c r="D178" i="61"/>
  <c r="C178" i="61"/>
  <c r="B178" i="61"/>
  <c r="N177" i="61"/>
  <c r="M177" i="61"/>
  <c r="L177" i="61"/>
  <c r="K177" i="61"/>
  <c r="J177" i="61"/>
  <c r="I177" i="61"/>
  <c r="H177" i="61"/>
  <c r="G177" i="61"/>
  <c r="F177" i="61"/>
  <c r="E177" i="61"/>
  <c r="D177" i="61"/>
  <c r="C177" i="61"/>
  <c r="B177" i="61"/>
  <c r="N176" i="61"/>
  <c r="M176" i="61"/>
  <c r="L176" i="61"/>
  <c r="K176" i="61"/>
  <c r="J176" i="61"/>
  <c r="I176" i="61"/>
  <c r="H176" i="61"/>
  <c r="G176" i="61"/>
  <c r="F176" i="61"/>
  <c r="E176" i="61"/>
  <c r="D176" i="61"/>
  <c r="C176" i="61"/>
  <c r="B176" i="61"/>
  <c r="N175" i="61"/>
  <c r="M175" i="61"/>
  <c r="L175" i="61"/>
  <c r="K175" i="61"/>
  <c r="J175" i="61"/>
  <c r="I175" i="61"/>
  <c r="H175" i="61"/>
  <c r="G175" i="61"/>
  <c r="F175" i="61"/>
  <c r="E175" i="61"/>
  <c r="D175" i="61"/>
  <c r="C175" i="61"/>
  <c r="B175" i="61"/>
  <c r="D170" i="61"/>
  <c r="C170" i="61"/>
  <c r="B170" i="61"/>
  <c r="O169" i="61"/>
  <c r="N169" i="61"/>
  <c r="M169" i="61"/>
  <c r="J169" i="61"/>
  <c r="I169" i="61"/>
  <c r="L169" i="61" s="1"/>
  <c r="H169" i="61"/>
  <c r="K169" i="61" s="1"/>
  <c r="G169" i="61"/>
  <c r="F169" i="61"/>
  <c r="E169" i="61"/>
  <c r="O168" i="61"/>
  <c r="N168" i="61"/>
  <c r="M168" i="61"/>
  <c r="J168" i="61"/>
  <c r="I168" i="61"/>
  <c r="L168" i="61" s="1"/>
  <c r="H168" i="61"/>
  <c r="K168" i="61" s="1"/>
  <c r="G168" i="61"/>
  <c r="F168" i="61"/>
  <c r="E168" i="61"/>
  <c r="D166" i="61"/>
  <c r="C166" i="61"/>
  <c r="B166" i="61"/>
  <c r="O165" i="61"/>
  <c r="N165" i="61"/>
  <c r="M165" i="61"/>
  <c r="J165" i="61"/>
  <c r="I165" i="61"/>
  <c r="L165" i="61" s="1"/>
  <c r="H165" i="61"/>
  <c r="K165" i="61" s="1"/>
  <c r="G165" i="61"/>
  <c r="F165" i="61"/>
  <c r="E165" i="61"/>
  <c r="O164" i="61"/>
  <c r="N164" i="61"/>
  <c r="M164" i="61"/>
  <c r="J164" i="61"/>
  <c r="I164" i="61"/>
  <c r="L164" i="61" s="1"/>
  <c r="H164" i="61"/>
  <c r="K164" i="61" s="1"/>
  <c r="G164" i="61"/>
  <c r="F164" i="61"/>
  <c r="E164" i="61"/>
  <c r="O163" i="61"/>
  <c r="N163" i="61"/>
  <c r="M163" i="61"/>
  <c r="J163" i="61"/>
  <c r="I163" i="61"/>
  <c r="L163" i="61" s="1"/>
  <c r="H163" i="61"/>
  <c r="K163" i="61" s="1"/>
  <c r="G163" i="61"/>
  <c r="F163" i="61"/>
  <c r="E163" i="61"/>
  <c r="O162" i="61"/>
  <c r="N162" i="61"/>
  <c r="M162" i="61"/>
  <c r="J162" i="61"/>
  <c r="I162" i="61"/>
  <c r="L162" i="61" s="1"/>
  <c r="H162" i="61"/>
  <c r="K162" i="61" s="1"/>
  <c r="G162" i="61"/>
  <c r="F162" i="61"/>
  <c r="E162" i="61"/>
  <c r="O161" i="61"/>
  <c r="N161" i="61"/>
  <c r="M161" i="61"/>
  <c r="J161" i="61"/>
  <c r="I161" i="61"/>
  <c r="L161" i="61" s="1"/>
  <c r="H161" i="61"/>
  <c r="K161" i="61" s="1"/>
  <c r="G161" i="61"/>
  <c r="F161" i="61"/>
  <c r="E161" i="61"/>
  <c r="O160" i="61"/>
  <c r="N160" i="61"/>
  <c r="M160" i="61"/>
  <c r="J160" i="61"/>
  <c r="I160" i="61"/>
  <c r="H160" i="61"/>
  <c r="G160" i="61"/>
  <c r="F160" i="61"/>
  <c r="E160" i="61"/>
  <c r="D156" i="61"/>
  <c r="J155" i="61"/>
  <c r="I155" i="61"/>
  <c r="H155" i="61"/>
  <c r="G155" i="61"/>
  <c r="E155" i="61"/>
  <c r="B155" i="61"/>
  <c r="J154" i="61"/>
  <c r="I154" i="61"/>
  <c r="H154" i="61"/>
  <c r="G154" i="61"/>
  <c r="E154" i="61"/>
  <c r="C154" i="61"/>
  <c r="B154" i="61"/>
  <c r="D152" i="61"/>
  <c r="J151" i="61"/>
  <c r="I151" i="61"/>
  <c r="L151" i="61" s="1"/>
  <c r="H151" i="61"/>
  <c r="K151" i="61" s="1"/>
  <c r="G151" i="61"/>
  <c r="E151" i="61"/>
  <c r="J150" i="61"/>
  <c r="I150" i="61"/>
  <c r="L150" i="61" s="1"/>
  <c r="H150" i="61"/>
  <c r="K150" i="61" s="1"/>
  <c r="G150" i="61"/>
  <c r="F150" i="61"/>
  <c r="E150" i="61"/>
  <c r="J149" i="61"/>
  <c r="I149" i="61"/>
  <c r="H149" i="61"/>
  <c r="G149" i="61"/>
  <c r="E149" i="61"/>
  <c r="B149" i="61"/>
  <c r="J148" i="61"/>
  <c r="I148" i="61"/>
  <c r="H148" i="61"/>
  <c r="G148" i="61"/>
  <c r="E148" i="61"/>
  <c r="B148" i="61"/>
  <c r="J147" i="61"/>
  <c r="I147" i="61"/>
  <c r="H147" i="61"/>
  <c r="G147" i="61"/>
  <c r="F147" i="61"/>
  <c r="E147" i="61"/>
  <c r="B147" i="61"/>
  <c r="J146" i="61"/>
  <c r="I146" i="61"/>
  <c r="H146" i="61"/>
  <c r="G146" i="61"/>
  <c r="E146" i="61"/>
  <c r="B146" i="61"/>
  <c r="D142" i="61"/>
  <c r="Q141" i="61"/>
  <c r="P141" i="61"/>
  <c r="O141" i="61"/>
  <c r="N141" i="61"/>
  <c r="M141" i="61"/>
  <c r="J141" i="61"/>
  <c r="I141" i="61"/>
  <c r="H141" i="61"/>
  <c r="G141" i="61"/>
  <c r="E141" i="61"/>
  <c r="C141" i="61"/>
  <c r="B141" i="61"/>
  <c r="Q140" i="61"/>
  <c r="P140" i="61"/>
  <c r="O140" i="61"/>
  <c r="N140" i="61"/>
  <c r="M140" i="61"/>
  <c r="J140" i="61"/>
  <c r="I140" i="61"/>
  <c r="H140" i="61"/>
  <c r="G140" i="61"/>
  <c r="E140" i="61"/>
  <c r="C140" i="61"/>
  <c r="B140" i="61"/>
  <c r="D138" i="61"/>
  <c r="Q137" i="61"/>
  <c r="P137" i="61"/>
  <c r="O137" i="61"/>
  <c r="N137" i="61"/>
  <c r="M137" i="61"/>
  <c r="J137" i="61"/>
  <c r="I137" i="61"/>
  <c r="H137" i="61"/>
  <c r="G137" i="61"/>
  <c r="E137" i="61"/>
  <c r="C137" i="61"/>
  <c r="B137" i="61"/>
  <c r="Q136" i="61"/>
  <c r="P136" i="61"/>
  <c r="O136" i="61"/>
  <c r="N136" i="61"/>
  <c r="M136" i="61"/>
  <c r="J136" i="61"/>
  <c r="I136" i="61"/>
  <c r="H136" i="61"/>
  <c r="G136" i="61"/>
  <c r="F136" i="61"/>
  <c r="E136" i="61"/>
  <c r="C136" i="61"/>
  <c r="B136" i="61"/>
  <c r="Q135" i="61"/>
  <c r="P135" i="61"/>
  <c r="O135" i="61"/>
  <c r="N135" i="61"/>
  <c r="M135" i="61"/>
  <c r="J135" i="61"/>
  <c r="I135" i="61"/>
  <c r="H135" i="61"/>
  <c r="G135" i="61"/>
  <c r="E135" i="61"/>
  <c r="C135" i="61"/>
  <c r="B135" i="61"/>
  <c r="Q134" i="61"/>
  <c r="P134" i="61"/>
  <c r="O134" i="61"/>
  <c r="N134" i="61"/>
  <c r="M134" i="61"/>
  <c r="J134" i="61"/>
  <c r="I134" i="61"/>
  <c r="H134" i="61"/>
  <c r="G134" i="61"/>
  <c r="E134" i="61"/>
  <c r="C134" i="61"/>
  <c r="B134" i="61"/>
  <c r="Q133" i="61"/>
  <c r="P133" i="61"/>
  <c r="O133" i="61"/>
  <c r="N133" i="61"/>
  <c r="M133" i="61"/>
  <c r="J133" i="61"/>
  <c r="I133" i="61"/>
  <c r="H133" i="61"/>
  <c r="G133" i="61"/>
  <c r="F133" i="61"/>
  <c r="E133" i="61"/>
  <c r="C133" i="61"/>
  <c r="B133" i="61"/>
  <c r="Q132" i="61"/>
  <c r="P132" i="61"/>
  <c r="O132" i="61"/>
  <c r="N132" i="61"/>
  <c r="M132" i="61"/>
  <c r="J132" i="61"/>
  <c r="I132" i="61"/>
  <c r="H132" i="61"/>
  <c r="G132" i="61"/>
  <c r="E132" i="61"/>
  <c r="C132" i="61"/>
  <c r="B132" i="61"/>
  <c r="D128" i="61"/>
  <c r="Q127" i="61"/>
  <c r="P127" i="61"/>
  <c r="O127" i="61"/>
  <c r="N127" i="61"/>
  <c r="M127" i="61"/>
  <c r="J127" i="61"/>
  <c r="I127" i="61"/>
  <c r="H127" i="61"/>
  <c r="G127" i="61"/>
  <c r="E127" i="61"/>
  <c r="C127" i="61"/>
  <c r="B127" i="61"/>
  <c r="Q126" i="61"/>
  <c r="P126" i="61"/>
  <c r="O126" i="61"/>
  <c r="N126" i="61"/>
  <c r="M126" i="61"/>
  <c r="J126" i="61"/>
  <c r="I126" i="61"/>
  <c r="H126" i="61"/>
  <c r="G126" i="61"/>
  <c r="E126" i="61"/>
  <c r="C126" i="61"/>
  <c r="B126" i="61"/>
  <c r="D124" i="61"/>
  <c r="Q123" i="61"/>
  <c r="P123" i="61"/>
  <c r="O123" i="61"/>
  <c r="N123" i="61"/>
  <c r="M123" i="61"/>
  <c r="J123" i="61"/>
  <c r="I123" i="61"/>
  <c r="H123" i="61"/>
  <c r="G123" i="61"/>
  <c r="E123" i="61"/>
  <c r="C123" i="61"/>
  <c r="B123" i="61"/>
  <c r="Q122" i="61"/>
  <c r="P122" i="61"/>
  <c r="O122" i="61"/>
  <c r="N122" i="61"/>
  <c r="M122" i="61"/>
  <c r="J122" i="61"/>
  <c r="I122" i="61"/>
  <c r="H122" i="61"/>
  <c r="G122" i="61"/>
  <c r="F122" i="61"/>
  <c r="E122" i="61"/>
  <c r="C122" i="61"/>
  <c r="B122" i="61"/>
  <c r="Q121" i="61"/>
  <c r="P121" i="61"/>
  <c r="O121" i="61"/>
  <c r="N121" i="61"/>
  <c r="M121" i="61"/>
  <c r="J121" i="61"/>
  <c r="I121" i="61"/>
  <c r="H121" i="61"/>
  <c r="G121" i="61"/>
  <c r="E121" i="61"/>
  <c r="C121" i="61"/>
  <c r="B121" i="61"/>
  <c r="Q120" i="61"/>
  <c r="P120" i="61"/>
  <c r="O120" i="61"/>
  <c r="N120" i="61"/>
  <c r="M120" i="61"/>
  <c r="J120" i="61"/>
  <c r="I120" i="61"/>
  <c r="H120" i="61"/>
  <c r="G120" i="61"/>
  <c r="E120" i="61"/>
  <c r="C120" i="61"/>
  <c r="B120" i="61"/>
  <c r="Q119" i="61"/>
  <c r="P119" i="61"/>
  <c r="O119" i="61"/>
  <c r="N119" i="61"/>
  <c r="M119" i="61"/>
  <c r="J119" i="61"/>
  <c r="I119" i="61"/>
  <c r="H119" i="61"/>
  <c r="G119" i="61"/>
  <c r="F119" i="61"/>
  <c r="E119" i="61"/>
  <c r="C119" i="61"/>
  <c r="B119" i="61"/>
  <c r="Q118" i="61"/>
  <c r="P118" i="61"/>
  <c r="O118" i="61"/>
  <c r="N118" i="61"/>
  <c r="M118" i="61"/>
  <c r="J118" i="61"/>
  <c r="I118" i="61"/>
  <c r="H118" i="61"/>
  <c r="G118" i="61"/>
  <c r="E118" i="61"/>
  <c r="C118" i="61"/>
  <c r="B118" i="61"/>
  <c r="U110" i="61"/>
  <c r="U109" i="61"/>
  <c r="U108" i="61"/>
  <c r="U107" i="61"/>
  <c r="U106" i="61"/>
  <c r="U105" i="61"/>
  <c r="U104" i="61"/>
  <c r="U103" i="61"/>
  <c r="U102" i="61"/>
  <c r="U101" i="61"/>
  <c r="U100" i="61"/>
  <c r="U99" i="61"/>
  <c r="U98" i="61"/>
  <c r="U97" i="61"/>
  <c r="U96" i="61"/>
  <c r="U95" i="61"/>
  <c r="U94" i="61"/>
  <c r="U93" i="61"/>
  <c r="U92" i="61"/>
  <c r="U91" i="61"/>
  <c r="U90" i="61"/>
  <c r="U89" i="61"/>
  <c r="U88" i="61"/>
  <c r="U87" i="61"/>
  <c r="U86" i="61"/>
  <c r="U85" i="61"/>
  <c r="U84" i="61"/>
  <c r="U83" i="61"/>
  <c r="U82" i="61"/>
  <c r="U81" i="61"/>
  <c r="U80" i="61"/>
  <c r="U79" i="61"/>
  <c r="U78" i="61"/>
  <c r="U77" i="61"/>
  <c r="U76" i="61"/>
  <c r="U75" i="61"/>
  <c r="U74" i="61"/>
  <c r="U73" i="61"/>
  <c r="U72" i="61"/>
  <c r="U71" i="61"/>
  <c r="U70" i="61"/>
  <c r="U69" i="61"/>
  <c r="U68" i="61"/>
  <c r="U67" i="61"/>
  <c r="U66" i="61"/>
  <c r="U65" i="61"/>
  <c r="U64" i="61"/>
  <c r="U63" i="61"/>
  <c r="U62" i="61"/>
  <c r="U61" i="61"/>
  <c r="U60" i="61"/>
  <c r="U59" i="61"/>
  <c r="U58" i="61"/>
  <c r="U57" i="61"/>
  <c r="U56" i="61"/>
  <c r="U55" i="61"/>
  <c r="U54" i="61"/>
  <c r="U53" i="61"/>
  <c r="U52" i="61"/>
  <c r="U51" i="61"/>
  <c r="U50" i="61"/>
  <c r="U49" i="61"/>
  <c r="U48" i="61"/>
  <c r="U47" i="61"/>
  <c r="U46" i="61"/>
  <c r="U45" i="61"/>
  <c r="U44" i="61"/>
  <c r="U43" i="61"/>
  <c r="U42" i="61"/>
  <c r="U41" i="61"/>
  <c r="U40" i="61"/>
  <c r="U39" i="61"/>
  <c r="U38" i="61"/>
  <c r="U37" i="61"/>
  <c r="U36" i="61"/>
  <c r="U35" i="61"/>
  <c r="U34" i="61"/>
  <c r="U33" i="61"/>
  <c r="U32" i="61"/>
  <c r="U31" i="61"/>
  <c r="U30" i="61"/>
  <c r="F123" i="61" s="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U9" i="61"/>
  <c r="U8" i="61"/>
  <c r="U7" i="61"/>
  <c r="U6" i="61"/>
  <c r="U5" i="61"/>
  <c r="U4" i="61"/>
  <c r="U3" i="61"/>
  <c r="N186" i="60"/>
  <c r="G186" i="60"/>
  <c r="F186" i="60"/>
  <c r="E186" i="60"/>
  <c r="N185" i="60"/>
  <c r="M185" i="60"/>
  <c r="L185" i="60"/>
  <c r="K185" i="60"/>
  <c r="J185" i="60"/>
  <c r="I185" i="60"/>
  <c r="H185" i="60"/>
  <c r="D185" i="60"/>
  <c r="C185" i="60"/>
  <c r="B185" i="60"/>
  <c r="N184" i="60"/>
  <c r="M184" i="60"/>
  <c r="L184" i="60"/>
  <c r="K184" i="60"/>
  <c r="J184" i="60"/>
  <c r="I184" i="60"/>
  <c r="H184" i="60"/>
  <c r="D184" i="60"/>
  <c r="C184" i="60"/>
  <c r="B184" i="60"/>
  <c r="N182" i="60"/>
  <c r="N181" i="60"/>
  <c r="M181" i="60"/>
  <c r="L181" i="60"/>
  <c r="K181" i="60"/>
  <c r="J181" i="60"/>
  <c r="I181" i="60"/>
  <c r="H181" i="60"/>
  <c r="G181" i="60"/>
  <c r="F181" i="60"/>
  <c r="E181" i="60"/>
  <c r="D181" i="60"/>
  <c r="C181" i="60"/>
  <c r="B181" i="60"/>
  <c r="N180" i="60"/>
  <c r="M180" i="60"/>
  <c r="L180" i="60"/>
  <c r="K180" i="60"/>
  <c r="J180" i="60"/>
  <c r="I180" i="60"/>
  <c r="H180" i="60"/>
  <c r="G180" i="60"/>
  <c r="F180" i="60"/>
  <c r="E180" i="60"/>
  <c r="D180" i="60"/>
  <c r="C180" i="60"/>
  <c r="B180" i="60"/>
  <c r="N179" i="60"/>
  <c r="M179" i="60"/>
  <c r="L179" i="60"/>
  <c r="K179" i="60"/>
  <c r="J179" i="60"/>
  <c r="I179" i="60"/>
  <c r="H179" i="60"/>
  <c r="G179" i="60"/>
  <c r="F179" i="60"/>
  <c r="E179" i="60"/>
  <c r="D179" i="60"/>
  <c r="C179" i="60"/>
  <c r="B179" i="60"/>
  <c r="N178" i="60"/>
  <c r="M178" i="60"/>
  <c r="L178" i="60"/>
  <c r="K178" i="60"/>
  <c r="J178" i="60"/>
  <c r="I178" i="60"/>
  <c r="H178" i="60"/>
  <c r="G178" i="60"/>
  <c r="F178" i="60"/>
  <c r="E178" i="60"/>
  <c r="D178" i="60"/>
  <c r="C178" i="60"/>
  <c r="B178" i="60"/>
  <c r="N177" i="60"/>
  <c r="M177" i="60"/>
  <c r="L177" i="60"/>
  <c r="K177" i="60"/>
  <c r="J177" i="60"/>
  <c r="I177" i="60"/>
  <c r="H177" i="60"/>
  <c r="G177" i="60"/>
  <c r="F177" i="60"/>
  <c r="E177" i="60"/>
  <c r="D177" i="60"/>
  <c r="C177" i="60"/>
  <c r="B177" i="60"/>
  <c r="N176" i="60"/>
  <c r="M176" i="60"/>
  <c r="L176" i="60"/>
  <c r="K176" i="60"/>
  <c r="J176" i="60"/>
  <c r="I176" i="60"/>
  <c r="H176" i="60"/>
  <c r="G176" i="60"/>
  <c r="F176" i="60"/>
  <c r="E176" i="60"/>
  <c r="D176" i="60"/>
  <c r="C176" i="60"/>
  <c r="B176" i="60"/>
  <c r="D171" i="60"/>
  <c r="C171" i="60"/>
  <c r="B171" i="60"/>
  <c r="O170" i="60"/>
  <c r="N170" i="60"/>
  <c r="M170" i="60"/>
  <c r="J170" i="60"/>
  <c r="I170" i="60"/>
  <c r="L170" i="60" s="1"/>
  <c r="H170" i="60"/>
  <c r="G170" i="60"/>
  <c r="F170" i="60"/>
  <c r="E170" i="60"/>
  <c r="O169" i="60"/>
  <c r="N169" i="60"/>
  <c r="M169" i="60"/>
  <c r="J169" i="60"/>
  <c r="I169" i="60"/>
  <c r="L169" i="60" s="1"/>
  <c r="H169" i="60"/>
  <c r="K169" i="60" s="1"/>
  <c r="G169" i="60"/>
  <c r="F169" i="60"/>
  <c r="E169" i="60"/>
  <c r="D167" i="60"/>
  <c r="C167" i="60"/>
  <c r="B167" i="60"/>
  <c r="O166" i="60"/>
  <c r="N166" i="60"/>
  <c r="M166" i="60"/>
  <c r="J166" i="60"/>
  <c r="I166" i="60"/>
  <c r="L166" i="60" s="1"/>
  <c r="H166" i="60"/>
  <c r="K166" i="60" s="1"/>
  <c r="G166" i="60"/>
  <c r="F166" i="60"/>
  <c r="E166" i="60"/>
  <c r="O165" i="60"/>
  <c r="N165" i="60"/>
  <c r="M165" i="60"/>
  <c r="J165" i="60"/>
  <c r="I165" i="60"/>
  <c r="L165" i="60" s="1"/>
  <c r="H165" i="60"/>
  <c r="K165" i="60" s="1"/>
  <c r="G165" i="60"/>
  <c r="F165" i="60"/>
  <c r="E165" i="60"/>
  <c r="O164" i="60"/>
  <c r="N164" i="60"/>
  <c r="M164" i="60"/>
  <c r="J164" i="60"/>
  <c r="I164" i="60"/>
  <c r="L164" i="60" s="1"/>
  <c r="H164" i="60"/>
  <c r="K164" i="60" s="1"/>
  <c r="G164" i="60"/>
  <c r="F164" i="60"/>
  <c r="E164" i="60"/>
  <c r="O163" i="60"/>
  <c r="N163" i="60"/>
  <c r="M163" i="60"/>
  <c r="J163" i="60"/>
  <c r="I163" i="60"/>
  <c r="L163" i="60" s="1"/>
  <c r="H163" i="60"/>
  <c r="K163" i="60" s="1"/>
  <c r="G163" i="60"/>
  <c r="F163" i="60"/>
  <c r="E163" i="60"/>
  <c r="O162" i="60"/>
  <c r="N162" i="60"/>
  <c r="M162" i="60"/>
  <c r="J162" i="60"/>
  <c r="I162" i="60"/>
  <c r="L162" i="60" s="1"/>
  <c r="H162" i="60"/>
  <c r="K162" i="60" s="1"/>
  <c r="G162" i="60"/>
  <c r="F162" i="60"/>
  <c r="E162" i="60"/>
  <c r="O161" i="60"/>
  <c r="N161" i="60"/>
  <c r="M161" i="60"/>
  <c r="J161" i="60"/>
  <c r="I161" i="60"/>
  <c r="L161" i="60" s="1"/>
  <c r="H161" i="60"/>
  <c r="K161" i="60" s="1"/>
  <c r="G161" i="60"/>
  <c r="F161" i="60"/>
  <c r="E161" i="60"/>
  <c r="D157" i="60"/>
  <c r="J156" i="60"/>
  <c r="I156" i="60"/>
  <c r="H156" i="60"/>
  <c r="G156" i="60"/>
  <c r="E156" i="60"/>
  <c r="C156" i="60"/>
  <c r="B156" i="60"/>
  <c r="J155" i="60"/>
  <c r="I155" i="60"/>
  <c r="H155" i="60"/>
  <c r="G155" i="60"/>
  <c r="E155" i="60"/>
  <c r="C155" i="60"/>
  <c r="B155" i="60"/>
  <c r="D153" i="60"/>
  <c r="J152" i="60"/>
  <c r="I152" i="60"/>
  <c r="L152" i="60" s="1"/>
  <c r="H152" i="60"/>
  <c r="K152" i="60" s="1"/>
  <c r="G152" i="60"/>
  <c r="E152" i="60"/>
  <c r="J151" i="60"/>
  <c r="I151" i="60"/>
  <c r="L151" i="60" s="1"/>
  <c r="H151" i="60"/>
  <c r="K151" i="60" s="1"/>
  <c r="G151" i="60"/>
  <c r="F151" i="60"/>
  <c r="E151" i="60"/>
  <c r="J150" i="60"/>
  <c r="I150" i="60"/>
  <c r="H150" i="60"/>
  <c r="G150" i="60"/>
  <c r="E150" i="60"/>
  <c r="C150" i="60"/>
  <c r="B150" i="60"/>
  <c r="J149" i="60"/>
  <c r="I149" i="60"/>
  <c r="H149" i="60"/>
  <c r="G149" i="60"/>
  <c r="E149" i="60"/>
  <c r="C149" i="60"/>
  <c r="B149" i="60"/>
  <c r="J148" i="60"/>
  <c r="I148" i="60"/>
  <c r="H148" i="60"/>
  <c r="G148" i="60"/>
  <c r="F148" i="60"/>
  <c r="E148" i="60"/>
  <c r="C148" i="60"/>
  <c r="B148" i="60"/>
  <c r="J147" i="60"/>
  <c r="I147" i="60"/>
  <c r="H147" i="60"/>
  <c r="G147" i="60"/>
  <c r="E147" i="60"/>
  <c r="C147" i="60"/>
  <c r="B147" i="60"/>
  <c r="D143" i="60"/>
  <c r="Q142" i="60"/>
  <c r="P142" i="60"/>
  <c r="O142" i="60"/>
  <c r="N142" i="60"/>
  <c r="M142" i="60"/>
  <c r="J142" i="60"/>
  <c r="I142" i="60"/>
  <c r="H142" i="60"/>
  <c r="G142" i="60"/>
  <c r="E142" i="60"/>
  <c r="C142" i="60"/>
  <c r="B142" i="60"/>
  <c r="Q141" i="60"/>
  <c r="P141" i="60"/>
  <c r="O141" i="60"/>
  <c r="N141" i="60"/>
  <c r="M141" i="60"/>
  <c r="J141" i="60"/>
  <c r="I141" i="60"/>
  <c r="H141" i="60"/>
  <c r="G141" i="60"/>
  <c r="E141" i="60"/>
  <c r="C141" i="60"/>
  <c r="B141" i="60"/>
  <c r="D139" i="60"/>
  <c r="Q138" i="60"/>
  <c r="P138" i="60"/>
  <c r="O138" i="60"/>
  <c r="N138" i="60"/>
  <c r="M138" i="60"/>
  <c r="J138" i="60"/>
  <c r="I138" i="60"/>
  <c r="H138" i="60"/>
  <c r="G138" i="60"/>
  <c r="E138" i="60"/>
  <c r="C138" i="60"/>
  <c r="B138" i="60"/>
  <c r="Q137" i="60"/>
  <c r="P137" i="60"/>
  <c r="O137" i="60"/>
  <c r="N137" i="60"/>
  <c r="M137" i="60"/>
  <c r="J137" i="60"/>
  <c r="I137" i="60"/>
  <c r="H137" i="60"/>
  <c r="G137" i="60"/>
  <c r="F137" i="60"/>
  <c r="E137" i="60"/>
  <c r="C137" i="60"/>
  <c r="B137" i="60"/>
  <c r="Q136" i="60"/>
  <c r="P136" i="60"/>
  <c r="O136" i="60"/>
  <c r="N136" i="60"/>
  <c r="M136" i="60"/>
  <c r="J136" i="60"/>
  <c r="I136" i="60"/>
  <c r="H136" i="60"/>
  <c r="G136" i="60"/>
  <c r="E136" i="60"/>
  <c r="C136" i="60"/>
  <c r="B136" i="60"/>
  <c r="Q135" i="60"/>
  <c r="P135" i="60"/>
  <c r="O135" i="60"/>
  <c r="N135" i="60"/>
  <c r="M135" i="60"/>
  <c r="J135" i="60"/>
  <c r="I135" i="60"/>
  <c r="H135" i="60"/>
  <c r="G135" i="60"/>
  <c r="E135" i="60"/>
  <c r="C135" i="60"/>
  <c r="B135" i="60"/>
  <c r="Q134" i="60"/>
  <c r="P134" i="60"/>
  <c r="O134" i="60"/>
  <c r="N134" i="60"/>
  <c r="M134" i="60"/>
  <c r="J134" i="60"/>
  <c r="I134" i="60"/>
  <c r="H134" i="60"/>
  <c r="G134" i="60"/>
  <c r="F134" i="60"/>
  <c r="E134" i="60"/>
  <c r="C134" i="60"/>
  <c r="B134" i="60"/>
  <c r="Q133" i="60"/>
  <c r="P133" i="60"/>
  <c r="O133" i="60"/>
  <c r="N133" i="60"/>
  <c r="M133" i="60"/>
  <c r="J133" i="60"/>
  <c r="I133" i="60"/>
  <c r="H133" i="60"/>
  <c r="G133" i="60"/>
  <c r="E133" i="60"/>
  <c r="C133" i="60"/>
  <c r="B133" i="60"/>
  <c r="D129" i="60"/>
  <c r="Q128" i="60"/>
  <c r="P128" i="60"/>
  <c r="O128" i="60"/>
  <c r="N128" i="60"/>
  <c r="M128" i="60"/>
  <c r="J128" i="60"/>
  <c r="I128" i="60"/>
  <c r="H128" i="60"/>
  <c r="G128" i="60"/>
  <c r="E128" i="60"/>
  <c r="C128" i="60"/>
  <c r="B128" i="60"/>
  <c r="Q127" i="60"/>
  <c r="P127" i="60"/>
  <c r="O127" i="60"/>
  <c r="N127" i="60"/>
  <c r="M127" i="60"/>
  <c r="J127" i="60"/>
  <c r="I127" i="60"/>
  <c r="H127" i="60"/>
  <c r="G127" i="60"/>
  <c r="E127" i="60"/>
  <c r="C127" i="60"/>
  <c r="B127" i="60"/>
  <c r="D125" i="60"/>
  <c r="Q124" i="60"/>
  <c r="P124" i="60"/>
  <c r="O124" i="60"/>
  <c r="N124" i="60"/>
  <c r="M124" i="60"/>
  <c r="J124" i="60"/>
  <c r="I124" i="60"/>
  <c r="H124" i="60"/>
  <c r="G124" i="60"/>
  <c r="E124" i="60"/>
  <c r="C124" i="60"/>
  <c r="B124" i="60"/>
  <c r="Q123" i="60"/>
  <c r="P123" i="60"/>
  <c r="O123" i="60"/>
  <c r="N123" i="60"/>
  <c r="M123" i="60"/>
  <c r="J123" i="60"/>
  <c r="I123" i="60"/>
  <c r="H123" i="60"/>
  <c r="G123" i="60"/>
  <c r="F123" i="60"/>
  <c r="E123" i="60"/>
  <c r="C123" i="60"/>
  <c r="B123" i="60"/>
  <c r="Q122" i="60"/>
  <c r="P122" i="60"/>
  <c r="O122" i="60"/>
  <c r="N122" i="60"/>
  <c r="M122" i="60"/>
  <c r="J122" i="60"/>
  <c r="I122" i="60"/>
  <c r="H122" i="60"/>
  <c r="G122" i="60"/>
  <c r="E122" i="60"/>
  <c r="C122" i="60"/>
  <c r="B122" i="60"/>
  <c r="Q121" i="60"/>
  <c r="P121" i="60"/>
  <c r="O121" i="60"/>
  <c r="N121" i="60"/>
  <c r="M121" i="60"/>
  <c r="J121" i="60"/>
  <c r="I121" i="60"/>
  <c r="H121" i="60"/>
  <c r="G121" i="60"/>
  <c r="E121" i="60"/>
  <c r="C121" i="60"/>
  <c r="B121" i="60"/>
  <c r="Q120" i="60"/>
  <c r="P120" i="60"/>
  <c r="O120" i="60"/>
  <c r="N120" i="60"/>
  <c r="M120" i="60"/>
  <c r="J120" i="60"/>
  <c r="I120" i="60"/>
  <c r="H120" i="60"/>
  <c r="G120" i="60"/>
  <c r="F120" i="60"/>
  <c r="E120" i="60"/>
  <c r="C120" i="60"/>
  <c r="B120" i="60"/>
  <c r="Q119" i="60"/>
  <c r="P119" i="60"/>
  <c r="O119" i="60"/>
  <c r="N119" i="60"/>
  <c r="M119" i="60"/>
  <c r="J119" i="60"/>
  <c r="I119" i="60"/>
  <c r="H119" i="60"/>
  <c r="G119" i="60"/>
  <c r="E119" i="60"/>
  <c r="C119" i="60"/>
  <c r="B119" i="60"/>
  <c r="U110" i="60"/>
  <c r="U109" i="60"/>
  <c r="U108" i="60"/>
  <c r="U107" i="60"/>
  <c r="U106" i="60"/>
  <c r="U105" i="60"/>
  <c r="U104" i="60"/>
  <c r="U103" i="60"/>
  <c r="U102" i="60"/>
  <c r="U101" i="60"/>
  <c r="U100" i="60"/>
  <c r="U99" i="60"/>
  <c r="U98" i="60"/>
  <c r="U97" i="60"/>
  <c r="U96" i="60"/>
  <c r="U95" i="60"/>
  <c r="U94" i="60"/>
  <c r="U93" i="60"/>
  <c r="U92" i="60"/>
  <c r="U91" i="60"/>
  <c r="U90" i="60"/>
  <c r="U89" i="60"/>
  <c r="U88" i="60"/>
  <c r="U87" i="60"/>
  <c r="U86" i="60"/>
  <c r="U85" i="60"/>
  <c r="U84" i="60"/>
  <c r="U83" i="60"/>
  <c r="U82" i="60"/>
  <c r="U81" i="60"/>
  <c r="U80" i="60"/>
  <c r="U79" i="60"/>
  <c r="U78" i="60"/>
  <c r="U77" i="60"/>
  <c r="U76" i="60"/>
  <c r="U75" i="60"/>
  <c r="U74" i="60"/>
  <c r="U73" i="60"/>
  <c r="U72" i="60"/>
  <c r="U71" i="60"/>
  <c r="U70" i="60"/>
  <c r="U69" i="60"/>
  <c r="U68" i="60"/>
  <c r="U67" i="60"/>
  <c r="U66" i="60"/>
  <c r="U65" i="60"/>
  <c r="U64" i="60"/>
  <c r="U63" i="60"/>
  <c r="U62" i="60"/>
  <c r="U61" i="60"/>
  <c r="U60" i="60"/>
  <c r="U59" i="60"/>
  <c r="U58" i="60"/>
  <c r="U57" i="60"/>
  <c r="U56" i="60"/>
  <c r="U55" i="60"/>
  <c r="U54" i="60"/>
  <c r="U53" i="60"/>
  <c r="U52" i="60"/>
  <c r="U51" i="60"/>
  <c r="U50" i="60"/>
  <c r="U49" i="60"/>
  <c r="U48" i="60"/>
  <c r="U47" i="60"/>
  <c r="U46" i="60"/>
  <c r="U45" i="60"/>
  <c r="U44" i="60"/>
  <c r="U43" i="60"/>
  <c r="U42" i="60"/>
  <c r="U41" i="60"/>
  <c r="U40" i="60"/>
  <c r="U39" i="60"/>
  <c r="U38" i="60"/>
  <c r="U37" i="60"/>
  <c r="U36" i="60"/>
  <c r="U35" i="60"/>
  <c r="U34" i="60"/>
  <c r="U33" i="60"/>
  <c r="U32" i="60"/>
  <c r="U31" i="60"/>
  <c r="U30" i="60"/>
  <c r="U29" i="60"/>
  <c r="U28" i="60"/>
  <c r="U27" i="60"/>
  <c r="U26" i="60"/>
  <c r="U25" i="60"/>
  <c r="U24" i="60"/>
  <c r="U23" i="60"/>
  <c r="U22" i="60"/>
  <c r="U21" i="60"/>
  <c r="U20" i="60"/>
  <c r="U19" i="60"/>
  <c r="U18" i="60"/>
  <c r="U17" i="60"/>
  <c r="U16" i="60"/>
  <c r="U15" i="60"/>
  <c r="U14" i="60"/>
  <c r="U13" i="60"/>
  <c r="U12" i="60"/>
  <c r="U11" i="60"/>
  <c r="U10" i="60"/>
  <c r="U9" i="60"/>
  <c r="U8" i="60"/>
  <c r="U7" i="60"/>
  <c r="U6" i="60"/>
  <c r="U5" i="60"/>
  <c r="U4" i="60"/>
  <c r="U3" i="60"/>
  <c r="N196" i="58"/>
  <c r="G196" i="58"/>
  <c r="F196" i="58"/>
  <c r="E196" i="58"/>
  <c r="N195" i="58"/>
  <c r="M195" i="58"/>
  <c r="L195" i="58"/>
  <c r="K195" i="58"/>
  <c r="J195" i="58"/>
  <c r="I195" i="58"/>
  <c r="H195" i="58"/>
  <c r="D195" i="58"/>
  <c r="C195" i="58"/>
  <c r="B195" i="58"/>
  <c r="N194" i="58"/>
  <c r="M194" i="58"/>
  <c r="L194" i="58"/>
  <c r="K194" i="58"/>
  <c r="J194" i="58"/>
  <c r="I194" i="58"/>
  <c r="H194" i="58"/>
  <c r="D194" i="58"/>
  <c r="C194" i="58"/>
  <c r="B194" i="58"/>
  <c r="N192" i="58"/>
  <c r="N191" i="58"/>
  <c r="M191" i="58"/>
  <c r="L191" i="58"/>
  <c r="K191" i="58"/>
  <c r="J191" i="58"/>
  <c r="I191" i="58"/>
  <c r="H191" i="58"/>
  <c r="G191" i="58"/>
  <c r="F191" i="58"/>
  <c r="E191" i="58"/>
  <c r="D191" i="58"/>
  <c r="C191" i="58"/>
  <c r="B191" i="58"/>
  <c r="N190" i="58"/>
  <c r="M190" i="58"/>
  <c r="L190" i="58"/>
  <c r="K190" i="58"/>
  <c r="J190" i="58"/>
  <c r="I190" i="58"/>
  <c r="H190" i="58"/>
  <c r="G190" i="58"/>
  <c r="F190" i="58"/>
  <c r="E190" i="58"/>
  <c r="D190" i="58"/>
  <c r="C190" i="58"/>
  <c r="B190" i="58"/>
  <c r="N189" i="58"/>
  <c r="M189" i="58"/>
  <c r="L189" i="58"/>
  <c r="K189" i="58"/>
  <c r="J189" i="58"/>
  <c r="I189" i="58"/>
  <c r="H189" i="58"/>
  <c r="G189" i="58"/>
  <c r="F189" i="58"/>
  <c r="E189" i="58"/>
  <c r="D189" i="58"/>
  <c r="C189" i="58"/>
  <c r="B189" i="58"/>
  <c r="N188" i="58"/>
  <c r="M188" i="58"/>
  <c r="L188" i="58"/>
  <c r="K188" i="58"/>
  <c r="J188" i="58"/>
  <c r="I188" i="58"/>
  <c r="H188" i="58"/>
  <c r="G188" i="58"/>
  <c r="F188" i="58"/>
  <c r="E188" i="58"/>
  <c r="D188" i="58"/>
  <c r="C188" i="58"/>
  <c r="B188" i="58"/>
  <c r="N187" i="58"/>
  <c r="M187" i="58"/>
  <c r="L187" i="58"/>
  <c r="K187" i="58"/>
  <c r="J187" i="58"/>
  <c r="I187" i="58"/>
  <c r="H187" i="58"/>
  <c r="G187" i="58"/>
  <c r="F187" i="58"/>
  <c r="E187" i="58"/>
  <c r="D187" i="58"/>
  <c r="C187" i="58"/>
  <c r="B187" i="58"/>
  <c r="N186" i="58"/>
  <c r="M186" i="58"/>
  <c r="L186" i="58"/>
  <c r="K186" i="58"/>
  <c r="J186" i="58"/>
  <c r="I186" i="58"/>
  <c r="H186" i="58"/>
  <c r="G186" i="58"/>
  <c r="F186" i="58"/>
  <c r="E186" i="58"/>
  <c r="D186" i="58"/>
  <c r="C186" i="58"/>
  <c r="B186" i="58"/>
  <c r="N185" i="58"/>
  <c r="M185" i="58"/>
  <c r="L185" i="58"/>
  <c r="K185" i="58"/>
  <c r="J185" i="58"/>
  <c r="I185" i="58"/>
  <c r="H185" i="58"/>
  <c r="G185" i="58"/>
  <c r="F185" i="58"/>
  <c r="E185" i="58"/>
  <c r="D185" i="58"/>
  <c r="C185" i="58"/>
  <c r="B185" i="58"/>
  <c r="N184" i="58"/>
  <c r="M184" i="58"/>
  <c r="L184" i="58"/>
  <c r="K184" i="58"/>
  <c r="J184" i="58"/>
  <c r="I184" i="58"/>
  <c r="H184" i="58"/>
  <c r="G184" i="58"/>
  <c r="F184" i="58"/>
  <c r="E184" i="58"/>
  <c r="D184" i="58"/>
  <c r="C184" i="58"/>
  <c r="B184" i="58"/>
  <c r="D179" i="58"/>
  <c r="C179" i="58"/>
  <c r="B179" i="58"/>
  <c r="O178" i="58"/>
  <c r="N178" i="58"/>
  <c r="M178" i="58"/>
  <c r="J178" i="58"/>
  <c r="I178" i="58"/>
  <c r="L178" i="58" s="1"/>
  <c r="H178" i="58"/>
  <c r="K178" i="58" s="1"/>
  <c r="G178" i="58"/>
  <c r="F178" i="58"/>
  <c r="E178" i="58"/>
  <c r="O177" i="58"/>
  <c r="N177" i="58"/>
  <c r="M177" i="58"/>
  <c r="J177" i="58"/>
  <c r="I177" i="58"/>
  <c r="H177" i="58"/>
  <c r="G177" i="58"/>
  <c r="F177" i="58"/>
  <c r="E177" i="58"/>
  <c r="D175" i="58"/>
  <c r="C175" i="58"/>
  <c r="B175" i="58"/>
  <c r="O174" i="58"/>
  <c r="N174" i="58"/>
  <c r="M174" i="58"/>
  <c r="J174" i="58"/>
  <c r="I174" i="58"/>
  <c r="L174" i="58" s="1"/>
  <c r="H174" i="58"/>
  <c r="K174" i="58" s="1"/>
  <c r="G174" i="58"/>
  <c r="F174" i="58"/>
  <c r="E174" i="58"/>
  <c r="O173" i="58"/>
  <c r="N173" i="58"/>
  <c r="M173" i="58"/>
  <c r="J173" i="58"/>
  <c r="I173" i="58"/>
  <c r="L173" i="58" s="1"/>
  <c r="H173" i="58"/>
  <c r="K173" i="58" s="1"/>
  <c r="G173" i="58"/>
  <c r="F173" i="58"/>
  <c r="E173" i="58"/>
  <c r="O172" i="58"/>
  <c r="N172" i="58"/>
  <c r="M172" i="58"/>
  <c r="J172" i="58"/>
  <c r="I172" i="58"/>
  <c r="L172" i="58" s="1"/>
  <c r="H172" i="58"/>
  <c r="K172" i="58" s="1"/>
  <c r="G172" i="58"/>
  <c r="F172" i="58"/>
  <c r="E172" i="58"/>
  <c r="O171" i="58"/>
  <c r="N171" i="58"/>
  <c r="M171" i="58"/>
  <c r="J171" i="58"/>
  <c r="I171" i="58"/>
  <c r="L171" i="58" s="1"/>
  <c r="H171" i="58"/>
  <c r="K171" i="58" s="1"/>
  <c r="G171" i="58"/>
  <c r="F171" i="58"/>
  <c r="E171" i="58"/>
  <c r="O170" i="58"/>
  <c r="N170" i="58"/>
  <c r="M170" i="58"/>
  <c r="J170" i="58"/>
  <c r="I170" i="58"/>
  <c r="L170" i="58" s="1"/>
  <c r="H170" i="58"/>
  <c r="K170" i="58" s="1"/>
  <c r="G170" i="58"/>
  <c r="E170" i="58"/>
  <c r="O169" i="58"/>
  <c r="N169" i="58"/>
  <c r="M169" i="58"/>
  <c r="J169" i="58"/>
  <c r="I169" i="58"/>
  <c r="L169" i="58" s="1"/>
  <c r="H169" i="58"/>
  <c r="K169" i="58" s="1"/>
  <c r="G169" i="58"/>
  <c r="F169" i="58"/>
  <c r="E169" i="58"/>
  <c r="O168" i="58"/>
  <c r="N168" i="58"/>
  <c r="M168" i="58"/>
  <c r="J168" i="58"/>
  <c r="I168" i="58"/>
  <c r="L168" i="58" s="1"/>
  <c r="H168" i="58"/>
  <c r="K168" i="58" s="1"/>
  <c r="G168" i="58"/>
  <c r="F168" i="58"/>
  <c r="E168" i="58"/>
  <c r="O167" i="58"/>
  <c r="N167" i="58"/>
  <c r="M167" i="58"/>
  <c r="J167" i="58"/>
  <c r="I167" i="58"/>
  <c r="L167" i="58" s="1"/>
  <c r="H167" i="58"/>
  <c r="G167" i="58"/>
  <c r="E167" i="58"/>
  <c r="D163" i="58"/>
  <c r="J162" i="58"/>
  <c r="I162" i="58"/>
  <c r="H162" i="58"/>
  <c r="G162" i="58"/>
  <c r="E162" i="58"/>
  <c r="C162" i="58"/>
  <c r="B162" i="58"/>
  <c r="J161" i="58"/>
  <c r="I161" i="58"/>
  <c r="H161" i="58"/>
  <c r="G161" i="58"/>
  <c r="E161" i="58"/>
  <c r="C161" i="58"/>
  <c r="B161" i="58"/>
  <c r="D159" i="58"/>
  <c r="J158" i="58"/>
  <c r="I158" i="58"/>
  <c r="L158" i="58" s="1"/>
  <c r="H158" i="58"/>
  <c r="K158" i="58" s="1"/>
  <c r="G158" i="58"/>
  <c r="E158" i="58"/>
  <c r="J157" i="58"/>
  <c r="I157" i="58"/>
  <c r="L157" i="58" s="1"/>
  <c r="H157" i="58"/>
  <c r="K157" i="58" s="1"/>
  <c r="G157" i="58"/>
  <c r="F157" i="58"/>
  <c r="E157" i="58"/>
  <c r="J156" i="58"/>
  <c r="I156" i="58"/>
  <c r="H156" i="58"/>
  <c r="G156" i="58"/>
  <c r="E156" i="58"/>
  <c r="C156" i="58"/>
  <c r="B156" i="58"/>
  <c r="J155" i="58"/>
  <c r="I155" i="58"/>
  <c r="H155" i="58"/>
  <c r="G155" i="58"/>
  <c r="E155" i="58"/>
  <c r="C155" i="58"/>
  <c r="B155" i="58"/>
  <c r="J154" i="58"/>
  <c r="I154" i="58"/>
  <c r="H154" i="58"/>
  <c r="G154" i="58"/>
  <c r="E154" i="58"/>
  <c r="B154" i="58"/>
  <c r="J153" i="58"/>
  <c r="I153" i="58"/>
  <c r="H153" i="58"/>
  <c r="G153" i="58"/>
  <c r="E153" i="58"/>
  <c r="B153" i="58"/>
  <c r="J152" i="58"/>
  <c r="I152" i="58"/>
  <c r="H152" i="58"/>
  <c r="G152" i="58"/>
  <c r="E152" i="58"/>
  <c r="C152" i="58"/>
  <c r="B152" i="58"/>
  <c r="J151" i="58"/>
  <c r="I151" i="58"/>
  <c r="H151" i="58"/>
  <c r="G151" i="58"/>
  <c r="E151" i="58"/>
  <c r="C151" i="58"/>
  <c r="B151" i="58"/>
  <c r="D147" i="58"/>
  <c r="Q146" i="58"/>
  <c r="P146" i="58"/>
  <c r="O146" i="58"/>
  <c r="N146" i="58"/>
  <c r="M146" i="58"/>
  <c r="J146" i="58"/>
  <c r="I146" i="58"/>
  <c r="H146" i="58"/>
  <c r="G146" i="58"/>
  <c r="E146" i="58"/>
  <c r="C146" i="58"/>
  <c r="B146" i="58"/>
  <c r="Q145" i="58"/>
  <c r="P145" i="58"/>
  <c r="O145" i="58"/>
  <c r="N145" i="58"/>
  <c r="M145" i="58"/>
  <c r="J145" i="58"/>
  <c r="I145" i="58"/>
  <c r="H145" i="58"/>
  <c r="G145" i="58"/>
  <c r="E145" i="58"/>
  <c r="C145" i="58"/>
  <c r="B145" i="58"/>
  <c r="D143" i="58"/>
  <c r="Q142" i="58"/>
  <c r="P142" i="58"/>
  <c r="O142" i="58"/>
  <c r="N142" i="58"/>
  <c r="M142" i="58"/>
  <c r="J142" i="58"/>
  <c r="I142" i="58"/>
  <c r="H142" i="58"/>
  <c r="G142" i="58"/>
  <c r="E142" i="58"/>
  <c r="C142" i="58"/>
  <c r="B142" i="58"/>
  <c r="Q141" i="58"/>
  <c r="P141" i="58"/>
  <c r="O141" i="58"/>
  <c r="N141" i="58"/>
  <c r="M141" i="58"/>
  <c r="J141" i="58"/>
  <c r="I141" i="58"/>
  <c r="H141" i="58"/>
  <c r="G141" i="58"/>
  <c r="F141" i="58"/>
  <c r="E141" i="58"/>
  <c r="C141" i="58"/>
  <c r="B141" i="58"/>
  <c r="Q140" i="58"/>
  <c r="P140" i="58"/>
  <c r="O140" i="58"/>
  <c r="N140" i="58"/>
  <c r="M140" i="58"/>
  <c r="J140" i="58"/>
  <c r="I140" i="58"/>
  <c r="H140" i="58"/>
  <c r="G140" i="58"/>
  <c r="E140" i="58"/>
  <c r="C140" i="58"/>
  <c r="B140" i="58"/>
  <c r="Q139" i="58"/>
  <c r="P139" i="58"/>
  <c r="O139" i="58"/>
  <c r="N139" i="58"/>
  <c r="M139" i="58"/>
  <c r="J139" i="58"/>
  <c r="I139" i="58"/>
  <c r="H139" i="58"/>
  <c r="G139" i="58"/>
  <c r="E139" i="58"/>
  <c r="C139" i="58"/>
  <c r="B139" i="58"/>
  <c r="Q138" i="58"/>
  <c r="P138" i="58"/>
  <c r="O138" i="58"/>
  <c r="N138" i="58"/>
  <c r="M138" i="58"/>
  <c r="J138" i="58"/>
  <c r="I138" i="58"/>
  <c r="H138" i="58"/>
  <c r="G138" i="58"/>
  <c r="E138" i="58"/>
  <c r="C138" i="58"/>
  <c r="B138" i="58"/>
  <c r="Q137" i="58"/>
  <c r="P137" i="58"/>
  <c r="O137" i="58"/>
  <c r="N137" i="58"/>
  <c r="M137" i="58"/>
  <c r="J137" i="58"/>
  <c r="I137" i="58"/>
  <c r="H137" i="58"/>
  <c r="G137" i="58"/>
  <c r="E137" i="58"/>
  <c r="C137" i="58"/>
  <c r="B137" i="58"/>
  <c r="Q136" i="58"/>
  <c r="P136" i="58"/>
  <c r="O136" i="58"/>
  <c r="N136" i="58"/>
  <c r="M136" i="58"/>
  <c r="J136" i="58"/>
  <c r="I136" i="58"/>
  <c r="H136" i="58"/>
  <c r="G136" i="58"/>
  <c r="E136" i="58"/>
  <c r="C136" i="58"/>
  <c r="B136" i="58"/>
  <c r="Q135" i="58"/>
  <c r="P135" i="58"/>
  <c r="O135" i="58"/>
  <c r="N135" i="58"/>
  <c r="M135" i="58"/>
  <c r="J135" i="58"/>
  <c r="I135" i="58"/>
  <c r="H135" i="58"/>
  <c r="G135" i="58"/>
  <c r="E135" i="58"/>
  <c r="C135" i="58"/>
  <c r="B135" i="58"/>
  <c r="D131" i="58"/>
  <c r="Q130" i="58"/>
  <c r="P130" i="58"/>
  <c r="O130" i="58"/>
  <c r="N130" i="58"/>
  <c r="M130" i="58"/>
  <c r="J130" i="58"/>
  <c r="I130" i="58"/>
  <c r="H130" i="58"/>
  <c r="G130" i="58"/>
  <c r="E130" i="58"/>
  <c r="C130" i="58"/>
  <c r="B130" i="58"/>
  <c r="Q129" i="58"/>
  <c r="P129" i="58"/>
  <c r="O129" i="58"/>
  <c r="N129" i="58"/>
  <c r="M129" i="58"/>
  <c r="J129" i="58"/>
  <c r="I129" i="58"/>
  <c r="H129" i="58"/>
  <c r="G129" i="58"/>
  <c r="E129" i="58"/>
  <c r="C129" i="58"/>
  <c r="B129" i="58"/>
  <c r="D127" i="58"/>
  <c r="Q126" i="58"/>
  <c r="P126" i="58"/>
  <c r="O126" i="58"/>
  <c r="N126" i="58"/>
  <c r="M126" i="58"/>
  <c r="J126" i="58"/>
  <c r="I126" i="58"/>
  <c r="H126" i="58"/>
  <c r="G126" i="58"/>
  <c r="E126" i="58"/>
  <c r="C126" i="58"/>
  <c r="B126" i="58"/>
  <c r="Q125" i="58"/>
  <c r="P125" i="58"/>
  <c r="O125" i="58"/>
  <c r="N125" i="58"/>
  <c r="M125" i="58"/>
  <c r="J125" i="58"/>
  <c r="I125" i="58"/>
  <c r="H125" i="58"/>
  <c r="G125" i="58"/>
  <c r="F125" i="58"/>
  <c r="E125" i="58"/>
  <c r="C125" i="58"/>
  <c r="B125" i="58"/>
  <c r="Q124" i="58"/>
  <c r="P124" i="58"/>
  <c r="O124" i="58"/>
  <c r="N124" i="58"/>
  <c r="M124" i="58"/>
  <c r="J124" i="58"/>
  <c r="I124" i="58"/>
  <c r="H124" i="58"/>
  <c r="G124" i="58"/>
  <c r="F124" i="58"/>
  <c r="E124" i="58"/>
  <c r="C124" i="58"/>
  <c r="B124" i="58"/>
  <c r="Q123" i="58"/>
  <c r="P123" i="58"/>
  <c r="O123" i="58"/>
  <c r="N123" i="58"/>
  <c r="M123" i="58"/>
  <c r="J123" i="58"/>
  <c r="I123" i="58"/>
  <c r="H123" i="58"/>
  <c r="G123" i="58"/>
  <c r="E123" i="58"/>
  <c r="C123" i="58"/>
  <c r="B123" i="58"/>
  <c r="Q122" i="58"/>
  <c r="P122" i="58"/>
  <c r="O122" i="58"/>
  <c r="N122" i="58"/>
  <c r="M122" i="58"/>
  <c r="J122" i="58"/>
  <c r="I122" i="58"/>
  <c r="H122" i="58"/>
  <c r="G122" i="58"/>
  <c r="E122" i="58"/>
  <c r="C122" i="58"/>
  <c r="B122" i="58"/>
  <c r="Q121" i="58"/>
  <c r="P121" i="58"/>
  <c r="O121" i="58"/>
  <c r="N121" i="58"/>
  <c r="M121" i="58"/>
  <c r="J121" i="58"/>
  <c r="I121" i="58"/>
  <c r="H121" i="58"/>
  <c r="G121" i="58"/>
  <c r="F121" i="58"/>
  <c r="E121" i="58"/>
  <c r="C121" i="58"/>
  <c r="B121" i="58"/>
  <c r="Q120" i="58"/>
  <c r="P120" i="58"/>
  <c r="O120" i="58"/>
  <c r="N120" i="58"/>
  <c r="M120" i="58"/>
  <c r="J120" i="58"/>
  <c r="I120" i="58"/>
  <c r="H120" i="58"/>
  <c r="G120" i="58"/>
  <c r="E120" i="58"/>
  <c r="C120" i="58"/>
  <c r="B120" i="58"/>
  <c r="Q119" i="58"/>
  <c r="P119" i="58"/>
  <c r="O119" i="58"/>
  <c r="N119" i="58"/>
  <c r="M119" i="58"/>
  <c r="J119" i="58"/>
  <c r="I119" i="58"/>
  <c r="H119" i="58"/>
  <c r="G119" i="58"/>
  <c r="E119" i="58"/>
  <c r="C119" i="58"/>
  <c r="B119" i="58"/>
  <c r="U110" i="58"/>
  <c r="U109" i="58"/>
  <c r="U108" i="58"/>
  <c r="U107" i="58"/>
  <c r="U106" i="58"/>
  <c r="U105" i="58"/>
  <c r="U104" i="58"/>
  <c r="U103" i="58"/>
  <c r="U102" i="58"/>
  <c r="U101" i="58"/>
  <c r="U100" i="58"/>
  <c r="U99" i="58"/>
  <c r="U98" i="58"/>
  <c r="U97" i="58"/>
  <c r="U96" i="58"/>
  <c r="U95" i="58"/>
  <c r="U94" i="58"/>
  <c r="U93" i="58"/>
  <c r="U92" i="58"/>
  <c r="U91" i="58"/>
  <c r="U90" i="58"/>
  <c r="U89" i="58"/>
  <c r="U88" i="58"/>
  <c r="U87" i="58"/>
  <c r="U86" i="58"/>
  <c r="U85" i="58"/>
  <c r="U84" i="58"/>
  <c r="U83" i="58"/>
  <c r="U82" i="58"/>
  <c r="U81" i="58"/>
  <c r="U80" i="58"/>
  <c r="U79" i="58"/>
  <c r="U78" i="58"/>
  <c r="U77" i="58"/>
  <c r="U76" i="58"/>
  <c r="U75" i="58"/>
  <c r="U74" i="58"/>
  <c r="U73" i="58"/>
  <c r="U72" i="58"/>
  <c r="U71" i="58"/>
  <c r="U70" i="58"/>
  <c r="U69" i="58"/>
  <c r="U68" i="58"/>
  <c r="U67" i="58"/>
  <c r="U66" i="58"/>
  <c r="U65" i="58"/>
  <c r="U64" i="58"/>
  <c r="U63" i="58"/>
  <c r="U62" i="58"/>
  <c r="U61" i="58"/>
  <c r="U60" i="58"/>
  <c r="U59" i="58"/>
  <c r="U58" i="58"/>
  <c r="U57" i="58"/>
  <c r="U56" i="58"/>
  <c r="U55" i="58"/>
  <c r="U54" i="58"/>
  <c r="U53" i="58"/>
  <c r="U52" i="58"/>
  <c r="U51" i="58"/>
  <c r="U50" i="58"/>
  <c r="U49" i="58"/>
  <c r="U48" i="58"/>
  <c r="U47" i="58"/>
  <c r="U46" i="58"/>
  <c r="U45" i="58"/>
  <c r="U44" i="58"/>
  <c r="U43" i="58"/>
  <c r="U42" i="58"/>
  <c r="U41" i="58"/>
  <c r="U40" i="58"/>
  <c r="U39" i="58"/>
  <c r="U38" i="58"/>
  <c r="U37" i="58"/>
  <c r="U36" i="58"/>
  <c r="U35" i="58"/>
  <c r="U34" i="58"/>
  <c r="U33" i="58"/>
  <c r="U32" i="58"/>
  <c r="F126" i="58" s="1"/>
  <c r="U31" i="58"/>
  <c r="U30" i="58"/>
  <c r="U29" i="58"/>
  <c r="F153" i="58" s="1"/>
  <c r="U28" i="58"/>
  <c r="U27" i="58"/>
  <c r="U26" i="58"/>
  <c r="U25" i="58"/>
  <c r="U24" i="58"/>
  <c r="U23" i="58"/>
  <c r="U22" i="58"/>
  <c r="U21" i="58"/>
  <c r="U20" i="58"/>
  <c r="U19" i="58"/>
  <c r="U18" i="58"/>
  <c r="U17" i="58"/>
  <c r="U16" i="58"/>
  <c r="U15" i="58"/>
  <c r="U14" i="58"/>
  <c r="U13" i="58"/>
  <c r="U12" i="58"/>
  <c r="U11" i="58"/>
  <c r="U10" i="58"/>
  <c r="U9" i="58"/>
  <c r="U8" i="58"/>
  <c r="U7" i="58"/>
  <c r="U6" i="58"/>
  <c r="U5" i="58"/>
  <c r="U4" i="58"/>
  <c r="U3" i="58"/>
  <c r="N191" i="57"/>
  <c r="G191" i="57"/>
  <c r="F191" i="57"/>
  <c r="E191" i="57"/>
  <c r="N190" i="57"/>
  <c r="M190" i="57"/>
  <c r="L190" i="57"/>
  <c r="K190" i="57"/>
  <c r="J190" i="57"/>
  <c r="I190" i="57"/>
  <c r="H190" i="57"/>
  <c r="D190" i="57"/>
  <c r="C190" i="57"/>
  <c r="B190" i="57"/>
  <c r="N189" i="57"/>
  <c r="M189" i="57"/>
  <c r="L189" i="57"/>
  <c r="K189" i="57"/>
  <c r="J189" i="57"/>
  <c r="I189" i="57"/>
  <c r="H189" i="57"/>
  <c r="D189" i="57"/>
  <c r="C189" i="57"/>
  <c r="B189" i="57"/>
  <c r="N187" i="57"/>
  <c r="N186" i="57"/>
  <c r="M186" i="57"/>
  <c r="L186" i="57"/>
  <c r="K186" i="57"/>
  <c r="J186" i="57"/>
  <c r="I186" i="57"/>
  <c r="H186" i="57"/>
  <c r="G186" i="57"/>
  <c r="F186" i="57"/>
  <c r="E186" i="57"/>
  <c r="D186" i="57"/>
  <c r="C186" i="57"/>
  <c r="B186" i="57"/>
  <c r="N185" i="57"/>
  <c r="M185" i="57"/>
  <c r="L185" i="57"/>
  <c r="K185" i="57"/>
  <c r="J185" i="57"/>
  <c r="I185" i="57"/>
  <c r="H185" i="57"/>
  <c r="G185" i="57"/>
  <c r="F185" i="57"/>
  <c r="E185" i="57"/>
  <c r="D185" i="57"/>
  <c r="C185" i="57"/>
  <c r="B185" i="57"/>
  <c r="N184" i="57"/>
  <c r="M184" i="57"/>
  <c r="L184" i="57"/>
  <c r="K184" i="57"/>
  <c r="J184" i="57"/>
  <c r="I184" i="57"/>
  <c r="H184" i="57"/>
  <c r="G184" i="57"/>
  <c r="F184" i="57"/>
  <c r="E184" i="57"/>
  <c r="D184" i="57"/>
  <c r="C184" i="57"/>
  <c r="B184" i="57"/>
  <c r="N183" i="57"/>
  <c r="M183" i="57"/>
  <c r="L183" i="57"/>
  <c r="K183" i="57"/>
  <c r="J183" i="57"/>
  <c r="I183" i="57"/>
  <c r="H183" i="57"/>
  <c r="G183" i="57"/>
  <c r="F183" i="57"/>
  <c r="E183" i="57"/>
  <c r="D183" i="57"/>
  <c r="C183" i="57"/>
  <c r="B183" i="57"/>
  <c r="N182" i="57"/>
  <c r="M182" i="57"/>
  <c r="L182" i="57"/>
  <c r="K182" i="57"/>
  <c r="J182" i="57"/>
  <c r="I182" i="57"/>
  <c r="H182" i="57"/>
  <c r="G182" i="57"/>
  <c r="F182" i="57"/>
  <c r="E182" i="57"/>
  <c r="D182" i="57"/>
  <c r="C182" i="57"/>
  <c r="B182" i="57"/>
  <c r="N181" i="57"/>
  <c r="M181" i="57"/>
  <c r="L181" i="57"/>
  <c r="K181" i="57"/>
  <c r="J181" i="57"/>
  <c r="I181" i="57"/>
  <c r="H181" i="57"/>
  <c r="G181" i="57"/>
  <c r="F181" i="57"/>
  <c r="E181" i="57"/>
  <c r="D181" i="57"/>
  <c r="C181" i="57"/>
  <c r="B181" i="57"/>
  <c r="N180" i="57"/>
  <c r="M180" i="57"/>
  <c r="L180" i="57"/>
  <c r="K180" i="57"/>
  <c r="J180" i="57"/>
  <c r="I180" i="57"/>
  <c r="H180" i="57"/>
  <c r="G180" i="57"/>
  <c r="F180" i="57"/>
  <c r="E180" i="57"/>
  <c r="D180" i="57"/>
  <c r="C180" i="57"/>
  <c r="B180" i="57"/>
  <c r="D175" i="57"/>
  <c r="C175" i="57"/>
  <c r="B175" i="57"/>
  <c r="O174" i="57"/>
  <c r="N174" i="57"/>
  <c r="M174" i="57"/>
  <c r="J174" i="57"/>
  <c r="I174" i="57"/>
  <c r="L174" i="57" s="1"/>
  <c r="H174" i="57"/>
  <c r="K174" i="57" s="1"/>
  <c r="G174" i="57"/>
  <c r="F174" i="57"/>
  <c r="E174" i="57"/>
  <c r="O173" i="57"/>
  <c r="N173" i="57"/>
  <c r="M173" i="57"/>
  <c r="J173" i="57"/>
  <c r="I173" i="57"/>
  <c r="H173" i="57"/>
  <c r="K173" i="57" s="1"/>
  <c r="G173" i="57"/>
  <c r="F173" i="57"/>
  <c r="E173" i="57"/>
  <c r="D171" i="57"/>
  <c r="C171" i="57"/>
  <c r="B171" i="57"/>
  <c r="O170" i="57"/>
  <c r="N170" i="57"/>
  <c r="M170" i="57"/>
  <c r="J170" i="57"/>
  <c r="I170" i="57"/>
  <c r="L170" i="57" s="1"/>
  <c r="H170" i="57"/>
  <c r="K170" i="57" s="1"/>
  <c r="G170" i="57"/>
  <c r="F170" i="57"/>
  <c r="E170" i="57"/>
  <c r="O169" i="57"/>
  <c r="N169" i="57"/>
  <c r="M169" i="57"/>
  <c r="J169" i="57"/>
  <c r="I169" i="57"/>
  <c r="L169" i="57" s="1"/>
  <c r="H169" i="57"/>
  <c r="K169" i="57" s="1"/>
  <c r="G169" i="57"/>
  <c r="F169" i="57"/>
  <c r="E169" i="57"/>
  <c r="O168" i="57"/>
  <c r="N168" i="57"/>
  <c r="M168" i="57"/>
  <c r="J168" i="57"/>
  <c r="I168" i="57"/>
  <c r="L168" i="57" s="1"/>
  <c r="H168" i="57"/>
  <c r="K168" i="57" s="1"/>
  <c r="G168" i="57"/>
  <c r="E168" i="57"/>
  <c r="O167" i="57"/>
  <c r="N167" i="57"/>
  <c r="M167" i="57"/>
  <c r="J167" i="57"/>
  <c r="I167" i="57"/>
  <c r="L167" i="57" s="1"/>
  <c r="H167" i="57"/>
  <c r="K167" i="57" s="1"/>
  <c r="G167" i="57"/>
  <c r="F167" i="57"/>
  <c r="E167" i="57"/>
  <c r="O166" i="57"/>
  <c r="N166" i="57"/>
  <c r="M166" i="57"/>
  <c r="J166" i="57"/>
  <c r="I166" i="57"/>
  <c r="L166" i="57" s="1"/>
  <c r="H166" i="57"/>
  <c r="K166" i="57" s="1"/>
  <c r="G166" i="57"/>
  <c r="F166" i="57"/>
  <c r="E166" i="57"/>
  <c r="O165" i="57"/>
  <c r="N165" i="57"/>
  <c r="M165" i="57"/>
  <c r="J165" i="57"/>
  <c r="I165" i="57"/>
  <c r="H165" i="57"/>
  <c r="G165" i="57"/>
  <c r="F165" i="57"/>
  <c r="E165" i="57"/>
  <c r="O164" i="57"/>
  <c r="N164" i="57"/>
  <c r="M164" i="57"/>
  <c r="J164" i="57"/>
  <c r="I164" i="57"/>
  <c r="L164" i="57" s="1"/>
  <c r="H164" i="57"/>
  <c r="K164" i="57" s="1"/>
  <c r="G164" i="57"/>
  <c r="F164" i="57"/>
  <c r="E164" i="57"/>
  <c r="J159" i="57"/>
  <c r="I159" i="57"/>
  <c r="H159" i="57"/>
  <c r="G159" i="57"/>
  <c r="E159" i="57"/>
  <c r="D159" i="57"/>
  <c r="C159" i="57"/>
  <c r="B159" i="57"/>
  <c r="J158" i="57"/>
  <c r="I158" i="57"/>
  <c r="H158" i="57"/>
  <c r="G158" i="57"/>
  <c r="E158" i="57"/>
  <c r="D158" i="57"/>
  <c r="C158" i="57"/>
  <c r="B158" i="57"/>
  <c r="J155" i="57"/>
  <c r="I155" i="57"/>
  <c r="L155" i="57" s="1"/>
  <c r="H155" i="57"/>
  <c r="K155" i="57" s="1"/>
  <c r="G155" i="57"/>
  <c r="E155" i="57"/>
  <c r="J154" i="57"/>
  <c r="I154" i="57"/>
  <c r="L154" i="57" s="1"/>
  <c r="H154" i="57"/>
  <c r="K154" i="57" s="1"/>
  <c r="G154" i="57"/>
  <c r="F154" i="57"/>
  <c r="E154" i="57"/>
  <c r="J153" i="57"/>
  <c r="I153" i="57"/>
  <c r="H153" i="57"/>
  <c r="G153" i="57"/>
  <c r="E153" i="57"/>
  <c r="D153" i="57"/>
  <c r="C153" i="57"/>
  <c r="B153" i="57"/>
  <c r="J152" i="57"/>
  <c r="I152" i="57"/>
  <c r="H152" i="57"/>
  <c r="G152" i="57"/>
  <c r="E152" i="57"/>
  <c r="D152" i="57"/>
  <c r="C152" i="57"/>
  <c r="B152" i="57"/>
  <c r="J151" i="57"/>
  <c r="I151" i="57"/>
  <c r="H151" i="57"/>
  <c r="G151" i="57"/>
  <c r="E151" i="57"/>
  <c r="D151" i="57"/>
  <c r="C151" i="57"/>
  <c r="B151" i="57"/>
  <c r="J150" i="57"/>
  <c r="I150" i="57"/>
  <c r="H150" i="57"/>
  <c r="G150" i="57"/>
  <c r="E150" i="57"/>
  <c r="D150" i="57"/>
  <c r="C150" i="57"/>
  <c r="B150" i="57"/>
  <c r="J149" i="57"/>
  <c r="I149" i="57"/>
  <c r="H149" i="57"/>
  <c r="G149" i="57"/>
  <c r="E149" i="57"/>
  <c r="D149" i="57"/>
  <c r="C149" i="57"/>
  <c r="B149" i="57"/>
  <c r="D145" i="57"/>
  <c r="Q144" i="57"/>
  <c r="P144" i="57"/>
  <c r="O144" i="57"/>
  <c r="N144" i="57"/>
  <c r="M144" i="57"/>
  <c r="J144" i="57"/>
  <c r="I144" i="57"/>
  <c r="H144" i="57"/>
  <c r="G144" i="57"/>
  <c r="E144" i="57"/>
  <c r="C144" i="57"/>
  <c r="B144" i="57"/>
  <c r="Q143" i="57"/>
  <c r="P143" i="57"/>
  <c r="O143" i="57"/>
  <c r="N143" i="57"/>
  <c r="M143" i="57"/>
  <c r="J143" i="57"/>
  <c r="I143" i="57"/>
  <c r="H143" i="57"/>
  <c r="G143" i="57"/>
  <c r="E143" i="57"/>
  <c r="C143" i="57"/>
  <c r="B143" i="57"/>
  <c r="D141" i="57"/>
  <c r="Q140" i="57"/>
  <c r="P140" i="57"/>
  <c r="O140" i="57"/>
  <c r="N140" i="57"/>
  <c r="M140" i="57"/>
  <c r="J140" i="57"/>
  <c r="I140" i="57"/>
  <c r="H140" i="57"/>
  <c r="G140" i="57"/>
  <c r="E140" i="57"/>
  <c r="C140" i="57"/>
  <c r="B140" i="57"/>
  <c r="Q139" i="57"/>
  <c r="P139" i="57"/>
  <c r="O139" i="57"/>
  <c r="N139" i="57"/>
  <c r="M139" i="57"/>
  <c r="J139" i="57"/>
  <c r="I139" i="57"/>
  <c r="H139" i="57"/>
  <c r="G139" i="57"/>
  <c r="F139" i="57"/>
  <c r="E139" i="57"/>
  <c r="C139" i="57"/>
  <c r="B139" i="57"/>
  <c r="Q138" i="57"/>
  <c r="P138" i="57"/>
  <c r="O138" i="57"/>
  <c r="N138" i="57"/>
  <c r="M138" i="57"/>
  <c r="J138" i="57"/>
  <c r="I138" i="57"/>
  <c r="H138" i="57"/>
  <c r="G138" i="57"/>
  <c r="E138" i="57"/>
  <c r="C138" i="57"/>
  <c r="B138" i="57"/>
  <c r="Q137" i="57"/>
  <c r="P137" i="57"/>
  <c r="O137" i="57"/>
  <c r="N137" i="57"/>
  <c r="M137" i="57"/>
  <c r="J137" i="57"/>
  <c r="I137" i="57"/>
  <c r="H137" i="57"/>
  <c r="G137" i="57"/>
  <c r="E137" i="57"/>
  <c r="C137" i="57"/>
  <c r="B137" i="57"/>
  <c r="Q136" i="57"/>
  <c r="P136" i="57"/>
  <c r="O136" i="57"/>
  <c r="N136" i="57"/>
  <c r="M136" i="57"/>
  <c r="J136" i="57"/>
  <c r="I136" i="57"/>
  <c r="H136" i="57"/>
  <c r="G136" i="57"/>
  <c r="E136" i="57"/>
  <c r="C136" i="57"/>
  <c r="B136" i="57"/>
  <c r="Q135" i="57"/>
  <c r="P135" i="57"/>
  <c r="O135" i="57"/>
  <c r="N135" i="57"/>
  <c r="M135" i="57"/>
  <c r="J135" i="57"/>
  <c r="I135" i="57"/>
  <c r="H135" i="57"/>
  <c r="G135" i="57"/>
  <c r="E135" i="57"/>
  <c r="C135" i="57"/>
  <c r="B135" i="57"/>
  <c r="Q134" i="57"/>
  <c r="P134" i="57"/>
  <c r="O134" i="57"/>
  <c r="N134" i="57"/>
  <c r="M134" i="57"/>
  <c r="J134" i="57"/>
  <c r="I134" i="57"/>
  <c r="H134" i="57"/>
  <c r="G134" i="57"/>
  <c r="E134" i="57"/>
  <c r="C134" i="57"/>
  <c r="B134" i="57"/>
  <c r="D130" i="57"/>
  <c r="Q129" i="57"/>
  <c r="P129" i="57"/>
  <c r="O129" i="57"/>
  <c r="N129" i="57"/>
  <c r="M129" i="57"/>
  <c r="J129" i="57"/>
  <c r="I129" i="57"/>
  <c r="H129" i="57"/>
  <c r="G129" i="57"/>
  <c r="E129" i="57"/>
  <c r="C129" i="57"/>
  <c r="B129" i="57"/>
  <c r="Q128" i="57"/>
  <c r="P128" i="57"/>
  <c r="O128" i="57"/>
  <c r="N128" i="57"/>
  <c r="M128" i="57"/>
  <c r="J128" i="57"/>
  <c r="I128" i="57"/>
  <c r="H128" i="57"/>
  <c r="G128" i="57"/>
  <c r="E128" i="57"/>
  <c r="C128" i="57"/>
  <c r="B128" i="57"/>
  <c r="D126" i="57"/>
  <c r="Q125" i="57"/>
  <c r="P125" i="57"/>
  <c r="O125" i="57"/>
  <c r="N125" i="57"/>
  <c r="M125" i="57"/>
  <c r="J125" i="57"/>
  <c r="I125" i="57"/>
  <c r="H125" i="57"/>
  <c r="G125" i="57"/>
  <c r="E125" i="57"/>
  <c r="C125" i="57"/>
  <c r="B125" i="57"/>
  <c r="Q124" i="57"/>
  <c r="P124" i="57"/>
  <c r="O124" i="57"/>
  <c r="N124" i="57"/>
  <c r="M124" i="57"/>
  <c r="J124" i="57"/>
  <c r="I124" i="57"/>
  <c r="H124" i="57"/>
  <c r="G124" i="57"/>
  <c r="F124" i="57"/>
  <c r="E124" i="57"/>
  <c r="C124" i="57"/>
  <c r="B124" i="57"/>
  <c r="Q123" i="57"/>
  <c r="P123" i="57"/>
  <c r="O123" i="57"/>
  <c r="N123" i="57"/>
  <c r="M123" i="57"/>
  <c r="J123" i="57"/>
  <c r="I123" i="57"/>
  <c r="H123" i="57"/>
  <c r="G123" i="57"/>
  <c r="E123" i="57"/>
  <c r="C123" i="57"/>
  <c r="B123" i="57"/>
  <c r="Q122" i="57"/>
  <c r="P122" i="57"/>
  <c r="O122" i="57"/>
  <c r="N122" i="57"/>
  <c r="M122" i="57"/>
  <c r="J122" i="57"/>
  <c r="I122" i="57"/>
  <c r="H122" i="57"/>
  <c r="G122" i="57"/>
  <c r="E122" i="57"/>
  <c r="C122" i="57"/>
  <c r="B122" i="57"/>
  <c r="Q121" i="57"/>
  <c r="P121" i="57"/>
  <c r="O121" i="57"/>
  <c r="N121" i="57"/>
  <c r="M121" i="57"/>
  <c r="J121" i="57"/>
  <c r="I121" i="57"/>
  <c r="H121" i="57"/>
  <c r="G121" i="57"/>
  <c r="E121" i="57"/>
  <c r="C121" i="57"/>
  <c r="B121" i="57"/>
  <c r="Q120" i="57"/>
  <c r="P120" i="57"/>
  <c r="O120" i="57"/>
  <c r="N120" i="57"/>
  <c r="M120" i="57"/>
  <c r="J120" i="57"/>
  <c r="I120" i="57"/>
  <c r="H120" i="57"/>
  <c r="G120" i="57"/>
  <c r="E120" i="57"/>
  <c r="C120" i="57"/>
  <c r="B120" i="57"/>
  <c r="Q119" i="57"/>
  <c r="P119" i="57"/>
  <c r="O119" i="57"/>
  <c r="N119" i="57"/>
  <c r="M119" i="57"/>
  <c r="J119" i="57"/>
  <c r="I119" i="57"/>
  <c r="H119" i="57"/>
  <c r="G119" i="57"/>
  <c r="E119" i="57"/>
  <c r="C119" i="57"/>
  <c r="B119" i="57"/>
  <c r="U110" i="57"/>
  <c r="U109" i="57"/>
  <c r="U108" i="57"/>
  <c r="U107" i="57"/>
  <c r="U106" i="57"/>
  <c r="U105" i="57"/>
  <c r="U104" i="57"/>
  <c r="U103" i="57"/>
  <c r="U102" i="57"/>
  <c r="U101" i="57"/>
  <c r="U100" i="57"/>
  <c r="U99" i="57"/>
  <c r="U98" i="57"/>
  <c r="U97" i="57"/>
  <c r="U96" i="57"/>
  <c r="U95" i="57"/>
  <c r="U94" i="57"/>
  <c r="U93" i="57"/>
  <c r="U92" i="57"/>
  <c r="U91" i="57"/>
  <c r="U90" i="57"/>
  <c r="U89" i="57"/>
  <c r="U88" i="57"/>
  <c r="U87" i="57"/>
  <c r="U86" i="57"/>
  <c r="U85" i="57"/>
  <c r="U84" i="57"/>
  <c r="U83" i="57"/>
  <c r="U82" i="57"/>
  <c r="U81" i="57"/>
  <c r="U80" i="57"/>
  <c r="U79" i="57"/>
  <c r="U78" i="57"/>
  <c r="U77" i="57"/>
  <c r="U76" i="57"/>
  <c r="U75" i="57"/>
  <c r="U74" i="57"/>
  <c r="U73" i="57"/>
  <c r="U72" i="57"/>
  <c r="U71" i="57"/>
  <c r="U70" i="57"/>
  <c r="U69" i="57"/>
  <c r="U68" i="57"/>
  <c r="U67" i="57"/>
  <c r="U66" i="57"/>
  <c r="U65" i="57"/>
  <c r="U64" i="57"/>
  <c r="U63" i="57"/>
  <c r="U62" i="57"/>
  <c r="U61" i="57"/>
  <c r="U60" i="57"/>
  <c r="U59" i="57"/>
  <c r="U58" i="57"/>
  <c r="U57" i="57"/>
  <c r="U56" i="57"/>
  <c r="U55" i="57"/>
  <c r="U54" i="57"/>
  <c r="U53" i="57"/>
  <c r="U52" i="57"/>
  <c r="U51" i="57"/>
  <c r="U50" i="57"/>
  <c r="U49" i="57"/>
  <c r="U48" i="57"/>
  <c r="U47" i="57"/>
  <c r="U46" i="57"/>
  <c r="U45" i="57"/>
  <c r="U44" i="57"/>
  <c r="U43" i="57"/>
  <c r="U42" i="57"/>
  <c r="U41" i="57"/>
  <c r="U40" i="57"/>
  <c r="U39" i="57"/>
  <c r="U38" i="57"/>
  <c r="U37" i="57"/>
  <c r="U36" i="57"/>
  <c r="U35" i="57"/>
  <c r="U34" i="57"/>
  <c r="U33" i="57"/>
  <c r="U32" i="57"/>
  <c r="U31" i="57"/>
  <c r="U30" i="57"/>
  <c r="U29" i="57"/>
  <c r="U28" i="57"/>
  <c r="U27" i="57"/>
  <c r="U26" i="57"/>
  <c r="U25" i="57"/>
  <c r="U24" i="57"/>
  <c r="U23" i="57"/>
  <c r="U22" i="57"/>
  <c r="U21" i="57"/>
  <c r="U20" i="57"/>
  <c r="U19" i="57"/>
  <c r="U18" i="57"/>
  <c r="U17" i="57"/>
  <c r="U16" i="57"/>
  <c r="U15" i="57"/>
  <c r="U14" i="57"/>
  <c r="U13" i="57"/>
  <c r="U12" i="57"/>
  <c r="U11" i="57"/>
  <c r="U10" i="57"/>
  <c r="U9" i="57"/>
  <c r="U8" i="57"/>
  <c r="U7" i="57"/>
  <c r="U6" i="57"/>
  <c r="F168" i="57" s="1"/>
  <c r="U5" i="57"/>
  <c r="U4" i="57"/>
  <c r="U3" i="57"/>
  <c r="N167" i="56"/>
  <c r="M167" i="56"/>
  <c r="L167" i="56"/>
  <c r="K167" i="56"/>
  <c r="J167" i="56"/>
  <c r="I167" i="56"/>
  <c r="H167" i="56"/>
  <c r="G167" i="56"/>
  <c r="E167" i="56"/>
  <c r="D167" i="56"/>
  <c r="C167" i="56"/>
  <c r="B167" i="56"/>
  <c r="N166" i="56"/>
  <c r="M166" i="56"/>
  <c r="L166" i="56"/>
  <c r="K166" i="56"/>
  <c r="J166" i="56"/>
  <c r="I166" i="56"/>
  <c r="H166" i="56"/>
  <c r="G166" i="56"/>
  <c r="E166" i="56"/>
  <c r="D166" i="56"/>
  <c r="C166" i="56"/>
  <c r="B166" i="56"/>
  <c r="N163" i="56"/>
  <c r="M163" i="56"/>
  <c r="L163" i="56"/>
  <c r="K163" i="56"/>
  <c r="J163" i="56"/>
  <c r="I163" i="56"/>
  <c r="H163" i="56"/>
  <c r="G163" i="56"/>
  <c r="F163" i="56"/>
  <c r="E163" i="56"/>
  <c r="D163" i="56"/>
  <c r="C163" i="56"/>
  <c r="B163" i="56"/>
  <c r="N162" i="56"/>
  <c r="M162" i="56"/>
  <c r="L162" i="56"/>
  <c r="K162" i="56"/>
  <c r="J162" i="56"/>
  <c r="I162" i="56"/>
  <c r="H162" i="56"/>
  <c r="G162" i="56"/>
  <c r="F162" i="56"/>
  <c r="E162" i="56"/>
  <c r="D162" i="56"/>
  <c r="C162" i="56"/>
  <c r="B162" i="56"/>
  <c r="N161" i="56"/>
  <c r="M161" i="56"/>
  <c r="L161" i="56"/>
  <c r="K161" i="56"/>
  <c r="J161" i="56"/>
  <c r="I161" i="56"/>
  <c r="H161" i="56"/>
  <c r="G161" i="56"/>
  <c r="E161" i="56"/>
  <c r="D161" i="56"/>
  <c r="C161" i="56"/>
  <c r="B161" i="56"/>
  <c r="N160" i="56"/>
  <c r="M160" i="56"/>
  <c r="L160" i="56"/>
  <c r="K160" i="56"/>
  <c r="J160" i="56"/>
  <c r="I160" i="56"/>
  <c r="H160" i="56"/>
  <c r="G160" i="56"/>
  <c r="F160" i="56"/>
  <c r="E160" i="56"/>
  <c r="D160" i="56"/>
  <c r="C160" i="56"/>
  <c r="B160" i="56"/>
  <c r="N159" i="56"/>
  <c r="M159" i="56"/>
  <c r="L159" i="56"/>
  <c r="K159" i="56"/>
  <c r="J159" i="56"/>
  <c r="I159" i="56"/>
  <c r="H159" i="56"/>
  <c r="G159" i="56"/>
  <c r="E159" i="56"/>
  <c r="D159" i="56"/>
  <c r="C159" i="56"/>
  <c r="B159" i="56"/>
  <c r="N158" i="56"/>
  <c r="M158" i="56"/>
  <c r="L158" i="56"/>
  <c r="K158" i="56"/>
  <c r="J158" i="56"/>
  <c r="I158" i="56"/>
  <c r="H158" i="56"/>
  <c r="G158" i="56"/>
  <c r="F158" i="56"/>
  <c r="E158" i="56"/>
  <c r="D158" i="56"/>
  <c r="C158" i="56"/>
  <c r="B158" i="56"/>
  <c r="N157" i="56"/>
  <c r="M157" i="56"/>
  <c r="L157" i="56"/>
  <c r="K157" i="56"/>
  <c r="J157" i="56"/>
  <c r="I157" i="56"/>
  <c r="H157" i="56"/>
  <c r="G157" i="56"/>
  <c r="F157" i="56"/>
  <c r="E157" i="56"/>
  <c r="D157" i="56"/>
  <c r="C157" i="56"/>
  <c r="B157" i="56"/>
  <c r="D152" i="56"/>
  <c r="C152" i="56"/>
  <c r="B152" i="56"/>
  <c r="O151" i="56"/>
  <c r="N151" i="56"/>
  <c r="M151" i="56"/>
  <c r="J151" i="56"/>
  <c r="I151" i="56"/>
  <c r="L151" i="56" s="1"/>
  <c r="H151" i="56"/>
  <c r="K151" i="56" s="1"/>
  <c r="G151" i="56"/>
  <c r="F151" i="56"/>
  <c r="E151" i="56"/>
  <c r="O150" i="56"/>
  <c r="N150" i="56"/>
  <c r="M150" i="56"/>
  <c r="J150" i="56"/>
  <c r="I150" i="56"/>
  <c r="H150" i="56"/>
  <c r="K150" i="56" s="1"/>
  <c r="G150" i="56"/>
  <c r="F150" i="56"/>
  <c r="E150" i="56"/>
  <c r="D148" i="56"/>
  <c r="C148" i="56"/>
  <c r="B148" i="56"/>
  <c r="O147" i="56"/>
  <c r="N147" i="56"/>
  <c r="M147" i="56"/>
  <c r="J147" i="56"/>
  <c r="I147" i="56"/>
  <c r="L147" i="56" s="1"/>
  <c r="H147" i="56"/>
  <c r="K147" i="56" s="1"/>
  <c r="G147" i="56"/>
  <c r="F147" i="56"/>
  <c r="E147" i="56"/>
  <c r="O146" i="56"/>
  <c r="N146" i="56"/>
  <c r="M146" i="56"/>
  <c r="J146" i="56"/>
  <c r="I146" i="56"/>
  <c r="L146" i="56" s="1"/>
  <c r="H146" i="56"/>
  <c r="K146" i="56" s="1"/>
  <c r="G146" i="56"/>
  <c r="F146" i="56"/>
  <c r="E146" i="56"/>
  <c r="O145" i="56"/>
  <c r="N145" i="56"/>
  <c r="M145" i="56"/>
  <c r="J145" i="56"/>
  <c r="I145" i="56"/>
  <c r="L145" i="56" s="1"/>
  <c r="H145" i="56"/>
  <c r="K145" i="56" s="1"/>
  <c r="G145" i="56"/>
  <c r="F145" i="56"/>
  <c r="E145" i="56"/>
  <c r="O144" i="56"/>
  <c r="N144" i="56"/>
  <c r="M144" i="56"/>
  <c r="J144" i="56"/>
  <c r="I144" i="56"/>
  <c r="L144" i="56" s="1"/>
  <c r="H144" i="56"/>
  <c r="K144" i="56" s="1"/>
  <c r="G144" i="56"/>
  <c r="E144" i="56"/>
  <c r="O143" i="56"/>
  <c r="N143" i="56"/>
  <c r="M143" i="56"/>
  <c r="J143" i="56"/>
  <c r="I143" i="56"/>
  <c r="L143" i="56" s="1"/>
  <c r="H143" i="56"/>
  <c r="K143" i="56" s="1"/>
  <c r="G143" i="56"/>
  <c r="F143" i="56"/>
  <c r="E143" i="56"/>
  <c r="O142" i="56"/>
  <c r="N142" i="56"/>
  <c r="M142" i="56"/>
  <c r="J142" i="56"/>
  <c r="I142" i="56"/>
  <c r="H142" i="56"/>
  <c r="K142" i="56" s="1"/>
  <c r="G142" i="56"/>
  <c r="F142" i="56"/>
  <c r="E142" i="56"/>
  <c r="O141" i="56"/>
  <c r="N141" i="56"/>
  <c r="M141" i="56"/>
  <c r="J141" i="56"/>
  <c r="I141" i="56"/>
  <c r="L141" i="56" s="1"/>
  <c r="H141" i="56"/>
  <c r="K141" i="56" s="1"/>
  <c r="G141" i="56"/>
  <c r="F141" i="56"/>
  <c r="E141" i="56"/>
  <c r="J136" i="56"/>
  <c r="I136" i="56"/>
  <c r="H136" i="56"/>
  <c r="G136" i="56"/>
  <c r="E136" i="56"/>
  <c r="D136" i="56"/>
  <c r="C136" i="56"/>
  <c r="B136" i="56"/>
  <c r="J135" i="56"/>
  <c r="I135" i="56"/>
  <c r="H135" i="56"/>
  <c r="G135" i="56"/>
  <c r="E135" i="56"/>
  <c r="D135" i="56"/>
  <c r="C135" i="56"/>
  <c r="B135" i="56"/>
  <c r="J132" i="56"/>
  <c r="I132" i="56"/>
  <c r="L132" i="56" s="1"/>
  <c r="H132" i="56"/>
  <c r="K132" i="56" s="1"/>
  <c r="G132" i="56"/>
  <c r="E132" i="56"/>
  <c r="J131" i="56"/>
  <c r="I131" i="56"/>
  <c r="L131" i="56" s="1"/>
  <c r="H131" i="56"/>
  <c r="K131" i="56" s="1"/>
  <c r="G131" i="56"/>
  <c r="F131" i="56"/>
  <c r="E131" i="56"/>
  <c r="J130" i="56"/>
  <c r="I130" i="56"/>
  <c r="H130" i="56"/>
  <c r="G130" i="56"/>
  <c r="E130" i="56"/>
  <c r="D130" i="56"/>
  <c r="C130" i="56"/>
  <c r="B130" i="56"/>
  <c r="J129" i="56"/>
  <c r="I129" i="56"/>
  <c r="H129" i="56"/>
  <c r="G129" i="56"/>
  <c r="E129" i="56"/>
  <c r="D129" i="56"/>
  <c r="C129" i="56"/>
  <c r="B129" i="56"/>
  <c r="J128" i="56"/>
  <c r="I128" i="56"/>
  <c r="H128" i="56"/>
  <c r="G128" i="56"/>
  <c r="E128" i="56"/>
  <c r="D128" i="56"/>
  <c r="C128" i="56"/>
  <c r="B128" i="56"/>
  <c r="J127" i="56"/>
  <c r="I127" i="56"/>
  <c r="H127" i="56"/>
  <c r="G127" i="56"/>
  <c r="E127" i="56"/>
  <c r="D127" i="56"/>
  <c r="C127" i="56"/>
  <c r="B127" i="56"/>
  <c r="J126" i="56"/>
  <c r="I126" i="56"/>
  <c r="H126" i="56"/>
  <c r="G126" i="56"/>
  <c r="E126" i="56"/>
  <c r="D126" i="56"/>
  <c r="C126" i="56"/>
  <c r="B126" i="56"/>
  <c r="D122" i="56"/>
  <c r="Q121" i="56"/>
  <c r="P121" i="56"/>
  <c r="O121" i="56"/>
  <c r="N121" i="56"/>
  <c r="M121" i="56"/>
  <c r="J121" i="56"/>
  <c r="I121" i="56"/>
  <c r="H121" i="56"/>
  <c r="G121" i="56"/>
  <c r="E121" i="56"/>
  <c r="C121" i="56"/>
  <c r="B121" i="56"/>
  <c r="Q120" i="56"/>
  <c r="P120" i="56"/>
  <c r="O120" i="56"/>
  <c r="N120" i="56"/>
  <c r="M120" i="56"/>
  <c r="J120" i="56"/>
  <c r="I120" i="56"/>
  <c r="H120" i="56"/>
  <c r="G120" i="56"/>
  <c r="F120" i="56"/>
  <c r="E120" i="56"/>
  <c r="C120" i="56"/>
  <c r="B120" i="56"/>
  <c r="D118" i="56"/>
  <c r="Q117" i="56"/>
  <c r="P117" i="56"/>
  <c r="O117" i="56"/>
  <c r="N117" i="56"/>
  <c r="M117" i="56"/>
  <c r="J117" i="56"/>
  <c r="I117" i="56"/>
  <c r="H117" i="56"/>
  <c r="G117" i="56"/>
  <c r="E117" i="56"/>
  <c r="C117" i="56"/>
  <c r="B117" i="56"/>
  <c r="Q116" i="56"/>
  <c r="P116" i="56"/>
  <c r="O116" i="56"/>
  <c r="N116" i="56"/>
  <c r="M116" i="56"/>
  <c r="J116" i="56"/>
  <c r="I116" i="56"/>
  <c r="H116" i="56"/>
  <c r="G116" i="56"/>
  <c r="F116" i="56"/>
  <c r="E116" i="56"/>
  <c r="C116" i="56"/>
  <c r="B116" i="56"/>
  <c r="Q115" i="56"/>
  <c r="P115" i="56"/>
  <c r="O115" i="56"/>
  <c r="N115" i="56"/>
  <c r="M115" i="56"/>
  <c r="J115" i="56"/>
  <c r="I115" i="56"/>
  <c r="H115" i="56"/>
  <c r="G115" i="56"/>
  <c r="F115" i="56"/>
  <c r="E115" i="56"/>
  <c r="C115" i="56"/>
  <c r="B115" i="56"/>
  <c r="Q114" i="56"/>
  <c r="P114" i="56"/>
  <c r="O114" i="56"/>
  <c r="N114" i="56"/>
  <c r="M114" i="56"/>
  <c r="J114" i="56"/>
  <c r="I114" i="56"/>
  <c r="H114" i="56"/>
  <c r="G114" i="56"/>
  <c r="F114" i="56"/>
  <c r="E114" i="56"/>
  <c r="C114" i="56"/>
  <c r="B114" i="56"/>
  <c r="Q113" i="56"/>
  <c r="P113" i="56"/>
  <c r="O113" i="56"/>
  <c r="N113" i="56"/>
  <c r="M113" i="56"/>
  <c r="J113" i="56"/>
  <c r="I113" i="56"/>
  <c r="H113" i="56"/>
  <c r="G113" i="56"/>
  <c r="F113" i="56"/>
  <c r="E113" i="56"/>
  <c r="C113" i="56"/>
  <c r="B113" i="56"/>
  <c r="Q112" i="56"/>
  <c r="P112" i="56"/>
  <c r="O112" i="56"/>
  <c r="N112" i="56"/>
  <c r="M112" i="56"/>
  <c r="J112" i="56"/>
  <c r="I112" i="56"/>
  <c r="H112" i="56"/>
  <c r="G112" i="56"/>
  <c r="F112" i="56"/>
  <c r="E112" i="56"/>
  <c r="C112" i="56"/>
  <c r="B112" i="56"/>
  <c r="Q111" i="56"/>
  <c r="P111" i="56"/>
  <c r="O111" i="56"/>
  <c r="N111" i="56"/>
  <c r="M111" i="56"/>
  <c r="J111" i="56"/>
  <c r="I111" i="56"/>
  <c r="H111" i="56"/>
  <c r="G111" i="56"/>
  <c r="F111" i="56"/>
  <c r="E111" i="56"/>
  <c r="C111" i="56"/>
  <c r="B111" i="56"/>
  <c r="D107" i="56"/>
  <c r="Q106" i="56"/>
  <c r="P106" i="56"/>
  <c r="O106" i="56"/>
  <c r="N106" i="56"/>
  <c r="M106" i="56"/>
  <c r="J106" i="56"/>
  <c r="I106" i="56"/>
  <c r="H106" i="56"/>
  <c r="G106" i="56"/>
  <c r="E106" i="56"/>
  <c r="C106" i="56"/>
  <c r="B106" i="56"/>
  <c r="Q105" i="56"/>
  <c r="P105" i="56"/>
  <c r="O105" i="56"/>
  <c r="N105" i="56"/>
  <c r="M105" i="56"/>
  <c r="J105" i="56"/>
  <c r="I105" i="56"/>
  <c r="H105" i="56"/>
  <c r="G105" i="56"/>
  <c r="E105" i="56"/>
  <c r="C105" i="56"/>
  <c r="B105" i="56"/>
  <c r="D103" i="56"/>
  <c r="Q102" i="56"/>
  <c r="P102" i="56"/>
  <c r="O102" i="56"/>
  <c r="N102" i="56"/>
  <c r="M102" i="56"/>
  <c r="J102" i="56"/>
  <c r="I102" i="56"/>
  <c r="H102" i="56"/>
  <c r="G102" i="56"/>
  <c r="E102" i="56"/>
  <c r="C102" i="56"/>
  <c r="B102" i="56"/>
  <c r="Q101" i="56"/>
  <c r="P101" i="56"/>
  <c r="O101" i="56"/>
  <c r="N101" i="56"/>
  <c r="M101" i="56"/>
  <c r="J101" i="56"/>
  <c r="I101" i="56"/>
  <c r="H101" i="56"/>
  <c r="G101" i="56"/>
  <c r="F101" i="56"/>
  <c r="E101" i="56"/>
  <c r="C101" i="56"/>
  <c r="B101" i="56"/>
  <c r="Q100" i="56"/>
  <c r="P100" i="56"/>
  <c r="O100" i="56"/>
  <c r="N100" i="56"/>
  <c r="M100" i="56"/>
  <c r="J100" i="56"/>
  <c r="I100" i="56"/>
  <c r="H100" i="56"/>
  <c r="G100" i="56"/>
  <c r="E100" i="56"/>
  <c r="C100" i="56"/>
  <c r="B100" i="56"/>
  <c r="Q99" i="56"/>
  <c r="P99" i="56"/>
  <c r="O99" i="56"/>
  <c r="N99" i="56"/>
  <c r="M99" i="56"/>
  <c r="J99" i="56"/>
  <c r="I99" i="56"/>
  <c r="H99" i="56"/>
  <c r="G99" i="56"/>
  <c r="E99" i="56"/>
  <c r="C99" i="56"/>
  <c r="B99" i="56"/>
  <c r="Q98" i="56"/>
  <c r="P98" i="56"/>
  <c r="O98" i="56"/>
  <c r="N98" i="56"/>
  <c r="M98" i="56"/>
  <c r="J98" i="56"/>
  <c r="I98" i="56"/>
  <c r="H98" i="56"/>
  <c r="G98" i="56"/>
  <c r="E98" i="56"/>
  <c r="C98" i="56"/>
  <c r="B98" i="56"/>
  <c r="Q97" i="56"/>
  <c r="P97" i="56"/>
  <c r="O97" i="56"/>
  <c r="N97" i="56"/>
  <c r="M97" i="56"/>
  <c r="J97" i="56"/>
  <c r="I97" i="56"/>
  <c r="H97" i="56"/>
  <c r="G97" i="56"/>
  <c r="E97" i="56"/>
  <c r="C97" i="56"/>
  <c r="B97" i="56"/>
  <c r="Q96" i="56"/>
  <c r="P96" i="56"/>
  <c r="O96" i="56"/>
  <c r="N96" i="56"/>
  <c r="M96" i="56"/>
  <c r="J96" i="56"/>
  <c r="I96" i="56"/>
  <c r="H96" i="56"/>
  <c r="G96" i="56"/>
  <c r="E96" i="56"/>
  <c r="C96" i="56"/>
  <c r="B96" i="56"/>
  <c r="U86" i="56"/>
  <c r="U85" i="56"/>
  <c r="U84" i="56"/>
  <c r="U83" i="56"/>
  <c r="U82" i="56"/>
  <c r="U81" i="56"/>
  <c r="U80" i="56"/>
  <c r="U79" i="56"/>
  <c r="U78" i="56"/>
  <c r="U77" i="56"/>
  <c r="U76" i="56"/>
  <c r="U75" i="56"/>
  <c r="U74" i="56"/>
  <c r="U73" i="56"/>
  <c r="U72" i="56"/>
  <c r="U71" i="56"/>
  <c r="U70" i="56"/>
  <c r="U69" i="56"/>
  <c r="U68" i="56"/>
  <c r="U67" i="56"/>
  <c r="U66" i="56"/>
  <c r="U65" i="56"/>
  <c r="U64" i="56"/>
  <c r="U63" i="56"/>
  <c r="U62" i="56"/>
  <c r="U61" i="56"/>
  <c r="U60" i="56"/>
  <c r="U59" i="56"/>
  <c r="U58" i="56"/>
  <c r="U57" i="56"/>
  <c r="U56" i="56"/>
  <c r="F161" i="56" s="1"/>
  <c r="U55" i="56"/>
  <c r="U54" i="56"/>
  <c r="U53" i="56"/>
  <c r="U52" i="56"/>
  <c r="U51" i="56"/>
  <c r="U50" i="56"/>
  <c r="U49" i="56"/>
  <c r="U48" i="56"/>
  <c r="U47" i="56"/>
  <c r="U46" i="56"/>
  <c r="U45" i="56"/>
  <c r="U44" i="56"/>
  <c r="U43" i="56"/>
  <c r="U42" i="56"/>
  <c r="U41" i="56"/>
  <c r="U40" i="56"/>
  <c r="U39" i="56"/>
  <c r="U38" i="56"/>
  <c r="U37" i="56"/>
  <c r="U36" i="56"/>
  <c r="U35" i="56"/>
  <c r="U34" i="56"/>
  <c r="U33" i="56"/>
  <c r="U32" i="56"/>
  <c r="U31" i="56"/>
  <c r="U30" i="56"/>
  <c r="U29" i="56"/>
  <c r="U28" i="56"/>
  <c r="U27" i="56"/>
  <c r="U26" i="56"/>
  <c r="U25" i="56"/>
  <c r="U24" i="56"/>
  <c r="U23" i="56"/>
  <c r="U22" i="56"/>
  <c r="U21" i="56"/>
  <c r="U20" i="56"/>
  <c r="U19" i="56"/>
  <c r="U18" i="56"/>
  <c r="U17" i="56"/>
  <c r="U16" i="56"/>
  <c r="U15" i="56"/>
  <c r="U14" i="56"/>
  <c r="U13" i="56"/>
  <c r="U12" i="56"/>
  <c r="U11" i="56"/>
  <c r="U10" i="56"/>
  <c r="U9" i="56"/>
  <c r="U8" i="56"/>
  <c r="U7" i="56"/>
  <c r="U6" i="56"/>
  <c r="U5" i="56"/>
  <c r="U4" i="56"/>
  <c r="U3" i="56"/>
  <c r="G131" i="55"/>
  <c r="F131" i="55"/>
  <c r="E131" i="55"/>
  <c r="N130" i="55"/>
  <c r="M130" i="55"/>
  <c r="L130" i="55"/>
  <c r="K130" i="55"/>
  <c r="J130" i="55"/>
  <c r="I130" i="55"/>
  <c r="H130" i="55"/>
  <c r="D130" i="55"/>
  <c r="C130" i="55"/>
  <c r="B130" i="55"/>
  <c r="N129" i="55"/>
  <c r="M129" i="55"/>
  <c r="L129" i="55"/>
  <c r="K129" i="55"/>
  <c r="J129" i="55"/>
  <c r="I129" i="55"/>
  <c r="H129" i="55"/>
  <c r="D129" i="55"/>
  <c r="C129" i="55"/>
  <c r="B129" i="55"/>
  <c r="N126" i="55"/>
  <c r="M126" i="55"/>
  <c r="L126" i="55"/>
  <c r="K126" i="55"/>
  <c r="J126" i="55"/>
  <c r="I126" i="55"/>
  <c r="H126" i="55"/>
  <c r="G126" i="55"/>
  <c r="G127" i="55" s="1"/>
  <c r="F126" i="55"/>
  <c r="F127" i="55" s="1"/>
  <c r="E126" i="55"/>
  <c r="E127" i="55" s="1"/>
  <c r="D126" i="55"/>
  <c r="C126" i="55"/>
  <c r="B126" i="55"/>
  <c r="N125" i="55"/>
  <c r="M125" i="55"/>
  <c r="L125" i="55"/>
  <c r="K125" i="55"/>
  <c r="J125" i="55"/>
  <c r="I125" i="55"/>
  <c r="H125" i="55"/>
  <c r="D125" i="55"/>
  <c r="C125" i="55"/>
  <c r="B125" i="55"/>
  <c r="N124" i="55"/>
  <c r="M124" i="55"/>
  <c r="L124" i="55"/>
  <c r="K124" i="55"/>
  <c r="J124" i="55"/>
  <c r="I124" i="55"/>
  <c r="H124" i="55"/>
  <c r="D124" i="55"/>
  <c r="C124" i="55"/>
  <c r="B124" i="55"/>
  <c r="N123" i="55"/>
  <c r="M123" i="55"/>
  <c r="L123" i="55"/>
  <c r="K123" i="55"/>
  <c r="J123" i="55"/>
  <c r="I123" i="55"/>
  <c r="H123" i="55"/>
  <c r="D123" i="55"/>
  <c r="C123" i="55"/>
  <c r="B123" i="55"/>
  <c r="D119" i="55"/>
  <c r="C119" i="55"/>
  <c r="B119" i="55"/>
  <c r="O118" i="55"/>
  <c r="N118" i="55"/>
  <c r="M118" i="55"/>
  <c r="J118" i="55"/>
  <c r="I118" i="55"/>
  <c r="L118" i="55" s="1"/>
  <c r="H118" i="55"/>
  <c r="K118" i="55" s="1"/>
  <c r="G118" i="55"/>
  <c r="F118" i="55"/>
  <c r="E118" i="55"/>
  <c r="O117" i="55"/>
  <c r="N117" i="55"/>
  <c r="M117" i="55"/>
  <c r="J117" i="55"/>
  <c r="I117" i="55"/>
  <c r="L117" i="55" s="1"/>
  <c r="H117" i="55"/>
  <c r="K117" i="55" s="1"/>
  <c r="G117" i="55"/>
  <c r="F117" i="55"/>
  <c r="E117" i="55"/>
  <c r="D115" i="55"/>
  <c r="C115" i="55"/>
  <c r="B115" i="55"/>
  <c r="O114" i="55"/>
  <c r="N114" i="55"/>
  <c r="M114" i="55"/>
  <c r="J114" i="55"/>
  <c r="I114" i="55"/>
  <c r="L114" i="55" s="1"/>
  <c r="H114" i="55"/>
  <c r="K114" i="55" s="1"/>
  <c r="G114" i="55"/>
  <c r="F114" i="55"/>
  <c r="E114" i="55"/>
  <c r="O113" i="55"/>
  <c r="N113" i="55"/>
  <c r="M113" i="55"/>
  <c r="J113" i="55"/>
  <c r="I113" i="55"/>
  <c r="L113" i="55" s="1"/>
  <c r="H113" i="55"/>
  <c r="K113" i="55" s="1"/>
  <c r="G113" i="55"/>
  <c r="E113" i="55"/>
  <c r="O112" i="55"/>
  <c r="N112" i="55"/>
  <c r="M112" i="55"/>
  <c r="J112" i="55"/>
  <c r="I112" i="55"/>
  <c r="L112" i="55" s="1"/>
  <c r="H112" i="55"/>
  <c r="K112" i="55" s="1"/>
  <c r="G112" i="55"/>
  <c r="E112" i="55"/>
  <c r="O111" i="55"/>
  <c r="N111" i="55"/>
  <c r="M111" i="55"/>
  <c r="J111" i="55"/>
  <c r="I111" i="55"/>
  <c r="L111" i="55" s="1"/>
  <c r="H111" i="55"/>
  <c r="K111" i="55" s="1"/>
  <c r="G111" i="55"/>
  <c r="E111" i="55"/>
  <c r="J106" i="55"/>
  <c r="I106" i="55"/>
  <c r="H106" i="55"/>
  <c r="G106" i="55"/>
  <c r="E106" i="55"/>
  <c r="D106" i="55"/>
  <c r="C106" i="55"/>
  <c r="B106" i="55"/>
  <c r="J105" i="55"/>
  <c r="I105" i="55"/>
  <c r="H105" i="55"/>
  <c r="G105" i="55"/>
  <c r="E105" i="55"/>
  <c r="D105" i="55"/>
  <c r="C105" i="55"/>
  <c r="B105" i="55"/>
  <c r="J102" i="55"/>
  <c r="I102" i="55"/>
  <c r="H102" i="55"/>
  <c r="G102" i="55"/>
  <c r="E102" i="55"/>
  <c r="D102" i="55"/>
  <c r="C102" i="55"/>
  <c r="B102" i="55"/>
  <c r="J101" i="55"/>
  <c r="I101" i="55"/>
  <c r="H101" i="55"/>
  <c r="G101" i="55"/>
  <c r="E101" i="55"/>
  <c r="D101" i="55"/>
  <c r="C101" i="55"/>
  <c r="B101" i="55"/>
  <c r="J100" i="55"/>
  <c r="I100" i="55"/>
  <c r="H100" i="55"/>
  <c r="G100" i="55"/>
  <c r="E100" i="55"/>
  <c r="D100" i="55"/>
  <c r="C100" i="55"/>
  <c r="B100" i="55"/>
  <c r="J99" i="55"/>
  <c r="I99" i="55"/>
  <c r="H99" i="55"/>
  <c r="G99" i="55"/>
  <c r="E99" i="55"/>
  <c r="D99" i="55"/>
  <c r="C99" i="55"/>
  <c r="B99" i="55"/>
  <c r="D95" i="55"/>
  <c r="Q94" i="55"/>
  <c r="P94" i="55"/>
  <c r="O94" i="55"/>
  <c r="N94" i="55"/>
  <c r="M94" i="55"/>
  <c r="J94" i="55"/>
  <c r="I94" i="55"/>
  <c r="H94" i="55"/>
  <c r="G94" i="55"/>
  <c r="F94" i="55"/>
  <c r="E94" i="55"/>
  <c r="C94" i="55"/>
  <c r="B94" i="55"/>
  <c r="Q93" i="55"/>
  <c r="P93" i="55"/>
  <c r="O93" i="55"/>
  <c r="N93" i="55"/>
  <c r="M93" i="55"/>
  <c r="J93" i="55"/>
  <c r="I93" i="55"/>
  <c r="H93" i="55"/>
  <c r="G93" i="55"/>
  <c r="F93" i="55"/>
  <c r="E93" i="55"/>
  <c r="C93" i="55"/>
  <c r="B93" i="55"/>
  <c r="D91" i="55"/>
  <c r="Q90" i="55"/>
  <c r="P90" i="55"/>
  <c r="O90" i="55"/>
  <c r="N90" i="55"/>
  <c r="M90" i="55"/>
  <c r="J90" i="55"/>
  <c r="I90" i="55"/>
  <c r="H90" i="55"/>
  <c r="G90" i="55"/>
  <c r="F90" i="55"/>
  <c r="E90" i="55"/>
  <c r="C90" i="55"/>
  <c r="B90" i="55"/>
  <c r="Q89" i="55"/>
  <c r="P89" i="55"/>
  <c r="O89" i="55"/>
  <c r="N89" i="55"/>
  <c r="M89" i="55"/>
  <c r="J89" i="55"/>
  <c r="I89" i="55"/>
  <c r="H89" i="55"/>
  <c r="G89" i="55"/>
  <c r="F89" i="55"/>
  <c r="E89" i="55"/>
  <c r="C89" i="55"/>
  <c r="B89" i="55"/>
  <c r="Q88" i="55"/>
  <c r="P88" i="55"/>
  <c r="O88" i="55"/>
  <c r="N88" i="55"/>
  <c r="M88" i="55"/>
  <c r="J88" i="55"/>
  <c r="I88" i="55"/>
  <c r="H88" i="55"/>
  <c r="G88" i="55"/>
  <c r="F88" i="55"/>
  <c r="E88" i="55"/>
  <c r="C88" i="55"/>
  <c r="B88" i="55"/>
  <c r="Q87" i="55"/>
  <c r="P87" i="55"/>
  <c r="O87" i="55"/>
  <c r="N87" i="55"/>
  <c r="M87" i="55"/>
  <c r="J87" i="55"/>
  <c r="I87" i="55"/>
  <c r="H87" i="55"/>
  <c r="G87" i="55"/>
  <c r="F87" i="55"/>
  <c r="E87" i="55"/>
  <c r="C87" i="55"/>
  <c r="B87" i="55"/>
  <c r="D83" i="55"/>
  <c r="Q82" i="55"/>
  <c r="P82" i="55"/>
  <c r="O82" i="55"/>
  <c r="N82" i="55"/>
  <c r="M82" i="55"/>
  <c r="J82" i="55"/>
  <c r="I82" i="55"/>
  <c r="H82" i="55"/>
  <c r="G82" i="55"/>
  <c r="E82" i="55"/>
  <c r="C82" i="55"/>
  <c r="B82" i="55"/>
  <c r="Q81" i="55"/>
  <c r="P81" i="55"/>
  <c r="O81" i="55"/>
  <c r="N81" i="55"/>
  <c r="M81" i="55"/>
  <c r="J81" i="55"/>
  <c r="I81" i="55"/>
  <c r="H81" i="55"/>
  <c r="G81" i="55"/>
  <c r="E81" i="55"/>
  <c r="C81" i="55"/>
  <c r="B81" i="55"/>
  <c r="D79" i="55"/>
  <c r="Q78" i="55"/>
  <c r="P78" i="55"/>
  <c r="O78" i="55"/>
  <c r="N78" i="55"/>
  <c r="M78" i="55"/>
  <c r="J78" i="55"/>
  <c r="I78" i="55"/>
  <c r="H78" i="55"/>
  <c r="G78" i="55"/>
  <c r="E78" i="55"/>
  <c r="C78" i="55"/>
  <c r="B78" i="55"/>
  <c r="Q77" i="55"/>
  <c r="P77" i="55"/>
  <c r="O77" i="55"/>
  <c r="N77" i="55"/>
  <c r="M77" i="55"/>
  <c r="J77" i="55"/>
  <c r="I77" i="55"/>
  <c r="H77" i="55"/>
  <c r="G77" i="55"/>
  <c r="E77" i="55"/>
  <c r="C77" i="55"/>
  <c r="B77" i="55"/>
  <c r="Q76" i="55"/>
  <c r="P76" i="55"/>
  <c r="O76" i="55"/>
  <c r="N76" i="55"/>
  <c r="M76" i="55"/>
  <c r="J76" i="55"/>
  <c r="I76" i="55"/>
  <c r="H76" i="55"/>
  <c r="G76" i="55"/>
  <c r="E76" i="55"/>
  <c r="C76" i="55"/>
  <c r="B76" i="55"/>
  <c r="Q75" i="55"/>
  <c r="P75" i="55"/>
  <c r="O75" i="55"/>
  <c r="N75" i="55"/>
  <c r="M75" i="55"/>
  <c r="J75" i="55"/>
  <c r="I75" i="55"/>
  <c r="H75" i="55"/>
  <c r="G75" i="55"/>
  <c r="E75" i="55"/>
  <c r="C75" i="55"/>
  <c r="B75" i="55"/>
  <c r="D71" i="55"/>
  <c r="Q70" i="55"/>
  <c r="P70" i="55"/>
  <c r="O70" i="55"/>
  <c r="N70" i="55"/>
  <c r="M70" i="55"/>
  <c r="J70" i="55"/>
  <c r="I70" i="55"/>
  <c r="H70" i="55"/>
  <c r="G70" i="55"/>
  <c r="F70" i="55"/>
  <c r="E70" i="55"/>
  <c r="C70" i="55"/>
  <c r="B70" i="55"/>
  <c r="Q69" i="55"/>
  <c r="P69" i="55"/>
  <c r="O69" i="55"/>
  <c r="N69" i="55"/>
  <c r="M69" i="55"/>
  <c r="J69" i="55"/>
  <c r="I69" i="55"/>
  <c r="H69" i="55"/>
  <c r="G69" i="55"/>
  <c r="F69" i="55"/>
  <c r="E69" i="55"/>
  <c r="C69" i="55"/>
  <c r="C71" i="55" s="1"/>
  <c r="B69" i="55"/>
  <c r="B71" i="55" s="1"/>
  <c r="D67" i="55"/>
  <c r="Q66" i="55"/>
  <c r="P66" i="55"/>
  <c r="O66" i="55"/>
  <c r="N66" i="55"/>
  <c r="M66" i="55"/>
  <c r="J66" i="55"/>
  <c r="I66" i="55"/>
  <c r="H66" i="55"/>
  <c r="G66" i="55"/>
  <c r="F66" i="55"/>
  <c r="E66" i="55"/>
  <c r="C66" i="55"/>
  <c r="B66" i="55"/>
  <c r="Q65" i="55"/>
  <c r="P65" i="55"/>
  <c r="O65" i="55"/>
  <c r="N65" i="55"/>
  <c r="M65" i="55"/>
  <c r="J65" i="55"/>
  <c r="I65" i="55"/>
  <c r="H65" i="55"/>
  <c r="G65" i="55"/>
  <c r="F65" i="55"/>
  <c r="E65" i="55"/>
  <c r="C65" i="55"/>
  <c r="B65" i="55"/>
  <c r="Q64" i="55"/>
  <c r="P64" i="55"/>
  <c r="O64" i="55"/>
  <c r="N64" i="55"/>
  <c r="M64" i="55"/>
  <c r="J64" i="55"/>
  <c r="I64" i="55"/>
  <c r="H64" i="55"/>
  <c r="G64" i="55"/>
  <c r="F64" i="55"/>
  <c r="E64" i="55"/>
  <c r="C64" i="55"/>
  <c r="B64" i="55"/>
  <c r="Q63" i="55"/>
  <c r="P63" i="55"/>
  <c r="O63" i="55"/>
  <c r="N63" i="55"/>
  <c r="M63" i="55"/>
  <c r="J63" i="55"/>
  <c r="I63" i="55"/>
  <c r="H63" i="55"/>
  <c r="G63" i="55"/>
  <c r="F63" i="55"/>
  <c r="E63" i="55"/>
  <c r="C63" i="55"/>
  <c r="B63" i="55"/>
  <c r="T57" i="55"/>
  <c r="T56" i="55"/>
  <c r="T55" i="55"/>
  <c r="T54" i="55"/>
  <c r="T53" i="55"/>
  <c r="T52" i="55"/>
  <c r="T51" i="55"/>
  <c r="T50" i="55"/>
  <c r="T49" i="55"/>
  <c r="T48" i="55"/>
  <c r="T47" i="55"/>
  <c r="T46" i="55"/>
  <c r="T45" i="55"/>
  <c r="T44" i="55"/>
  <c r="T43" i="55"/>
  <c r="T42" i="55"/>
  <c r="T41" i="55"/>
  <c r="T40" i="55"/>
  <c r="T39" i="55"/>
  <c r="T38" i="55"/>
  <c r="T37" i="55"/>
  <c r="F113" i="55" s="1"/>
  <c r="T36" i="55"/>
  <c r="F78" i="55" s="1"/>
  <c r="T35" i="55"/>
  <c r="T34" i="55"/>
  <c r="T33" i="55"/>
  <c r="T32" i="55"/>
  <c r="T31" i="55"/>
  <c r="T30" i="55"/>
  <c r="T29" i="55"/>
  <c r="T28" i="55"/>
  <c r="T27" i="55"/>
  <c r="T26" i="55"/>
  <c r="T25" i="55"/>
  <c r="T24" i="55"/>
  <c r="T23" i="55"/>
  <c r="T22" i="55"/>
  <c r="T21" i="55"/>
  <c r="F112" i="55" s="1"/>
  <c r="T20" i="55"/>
  <c r="T19" i="55"/>
  <c r="T18" i="55"/>
  <c r="T17" i="55"/>
  <c r="T16" i="55"/>
  <c r="T15" i="55"/>
  <c r="T14" i="55"/>
  <c r="T13" i="55"/>
  <c r="T12" i="55"/>
  <c r="T11" i="55"/>
  <c r="F111" i="55" s="1"/>
  <c r="T10" i="55"/>
  <c r="T9" i="55"/>
  <c r="T8" i="55"/>
  <c r="T7" i="55"/>
  <c r="T6" i="55"/>
  <c r="T5" i="55"/>
  <c r="T4" i="55"/>
  <c r="T3" i="55"/>
  <c r="G107" i="54"/>
  <c r="F107" i="54"/>
  <c r="E107" i="54"/>
  <c r="N106" i="54"/>
  <c r="M106" i="54"/>
  <c r="L106" i="54"/>
  <c r="K106" i="54"/>
  <c r="J106" i="54"/>
  <c r="I106" i="54"/>
  <c r="H106" i="54"/>
  <c r="D106" i="54"/>
  <c r="C106" i="54"/>
  <c r="B106" i="54"/>
  <c r="N105" i="54"/>
  <c r="M105" i="54"/>
  <c r="L105" i="54"/>
  <c r="K105" i="54"/>
  <c r="J105" i="54"/>
  <c r="I105" i="54"/>
  <c r="H105" i="54"/>
  <c r="D105" i="54"/>
  <c r="C105" i="54"/>
  <c r="B105" i="54"/>
  <c r="N102" i="54"/>
  <c r="M102" i="54"/>
  <c r="L102" i="54"/>
  <c r="K102" i="54"/>
  <c r="J102" i="54"/>
  <c r="I102" i="54"/>
  <c r="H102" i="54"/>
  <c r="G102" i="54"/>
  <c r="G103" i="54" s="1"/>
  <c r="F102" i="54"/>
  <c r="F103" i="54" s="1"/>
  <c r="E102" i="54"/>
  <c r="E103" i="54" s="1"/>
  <c r="D102" i="54"/>
  <c r="C102" i="54"/>
  <c r="B102" i="54"/>
  <c r="N101" i="54"/>
  <c r="M101" i="54"/>
  <c r="L101" i="54"/>
  <c r="K101" i="54"/>
  <c r="J101" i="54"/>
  <c r="I101" i="54"/>
  <c r="H101" i="54"/>
  <c r="D101" i="54"/>
  <c r="C101" i="54"/>
  <c r="B101" i="54"/>
  <c r="N100" i="54"/>
  <c r="M100" i="54"/>
  <c r="L100" i="54"/>
  <c r="K100" i="54"/>
  <c r="J100" i="54"/>
  <c r="I100" i="54"/>
  <c r="H100" i="54"/>
  <c r="D100" i="54"/>
  <c r="C100" i="54"/>
  <c r="B100" i="54"/>
  <c r="N99" i="54"/>
  <c r="M99" i="54"/>
  <c r="L99" i="54"/>
  <c r="K99" i="54"/>
  <c r="J99" i="54"/>
  <c r="I99" i="54"/>
  <c r="H99" i="54"/>
  <c r="D99" i="54"/>
  <c r="C99" i="54"/>
  <c r="B99" i="54"/>
  <c r="D95" i="54"/>
  <c r="C95" i="54"/>
  <c r="B95" i="54"/>
  <c r="O94" i="54"/>
  <c r="N94" i="54"/>
  <c r="M94" i="54"/>
  <c r="J94" i="54"/>
  <c r="I94" i="54"/>
  <c r="L94" i="54" s="1"/>
  <c r="H94" i="54"/>
  <c r="K94" i="54" s="1"/>
  <c r="G94" i="54"/>
  <c r="F94" i="54"/>
  <c r="E94" i="54"/>
  <c r="O93" i="54"/>
  <c r="N93" i="54"/>
  <c r="M93" i="54"/>
  <c r="J93" i="54"/>
  <c r="I93" i="54"/>
  <c r="H93" i="54"/>
  <c r="K93" i="54" s="1"/>
  <c r="G93" i="54"/>
  <c r="F93" i="54"/>
  <c r="E93" i="54"/>
  <c r="D91" i="54"/>
  <c r="C91" i="54"/>
  <c r="B91" i="54"/>
  <c r="O90" i="54"/>
  <c r="N90" i="54"/>
  <c r="M90" i="54"/>
  <c r="J90" i="54"/>
  <c r="I90" i="54"/>
  <c r="L90" i="54" s="1"/>
  <c r="H90" i="54"/>
  <c r="K90" i="54" s="1"/>
  <c r="G90" i="54"/>
  <c r="E90" i="54"/>
  <c r="O89" i="54"/>
  <c r="N89" i="54"/>
  <c r="M89" i="54"/>
  <c r="J89" i="54"/>
  <c r="I89" i="54"/>
  <c r="L89" i="54" s="1"/>
  <c r="H89" i="54"/>
  <c r="K89" i="54" s="1"/>
  <c r="G89" i="54"/>
  <c r="E89" i="54"/>
  <c r="O88" i="54"/>
  <c r="N88" i="54"/>
  <c r="M88" i="54"/>
  <c r="J88" i="54"/>
  <c r="I88" i="54"/>
  <c r="L88" i="54" s="1"/>
  <c r="H88" i="54"/>
  <c r="K88" i="54" s="1"/>
  <c r="G88" i="54"/>
  <c r="E88" i="54"/>
  <c r="O87" i="54"/>
  <c r="N87" i="54"/>
  <c r="M87" i="54"/>
  <c r="J87" i="54"/>
  <c r="I87" i="54"/>
  <c r="L87" i="54" s="1"/>
  <c r="H87" i="54"/>
  <c r="K87" i="54" s="1"/>
  <c r="G87" i="54"/>
  <c r="E87" i="54"/>
  <c r="J82" i="54"/>
  <c r="I82" i="54"/>
  <c r="H82" i="54"/>
  <c r="G82" i="54"/>
  <c r="E82" i="54"/>
  <c r="D82" i="54"/>
  <c r="C82" i="54"/>
  <c r="B82" i="54"/>
  <c r="J81" i="54"/>
  <c r="I81" i="54"/>
  <c r="H81" i="54"/>
  <c r="G81" i="54"/>
  <c r="E81" i="54"/>
  <c r="D81" i="54"/>
  <c r="C81" i="54"/>
  <c r="C83" i="54" s="1"/>
  <c r="B81" i="54"/>
  <c r="B83" i="54" s="1"/>
  <c r="J78" i="54"/>
  <c r="I78" i="54"/>
  <c r="H78" i="54"/>
  <c r="G78" i="54"/>
  <c r="E78" i="54"/>
  <c r="D78" i="54"/>
  <c r="C78" i="54"/>
  <c r="B78" i="54"/>
  <c r="J77" i="54"/>
  <c r="I77" i="54"/>
  <c r="H77" i="54"/>
  <c r="G77" i="54"/>
  <c r="E77" i="54"/>
  <c r="D77" i="54"/>
  <c r="C77" i="54"/>
  <c r="B77" i="54"/>
  <c r="J76" i="54"/>
  <c r="I76" i="54"/>
  <c r="H76" i="54"/>
  <c r="G76" i="54"/>
  <c r="E76" i="54"/>
  <c r="D76" i="54"/>
  <c r="C76" i="54"/>
  <c r="C79" i="54" s="1"/>
  <c r="B76" i="54"/>
  <c r="B79" i="54" s="1"/>
  <c r="D72" i="54"/>
  <c r="Q71" i="54"/>
  <c r="P71" i="54"/>
  <c r="O71" i="54"/>
  <c r="N71" i="54"/>
  <c r="M71" i="54"/>
  <c r="J71" i="54"/>
  <c r="I71" i="54"/>
  <c r="H71" i="54"/>
  <c r="G71" i="54"/>
  <c r="E71" i="54"/>
  <c r="C71" i="54"/>
  <c r="B71" i="54"/>
  <c r="Q70" i="54"/>
  <c r="P70" i="54"/>
  <c r="O70" i="54"/>
  <c r="N70" i="54"/>
  <c r="M70" i="54"/>
  <c r="J70" i="54"/>
  <c r="I70" i="54"/>
  <c r="H70" i="54"/>
  <c r="G70" i="54"/>
  <c r="E70" i="54"/>
  <c r="C70" i="54"/>
  <c r="C72" i="54" s="1"/>
  <c r="B70" i="54"/>
  <c r="B72" i="54" s="1"/>
  <c r="D68" i="54"/>
  <c r="Q67" i="54"/>
  <c r="P67" i="54"/>
  <c r="O67" i="54"/>
  <c r="N67" i="54"/>
  <c r="M67" i="54"/>
  <c r="J67" i="54"/>
  <c r="I67" i="54"/>
  <c r="H67" i="54"/>
  <c r="G67" i="54"/>
  <c r="E67" i="54"/>
  <c r="C67" i="54"/>
  <c r="B67" i="54"/>
  <c r="Q66" i="54"/>
  <c r="P66" i="54"/>
  <c r="O66" i="54"/>
  <c r="N66" i="54"/>
  <c r="M66" i="54"/>
  <c r="J66" i="54"/>
  <c r="I66" i="54"/>
  <c r="H66" i="54"/>
  <c r="G66" i="54"/>
  <c r="E66" i="54"/>
  <c r="C66" i="54"/>
  <c r="B66" i="54"/>
  <c r="Q65" i="54"/>
  <c r="P65" i="54"/>
  <c r="O65" i="54"/>
  <c r="N65" i="54"/>
  <c r="M65" i="54"/>
  <c r="J65" i="54"/>
  <c r="I65" i="54"/>
  <c r="H65" i="54"/>
  <c r="G65" i="54"/>
  <c r="E65" i="54"/>
  <c r="C65" i="54"/>
  <c r="C68" i="54" s="1"/>
  <c r="B65" i="54"/>
  <c r="B68" i="54" s="1"/>
  <c r="D61" i="54"/>
  <c r="Q60" i="54"/>
  <c r="Q82" i="54" s="1"/>
  <c r="P60" i="54"/>
  <c r="P82" i="54" s="1"/>
  <c r="O60" i="54"/>
  <c r="O82" i="54" s="1"/>
  <c r="N60" i="54"/>
  <c r="M60" i="54"/>
  <c r="M82" i="54" s="1"/>
  <c r="J60" i="54"/>
  <c r="I60" i="54"/>
  <c r="H60" i="54"/>
  <c r="G60" i="54"/>
  <c r="F60" i="54"/>
  <c r="E60" i="54"/>
  <c r="C60" i="54"/>
  <c r="B60" i="54"/>
  <c r="Q59" i="54"/>
  <c r="P59" i="54"/>
  <c r="O59" i="54"/>
  <c r="O81" i="54" s="1"/>
  <c r="N59" i="54"/>
  <c r="N81" i="54" s="1"/>
  <c r="M59" i="54"/>
  <c r="M81" i="54" s="1"/>
  <c r="J59" i="54"/>
  <c r="I59" i="54"/>
  <c r="H59" i="54"/>
  <c r="G59" i="54"/>
  <c r="F59" i="54"/>
  <c r="E59" i="54"/>
  <c r="C59" i="54"/>
  <c r="C61" i="54" s="1"/>
  <c r="B59" i="54"/>
  <c r="B61" i="54" s="1"/>
  <c r="D57" i="54"/>
  <c r="Q56" i="54"/>
  <c r="P56" i="54"/>
  <c r="O56" i="54"/>
  <c r="N56" i="54"/>
  <c r="M56" i="54"/>
  <c r="J56" i="54"/>
  <c r="I56" i="54"/>
  <c r="H56" i="54"/>
  <c r="G56" i="54"/>
  <c r="F56" i="54"/>
  <c r="E56" i="54"/>
  <c r="C56" i="54"/>
  <c r="B56" i="54"/>
  <c r="Q55" i="54"/>
  <c r="P55" i="54"/>
  <c r="O55" i="54"/>
  <c r="N55" i="54"/>
  <c r="M55" i="54"/>
  <c r="J55" i="54"/>
  <c r="I55" i="54"/>
  <c r="H55" i="54"/>
  <c r="G55" i="54"/>
  <c r="F55" i="54"/>
  <c r="E55" i="54"/>
  <c r="C55" i="54"/>
  <c r="B55" i="54"/>
  <c r="Q54" i="54"/>
  <c r="P54" i="54"/>
  <c r="O54" i="54"/>
  <c r="N54" i="54"/>
  <c r="M54" i="54"/>
  <c r="J54" i="54"/>
  <c r="I54" i="54"/>
  <c r="H54" i="54"/>
  <c r="G54" i="54"/>
  <c r="F54" i="54"/>
  <c r="E54" i="54"/>
  <c r="C54" i="54"/>
  <c r="B54" i="54"/>
  <c r="Q53" i="54"/>
  <c r="P53" i="54"/>
  <c r="O53" i="54"/>
  <c r="N53" i="54"/>
  <c r="M53" i="54"/>
  <c r="J53" i="54"/>
  <c r="I53" i="54"/>
  <c r="H53" i="54"/>
  <c r="G53" i="54"/>
  <c r="F53" i="54"/>
  <c r="E53" i="54"/>
  <c r="C53" i="54"/>
  <c r="B53" i="54"/>
  <c r="T47" i="54"/>
  <c r="T46" i="54"/>
  <c r="T45" i="54"/>
  <c r="T44" i="54"/>
  <c r="T43" i="54"/>
  <c r="T42" i="54"/>
  <c r="F87" i="54" s="1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F90" i="54" s="1"/>
  <c r="T15" i="54"/>
  <c r="T14" i="54"/>
  <c r="T13" i="54"/>
  <c r="T12" i="54"/>
  <c r="T11" i="54"/>
  <c r="T10" i="54"/>
  <c r="T9" i="54"/>
  <c r="T8" i="54"/>
  <c r="T7" i="54"/>
  <c r="T6" i="54"/>
  <c r="T5" i="54"/>
  <c r="T4" i="54"/>
  <c r="T3" i="54"/>
  <c r="G135" i="53"/>
  <c r="F135" i="53"/>
  <c r="E135" i="53"/>
  <c r="N134" i="53"/>
  <c r="M134" i="53"/>
  <c r="L134" i="53"/>
  <c r="K134" i="53"/>
  <c r="J134" i="53"/>
  <c r="I134" i="53"/>
  <c r="H134" i="53"/>
  <c r="D134" i="53"/>
  <c r="C134" i="53"/>
  <c r="B134" i="53"/>
  <c r="N133" i="53"/>
  <c r="M133" i="53"/>
  <c r="L133" i="53"/>
  <c r="K133" i="53"/>
  <c r="J133" i="53"/>
  <c r="I133" i="53"/>
  <c r="H133" i="53"/>
  <c r="D133" i="53"/>
  <c r="C133" i="53"/>
  <c r="B133" i="53"/>
  <c r="N130" i="53"/>
  <c r="M130" i="53"/>
  <c r="L130" i="53"/>
  <c r="K130" i="53"/>
  <c r="J130" i="53"/>
  <c r="I130" i="53"/>
  <c r="H130" i="53"/>
  <c r="G130" i="53"/>
  <c r="G131" i="53" s="1"/>
  <c r="F130" i="53"/>
  <c r="F131" i="53" s="1"/>
  <c r="E130" i="53"/>
  <c r="E131" i="53" s="1"/>
  <c r="D130" i="53"/>
  <c r="C130" i="53"/>
  <c r="B130" i="53"/>
  <c r="N129" i="53"/>
  <c r="M129" i="53"/>
  <c r="L129" i="53"/>
  <c r="K129" i="53"/>
  <c r="J129" i="53"/>
  <c r="I129" i="53"/>
  <c r="H129" i="53"/>
  <c r="D129" i="53"/>
  <c r="C129" i="53"/>
  <c r="B129" i="53"/>
  <c r="N128" i="53"/>
  <c r="M128" i="53"/>
  <c r="L128" i="53"/>
  <c r="K128" i="53"/>
  <c r="J128" i="53"/>
  <c r="I128" i="53"/>
  <c r="H128" i="53"/>
  <c r="D128" i="53"/>
  <c r="C128" i="53"/>
  <c r="B128" i="53"/>
  <c r="N127" i="53"/>
  <c r="M127" i="53"/>
  <c r="L127" i="53"/>
  <c r="K127" i="53"/>
  <c r="J127" i="53"/>
  <c r="I127" i="53"/>
  <c r="H127" i="53"/>
  <c r="D127" i="53"/>
  <c r="C127" i="53"/>
  <c r="B127" i="53"/>
  <c r="D123" i="53"/>
  <c r="C123" i="53"/>
  <c r="B123" i="53"/>
  <c r="O122" i="53"/>
  <c r="N122" i="53"/>
  <c r="M122" i="53"/>
  <c r="J122" i="53"/>
  <c r="I122" i="53"/>
  <c r="L122" i="53" s="1"/>
  <c r="H122" i="53"/>
  <c r="K122" i="53" s="1"/>
  <c r="G122" i="53"/>
  <c r="F122" i="53"/>
  <c r="E122" i="53"/>
  <c r="O121" i="53"/>
  <c r="N121" i="53"/>
  <c r="M121" i="53"/>
  <c r="J121" i="53"/>
  <c r="I121" i="53"/>
  <c r="L121" i="53" s="1"/>
  <c r="H121" i="53"/>
  <c r="K121" i="53" s="1"/>
  <c r="G121" i="53"/>
  <c r="F121" i="53"/>
  <c r="E121" i="53"/>
  <c r="D119" i="53"/>
  <c r="C119" i="53"/>
  <c r="B119" i="53"/>
  <c r="O118" i="53"/>
  <c r="N118" i="53"/>
  <c r="M118" i="53"/>
  <c r="J118" i="53"/>
  <c r="I118" i="53"/>
  <c r="L118" i="53" s="1"/>
  <c r="H118" i="53"/>
  <c r="K118" i="53" s="1"/>
  <c r="G118" i="53"/>
  <c r="F118" i="53"/>
  <c r="E118" i="53"/>
  <c r="O117" i="53"/>
  <c r="N117" i="53"/>
  <c r="M117" i="53"/>
  <c r="J117" i="53"/>
  <c r="I117" i="53"/>
  <c r="L117" i="53" s="1"/>
  <c r="H117" i="53"/>
  <c r="K117" i="53" s="1"/>
  <c r="G117" i="53"/>
  <c r="F117" i="53"/>
  <c r="E117" i="53"/>
  <c r="O116" i="53"/>
  <c r="N116" i="53"/>
  <c r="M116" i="53"/>
  <c r="J116" i="53"/>
  <c r="I116" i="53"/>
  <c r="L116" i="53" s="1"/>
  <c r="H116" i="53"/>
  <c r="K116" i="53" s="1"/>
  <c r="G116" i="53"/>
  <c r="F116" i="53"/>
  <c r="E116" i="53"/>
  <c r="O115" i="53"/>
  <c r="N115" i="53"/>
  <c r="M115" i="53"/>
  <c r="J115" i="53"/>
  <c r="I115" i="53"/>
  <c r="H115" i="53"/>
  <c r="K115" i="53" s="1"/>
  <c r="G115" i="53"/>
  <c r="F115" i="53"/>
  <c r="E115" i="53"/>
  <c r="J110" i="53"/>
  <c r="I110" i="53"/>
  <c r="H110" i="53"/>
  <c r="G110" i="53"/>
  <c r="E110" i="53"/>
  <c r="D110" i="53"/>
  <c r="C110" i="53"/>
  <c r="B110" i="53"/>
  <c r="J109" i="53"/>
  <c r="I109" i="53"/>
  <c r="H109" i="53"/>
  <c r="G109" i="53"/>
  <c r="E109" i="53"/>
  <c r="D109" i="53"/>
  <c r="C109" i="53"/>
  <c r="C111" i="53" s="1"/>
  <c r="B109" i="53"/>
  <c r="B111" i="53" s="1"/>
  <c r="J106" i="53"/>
  <c r="I106" i="53"/>
  <c r="H106" i="53"/>
  <c r="G106" i="53"/>
  <c r="E106" i="53"/>
  <c r="D106" i="53"/>
  <c r="C106" i="53"/>
  <c r="B106" i="53"/>
  <c r="J105" i="53"/>
  <c r="I105" i="53"/>
  <c r="H105" i="53"/>
  <c r="G105" i="53"/>
  <c r="E105" i="53"/>
  <c r="D105" i="53"/>
  <c r="C105" i="53"/>
  <c r="B105" i="53"/>
  <c r="J104" i="53"/>
  <c r="I104" i="53"/>
  <c r="H104" i="53"/>
  <c r="G104" i="53"/>
  <c r="E104" i="53"/>
  <c r="D104" i="53"/>
  <c r="C104" i="53"/>
  <c r="C107" i="53" s="1"/>
  <c r="B104" i="53"/>
  <c r="B107" i="53" s="1"/>
  <c r="D100" i="53"/>
  <c r="Q99" i="53"/>
  <c r="P99" i="53"/>
  <c r="O99" i="53"/>
  <c r="N99" i="53"/>
  <c r="M99" i="53"/>
  <c r="J99" i="53"/>
  <c r="I99" i="53"/>
  <c r="H99" i="53"/>
  <c r="G99" i="53"/>
  <c r="E99" i="53"/>
  <c r="C99" i="53"/>
  <c r="B99" i="53"/>
  <c r="Q98" i="53"/>
  <c r="P98" i="53"/>
  <c r="O98" i="53"/>
  <c r="N98" i="53"/>
  <c r="M98" i="53"/>
  <c r="J98" i="53"/>
  <c r="I98" i="53"/>
  <c r="H98" i="53"/>
  <c r="G98" i="53"/>
  <c r="E98" i="53"/>
  <c r="C98" i="53"/>
  <c r="C100" i="53" s="1"/>
  <c r="B98" i="53"/>
  <c r="B100" i="53" s="1"/>
  <c r="D96" i="53"/>
  <c r="Q95" i="53"/>
  <c r="P95" i="53"/>
  <c r="O95" i="53"/>
  <c r="N95" i="53"/>
  <c r="M95" i="53"/>
  <c r="J95" i="53"/>
  <c r="I95" i="53"/>
  <c r="H95" i="53"/>
  <c r="G95" i="53"/>
  <c r="E95" i="53"/>
  <c r="C95" i="53"/>
  <c r="B95" i="53"/>
  <c r="Q94" i="53"/>
  <c r="P94" i="53"/>
  <c r="O94" i="53"/>
  <c r="N94" i="53"/>
  <c r="M94" i="53"/>
  <c r="J94" i="53"/>
  <c r="I94" i="53"/>
  <c r="H94" i="53"/>
  <c r="G94" i="53"/>
  <c r="E94" i="53"/>
  <c r="C94" i="53"/>
  <c r="B94" i="53"/>
  <c r="Q93" i="53"/>
  <c r="P93" i="53"/>
  <c r="O93" i="53"/>
  <c r="N93" i="53"/>
  <c r="M93" i="53"/>
  <c r="J93" i="53"/>
  <c r="I93" i="53"/>
  <c r="H93" i="53"/>
  <c r="G93" i="53"/>
  <c r="E93" i="53"/>
  <c r="C93" i="53"/>
  <c r="C96" i="53" s="1"/>
  <c r="B93" i="53"/>
  <c r="B96" i="53" s="1"/>
  <c r="D89" i="53"/>
  <c r="Q88" i="53"/>
  <c r="P88" i="53"/>
  <c r="O88" i="53"/>
  <c r="N88" i="53"/>
  <c r="M88" i="53"/>
  <c r="J88" i="53"/>
  <c r="I88" i="53"/>
  <c r="H88" i="53"/>
  <c r="G88" i="53"/>
  <c r="F88" i="53"/>
  <c r="E88" i="53"/>
  <c r="C88" i="53"/>
  <c r="B88" i="53"/>
  <c r="Q87" i="53"/>
  <c r="P87" i="53"/>
  <c r="O87" i="53"/>
  <c r="N87" i="53"/>
  <c r="M87" i="53"/>
  <c r="J87" i="53"/>
  <c r="I87" i="53"/>
  <c r="H87" i="53"/>
  <c r="G87" i="53"/>
  <c r="F87" i="53"/>
  <c r="E87" i="53"/>
  <c r="C87" i="53"/>
  <c r="C89" i="53" s="1"/>
  <c r="B87" i="53"/>
  <c r="B89" i="53" s="1"/>
  <c r="D85" i="53"/>
  <c r="Q84" i="53"/>
  <c r="P84" i="53"/>
  <c r="O84" i="53"/>
  <c r="N84" i="53"/>
  <c r="M84" i="53"/>
  <c r="J84" i="53"/>
  <c r="I84" i="53"/>
  <c r="H84" i="53"/>
  <c r="G84" i="53"/>
  <c r="F84" i="53"/>
  <c r="E84" i="53"/>
  <c r="C84" i="53"/>
  <c r="B84" i="53"/>
  <c r="Q83" i="53"/>
  <c r="P83" i="53"/>
  <c r="O83" i="53"/>
  <c r="N83" i="53"/>
  <c r="M83" i="53"/>
  <c r="J83" i="53"/>
  <c r="I83" i="53"/>
  <c r="H83" i="53"/>
  <c r="G83" i="53"/>
  <c r="F83" i="53"/>
  <c r="E83" i="53"/>
  <c r="C83" i="53"/>
  <c r="B83" i="53"/>
  <c r="Q82" i="53"/>
  <c r="P82" i="53"/>
  <c r="O82" i="53"/>
  <c r="N82" i="53"/>
  <c r="M82" i="53"/>
  <c r="J82" i="53"/>
  <c r="I82" i="53"/>
  <c r="H82" i="53"/>
  <c r="G82" i="53"/>
  <c r="F82" i="53"/>
  <c r="E82" i="53"/>
  <c r="C82" i="53"/>
  <c r="B82" i="53"/>
  <c r="Q81" i="53"/>
  <c r="P81" i="53"/>
  <c r="O81" i="53"/>
  <c r="N81" i="53"/>
  <c r="M81" i="53"/>
  <c r="J81" i="53"/>
  <c r="I81" i="53"/>
  <c r="H81" i="53"/>
  <c r="G81" i="53"/>
  <c r="F81" i="53"/>
  <c r="E81" i="53"/>
  <c r="C81" i="53"/>
  <c r="B81" i="53"/>
  <c r="D77" i="53"/>
  <c r="Q76" i="53"/>
  <c r="P76" i="53"/>
  <c r="O76" i="53"/>
  <c r="N76" i="53"/>
  <c r="M76" i="53"/>
  <c r="J76" i="53"/>
  <c r="I76" i="53"/>
  <c r="H76" i="53"/>
  <c r="G76" i="53"/>
  <c r="F76" i="53"/>
  <c r="E76" i="53"/>
  <c r="C76" i="53"/>
  <c r="B76" i="53"/>
  <c r="Q75" i="53"/>
  <c r="P75" i="53"/>
  <c r="O75" i="53"/>
  <c r="N75" i="53"/>
  <c r="M75" i="53"/>
  <c r="J75" i="53"/>
  <c r="I75" i="53"/>
  <c r="H75" i="53"/>
  <c r="G75" i="53"/>
  <c r="F75" i="53"/>
  <c r="E75" i="53"/>
  <c r="C75" i="53"/>
  <c r="B75" i="53"/>
  <c r="D73" i="53"/>
  <c r="Q72" i="53"/>
  <c r="P72" i="53"/>
  <c r="O72" i="53"/>
  <c r="N72" i="53"/>
  <c r="M72" i="53"/>
  <c r="J72" i="53"/>
  <c r="I72" i="53"/>
  <c r="H72" i="53"/>
  <c r="G72" i="53"/>
  <c r="F72" i="53"/>
  <c r="E72" i="53"/>
  <c r="C72" i="53"/>
  <c r="B72" i="53"/>
  <c r="Q71" i="53"/>
  <c r="P71" i="53"/>
  <c r="O71" i="53"/>
  <c r="N71" i="53"/>
  <c r="M71" i="53"/>
  <c r="J71" i="53"/>
  <c r="I71" i="53"/>
  <c r="H71" i="53"/>
  <c r="G71" i="53"/>
  <c r="F71" i="53"/>
  <c r="E71" i="53"/>
  <c r="C71" i="53"/>
  <c r="B71" i="53"/>
  <c r="Q70" i="53"/>
  <c r="P70" i="53"/>
  <c r="O70" i="53"/>
  <c r="N70" i="53"/>
  <c r="M70" i="53"/>
  <c r="J70" i="53"/>
  <c r="I70" i="53"/>
  <c r="H70" i="53"/>
  <c r="G70" i="53"/>
  <c r="F70" i="53"/>
  <c r="E70" i="53"/>
  <c r="C70" i="53"/>
  <c r="B70" i="53"/>
  <c r="Q69" i="53"/>
  <c r="P69" i="53"/>
  <c r="O69" i="53"/>
  <c r="N69" i="53"/>
  <c r="M69" i="53"/>
  <c r="J69" i="53"/>
  <c r="I69" i="53"/>
  <c r="H69" i="53"/>
  <c r="G69" i="53"/>
  <c r="F69" i="53"/>
  <c r="E69" i="53"/>
  <c r="C69" i="53"/>
  <c r="B69" i="53"/>
  <c r="T64" i="53"/>
  <c r="T63" i="53"/>
  <c r="T62" i="53"/>
  <c r="T61" i="53"/>
  <c r="T60" i="53"/>
  <c r="T59" i="53"/>
  <c r="T58" i="53"/>
  <c r="T57" i="53"/>
  <c r="T56" i="53"/>
  <c r="T55" i="53"/>
  <c r="T54" i="53"/>
  <c r="T53" i="53"/>
  <c r="T52" i="53"/>
  <c r="T51" i="53"/>
  <c r="T50" i="53"/>
  <c r="T49" i="53"/>
  <c r="T48" i="53"/>
  <c r="T47" i="53"/>
  <c r="T46" i="53"/>
  <c r="T45" i="53"/>
  <c r="T44" i="53"/>
  <c r="T43" i="53"/>
  <c r="T42" i="53"/>
  <c r="T41" i="53"/>
  <c r="T40" i="53"/>
  <c r="T39" i="53"/>
  <c r="T38" i="53"/>
  <c r="T37" i="53"/>
  <c r="T36" i="53"/>
  <c r="T35" i="53"/>
  <c r="T34" i="53"/>
  <c r="T33" i="53"/>
  <c r="T32" i="53"/>
  <c r="T31" i="53"/>
  <c r="T30" i="53"/>
  <c r="T29" i="53"/>
  <c r="T28" i="53"/>
  <c r="T27" i="53"/>
  <c r="T26" i="53"/>
  <c r="T25" i="53"/>
  <c r="T24" i="53"/>
  <c r="T23" i="53"/>
  <c r="T22" i="53"/>
  <c r="T21" i="53"/>
  <c r="T20" i="53"/>
  <c r="T19" i="53"/>
  <c r="T18" i="53"/>
  <c r="T17" i="53"/>
  <c r="T16" i="53"/>
  <c r="T15" i="53"/>
  <c r="T14" i="53"/>
  <c r="T13" i="53"/>
  <c r="T12" i="53"/>
  <c r="T11" i="53"/>
  <c r="T10" i="53"/>
  <c r="T9" i="53"/>
  <c r="T8" i="53"/>
  <c r="T7" i="53"/>
  <c r="T6" i="53"/>
  <c r="T5" i="53"/>
  <c r="T4" i="53"/>
  <c r="T3" i="53"/>
  <c r="G143" i="50"/>
  <c r="F143" i="50"/>
  <c r="E143" i="50"/>
  <c r="N142" i="50"/>
  <c r="M142" i="50"/>
  <c r="L142" i="50"/>
  <c r="K142" i="50"/>
  <c r="J142" i="50"/>
  <c r="I142" i="50"/>
  <c r="H142" i="50"/>
  <c r="D142" i="50"/>
  <c r="C142" i="50"/>
  <c r="B142" i="50"/>
  <c r="N141" i="50"/>
  <c r="M141" i="50"/>
  <c r="L141" i="50"/>
  <c r="K141" i="50"/>
  <c r="J141" i="50"/>
  <c r="I141" i="50"/>
  <c r="H141" i="50"/>
  <c r="D141" i="50"/>
  <c r="C141" i="50"/>
  <c r="B141" i="50"/>
  <c r="N138" i="50"/>
  <c r="M138" i="50"/>
  <c r="L138" i="50"/>
  <c r="K138" i="50"/>
  <c r="J138" i="50"/>
  <c r="I138" i="50"/>
  <c r="H138" i="50"/>
  <c r="G138" i="50"/>
  <c r="G139" i="50" s="1"/>
  <c r="F138" i="50"/>
  <c r="F139" i="50" s="1"/>
  <c r="E138" i="50"/>
  <c r="E139" i="50" s="1"/>
  <c r="D138" i="50"/>
  <c r="C138" i="50"/>
  <c r="B138" i="50"/>
  <c r="N137" i="50"/>
  <c r="M137" i="50"/>
  <c r="L137" i="50"/>
  <c r="K137" i="50"/>
  <c r="J137" i="50"/>
  <c r="I137" i="50"/>
  <c r="H137" i="50"/>
  <c r="D137" i="50"/>
  <c r="C137" i="50"/>
  <c r="B137" i="50"/>
  <c r="N136" i="50"/>
  <c r="M136" i="50"/>
  <c r="L136" i="50"/>
  <c r="K136" i="50"/>
  <c r="J136" i="50"/>
  <c r="I136" i="50"/>
  <c r="H136" i="50"/>
  <c r="D136" i="50"/>
  <c r="C136" i="50"/>
  <c r="B136" i="50"/>
  <c r="N135" i="50"/>
  <c r="M135" i="50"/>
  <c r="L135" i="50"/>
  <c r="K135" i="50"/>
  <c r="J135" i="50"/>
  <c r="I135" i="50"/>
  <c r="H135" i="50"/>
  <c r="D135" i="50"/>
  <c r="C135" i="50"/>
  <c r="B135" i="50"/>
  <c r="N134" i="50"/>
  <c r="M134" i="50"/>
  <c r="L134" i="50"/>
  <c r="K134" i="50"/>
  <c r="J134" i="50"/>
  <c r="I134" i="50"/>
  <c r="H134" i="50"/>
  <c r="D134" i="50"/>
  <c r="C134" i="50"/>
  <c r="B134" i="50"/>
  <c r="D130" i="50"/>
  <c r="C130" i="50"/>
  <c r="B130" i="50"/>
  <c r="O129" i="50"/>
  <c r="N129" i="50"/>
  <c r="M129" i="50"/>
  <c r="J129" i="50"/>
  <c r="I129" i="50"/>
  <c r="L129" i="50" s="1"/>
  <c r="H129" i="50"/>
  <c r="K129" i="50" s="1"/>
  <c r="G129" i="50"/>
  <c r="F129" i="50"/>
  <c r="E129" i="50"/>
  <c r="O128" i="50"/>
  <c r="N128" i="50"/>
  <c r="M128" i="50"/>
  <c r="J128" i="50"/>
  <c r="I128" i="50"/>
  <c r="L128" i="50" s="1"/>
  <c r="H128" i="50"/>
  <c r="K128" i="50" s="1"/>
  <c r="G128" i="50"/>
  <c r="F128" i="50"/>
  <c r="E128" i="50"/>
  <c r="D126" i="50"/>
  <c r="C126" i="50"/>
  <c r="B126" i="50"/>
  <c r="O125" i="50"/>
  <c r="N125" i="50"/>
  <c r="M125" i="50"/>
  <c r="J125" i="50"/>
  <c r="I125" i="50"/>
  <c r="L125" i="50" s="1"/>
  <c r="H125" i="50"/>
  <c r="K125" i="50" s="1"/>
  <c r="G125" i="50"/>
  <c r="F125" i="50"/>
  <c r="E125" i="50"/>
  <c r="O124" i="50"/>
  <c r="N124" i="50"/>
  <c r="M124" i="50"/>
  <c r="J124" i="50"/>
  <c r="I124" i="50"/>
  <c r="L124" i="50" s="1"/>
  <c r="H124" i="50"/>
  <c r="K124" i="50" s="1"/>
  <c r="G124" i="50"/>
  <c r="F124" i="50"/>
  <c r="E124" i="50"/>
  <c r="O123" i="50"/>
  <c r="N123" i="50"/>
  <c r="M123" i="50"/>
  <c r="J123" i="50"/>
  <c r="I123" i="50"/>
  <c r="L123" i="50" s="1"/>
  <c r="H123" i="50"/>
  <c r="K123" i="50" s="1"/>
  <c r="G123" i="50"/>
  <c r="F123" i="50"/>
  <c r="E123" i="50"/>
  <c r="O122" i="50"/>
  <c r="N122" i="50"/>
  <c r="M122" i="50"/>
  <c r="J122" i="50"/>
  <c r="I122" i="50"/>
  <c r="L122" i="50" s="1"/>
  <c r="H122" i="50"/>
  <c r="K122" i="50" s="1"/>
  <c r="G122" i="50"/>
  <c r="F122" i="50"/>
  <c r="E122" i="50"/>
  <c r="O121" i="50"/>
  <c r="N121" i="50"/>
  <c r="M121" i="50"/>
  <c r="J121" i="50"/>
  <c r="I121" i="50"/>
  <c r="L121" i="50" s="1"/>
  <c r="H121" i="50"/>
  <c r="G121" i="50"/>
  <c r="E121" i="50"/>
  <c r="J116" i="50"/>
  <c r="I116" i="50"/>
  <c r="H116" i="50"/>
  <c r="G116" i="50"/>
  <c r="E116" i="50"/>
  <c r="D116" i="50"/>
  <c r="J115" i="50"/>
  <c r="I115" i="50"/>
  <c r="H115" i="50"/>
  <c r="G115" i="50"/>
  <c r="E115" i="50"/>
  <c r="D115" i="50"/>
  <c r="J112" i="50"/>
  <c r="I112" i="50"/>
  <c r="H112" i="50"/>
  <c r="G112" i="50"/>
  <c r="E112" i="50"/>
  <c r="D112" i="50"/>
  <c r="C112" i="50"/>
  <c r="B112" i="50"/>
  <c r="J111" i="50"/>
  <c r="I111" i="50"/>
  <c r="H111" i="50"/>
  <c r="G111" i="50"/>
  <c r="E111" i="50"/>
  <c r="D111" i="50"/>
  <c r="C111" i="50"/>
  <c r="B111" i="50"/>
  <c r="J110" i="50"/>
  <c r="I110" i="50"/>
  <c r="H110" i="50"/>
  <c r="G110" i="50"/>
  <c r="E110" i="50"/>
  <c r="D110" i="50"/>
  <c r="C110" i="50"/>
  <c r="B110" i="50"/>
  <c r="J109" i="50"/>
  <c r="I109" i="50"/>
  <c r="H109" i="50"/>
  <c r="G109" i="50"/>
  <c r="E109" i="50"/>
  <c r="D109" i="50"/>
  <c r="C109" i="50"/>
  <c r="C113" i="50" s="1"/>
  <c r="B109" i="50"/>
  <c r="B113" i="50" s="1"/>
  <c r="D105" i="50"/>
  <c r="Q104" i="50"/>
  <c r="P104" i="50"/>
  <c r="O104" i="50"/>
  <c r="N104" i="50"/>
  <c r="M104" i="50"/>
  <c r="J104" i="50"/>
  <c r="I104" i="50"/>
  <c r="H104" i="50"/>
  <c r="G104" i="50"/>
  <c r="E104" i="50"/>
  <c r="C104" i="50"/>
  <c r="B104" i="50"/>
  <c r="Q103" i="50"/>
  <c r="P103" i="50"/>
  <c r="O103" i="50"/>
  <c r="N103" i="50"/>
  <c r="M103" i="50"/>
  <c r="J103" i="50"/>
  <c r="I103" i="50"/>
  <c r="H103" i="50"/>
  <c r="G103" i="50"/>
  <c r="E103" i="50"/>
  <c r="C103" i="50"/>
  <c r="C105" i="50" s="1"/>
  <c r="B103" i="50"/>
  <c r="B105" i="50" s="1"/>
  <c r="D101" i="50"/>
  <c r="Q100" i="50"/>
  <c r="P100" i="50"/>
  <c r="O100" i="50"/>
  <c r="N100" i="50"/>
  <c r="M100" i="50"/>
  <c r="J100" i="50"/>
  <c r="I100" i="50"/>
  <c r="H100" i="50"/>
  <c r="G100" i="50"/>
  <c r="E100" i="50"/>
  <c r="Q99" i="50"/>
  <c r="P99" i="50"/>
  <c r="O99" i="50"/>
  <c r="N99" i="50"/>
  <c r="M99" i="50"/>
  <c r="J99" i="50"/>
  <c r="I99" i="50"/>
  <c r="H99" i="50"/>
  <c r="G99" i="50"/>
  <c r="E99" i="50"/>
  <c r="Q98" i="50"/>
  <c r="P98" i="50"/>
  <c r="O98" i="50"/>
  <c r="N98" i="50"/>
  <c r="M98" i="50"/>
  <c r="J98" i="50"/>
  <c r="I98" i="50"/>
  <c r="H98" i="50"/>
  <c r="G98" i="50"/>
  <c r="E98" i="50"/>
  <c r="Q97" i="50"/>
  <c r="P97" i="50"/>
  <c r="O97" i="50"/>
  <c r="N97" i="50"/>
  <c r="M97" i="50"/>
  <c r="J97" i="50"/>
  <c r="I97" i="50"/>
  <c r="H97" i="50"/>
  <c r="G97" i="50"/>
  <c r="E97" i="50"/>
  <c r="D93" i="50"/>
  <c r="Q92" i="50"/>
  <c r="P92" i="50"/>
  <c r="O92" i="50"/>
  <c r="N92" i="50"/>
  <c r="M92" i="50"/>
  <c r="J92" i="50"/>
  <c r="I92" i="50"/>
  <c r="H92" i="50"/>
  <c r="G92" i="50"/>
  <c r="E92" i="50"/>
  <c r="C92" i="50"/>
  <c r="B92" i="50"/>
  <c r="Q91" i="50"/>
  <c r="P91" i="50"/>
  <c r="O91" i="50"/>
  <c r="N91" i="50"/>
  <c r="M91" i="50"/>
  <c r="J91" i="50"/>
  <c r="I91" i="50"/>
  <c r="H91" i="50"/>
  <c r="G91" i="50"/>
  <c r="E91" i="50"/>
  <c r="C91" i="50"/>
  <c r="C93" i="50" s="1"/>
  <c r="B91" i="50"/>
  <c r="B93" i="50" s="1"/>
  <c r="D89" i="50"/>
  <c r="Q88" i="50"/>
  <c r="P88" i="50"/>
  <c r="O88" i="50"/>
  <c r="N88" i="50"/>
  <c r="M88" i="50"/>
  <c r="J88" i="50"/>
  <c r="I88" i="50"/>
  <c r="H88" i="50"/>
  <c r="G88" i="50"/>
  <c r="E88" i="50"/>
  <c r="C88" i="50"/>
  <c r="B88" i="50"/>
  <c r="Q87" i="50"/>
  <c r="P87" i="50"/>
  <c r="O87" i="50"/>
  <c r="N87" i="50"/>
  <c r="M87" i="50"/>
  <c r="J87" i="50"/>
  <c r="I87" i="50"/>
  <c r="H87" i="50"/>
  <c r="G87" i="50"/>
  <c r="F87" i="50"/>
  <c r="E87" i="50"/>
  <c r="C87" i="50"/>
  <c r="B87" i="50"/>
  <c r="Q86" i="50"/>
  <c r="P86" i="50"/>
  <c r="O86" i="50"/>
  <c r="N86" i="50"/>
  <c r="M86" i="50"/>
  <c r="J86" i="50"/>
  <c r="I86" i="50"/>
  <c r="H86" i="50"/>
  <c r="G86" i="50"/>
  <c r="E86" i="50"/>
  <c r="C86" i="50"/>
  <c r="B86" i="50"/>
  <c r="Q85" i="50"/>
  <c r="P85" i="50"/>
  <c r="O85" i="50"/>
  <c r="N85" i="50"/>
  <c r="M85" i="50"/>
  <c r="J85" i="50"/>
  <c r="I85" i="50"/>
  <c r="H85" i="50"/>
  <c r="G85" i="50"/>
  <c r="E85" i="50"/>
  <c r="C85" i="50"/>
  <c r="B85" i="50"/>
  <c r="D81" i="50"/>
  <c r="Q80" i="50"/>
  <c r="P80" i="50"/>
  <c r="O80" i="50"/>
  <c r="N80" i="50"/>
  <c r="M80" i="50"/>
  <c r="J80" i="50"/>
  <c r="I80" i="50"/>
  <c r="H80" i="50"/>
  <c r="G80" i="50"/>
  <c r="E80" i="50"/>
  <c r="C80" i="50"/>
  <c r="B80" i="50"/>
  <c r="Q79" i="50"/>
  <c r="P79" i="50"/>
  <c r="O79" i="50"/>
  <c r="N79" i="50"/>
  <c r="M79" i="50"/>
  <c r="J79" i="50"/>
  <c r="I79" i="50"/>
  <c r="H79" i="50"/>
  <c r="G79" i="50"/>
  <c r="F79" i="50"/>
  <c r="E79" i="50"/>
  <c r="C79" i="50"/>
  <c r="B79" i="50"/>
  <c r="D77" i="50"/>
  <c r="Q76" i="50"/>
  <c r="P76" i="50"/>
  <c r="O76" i="50"/>
  <c r="N76" i="50"/>
  <c r="M76" i="50"/>
  <c r="J76" i="50"/>
  <c r="I76" i="50"/>
  <c r="H76" i="50"/>
  <c r="G76" i="50"/>
  <c r="F76" i="50"/>
  <c r="E76" i="50"/>
  <c r="C76" i="50"/>
  <c r="B76" i="50"/>
  <c r="Q75" i="50"/>
  <c r="P75" i="50"/>
  <c r="O75" i="50"/>
  <c r="N75" i="50"/>
  <c r="M75" i="50"/>
  <c r="J75" i="50"/>
  <c r="I75" i="50"/>
  <c r="H75" i="50"/>
  <c r="G75" i="50"/>
  <c r="E75" i="50"/>
  <c r="C75" i="50"/>
  <c r="B75" i="50"/>
  <c r="Q74" i="50"/>
  <c r="P74" i="50"/>
  <c r="O74" i="50"/>
  <c r="N74" i="50"/>
  <c r="M74" i="50"/>
  <c r="J74" i="50"/>
  <c r="I74" i="50"/>
  <c r="H74" i="50"/>
  <c r="G74" i="50"/>
  <c r="F74" i="50"/>
  <c r="E74" i="50"/>
  <c r="C74" i="50"/>
  <c r="B74" i="50"/>
  <c r="Q73" i="50"/>
  <c r="P73" i="50"/>
  <c r="O73" i="50"/>
  <c r="N73" i="50"/>
  <c r="M73" i="50"/>
  <c r="J73" i="50"/>
  <c r="I73" i="50"/>
  <c r="H73" i="50"/>
  <c r="G73" i="50"/>
  <c r="F73" i="50"/>
  <c r="E73" i="50"/>
  <c r="C73" i="50"/>
  <c r="B73" i="50"/>
  <c r="T66" i="50"/>
  <c r="T65" i="50"/>
  <c r="T64" i="50"/>
  <c r="T63" i="50"/>
  <c r="T62" i="50"/>
  <c r="T61" i="50"/>
  <c r="T60" i="50"/>
  <c r="T59" i="50"/>
  <c r="T58" i="50"/>
  <c r="T57" i="50"/>
  <c r="T56" i="50"/>
  <c r="T55" i="50"/>
  <c r="T54" i="50"/>
  <c r="T53" i="50"/>
  <c r="T52" i="50"/>
  <c r="T51" i="50"/>
  <c r="T50" i="50"/>
  <c r="T49" i="50"/>
  <c r="T48" i="50"/>
  <c r="T47" i="50"/>
  <c r="T46" i="50"/>
  <c r="T45" i="50"/>
  <c r="T44" i="50"/>
  <c r="T43" i="50"/>
  <c r="T42" i="50"/>
  <c r="T41" i="50"/>
  <c r="T40" i="50"/>
  <c r="F86" i="50" s="1"/>
  <c r="T39" i="50"/>
  <c r="T38" i="50"/>
  <c r="F80" i="50" s="1"/>
  <c r="T37" i="50"/>
  <c r="T36" i="50"/>
  <c r="T35" i="50"/>
  <c r="T34" i="50"/>
  <c r="T33" i="50"/>
  <c r="T32" i="50"/>
  <c r="F88" i="50" s="1"/>
  <c r="T31" i="50"/>
  <c r="T30" i="50"/>
  <c r="T29" i="50"/>
  <c r="F85" i="50" s="1"/>
  <c r="T28" i="50"/>
  <c r="T27" i="50"/>
  <c r="T26" i="50"/>
  <c r="T25" i="50"/>
  <c r="T24" i="50"/>
  <c r="T23" i="50"/>
  <c r="T22" i="50"/>
  <c r="T21" i="50"/>
  <c r="F121" i="50" s="1"/>
  <c r="T20" i="50"/>
  <c r="T19" i="50"/>
  <c r="T18" i="50"/>
  <c r="T17" i="50"/>
  <c r="T16" i="50"/>
  <c r="T15" i="50"/>
  <c r="T14" i="50"/>
  <c r="T13" i="50"/>
  <c r="T12" i="50"/>
  <c r="T11" i="50"/>
  <c r="T10" i="50"/>
  <c r="T9" i="50"/>
  <c r="T8" i="50"/>
  <c r="T7" i="50"/>
  <c r="T6" i="50"/>
  <c r="T5" i="50"/>
  <c r="T4" i="50"/>
  <c r="T3" i="50"/>
  <c r="G124" i="49"/>
  <c r="F124" i="49"/>
  <c r="E124" i="49"/>
  <c r="N123" i="49"/>
  <c r="M123" i="49"/>
  <c r="L123" i="49"/>
  <c r="K123" i="49"/>
  <c r="J123" i="49"/>
  <c r="I123" i="49"/>
  <c r="H123" i="49"/>
  <c r="D123" i="49"/>
  <c r="C123" i="49"/>
  <c r="B123" i="49"/>
  <c r="N122" i="49"/>
  <c r="M122" i="49"/>
  <c r="L122" i="49"/>
  <c r="K122" i="49"/>
  <c r="J122" i="49"/>
  <c r="I122" i="49"/>
  <c r="H122" i="49"/>
  <c r="D122" i="49"/>
  <c r="C122" i="49"/>
  <c r="B122" i="49"/>
  <c r="N119" i="49"/>
  <c r="M119" i="49"/>
  <c r="L119" i="49"/>
  <c r="K119" i="49"/>
  <c r="J119" i="49"/>
  <c r="I119" i="49"/>
  <c r="H119" i="49"/>
  <c r="G119" i="49"/>
  <c r="G120" i="49" s="1"/>
  <c r="F119" i="49"/>
  <c r="F120" i="49" s="1"/>
  <c r="E119" i="49"/>
  <c r="E120" i="49" s="1"/>
  <c r="D119" i="49"/>
  <c r="C119" i="49"/>
  <c r="B119" i="49"/>
  <c r="N118" i="49"/>
  <c r="M118" i="49"/>
  <c r="L118" i="49"/>
  <c r="K118" i="49"/>
  <c r="J118" i="49"/>
  <c r="I118" i="49"/>
  <c r="H118" i="49"/>
  <c r="D118" i="49"/>
  <c r="C118" i="49"/>
  <c r="B118" i="49"/>
  <c r="N117" i="49"/>
  <c r="M117" i="49"/>
  <c r="L117" i="49"/>
  <c r="K117" i="49"/>
  <c r="J117" i="49"/>
  <c r="I117" i="49"/>
  <c r="H117" i="49"/>
  <c r="D117" i="49"/>
  <c r="C117" i="49"/>
  <c r="B117" i="49"/>
  <c r="N116" i="49"/>
  <c r="M116" i="49"/>
  <c r="L116" i="49"/>
  <c r="K116" i="49"/>
  <c r="J116" i="49"/>
  <c r="I116" i="49"/>
  <c r="H116" i="49"/>
  <c r="D116" i="49"/>
  <c r="C116" i="49"/>
  <c r="B116" i="49"/>
  <c r="N115" i="49"/>
  <c r="M115" i="49"/>
  <c r="L115" i="49"/>
  <c r="K115" i="49"/>
  <c r="J115" i="49"/>
  <c r="I115" i="49"/>
  <c r="H115" i="49"/>
  <c r="D115" i="49"/>
  <c r="C115" i="49"/>
  <c r="B115" i="49"/>
  <c r="D111" i="49"/>
  <c r="C111" i="49"/>
  <c r="B111" i="49"/>
  <c r="O110" i="49"/>
  <c r="N110" i="49"/>
  <c r="M110" i="49"/>
  <c r="J110" i="49"/>
  <c r="I110" i="49"/>
  <c r="L110" i="49" s="1"/>
  <c r="H110" i="49"/>
  <c r="K110" i="49" s="1"/>
  <c r="G110" i="49"/>
  <c r="F110" i="49"/>
  <c r="E110" i="49"/>
  <c r="O109" i="49"/>
  <c r="N109" i="49"/>
  <c r="M109" i="49"/>
  <c r="J109" i="49"/>
  <c r="I109" i="49"/>
  <c r="H109" i="49"/>
  <c r="K109" i="49" s="1"/>
  <c r="G109" i="49"/>
  <c r="F109" i="49"/>
  <c r="E109" i="49"/>
  <c r="D107" i="49"/>
  <c r="C107" i="49"/>
  <c r="B107" i="49"/>
  <c r="O106" i="49"/>
  <c r="N106" i="49"/>
  <c r="M106" i="49"/>
  <c r="J106" i="49"/>
  <c r="I106" i="49"/>
  <c r="L106" i="49" s="1"/>
  <c r="H106" i="49"/>
  <c r="K106" i="49" s="1"/>
  <c r="G106" i="49"/>
  <c r="F106" i="49"/>
  <c r="E106" i="49"/>
  <c r="O105" i="49"/>
  <c r="N105" i="49"/>
  <c r="M105" i="49"/>
  <c r="J105" i="49"/>
  <c r="I105" i="49"/>
  <c r="L105" i="49" s="1"/>
  <c r="H105" i="49"/>
  <c r="K105" i="49" s="1"/>
  <c r="G105" i="49"/>
  <c r="F105" i="49"/>
  <c r="E105" i="49"/>
  <c r="O104" i="49"/>
  <c r="N104" i="49"/>
  <c r="M104" i="49"/>
  <c r="J104" i="49"/>
  <c r="I104" i="49"/>
  <c r="L104" i="49" s="1"/>
  <c r="H104" i="49"/>
  <c r="K104" i="49" s="1"/>
  <c r="G104" i="49"/>
  <c r="E104" i="49"/>
  <c r="O103" i="49"/>
  <c r="N103" i="49"/>
  <c r="M103" i="49"/>
  <c r="J103" i="49"/>
  <c r="I103" i="49"/>
  <c r="L103" i="49" s="1"/>
  <c r="H103" i="49"/>
  <c r="K103" i="49" s="1"/>
  <c r="G103" i="49"/>
  <c r="F103" i="49"/>
  <c r="E103" i="49"/>
  <c r="O102" i="49"/>
  <c r="N102" i="49"/>
  <c r="M102" i="49"/>
  <c r="J102" i="49"/>
  <c r="I102" i="49"/>
  <c r="H102" i="49"/>
  <c r="G102" i="49"/>
  <c r="F102" i="49"/>
  <c r="E102" i="49"/>
  <c r="J97" i="49"/>
  <c r="I97" i="49"/>
  <c r="L97" i="49" s="1"/>
  <c r="H97" i="49"/>
  <c r="K97" i="49" s="1"/>
  <c r="G97" i="49"/>
  <c r="E97" i="49"/>
  <c r="D97" i="49"/>
  <c r="J96" i="49"/>
  <c r="I96" i="49"/>
  <c r="H96" i="49"/>
  <c r="K96" i="49" s="1"/>
  <c r="G96" i="49"/>
  <c r="E96" i="49"/>
  <c r="D96" i="49"/>
  <c r="J93" i="49"/>
  <c r="I93" i="49"/>
  <c r="L93" i="49" s="1"/>
  <c r="H93" i="49"/>
  <c r="K93" i="49" s="1"/>
  <c r="G93" i="49"/>
  <c r="E93" i="49"/>
  <c r="D93" i="49"/>
  <c r="J92" i="49"/>
  <c r="I92" i="49"/>
  <c r="L92" i="49" s="1"/>
  <c r="H92" i="49"/>
  <c r="K92" i="49" s="1"/>
  <c r="G92" i="49"/>
  <c r="E92" i="49"/>
  <c r="D92" i="49"/>
  <c r="J91" i="49"/>
  <c r="I91" i="49"/>
  <c r="H91" i="49"/>
  <c r="K91" i="49" s="1"/>
  <c r="G91" i="49"/>
  <c r="E91" i="49"/>
  <c r="D91" i="49"/>
  <c r="J90" i="49"/>
  <c r="I90" i="49"/>
  <c r="L90" i="49" s="1"/>
  <c r="H90" i="49"/>
  <c r="K90" i="49" s="1"/>
  <c r="G90" i="49"/>
  <c r="E90" i="49"/>
  <c r="D90" i="49"/>
  <c r="D86" i="49"/>
  <c r="Q85" i="49"/>
  <c r="P85" i="49"/>
  <c r="O85" i="49"/>
  <c r="N85" i="49"/>
  <c r="M85" i="49"/>
  <c r="J85" i="49"/>
  <c r="I85" i="49"/>
  <c r="L85" i="49" s="1"/>
  <c r="H85" i="49"/>
  <c r="K85" i="49" s="1"/>
  <c r="G85" i="49"/>
  <c r="E85" i="49"/>
  <c r="Q84" i="49"/>
  <c r="P84" i="49"/>
  <c r="O84" i="49"/>
  <c r="N84" i="49"/>
  <c r="M84" i="49"/>
  <c r="J84" i="49"/>
  <c r="I84" i="49"/>
  <c r="L84" i="49" s="1"/>
  <c r="H84" i="49"/>
  <c r="K84" i="49" s="1"/>
  <c r="G84" i="49"/>
  <c r="E84" i="49"/>
  <c r="D82" i="49"/>
  <c r="Q81" i="49"/>
  <c r="P81" i="49"/>
  <c r="O81" i="49"/>
  <c r="N81" i="49"/>
  <c r="M81" i="49"/>
  <c r="J81" i="49"/>
  <c r="I81" i="49"/>
  <c r="L81" i="49" s="1"/>
  <c r="H81" i="49"/>
  <c r="K81" i="49" s="1"/>
  <c r="G81" i="49"/>
  <c r="E81" i="49"/>
  <c r="Q80" i="49"/>
  <c r="P80" i="49"/>
  <c r="O80" i="49"/>
  <c r="N80" i="49"/>
  <c r="M80" i="49"/>
  <c r="J80" i="49"/>
  <c r="I80" i="49"/>
  <c r="L80" i="49" s="1"/>
  <c r="H80" i="49"/>
  <c r="K80" i="49" s="1"/>
  <c r="G80" i="49"/>
  <c r="E80" i="49"/>
  <c r="Q79" i="49"/>
  <c r="P79" i="49"/>
  <c r="O79" i="49"/>
  <c r="N79" i="49"/>
  <c r="M79" i="49"/>
  <c r="J79" i="49"/>
  <c r="I79" i="49"/>
  <c r="L79" i="49" s="1"/>
  <c r="H79" i="49"/>
  <c r="K79" i="49" s="1"/>
  <c r="G79" i="49"/>
  <c r="E79" i="49"/>
  <c r="Q78" i="49"/>
  <c r="P78" i="49"/>
  <c r="O78" i="49"/>
  <c r="N78" i="49"/>
  <c r="M78" i="49"/>
  <c r="J78" i="49"/>
  <c r="I78" i="49"/>
  <c r="L78" i="49" s="1"/>
  <c r="H78" i="49"/>
  <c r="G78" i="49"/>
  <c r="E78" i="49"/>
  <c r="D74" i="49"/>
  <c r="Q73" i="49"/>
  <c r="P73" i="49"/>
  <c r="O73" i="49"/>
  <c r="N73" i="49"/>
  <c r="M73" i="49"/>
  <c r="J73" i="49"/>
  <c r="I73" i="49"/>
  <c r="L73" i="49" s="1"/>
  <c r="H73" i="49"/>
  <c r="K73" i="49" s="1"/>
  <c r="G73" i="49"/>
  <c r="E73" i="49"/>
  <c r="Q72" i="49"/>
  <c r="P72" i="49"/>
  <c r="O72" i="49"/>
  <c r="N72" i="49"/>
  <c r="M72" i="49"/>
  <c r="J72" i="49"/>
  <c r="I72" i="49"/>
  <c r="H72" i="49"/>
  <c r="G72" i="49"/>
  <c r="E72" i="49"/>
  <c r="D70" i="49"/>
  <c r="Q69" i="49"/>
  <c r="P69" i="49"/>
  <c r="O69" i="49"/>
  <c r="N69" i="49"/>
  <c r="M69" i="49"/>
  <c r="J69" i="49"/>
  <c r="I69" i="49"/>
  <c r="L69" i="49" s="1"/>
  <c r="H69" i="49"/>
  <c r="K69" i="49" s="1"/>
  <c r="G69" i="49"/>
  <c r="E69" i="49"/>
  <c r="Q68" i="49"/>
  <c r="P68" i="49"/>
  <c r="O68" i="49"/>
  <c r="N68" i="49"/>
  <c r="M68" i="49"/>
  <c r="J68" i="49"/>
  <c r="I68" i="49"/>
  <c r="L68" i="49" s="1"/>
  <c r="H68" i="49"/>
  <c r="K68" i="49" s="1"/>
  <c r="G68" i="49"/>
  <c r="E68" i="49"/>
  <c r="Q67" i="49"/>
  <c r="P67" i="49"/>
  <c r="O67" i="49"/>
  <c r="N67" i="49"/>
  <c r="M67" i="49"/>
  <c r="J67" i="49"/>
  <c r="I67" i="49"/>
  <c r="L67" i="49" s="1"/>
  <c r="H67" i="49"/>
  <c r="G67" i="49"/>
  <c r="E67" i="49"/>
  <c r="Q66" i="49"/>
  <c r="P66" i="49"/>
  <c r="O66" i="49"/>
  <c r="N66" i="49"/>
  <c r="M66" i="49"/>
  <c r="J66" i="49"/>
  <c r="I66" i="49"/>
  <c r="H66" i="49"/>
  <c r="K66" i="49" s="1"/>
  <c r="G66" i="49"/>
  <c r="E66" i="49"/>
  <c r="D62" i="49"/>
  <c r="Q61" i="49"/>
  <c r="P61" i="49"/>
  <c r="O61" i="49"/>
  <c r="N61" i="49"/>
  <c r="M61" i="49"/>
  <c r="J61" i="49"/>
  <c r="I61" i="49"/>
  <c r="L61" i="49" s="1"/>
  <c r="H61" i="49"/>
  <c r="K61" i="49" s="1"/>
  <c r="G61" i="49"/>
  <c r="F61" i="49"/>
  <c r="E61" i="49"/>
  <c r="Q60" i="49"/>
  <c r="P60" i="49"/>
  <c r="O60" i="49"/>
  <c r="N60" i="49"/>
  <c r="M60" i="49"/>
  <c r="J60" i="49"/>
  <c r="I60" i="49"/>
  <c r="L60" i="49" s="1"/>
  <c r="H60" i="49"/>
  <c r="G60" i="49"/>
  <c r="F60" i="49"/>
  <c r="E60" i="49"/>
  <c r="D58" i="49"/>
  <c r="Q57" i="49"/>
  <c r="P57" i="49"/>
  <c r="O57" i="49"/>
  <c r="N57" i="49"/>
  <c r="M57" i="49"/>
  <c r="J57" i="49"/>
  <c r="I57" i="49"/>
  <c r="L57" i="49" s="1"/>
  <c r="H57" i="49"/>
  <c r="K57" i="49" s="1"/>
  <c r="G57" i="49"/>
  <c r="F57" i="49"/>
  <c r="E57" i="49"/>
  <c r="Q56" i="49"/>
  <c r="P56" i="49"/>
  <c r="O56" i="49"/>
  <c r="N56" i="49"/>
  <c r="M56" i="49"/>
  <c r="J56" i="49"/>
  <c r="I56" i="49"/>
  <c r="L56" i="49" s="1"/>
  <c r="H56" i="49"/>
  <c r="K56" i="49" s="1"/>
  <c r="G56" i="49"/>
  <c r="F56" i="49"/>
  <c r="E56" i="49"/>
  <c r="Q55" i="49"/>
  <c r="P55" i="49"/>
  <c r="O55" i="49"/>
  <c r="N55" i="49"/>
  <c r="M55" i="49"/>
  <c r="J55" i="49"/>
  <c r="I55" i="49"/>
  <c r="L55" i="49" s="1"/>
  <c r="H55" i="49"/>
  <c r="K55" i="49" s="1"/>
  <c r="G55" i="49"/>
  <c r="F55" i="49"/>
  <c r="E55" i="49"/>
  <c r="Q54" i="49"/>
  <c r="P54" i="49"/>
  <c r="O54" i="49"/>
  <c r="N54" i="49"/>
  <c r="M54" i="49"/>
  <c r="J54" i="49"/>
  <c r="I54" i="49"/>
  <c r="H54" i="49"/>
  <c r="K54" i="49" s="1"/>
  <c r="G54" i="49"/>
  <c r="F54" i="49"/>
  <c r="E54" i="49"/>
  <c r="T47" i="49"/>
  <c r="T46" i="49"/>
  <c r="T45" i="49"/>
  <c r="T44" i="49"/>
  <c r="F67" i="49" s="1"/>
  <c r="T43" i="49"/>
  <c r="T42" i="49"/>
  <c r="T41" i="49"/>
  <c r="T40" i="49"/>
  <c r="T39" i="49"/>
  <c r="T38" i="49"/>
  <c r="T37" i="49"/>
  <c r="T36" i="49"/>
  <c r="T35" i="49"/>
  <c r="T34" i="49"/>
  <c r="T33" i="49"/>
  <c r="T32" i="49"/>
  <c r="T31" i="49"/>
  <c r="T30" i="49"/>
  <c r="T29" i="49"/>
  <c r="T28" i="49"/>
  <c r="T27" i="49"/>
  <c r="T26" i="49"/>
  <c r="T25" i="49"/>
  <c r="T24" i="49"/>
  <c r="F69" i="49" s="1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F104" i="49" s="1"/>
  <c r="T7" i="49"/>
  <c r="T6" i="49"/>
  <c r="T5" i="49"/>
  <c r="T4" i="49"/>
  <c r="T3" i="49"/>
  <c r="G126" i="47"/>
  <c r="F126" i="47"/>
  <c r="E126" i="47"/>
  <c r="N125" i="47"/>
  <c r="M125" i="47"/>
  <c r="L125" i="47"/>
  <c r="K125" i="47"/>
  <c r="J125" i="47"/>
  <c r="I125" i="47"/>
  <c r="H125" i="47"/>
  <c r="D125" i="47"/>
  <c r="C125" i="47"/>
  <c r="B125" i="47"/>
  <c r="N124" i="47"/>
  <c r="M124" i="47"/>
  <c r="L124" i="47"/>
  <c r="K124" i="47"/>
  <c r="J124" i="47"/>
  <c r="I124" i="47"/>
  <c r="H124" i="47"/>
  <c r="D124" i="47"/>
  <c r="C124" i="47"/>
  <c r="B124" i="47"/>
  <c r="N121" i="47"/>
  <c r="M121" i="47"/>
  <c r="L121" i="47"/>
  <c r="K121" i="47"/>
  <c r="J121" i="47"/>
  <c r="I121" i="47"/>
  <c r="H121" i="47"/>
  <c r="G121" i="47"/>
  <c r="G122" i="47" s="1"/>
  <c r="F121" i="47"/>
  <c r="F122" i="47" s="1"/>
  <c r="E121" i="47"/>
  <c r="E122" i="47" s="1"/>
  <c r="D121" i="47"/>
  <c r="C121" i="47"/>
  <c r="B121" i="47"/>
  <c r="N120" i="47"/>
  <c r="M120" i="47"/>
  <c r="L120" i="47"/>
  <c r="K120" i="47"/>
  <c r="J120" i="47"/>
  <c r="I120" i="47"/>
  <c r="H120" i="47"/>
  <c r="D120" i="47"/>
  <c r="C120" i="47"/>
  <c r="B120" i="47"/>
  <c r="N119" i="47"/>
  <c r="M119" i="47"/>
  <c r="L119" i="47"/>
  <c r="K119" i="47"/>
  <c r="J119" i="47"/>
  <c r="I119" i="47"/>
  <c r="H119" i="47"/>
  <c r="D119" i="47"/>
  <c r="C119" i="47"/>
  <c r="B119" i="47"/>
  <c r="N118" i="47"/>
  <c r="M118" i="47"/>
  <c r="L118" i="47"/>
  <c r="K118" i="47"/>
  <c r="J118" i="47"/>
  <c r="I118" i="47"/>
  <c r="H118" i="47"/>
  <c r="D118" i="47"/>
  <c r="C118" i="47"/>
  <c r="B118" i="47"/>
  <c r="N117" i="47"/>
  <c r="M117" i="47"/>
  <c r="L117" i="47"/>
  <c r="K117" i="47"/>
  <c r="J117" i="47"/>
  <c r="I117" i="47"/>
  <c r="H117" i="47"/>
  <c r="D117" i="47"/>
  <c r="C117" i="47"/>
  <c r="B117" i="47"/>
  <c r="D113" i="47"/>
  <c r="C113" i="47"/>
  <c r="B113" i="47"/>
  <c r="O112" i="47"/>
  <c r="N112" i="47"/>
  <c r="M112" i="47"/>
  <c r="J112" i="47"/>
  <c r="I112" i="47"/>
  <c r="L112" i="47" s="1"/>
  <c r="H112" i="47"/>
  <c r="K112" i="47" s="1"/>
  <c r="G112" i="47"/>
  <c r="F112" i="47"/>
  <c r="E112" i="47"/>
  <c r="O111" i="47"/>
  <c r="N111" i="47"/>
  <c r="M111" i="47"/>
  <c r="J111" i="47"/>
  <c r="I111" i="47"/>
  <c r="L111" i="47" s="1"/>
  <c r="H111" i="47"/>
  <c r="K111" i="47" s="1"/>
  <c r="G111" i="47"/>
  <c r="F111" i="47"/>
  <c r="E111" i="47"/>
  <c r="D109" i="47"/>
  <c r="C109" i="47"/>
  <c r="B109" i="47"/>
  <c r="O108" i="47"/>
  <c r="N108" i="47"/>
  <c r="M108" i="47"/>
  <c r="J108" i="47"/>
  <c r="I108" i="47"/>
  <c r="L108" i="47" s="1"/>
  <c r="H108" i="47"/>
  <c r="K108" i="47" s="1"/>
  <c r="G108" i="47"/>
  <c r="F108" i="47"/>
  <c r="E108" i="47"/>
  <c r="O107" i="47"/>
  <c r="N107" i="47"/>
  <c r="M107" i="47"/>
  <c r="J107" i="47"/>
  <c r="I107" i="47"/>
  <c r="L107" i="47" s="1"/>
  <c r="H107" i="47"/>
  <c r="K107" i="47" s="1"/>
  <c r="G107" i="47"/>
  <c r="F107" i="47"/>
  <c r="E107" i="47"/>
  <c r="O106" i="47"/>
  <c r="N106" i="47"/>
  <c r="M106" i="47"/>
  <c r="J106" i="47"/>
  <c r="I106" i="47"/>
  <c r="L106" i="47" s="1"/>
  <c r="H106" i="47"/>
  <c r="K106" i="47" s="1"/>
  <c r="G106" i="47"/>
  <c r="E106" i="47"/>
  <c r="O105" i="47"/>
  <c r="N105" i="47"/>
  <c r="M105" i="47"/>
  <c r="J105" i="47"/>
  <c r="I105" i="47"/>
  <c r="L105" i="47" s="1"/>
  <c r="H105" i="47"/>
  <c r="K105" i="47" s="1"/>
  <c r="G105" i="47"/>
  <c r="F105" i="47"/>
  <c r="E105" i="47"/>
  <c r="O104" i="47"/>
  <c r="N104" i="47"/>
  <c r="M104" i="47"/>
  <c r="J104" i="47"/>
  <c r="I104" i="47"/>
  <c r="H104" i="47"/>
  <c r="G104" i="47"/>
  <c r="E104" i="47"/>
  <c r="C100" i="47"/>
  <c r="B100" i="47"/>
  <c r="J99" i="47"/>
  <c r="I99" i="47"/>
  <c r="H99" i="47"/>
  <c r="G99" i="47"/>
  <c r="E99" i="47"/>
  <c r="D99" i="47"/>
  <c r="C99" i="47"/>
  <c r="B99" i="47"/>
  <c r="J98" i="47"/>
  <c r="I98" i="47"/>
  <c r="H98" i="47"/>
  <c r="G98" i="47"/>
  <c r="E98" i="47"/>
  <c r="D98" i="47"/>
  <c r="C98" i="47"/>
  <c r="B98" i="47"/>
  <c r="C96" i="47"/>
  <c r="B96" i="47"/>
  <c r="J95" i="47"/>
  <c r="I95" i="47"/>
  <c r="H95" i="47"/>
  <c r="G95" i="47"/>
  <c r="E95" i="47"/>
  <c r="D95" i="47"/>
  <c r="C95" i="47"/>
  <c r="B95" i="47"/>
  <c r="J94" i="47"/>
  <c r="I94" i="47"/>
  <c r="H94" i="47"/>
  <c r="G94" i="47"/>
  <c r="E94" i="47"/>
  <c r="D94" i="47"/>
  <c r="C94" i="47"/>
  <c r="B94" i="47"/>
  <c r="J93" i="47"/>
  <c r="I93" i="47"/>
  <c r="H93" i="47"/>
  <c r="G93" i="47"/>
  <c r="E93" i="47"/>
  <c r="D93" i="47"/>
  <c r="C93" i="47"/>
  <c r="B93" i="47"/>
  <c r="J92" i="47"/>
  <c r="I92" i="47"/>
  <c r="H92" i="47"/>
  <c r="G92" i="47"/>
  <c r="E92" i="47"/>
  <c r="D92" i="47"/>
  <c r="C92" i="47"/>
  <c r="B92" i="47"/>
  <c r="D88" i="47"/>
  <c r="C88" i="47"/>
  <c r="B88" i="47"/>
  <c r="Q87" i="47"/>
  <c r="P87" i="47"/>
  <c r="O87" i="47"/>
  <c r="N87" i="47"/>
  <c r="M87" i="47"/>
  <c r="J87" i="47"/>
  <c r="I87" i="47"/>
  <c r="H87" i="47"/>
  <c r="G87" i="47"/>
  <c r="E87" i="47"/>
  <c r="C87" i="47"/>
  <c r="B87" i="47"/>
  <c r="Q86" i="47"/>
  <c r="P86" i="47"/>
  <c r="O86" i="47"/>
  <c r="N86" i="47"/>
  <c r="M86" i="47"/>
  <c r="J86" i="47"/>
  <c r="I86" i="47"/>
  <c r="H86" i="47"/>
  <c r="G86" i="47"/>
  <c r="E86" i="47"/>
  <c r="C86" i="47"/>
  <c r="B86" i="47"/>
  <c r="D84" i="47"/>
  <c r="C84" i="47"/>
  <c r="B84" i="47"/>
  <c r="Q83" i="47"/>
  <c r="P83" i="47"/>
  <c r="O83" i="47"/>
  <c r="N83" i="47"/>
  <c r="M83" i="47"/>
  <c r="J83" i="47"/>
  <c r="I83" i="47"/>
  <c r="H83" i="47"/>
  <c r="G83" i="47"/>
  <c r="E83" i="47"/>
  <c r="C83" i="47"/>
  <c r="B83" i="47"/>
  <c r="Q82" i="47"/>
  <c r="P82" i="47"/>
  <c r="O82" i="47"/>
  <c r="N82" i="47"/>
  <c r="M82" i="47"/>
  <c r="J82" i="47"/>
  <c r="I82" i="47"/>
  <c r="H82" i="47"/>
  <c r="G82" i="47"/>
  <c r="E82" i="47"/>
  <c r="C82" i="47"/>
  <c r="B82" i="47"/>
  <c r="Q81" i="47"/>
  <c r="P81" i="47"/>
  <c r="O81" i="47"/>
  <c r="N81" i="47"/>
  <c r="M81" i="47"/>
  <c r="J81" i="47"/>
  <c r="I81" i="47"/>
  <c r="H81" i="47"/>
  <c r="G81" i="47"/>
  <c r="E81" i="47"/>
  <c r="C81" i="47"/>
  <c r="B81" i="47"/>
  <c r="Q80" i="47"/>
  <c r="P80" i="47"/>
  <c r="O80" i="47"/>
  <c r="N80" i="47"/>
  <c r="M80" i="47"/>
  <c r="J80" i="47"/>
  <c r="I80" i="47"/>
  <c r="H80" i="47"/>
  <c r="G80" i="47"/>
  <c r="E80" i="47"/>
  <c r="C80" i="47"/>
  <c r="B80" i="47"/>
  <c r="D76" i="47"/>
  <c r="C76" i="47"/>
  <c r="B76" i="47"/>
  <c r="Q75" i="47"/>
  <c r="P75" i="47"/>
  <c r="O75" i="47"/>
  <c r="N75" i="47"/>
  <c r="M75" i="47"/>
  <c r="J75" i="47"/>
  <c r="I75" i="47"/>
  <c r="H75" i="47"/>
  <c r="G75" i="47"/>
  <c r="E75" i="47"/>
  <c r="C75" i="47"/>
  <c r="B75" i="47"/>
  <c r="Q74" i="47"/>
  <c r="P74" i="47"/>
  <c r="O74" i="47"/>
  <c r="N74" i="47"/>
  <c r="M74" i="47"/>
  <c r="J74" i="47"/>
  <c r="I74" i="47"/>
  <c r="H74" i="47"/>
  <c r="G74" i="47"/>
  <c r="E74" i="47"/>
  <c r="C74" i="47"/>
  <c r="B74" i="47"/>
  <c r="D72" i="47"/>
  <c r="C72" i="47"/>
  <c r="B72" i="47"/>
  <c r="Q71" i="47"/>
  <c r="P71" i="47"/>
  <c r="O71" i="47"/>
  <c r="N71" i="47"/>
  <c r="M71" i="47"/>
  <c r="J71" i="47"/>
  <c r="I71" i="47"/>
  <c r="H71" i="47"/>
  <c r="G71" i="47"/>
  <c r="E71" i="47"/>
  <c r="C71" i="47"/>
  <c r="B71" i="47"/>
  <c r="Q70" i="47"/>
  <c r="P70" i="47"/>
  <c r="O70" i="47"/>
  <c r="N70" i="47"/>
  <c r="M70" i="47"/>
  <c r="J70" i="47"/>
  <c r="I70" i="47"/>
  <c r="H70" i="47"/>
  <c r="G70" i="47"/>
  <c r="E70" i="47"/>
  <c r="C70" i="47"/>
  <c r="B70" i="47"/>
  <c r="Q69" i="47"/>
  <c r="P69" i="47"/>
  <c r="O69" i="47"/>
  <c r="N69" i="47"/>
  <c r="M69" i="47"/>
  <c r="J69" i="47"/>
  <c r="I69" i="47"/>
  <c r="H69" i="47"/>
  <c r="G69" i="47"/>
  <c r="F69" i="47"/>
  <c r="E69" i="47"/>
  <c r="C69" i="47"/>
  <c r="B69" i="47"/>
  <c r="Q68" i="47"/>
  <c r="P68" i="47"/>
  <c r="O68" i="47"/>
  <c r="N68" i="47"/>
  <c r="M68" i="47"/>
  <c r="J68" i="47"/>
  <c r="I68" i="47"/>
  <c r="H68" i="47"/>
  <c r="G68" i="47"/>
  <c r="E68" i="47"/>
  <c r="C68" i="47"/>
  <c r="B68" i="47"/>
  <c r="D64" i="47"/>
  <c r="C64" i="47"/>
  <c r="B64" i="47"/>
  <c r="Q63" i="47"/>
  <c r="P63" i="47"/>
  <c r="O63" i="47"/>
  <c r="N63" i="47"/>
  <c r="M63" i="47"/>
  <c r="J63" i="47"/>
  <c r="I63" i="47"/>
  <c r="H63" i="47"/>
  <c r="G63" i="47"/>
  <c r="F63" i="47"/>
  <c r="E63" i="47"/>
  <c r="C63" i="47"/>
  <c r="B63" i="47"/>
  <c r="Q62" i="47"/>
  <c r="P62" i="47"/>
  <c r="O62" i="47"/>
  <c r="N62" i="47"/>
  <c r="M62" i="47"/>
  <c r="J62" i="47"/>
  <c r="I62" i="47"/>
  <c r="H62" i="47"/>
  <c r="G62" i="47"/>
  <c r="F62" i="47"/>
  <c r="E62" i="47"/>
  <c r="C62" i="47"/>
  <c r="B62" i="47"/>
  <c r="D60" i="47"/>
  <c r="C60" i="47"/>
  <c r="B60" i="47"/>
  <c r="Q59" i="47"/>
  <c r="P59" i="47"/>
  <c r="O59" i="47"/>
  <c r="N59" i="47"/>
  <c r="M59" i="47"/>
  <c r="J59" i="47"/>
  <c r="I59" i="47"/>
  <c r="H59" i="47"/>
  <c r="G59" i="47"/>
  <c r="F59" i="47"/>
  <c r="E59" i="47"/>
  <c r="C59" i="47"/>
  <c r="B59" i="47"/>
  <c r="Q58" i="47"/>
  <c r="P58" i="47"/>
  <c r="O58" i="47"/>
  <c r="N58" i="47"/>
  <c r="M58" i="47"/>
  <c r="J58" i="47"/>
  <c r="I58" i="47"/>
  <c r="H58" i="47"/>
  <c r="G58" i="47"/>
  <c r="F58" i="47"/>
  <c r="E58" i="47"/>
  <c r="C58" i="47"/>
  <c r="B58" i="47"/>
  <c r="Q57" i="47"/>
  <c r="P57" i="47"/>
  <c r="O57" i="47"/>
  <c r="N57" i="47"/>
  <c r="M57" i="47"/>
  <c r="J57" i="47"/>
  <c r="I57" i="47"/>
  <c r="H57" i="47"/>
  <c r="G57" i="47"/>
  <c r="F57" i="47"/>
  <c r="E57" i="47"/>
  <c r="C57" i="47"/>
  <c r="B57" i="47"/>
  <c r="Q56" i="47"/>
  <c r="P56" i="47"/>
  <c r="O56" i="47"/>
  <c r="N56" i="47"/>
  <c r="M56" i="47"/>
  <c r="J56" i="47"/>
  <c r="I56" i="47"/>
  <c r="H56" i="47"/>
  <c r="G56" i="47"/>
  <c r="F56" i="47"/>
  <c r="E56" i="47"/>
  <c r="C56" i="47"/>
  <c r="B56" i="47"/>
  <c r="U49" i="47"/>
  <c r="F81" i="47" s="1"/>
  <c r="U48" i="47"/>
  <c r="U47" i="47"/>
  <c r="U46" i="47"/>
  <c r="U45" i="47"/>
  <c r="U44" i="47"/>
  <c r="F71" i="47" s="1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G127" i="45"/>
  <c r="F127" i="45"/>
  <c r="E127" i="45"/>
  <c r="N126" i="45"/>
  <c r="M126" i="45"/>
  <c r="L126" i="45"/>
  <c r="K126" i="45"/>
  <c r="J126" i="45"/>
  <c r="I126" i="45"/>
  <c r="H126" i="45"/>
  <c r="D126" i="45"/>
  <c r="C126" i="45"/>
  <c r="B126" i="45"/>
  <c r="N125" i="45"/>
  <c r="N127" i="45" s="1"/>
  <c r="M125" i="45"/>
  <c r="M127" i="45" s="1"/>
  <c r="L125" i="45"/>
  <c r="L127" i="45" s="1"/>
  <c r="K125" i="45"/>
  <c r="K127" i="45" s="1"/>
  <c r="J125" i="45"/>
  <c r="J127" i="45" s="1"/>
  <c r="I125" i="45"/>
  <c r="I127" i="45" s="1"/>
  <c r="H125" i="45"/>
  <c r="H127" i="45" s="1"/>
  <c r="D125" i="45"/>
  <c r="C125" i="45"/>
  <c r="B125" i="45"/>
  <c r="N122" i="45"/>
  <c r="M122" i="45"/>
  <c r="L122" i="45"/>
  <c r="K122" i="45"/>
  <c r="J122" i="45"/>
  <c r="I122" i="45"/>
  <c r="H122" i="45"/>
  <c r="G122" i="45"/>
  <c r="G123" i="45" s="1"/>
  <c r="F122" i="45"/>
  <c r="F123" i="45" s="1"/>
  <c r="E122" i="45"/>
  <c r="E123" i="45" s="1"/>
  <c r="D122" i="45"/>
  <c r="C122" i="45"/>
  <c r="B122" i="45"/>
  <c r="N121" i="45"/>
  <c r="M121" i="45"/>
  <c r="L121" i="45"/>
  <c r="K121" i="45"/>
  <c r="J121" i="45"/>
  <c r="I121" i="45"/>
  <c r="H121" i="45"/>
  <c r="D121" i="45"/>
  <c r="C121" i="45"/>
  <c r="B121" i="45"/>
  <c r="N120" i="45"/>
  <c r="M120" i="45"/>
  <c r="L120" i="45"/>
  <c r="K120" i="45"/>
  <c r="J120" i="45"/>
  <c r="I120" i="45"/>
  <c r="H120" i="45"/>
  <c r="D120" i="45"/>
  <c r="C120" i="45"/>
  <c r="B120" i="45"/>
  <c r="N119" i="45"/>
  <c r="M119" i="45"/>
  <c r="L119" i="45"/>
  <c r="K119" i="45"/>
  <c r="J119" i="45"/>
  <c r="I119" i="45"/>
  <c r="H119" i="45"/>
  <c r="D119" i="45"/>
  <c r="C119" i="45"/>
  <c r="B119" i="45"/>
  <c r="C114" i="45"/>
  <c r="B114" i="45"/>
  <c r="C113" i="45"/>
  <c r="C115" i="45" s="1"/>
  <c r="B113" i="45"/>
  <c r="B115" i="45" s="1"/>
  <c r="C110" i="45"/>
  <c r="B110" i="45"/>
  <c r="C109" i="45"/>
  <c r="B109" i="45"/>
  <c r="Q103" i="45"/>
  <c r="P103" i="45"/>
  <c r="O103" i="45"/>
  <c r="N103" i="45"/>
  <c r="M103" i="45"/>
  <c r="J103" i="45"/>
  <c r="I103" i="45"/>
  <c r="H103" i="45"/>
  <c r="G103" i="45"/>
  <c r="E103" i="45"/>
  <c r="Q102" i="45"/>
  <c r="Q104" i="45" s="1"/>
  <c r="P102" i="45"/>
  <c r="P104" i="45" s="1"/>
  <c r="O102" i="45"/>
  <c r="O104" i="45" s="1"/>
  <c r="N102" i="45"/>
  <c r="N104" i="45" s="1"/>
  <c r="M102" i="45"/>
  <c r="M104" i="45" s="1"/>
  <c r="J102" i="45"/>
  <c r="J104" i="45" s="1"/>
  <c r="I102" i="45"/>
  <c r="H102" i="45"/>
  <c r="G102" i="45"/>
  <c r="G104" i="45" s="1"/>
  <c r="E102" i="45"/>
  <c r="E104" i="45" s="1"/>
  <c r="Q99" i="45"/>
  <c r="P99" i="45"/>
  <c r="O99" i="45"/>
  <c r="N99" i="45"/>
  <c r="M99" i="45"/>
  <c r="J99" i="45"/>
  <c r="I99" i="45"/>
  <c r="H99" i="45"/>
  <c r="G99" i="45"/>
  <c r="E99" i="45"/>
  <c r="C99" i="45"/>
  <c r="B99" i="45"/>
  <c r="Q98" i="45"/>
  <c r="P98" i="45"/>
  <c r="O98" i="45"/>
  <c r="N98" i="45"/>
  <c r="M98" i="45"/>
  <c r="J98" i="45"/>
  <c r="I98" i="45"/>
  <c r="H98" i="45"/>
  <c r="G98" i="45"/>
  <c r="E98" i="45"/>
  <c r="C98" i="45"/>
  <c r="B98" i="45"/>
  <c r="Q97" i="45"/>
  <c r="P97" i="45"/>
  <c r="O97" i="45"/>
  <c r="N97" i="45"/>
  <c r="M97" i="45"/>
  <c r="J97" i="45"/>
  <c r="I97" i="45"/>
  <c r="H97" i="45"/>
  <c r="G97" i="45"/>
  <c r="E97" i="45"/>
  <c r="C97" i="45"/>
  <c r="B97" i="45"/>
  <c r="D93" i="45"/>
  <c r="Q92" i="45"/>
  <c r="P92" i="45"/>
  <c r="O92" i="45"/>
  <c r="N92" i="45"/>
  <c r="M92" i="45"/>
  <c r="J92" i="45"/>
  <c r="I92" i="45"/>
  <c r="H92" i="45"/>
  <c r="G92" i="45"/>
  <c r="E92" i="45"/>
  <c r="Q91" i="45"/>
  <c r="Q93" i="45" s="1"/>
  <c r="P91" i="45"/>
  <c r="P93" i="45" s="1"/>
  <c r="O91" i="45"/>
  <c r="O93" i="45" s="1"/>
  <c r="N91" i="45"/>
  <c r="N93" i="45" s="1"/>
  <c r="M91" i="45"/>
  <c r="M93" i="45" s="1"/>
  <c r="J91" i="45"/>
  <c r="J93" i="45" s="1"/>
  <c r="I91" i="45"/>
  <c r="H91" i="45"/>
  <c r="H93" i="45" s="1"/>
  <c r="G91" i="45"/>
  <c r="G93" i="45" s="1"/>
  <c r="E91" i="45"/>
  <c r="E93" i="45" s="1"/>
  <c r="C91" i="45"/>
  <c r="B91" i="45"/>
  <c r="D89" i="45"/>
  <c r="Q88" i="45"/>
  <c r="P88" i="45"/>
  <c r="O88" i="45"/>
  <c r="N88" i="45"/>
  <c r="M88" i="45"/>
  <c r="J88" i="45"/>
  <c r="I88" i="45"/>
  <c r="H88" i="45"/>
  <c r="G88" i="45"/>
  <c r="E88" i="45"/>
  <c r="C88" i="45"/>
  <c r="B88" i="45"/>
  <c r="Q87" i="45"/>
  <c r="P87" i="45"/>
  <c r="O87" i="45"/>
  <c r="N87" i="45"/>
  <c r="M87" i="45"/>
  <c r="J87" i="45"/>
  <c r="I87" i="45"/>
  <c r="H87" i="45"/>
  <c r="G87" i="45"/>
  <c r="E87" i="45"/>
  <c r="C87" i="45"/>
  <c r="B87" i="45"/>
  <c r="Q86" i="45"/>
  <c r="P86" i="45"/>
  <c r="O86" i="45"/>
  <c r="N86" i="45"/>
  <c r="M86" i="45"/>
  <c r="J86" i="45"/>
  <c r="I86" i="45"/>
  <c r="H86" i="45"/>
  <c r="G86" i="45"/>
  <c r="E86" i="45"/>
  <c r="C86" i="45"/>
  <c r="B86" i="45"/>
  <c r="D82" i="45"/>
  <c r="Q81" i="45"/>
  <c r="P81" i="45"/>
  <c r="O81" i="45"/>
  <c r="N81" i="45"/>
  <c r="M81" i="45"/>
  <c r="J81" i="45"/>
  <c r="I81" i="45"/>
  <c r="H81" i="45"/>
  <c r="G81" i="45"/>
  <c r="F81" i="45"/>
  <c r="E81" i="45"/>
  <c r="C81" i="45"/>
  <c r="B81" i="45"/>
  <c r="Q80" i="45"/>
  <c r="Q82" i="45" s="1"/>
  <c r="P80" i="45"/>
  <c r="P82" i="45" s="1"/>
  <c r="O80" i="45"/>
  <c r="O82" i="45" s="1"/>
  <c r="N80" i="45"/>
  <c r="M80" i="45"/>
  <c r="J80" i="45"/>
  <c r="I80" i="45"/>
  <c r="H80" i="45"/>
  <c r="G80" i="45"/>
  <c r="G82" i="45" s="1"/>
  <c r="F80" i="45"/>
  <c r="F82" i="45" s="1"/>
  <c r="E80" i="45"/>
  <c r="C80" i="45"/>
  <c r="B80" i="45"/>
  <c r="D78" i="45"/>
  <c r="Q77" i="45"/>
  <c r="P77" i="45"/>
  <c r="O77" i="45"/>
  <c r="N77" i="45"/>
  <c r="M77" i="45"/>
  <c r="J77" i="45"/>
  <c r="I77" i="45"/>
  <c r="H77" i="45"/>
  <c r="G77" i="45"/>
  <c r="F77" i="45"/>
  <c r="E77" i="45"/>
  <c r="C77" i="45"/>
  <c r="B77" i="45"/>
  <c r="Q76" i="45"/>
  <c r="P76" i="45"/>
  <c r="O76" i="45"/>
  <c r="N76" i="45"/>
  <c r="M76" i="45"/>
  <c r="J76" i="45"/>
  <c r="I76" i="45"/>
  <c r="H76" i="45"/>
  <c r="G76" i="45"/>
  <c r="F76" i="45"/>
  <c r="E76" i="45"/>
  <c r="C76" i="45"/>
  <c r="B76" i="45"/>
  <c r="Q75" i="45"/>
  <c r="P75" i="45"/>
  <c r="O75" i="45"/>
  <c r="N75" i="45"/>
  <c r="M75" i="45"/>
  <c r="J75" i="45"/>
  <c r="I75" i="45"/>
  <c r="H75" i="45"/>
  <c r="G75" i="45"/>
  <c r="F75" i="45"/>
  <c r="E75" i="45"/>
  <c r="C75" i="45"/>
  <c r="B75" i="45"/>
  <c r="U71" i="45"/>
  <c r="U70" i="45"/>
  <c r="U69" i="45"/>
  <c r="U68" i="45"/>
  <c r="U67" i="45"/>
  <c r="U66" i="45"/>
  <c r="U65" i="45"/>
  <c r="U64" i="45"/>
  <c r="U63" i="45"/>
  <c r="U62" i="45"/>
  <c r="U61" i="45"/>
  <c r="U60" i="45"/>
  <c r="U59" i="45"/>
  <c r="U58" i="45"/>
  <c r="U57" i="45"/>
  <c r="U56" i="45"/>
  <c r="U55" i="45"/>
  <c r="U54" i="45"/>
  <c r="U53" i="45"/>
  <c r="U52" i="45"/>
  <c r="U51" i="45"/>
  <c r="U50" i="45"/>
  <c r="U49" i="45"/>
  <c r="U48" i="45"/>
  <c r="U47" i="45"/>
  <c r="U46" i="45"/>
  <c r="U45" i="45"/>
  <c r="U44" i="45"/>
  <c r="U43" i="45"/>
  <c r="U42" i="45"/>
  <c r="U41" i="45"/>
  <c r="U40" i="45"/>
  <c r="U39" i="45"/>
  <c r="U38" i="45"/>
  <c r="U37" i="45"/>
  <c r="U36" i="45"/>
  <c r="U35" i="45"/>
  <c r="U34" i="45"/>
  <c r="U33" i="45"/>
  <c r="U32" i="45"/>
  <c r="U31" i="45"/>
  <c r="U30" i="45"/>
  <c r="U29" i="45"/>
  <c r="U28" i="45"/>
  <c r="U27" i="45"/>
  <c r="U26" i="45"/>
  <c r="U25" i="45"/>
  <c r="U24" i="45"/>
  <c r="U23" i="45"/>
  <c r="U22" i="45"/>
  <c r="U21" i="45"/>
  <c r="U20" i="45"/>
  <c r="U19" i="45"/>
  <c r="U18" i="45"/>
  <c r="U17" i="45"/>
  <c r="U16" i="45"/>
  <c r="U15" i="45"/>
  <c r="U14" i="45"/>
  <c r="U13" i="45"/>
  <c r="U12" i="45"/>
  <c r="U11" i="45"/>
  <c r="F97" i="45" s="1"/>
  <c r="U10" i="45"/>
  <c r="U9" i="45"/>
  <c r="U8" i="45"/>
  <c r="F86" i="45" s="1"/>
  <c r="U7" i="45"/>
  <c r="U6" i="45"/>
  <c r="F88" i="45" s="1"/>
  <c r="U5" i="45"/>
  <c r="U4" i="45"/>
  <c r="U3" i="45"/>
  <c r="G129" i="44"/>
  <c r="F129" i="44"/>
  <c r="E129" i="44"/>
  <c r="N128" i="44"/>
  <c r="M128" i="44"/>
  <c r="L128" i="44"/>
  <c r="K128" i="44"/>
  <c r="J128" i="44"/>
  <c r="I128" i="44"/>
  <c r="H128" i="44"/>
  <c r="D128" i="44"/>
  <c r="C128" i="44"/>
  <c r="B128" i="44"/>
  <c r="N127" i="44"/>
  <c r="N129" i="44" s="1"/>
  <c r="M127" i="44"/>
  <c r="M129" i="44" s="1"/>
  <c r="L127" i="44"/>
  <c r="L129" i="44" s="1"/>
  <c r="K127" i="44"/>
  <c r="K129" i="44" s="1"/>
  <c r="J127" i="44"/>
  <c r="J129" i="44" s="1"/>
  <c r="I127" i="44"/>
  <c r="I129" i="44" s="1"/>
  <c r="H127" i="44"/>
  <c r="H129" i="44" s="1"/>
  <c r="D127" i="44"/>
  <c r="C127" i="44"/>
  <c r="B127" i="44"/>
  <c r="N124" i="44"/>
  <c r="M124" i="44"/>
  <c r="L124" i="44"/>
  <c r="K124" i="44"/>
  <c r="J124" i="44"/>
  <c r="I124" i="44"/>
  <c r="H124" i="44"/>
  <c r="G124" i="44"/>
  <c r="G125" i="44" s="1"/>
  <c r="F124" i="44"/>
  <c r="F125" i="44" s="1"/>
  <c r="E124" i="44"/>
  <c r="E125" i="44" s="1"/>
  <c r="D124" i="44"/>
  <c r="C124" i="44"/>
  <c r="B124" i="44"/>
  <c r="N123" i="44"/>
  <c r="M123" i="44"/>
  <c r="L123" i="44"/>
  <c r="K123" i="44"/>
  <c r="J123" i="44"/>
  <c r="I123" i="44"/>
  <c r="H123" i="44"/>
  <c r="D123" i="44"/>
  <c r="C123" i="44"/>
  <c r="B123" i="44"/>
  <c r="N122" i="44"/>
  <c r="M122" i="44"/>
  <c r="L122" i="44"/>
  <c r="K122" i="44"/>
  <c r="J122" i="44"/>
  <c r="I122" i="44"/>
  <c r="H122" i="44"/>
  <c r="D122" i="44"/>
  <c r="C122" i="44"/>
  <c r="B122" i="44"/>
  <c r="N121" i="44"/>
  <c r="M121" i="44"/>
  <c r="L121" i="44"/>
  <c r="K121" i="44"/>
  <c r="J121" i="44"/>
  <c r="I121" i="44"/>
  <c r="H121" i="44"/>
  <c r="D121" i="44"/>
  <c r="C121" i="44"/>
  <c r="B121" i="44"/>
  <c r="Q105" i="44"/>
  <c r="P105" i="44"/>
  <c r="O105" i="44"/>
  <c r="N105" i="44"/>
  <c r="M105" i="44"/>
  <c r="J105" i="44"/>
  <c r="I105" i="44"/>
  <c r="L105" i="44" s="1"/>
  <c r="H105" i="44"/>
  <c r="K105" i="44" s="1"/>
  <c r="G105" i="44"/>
  <c r="E105" i="44"/>
  <c r="Q104" i="44"/>
  <c r="Q106" i="44" s="1"/>
  <c r="P104" i="44"/>
  <c r="P106" i="44" s="1"/>
  <c r="O104" i="44"/>
  <c r="O106" i="44" s="1"/>
  <c r="N104" i="44"/>
  <c r="N106" i="44" s="1"/>
  <c r="M104" i="44"/>
  <c r="M106" i="44" s="1"/>
  <c r="J104" i="44"/>
  <c r="J106" i="44" s="1"/>
  <c r="I104" i="44"/>
  <c r="I106" i="44" s="1"/>
  <c r="L106" i="44" s="1"/>
  <c r="H104" i="44"/>
  <c r="H106" i="44" s="1"/>
  <c r="K106" i="44" s="1"/>
  <c r="G104" i="44"/>
  <c r="G106" i="44" s="1"/>
  <c r="E104" i="44"/>
  <c r="E106" i="44" s="1"/>
  <c r="Q101" i="44"/>
  <c r="P101" i="44"/>
  <c r="O101" i="44"/>
  <c r="N101" i="44"/>
  <c r="M101" i="44"/>
  <c r="J101" i="44"/>
  <c r="I101" i="44"/>
  <c r="L101" i="44" s="1"/>
  <c r="H101" i="44"/>
  <c r="K101" i="44" s="1"/>
  <c r="G101" i="44"/>
  <c r="E101" i="44"/>
  <c r="Q100" i="44"/>
  <c r="P100" i="44"/>
  <c r="O100" i="44"/>
  <c r="N100" i="44"/>
  <c r="M100" i="44"/>
  <c r="J100" i="44"/>
  <c r="I100" i="44"/>
  <c r="L100" i="44" s="1"/>
  <c r="H100" i="44"/>
  <c r="K100" i="44" s="1"/>
  <c r="G100" i="44"/>
  <c r="E100" i="44"/>
  <c r="Q99" i="44"/>
  <c r="P99" i="44"/>
  <c r="O99" i="44"/>
  <c r="N99" i="44"/>
  <c r="M99" i="44"/>
  <c r="J99" i="44"/>
  <c r="I99" i="44"/>
  <c r="H99" i="44"/>
  <c r="K99" i="44" s="1"/>
  <c r="G99" i="44"/>
  <c r="E99" i="44"/>
  <c r="Q94" i="44"/>
  <c r="P94" i="44"/>
  <c r="O94" i="44"/>
  <c r="N94" i="44"/>
  <c r="M94" i="44"/>
  <c r="J94" i="44"/>
  <c r="I94" i="44"/>
  <c r="L94" i="44" s="1"/>
  <c r="H94" i="44"/>
  <c r="K94" i="44" s="1"/>
  <c r="G94" i="44"/>
  <c r="E94" i="44"/>
  <c r="Q93" i="44"/>
  <c r="Q95" i="44" s="1"/>
  <c r="P93" i="44"/>
  <c r="P95" i="44" s="1"/>
  <c r="O93" i="44"/>
  <c r="O95" i="44" s="1"/>
  <c r="N93" i="44"/>
  <c r="N95" i="44" s="1"/>
  <c r="M93" i="44"/>
  <c r="M95" i="44" s="1"/>
  <c r="J93" i="44"/>
  <c r="J95" i="44" s="1"/>
  <c r="I93" i="44"/>
  <c r="I95" i="44" s="1"/>
  <c r="L95" i="44" s="1"/>
  <c r="H93" i="44"/>
  <c r="H95" i="44" s="1"/>
  <c r="K95" i="44" s="1"/>
  <c r="G93" i="44"/>
  <c r="G95" i="44" s="1"/>
  <c r="E93" i="44"/>
  <c r="E95" i="44" s="1"/>
  <c r="Q90" i="44"/>
  <c r="P90" i="44"/>
  <c r="O90" i="44"/>
  <c r="N90" i="44"/>
  <c r="M90" i="44"/>
  <c r="J90" i="44"/>
  <c r="I90" i="44"/>
  <c r="L90" i="44" s="1"/>
  <c r="H90" i="44"/>
  <c r="K90" i="44" s="1"/>
  <c r="G90" i="44"/>
  <c r="E90" i="44"/>
  <c r="Q89" i="44"/>
  <c r="P89" i="44"/>
  <c r="O89" i="44"/>
  <c r="N89" i="44"/>
  <c r="M89" i="44"/>
  <c r="J89" i="44"/>
  <c r="I89" i="44"/>
  <c r="L89" i="44" s="1"/>
  <c r="H89" i="44"/>
  <c r="K89" i="44" s="1"/>
  <c r="G89" i="44"/>
  <c r="E89" i="44"/>
  <c r="Q88" i="44"/>
  <c r="P88" i="44"/>
  <c r="O88" i="44"/>
  <c r="N88" i="44"/>
  <c r="M88" i="44"/>
  <c r="J88" i="44"/>
  <c r="I88" i="44"/>
  <c r="L88" i="44" s="1"/>
  <c r="H88" i="44"/>
  <c r="K88" i="44" s="1"/>
  <c r="G88" i="44"/>
  <c r="E88" i="44"/>
  <c r="Q83" i="44"/>
  <c r="P83" i="44"/>
  <c r="O83" i="44"/>
  <c r="N83" i="44"/>
  <c r="M83" i="44"/>
  <c r="J83" i="44"/>
  <c r="I83" i="44"/>
  <c r="L83" i="44" s="1"/>
  <c r="H83" i="44"/>
  <c r="G83" i="44"/>
  <c r="E83" i="44"/>
  <c r="Q82" i="44"/>
  <c r="P82" i="44"/>
  <c r="P84" i="44" s="1"/>
  <c r="O82" i="44"/>
  <c r="O84" i="44" s="1"/>
  <c r="N82" i="44"/>
  <c r="M82" i="44"/>
  <c r="J82" i="44"/>
  <c r="J84" i="44" s="1"/>
  <c r="I82" i="44"/>
  <c r="I84" i="44" s="1"/>
  <c r="L84" i="44" s="1"/>
  <c r="H82" i="44"/>
  <c r="G82" i="44"/>
  <c r="F82" i="44"/>
  <c r="F84" i="44" s="1"/>
  <c r="E82" i="44"/>
  <c r="E84" i="44" s="1"/>
  <c r="Q79" i="44"/>
  <c r="P79" i="44"/>
  <c r="O79" i="44"/>
  <c r="N79" i="44"/>
  <c r="M79" i="44"/>
  <c r="J79" i="44"/>
  <c r="I79" i="44"/>
  <c r="H79" i="44"/>
  <c r="G79" i="44"/>
  <c r="E79" i="44"/>
  <c r="Q78" i="44"/>
  <c r="P78" i="44"/>
  <c r="O78" i="44"/>
  <c r="N78" i="44"/>
  <c r="M78" i="44"/>
  <c r="J78" i="44"/>
  <c r="I78" i="44"/>
  <c r="H78" i="44"/>
  <c r="K78" i="44" s="1"/>
  <c r="G78" i="44"/>
  <c r="F78" i="44"/>
  <c r="E78" i="44"/>
  <c r="Q77" i="44"/>
  <c r="P77" i="44"/>
  <c r="O77" i="44"/>
  <c r="N77" i="44"/>
  <c r="M77" i="44"/>
  <c r="J77" i="44"/>
  <c r="I77" i="44"/>
  <c r="H77" i="44"/>
  <c r="G77" i="44"/>
  <c r="E77" i="44"/>
  <c r="U73" i="44"/>
  <c r="U72" i="44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U56" i="44"/>
  <c r="U55" i="44"/>
  <c r="U54" i="44"/>
  <c r="U53" i="44"/>
  <c r="U51" i="44"/>
  <c r="U50" i="44"/>
  <c r="F79" i="44" s="1"/>
  <c r="U49" i="44"/>
  <c r="U48" i="44"/>
  <c r="U47" i="44"/>
  <c r="U46" i="44"/>
  <c r="U45" i="44"/>
  <c r="U44" i="44"/>
  <c r="U43" i="44"/>
  <c r="U42" i="44"/>
  <c r="U41" i="44"/>
  <c r="U40" i="44"/>
  <c r="U39" i="44"/>
  <c r="U38" i="44"/>
  <c r="U37" i="44"/>
  <c r="U36" i="44"/>
  <c r="U35" i="44"/>
  <c r="U34" i="44"/>
  <c r="U33" i="44"/>
  <c r="U32" i="44"/>
  <c r="U31" i="44"/>
  <c r="U30" i="44"/>
  <c r="U29" i="44"/>
  <c r="U28" i="44"/>
  <c r="U27" i="44"/>
  <c r="U26" i="44"/>
  <c r="U25" i="44"/>
  <c r="U24" i="44"/>
  <c r="U23" i="44"/>
  <c r="U22" i="44"/>
  <c r="U21" i="44"/>
  <c r="U20" i="44"/>
  <c r="U19" i="44"/>
  <c r="U18" i="44"/>
  <c r="U17" i="44"/>
  <c r="U16" i="44"/>
  <c r="U15" i="44"/>
  <c r="U14" i="44"/>
  <c r="U13" i="44"/>
  <c r="U12" i="44"/>
  <c r="U11" i="44"/>
  <c r="U10" i="44"/>
  <c r="U9" i="44"/>
  <c r="U8" i="44"/>
  <c r="U7" i="44"/>
  <c r="U6" i="44"/>
  <c r="U5" i="44"/>
  <c r="U4" i="44"/>
  <c r="U3" i="44"/>
  <c r="G130" i="43"/>
  <c r="F130" i="43"/>
  <c r="E130" i="43"/>
  <c r="N129" i="43"/>
  <c r="M129" i="43"/>
  <c r="L129" i="43"/>
  <c r="K129" i="43"/>
  <c r="J129" i="43"/>
  <c r="I129" i="43"/>
  <c r="H129" i="43"/>
  <c r="D129" i="43"/>
  <c r="C129" i="43"/>
  <c r="B129" i="43"/>
  <c r="N128" i="43"/>
  <c r="N130" i="43" s="1"/>
  <c r="M128" i="43"/>
  <c r="M130" i="43" s="1"/>
  <c r="L128" i="43"/>
  <c r="L130" i="43" s="1"/>
  <c r="K128" i="43"/>
  <c r="K130" i="43" s="1"/>
  <c r="J128" i="43"/>
  <c r="J130" i="43" s="1"/>
  <c r="I128" i="43"/>
  <c r="I130" i="43" s="1"/>
  <c r="H128" i="43"/>
  <c r="H130" i="43" s="1"/>
  <c r="D128" i="43"/>
  <c r="C128" i="43"/>
  <c r="B128" i="43"/>
  <c r="N125" i="43"/>
  <c r="M125" i="43"/>
  <c r="L125" i="43"/>
  <c r="K125" i="43"/>
  <c r="J125" i="43"/>
  <c r="I125" i="43"/>
  <c r="H125" i="43"/>
  <c r="G125" i="43"/>
  <c r="G126" i="43" s="1"/>
  <c r="F125" i="43"/>
  <c r="F126" i="43" s="1"/>
  <c r="E125" i="43"/>
  <c r="E126" i="43" s="1"/>
  <c r="D125" i="43"/>
  <c r="C125" i="43"/>
  <c r="B125" i="43"/>
  <c r="N124" i="43"/>
  <c r="M124" i="43"/>
  <c r="L124" i="43"/>
  <c r="K124" i="43"/>
  <c r="J124" i="43"/>
  <c r="I124" i="43"/>
  <c r="H124" i="43"/>
  <c r="D124" i="43"/>
  <c r="C124" i="43"/>
  <c r="B124" i="43"/>
  <c r="N123" i="43"/>
  <c r="M123" i="43"/>
  <c r="L123" i="43"/>
  <c r="K123" i="43"/>
  <c r="J123" i="43"/>
  <c r="I123" i="43"/>
  <c r="H123" i="43"/>
  <c r="D123" i="43"/>
  <c r="C123" i="43"/>
  <c r="B123" i="43"/>
  <c r="N122" i="43"/>
  <c r="M122" i="43"/>
  <c r="L122" i="43"/>
  <c r="K122" i="43"/>
  <c r="J122" i="43"/>
  <c r="I122" i="43"/>
  <c r="H122" i="43"/>
  <c r="D122" i="43"/>
  <c r="C122" i="43"/>
  <c r="B122" i="43"/>
  <c r="Q106" i="43"/>
  <c r="P106" i="43"/>
  <c r="O106" i="43"/>
  <c r="N106" i="43"/>
  <c r="M106" i="43"/>
  <c r="J106" i="43"/>
  <c r="I106" i="43"/>
  <c r="L106" i="43" s="1"/>
  <c r="H106" i="43"/>
  <c r="K106" i="43" s="1"/>
  <c r="G106" i="43"/>
  <c r="E106" i="43"/>
  <c r="Q105" i="43"/>
  <c r="Q107" i="43" s="1"/>
  <c r="P105" i="43"/>
  <c r="P107" i="43" s="1"/>
  <c r="O105" i="43"/>
  <c r="O107" i="43" s="1"/>
  <c r="N105" i="43"/>
  <c r="N107" i="43" s="1"/>
  <c r="M105" i="43"/>
  <c r="M107" i="43" s="1"/>
  <c r="J105" i="43"/>
  <c r="J107" i="43" s="1"/>
  <c r="I105" i="43"/>
  <c r="I107" i="43" s="1"/>
  <c r="L107" i="43" s="1"/>
  <c r="H105" i="43"/>
  <c r="H107" i="43" s="1"/>
  <c r="K107" i="43" s="1"/>
  <c r="G105" i="43"/>
  <c r="G107" i="43" s="1"/>
  <c r="E105" i="43"/>
  <c r="E107" i="43" s="1"/>
  <c r="Q102" i="43"/>
  <c r="P102" i="43"/>
  <c r="O102" i="43"/>
  <c r="N102" i="43"/>
  <c r="M102" i="43"/>
  <c r="J102" i="43"/>
  <c r="I102" i="43"/>
  <c r="L102" i="43" s="1"/>
  <c r="H102" i="43"/>
  <c r="K102" i="43" s="1"/>
  <c r="G102" i="43"/>
  <c r="F102" i="43"/>
  <c r="E102" i="43"/>
  <c r="Q101" i="43"/>
  <c r="P101" i="43"/>
  <c r="O101" i="43"/>
  <c r="N101" i="43"/>
  <c r="M101" i="43"/>
  <c r="J101" i="43"/>
  <c r="I101" i="43"/>
  <c r="L101" i="43" s="1"/>
  <c r="H101" i="43"/>
  <c r="K101" i="43" s="1"/>
  <c r="G101" i="43"/>
  <c r="E101" i="43"/>
  <c r="Q100" i="43"/>
  <c r="P100" i="43"/>
  <c r="O100" i="43"/>
  <c r="N100" i="43"/>
  <c r="M100" i="43"/>
  <c r="J100" i="43"/>
  <c r="I100" i="43"/>
  <c r="H100" i="43"/>
  <c r="K100" i="43" s="1"/>
  <c r="G100" i="43"/>
  <c r="E100" i="43"/>
  <c r="Q95" i="43"/>
  <c r="P95" i="43"/>
  <c r="O95" i="43"/>
  <c r="N95" i="43"/>
  <c r="M95" i="43"/>
  <c r="J95" i="43"/>
  <c r="I95" i="43"/>
  <c r="L95" i="43" s="1"/>
  <c r="H95" i="43"/>
  <c r="K95" i="43" s="1"/>
  <c r="G95" i="43"/>
  <c r="E95" i="43"/>
  <c r="Q94" i="43"/>
  <c r="Q96" i="43" s="1"/>
  <c r="P94" i="43"/>
  <c r="P96" i="43" s="1"/>
  <c r="O94" i="43"/>
  <c r="O96" i="43" s="1"/>
  <c r="N94" i="43"/>
  <c r="N96" i="43" s="1"/>
  <c r="M94" i="43"/>
  <c r="M96" i="43" s="1"/>
  <c r="J94" i="43"/>
  <c r="J96" i="43" s="1"/>
  <c r="I94" i="43"/>
  <c r="I96" i="43" s="1"/>
  <c r="L96" i="43" s="1"/>
  <c r="H94" i="43"/>
  <c r="K94" i="43" s="1"/>
  <c r="G94" i="43"/>
  <c r="G96" i="43" s="1"/>
  <c r="E94" i="43"/>
  <c r="Q91" i="43"/>
  <c r="P91" i="43"/>
  <c r="O91" i="43"/>
  <c r="N91" i="43"/>
  <c r="M91" i="43"/>
  <c r="J91" i="43"/>
  <c r="I91" i="43"/>
  <c r="L91" i="43" s="1"/>
  <c r="H91" i="43"/>
  <c r="K91" i="43" s="1"/>
  <c r="G91" i="43"/>
  <c r="F91" i="43"/>
  <c r="E91" i="43"/>
  <c r="Q90" i="43"/>
  <c r="P90" i="43"/>
  <c r="O90" i="43"/>
  <c r="N90" i="43"/>
  <c r="M90" i="43"/>
  <c r="J90" i="43"/>
  <c r="I90" i="43"/>
  <c r="L90" i="43" s="1"/>
  <c r="H90" i="43"/>
  <c r="K90" i="43" s="1"/>
  <c r="G90" i="43"/>
  <c r="E90" i="43"/>
  <c r="Q89" i="43"/>
  <c r="P89" i="43"/>
  <c r="O89" i="43"/>
  <c r="N89" i="43"/>
  <c r="M89" i="43"/>
  <c r="J89" i="43"/>
  <c r="I89" i="43"/>
  <c r="L89" i="43" s="1"/>
  <c r="H89" i="43"/>
  <c r="G89" i="43"/>
  <c r="E89" i="43"/>
  <c r="Q84" i="43"/>
  <c r="P84" i="43"/>
  <c r="O84" i="43"/>
  <c r="N84" i="43"/>
  <c r="M84" i="43"/>
  <c r="J84" i="43"/>
  <c r="I84" i="43"/>
  <c r="H84" i="43"/>
  <c r="G84" i="43"/>
  <c r="F84" i="43"/>
  <c r="E84" i="43"/>
  <c r="Q83" i="43"/>
  <c r="Q85" i="43" s="1"/>
  <c r="P83" i="43"/>
  <c r="P85" i="43" s="1"/>
  <c r="O83" i="43"/>
  <c r="N83" i="43"/>
  <c r="M83" i="43"/>
  <c r="J83" i="43"/>
  <c r="J85" i="43" s="1"/>
  <c r="I83" i="43"/>
  <c r="H83" i="43"/>
  <c r="G83" i="43"/>
  <c r="F83" i="43"/>
  <c r="F85" i="43" s="1"/>
  <c r="E83" i="43"/>
  <c r="E85" i="43" s="1"/>
  <c r="Q80" i="43"/>
  <c r="P80" i="43"/>
  <c r="O80" i="43"/>
  <c r="N80" i="43"/>
  <c r="M80" i="43"/>
  <c r="J80" i="43"/>
  <c r="I80" i="43"/>
  <c r="H80" i="43"/>
  <c r="K80" i="43" s="1"/>
  <c r="G80" i="43"/>
  <c r="F80" i="43"/>
  <c r="E80" i="43"/>
  <c r="Q79" i="43"/>
  <c r="P79" i="43"/>
  <c r="O79" i="43"/>
  <c r="N79" i="43"/>
  <c r="M79" i="43"/>
  <c r="J79" i="43"/>
  <c r="I79" i="43"/>
  <c r="H79" i="43"/>
  <c r="G79" i="43"/>
  <c r="E79" i="43"/>
  <c r="Q78" i="43"/>
  <c r="P78" i="43"/>
  <c r="O78" i="43"/>
  <c r="N78" i="43"/>
  <c r="M78" i="43"/>
  <c r="J78" i="43"/>
  <c r="I78" i="43"/>
  <c r="H78" i="43"/>
  <c r="G78" i="43"/>
  <c r="F78" i="43"/>
  <c r="E78" i="43"/>
  <c r="U74" i="43"/>
  <c r="U73" i="43"/>
  <c r="U72" i="43"/>
  <c r="U71" i="43"/>
  <c r="U70" i="43"/>
  <c r="U69" i="43"/>
  <c r="U68" i="43"/>
  <c r="U67" i="43"/>
  <c r="U66" i="43"/>
  <c r="U65" i="43"/>
  <c r="U64" i="43"/>
  <c r="U63" i="43"/>
  <c r="U62" i="43"/>
  <c r="U61" i="43"/>
  <c r="U60" i="43"/>
  <c r="U59" i="43"/>
  <c r="U58" i="43"/>
  <c r="U57" i="43"/>
  <c r="U56" i="43"/>
  <c r="U55" i="43"/>
  <c r="U54" i="43"/>
  <c r="U53" i="43"/>
  <c r="U52" i="43"/>
  <c r="U51" i="43"/>
  <c r="U50" i="43"/>
  <c r="U49" i="43"/>
  <c r="U48" i="43"/>
  <c r="U47" i="43"/>
  <c r="U46" i="43"/>
  <c r="U45" i="43"/>
  <c r="U44" i="43"/>
  <c r="U43" i="43"/>
  <c r="U42" i="43"/>
  <c r="U41" i="43"/>
  <c r="U40" i="43"/>
  <c r="U39" i="43"/>
  <c r="U38" i="43"/>
  <c r="U37" i="43"/>
  <c r="U36" i="43"/>
  <c r="U35" i="43"/>
  <c r="U34" i="43"/>
  <c r="U33" i="43"/>
  <c r="U32" i="43"/>
  <c r="U31" i="43"/>
  <c r="U30" i="43"/>
  <c r="U29" i="43"/>
  <c r="U28" i="43"/>
  <c r="U27" i="43"/>
  <c r="U26" i="43"/>
  <c r="U25" i="43"/>
  <c r="U24" i="43"/>
  <c r="U23" i="43"/>
  <c r="U22" i="43"/>
  <c r="U21" i="43"/>
  <c r="U20" i="43"/>
  <c r="U19" i="43"/>
  <c r="U18" i="43"/>
  <c r="U17" i="43"/>
  <c r="U16" i="43"/>
  <c r="U15" i="43"/>
  <c r="U14" i="43"/>
  <c r="U13" i="43"/>
  <c r="U12" i="43"/>
  <c r="U11" i="43"/>
  <c r="U10" i="43"/>
  <c r="U9" i="43"/>
  <c r="F89" i="43" s="1"/>
  <c r="U8" i="43"/>
  <c r="U7" i="43"/>
  <c r="U6" i="43"/>
  <c r="U5" i="43"/>
  <c r="U4" i="43"/>
  <c r="F79" i="43" s="1"/>
  <c r="U3" i="43"/>
  <c r="G124" i="41"/>
  <c r="F124" i="41"/>
  <c r="E124" i="41"/>
  <c r="N123" i="41"/>
  <c r="M123" i="41"/>
  <c r="L123" i="41"/>
  <c r="K123" i="41"/>
  <c r="J123" i="41"/>
  <c r="I123" i="41"/>
  <c r="H123" i="41"/>
  <c r="D123" i="41"/>
  <c r="C123" i="41"/>
  <c r="B123" i="41"/>
  <c r="N122" i="41"/>
  <c r="N124" i="41" s="1"/>
  <c r="M122" i="41"/>
  <c r="M124" i="41" s="1"/>
  <c r="L122" i="41"/>
  <c r="L124" i="41" s="1"/>
  <c r="K122" i="41"/>
  <c r="K124" i="41" s="1"/>
  <c r="J122" i="41"/>
  <c r="J124" i="41" s="1"/>
  <c r="I122" i="41"/>
  <c r="I124" i="41" s="1"/>
  <c r="H122" i="41"/>
  <c r="H124" i="41" s="1"/>
  <c r="D122" i="41"/>
  <c r="C122" i="41"/>
  <c r="B122" i="41"/>
  <c r="N119" i="41"/>
  <c r="M119" i="41"/>
  <c r="L119" i="41"/>
  <c r="K119" i="41"/>
  <c r="J119" i="41"/>
  <c r="I119" i="41"/>
  <c r="H119" i="41"/>
  <c r="G119" i="41"/>
  <c r="G120" i="41" s="1"/>
  <c r="F119" i="41"/>
  <c r="F120" i="41" s="1"/>
  <c r="E119" i="41"/>
  <c r="E120" i="41" s="1"/>
  <c r="D119" i="41"/>
  <c r="C119" i="41"/>
  <c r="B119" i="41"/>
  <c r="N118" i="41"/>
  <c r="M118" i="41"/>
  <c r="L118" i="41"/>
  <c r="K118" i="41"/>
  <c r="J118" i="41"/>
  <c r="I118" i="41"/>
  <c r="H118" i="41"/>
  <c r="D118" i="41"/>
  <c r="C118" i="41"/>
  <c r="B118" i="41"/>
  <c r="N117" i="41"/>
  <c r="M117" i="41"/>
  <c r="L117" i="41"/>
  <c r="K117" i="41"/>
  <c r="J117" i="41"/>
  <c r="I117" i="41"/>
  <c r="H117" i="41"/>
  <c r="D117" i="41"/>
  <c r="C117" i="41"/>
  <c r="B117" i="41"/>
  <c r="Q102" i="41"/>
  <c r="P102" i="41"/>
  <c r="O102" i="41"/>
  <c r="N102" i="41"/>
  <c r="M102" i="41"/>
  <c r="J102" i="41"/>
  <c r="I102" i="41"/>
  <c r="L102" i="41" s="1"/>
  <c r="H102" i="41"/>
  <c r="K102" i="41" s="1"/>
  <c r="G102" i="41"/>
  <c r="E102" i="41"/>
  <c r="Q101" i="41"/>
  <c r="Q103" i="41" s="1"/>
  <c r="P101" i="41"/>
  <c r="P103" i="41" s="1"/>
  <c r="O101" i="41"/>
  <c r="O103" i="41" s="1"/>
  <c r="N101" i="41"/>
  <c r="N103" i="41" s="1"/>
  <c r="M101" i="41"/>
  <c r="M103" i="41" s="1"/>
  <c r="J101" i="41"/>
  <c r="J103" i="41" s="1"/>
  <c r="I101" i="41"/>
  <c r="L101" i="41" s="1"/>
  <c r="H101" i="41"/>
  <c r="H103" i="41" s="1"/>
  <c r="K103" i="41" s="1"/>
  <c r="G101" i="41"/>
  <c r="G103" i="41" s="1"/>
  <c r="E101" i="41"/>
  <c r="E103" i="41" s="1"/>
  <c r="Q98" i="41"/>
  <c r="P98" i="41"/>
  <c r="O98" i="41"/>
  <c r="N98" i="41"/>
  <c r="M98" i="41"/>
  <c r="J98" i="41"/>
  <c r="I98" i="41"/>
  <c r="L98" i="41" s="1"/>
  <c r="H98" i="41"/>
  <c r="K98" i="41" s="1"/>
  <c r="G98" i="41"/>
  <c r="F98" i="41"/>
  <c r="E98" i="41"/>
  <c r="Q97" i="41"/>
  <c r="P97" i="41"/>
  <c r="O97" i="41"/>
  <c r="N97" i="41"/>
  <c r="M97" i="41"/>
  <c r="J97" i="41"/>
  <c r="I97" i="41"/>
  <c r="H97" i="41"/>
  <c r="K97" i="41" s="1"/>
  <c r="G97" i="41"/>
  <c r="E97" i="41"/>
  <c r="Q92" i="41"/>
  <c r="P92" i="41"/>
  <c r="O92" i="41"/>
  <c r="N92" i="41"/>
  <c r="M92" i="41"/>
  <c r="J92" i="41"/>
  <c r="I92" i="41"/>
  <c r="L92" i="41" s="1"/>
  <c r="H92" i="41"/>
  <c r="K92" i="41" s="1"/>
  <c r="G92" i="41"/>
  <c r="E92" i="41"/>
  <c r="Q91" i="41"/>
  <c r="Q93" i="41" s="1"/>
  <c r="P91" i="41"/>
  <c r="P93" i="41" s="1"/>
  <c r="O91" i="41"/>
  <c r="O93" i="41" s="1"/>
  <c r="N91" i="41"/>
  <c r="N93" i="41" s="1"/>
  <c r="M91" i="41"/>
  <c r="M93" i="41" s="1"/>
  <c r="J91" i="41"/>
  <c r="J93" i="41" s="1"/>
  <c r="I91" i="41"/>
  <c r="L91" i="41" s="1"/>
  <c r="H91" i="41"/>
  <c r="H93" i="41" s="1"/>
  <c r="K93" i="41" s="1"/>
  <c r="G91" i="41"/>
  <c r="G93" i="41" s="1"/>
  <c r="E91" i="41"/>
  <c r="E93" i="41" s="1"/>
  <c r="Q88" i="41"/>
  <c r="P88" i="41"/>
  <c r="O88" i="41"/>
  <c r="N88" i="41"/>
  <c r="M88" i="41"/>
  <c r="J88" i="41"/>
  <c r="I88" i="41"/>
  <c r="L88" i="41" s="1"/>
  <c r="H88" i="41"/>
  <c r="K88" i="41" s="1"/>
  <c r="G88" i="41"/>
  <c r="E88" i="41"/>
  <c r="Q87" i="41"/>
  <c r="P87" i="41"/>
  <c r="O87" i="41"/>
  <c r="N87" i="41"/>
  <c r="M87" i="41"/>
  <c r="J87" i="41"/>
  <c r="I87" i="41"/>
  <c r="H87" i="41"/>
  <c r="K87" i="41" s="1"/>
  <c r="G87" i="41"/>
  <c r="E87" i="41"/>
  <c r="Q82" i="41"/>
  <c r="P82" i="41"/>
  <c r="O82" i="41"/>
  <c r="N82" i="41"/>
  <c r="M82" i="41"/>
  <c r="J82" i="41"/>
  <c r="I82" i="41"/>
  <c r="L82" i="41" s="1"/>
  <c r="H82" i="41"/>
  <c r="G82" i="41"/>
  <c r="F82" i="41"/>
  <c r="E82" i="41"/>
  <c r="Q81" i="41"/>
  <c r="Q83" i="41" s="1"/>
  <c r="P81" i="41"/>
  <c r="P83" i="41" s="1"/>
  <c r="O81" i="41"/>
  <c r="N81" i="41"/>
  <c r="M81" i="41"/>
  <c r="M83" i="41" s="1"/>
  <c r="J81" i="41"/>
  <c r="J83" i="41" s="1"/>
  <c r="I81" i="41"/>
  <c r="H81" i="41"/>
  <c r="G81" i="41"/>
  <c r="E81" i="41"/>
  <c r="E83" i="41" s="1"/>
  <c r="Q78" i="41"/>
  <c r="P78" i="41"/>
  <c r="O78" i="41"/>
  <c r="N78" i="41"/>
  <c r="M78" i="41"/>
  <c r="J78" i="41"/>
  <c r="I78" i="41"/>
  <c r="H78" i="41"/>
  <c r="G78" i="41"/>
  <c r="E78" i="41"/>
  <c r="Q77" i="41"/>
  <c r="P77" i="41"/>
  <c r="O77" i="41"/>
  <c r="N77" i="41"/>
  <c r="M77" i="41"/>
  <c r="J77" i="41"/>
  <c r="I77" i="41"/>
  <c r="H77" i="41"/>
  <c r="K77" i="41" s="1"/>
  <c r="G77" i="41"/>
  <c r="F77" i="41"/>
  <c r="E77" i="41"/>
  <c r="U73" i="41"/>
  <c r="U72" i="41"/>
  <c r="U71" i="41"/>
  <c r="U70" i="41"/>
  <c r="U69" i="41"/>
  <c r="U68" i="41"/>
  <c r="U67" i="41"/>
  <c r="U66" i="41"/>
  <c r="U65" i="41"/>
  <c r="U64" i="41"/>
  <c r="U63" i="41"/>
  <c r="U62" i="41"/>
  <c r="U61" i="41"/>
  <c r="U60" i="41"/>
  <c r="U59" i="41"/>
  <c r="U58" i="41"/>
  <c r="U57" i="41"/>
  <c r="U56" i="41"/>
  <c r="U55" i="41"/>
  <c r="U54" i="41"/>
  <c r="U53" i="41"/>
  <c r="U52" i="41"/>
  <c r="U51" i="41"/>
  <c r="U50" i="41"/>
  <c r="U49" i="41"/>
  <c r="U48" i="41"/>
  <c r="U47" i="41"/>
  <c r="U46" i="41"/>
  <c r="U45" i="41"/>
  <c r="U44" i="41"/>
  <c r="U43" i="41"/>
  <c r="U42" i="41"/>
  <c r="U41" i="41"/>
  <c r="U40" i="41"/>
  <c r="U39" i="41"/>
  <c r="U38" i="41"/>
  <c r="U37" i="41"/>
  <c r="U36" i="41"/>
  <c r="U35" i="41"/>
  <c r="U34" i="41"/>
  <c r="U33" i="41"/>
  <c r="U32" i="41"/>
  <c r="U31" i="41"/>
  <c r="U30" i="41"/>
  <c r="U29" i="41"/>
  <c r="U28" i="41"/>
  <c r="U27" i="41"/>
  <c r="U26" i="41"/>
  <c r="U25" i="41"/>
  <c r="U24" i="41"/>
  <c r="U23" i="41"/>
  <c r="U22" i="41"/>
  <c r="U21" i="41"/>
  <c r="U20" i="41"/>
  <c r="U19" i="41"/>
  <c r="U18" i="41"/>
  <c r="U17" i="41"/>
  <c r="U16" i="41"/>
  <c r="U15" i="41"/>
  <c r="U14" i="41"/>
  <c r="F101" i="41" s="1"/>
  <c r="F103" i="41" s="1"/>
  <c r="U13" i="41"/>
  <c r="U12" i="41"/>
  <c r="U11" i="41"/>
  <c r="U10" i="41"/>
  <c r="U9" i="41"/>
  <c r="U8" i="41"/>
  <c r="U7" i="41"/>
  <c r="U6" i="41"/>
  <c r="U5" i="41"/>
  <c r="U4" i="41"/>
  <c r="U3" i="41"/>
  <c r="G126" i="39"/>
  <c r="F126" i="39"/>
  <c r="E126" i="39"/>
  <c r="N125" i="39"/>
  <c r="M125" i="39"/>
  <c r="L125" i="39"/>
  <c r="K125" i="39"/>
  <c r="J125" i="39"/>
  <c r="I125" i="39"/>
  <c r="H125" i="39"/>
  <c r="D125" i="39"/>
  <c r="C125" i="39"/>
  <c r="B125" i="39"/>
  <c r="N124" i="39"/>
  <c r="N126" i="39" s="1"/>
  <c r="M124" i="39"/>
  <c r="M126" i="39" s="1"/>
  <c r="L124" i="39"/>
  <c r="L126" i="39" s="1"/>
  <c r="K124" i="39"/>
  <c r="K126" i="39" s="1"/>
  <c r="J124" i="39"/>
  <c r="J126" i="39" s="1"/>
  <c r="I124" i="39"/>
  <c r="I126" i="39" s="1"/>
  <c r="H124" i="39"/>
  <c r="H126" i="39" s="1"/>
  <c r="D124" i="39"/>
  <c r="C124" i="39"/>
  <c r="B124" i="39"/>
  <c r="N121" i="39"/>
  <c r="M121" i="39"/>
  <c r="L121" i="39"/>
  <c r="K121" i="39"/>
  <c r="J121" i="39"/>
  <c r="I121" i="39"/>
  <c r="H121" i="39"/>
  <c r="G121" i="39"/>
  <c r="G122" i="39" s="1"/>
  <c r="F121" i="39"/>
  <c r="F122" i="39" s="1"/>
  <c r="E121" i="39"/>
  <c r="E122" i="39" s="1"/>
  <c r="D121" i="39"/>
  <c r="C121" i="39"/>
  <c r="B121" i="39"/>
  <c r="N120" i="39"/>
  <c r="M120" i="39"/>
  <c r="L120" i="39"/>
  <c r="K120" i="39"/>
  <c r="J120" i="39"/>
  <c r="I120" i="39"/>
  <c r="H120" i="39"/>
  <c r="D120" i="39"/>
  <c r="C120" i="39"/>
  <c r="B120" i="39"/>
  <c r="N119" i="39"/>
  <c r="M119" i="39"/>
  <c r="L119" i="39"/>
  <c r="K119" i="39"/>
  <c r="J119" i="39"/>
  <c r="I119" i="39"/>
  <c r="H119" i="39"/>
  <c r="D119" i="39"/>
  <c r="C119" i="39"/>
  <c r="B119" i="39"/>
  <c r="N118" i="39"/>
  <c r="M118" i="39"/>
  <c r="L118" i="39"/>
  <c r="K118" i="39"/>
  <c r="J118" i="39"/>
  <c r="I118" i="39"/>
  <c r="H118" i="39"/>
  <c r="D118" i="39"/>
  <c r="C118" i="39"/>
  <c r="B118" i="39"/>
  <c r="Q102" i="39"/>
  <c r="P102" i="39"/>
  <c r="O102" i="39"/>
  <c r="N102" i="39"/>
  <c r="M102" i="39"/>
  <c r="J102" i="39"/>
  <c r="I102" i="39"/>
  <c r="L102" i="39" s="1"/>
  <c r="H102" i="39"/>
  <c r="K102" i="39" s="1"/>
  <c r="G102" i="39"/>
  <c r="F102" i="39"/>
  <c r="E102" i="39"/>
  <c r="Q101" i="39"/>
  <c r="Q103" i="39" s="1"/>
  <c r="P101" i="39"/>
  <c r="P103" i="39" s="1"/>
  <c r="O101" i="39"/>
  <c r="O103" i="39" s="1"/>
  <c r="N101" i="39"/>
  <c r="N103" i="39" s="1"/>
  <c r="M101" i="39"/>
  <c r="M103" i="39" s="1"/>
  <c r="J101" i="39"/>
  <c r="J103" i="39" s="1"/>
  <c r="I101" i="39"/>
  <c r="L101" i="39" s="1"/>
  <c r="H101" i="39"/>
  <c r="H103" i="39" s="1"/>
  <c r="K103" i="39" s="1"/>
  <c r="G101" i="39"/>
  <c r="G103" i="39" s="1"/>
  <c r="E101" i="39"/>
  <c r="E103" i="39" s="1"/>
  <c r="Q98" i="39"/>
  <c r="P98" i="39"/>
  <c r="O98" i="39"/>
  <c r="N98" i="39"/>
  <c r="M98" i="39"/>
  <c r="J98" i="39"/>
  <c r="I98" i="39"/>
  <c r="L98" i="39" s="1"/>
  <c r="H98" i="39"/>
  <c r="K98" i="39" s="1"/>
  <c r="G98" i="39"/>
  <c r="E98" i="39"/>
  <c r="Q97" i="39"/>
  <c r="P97" i="39"/>
  <c r="O97" i="39"/>
  <c r="N97" i="39"/>
  <c r="M97" i="39"/>
  <c r="J97" i="39"/>
  <c r="I97" i="39"/>
  <c r="L97" i="39" s="1"/>
  <c r="H97" i="39"/>
  <c r="K97" i="39" s="1"/>
  <c r="G97" i="39"/>
  <c r="E97" i="39"/>
  <c r="Q96" i="39"/>
  <c r="P96" i="39"/>
  <c r="O96" i="39"/>
  <c r="N96" i="39"/>
  <c r="M96" i="39"/>
  <c r="J96" i="39"/>
  <c r="I96" i="39"/>
  <c r="H96" i="39"/>
  <c r="G96" i="39"/>
  <c r="F96" i="39"/>
  <c r="E96" i="39"/>
  <c r="Q91" i="39"/>
  <c r="P91" i="39"/>
  <c r="O91" i="39"/>
  <c r="N91" i="39"/>
  <c r="M91" i="39"/>
  <c r="J91" i="39"/>
  <c r="I91" i="39"/>
  <c r="L91" i="39" s="1"/>
  <c r="H91" i="39"/>
  <c r="G91" i="39"/>
  <c r="E91" i="39"/>
  <c r="Q90" i="39"/>
  <c r="Q92" i="39" s="1"/>
  <c r="P90" i="39"/>
  <c r="P92" i="39" s="1"/>
  <c r="O90" i="39"/>
  <c r="O92" i="39" s="1"/>
  <c r="N90" i="39"/>
  <c r="M90" i="39"/>
  <c r="M92" i="39" s="1"/>
  <c r="J90" i="39"/>
  <c r="J92" i="39" s="1"/>
  <c r="I90" i="39"/>
  <c r="I92" i="39" s="1"/>
  <c r="L92" i="39" s="1"/>
  <c r="H90" i="39"/>
  <c r="G90" i="39"/>
  <c r="G92" i="39" s="1"/>
  <c r="E90" i="39"/>
  <c r="E92" i="39" s="1"/>
  <c r="Q87" i="39"/>
  <c r="P87" i="39"/>
  <c r="O87" i="39"/>
  <c r="N87" i="39"/>
  <c r="M87" i="39"/>
  <c r="J87" i="39"/>
  <c r="I87" i="39"/>
  <c r="L87" i="39" s="1"/>
  <c r="H87" i="39"/>
  <c r="K87" i="39" s="1"/>
  <c r="G87" i="39"/>
  <c r="E87" i="39"/>
  <c r="Q86" i="39"/>
  <c r="P86" i="39"/>
  <c r="O86" i="39"/>
  <c r="N86" i="39"/>
  <c r="M86" i="39"/>
  <c r="J86" i="39"/>
  <c r="I86" i="39"/>
  <c r="L86" i="39" s="1"/>
  <c r="H86" i="39"/>
  <c r="K86" i="39" s="1"/>
  <c r="G86" i="39"/>
  <c r="E86" i="39"/>
  <c r="Q85" i="39"/>
  <c r="P85" i="39"/>
  <c r="O85" i="39"/>
  <c r="N85" i="39"/>
  <c r="M85" i="39"/>
  <c r="J85" i="39"/>
  <c r="I85" i="39"/>
  <c r="H85" i="39"/>
  <c r="G85" i="39"/>
  <c r="E85" i="39"/>
  <c r="Q80" i="39"/>
  <c r="P80" i="39"/>
  <c r="O80" i="39"/>
  <c r="N80" i="39"/>
  <c r="M80" i="39"/>
  <c r="J80" i="39"/>
  <c r="I80" i="39"/>
  <c r="H80" i="39"/>
  <c r="K80" i="39" s="1"/>
  <c r="G80" i="39"/>
  <c r="F80" i="39"/>
  <c r="E80" i="39"/>
  <c r="Q79" i="39"/>
  <c r="P79" i="39"/>
  <c r="O79" i="39"/>
  <c r="N79" i="39"/>
  <c r="N81" i="39" s="1"/>
  <c r="M79" i="39"/>
  <c r="M81" i="39" s="1"/>
  <c r="J79" i="39"/>
  <c r="I79" i="39"/>
  <c r="H79" i="39"/>
  <c r="H81" i="39" s="1"/>
  <c r="K81" i="39" s="1"/>
  <c r="G79" i="39"/>
  <c r="G81" i="39" s="1"/>
  <c r="E79" i="39"/>
  <c r="Q76" i="39"/>
  <c r="P76" i="39"/>
  <c r="O76" i="39"/>
  <c r="N76" i="39"/>
  <c r="M76" i="39"/>
  <c r="J76" i="39"/>
  <c r="I76" i="39"/>
  <c r="H76" i="39"/>
  <c r="G76" i="39"/>
  <c r="E76" i="39"/>
  <c r="Q75" i="39"/>
  <c r="P75" i="39"/>
  <c r="O75" i="39"/>
  <c r="N75" i="39"/>
  <c r="M75" i="39"/>
  <c r="J75" i="39"/>
  <c r="I75" i="39"/>
  <c r="H75" i="39"/>
  <c r="G75" i="39"/>
  <c r="E75" i="39"/>
  <c r="Q74" i="39"/>
  <c r="P74" i="39"/>
  <c r="O74" i="39"/>
  <c r="N74" i="39"/>
  <c r="M74" i="39"/>
  <c r="J74" i="39"/>
  <c r="I74" i="39"/>
  <c r="H74" i="39"/>
  <c r="G74" i="39"/>
  <c r="F74" i="39"/>
  <c r="E74" i="39"/>
  <c r="U70" i="39"/>
  <c r="U69" i="39"/>
  <c r="U68" i="39"/>
  <c r="U67" i="39"/>
  <c r="U66" i="39"/>
  <c r="U65" i="39"/>
  <c r="U64" i="39"/>
  <c r="U63" i="39"/>
  <c r="U62" i="39"/>
  <c r="U61" i="39"/>
  <c r="U60" i="39"/>
  <c r="U59" i="39"/>
  <c r="U58" i="39"/>
  <c r="U57" i="39"/>
  <c r="U56" i="39"/>
  <c r="U55" i="39"/>
  <c r="U54" i="39"/>
  <c r="U53" i="39"/>
  <c r="U52" i="39"/>
  <c r="U51" i="39"/>
  <c r="U50" i="39"/>
  <c r="U49" i="39"/>
  <c r="U48" i="39"/>
  <c r="U47" i="39"/>
  <c r="U46" i="39"/>
  <c r="U45" i="39"/>
  <c r="U44" i="39"/>
  <c r="U42" i="39"/>
  <c r="U41" i="39"/>
  <c r="U40" i="39"/>
  <c r="U39" i="39"/>
  <c r="U38" i="39"/>
  <c r="U37" i="39"/>
  <c r="U36" i="39"/>
  <c r="U35" i="39"/>
  <c r="U34" i="39"/>
  <c r="U33" i="39"/>
  <c r="U32" i="39"/>
  <c r="U31" i="39"/>
  <c r="U30" i="39"/>
  <c r="U29" i="39"/>
  <c r="U28" i="39"/>
  <c r="U27" i="39"/>
  <c r="U26" i="39"/>
  <c r="U25" i="39"/>
  <c r="U24" i="39"/>
  <c r="U23" i="39"/>
  <c r="U22" i="39"/>
  <c r="U21" i="39"/>
  <c r="U20" i="39"/>
  <c r="U19" i="39"/>
  <c r="U18" i="39"/>
  <c r="U17" i="39"/>
  <c r="U16" i="39"/>
  <c r="U15" i="39"/>
  <c r="U14" i="39"/>
  <c r="U13" i="39"/>
  <c r="U12" i="39"/>
  <c r="U11" i="39"/>
  <c r="U10" i="39"/>
  <c r="U9" i="39"/>
  <c r="U8" i="39"/>
  <c r="F76" i="39" s="1"/>
  <c r="U7" i="39"/>
  <c r="U6" i="39"/>
  <c r="F97" i="39" s="1"/>
  <c r="U5" i="39"/>
  <c r="U4" i="39"/>
  <c r="U3" i="39"/>
  <c r="G124" i="38"/>
  <c r="F124" i="38"/>
  <c r="E124" i="38"/>
  <c r="N123" i="38"/>
  <c r="N124" i="38" s="1"/>
  <c r="M123" i="38"/>
  <c r="M124" i="38" s="1"/>
  <c r="L123" i="38"/>
  <c r="L124" i="38" s="1"/>
  <c r="K123" i="38"/>
  <c r="K124" i="38" s="1"/>
  <c r="J123" i="38"/>
  <c r="J124" i="38" s="1"/>
  <c r="I123" i="38"/>
  <c r="I124" i="38" s="1"/>
  <c r="H123" i="38"/>
  <c r="H124" i="38" s="1"/>
  <c r="N120" i="38"/>
  <c r="M120" i="38"/>
  <c r="L120" i="38"/>
  <c r="K120" i="38"/>
  <c r="J120" i="38"/>
  <c r="I120" i="38"/>
  <c r="H120" i="38"/>
  <c r="G120" i="38"/>
  <c r="G121" i="38" s="1"/>
  <c r="E120" i="38"/>
  <c r="E121" i="38" s="1"/>
  <c r="N119" i="38"/>
  <c r="M119" i="38"/>
  <c r="L119" i="38"/>
  <c r="K119" i="38"/>
  <c r="J119" i="38"/>
  <c r="I119" i="38"/>
  <c r="H119" i="38"/>
  <c r="N118" i="38"/>
  <c r="M118" i="38"/>
  <c r="L118" i="38"/>
  <c r="K118" i="38"/>
  <c r="J118" i="38"/>
  <c r="I118" i="38"/>
  <c r="H118" i="38"/>
  <c r="N117" i="38"/>
  <c r="M117" i="38"/>
  <c r="L117" i="38"/>
  <c r="K117" i="38"/>
  <c r="J117" i="38"/>
  <c r="I117" i="38"/>
  <c r="H117" i="38"/>
  <c r="Q102" i="38"/>
  <c r="Q103" i="38" s="1"/>
  <c r="P102" i="38"/>
  <c r="P103" i="38" s="1"/>
  <c r="O102" i="38"/>
  <c r="O103" i="38" s="1"/>
  <c r="N102" i="38"/>
  <c r="N103" i="38" s="1"/>
  <c r="M102" i="38"/>
  <c r="M103" i="38" s="1"/>
  <c r="J102" i="38"/>
  <c r="J103" i="38" s="1"/>
  <c r="I102" i="38"/>
  <c r="I103" i="38" s="1"/>
  <c r="L103" i="38" s="1"/>
  <c r="H102" i="38"/>
  <c r="H103" i="38" s="1"/>
  <c r="K103" i="38" s="1"/>
  <c r="G102" i="38"/>
  <c r="G103" i="38" s="1"/>
  <c r="E102" i="38"/>
  <c r="E103" i="38" s="1"/>
  <c r="Q99" i="38"/>
  <c r="P99" i="38"/>
  <c r="O99" i="38"/>
  <c r="N99" i="38"/>
  <c r="M99" i="38"/>
  <c r="J99" i="38"/>
  <c r="I99" i="38"/>
  <c r="L99" i="38" s="1"/>
  <c r="H99" i="38"/>
  <c r="K99" i="38" s="1"/>
  <c r="G99" i="38"/>
  <c r="E99" i="38"/>
  <c r="Q98" i="38"/>
  <c r="P98" i="38"/>
  <c r="O98" i="38"/>
  <c r="N98" i="38"/>
  <c r="M98" i="38"/>
  <c r="J98" i="38"/>
  <c r="I98" i="38"/>
  <c r="L98" i="38" s="1"/>
  <c r="H98" i="38"/>
  <c r="K98" i="38" s="1"/>
  <c r="G98" i="38"/>
  <c r="E98" i="38"/>
  <c r="Q97" i="38"/>
  <c r="P97" i="38"/>
  <c r="O97" i="38"/>
  <c r="N97" i="38"/>
  <c r="M97" i="38"/>
  <c r="J97" i="38"/>
  <c r="I97" i="38"/>
  <c r="H97" i="38"/>
  <c r="G97" i="38"/>
  <c r="E97" i="38"/>
  <c r="Q92" i="38"/>
  <c r="Q93" i="38" s="1"/>
  <c r="P92" i="38"/>
  <c r="P93" i="38" s="1"/>
  <c r="O92" i="38"/>
  <c r="O93" i="38" s="1"/>
  <c r="N92" i="38"/>
  <c r="N93" i="38" s="1"/>
  <c r="M92" i="38"/>
  <c r="M93" i="38" s="1"/>
  <c r="J92" i="38"/>
  <c r="J93" i="38" s="1"/>
  <c r="I92" i="38"/>
  <c r="L92" i="38" s="1"/>
  <c r="H92" i="38"/>
  <c r="G92" i="38"/>
  <c r="G93" i="38" s="1"/>
  <c r="E92" i="38"/>
  <c r="E93" i="38" s="1"/>
  <c r="Q89" i="38"/>
  <c r="P89" i="38"/>
  <c r="O89" i="38"/>
  <c r="N89" i="38"/>
  <c r="M89" i="38"/>
  <c r="J89" i="38"/>
  <c r="I89" i="38"/>
  <c r="L89" i="38" s="1"/>
  <c r="H89" i="38"/>
  <c r="K89" i="38" s="1"/>
  <c r="G89" i="38"/>
  <c r="E89" i="38"/>
  <c r="Q88" i="38"/>
  <c r="P88" i="38"/>
  <c r="O88" i="38"/>
  <c r="N88" i="38"/>
  <c r="M88" i="38"/>
  <c r="J88" i="38"/>
  <c r="I88" i="38"/>
  <c r="L88" i="38" s="1"/>
  <c r="H88" i="38"/>
  <c r="K88" i="38" s="1"/>
  <c r="G88" i="38"/>
  <c r="E88" i="38"/>
  <c r="Q87" i="38"/>
  <c r="P87" i="38"/>
  <c r="O87" i="38"/>
  <c r="N87" i="38"/>
  <c r="M87" i="38"/>
  <c r="J87" i="38"/>
  <c r="I87" i="38"/>
  <c r="H87" i="38"/>
  <c r="G87" i="38"/>
  <c r="E87" i="38"/>
  <c r="Q82" i="38"/>
  <c r="Q83" i="38" s="1"/>
  <c r="P82" i="38"/>
  <c r="O82" i="38"/>
  <c r="O83" i="38" s="1"/>
  <c r="N82" i="38"/>
  <c r="M82" i="38"/>
  <c r="J82" i="38"/>
  <c r="I82" i="38"/>
  <c r="H82" i="38"/>
  <c r="G82" i="38"/>
  <c r="E82" i="38"/>
  <c r="E83" i="38" s="1"/>
  <c r="Q79" i="38"/>
  <c r="P79" i="38"/>
  <c r="O79" i="38"/>
  <c r="N79" i="38"/>
  <c r="M79" i="38"/>
  <c r="J79" i="38"/>
  <c r="I79" i="38"/>
  <c r="L79" i="38" s="1"/>
  <c r="H79" i="38"/>
  <c r="G79" i="38"/>
  <c r="E79" i="38"/>
  <c r="Q78" i="38"/>
  <c r="P78" i="38"/>
  <c r="O78" i="38"/>
  <c r="N78" i="38"/>
  <c r="M78" i="38"/>
  <c r="J78" i="38"/>
  <c r="I78" i="38"/>
  <c r="H78" i="38"/>
  <c r="K78" i="38" s="1"/>
  <c r="G78" i="38"/>
  <c r="E78" i="38"/>
  <c r="Q77" i="38"/>
  <c r="P77" i="38"/>
  <c r="O77" i="38"/>
  <c r="N77" i="38"/>
  <c r="M77" i="38"/>
  <c r="J77" i="38"/>
  <c r="I77" i="38"/>
  <c r="H77" i="38"/>
  <c r="G77" i="38"/>
  <c r="E77" i="38"/>
  <c r="U73" i="38"/>
  <c r="U72" i="38"/>
  <c r="U71" i="38"/>
  <c r="U70" i="38"/>
  <c r="U69" i="38"/>
  <c r="U68" i="38"/>
  <c r="U67" i="38"/>
  <c r="U66" i="38"/>
  <c r="U65" i="38"/>
  <c r="U64" i="38"/>
  <c r="U63" i="38"/>
  <c r="U62" i="38"/>
  <c r="U61" i="38"/>
  <c r="U60" i="38"/>
  <c r="U59" i="38"/>
  <c r="U58" i="38"/>
  <c r="U57" i="38"/>
  <c r="U56" i="38"/>
  <c r="U55" i="38"/>
  <c r="U54" i="38"/>
  <c r="F89" i="38" s="1"/>
  <c r="U53" i="38"/>
  <c r="U52" i="38"/>
  <c r="U51" i="38"/>
  <c r="U50" i="38"/>
  <c r="U49" i="38"/>
  <c r="U48" i="38"/>
  <c r="U47" i="38"/>
  <c r="U46" i="38"/>
  <c r="U45" i="38"/>
  <c r="U44" i="38"/>
  <c r="U43" i="38"/>
  <c r="U42" i="38"/>
  <c r="U41" i="38"/>
  <c r="U40" i="38"/>
  <c r="U39" i="38"/>
  <c r="U38" i="38"/>
  <c r="U37" i="38"/>
  <c r="U36" i="38"/>
  <c r="U35" i="38"/>
  <c r="U34" i="38"/>
  <c r="U33" i="38"/>
  <c r="U32" i="38"/>
  <c r="U31" i="38"/>
  <c r="U30" i="38"/>
  <c r="U29" i="38"/>
  <c r="U28" i="38"/>
  <c r="U27" i="38"/>
  <c r="U26" i="38"/>
  <c r="U25" i="38"/>
  <c r="U23" i="38"/>
  <c r="U22" i="38"/>
  <c r="U21" i="38"/>
  <c r="U20" i="38"/>
  <c r="U19" i="38"/>
  <c r="U18" i="38"/>
  <c r="U17" i="38"/>
  <c r="U16" i="38"/>
  <c r="U15" i="38"/>
  <c r="U14" i="38"/>
  <c r="U13" i="38"/>
  <c r="U12" i="38"/>
  <c r="U11" i="38"/>
  <c r="U10" i="38"/>
  <c r="U9" i="38"/>
  <c r="U8" i="38"/>
  <c r="U7" i="38"/>
  <c r="U6" i="38"/>
  <c r="U5" i="38"/>
  <c r="U4" i="38"/>
  <c r="U3" i="38"/>
  <c r="G121" i="37"/>
  <c r="F121" i="37"/>
  <c r="E121" i="37"/>
  <c r="N120" i="37"/>
  <c r="N121" i="37" s="1"/>
  <c r="M120" i="37"/>
  <c r="M121" i="37" s="1"/>
  <c r="L120" i="37"/>
  <c r="L121" i="37" s="1"/>
  <c r="K120" i="37"/>
  <c r="K121" i="37" s="1"/>
  <c r="J120" i="37"/>
  <c r="J121" i="37" s="1"/>
  <c r="I120" i="37"/>
  <c r="I121" i="37" s="1"/>
  <c r="H120" i="37"/>
  <c r="H121" i="37" s="1"/>
  <c r="D120" i="37"/>
  <c r="D121" i="37" s="1"/>
  <c r="C120" i="37"/>
  <c r="C121" i="37" s="1"/>
  <c r="B120" i="37"/>
  <c r="B121" i="37" s="1"/>
  <c r="N117" i="37"/>
  <c r="M117" i="37"/>
  <c r="L117" i="37"/>
  <c r="K117" i="37"/>
  <c r="J117" i="37"/>
  <c r="I117" i="37"/>
  <c r="H117" i="37"/>
  <c r="G117" i="37"/>
  <c r="G118" i="37" s="1"/>
  <c r="F117" i="37"/>
  <c r="F118" i="37" s="1"/>
  <c r="E117" i="37"/>
  <c r="E118" i="37" s="1"/>
  <c r="D117" i="37"/>
  <c r="C117" i="37"/>
  <c r="B117" i="37"/>
  <c r="N116" i="37"/>
  <c r="M116" i="37"/>
  <c r="L116" i="37"/>
  <c r="K116" i="37"/>
  <c r="J116" i="37"/>
  <c r="I116" i="37"/>
  <c r="H116" i="37"/>
  <c r="D116" i="37"/>
  <c r="C116" i="37"/>
  <c r="B116" i="37"/>
  <c r="N115" i="37"/>
  <c r="M115" i="37"/>
  <c r="L115" i="37"/>
  <c r="K115" i="37"/>
  <c r="J115" i="37"/>
  <c r="I115" i="37"/>
  <c r="H115" i="37"/>
  <c r="D115" i="37"/>
  <c r="C115" i="37"/>
  <c r="B115" i="37"/>
  <c r="N114" i="37"/>
  <c r="M114" i="37"/>
  <c r="L114" i="37"/>
  <c r="K114" i="37"/>
  <c r="J114" i="37"/>
  <c r="I114" i="37"/>
  <c r="H114" i="37"/>
  <c r="D114" i="37"/>
  <c r="C114" i="37"/>
  <c r="B114" i="37"/>
  <c r="N113" i="37"/>
  <c r="M113" i="37"/>
  <c r="L113" i="37"/>
  <c r="K113" i="37"/>
  <c r="J113" i="37"/>
  <c r="I113" i="37"/>
  <c r="H113" i="37"/>
  <c r="D113" i="37"/>
  <c r="C113" i="37"/>
  <c r="B113" i="37"/>
  <c r="D108" i="37"/>
  <c r="D109" i="37" s="1"/>
  <c r="D105" i="37"/>
  <c r="D104" i="37"/>
  <c r="D103" i="37"/>
  <c r="D102" i="37"/>
  <c r="D98" i="37"/>
  <c r="Q97" i="37"/>
  <c r="Q98" i="37" s="1"/>
  <c r="P97" i="37"/>
  <c r="O97" i="37"/>
  <c r="O98" i="37" s="1"/>
  <c r="N97" i="37"/>
  <c r="N98" i="37" s="1"/>
  <c r="M97" i="37"/>
  <c r="M98" i="37" s="1"/>
  <c r="J97" i="37"/>
  <c r="I97" i="37"/>
  <c r="L97" i="37" s="1"/>
  <c r="H97" i="37"/>
  <c r="H98" i="37" s="1"/>
  <c r="K98" i="37" s="1"/>
  <c r="G97" i="37"/>
  <c r="G98" i="37" s="1"/>
  <c r="E97" i="37"/>
  <c r="E98" i="37" s="1"/>
  <c r="D95" i="37"/>
  <c r="Q94" i="37"/>
  <c r="P94" i="37"/>
  <c r="O94" i="37"/>
  <c r="N94" i="37"/>
  <c r="M94" i="37"/>
  <c r="J94" i="37"/>
  <c r="I94" i="37"/>
  <c r="L94" i="37" s="1"/>
  <c r="H94" i="37"/>
  <c r="K94" i="37" s="1"/>
  <c r="G94" i="37"/>
  <c r="E94" i="37"/>
  <c r="Q93" i="37"/>
  <c r="P93" i="37"/>
  <c r="O93" i="37"/>
  <c r="N93" i="37"/>
  <c r="M93" i="37"/>
  <c r="J93" i="37"/>
  <c r="I93" i="37"/>
  <c r="L93" i="37" s="1"/>
  <c r="H93" i="37"/>
  <c r="K93" i="37" s="1"/>
  <c r="G93" i="37"/>
  <c r="E93" i="37"/>
  <c r="Q92" i="37"/>
  <c r="P92" i="37"/>
  <c r="O92" i="37"/>
  <c r="N92" i="37"/>
  <c r="M92" i="37"/>
  <c r="J92" i="37"/>
  <c r="I92" i="37"/>
  <c r="H92" i="37"/>
  <c r="K92" i="37" s="1"/>
  <c r="G92" i="37"/>
  <c r="E92" i="37"/>
  <c r="Q91" i="37"/>
  <c r="P91" i="37"/>
  <c r="O91" i="37"/>
  <c r="N91" i="37"/>
  <c r="M91" i="37"/>
  <c r="J91" i="37"/>
  <c r="I91" i="37"/>
  <c r="L91" i="37" s="1"/>
  <c r="H91" i="37"/>
  <c r="K91" i="37" s="1"/>
  <c r="G91" i="37"/>
  <c r="E91" i="37"/>
  <c r="D87" i="37"/>
  <c r="Q86" i="37"/>
  <c r="P86" i="37"/>
  <c r="P87" i="37" s="1"/>
  <c r="O86" i="37"/>
  <c r="O87" i="37" s="1"/>
  <c r="N86" i="37"/>
  <c r="M86" i="37"/>
  <c r="M87" i="37" s="1"/>
  <c r="J86" i="37"/>
  <c r="J87" i="37" s="1"/>
  <c r="I86" i="37"/>
  <c r="I87" i="37" s="1"/>
  <c r="L87" i="37" s="1"/>
  <c r="H86" i="37"/>
  <c r="G86" i="37"/>
  <c r="G87" i="37" s="1"/>
  <c r="E86" i="37"/>
  <c r="D84" i="37"/>
  <c r="Q83" i="37"/>
  <c r="P83" i="37"/>
  <c r="O83" i="37"/>
  <c r="N83" i="37"/>
  <c r="M83" i="37"/>
  <c r="J83" i="37"/>
  <c r="I83" i="37"/>
  <c r="H83" i="37"/>
  <c r="G83" i="37"/>
  <c r="F83" i="37"/>
  <c r="E83" i="37"/>
  <c r="Q82" i="37"/>
  <c r="P82" i="37"/>
  <c r="O82" i="37"/>
  <c r="N82" i="37"/>
  <c r="M82" i="37"/>
  <c r="J82" i="37"/>
  <c r="I82" i="37"/>
  <c r="L82" i="37" s="1"/>
  <c r="H82" i="37"/>
  <c r="K82" i="37" s="1"/>
  <c r="G82" i="37"/>
  <c r="F82" i="37"/>
  <c r="E82" i="37"/>
  <c r="Q81" i="37"/>
  <c r="P81" i="37"/>
  <c r="O81" i="37"/>
  <c r="N81" i="37"/>
  <c r="M81" i="37"/>
  <c r="J81" i="37"/>
  <c r="I81" i="37"/>
  <c r="H81" i="37"/>
  <c r="G81" i="37"/>
  <c r="F81" i="37"/>
  <c r="E81" i="37"/>
  <c r="Q80" i="37"/>
  <c r="P80" i="37"/>
  <c r="O80" i="37"/>
  <c r="N80" i="37"/>
  <c r="M80" i="37"/>
  <c r="J80" i="37"/>
  <c r="I80" i="37"/>
  <c r="H80" i="37"/>
  <c r="G80" i="37"/>
  <c r="E80" i="37"/>
  <c r="U76" i="37"/>
  <c r="U75" i="37"/>
  <c r="U74" i="37"/>
  <c r="U73" i="37"/>
  <c r="U72" i="37"/>
  <c r="U71" i="37"/>
  <c r="U70" i="37"/>
  <c r="U69" i="37"/>
  <c r="U68" i="37"/>
  <c r="U67" i="37"/>
  <c r="U66" i="37"/>
  <c r="U65" i="37"/>
  <c r="U64" i="37"/>
  <c r="U63" i="37"/>
  <c r="U62" i="37"/>
  <c r="U61" i="37"/>
  <c r="U60" i="37"/>
  <c r="U59" i="37"/>
  <c r="U58" i="37"/>
  <c r="U57" i="37"/>
  <c r="U56" i="37"/>
  <c r="U55" i="37"/>
  <c r="U54" i="37"/>
  <c r="U53" i="37"/>
  <c r="U52" i="37"/>
  <c r="U51" i="37"/>
  <c r="U50" i="37"/>
  <c r="U49" i="37"/>
  <c r="U48" i="37"/>
  <c r="U47" i="37"/>
  <c r="U46" i="37"/>
  <c r="U45" i="37"/>
  <c r="U44" i="37"/>
  <c r="U43" i="37"/>
  <c r="U42" i="37"/>
  <c r="U41" i="37"/>
  <c r="U40" i="37"/>
  <c r="U39" i="37"/>
  <c r="U38" i="37"/>
  <c r="U37" i="37"/>
  <c r="U36" i="37"/>
  <c r="U35" i="37"/>
  <c r="U34" i="37"/>
  <c r="U33" i="37"/>
  <c r="U32" i="37"/>
  <c r="U31" i="37"/>
  <c r="U30" i="37"/>
  <c r="U29" i="37"/>
  <c r="U28" i="37"/>
  <c r="U27" i="37"/>
  <c r="U26" i="37"/>
  <c r="U25" i="37"/>
  <c r="U24" i="37"/>
  <c r="U23" i="37"/>
  <c r="U22" i="37"/>
  <c r="U21" i="37"/>
  <c r="U20" i="37"/>
  <c r="U19" i="37"/>
  <c r="U18" i="37"/>
  <c r="U17" i="37"/>
  <c r="U16" i="37"/>
  <c r="U15" i="37"/>
  <c r="U14" i="37"/>
  <c r="U13" i="37"/>
  <c r="U12" i="37"/>
  <c r="F86" i="37" s="1"/>
  <c r="U11" i="37"/>
  <c r="U10" i="37"/>
  <c r="U9" i="37"/>
  <c r="U8" i="37"/>
  <c r="U7" i="37"/>
  <c r="U6" i="37"/>
  <c r="U5" i="37"/>
  <c r="U4" i="37"/>
  <c r="U3" i="37"/>
  <c r="G118" i="35"/>
  <c r="F118" i="35"/>
  <c r="E118" i="35"/>
  <c r="N117" i="35"/>
  <c r="N118" i="35" s="1"/>
  <c r="M117" i="35"/>
  <c r="M118" i="35" s="1"/>
  <c r="L117" i="35"/>
  <c r="L118" i="35" s="1"/>
  <c r="K117" i="35"/>
  <c r="K118" i="35" s="1"/>
  <c r="J117" i="35"/>
  <c r="J118" i="35" s="1"/>
  <c r="I117" i="35"/>
  <c r="I118" i="35" s="1"/>
  <c r="H117" i="35"/>
  <c r="H118" i="35" s="1"/>
  <c r="D117" i="35"/>
  <c r="D118" i="35" s="1"/>
  <c r="C117" i="35"/>
  <c r="C118" i="35" s="1"/>
  <c r="B117" i="35"/>
  <c r="B118" i="35" s="1"/>
  <c r="N114" i="35"/>
  <c r="M114" i="35"/>
  <c r="L114" i="35"/>
  <c r="K114" i="35"/>
  <c r="J114" i="35"/>
  <c r="I114" i="35"/>
  <c r="H114" i="35"/>
  <c r="G114" i="35"/>
  <c r="G115" i="35" s="1"/>
  <c r="F114" i="35"/>
  <c r="F115" i="35" s="1"/>
  <c r="E114" i="35"/>
  <c r="E115" i="35" s="1"/>
  <c r="D114" i="35"/>
  <c r="C114" i="35"/>
  <c r="B114" i="35"/>
  <c r="N113" i="35"/>
  <c r="M113" i="35"/>
  <c r="L113" i="35"/>
  <c r="K113" i="35"/>
  <c r="J113" i="35"/>
  <c r="I113" i="35"/>
  <c r="H113" i="35"/>
  <c r="D113" i="35"/>
  <c r="C113" i="35"/>
  <c r="B113" i="35"/>
  <c r="N112" i="35"/>
  <c r="M112" i="35"/>
  <c r="L112" i="35"/>
  <c r="K112" i="35"/>
  <c r="J112" i="35"/>
  <c r="I112" i="35"/>
  <c r="H112" i="35"/>
  <c r="D112" i="35"/>
  <c r="C112" i="35"/>
  <c r="B112" i="35"/>
  <c r="N111" i="35"/>
  <c r="M111" i="35"/>
  <c r="L111" i="35"/>
  <c r="K111" i="35"/>
  <c r="J111" i="35"/>
  <c r="I111" i="35"/>
  <c r="H111" i="35"/>
  <c r="D111" i="35"/>
  <c r="C111" i="35"/>
  <c r="B111" i="35"/>
  <c r="Q96" i="35"/>
  <c r="Q97" i="35" s="1"/>
  <c r="P96" i="35"/>
  <c r="P97" i="35" s="1"/>
  <c r="O96" i="35"/>
  <c r="O97" i="35" s="1"/>
  <c r="N96" i="35"/>
  <c r="N97" i="35" s="1"/>
  <c r="M96" i="35"/>
  <c r="M97" i="35" s="1"/>
  <c r="J96" i="35"/>
  <c r="J97" i="35" s="1"/>
  <c r="I96" i="35"/>
  <c r="H96" i="35"/>
  <c r="H97" i="35" s="1"/>
  <c r="K97" i="35" s="1"/>
  <c r="G96" i="35"/>
  <c r="G97" i="35" s="1"/>
  <c r="E96" i="35"/>
  <c r="E97" i="35" s="1"/>
  <c r="Q93" i="35"/>
  <c r="P93" i="35"/>
  <c r="O93" i="35"/>
  <c r="N93" i="35"/>
  <c r="M93" i="35"/>
  <c r="J93" i="35"/>
  <c r="I93" i="35"/>
  <c r="L93" i="35" s="1"/>
  <c r="H93" i="35"/>
  <c r="K93" i="35" s="1"/>
  <c r="G93" i="35"/>
  <c r="E93" i="35"/>
  <c r="Q92" i="35"/>
  <c r="P92" i="35"/>
  <c r="O92" i="35"/>
  <c r="N92" i="35"/>
  <c r="M92" i="35"/>
  <c r="J92" i="35"/>
  <c r="I92" i="35"/>
  <c r="H92" i="35"/>
  <c r="K92" i="35" s="1"/>
  <c r="G92" i="35"/>
  <c r="E92" i="35"/>
  <c r="Q91" i="35"/>
  <c r="P91" i="35"/>
  <c r="O91" i="35"/>
  <c r="N91" i="35"/>
  <c r="M91" i="35"/>
  <c r="J91" i="35"/>
  <c r="I91" i="35"/>
  <c r="L91" i="35" s="1"/>
  <c r="H91" i="35"/>
  <c r="K91" i="35" s="1"/>
  <c r="G91" i="35"/>
  <c r="E91" i="35"/>
  <c r="Q86" i="35"/>
  <c r="Q87" i="35" s="1"/>
  <c r="P86" i="35"/>
  <c r="O86" i="35"/>
  <c r="N86" i="35"/>
  <c r="N87" i="35" s="1"/>
  <c r="M86" i="35"/>
  <c r="M87" i="35" s="1"/>
  <c r="J86" i="35"/>
  <c r="I86" i="35"/>
  <c r="H86" i="35"/>
  <c r="H87" i="35" s="1"/>
  <c r="K87" i="35" s="1"/>
  <c r="G86" i="35"/>
  <c r="G87" i="35" s="1"/>
  <c r="F86" i="35"/>
  <c r="E86" i="35"/>
  <c r="E87" i="35" s="1"/>
  <c r="Q83" i="35"/>
  <c r="P83" i="35"/>
  <c r="O83" i="35"/>
  <c r="N83" i="35"/>
  <c r="M83" i="35"/>
  <c r="J83" i="35"/>
  <c r="I83" i="35"/>
  <c r="L83" i="35" s="1"/>
  <c r="H83" i="35"/>
  <c r="K83" i="35" s="1"/>
  <c r="G83" i="35"/>
  <c r="F83" i="35"/>
  <c r="E83" i="35"/>
  <c r="Q82" i="35"/>
  <c r="P82" i="35"/>
  <c r="O82" i="35"/>
  <c r="N82" i="35"/>
  <c r="M82" i="35"/>
  <c r="J82" i="35"/>
  <c r="I82" i="35"/>
  <c r="L82" i="35" s="1"/>
  <c r="H82" i="35"/>
  <c r="G82" i="35"/>
  <c r="F82" i="35"/>
  <c r="E82" i="35"/>
  <c r="Q81" i="35"/>
  <c r="P81" i="35"/>
  <c r="O81" i="35"/>
  <c r="N81" i="35"/>
  <c r="M81" i="35"/>
  <c r="J81" i="35"/>
  <c r="I81" i="35"/>
  <c r="H81" i="35"/>
  <c r="G81" i="35"/>
  <c r="F81" i="35"/>
  <c r="E81" i="35"/>
  <c r="U77" i="35"/>
  <c r="U76" i="35"/>
  <c r="U75" i="35"/>
  <c r="U74" i="35"/>
  <c r="U73" i="35"/>
  <c r="U72" i="35"/>
  <c r="U71" i="35"/>
  <c r="U70" i="35"/>
  <c r="U69" i="35"/>
  <c r="U68" i="35"/>
  <c r="U67" i="35"/>
  <c r="U66" i="35"/>
  <c r="U65" i="35"/>
  <c r="U64" i="35"/>
  <c r="U63" i="35"/>
  <c r="U62" i="35"/>
  <c r="U61" i="35"/>
  <c r="U60" i="35"/>
  <c r="U59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U42" i="35"/>
  <c r="U41" i="35"/>
  <c r="U40" i="35"/>
  <c r="U39" i="35"/>
  <c r="U38" i="35"/>
  <c r="U37" i="35"/>
  <c r="U36" i="35"/>
  <c r="U35" i="35"/>
  <c r="U34" i="35"/>
  <c r="U33" i="35"/>
  <c r="U32" i="35"/>
  <c r="U31" i="35"/>
  <c r="U30" i="35"/>
  <c r="U29" i="35"/>
  <c r="U28" i="35"/>
  <c r="U27" i="35"/>
  <c r="U26" i="35"/>
  <c r="U25" i="35"/>
  <c r="U24" i="35"/>
  <c r="U23" i="35"/>
  <c r="U22" i="35"/>
  <c r="U21" i="35"/>
  <c r="U20" i="35"/>
  <c r="U19" i="35"/>
  <c r="U18" i="35"/>
  <c r="U17" i="35"/>
  <c r="U16" i="35"/>
  <c r="U15" i="35"/>
  <c r="U14" i="35"/>
  <c r="U13" i="35"/>
  <c r="U12" i="35"/>
  <c r="U11" i="35"/>
  <c r="U10" i="35"/>
  <c r="U9" i="35"/>
  <c r="U8" i="35"/>
  <c r="U7" i="35"/>
  <c r="U6" i="35"/>
  <c r="U5" i="35"/>
  <c r="U4" i="35"/>
  <c r="U3" i="35"/>
  <c r="Q86" i="34"/>
  <c r="P86" i="34"/>
  <c r="O86" i="34"/>
  <c r="N86" i="34"/>
  <c r="M86" i="34"/>
  <c r="J86" i="34"/>
  <c r="I86" i="34"/>
  <c r="L86" i="34" s="1"/>
  <c r="H86" i="34"/>
  <c r="K86" i="34" s="1"/>
  <c r="G86" i="34"/>
  <c r="F86" i="34"/>
  <c r="E86" i="34"/>
  <c r="U82" i="34"/>
  <c r="U81" i="34"/>
  <c r="U80" i="34"/>
  <c r="U79" i="34"/>
  <c r="U78" i="34"/>
  <c r="U77" i="34"/>
  <c r="U76" i="34"/>
  <c r="U75" i="34"/>
  <c r="U74" i="34"/>
  <c r="U73" i="34"/>
  <c r="U72" i="34"/>
  <c r="U71" i="34"/>
  <c r="U70" i="34"/>
  <c r="U69" i="34"/>
  <c r="U68" i="34"/>
  <c r="U67" i="34"/>
  <c r="U66" i="34"/>
  <c r="U65" i="34"/>
  <c r="U64" i="34"/>
  <c r="U63" i="34"/>
  <c r="U62" i="34"/>
  <c r="U61" i="34"/>
  <c r="U60" i="34"/>
  <c r="U59" i="34"/>
  <c r="U58" i="34"/>
  <c r="U57" i="34"/>
  <c r="U56" i="34"/>
  <c r="U55" i="34"/>
  <c r="U54" i="34"/>
  <c r="U53" i="34"/>
  <c r="U52" i="34"/>
  <c r="U51" i="34"/>
  <c r="U50" i="34"/>
  <c r="U49" i="34"/>
  <c r="U48" i="34"/>
  <c r="U47" i="34"/>
  <c r="U46" i="34"/>
  <c r="U45" i="34"/>
  <c r="U44" i="34"/>
  <c r="U43" i="34"/>
  <c r="U42" i="34"/>
  <c r="U41" i="34"/>
  <c r="U40" i="34"/>
  <c r="U39" i="34"/>
  <c r="U38" i="34"/>
  <c r="U37" i="34"/>
  <c r="U36" i="34"/>
  <c r="U35" i="34"/>
  <c r="U34" i="34"/>
  <c r="U33" i="34"/>
  <c r="U32" i="34"/>
  <c r="U31" i="34"/>
  <c r="U30" i="34"/>
  <c r="U29" i="34"/>
  <c r="U28" i="34"/>
  <c r="U27" i="34"/>
  <c r="U26" i="34"/>
  <c r="U25" i="34"/>
  <c r="U24" i="34"/>
  <c r="U23" i="34"/>
  <c r="U22" i="34"/>
  <c r="U21" i="34"/>
  <c r="U20" i="34"/>
  <c r="U19" i="34"/>
  <c r="U18" i="34"/>
  <c r="U17" i="34"/>
  <c r="U16" i="34"/>
  <c r="U15" i="34"/>
  <c r="U14" i="34"/>
  <c r="U13" i="34"/>
  <c r="U12" i="34"/>
  <c r="U11" i="34"/>
  <c r="U10" i="34"/>
  <c r="U9" i="34"/>
  <c r="U8" i="34"/>
  <c r="U7" i="34"/>
  <c r="U6" i="34"/>
  <c r="U5" i="34"/>
  <c r="U4" i="34"/>
  <c r="U3" i="34"/>
  <c r="U82" i="33"/>
  <c r="U81" i="33"/>
  <c r="U80" i="33"/>
  <c r="U79" i="33"/>
  <c r="U78" i="33"/>
  <c r="U77" i="33"/>
  <c r="U76" i="33"/>
  <c r="U75" i="33"/>
  <c r="U74" i="33"/>
  <c r="U73" i="33"/>
  <c r="U72" i="33"/>
  <c r="U71" i="33"/>
  <c r="U70" i="33"/>
  <c r="U69" i="33"/>
  <c r="U68" i="33"/>
  <c r="U67" i="33"/>
  <c r="U66" i="33"/>
  <c r="U65" i="33"/>
  <c r="U64" i="33"/>
  <c r="U63" i="33"/>
  <c r="U62" i="33"/>
  <c r="U61" i="33"/>
  <c r="U60" i="33"/>
  <c r="U59" i="33"/>
  <c r="U58" i="33"/>
  <c r="U57" i="33"/>
  <c r="U56" i="33"/>
  <c r="U55" i="33"/>
  <c r="U54" i="33"/>
  <c r="U53" i="33"/>
  <c r="U52" i="33"/>
  <c r="U51" i="33"/>
  <c r="U50" i="33"/>
  <c r="U49" i="33"/>
  <c r="U48" i="33"/>
  <c r="U47" i="33"/>
  <c r="U46" i="33"/>
  <c r="U45" i="33"/>
  <c r="U44" i="33"/>
  <c r="U43" i="33"/>
  <c r="U42" i="33"/>
  <c r="U41" i="33"/>
  <c r="U40" i="33"/>
  <c r="U39" i="33"/>
  <c r="U38" i="33"/>
  <c r="U37" i="33"/>
  <c r="U36" i="33"/>
  <c r="U35" i="33"/>
  <c r="U34" i="33"/>
  <c r="U33" i="33"/>
  <c r="U32" i="33"/>
  <c r="U31" i="33"/>
  <c r="U30" i="33"/>
  <c r="U29" i="33"/>
  <c r="U28" i="33"/>
  <c r="U27" i="33"/>
  <c r="U26" i="33"/>
  <c r="U25" i="33"/>
  <c r="U24" i="33"/>
  <c r="U23" i="33"/>
  <c r="U22" i="33"/>
  <c r="U21" i="33"/>
  <c r="U20" i="33"/>
  <c r="U19" i="33"/>
  <c r="U18" i="33"/>
  <c r="U17" i="33"/>
  <c r="U16" i="33"/>
  <c r="U15" i="33"/>
  <c r="U14" i="33"/>
  <c r="U13" i="33"/>
  <c r="U12" i="33"/>
  <c r="U11" i="33"/>
  <c r="U10" i="33"/>
  <c r="U9" i="33"/>
  <c r="U8" i="33"/>
  <c r="U7" i="33"/>
  <c r="U6" i="33"/>
  <c r="U5" i="33"/>
  <c r="U4" i="33"/>
  <c r="U3" i="33"/>
  <c r="U81" i="31"/>
  <c r="U80" i="31"/>
  <c r="U79" i="31"/>
  <c r="U78" i="31"/>
  <c r="U77" i="31"/>
  <c r="U76" i="31"/>
  <c r="U75" i="31"/>
  <c r="U74" i="31"/>
  <c r="U73" i="31"/>
  <c r="U72" i="31"/>
  <c r="U71" i="31"/>
  <c r="U70" i="31"/>
  <c r="U69" i="31"/>
  <c r="U68" i="31"/>
  <c r="U67" i="31"/>
  <c r="U66" i="31"/>
  <c r="U65" i="31"/>
  <c r="U63" i="31"/>
  <c r="U62" i="31"/>
  <c r="U61" i="31"/>
  <c r="U60" i="31"/>
  <c r="U59" i="31"/>
  <c r="U58" i="31"/>
  <c r="U57" i="31"/>
  <c r="U56" i="31"/>
  <c r="U55" i="31"/>
  <c r="U54" i="31"/>
  <c r="U53" i="31"/>
  <c r="U52" i="31"/>
  <c r="U51" i="31"/>
  <c r="U50" i="31"/>
  <c r="U49" i="31"/>
  <c r="U48" i="31"/>
  <c r="U47" i="31"/>
  <c r="U46" i="31"/>
  <c r="U45" i="31"/>
  <c r="U44" i="31"/>
  <c r="U43" i="31"/>
  <c r="U42" i="31"/>
  <c r="U41" i="31"/>
  <c r="U40" i="31"/>
  <c r="U39" i="31"/>
  <c r="U38" i="31"/>
  <c r="U37" i="31"/>
  <c r="U36" i="31"/>
  <c r="U35" i="31"/>
  <c r="U34" i="31"/>
  <c r="U33" i="31"/>
  <c r="U32" i="31"/>
  <c r="U31" i="31"/>
  <c r="U30" i="31"/>
  <c r="U29" i="31"/>
  <c r="U28" i="31"/>
  <c r="U27" i="31"/>
  <c r="U26" i="31"/>
  <c r="U25" i="31"/>
  <c r="U24" i="31"/>
  <c r="U23" i="31"/>
  <c r="U22" i="31"/>
  <c r="U21" i="31"/>
  <c r="U20" i="31"/>
  <c r="U19" i="31"/>
  <c r="U18" i="31"/>
  <c r="U17" i="31"/>
  <c r="U16" i="31"/>
  <c r="U15" i="31"/>
  <c r="U14" i="31"/>
  <c r="U13" i="31"/>
  <c r="U12" i="31"/>
  <c r="U10" i="31"/>
  <c r="U9" i="31"/>
  <c r="U8" i="31"/>
  <c r="U7" i="31"/>
  <c r="U6" i="31"/>
  <c r="U5" i="31"/>
  <c r="U243" i="22"/>
  <c r="U242" i="22"/>
  <c r="U241" i="22"/>
  <c r="U240" i="22"/>
  <c r="U239" i="22"/>
  <c r="U238" i="22"/>
  <c r="U237" i="22"/>
  <c r="U236" i="22"/>
  <c r="U235" i="22"/>
  <c r="U234" i="22"/>
  <c r="U233" i="22"/>
  <c r="U232" i="22"/>
  <c r="U231" i="22"/>
  <c r="U230" i="22"/>
  <c r="U229" i="22"/>
  <c r="U228" i="22"/>
  <c r="U227" i="22"/>
  <c r="U226" i="22"/>
  <c r="U225" i="22"/>
  <c r="U224" i="22"/>
  <c r="U223" i="22"/>
  <c r="U222" i="22"/>
  <c r="U221" i="22"/>
  <c r="U220" i="22"/>
  <c r="U219" i="22"/>
  <c r="U218" i="22"/>
  <c r="U217" i="22"/>
  <c r="U216" i="22"/>
  <c r="U215" i="22"/>
  <c r="U214" i="22"/>
  <c r="U213" i="22"/>
  <c r="U212" i="22"/>
  <c r="U211" i="22"/>
  <c r="U210" i="22"/>
  <c r="U209" i="22"/>
  <c r="U208" i="22"/>
  <c r="U207" i="22"/>
  <c r="U206" i="22"/>
  <c r="U205" i="22"/>
  <c r="U204" i="22"/>
  <c r="U203" i="22"/>
  <c r="U202" i="22"/>
  <c r="U201" i="22"/>
  <c r="U200" i="22"/>
  <c r="U199" i="22"/>
  <c r="U198" i="22"/>
  <c r="U197" i="22"/>
  <c r="U196" i="22"/>
  <c r="U195" i="22"/>
  <c r="U194" i="22"/>
  <c r="U193" i="22"/>
  <c r="U192" i="22"/>
  <c r="U191" i="22"/>
  <c r="U190" i="22"/>
  <c r="U189" i="22"/>
  <c r="U188" i="22"/>
  <c r="U187" i="22"/>
  <c r="U186" i="22"/>
  <c r="U185" i="22"/>
  <c r="U184" i="22"/>
  <c r="U183" i="22"/>
  <c r="U182" i="22"/>
  <c r="U181" i="22"/>
  <c r="U180" i="22"/>
  <c r="U179" i="22"/>
  <c r="U178" i="22"/>
  <c r="U177" i="22"/>
  <c r="U176" i="22"/>
  <c r="U175" i="22"/>
  <c r="U174" i="22"/>
  <c r="U173" i="22"/>
  <c r="U172" i="22"/>
  <c r="U171" i="22"/>
  <c r="U170" i="22"/>
  <c r="U169" i="22"/>
  <c r="U168" i="22"/>
  <c r="U167" i="22"/>
  <c r="U166" i="22"/>
  <c r="U165" i="22"/>
  <c r="U164" i="22"/>
  <c r="U163" i="22"/>
  <c r="U162" i="22"/>
  <c r="U161" i="22"/>
  <c r="U160" i="22"/>
  <c r="U159" i="22"/>
  <c r="U158" i="22"/>
  <c r="U157" i="22"/>
  <c r="U156" i="22"/>
  <c r="U155" i="22"/>
  <c r="U154" i="22"/>
  <c r="U153" i="22"/>
  <c r="U152" i="22"/>
  <c r="U151" i="22"/>
  <c r="U149" i="22"/>
  <c r="U147" i="22"/>
  <c r="U146" i="22"/>
  <c r="U145" i="22"/>
  <c r="U144" i="22"/>
  <c r="U143" i="22"/>
  <c r="U142" i="22"/>
  <c r="U141" i="22"/>
  <c r="U140" i="22"/>
  <c r="U139" i="22"/>
  <c r="U138" i="22"/>
  <c r="U137" i="22"/>
  <c r="U136" i="22"/>
  <c r="U135" i="22"/>
  <c r="D135" i="22"/>
  <c r="D134" i="22"/>
  <c r="D131" i="22"/>
  <c r="D130" i="22"/>
  <c r="D129" i="22"/>
  <c r="D128" i="22"/>
  <c r="D127" i="22"/>
  <c r="D126" i="22"/>
  <c r="D122" i="22"/>
  <c r="Q121" i="22"/>
  <c r="P121" i="22"/>
  <c r="O121" i="22"/>
  <c r="N121" i="22"/>
  <c r="M121" i="22"/>
  <c r="J121" i="22"/>
  <c r="I121" i="22"/>
  <c r="H121" i="22"/>
  <c r="G121" i="22"/>
  <c r="F121" i="22"/>
  <c r="E121" i="22"/>
  <c r="Q120" i="22"/>
  <c r="Q122" i="22" s="1"/>
  <c r="P120" i="22"/>
  <c r="P122" i="22" s="1"/>
  <c r="O120" i="22"/>
  <c r="O122" i="22" s="1"/>
  <c r="N120" i="22"/>
  <c r="N122" i="22" s="1"/>
  <c r="M120" i="22"/>
  <c r="M122" i="22" s="1"/>
  <c r="J120" i="22"/>
  <c r="J122" i="22" s="1"/>
  <c r="I120" i="22"/>
  <c r="H120" i="22"/>
  <c r="G120" i="22"/>
  <c r="F120" i="22"/>
  <c r="E120" i="22"/>
  <c r="D118" i="22"/>
  <c r="Q117" i="22"/>
  <c r="P117" i="22"/>
  <c r="O117" i="22"/>
  <c r="N117" i="22"/>
  <c r="M117" i="22"/>
  <c r="J117" i="22"/>
  <c r="I117" i="22"/>
  <c r="H117" i="22"/>
  <c r="G117" i="22"/>
  <c r="F117" i="22"/>
  <c r="E117" i="22"/>
  <c r="Q116" i="22"/>
  <c r="P116" i="22"/>
  <c r="O116" i="22"/>
  <c r="N116" i="22"/>
  <c r="M116" i="22"/>
  <c r="J116" i="22"/>
  <c r="I116" i="22"/>
  <c r="H116" i="22"/>
  <c r="G116" i="22"/>
  <c r="F116" i="22"/>
  <c r="E116" i="22"/>
  <c r="Q115" i="22"/>
  <c r="P115" i="22"/>
  <c r="O115" i="22"/>
  <c r="N115" i="22"/>
  <c r="M115" i="22"/>
  <c r="J115" i="22"/>
  <c r="I115" i="22"/>
  <c r="H115" i="22"/>
  <c r="G115" i="22"/>
  <c r="F115" i="22"/>
  <c r="E115" i="22"/>
  <c r="Q114" i="22"/>
  <c r="P114" i="22"/>
  <c r="O114" i="22"/>
  <c r="N114" i="22"/>
  <c r="M114" i="22"/>
  <c r="J114" i="22"/>
  <c r="I114" i="22"/>
  <c r="H114" i="22"/>
  <c r="G114" i="22"/>
  <c r="F114" i="22"/>
  <c r="E114" i="22"/>
  <c r="Q113" i="22"/>
  <c r="P113" i="22"/>
  <c r="O113" i="22"/>
  <c r="N113" i="22"/>
  <c r="M113" i="22"/>
  <c r="J113" i="22"/>
  <c r="I113" i="22"/>
  <c r="H113" i="22"/>
  <c r="G113" i="22"/>
  <c r="F113" i="22"/>
  <c r="E113" i="22"/>
  <c r="Q112" i="22"/>
  <c r="Q118" i="22" s="1"/>
  <c r="P112" i="22"/>
  <c r="P118" i="22" s="1"/>
  <c r="O112" i="22"/>
  <c r="O118" i="22" s="1"/>
  <c r="N112" i="22"/>
  <c r="N118" i="22" s="1"/>
  <c r="M112" i="22"/>
  <c r="M118" i="22" s="1"/>
  <c r="J112" i="22"/>
  <c r="J118" i="22" s="1"/>
  <c r="I112" i="22"/>
  <c r="I118" i="22" s="1"/>
  <c r="L118" i="22" s="1"/>
  <c r="H112" i="22"/>
  <c r="H118" i="22" s="1"/>
  <c r="K118" i="22" s="1"/>
  <c r="G112" i="22"/>
  <c r="F112" i="22"/>
  <c r="E112" i="22"/>
  <c r="D108" i="22"/>
  <c r="Q107" i="22"/>
  <c r="P107" i="22"/>
  <c r="O107" i="22"/>
  <c r="N107" i="22"/>
  <c r="M107" i="22"/>
  <c r="J107" i="22"/>
  <c r="I107" i="22"/>
  <c r="H107" i="22"/>
  <c r="G107" i="22"/>
  <c r="F107" i="22"/>
  <c r="E107" i="22"/>
  <c r="Q106" i="22"/>
  <c r="Q108" i="22" s="1"/>
  <c r="P106" i="22"/>
  <c r="P108" i="22" s="1"/>
  <c r="O106" i="22"/>
  <c r="O108" i="22" s="1"/>
  <c r="N106" i="22"/>
  <c r="N108" i="22" s="1"/>
  <c r="M106" i="22"/>
  <c r="M108" i="22" s="1"/>
  <c r="J106" i="22"/>
  <c r="J108" i="22" s="1"/>
  <c r="I106" i="22"/>
  <c r="I108" i="22" s="1"/>
  <c r="H106" i="22"/>
  <c r="H108" i="22" s="1"/>
  <c r="G106" i="22"/>
  <c r="F106" i="22"/>
  <c r="E106" i="22"/>
  <c r="D104" i="22"/>
  <c r="B116" i="22" s="1"/>
  <c r="Q103" i="22"/>
  <c r="P103" i="22"/>
  <c r="O103" i="22"/>
  <c r="N103" i="22"/>
  <c r="M103" i="22"/>
  <c r="J103" i="22"/>
  <c r="I103" i="22"/>
  <c r="H103" i="22"/>
  <c r="G103" i="22"/>
  <c r="F103" i="22"/>
  <c r="E103" i="22"/>
  <c r="Q102" i="22"/>
  <c r="P102" i="22"/>
  <c r="O102" i="22"/>
  <c r="N102" i="22"/>
  <c r="M102" i="22"/>
  <c r="J102" i="22"/>
  <c r="I102" i="22"/>
  <c r="H102" i="22"/>
  <c r="G102" i="22"/>
  <c r="F102" i="22"/>
  <c r="E102" i="22"/>
  <c r="Q101" i="22"/>
  <c r="P101" i="22"/>
  <c r="O101" i="22"/>
  <c r="N101" i="22"/>
  <c r="M101" i="22"/>
  <c r="J101" i="22"/>
  <c r="I101" i="22"/>
  <c r="H101" i="22"/>
  <c r="G101" i="22"/>
  <c r="F101" i="22"/>
  <c r="E101" i="22"/>
  <c r="Q100" i="22"/>
  <c r="P100" i="22"/>
  <c r="O100" i="22"/>
  <c r="N100" i="22"/>
  <c r="M100" i="22"/>
  <c r="J100" i="22"/>
  <c r="I100" i="22"/>
  <c r="H100" i="22"/>
  <c r="G100" i="22"/>
  <c r="F100" i="22"/>
  <c r="E100" i="22"/>
  <c r="Q99" i="22"/>
  <c r="P99" i="22"/>
  <c r="O99" i="22"/>
  <c r="N99" i="22"/>
  <c r="M99" i="22"/>
  <c r="J99" i="22"/>
  <c r="I99" i="22"/>
  <c r="H99" i="22"/>
  <c r="G99" i="22"/>
  <c r="F99" i="22"/>
  <c r="E99" i="22"/>
  <c r="Q98" i="22"/>
  <c r="P98" i="22"/>
  <c r="P104" i="22" s="1"/>
  <c r="O98" i="22"/>
  <c r="O104" i="22" s="1"/>
  <c r="N98" i="22"/>
  <c r="N104" i="22" s="1"/>
  <c r="M98" i="22"/>
  <c r="M104" i="22" s="1"/>
  <c r="J98" i="22"/>
  <c r="J104" i="22" s="1"/>
  <c r="I98" i="22"/>
  <c r="H98" i="22"/>
  <c r="H104" i="22" s="1"/>
  <c r="K104" i="22" s="1"/>
  <c r="G98" i="22"/>
  <c r="F98" i="22"/>
  <c r="E98" i="22"/>
  <c r="D94" i="22"/>
  <c r="Q93" i="22"/>
  <c r="P93" i="22"/>
  <c r="O93" i="22"/>
  <c r="N93" i="22"/>
  <c r="M93" i="22"/>
  <c r="J93" i="22"/>
  <c r="I93" i="22"/>
  <c r="H93" i="22"/>
  <c r="G93" i="22"/>
  <c r="F93" i="22"/>
  <c r="E93" i="22"/>
  <c r="Q92" i="22"/>
  <c r="Q94" i="22" s="1"/>
  <c r="P92" i="22"/>
  <c r="O92" i="22"/>
  <c r="N92" i="22"/>
  <c r="N94" i="22" s="1"/>
  <c r="M92" i="22"/>
  <c r="M94" i="22" s="1"/>
  <c r="J92" i="22"/>
  <c r="I92" i="22"/>
  <c r="H92" i="22"/>
  <c r="H94" i="22" s="1"/>
  <c r="G92" i="22"/>
  <c r="E92" i="22"/>
  <c r="D90" i="22"/>
  <c r="B87" i="22" s="1"/>
  <c r="Q89" i="22"/>
  <c r="P89" i="22"/>
  <c r="O89" i="22"/>
  <c r="N89" i="22"/>
  <c r="M89" i="22"/>
  <c r="J89" i="22"/>
  <c r="I89" i="22"/>
  <c r="H89" i="22"/>
  <c r="G89" i="22"/>
  <c r="F89" i="22"/>
  <c r="E89" i="22"/>
  <c r="Q88" i="22"/>
  <c r="P88" i="22"/>
  <c r="O88" i="22"/>
  <c r="N88" i="22"/>
  <c r="M88" i="22"/>
  <c r="J88" i="22"/>
  <c r="I88" i="22"/>
  <c r="H88" i="22"/>
  <c r="G88" i="22"/>
  <c r="F88" i="22"/>
  <c r="E88" i="22"/>
  <c r="Q87" i="22"/>
  <c r="P87" i="22"/>
  <c r="O87" i="22"/>
  <c r="N87" i="22"/>
  <c r="M87" i="22"/>
  <c r="J87" i="22"/>
  <c r="I87" i="22"/>
  <c r="H87" i="22"/>
  <c r="G87" i="22"/>
  <c r="F87" i="22"/>
  <c r="E87" i="22"/>
  <c r="Q86" i="22"/>
  <c r="P86" i="22"/>
  <c r="O86" i="22"/>
  <c r="N86" i="22"/>
  <c r="M86" i="22"/>
  <c r="J86" i="22"/>
  <c r="I86" i="22"/>
  <c r="H86" i="22"/>
  <c r="G86" i="22"/>
  <c r="F86" i="22"/>
  <c r="E86" i="22"/>
  <c r="Q85" i="22"/>
  <c r="P85" i="22"/>
  <c r="O85" i="22"/>
  <c r="N85" i="22"/>
  <c r="M85" i="22"/>
  <c r="J85" i="22"/>
  <c r="I85" i="22"/>
  <c r="H85" i="22"/>
  <c r="G85" i="22"/>
  <c r="F85" i="22"/>
  <c r="E85" i="22"/>
  <c r="Q84" i="22"/>
  <c r="Q90" i="22" s="1"/>
  <c r="P84" i="22"/>
  <c r="P90" i="22" s="1"/>
  <c r="O84" i="22"/>
  <c r="O90" i="22" s="1"/>
  <c r="N84" i="22"/>
  <c r="M84" i="22"/>
  <c r="J84" i="22"/>
  <c r="J90" i="22" s="1"/>
  <c r="I84" i="22"/>
  <c r="I90" i="22" s="1"/>
  <c r="L90" i="22" s="1"/>
  <c r="H84" i="22"/>
  <c r="G84" i="22"/>
  <c r="F84" i="22"/>
  <c r="E84" i="22"/>
  <c r="U80" i="22"/>
  <c r="U79" i="22"/>
  <c r="U78" i="22"/>
  <c r="U77" i="22"/>
  <c r="U76" i="22"/>
  <c r="U75" i="22"/>
  <c r="U74" i="22"/>
  <c r="U73" i="22"/>
  <c r="U72" i="22"/>
  <c r="U71" i="22"/>
  <c r="U70" i="22"/>
  <c r="U69" i="22"/>
  <c r="U68" i="22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67" i="30"/>
  <c r="U64" i="30"/>
  <c r="U63" i="30"/>
  <c r="U62" i="30"/>
  <c r="U61" i="30"/>
  <c r="U60" i="30"/>
  <c r="U59" i="30"/>
  <c r="U58" i="30"/>
  <c r="U57" i="30"/>
  <c r="U56" i="30"/>
  <c r="U55" i="30"/>
  <c r="U54" i="30"/>
  <c r="U53" i="30"/>
  <c r="U52" i="30"/>
  <c r="U51" i="30"/>
  <c r="U50" i="30"/>
  <c r="U49" i="30"/>
  <c r="U48" i="30"/>
  <c r="U47" i="30"/>
  <c r="U46" i="30"/>
  <c r="U45" i="30"/>
  <c r="U44" i="30"/>
  <c r="U43" i="30"/>
  <c r="U42" i="30"/>
  <c r="U41" i="30"/>
  <c r="U40" i="30"/>
  <c r="U39" i="30"/>
  <c r="U38" i="30"/>
  <c r="U37" i="30"/>
  <c r="U36" i="30"/>
  <c r="U35" i="30"/>
  <c r="U34" i="30"/>
  <c r="U33" i="30"/>
  <c r="U32" i="30"/>
  <c r="U31" i="30"/>
  <c r="U30" i="30"/>
  <c r="U29" i="30"/>
  <c r="U28" i="30"/>
  <c r="U27" i="30"/>
  <c r="U26" i="30"/>
  <c r="U25" i="30"/>
  <c r="U24" i="30"/>
  <c r="U23" i="30"/>
  <c r="U22" i="30"/>
  <c r="U21" i="30"/>
  <c r="U20" i="30"/>
  <c r="U19" i="30"/>
  <c r="U18" i="30"/>
  <c r="U17" i="30"/>
  <c r="U16" i="30"/>
  <c r="U15" i="30"/>
  <c r="U14" i="30"/>
  <c r="U13" i="30"/>
  <c r="U12" i="30"/>
  <c r="U11" i="30"/>
  <c r="U10" i="30"/>
  <c r="U9" i="30"/>
  <c r="U8" i="30"/>
  <c r="U7" i="30"/>
  <c r="U6" i="30"/>
  <c r="U5" i="30"/>
  <c r="U4" i="30"/>
  <c r="U3" i="30"/>
  <c r="U52" i="29"/>
  <c r="U51" i="29"/>
  <c r="U50" i="29"/>
  <c r="U49" i="29"/>
  <c r="U48" i="29"/>
  <c r="U47" i="29"/>
  <c r="U46" i="29"/>
  <c r="U45" i="29"/>
  <c r="U44" i="29"/>
  <c r="U43" i="29"/>
  <c r="U42" i="29"/>
  <c r="U41" i="29"/>
  <c r="U40" i="29"/>
  <c r="U39" i="29"/>
  <c r="U38" i="29"/>
  <c r="U37" i="29"/>
  <c r="U36" i="29"/>
  <c r="U35" i="29"/>
  <c r="U34" i="29"/>
  <c r="U33" i="29"/>
  <c r="U32" i="29"/>
  <c r="U31" i="29"/>
  <c r="U30" i="29"/>
  <c r="U29" i="29"/>
  <c r="U28" i="29"/>
  <c r="U27" i="29"/>
  <c r="U26" i="29"/>
  <c r="U25" i="29"/>
  <c r="U24" i="29"/>
  <c r="U23" i="29"/>
  <c r="U22" i="29"/>
  <c r="U21" i="29"/>
  <c r="U20" i="29"/>
  <c r="U19" i="29"/>
  <c r="U18" i="29"/>
  <c r="U17" i="29"/>
  <c r="U16" i="29"/>
  <c r="U15" i="29"/>
  <c r="U14" i="29"/>
  <c r="U13" i="29"/>
  <c r="U12" i="29"/>
  <c r="U10" i="29"/>
  <c r="U9" i="29"/>
  <c r="U8" i="29"/>
  <c r="U7" i="29"/>
  <c r="U6" i="29"/>
  <c r="U5" i="29"/>
  <c r="U4" i="29"/>
  <c r="U3" i="29"/>
  <c r="U65" i="27"/>
  <c r="U64" i="27"/>
  <c r="U63" i="27"/>
  <c r="U62" i="27"/>
  <c r="U61" i="27"/>
  <c r="U60" i="27"/>
  <c r="U59" i="27"/>
  <c r="U58" i="27"/>
  <c r="U57" i="27"/>
  <c r="U56" i="27"/>
  <c r="U55" i="27"/>
  <c r="U54" i="27"/>
  <c r="U53" i="27"/>
  <c r="U52" i="27"/>
  <c r="U51" i="27"/>
  <c r="U50" i="27"/>
  <c r="U49" i="27"/>
  <c r="U48" i="27"/>
  <c r="U47" i="27"/>
  <c r="U46" i="27"/>
  <c r="U45" i="27"/>
  <c r="U44" i="27"/>
  <c r="U43" i="27"/>
  <c r="U42" i="27"/>
  <c r="U41" i="27"/>
  <c r="U40" i="27"/>
  <c r="U39" i="27"/>
  <c r="U38" i="27"/>
  <c r="U37" i="27"/>
  <c r="U36" i="27"/>
  <c r="U35" i="27"/>
  <c r="U34" i="27"/>
  <c r="U33" i="27"/>
  <c r="U32" i="27"/>
  <c r="U31" i="27"/>
  <c r="U30" i="27"/>
  <c r="U29" i="27"/>
  <c r="U28" i="27"/>
  <c r="U27" i="27"/>
  <c r="U26" i="27"/>
  <c r="U25" i="27"/>
  <c r="U24" i="27"/>
  <c r="U23" i="27"/>
  <c r="U22" i="27"/>
  <c r="U21" i="27"/>
  <c r="U20" i="27"/>
  <c r="U19" i="27"/>
  <c r="U18" i="27"/>
  <c r="U17" i="27"/>
  <c r="U16" i="27"/>
  <c r="U15" i="27"/>
  <c r="U14" i="27"/>
  <c r="U13" i="27"/>
  <c r="U12" i="27"/>
  <c r="U11" i="27"/>
  <c r="U10" i="27"/>
  <c r="U9" i="27"/>
  <c r="U8" i="27"/>
  <c r="U7" i="27"/>
  <c r="U6" i="27"/>
  <c r="U5" i="27"/>
  <c r="U4" i="27"/>
  <c r="C118" i="25"/>
  <c r="B118" i="25"/>
  <c r="B117" i="25"/>
  <c r="C114" i="25"/>
  <c r="B114" i="25"/>
  <c r="C113" i="25"/>
  <c r="B113" i="25"/>
  <c r="C112" i="25"/>
  <c r="B112" i="25"/>
  <c r="C111" i="25"/>
  <c r="B111" i="25"/>
  <c r="C110" i="25"/>
  <c r="B110" i="25"/>
  <c r="C109" i="25"/>
  <c r="B109" i="25"/>
  <c r="Q104" i="25"/>
  <c r="P104" i="25"/>
  <c r="O104" i="25"/>
  <c r="N104" i="25"/>
  <c r="M104" i="25"/>
  <c r="J104" i="25"/>
  <c r="I104" i="25"/>
  <c r="L104" i="25" s="1"/>
  <c r="H104" i="25"/>
  <c r="K104" i="25" s="1"/>
  <c r="G104" i="25"/>
  <c r="E104" i="25"/>
  <c r="Q103" i="25"/>
  <c r="Q105" i="25" s="1"/>
  <c r="P103" i="25"/>
  <c r="P105" i="25" s="1"/>
  <c r="O103" i="25"/>
  <c r="O105" i="25" s="1"/>
  <c r="N103" i="25"/>
  <c r="N105" i="25" s="1"/>
  <c r="M103" i="25"/>
  <c r="M105" i="25" s="1"/>
  <c r="J103" i="25"/>
  <c r="J105" i="25" s="1"/>
  <c r="I103" i="25"/>
  <c r="I105" i="25" s="1"/>
  <c r="L105" i="25" s="1"/>
  <c r="H103" i="25"/>
  <c r="H105" i="25" s="1"/>
  <c r="K105" i="25" s="1"/>
  <c r="G103" i="25"/>
  <c r="E103" i="25"/>
  <c r="Q100" i="25"/>
  <c r="P100" i="25"/>
  <c r="O100" i="25"/>
  <c r="N100" i="25"/>
  <c r="M100" i="25"/>
  <c r="J100" i="25"/>
  <c r="I100" i="25"/>
  <c r="L100" i="25" s="1"/>
  <c r="H100" i="25"/>
  <c r="K100" i="25" s="1"/>
  <c r="G100" i="25"/>
  <c r="F100" i="25"/>
  <c r="E100" i="25"/>
  <c r="Q99" i="25"/>
  <c r="P99" i="25"/>
  <c r="O99" i="25"/>
  <c r="N99" i="25"/>
  <c r="M99" i="25"/>
  <c r="J99" i="25"/>
  <c r="I99" i="25"/>
  <c r="L99" i="25" s="1"/>
  <c r="H99" i="25"/>
  <c r="K99" i="25" s="1"/>
  <c r="G99" i="25"/>
  <c r="E99" i="25"/>
  <c r="Q98" i="25"/>
  <c r="P98" i="25"/>
  <c r="O98" i="25"/>
  <c r="N98" i="25"/>
  <c r="M98" i="25"/>
  <c r="J98" i="25"/>
  <c r="I98" i="25"/>
  <c r="L98" i="25" s="1"/>
  <c r="H98" i="25"/>
  <c r="K98" i="25" s="1"/>
  <c r="G98" i="25"/>
  <c r="E98" i="25"/>
  <c r="Q97" i="25"/>
  <c r="P97" i="25"/>
  <c r="O97" i="25"/>
  <c r="N97" i="25"/>
  <c r="M97" i="25"/>
  <c r="J97" i="25"/>
  <c r="I97" i="25"/>
  <c r="L97" i="25" s="1"/>
  <c r="H97" i="25"/>
  <c r="K97" i="25" s="1"/>
  <c r="G97" i="25"/>
  <c r="E97" i="25"/>
  <c r="Q96" i="25"/>
  <c r="P96" i="25"/>
  <c r="O96" i="25"/>
  <c r="N96" i="25"/>
  <c r="M96" i="25"/>
  <c r="J96" i="25"/>
  <c r="I96" i="25"/>
  <c r="L96" i="25" s="1"/>
  <c r="H96" i="25"/>
  <c r="K96" i="25" s="1"/>
  <c r="G96" i="25"/>
  <c r="E96" i="25"/>
  <c r="Q95" i="25"/>
  <c r="Q101" i="25" s="1"/>
  <c r="P95" i="25"/>
  <c r="P101" i="25" s="1"/>
  <c r="O95" i="25"/>
  <c r="O101" i="25" s="1"/>
  <c r="N95" i="25"/>
  <c r="N101" i="25" s="1"/>
  <c r="M95" i="25"/>
  <c r="M101" i="25" s="1"/>
  <c r="J95" i="25"/>
  <c r="J101" i="25" s="1"/>
  <c r="I95" i="25"/>
  <c r="L95" i="25" s="1"/>
  <c r="H95" i="25"/>
  <c r="K95" i="25" s="1"/>
  <c r="G95" i="25"/>
  <c r="E95" i="25"/>
  <c r="Q90" i="25"/>
  <c r="P90" i="25"/>
  <c r="O90" i="25"/>
  <c r="N90" i="25"/>
  <c r="M90" i="25"/>
  <c r="J90" i="25"/>
  <c r="I90" i="25"/>
  <c r="L90" i="25" s="1"/>
  <c r="H90" i="25"/>
  <c r="K90" i="25" s="1"/>
  <c r="G90" i="25"/>
  <c r="E90" i="25"/>
  <c r="Q89" i="25"/>
  <c r="Q91" i="25" s="1"/>
  <c r="P89" i="25"/>
  <c r="P91" i="25" s="1"/>
  <c r="O89" i="25"/>
  <c r="O91" i="25" s="1"/>
  <c r="N89" i="25"/>
  <c r="N91" i="25" s="1"/>
  <c r="M89" i="25"/>
  <c r="M91" i="25" s="1"/>
  <c r="J89" i="25"/>
  <c r="J91" i="25" s="1"/>
  <c r="I89" i="25"/>
  <c r="L89" i="25" s="1"/>
  <c r="H89" i="25"/>
  <c r="G89" i="25"/>
  <c r="E89" i="25"/>
  <c r="Q86" i="25"/>
  <c r="P86" i="25"/>
  <c r="O86" i="25"/>
  <c r="N86" i="25"/>
  <c r="M86" i="25"/>
  <c r="J86" i="25"/>
  <c r="I86" i="25"/>
  <c r="L86" i="25" s="1"/>
  <c r="H86" i="25"/>
  <c r="K86" i="25" s="1"/>
  <c r="G86" i="25"/>
  <c r="F86" i="25"/>
  <c r="E86" i="25"/>
  <c r="Q85" i="25"/>
  <c r="P85" i="25"/>
  <c r="O85" i="25"/>
  <c r="N85" i="25"/>
  <c r="M85" i="25"/>
  <c r="J85" i="25"/>
  <c r="I85" i="25"/>
  <c r="L85" i="25" s="1"/>
  <c r="H85" i="25"/>
  <c r="K85" i="25" s="1"/>
  <c r="G85" i="25"/>
  <c r="E85" i="25"/>
  <c r="Q84" i="25"/>
  <c r="P84" i="25"/>
  <c r="O84" i="25"/>
  <c r="N84" i="25"/>
  <c r="M84" i="25"/>
  <c r="J84" i="25"/>
  <c r="I84" i="25"/>
  <c r="L84" i="25" s="1"/>
  <c r="H84" i="25"/>
  <c r="K84" i="25" s="1"/>
  <c r="G84" i="25"/>
  <c r="E84" i="25"/>
  <c r="Q83" i="25"/>
  <c r="P83" i="25"/>
  <c r="O83" i="25"/>
  <c r="N83" i="25"/>
  <c r="M83" i="25"/>
  <c r="J83" i="25"/>
  <c r="I83" i="25"/>
  <c r="L83" i="25" s="1"/>
  <c r="H83" i="25"/>
  <c r="K83" i="25" s="1"/>
  <c r="G83" i="25"/>
  <c r="E83" i="25"/>
  <c r="Q82" i="25"/>
  <c r="P82" i="25"/>
  <c r="O82" i="25"/>
  <c r="N82" i="25"/>
  <c r="M82" i="25"/>
  <c r="J82" i="25"/>
  <c r="I82" i="25"/>
  <c r="L82" i="25" s="1"/>
  <c r="H82" i="25"/>
  <c r="K82" i="25" s="1"/>
  <c r="G82" i="25"/>
  <c r="E82" i="25"/>
  <c r="Q81" i="25"/>
  <c r="Q87" i="25" s="1"/>
  <c r="P81" i="25"/>
  <c r="P87" i="25" s="1"/>
  <c r="O81" i="25"/>
  <c r="O87" i="25" s="1"/>
  <c r="N81" i="25"/>
  <c r="N87" i="25" s="1"/>
  <c r="M81" i="25"/>
  <c r="M87" i="25" s="1"/>
  <c r="J81" i="25"/>
  <c r="I81" i="25"/>
  <c r="I87" i="25" s="1"/>
  <c r="L87" i="25" s="1"/>
  <c r="H81" i="25"/>
  <c r="K81" i="25" s="1"/>
  <c r="G81" i="25"/>
  <c r="E81" i="25"/>
  <c r="B77" i="25"/>
  <c r="B119" i="25" s="1"/>
  <c r="Q76" i="25"/>
  <c r="P76" i="25"/>
  <c r="O76" i="25"/>
  <c r="N76" i="25"/>
  <c r="M76" i="25"/>
  <c r="J76" i="25"/>
  <c r="I76" i="25"/>
  <c r="H76" i="25"/>
  <c r="G76" i="25"/>
  <c r="F76" i="25"/>
  <c r="E76" i="25"/>
  <c r="Q75" i="25"/>
  <c r="Q77" i="25" s="1"/>
  <c r="P75" i="25"/>
  <c r="P77" i="25" s="1"/>
  <c r="O75" i="25"/>
  <c r="O77" i="25" s="1"/>
  <c r="N75" i="25"/>
  <c r="N77" i="25" s="1"/>
  <c r="M75" i="25"/>
  <c r="J75" i="25"/>
  <c r="J77" i="25" s="1"/>
  <c r="I75" i="25"/>
  <c r="I77" i="25" s="1"/>
  <c r="H75" i="25"/>
  <c r="H77" i="25" s="1"/>
  <c r="G75" i="25"/>
  <c r="E75" i="25"/>
  <c r="C73" i="25"/>
  <c r="C115" i="25" s="1"/>
  <c r="Q72" i="25"/>
  <c r="P72" i="25"/>
  <c r="O72" i="25"/>
  <c r="N72" i="25"/>
  <c r="M72" i="25"/>
  <c r="J72" i="25"/>
  <c r="I72" i="25"/>
  <c r="L72" i="25" s="1"/>
  <c r="H72" i="25"/>
  <c r="G72" i="25"/>
  <c r="F72" i="25"/>
  <c r="E72" i="25"/>
  <c r="Q71" i="25"/>
  <c r="P71" i="25"/>
  <c r="O71" i="25"/>
  <c r="N71" i="25"/>
  <c r="M71" i="25"/>
  <c r="J71" i="25"/>
  <c r="I71" i="25"/>
  <c r="L71" i="25" s="1"/>
  <c r="H71" i="25"/>
  <c r="K71" i="25" s="1"/>
  <c r="G71" i="25"/>
  <c r="F71" i="25"/>
  <c r="E71" i="25"/>
  <c r="Q70" i="25"/>
  <c r="P70" i="25"/>
  <c r="O70" i="25"/>
  <c r="N70" i="25"/>
  <c r="M70" i="25"/>
  <c r="J70" i="25"/>
  <c r="I70" i="25"/>
  <c r="L70" i="25" s="1"/>
  <c r="H70" i="25"/>
  <c r="G70" i="25"/>
  <c r="F70" i="25"/>
  <c r="E70" i="25"/>
  <c r="Q69" i="25"/>
  <c r="P69" i="25"/>
  <c r="O69" i="25"/>
  <c r="N69" i="25"/>
  <c r="M69" i="25"/>
  <c r="J69" i="25"/>
  <c r="I69" i="25"/>
  <c r="L69" i="25" s="1"/>
  <c r="H69" i="25"/>
  <c r="G69" i="25"/>
  <c r="E69" i="25"/>
  <c r="Q68" i="25"/>
  <c r="P68" i="25"/>
  <c r="O68" i="25"/>
  <c r="N68" i="25"/>
  <c r="M68" i="25"/>
  <c r="J68" i="25"/>
  <c r="I68" i="25"/>
  <c r="L68" i="25" s="1"/>
  <c r="H68" i="25"/>
  <c r="G68" i="25"/>
  <c r="F68" i="25"/>
  <c r="E68" i="25"/>
  <c r="Q67" i="25"/>
  <c r="Q73" i="25" s="1"/>
  <c r="P67" i="25"/>
  <c r="P73" i="25" s="1"/>
  <c r="O67" i="25"/>
  <c r="O73" i="25" s="1"/>
  <c r="N67" i="25"/>
  <c r="M67" i="25"/>
  <c r="J67" i="25"/>
  <c r="J73" i="25" s="1"/>
  <c r="I67" i="25"/>
  <c r="I73" i="25" s="1"/>
  <c r="H67" i="25"/>
  <c r="H73" i="25" s="1"/>
  <c r="K73" i="25" s="1"/>
  <c r="G67" i="25"/>
  <c r="E67" i="25"/>
  <c r="U62" i="25"/>
  <c r="U61" i="25"/>
  <c r="U60" i="25"/>
  <c r="U59" i="25"/>
  <c r="U58" i="25"/>
  <c r="U57" i="25"/>
  <c r="U56" i="25"/>
  <c r="U55" i="25"/>
  <c r="U54" i="25"/>
  <c r="F82" i="25" s="1"/>
  <c r="U53" i="25"/>
  <c r="U52" i="25"/>
  <c r="U51" i="25"/>
  <c r="U50" i="25"/>
  <c r="U49" i="25"/>
  <c r="U48" i="25"/>
  <c r="U47" i="25"/>
  <c r="U46" i="25"/>
  <c r="U45" i="25"/>
  <c r="U44" i="25"/>
  <c r="U43" i="25"/>
  <c r="U42" i="25"/>
  <c r="U41" i="25"/>
  <c r="F96" i="25" s="1"/>
  <c r="U40" i="25"/>
  <c r="U39" i="25"/>
  <c r="U38" i="25"/>
  <c r="U37" i="25"/>
  <c r="U36" i="25"/>
  <c r="U35" i="25"/>
  <c r="U34" i="25"/>
  <c r="U33" i="25"/>
  <c r="U32" i="25"/>
  <c r="U31" i="25"/>
  <c r="U30" i="25"/>
  <c r="U29" i="25"/>
  <c r="U28" i="25"/>
  <c r="U27" i="25"/>
  <c r="U26" i="25"/>
  <c r="U25" i="25"/>
  <c r="U24" i="25"/>
  <c r="U23" i="25"/>
  <c r="U22" i="25"/>
  <c r="U21" i="25"/>
  <c r="U20" i="25"/>
  <c r="U19" i="25"/>
  <c r="U18" i="25"/>
  <c r="U17" i="25"/>
  <c r="U16" i="25"/>
  <c r="U15" i="25"/>
  <c r="U14" i="25"/>
  <c r="U13" i="25"/>
  <c r="U12" i="25"/>
  <c r="U11" i="25"/>
  <c r="U10" i="25"/>
  <c r="U9" i="25"/>
  <c r="U8" i="25"/>
  <c r="U7" i="25"/>
  <c r="U6" i="25"/>
  <c r="F69" i="25" s="1"/>
  <c r="U5" i="25"/>
  <c r="U4" i="25"/>
  <c r="U3" i="25"/>
  <c r="Q125" i="19"/>
  <c r="P125" i="19"/>
  <c r="O125" i="19"/>
  <c r="N125" i="19"/>
  <c r="M125" i="19"/>
  <c r="J125" i="19"/>
  <c r="I125" i="19"/>
  <c r="H125" i="19"/>
  <c r="G125" i="19"/>
  <c r="F125" i="19"/>
  <c r="E125" i="19"/>
  <c r="D125" i="19"/>
  <c r="C125" i="19"/>
  <c r="B125" i="19"/>
  <c r="Q124" i="19"/>
  <c r="P124" i="19"/>
  <c r="O124" i="19"/>
  <c r="N124" i="19"/>
  <c r="M124" i="19"/>
  <c r="J124" i="19"/>
  <c r="I124" i="19"/>
  <c r="H124" i="19"/>
  <c r="G124" i="19"/>
  <c r="F124" i="19"/>
  <c r="E124" i="19"/>
  <c r="D124" i="19"/>
  <c r="C124" i="19"/>
  <c r="B124" i="19"/>
  <c r="Q121" i="19"/>
  <c r="P121" i="19"/>
  <c r="O121" i="19"/>
  <c r="N121" i="19"/>
  <c r="M121" i="19"/>
  <c r="J121" i="19"/>
  <c r="I121" i="19"/>
  <c r="H121" i="19"/>
  <c r="G121" i="19"/>
  <c r="F121" i="19"/>
  <c r="E121" i="19"/>
  <c r="D121" i="19"/>
  <c r="C121" i="19"/>
  <c r="B121" i="19"/>
  <c r="Q120" i="19"/>
  <c r="P120" i="19"/>
  <c r="O120" i="19"/>
  <c r="N120" i="19"/>
  <c r="M120" i="19"/>
  <c r="J120" i="19"/>
  <c r="I120" i="19"/>
  <c r="H120" i="19"/>
  <c r="G120" i="19"/>
  <c r="F120" i="19"/>
  <c r="E120" i="19"/>
  <c r="D120" i="19"/>
  <c r="C120" i="19"/>
  <c r="B120" i="19"/>
  <c r="Q119" i="19"/>
  <c r="P119" i="19"/>
  <c r="O119" i="19"/>
  <c r="N119" i="19"/>
  <c r="M119" i="19"/>
  <c r="J119" i="19"/>
  <c r="I119" i="19"/>
  <c r="H119" i="19"/>
  <c r="G119" i="19"/>
  <c r="F119" i="19"/>
  <c r="E119" i="19"/>
  <c r="D119" i="19"/>
  <c r="C119" i="19"/>
  <c r="B119" i="19"/>
  <c r="Q118" i="19"/>
  <c r="P118" i="19"/>
  <c r="O118" i="19"/>
  <c r="N118" i="19"/>
  <c r="M118" i="19"/>
  <c r="J118" i="19"/>
  <c r="I118" i="19"/>
  <c r="H118" i="19"/>
  <c r="G118" i="19"/>
  <c r="F118" i="19"/>
  <c r="E118" i="19"/>
  <c r="D118" i="19"/>
  <c r="C118" i="19"/>
  <c r="B118" i="19"/>
  <c r="Q117" i="19"/>
  <c r="P117" i="19"/>
  <c r="O117" i="19"/>
  <c r="N117" i="19"/>
  <c r="M117" i="19"/>
  <c r="J117" i="19"/>
  <c r="I117" i="19"/>
  <c r="H117" i="19"/>
  <c r="G117" i="19"/>
  <c r="F117" i="19"/>
  <c r="E117" i="19"/>
  <c r="D117" i="19"/>
  <c r="C117" i="19"/>
  <c r="B117" i="19"/>
  <c r="Q116" i="19"/>
  <c r="P116" i="19"/>
  <c r="O116" i="19"/>
  <c r="N116" i="19"/>
  <c r="M116" i="19"/>
  <c r="J116" i="19"/>
  <c r="I116" i="19"/>
  <c r="H116" i="19"/>
  <c r="G116" i="19"/>
  <c r="F116" i="19"/>
  <c r="E116" i="19"/>
  <c r="D116" i="19"/>
  <c r="C116" i="19"/>
  <c r="B116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9" i="19"/>
  <c r="U8" i="19"/>
  <c r="U7" i="19"/>
  <c r="U6" i="19"/>
  <c r="U5" i="19"/>
  <c r="U4" i="19"/>
  <c r="U3" i="19"/>
  <c r="D122" i="17"/>
  <c r="D121" i="17"/>
  <c r="D118" i="17"/>
  <c r="D117" i="17"/>
  <c r="D116" i="17"/>
  <c r="D115" i="17"/>
  <c r="D114" i="17"/>
  <c r="D113" i="17"/>
  <c r="D109" i="17"/>
  <c r="Q108" i="17"/>
  <c r="P108" i="17"/>
  <c r="O108" i="17"/>
  <c r="N108" i="17"/>
  <c r="M108" i="17"/>
  <c r="J108" i="17"/>
  <c r="I108" i="17"/>
  <c r="H108" i="17"/>
  <c r="G108" i="17"/>
  <c r="F108" i="17"/>
  <c r="E108" i="17"/>
  <c r="Q107" i="17"/>
  <c r="P107" i="17"/>
  <c r="P109" i="17" s="1"/>
  <c r="O107" i="17"/>
  <c r="O109" i="17" s="1"/>
  <c r="N107" i="17"/>
  <c r="N109" i="17" s="1"/>
  <c r="M107" i="17"/>
  <c r="J107" i="17"/>
  <c r="J109" i="17" s="1"/>
  <c r="I107" i="17"/>
  <c r="I109" i="17" s="1"/>
  <c r="H107" i="17"/>
  <c r="H109" i="17" s="1"/>
  <c r="G107" i="17"/>
  <c r="E107" i="17"/>
  <c r="D105" i="17"/>
  <c r="B107" i="17" s="1"/>
  <c r="Q104" i="17"/>
  <c r="P104" i="17"/>
  <c r="O104" i="17"/>
  <c r="N104" i="17"/>
  <c r="M104" i="17"/>
  <c r="J104" i="17"/>
  <c r="I104" i="17"/>
  <c r="H104" i="17"/>
  <c r="G104" i="17"/>
  <c r="E104" i="17"/>
  <c r="Q103" i="17"/>
  <c r="P103" i="17"/>
  <c r="O103" i="17"/>
  <c r="N103" i="17"/>
  <c r="M103" i="17"/>
  <c r="J103" i="17"/>
  <c r="I103" i="17"/>
  <c r="H103" i="17"/>
  <c r="G103" i="17"/>
  <c r="E103" i="17"/>
  <c r="Q102" i="17"/>
  <c r="P102" i="17"/>
  <c r="O102" i="17"/>
  <c r="N102" i="17"/>
  <c r="M102" i="17"/>
  <c r="J102" i="17"/>
  <c r="I102" i="17"/>
  <c r="H102" i="17"/>
  <c r="G102" i="17"/>
  <c r="E102" i="17"/>
  <c r="Q101" i="17"/>
  <c r="P101" i="17"/>
  <c r="O101" i="17"/>
  <c r="N101" i="17"/>
  <c r="M101" i="17"/>
  <c r="J101" i="17"/>
  <c r="I101" i="17"/>
  <c r="H101" i="17"/>
  <c r="G101" i="17"/>
  <c r="E101" i="17"/>
  <c r="Q100" i="17"/>
  <c r="P100" i="17"/>
  <c r="O100" i="17"/>
  <c r="N100" i="17"/>
  <c r="M100" i="17"/>
  <c r="J100" i="17"/>
  <c r="I100" i="17"/>
  <c r="H100" i="17"/>
  <c r="G100" i="17"/>
  <c r="E100" i="17"/>
  <c r="Q99" i="17"/>
  <c r="P99" i="17"/>
  <c r="O99" i="17"/>
  <c r="N99" i="17"/>
  <c r="M99" i="17"/>
  <c r="M105" i="17" s="1"/>
  <c r="J99" i="17"/>
  <c r="I99" i="17"/>
  <c r="H99" i="17"/>
  <c r="G99" i="17"/>
  <c r="E99" i="17"/>
  <c r="D95" i="17"/>
  <c r="Q94" i="17"/>
  <c r="P94" i="17"/>
  <c r="O94" i="17"/>
  <c r="N94" i="17"/>
  <c r="M94" i="17"/>
  <c r="J94" i="17"/>
  <c r="I94" i="17"/>
  <c r="H94" i="17"/>
  <c r="G94" i="17"/>
  <c r="F94" i="17"/>
  <c r="E94" i="17"/>
  <c r="Q93" i="17"/>
  <c r="Q95" i="17" s="1"/>
  <c r="P93" i="17"/>
  <c r="P95" i="17" s="1"/>
  <c r="O93" i="17"/>
  <c r="O95" i="17" s="1"/>
  <c r="N93" i="17"/>
  <c r="N95" i="17" s="1"/>
  <c r="M93" i="17"/>
  <c r="M95" i="17" s="1"/>
  <c r="J93" i="17"/>
  <c r="J95" i="17" s="1"/>
  <c r="I93" i="17"/>
  <c r="I95" i="17" s="1"/>
  <c r="H93" i="17"/>
  <c r="H95" i="17" s="1"/>
  <c r="G93" i="17"/>
  <c r="E93" i="17"/>
  <c r="D91" i="17"/>
  <c r="C85" i="17" s="1"/>
  <c r="Q90" i="17"/>
  <c r="P90" i="17"/>
  <c r="O90" i="17"/>
  <c r="N90" i="17"/>
  <c r="M90" i="17"/>
  <c r="J90" i="17"/>
  <c r="I90" i="17"/>
  <c r="H90" i="17"/>
  <c r="G90" i="17"/>
  <c r="E90" i="17"/>
  <c r="Q89" i="17"/>
  <c r="P89" i="17"/>
  <c r="O89" i="17"/>
  <c r="N89" i="17"/>
  <c r="M89" i="17"/>
  <c r="J89" i="17"/>
  <c r="I89" i="17"/>
  <c r="H89" i="17"/>
  <c r="G89" i="17"/>
  <c r="E89" i="17"/>
  <c r="Q88" i="17"/>
  <c r="P88" i="17"/>
  <c r="O88" i="17"/>
  <c r="N88" i="17"/>
  <c r="M88" i="17"/>
  <c r="J88" i="17"/>
  <c r="I88" i="17"/>
  <c r="H88" i="17"/>
  <c r="G88" i="17"/>
  <c r="E88" i="17"/>
  <c r="Q87" i="17"/>
  <c r="P87" i="17"/>
  <c r="O87" i="17"/>
  <c r="N87" i="17"/>
  <c r="M87" i="17"/>
  <c r="J87" i="17"/>
  <c r="I87" i="17"/>
  <c r="H87" i="17"/>
  <c r="G87" i="17"/>
  <c r="E87" i="17"/>
  <c r="Q86" i="17"/>
  <c r="P86" i="17"/>
  <c r="O86" i="17"/>
  <c r="N86" i="17"/>
  <c r="M86" i="17"/>
  <c r="J86" i="17"/>
  <c r="I86" i="17"/>
  <c r="H86" i="17"/>
  <c r="G86" i="17"/>
  <c r="E86" i="17"/>
  <c r="Q85" i="17"/>
  <c r="Q91" i="17" s="1"/>
  <c r="P85" i="17"/>
  <c r="P91" i="17" s="1"/>
  <c r="O85" i="17"/>
  <c r="O91" i="17" s="1"/>
  <c r="N85" i="17"/>
  <c r="N91" i="17" s="1"/>
  <c r="M85" i="17"/>
  <c r="M91" i="17" s="1"/>
  <c r="J85" i="17"/>
  <c r="J91" i="17" s="1"/>
  <c r="I85" i="17"/>
  <c r="I91" i="17" s="1"/>
  <c r="L91" i="17" s="1"/>
  <c r="H85" i="17"/>
  <c r="G85" i="17"/>
  <c r="E85" i="17"/>
  <c r="D81" i="17"/>
  <c r="Q80" i="17"/>
  <c r="P80" i="17"/>
  <c r="O80" i="17"/>
  <c r="N80" i="17"/>
  <c r="M80" i="17"/>
  <c r="J80" i="17"/>
  <c r="I80" i="17"/>
  <c r="H80" i="17"/>
  <c r="G80" i="17"/>
  <c r="F80" i="17"/>
  <c r="E80" i="17"/>
  <c r="Q79" i="17"/>
  <c r="Q81" i="17" s="1"/>
  <c r="P79" i="17"/>
  <c r="P81" i="17" s="1"/>
  <c r="O79" i="17"/>
  <c r="O81" i="17" s="1"/>
  <c r="N79" i="17"/>
  <c r="N81" i="17" s="1"/>
  <c r="M79" i="17"/>
  <c r="M81" i="17" s="1"/>
  <c r="J79" i="17"/>
  <c r="J81" i="17" s="1"/>
  <c r="I79" i="17"/>
  <c r="I81" i="17" s="1"/>
  <c r="H79" i="17"/>
  <c r="H81" i="17" s="1"/>
  <c r="G79" i="17"/>
  <c r="G81" i="17" s="1"/>
  <c r="E79" i="17"/>
  <c r="E81" i="17" s="1"/>
  <c r="L78" i="17"/>
  <c r="K78" i="17"/>
  <c r="D76" i="17"/>
  <c r="B79" i="17" s="1"/>
  <c r="B81" i="17" s="1"/>
  <c r="Q75" i="17"/>
  <c r="P75" i="17"/>
  <c r="O75" i="17"/>
  <c r="N75" i="17"/>
  <c r="M75" i="17"/>
  <c r="J75" i="17"/>
  <c r="I75" i="17"/>
  <c r="H75" i="17"/>
  <c r="G75" i="17"/>
  <c r="E75" i="17"/>
  <c r="Q74" i="17"/>
  <c r="P74" i="17"/>
  <c r="O74" i="17"/>
  <c r="N74" i="17"/>
  <c r="M74" i="17"/>
  <c r="J74" i="17"/>
  <c r="I74" i="17"/>
  <c r="H74" i="17"/>
  <c r="G74" i="17"/>
  <c r="F74" i="17"/>
  <c r="E74" i="17"/>
  <c r="Q73" i="17"/>
  <c r="P73" i="17"/>
  <c r="O73" i="17"/>
  <c r="N73" i="17"/>
  <c r="M73" i="17"/>
  <c r="J73" i="17"/>
  <c r="I73" i="17"/>
  <c r="H73" i="17"/>
  <c r="G73" i="17"/>
  <c r="E73" i="17"/>
  <c r="Q72" i="17"/>
  <c r="P72" i="17"/>
  <c r="O72" i="17"/>
  <c r="N72" i="17"/>
  <c r="M72" i="17"/>
  <c r="J72" i="17"/>
  <c r="I72" i="17"/>
  <c r="H72" i="17"/>
  <c r="G72" i="17"/>
  <c r="E72" i="17"/>
  <c r="Q71" i="17"/>
  <c r="P71" i="17"/>
  <c r="O71" i="17"/>
  <c r="N71" i="17"/>
  <c r="M71" i="17"/>
  <c r="J71" i="17"/>
  <c r="I71" i="17"/>
  <c r="H71" i="17"/>
  <c r="G71" i="17"/>
  <c r="F71" i="17"/>
  <c r="E71" i="17"/>
  <c r="Q70" i="17"/>
  <c r="Q76" i="17" s="1"/>
  <c r="P70" i="17"/>
  <c r="P76" i="17" s="1"/>
  <c r="O70" i="17"/>
  <c r="O76" i="17" s="1"/>
  <c r="N70" i="17"/>
  <c r="N76" i="17" s="1"/>
  <c r="M70" i="17"/>
  <c r="M76" i="17" s="1"/>
  <c r="J70" i="17"/>
  <c r="J76" i="17" s="1"/>
  <c r="I70" i="17"/>
  <c r="I76" i="17" s="1"/>
  <c r="L76" i="17" s="1"/>
  <c r="H70" i="17"/>
  <c r="G70" i="17"/>
  <c r="F70" i="17"/>
  <c r="E70" i="17"/>
  <c r="U67" i="17"/>
  <c r="U66" i="17"/>
  <c r="U65" i="17"/>
  <c r="U64" i="17"/>
  <c r="U63" i="17"/>
  <c r="U62" i="17"/>
  <c r="U61" i="17"/>
  <c r="U60" i="17"/>
  <c r="U59" i="17"/>
  <c r="F102" i="17" s="1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F85" i="17" s="1"/>
  <c r="U39" i="17"/>
  <c r="U38" i="17"/>
  <c r="U37" i="17"/>
  <c r="U36" i="17"/>
  <c r="U35" i="17"/>
  <c r="U34" i="17"/>
  <c r="U33" i="17"/>
  <c r="U32" i="17"/>
  <c r="U31" i="17"/>
  <c r="F72" i="17" s="1"/>
  <c r="U30" i="17"/>
  <c r="F75" i="17" s="1"/>
  <c r="U29" i="17"/>
  <c r="U28" i="17"/>
  <c r="U27" i="17"/>
  <c r="F88" i="17" s="1"/>
  <c r="U26" i="17"/>
  <c r="U25" i="17"/>
  <c r="U24" i="17"/>
  <c r="U22" i="17"/>
  <c r="U21" i="17"/>
  <c r="U20" i="17"/>
  <c r="U19" i="17"/>
  <c r="U18" i="17"/>
  <c r="F73" i="17" s="1"/>
  <c r="U17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E58" i="21"/>
  <c r="E57" i="21"/>
  <c r="F56" i="21"/>
  <c r="E53" i="21"/>
  <c r="E52" i="21"/>
  <c r="E51" i="21"/>
  <c r="E50" i="21"/>
  <c r="E49" i="21"/>
  <c r="E48" i="21"/>
  <c r="E44" i="21"/>
  <c r="F41" i="21"/>
  <c r="E39" i="21"/>
  <c r="E29" i="21"/>
  <c r="F26" i="21"/>
  <c r="E24" i="21"/>
  <c r="E14" i="21"/>
  <c r="F12" i="21"/>
  <c r="E10" i="21"/>
  <c r="Q106" i="15"/>
  <c r="Q107" i="15" s="1"/>
  <c r="P106" i="15"/>
  <c r="P107" i="15" s="1"/>
  <c r="O106" i="15"/>
  <c r="O107" i="15" s="1"/>
  <c r="N106" i="15"/>
  <c r="N107" i="15" s="1"/>
  <c r="M106" i="15"/>
  <c r="M107" i="15" s="1"/>
  <c r="D106" i="15"/>
  <c r="D107" i="15" s="1"/>
  <c r="D102" i="15"/>
  <c r="D101" i="15"/>
  <c r="D100" i="15"/>
  <c r="D99" i="15"/>
  <c r="D98" i="15"/>
  <c r="D97" i="15"/>
  <c r="D93" i="15"/>
  <c r="Q92" i="15"/>
  <c r="Q93" i="15" s="1"/>
  <c r="P92" i="15"/>
  <c r="P93" i="15" s="1"/>
  <c r="O92" i="15"/>
  <c r="O93" i="15" s="1"/>
  <c r="N92" i="15"/>
  <c r="N93" i="15" s="1"/>
  <c r="M92" i="15"/>
  <c r="M93" i="15" s="1"/>
  <c r="G92" i="15"/>
  <c r="F92" i="15"/>
  <c r="F93" i="15" s="1"/>
  <c r="E92" i="15"/>
  <c r="E93" i="15" s="1"/>
  <c r="D89" i="15"/>
  <c r="B92" i="15" s="1"/>
  <c r="Q88" i="15"/>
  <c r="P88" i="15"/>
  <c r="O88" i="15"/>
  <c r="N88" i="15"/>
  <c r="M88" i="15"/>
  <c r="L88" i="15"/>
  <c r="K88" i="15"/>
  <c r="J88" i="15"/>
  <c r="G88" i="15"/>
  <c r="F88" i="15"/>
  <c r="E88" i="15"/>
  <c r="Q87" i="15"/>
  <c r="P87" i="15"/>
  <c r="O87" i="15"/>
  <c r="N87" i="15"/>
  <c r="M87" i="15"/>
  <c r="L87" i="15"/>
  <c r="K87" i="15"/>
  <c r="J87" i="15"/>
  <c r="G87" i="15"/>
  <c r="F87" i="15"/>
  <c r="E87" i="15"/>
  <c r="Q86" i="15"/>
  <c r="P86" i="15"/>
  <c r="O86" i="15"/>
  <c r="N86" i="15"/>
  <c r="M86" i="15"/>
  <c r="L86" i="15"/>
  <c r="K86" i="15"/>
  <c r="J86" i="15"/>
  <c r="G86" i="15"/>
  <c r="F86" i="15"/>
  <c r="E86" i="15"/>
  <c r="Q85" i="15"/>
  <c r="P85" i="15"/>
  <c r="O85" i="15"/>
  <c r="N85" i="15"/>
  <c r="M85" i="15"/>
  <c r="L85" i="15"/>
  <c r="K85" i="15"/>
  <c r="J85" i="15"/>
  <c r="G85" i="15"/>
  <c r="F85" i="15"/>
  <c r="E85" i="15"/>
  <c r="Q84" i="15"/>
  <c r="P84" i="15"/>
  <c r="O84" i="15"/>
  <c r="N84" i="15"/>
  <c r="M84" i="15"/>
  <c r="L84" i="15"/>
  <c r="K84" i="15"/>
  <c r="J84" i="15"/>
  <c r="G84" i="15"/>
  <c r="F84" i="15"/>
  <c r="E84" i="15"/>
  <c r="Q83" i="15"/>
  <c r="P83" i="15"/>
  <c r="P89" i="15" s="1"/>
  <c r="O83" i="15"/>
  <c r="O89" i="15" s="1"/>
  <c r="N83" i="15"/>
  <c r="N89" i="15" s="1"/>
  <c r="M83" i="15"/>
  <c r="L83" i="15"/>
  <c r="L89" i="15" s="1"/>
  <c r="K83" i="15"/>
  <c r="J83" i="15"/>
  <c r="J89" i="15" s="1"/>
  <c r="H89" i="15" s="1"/>
  <c r="G83" i="15"/>
  <c r="F83" i="15"/>
  <c r="E83" i="15"/>
  <c r="D79" i="15"/>
  <c r="Q78" i="15"/>
  <c r="Q79" i="15" s="1"/>
  <c r="P78" i="15"/>
  <c r="P79" i="15" s="1"/>
  <c r="O78" i="15"/>
  <c r="O79" i="15" s="1"/>
  <c r="N78" i="15"/>
  <c r="N79" i="15" s="1"/>
  <c r="M78" i="15"/>
  <c r="M79" i="15" s="1"/>
  <c r="G78" i="15"/>
  <c r="G79" i="15" s="1"/>
  <c r="F78" i="15"/>
  <c r="F79" i="15" s="1"/>
  <c r="E78" i="15"/>
  <c r="E79" i="15" s="1"/>
  <c r="D75" i="15"/>
  <c r="C78" i="15" s="1"/>
  <c r="Q74" i="15"/>
  <c r="P74" i="15"/>
  <c r="O74" i="15"/>
  <c r="N74" i="15"/>
  <c r="M74" i="15"/>
  <c r="L74" i="15"/>
  <c r="K74" i="15"/>
  <c r="J74" i="15"/>
  <c r="G74" i="15"/>
  <c r="F74" i="15"/>
  <c r="E74" i="15"/>
  <c r="Q73" i="15"/>
  <c r="P73" i="15"/>
  <c r="O73" i="15"/>
  <c r="N73" i="15"/>
  <c r="M73" i="15"/>
  <c r="L73" i="15"/>
  <c r="K73" i="15"/>
  <c r="J73" i="15"/>
  <c r="G73" i="15"/>
  <c r="F73" i="15"/>
  <c r="E73" i="15"/>
  <c r="Q72" i="15"/>
  <c r="P72" i="15"/>
  <c r="O72" i="15"/>
  <c r="N72" i="15"/>
  <c r="M72" i="15"/>
  <c r="L72" i="15"/>
  <c r="K72" i="15"/>
  <c r="J72" i="15"/>
  <c r="G72" i="15"/>
  <c r="F72" i="15"/>
  <c r="E72" i="15"/>
  <c r="Q71" i="15"/>
  <c r="P71" i="15"/>
  <c r="O71" i="15"/>
  <c r="N71" i="15"/>
  <c r="M71" i="15"/>
  <c r="L71" i="15"/>
  <c r="K71" i="15"/>
  <c r="J71" i="15"/>
  <c r="G71" i="15"/>
  <c r="F71" i="15"/>
  <c r="E71" i="15"/>
  <c r="Q70" i="15"/>
  <c r="P70" i="15"/>
  <c r="O70" i="15"/>
  <c r="N70" i="15"/>
  <c r="M70" i="15"/>
  <c r="L70" i="15"/>
  <c r="K70" i="15"/>
  <c r="J70" i="15"/>
  <c r="G70" i="15"/>
  <c r="F70" i="15"/>
  <c r="E70" i="15"/>
  <c r="Q69" i="15"/>
  <c r="Q75" i="15" s="1"/>
  <c r="P69" i="15"/>
  <c r="P75" i="15" s="1"/>
  <c r="O69" i="15"/>
  <c r="O75" i="15" s="1"/>
  <c r="N69" i="15"/>
  <c r="N75" i="15" s="1"/>
  <c r="M69" i="15"/>
  <c r="M75" i="15" s="1"/>
  <c r="L69" i="15"/>
  <c r="L75" i="15" s="1"/>
  <c r="K69" i="15"/>
  <c r="K75" i="15" s="1"/>
  <c r="I75" i="15" s="1"/>
  <c r="J69" i="15"/>
  <c r="G69" i="15"/>
  <c r="F69" i="15"/>
  <c r="E69" i="15"/>
  <c r="D65" i="15"/>
  <c r="Q64" i="15"/>
  <c r="Q65" i="15" s="1"/>
  <c r="P64" i="15"/>
  <c r="P65" i="15" s="1"/>
  <c r="O64" i="15"/>
  <c r="O65" i="15" s="1"/>
  <c r="N64" i="15"/>
  <c r="N65" i="15" s="1"/>
  <c r="M64" i="15"/>
  <c r="M65" i="15" s="1"/>
  <c r="G64" i="15"/>
  <c r="G65" i="15" s="1"/>
  <c r="F64" i="15"/>
  <c r="F65" i="15" s="1"/>
  <c r="E64" i="15"/>
  <c r="E65" i="15" s="1"/>
  <c r="C64" i="15"/>
  <c r="C65" i="15" s="1"/>
  <c r="B64" i="15"/>
  <c r="B65" i="15" s="1"/>
  <c r="I63" i="15"/>
  <c r="H63" i="15"/>
  <c r="Q60" i="15"/>
  <c r="P60" i="15"/>
  <c r="O60" i="15"/>
  <c r="N60" i="15"/>
  <c r="M60" i="15"/>
  <c r="L60" i="15"/>
  <c r="K60" i="15"/>
  <c r="J60" i="15"/>
  <c r="G60" i="15"/>
  <c r="F60" i="15"/>
  <c r="E60" i="15"/>
  <c r="C60" i="15"/>
  <c r="B60" i="15"/>
  <c r="Q59" i="15"/>
  <c r="P59" i="15"/>
  <c r="O59" i="15"/>
  <c r="N59" i="15"/>
  <c r="M59" i="15"/>
  <c r="L59" i="15"/>
  <c r="K59" i="15"/>
  <c r="J59" i="15"/>
  <c r="G59" i="15"/>
  <c r="F59" i="15"/>
  <c r="E59" i="15"/>
  <c r="C59" i="15"/>
  <c r="B59" i="15"/>
  <c r="Q58" i="15"/>
  <c r="P58" i="15"/>
  <c r="O58" i="15"/>
  <c r="N58" i="15"/>
  <c r="M58" i="15"/>
  <c r="L58" i="15"/>
  <c r="K58" i="15"/>
  <c r="J58" i="15"/>
  <c r="G58" i="15"/>
  <c r="F58" i="15"/>
  <c r="E58" i="15"/>
  <c r="C58" i="15"/>
  <c r="B58" i="15"/>
  <c r="Q57" i="15"/>
  <c r="P57" i="15"/>
  <c r="O57" i="15"/>
  <c r="N57" i="15"/>
  <c r="M57" i="15"/>
  <c r="L57" i="15"/>
  <c r="K57" i="15"/>
  <c r="J57" i="15"/>
  <c r="G57" i="15"/>
  <c r="F57" i="15"/>
  <c r="E57" i="15"/>
  <c r="C57" i="15"/>
  <c r="B57" i="15"/>
  <c r="Q56" i="15"/>
  <c r="P56" i="15"/>
  <c r="O56" i="15"/>
  <c r="N56" i="15"/>
  <c r="M56" i="15"/>
  <c r="L56" i="15"/>
  <c r="K56" i="15"/>
  <c r="J56" i="15"/>
  <c r="G56" i="15"/>
  <c r="F56" i="15"/>
  <c r="E56" i="15"/>
  <c r="C56" i="15"/>
  <c r="B56" i="15"/>
  <c r="Q55" i="15"/>
  <c r="Q61" i="15" s="1"/>
  <c r="P55" i="15"/>
  <c r="P61" i="15" s="1"/>
  <c r="O55" i="15"/>
  <c r="O61" i="15" s="1"/>
  <c r="N55" i="15"/>
  <c r="M55" i="15"/>
  <c r="M61" i="15" s="1"/>
  <c r="L55" i="15"/>
  <c r="L61" i="15" s="1"/>
  <c r="K55" i="15"/>
  <c r="K61" i="15" s="1"/>
  <c r="J55" i="15"/>
  <c r="J61" i="15" s="1"/>
  <c r="G55" i="15"/>
  <c r="F55" i="15"/>
  <c r="E55" i="15"/>
  <c r="C55" i="15"/>
  <c r="B55" i="15"/>
  <c r="C51" i="15"/>
  <c r="B51" i="15"/>
  <c r="U50" i="15"/>
  <c r="Q108" i="7"/>
  <c r="Q109" i="7" s="1"/>
  <c r="P108" i="7"/>
  <c r="P109" i="7" s="1"/>
  <c r="O108" i="7"/>
  <c r="O109" i="7" s="1"/>
  <c r="N108" i="7"/>
  <c r="N109" i="7" s="1"/>
  <c r="M108" i="7"/>
  <c r="M109" i="7" s="1"/>
  <c r="D108" i="7"/>
  <c r="D109" i="7" s="1"/>
  <c r="I107" i="7"/>
  <c r="H107" i="7"/>
  <c r="D104" i="7"/>
  <c r="D103" i="7"/>
  <c r="D102" i="7"/>
  <c r="D101" i="7"/>
  <c r="D100" i="7"/>
  <c r="D99" i="7"/>
  <c r="D95" i="7"/>
  <c r="Q94" i="7"/>
  <c r="Q95" i="7" s="1"/>
  <c r="P94" i="7"/>
  <c r="P95" i="7" s="1"/>
  <c r="O94" i="7"/>
  <c r="O95" i="7" s="1"/>
  <c r="N94" i="7"/>
  <c r="N95" i="7" s="1"/>
  <c r="M94" i="7"/>
  <c r="M95" i="7" s="1"/>
  <c r="G94" i="7"/>
  <c r="F94" i="7"/>
  <c r="F95" i="7" s="1"/>
  <c r="E94" i="7"/>
  <c r="E95" i="7" s="1"/>
  <c r="I93" i="7"/>
  <c r="H93" i="7"/>
  <c r="D91" i="7"/>
  <c r="C89" i="7" s="1"/>
  <c r="Q90" i="7"/>
  <c r="P90" i="7"/>
  <c r="O90" i="7"/>
  <c r="N90" i="7"/>
  <c r="M90" i="7"/>
  <c r="L90" i="7"/>
  <c r="K90" i="7"/>
  <c r="J90" i="7"/>
  <c r="G90" i="7"/>
  <c r="F90" i="7"/>
  <c r="E90" i="7"/>
  <c r="Q89" i="7"/>
  <c r="P89" i="7"/>
  <c r="O89" i="7"/>
  <c r="N89" i="7"/>
  <c r="M89" i="7"/>
  <c r="L89" i="7"/>
  <c r="K89" i="7"/>
  <c r="J89" i="7"/>
  <c r="G89" i="7"/>
  <c r="F89" i="7"/>
  <c r="E89" i="7"/>
  <c r="Q88" i="7"/>
  <c r="P88" i="7"/>
  <c r="O88" i="7"/>
  <c r="N88" i="7"/>
  <c r="M88" i="7"/>
  <c r="L88" i="7"/>
  <c r="K88" i="7"/>
  <c r="J88" i="7"/>
  <c r="G88" i="7"/>
  <c r="F88" i="7"/>
  <c r="E88" i="7"/>
  <c r="Q87" i="7"/>
  <c r="P87" i="7"/>
  <c r="O87" i="7"/>
  <c r="N87" i="7"/>
  <c r="M87" i="7"/>
  <c r="L87" i="7"/>
  <c r="K87" i="7"/>
  <c r="J87" i="7"/>
  <c r="G87" i="7"/>
  <c r="F87" i="7"/>
  <c r="E87" i="7"/>
  <c r="Q86" i="7"/>
  <c r="P86" i="7"/>
  <c r="O86" i="7"/>
  <c r="N86" i="7"/>
  <c r="M86" i="7"/>
  <c r="L86" i="7"/>
  <c r="K86" i="7"/>
  <c r="J86" i="7"/>
  <c r="G86" i="7"/>
  <c r="F86" i="7"/>
  <c r="E86" i="7"/>
  <c r="Q85" i="7"/>
  <c r="P85" i="7"/>
  <c r="O85" i="7"/>
  <c r="O91" i="7" s="1"/>
  <c r="N85" i="7"/>
  <c r="M85" i="7"/>
  <c r="L85" i="7"/>
  <c r="L91" i="7" s="1"/>
  <c r="K85" i="7"/>
  <c r="J85" i="7"/>
  <c r="G85" i="7"/>
  <c r="F85" i="7"/>
  <c r="E85" i="7"/>
  <c r="D81" i="7"/>
  <c r="Q80" i="7"/>
  <c r="Q81" i="7" s="1"/>
  <c r="P80" i="7"/>
  <c r="P81" i="7" s="1"/>
  <c r="O80" i="7"/>
  <c r="O81" i="7" s="1"/>
  <c r="N80" i="7"/>
  <c r="N81" i="7" s="1"/>
  <c r="M80" i="7"/>
  <c r="M81" i="7" s="1"/>
  <c r="G80" i="7"/>
  <c r="G81" i="7" s="1"/>
  <c r="F80" i="7"/>
  <c r="F81" i="7" s="1"/>
  <c r="E80" i="7"/>
  <c r="E81" i="7" s="1"/>
  <c r="I79" i="7"/>
  <c r="H79" i="7"/>
  <c r="D77" i="7"/>
  <c r="C75" i="7" s="1"/>
  <c r="Q76" i="7"/>
  <c r="P76" i="7"/>
  <c r="O76" i="7"/>
  <c r="N76" i="7"/>
  <c r="M76" i="7"/>
  <c r="L76" i="7"/>
  <c r="K76" i="7"/>
  <c r="J76" i="7"/>
  <c r="G76" i="7"/>
  <c r="F76" i="7"/>
  <c r="E76" i="7"/>
  <c r="Q75" i="7"/>
  <c r="P75" i="7"/>
  <c r="O75" i="7"/>
  <c r="N75" i="7"/>
  <c r="M75" i="7"/>
  <c r="L75" i="7"/>
  <c r="K75" i="7"/>
  <c r="J75" i="7"/>
  <c r="G75" i="7"/>
  <c r="F75" i="7"/>
  <c r="E75" i="7"/>
  <c r="Q74" i="7"/>
  <c r="P74" i="7"/>
  <c r="O74" i="7"/>
  <c r="N74" i="7"/>
  <c r="M74" i="7"/>
  <c r="L74" i="7"/>
  <c r="K74" i="7"/>
  <c r="J74" i="7"/>
  <c r="G74" i="7"/>
  <c r="F74" i="7"/>
  <c r="E74" i="7"/>
  <c r="Q73" i="7"/>
  <c r="P73" i="7"/>
  <c r="O73" i="7"/>
  <c r="N73" i="7"/>
  <c r="M73" i="7"/>
  <c r="L73" i="7"/>
  <c r="K73" i="7"/>
  <c r="J73" i="7"/>
  <c r="G73" i="7"/>
  <c r="F73" i="7"/>
  <c r="E73" i="7"/>
  <c r="Q72" i="7"/>
  <c r="P72" i="7"/>
  <c r="O72" i="7"/>
  <c r="N72" i="7"/>
  <c r="M72" i="7"/>
  <c r="L72" i="7"/>
  <c r="K72" i="7"/>
  <c r="J72" i="7"/>
  <c r="G72" i="7"/>
  <c r="F72" i="7"/>
  <c r="E72" i="7"/>
  <c r="Q71" i="7"/>
  <c r="Q77" i="7" s="1"/>
  <c r="P71" i="7"/>
  <c r="P77" i="7" s="1"/>
  <c r="O71" i="7"/>
  <c r="O77" i="7" s="1"/>
  <c r="N71" i="7"/>
  <c r="N77" i="7" s="1"/>
  <c r="M71" i="7"/>
  <c r="M77" i="7" s="1"/>
  <c r="L71" i="7"/>
  <c r="L77" i="7" s="1"/>
  <c r="K71" i="7"/>
  <c r="K77" i="7" s="1"/>
  <c r="I77" i="7" s="1"/>
  <c r="J71" i="7"/>
  <c r="J77" i="7" s="1"/>
  <c r="H77" i="7" s="1"/>
  <c r="G71" i="7"/>
  <c r="F71" i="7"/>
  <c r="E71" i="7"/>
  <c r="D67" i="7"/>
  <c r="Q66" i="7"/>
  <c r="Q67" i="7" s="1"/>
  <c r="P66" i="7"/>
  <c r="P67" i="7" s="1"/>
  <c r="O66" i="7"/>
  <c r="O67" i="7" s="1"/>
  <c r="N66" i="7"/>
  <c r="N67" i="7" s="1"/>
  <c r="M66" i="7"/>
  <c r="M67" i="7" s="1"/>
  <c r="G66" i="7"/>
  <c r="G67" i="7" s="1"/>
  <c r="F66" i="7"/>
  <c r="F67" i="7" s="1"/>
  <c r="E66" i="7"/>
  <c r="E67" i="7" s="1"/>
  <c r="I65" i="7"/>
  <c r="H65" i="7"/>
  <c r="D63" i="7"/>
  <c r="B60" i="7" s="1"/>
  <c r="C63" i="7"/>
  <c r="Q62" i="7"/>
  <c r="P62" i="7"/>
  <c r="O62" i="7"/>
  <c r="N62" i="7"/>
  <c r="M62" i="7"/>
  <c r="L62" i="7"/>
  <c r="K62" i="7"/>
  <c r="J62" i="7"/>
  <c r="G62" i="7"/>
  <c r="F62" i="7"/>
  <c r="E62" i="7"/>
  <c r="Q61" i="7"/>
  <c r="P61" i="7"/>
  <c r="O61" i="7"/>
  <c r="N61" i="7"/>
  <c r="M61" i="7"/>
  <c r="L61" i="7"/>
  <c r="K61" i="7"/>
  <c r="J61" i="7"/>
  <c r="G61" i="7"/>
  <c r="F61" i="7"/>
  <c r="E61" i="7"/>
  <c r="Q60" i="7"/>
  <c r="P60" i="7"/>
  <c r="O60" i="7"/>
  <c r="N60" i="7"/>
  <c r="M60" i="7"/>
  <c r="L60" i="7"/>
  <c r="K60" i="7"/>
  <c r="J60" i="7"/>
  <c r="G60" i="7"/>
  <c r="F60" i="7"/>
  <c r="E60" i="7"/>
  <c r="Q59" i="7"/>
  <c r="P59" i="7"/>
  <c r="O59" i="7"/>
  <c r="N59" i="7"/>
  <c r="M59" i="7"/>
  <c r="L59" i="7"/>
  <c r="K59" i="7"/>
  <c r="J59" i="7"/>
  <c r="G59" i="7"/>
  <c r="F59" i="7"/>
  <c r="E59" i="7"/>
  <c r="Q58" i="7"/>
  <c r="P58" i="7"/>
  <c r="O58" i="7"/>
  <c r="N58" i="7"/>
  <c r="M58" i="7"/>
  <c r="L58" i="7"/>
  <c r="K58" i="7"/>
  <c r="J58" i="7"/>
  <c r="G58" i="7"/>
  <c r="F58" i="7"/>
  <c r="E58" i="7"/>
  <c r="Q57" i="7"/>
  <c r="Q63" i="7" s="1"/>
  <c r="P57" i="7"/>
  <c r="P63" i="7" s="1"/>
  <c r="O57" i="7"/>
  <c r="O63" i="7" s="1"/>
  <c r="N57" i="7"/>
  <c r="N63" i="7" s="1"/>
  <c r="M57" i="7"/>
  <c r="M63" i="7" s="1"/>
  <c r="L57" i="7"/>
  <c r="L63" i="7" s="1"/>
  <c r="K57" i="7"/>
  <c r="K63" i="7" s="1"/>
  <c r="J57" i="7"/>
  <c r="J63" i="7" s="1"/>
  <c r="G57" i="7"/>
  <c r="F57" i="7"/>
  <c r="E57" i="7"/>
  <c r="C53" i="7"/>
  <c r="B53" i="7"/>
  <c r="J57" i="9"/>
  <c r="I57" i="9"/>
  <c r="E43" i="9"/>
  <c r="E45" i="9" s="1"/>
  <c r="J42" i="9"/>
  <c r="I42" i="9"/>
  <c r="E38" i="9"/>
  <c r="E37" i="9"/>
  <c r="E36" i="9"/>
  <c r="E35" i="9"/>
  <c r="E34" i="9"/>
  <c r="E28" i="9"/>
  <c r="E30" i="9" s="1"/>
  <c r="J27" i="9"/>
  <c r="I27" i="9"/>
  <c r="E23" i="9"/>
  <c r="E22" i="9"/>
  <c r="E21" i="9"/>
  <c r="E20" i="9"/>
  <c r="E19" i="9"/>
  <c r="E13" i="9"/>
  <c r="J12" i="9"/>
  <c r="I12" i="9"/>
  <c r="E8" i="9"/>
  <c r="E7" i="9"/>
  <c r="E6" i="9"/>
  <c r="E5" i="9"/>
  <c r="E4" i="9"/>
  <c r="D113" i="6"/>
  <c r="D114" i="6" s="1"/>
  <c r="I112" i="6"/>
  <c r="H112" i="6"/>
  <c r="D109" i="6"/>
  <c r="D108" i="6"/>
  <c r="D107" i="6"/>
  <c r="D106" i="6"/>
  <c r="D105" i="6"/>
  <c r="D101" i="6"/>
  <c r="N100" i="6"/>
  <c r="N101" i="6" s="1"/>
  <c r="M100" i="6"/>
  <c r="M101" i="6" s="1"/>
  <c r="L100" i="6"/>
  <c r="L101" i="6" s="1"/>
  <c r="K100" i="6"/>
  <c r="K101" i="6" s="1"/>
  <c r="J100" i="6"/>
  <c r="J101" i="6" s="1"/>
  <c r="G100" i="6"/>
  <c r="H43" i="9" s="1"/>
  <c r="H45" i="9" s="1"/>
  <c r="F100" i="6"/>
  <c r="E100" i="6"/>
  <c r="E101" i="6" s="1"/>
  <c r="I99" i="6"/>
  <c r="H99" i="6"/>
  <c r="D97" i="6"/>
  <c r="C97" i="6"/>
  <c r="B97" i="6"/>
  <c r="N96" i="6"/>
  <c r="M96" i="6"/>
  <c r="L96" i="6"/>
  <c r="K96" i="6"/>
  <c r="J96" i="6"/>
  <c r="G96" i="6"/>
  <c r="H38" i="9" s="1"/>
  <c r="F96" i="6"/>
  <c r="E96" i="6"/>
  <c r="F38" i="9" s="1"/>
  <c r="N95" i="6"/>
  <c r="M95" i="6"/>
  <c r="L95" i="6"/>
  <c r="K95" i="6"/>
  <c r="J95" i="6"/>
  <c r="G95" i="6"/>
  <c r="H37" i="9" s="1"/>
  <c r="F95" i="6"/>
  <c r="G37" i="9" s="1"/>
  <c r="E95" i="6"/>
  <c r="F37" i="9" s="1"/>
  <c r="N94" i="6"/>
  <c r="M94" i="6"/>
  <c r="L94" i="6"/>
  <c r="K94" i="6"/>
  <c r="J94" i="6"/>
  <c r="G94" i="6"/>
  <c r="H36" i="9" s="1"/>
  <c r="F94" i="6"/>
  <c r="E94" i="6"/>
  <c r="F36" i="9" s="1"/>
  <c r="N93" i="6"/>
  <c r="M93" i="6"/>
  <c r="L93" i="6"/>
  <c r="K93" i="6"/>
  <c r="J93" i="6"/>
  <c r="G93" i="6"/>
  <c r="H35" i="9" s="1"/>
  <c r="F93" i="6"/>
  <c r="E93" i="6"/>
  <c r="F35" i="9" s="1"/>
  <c r="N92" i="6"/>
  <c r="M92" i="6"/>
  <c r="L92" i="6"/>
  <c r="K92" i="6"/>
  <c r="J92" i="6"/>
  <c r="G92" i="6"/>
  <c r="F92" i="6"/>
  <c r="G34" i="9" s="1"/>
  <c r="E92" i="6"/>
  <c r="F34" i="9" s="1"/>
  <c r="D88" i="6"/>
  <c r="N87" i="6"/>
  <c r="N88" i="6" s="1"/>
  <c r="M87" i="6"/>
  <c r="M88" i="6" s="1"/>
  <c r="L87" i="6"/>
  <c r="L88" i="6" s="1"/>
  <c r="K87" i="6"/>
  <c r="K88" i="6" s="1"/>
  <c r="J87" i="6"/>
  <c r="J88" i="6" s="1"/>
  <c r="G87" i="6"/>
  <c r="F87" i="6"/>
  <c r="F88" i="6" s="1"/>
  <c r="E87" i="6"/>
  <c r="E88" i="6" s="1"/>
  <c r="I86" i="6"/>
  <c r="H86" i="6"/>
  <c r="D84" i="6"/>
  <c r="C84" i="6"/>
  <c r="B84" i="6"/>
  <c r="N83" i="6"/>
  <c r="M83" i="6"/>
  <c r="L83" i="6"/>
  <c r="K83" i="6"/>
  <c r="J83" i="6"/>
  <c r="G83" i="6"/>
  <c r="H23" i="9" s="1"/>
  <c r="F83" i="6"/>
  <c r="G23" i="9" s="1"/>
  <c r="E83" i="6"/>
  <c r="F23" i="9" s="1"/>
  <c r="N82" i="6"/>
  <c r="M82" i="6"/>
  <c r="L82" i="6"/>
  <c r="K82" i="6"/>
  <c r="J82" i="6"/>
  <c r="G82" i="6"/>
  <c r="F82" i="6"/>
  <c r="E82" i="6"/>
  <c r="N81" i="6"/>
  <c r="M81" i="6"/>
  <c r="L81" i="6"/>
  <c r="K81" i="6"/>
  <c r="J81" i="6"/>
  <c r="G81" i="6"/>
  <c r="F81" i="6"/>
  <c r="E81" i="6"/>
  <c r="N80" i="6"/>
  <c r="M80" i="6"/>
  <c r="L80" i="6"/>
  <c r="K80" i="6"/>
  <c r="J80" i="6"/>
  <c r="G80" i="6"/>
  <c r="F80" i="6"/>
  <c r="E80" i="6"/>
  <c r="N79" i="6"/>
  <c r="M79" i="6"/>
  <c r="L79" i="6"/>
  <c r="K79" i="6"/>
  <c r="J79" i="6"/>
  <c r="G79" i="6"/>
  <c r="F79" i="6"/>
  <c r="E79" i="6"/>
  <c r="D75" i="6"/>
  <c r="N74" i="6"/>
  <c r="M74" i="6"/>
  <c r="M75" i="6" s="1"/>
  <c r="L74" i="6"/>
  <c r="K74" i="6"/>
  <c r="K75" i="6" s="1"/>
  <c r="J74" i="6"/>
  <c r="G74" i="6"/>
  <c r="G75" i="6" s="1"/>
  <c r="F74" i="6"/>
  <c r="F75" i="6" s="1"/>
  <c r="E74" i="6"/>
  <c r="I73" i="6"/>
  <c r="H73" i="6"/>
  <c r="N71" i="6"/>
  <c r="D71" i="6"/>
  <c r="B67" i="6" s="1"/>
  <c r="N67" i="6" s="1"/>
  <c r="M70" i="6"/>
  <c r="L70" i="6"/>
  <c r="K70" i="6"/>
  <c r="J70" i="6"/>
  <c r="G70" i="6"/>
  <c r="H8" i="9" s="1"/>
  <c r="F70" i="6"/>
  <c r="E70" i="6"/>
  <c r="M69" i="6"/>
  <c r="L69" i="6"/>
  <c r="K69" i="6"/>
  <c r="J69" i="6"/>
  <c r="G69" i="6"/>
  <c r="F69" i="6"/>
  <c r="E69" i="6"/>
  <c r="M68" i="6"/>
  <c r="L68" i="6"/>
  <c r="K68" i="6"/>
  <c r="J68" i="6"/>
  <c r="G68" i="6"/>
  <c r="F68" i="6"/>
  <c r="E68" i="6"/>
  <c r="M67" i="6"/>
  <c r="L67" i="6"/>
  <c r="K67" i="6"/>
  <c r="J67" i="6"/>
  <c r="G67" i="6"/>
  <c r="F67" i="6"/>
  <c r="E67" i="6"/>
  <c r="N66" i="6"/>
  <c r="M66" i="6"/>
  <c r="L66" i="6"/>
  <c r="K66" i="6"/>
  <c r="J66" i="6"/>
  <c r="G66" i="6"/>
  <c r="F66" i="6"/>
  <c r="E66" i="6"/>
  <c r="D62" i="6"/>
  <c r="C62" i="6"/>
  <c r="B62" i="6"/>
  <c r="B76" i="3"/>
  <c r="D75" i="3"/>
  <c r="D76" i="3" s="1"/>
  <c r="I74" i="3"/>
  <c r="H74" i="3"/>
  <c r="D71" i="3"/>
  <c r="D70" i="3"/>
  <c r="D69" i="3"/>
  <c r="D68" i="3"/>
  <c r="D67" i="3"/>
  <c r="D63" i="3"/>
  <c r="N62" i="3"/>
  <c r="N63" i="3" s="1"/>
  <c r="M62" i="3"/>
  <c r="M63" i="3" s="1"/>
  <c r="L62" i="3"/>
  <c r="L63" i="3" s="1"/>
  <c r="K62" i="3"/>
  <c r="K63" i="3" s="1"/>
  <c r="J62" i="3"/>
  <c r="J63" i="3" s="1"/>
  <c r="G62" i="3"/>
  <c r="G63" i="3" s="1"/>
  <c r="F62" i="3"/>
  <c r="F63" i="3" s="1"/>
  <c r="E62" i="3"/>
  <c r="I61" i="3"/>
  <c r="H61" i="3"/>
  <c r="D59" i="3"/>
  <c r="C59" i="3"/>
  <c r="B59" i="3"/>
  <c r="M58" i="3"/>
  <c r="L58" i="3"/>
  <c r="K58" i="3"/>
  <c r="J58" i="3"/>
  <c r="G58" i="3"/>
  <c r="F58" i="3"/>
  <c r="E58" i="3"/>
  <c r="M57" i="3"/>
  <c r="L57" i="3"/>
  <c r="K57" i="3"/>
  <c r="J57" i="3"/>
  <c r="G57" i="3"/>
  <c r="F57" i="3"/>
  <c r="E57" i="3"/>
  <c r="M56" i="3"/>
  <c r="L56" i="3"/>
  <c r="K56" i="3"/>
  <c r="J56" i="3"/>
  <c r="G56" i="3"/>
  <c r="F56" i="3"/>
  <c r="E56" i="3"/>
  <c r="M55" i="3"/>
  <c r="L55" i="3"/>
  <c r="K55" i="3"/>
  <c r="J55" i="3"/>
  <c r="G55" i="3"/>
  <c r="F55" i="3"/>
  <c r="E55" i="3"/>
  <c r="M54" i="3"/>
  <c r="L54" i="3"/>
  <c r="K54" i="3"/>
  <c r="J54" i="3"/>
  <c r="G54" i="3"/>
  <c r="F54" i="3"/>
  <c r="E54" i="3"/>
  <c r="D50" i="3"/>
  <c r="N49" i="3"/>
  <c r="N50" i="3" s="1"/>
  <c r="M49" i="3"/>
  <c r="M50" i="3" s="1"/>
  <c r="L49" i="3"/>
  <c r="K49" i="3"/>
  <c r="J49" i="3"/>
  <c r="G49" i="3"/>
  <c r="G50" i="3" s="1"/>
  <c r="F49" i="3"/>
  <c r="E49" i="3"/>
  <c r="E50" i="3" s="1"/>
  <c r="I48" i="3"/>
  <c r="H48" i="3"/>
  <c r="N46" i="3"/>
  <c r="D46" i="3"/>
  <c r="B49" i="3" s="1"/>
  <c r="B50" i="3" s="1"/>
  <c r="N45" i="3"/>
  <c r="M45" i="3"/>
  <c r="L45" i="3"/>
  <c r="K45" i="3"/>
  <c r="J45" i="3"/>
  <c r="G45" i="3"/>
  <c r="F45" i="3"/>
  <c r="E45" i="3"/>
  <c r="N44" i="3"/>
  <c r="M44" i="3"/>
  <c r="L44" i="3"/>
  <c r="K44" i="3"/>
  <c r="J44" i="3"/>
  <c r="G44" i="3"/>
  <c r="F44" i="3"/>
  <c r="E44" i="3"/>
  <c r="H44" i="3" s="1"/>
  <c r="N43" i="3"/>
  <c r="M43" i="3"/>
  <c r="L43" i="3"/>
  <c r="K43" i="3"/>
  <c r="J43" i="3"/>
  <c r="G43" i="3"/>
  <c r="F43" i="3"/>
  <c r="E43" i="3"/>
  <c r="N42" i="3"/>
  <c r="M42" i="3"/>
  <c r="L42" i="3"/>
  <c r="K42" i="3"/>
  <c r="J42" i="3"/>
  <c r="G42" i="3"/>
  <c r="F42" i="3"/>
  <c r="E42" i="3"/>
  <c r="M41" i="3"/>
  <c r="L41" i="3"/>
  <c r="K41" i="3"/>
  <c r="J41" i="3"/>
  <c r="G41" i="3"/>
  <c r="F41" i="3"/>
  <c r="E41" i="3"/>
  <c r="D37" i="3"/>
  <c r="C37" i="3"/>
  <c r="B37" i="3"/>
  <c r="B136" i="2"/>
  <c r="D135" i="2"/>
  <c r="D136" i="2" s="1"/>
  <c r="I134" i="2"/>
  <c r="H134" i="2"/>
  <c r="D131" i="2"/>
  <c r="D130" i="2"/>
  <c r="D129" i="2"/>
  <c r="D128" i="2"/>
  <c r="D127" i="2"/>
  <c r="D123" i="2"/>
  <c r="M122" i="2"/>
  <c r="M123" i="2" s="1"/>
  <c r="L122" i="2"/>
  <c r="L123" i="2" s="1"/>
  <c r="K122" i="2"/>
  <c r="K123" i="2" s="1"/>
  <c r="J122" i="2"/>
  <c r="J123" i="2" s="1"/>
  <c r="G122" i="2"/>
  <c r="G123" i="2" s="1"/>
  <c r="F122" i="2"/>
  <c r="E122" i="2"/>
  <c r="I121" i="2"/>
  <c r="H121" i="2"/>
  <c r="D119" i="2"/>
  <c r="B122" i="2" s="1"/>
  <c r="M118" i="2"/>
  <c r="L118" i="2"/>
  <c r="K118" i="2"/>
  <c r="J118" i="2"/>
  <c r="G118" i="2"/>
  <c r="F118" i="2"/>
  <c r="E118" i="2"/>
  <c r="M117" i="2"/>
  <c r="L117" i="2"/>
  <c r="K117" i="2"/>
  <c r="J117" i="2"/>
  <c r="G117" i="2"/>
  <c r="F117" i="2"/>
  <c r="E117" i="2"/>
  <c r="M116" i="2"/>
  <c r="L116" i="2"/>
  <c r="K116" i="2"/>
  <c r="J116" i="2"/>
  <c r="G116" i="2"/>
  <c r="F116" i="2"/>
  <c r="E116" i="2"/>
  <c r="M115" i="2"/>
  <c r="L115" i="2"/>
  <c r="K115" i="2"/>
  <c r="J115" i="2"/>
  <c r="G115" i="2"/>
  <c r="F115" i="2"/>
  <c r="E115" i="2"/>
  <c r="M114" i="2"/>
  <c r="L114" i="2"/>
  <c r="K114" i="2"/>
  <c r="J114" i="2"/>
  <c r="G114" i="2"/>
  <c r="F114" i="2"/>
  <c r="E114" i="2"/>
  <c r="D110" i="2"/>
  <c r="M109" i="2"/>
  <c r="M110" i="2" s="1"/>
  <c r="L109" i="2"/>
  <c r="K109" i="2"/>
  <c r="J109" i="2"/>
  <c r="J110" i="2" s="1"/>
  <c r="G109" i="2"/>
  <c r="F109" i="2"/>
  <c r="E109" i="2"/>
  <c r="E110" i="2" s="1"/>
  <c r="I108" i="2"/>
  <c r="H108" i="2"/>
  <c r="D106" i="2"/>
  <c r="C106" i="2"/>
  <c r="B106" i="2"/>
  <c r="M105" i="2"/>
  <c r="L105" i="2"/>
  <c r="K105" i="2"/>
  <c r="J105" i="2"/>
  <c r="G105" i="2"/>
  <c r="F105" i="2"/>
  <c r="E105" i="2"/>
  <c r="M104" i="2"/>
  <c r="L104" i="2"/>
  <c r="K104" i="2"/>
  <c r="J104" i="2"/>
  <c r="G104" i="2"/>
  <c r="F104" i="2"/>
  <c r="E104" i="2"/>
  <c r="M103" i="2"/>
  <c r="L103" i="2"/>
  <c r="K103" i="2"/>
  <c r="J103" i="2"/>
  <c r="G103" i="2"/>
  <c r="F103" i="2"/>
  <c r="E103" i="2"/>
  <c r="M102" i="2"/>
  <c r="L102" i="2"/>
  <c r="K102" i="2"/>
  <c r="K128" i="2" s="1"/>
  <c r="J102" i="2"/>
  <c r="G102" i="2"/>
  <c r="F102" i="2"/>
  <c r="E102" i="2"/>
  <c r="M101" i="2"/>
  <c r="L101" i="2"/>
  <c r="K101" i="2"/>
  <c r="J101" i="2"/>
  <c r="G101" i="2"/>
  <c r="F101" i="2"/>
  <c r="E101" i="2"/>
  <c r="D97" i="2"/>
  <c r="C97" i="2"/>
  <c r="B97" i="2"/>
  <c r="G56" i="1"/>
  <c r="D56" i="1"/>
  <c r="B56" i="1"/>
  <c r="M55" i="1"/>
  <c r="M56" i="1" s="1"/>
  <c r="L55" i="1"/>
  <c r="K55" i="1"/>
  <c r="K56" i="1" s="1"/>
  <c r="J55" i="1"/>
  <c r="J56" i="1" s="1"/>
  <c r="H55" i="1"/>
  <c r="I55" i="1" s="1"/>
  <c r="E55" i="1"/>
  <c r="E56" i="1" s="1"/>
  <c r="C55" i="1"/>
  <c r="C56" i="1" s="1"/>
  <c r="I54" i="1"/>
  <c r="F54" i="1"/>
  <c r="D52" i="1"/>
  <c r="M51" i="1"/>
  <c r="L51" i="1"/>
  <c r="K51" i="1"/>
  <c r="J51" i="1"/>
  <c r="H51" i="1"/>
  <c r="I51" i="1" s="1"/>
  <c r="E51" i="1"/>
  <c r="F51" i="1" s="1"/>
  <c r="C51" i="1"/>
  <c r="M50" i="1"/>
  <c r="L50" i="1"/>
  <c r="K50" i="1"/>
  <c r="J50" i="1"/>
  <c r="H50" i="1"/>
  <c r="E50" i="1"/>
  <c r="F50" i="1" s="1"/>
  <c r="C50" i="1"/>
  <c r="M49" i="1"/>
  <c r="L49" i="1"/>
  <c r="K49" i="1"/>
  <c r="J49" i="1"/>
  <c r="H49" i="1"/>
  <c r="E49" i="1"/>
  <c r="F49" i="1" s="1"/>
  <c r="C49" i="1"/>
  <c r="M48" i="1"/>
  <c r="L48" i="1"/>
  <c r="K48" i="1"/>
  <c r="J48" i="1"/>
  <c r="H48" i="1"/>
  <c r="E48" i="1"/>
  <c r="F48" i="1" s="1"/>
  <c r="C48" i="1"/>
  <c r="M47" i="1"/>
  <c r="L47" i="1"/>
  <c r="K47" i="1"/>
  <c r="J47" i="1"/>
  <c r="H47" i="1"/>
  <c r="I47" i="1" s="1"/>
  <c r="E47" i="1"/>
  <c r="C47" i="1"/>
  <c r="B43" i="1"/>
  <c r="M42" i="1"/>
  <c r="L42" i="1"/>
  <c r="K42" i="1"/>
  <c r="K43" i="1" s="1"/>
  <c r="J42" i="1"/>
  <c r="H42" i="1"/>
  <c r="E42" i="1"/>
  <c r="E43" i="1" s="1"/>
  <c r="C42" i="1"/>
  <c r="I41" i="1"/>
  <c r="F41" i="1"/>
  <c r="B39" i="1"/>
  <c r="D35" i="1" s="1"/>
  <c r="D22" i="1" s="1"/>
  <c r="M38" i="1"/>
  <c r="L38" i="1"/>
  <c r="K38" i="1"/>
  <c r="J38" i="1"/>
  <c r="H38" i="1"/>
  <c r="E38" i="1"/>
  <c r="C38" i="1"/>
  <c r="M37" i="1"/>
  <c r="L37" i="1"/>
  <c r="K37" i="1"/>
  <c r="J37" i="1"/>
  <c r="H37" i="1"/>
  <c r="E37" i="1"/>
  <c r="C37" i="1"/>
  <c r="M36" i="1"/>
  <c r="L36" i="1"/>
  <c r="K36" i="1"/>
  <c r="J36" i="1"/>
  <c r="H36" i="1"/>
  <c r="E36" i="1"/>
  <c r="C36" i="1"/>
  <c r="M35" i="1"/>
  <c r="L35" i="1"/>
  <c r="K35" i="1"/>
  <c r="J35" i="1"/>
  <c r="H35" i="1"/>
  <c r="E35" i="1"/>
  <c r="C35" i="1"/>
  <c r="M34" i="1"/>
  <c r="L34" i="1"/>
  <c r="K34" i="1"/>
  <c r="J34" i="1"/>
  <c r="H34" i="1"/>
  <c r="E34" i="1"/>
  <c r="C34" i="1"/>
  <c r="G30" i="1"/>
  <c r="D30" i="1"/>
  <c r="H29" i="1"/>
  <c r="H30" i="1" s="1"/>
  <c r="E29" i="1"/>
  <c r="F29" i="1" s="1"/>
  <c r="B29" i="1"/>
  <c r="B30" i="1" s="1"/>
  <c r="I28" i="1"/>
  <c r="F28" i="1"/>
  <c r="B25" i="1"/>
  <c r="O24" i="1"/>
  <c r="B24" i="1"/>
  <c r="O23" i="1"/>
  <c r="B23" i="1"/>
  <c r="B22" i="1"/>
  <c r="O21" i="1"/>
  <c r="B21" i="1"/>
  <c r="O20" i="1"/>
  <c r="H17" i="1"/>
  <c r="G17" i="1"/>
  <c r="F17" i="1"/>
  <c r="G102" i="35" l="1"/>
  <c r="E116" i="89"/>
  <c r="C70" i="17"/>
  <c r="E87" i="89"/>
  <c r="G88" i="47"/>
  <c r="E74" i="74"/>
  <c r="L128" i="64"/>
  <c r="B180" i="68"/>
  <c r="F152" i="72"/>
  <c r="I157" i="72"/>
  <c r="K172" i="80"/>
  <c r="F70" i="3"/>
  <c r="B71" i="7"/>
  <c r="F170" i="61"/>
  <c r="T32" i="86"/>
  <c r="C84" i="22"/>
  <c r="L69" i="47"/>
  <c r="L128" i="68"/>
  <c r="I142" i="68"/>
  <c r="F179" i="85"/>
  <c r="AR41" i="23"/>
  <c r="C155" i="62" s="1"/>
  <c r="L94" i="47"/>
  <c r="E128" i="63"/>
  <c r="E105" i="50"/>
  <c r="G156" i="63"/>
  <c r="D142" i="64"/>
  <c r="E168" i="89"/>
  <c r="E173" i="89" s="1"/>
  <c r="E114" i="89"/>
  <c r="E86" i="89"/>
  <c r="E184" i="89"/>
  <c r="E120" i="89"/>
  <c r="AB30" i="23"/>
  <c r="E83" i="55"/>
  <c r="G168" i="56"/>
  <c r="L119" i="61"/>
  <c r="G142" i="61"/>
  <c r="B128" i="62"/>
  <c r="K134" i="64"/>
  <c r="G142" i="64"/>
  <c r="K123" i="64"/>
  <c r="J133" i="64"/>
  <c r="E178" i="83"/>
  <c r="D179" i="87"/>
  <c r="E119" i="89"/>
  <c r="K70" i="55"/>
  <c r="K100" i="55"/>
  <c r="D32" i="81"/>
  <c r="K81" i="45"/>
  <c r="E98" i="49"/>
  <c r="V32" i="81"/>
  <c r="C58" i="3"/>
  <c r="C71" i="3" s="1"/>
  <c r="Q72" i="54"/>
  <c r="L78" i="55"/>
  <c r="E96" i="53"/>
  <c r="C117" i="2"/>
  <c r="I117" i="2" s="1"/>
  <c r="AN27" i="23"/>
  <c r="C128" i="64"/>
  <c r="K127" i="64"/>
  <c r="J135" i="64"/>
  <c r="K148" i="62"/>
  <c r="D152" i="72"/>
  <c r="AZ35" i="23"/>
  <c r="B114" i="2"/>
  <c r="H114" i="2" s="1"/>
  <c r="M126" i="19"/>
  <c r="B82" i="45"/>
  <c r="E152" i="72"/>
  <c r="H157" i="72"/>
  <c r="B186" i="88"/>
  <c r="AZ28" i="23"/>
  <c r="E136" i="69"/>
  <c r="D186" i="88"/>
  <c r="E88" i="89"/>
  <c r="L80" i="45"/>
  <c r="K93" i="47"/>
  <c r="E130" i="57"/>
  <c r="G145" i="57"/>
  <c r="G68" i="54"/>
  <c r="G147" i="58"/>
  <c r="C129" i="60"/>
  <c r="B128" i="61"/>
  <c r="F142" i="68"/>
  <c r="L82" i="54"/>
  <c r="I179" i="87"/>
  <c r="J186" i="88"/>
  <c r="E157" i="89"/>
  <c r="L76" i="54"/>
  <c r="F71" i="3"/>
  <c r="D41" i="81"/>
  <c r="E41" i="81" s="1"/>
  <c r="B74" i="84" s="1"/>
  <c r="J180" i="68"/>
  <c r="E129" i="87"/>
  <c r="F103" i="7"/>
  <c r="B116" i="2"/>
  <c r="C118" i="2"/>
  <c r="B86" i="22"/>
  <c r="K86" i="22" s="1"/>
  <c r="E107" i="41"/>
  <c r="G170" i="62"/>
  <c r="D179" i="82"/>
  <c r="K117" i="79"/>
  <c r="E111" i="83"/>
  <c r="L125" i="19"/>
  <c r="P96" i="53"/>
  <c r="I100" i="53"/>
  <c r="L100" i="53" s="1"/>
  <c r="N68" i="54"/>
  <c r="G72" i="54"/>
  <c r="D83" i="54"/>
  <c r="C79" i="55"/>
  <c r="L76" i="55"/>
  <c r="B83" i="55"/>
  <c r="K82" i="55"/>
  <c r="C142" i="61"/>
  <c r="AG16" i="81"/>
  <c r="S16" i="81" s="1"/>
  <c r="AZ41" i="23"/>
  <c r="G96" i="47"/>
  <c r="E162" i="89"/>
  <c r="F180" i="64"/>
  <c r="AJ30" i="23"/>
  <c r="E158" i="89"/>
  <c r="E101" i="89"/>
  <c r="E103" i="89" s="1"/>
  <c r="E185" i="89"/>
  <c r="E106" i="89"/>
  <c r="E107" i="89" s="1"/>
  <c r="E161" i="89"/>
  <c r="E112" i="89"/>
  <c r="E94" i="88"/>
  <c r="E145" i="88"/>
  <c r="AZ33" i="23"/>
  <c r="AN13" i="23"/>
  <c r="M67" i="3"/>
  <c r="L71" i="3"/>
  <c r="B57" i="7"/>
  <c r="H57" i="7" s="1"/>
  <c r="B58" i="7"/>
  <c r="B59" i="7"/>
  <c r="I57" i="15"/>
  <c r="B74" i="17"/>
  <c r="B101" i="17"/>
  <c r="C102" i="22"/>
  <c r="L102" i="22" s="1"/>
  <c r="H105" i="37"/>
  <c r="K105" i="37" s="1"/>
  <c r="K121" i="56"/>
  <c r="B137" i="56"/>
  <c r="I137" i="56"/>
  <c r="K120" i="61"/>
  <c r="L136" i="61"/>
  <c r="K140" i="61"/>
  <c r="AG6" i="81"/>
  <c r="S6" i="81" s="1"/>
  <c r="D42" i="81"/>
  <c r="L42" i="81" s="1"/>
  <c r="C123" i="84" s="1"/>
  <c r="K123" i="84" s="1"/>
  <c r="J136" i="69"/>
  <c r="E83" i="76"/>
  <c r="G128" i="22"/>
  <c r="F152" i="56"/>
  <c r="F171" i="60"/>
  <c r="T47" i="78"/>
  <c r="K134" i="68"/>
  <c r="H25" i="1"/>
  <c r="B73" i="17"/>
  <c r="C7" i="21" s="1"/>
  <c r="G67" i="3"/>
  <c r="N110" i="53"/>
  <c r="L67" i="54"/>
  <c r="D137" i="56"/>
  <c r="E88" i="85"/>
  <c r="J72" i="54"/>
  <c r="C21" i="1"/>
  <c r="K23" i="1"/>
  <c r="C100" i="22"/>
  <c r="L29" i="1"/>
  <c r="B98" i="22"/>
  <c r="K98" i="22" s="1"/>
  <c r="C25" i="1"/>
  <c r="C115" i="2"/>
  <c r="B118" i="2"/>
  <c r="H118" i="2" s="1"/>
  <c r="C122" i="2"/>
  <c r="C123" i="2" s="1"/>
  <c r="B57" i="3"/>
  <c r="B70" i="3" s="1"/>
  <c r="B88" i="22"/>
  <c r="E112" i="43"/>
  <c r="K84" i="53"/>
  <c r="E119" i="55"/>
  <c r="G41" i="66"/>
  <c r="I41" i="66" s="1"/>
  <c r="B149" i="70" s="1"/>
  <c r="F181" i="62"/>
  <c r="F149" i="83"/>
  <c r="E186" i="88"/>
  <c r="C191" i="89"/>
  <c r="F75" i="89"/>
  <c r="F93" i="89"/>
  <c r="I121" i="89"/>
  <c r="F79" i="89"/>
  <c r="F191" i="89"/>
  <c r="D163" i="89"/>
  <c r="D177" i="89"/>
  <c r="F121" i="89"/>
  <c r="D121" i="89"/>
  <c r="D117" i="89"/>
  <c r="D191" i="89"/>
  <c r="I93" i="89"/>
  <c r="F103" i="89"/>
  <c r="D107" i="89"/>
  <c r="F163" i="89"/>
  <c r="F177" i="89"/>
  <c r="F187" i="89"/>
  <c r="E191" i="89"/>
  <c r="D187" i="89"/>
  <c r="F44" i="90"/>
  <c r="P44" i="90"/>
  <c r="M44" i="90"/>
  <c r="N44" i="90"/>
  <c r="O44" i="90"/>
  <c r="N9" i="90"/>
  <c r="M9" i="90"/>
  <c r="P9" i="90"/>
  <c r="O9" i="90"/>
  <c r="F28" i="90"/>
  <c r="C74" i="91" s="1"/>
  <c r="M28" i="90"/>
  <c r="B130" i="91" s="1"/>
  <c r="N28" i="90"/>
  <c r="C130" i="91" s="1"/>
  <c r="O28" i="90"/>
  <c r="B144" i="91" s="1"/>
  <c r="P28" i="90"/>
  <c r="C144" i="91" s="1"/>
  <c r="D26" i="90"/>
  <c r="J26" i="90" s="1"/>
  <c r="C100" i="91" s="1"/>
  <c r="AC16" i="90"/>
  <c r="AD16" i="90"/>
  <c r="D43" i="90"/>
  <c r="L43" i="90" s="1"/>
  <c r="D45" i="90"/>
  <c r="D40" i="90"/>
  <c r="D41" i="90"/>
  <c r="D23" i="90"/>
  <c r="F23" i="90" s="1"/>
  <c r="C69" i="91" s="1"/>
  <c r="D42" i="90"/>
  <c r="F42" i="90" s="1"/>
  <c r="D49" i="90"/>
  <c r="E44" i="90"/>
  <c r="G44" i="90"/>
  <c r="D50" i="90"/>
  <c r="I44" i="90"/>
  <c r="D24" i="90"/>
  <c r="D27" i="90"/>
  <c r="D25" i="90"/>
  <c r="G25" i="90" s="1"/>
  <c r="B85" i="91" s="1"/>
  <c r="D8" i="90"/>
  <c r="K9" i="90"/>
  <c r="J9" i="90"/>
  <c r="G9" i="90"/>
  <c r="L9" i="90"/>
  <c r="I9" i="90"/>
  <c r="F9" i="90"/>
  <c r="H9" i="90"/>
  <c r="E9" i="90"/>
  <c r="D7" i="90"/>
  <c r="D16" i="90"/>
  <c r="D6" i="90"/>
  <c r="D11" i="90"/>
  <c r="D10" i="90"/>
  <c r="E28" i="90"/>
  <c r="B74" i="91" s="1"/>
  <c r="L28" i="90"/>
  <c r="C116" i="91" s="1"/>
  <c r="K28" i="90"/>
  <c r="B116" i="91" s="1"/>
  <c r="J28" i="90"/>
  <c r="C102" i="91" s="1"/>
  <c r="I28" i="90"/>
  <c r="B102" i="91" s="1"/>
  <c r="H28" i="90"/>
  <c r="C88" i="91" s="1"/>
  <c r="G28" i="90"/>
  <c r="B88" i="91" s="1"/>
  <c r="C68" i="90"/>
  <c r="D32" i="90"/>
  <c r="D33" i="90"/>
  <c r="H44" i="90"/>
  <c r="C63" i="90"/>
  <c r="D61" i="90" s="1"/>
  <c r="J44" i="90"/>
  <c r="K44" i="90"/>
  <c r="L44" i="90"/>
  <c r="E79" i="89"/>
  <c r="H79" i="89"/>
  <c r="I107" i="89"/>
  <c r="I79" i="89"/>
  <c r="G177" i="89"/>
  <c r="J177" i="89" s="1"/>
  <c r="G121" i="89"/>
  <c r="D75" i="89"/>
  <c r="D79" i="89"/>
  <c r="D89" i="89"/>
  <c r="D159" i="89"/>
  <c r="D93" i="89"/>
  <c r="D103" i="89"/>
  <c r="F159" i="89"/>
  <c r="F89" i="89"/>
  <c r="F117" i="89"/>
  <c r="F173" i="89"/>
  <c r="D173" i="89"/>
  <c r="F107" i="89"/>
  <c r="E177" i="89"/>
  <c r="K173" i="89"/>
  <c r="M105" i="50"/>
  <c r="Q79" i="55"/>
  <c r="P83" i="55"/>
  <c r="G75" i="89"/>
  <c r="G159" i="89"/>
  <c r="G163" i="89"/>
  <c r="I173" i="89"/>
  <c r="Q68" i="54"/>
  <c r="P128" i="63"/>
  <c r="J142" i="63"/>
  <c r="H75" i="89"/>
  <c r="H89" i="89"/>
  <c r="H163" i="89"/>
  <c r="H177" i="89"/>
  <c r="K177" i="89" s="1"/>
  <c r="C186" i="88"/>
  <c r="K186" i="88"/>
  <c r="I75" i="89"/>
  <c r="I89" i="89"/>
  <c r="H93" i="89"/>
  <c r="H103" i="89"/>
  <c r="I159" i="89"/>
  <c r="I163" i="89"/>
  <c r="I177" i="89"/>
  <c r="B187" i="89"/>
  <c r="P105" i="50"/>
  <c r="N149" i="61"/>
  <c r="L186" i="88"/>
  <c r="I103" i="89"/>
  <c r="C187" i="89"/>
  <c r="B191" i="89"/>
  <c r="M186" i="88"/>
  <c r="I117" i="89"/>
  <c r="G79" i="89"/>
  <c r="E75" i="89"/>
  <c r="J173" i="89"/>
  <c r="V2" i="89"/>
  <c r="G107" i="89"/>
  <c r="H121" i="89"/>
  <c r="G93" i="89"/>
  <c r="H107" i="89"/>
  <c r="E156" i="89"/>
  <c r="E92" i="89"/>
  <c r="E91" i="89"/>
  <c r="E155" i="89"/>
  <c r="G117" i="89"/>
  <c r="E154" i="89"/>
  <c r="H159" i="89"/>
  <c r="E183" i="89"/>
  <c r="G103" i="89"/>
  <c r="H117" i="89"/>
  <c r="E153" i="89"/>
  <c r="J175" i="89"/>
  <c r="E85" i="89"/>
  <c r="G89" i="89"/>
  <c r="G173" i="89"/>
  <c r="E84" i="89"/>
  <c r="H173" i="89"/>
  <c r="N10" i="66"/>
  <c r="E138" i="72"/>
  <c r="O128" i="22"/>
  <c r="G103" i="37"/>
  <c r="E113" i="39"/>
  <c r="E88" i="47"/>
  <c r="J81" i="50"/>
  <c r="G93" i="50"/>
  <c r="J107" i="56"/>
  <c r="I168" i="56"/>
  <c r="E126" i="57"/>
  <c r="E129" i="60"/>
  <c r="C128" i="61"/>
  <c r="O128" i="61"/>
  <c r="D44" i="81"/>
  <c r="J44" i="81" s="1"/>
  <c r="C109" i="84" s="1"/>
  <c r="K109" i="84" s="1"/>
  <c r="I142" i="63"/>
  <c r="E173" i="83"/>
  <c r="AV33" i="23"/>
  <c r="AV36" i="23"/>
  <c r="C148" i="63" s="1"/>
  <c r="J105" i="6"/>
  <c r="F101" i="7"/>
  <c r="K116" i="22"/>
  <c r="Q103" i="37"/>
  <c r="F68" i="3"/>
  <c r="E71" i="3"/>
  <c r="L107" i="6"/>
  <c r="N106" i="6"/>
  <c r="F104" i="7"/>
  <c r="I56" i="15"/>
  <c r="J111" i="25"/>
  <c r="C92" i="22"/>
  <c r="G114" i="45"/>
  <c r="E117" i="50"/>
  <c r="F119" i="53"/>
  <c r="I186" i="88"/>
  <c r="L70" i="47"/>
  <c r="E76" i="47"/>
  <c r="G105" i="50"/>
  <c r="B107" i="56"/>
  <c r="G122" i="56"/>
  <c r="Q122" i="56"/>
  <c r="C131" i="58"/>
  <c r="B143" i="60"/>
  <c r="F181" i="61"/>
  <c r="I24" i="73"/>
  <c r="B104" i="74" s="1"/>
  <c r="J104" i="74" s="1"/>
  <c r="E142" i="62"/>
  <c r="L120" i="63"/>
  <c r="G128" i="63"/>
  <c r="D180" i="64"/>
  <c r="F185" i="69"/>
  <c r="D98" i="76"/>
  <c r="G70" i="3"/>
  <c r="J69" i="3"/>
  <c r="H100" i="45"/>
  <c r="G98" i="49"/>
  <c r="L94" i="53"/>
  <c r="K98" i="53"/>
  <c r="F71" i="55"/>
  <c r="B79" i="55"/>
  <c r="N79" i="55"/>
  <c r="M83" i="55"/>
  <c r="G119" i="55"/>
  <c r="C168" i="56"/>
  <c r="L168" i="56"/>
  <c r="M130" i="57"/>
  <c r="N145" i="57"/>
  <c r="L121" i="58"/>
  <c r="E163" i="58"/>
  <c r="D47" i="86"/>
  <c r="G47" i="86" s="1"/>
  <c r="B94" i="88" s="1"/>
  <c r="J94" i="88" s="1"/>
  <c r="O7" i="66"/>
  <c r="J24" i="73"/>
  <c r="C104" i="74" s="1"/>
  <c r="K104" i="74" s="1"/>
  <c r="L121" i="62"/>
  <c r="K123" i="62"/>
  <c r="G142" i="62"/>
  <c r="C142" i="64"/>
  <c r="E180" i="64"/>
  <c r="D156" i="70"/>
  <c r="D96" i="79"/>
  <c r="F172" i="80"/>
  <c r="F179" i="82"/>
  <c r="E137" i="83"/>
  <c r="D180" i="84"/>
  <c r="G13" i="9"/>
  <c r="C89" i="22"/>
  <c r="C88" i="15"/>
  <c r="I88" i="15" s="1"/>
  <c r="E117" i="17"/>
  <c r="C99" i="22"/>
  <c r="B101" i="22"/>
  <c r="K101" i="22" s="1"/>
  <c r="M101" i="35"/>
  <c r="P102" i="37"/>
  <c r="K62" i="47"/>
  <c r="K75" i="53"/>
  <c r="O129" i="69"/>
  <c r="F174" i="82"/>
  <c r="D133" i="84"/>
  <c r="E180" i="84"/>
  <c r="F179" i="87"/>
  <c r="AR40" i="23"/>
  <c r="C154" i="62" s="1"/>
  <c r="C156" i="62" s="1"/>
  <c r="F102" i="15"/>
  <c r="G135" i="2"/>
  <c r="G136" i="2" s="1"/>
  <c r="C85" i="22"/>
  <c r="C87" i="22"/>
  <c r="L87" i="22" s="1"/>
  <c r="B55" i="3"/>
  <c r="B68" i="3" s="1"/>
  <c r="M122" i="17"/>
  <c r="C103" i="22"/>
  <c r="L103" i="22" s="1"/>
  <c r="M103" i="37"/>
  <c r="E100" i="38"/>
  <c r="L69" i="3"/>
  <c r="C49" i="3"/>
  <c r="C50" i="3" s="1"/>
  <c r="D72" i="3"/>
  <c r="D53" i="7"/>
  <c r="E108" i="41"/>
  <c r="G99" i="41"/>
  <c r="K111" i="50"/>
  <c r="G96" i="53"/>
  <c r="Q96" i="53"/>
  <c r="G107" i="56"/>
  <c r="K130" i="56"/>
  <c r="E168" i="56"/>
  <c r="L129" i="57"/>
  <c r="E145" i="57"/>
  <c r="L159" i="57"/>
  <c r="G143" i="60"/>
  <c r="K150" i="60"/>
  <c r="K119" i="61"/>
  <c r="E142" i="61"/>
  <c r="L26" i="81"/>
  <c r="C124" i="83" s="1"/>
  <c r="D40" i="81"/>
  <c r="L40" i="81" s="1"/>
  <c r="C128" i="62"/>
  <c r="O128" i="62"/>
  <c r="E134" i="64"/>
  <c r="F142" i="64"/>
  <c r="G180" i="64"/>
  <c r="H172" i="80"/>
  <c r="AJ37" i="23"/>
  <c r="AJ38" i="23"/>
  <c r="C148" i="61" s="1"/>
  <c r="I172" i="80"/>
  <c r="D84" i="82"/>
  <c r="I179" i="82"/>
  <c r="D179" i="85"/>
  <c r="K117" i="19"/>
  <c r="K125" i="19"/>
  <c r="C112" i="22"/>
  <c r="L112" i="22" s="1"/>
  <c r="B113" i="22"/>
  <c r="K113" i="22" s="1"/>
  <c r="C114" i="22"/>
  <c r="L114" i="22" s="1"/>
  <c r="B115" i="22"/>
  <c r="K115" i="22" s="1"/>
  <c r="J129" i="22"/>
  <c r="B117" i="22"/>
  <c r="K25" i="1"/>
  <c r="B54" i="3"/>
  <c r="N54" i="3" s="1"/>
  <c r="L59" i="3"/>
  <c r="K97" i="6"/>
  <c r="B80" i="7"/>
  <c r="B81" i="7" s="1"/>
  <c r="H81" i="7" s="1"/>
  <c r="B126" i="19"/>
  <c r="H22" i="1"/>
  <c r="H20" i="9"/>
  <c r="B68" i="6"/>
  <c r="N68" i="6" s="1"/>
  <c r="N107" i="6" s="1"/>
  <c r="L84" i="6"/>
  <c r="C79" i="6"/>
  <c r="L97" i="6"/>
  <c r="C100" i="6"/>
  <c r="C101" i="6" s="1"/>
  <c r="E51" i="9"/>
  <c r="L103" i="7"/>
  <c r="L73" i="25"/>
  <c r="E170" i="61"/>
  <c r="D43" i="86"/>
  <c r="I43" i="86" s="1"/>
  <c r="B107" i="88" s="1"/>
  <c r="J107" i="88" s="1"/>
  <c r="D9" i="81"/>
  <c r="K9" i="81" s="1"/>
  <c r="N25" i="66"/>
  <c r="M30" i="66"/>
  <c r="H8" i="73"/>
  <c r="C89" i="72" s="1"/>
  <c r="K89" i="72" s="1"/>
  <c r="E6" i="67"/>
  <c r="J119" i="64"/>
  <c r="J121" i="64"/>
  <c r="T46" i="78"/>
  <c r="E151" i="68"/>
  <c r="E113" i="74"/>
  <c r="F110" i="79"/>
  <c r="AR24" i="23"/>
  <c r="X22" i="23"/>
  <c r="O31" i="73"/>
  <c r="E113" i="87"/>
  <c r="AN7" i="23"/>
  <c r="X8" i="23"/>
  <c r="AV16" i="86"/>
  <c r="S31" i="73"/>
  <c r="F156" i="64"/>
  <c r="E22" i="78"/>
  <c r="B72" i="79" s="1"/>
  <c r="M153" i="80"/>
  <c r="D116" i="82"/>
  <c r="F132" i="82"/>
  <c r="M130" i="2"/>
  <c r="B70" i="6"/>
  <c r="C8" i="9" s="1"/>
  <c r="G115" i="17"/>
  <c r="C101" i="17"/>
  <c r="O110" i="25"/>
  <c r="C75" i="25"/>
  <c r="C77" i="25" s="1"/>
  <c r="C119" i="25" s="1"/>
  <c r="F108" i="22"/>
  <c r="G62" i="49"/>
  <c r="G82" i="49"/>
  <c r="G8" i="66"/>
  <c r="N13" i="66"/>
  <c r="E27" i="66"/>
  <c r="B122" i="69" s="1"/>
  <c r="J122" i="69" s="1"/>
  <c r="F41" i="73"/>
  <c r="C75" i="75" s="1"/>
  <c r="E143" i="74"/>
  <c r="F160" i="83"/>
  <c r="F6" i="9"/>
  <c r="G107" i="6"/>
  <c r="C74" i="6"/>
  <c r="C75" i="6" s="1"/>
  <c r="J29" i="1"/>
  <c r="J30" i="1" s="1"/>
  <c r="H5" i="9"/>
  <c r="B41" i="3"/>
  <c r="N105" i="6"/>
  <c r="P103" i="7"/>
  <c r="K104" i="7"/>
  <c r="Q104" i="7"/>
  <c r="H55" i="15"/>
  <c r="J98" i="15"/>
  <c r="P98" i="15"/>
  <c r="E100" i="15"/>
  <c r="I60" i="15"/>
  <c r="F101" i="17"/>
  <c r="G109" i="25"/>
  <c r="H129" i="22"/>
  <c r="P129" i="22"/>
  <c r="G122" i="22"/>
  <c r="F79" i="38"/>
  <c r="F109" i="38" s="1"/>
  <c r="F101" i="39"/>
  <c r="F103" i="39" s="1"/>
  <c r="E111" i="44"/>
  <c r="G74" i="49"/>
  <c r="L69" i="53"/>
  <c r="C77" i="53"/>
  <c r="K69" i="55"/>
  <c r="D107" i="55"/>
  <c r="L106" i="55"/>
  <c r="L102" i="56"/>
  <c r="B133" i="56"/>
  <c r="E137" i="56"/>
  <c r="C141" i="57"/>
  <c r="L143" i="57"/>
  <c r="C160" i="57"/>
  <c r="K159" i="57"/>
  <c r="K145" i="58"/>
  <c r="K146" i="58"/>
  <c r="L161" i="58"/>
  <c r="B157" i="60"/>
  <c r="L127" i="61"/>
  <c r="B152" i="61"/>
  <c r="AE16" i="81"/>
  <c r="Q16" i="81" s="1"/>
  <c r="P13" i="66"/>
  <c r="F27" i="66"/>
  <c r="C122" i="69" s="1"/>
  <c r="K122" i="69" s="1"/>
  <c r="G41" i="73"/>
  <c r="B90" i="75" s="1"/>
  <c r="J90" i="75" s="1"/>
  <c r="E9" i="67"/>
  <c r="F20" i="67"/>
  <c r="AR36" i="23"/>
  <c r="C148" i="62" s="1"/>
  <c r="L148" i="62" s="1"/>
  <c r="AJ39" i="23"/>
  <c r="C147" i="61" s="1"/>
  <c r="AV40" i="23"/>
  <c r="C154" i="63" s="1"/>
  <c r="E95" i="17"/>
  <c r="E103" i="43"/>
  <c r="G111" i="49"/>
  <c r="K80" i="50"/>
  <c r="N6" i="66"/>
  <c r="O9" i="66"/>
  <c r="P30" i="73"/>
  <c r="H41" i="73"/>
  <c r="C90" i="75" s="1"/>
  <c r="K90" i="75" s="1"/>
  <c r="K134" i="62"/>
  <c r="F170" i="63"/>
  <c r="K133" i="63"/>
  <c r="K135" i="63"/>
  <c r="E98" i="87"/>
  <c r="F174" i="87"/>
  <c r="AR34" i="23"/>
  <c r="C146" i="62" s="1"/>
  <c r="AZ40" i="23"/>
  <c r="AN22" i="23"/>
  <c r="H32" i="23"/>
  <c r="C98" i="50" s="1"/>
  <c r="L98" i="50" s="1"/>
  <c r="W39" i="23"/>
  <c r="E177" i="88"/>
  <c r="M99" i="41"/>
  <c r="O161" i="58"/>
  <c r="K117" i="76"/>
  <c r="D122" i="47"/>
  <c r="O106" i="35"/>
  <c r="O107" i="35" s="1"/>
  <c r="M112" i="38"/>
  <c r="M113" i="38" s="1"/>
  <c r="K110" i="50"/>
  <c r="P78" i="54"/>
  <c r="N105" i="55"/>
  <c r="M106" i="55"/>
  <c r="L117" i="56"/>
  <c r="C126" i="47"/>
  <c r="O93" i="49"/>
  <c r="P97" i="49"/>
  <c r="I128" i="75"/>
  <c r="O117" i="43"/>
  <c r="L104" i="44"/>
  <c r="O116" i="50"/>
  <c r="Q110" i="53"/>
  <c r="J95" i="55"/>
  <c r="L191" i="57"/>
  <c r="H156" i="64"/>
  <c r="K184" i="64"/>
  <c r="L143" i="75"/>
  <c r="I105" i="37"/>
  <c r="L105" i="37" s="1"/>
  <c r="O78" i="54"/>
  <c r="N95" i="55"/>
  <c r="L162" i="58"/>
  <c r="M59" i="3"/>
  <c r="M107" i="6"/>
  <c r="M110" i="6" s="1"/>
  <c r="M22" i="1"/>
  <c r="M25" i="1"/>
  <c r="B104" i="2"/>
  <c r="L130" i="2"/>
  <c r="K135" i="2"/>
  <c r="K136" i="2" s="1"/>
  <c r="L67" i="3"/>
  <c r="L70" i="3"/>
  <c r="K59" i="3"/>
  <c r="B62" i="3"/>
  <c r="B63" i="3" s="1"/>
  <c r="C81" i="6"/>
  <c r="I81" i="6" s="1"/>
  <c r="J100" i="7"/>
  <c r="P100" i="7"/>
  <c r="B73" i="7"/>
  <c r="E103" i="7"/>
  <c r="L100" i="7"/>
  <c r="N102" i="7"/>
  <c r="I59" i="15"/>
  <c r="H60" i="15"/>
  <c r="F87" i="17"/>
  <c r="B70" i="17"/>
  <c r="E115" i="17"/>
  <c r="I115" i="17"/>
  <c r="N117" i="17"/>
  <c r="P118" i="17"/>
  <c r="P126" i="19"/>
  <c r="M128" i="22"/>
  <c r="L100" i="22"/>
  <c r="E89" i="41"/>
  <c r="J112" i="43"/>
  <c r="E113" i="43"/>
  <c r="G117" i="43"/>
  <c r="G113" i="47"/>
  <c r="F130" i="50"/>
  <c r="B94" i="17"/>
  <c r="K94" i="17" s="1"/>
  <c r="M130" i="22"/>
  <c r="M131" i="22"/>
  <c r="M135" i="22"/>
  <c r="F75" i="39"/>
  <c r="F92" i="49"/>
  <c r="K76" i="50"/>
  <c r="J129" i="2"/>
  <c r="F91" i="7"/>
  <c r="K24" i="1"/>
  <c r="L128" i="2"/>
  <c r="C57" i="3"/>
  <c r="I57" i="3" s="1"/>
  <c r="F84" i="6"/>
  <c r="I84" i="6" s="1"/>
  <c r="M97" i="6"/>
  <c r="B92" i="6"/>
  <c r="C34" i="9" s="1"/>
  <c r="I34" i="9" s="1"/>
  <c r="F102" i="7"/>
  <c r="F77" i="7"/>
  <c r="Q102" i="7"/>
  <c r="Q103" i="7"/>
  <c r="B69" i="15"/>
  <c r="C84" i="15"/>
  <c r="B85" i="15"/>
  <c r="H85" i="15" s="1"/>
  <c r="B86" i="15"/>
  <c r="H86" i="15" s="1"/>
  <c r="M101" i="15"/>
  <c r="E121" i="17"/>
  <c r="N122" i="19"/>
  <c r="N112" i="25"/>
  <c r="O114" i="25"/>
  <c r="H87" i="25"/>
  <c r="K87" i="25" s="1"/>
  <c r="O118" i="25"/>
  <c r="O129" i="22"/>
  <c r="G130" i="22"/>
  <c r="G131" i="22"/>
  <c r="G135" i="22"/>
  <c r="N135" i="22"/>
  <c r="C117" i="22"/>
  <c r="L117" i="22" s="1"/>
  <c r="E84" i="35"/>
  <c r="G103" i="35"/>
  <c r="P106" i="35"/>
  <c r="P107" i="35" s="1"/>
  <c r="E107" i="38"/>
  <c r="J109" i="38"/>
  <c r="G103" i="43"/>
  <c r="E102" i="44"/>
  <c r="F91" i="45"/>
  <c r="Q102" i="15"/>
  <c r="L23" i="1"/>
  <c r="F4" i="9"/>
  <c r="F49" i="9" s="1"/>
  <c r="H19" i="9"/>
  <c r="H116" i="2"/>
  <c r="G68" i="3"/>
  <c r="C55" i="3"/>
  <c r="J97" i="6"/>
  <c r="C89" i="17"/>
  <c r="B99" i="17"/>
  <c r="K99" i="17" s="1"/>
  <c r="K121" i="19"/>
  <c r="N126" i="19"/>
  <c r="E117" i="25"/>
  <c r="Q128" i="22"/>
  <c r="P135" i="22"/>
  <c r="I106" i="35"/>
  <c r="I107" i="35" s="1"/>
  <c r="L107" i="35" s="1"/>
  <c r="Q99" i="41"/>
  <c r="G116" i="44"/>
  <c r="G112" i="44"/>
  <c r="L75" i="47"/>
  <c r="F107" i="49"/>
  <c r="E70" i="49"/>
  <c r="K106" i="6"/>
  <c r="C24" i="1"/>
  <c r="E129" i="2"/>
  <c r="M129" i="2"/>
  <c r="K130" i="2"/>
  <c r="J131" i="2"/>
  <c r="C114" i="2"/>
  <c r="I114" i="2" s="1"/>
  <c r="B117" i="2"/>
  <c r="J68" i="3"/>
  <c r="K70" i="3"/>
  <c r="J59" i="3"/>
  <c r="G105" i="6"/>
  <c r="P102" i="7"/>
  <c r="C58" i="7"/>
  <c r="I58" i="7" s="1"/>
  <c r="B75" i="7"/>
  <c r="H75" i="7" s="1"/>
  <c r="D51" i="15"/>
  <c r="F98" i="15"/>
  <c r="E99" i="15"/>
  <c r="I58" i="15"/>
  <c r="N100" i="15"/>
  <c r="C74" i="17"/>
  <c r="L74" i="17" s="1"/>
  <c r="B75" i="17"/>
  <c r="K75" i="17" s="1"/>
  <c r="C103" i="17"/>
  <c r="L103" i="17" s="1"/>
  <c r="L121" i="19"/>
  <c r="O126" i="19"/>
  <c r="H112" i="25"/>
  <c r="K112" i="25" s="1"/>
  <c r="L81" i="25"/>
  <c r="P111" i="25"/>
  <c r="E127" i="22"/>
  <c r="C86" i="22"/>
  <c r="L86" i="22" s="1"/>
  <c r="I135" i="22"/>
  <c r="G108" i="22"/>
  <c r="D136" i="22"/>
  <c r="G101" i="35"/>
  <c r="J102" i="37"/>
  <c r="E103" i="37"/>
  <c r="G105" i="37"/>
  <c r="N109" i="38"/>
  <c r="H110" i="44"/>
  <c r="F64" i="47"/>
  <c r="E64" i="47"/>
  <c r="G128" i="62"/>
  <c r="AJ26" i="23"/>
  <c r="AR28" i="23"/>
  <c r="G38" i="23"/>
  <c r="B115" i="50" s="1"/>
  <c r="K115" i="50" s="1"/>
  <c r="K99" i="45"/>
  <c r="E62" i="49"/>
  <c r="E86" i="49"/>
  <c r="L120" i="49"/>
  <c r="M143" i="50"/>
  <c r="P105" i="53"/>
  <c r="M78" i="54"/>
  <c r="E107" i="55"/>
  <c r="G118" i="56"/>
  <c r="K117" i="56"/>
  <c r="D160" i="57"/>
  <c r="L123" i="58"/>
  <c r="G179" i="58"/>
  <c r="K134" i="61"/>
  <c r="K135" i="61"/>
  <c r="D9" i="86"/>
  <c r="K9" i="86" s="1"/>
  <c r="B123" i="85" s="1"/>
  <c r="J123" i="85" s="1"/>
  <c r="N8" i="66"/>
  <c r="P10" i="66"/>
  <c r="M40" i="66"/>
  <c r="H41" i="66"/>
  <c r="J64" i="66"/>
  <c r="R30" i="73"/>
  <c r="D60" i="67"/>
  <c r="K119" i="63"/>
  <c r="K121" i="64"/>
  <c r="E166" i="64"/>
  <c r="E8" i="78"/>
  <c r="B74" i="76" s="1"/>
  <c r="J74" i="76" s="1"/>
  <c r="I22" i="78"/>
  <c r="B100" i="79" s="1"/>
  <c r="G25" i="78"/>
  <c r="B89" i="79" s="1"/>
  <c r="J89" i="79" s="1"/>
  <c r="D128" i="74"/>
  <c r="F83" i="76"/>
  <c r="J120" i="76"/>
  <c r="E143" i="76"/>
  <c r="E145" i="79"/>
  <c r="F134" i="79"/>
  <c r="V2" i="83"/>
  <c r="E165" i="83"/>
  <c r="D164" i="87"/>
  <c r="E89" i="88"/>
  <c r="AJ36" i="23"/>
  <c r="C146" i="61" s="1"/>
  <c r="L146" i="61" s="1"/>
  <c r="AZ37" i="23"/>
  <c r="W15" i="23"/>
  <c r="L86" i="45"/>
  <c r="L88" i="45"/>
  <c r="L58" i="47"/>
  <c r="K59" i="47"/>
  <c r="E72" i="47"/>
  <c r="K86" i="47"/>
  <c r="G86" i="49"/>
  <c r="K74" i="50"/>
  <c r="K75" i="50"/>
  <c r="E81" i="50"/>
  <c r="L88" i="50"/>
  <c r="K92" i="50"/>
  <c r="L110" i="50"/>
  <c r="E73" i="53"/>
  <c r="L71" i="53"/>
  <c r="K72" i="53"/>
  <c r="M110" i="53"/>
  <c r="L81" i="53"/>
  <c r="K82" i="53"/>
  <c r="L88" i="53"/>
  <c r="D111" i="53"/>
  <c r="D135" i="53"/>
  <c r="L53" i="54"/>
  <c r="F95" i="54"/>
  <c r="K64" i="55"/>
  <c r="K76" i="55"/>
  <c r="K78" i="55"/>
  <c r="G83" i="55"/>
  <c r="L99" i="55"/>
  <c r="L102" i="55"/>
  <c r="N129" i="56"/>
  <c r="G152" i="56"/>
  <c r="L149" i="57"/>
  <c r="G156" i="57"/>
  <c r="L152" i="57"/>
  <c r="K126" i="58"/>
  <c r="K152" i="58"/>
  <c r="K136" i="60"/>
  <c r="B153" i="60"/>
  <c r="L134" i="61"/>
  <c r="G156" i="61"/>
  <c r="D8" i="86"/>
  <c r="H8" i="86" s="1"/>
  <c r="C90" i="85" s="1"/>
  <c r="K90" i="85" s="1"/>
  <c r="D42" i="86"/>
  <c r="K42" i="86" s="1"/>
  <c r="D16" i="81"/>
  <c r="N7" i="66"/>
  <c r="P8" i="66"/>
  <c r="T8" i="66" s="1"/>
  <c r="N40" i="66"/>
  <c r="J134" i="70"/>
  <c r="M44" i="66"/>
  <c r="K132" i="62"/>
  <c r="E156" i="62"/>
  <c r="D52" i="67"/>
  <c r="L118" i="63"/>
  <c r="K122" i="64"/>
  <c r="H8" i="78"/>
  <c r="H25" i="78"/>
  <c r="C89" i="79" s="1"/>
  <c r="K89" i="79" s="1"/>
  <c r="L170" i="68"/>
  <c r="E74" i="72"/>
  <c r="D98" i="72"/>
  <c r="M157" i="74"/>
  <c r="F157" i="75"/>
  <c r="G83" i="76"/>
  <c r="J82" i="76"/>
  <c r="J97" i="76"/>
  <c r="C128" i="76"/>
  <c r="N143" i="76"/>
  <c r="D82" i="79"/>
  <c r="L82" i="79"/>
  <c r="K95" i="79"/>
  <c r="E139" i="79"/>
  <c r="F78" i="80"/>
  <c r="G148" i="82"/>
  <c r="E98" i="85"/>
  <c r="N170" i="88"/>
  <c r="AN8" i="23"/>
  <c r="AJ15" i="23"/>
  <c r="AI41" i="23"/>
  <c r="F119" i="55"/>
  <c r="T33" i="86"/>
  <c r="P40" i="66"/>
  <c r="M42" i="66"/>
  <c r="I8" i="78"/>
  <c r="B104" i="76" s="1"/>
  <c r="J104" i="76" s="1"/>
  <c r="E170" i="68"/>
  <c r="D116" i="85"/>
  <c r="F100" i="87"/>
  <c r="F132" i="87"/>
  <c r="D143" i="87"/>
  <c r="F148" i="87"/>
  <c r="E175" i="88"/>
  <c r="AJ43" i="23"/>
  <c r="AN23" i="23"/>
  <c r="P40" i="23"/>
  <c r="E89" i="53"/>
  <c r="E79" i="54"/>
  <c r="E83" i="54"/>
  <c r="L121" i="56"/>
  <c r="C137" i="56"/>
  <c r="K138" i="58"/>
  <c r="E175" i="58"/>
  <c r="L119" i="60"/>
  <c r="K121" i="60"/>
  <c r="L138" i="60"/>
  <c r="K146" i="61"/>
  <c r="D10" i="86"/>
  <c r="L10" i="86" s="1"/>
  <c r="C124" i="85" s="1"/>
  <c r="K124" i="85" s="1"/>
  <c r="U33" i="86"/>
  <c r="D45" i="86"/>
  <c r="F6" i="66"/>
  <c r="J6" i="66" s="1"/>
  <c r="T46" i="73"/>
  <c r="C64" i="73"/>
  <c r="D62" i="73" s="1"/>
  <c r="G166" i="62"/>
  <c r="G20" i="67"/>
  <c r="L126" i="63"/>
  <c r="E170" i="63"/>
  <c r="F181" i="63"/>
  <c r="E24" i="78"/>
  <c r="B74" i="79" s="1"/>
  <c r="J74" i="79" s="1"/>
  <c r="K120" i="68"/>
  <c r="J122" i="68"/>
  <c r="J134" i="68"/>
  <c r="F98" i="74"/>
  <c r="D93" i="76"/>
  <c r="M113" i="76"/>
  <c r="F106" i="79"/>
  <c r="F113" i="80"/>
  <c r="I149" i="84"/>
  <c r="K94" i="47"/>
  <c r="K98" i="47"/>
  <c r="E74" i="49"/>
  <c r="E77" i="50"/>
  <c r="L92" i="50"/>
  <c r="B143" i="50"/>
  <c r="K104" i="53"/>
  <c r="F89" i="54"/>
  <c r="L56" i="54"/>
  <c r="Q78" i="54"/>
  <c r="G79" i="54"/>
  <c r="L78" i="54"/>
  <c r="K87" i="55"/>
  <c r="B95" i="55"/>
  <c r="E103" i="55"/>
  <c r="K101" i="55"/>
  <c r="I131" i="55"/>
  <c r="F106" i="56"/>
  <c r="L128" i="56"/>
  <c r="F125" i="57"/>
  <c r="F119" i="57"/>
  <c r="F120" i="57"/>
  <c r="C156" i="57"/>
  <c r="J156" i="57"/>
  <c r="B160" i="57"/>
  <c r="L158" i="57"/>
  <c r="F119" i="58"/>
  <c r="G163" i="58"/>
  <c r="L120" i="60"/>
  <c r="L155" i="60"/>
  <c r="K156" i="60"/>
  <c r="C186" i="60"/>
  <c r="D7" i="86"/>
  <c r="I7" i="86" s="1"/>
  <c r="B105" i="85" s="1"/>
  <c r="J105" i="85" s="1"/>
  <c r="D34" i="86"/>
  <c r="AH8" i="81"/>
  <c r="T8" i="81" s="1"/>
  <c r="AH10" i="81"/>
  <c r="T10" i="81" s="1"/>
  <c r="AE15" i="81"/>
  <c r="M6" i="66"/>
  <c r="E8" i="66"/>
  <c r="D16" i="66"/>
  <c r="H27" i="66"/>
  <c r="C137" i="69" s="1"/>
  <c r="K137" i="69" s="1"/>
  <c r="F41" i="66"/>
  <c r="P43" i="66"/>
  <c r="T43" i="66" s="1"/>
  <c r="P47" i="66"/>
  <c r="E8" i="73"/>
  <c r="B74" i="72" s="1"/>
  <c r="K140" i="62"/>
  <c r="B156" i="62"/>
  <c r="J156" i="62"/>
  <c r="L155" i="62"/>
  <c r="G170" i="63"/>
  <c r="E137" i="64"/>
  <c r="G24" i="78"/>
  <c r="B88" i="79" s="1"/>
  <c r="C64" i="78"/>
  <c r="D63" i="78" s="1"/>
  <c r="K122" i="68"/>
  <c r="J136" i="68"/>
  <c r="D144" i="69"/>
  <c r="E191" i="70"/>
  <c r="N152" i="70"/>
  <c r="D78" i="72"/>
  <c r="F123" i="76"/>
  <c r="D98" i="80"/>
  <c r="D123" i="80"/>
  <c r="E158" i="80"/>
  <c r="D144" i="83"/>
  <c r="V2" i="84"/>
  <c r="X5" i="23"/>
  <c r="AZ34" i="23"/>
  <c r="W40" i="23"/>
  <c r="N150" i="57"/>
  <c r="P159" i="57"/>
  <c r="L152" i="72"/>
  <c r="G157" i="72"/>
  <c r="N128" i="74"/>
  <c r="N123" i="75"/>
  <c r="G152" i="76"/>
  <c r="O96" i="79"/>
  <c r="I153" i="79"/>
  <c r="L179" i="82"/>
  <c r="N149" i="84"/>
  <c r="L180" i="84"/>
  <c r="I103" i="37"/>
  <c r="L103" i="37" s="1"/>
  <c r="M113" i="39"/>
  <c r="O99" i="41"/>
  <c r="I78" i="45"/>
  <c r="L81" i="45"/>
  <c r="J101" i="50"/>
  <c r="N123" i="53"/>
  <c r="N154" i="57"/>
  <c r="I196" i="58"/>
  <c r="J156" i="61"/>
  <c r="B185" i="61"/>
  <c r="K88" i="75"/>
  <c r="H129" i="70"/>
  <c r="G157" i="74"/>
  <c r="I83" i="75"/>
  <c r="M157" i="76"/>
  <c r="J157" i="76"/>
  <c r="P78" i="79"/>
  <c r="O100" i="82"/>
  <c r="M180" i="84"/>
  <c r="G179" i="85"/>
  <c r="Q102" i="35"/>
  <c r="M76" i="47"/>
  <c r="O88" i="47"/>
  <c r="M96" i="49"/>
  <c r="N104" i="53"/>
  <c r="J61" i="54"/>
  <c r="N128" i="56"/>
  <c r="I171" i="57"/>
  <c r="L171" i="57" s="1"/>
  <c r="N147" i="58"/>
  <c r="J104" i="75"/>
  <c r="Q128" i="63"/>
  <c r="M142" i="63"/>
  <c r="N128" i="64"/>
  <c r="N160" i="70"/>
  <c r="G96" i="79"/>
  <c r="I110" i="79"/>
  <c r="H120" i="79"/>
  <c r="P116" i="87"/>
  <c r="O100" i="45"/>
  <c r="L76" i="50"/>
  <c r="N112" i="50"/>
  <c r="P100" i="53"/>
  <c r="P77" i="54"/>
  <c r="I68" i="54"/>
  <c r="L68" i="54" s="1"/>
  <c r="N72" i="54"/>
  <c r="M136" i="56"/>
  <c r="N168" i="56"/>
  <c r="P145" i="57"/>
  <c r="H131" i="58"/>
  <c r="H128" i="63"/>
  <c r="B184" i="64"/>
  <c r="G180" i="68"/>
  <c r="P153" i="69"/>
  <c r="G185" i="69"/>
  <c r="G152" i="72"/>
  <c r="B157" i="72"/>
  <c r="J157" i="72"/>
  <c r="G157" i="76"/>
  <c r="N93" i="80"/>
  <c r="H159" i="82"/>
  <c r="G179" i="82"/>
  <c r="I144" i="84"/>
  <c r="H149" i="84"/>
  <c r="G180" i="84"/>
  <c r="H111" i="85"/>
  <c r="H174" i="85"/>
  <c r="I179" i="85"/>
  <c r="L179" i="87"/>
  <c r="P110" i="50"/>
  <c r="P89" i="50"/>
  <c r="J79" i="55"/>
  <c r="Q145" i="57"/>
  <c r="Q156" i="58"/>
  <c r="P146" i="61"/>
  <c r="M128" i="61"/>
  <c r="O147" i="61"/>
  <c r="O124" i="62"/>
  <c r="M128" i="62"/>
  <c r="N142" i="64"/>
  <c r="L180" i="64"/>
  <c r="G128" i="68"/>
  <c r="H180" i="68"/>
  <c r="H185" i="69"/>
  <c r="J89" i="45"/>
  <c r="O76" i="47"/>
  <c r="J84" i="47"/>
  <c r="Q88" i="47"/>
  <c r="O62" i="49"/>
  <c r="Q115" i="50"/>
  <c r="Q100" i="53"/>
  <c r="O103" i="37"/>
  <c r="J112" i="39"/>
  <c r="J114" i="39" s="1"/>
  <c r="D120" i="41"/>
  <c r="H109" i="45"/>
  <c r="K109" i="45" s="1"/>
  <c r="O92" i="47"/>
  <c r="P76" i="47"/>
  <c r="M84" i="47"/>
  <c r="O92" i="49"/>
  <c r="M111" i="50"/>
  <c r="Q103" i="56"/>
  <c r="Q128" i="56"/>
  <c r="N122" i="56"/>
  <c r="K191" i="57"/>
  <c r="Q147" i="58"/>
  <c r="N128" i="62"/>
  <c r="G128" i="64"/>
  <c r="O142" i="64"/>
  <c r="H128" i="68"/>
  <c r="G142" i="68"/>
  <c r="I180" i="68"/>
  <c r="G129" i="69"/>
  <c r="I185" i="69"/>
  <c r="P113" i="76"/>
  <c r="L164" i="82"/>
  <c r="I101" i="84"/>
  <c r="L100" i="85"/>
  <c r="M119" i="88"/>
  <c r="H186" i="88"/>
  <c r="N101" i="35"/>
  <c r="Q101" i="50"/>
  <c r="P76" i="54"/>
  <c r="L125" i="58"/>
  <c r="J118" i="68"/>
  <c r="I128" i="68"/>
  <c r="O155" i="68"/>
  <c r="H142" i="68"/>
  <c r="M159" i="82"/>
  <c r="B180" i="84"/>
  <c r="J180" i="84"/>
  <c r="B174" i="85"/>
  <c r="L179" i="85"/>
  <c r="G179" i="87"/>
  <c r="M153" i="88"/>
  <c r="I58" i="3"/>
  <c r="E39" i="1"/>
  <c r="F39" i="1" s="1"/>
  <c r="J24" i="1"/>
  <c r="G42" i="1"/>
  <c r="G43" i="1" s="1"/>
  <c r="L25" i="1"/>
  <c r="M127" i="2"/>
  <c r="G7" i="9"/>
  <c r="B103" i="2"/>
  <c r="B129" i="2" s="1"/>
  <c r="J67" i="3"/>
  <c r="K68" i="3"/>
  <c r="K69" i="3"/>
  <c r="I44" i="3"/>
  <c r="L75" i="3"/>
  <c r="L76" i="3" s="1"/>
  <c r="G59" i="3"/>
  <c r="B56" i="3"/>
  <c r="B69" i="3" s="1"/>
  <c r="B74" i="6"/>
  <c r="B75" i="6" s="1"/>
  <c r="B69" i="6"/>
  <c r="N69" i="6" s="1"/>
  <c r="N108" i="6" s="1"/>
  <c r="B66" i="6"/>
  <c r="H66" i="6" s="1"/>
  <c r="C82" i="6"/>
  <c r="D22" i="9" s="1"/>
  <c r="Q99" i="15"/>
  <c r="D119" i="17"/>
  <c r="K124" i="19"/>
  <c r="F126" i="22"/>
  <c r="J127" i="22"/>
  <c r="F127" i="22"/>
  <c r="Q134" i="22"/>
  <c r="Q136" i="22" s="1"/>
  <c r="G131" i="2"/>
  <c r="K119" i="2"/>
  <c r="H21" i="9"/>
  <c r="F22" i="9"/>
  <c r="K67" i="3"/>
  <c r="L68" i="3"/>
  <c r="C56" i="3"/>
  <c r="C69" i="3" s="1"/>
  <c r="G108" i="6"/>
  <c r="C83" i="6"/>
  <c r="D23" i="9" s="1"/>
  <c r="J23" i="9" s="1"/>
  <c r="B94" i="6"/>
  <c r="C36" i="9" s="1"/>
  <c r="I36" i="9" s="1"/>
  <c r="E116" i="17"/>
  <c r="M109" i="25"/>
  <c r="M115" i="25" s="1"/>
  <c r="J112" i="25"/>
  <c r="M118" i="25"/>
  <c r="H91" i="25"/>
  <c r="K91" i="25" s="1"/>
  <c r="K89" i="25"/>
  <c r="O130" i="22"/>
  <c r="G94" i="22"/>
  <c r="M24" i="1"/>
  <c r="G22" i="9"/>
  <c r="M68" i="3"/>
  <c r="K71" i="3"/>
  <c r="B95" i="6"/>
  <c r="C37" i="9" s="1"/>
  <c r="E52" i="15"/>
  <c r="N122" i="17"/>
  <c r="P116" i="17"/>
  <c r="M100" i="15"/>
  <c r="F86" i="17"/>
  <c r="E118" i="17"/>
  <c r="Q121" i="17"/>
  <c r="Q123" i="17" s="1"/>
  <c r="Q109" i="17"/>
  <c r="G127" i="2"/>
  <c r="K129" i="2"/>
  <c r="C41" i="3"/>
  <c r="I41" i="3" s="1"/>
  <c r="M70" i="3"/>
  <c r="M71" i="3"/>
  <c r="E70" i="3"/>
  <c r="B58" i="3"/>
  <c r="B71" i="3" s="1"/>
  <c r="N113" i="6"/>
  <c r="N114" i="6" s="1"/>
  <c r="M84" i="6"/>
  <c r="J108" i="6"/>
  <c r="B62" i="7"/>
  <c r="C9" i="21" s="1"/>
  <c r="B66" i="7"/>
  <c r="B67" i="7" s="1"/>
  <c r="H67" i="7" s="1"/>
  <c r="F97" i="25"/>
  <c r="E73" i="25"/>
  <c r="I128" i="22"/>
  <c r="F20" i="9"/>
  <c r="F69" i="3"/>
  <c r="C54" i="3"/>
  <c r="I54" i="3" s="1"/>
  <c r="J102" i="7"/>
  <c r="G75" i="15"/>
  <c r="O101" i="15"/>
  <c r="Q114" i="17"/>
  <c r="M115" i="17"/>
  <c r="K75" i="25"/>
  <c r="E118" i="25"/>
  <c r="F56" i="1"/>
  <c r="E128" i="2"/>
  <c r="E59" i="3"/>
  <c r="H59" i="3" s="1"/>
  <c r="E84" i="6"/>
  <c r="H84" i="6" s="1"/>
  <c r="C80" i="6"/>
  <c r="I80" i="6" s="1"/>
  <c r="C72" i="7"/>
  <c r="I72" i="7" s="1"/>
  <c r="C74" i="7"/>
  <c r="I74" i="7" s="1"/>
  <c r="C76" i="7"/>
  <c r="L101" i="7"/>
  <c r="B87" i="7"/>
  <c r="H87" i="7" s="1"/>
  <c r="C85" i="7"/>
  <c r="H122" i="17"/>
  <c r="F59" i="3"/>
  <c r="I59" i="3" s="1"/>
  <c r="I118" i="25"/>
  <c r="L118" i="25" s="1"/>
  <c r="L76" i="25"/>
  <c r="L106" i="6"/>
  <c r="B87" i="6"/>
  <c r="B88" i="6" s="1"/>
  <c r="H88" i="6" s="1"/>
  <c r="N104" i="7"/>
  <c r="G77" i="7"/>
  <c r="L102" i="7"/>
  <c r="G99" i="15"/>
  <c r="G102" i="15"/>
  <c r="P99" i="15"/>
  <c r="E59" i="21"/>
  <c r="F90" i="17"/>
  <c r="G95" i="17"/>
  <c r="M114" i="17"/>
  <c r="H118" i="17"/>
  <c r="M112" i="25"/>
  <c r="N114" i="25"/>
  <c r="G117" i="25"/>
  <c r="E131" i="22"/>
  <c r="O131" i="22"/>
  <c r="E94" i="22"/>
  <c r="B100" i="22"/>
  <c r="B103" i="22"/>
  <c r="K103" i="22" s="1"/>
  <c r="E108" i="22"/>
  <c r="H101" i="35"/>
  <c r="K101" i="35" s="1"/>
  <c r="E102" i="35"/>
  <c r="J103" i="35"/>
  <c r="K115" i="35"/>
  <c r="E105" i="37"/>
  <c r="O105" i="37"/>
  <c r="F102" i="38"/>
  <c r="F103" i="38" s="1"/>
  <c r="F87" i="38"/>
  <c r="E109" i="39"/>
  <c r="F81" i="41"/>
  <c r="F83" i="41" s="1"/>
  <c r="H111" i="41"/>
  <c r="K111" i="41" s="1"/>
  <c r="E112" i="41"/>
  <c r="N116" i="43"/>
  <c r="N118" i="43" s="1"/>
  <c r="E92" i="43"/>
  <c r="G113" i="43"/>
  <c r="F90" i="44"/>
  <c r="I111" i="44"/>
  <c r="L111" i="44" s="1"/>
  <c r="J116" i="44"/>
  <c r="G91" i="44"/>
  <c r="G108" i="45"/>
  <c r="Q108" i="45"/>
  <c r="J114" i="45"/>
  <c r="B100" i="45"/>
  <c r="N100" i="45"/>
  <c r="K98" i="45"/>
  <c r="D127" i="45"/>
  <c r="G76" i="47"/>
  <c r="N97" i="49"/>
  <c r="I98" i="49"/>
  <c r="L98" i="49" s="1"/>
  <c r="M111" i="49"/>
  <c r="C120" i="49"/>
  <c r="L87" i="50"/>
  <c r="K91" i="50"/>
  <c r="I101" i="50"/>
  <c r="J105" i="50"/>
  <c r="G113" i="50"/>
  <c r="D143" i="50"/>
  <c r="F110" i="53"/>
  <c r="J77" i="53"/>
  <c r="O110" i="53"/>
  <c r="F131" i="22"/>
  <c r="I134" i="22"/>
  <c r="I136" i="22" s="1"/>
  <c r="L99" i="22"/>
  <c r="F129" i="22"/>
  <c r="P102" i="35"/>
  <c r="P105" i="37"/>
  <c r="F77" i="38"/>
  <c r="G109" i="38"/>
  <c r="Q109" i="39"/>
  <c r="E99" i="39"/>
  <c r="E116" i="43"/>
  <c r="E118" i="43" s="1"/>
  <c r="O110" i="44"/>
  <c r="F78" i="45"/>
  <c r="K56" i="47"/>
  <c r="E113" i="47"/>
  <c r="O90" i="49"/>
  <c r="L73" i="50"/>
  <c r="C81" i="50"/>
  <c r="N115" i="50"/>
  <c r="M89" i="50"/>
  <c r="K109" i="50"/>
  <c r="M109" i="53"/>
  <c r="P110" i="53"/>
  <c r="K81" i="53"/>
  <c r="F85" i="53"/>
  <c r="M100" i="53"/>
  <c r="L105" i="53"/>
  <c r="L109" i="53"/>
  <c r="L110" i="53"/>
  <c r="M119" i="53"/>
  <c r="B115" i="35"/>
  <c r="G111" i="44"/>
  <c r="G102" i="44"/>
  <c r="C89" i="45"/>
  <c r="L87" i="45"/>
  <c r="P100" i="45"/>
  <c r="L74" i="47"/>
  <c r="E84" i="47"/>
  <c r="P84" i="47"/>
  <c r="M88" i="47"/>
  <c r="M91" i="49"/>
  <c r="K124" i="49"/>
  <c r="M112" i="50"/>
  <c r="O81" i="50"/>
  <c r="B89" i="50"/>
  <c r="J93" i="50"/>
  <c r="N105" i="50"/>
  <c r="N126" i="50"/>
  <c r="L93" i="53"/>
  <c r="L95" i="53"/>
  <c r="L54" i="54"/>
  <c r="L109" i="6"/>
  <c r="N84" i="6"/>
  <c r="G91" i="7"/>
  <c r="N100" i="7"/>
  <c r="K103" i="7"/>
  <c r="K99" i="15"/>
  <c r="D103" i="15"/>
  <c r="N116" i="17"/>
  <c r="P114" i="17"/>
  <c r="J115" i="17"/>
  <c r="O117" i="17"/>
  <c r="E109" i="17"/>
  <c r="O122" i="17"/>
  <c r="L118" i="19"/>
  <c r="G126" i="19"/>
  <c r="F90" i="25"/>
  <c r="G112" i="25"/>
  <c r="G126" i="22"/>
  <c r="N130" i="22"/>
  <c r="H135" i="22"/>
  <c r="B99" i="22"/>
  <c r="K99" i="22" s="1"/>
  <c r="B102" i="22"/>
  <c r="K102" i="22" s="1"/>
  <c r="B107" i="22"/>
  <c r="K107" i="22" s="1"/>
  <c r="C116" i="22"/>
  <c r="L116" i="22" s="1"/>
  <c r="F122" i="22"/>
  <c r="H102" i="35"/>
  <c r="K102" i="35" s="1"/>
  <c r="O103" i="35"/>
  <c r="J106" i="35"/>
  <c r="J107" i="35" s="1"/>
  <c r="G94" i="35"/>
  <c r="I102" i="37"/>
  <c r="L102" i="37" s="1"/>
  <c r="M104" i="37"/>
  <c r="E107" i="39"/>
  <c r="N99" i="41"/>
  <c r="F94" i="43"/>
  <c r="G111" i="43"/>
  <c r="G116" i="43"/>
  <c r="G118" i="43" s="1"/>
  <c r="N103" i="43"/>
  <c r="F88" i="44"/>
  <c r="G110" i="44"/>
  <c r="N116" i="44"/>
  <c r="O109" i="45"/>
  <c r="K77" i="45"/>
  <c r="E89" i="45"/>
  <c r="G100" i="45"/>
  <c r="Q84" i="47"/>
  <c r="N88" i="47"/>
  <c r="P93" i="49"/>
  <c r="Q97" i="49"/>
  <c r="D94" i="49"/>
  <c r="G107" i="49"/>
  <c r="F111" i="49"/>
  <c r="B77" i="50"/>
  <c r="P115" i="50"/>
  <c r="C89" i="50"/>
  <c r="M93" i="50"/>
  <c r="N101" i="50"/>
  <c r="L111" i="50"/>
  <c r="L112" i="50"/>
  <c r="E130" i="50"/>
  <c r="O130" i="50"/>
  <c r="E77" i="53"/>
  <c r="K76" i="53"/>
  <c r="N89" i="53"/>
  <c r="J96" i="53"/>
  <c r="P103" i="35"/>
  <c r="O113" i="39"/>
  <c r="D126" i="39"/>
  <c r="Q89" i="41"/>
  <c r="E117" i="43"/>
  <c r="M103" i="43"/>
  <c r="M91" i="44"/>
  <c r="B78" i="45"/>
  <c r="F60" i="47"/>
  <c r="L126" i="47"/>
  <c r="B124" i="49"/>
  <c r="F116" i="50"/>
  <c r="F98" i="50"/>
  <c r="B73" i="53"/>
  <c r="B85" i="53"/>
  <c r="M85" i="53"/>
  <c r="Q98" i="15"/>
  <c r="G89" i="15"/>
  <c r="I117" i="17"/>
  <c r="O118" i="17"/>
  <c r="G122" i="17"/>
  <c r="F95" i="25"/>
  <c r="G110" i="25"/>
  <c r="N111" i="25"/>
  <c r="Q118" i="25"/>
  <c r="H113" i="25"/>
  <c r="K113" i="25" s="1"/>
  <c r="J135" i="22"/>
  <c r="F93" i="35"/>
  <c r="O101" i="35"/>
  <c r="F91" i="37"/>
  <c r="E104" i="37"/>
  <c r="E90" i="38"/>
  <c r="N121" i="38"/>
  <c r="G108" i="41"/>
  <c r="Q108" i="41"/>
  <c r="F77" i="44"/>
  <c r="C78" i="45"/>
  <c r="H89" i="45"/>
  <c r="I100" i="45"/>
  <c r="L99" i="45"/>
  <c r="O64" i="47"/>
  <c r="K70" i="47"/>
  <c r="G109" i="47"/>
  <c r="F68" i="49"/>
  <c r="P91" i="49"/>
  <c r="G94" i="49"/>
  <c r="O109" i="50"/>
  <c r="H81" i="50"/>
  <c r="G89" i="50"/>
  <c r="O93" i="50"/>
  <c r="E101" i="50"/>
  <c r="P101" i="50"/>
  <c r="Q105" i="50"/>
  <c r="G126" i="50"/>
  <c r="G130" i="50"/>
  <c r="G73" i="53"/>
  <c r="O106" i="53"/>
  <c r="G77" i="53"/>
  <c r="G119" i="53"/>
  <c r="D113" i="50"/>
  <c r="E111" i="53"/>
  <c r="G113" i="6"/>
  <c r="G114" i="6" s="1"/>
  <c r="E25" i="9"/>
  <c r="M99" i="7"/>
  <c r="M105" i="7" s="1"/>
  <c r="K102" i="7"/>
  <c r="H59" i="15"/>
  <c r="C92" i="15"/>
  <c r="C93" i="15" s="1"/>
  <c r="I93" i="15" s="1"/>
  <c r="J114" i="17"/>
  <c r="D123" i="17"/>
  <c r="C126" i="19"/>
  <c r="P113" i="25"/>
  <c r="E77" i="25"/>
  <c r="G127" i="22"/>
  <c r="N131" i="22"/>
  <c r="C98" i="22"/>
  <c r="C101" i="22"/>
  <c r="L101" i="22" s="1"/>
  <c r="C106" i="22"/>
  <c r="L106" i="22" s="1"/>
  <c r="C115" i="22"/>
  <c r="L115" i="22" s="1"/>
  <c r="N102" i="35"/>
  <c r="M94" i="35"/>
  <c r="G104" i="37"/>
  <c r="E95" i="37"/>
  <c r="H121" i="38"/>
  <c r="E88" i="39"/>
  <c r="G111" i="41"/>
  <c r="G113" i="41" s="1"/>
  <c r="E99" i="41"/>
  <c r="F113" i="43"/>
  <c r="D130" i="43"/>
  <c r="B130" i="43"/>
  <c r="F94" i="44"/>
  <c r="M115" i="44"/>
  <c r="M117" i="44" s="1"/>
  <c r="E91" i="44"/>
  <c r="I109" i="45"/>
  <c r="L109" i="45" s="1"/>
  <c r="G64" i="47"/>
  <c r="M122" i="47"/>
  <c r="D126" i="47"/>
  <c r="P96" i="49"/>
  <c r="N70" i="49"/>
  <c r="G77" i="50"/>
  <c r="Q109" i="50"/>
  <c r="P111" i="50"/>
  <c r="P116" i="50"/>
  <c r="F95" i="53"/>
  <c r="L70" i="53"/>
  <c r="K54" i="54"/>
  <c r="E68" i="54"/>
  <c r="L70" i="54"/>
  <c r="P106" i="55"/>
  <c r="L77" i="55"/>
  <c r="K81" i="55"/>
  <c r="M127" i="55"/>
  <c r="K97" i="56"/>
  <c r="E107" i="56"/>
  <c r="L120" i="56"/>
  <c r="B168" i="56"/>
  <c r="K168" i="56"/>
  <c r="J130" i="57"/>
  <c r="I141" i="57"/>
  <c r="K149" i="57"/>
  <c r="K151" i="57"/>
  <c r="K152" i="57"/>
  <c r="O153" i="58"/>
  <c r="L122" i="58"/>
  <c r="K124" i="58"/>
  <c r="Q158" i="58"/>
  <c r="J131" i="58"/>
  <c r="K161" i="58"/>
  <c r="K122" i="60"/>
  <c r="E143" i="60"/>
  <c r="P143" i="60"/>
  <c r="E138" i="61"/>
  <c r="L135" i="61"/>
  <c r="J142" i="61"/>
  <c r="H152" i="61"/>
  <c r="K152" i="61" s="1"/>
  <c r="T49" i="86"/>
  <c r="H5" i="66"/>
  <c r="H26" i="66"/>
  <c r="J26" i="66" s="1"/>
  <c r="C151" i="69" s="1"/>
  <c r="K151" i="69" s="1"/>
  <c r="H40" i="73"/>
  <c r="C89" i="75" s="1"/>
  <c r="C93" i="75" s="1"/>
  <c r="K122" i="62"/>
  <c r="Q128" i="62"/>
  <c r="K133" i="62"/>
  <c r="K135" i="62"/>
  <c r="J142" i="62"/>
  <c r="G37" i="67"/>
  <c r="G40" i="67" s="1"/>
  <c r="M128" i="63"/>
  <c r="H138" i="63"/>
  <c r="E142" i="63"/>
  <c r="P142" i="63"/>
  <c r="K118" i="64"/>
  <c r="F128" i="64"/>
  <c r="P128" i="64"/>
  <c r="K137" i="64"/>
  <c r="F127" i="56"/>
  <c r="F99" i="56"/>
  <c r="O126" i="56"/>
  <c r="F143" i="57"/>
  <c r="F150" i="57"/>
  <c r="G125" i="60"/>
  <c r="F167" i="60"/>
  <c r="B124" i="61"/>
  <c r="K126" i="61"/>
  <c r="K154" i="61"/>
  <c r="K185" i="61"/>
  <c r="D6" i="86"/>
  <c r="K6" i="86" s="1"/>
  <c r="B120" i="85" s="1"/>
  <c r="J120" i="85" s="1"/>
  <c r="D16" i="86"/>
  <c r="R32" i="86"/>
  <c r="D35" i="86"/>
  <c r="D46" i="86"/>
  <c r="J46" i="86" s="1"/>
  <c r="C110" i="88" s="1"/>
  <c r="T50" i="86"/>
  <c r="AH7" i="81"/>
  <c r="T7" i="81" s="1"/>
  <c r="AJ9" i="81"/>
  <c r="V9" i="81" s="1"/>
  <c r="AG14" i="81"/>
  <c r="S14" i="81" s="1"/>
  <c r="U27" i="81"/>
  <c r="P7" i="66"/>
  <c r="T7" i="66" s="1"/>
  <c r="N9" i="66"/>
  <c r="R9" i="66" s="1"/>
  <c r="O13" i="66"/>
  <c r="P26" i="66"/>
  <c r="N44" i="66"/>
  <c r="G8" i="73"/>
  <c r="B89" i="72" s="1"/>
  <c r="J89" i="72" s="1"/>
  <c r="AF23" i="73"/>
  <c r="T23" i="73" s="1"/>
  <c r="L135" i="62"/>
  <c r="K137" i="62"/>
  <c r="M142" i="62"/>
  <c r="H185" i="62"/>
  <c r="H37" i="67"/>
  <c r="I45" i="67"/>
  <c r="G124" i="63"/>
  <c r="B128" i="63"/>
  <c r="L134" i="63"/>
  <c r="L135" i="63"/>
  <c r="G142" i="63"/>
  <c r="Q142" i="63"/>
  <c r="K147" i="63"/>
  <c r="N170" i="63"/>
  <c r="H185" i="63"/>
  <c r="E121" i="64"/>
  <c r="F152" i="64"/>
  <c r="D47" i="78"/>
  <c r="D46" i="78"/>
  <c r="D45" i="78"/>
  <c r="D48" i="78" s="1"/>
  <c r="D124" i="68"/>
  <c r="L83" i="53"/>
  <c r="K88" i="53"/>
  <c r="M96" i="53"/>
  <c r="E100" i="53"/>
  <c r="O100" i="53"/>
  <c r="E123" i="53"/>
  <c r="M135" i="53"/>
  <c r="K65" i="54"/>
  <c r="K67" i="54"/>
  <c r="M72" i="54"/>
  <c r="K78" i="54"/>
  <c r="K81" i="54"/>
  <c r="E95" i="54"/>
  <c r="L65" i="55"/>
  <c r="J83" i="55"/>
  <c r="G91" i="55"/>
  <c r="E95" i="55"/>
  <c r="O119" i="55"/>
  <c r="D127" i="55"/>
  <c r="K131" i="55"/>
  <c r="E103" i="56"/>
  <c r="L101" i="56"/>
  <c r="L112" i="56"/>
  <c r="L126" i="56"/>
  <c r="G148" i="56"/>
  <c r="D168" i="56"/>
  <c r="M168" i="56"/>
  <c r="F121" i="57"/>
  <c r="L125" i="57"/>
  <c r="B130" i="57"/>
  <c r="C145" i="57"/>
  <c r="L144" i="57"/>
  <c r="G171" i="57"/>
  <c r="F175" i="57"/>
  <c r="B191" i="57"/>
  <c r="B131" i="58"/>
  <c r="K130" i="58"/>
  <c r="L145" i="58"/>
  <c r="J179" i="58"/>
  <c r="F141" i="60"/>
  <c r="K119" i="60"/>
  <c r="Q147" i="60"/>
  <c r="L124" i="60"/>
  <c r="B129" i="60"/>
  <c r="M147" i="60"/>
  <c r="K141" i="60"/>
  <c r="K149" i="60"/>
  <c r="K121" i="61"/>
  <c r="L126" i="61"/>
  <c r="K132" i="61"/>
  <c r="K133" i="61"/>
  <c r="L137" i="61"/>
  <c r="B142" i="61"/>
  <c r="K141" i="61"/>
  <c r="L154" i="61"/>
  <c r="G166" i="61"/>
  <c r="AU16" i="86"/>
  <c r="V50" i="86"/>
  <c r="AK9" i="81"/>
  <c r="W9" i="81" s="1"/>
  <c r="AI14" i="81"/>
  <c r="U14" i="81" s="1"/>
  <c r="G26" i="81"/>
  <c r="B92" i="83" s="1"/>
  <c r="J92" i="83" s="1"/>
  <c r="B124" i="62"/>
  <c r="I128" i="62"/>
  <c r="L137" i="62"/>
  <c r="B142" i="62"/>
  <c r="K141" i="62"/>
  <c r="F166" i="62"/>
  <c r="J45" i="67"/>
  <c r="C128" i="63"/>
  <c r="O128" i="63"/>
  <c r="L127" i="63"/>
  <c r="H142" i="63"/>
  <c r="K126" i="64"/>
  <c r="D166" i="64"/>
  <c r="F122" i="58"/>
  <c r="F67" i="55"/>
  <c r="C95" i="55"/>
  <c r="B131" i="55"/>
  <c r="E122" i="56"/>
  <c r="G164" i="56"/>
  <c r="Q154" i="57"/>
  <c r="P158" i="57"/>
  <c r="P152" i="58"/>
  <c r="C143" i="58"/>
  <c r="B163" i="58"/>
  <c r="F119" i="60"/>
  <c r="F121" i="60"/>
  <c r="C139" i="60"/>
  <c r="V16" i="86"/>
  <c r="AD37" i="86"/>
  <c r="AF50" i="86" s="1"/>
  <c r="G40" i="81"/>
  <c r="B89" i="84" s="1"/>
  <c r="J89" i="84" s="1"/>
  <c r="E22" i="73"/>
  <c r="B72" i="74" s="1"/>
  <c r="F39" i="73"/>
  <c r="C73" i="75" s="1"/>
  <c r="B152" i="62"/>
  <c r="G181" i="62"/>
  <c r="F119" i="63"/>
  <c r="G181" i="63"/>
  <c r="K55" i="54"/>
  <c r="M68" i="54"/>
  <c r="E72" i="54"/>
  <c r="P72" i="54"/>
  <c r="G67" i="55"/>
  <c r="E79" i="55"/>
  <c r="C83" i="55"/>
  <c r="K89" i="55"/>
  <c r="L100" i="56"/>
  <c r="N131" i="56"/>
  <c r="K102" i="56"/>
  <c r="M107" i="56"/>
  <c r="K116" i="56"/>
  <c r="H168" i="56"/>
  <c r="L120" i="57"/>
  <c r="O153" i="57"/>
  <c r="G130" i="57"/>
  <c r="P141" i="57"/>
  <c r="H145" i="57"/>
  <c r="C191" i="57"/>
  <c r="G131" i="58"/>
  <c r="E143" i="58"/>
  <c r="K156" i="58"/>
  <c r="O148" i="60"/>
  <c r="L121" i="60"/>
  <c r="O150" i="60"/>
  <c r="K123" i="60"/>
  <c r="G129" i="60"/>
  <c r="E139" i="60"/>
  <c r="L134" i="60"/>
  <c r="M143" i="60"/>
  <c r="F118" i="61"/>
  <c r="F121" i="61"/>
  <c r="H124" i="61"/>
  <c r="K124" i="61" s="1"/>
  <c r="M149" i="61"/>
  <c r="O149" i="61"/>
  <c r="B156" i="61"/>
  <c r="M170" i="61"/>
  <c r="D6" i="81"/>
  <c r="AL8" i="81"/>
  <c r="D15" i="81"/>
  <c r="AU16" i="81"/>
  <c r="O6" i="66"/>
  <c r="S6" i="66" s="1"/>
  <c r="M8" i="66"/>
  <c r="O10" i="66"/>
  <c r="E26" i="66"/>
  <c r="B121" i="69" s="1"/>
  <c r="J121" i="69" s="1"/>
  <c r="N41" i="66"/>
  <c r="E44" i="66"/>
  <c r="B120" i="70" s="1"/>
  <c r="J120" i="70" s="1"/>
  <c r="I64" i="66"/>
  <c r="G22" i="73"/>
  <c r="AE24" i="73"/>
  <c r="S24" i="73" s="1"/>
  <c r="K58" i="73"/>
  <c r="G156" i="62"/>
  <c r="F8" i="67"/>
  <c r="D45" i="67"/>
  <c r="C56" i="67"/>
  <c r="F120" i="63"/>
  <c r="G166" i="63"/>
  <c r="B57" i="54"/>
  <c r="F61" i="54"/>
  <c r="L60" i="54"/>
  <c r="F99" i="55"/>
  <c r="K66" i="55"/>
  <c r="B91" i="55"/>
  <c r="F91" i="55"/>
  <c r="L94" i="55"/>
  <c r="K102" i="55"/>
  <c r="K113" i="56"/>
  <c r="L124" i="57"/>
  <c r="G141" i="57"/>
  <c r="K121" i="58"/>
  <c r="G143" i="58"/>
  <c r="C147" i="58"/>
  <c r="G139" i="60"/>
  <c r="D15" i="86"/>
  <c r="K44" i="81"/>
  <c r="B125" i="84" s="1"/>
  <c r="J125" i="84" s="1"/>
  <c r="F26" i="66"/>
  <c r="C121" i="69" s="1"/>
  <c r="F44" i="66"/>
  <c r="C120" i="70" s="1"/>
  <c r="K120" i="70" s="1"/>
  <c r="I22" i="73"/>
  <c r="B102" i="74" s="1"/>
  <c r="D10" i="67"/>
  <c r="H8" i="67"/>
  <c r="P138" i="63"/>
  <c r="F124" i="64"/>
  <c r="K106" i="53"/>
  <c r="K109" i="53"/>
  <c r="C57" i="54"/>
  <c r="Q76" i="54"/>
  <c r="O68" i="54"/>
  <c r="L66" i="54"/>
  <c r="I107" i="54"/>
  <c r="L63" i="55"/>
  <c r="L66" i="55"/>
  <c r="H79" i="55"/>
  <c r="C107" i="55"/>
  <c r="C107" i="56"/>
  <c r="H122" i="56"/>
  <c r="E133" i="56"/>
  <c r="M152" i="56"/>
  <c r="J168" i="56"/>
  <c r="F155" i="57"/>
  <c r="F136" i="57"/>
  <c r="G126" i="57"/>
  <c r="Q151" i="57"/>
  <c r="Q153" i="57"/>
  <c r="I130" i="57"/>
  <c r="H141" i="57"/>
  <c r="K136" i="57"/>
  <c r="K138" i="57"/>
  <c r="K139" i="57"/>
  <c r="J145" i="57"/>
  <c r="J191" i="57"/>
  <c r="I131" i="58"/>
  <c r="K137" i="58"/>
  <c r="E147" i="58"/>
  <c r="L146" i="58"/>
  <c r="L155" i="58"/>
  <c r="K162" i="58"/>
  <c r="H179" i="58"/>
  <c r="K179" i="58" s="1"/>
  <c r="F138" i="60"/>
  <c r="F124" i="60"/>
  <c r="Q149" i="60"/>
  <c r="I129" i="60"/>
  <c r="C143" i="60"/>
  <c r="O143" i="60"/>
  <c r="F151" i="61"/>
  <c r="K123" i="61"/>
  <c r="P128" i="61"/>
  <c r="K148" i="61"/>
  <c r="AG25" i="86"/>
  <c r="S25" i="86" s="1"/>
  <c r="AJ10" i="81"/>
  <c r="V10" i="81" s="1"/>
  <c r="AF15" i="81"/>
  <c r="R15" i="81" s="1"/>
  <c r="E5" i="66"/>
  <c r="S27" i="66"/>
  <c r="G44" i="66"/>
  <c r="B136" i="70" s="1"/>
  <c r="J136" i="70" s="1"/>
  <c r="F40" i="73"/>
  <c r="C74" i="75" s="1"/>
  <c r="K74" i="75" s="1"/>
  <c r="E128" i="62"/>
  <c r="P128" i="62"/>
  <c r="B138" i="62"/>
  <c r="G5" i="67"/>
  <c r="E37" i="67"/>
  <c r="E40" i="67" s="1"/>
  <c r="C61" i="67"/>
  <c r="L119" i="63"/>
  <c r="K121" i="63"/>
  <c r="K122" i="63"/>
  <c r="G138" i="63"/>
  <c r="C142" i="63"/>
  <c r="B142" i="64"/>
  <c r="M142" i="64"/>
  <c r="C180" i="64"/>
  <c r="K180" i="64"/>
  <c r="L125" i="69"/>
  <c r="I142" i="64"/>
  <c r="I180" i="64"/>
  <c r="J24" i="78"/>
  <c r="C102" i="79" s="1"/>
  <c r="K102" i="79" s="1"/>
  <c r="F124" i="68"/>
  <c r="N128" i="68"/>
  <c r="K127" i="68"/>
  <c r="C138" i="68"/>
  <c r="K133" i="68"/>
  <c r="K135" i="68"/>
  <c r="J137" i="68"/>
  <c r="B142" i="68"/>
  <c r="M142" i="68"/>
  <c r="J141" i="68"/>
  <c r="D180" i="68"/>
  <c r="L180" i="68"/>
  <c r="F140" i="69"/>
  <c r="L150" i="69"/>
  <c r="P152" i="69"/>
  <c r="F144" i="69"/>
  <c r="C185" i="69"/>
  <c r="K185" i="69"/>
  <c r="D192" i="70"/>
  <c r="F98" i="72"/>
  <c r="I152" i="72"/>
  <c r="D157" i="72"/>
  <c r="L157" i="72"/>
  <c r="N113" i="75"/>
  <c r="E143" i="75"/>
  <c r="O143" i="75"/>
  <c r="E119" i="76"/>
  <c r="D78" i="76"/>
  <c r="E113" i="76"/>
  <c r="K119" i="76"/>
  <c r="E138" i="76"/>
  <c r="B120" i="79"/>
  <c r="F84" i="82"/>
  <c r="F159" i="82"/>
  <c r="E164" i="82"/>
  <c r="C174" i="82"/>
  <c r="G117" i="83"/>
  <c r="L160" i="83"/>
  <c r="D165" i="83"/>
  <c r="M180" i="83"/>
  <c r="L95" i="85"/>
  <c r="E159" i="85"/>
  <c r="D164" i="85"/>
  <c r="N100" i="87"/>
  <c r="D111" i="87"/>
  <c r="F159" i="87"/>
  <c r="I119" i="88"/>
  <c r="F186" i="88"/>
  <c r="AI1" i="36"/>
  <c r="AM28" i="23"/>
  <c r="AM37" i="23"/>
  <c r="T40" i="23"/>
  <c r="K146" i="63"/>
  <c r="E156" i="63"/>
  <c r="D128" i="64"/>
  <c r="O128" i="64"/>
  <c r="D138" i="64"/>
  <c r="K133" i="64"/>
  <c r="K135" i="64"/>
  <c r="B180" i="64"/>
  <c r="J180" i="64"/>
  <c r="AD3" i="78"/>
  <c r="AJ8" i="78" s="1"/>
  <c r="G8" i="78"/>
  <c r="B89" i="76" s="1"/>
  <c r="J89" i="76" s="1"/>
  <c r="H22" i="78"/>
  <c r="C86" i="79" s="1"/>
  <c r="D128" i="68"/>
  <c r="O128" i="68"/>
  <c r="D138" i="68"/>
  <c r="K137" i="68"/>
  <c r="K141" i="68"/>
  <c r="M170" i="68"/>
  <c r="E180" i="68"/>
  <c r="D185" i="69"/>
  <c r="L185" i="69"/>
  <c r="E189" i="70"/>
  <c r="O154" i="70"/>
  <c r="E96" i="72"/>
  <c r="F78" i="72"/>
  <c r="D143" i="72"/>
  <c r="B152" i="72"/>
  <c r="J152" i="72"/>
  <c r="E157" i="72"/>
  <c r="M157" i="72"/>
  <c r="F138" i="74"/>
  <c r="D143" i="74"/>
  <c r="G152" i="74"/>
  <c r="H123" i="75"/>
  <c r="D138" i="75"/>
  <c r="F143" i="75"/>
  <c r="O78" i="76"/>
  <c r="I93" i="76"/>
  <c r="C157" i="76"/>
  <c r="I82" i="79"/>
  <c r="L92" i="79"/>
  <c r="D110" i="79"/>
  <c r="C120" i="79"/>
  <c r="K120" i="79" s="1"/>
  <c r="J117" i="79"/>
  <c r="D124" i="79"/>
  <c r="I139" i="79"/>
  <c r="H148" i="79"/>
  <c r="E110" i="80"/>
  <c r="E113" i="80" s="1"/>
  <c r="G172" i="80"/>
  <c r="L116" i="82"/>
  <c r="P143" i="82"/>
  <c r="G159" i="82"/>
  <c r="F164" i="82"/>
  <c r="L174" i="82"/>
  <c r="E179" i="82"/>
  <c r="M179" i="82"/>
  <c r="E90" i="83"/>
  <c r="N85" i="83"/>
  <c r="L112" i="83"/>
  <c r="M144" i="84"/>
  <c r="C180" i="84"/>
  <c r="K180" i="84"/>
  <c r="F159" i="85"/>
  <c r="E179" i="85"/>
  <c r="M179" i="85"/>
  <c r="O100" i="87"/>
  <c r="D148" i="87"/>
  <c r="E179" i="87"/>
  <c r="M179" i="87"/>
  <c r="O85" i="88"/>
  <c r="M114" i="88"/>
  <c r="L119" i="88"/>
  <c r="G186" i="88"/>
  <c r="AM10" i="23"/>
  <c r="AM14" i="23"/>
  <c r="AB26" i="23"/>
  <c r="H33" i="23"/>
  <c r="C99" i="50" s="1"/>
  <c r="L99" i="50" s="1"/>
  <c r="G34" i="23"/>
  <c r="AY38" i="23"/>
  <c r="W38" i="23"/>
  <c r="F128" i="68"/>
  <c r="P128" i="68"/>
  <c r="D142" i="68"/>
  <c r="D170" i="68"/>
  <c r="F180" i="68"/>
  <c r="H184" i="68"/>
  <c r="E158" i="69"/>
  <c r="N152" i="69"/>
  <c r="P149" i="69"/>
  <c r="E185" i="69"/>
  <c r="K189" i="69"/>
  <c r="E128" i="70"/>
  <c r="D187" i="70"/>
  <c r="F83" i="72"/>
  <c r="C152" i="72"/>
  <c r="K152" i="72"/>
  <c r="F157" i="72"/>
  <c r="D78" i="74"/>
  <c r="D157" i="74"/>
  <c r="F78" i="75"/>
  <c r="N98" i="75"/>
  <c r="L98" i="75"/>
  <c r="F113" i="75"/>
  <c r="E138" i="75"/>
  <c r="F152" i="75"/>
  <c r="E117" i="76"/>
  <c r="G113" i="76"/>
  <c r="J112" i="76"/>
  <c r="J127" i="76"/>
  <c r="J95" i="79"/>
  <c r="D120" i="79"/>
  <c r="K115" i="79"/>
  <c r="F139" i="79"/>
  <c r="F153" i="79"/>
  <c r="F93" i="80"/>
  <c r="H108" i="80"/>
  <c r="M84" i="82"/>
  <c r="M116" i="82"/>
  <c r="G180" i="83"/>
  <c r="O85" i="84"/>
  <c r="E165" i="84"/>
  <c r="O84" i="85"/>
  <c r="D95" i="85"/>
  <c r="F95" i="87"/>
  <c r="L116" i="87"/>
  <c r="L132" i="87"/>
  <c r="M165" i="88"/>
  <c r="L143" i="74"/>
  <c r="D98" i="75"/>
  <c r="E134" i="80"/>
  <c r="M113" i="80"/>
  <c r="I159" i="82"/>
  <c r="F112" i="83"/>
  <c r="D128" i="83"/>
  <c r="E122" i="84"/>
  <c r="N117" i="84"/>
  <c r="F165" i="84"/>
  <c r="P111" i="85"/>
  <c r="F174" i="85"/>
  <c r="D116" i="87"/>
  <c r="F164" i="87"/>
  <c r="L174" i="87"/>
  <c r="L85" i="88"/>
  <c r="F170" i="68"/>
  <c r="P129" i="69"/>
  <c r="E174" i="69"/>
  <c r="B189" i="69"/>
  <c r="E177" i="70"/>
  <c r="D177" i="70"/>
  <c r="F93" i="72"/>
  <c r="F138" i="72"/>
  <c r="D123" i="74"/>
  <c r="E87" i="75"/>
  <c r="O93" i="76"/>
  <c r="K120" i="76"/>
  <c r="D139" i="79"/>
  <c r="H153" i="79"/>
  <c r="H83" i="80"/>
  <c r="F138" i="80"/>
  <c r="L153" i="80"/>
  <c r="J172" i="80"/>
  <c r="E116" i="82"/>
  <c r="L159" i="82"/>
  <c r="H179" i="82"/>
  <c r="E171" i="83"/>
  <c r="N80" i="83"/>
  <c r="D85" i="83"/>
  <c r="H160" i="83"/>
  <c r="E121" i="84"/>
  <c r="E76" i="84"/>
  <c r="F180" i="84"/>
  <c r="G84" i="85"/>
  <c r="D148" i="85"/>
  <c r="H179" i="85"/>
  <c r="E164" i="87"/>
  <c r="H179" i="87"/>
  <c r="AV24" i="23"/>
  <c r="G27" i="23"/>
  <c r="G32" i="23"/>
  <c r="B98" i="50" s="1"/>
  <c r="K98" i="50" s="1"/>
  <c r="G35" i="23"/>
  <c r="B103" i="45" s="1"/>
  <c r="K103" i="45" s="1"/>
  <c r="AF41" i="23"/>
  <c r="O170" i="88"/>
  <c r="H27" i="23"/>
  <c r="G39" i="23"/>
  <c r="B116" i="50" s="1"/>
  <c r="K116" i="50" s="1"/>
  <c r="M143" i="75"/>
  <c r="I157" i="75"/>
  <c r="D108" i="76"/>
  <c r="H113" i="76"/>
  <c r="J117" i="76"/>
  <c r="B123" i="76"/>
  <c r="O138" i="76"/>
  <c r="F78" i="79"/>
  <c r="F82" i="79"/>
  <c r="H96" i="79"/>
  <c r="L110" i="79"/>
  <c r="K116" i="79"/>
  <c r="B153" i="79"/>
  <c r="E72" i="80"/>
  <c r="E78" i="80" s="1"/>
  <c r="H143" i="80"/>
  <c r="D153" i="80"/>
  <c r="L172" i="80"/>
  <c r="N116" i="82"/>
  <c r="F127" i="82"/>
  <c r="P127" i="82"/>
  <c r="D132" i="82"/>
  <c r="D159" i="82"/>
  <c r="N159" i="82"/>
  <c r="M164" i="82"/>
  <c r="I174" i="82"/>
  <c r="B179" i="82"/>
  <c r="J179" i="82"/>
  <c r="F128" i="83"/>
  <c r="E133" i="83"/>
  <c r="H144" i="83"/>
  <c r="F165" i="83"/>
  <c r="H180" i="84"/>
  <c r="E138" i="85"/>
  <c r="F116" i="85"/>
  <c r="L159" i="85"/>
  <c r="I174" i="85"/>
  <c r="B179" i="85"/>
  <c r="J179" i="85"/>
  <c r="M111" i="87"/>
  <c r="H116" i="87"/>
  <c r="N159" i="87"/>
  <c r="I164" i="87"/>
  <c r="B179" i="87"/>
  <c r="J179" i="87"/>
  <c r="G23" i="23"/>
  <c r="B92" i="45" s="1"/>
  <c r="O36" i="23"/>
  <c r="AQ38" i="23"/>
  <c r="AM35" i="23"/>
  <c r="H39" i="23"/>
  <c r="C116" i="50" s="1"/>
  <c r="M128" i="64"/>
  <c r="D152" i="64"/>
  <c r="I156" i="64"/>
  <c r="F170" i="64"/>
  <c r="H180" i="64"/>
  <c r="K121" i="68"/>
  <c r="J123" i="68"/>
  <c r="B128" i="68"/>
  <c r="M128" i="68"/>
  <c r="J127" i="68"/>
  <c r="J133" i="68"/>
  <c r="J135" i="68"/>
  <c r="L142" i="68"/>
  <c r="C180" i="68"/>
  <c r="K180" i="68"/>
  <c r="D159" i="69"/>
  <c r="B185" i="69"/>
  <c r="J185" i="69"/>
  <c r="F140" i="70"/>
  <c r="H152" i="72"/>
  <c r="C157" i="72"/>
  <c r="K157" i="72"/>
  <c r="F83" i="74"/>
  <c r="E154" i="75"/>
  <c r="F93" i="75"/>
  <c r="F123" i="75"/>
  <c r="N143" i="75"/>
  <c r="J119" i="76"/>
  <c r="F138" i="76"/>
  <c r="G143" i="76"/>
  <c r="J143" i="76" s="1"/>
  <c r="I157" i="76"/>
  <c r="F157" i="76"/>
  <c r="B124" i="79"/>
  <c r="E134" i="79"/>
  <c r="C153" i="79"/>
  <c r="E88" i="80"/>
  <c r="D78" i="80"/>
  <c r="D138" i="80"/>
  <c r="E153" i="80"/>
  <c r="D172" i="80"/>
  <c r="M172" i="80"/>
  <c r="E132" i="82"/>
  <c r="D143" i="82"/>
  <c r="E159" i="82"/>
  <c r="O159" i="82"/>
  <c r="D164" i="82"/>
  <c r="B174" i="82"/>
  <c r="C179" i="82"/>
  <c r="K179" i="82"/>
  <c r="L96" i="83"/>
  <c r="D180" i="83"/>
  <c r="E91" i="84"/>
  <c r="N160" i="84"/>
  <c r="I180" i="84"/>
  <c r="H148" i="85"/>
  <c r="C179" i="85"/>
  <c r="K179" i="85"/>
  <c r="I116" i="87"/>
  <c r="P143" i="87"/>
  <c r="C179" i="87"/>
  <c r="K179" i="87"/>
  <c r="M97" i="88"/>
  <c r="H14" i="23"/>
  <c r="X13" i="23"/>
  <c r="H23" i="23"/>
  <c r="C92" i="45" s="1"/>
  <c r="L92" i="45" s="1"/>
  <c r="X25" i="23"/>
  <c r="W30" i="23"/>
  <c r="P36" i="23"/>
  <c r="AU38" i="23"/>
  <c r="AM36" i="23"/>
  <c r="I49" i="1"/>
  <c r="H23" i="1"/>
  <c r="F55" i="1"/>
  <c r="D42" i="1"/>
  <c r="F42" i="1" s="1"/>
  <c r="D34" i="1"/>
  <c r="D21" i="1" s="1"/>
  <c r="B26" i="1"/>
  <c r="G37" i="1"/>
  <c r="G24" i="1" s="1"/>
  <c r="H24" i="1"/>
  <c r="E21" i="1"/>
  <c r="E69" i="3"/>
  <c r="H43" i="3"/>
  <c r="N70" i="6"/>
  <c r="N109" i="6" s="1"/>
  <c r="K39" i="1"/>
  <c r="D36" i="1"/>
  <c r="D23" i="1" s="1"/>
  <c r="G128" i="2"/>
  <c r="F19" i="9"/>
  <c r="M128" i="2"/>
  <c r="G129" i="2"/>
  <c r="J106" i="6"/>
  <c r="E109" i="6"/>
  <c r="B96" i="6"/>
  <c r="B93" i="6"/>
  <c r="B100" i="6"/>
  <c r="D110" i="6"/>
  <c r="E49" i="9"/>
  <c r="O103" i="7"/>
  <c r="J104" i="7"/>
  <c r="P104" i="7"/>
  <c r="L99" i="15"/>
  <c r="I113" i="17"/>
  <c r="I105" i="17"/>
  <c r="L105" i="17" s="1"/>
  <c r="Q113" i="17"/>
  <c r="Q119" i="17" s="1"/>
  <c r="J121" i="17"/>
  <c r="J123" i="17" s="1"/>
  <c r="G122" i="19"/>
  <c r="O122" i="19"/>
  <c r="K118" i="19"/>
  <c r="E127" i="2"/>
  <c r="G20" i="9"/>
  <c r="C52" i="1"/>
  <c r="F35" i="1"/>
  <c r="G4" i="9"/>
  <c r="K127" i="2"/>
  <c r="L129" i="2"/>
  <c r="J119" i="2"/>
  <c r="G19" i="9"/>
  <c r="I115" i="2"/>
  <c r="H50" i="3"/>
  <c r="E107" i="6"/>
  <c r="E50" i="9"/>
  <c r="E58" i="9"/>
  <c r="E60" i="9" s="1"/>
  <c r="J101" i="7"/>
  <c r="P101" i="7"/>
  <c r="J103" i="7"/>
  <c r="F89" i="15"/>
  <c r="M97" i="15"/>
  <c r="M103" i="15" s="1"/>
  <c r="M89" i="15"/>
  <c r="F101" i="15"/>
  <c r="Q105" i="17"/>
  <c r="M121" i="17"/>
  <c r="M123" i="17" s="1"/>
  <c r="M109" i="17"/>
  <c r="F122" i="17"/>
  <c r="O121" i="17"/>
  <c r="O123" i="17" s="1"/>
  <c r="J110" i="25"/>
  <c r="C109" i="2"/>
  <c r="C102" i="2"/>
  <c r="I102" i="2" s="1"/>
  <c r="C105" i="2"/>
  <c r="C103" i="2"/>
  <c r="I103" i="2" s="1"/>
  <c r="C101" i="2"/>
  <c r="F128" i="2"/>
  <c r="G130" i="2"/>
  <c r="E67" i="3"/>
  <c r="H41" i="3"/>
  <c r="E46" i="3"/>
  <c r="H46" i="3" s="1"/>
  <c r="K46" i="3"/>
  <c r="F50" i="3"/>
  <c r="I50" i="3" s="1"/>
  <c r="G71" i="6"/>
  <c r="L113" i="6"/>
  <c r="L114" i="6" s="1"/>
  <c r="L75" i="6"/>
  <c r="G100" i="7"/>
  <c r="O100" i="7"/>
  <c r="G101" i="7"/>
  <c r="G102" i="7"/>
  <c r="B94" i="7"/>
  <c r="H94" i="7" s="1"/>
  <c r="C94" i="7"/>
  <c r="B89" i="7"/>
  <c r="C87" i="7"/>
  <c r="B85" i="7"/>
  <c r="H85" i="7" s="1"/>
  <c r="I55" i="15"/>
  <c r="O97" i="15"/>
  <c r="O103" i="15" s="1"/>
  <c r="G91" i="17"/>
  <c r="G113" i="17"/>
  <c r="J87" i="25"/>
  <c r="J109" i="25"/>
  <c r="J115" i="25" s="1"/>
  <c r="F67" i="3"/>
  <c r="E106" i="6"/>
  <c r="H67" i="6"/>
  <c r="J71" i="6"/>
  <c r="E97" i="6"/>
  <c r="H97" i="6" s="1"/>
  <c r="E77" i="7"/>
  <c r="K99" i="7"/>
  <c r="K105" i="7" s="1"/>
  <c r="K91" i="7"/>
  <c r="I91" i="7" s="1"/>
  <c r="Q99" i="7"/>
  <c r="Q105" i="7" s="1"/>
  <c r="Q91" i="7"/>
  <c r="M102" i="7"/>
  <c r="F103" i="17"/>
  <c r="F92" i="22"/>
  <c r="F94" i="22" s="1"/>
  <c r="F79" i="17"/>
  <c r="F81" i="17" s="1"/>
  <c r="K70" i="17"/>
  <c r="H76" i="17"/>
  <c r="K76" i="17" s="1"/>
  <c r="B93" i="17"/>
  <c r="B95" i="17" s="1"/>
  <c r="K95" i="17" s="1"/>
  <c r="C87" i="17"/>
  <c r="L87" i="17" s="1"/>
  <c r="B87" i="17"/>
  <c r="K87" i="17" s="1"/>
  <c r="B89" i="17"/>
  <c r="B85" i="17"/>
  <c r="M117" i="17"/>
  <c r="G121" i="17"/>
  <c r="G109" i="17"/>
  <c r="L119" i="19"/>
  <c r="M126" i="22"/>
  <c r="M132" i="22" s="1"/>
  <c r="M90" i="22"/>
  <c r="L52" i="1"/>
  <c r="D132" i="2"/>
  <c r="B102" i="2"/>
  <c r="G38" i="1"/>
  <c r="G25" i="1" s="1"/>
  <c r="M52" i="1"/>
  <c r="F127" i="2"/>
  <c r="C104" i="2"/>
  <c r="K106" i="2"/>
  <c r="F135" i="2"/>
  <c r="H54" i="3"/>
  <c r="H55" i="3"/>
  <c r="N55" i="3"/>
  <c r="H57" i="3"/>
  <c r="N57" i="3"/>
  <c r="M71" i="6"/>
  <c r="G43" i="9"/>
  <c r="G45" i="9" s="1"/>
  <c r="J99" i="15"/>
  <c r="J100" i="15"/>
  <c r="P100" i="15"/>
  <c r="P101" i="15"/>
  <c r="J101" i="15"/>
  <c r="G105" i="17"/>
  <c r="O113" i="17"/>
  <c r="O119" i="17" s="1"/>
  <c r="O105" i="17"/>
  <c r="M113" i="17"/>
  <c r="M119" i="17" s="1"/>
  <c r="E122" i="19"/>
  <c r="M122" i="19"/>
  <c r="L117" i="19"/>
  <c r="L103" i="25"/>
  <c r="L127" i="2"/>
  <c r="J39" i="1"/>
  <c r="J21" i="1"/>
  <c r="F129" i="2"/>
  <c r="M46" i="3"/>
  <c r="K98" i="15"/>
  <c r="I84" i="15"/>
  <c r="K102" i="15"/>
  <c r="E76" i="17"/>
  <c r="I118" i="17"/>
  <c r="Q118" i="17"/>
  <c r="L120" i="19"/>
  <c r="L124" i="19"/>
  <c r="N109" i="25"/>
  <c r="N115" i="25" s="1"/>
  <c r="N73" i="25"/>
  <c r="N110" i="25"/>
  <c r="H111" i="25"/>
  <c r="K111" i="25" s="1"/>
  <c r="K69" i="25"/>
  <c r="O126" i="22"/>
  <c r="O132" i="22" s="1"/>
  <c r="Q129" i="22"/>
  <c r="I130" i="22"/>
  <c r="I126" i="22"/>
  <c r="I132" i="22" s="1"/>
  <c r="I104" i="22"/>
  <c r="L104" i="22" s="1"/>
  <c r="C22" i="1"/>
  <c r="L22" i="1"/>
  <c r="J23" i="1"/>
  <c r="M29" i="1"/>
  <c r="M30" i="1" s="1"/>
  <c r="K21" i="1"/>
  <c r="H52" i="1"/>
  <c r="I52" i="1" s="1"/>
  <c r="J127" i="2"/>
  <c r="G5" i="9"/>
  <c r="J130" i="2"/>
  <c r="M135" i="2"/>
  <c r="M136" i="2" s="1"/>
  <c r="G119" i="2"/>
  <c r="D19" i="9"/>
  <c r="G21" i="9"/>
  <c r="B67" i="3"/>
  <c r="E68" i="3"/>
  <c r="H68" i="3" s="1"/>
  <c r="J71" i="3"/>
  <c r="K75" i="3"/>
  <c r="K76" i="3" s="1"/>
  <c r="M105" i="6"/>
  <c r="M108" i="6"/>
  <c r="K84" i="6"/>
  <c r="K107" i="6"/>
  <c r="K109" i="6"/>
  <c r="B83" i="6"/>
  <c r="C23" i="9" s="1"/>
  <c r="F113" i="6"/>
  <c r="G101" i="6"/>
  <c r="E40" i="9"/>
  <c r="G63" i="7"/>
  <c r="F100" i="7"/>
  <c r="E102" i="7"/>
  <c r="E104" i="7"/>
  <c r="H71" i="7"/>
  <c r="H73" i="7"/>
  <c r="J99" i="7"/>
  <c r="J105" i="7" s="1"/>
  <c r="P99" i="7"/>
  <c r="P105" i="7" s="1"/>
  <c r="K100" i="7"/>
  <c r="Q100" i="7"/>
  <c r="O101" i="7"/>
  <c r="N103" i="7"/>
  <c r="E108" i="7"/>
  <c r="D105" i="7"/>
  <c r="G97" i="15"/>
  <c r="N97" i="15"/>
  <c r="N103" i="15" s="1"/>
  <c r="E61" i="15"/>
  <c r="H61" i="15" s="1"/>
  <c r="M98" i="15"/>
  <c r="H58" i="15"/>
  <c r="G101" i="15"/>
  <c r="E102" i="15"/>
  <c r="B71" i="15"/>
  <c r="H71" i="15" s="1"/>
  <c r="E101" i="15"/>
  <c r="N102" i="15"/>
  <c r="E89" i="15"/>
  <c r="B84" i="15"/>
  <c r="H84" i="15" s="1"/>
  <c r="O99" i="15"/>
  <c r="L101" i="15"/>
  <c r="B88" i="15"/>
  <c r="H88" i="15" s="1"/>
  <c r="P102" i="15"/>
  <c r="G106" i="15"/>
  <c r="G107" i="15" s="1"/>
  <c r="E54" i="21"/>
  <c r="F89" i="17"/>
  <c r="C72" i="17"/>
  <c r="L72" i="17" s="1"/>
  <c r="Q115" i="17"/>
  <c r="I116" i="17"/>
  <c r="E122" i="17"/>
  <c r="E114" i="17"/>
  <c r="N113" i="17"/>
  <c r="N119" i="17" s="1"/>
  <c r="H114" i="17"/>
  <c r="H115" i="17"/>
  <c r="P115" i="17"/>
  <c r="J116" i="17"/>
  <c r="B103" i="17"/>
  <c r="K103" i="17" s="1"/>
  <c r="J117" i="17"/>
  <c r="N118" i="17"/>
  <c r="B108" i="17"/>
  <c r="B109" i="17" s="1"/>
  <c r="K109" i="17" s="1"/>
  <c r="J122" i="17"/>
  <c r="D122" i="19"/>
  <c r="J122" i="19"/>
  <c r="K119" i="19"/>
  <c r="F126" i="19"/>
  <c r="M110" i="25"/>
  <c r="G111" i="25"/>
  <c r="M111" i="25"/>
  <c r="E113" i="25"/>
  <c r="E114" i="25"/>
  <c r="M114" i="25"/>
  <c r="G87" i="25"/>
  <c r="F130" i="22"/>
  <c r="J131" i="22"/>
  <c r="C93" i="22"/>
  <c r="C94" i="22" s="1"/>
  <c r="B93" i="22"/>
  <c r="K93" i="22" s="1"/>
  <c r="B92" i="22"/>
  <c r="C88" i="22"/>
  <c r="L88" i="22" s="1"/>
  <c r="B85" i="22"/>
  <c r="G134" i="22"/>
  <c r="O134" i="22"/>
  <c r="O136" i="22" s="1"/>
  <c r="O94" i="22"/>
  <c r="F104" i="22"/>
  <c r="H128" i="22"/>
  <c r="G118" i="22"/>
  <c r="E130" i="22"/>
  <c r="Q130" i="22"/>
  <c r="K117" i="22"/>
  <c r="F91" i="35"/>
  <c r="F101" i="35" s="1"/>
  <c r="F96" i="35"/>
  <c r="F97" i="35" s="1"/>
  <c r="F92" i="37"/>
  <c r="N103" i="37"/>
  <c r="D118" i="37"/>
  <c r="M118" i="37"/>
  <c r="F88" i="38"/>
  <c r="G112" i="38"/>
  <c r="G113" i="38" s="1"/>
  <c r="G83" i="38"/>
  <c r="D132" i="22"/>
  <c r="E134" i="22"/>
  <c r="G108" i="39"/>
  <c r="G77" i="39"/>
  <c r="O102" i="7"/>
  <c r="G103" i="7"/>
  <c r="G104" i="7"/>
  <c r="O104" i="7"/>
  <c r="L99" i="7"/>
  <c r="L105" i="7" s="1"/>
  <c r="E91" i="7"/>
  <c r="M100" i="7"/>
  <c r="K101" i="7"/>
  <c r="Q101" i="7"/>
  <c r="G108" i="7"/>
  <c r="G109" i="7" s="1"/>
  <c r="G98" i="15"/>
  <c r="E75" i="15"/>
  <c r="F75" i="15"/>
  <c r="O100" i="15"/>
  <c r="N101" i="15"/>
  <c r="G76" i="17"/>
  <c r="O114" i="17"/>
  <c r="M116" i="17"/>
  <c r="Q117" i="17"/>
  <c r="P113" i="17"/>
  <c r="P119" i="17" s="1"/>
  <c r="P121" i="17"/>
  <c r="P123" i="17" s="1"/>
  <c r="F122" i="19"/>
  <c r="K120" i="19"/>
  <c r="F85" i="25"/>
  <c r="F89" i="25"/>
  <c r="F83" i="25"/>
  <c r="F111" i="25" s="1"/>
  <c r="H110" i="25"/>
  <c r="K110" i="25" s="1"/>
  <c r="O111" i="25"/>
  <c r="N113" i="25"/>
  <c r="G114" i="25"/>
  <c r="N127" i="22"/>
  <c r="E128" i="22"/>
  <c r="H130" i="22"/>
  <c r="C121" i="22"/>
  <c r="L121" i="22" s="1"/>
  <c r="B120" i="22"/>
  <c r="C120" i="22"/>
  <c r="L120" i="22" s="1"/>
  <c r="B121" i="22"/>
  <c r="K121" i="22" s="1"/>
  <c r="M134" i="22"/>
  <c r="M136" i="22" s="1"/>
  <c r="I97" i="35"/>
  <c r="L97" i="35" s="1"/>
  <c r="L96" i="35"/>
  <c r="E108" i="38"/>
  <c r="E80" i="38"/>
  <c r="F93" i="37"/>
  <c r="F104" i="37" s="1"/>
  <c r="E108" i="37"/>
  <c r="E109" i="37" s="1"/>
  <c r="E87" i="37"/>
  <c r="F92" i="38"/>
  <c r="F93" i="38" s="1"/>
  <c r="G80" i="38"/>
  <c r="C39" i="1"/>
  <c r="J22" i="1"/>
  <c r="L106" i="2"/>
  <c r="E119" i="2"/>
  <c r="H119" i="2" s="1"/>
  <c r="G46" i="3"/>
  <c r="G72" i="3" s="1"/>
  <c r="K108" i="6"/>
  <c r="M109" i="6"/>
  <c r="G84" i="6"/>
  <c r="G97" i="6"/>
  <c r="E99" i="7"/>
  <c r="F99" i="15"/>
  <c r="K100" i="15"/>
  <c r="F99" i="17"/>
  <c r="F113" i="17" s="1"/>
  <c r="F100" i="17"/>
  <c r="G116" i="17"/>
  <c r="O116" i="17"/>
  <c r="E105" i="17"/>
  <c r="N114" i="17"/>
  <c r="N115" i="17"/>
  <c r="P117" i="17"/>
  <c r="P122" i="17"/>
  <c r="B122" i="19"/>
  <c r="H122" i="19"/>
  <c r="P122" i="19"/>
  <c r="H126" i="19"/>
  <c r="F98" i="25"/>
  <c r="Q110" i="25"/>
  <c r="Q111" i="25"/>
  <c r="P112" i="25"/>
  <c r="Q114" i="25"/>
  <c r="N118" i="25"/>
  <c r="G113" i="25"/>
  <c r="G91" i="25"/>
  <c r="G101" i="25"/>
  <c r="G118" i="25"/>
  <c r="P127" i="22"/>
  <c r="G104" i="22"/>
  <c r="G84" i="35"/>
  <c r="O94" i="35"/>
  <c r="M115" i="35"/>
  <c r="D106" i="37"/>
  <c r="E122" i="22"/>
  <c r="I30" i="1"/>
  <c r="L39" i="1"/>
  <c r="L24" i="1"/>
  <c r="G6" i="9"/>
  <c r="M119" i="2"/>
  <c r="J70" i="3"/>
  <c r="K105" i="6"/>
  <c r="M106" i="6"/>
  <c r="F109" i="6"/>
  <c r="N97" i="6"/>
  <c r="E52" i="9"/>
  <c r="N99" i="7"/>
  <c r="N105" i="7" s="1"/>
  <c r="M104" i="7"/>
  <c r="E97" i="15"/>
  <c r="F100" i="15"/>
  <c r="K101" i="15"/>
  <c r="Q101" i="15"/>
  <c r="N98" i="15"/>
  <c r="M99" i="15"/>
  <c r="C86" i="15"/>
  <c r="I86" i="15" s="1"/>
  <c r="Q100" i="15"/>
  <c r="E113" i="17"/>
  <c r="B71" i="17"/>
  <c r="K71" i="17" s="1"/>
  <c r="I114" i="17"/>
  <c r="B80" i="17"/>
  <c r="K80" i="17" s="1"/>
  <c r="Q122" i="17"/>
  <c r="J113" i="17"/>
  <c r="J119" i="17" s="1"/>
  <c r="J118" i="17"/>
  <c r="K29" i="1"/>
  <c r="K30" i="1" s="1"/>
  <c r="M39" i="1"/>
  <c r="K22" i="1"/>
  <c r="C29" i="1"/>
  <c r="C30" i="1" s="1"/>
  <c r="J52" i="1"/>
  <c r="C23" i="1"/>
  <c r="M23" i="1"/>
  <c r="J25" i="1"/>
  <c r="B101" i="2"/>
  <c r="J128" i="2"/>
  <c r="H6" i="9"/>
  <c r="H51" i="9" s="1"/>
  <c r="M131" i="2"/>
  <c r="L135" i="2"/>
  <c r="L136" i="2" s="1"/>
  <c r="B115" i="2"/>
  <c r="H115" i="2" s="1"/>
  <c r="C116" i="2"/>
  <c r="F21" i="9"/>
  <c r="H22" i="9"/>
  <c r="H25" i="9" s="1"/>
  <c r="N41" i="3"/>
  <c r="G71" i="3"/>
  <c r="J75" i="3"/>
  <c r="J76" i="3" s="1"/>
  <c r="E75" i="3"/>
  <c r="E76" i="3" s="1"/>
  <c r="H76" i="3" s="1"/>
  <c r="E105" i="6"/>
  <c r="L105" i="6"/>
  <c r="G106" i="6"/>
  <c r="J107" i="6"/>
  <c r="E108" i="6"/>
  <c r="L108" i="6"/>
  <c r="H53" i="9"/>
  <c r="J113" i="6"/>
  <c r="J114" i="6" s="1"/>
  <c r="J75" i="6"/>
  <c r="J84" i="6"/>
  <c r="J109" i="6"/>
  <c r="C87" i="6"/>
  <c r="C88" i="6" s="1"/>
  <c r="I88" i="6" s="1"/>
  <c r="E53" i="9"/>
  <c r="F63" i="7"/>
  <c r="I63" i="7" s="1"/>
  <c r="E100" i="7"/>
  <c r="E101" i="7"/>
  <c r="M101" i="7"/>
  <c r="C60" i="7"/>
  <c r="I60" i="7" s="1"/>
  <c r="B61" i="7"/>
  <c r="H61" i="7" s="1"/>
  <c r="C62" i="7"/>
  <c r="I62" i="7" s="1"/>
  <c r="L104" i="7"/>
  <c r="C61" i="7"/>
  <c r="I76" i="7"/>
  <c r="O99" i="7"/>
  <c r="O105" i="7" s="1"/>
  <c r="N101" i="7"/>
  <c r="M103" i="7"/>
  <c r="F61" i="15"/>
  <c r="I61" i="15" s="1"/>
  <c r="F52" i="15"/>
  <c r="L98" i="15"/>
  <c r="G100" i="15"/>
  <c r="L102" i="15"/>
  <c r="J97" i="15"/>
  <c r="J103" i="15" s="1"/>
  <c r="P97" i="15"/>
  <c r="P103" i="15" s="1"/>
  <c r="B73" i="15"/>
  <c r="H73" i="15" s="1"/>
  <c r="M102" i="15"/>
  <c r="J75" i="15"/>
  <c r="H75" i="15" s="1"/>
  <c r="B83" i="15"/>
  <c r="H83" i="15" s="1"/>
  <c r="K97" i="15"/>
  <c r="Q97" i="15"/>
  <c r="Q103" i="15" s="1"/>
  <c r="O98" i="15"/>
  <c r="N99" i="15"/>
  <c r="L100" i="15"/>
  <c r="B87" i="15"/>
  <c r="H87" i="15" s="1"/>
  <c r="O102" i="15"/>
  <c r="F104" i="17"/>
  <c r="C71" i="17"/>
  <c r="B72" i="17"/>
  <c r="H116" i="17"/>
  <c r="G117" i="17"/>
  <c r="G118" i="17"/>
  <c r="C80" i="17"/>
  <c r="L80" i="17" s="1"/>
  <c r="L85" i="17"/>
  <c r="C99" i="17"/>
  <c r="C113" i="17" s="1"/>
  <c r="O115" i="17"/>
  <c r="Q116" i="17"/>
  <c r="M118" i="17"/>
  <c r="I121" i="17"/>
  <c r="C122" i="19"/>
  <c r="I122" i="19"/>
  <c r="Q122" i="19"/>
  <c r="E126" i="19"/>
  <c r="E111" i="25"/>
  <c r="E112" i="25"/>
  <c r="K70" i="25"/>
  <c r="Q112" i="25"/>
  <c r="J113" i="25"/>
  <c r="Q113" i="25"/>
  <c r="J114" i="25"/>
  <c r="H118" i="25"/>
  <c r="K118" i="25" s="1"/>
  <c r="E87" i="25"/>
  <c r="E110" i="25"/>
  <c r="G105" i="25"/>
  <c r="C117" i="25"/>
  <c r="B84" i="22"/>
  <c r="K84" i="22" s="1"/>
  <c r="B89" i="22"/>
  <c r="L89" i="22"/>
  <c r="O135" i="22"/>
  <c r="E104" i="22"/>
  <c r="Q126" i="22"/>
  <c r="Q132" i="22" s="1"/>
  <c r="F118" i="22"/>
  <c r="M127" i="22"/>
  <c r="G95" i="37"/>
  <c r="F97" i="38"/>
  <c r="F100" i="38" s="1"/>
  <c r="F99" i="38"/>
  <c r="G107" i="38"/>
  <c r="O80" i="38"/>
  <c r="I108" i="38"/>
  <c r="L108" i="38" s="1"/>
  <c r="Q108" i="38"/>
  <c r="G81" i="50"/>
  <c r="F99" i="44"/>
  <c r="E115" i="44"/>
  <c r="E117" i="44" s="1"/>
  <c r="F87" i="45"/>
  <c r="B89" i="45"/>
  <c r="G60" i="47"/>
  <c r="E109" i="47"/>
  <c r="F84" i="49"/>
  <c r="F81" i="49"/>
  <c r="E58" i="49"/>
  <c r="F58" i="49"/>
  <c r="H62" i="49"/>
  <c r="K62" i="49" s="1"/>
  <c r="F103" i="50"/>
  <c r="F99" i="50"/>
  <c r="F97" i="50"/>
  <c r="G101" i="50"/>
  <c r="E113" i="50"/>
  <c r="F106" i="53"/>
  <c r="F107" i="53" s="1"/>
  <c r="G107" i="39"/>
  <c r="Q108" i="39"/>
  <c r="M109" i="39"/>
  <c r="E112" i="39"/>
  <c r="E114" i="39" s="1"/>
  <c r="H112" i="39"/>
  <c r="H114" i="39" s="1"/>
  <c r="K114" i="39" s="1"/>
  <c r="F91" i="41"/>
  <c r="F93" i="41" s="1"/>
  <c r="F97" i="41"/>
  <c r="F99" i="41" s="1"/>
  <c r="P108" i="41"/>
  <c r="I111" i="41"/>
  <c r="L111" i="41" s="1"/>
  <c r="G83" i="41"/>
  <c r="I103" i="41"/>
  <c r="L103" i="41" s="1"/>
  <c r="F90" i="43"/>
  <c r="E111" i="43"/>
  <c r="E114" i="43" s="1"/>
  <c r="O113" i="43"/>
  <c r="H116" i="43"/>
  <c r="K116" i="43" s="1"/>
  <c r="I117" i="43"/>
  <c r="L117" i="43" s="1"/>
  <c r="Q117" i="43"/>
  <c r="G92" i="43"/>
  <c r="N92" i="43"/>
  <c r="E112" i="44"/>
  <c r="G115" i="44"/>
  <c r="G117" i="44" s="1"/>
  <c r="E108" i="45"/>
  <c r="C82" i="45"/>
  <c r="P114" i="45"/>
  <c r="F94" i="47"/>
  <c r="F106" i="47"/>
  <c r="L56" i="47"/>
  <c r="K57" i="47"/>
  <c r="P93" i="47"/>
  <c r="K71" i="47"/>
  <c r="L71" i="47"/>
  <c r="L86" i="47"/>
  <c r="L87" i="47"/>
  <c r="H88" i="47"/>
  <c r="K88" i="47" s="1"/>
  <c r="E96" i="47"/>
  <c r="K95" i="47"/>
  <c r="K99" i="47"/>
  <c r="F96" i="49"/>
  <c r="N90" i="49"/>
  <c r="P92" i="49"/>
  <c r="Q93" i="49"/>
  <c r="Q96" i="49"/>
  <c r="M82" i="49"/>
  <c r="N86" i="49"/>
  <c r="H107" i="49"/>
  <c r="K107" i="49" s="1"/>
  <c r="E107" i="49"/>
  <c r="K73" i="50"/>
  <c r="O110" i="50"/>
  <c r="B81" i="50"/>
  <c r="K81" i="50" s="1"/>
  <c r="L79" i="50"/>
  <c r="L80" i="50"/>
  <c r="Q116" i="50"/>
  <c r="E89" i="50"/>
  <c r="L91" i="50"/>
  <c r="K112" i="50"/>
  <c r="D117" i="50"/>
  <c r="E126" i="50"/>
  <c r="F104" i="53"/>
  <c r="C73" i="53"/>
  <c r="K70" i="53"/>
  <c r="P104" i="53"/>
  <c r="B77" i="53"/>
  <c r="L75" i="53"/>
  <c r="C85" i="53"/>
  <c r="K83" i="53"/>
  <c r="G89" i="53"/>
  <c r="G100" i="53"/>
  <c r="K105" i="53"/>
  <c r="K110" i="53"/>
  <c r="K121" i="38"/>
  <c r="F90" i="39"/>
  <c r="F92" i="39" s="1"/>
  <c r="N109" i="39"/>
  <c r="O112" i="39"/>
  <c r="O114" i="39" s="1"/>
  <c r="P113" i="39"/>
  <c r="I122" i="39"/>
  <c r="F88" i="41"/>
  <c r="G79" i="41"/>
  <c r="O107" i="41"/>
  <c r="I108" i="41"/>
  <c r="L108" i="41" s="1"/>
  <c r="J120" i="41"/>
  <c r="B124" i="41"/>
  <c r="F106" i="43"/>
  <c r="G112" i="43"/>
  <c r="O112" i="43"/>
  <c r="I116" i="43"/>
  <c r="I118" i="43" s="1"/>
  <c r="L118" i="43" s="1"/>
  <c r="C130" i="43"/>
  <c r="F100" i="44"/>
  <c r="F89" i="44"/>
  <c r="Q116" i="44"/>
  <c r="I102" i="44"/>
  <c r="L102" i="44" s="1"/>
  <c r="F98" i="45"/>
  <c r="L76" i="45"/>
  <c r="L77" i="45"/>
  <c r="P110" i="45"/>
  <c r="E113" i="45"/>
  <c r="E115" i="45" s="1"/>
  <c r="M113" i="45"/>
  <c r="M115" i="45" s="1"/>
  <c r="I104" i="45"/>
  <c r="L57" i="47"/>
  <c r="K58" i="47"/>
  <c r="G72" i="47"/>
  <c r="K87" i="47"/>
  <c r="L92" i="47"/>
  <c r="L95" i="47"/>
  <c r="L99" i="47"/>
  <c r="I126" i="47"/>
  <c r="F91" i="49"/>
  <c r="G58" i="49"/>
  <c r="M74" i="49"/>
  <c r="E82" i="49"/>
  <c r="E94" i="49"/>
  <c r="E111" i="49"/>
  <c r="H124" i="49"/>
  <c r="N124" i="49"/>
  <c r="D107" i="53"/>
  <c r="E119" i="53"/>
  <c r="E109" i="38"/>
  <c r="G90" i="38"/>
  <c r="G100" i="38"/>
  <c r="F87" i="39"/>
  <c r="G109" i="39"/>
  <c r="I113" i="39"/>
  <c r="L113" i="39" s="1"/>
  <c r="Q113" i="39"/>
  <c r="G88" i="39"/>
  <c r="F92" i="41"/>
  <c r="P107" i="41"/>
  <c r="J108" i="41"/>
  <c r="E79" i="41"/>
  <c r="F101" i="43"/>
  <c r="F100" i="43"/>
  <c r="F111" i="43" s="1"/>
  <c r="J102" i="44"/>
  <c r="Q102" i="44"/>
  <c r="D125" i="44"/>
  <c r="F102" i="45"/>
  <c r="F104" i="45" s="1"/>
  <c r="G89" i="45"/>
  <c r="L91" i="45"/>
  <c r="E100" i="45"/>
  <c r="F87" i="47"/>
  <c r="K68" i="47"/>
  <c r="K80" i="47"/>
  <c r="K82" i="47"/>
  <c r="K83" i="47"/>
  <c r="E100" i="47"/>
  <c r="F113" i="47"/>
  <c r="F73" i="49"/>
  <c r="F74" i="49" s="1"/>
  <c r="F78" i="49"/>
  <c r="F72" i="49"/>
  <c r="D98" i="49"/>
  <c r="C77" i="50"/>
  <c r="L75" i="50"/>
  <c r="K85" i="50"/>
  <c r="K86" i="50"/>
  <c r="K103" i="50"/>
  <c r="K104" i="50"/>
  <c r="G117" i="50"/>
  <c r="F73" i="53"/>
  <c r="E85" i="53"/>
  <c r="L87" i="53"/>
  <c r="E107" i="53"/>
  <c r="D126" i="19"/>
  <c r="J126" i="19"/>
  <c r="Q126" i="19"/>
  <c r="F99" i="25"/>
  <c r="F104" i="25"/>
  <c r="I110" i="25"/>
  <c r="L110" i="25" s="1"/>
  <c r="P110" i="25"/>
  <c r="O112" i="25"/>
  <c r="O113" i="25"/>
  <c r="H114" i="25"/>
  <c r="K114" i="25" s="1"/>
  <c r="P114" i="25"/>
  <c r="M117" i="25"/>
  <c r="M119" i="25" s="1"/>
  <c r="M113" i="25"/>
  <c r="F114" i="25"/>
  <c r="E90" i="22"/>
  <c r="Q127" i="22"/>
  <c r="N128" i="22"/>
  <c r="E129" i="22"/>
  <c r="P131" i="22"/>
  <c r="B106" i="22"/>
  <c r="B108" i="22" s="1"/>
  <c r="K108" i="22" s="1"/>
  <c r="E118" i="22"/>
  <c r="C113" i="22"/>
  <c r="L113" i="22" s="1"/>
  <c r="E103" i="35"/>
  <c r="E106" i="35"/>
  <c r="E107" i="35" s="1"/>
  <c r="E94" i="35"/>
  <c r="G102" i="37"/>
  <c r="O102" i="37"/>
  <c r="H103" i="37"/>
  <c r="K103" i="37" s="1"/>
  <c r="Q104" i="37"/>
  <c r="F98" i="38"/>
  <c r="F82" i="38"/>
  <c r="F120" i="38"/>
  <c r="F121" i="38" s="1"/>
  <c r="Q107" i="38"/>
  <c r="M109" i="38"/>
  <c r="N112" i="38"/>
  <c r="N113" i="38" s="1"/>
  <c r="F98" i="39"/>
  <c r="F99" i="39" s="1"/>
  <c r="F85" i="39"/>
  <c r="F107" i="39" s="1"/>
  <c r="F79" i="39"/>
  <c r="J107" i="39"/>
  <c r="E108" i="39"/>
  <c r="E110" i="39" s="1"/>
  <c r="I112" i="39"/>
  <c r="L112" i="39" s="1"/>
  <c r="N88" i="39"/>
  <c r="G113" i="39"/>
  <c r="G99" i="39"/>
  <c r="O99" i="39"/>
  <c r="F102" i="41"/>
  <c r="G112" i="41"/>
  <c r="O112" i="41"/>
  <c r="G89" i="41"/>
  <c r="O89" i="41"/>
  <c r="H111" i="43"/>
  <c r="K111" i="43" s="1"/>
  <c r="P81" i="43"/>
  <c r="I112" i="43"/>
  <c r="L112" i="43" s="1"/>
  <c r="Q112" i="43"/>
  <c r="J113" i="43"/>
  <c r="M116" i="43"/>
  <c r="M118" i="43" s="1"/>
  <c r="N117" i="43"/>
  <c r="G85" i="43"/>
  <c r="J92" i="43"/>
  <c r="Q92" i="43"/>
  <c r="E96" i="43"/>
  <c r="F104" i="44"/>
  <c r="F106" i="44" s="1"/>
  <c r="F101" i="44"/>
  <c r="E110" i="44"/>
  <c r="O111" i="44"/>
  <c r="I112" i="44"/>
  <c r="L112" i="44" s="1"/>
  <c r="E116" i="44"/>
  <c r="M116" i="44"/>
  <c r="F103" i="45"/>
  <c r="K75" i="45"/>
  <c r="P108" i="45"/>
  <c r="G78" i="45"/>
  <c r="N109" i="45"/>
  <c r="E110" i="45"/>
  <c r="E82" i="45"/>
  <c r="P89" i="45"/>
  <c r="K87" i="45"/>
  <c r="K88" i="45"/>
  <c r="L59" i="47"/>
  <c r="I64" i="47"/>
  <c r="L64" i="47" s="1"/>
  <c r="Q99" i="47"/>
  <c r="K74" i="47"/>
  <c r="K75" i="47"/>
  <c r="L83" i="47"/>
  <c r="D96" i="47"/>
  <c r="L93" i="47"/>
  <c r="G100" i="47"/>
  <c r="D100" i="47"/>
  <c r="F85" i="49"/>
  <c r="M92" i="49"/>
  <c r="N93" i="49"/>
  <c r="F62" i="49"/>
  <c r="G70" i="49"/>
  <c r="O86" i="49"/>
  <c r="F111" i="50"/>
  <c r="F126" i="50"/>
  <c r="L85" i="50"/>
  <c r="K87" i="50"/>
  <c r="K88" i="50"/>
  <c r="E93" i="50"/>
  <c r="I93" i="50"/>
  <c r="L93" i="50" s="1"/>
  <c r="L103" i="50"/>
  <c r="H117" i="50"/>
  <c r="K143" i="50"/>
  <c r="F105" i="53"/>
  <c r="L72" i="53"/>
  <c r="F77" i="53"/>
  <c r="G57" i="54"/>
  <c r="G85" i="53"/>
  <c r="F89" i="53"/>
  <c r="K94" i="53"/>
  <c r="K95" i="53"/>
  <c r="L99" i="53"/>
  <c r="G107" i="53"/>
  <c r="L106" i="53"/>
  <c r="G111" i="53"/>
  <c r="F123" i="53"/>
  <c r="F70" i="54"/>
  <c r="F57" i="54"/>
  <c r="M77" i="54"/>
  <c r="G61" i="54"/>
  <c r="K66" i="54"/>
  <c r="J79" i="54"/>
  <c r="K77" i="54"/>
  <c r="G83" i="54"/>
  <c r="E91" i="54"/>
  <c r="C107" i="54"/>
  <c r="L107" i="54"/>
  <c r="F101" i="55"/>
  <c r="F115" i="55"/>
  <c r="C67" i="55"/>
  <c r="J67" i="55"/>
  <c r="L69" i="55"/>
  <c r="Q105" i="55"/>
  <c r="L81" i="55"/>
  <c r="L89" i="55"/>
  <c r="K90" i="55"/>
  <c r="G103" i="55"/>
  <c r="L101" i="55"/>
  <c r="B107" i="55"/>
  <c r="L105" i="55"/>
  <c r="G107" i="55"/>
  <c r="E115" i="55"/>
  <c r="I119" i="55"/>
  <c r="L119" i="55" s="1"/>
  <c r="F100" i="56"/>
  <c r="F102" i="56"/>
  <c r="G103" i="56"/>
  <c r="F97" i="56"/>
  <c r="K105" i="56"/>
  <c r="P135" i="56"/>
  <c r="K106" i="56"/>
  <c r="K114" i="56"/>
  <c r="C122" i="56"/>
  <c r="G133" i="56"/>
  <c r="C133" i="56"/>
  <c r="K128" i="56"/>
  <c r="L130" i="56"/>
  <c r="G137" i="56"/>
  <c r="F158" i="57"/>
  <c r="F160" i="57" s="1"/>
  <c r="F129" i="57"/>
  <c r="C126" i="57"/>
  <c r="L121" i="57"/>
  <c r="K122" i="57"/>
  <c r="M159" i="57"/>
  <c r="L135" i="57"/>
  <c r="L137" i="57"/>
  <c r="K140" i="57"/>
  <c r="H156" i="57"/>
  <c r="K153" i="57"/>
  <c r="G160" i="57"/>
  <c r="E175" i="57"/>
  <c r="F187" i="57"/>
  <c r="F151" i="58"/>
  <c r="F167" i="58"/>
  <c r="F140" i="58"/>
  <c r="M153" i="58"/>
  <c r="L124" i="58"/>
  <c r="M131" i="58"/>
  <c r="L136" i="58"/>
  <c r="L137" i="58"/>
  <c r="L138" i="58"/>
  <c r="L139" i="58"/>
  <c r="L140" i="58"/>
  <c r="B159" i="58"/>
  <c r="G123" i="53"/>
  <c r="O123" i="53"/>
  <c r="J123" i="53"/>
  <c r="H135" i="53"/>
  <c r="N135" i="53"/>
  <c r="F67" i="54"/>
  <c r="F76" i="54"/>
  <c r="F88" i="54"/>
  <c r="H57" i="54"/>
  <c r="P57" i="54"/>
  <c r="N77" i="54"/>
  <c r="K59" i="54"/>
  <c r="K70" i="54"/>
  <c r="K71" i="54"/>
  <c r="D79" i="54"/>
  <c r="L77" i="54"/>
  <c r="J83" i="54"/>
  <c r="K82" i="54"/>
  <c r="G91" i="54"/>
  <c r="G95" i="54"/>
  <c r="O95" i="54"/>
  <c r="F75" i="55"/>
  <c r="E67" i="55"/>
  <c r="K65" i="55"/>
  <c r="J71" i="55"/>
  <c r="E91" i="55"/>
  <c r="F95" i="55"/>
  <c r="K99" i="55"/>
  <c r="K106" i="55"/>
  <c r="G115" i="55"/>
  <c r="L105" i="56"/>
  <c r="E118" i="56"/>
  <c r="L114" i="56"/>
  <c r="K115" i="56"/>
  <c r="O131" i="56"/>
  <c r="O132" i="56"/>
  <c r="K135" i="56"/>
  <c r="E148" i="56"/>
  <c r="L122" i="57"/>
  <c r="L123" i="57"/>
  <c r="K124" i="57"/>
  <c r="B141" i="57"/>
  <c r="J141" i="57"/>
  <c r="L139" i="57"/>
  <c r="K144" i="57"/>
  <c r="B156" i="57"/>
  <c r="L150" i="57"/>
  <c r="L153" i="57"/>
  <c r="I175" i="57"/>
  <c r="L175" i="57" s="1"/>
  <c r="G187" i="57"/>
  <c r="F130" i="58"/>
  <c r="G127" i="58"/>
  <c r="M154" i="58"/>
  <c r="B143" i="58"/>
  <c r="L141" i="58"/>
  <c r="N179" i="58"/>
  <c r="G79" i="55"/>
  <c r="E125" i="60"/>
  <c r="E71" i="55"/>
  <c r="G95" i="55"/>
  <c r="I127" i="55"/>
  <c r="M131" i="55"/>
  <c r="F135" i="56"/>
  <c r="F167" i="56"/>
  <c r="F96" i="56"/>
  <c r="B103" i="56"/>
  <c r="L97" i="56"/>
  <c r="L98" i="56"/>
  <c r="K99" i="56"/>
  <c r="L116" i="56"/>
  <c r="Q131" i="56"/>
  <c r="K129" i="56"/>
  <c r="K136" i="56"/>
  <c r="E164" i="56"/>
  <c r="F152" i="57"/>
  <c r="K128" i="57"/>
  <c r="K129" i="57"/>
  <c r="E141" i="57"/>
  <c r="D156" i="57"/>
  <c r="L151" i="57"/>
  <c r="F152" i="58"/>
  <c r="F158" i="58"/>
  <c r="F138" i="58"/>
  <c r="L120" i="58"/>
  <c r="L126" i="58"/>
  <c r="B147" i="58"/>
  <c r="G159" i="58"/>
  <c r="J11" i="86"/>
  <c r="L11" i="86"/>
  <c r="K11" i="86"/>
  <c r="H11" i="86"/>
  <c r="G11" i="86"/>
  <c r="F11" i="86"/>
  <c r="E11" i="86"/>
  <c r="F66" i="54"/>
  <c r="E57" i="54"/>
  <c r="L55" i="54"/>
  <c r="K56" i="54"/>
  <c r="E61" i="54"/>
  <c r="K76" i="54"/>
  <c r="J91" i="54"/>
  <c r="J107" i="54"/>
  <c r="F81" i="55"/>
  <c r="F77" i="55"/>
  <c r="K63" i="55"/>
  <c r="G71" i="55"/>
  <c r="L87" i="55"/>
  <c r="K88" i="55"/>
  <c r="K94" i="55"/>
  <c r="D103" i="55"/>
  <c r="B103" i="55"/>
  <c r="L100" i="55"/>
  <c r="C131" i="55"/>
  <c r="L131" i="55"/>
  <c r="F129" i="56"/>
  <c r="C103" i="56"/>
  <c r="L99" i="56"/>
  <c r="K101" i="56"/>
  <c r="B118" i="56"/>
  <c r="K112" i="56"/>
  <c r="D133" i="56"/>
  <c r="K127" i="56"/>
  <c r="L129" i="56"/>
  <c r="L136" i="56"/>
  <c r="F138" i="57"/>
  <c r="K120" i="57"/>
  <c r="F122" i="57"/>
  <c r="E156" i="57"/>
  <c r="K158" i="57"/>
  <c r="F154" i="58"/>
  <c r="C127" i="58"/>
  <c r="K122" i="58"/>
  <c r="F81" i="54"/>
  <c r="F82" i="55"/>
  <c r="B67" i="55"/>
  <c r="C91" i="55"/>
  <c r="C103" i="55"/>
  <c r="I107" i="55"/>
  <c r="F144" i="56"/>
  <c r="F126" i="56"/>
  <c r="F130" i="56"/>
  <c r="C118" i="56"/>
  <c r="E152" i="56"/>
  <c r="F159" i="57"/>
  <c r="F123" i="57"/>
  <c r="B126" i="57"/>
  <c r="J126" i="57"/>
  <c r="E160" i="57"/>
  <c r="E171" i="57"/>
  <c r="G175" i="57"/>
  <c r="E187" i="57"/>
  <c r="F139" i="58"/>
  <c r="E127" i="58"/>
  <c r="L156" i="58"/>
  <c r="C125" i="60"/>
  <c r="O152" i="60"/>
  <c r="B139" i="60"/>
  <c r="G157" i="60"/>
  <c r="E171" i="60"/>
  <c r="G182" i="60"/>
  <c r="G124" i="61"/>
  <c r="L123" i="61"/>
  <c r="G128" i="61"/>
  <c r="C138" i="61"/>
  <c r="L132" i="61"/>
  <c r="L133" i="61"/>
  <c r="G152" i="61"/>
  <c r="E156" i="61"/>
  <c r="F166" i="61"/>
  <c r="AK6" i="86"/>
  <c r="W6" i="86" s="1"/>
  <c r="AI7" i="86"/>
  <c r="U7" i="86" s="1"/>
  <c r="AF8" i="86"/>
  <c r="R8" i="86" s="1"/>
  <c r="AF9" i="86"/>
  <c r="R9" i="86" s="1"/>
  <c r="AH10" i="86"/>
  <c r="T10" i="86" s="1"/>
  <c r="AL14" i="86"/>
  <c r="X14" i="86" s="1"/>
  <c r="AG15" i="86"/>
  <c r="S15" i="86" s="1"/>
  <c r="AL16" i="86"/>
  <c r="X16" i="86" s="1"/>
  <c r="AL31" i="86"/>
  <c r="X31" i="86" s="1"/>
  <c r="AL32" i="86"/>
  <c r="X32" i="86" s="1"/>
  <c r="AL41" i="86"/>
  <c r="X41" i="86" s="1"/>
  <c r="AG48" i="86"/>
  <c r="S49" i="86"/>
  <c r="S50" i="86"/>
  <c r="D51" i="86"/>
  <c r="D24" i="81"/>
  <c r="AE25" i="81"/>
  <c r="T32" i="81"/>
  <c r="T33" i="81"/>
  <c r="C68" i="81"/>
  <c r="D66" i="81" s="1"/>
  <c r="I6" i="73"/>
  <c r="B102" i="72" s="1"/>
  <c r="E6" i="73"/>
  <c r="B72" i="72" s="1"/>
  <c r="J72" i="72" s="1"/>
  <c r="R31" i="73"/>
  <c r="Q31" i="73"/>
  <c r="S30" i="73"/>
  <c r="I23" i="73"/>
  <c r="B103" i="74" s="1"/>
  <c r="J103" i="74" s="1"/>
  <c r="J39" i="73"/>
  <c r="C103" i="75" s="1"/>
  <c r="K103" i="75" s="1"/>
  <c r="E39" i="73"/>
  <c r="B73" i="75" s="1"/>
  <c r="J73" i="75" s="1"/>
  <c r="D46" i="73"/>
  <c r="L122" i="60"/>
  <c r="K124" i="60"/>
  <c r="L136" i="60"/>
  <c r="L147" i="60"/>
  <c r="N142" i="61"/>
  <c r="AJ7" i="86"/>
  <c r="V7" i="86" s="1"/>
  <c r="AG8" i="86"/>
  <c r="S8" i="86" s="1"/>
  <c r="AG9" i="86"/>
  <c r="S9" i="86" s="1"/>
  <c r="AI10" i="86"/>
  <c r="U10" i="86" s="1"/>
  <c r="AE14" i="86"/>
  <c r="Q14" i="86" s="1"/>
  <c r="AJ15" i="86"/>
  <c r="V15" i="86" s="1"/>
  <c r="AE16" i="86"/>
  <c r="Q16" i="86" s="1"/>
  <c r="AJ43" i="86"/>
  <c r="V43" i="86" s="1"/>
  <c r="AK48" i="86"/>
  <c r="W48" i="86" s="1"/>
  <c r="AE33" i="81"/>
  <c r="AL32" i="81"/>
  <c r="X32" i="81" s="1"/>
  <c r="AK33" i="81"/>
  <c r="W33" i="81" s="1"/>
  <c r="AD29" i="73"/>
  <c r="R29" i="73" s="1"/>
  <c r="R32" i="73" s="1"/>
  <c r="AD25" i="73"/>
  <c r="R25" i="73" s="1"/>
  <c r="AA24" i="73"/>
  <c r="O24" i="73" s="1"/>
  <c r="AB23" i="73"/>
  <c r="P23" i="73" s="1"/>
  <c r="AF22" i="73"/>
  <c r="T22" i="73" s="1"/>
  <c r="AA22" i="73"/>
  <c r="O22" i="73" s="1"/>
  <c r="J23" i="73"/>
  <c r="C103" i="74" s="1"/>
  <c r="AB24" i="73"/>
  <c r="P24" i="73" s="1"/>
  <c r="AF25" i="73"/>
  <c r="T25" i="73" s="1"/>
  <c r="J38" i="73"/>
  <c r="D42" i="73"/>
  <c r="E38" i="73"/>
  <c r="I179" i="58"/>
  <c r="L179" i="58" s="1"/>
  <c r="G192" i="58"/>
  <c r="F192" i="58"/>
  <c r="F122" i="60"/>
  <c r="L123" i="60"/>
  <c r="K128" i="60"/>
  <c r="L137" i="60"/>
  <c r="K138" i="60"/>
  <c r="K148" i="60"/>
  <c r="K136" i="61"/>
  <c r="K137" i="61"/>
  <c r="P151" i="61"/>
  <c r="E152" i="61"/>
  <c r="L147" i="61"/>
  <c r="G170" i="61"/>
  <c r="E181" i="61"/>
  <c r="F6" i="86"/>
  <c r="C72" i="85" s="1"/>
  <c r="AE6" i="86"/>
  <c r="Q6" i="86" s="1"/>
  <c r="AK7" i="86"/>
  <c r="W7" i="86" s="1"/>
  <c r="AJ8" i="86"/>
  <c r="V8" i="86" s="1"/>
  <c r="AH9" i="86"/>
  <c r="T9" i="86" s="1"/>
  <c r="AL10" i="86"/>
  <c r="X10" i="86" s="1"/>
  <c r="AF14" i="86"/>
  <c r="R14" i="86" s="1"/>
  <c r="AK15" i="86"/>
  <c r="W15" i="86" s="1"/>
  <c r="AF16" i="86"/>
  <c r="R16" i="86" s="1"/>
  <c r="AJ26" i="86"/>
  <c r="V26" i="86" s="1"/>
  <c r="S32" i="86"/>
  <c r="AL33" i="86"/>
  <c r="X33" i="86" s="1"/>
  <c r="AE40" i="86"/>
  <c r="Q40" i="86" s="1"/>
  <c r="AG42" i="86"/>
  <c r="S42" i="86" s="1"/>
  <c r="AF44" i="86"/>
  <c r="E46" i="86"/>
  <c r="B76" i="88" s="1"/>
  <c r="V49" i="86"/>
  <c r="U50" i="86"/>
  <c r="AF6" i="81"/>
  <c r="AE7" i="81"/>
  <c r="Q7" i="81" s="1"/>
  <c r="AE8" i="81"/>
  <c r="AL10" i="81"/>
  <c r="X10" i="81" s="1"/>
  <c r="AK14" i="81"/>
  <c r="W14" i="81" s="1"/>
  <c r="AJ15" i="81"/>
  <c r="V15" i="81" s="1"/>
  <c r="AL16" i="81"/>
  <c r="X16" i="81" s="1"/>
  <c r="D23" i="81"/>
  <c r="D25" i="81"/>
  <c r="I26" i="81"/>
  <c r="B108" i="83" s="1"/>
  <c r="J108" i="83" s="1"/>
  <c r="AJ31" i="81"/>
  <c r="V31" i="81" s="1"/>
  <c r="G44" i="81"/>
  <c r="B93" i="84" s="1"/>
  <c r="J93" i="84" s="1"/>
  <c r="E6" i="66"/>
  <c r="P24" i="66"/>
  <c r="O40" i="66"/>
  <c r="S40" i="66" s="1"/>
  <c r="O42" i="66"/>
  <c r="S42" i="66" s="1"/>
  <c r="J6" i="73"/>
  <c r="H22" i="73"/>
  <c r="C87" i="74" s="1"/>
  <c r="F22" i="73"/>
  <c r="C72" i="74" s="1"/>
  <c r="AE22" i="73"/>
  <c r="S22" i="73" s="1"/>
  <c r="AC23" i="73"/>
  <c r="Q23" i="73" s="1"/>
  <c r="AC24" i="73"/>
  <c r="Q24" i="73" s="1"/>
  <c r="Q30" i="73"/>
  <c r="P31" i="73"/>
  <c r="F38" i="73"/>
  <c r="G39" i="73"/>
  <c r="B88" i="75" s="1"/>
  <c r="J88" i="75" s="1"/>
  <c r="D47" i="73"/>
  <c r="D48" i="73" s="1"/>
  <c r="H185" i="61"/>
  <c r="AH6" i="86"/>
  <c r="T6" i="86" s="1"/>
  <c r="AL7" i="86"/>
  <c r="X7" i="86" s="1"/>
  <c r="AK8" i="86"/>
  <c r="W8" i="86" s="1"/>
  <c r="AK9" i="86"/>
  <c r="W9" i="86" s="1"/>
  <c r="AI14" i="86"/>
  <c r="U14" i="86" s="1"/>
  <c r="AL15" i="86"/>
  <c r="X15" i="86" s="1"/>
  <c r="AG16" i="86"/>
  <c r="S16" i="86" s="1"/>
  <c r="AG27" i="86"/>
  <c r="S27" i="86" s="1"/>
  <c r="AH40" i="86"/>
  <c r="T40" i="86" s="1"/>
  <c r="AK42" i="86"/>
  <c r="W42" i="86" s="1"/>
  <c r="AJ44" i="86"/>
  <c r="V44" i="86" s="1"/>
  <c r="G46" i="86"/>
  <c r="B93" i="88" s="1"/>
  <c r="AG49" i="86"/>
  <c r="F9" i="73"/>
  <c r="C75" i="72" s="1"/>
  <c r="K75" i="72" s="1"/>
  <c r="H9" i="73"/>
  <c r="C90" i="72" s="1"/>
  <c r="K90" i="72" s="1"/>
  <c r="K154" i="58"/>
  <c r="E159" i="58"/>
  <c r="G175" i="58"/>
  <c r="E179" i="58"/>
  <c r="L177" i="58"/>
  <c r="K133" i="60"/>
  <c r="L141" i="60"/>
  <c r="L142" i="60"/>
  <c r="C153" i="60"/>
  <c r="L149" i="60"/>
  <c r="J157" i="60"/>
  <c r="N171" i="60"/>
  <c r="C124" i="61"/>
  <c r="L120" i="61"/>
  <c r="L121" i="61"/>
  <c r="L140" i="61"/>
  <c r="L141" i="61"/>
  <c r="L148" i="61"/>
  <c r="K149" i="61"/>
  <c r="E166" i="61"/>
  <c r="G181" i="61"/>
  <c r="H6" i="86"/>
  <c r="AI6" i="86"/>
  <c r="U6" i="86" s="1"/>
  <c r="AE7" i="86"/>
  <c r="Q7" i="86" s="1"/>
  <c r="AL8" i="86"/>
  <c r="X8" i="86" s="1"/>
  <c r="AL9" i="86"/>
  <c r="X9" i="86" s="1"/>
  <c r="AF10" i="86"/>
  <c r="R10" i="86" s="1"/>
  <c r="AJ14" i="86"/>
  <c r="V14" i="86" s="1"/>
  <c r="AE15" i="86"/>
  <c r="Q15" i="86" s="1"/>
  <c r="AH16" i="86"/>
  <c r="T16" i="86" s="1"/>
  <c r="T67" i="86" s="1"/>
  <c r="AG23" i="86"/>
  <c r="S23" i="86" s="1"/>
  <c r="U32" i="86"/>
  <c r="R33" i="86"/>
  <c r="AL40" i="86"/>
  <c r="H46" i="86"/>
  <c r="C93" i="88" s="1"/>
  <c r="L47" i="86"/>
  <c r="C128" i="88" s="1"/>
  <c r="Q49" i="86"/>
  <c r="AK49" i="86"/>
  <c r="W49" i="86" s="1"/>
  <c r="AG50" i="86"/>
  <c r="C72" i="86"/>
  <c r="D70" i="86" s="1"/>
  <c r="AJ6" i="81"/>
  <c r="V6" i="81" s="1"/>
  <c r="AI7" i="81"/>
  <c r="U7" i="81" s="1"/>
  <c r="AI8" i="81"/>
  <c r="U8" i="81" s="1"/>
  <c r="I9" i="81"/>
  <c r="AV16" i="81"/>
  <c r="AG26" i="81"/>
  <c r="S26" i="81" s="1"/>
  <c r="R32" i="81"/>
  <c r="R33" i="81"/>
  <c r="I40" i="81"/>
  <c r="B105" i="84" s="1"/>
  <c r="F40" i="81"/>
  <c r="C73" i="84" s="1"/>
  <c r="H43" i="81"/>
  <c r="C92" i="84" s="1"/>
  <c r="K92" i="84" s="1"/>
  <c r="F5" i="66"/>
  <c r="J5" i="66" s="1"/>
  <c r="G6" i="66"/>
  <c r="S7" i="66" s="1"/>
  <c r="E7" i="66"/>
  <c r="Q8" i="66" s="1"/>
  <c r="E23" i="66"/>
  <c r="P41" i="66"/>
  <c r="M43" i="66"/>
  <c r="C70" i="66"/>
  <c r="D69" i="66" s="1"/>
  <c r="I8" i="73"/>
  <c r="B104" i="72" s="1"/>
  <c r="J104" i="72" s="1"/>
  <c r="F8" i="73"/>
  <c r="G9" i="73"/>
  <c r="B90" i="72" s="1"/>
  <c r="G23" i="73"/>
  <c r="B88" i="74" s="1"/>
  <c r="J88" i="74" s="1"/>
  <c r="AA29" i="73"/>
  <c r="O29" i="73" s="1"/>
  <c r="T30" i="73"/>
  <c r="V30" i="73" s="1"/>
  <c r="T31" i="73"/>
  <c r="I38" i="73"/>
  <c r="B102" i="75" s="1"/>
  <c r="I39" i="73"/>
  <c r="B103" i="75" s="1"/>
  <c r="J41" i="73"/>
  <c r="C105" i="75" s="1"/>
  <c r="K105" i="75" s="1"/>
  <c r="E41" i="73"/>
  <c r="B75" i="75" s="1"/>
  <c r="J75" i="75" s="1"/>
  <c r="L58" i="73"/>
  <c r="L142" i="58"/>
  <c r="C163" i="58"/>
  <c r="F179" i="58"/>
  <c r="N152" i="60"/>
  <c r="K134" i="60"/>
  <c r="E153" i="60"/>
  <c r="L150" i="60"/>
  <c r="G167" i="60"/>
  <c r="G171" i="60"/>
  <c r="F182" i="60"/>
  <c r="H186" i="60"/>
  <c r="E124" i="61"/>
  <c r="L122" i="61"/>
  <c r="E128" i="61"/>
  <c r="B138" i="61"/>
  <c r="Q146" i="61"/>
  <c r="N148" i="61"/>
  <c r="I6" i="86"/>
  <c r="B104" i="85" s="1"/>
  <c r="AJ6" i="86"/>
  <c r="V6" i="86" s="1"/>
  <c r="AF7" i="86"/>
  <c r="R7" i="86" s="1"/>
  <c r="AE8" i="86"/>
  <c r="Q8" i="86" s="1"/>
  <c r="AE9" i="86"/>
  <c r="Q9" i="86" s="1"/>
  <c r="AG10" i="86"/>
  <c r="S10" i="86" s="1"/>
  <c r="AK14" i="86"/>
  <c r="W14" i="86" s="1"/>
  <c r="AF15" i="86"/>
  <c r="R15" i="86" s="1"/>
  <c r="AK16" i="86"/>
  <c r="AJ24" i="86"/>
  <c r="V24" i="86" s="1"/>
  <c r="AE31" i="86"/>
  <c r="Q31" i="86" s="1"/>
  <c r="AE32" i="86"/>
  <c r="S33" i="86"/>
  <c r="AH41" i="86"/>
  <c r="T41" i="86" s="1"/>
  <c r="G43" i="86"/>
  <c r="B90" i="88" s="1"/>
  <c r="J90" i="88" s="1"/>
  <c r="F45" i="86"/>
  <c r="C75" i="88" s="1"/>
  <c r="K75" i="88" s="1"/>
  <c r="I46" i="86"/>
  <c r="B110" i="88" s="1"/>
  <c r="J110" i="88" s="1"/>
  <c r="R49" i="86"/>
  <c r="AJ50" i="86"/>
  <c r="AL6" i="81"/>
  <c r="X6" i="81" s="1"/>
  <c r="AK7" i="81"/>
  <c r="W7" i="81" s="1"/>
  <c r="AJ8" i="81"/>
  <c r="V8" i="81" s="1"/>
  <c r="I10" i="81"/>
  <c r="B108" i="82" s="1"/>
  <c r="J108" i="82" s="1"/>
  <c r="AK23" i="81"/>
  <c r="W23" i="81" s="1"/>
  <c r="D27" i="81"/>
  <c r="G27" i="81" s="1"/>
  <c r="B93" i="83" s="1"/>
  <c r="J93" i="83" s="1"/>
  <c r="S32" i="81"/>
  <c r="S33" i="81"/>
  <c r="E40" i="81"/>
  <c r="I43" i="81"/>
  <c r="B108" i="84" s="1"/>
  <c r="H8" i="66"/>
  <c r="J8" i="66" s="1"/>
  <c r="F9" i="66"/>
  <c r="G23" i="66"/>
  <c r="B133" i="69" s="1"/>
  <c r="M47" i="66"/>
  <c r="O44" i="66"/>
  <c r="P42" i="66"/>
  <c r="O41" i="66"/>
  <c r="S41" i="66" s="1"/>
  <c r="N43" i="66"/>
  <c r="O47" i="66"/>
  <c r="I9" i="73"/>
  <c r="B105" i="72" s="1"/>
  <c r="H23" i="73"/>
  <c r="C88" i="74" s="1"/>
  <c r="K88" i="74" s="1"/>
  <c r="AC25" i="73"/>
  <c r="Q25" i="73" s="1"/>
  <c r="AE29" i="73"/>
  <c r="S29" i="73" s="1"/>
  <c r="AA30" i="73"/>
  <c r="J40" i="73"/>
  <c r="E40" i="73"/>
  <c r="B74" i="75" s="1"/>
  <c r="F151" i="62"/>
  <c r="K120" i="62"/>
  <c r="L123" i="62"/>
  <c r="E138" i="62"/>
  <c r="G152" i="62"/>
  <c r="E152" i="62"/>
  <c r="E170" i="62"/>
  <c r="M170" i="62"/>
  <c r="E5" i="67"/>
  <c r="I5" i="67" s="1"/>
  <c r="G9" i="67"/>
  <c r="I9" i="67" s="1"/>
  <c r="G21" i="67"/>
  <c r="F24" i="67"/>
  <c r="F148" i="63"/>
  <c r="F149" i="63"/>
  <c r="C124" i="63"/>
  <c r="L121" i="63"/>
  <c r="K123" i="63"/>
  <c r="C138" i="63"/>
  <c r="K136" i="63"/>
  <c r="K141" i="63"/>
  <c r="C124" i="64"/>
  <c r="E170" i="64"/>
  <c r="I184" i="64"/>
  <c r="F8" i="78"/>
  <c r="E25" i="78"/>
  <c r="B75" i="79" s="1"/>
  <c r="J39" i="78"/>
  <c r="C103" i="80" s="1"/>
  <c r="K103" i="80" s="1"/>
  <c r="H40" i="78"/>
  <c r="C89" i="80" s="1"/>
  <c r="K89" i="80" s="1"/>
  <c r="F152" i="68"/>
  <c r="D156" i="68"/>
  <c r="F166" i="68"/>
  <c r="Q10" i="66"/>
  <c r="M7" i="66"/>
  <c r="Q7" i="66" s="1"/>
  <c r="O8" i="66"/>
  <c r="P9" i="66"/>
  <c r="M13" i="66"/>
  <c r="E124" i="62"/>
  <c r="L127" i="62"/>
  <c r="G138" i="62"/>
  <c r="E166" i="62"/>
  <c r="F170" i="62"/>
  <c r="E181" i="62"/>
  <c r="F5" i="67"/>
  <c r="H9" i="67"/>
  <c r="J9" i="67" s="1"/>
  <c r="H21" i="67"/>
  <c r="J21" i="67" s="1"/>
  <c r="H24" i="67"/>
  <c r="I37" i="67"/>
  <c r="D55" i="67"/>
  <c r="F140" i="63"/>
  <c r="F135" i="63"/>
  <c r="E124" i="63"/>
  <c r="L122" i="63"/>
  <c r="L123" i="63"/>
  <c r="K127" i="63"/>
  <c r="E138" i="63"/>
  <c r="M138" i="63"/>
  <c r="L133" i="63"/>
  <c r="L142" i="63"/>
  <c r="L141" i="63"/>
  <c r="L154" i="63"/>
  <c r="D124" i="64"/>
  <c r="J123" i="64"/>
  <c r="F138" i="64"/>
  <c r="F25" i="78"/>
  <c r="L39" i="78"/>
  <c r="C118" i="80" s="1"/>
  <c r="K118" i="80" s="1"/>
  <c r="I40" i="78"/>
  <c r="B104" i="80" s="1"/>
  <c r="J104" i="80" s="1"/>
  <c r="B124" i="68"/>
  <c r="J119" i="68"/>
  <c r="J120" i="68"/>
  <c r="J121" i="68"/>
  <c r="F138" i="68"/>
  <c r="E127" i="69"/>
  <c r="D140" i="69"/>
  <c r="K40" i="78"/>
  <c r="B119" i="80" s="1"/>
  <c r="J119" i="80" s="1"/>
  <c r="D62" i="78"/>
  <c r="E22" i="67"/>
  <c r="F141" i="63"/>
  <c r="B156" i="63"/>
  <c r="F6" i="78"/>
  <c r="C72" i="76" s="1"/>
  <c r="F39" i="78"/>
  <c r="E40" i="78"/>
  <c r="B74" i="80" s="1"/>
  <c r="J74" i="80" s="1"/>
  <c r="L40" i="78"/>
  <c r="C119" i="80" s="1"/>
  <c r="K119" i="80" s="1"/>
  <c r="E142" i="69"/>
  <c r="E121" i="69"/>
  <c r="E119" i="69"/>
  <c r="D125" i="69"/>
  <c r="L133" i="62"/>
  <c r="K136" i="62"/>
  <c r="O166" i="62"/>
  <c r="E21" i="67"/>
  <c r="E52" i="67" s="1"/>
  <c r="D30" i="67"/>
  <c r="D53" i="67"/>
  <c r="F127" i="63"/>
  <c r="O149" i="63"/>
  <c r="O150" i="63"/>
  <c r="N155" i="63"/>
  <c r="E141" i="64"/>
  <c r="C138" i="64"/>
  <c r="K136" i="64"/>
  <c r="J137" i="64"/>
  <c r="D156" i="64"/>
  <c r="G184" i="64"/>
  <c r="J184" i="64"/>
  <c r="I6" i="78"/>
  <c r="B102" i="76" s="1"/>
  <c r="F7" i="78"/>
  <c r="C73" i="76" s="1"/>
  <c r="K73" i="76" s="1"/>
  <c r="D26" i="78"/>
  <c r="G23" i="78"/>
  <c r="B87" i="79" s="1"/>
  <c r="J87" i="79" s="1"/>
  <c r="I25" i="78"/>
  <c r="B103" i="79" s="1"/>
  <c r="G39" i="78"/>
  <c r="B88" i="80" s="1"/>
  <c r="J88" i="80" s="1"/>
  <c r="F40" i="78"/>
  <c r="C74" i="80" s="1"/>
  <c r="E137" i="68"/>
  <c r="B138" i="68"/>
  <c r="K136" i="68"/>
  <c r="I156" i="68"/>
  <c r="D166" i="68"/>
  <c r="J170" i="62"/>
  <c r="O170" i="62"/>
  <c r="C181" i="62"/>
  <c r="I181" i="62"/>
  <c r="I40" i="67"/>
  <c r="D54" i="67"/>
  <c r="F133" i="63"/>
  <c r="B124" i="63"/>
  <c r="K137" i="63"/>
  <c r="G152" i="63"/>
  <c r="E152" i="63"/>
  <c r="L148" i="63"/>
  <c r="E147" i="64"/>
  <c r="E123" i="64"/>
  <c r="E140" i="64"/>
  <c r="B124" i="64"/>
  <c r="K119" i="64"/>
  <c r="K120" i="64"/>
  <c r="K141" i="64"/>
  <c r="F166" i="64"/>
  <c r="D170" i="64"/>
  <c r="H7" i="78"/>
  <c r="C88" i="76" s="1"/>
  <c r="J23" i="78"/>
  <c r="C101" i="79" s="1"/>
  <c r="G40" i="78"/>
  <c r="B89" i="80" s="1"/>
  <c r="E135" i="68"/>
  <c r="D152" i="68"/>
  <c r="E166" i="68"/>
  <c r="E135" i="69"/>
  <c r="L150" i="70"/>
  <c r="M138" i="76"/>
  <c r="K81" i="79"/>
  <c r="G106" i="79"/>
  <c r="K109" i="79"/>
  <c r="J115" i="79"/>
  <c r="E140" i="82"/>
  <c r="E92" i="82"/>
  <c r="D155" i="69"/>
  <c r="F170" i="69"/>
  <c r="E190" i="70"/>
  <c r="D161" i="70"/>
  <c r="F187" i="70"/>
  <c r="E87" i="72"/>
  <c r="D113" i="72"/>
  <c r="F93" i="74"/>
  <c r="F108" i="74"/>
  <c r="F113" i="74"/>
  <c r="P128" i="74"/>
  <c r="F143" i="74"/>
  <c r="D152" i="74"/>
  <c r="E88" i="75"/>
  <c r="D108" i="75"/>
  <c r="C123" i="76"/>
  <c r="D134" i="79"/>
  <c r="B148" i="79"/>
  <c r="I148" i="79"/>
  <c r="D153" i="79"/>
  <c r="J153" i="79"/>
  <c r="M78" i="80"/>
  <c r="I83" i="80"/>
  <c r="D83" i="80"/>
  <c r="L83" i="80"/>
  <c r="G93" i="80"/>
  <c r="O93" i="80"/>
  <c r="G113" i="80"/>
  <c r="O113" i="80"/>
  <c r="H113" i="80"/>
  <c r="M123" i="80"/>
  <c r="E79" i="82"/>
  <c r="N84" i="82"/>
  <c r="E111" i="82"/>
  <c r="G170" i="68"/>
  <c r="J170" i="68" s="1"/>
  <c r="E134" i="69"/>
  <c r="F125" i="69"/>
  <c r="H144" i="69"/>
  <c r="P144" i="69"/>
  <c r="F155" i="69"/>
  <c r="E149" i="70"/>
  <c r="E121" i="70"/>
  <c r="D124" i="70"/>
  <c r="M155" i="70"/>
  <c r="F129" i="70"/>
  <c r="N158" i="70"/>
  <c r="O151" i="70"/>
  <c r="F161" i="70"/>
  <c r="D172" i="70"/>
  <c r="D93" i="72"/>
  <c r="D108" i="72"/>
  <c r="E113" i="72"/>
  <c r="F128" i="72"/>
  <c r="E119" i="74"/>
  <c r="L78" i="74"/>
  <c r="O78" i="74"/>
  <c r="O108" i="74"/>
  <c r="O113" i="74"/>
  <c r="D138" i="74"/>
  <c r="L138" i="74"/>
  <c r="F152" i="74"/>
  <c r="F157" i="74"/>
  <c r="F83" i="75"/>
  <c r="D93" i="75"/>
  <c r="G98" i="75"/>
  <c r="O98" i="75"/>
  <c r="E108" i="75"/>
  <c r="M108" i="75"/>
  <c r="F108" i="75"/>
  <c r="D113" i="75"/>
  <c r="G143" i="75"/>
  <c r="J143" i="75" s="1"/>
  <c r="D152" i="75"/>
  <c r="P83" i="76"/>
  <c r="I83" i="76"/>
  <c r="K82" i="76"/>
  <c r="F108" i="76"/>
  <c r="F113" i="76"/>
  <c r="D123" i="76"/>
  <c r="J118" i="76"/>
  <c r="D128" i="76"/>
  <c r="K127" i="76"/>
  <c r="D143" i="76"/>
  <c r="B152" i="76"/>
  <c r="I152" i="76"/>
  <c r="D157" i="76"/>
  <c r="E78" i="79"/>
  <c r="E82" i="79"/>
  <c r="M82" i="79"/>
  <c r="F92" i="79"/>
  <c r="I96" i="79"/>
  <c r="F124" i="79"/>
  <c r="L134" i="79"/>
  <c r="L139" i="79"/>
  <c r="C148" i="79"/>
  <c r="J148" i="79"/>
  <c r="K153" i="79"/>
  <c r="E132" i="80"/>
  <c r="E165" i="80"/>
  <c r="N78" i="80"/>
  <c r="L78" i="80"/>
  <c r="F98" i="80"/>
  <c r="N98" i="80"/>
  <c r="F123" i="80"/>
  <c r="O123" i="80"/>
  <c r="L128" i="80"/>
  <c r="P138" i="80"/>
  <c r="F143" i="80"/>
  <c r="F153" i="80"/>
  <c r="D158" i="80"/>
  <c r="D167" i="80"/>
  <c r="F79" i="82"/>
  <c r="G84" i="82"/>
  <c r="D95" i="82"/>
  <c r="D129" i="69"/>
  <c r="M174" i="69"/>
  <c r="E118" i="70"/>
  <c r="D140" i="70"/>
  <c r="E172" i="70"/>
  <c r="F177" i="70"/>
  <c r="P78" i="72"/>
  <c r="E108" i="72"/>
  <c r="F113" i="72"/>
  <c r="I138" i="72"/>
  <c r="E143" i="72"/>
  <c r="O143" i="72"/>
  <c r="E138" i="74"/>
  <c r="M138" i="74"/>
  <c r="D78" i="75"/>
  <c r="G83" i="75"/>
  <c r="E113" i="75"/>
  <c r="I123" i="75"/>
  <c r="F138" i="75"/>
  <c r="N138" i="75"/>
  <c r="H143" i="75"/>
  <c r="K143" i="75" s="1"/>
  <c r="E120" i="76"/>
  <c r="E147" i="76"/>
  <c r="P93" i="76"/>
  <c r="F98" i="76"/>
  <c r="G108" i="76"/>
  <c r="H108" i="76"/>
  <c r="F128" i="76"/>
  <c r="J116" i="79"/>
  <c r="M134" i="79"/>
  <c r="D148" i="79"/>
  <c r="E83" i="80"/>
  <c r="F83" i="80"/>
  <c r="O98" i="80"/>
  <c r="D108" i="80"/>
  <c r="D128" i="80"/>
  <c r="M128" i="80"/>
  <c r="I138" i="80"/>
  <c r="M158" i="80"/>
  <c r="F167" i="80"/>
  <c r="L167" i="80"/>
  <c r="B172" i="80"/>
  <c r="F156" i="68"/>
  <c r="E128" i="69"/>
  <c r="E133" i="69"/>
  <c r="L154" i="69"/>
  <c r="F129" i="69"/>
  <c r="F159" i="69"/>
  <c r="D170" i="69"/>
  <c r="F174" i="69"/>
  <c r="I189" i="69"/>
  <c r="L189" i="69"/>
  <c r="E137" i="70"/>
  <c r="F124" i="70"/>
  <c r="P150" i="70"/>
  <c r="F145" i="70"/>
  <c r="F192" i="70"/>
  <c r="E126" i="72"/>
  <c r="E120" i="72"/>
  <c r="E90" i="72"/>
  <c r="F108" i="72"/>
  <c r="D123" i="72"/>
  <c r="D138" i="72"/>
  <c r="F143" i="72"/>
  <c r="F78" i="74"/>
  <c r="D98" i="74"/>
  <c r="I143" i="74"/>
  <c r="E155" i="75"/>
  <c r="E157" i="75" s="1"/>
  <c r="E89" i="75"/>
  <c r="H83" i="75"/>
  <c r="G108" i="75"/>
  <c r="D128" i="75"/>
  <c r="O138" i="75"/>
  <c r="I143" i="75"/>
  <c r="G152" i="75"/>
  <c r="C157" i="75"/>
  <c r="J157" i="75"/>
  <c r="E90" i="76"/>
  <c r="E78" i="76"/>
  <c r="M78" i="76"/>
  <c r="N78" i="76"/>
  <c r="I78" i="76"/>
  <c r="D83" i="76"/>
  <c r="F93" i="76"/>
  <c r="G98" i="76"/>
  <c r="K97" i="76"/>
  <c r="I113" i="76"/>
  <c r="K112" i="76"/>
  <c r="G128" i="76"/>
  <c r="J126" i="76"/>
  <c r="D138" i="76"/>
  <c r="F143" i="76"/>
  <c r="D152" i="76"/>
  <c r="K152" i="76"/>
  <c r="L157" i="76"/>
  <c r="N78" i="79"/>
  <c r="G82" i="79"/>
  <c r="O82" i="79"/>
  <c r="M96" i="79"/>
  <c r="H124" i="79"/>
  <c r="P124" i="79"/>
  <c r="J123" i="79"/>
  <c r="N139" i="79"/>
  <c r="F148" i="79"/>
  <c r="E90" i="80"/>
  <c r="E169" i="80"/>
  <c r="E172" i="80" s="1"/>
  <c r="H98" i="80"/>
  <c r="P98" i="80"/>
  <c r="F108" i="80"/>
  <c r="N108" i="80"/>
  <c r="F128" i="80"/>
  <c r="O128" i="80"/>
  <c r="F158" i="80"/>
  <c r="N158" i="80"/>
  <c r="G167" i="80"/>
  <c r="C172" i="80"/>
  <c r="E153" i="70"/>
  <c r="N124" i="70"/>
  <c r="I129" i="70"/>
  <c r="D129" i="70"/>
  <c r="P152" i="70"/>
  <c r="D145" i="70"/>
  <c r="F156" i="70"/>
  <c r="H161" i="70"/>
  <c r="D83" i="72"/>
  <c r="E81" i="72"/>
  <c r="E83" i="72" s="1"/>
  <c r="F123" i="72"/>
  <c r="N123" i="72"/>
  <c r="D128" i="72"/>
  <c r="E117" i="74"/>
  <c r="D83" i="74"/>
  <c r="D108" i="74"/>
  <c r="D113" i="74"/>
  <c r="F128" i="74"/>
  <c r="E120" i="75"/>
  <c r="E95" i="75"/>
  <c r="D83" i="75"/>
  <c r="F98" i="75"/>
  <c r="O113" i="75"/>
  <c r="D123" i="75"/>
  <c r="F128" i="75"/>
  <c r="D143" i="75"/>
  <c r="J140" i="75"/>
  <c r="D157" i="75"/>
  <c r="E92" i="76"/>
  <c r="E89" i="76"/>
  <c r="E149" i="76"/>
  <c r="E87" i="76"/>
  <c r="F78" i="76"/>
  <c r="N83" i="76"/>
  <c r="P98" i="76"/>
  <c r="D113" i="76"/>
  <c r="B128" i="76"/>
  <c r="H128" i="76"/>
  <c r="K128" i="76" s="1"/>
  <c r="K126" i="76"/>
  <c r="F152" i="76"/>
  <c r="E108" i="79"/>
  <c r="E110" i="79" s="1"/>
  <c r="J81" i="79"/>
  <c r="D92" i="79"/>
  <c r="F96" i="79"/>
  <c r="N96" i="79"/>
  <c r="D106" i="79"/>
  <c r="H110" i="79"/>
  <c r="P110" i="79"/>
  <c r="G120" i="79"/>
  <c r="J120" i="79" s="1"/>
  <c r="F120" i="79"/>
  <c r="I124" i="79"/>
  <c r="K123" i="79"/>
  <c r="O139" i="79"/>
  <c r="G83" i="80"/>
  <c r="O83" i="80"/>
  <c r="D93" i="80"/>
  <c r="M93" i="80"/>
  <c r="D113" i="80"/>
  <c r="I123" i="80"/>
  <c r="D143" i="80"/>
  <c r="E84" i="82"/>
  <c r="G95" i="82"/>
  <c r="F100" i="82"/>
  <c r="H111" i="82"/>
  <c r="P148" i="82"/>
  <c r="G174" i="82"/>
  <c r="M174" i="82"/>
  <c r="E98" i="83"/>
  <c r="D80" i="83"/>
  <c r="E85" i="83"/>
  <c r="H133" i="83"/>
  <c r="F144" i="83"/>
  <c r="M165" i="83"/>
  <c r="K175" i="83"/>
  <c r="B180" i="83"/>
  <c r="H180" i="83"/>
  <c r="E125" i="84"/>
  <c r="E85" i="84"/>
  <c r="O80" i="84"/>
  <c r="D96" i="84"/>
  <c r="F112" i="84"/>
  <c r="E115" i="84"/>
  <c r="G144" i="84"/>
  <c r="N165" i="84"/>
  <c r="D175" i="84"/>
  <c r="E140" i="85"/>
  <c r="E84" i="85"/>
  <c r="F84" i="85"/>
  <c r="E90" i="85"/>
  <c r="F111" i="85"/>
  <c r="P148" i="85"/>
  <c r="I148" i="85"/>
  <c r="E164" i="85"/>
  <c r="O164" i="85"/>
  <c r="G174" i="85"/>
  <c r="M174" i="85"/>
  <c r="E97" i="87"/>
  <c r="F79" i="87"/>
  <c r="F84" i="87"/>
  <c r="F116" i="87"/>
  <c r="D127" i="87"/>
  <c r="H148" i="87"/>
  <c r="G159" i="87"/>
  <c r="C174" i="87"/>
  <c r="P102" i="88"/>
  <c r="L102" i="88"/>
  <c r="L181" i="88"/>
  <c r="AB35" i="23"/>
  <c r="C153" i="58" s="1"/>
  <c r="L153" i="58" s="1"/>
  <c r="G14" i="23"/>
  <c r="W36" i="23"/>
  <c r="AU42" i="23"/>
  <c r="D111" i="82"/>
  <c r="H174" i="82"/>
  <c r="E140" i="83"/>
  <c r="E125" i="83"/>
  <c r="E80" i="83"/>
  <c r="F80" i="83"/>
  <c r="M85" i="83"/>
  <c r="F85" i="83"/>
  <c r="D96" i="83"/>
  <c r="D101" i="83"/>
  <c r="G112" i="83"/>
  <c r="O112" i="83"/>
  <c r="D117" i="83"/>
  <c r="F117" i="83"/>
  <c r="N117" i="83"/>
  <c r="I133" i="83"/>
  <c r="D133" i="83"/>
  <c r="O160" i="83"/>
  <c r="F175" i="83"/>
  <c r="F96" i="84"/>
  <c r="H101" i="84"/>
  <c r="P101" i="84"/>
  <c r="D117" i="84"/>
  <c r="F117" i="84"/>
  <c r="H144" i="84"/>
  <c r="P144" i="84"/>
  <c r="M160" i="84"/>
  <c r="E139" i="85"/>
  <c r="D100" i="85"/>
  <c r="G111" i="85"/>
  <c r="O111" i="85"/>
  <c r="F164" i="85"/>
  <c r="O79" i="87"/>
  <c r="D95" i="87"/>
  <c r="M95" i="87"/>
  <c r="D100" i="87"/>
  <c r="G116" i="87"/>
  <c r="O116" i="87"/>
  <c r="D132" i="87"/>
  <c r="D174" i="87"/>
  <c r="N80" i="88"/>
  <c r="N102" i="88"/>
  <c r="I136" i="88"/>
  <c r="I165" i="88"/>
  <c r="AJ11" i="23"/>
  <c r="AN6" i="23"/>
  <c r="AB11" i="23"/>
  <c r="AZ24" i="23"/>
  <c r="AM24" i="23"/>
  <c r="AN21" i="23"/>
  <c r="G33" i="23"/>
  <c r="B99" i="50" s="1"/>
  <c r="K99" i="50" s="1"/>
  <c r="C38" i="23"/>
  <c r="H38" i="23"/>
  <c r="AN12" i="23"/>
  <c r="AN14" i="23" s="1"/>
  <c r="AV41" i="23"/>
  <c r="C155" i="63" s="1"/>
  <c r="L155" i="63" s="1"/>
  <c r="AR14" i="23"/>
  <c r="AN20" i="23"/>
  <c r="X21" i="23"/>
  <c r="X23" i="23"/>
  <c r="S36" i="23"/>
  <c r="O40" i="23"/>
  <c r="F116" i="82"/>
  <c r="N132" i="82"/>
  <c r="D174" i="82"/>
  <c r="F133" i="83"/>
  <c r="K180" i="83"/>
  <c r="L85" i="84"/>
  <c r="H96" i="84"/>
  <c r="P96" i="84"/>
  <c r="N101" i="84"/>
  <c r="O117" i="84"/>
  <c r="D128" i="84"/>
  <c r="M128" i="84"/>
  <c r="F160" i="84"/>
  <c r="D79" i="85"/>
  <c r="M95" i="85"/>
  <c r="D127" i="85"/>
  <c r="F132" i="85"/>
  <c r="J174" i="85"/>
  <c r="I79" i="87"/>
  <c r="G95" i="87"/>
  <c r="F111" i="87"/>
  <c r="N111" i="87"/>
  <c r="F127" i="87"/>
  <c r="D159" i="87"/>
  <c r="M159" i="87"/>
  <c r="G131" i="88"/>
  <c r="I131" i="88"/>
  <c r="H148" i="88"/>
  <c r="P148" i="88"/>
  <c r="C181" i="88"/>
  <c r="I181" i="88"/>
  <c r="H10" i="23"/>
  <c r="AN5" i="23"/>
  <c r="W11" i="23"/>
  <c r="G10" i="23"/>
  <c r="AR35" i="23"/>
  <c r="AZ36" i="23"/>
  <c r="AR37" i="23"/>
  <c r="X39" i="23"/>
  <c r="K36" i="23"/>
  <c r="O79" i="82"/>
  <c r="H100" i="82"/>
  <c r="L100" i="82"/>
  <c r="N111" i="82"/>
  <c r="D127" i="82"/>
  <c r="L127" i="82"/>
  <c r="O132" i="82"/>
  <c r="F143" i="82"/>
  <c r="D148" i="82"/>
  <c r="J152" i="82"/>
  <c r="J159" i="82" s="1"/>
  <c r="E138" i="83"/>
  <c r="E146" i="83"/>
  <c r="F96" i="83"/>
  <c r="F101" i="83"/>
  <c r="D112" i="83"/>
  <c r="D149" i="83"/>
  <c r="D160" i="83"/>
  <c r="C175" i="83"/>
  <c r="F180" i="83"/>
  <c r="L180" i="83"/>
  <c r="E147" i="84"/>
  <c r="D85" i="84"/>
  <c r="D101" i="84"/>
  <c r="F128" i="84"/>
  <c r="O128" i="84"/>
  <c r="I128" i="84"/>
  <c r="D149" i="84"/>
  <c r="L165" i="84"/>
  <c r="B175" i="84"/>
  <c r="I175" i="84"/>
  <c r="E121" i="85"/>
  <c r="E79" i="85"/>
  <c r="F95" i="85"/>
  <c r="F100" i="85"/>
  <c r="D111" i="85"/>
  <c r="O116" i="85"/>
  <c r="F127" i="85"/>
  <c r="N127" i="85"/>
  <c r="D132" i="85"/>
  <c r="M132" i="85"/>
  <c r="F143" i="85"/>
  <c r="I164" i="85"/>
  <c r="D174" i="85"/>
  <c r="E137" i="87"/>
  <c r="D79" i="87"/>
  <c r="D84" i="87"/>
  <c r="E84" i="87"/>
  <c r="M132" i="87"/>
  <c r="E159" i="87"/>
  <c r="H164" i="87"/>
  <c r="K164" i="87" s="1"/>
  <c r="L164" i="87"/>
  <c r="N85" i="88"/>
  <c r="P85" i="88"/>
  <c r="L97" i="88"/>
  <c r="G119" i="88"/>
  <c r="AR10" i="23"/>
  <c r="AV35" i="23"/>
  <c r="C147" i="63" s="1"/>
  <c r="L147" i="63" s="1"/>
  <c r="AV37" i="23"/>
  <c r="C149" i="63" s="1"/>
  <c r="L149" i="63" s="1"/>
  <c r="AN19" i="23"/>
  <c r="W26" i="23"/>
  <c r="AV28" i="23"/>
  <c r="L36" i="23"/>
  <c r="T36" i="23"/>
  <c r="H34" i="23"/>
  <c r="AM34" i="23"/>
  <c r="H35" i="23"/>
  <c r="C103" i="45" s="1"/>
  <c r="L103" i="45" s="1"/>
  <c r="AE41" i="23"/>
  <c r="B38" i="23"/>
  <c r="W37" i="23"/>
  <c r="S40" i="23"/>
  <c r="I100" i="82"/>
  <c r="D100" i="82"/>
  <c r="O111" i="82"/>
  <c r="P111" i="82"/>
  <c r="F148" i="82"/>
  <c r="K152" i="82"/>
  <c r="K159" i="82" s="1"/>
  <c r="E143" i="83"/>
  <c r="E160" i="83"/>
  <c r="L165" i="83"/>
  <c r="D175" i="83"/>
  <c r="J175" i="83"/>
  <c r="E124" i="84"/>
  <c r="D80" i="84"/>
  <c r="N85" i="84"/>
  <c r="M96" i="84"/>
  <c r="G96" i="84"/>
  <c r="F101" i="84"/>
  <c r="D112" i="84"/>
  <c r="F149" i="84"/>
  <c r="F175" i="84"/>
  <c r="F79" i="85"/>
  <c r="N79" i="85"/>
  <c r="H79" i="85"/>
  <c r="D84" i="85"/>
  <c r="P116" i="85"/>
  <c r="G127" i="85"/>
  <c r="O127" i="85"/>
  <c r="N132" i="85"/>
  <c r="D143" i="85"/>
  <c r="L164" i="85"/>
  <c r="E79" i="87"/>
  <c r="M116" i="87"/>
  <c r="AZ10" i="23"/>
  <c r="AM40" i="23"/>
  <c r="AM42" i="23" s="1"/>
  <c r="I101" i="35"/>
  <c r="L101" i="35" s="1"/>
  <c r="J102" i="35"/>
  <c r="I87" i="35"/>
  <c r="L87" i="35" s="1"/>
  <c r="Q94" i="35"/>
  <c r="Q108" i="37"/>
  <c r="Q109" i="37" s="1"/>
  <c r="M107" i="38"/>
  <c r="O109" i="38"/>
  <c r="O112" i="38"/>
  <c r="O113" i="38" s="1"/>
  <c r="P112" i="39"/>
  <c r="P114" i="39" s="1"/>
  <c r="Q88" i="39"/>
  <c r="N112" i="39"/>
  <c r="N114" i="39" s="1"/>
  <c r="H113" i="39"/>
  <c r="K113" i="39" s="1"/>
  <c r="H99" i="39"/>
  <c r="K99" i="39" s="1"/>
  <c r="P99" i="39"/>
  <c r="J122" i="39"/>
  <c r="M112" i="41"/>
  <c r="B120" i="41"/>
  <c r="K120" i="41"/>
  <c r="N111" i="43"/>
  <c r="P113" i="43"/>
  <c r="H92" i="43"/>
  <c r="K92" i="43" s="1"/>
  <c r="O92" i="43"/>
  <c r="O103" i="43"/>
  <c r="P110" i="44"/>
  <c r="Q111" i="44"/>
  <c r="M112" i="44"/>
  <c r="O116" i="44"/>
  <c r="N91" i="44"/>
  <c r="N102" i="44"/>
  <c r="B125" i="44"/>
  <c r="J108" i="45"/>
  <c r="P92" i="47"/>
  <c r="K69" i="47"/>
  <c r="P90" i="49"/>
  <c r="Q92" i="49"/>
  <c r="I70" i="49"/>
  <c r="L70" i="49" s="1"/>
  <c r="Q70" i="49"/>
  <c r="I74" i="49"/>
  <c r="L74" i="49" s="1"/>
  <c r="Q74" i="49"/>
  <c r="P86" i="49"/>
  <c r="I111" i="49"/>
  <c r="L111" i="49" s="1"/>
  <c r="Q111" i="50"/>
  <c r="Q84" i="35"/>
  <c r="M103" i="35"/>
  <c r="J94" i="35"/>
  <c r="B118" i="37"/>
  <c r="O108" i="38"/>
  <c r="H112" i="38"/>
  <c r="K112" i="38" s="1"/>
  <c r="J84" i="35"/>
  <c r="M102" i="35"/>
  <c r="N103" i="35"/>
  <c r="Q84" i="37"/>
  <c r="K83" i="37"/>
  <c r="Q105" i="37"/>
  <c r="C118" i="37"/>
  <c r="L118" i="37"/>
  <c r="J118" i="37"/>
  <c r="N80" i="38"/>
  <c r="P108" i="38"/>
  <c r="I109" i="38"/>
  <c r="L109" i="38" s="1"/>
  <c r="I112" i="38"/>
  <c r="L112" i="38" s="1"/>
  <c r="P112" i="38"/>
  <c r="P113" i="38" s="1"/>
  <c r="N100" i="38"/>
  <c r="N107" i="39"/>
  <c r="H108" i="39"/>
  <c r="K108" i="39" s="1"/>
  <c r="P108" i="39"/>
  <c r="K79" i="39"/>
  <c r="Q112" i="39"/>
  <c r="Q114" i="39" s="1"/>
  <c r="J113" i="39"/>
  <c r="I99" i="39"/>
  <c r="L99" i="39" s="1"/>
  <c r="Q99" i="39"/>
  <c r="B122" i="39"/>
  <c r="I79" i="41"/>
  <c r="L79" i="41" s="1"/>
  <c r="Q107" i="41"/>
  <c r="L78" i="41"/>
  <c r="M111" i="41"/>
  <c r="M113" i="41" s="1"/>
  <c r="N112" i="41"/>
  <c r="I99" i="41"/>
  <c r="L99" i="41" s="1"/>
  <c r="J99" i="41"/>
  <c r="C120" i="41"/>
  <c r="L120" i="41"/>
  <c r="D124" i="41"/>
  <c r="O111" i="43"/>
  <c r="H112" i="43"/>
  <c r="K112" i="43" s="1"/>
  <c r="P112" i="43"/>
  <c r="I113" i="43"/>
  <c r="L113" i="43" s="1"/>
  <c r="Q113" i="43"/>
  <c r="M117" i="43"/>
  <c r="I92" i="43"/>
  <c r="L92" i="43" s="1"/>
  <c r="P103" i="43"/>
  <c r="I110" i="44"/>
  <c r="J111" i="44"/>
  <c r="N112" i="44"/>
  <c r="P116" i="44"/>
  <c r="H91" i="44"/>
  <c r="K91" i="44" s="1"/>
  <c r="L93" i="44"/>
  <c r="M102" i="44"/>
  <c r="L125" i="44"/>
  <c r="J109" i="45"/>
  <c r="I114" i="45"/>
  <c r="L114" i="45" s="1"/>
  <c r="Q89" i="45"/>
  <c r="B127" i="45"/>
  <c r="O93" i="47"/>
  <c r="M95" i="47"/>
  <c r="N98" i="47"/>
  <c r="M99" i="47"/>
  <c r="J76" i="47"/>
  <c r="P88" i="47"/>
  <c r="I100" i="47"/>
  <c r="L100" i="47" s="1"/>
  <c r="N109" i="47"/>
  <c r="J113" i="47"/>
  <c r="I58" i="49"/>
  <c r="L58" i="49" s="1"/>
  <c r="J70" i="49"/>
  <c r="J86" i="49"/>
  <c r="I94" i="49"/>
  <c r="L94" i="49" s="1"/>
  <c r="I113" i="50"/>
  <c r="L113" i="50" s="1"/>
  <c r="N130" i="50"/>
  <c r="I130" i="50"/>
  <c r="L130" i="50" s="1"/>
  <c r="L83" i="37"/>
  <c r="Q109" i="38"/>
  <c r="K102" i="38"/>
  <c r="O107" i="39"/>
  <c r="J99" i="39"/>
  <c r="J107" i="41"/>
  <c r="M108" i="41"/>
  <c r="N111" i="41"/>
  <c r="N113" i="41" s="1"/>
  <c r="I103" i="43"/>
  <c r="L103" i="43" s="1"/>
  <c r="H126" i="43"/>
  <c r="N126" i="43"/>
  <c r="J110" i="44"/>
  <c r="O112" i="44"/>
  <c r="H115" i="44"/>
  <c r="K115" i="44" s="1"/>
  <c r="M125" i="44"/>
  <c r="N95" i="47"/>
  <c r="N72" i="47"/>
  <c r="Q72" i="47"/>
  <c r="M113" i="47"/>
  <c r="I62" i="49"/>
  <c r="L62" i="49" s="1"/>
  <c r="I86" i="49"/>
  <c r="L86" i="49" s="1"/>
  <c r="H120" i="49"/>
  <c r="N109" i="50"/>
  <c r="M110" i="50"/>
  <c r="Q112" i="50"/>
  <c r="N116" i="50"/>
  <c r="O105" i="50"/>
  <c r="Q104" i="53"/>
  <c r="H73" i="53"/>
  <c r="K73" i="53" s="1"/>
  <c r="J112" i="38"/>
  <c r="J113" i="38" s="1"/>
  <c r="O100" i="38"/>
  <c r="I108" i="39"/>
  <c r="L108" i="39" s="1"/>
  <c r="L79" i="39"/>
  <c r="I81" i="39"/>
  <c r="L81" i="39" s="1"/>
  <c r="M102" i="37"/>
  <c r="M105" i="37"/>
  <c r="K97" i="37"/>
  <c r="H80" i="38"/>
  <c r="K80" i="38" s="1"/>
  <c r="P107" i="38"/>
  <c r="J108" i="38"/>
  <c r="K82" i="38"/>
  <c r="I90" i="38"/>
  <c r="L90" i="38" s="1"/>
  <c r="Q90" i="38"/>
  <c r="L121" i="38"/>
  <c r="P107" i="39"/>
  <c r="J108" i="39"/>
  <c r="O81" i="39"/>
  <c r="P109" i="39"/>
  <c r="N108" i="41"/>
  <c r="O111" i="41"/>
  <c r="O113" i="41" s="1"/>
  <c r="H112" i="41"/>
  <c r="K112" i="41" s="1"/>
  <c r="P112" i="41"/>
  <c r="K101" i="41"/>
  <c r="I111" i="43"/>
  <c r="Q111" i="43"/>
  <c r="I126" i="43"/>
  <c r="M110" i="44"/>
  <c r="N111" i="44"/>
  <c r="H112" i="44"/>
  <c r="K112" i="44" s="1"/>
  <c r="P112" i="44"/>
  <c r="Q115" i="44"/>
  <c r="Q117" i="44" s="1"/>
  <c r="Q91" i="44"/>
  <c r="O78" i="45"/>
  <c r="M78" i="45"/>
  <c r="J110" i="45"/>
  <c r="Q110" i="45"/>
  <c r="N113" i="45"/>
  <c r="N115" i="45" s="1"/>
  <c r="Q114" i="45"/>
  <c r="M89" i="45"/>
  <c r="J60" i="47"/>
  <c r="Q93" i="47"/>
  <c r="P94" i="47"/>
  <c r="O95" i="47"/>
  <c r="O99" i="47"/>
  <c r="H109" i="47"/>
  <c r="K109" i="47" s="1"/>
  <c r="H122" i="47"/>
  <c r="N122" i="47"/>
  <c r="C122" i="47"/>
  <c r="L122" i="47"/>
  <c r="N111" i="50"/>
  <c r="Q81" i="50"/>
  <c r="Q89" i="50"/>
  <c r="Q105" i="53"/>
  <c r="Q89" i="53"/>
  <c r="O96" i="53"/>
  <c r="O115" i="55"/>
  <c r="P122" i="56"/>
  <c r="Q103" i="35"/>
  <c r="Q106" i="35"/>
  <c r="Q107" i="35" s="1"/>
  <c r="M83" i="38"/>
  <c r="J90" i="38"/>
  <c r="Q100" i="38"/>
  <c r="M100" i="38"/>
  <c r="M121" i="38"/>
  <c r="I107" i="39"/>
  <c r="L107" i="39" s="1"/>
  <c r="Q107" i="39"/>
  <c r="M108" i="39"/>
  <c r="O109" i="39"/>
  <c r="P81" i="39"/>
  <c r="N113" i="39"/>
  <c r="B126" i="39"/>
  <c r="H108" i="41"/>
  <c r="K108" i="41" s="1"/>
  <c r="O108" i="41"/>
  <c r="I89" i="41"/>
  <c r="L89" i="41" s="1"/>
  <c r="J111" i="43"/>
  <c r="M112" i="43"/>
  <c r="N113" i="43"/>
  <c r="O116" i="43"/>
  <c r="O118" i="43" s="1"/>
  <c r="P117" i="43"/>
  <c r="M92" i="43"/>
  <c r="N110" i="44"/>
  <c r="N89" i="45"/>
  <c r="Q100" i="45"/>
  <c r="N92" i="47"/>
  <c r="Q94" i="47"/>
  <c r="P99" i="47"/>
  <c r="J96" i="47"/>
  <c r="J100" i="47"/>
  <c r="O91" i="49"/>
  <c r="O70" i="49"/>
  <c r="H82" i="49"/>
  <c r="K82" i="49" s="1"/>
  <c r="O111" i="49"/>
  <c r="P109" i="50"/>
  <c r="O111" i="50"/>
  <c r="I81" i="50"/>
  <c r="L81" i="50" s="1"/>
  <c r="J89" i="50"/>
  <c r="N93" i="50"/>
  <c r="M126" i="50"/>
  <c r="D139" i="50"/>
  <c r="M139" i="50"/>
  <c r="I139" i="50"/>
  <c r="B139" i="50"/>
  <c r="K139" i="50"/>
  <c r="C143" i="50"/>
  <c r="L143" i="50"/>
  <c r="M124" i="64"/>
  <c r="I152" i="64"/>
  <c r="G166" i="64"/>
  <c r="J166" i="64" s="1"/>
  <c r="L170" i="64"/>
  <c r="H138" i="68"/>
  <c r="O158" i="69"/>
  <c r="N154" i="69"/>
  <c r="L158" i="69"/>
  <c r="N174" i="69"/>
  <c r="H189" i="69"/>
  <c r="N154" i="70"/>
  <c r="M83" i="72"/>
  <c r="P93" i="72"/>
  <c r="G108" i="72"/>
  <c r="O113" i="72"/>
  <c r="I143" i="72"/>
  <c r="M83" i="74"/>
  <c r="H98" i="74"/>
  <c r="L113" i="74"/>
  <c r="M113" i="74"/>
  <c r="P123" i="74"/>
  <c r="B152" i="74"/>
  <c r="I152" i="74"/>
  <c r="C157" i="74"/>
  <c r="I157" i="74"/>
  <c r="M78" i="75"/>
  <c r="P93" i="75"/>
  <c r="J111" i="53"/>
  <c r="M71" i="55"/>
  <c r="Q106" i="55"/>
  <c r="H127" i="55"/>
  <c r="N127" i="55"/>
  <c r="M131" i="56"/>
  <c r="M132" i="56"/>
  <c r="K120" i="56"/>
  <c r="O152" i="56"/>
  <c r="K121" i="57"/>
  <c r="P151" i="57"/>
  <c r="C187" i="57"/>
  <c r="I187" i="57"/>
  <c r="P127" i="58"/>
  <c r="H127" i="58"/>
  <c r="N153" i="58"/>
  <c r="O158" i="58"/>
  <c r="M162" i="58"/>
  <c r="J143" i="58"/>
  <c r="I139" i="60"/>
  <c r="L139" i="60" s="1"/>
  <c r="M151" i="60"/>
  <c r="J186" i="60"/>
  <c r="N147" i="61"/>
  <c r="P124" i="62"/>
  <c r="J152" i="62"/>
  <c r="M166" i="62"/>
  <c r="C185" i="62"/>
  <c r="L185" i="62"/>
  <c r="J166" i="63"/>
  <c r="I185" i="63"/>
  <c r="B185" i="63"/>
  <c r="K185" i="63"/>
  <c r="L148" i="64"/>
  <c r="P155" i="64"/>
  <c r="N148" i="64"/>
  <c r="M124" i="68"/>
  <c r="I138" i="68"/>
  <c r="H166" i="68"/>
  <c r="K166" i="68" s="1"/>
  <c r="N129" i="69"/>
  <c r="N153" i="69"/>
  <c r="I144" i="69"/>
  <c r="H170" i="69"/>
  <c r="K170" i="69" s="1"/>
  <c r="N149" i="70"/>
  <c r="O152" i="70"/>
  <c r="P155" i="70"/>
  <c r="L187" i="70"/>
  <c r="B192" i="70"/>
  <c r="I192" i="70"/>
  <c r="N78" i="72"/>
  <c r="N98" i="72"/>
  <c r="P108" i="72"/>
  <c r="L138" i="72"/>
  <c r="H78" i="74"/>
  <c r="N83" i="74"/>
  <c r="N73" i="53"/>
  <c r="Q106" i="53"/>
  <c r="N109" i="53"/>
  <c r="O85" i="53"/>
  <c r="J57" i="54"/>
  <c r="O77" i="54"/>
  <c r="I61" i="54"/>
  <c r="L61" i="54" s="1"/>
  <c r="Q61" i="54"/>
  <c r="N91" i="54"/>
  <c r="N95" i="54"/>
  <c r="Q101" i="55"/>
  <c r="O91" i="55"/>
  <c r="M115" i="55"/>
  <c r="M127" i="56"/>
  <c r="L113" i="56"/>
  <c r="P129" i="56"/>
  <c r="I133" i="56"/>
  <c r="L133" i="56" s="1"/>
  <c r="N152" i="56"/>
  <c r="D164" i="56"/>
  <c r="J164" i="56"/>
  <c r="C164" i="56"/>
  <c r="I164" i="56"/>
  <c r="K119" i="58"/>
  <c r="Q152" i="58"/>
  <c r="P158" i="58"/>
  <c r="H147" i="58"/>
  <c r="K147" i="58" s="1"/>
  <c r="H196" i="58"/>
  <c r="I186" i="60"/>
  <c r="M147" i="61"/>
  <c r="Q142" i="61"/>
  <c r="P155" i="61"/>
  <c r="K181" i="61"/>
  <c r="I124" i="62"/>
  <c r="Q124" i="62"/>
  <c r="J138" i="62"/>
  <c r="K147" i="62"/>
  <c r="K120" i="63"/>
  <c r="J138" i="63"/>
  <c r="K148" i="63"/>
  <c r="H156" i="63"/>
  <c r="M166" i="63"/>
  <c r="B181" i="63"/>
  <c r="H181" i="63"/>
  <c r="J185" i="63"/>
  <c r="O124" i="64"/>
  <c r="J127" i="64"/>
  <c r="L154" i="64"/>
  <c r="L155" i="64"/>
  <c r="I166" i="64"/>
  <c r="N124" i="68"/>
  <c r="M148" i="69"/>
  <c r="O149" i="69"/>
  <c r="O152" i="69"/>
  <c r="P154" i="69"/>
  <c r="N158" i="69"/>
  <c r="J189" i="69"/>
  <c r="M160" i="70"/>
  <c r="P154" i="70"/>
  <c r="L93" i="72"/>
  <c r="N126" i="72"/>
  <c r="N128" i="72" s="1"/>
  <c r="I78" i="74"/>
  <c r="L93" i="75"/>
  <c r="H103" i="54"/>
  <c r="N103" i="54"/>
  <c r="Q67" i="55"/>
  <c r="O67" i="55"/>
  <c r="N100" i="55"/>
  <c r="J119" i="55"/>
  <c r="N103" i="56"/>
  <c r="O130" i="57"/>
  <c r="O175" i="57"/>
  <c r="K187" i="57"/>
  <c r="J127" i="58"/>
  <c r="P148" i="60"/>
  <c r="J153" i="60"/>
  <c r="O170" i="61"/>
  <c r="H166" i="62"/>
  <c r="K166" i="62" s="1"/>
  <c r="M151" i="64"/>
  <c r="M126" i="47"/>
  <c r="N92" i="49"/>
  <c r="O97" i="49"/>
  <c r="N74" i="49"/>
  <c r="N82" i="49"/>
  <c r="M86" i="49"/>
  <c r="N111" i="49"/>
  <c r="B120" i="49"/>
  <c r="J124" i="49"/>
  <c r="M109" i="50"/>
  <c r="L74" i="50"/>
  <c r="P112" i="50"/>
  <c r="M115" i="50"/>
  <c r="M116" i="50"/>
  <c r="O89" i="50"/>
  <c r="H143" i="50"/>
  <c r="N143" i="50"/>
  <c r="O104" i="53"/>
  <c r="M106" i="53"/>
  <c r="P109" i="53"/>
  <c r="H89" i="53"/>
  <c r="K89" i="53" s="1"/>
  <c r="O89" i="53"/>
  <c r="D131" i="53"/>
  <c r="M131" i="53"/>
  <c r="J135" i="53"/>
  <c r="M76" i="54"/>
  <c r="Q77" i="54"/>
  <c r="I67" i="55"/>
  <c r="L67" i="55" s="1"/>
  <c r="K79" i="55"/>
  <c r="K77" i="55"/>
  <c r="O83" i="55"/>
  <c r="H95" i="55"/>
  <c r="K95" i="55" s="1"/>
  <c r="P105" i="55"/>
  <c r="O103" i="56"/>
  <c r="N127" i="56"/>
  <c r="K100" i="56"/>
  <c r="N136" i="56"/>
  <c r="H133" i="56"/>
  <c r="K133" i="56" s="1"/>
  <c r="H126" i="57"/>
  <c r="P126" i="57"/>
  <c r="L136" i="57"/>
  <c r="L138" i="57"/>
  <c r="H160" i="57"/>
  <c r="H191" i="57"/>
  <c r="M152" i="58"/>
  <c r="O155" i="58"/>
  <c r="J147" i="58"/>
  <c r="J196" i="58"/>
  <c r="N147" i="60"/>
  <c r="J143" i="60"/>
  <c r="J167" i="60"/>
  <c r="M171" i="60"/>
  <c r="K186" i="60"/>
  <c r="O155" i="61"/>
  <c r="P148" i="61"/>
  <c r="I170" i="61"/>
  <c r="L170" i="61" s="1"/>
  <c r="I185" i="61"/>
  <c r="M124" i="62"/>
  <c r="L120" i="62"/>
  <c r="L122" i="62"/>
  <c r="N146" i="62"/>
  <c r="L136" i="62"/>
  <c r="Q154" i="62"/>
  <c r="Q155" i="62"/>
  <c r="H156" i="62"/>
  <c r="K156" i="62" s="1"/>
  <c r="M181" i="62"/>
  <c r="I185" i="62"/>
  <c r="K185" i="62"/>
  <c r="N124" i="63"/>
  <c r="Q155" i="63"/>
  <c r="K154" i="63"/>
  <c r="J156" i="63"/>
  <c r="C185" i="63"/>
  <c r="I124" i="64"/>
  <c r="L147" i="64"/>
  <c r="P150" i="64"/>
  <c r="H170" i="64"/>
  <c r="K170" i="64" s="1"/>
  <c r="P124" i="68"/>
  <c r="N170" i="68"/>
  <c r="I184" i="68"/>
  <c r="M153" i="69"/>
  <c r="H124" i="70"/>
  <c r="P129" i="70"/>
  <c r="M158" i="70"/>
  <c r="I161" i="70"/>
  <c r="M108" i="72"/>
  <c r="L113" i="72"/>
  <c r="M113" i="72"/>
  <c r="H123" i="72"/>
  <c r="P128" i="72"/>
  <c r="I123" i="72"/>
  <c r="N143" i="72"/>
  <c r="G98" i="74"/>
  <c r="P108" i="74"/>
  <c r="I108" i="74"/>
  <c r="P113" i="74"/>
  <c r="I113" i="74"/>
  <c r="I78" i="75"/>
  <c r="N93" i="75"/>
  <c r="O105" i="53"/>
  <c r="N106" i="53"/>
  <c r="J85" i="53"/>
  <c r="P89" i="53"/>
  <c r="I119" i="53"/>
  <c r="L119" i="53" s="1"/>
  <c r="B135" i="53"/>
  <c r="K135" i="53"/>
  <c r="O57" i="54"/>
  <c r="N76" i="54"/>
  <c r="M67" i="55"/>
  <c r="N101" i="55"/>
  <c r="O71" i="55"/>
  <c r="I95" i="55"/>
  <c r="L95" i="55" s="1"/>
  <c r="Q95" i="55"/>
  <c r="J131" i="55"/>
  <c r="H103" i="56"/>
  <c r="O107" i="56"/>
  <c r="I118" i="56"/>
  <c r="L118" i="56" s="1"/>
  <c r="Q126" i="56"/>
  <c r="O135" i="56"/>
  <c r="I152" i="56"/>
  <c r="L152" i="56" s="1"/>
  <c r="Q126" i="57"/>
  <c r="N149" i="57"/>
  <c r="N152" i="57"/>
  <c r="N153" i="57"/>
  <c r="M154" i="57"/>
  <c r="L140" i="57"/>
  <c r="M155" i="57"/>
  <c r="I191" i="57"/>
  <c r="N151" i="58"/>
  <c r="Q154" i="58"/>
  <c r="P156" i="58"/>
  <c r="P125" i="60"/>
  <c r="N150" i="60"/>
  <c r="Q156" i="60"/>
  <c r="J124" i="61"/>
  <c r="O148" i="61"/>
  <c r="I128" i="61"/>
  <c r="L128" i="61" s="1"/>
  <c r="M155" i="61"/>
  <c r="I166" i="61"/>
  <c r="L166" i="61" s="1"/>
  <c r="J170" i="61"/>
  <c r="J185" i="61"/>
  <c r="N147" i="62"/>
  <c r="N148" i="62"/>
  <c r="M150" i="62"/>
  <c r="M151" i="62"/>
  <c r="H124" i="63"/>
  <c r="K124" i="63" s="1"/>
  <c r="O124" i="63"/>
  <c r="D185" i="63"/>
  <c r="M185" i="63"/>
  <c r="O151" i="64"/>
  <c r="N166" i="64"/>
  <c r="G144" i="69"/>
  <c r="O144" i="69"/>
  <c r="N170" i="69"/>
  <c r="N138" i="72"/>
  <c r="L83" i="74"/>
  <c r="I93" i="74"/>
  <c r="G123" i="74"/>
  <c r="I123" i="74"/>
  <c r="O148" i="85"/>
  <c r="Q87" i="37"/>
  <c r="J95" i="37"/>
  <c r="P95" i="37"/>
  <c r="J103" i="37"/>
  <c r="I98" i="37"/>
  <c r="L98" i="37" s="1"/>
  <c r="I108" i="37"/>
  <c r="L108" i="37" s="1"/>
  <c r="H109" i="38"/>
  <c r="K109" i="38" s="1"/>
  <c r="I83" i="38"/>
  <c r="L83" i="38" s="1"/>
  <c r="O90" i="38"/>
  <c r="I93" i="38"/>
  <c r="L93" i="38" s="1"/>
  <c r="I100" i="38"/>
  <c r="L100" i="38" s="1"/>
  <c r="L102" i="38"/>
  <c r="P84" i="35"/>
  <c r="L81" i="37"/>
  <c r="J105" i="37"/>
  <c r="Q95" i="37"/>
  <c r="N104" i="37"/>
  <c r="O108" i="37"/>
  <c r="O109" i="37" s="1"/>
  <c r="P109" i="38"/>
  <c r="J83" i="38"/>
  <c r="O87" i="35"/>
  <c r="H94" i="35"/>
  <c r="K94" i="35" s="1"/>
  <c r="J115" i="35"/>
  <c r="L115" i="35"/>
  <c r="O104" i="37"/>
  <c r="J108" i="37"/>
  <c r="J109" i="37" s="1"/>
  <c r="P108" i="37"/>
  <c r="P109" i="37" s="1"/>
  <c r="K118" i="37"/>
  <c r="I118" i="37"/>
  <c r="M90" i="38"/>
  <c r="H93" i="38"/>
  <c r="K93" i="38" s="1"/>
  <c r="K92" i="38"/>
  <c r="L81" i="35"/>
  <c r="K82" i="35"/>
  <c r="M84" i="35"/>
  <c r="N94" i="35"/>
  <c r="P104" i="37"/>
  <c r="O84" i="35"/>
  <c r="K81" i="35"/>
  <c r="N84" i="35"/>
  <c r="N115" i="35"/>
  <c r="I84" i="37"/>
  <c r="L84" i="37" s="1"/>
  <c r="H95" i="37"/>
  <c r="K95" i="37" s="1"/>
  <c r="N95" i="37"/>
  <c r="O95" i="37"/>
  <c r="M95" i="37"/>
  <c r="I80" i="38"/>
  <c r="L80" i="38" s="1"/>
  <c r="M80" i="38"/>
  <c r="Q80" i="38"/>
  <c r="P83" i="38"/>
  <c r="H107" i="39"/>
  <c r="K107" i="39" s="1"/>
  <c r="K74" i="39"/>
  <c r="L86" i="35"/>
  <c r="I115" i="35"/>
  <c r="O84" i="37"/>
  <c r="I95" i="37"/>
  <c r="L95" i="37" s="1"/>
  <c r="P103" i="37"/>
  <c r="J104" i="37"/>
  <c r="N105" i="37"/>
  <c r="H118" i="37"/>
  <c r="N118" i="37"/>
  <c r="J107" i="38"/>
  <c r="N108" i="38"/>
  <c r="L82" i="38"/>
  <c r="N90" i="38"/>
  <c r="H100" i="38"/>
  <c r="K100" i="38" s="1"/>
  <c r="P100" i="38"/>
  <c r="L80" i="39"/>
  <c r="O88" i="39"/>
  <c r="K122" i="39"/>
  <c r="M122" i="39"/>
  <c r="O79" i="41"/>
  <c r="N83" i="41"/>
  <c r="M120" i="41"/>
  <c r="J103" i="43"/>
  <c r="Q103" i="43"/>
  <c r="H103" i="43"/>
  <c r="K103" i="43" s="1"/>
  <c r="O80" i="44"/>
  <c r="O91" i="44"/>
  <c r="H111" i="44"/>
  <c r="K111" i="44" s="1"/>
  <c r="H125" i="44"/>
  <c r="N125" i="44"/>
  <c r="J125" i="44"/>
  <c r="C125" i="44"/>
  <c r="B129" i="44"/>
  <c r="H113" i="45"/>
  <c r="H115" i="45" s="1"/>
  <c r="K115" i="45" s="1"/>
  <c r="K91" i="45"/>
  <c r="C127" i="45"/>
  <c r="N93" i="47"/>
  <c r="P60" i="47"/>
  <c r="O98" i="47"/>
  <c r="N99" i="47"/>
  <c r="Q64" i="47"/>
  <c r="Q76" i="47"/>
  <c r="I76" i="47"/>
  <c r="L76" i="47" s="1"/>
  <c r="L80" i="47"/>
  <c r="L98" i="47"/>
  <c r="J109" i="47"/>
  <c r="O113" i="47"/>
  <c r="J122" i="47"/>
  <c r="J58" i="49"/>
  <c r="Q90" i="49"/>
  <c r="H70" i="49"/>
  <c r="K70" i="49" s="1"/>
  <c r="H74" i="49"/>
  <c r="K74" i="49" s="1"/>
  <c r="P74" i="49"/>
  <c r="P82" i="49"/>
  <c r="J94" i="49"/>
  <c r="H94" i="49"/>
  <c r="K94" i="49" s="1"/>
  <c r="O96" i="49"/>
  <c r="J98" i="49"/>
  <c r="M107" i="49"/>
  <c r="L109" i="49"/>
  <c r="D124" i="49"/>
  <c r="M124" i="49"/>
  <c r="J77" i="50"/>
  <c r="O77" i="50"/>
  <c r="P93" i="50"/>
  <c r="M101" i="50"/>
  <c r="H113" i="50"/>
  <c r="K113" i="50" s="1"/>
  <c r="J117" i="50"/>
  <c r="H126" i="50"/>
  <c r="K126" i="50" s="1"/>
  <c r="J139" i="50"/>
  <c r="H139" i="50"/>
  <c r="N139" i="50"/>
  <c r="I143" i="50"/>
  <c r="O73" i="53"/>
  <c r="N85" i="53"/>
  <c r="I107" i="53"/>
  <c r="L107" i="53" s="1"/>
  <c r="H111" i="53"/>
  <c r="K111" i="53" s="1"/>
  <c r="J119" i="53"/>
  <c r="K53" i="54"/>
  <c r="H61" i="54"/>
  <c r="K61" i="54" s="1"/>
  <c r="J68" i="54"/>
  <c r="J100" i="38"/>
  <c r="I121" i="38"/>
  <c r="N108" i="39"/>
  <c r="H109" i="39"/>
  <c r="K109" i="39" s="1"/>
  <c r="J81" i="39"/>
  <c r="H88" i="39"/>
  <c r="K88" i="39" s="1"/>
  <c r="P88" i="39"/>
  <c r="K90" i="39"/>
  <c r="K91" i="39"/>
  <c r="M99" i="39"/>
  <c r="C122" i="39"/>
  <c r="L122" i="39"/>
  <c r="H122" i="39"/>
  <c r="N122" i="39"/>
  <c r="M79" i="41"/>
  <c r="Q79" i="41"/>
  <c r="K81" i="41"/>
  <c r="J112" i="41"/>
  <c r="Q112" i="41"/>
  <c r="O83" i="41"/>
  <c r="M89" i="41"/>
  <c r="K91" i="41"/>
  <c r="H120" i="41"/>
  <c r="N120" i="41"/>
  <c r="L78" i="43"/>
  <c r="K79" i="43"/>
  <c r="M85" i="43"/>
  <c r="H113" i="43"/>
  <c r="K113" i="43" s="1"/>
  <c r="C126" i="43"/>
  <c r="L126" i="43"/>
  <c r="I125" i="44"/>
  <c r="K125" i="44"/>
  <c r="C129" i="44"/>
  <c r="Q113" i="45"/>
  <c r="Q115" i="45" s="1"/>
  <c r="H114" i="45"/>
  <c r="K114" i="45" s="1"/>
  <c r="N114" i="45"/>
  <c r="K86" i="45"/>
  <c r="J100" i="45"/>
  <c r="J123" i="45"/>
  <c r="C123" i="45"/>
  <c r="L123" i="45"/>
  <c r="M94" i="47"/>
  <c r="Q95" i="47"/>
  <c r="P72" i="47"/>
  <c r="L82" i="47"/>
  <c r="H96" i="47"/>
  <c r="K96" i="47" s="1"/>
  <c r="K104" i="47"/>
  <c r="B122" i="47"/>
  <c r="K122" i="47"/>
  <c r="I122" i="47"/>
  <c r="J126" i="47"/>
  <c r="L54" i="49"/>
  <c r="N107" i="49"/>
  <c r="Q77" i="50"/>
  <c r="N81" i="50"/>
  <c r="N89" i="50"/>
  <c r="J143" i="50"/>
  <c r="I73" i="53"/>
  <c r="L73" i="53" s="1"/>
  <c r="P73" i="53"/>
  <c r="Q77" i="53"/>
  <c r="M77" i="53"/>
  <c r="P106" i="53"/>
  <c r="I89" i="53"/>
  <c r="L89" i="53" s="1"/>
  <c r="N96" i="53"/>
  <c r="H100" i="53"/>
  <c r="K100" i="53" s="1"/>
  <c r="J107" i="53"/>
  <c r="M123" i="53"/>
  <c r="I72" i="54"/>
  <c r="L72" i="54" s="1"/>
  <c r="Q81" i="54"/>
  <c r="Q83" i="54" s="1"/>
  <c r="H90" i="38"/>
  <c r="K90" i="38" s="1"/>
  <c r="P90" i="38"/>
  <c r="J121" i="38"/>
  <c r="M107" i="39"/>
  <c r="O108" i="39"/>
  <c r="I109" i="39"/>
  <c r="L109" i="39" s="1"/>
  <c r="I88" i="39"/>
  <c r="L88" i="39" s="1"/>
  <c r="M88" i="39"/>
  <c r="L90" i="39"/>
  <c r="H92" i="39"/>
  <c r="K92" i="39" s="1"/>
  <c r="N99" i="39"/>
  <c r="K101" i="39"/>
  <c r="D122" i="39"/>
  <c r="N79" i="41"/>
  <c r="L81" i="41"/>
  <c r="K82" i="41"/>
  <c r="N89" i="41"/>
  <c r="I93" i="41"/>
  <c r="L93" i="41" s="1"/>
  <c r="P99" i="41"/>
  <c r="I120" i="41"/>
  <c r="M111" i="43"/>
  <c r="L79" i="43"/>
  <c r="I81" i="43"/>
  <c r="L81" i="43" s="1"/>
  <c r="H117" i="43"/>
  <c r="K117" i="43" s="1"/>
  <c r="P92" i="43"/>
  <c r="L105" i="43"/>
  <c r="M126" i="43"/>
  <c r="K77" i="44"/>
  <c r="Q110" i="44"/>
  <c r="P111" i="44"/>
  <c r="J112" i="44"/>
  <c r="Q112" i="44"/>
  <c r="N115" i="44"/>
  <c r="N117" i="44" s="1"/>
  <c r="H116" i="44"/>
  <c r="K116" i="44" s="1"/>
  <c r="J91" i="44"/>
  <c r="P91" i="44"/>
  <c r="P115" i="44"/>
  <c r="P117" i="44" s="1"/>
  <c r="I116" i="44"/>
  <c r="L116" i="44" s="1"/>
  <c r="O102" i="44"/>
  <c r="K104" i="44"/>
  <c r="D129" i="44"/>
  <c r="M108" i="45"/>
  <c r="O110" i="45"/>
  <c r="J113" i="45"/>
  <c r="J115" i="45" s="1"/>
  <c r="O114" i="45"/>
  <c r="H82" i="45"/>
  <c r="K82" i="45" s="1"/>
  <c r="M100" i="45"/>
  <c r="L98" i="45"/>
  <c r="O108" i="45"/>
  <c r="B123" i="45"/>
  <c r="K123" i="45"/>
  <c r="D123" i="45"/>
  <c r="M123" i="45"/>
  <c r="N94" i="47"/>
  <c r="L62" i="47"/>
  <c r="H64" i="47"/>
  <c r="K64" i="47" s="1"/>
  <c r="M72" i="47"/>
  <c r="J72" i="47"/>
  <c r="N84" i="47"/>
  <c r="N113" i="47"/>
  <c r="B126" i="47"/>
  <c r="K126" i="47"/>
  <c r="M58" i="49"/>
  <c r="N62" i="49"/>
  <c r="M97" i="49"/>
  <c r="P70" i="49"/>
  <c r="M93" i="49"/>
  <c r="J74" i="49"/>
  <c r="I82" i="49"/>
  <c r="L82" i="49" s="1"/>
  <c r="O82" i="49"/>
  <c r="J82" i="49"/>
  <c r="Q86" i="49"/>
  <c r="J120" i="49"/>
  <c r="N120" i="49"/>
  <c r="I124" i="49"/>
  <c r="P81" i="50"/>
  <c r="N110" i="50"/>
  <c r="Q93" i="50"/>
  <c r="O101" i="50"/>
  <c r="J113" i="50"/>
  <c r="J126" i="50"/>
  <c r="I126" i="50"/>
  <c r="L126" i="50" s="1"/>
  <c r="O126" i="50"/>
  <c r="J130" i="50"/>
  <c r="C139" i="50"/>
  <c r="L139" i="50"/>
  <c r="J73" i="53"/>
  <c r="N105" i="53"/>
  <c r="I77" i="53"/>
  <c r="L77" i="53" s="1"/>
  <c r="P77" i="53"/>
  <c r="P85" i="53"/>
  <c r="M105" i="53"/>
  <c r="L84" i="53"/>
  <c r="J89" i="53"/>
  <c r="H96" i="53"/>
  <c r="K96" i="53" s="1"/>
  <c r="J100" i="53"/>
  <c r="L104" i="53"/>
  <c r="L115" i="53"/>
  <c r="N119" i="53"/>
  <c r="C131" i="53"/>
  <c r="L131" i="53"/>
  <c r="H131" i="53"/>
  <c r="N131" i="53"/>
  <c r="I135" i="53"/>
  <c r="N57" i="54"/>
  <c r="N78" i="54"/>
  <c r="D103" i="54"/>
  <c r="M103" i="54"/>
  <c r="I103" i="54"/>
  <c r="P67" i="55"/>
  <c r="J88" i="39"/>
  <c r="C126" i="39"/>
  <c r="H83" i="41"/>
  <c r="K83" i="41" s="1"/>
  <c r="P89" i="41"/>
  <c r="C124" i="41"/>
  <c r="J81" i="43"/>
  <c r="K89" i="43"/>
  <c r="J117" i="43"/>
  <c r="J126" i="43"/>
  <c r="L77" i="44"/>
  <c r="K79" i="44"/>
  <c r="H80" i="44"/>
  <c r="K80" i="44" s="1"/>
  <c r="Q84" i="44"/>
  <c r="J115" i="44"/>
  <c r="J117" i="44" s="1"/>
  <c r="P102" i="44"/>
  <c r="M82" i="45"/>
  <c r="H72" i="47"/>
  <c r="K72" i="47" s="1"/>
  <c r="O84" i="47"/>
  <c r="Q91" i="49"/>
  <c r="H101" i="50"/>
  <c r="O112" i="50"/>
  <c r="M57" i="54"/>
  <c r="L81" i="54"/>
  <c r="I83" i="54"/>
  <c r="L83" i="54" s="1"/>
  <c r="M77" i="39"/>
  <c r="I83" i="41"/>
  <c r="L83" i="41" s="1"/>
  <c r="J89" i="41"/>
  <c r="O81" i="43"/>
  <c r="M113" i="43"/>
  <c r="Q116" i="43"/>
  <c r="Q118" i="43" s="1"/>
  <c r="P111" i="43"/>
  <c r="B126" i="43"/>
  <c r="K126" i="43"/>
  <c r="D126" i="43"/>
  <c r="L78" i="44"/>
  <c r="I80" i="44"/>
  <c r="L80" i="44" s="1"/>
  <c r="M111" i="44"/>
  <c r="N82" i="45"/>
  <c r="P113" i="45"/>
  <c r="P115" i="45" s="1"/>
  <c r="H84" i="47"/>
  <c r="K84" i="47" s="1"/>
  <c r="J88" i="47"/>
  <c r="O109" i="47"/>
  <c r="N91" i="49"/>
  <c r="K78" i="49"/>
  <c r="Q82" i="49"/>
  <c r="H98" i="49"/>
  <c r="K98" i="49" s="1"/>
  <c r="I107" i="49"/>
  <c r="L107" i="49" s="1"/>
  <c r="O107" i="49"/>
  <c r="J111" i="49"/>
  <c r="I89" i="50"/>
  <c r="I105" i="50"/>
  <c r="L105" i="50" s="1"/>
  <c r="I117" i="50"/>
  <c r="K71" i="53"/>
  <c r="J131" i="53"/>
  <c r="N61" i="54"/>
  <c r="H68" i="54"/>
  <c r="K68" i="54" s="1"/>
  <c r="J109" i="39"/>
  <c r="N92" i="39"/>
  <c r="N112" i="43"/>
  <c r="N80" i="44"/>
  <c r="O89" i="45"/>
  <c r="H60" i="47"/>
  <c r="K60" i="47" s="1"/>
  <c r="M60" i="47"/>
  <c r="I84" i="47"/>
  <c r="L84" i="47" s="1"/>
  <c r="P95" i="47"/>
  <c r="I96" i="47"/>
  <c r="L96" i="47" s="1"/>
  <c r="I109" i="47"/>
  <c r="L109" i="47" s="1"/>
  <c r="M109" i="47"/>
  <c r="H126" i="47"/>
  <c r="N126" i="47"/>
  <c r="O58" i="49"/>
  <c r="J62" i="49"/>
  <c r="Q62" i="49"/>
  <c r="M70" i="49"/>
  <c r="O74" i="49"/>
  <c r="H86" i="49"/>
  <c r="K86" i="49" s="1"/>
  <c r="J107" i="49"/>
  <c r="D120" i="49"/>
  <c r="M120" i="49"/>
  <c r="I120" i="49"/>
  <c r="K120" i="49"/>
  <c r="C124" i="49"/>
  <c r="L124" i="49"/>
  <c r="I77" i="50"/>
  <c r="M130" i="50"/>
  <c r="M73" i="53"/>
  <c r="Q73" i="53"/>
  <c r="L82" i="53"/>
  <c r="Q85" i="53"/>
  <c r="I85" i="53"/>
  <c r="M89" i="53"/>
  <c r="N100" i="53"/>
  <c r="O119" i="53"/>
  <c r="H123" i="53"/>
  <c r="K123" i="53" s="1"/>
  <c r="I131" i="53"/>
  <c r="B131" i="53"/>
  <c r="K131" i="53"/>
  <c r="C135" i="53"/>
  <c r="L135" i="53"/>
  <c r="Q57" i="54"/>
  <c r="P61" i="54"/>
  <c r="O61" i="54"/>
  <c r="P68" i="54"/>
  <c r="O72" i="54"/>
  <c r="O91" i="54"/>
  <c r="L93" i="54"/>
  <c r="I95" i="54"/>
  <c r="L95" i="54" s="1"/>
  <c r="N67" i="55"/>
  <c r="M79" i="55"/>
  <c r="L93" i="55"/>
  <c r="H107" i="55"/>
  <c r="N115" i="55"/>
  <c r="B127" i="55"/>
  <c r="K127" i="55"/>
  <c r="D131" i="55"/>
  <c r="P103" i="56"/>
  <c r="L127" i="56"/>
  <c r="P136" i="56"/>
  <c r="N148" i="56"/>
  <c r="I148" i="56"/>
  <c r="L148" i="56" s="1"/>
  <c r="P150" i="57"/>
  <c r="P152" i="57"/>
  <c r="P153" i="57"/>
  <c r="O154" i="57"/>
  <c r="O155" i="57"/>
  <c r="K143" i="57"/>
  <c r="Q159" i="57"/>
  <c r="I160" i="57"/>
  <c r="L160" i="57" s="1"/>
  <c r="O171" i="57"/>
  <c r="L173" i="57"/>
  <c r="D191" i="57"/>
  <c r="M191" i="57"/>
  <c r="I127" i="58"/>
  <c r="L127" i="58" s="1"/>
  <c r="K139" i="58"/>
  <c r="P157" i="58"/>
  <c r="M161" i="58"/>
  <c r="J175" i="58"/>
  <c r="D192" i="58"/>
  <c r="J192" i="58"/>
  <c r="B196" i="58"/>
  <c r="K196" i="58"/>
  <c r="D196" i="58"/>
  <c r="O147" i="60"/>
  <c r="P151" i="60"/>
  <c r="Q150" i="60"/>
  <c r="O171" i="60"/>
  <c r="D186" i="60"/>
  <c r="M186" i="60"/>
  <c r="J128" i="61"/>
  <c r="H83" i="54"/>
  <c r="K83" i="54" s="1"/>
  <c r="J95" i="54"/>
  <c r="B103" i="54"/>
  <c r="K103" i="54"/>
  <c r="D107" i="54"/>
  <c r="M107" i="54"/>
  <c r="J91" i="55"/>
  <c r="P100" i="55"/>
  <c r="O101" i="55"/>
  <c r="M102" i="55"/>
  <c r="J103" i="55"/>
  <c r="M119" i="55"/>
  <c r="J127" i="55"/>
  <c r="C127" i="55"/>
  <c r="L127" i="55"/>
  <c r="H131" i="55"/>
  <c r="N131" i="55"/>
  <c r="M103" i="56"/>
  <c r="J103" i="56"/>
  <c r="O130" i="56"/>
  <c r="J118" i="56"/>
  <c r="P127" i="56"/>
  <c r="O128" i="56"/>
  <c r="M129" i="56"/>
  <c r="L115" i="56"/>
  <c r="P131" i="56"/>
  <c r="P132" i="56"/>
  <c r="J122" i="56"/>
  <c r="Q136" i="56"/>
  <c r="J137" i="56"/>
  <c r="H148" i="56"/>
  <c r="K148" i="56" s="1"/>
  <c r="J152" i="56"/>
  <c r="K164" i="56"/>
  <c r="M126" i="57"/>
  <c r="K125" i="57"/>
  <c r="L128" i="57"/>
  <c r="P130" i="57"/>
  <c r="Q149" i="57"/>
  <c r="Q150" i="57"/>
  <c r="Q152" i="57"/>
  <c r="P154" i="57"/>
  <c r="P155" i="57"/>
  <c r="M158" i="57"/>
  <c r="H171" i="57"/>
  <c r="K171" i="57" s="1"/>
  <c r="M175" i="57"/>
  <c r="L187" i="57"/>
  <c r="Q127" i="58"/>
  <c r="K125" i="58"/>
  <c r="Q162" i="58"/>
  <c r="O143" i="58"/>
  <c r="K141" i="58"/>
  <c r="Q157" i="58"/>
  <c r="J163" i="58"/>
  <c r="M175" i="58"/>
  <c r="O179" i="58"/>
  <c r="O125" i="60"/>
  <c r="L127" i="60"/>
  <c r="J129" i="60"/>
  <c r="N124" i="61"/>
  <c r="M91" i="54"/>
  <c r="M95" i="54"/>
  <c r="J103" i="54"/>
  <c r="C103" i="54"/>
  <c r="L103" i="54"/>
  <c r="H107" i="54"/>
  <c r="N107" i="54"/>
  <c r="P71" i="55"/>
  <c r="I71" i="55"/>
  <c r="L71" i="55" s="1"/>
  <c r="O79" i="55"/>
  <c r="O100" i="55"/>
  <c r="N83" i="55"/>
  <c r="M91" i="55"/>
  <c r="L88" i="55"/>
  <c r="Q100" i="55"/>
  <c r="P101" i="55"/>
  <c r="N102" i="55"/>
  <c r="I91" i="55"/>
  <c r="L91" i="55" s="1"/>
  <c r="M95" i="55"/>
  <c r="J107" i="55"/>
  <c r="N119" i="55"/>
  <c r="K98" i="56"/>
  <c r="N107" i="56"/>
  <c r="M126" i="56"/>
  <c r="Q127" i="56"/>
  <c r="P128" i="56"/>
  <c r="M130" i="56"/>
  <c r="Q132" i="56"/>
  <c r="M135" i="56"/>
  <c r="J133" i="56"/>
  <c r="L135" i="56"/>
  <c r="L142" i="56"/>
  <c r="L150" i="56"/>
  <c r="N130" i="57"/>
  <c r="K135" i="57"/>
  <c r="K137" i="57"/>
  <c r="Q155" i="57"/>
  <c r="M171" i="57"/>
  <c r="M187" i="57"/>
  <c r="L119" i="58"/>
  <c r="L130" i="58"/>
  <c r="P151" i="58"/>
  <c r="H143" i="58"/>
  <c r="K143" i="58" s="1"/>
  <c r="M155" i="58"/>
  <c r="O162" i="58"/>
  <c r="M147" i="58"/>
  <c r="N175" i="58"/>
  <c r="J125" i="60"/>
  <c r="Q139" i="60"/>
  <c r="M156" i="60"/>
  <c r="M182" i="60"/>
  <c r="I79" i="55"/>
  <c r="L79" i="55" s="1"/>
  <c r="P79" i="55"/>
  <c r="N99" i="55"/>
  <c r="O102" i="55"/>
  <c r="O105" i="55"/>
  <c r="N106" i="55"/>
  <c r="K105" i="55"/>
  <c r="J115" i="55"/>
  <c r="Q130" i="56"/>
  <c r="N126" i="56"/>
  <c r="O129" i="56"/>
  <c r="N130" i="56"/>
  <c r="J148" i="56"/>
  <c r="M164" i="56"/>
  <c r="L164" i="56"/>
  <c r="O126" i="57"/>
  <c r="M149" i="57"/>
  <c r="M150" i="57"/>
  <c r="M151" i="57"/>
  <c r="M152" i="57"/>
  <c r="M153" i="57"/>
  <c r="O158" i="57"/>
  <c r="N159" i="57"/>
  <c r="J171" i="57"/>
  <c r="B187" i="57"/>
  <c r="H187" i="57"/>
  <c r="M127" i="58"/>
  <c r="N131" i="58"/>
  <c r="O131" i="58"/>
  <c r="P153" i="58"/>
  <c r="N155" i="58"/>
  <c r="M157" i="58"/>
  <c r="M158" i="58"/>
  <c r="P162" i="58"/>
  <c r="J159" i="58"/>
  <c r="H175" i="58"/>
  <c r="K175" i="58" s="1"/>
  <c r="M192" i="58"/>
  <c r="L192" i="58"/>
  <c r="N129" i="60"/>
  <c r="N155" i="60"/>
  <c r="O99" i="55"/>
  <c r="M100" i="55"/>
  <c r="P102" i="55"/>
  <c r="O106" i="55"/>
  <c r="N126" i="57"/>
  <c r="O159" i="57"/>
  <c r="N127" i="58"/>
  <c r="P154" i="58"/>
  <c r="N158" i="58"/>
  <c r="O156" i="60"/>
  <c r="H171" i="60"/>
  <c r="K171" i="60" s="1"/>
  <c r="K170" i="60"/>
  <c r="N150" i="61"/>
  <c r="B107" i="54"/>
  <c r="K107" i="54"/>
  <c r="Q99" i="55"/>
  <c r="L70" i="55"/>
  <c r="L75" i="55"/>
  <c r="Q83" i="55"/>
  <c r="I83" i="55"/>
  <c r="L83" i="55" s="1"/>
  <c r="P99" i="55"/>
  <c r="M101" i="55"/>
  <c r="L90" i="55"/>
  <c r="Q102" i="55"/>
  <c r="I103" i="56"/>
  <c r="O127" i="56"/>
  <c r="Q107" i="56"/>
  <c r="I107" i="56"/>
  <c r="L107" i="56" s="1"/>
  <c r="P107" i="56"/>
  <c r="H118" i="56"/>
  <c r="K118" i="56" s="1"/>
  <c r="P118" i="56"/>
  <c r="M128" i="56"/>
  <c r="Q129" i="56"/>
  <c r="P130" i="56"/>
  <c r="N132" i="56"/>
  <c r="O118" i="56"/>
  <c r="O136" i="56"/>
  <c r="M148" i="56"/>
  <c r="O148" i="56"/>
  <c r="B164" i="56"/>
  <c r="H164" i="56"/>
  <c r="N164" i="56"/>
  <c r="I126" i="57"/>
  <c r="L126" i="57" s="1"/>
  <c r="N151" i="57"/>
  <c r="K123" i="57"/>
  <c r="Q130" i="57"/>
  <c r="O149" i="57"/>
  <c r="O150" i="57"/>
  <c r="O151" i="57"/>
  <c r="O152" i="57"/>
  <c r="N155" i="57"/>
  <c r="O141" i="57"/>
  <c r="I156" i="57"/>
  <c r="L156" i="57" s="1"/>
  <c r="J160" i="57"/>
  <c r="N171" i="57"/>
  <c r="J175" i="57"/>
  <c r="N175" i="57"/>
  <c r="D187" i="57"/>
  <c r="J187" i="57"/>
  <c r="O127" i="58"/>
  <c r="K123" i="58"/>
  <c r="P131" i="58"/>
  <c r="M143" i="58"/>
  <c r="O157" i="58"/>
  <c r="L152" i="58"/>
  <c r="M179" i="58"/>
  <c r="C192" i="58"/>
  <c r="I192" i="58"/>
  <c r="B192" i="58"/>
  <c r="H192" i="58"/>
  <c r="C196" i="58"/>
  <c r="L196" i="58"/>
  <c r="M125" i="60"/>
  <c r="P129" i="60"/>
  <c r="Q148" i="60"/>
  <c r="P149" i="60"/>
  <c r="P150" i="60"/>
  <c r="O151" i="60"/>
  <c r="N139" i="60"/>
  <c r="N167" i="60"/>
  <c r="N146" i="61"/>
  <c r="O129" i="60"/>
  <c r="J139" i="60"/>
  <c r="M150" i="60"/>
  <c r="P155" i="60"/>
  <c r="L186" i="60"/>
  <c r="O138" i="61"/>
  <c r="Q149" i="61"/>
  <c r="N151" i="61"/>
  <c r="M142" i="61"/>
  <c r="Q155" i="61"/>
  <c r="H156" i="61"/>
  <c r="K156" i="61" s="1"/>
  <c r="N166" i="61"/>
  <c r="L181" i="61"/>
  <c r="D181" i="62"/>
  <c r="J181" i="62"/>
  <c r="I124" i="63"/>
  <c r="H152" i="63"/>
  <c r="M170" i="63"/>
  <c r="N124" i="64"/>
  <c r="J122" i="64"/>
  <c r="M146" i="64"/>
  <c r="J136" i="64"/>
  <c r="N151" i="64"/>
  <c r="M155" i="64"/>
  <c r="J160" i="64"/>
  <c r="H170" i="68"/>
  <c r="K170" i="68" s="1"/>
  <c r="K168" i="68"/>
  <c r="P152" i="60"/>
  <c r="Q155" i="60"/>
  <c r="M151" i="61"/>
  <c r="I138" i="61"/>
  <c r="P150" i="61"/>
  <c r="O151" i="61"/>
  <c r="N154" i="61"/>
  <c r="O166" i="61"/>
  <c r="M166" i="61"/>
  <c r="M181" i="61"/>
  <c r="O147" i="62"/>
  <c r="O148" i="62"/>
  <c r="N150" i="62"/>
  <c r="N151" i="62"/>
  <c r="L140" i="62"/>
  <c r="M155" i="62"/>
  <c r="H152" i="62"/>
  <c r="K152" i="62" s="1"/>
  <c r="K155" i="62"/>
  <c r="K181" i="62"/>
  <c r="D185" i="62"/>
  <c r="M185" i="62"/>
  <c r="J124" i="63"/>
  <c r="P124" i="63"/>
  <c r="N146" i="63"/>
  <c r="N147" i="63"/>
  <c r="N149" i="63"/>
  <c r="M150" i="63"/>
  <c r="L137" i="63"/>
  <c r="M151" i="63"/>
  <c r="K140" i="63"/>
  <c r="I152" i="63"/>
  <c r="K149" i="63"/>
  <c r="O166" i="63"/>
  <c r="N166" i="63"/>
  <c r="L181" i="63"/>
  <c r="M147" i="64"/>
  <c r="L149" i="64"/>
  <c r="G152" i="64"/>
  <c r="I170" i="64"/>
  <c r="H124" i="68"/>
  <c r="O124" i="68"/>
  <c r="K126" i="68"/>
  <c r="L146" i="68"/>
  <c r="O150" i="68"/>
  <c r="O151" i="68"/>
  <c r="O154" i="68"/>
  <c r="H156" i="68"/>
  <c r="I166" i="68"/>
  <c r="O128" i="74"/>
  <c r="N151" i="60"/>
  <c r="Q152" i="60"/>
  <c r="I157" i="60"/>
  <c r="L182" i="60"/>
  <c r="Q124" i="61"/>
  <c r="Q138" i="61"/>
  <c r="M148" i="61"/>
  <c r="Q150" i="61"/>
  <c r="O154" i="61"/>
  <c r="H142" i="61"/>
  <c r="K142" i="61" s="1"/>
  <c r="H166" i="61"/>
  <c r="K166" i="61" s="1"/>
  <c r="B181" i="61"/>
  <c r="H181" i="61"/>
  <c r="H128" i="62"/>
  <c r="K128" i="62" s="1"/>
  <c r="I138" i="62"/>
  <c r="Q138" i="62"/>
  <c r="P148" i="62"/>
  <c r="O150" i="62"/>
  <c r="O151" i="62"/>
  <c r="N154" i="62"/>
  <c r="N155" i="62"/>
  <c r="Q142" i="62"/>
  <c r="I152" i="62"/>
  <c r="K149" i="62"/>
  <c r="N166" i="62"/>
  <c r="L181" i="62"/>
  <c r="K118" i="63"/>
  <c r="Q124" i="63"/>
  <c r="J128" i="63"/>
  <c r="O146" i="63"/>
  <c r="O147" i="63"/>
  <c r="N150" i="63"/>
  <c r="N151" i="63"/>
  <c r="J170" i="63"/>
  <c r="M181" i="63"/>
  <c r="P124" i="64"/>
  <c r="I128" i="64"/>
  <c r="G138" i="64"/>
  <c r="O146" i="64"/>
  <c r="M149" i="64"/>
  <c r="L150" i="64"/>
  <c r="P151" i="64"/>
  <c r="H142" i="64"/>
  <c r="O155" i="64"/>
  <c r="M166" i="64"/>
  <c r="K168" i="64"/>
  <c r="M146" i="68"/>
  <c r="M147" i="68"/>
  <c r="L149" i="68"/>
  <c r="P150" i="68"/>
  <c r="P151" i="68"/>
  <c r="P154" i="68"/>
  <c r="P155" i="68"/>
  <c r="B186" i="60"/>
  <c r="Q151" i="61"/>
  <c r="P154" i="61"/>
  <c r="C181" i="61"/>
  <c r="I181" i="61"/>
  <c r="Q147" i="62"/>
  <c r="Q149" i="62"/>
  <c r="P150" i="62"/>
  <c r="P151" i="62"/>
  <c r="O154" i="62"/>
  <c r="O155" i="62"/>
  <c r="P147" i="63"/>
  <c r="P146" i="64"/>
  <c r="O147" i="64"/>
  <c r="N149" i="64"/>
  <c r="M150" i="64"/>
  <c r="P154" i="64"/>
  <c r="N146" i="68"/>
  <c r="N147" i="68"/>
  <c r="M149" i="68"/>
  <c r="O128" i="72"/>
  <c r="M129" i="60"/>
  <c r="M148" i="60"/>
  <c r="M152" i="60"/>
  <c r="H139" i="60"/>
  <c r="K139" i="60" s="1"/>
  <c r="I153" i="60"/>
  <c r="L153" i="60" s="1"/>
  <c r="O167" i="60"/>
  <c r="B182" i="60"/>
  <c r="H182" i="60"/>
  <c r="M124" i="61"/>
  <c r="J138" i="61"/>
  <c r="Q147" i="61"/>
  <c r="M150" i="61"/>
  <c r="J152" i="61"/>
  <c r="Q148" i="61"/>
  <c r="I156" i="61"/>
  <c r="J166" i="61"/>
  <c r="N170" i="61"/>
  <c r="D181" i="61"/>
  <c r="J181" i="61"/>
  <c r="C185" i="61"/>
  <c r="L185" i="61"/>
  <c r="N124" i="62"/>
  <c r="J128" i="62"/>
  <c r="L132" i="62"/>
  <c r="Q150" i="62"/>
  <c r="Q151" i="62"/>
  <c r="P154" i="62"/>
  <c r="P155" i="62"/>
  <c r="L146" i="62"/>
  <c r="I156" i="62"/>
  <c r="I166" i="62"/>
  <c r="L166" i="62" s="1"/>
  <c r="N170" i="62"/>
  <c r="B181" i="62"/>
  <c r="H181" i="62"/>
  <c r="J185" i="62"/>
  <c r="M124" i="63"/>
  <c r="O151" i="63"/>
  <c r="N154" i="63"/>
  <c r="K132" i="63"/>
  <c r="I138" i="63"/>
  <c r="Q138" i="63"/>
  <c r="Q147" i="63"/>
  <c r="Q149" i="63"/>
  <c r="P150" i="63"/>
  <c r="P151" i="63"/>
  <c r="O154" i="63"/>
  <c r="O155" i="63"/>
  <c r="J152" i="63"/>
  <c r="L124" i="64"/>
  <c r="J120" i="64"/>
  <c r="I138" i="64"/>
  <c r="P147" i="64"/>
  <c r="O148" i="64"/>
  <c r="L151" i="64"/>
  <c r="K140" i="64"/>
  <c r="J141" i="64"/>
  <c r="M170" i="64"/>
  <c r="H184" i="64"/>
  <c r="L124" i="68"/>
  <c r="G138" i="68"/>
  <c r="J132" i="68"/>
  <c r="O147" i="68"/>
  <c r="N148" i="68"/>
  <c r="L151" i="68"/>
  <c r="K140" i="68"/>
  <c r="L155" i="68"/>
  <c r="P159" i="70"/>
  <c r="D185" i="61"/>
  <c r="M185" i="61"/>
  <c r="L126" i="62"/>
  <c r="K127" i="62"/>
  <c r="L134" i="62"/>
  <c r="M149" i="62"/>
  <c r="I142" i="62"/>
  <c r="J166" i="62"/>
  <c r="B185" i="62"/>
  <c r="K134" i="63"/>
  <c r="Q150" i="63"/>
  <c r="P155" i="63"/>
  <c r="L185" i="63"/>
  <c r="L146" i="64"/>
  <c r="J134" i="64"/>
  <c r="P148" i="64"/>
  <c r="O150" i="64"/>
  <c r="O154" i="64"/>
  <c r="L166" i="64"/>
  <c r="N170" i="64"/>
  <c r="C184" i="64"/>
  <c r="L184" i="64"/>
  <c r="P146" i="68"/>
  <c r="M150" i="68"/>
  <c r="M151" i="68"/>
  <c r="M155" i="68"/>
  <c r="G152" i="68"/>
  <c r="G166" i="68"/>
  <c r="J166" i="68" s="1"/>
  <c r="N166" i="68"/>
  <c r="L160" i="70"/>
  <c r="N93" i="74"/>
  <c r="N98" i="74"/>
  <c r="O123" i="74"/>
  <c r="I128" i="74"/>
  <c r="M123" i="75"/>
  <c r="N148" i="69"/>
  <c r="O153" i="69"/>
  <c r="O154" i="69"/>
  <c r="M158" i="69"/>
  <c r="M170" i="69"/>
  <c r="N155" i="70"/>
  <c r="O140" i="70"/>
  <c r="L151" i="70"/>
  <c r="O155" i="70"/>
  <c r="G156" i="70"/>
  <c r="I172" i="70"/>
  <c r="G177" i="70"/>
  <c r="J177" i="70" s="1"/>
  <c r="M177" i="70"/>
  <c r="H177" i="70"/>
  <c r="K177" i="70" s="1"/>
  <c r="N177" i="70"/>
  <c r="G187" i="70"/>
  <c r="C192" i="70"/>
  <c r="J192" i="70"/>
  <c r="O78" i="72"/>
  <c r="I93" i="72"/>
  <c r="I108" i="72"/>
  <c r="N113" i="72"/>
  <c r="O138" i="72"/>
  <c r="H143" i="72"/>
  <c r="K143" i="72" s="1"/>
  <c r="O83" i="74"/>
  <c r="M93" i="74"/>
  <c r="G108" i="74"/>
  <c r="H108" i="74"/>
  <c r="H152" i="74"/>
  <c r="B157" i="74"/>
  <c r="H157" i="74"/>
  <c r="L78" i="75"/>
  <c r="O93" i="75"/>
  <c r="H152" i="75"/>
  <c r="K157" i="75"/>
  <c r="L93" i="76"/>
  <c r="I128" i="76"/>
  <c r="N125" i="69"/>
  <c r="I129" i="69"/>
  <c r="G140" i="69"/>
  <c r="O148" i="69"/>
  <c r="M150" i="69"/>
  <c r="L144" i="69"/>
  <c r="H155" i="69"/>
  <c r="I155" i="69"/>
  <c r="I170" i="69"/>
  <c r="L170" i="69"/>
  <c r="P140" i="70"/>
  <c r="M151" i="70"/>
  <c r="P145" i="70"/>
  <c r="L145" i="70"/>
  <c r="N172" i="70"/>
  <c r="B187" i="70"/>
  <c r="H187" i="70"/>
  <c r="K192" i="70"/>
  <c r="N83" i="72"/>
  <c r="M93" i="72"/>
  <c r="L108" i="72"/>
  <c r="H98" i="75"/>
  <c r="P98" i="75"/>
  <c r="N108" i="75"/>
  <c r="B152" i="75"/>
  <c r="I152" i="75"/>
  <c r="L157" i="75"/>
  <c r="G78" i="76"/>
  <c r="L83" i="76"/>
  <c r="M93" i="76"/>
  <c r="N93" i="76"/>
  <c r="L166" i="68"/>
  <c r="I170" i="68"/>
  <c r="B184" i="68"/>
  <c r="K184" i="68"/>
  <c r="O125" i="69"/>
  <c r="L129" i="69"/>
  <c r="H140" i="69"/>
  <c r="P148" i="69"/>
  <c r="L149" i="69"/>
  <c r="N150" i="69"/>
  <c r="L151" i="69"/>
  <c r="M144" i="69"/>
  <c r="P124" i="70"/>
  <c r="G129" i="70"/>
  <c r="I140" i="70"/>
  <c r="N151" i="70"/>
  <c r="L153" i="70"/>
  <c r="I145" i="70"/>
  <c r="O160" i="70"/>
  <c r="I177" i="70"/>
  <c r="C187" i="70"/>
  <c r="I187" i="70"/>
  <c r="L192" i="70"/>
  <c r="I78" i="72"/>
  <c r="L78" i="72"/>
  <c r="O83" i="72"/>
  <c r="O98" i="72"/>
  <c r="N108" i="72"/>
  <c r="M78" i="74"/>
  <c r="O98" i="74"/>
  <c r="N113" i="74"/>
  <c r="M143" i="74"/>
  <c r="C152" i="74"/>
  <c r="J152" i="74"/>
  <c r="J157" i="74"/>
  <c r="N78" i="75"/>
  <c r="L83" i="75"/>
  <c r="I93" i="75"/>
  <c r="I98" i="75"/>
  <c r="M98" i="75"/>
  <c r="O108" i="75"/>
  <c r="P113" i="75"/>
  <c r="C152" i="75"/>
  <c r="J152" i="75"/>
  <c r="K132" i="76"/>
  <c r="H138" i="76"/>
  <c r="K138" i="76" s="1"/>
  <c r="P148" i="68"/>
  <c r="N150" i="68"/>
  <c r="N151" i="68"/>
  <c r="N154" i="68"/>
  <c r="N155" i="68"/>
  <c r="H152" i="68"/>
  <c r="I152" i="68"/>
  <c r="M166" i="68"/>
  <c r="C184" i="68"/>
  <c r="L184" i="68"/>
  <c r="H125" i="69"/>
  <c r="P125" i="69"/>
  <c r="M129" i="69"/>
  <c r="I140" i="69"/>
  <c r="M149" i="69"/>
  <c r="O150" i="69"/>
  <c r="M151" i="69"/>
  <c r="L153" i="69"/>
  <c r="N157" i="69"/>
  <c r="G170" i="69"/>
  <c r="J170" i="69" s="1"/>
  <c r="H174" i="69"/>
  <c r="K174" i="69" s="1"/>
  <c r="G174" i="69"/>
  <c r="J174" i="69" s="1"/>
  <c r="G189" i="69"/>
  <c r="P153" i="70"/>
  <c r="N127" i="70"/>
  <c r="N129" i="70" s="1"/>
  <c r="L149" i="70"/>
  <c r="L155" i="70"/>
  <c r="L140" i="70"/>
  <c r="L158" i="70"/>
  <c r="P160" i="70"/>
  <c r="O149" i="70"/>
  <c r="J174" i="70"/>
  <c r="K175" i="70"/>
  <c r="J187" i="70"/>
  <c r="G192" i="70"/>
  <c r="M192" i="70"/>
  <c r="H83" i="72"/>
  <c r="P83" i="72"/>
  <c r="N93" i="72"/>
  <c r="P98" i="72"/>
  <c r="L98" i="72"/>
  <c r="P113" i="72"/>
  <c r="I113" i="72"/>
  <c r="O123" i="72"/>
  <c r="L143" i="72"/>
  <c r="N78" i="74"/>
  <c r="P78" i="74"/>
  <c r="P83" i="74"/>
  <c r="O93" i="74"/>
  <c r="L93" i="74"/>
  <c r="P98" i="74"/>
  <c r="L98" i="74"/>
  <c r="L108" i="74"/>
  <c r="G113" i="74"/>
  <c r="O138" i="74"/>
  <c r="G138" i="74"/>
  <c r="J138" i="74" s="1"/>
  <c r="N143" i="74"/>
  <c r="K152" i="74"/>
  <c r="K157" i="74"/>
  <c r="O78" i="75"/>
  <c r="P78" i="75"/>
  <c r="M83" i="75"/>
  <c r="O83" i="75"/>
  <c r="P108" i="75"/>
  <c r="I113" i="75"/>
  <c r="L113" i="75"/>
  <c r="O128" i="75"/>
  <c r="G184" i="68"/>
  <c r="J184" i="68"/>
  <c r="I125" i="69"/>
  <c r="M125" i="69"/>
  <c r="L148" i="69"/>
  <c r="N140" i="69"/>
  <c r="P150" i="69"/>
  <c r="N151" i="69"/>
  <c r="M154" i="69"/>
  <c r="I159" i="69"/>
  <c r="I174" i="69"/>
  <c r="I124" i="70"/>
  <c r="M149" i="70"/>
  <c r="O150" i="70"/>
  <c r="N153" i="70"/>
  <c r="M154" i="70"/>
  <c r="L152" i="70"/>
  <c r="O153" i="70"/>
  <c r="G172" i="70"/>
  <c r="J172" i="70" s="1"/>
  <c r="M172" i="70"/>
  <c r="L177" i="70"/>
  <c r="K187" i="70"/>
  <c r="H192" i="70"/>
  <c r="M78" i="72"/>
  <c r="I83" i="72"/>
  <c r="L83" i="72"/>
  <c r="O93" i="72"/>
  <c r="I98" i="72"/>
  <c r="M98" i="72"/>
  <c r="O108" i="72"/>
  <c r="G123" i="72"/>
  <c r="G128" i="72"/>
  <c r="I128" i="72"/>
  <c r="M138" i="72"/>
  <c r="M143" i="72"/>
  <c r="I83" i="74"/>
  <c r="H93" i="74"/>
  <c r="I98" i="74"/>
  <c r="M98" i="74"/>
  <c r="M108" i="74"/>
  <c r="N108" i="74"/>
  <c r="H128" i="74"/>
  <c r="H143" i="74"/>
  <c r="K143" i="74" s="1"/>
  <c r="O143" i="74"/>
  <c r="L152" i="74"/>
  <c r="L157" i="74"/>
  <c r="H78" i="75"/>
  <c r="N83" i="75"/>
  <c r="P83" i="75"/>
  <c r="M93" i="75"/>
  <c r="I108" i="75"/>
  <c r="L108" i="75"/>
  <c r="M113" i="75"/>
  <c r="N126" i="75"/>
  <c r="N128" i="75" s="1"/>
  <c r="I138" i="75"/>
  <c r="K140" i="75"/>
  <c r="I98" i="76"/>
  <c r="P108" i="76"/>
  <c r="M138" i="75"/>
  <c r="L152" i="75"/>
  <c r="B157" i="75"/>
  <c r="L78" i="76"/>
  <c r="H93" i="76"/>
  <c r="H98" i="76"/>
  <c r="O108" i="76"/>
  <c r="L113" i="76"/>
  <c r="P128" i="76"/>
  <c r="N123" i="76"/>
  <c r="N128" i="76"/>
  <c r="L138" i="76"/>
  <c r="L152" i="76"/>
  <c r="N82" i="79"/>
  <c r="P92" i="79"/>
  <c r="L96" i="79"/>
  <c r="I106" i="79"/>
  <c r="M110" i="79"/>
  <c r="I134" i="79"/>
  <c r="G148" i="79"/>
  <c r="I78" i="80"/>
  <c r="N83" i="80"/>
  <c r="L93" i="80"/>
  <c r="I108" i="80"/>
  <c r="L113" i="80"/>
  <c r="H123" i="80"/>
  <c r="P123" i="80"/>
  <c r="G138" i="80"/>
  <c r="O143" i="80"/>
  <c r="P141" i="80"/>
  <c r="I158" i="80"/>
  <c r="C167" i="80"/>
  <c r="J167" i="80"/>
  <c r="M79" i="82"/>
  <c r="N79" i="82"/>
  <c r="L84" i="82"/>
  <c r="N100" i="82"/>
  <c r="P100" i="82"/>
  <c r="P116" i="82"/>
  <c r="I116" i="82"/>
  <c r="M127" i="82"/>
  <c r="M132" i="82"/>
  <c r="G143" i="82"/>
  <c r="O143" i="82"/>
  <c r="H164" i="82"/>
  <c r="K164" i="82" s="1"/>
  <c r="I80" i="83"/>
  <c r="L80" i="83"/>
  <c r="I85" i="83"/>
  <c r="L85" i="83"/>
  <c r="O96" i="83"/>
  <c r="P101" i="83"/>
  <c r="N112" i="83"/>
  <c r="P117" i="83"/>
  <c r="L117" i="83"/>
  <c r="G128" i="83"/>
  <c r="O128" i="83"/>
  <c r="G133" i="83"/>
  <c r="O133" i="83"/>
  <c r="P133" i="83"/>
  <c r="M160" i="83"/>
  <c r="N113" i="76"/>
  <c r="H123" i="76"/>
  <c r="O123" i="76"/>
  <c r="O128" i="76"/>
  <c r="I92" i="79"/>
  <c r="L106" i="79"/>
  <c r="M106" i="79"/>
  <c r="N110" i="79"/>
  <c r="G124" i="79"/>
  <c r="J124" i="79" s="1"/>
  <c r="N124" i="79"/>
  <c r="M139" i="79"/>
  <c r="P83" i="80"/>
  <c r="G98" i="80"/>
  <c r="L108" i="80"/>
  <c r="N113" i="80"/>
  <c r="H138" i="80"/>
  <c r="L143" i="80"/>
  <c r="I153" i="80"/>
  <c r="L158" i="80"/>
  <c r="K167" i="80"/>
  <c r="M95" i="82"/>
  <c r="H143" i="82"/>
  <c r="I164" i="82"/>
  <c r="H96" i="83"/>
  <c r="G101" i="83"/>
  <c r="I101" i="83"/>
  <c r="M112" i="83"/>
  <c r="I117" i="83"/>
  <c r="M117" i="83"/>
  <c r="H128" i="83"/>
  <c r="P128" i="83"/>
  <c r="L128" i="83"/>
  <c r="N144" i="83"/>
  <c r="P144" i="83"/>
  <c r="I149" i="83"/>
  <c r="N160" i="83"/>
  <c r="I80" i="84"/>
  <c r="I108" i="76"/>
  <c r="O113" i="76"/>
  <c r="I123" i="76"/>
  <c r="P123" i="76"/>
  <c r="G138" i="76"/>
  <c r="J138" i="76" s="1"/>
  <c r="N138" i="76"/>
  <c r="H152" i="76"/>
  <c r="B157" i="76"/>
  <c r="H157" i="76"/>
  <c r="G78" i="79"/>
  <c r="O78" i="79"/>
  <c r="H82" i="79"/>
  <c r="P82" i="79"/>
  <c r="N106" i="79"/>
  <c r="G110" i="79"/>
  <c r="O110" i="79"/>
  <c r="L120" i="79"/>
  <c r="M108" i="80"/>
  <c r="L123" i="80"/>
  <c r="N128" i="80"/>
  <c r="G79" i="82"/>
  <c r="H79" i="82"/>
  <c r="N95" i="82"/>
  <c r="G127" i="82"/>
  <c r="O127" i="82"/>
  <c r="G132" i="82"/>
  <c r="I143" i="82"/>
  <c r="M80" i="83"/>
  <c r="I96" i="83"/>
  <c r="I128" i="83"/>
  <c r="L133" i="83"/>
  <c r="O144" i="83"/>
  <c r="J160" i="83"/>
  <c r="M85" i="84"/>
  <c r="M101" i="84"/>
  <c r="O148" i="82"/>
  <c r="L101" i="84"/>
  <c r="L153" i="88"/>
  <c r="G157" i="75"/>
  <c r="M157" i="75"/>
  <c r="P78" i="76"/>
  <c r="M83" i="76"/>
  <c r="L98" i="76"/>
  <c r="N98" i="76"/>
  <c r="L108" i="76"/>
  <c r="I138" i="76"/>
  <c r="I143" i="76"/>
  <c r="C152" i="76"/>
  <c r="J152" i="76"/>
  <c r="I78" i="79"/>
  <c r="L78" i="79"/>
  <c r="M92" i="79"/>
  <c r="P96" i="79"/>
  <c r="O106" i="79"/>
  <c r="H106" i="79"/>
  <c r="J109" i="79"/>
  <c r="K122" i="79"/>
  <c r="J122" i="79"/>
  <c r="G134" i="79"/>
  <c r="J134" i="79" s="1"/>
  <c r="N134" i="79"/>
  <c r="K148" i="79"/>
  <c r="L153" i="79"/>
  <c r="O78" i="80"/>
  <c r="H93" i="80"/>
  <c r="P93" i="80"/>
  <c r="I98" i="80"/>
  <c r="G108" i="80"/>
  <c r="O108" i="80"/>
  <c r="P113" i="80"/>
  <c r="N123" i="80"/>
  <c r="G128" i="80"/>
  <c r="H128" i="80"/>
  <c r="O138" i="80"/>
  <c r="G143" i="80"/>
  <c r="N153" i="80"/>
  <c r="O158" i="80"/>
  <c r="H167" i="80"/>
  <c r="P95" i="82"/>
  <c r="O116" i="82"/>
  <c r="I127" i="82"/>
  <c r="H132" i="82"/>
  <c r="P132" i="82"/>
  <c r="M143" i="82"/>
  <c r="H148" i="82"/>
  <c r="N164" i="82"/>
  <c r="J174" i="82"/>
  <c r="G80" i="83"/>
  <c r="O80" i="83"/>
  <c r="G85" i="83"/>
  <c r="O85" i="83"/>
  <c r="P85" i="83"/>
  <c r="M96" i="83"/>
  <c r="L101" i="83"/>
  <c r="N101" i="83"/>
  <c r="P112" i="83"/>
  <c r="H117" i="83"/>
  <c r="M128" i="83"/>
  <c r="M133" i="83"/>
  <c r="I144" i="83"/>
  <c r="L175" i="83"/>
  <c r="C180" i="83"/>
  <c r="I180" i="83"/>
  <c r="N80" i="84"/>
  <c r="L138" i="75"/>
  <c r="K152" i="75"/>
  <c r="H157" i="75"/>
  <c r="O83" i="76"/>
  <c r="G93" i="76"/>
  <c r="M98" i="76"/>
  <c r="O98" i="76"/>
  <c r="M108" i="76"/>
  <c r="N108" i="76"/>
  <c r="J132" i="76"/>
  <c r="L143" i="76"/>
  <c r="M143" i="76"/>
  <c r="K157" i="76"/>
  <c r="N92" i="79"/>
  <c r="O92" i="79"/>
  <c r="P106" i="79"/>
  <c r="I120" i="79"/>
  <c r="L124" i="79"/>
  <c r="H134" i="79"/>
  <c r="K134" i="79" s="1"/>
  <c r="O134" i="79"/>
  <c r="L148" i="79"/>
  <c r="G153" i="79"/>
  <c r="M153" i="79"/>
  <c r="P78" i="80"/>
  <c r="M83" i="80"/>
  <c r="I93" i="80"/>
  <c r="L98" i="80"/>
  <c r="M98" i="80"/>
  <c r="P108" i="80"/>
  <c r="I113" i="80"/>
  <c r="G123" i="80"/>
  <c r="P128" i="80"/>
  <c r="I128" i="80"/>
  <c r="I143" i="80"/>
  <c r="G153" i="80"/>
  <c r="J153" i="80" s="1"/>
  <c r="O153" i="80"/>
  <c r="B167" i="80"/>
  <c r="I167" i="80"/>
  <c r="L79" i="82"/>
  <c r="H84" i="82"/>
  <c r="P84" i="82"/>
  <c r="I95" i="82"/>
  <c r="L95" i="82"/>
  <c r="M100" i="82"/>
  <c r="I111" i="82"/>
  <c r="G116" i="82"/>
  <c r="N127" i="82"/>
  <c r="I132" i="82"/>
  <c r="L132" i="82"/>
  <c r="N143" i="82"/>
  <c r="I148" i="82"/>
  <c r="O164" i="82"/>
  <c r="K174" i="82"/>
  <c r="H80" i="83"/>
  <c r="P80" i="83"/>
  <c r="H85" i="83"/>
  <c r="N96" i="83"/>
  <c r="P96" i="83"/>
  <c r="M101" i="83"/>
  <c r="O101" i="83"/>
  <c r="I112" i="83"/>
  <c r="O117" i="83"/>
  <c r="N128" i="83"/>
  <c r="M144" i="83"/>
  <c r="O149" i="83"/>
  <c r="B175" i="83"/>
  <c r="H175" i="83"/>
  <c r="P80" i="84"/>
  <c r="H85" i="84"/>
  <c r="P85" i="84"/>
  <c r="I85" i="84"/>
  <c r="N96" i="84"/>
  <c r="L112" i="84"/>
  <c r="L128" i="84"/>
  <c r="G133" i="84"/>
  <c r="I133" i="84"/>
  <c r="N144" i="84"/>
  <c r="P149" i="84"/>
  <c r="M147" i="84"/>
  <c r="M149" i="84" s="1"/>
  <c r="G175" i="84"/>
  <c r="M175" i="84"/>
  <c r="I79" i="85"/>
  <c r="N84" i="85"/>
  <c r="H95" i="85"/>
  <c r="P95" i="85"/>
  <c r="G100" i="85"/>
  <c r="I100" i="85"/>
  <c r="M111" i="85"/>
  <c r="G116" i="85"/>
  <c r="L127" i="85"/>
  <c r="I132" i="85"/>
  <c r="H143" i="85"/>
  <c r="P143" i="85"/>
  <c r="L143" i="85"/>
  <c r="K159" i="85"/>
  <c r="O159" i="85"/>
  <c r="N79" i="87"/>
  <c r="L84" i="87"/>
  <c r="M84" i="87"/>
  <c r="P95" i="87"/>
  <c r="I100" i="87"/>
  <c r="M100" i="87"/>
  <c r="H111" i="87"/>
  <c r="P111" i="87"/>
  <c r="P127" i="87"/>
  <c r="G132" i="87"/>
  <c r="G143" i="87"/>
  <c r="O143" i="87"/>
  <c r="I148" i="87"/>
  <c r="J152" i="87"/>
  <c r="J159" i="87" s="1"/>
  <c r="M164" i="87"/>
  <c r="L80" i="88"/>
  <c r="I85" i="88"/>
  <c r="G97" i="88"/>
  <c r="O97" i="88"/>
  <c r="M102" i="88"/>
  <c r="O119" i="88"/>
  <c r="H136" i="88"/>
  <c r="P136" i="88"/>
  <c r="M148" i="88"/>
  <c r="G153" i="88"/>
  <c r="H153" i="88"/>
  <c r="H165" i="88"/>
  <c r="I170" i="88"/>
  <c r="I165" i="83"/>
  <c r="I175" i="83"/>
  <c r="L80" i="84"/>
  <c r="O96" i="84"/>
  <c r="O101" i="84"/>
  <c r="G117" i="84"/>
  <c r="H133" i="84"/>
  <c r="P133" i="84"/>
  <c r="H175" i="84"/>
  <c r="L79" i="85"/>
  <c r="I95" i="85"/>
  <c r="H100" i="85"/>
  <c r="N111" i="85"/>
  <c r="H116" i="85"/>
  <c r="M127" i="85"/>
  <c r="I143" i="85"/>
  <c r="I159" i="85"/>
  <c r="G79" i="87"/>
  <c r="I95" i="87"/>
  <c r="L100" i="87"/>
  <c r="I111" i="87"/>
  <c r="N116" i="87"/>
  <c r="N132" i="87"/>
  <c r="L159" i="87"/>
  <c r="N164" i="87"/>
  <c r="J174" i="87"/>
  <c r="G85" i="88"/>
  <c r="H97" i="88"/>
  <c r="P97" i="88"/>
  <c r="I102" i="88"/>
  <c r="I114" i="88"/>
  <c r="O114" i="88"/>
  <c r="H119" i="88"/>
  <c r="O131" i="88"/>
  <c r="L170" i="88"/>
  <c r="G181" i="88"/>
  <c r="M181" i="88"/>
  <c r="B181" i="88"/>
  <c r="G160" i="84"/>
  <c r="H79" i="87"/>
  <c r="P79" i="87"/>
  <c r="N84" i="87"/>
  <c r="G84" i="87"/>
  <c r="O84" i="87"/>
  <c r="L95" i="87"/>
  <c r="G100" i="87"/>
  <c r="L111" i="87"/>
  <c r="M127" i="87"/>
  <c r="L127" i="87"/>
  <c r="P148" i="87"/>
  <c r="H159" i="87"/>
  <c r="O164" i="87"/>
  <c r="K174" i="87"/>
  <c r="I97" i="88"/>
  <c r="L114" i="88"/>
  <c r="N131" i="88"/>
  <c r="L136" i="88"/>
  <c r="I153" i="88"/>
  <c r="O165" i="88"/>
  <c r="M170" i="88"/>
  <c r="H181" i="88"/>
  <c r="P117" i="84"/>
  <c r="L160" i="84"/>
  <c r="O165" i="84"/>
  <c r="J175" i="84"/>
  <c r="P84" i="85"/>
  <c r="I117" i="84"/>
  <c r="L117" i="84"/>
  <c r="M133" i="84"/>
  <c r="O133" i="84"/>
  <c r="L144" i="84"/>
  <c r="I165" i="84"/>
  <c r="K175" i="84"/>
  <c r="O79" i="85"/>
  <c r="I84" i="85"/>
  <c r="L84" i="85"/>
  <c r="N95" i="85"/>
  <c r="M100" i="85"/>
  <c r="O100" i="85"/>
  <c r="I111" i="85"/>
  <c r="I116" i="85"/>
  <c r="M116" i="85"/>
  <c r="H127" i="85"/>
  <c r="P127" i="85"/>
  <c r="G132" i="85"/>
  <c r="O132" i="85"/>
  <c r="N143" i="85"/>
  <c r="M159" i="85"/>
  <c r="M164" i="85"/>
  <c r="K174" i="85"/>
  <c r="L79" i="87"/>
  <c r="H84" i="87"/>
  <c r="P84" i="87"/>
  <c r="I84" i="87"/>
  <c r="N95" i="87"/>
  <c r="G127" i="87"/>
  <c r="G174" i="87"/>
  <c r="M174" i="87"/>
  <c r="I80" i="88"/>
  <c r="O80" i="88"/>
  <c r="P131" i="88"/>
  <c r="L131" i="88"/>
  <c r="N136" i="88"/>
  <c r="N165" i="88"/>
  <c r="J181" i="88"/>
  <c r="N133" i="83"/>
  <c r="L144" i="83"/>
  <c r="I160" i="83"/>
  <c r="G175" i="83"/>
  <c r="M175" i="83"/>
  <c r="J180" i="83"/>
  <c r="G85" i="84"/>
  <c r="G101" i="84"/>
  <c r="M117" i="84"/>
  <c r="P128" i="84"/>
  <c r="N133" i="84"/>
  <c r="L175" i="84"/>
  <c r="P79" i="85"/>
  <c r="M84" i="85"/>
  <c r="G95" i="85"/>
  <c r="O95" i="85"/>
  <c r="N100" i="85"/>
  <c r="P100" i="85"/>
  <c r="L111" i="85"/>
  <c r="L116" i="85"/>
  <c r="N116" i="85"/>
  <c r="I127" i="85"/>
  <c r="H132" i="85"/>
  <c r="P132" i="85"/>
  <c r="L132" i="85"/>
  <c r="O143" i="85"/>
  <c r="G159" i="85"/>
  <c r="N159" i="85"/>
  <c r="L174" i="85"/>
  <c r="M79" i="87"/>
  <c r="O95" i="87"/>
  <c r="H100" i="87"/>
  <c r="P100" i="87"/>
  <c r="G111" i="87"/>
  <c r="O111" i="87"/>
  <c r="N143" i="87"/>
  <c r="B174" i="87"/>
  <c r="H174" i="87"/>
  <c r="I174" i="87"/>
  <c r="H85" i="88"/>
  <c r="M85" i="88"/>
  <c r="N97" i="88"/>
  <c r="N119" i="88"/>
  <c r="P119" i="88"/>
  <c r="G136" i="88"/>
  <c r="O136" i="88"/>
  <c r="L148" i="88"/>
  <c r="N153" i="88"/>
  <c r="G165" i="88"/>
  <c r="K181" i="88"/>
  <c r="B123" i="2"/>
  <c r="C28" i="9"/>
  <c r="C30" i="9" s="1"/>
  <c r="E55" i="9"/>
  <c r="G25" i="9"/>
  <c r="J19" i="9"/>
  <c r="H122" i="2"/>
  <c r="H74" i="6"/>
  <c r="I23" i="9"/>
  <c r="I37" i="9"/>
  <c r="H65" i="15"/>
  <c r="B93" i="15"/>
  <c r="H93" i="15" s="1"/>
  <c r="F115" i="17"/>
  <c r="K81" i="17"/>
  <c r="F136" i="2"/>
  <c r="I75" i="6"/>
  <c r="B95" i="7"/>
  <c r="H95" i="7" s="1"/>
  <c r="I65" i="15"/>
  <c r="F116" i="17"/>
  <c r="I119" i="17"/>
  <c r="F110" i="25"/>
  <c r="C79" i="15"/>
  <c r="I79" i="15" s="1"/>
  <c r="I78" i="15"/>
  <c r="F117" i="17"/>
  <c r="F113" i="25"/>
  <c r="J26" i="1"/>
  <c r="I61" i="7"/>
  <c r="D8" i="21"/>
  <c r="C103" i="7"/>
  <c r="I103" i="7" s="1"/>
  <c r="K103" i="15"/>
  <c r="F76" i="17"/>
  <c r="F91" i="25"/>
  <c r="G52" i="9"/>
  <c r="F114" i="6"/>
  <c r="F40" i="9"/>
  <c r="I75" i="7"/>
  <c r="E109" i="7"/>
  <c r="F118" i="17"/>
  <c r="F106" i="35"/>
  <c r="F107" i="35" s="1"/>
  <c r="G49" i="9"/>
  <c r="G15" i="9"/>
  <c r="F114" i="17"/>
  <c r="H43" i="1"/>
  <c r="I43" i="1" s="1"/>
  <c r="I50" i="1"/>
  <c r="F106" i="2"/>
  <c r="I106" i="2" s="1"/>
  <c r="C43" i="1"/>
  <c r="F47" i="1"/>
  <c r="F110" i="2"/>
  <c r="L21" i="1"/>
  <c r="E22" i="1"/>
  <c r="F22" i="1" s="1"/>
  <c r="E23" i="1"/>
  <c r="F23" i="1" s="1"/>
  <c r="I29" i="1"/>
  <c r="G36" i="1"/>
  <c r="J43" i="1"/>
  <c r="M21" i="1"/>
  <c r="E24" i="1"/>
  <c r="F34" i="1"/>
  <c r="G35" i="1"/>
  <c r="D38" i="1"/>
  <c r="K52" i="1"/>
  <c r="H104" i="2"/>
  <c r="B105" i="2"/>
  <c r="H105" i="2" s="1"/>
  <c r="I105" i="2"/>
  <c r="C131" i="2"/>
  <c r="H42" i="3"/>
  <c r="H45" i="3"/>
  <c r="L50" i="3"/>
  <c r="G69" i="3"/>
  <c r="M69" i="3"/>
  <c r="F75" i="3"/>
  <c r="C66" i="6"/>
  <c r="C67" i="6"/>
  <c r="C68" i="6"/>
  <c r="I68" i="6" s="1"/>
  <c r="C69" i="6"/>
  <c r="D7" i="9" s="1"/>
  <c r="C70" i="6"/>
  <c r="I70" i="6" s="1"/>
  <c r="E71" i="6"/>
  <c r="H71" i="6" s="1"/>
  <c r="K71" i="6"/>
  <c r="I74" i="6"/>
  <c r="N75" i="6"/>
  <c r="H83" i="6"/>
  <c r="C92" i="6"/>
  <c r="D34" i="9" s="1"/>
  <c r="J34" i="9" s="1"/>
  <c r="C93" i="6"/>
  <c r="D35" i="9" s="1"/>
  <c r="C94" i="6"/>
  <c r="D36" i="9" s="1"/>
  <c r="C95" i="6"/>
  <c r="D37" i="9" s="1"/>
  <c r="J37" i="9" s="1"/>
  <c r="C96" i="6"/>
  <c r="D38" i="9" s="1"/>
  <c r="F101" i="6"/>
  <c r="G109" i="6"/>
  <c r="H4" i="9"/>
  <c r="F5" i="9"/>
  <c r="H7" i="9"/>
  <c r="F8" i="9"/>
  <c r="F13" i="9"/>
  <c r="F28" i="9"/>
  <c r="H34" i="9"/>
  <c r="H40" i="9" s="1"/>
  <c r="F43" i="9"/>
  <c r="H58" i="7"/>
  <c r="H60" i="7"/>
  <c r="E63" i="7"/>
  <c r="H63" i="7" s="1"/>
  <c r="B86" i="7"/>
  <c r="B88" i="7"/>
  <c r="B90" i="7"/>
  <c r="M91" i="7"/>
  <c r="G95" i="7"/>
  <c r="F99" i="7"/>
  <c r="B103" i="7"/>
  <c r="H103" i="7" s="1"/>
  <c r="F108" i="7"/>
  <c r="H56" i="15"/>
  <c r="G61" i="15"/>
  <c r="H64" i="15"/>
  <c r="C70" i="15"/>
  <c r="I70" i="15" s="1"/>
  <c r="C72" i="15"/>
  <c r="C100" i="15" s="1"/>
  <c r="C74" i="15"/>
  <c r="I74" i="15" s="1"/>
  <c r="C83" i="15"/>
  <c r="I83" i="15" s="1"/>
  <c r="C85" i="15"/>
  <c r="I85" i="15" s="1"/>
  <c r="C87" i="15"/>
  <c r="I87" i="15" s="1"/>
  <c r="K89" i="15"/>
  <c r="I89" i="15" s="1"/>
  <c r="Q89" i="15"/>
  <c r="H92" i="15"/>
  <c r="G93" i="15"/>
  <c r="F97" i="15"/>
  <c r="L97" i="15"/>
  <c r="L103" i="15" s="1"/>
  <c r="J102" i="15"/>
  <c r="D5" i="21"/>
  <c r="K73" i="17"/>
  <c r="C79" i="17"/>
  <c r="B86" i="17"/>
  <c r="K86" i="17" s="1"/>
  <c r="B88" i="17"/>
  <c r="K88" i="17" s="1"/>
  <c r="B90" i="17"/>
  <c r="K90" i="17" s="1"/>
  <c r="C93" i="17"/>
  <c r="L99" i="17"/>
  <c r="B100" i="17"/>
  <c r="K100" i="17" s="1"/>
  <c r="L101" i="17"/>
  <c r="B102" i="17"/>
  <c r="K102" i="17" s="1"/>
  <c r="B104" i="17"/>
  <c r="K104" i="17" s="1"/>
  <c r="C107" i="17"/>
  <c r="D42" i="21" s="1"/>
  <c r="G114" i="17"/>
  <c r="C115" i="17"/>
  <c r="L115" i="17" s="1"/>
  <c r="I122" i="17"/>
  <c r="K116" i="19"/>
  <c r="K67" i="25"/>
  <c r="Q109" i="25"/>
  <c r="Q115" i="25" s="1"/>
  <c r="J118" i="25"/>
  <c r="P118" i="25"/>
  <c r="E91" i="25"/>
  <c r="I101" i="25"/>
  <c r="L101" i="25" s="1"/>
  <c r="H109" i="25"/>
  <c r="O109" i="25"/>
  <c r="O115" i="25" s="1"/>
  <c r="H117" i="25"/>
  <c r="Q117" i="25"/>
  <c r="Q119" i="25" s="1"/>
  <c r="H90" i="22"/>
  <c r="K90" i="22" s="1"/>
  <c r="H126" i="22"/>
  <c r="H132" i="22" s="1"/>
  <c r="N90" i="22"/>
  <c r="N126" i="22"/>
  <c r="N132" i="22" s="1"/>
  <c r="M129" i="22"/>
  <c r="J130" i="22"/>
  <c r="P130" i="22"/>
  <c r="F90" i="22"/>
  <c r="N134" i="22"/>
  <c r="N136" i="22" s="1"/>
  <c r="F135" i="22"/>
  <c r="L93" i="22"/>
  <c r="I94" i="22"/>
  <c r="Q104" i="22"/>
  <c r="K106" i="22"/>
  <c r="E126" i="22"/>
  <c r="F84" i="35"/>
  <c r="H84" i="35"/>
  <c r="K84" i="35" s="1"/>
  <c r="F87" i="35"/>
  <c r="I102" i="35"/>
  <c r="L102" i="35" s="1"/>
  <c r="H118" i="43"/>
  <c r="K118" i="43" s="1"/>
  <c r="H39" i="1"/>
  <c r="I39" i="1" s="1"/>
  <c r="H21" i="1"/>
  <c r="E25" i="1"/>
  <c r="E30" i="1"/>
  <c r="F30" i="1" s="1"/>
  <c r="G34" i="1"/>
  <c r="G21" i="1" s="1"/>
  <c r="D37" i="1"/>
  <c r="D24" i="1" s="1"/>
  <c r="M43" i="1"/>
  <c r="E52" i="1"/>
  <c r="F52" i="1" s="1"/>
  <c r="I104" i="2"/>
  <c r="J106" i="2"/>
  <c r="B109" i="2"/>
  <c r="I109" i="2"/>
  <c r="C110" i="2"/>
  <c r="H117" i="2"/>
  <c r="I118" i="2"/>
  <c r="I42" i="3"/>
  <c r="I45" i="3"/>
  <c r="J46" i="3"/>
  <c r="H49" i="3"/>
  <c r="C62" i="3"/>
  <c r="I62" i="3" s="1"/>
  <c r="G75" i="3"/>
  <c r="G76" i="3" s="1"/>
  <c r="M75" i="3"/>
  <c r="M76" i="3" s="1"/>
  <c r="F71" i="6"/>
  <c r="I71" i="6" s="1"/>
  <c r="L71" i="6"/>
  <c r="B79" i="6"/>
  <c r="I79" i="6"/>
  <c r="B80" i="6"/>
  <c r="B106" i="6" s="1"/>
  <c r="H106" i="6" s="1"/>
  <c r="B81" i="6"/>
  <c r="C21" i="9" s="1"/>
  <c r="B82" i="6"/>
  <c r="H100" i="6"/>
  <c r="F105" i="6"/>
  <c r="G8" i="9"/>
  <c r="G10" i="9" s="1"/>
  <c r="E10" i="9"/>
  <c r="E15" i="9"/>
  <c r="G28" i="9"/>
  <c r="G35" i="9"/>
  <c r="G38" i="9"/>
  <c r="B72" i="7"/>
  <c r="B74" i="7"/>
  <c r="H74" i="7" s="1"/>
  <c r="B76" i="7"/>
  <c r="H76" i="7" s="1"/>
  <c r="C86" i="7"/>
  <c r="C88" i="7"/>
  <c r="C90" i="7"/>
  <c r="I90" i="7" s="1"/>
  <c r="N91" i="7"/>
  <c r="I94" i="7"/>
  <c r="G99" i="7"/>
  <c r="N61" i="15"/>
  <c r="I64" i="15"/>
  <c r="H69" i="15"/>
  <c r="I92" i="15"/>
  <c r="C106" i="15"/>
  <c r="C107" i="15" s="1"/>
  <c r="L71" i="17"/>
  <c r="K79" i="17"/>
  <c r="C86" i="17"/>
  <c r="C88" i="17"/>
  <c r="L88" i="17" s="1"/>
  <c r="C90" i="17"/>
  <c r="L90" i="17" s="1"/>
  <c r="H91" i="17"/>
  <c r="K91" i="17" s="1"/>
  <c r="C100" i="17"/>
  <c r="L100" i="17" s="1"/>
  <c r="C102" i="17"/>
  <c r="L102" i="17" s="1"/>
  <c r="C104" i="17"/>
  <c r="L104" i="17" s="1"/>
  <c r="H105" i="17"/>
  <c r="K105" i="17" s="1"/>
  <c r="N105" i="17"/>
  <c r="K107" i="17"/>
  <c r="H117" i="17"/>
  <c r="H121" i="17"/>
  <c r="N121" i="17"/>
  <c r="N123" i="17" s="1"/>
  <c r="L116" i="19"/>
  <c r="F84" i="25"/>
  <c r="E109" i="25"/>
  <c r="E115" i="25" s="1"/>
  <c r="L67" i="25"/>
  <c r="K68" i="25"/>
  <c r="F73" i="25"/>
  <c r="M73" i="25"/>
  <c r="F75" i="25"/>
  <c r="L75" i="25"/>
  <c r="K76" i="25"/>
  <c r="K103" i="25"/>
  <c r="I109" i="25"/>
  <c r="P109" i="25"/>
  <c r="P115" i="25" s="1"/>
  <c r="J117" i="25"/>
  <c r="J119" i="25" s="1"/>
  <c r="J128" i="22"/>
  <c r="P128" i="22"/>
  <c r="G129" i="22"/>
  <c r="N129" i="22"/>
  <c r="K88" i="22"/>
  <c r="G90" i="22"/>
  <c r="H134" i="22"/>
  <c r="K92" i="22"/>
  <c r="K100" i="22"/>
  <c r="P126" i="22"/>
  <c r="P132" i="22" s="1"/>
  <c r="I129" i="22"/>
  <c r="F92" i="35"/>
  <c r="F102" i="35" s="1"/>
  <c r="F103" i="35"/>
  <c r="I84" i="35"/>
  <c r="L84" i="35" s="1"/>
  <c r="E101" i="35"/>
  <c r="G106" i="35"/>
  <c r="G107" i="35" s="1"/>
  <c r="K80" i="37"/>
  <c r="H102" i="37"/>
  <c r="H84" i="37"/>
  <c r="K84" i="37" s="1"/>
  <c r="K112" i="39"/>
  <c r="F80" i="44"/>
  <c r="F109" i="45"/>
  <c r="K89" i="45"/>
  <c r="F119" i="2"/>
  <c r="I119" i="2" s="1"/>
  <c r="L119" i="2"/>
  <c r="E123" i="2"/>
  <c r="E130" i="2"/>
  <c r="E131" i="2"/>
  <c r="K131" i="2"/>
  <c r="J135" i="2"/>
  <c r="J136" i="2" s="1"/>
  <c r="B101" i="6"/>
  <c r="H101" i="6" s="1"/>
  <c r="F106" i="6"/>
  <c r="E113" i="6"/>
  <c r="K113" i="6"/>
  <c r="K114" i="6" s="1"/>
  <c r="H13" i="9"/>
  <c r="H28" i="9"/>
  <c r="H30" i="9" s="1"/>
  <c r="C95" i="7"/>
  <c r="I95" i="7" s="1"/>
  <c r="B97" i="15"/>
  <c r="C6" i="21"/>
  <c r="C18" i="21"/>
  <c r="C20" i="21"/>
  <c r="C22" i="21"/>
  <c r="F93" i="17"/>
  <c r="F95" i="17" s="1"/>
  <c r="F107" i="17"/>
  <c r="G73" i="25"/>
  <c r="F118" i="25"/>
  <c r="K77" i="25"/>
  <c r="F103" i="25"/>
  <c r="F105" i="25" s="1"/>
  <c r="I111" i="25"/>
  <c r="L111" i="25" s="1"/>
  <c r="I112" i="25"/>
  <c r="L112" i="25" s="1"/>
  <c r="P94" i="22"/>
  <c r="P134" i="22"/>
  <c r="P136" i="22" s="1"/>
  <c r="J101" i="35"/>
  <c r="O102" i="35"/>
  <c r="N87" i="37"/>
  <c r="N108" i="37"/>
  <c r="N109" i="37" s="1"/>
  <c r="F87" i="37"/>
  <c r="F83" i="38"/>
  <c r="F77" i="39"/>
  <c r="F96" i="43"/>
  <c r="K110" i="44"/>
  <c r="F93" i="45"/>
  <c r="F113" i="45"/>
  <c r="F115" i="45" s="1"/>
  <c r="K100" i="45"/>
  <c r="H56" i="1"/>
  <c r="I56" i="1" s="1"/>
  <c r="E106" i="2"/>
  <c r="H106" i="2" s="1"/>
  <c r="I48" i="1"/>
  <c r="K110" i="2"/>
  <c r="F123" i="2"/>
  <c r="F130" i="2"/>
  <c r="F131" i="2"/>
  <c r="L131" i="2"/>
  <c r="E135" i="2"/>
  <c r="F46" i="3"/>
  <c r="I46" i="3" s="1"/>
  <c r="L46" i="3"/>
  <c r="E63" i="3"/>
  <c r="H63" i="3" s="1"/>
  <c r="E75" i="6"/>
  <c r="H75" i="6" s="1"/>
  <c r="G88" i="6"/>
  <c r="F97" i="6"/>
  <c r="I97" i="6" s="1"/>
  <c r="F107" i="6"/>
  <c r="C5" i="9"/>
  <c r="G36" i="9"/>
  <c r="C43" i="9"/>
  <c r="C45" i="9" s="1"/>
  <c r="H59" i="7"/>
  <c r="C80" i="7"/>
  <c r="I85" i="7"/>
  <c r="I87" i="7"/>
  <c r="I89" i="7"/>
  <c r="J91" i="7"/>
  <c r="H91" i="7" s="1"/>
  <c r="P91" i="7"/>
  <c r="H57" i="15"/>
  <c r="C69" i="15"/>
  <c r="C71" i="15"/>
  <c r="I71" i="15" s="1"/>
  <c r="C73" i="15"/>
  <c r="I73" i="15" s="1"/>
  <c r="E98" i="15"/>
  <c r="E106" i="15"/>
  <c r="C94" i="17"/>
  <c r="L94" i="17" s="1"/>
  <c r="J105" i="17"/>
  <c r="P105" i="17"/>
  <c r="C108" i="17"/>
  <c r="H113" i="17"/>
  <c r="F81" i="25"/>
  <c r="I91" i="25"/>
  <c r="L91" i="25" s="1"/>
  <c r="E105" i="25"/>
  <c r="I113" i="25"/>
  <c r="L113" i="25" s="1"/>
  <c r="I114" i="25"/>
  <c r="L114" i="25" s="1"/>
  <c r="H127" i="22"/>
  <c r="O127" i="22"/>
  <c r="F128" i="22"/>
  <c r="Q131" i="22"/>
  <c r="J94" i="22"/>
  <c r="J134" i="22"/>
  <c r="J136" i="22" s="1"/>
  <c r="J126" i="22"/>
  <c r="J132" i="22" s="1"/>
  <c r="H131" i="22"/>
  <c r="L92" i="35"/>
  <c r="I94" i="35"/>
  <c r="L94" i="35" s="1"/>
  <c r="M106" i="35"/>
  <c r="M107" i="35" s="1"/>
  <c r="F94" i="37"/>
  <c r="F105" i="37" s="1"/>
  <c r="F90" i="38"/>
  <c r="F112" i="39"/>
  <c r="F114" i="39" s="1"/>
  <c r="F81" i="39"/>
  <c r="G106" i="2"/>
  <c r="G132" i="2" s="1"/>
  <c r="M106" i="2"/>
  <c r="J50" i="3"/>
  <c r="F108" i="6"/>
  <c r="M113" i="6"/>
  <c r="M114" i="6" s="1"/>
  <c r="F7" i="9"/>
  <c r="C66" i="7"/>
  <c r="B78" i="15"/>
  <c r="B106" i="15" s="1"/>
  <c r="B107" i="15" s="1"/>
  <c r="F106" i="15"/>
  <c r="L70" i="17"/>
  <c r="E91" i="17"/>
  <c r="I123" i="17"/>
  <c r="I126" i="19"/>
  <c r="L126" i="19" s="1"/>
  <c r="I117" i="25"/>
  <c r="O117" i="25"/>
  <c r="O119" i="25" s="1"/>
  <c r="M77" i="25"/>
  <c r="N117" i="25"/>
  <c r="N119" i="25" s="1"/>
  <c r="L84" i="22"/>
  <c r="I127" i="22"/>
  <c r="L85" i="22"/>
  <c r="K89" i="22"/>
  <c r="L92" i="22"/>
  <c r="H122" i="22"/>
  <c r="I131" i="22"/>
  <c r="P94" i="35"/>
  <c r="P101" i="35"/>
  <c r="H103" i="35"/>
  <c r="K103" i="35" s="1"/>
  <c r="C115" i="35"/>
  <c r="H115" i="35"/>
  <c r="F103" i="37"/>
  <c r="K86" i="37"/>
  <c r="H87" i="37"/>
  <c r="K87" i="37" s="1"/>
  <c r="H108" i="37"/>
  <c r="F89" i="45"/>
  <c r="G110" i="2"/>
  <c r="B130" i="2"/>
  <c r="I43" i="3"/>
  <c r="K50" i="3"/>
  <c r="H62" i="3"/>
  <c r="C57" i="7"/>
  <c r="C59" i="7"/>
  <c r="C71" i="7"/>
  <c r="C73" i="7"/>
  <c r="B70" i="15"/>
  <c r="H70" i="15" s="1"/>
  <c r="B72" i="15"/>
  <c r="B74" i="15"/>
  <c r="C73" i="17"/>
  <c r="C75" i="17"/>
  <c r="K101" i="17"/>
  <c r="K72" i="25"/>
  <c r="G77" i="25"/>
  <c r="E101" i="25"/>
  <c r="H101" i="25"/>
  <c r="K101" i="25" s="1"/>
  <c r="P117" i="25"/>
  <c r="P119" i="25" s="1"/>
  <c r="K87" i="22"/>
  <c r="E135" i="22"/>
  <c r="E136" i="22" s="1"/>
  <c r="Q135" i="22"/>
  <c r="I122" i="22"/>
  <c r="Q101" i="35"/>
  <c r="I103" i="35"/>
  <c r="L103" i="35" s="1"/>
  <c r="D115" i="35"/>
  <c r="E84" i="37"/>
  <c r="N102" i="37"/>
  <c r="N84" i="37"/>
  <c r="F108" i="45"/>
  <c r="C107" i="22"/>
  <c r="C135" i="22" s="1"/>
  <c r="L135" i="22" s="1"/>
  <c r="B112" i="22"/>
  <c r="K112" i="22" s="1"/>
  <c r="B114" i="22"/>
  <c r="K86" i="35"/>
  <c r="J87" i="35"/>
  <c r="P87" i="35"/>
  <c r="K96" i="35"/>
  <c r="F80" i="37"/>
  <c r="L80" i="37"/>
  <c r="K81" i="37"/>
  <c r="G84" i="37"/>
  <c r="M84" i="37"/>
  <c r="L86" i="37"/>
  <c r="E102" i="37"/>
  <c r="Q102" i="37"/>
  <c r="G108" i="37"/>
  <c r="G109" i="37" s="1"/>
  <c r="M108" i="37"/>
  <c r="M109" i="37" s="1"/>
  <c r="F78" i="38"/>
  <c r="F108" i="38" s="1"/>
  <c r="L78" i="38"/>
  <c r="K79" i="38"/>
  <c r="J80" i="38"/>
  <c r="P80" i="38"/>
  <c r="H83" i="38"/>
  <c r="K83" i="38" s="1"/>
  <c r="N83" i="38"/>
  <c r="L76" i="39"/>
  <c r="E77" i="39"/>
  <c r="Q77" i="39"/>
  <c r="F86" i="39"/>
  <c r="F88" i="39" s="1"/>
  <c r="L96" i="39"/>
  <c r="G112" i="39"/>
  <c r="G114" i="39" s="1"/>
  <c r="M112" i="39"/>
  <c r="M114" i="39" s="1"/>
  <c r="L77" i="41"/>
  <c r="K78" i="41"/>
  <c r="J79" i="41"/>
  <c r="P79" i="41"/>
  <c r="F87" i="41"/>
  <c r="L87" i="41"/>
  <c r="L97" i="41"/>
  <c r="K78" i="43"/>
  <c r="H81" i="43"/>
  <c r="K81" i="43" s="1"/>
  <c r="N81" i="43"/>
  <c r="L84" i="43"/>
  <c r="L94" i="43"/>
  <c r="K105" i="43"/>
  <c r="J116" i="43"/>
  <c r="J118" i="43" s="1"/>
  <c r="P116" i="43"/>
  <c r="P118" i="43" s="1"/>
  <c r="G80" i="44"/>
  <c r="M80" i="44"/>
  <c r="L82" i="44"/>
  <c r="K83" i="44"/>
  <c r="K93" i="44"/>
  <c r="I115" i="44"/>
  <c r="O115" i="44"/>
  <c r="O117" i="44" s="1"/>
  <c r="H108" i="45"/>
  <c r="N108" i="45"/>
  <c r="E109" i="45"/>
  <c r="K76" i="45"/>
  <c r="Q109" i="45"/>
  <c r="H110" i="45"/>
  <c r="K110" i="45" s="1"/>
  <c r="N110" i="45"/>
  <c r="J78" i="45"/>
  <c r="P78" i="45"/>
  <c r="G113" i="45"/>
  <c r="G115" i="45" s="1"/>
  <c r="L97" i="45"/>
  <c r="F99" i="45"/>
  <c r="F100" i="45" s="1"/>
  <c r="C100" i="45"/>
  <c r="L100" i="45" s="1"/>
  <c r="H104" i="45"/>
  <c r="M109" i="45"/>
  <c r="I123" i="45"/>
  <c r="F98" i="47"/>
  <c r="M92" i="47"/>
  <c r="O94" i="47"/>
  <c r="L63" i="47"/>
  <c r="N76" i="47"/>
  <c r="F89" i="50"/>
  <c r="H104" i="37"/>
  <c r="K104" i="37" s="1"/>
  <c r="H107" i="38"/>
  <c r="N107" i="38"/>
  <c r="G108" i="38"/>
  <c r="M108" i="38"/>
  <c r="F78" i="41"/>
  <c r="G107" i="41"/>
  <c r="M107" i="41"/>
  <c r="J111" i="41"/>
  <c r="J113" i="41" s="1"/>
  <c r="P111" i="41"/>
  <c r="P113" i="41" s="1"/>
  <c r="I112" i="41"/>
  <c r="L112" i="41" s="1"/>
  <c r="F95" i="43"/>
  <c r="F117" i="43" s="1"/>
  <c r="F105" i="43"/>
  <c r="F107" i="43" s="1"/>
  <c r="F83" i="44"/>
  <c r="F93" i="44"/>
  <c r="F95" i="44" s="1"/>
  <c r="E78" i="45"/>
  <c r="Q78" i="45"/>
  <c r="E114" i="45"/>
  <c r="I89" i="45"/>
  <c r="L89" i="45" s="1"/>
  <c r="B93" i="45"/>
  <c r="K93" i="45" s="1"/>
  <c r="I93" i="45"/>
  <c r="I110" i="45"/>
  <c r="L110" i="45" s="1"/>
  <c r="O113" i="45"/>
  <c r="O115" i="45" s="1"/>
  <c r="M64" i="47"/>
  <c r="M98" i="47"/>
  <c r="O72" i="47"/>
  <c r="H76" i="47"/>
  <c r="K76" i="47" s="1"/>
  <c r="F81" i="50"/>
  <c r="F91" i="54"/>
  <c r="O83" i="54"/>
  <c r="F83" i="55"/>
  <c r="I104" i="37"/>
  <c r="L104" i="37" s="1"/>
  <c r="I107" i="38"/>
  <c r="O107" i="38"/>
  <c r="H108" i="38"/>
  <c r="K108" i="38" s="1"/>
  <c r="E112" i="38"/>
  <c r="E113" i="38" s="1"/>
  <c r="Q112" i="38"/>
  <c r="Q113" i="38" s="1"/>
  <c r="H107" i="41"/>
  <c r="N107" i="41"/>
  <c r="E111" i="41"/>
  <c r="E113" i="41" s="1"/>
  <c r="Q111" i="41"/>
  <c r="Q113" i="41" s="1"/>
  <c r="F92" i="45"/>
  <c r="G109" i="45"/>
  <c r="H106" i="35"/>
  <c r="N106" i="35"/>
  <c r="N107" i="35" s="1"/>
  <c r="J84" i="37"/>
  <c r="P84" i="37"/>
  <c r="F97" i="37"/>
  <c r="F98" i="37" s="1"/>
  <c r="J98" i="37"/>
  <c r="P98" i="37"/>
  <c r="H77" i="39"/>
  <c r="K77" i="39" s="1"/>
  <c r="N77" i="39"/>
  <c r="E81" i="39"/>
  <c r="Q81" i="39"/>
  <c r="I103" i="39"/>
  <c r="L103" i="39" s="1"/>
  <c r="I107" i="41"/>
  <c r="L80" i="43"/>
  <c r="E81" i="43"/>
  <c r="Q81" i="43"/>
  <c r="H85" i="43"/>
  <c r="K85" i="43" s="1"/>
  <c r="N85" i="43"/>
  <c r="L100" i="43"/>
  <c r="J80" i="44"/>
  <c r="P80" i="44"/>
  <c r="G84" i="44"/>
  <c r="M84" i="44"/>
  <c r="I91" i="44"/>
  <c r="L91" i="44" s="1"/>
  <c r="H102" i="44"/>
  <c r="K102" i="44" s="1"/>
  <c r="F105" i="44"/>
  <c r="M114" i="45"/>
  <c r="I82" i="45"/>
  <c r="L82" i="45" s="1"/>
  <c r="I113" i="45"/>
  <c r="L68" i="47"/>
  <c r="I72" i="47"/>
  <c r="L72" i="47" s="1"/>
  <c r="F148" i="56"/>
  <c r="F126" i="57"/>
  <c r="L92" i="37"/>
  <c r="K77" i="38"/>
  <c r="K87" i="38"/>
  <c r="K97" i="38"/>
  <c r="L74" i="39"/>
  <c r="K75" i="39"/>
  <c r="I77" i="39"/>
  <c r="L77" i="39" s="1"/>
  <c r="O77" i="39"/>
  <c r="K85" i="39"/>
  <c r="F91" i="39"/>
  <c r="F113" i="39" s="1"/>
  <c r="H79" i="41"/>
  <c r="K79" i="41" s="1"/>
  <c r="H89" i="41"/>
  <c r="K89" i="41" s="1"/>
  <c r="H99" i="41"/>
  <c r="K99" i="41" s="1"/>
  <c r="F81" i="43"/>
  <c r="K83" i="43"/>
  <c r="I85" i="43"/>
  <c r="L85" i="43" s="1"/>
  <c r="O85" i="43"/>
  <c r="H96" i="43"/>
  <c r="K96" i="43" s="1"/>
  <c r="L79" i="44"/>
  <c r="E80" i="44"/>
  <c r="Q80" i="44"/>
  <c r="H84" i="44"/>
  <c r="K84" i="44" s="1"/>
  <c r="N84" i="44"/>
  <c r="L99" i="44"/>
  <c r="L75" i="45"/>
  <c r="H78" i="45"/>
  <c r="K78" i="45" s="1"/>
  <c r="N78" i="45"/>
  <c r="K80" i="45"/>
  <c r="J82" i="45"/>
  <c r="K92" i="45"/>
  <c r="I108" i="45"/>
  <c r="F99" i="47"/>
  <c r="F104" i="47"/>
  <c r="F109" i="47" s="1"/>
  <c r="Q92" i="47"/>
  <c r="Q60" i="47"/>
  <c r="P64" i="47"/>
  <c r="F86" i="49"/>
  <c r="L77" i="38"/>
  <c r="L87" i="38"/>
  <c r="L97" i="38"/>
  <c r="L75" i="39"/>
  <c r="K76" i="39"/>
  <c r="J77" i="39"/>
  <c r="P77" i="39"/>
  <c r="L85" i="39"/>
  <c r="K96" i="39"/>
  <c r="G81" i="43"/>
  <c r="M81" i="43"/>
  <c r="L83" i="43"/>
  <c r="K84" i="43"/>
  <c r="K82" i="44"/>
  <c r="P109" i="45"/>
  <c r="G110" i="45"/>
  <c r="M110" i="45"/>
  <c r="K97" i="45"/>
  <c r="H123" i="45"/>
  <c r="N123" i="45"/>
  <c r="F70" i="47"/>
  <c r="F74" i="47"/>
  <c r="F75" i="47"/>
  <c r="F68" i="47"/>
  <c r="E60" i="47"/>
  <c r="J64" i="47"/>
  <c r="Q98" i="47"/>
  <c r="G84" i="47"/>
  <c r="M83" i="54"/>
  <c r="F171" i="57"/>
  <c r="I60" i="47"/>
  <c r="L60" i="47" s="1"/>
  <c r="O60" i="47"/>
  <c r="F80" i="47"/>
  <c r="F82" i="47"/>
  <c r="H58" i="49"/>
  <c r="K58" i="49" s="1"/>
  <c r="N58" i="49"/>
  <c r="P62" i="49"/>
  <c r="F90" i="49"/>
  <c r="F93" i="49"/>
  <c r="N96" i="49"/>
  <c r="F97" i="49"/>
  <c r="F98" i="49" s="1"/>
  <c r="H77" i="50"/>
  <c r="N77" i="50"/>
  <c r="K79" i="50"/>
  <c r="F92" i="50"/>
  <c r="H93" i="50"/>
  <c r="K93" i="50" s="1"/>
  <c r="F115" i="50"/>
  <c r="F117" i="50" s="1"/>
  <c r="K69" i="53"/>
  <c r="H85" i="53"/>
  <c r="K87" i="53"/>
  <c r="I96" i="53"/>
  <c r="L96" i="53" s="1"/>
  <c r="F98" i="53"/>
  <c r="L98" i="53"/>
  <c r="M104" i="53"/>
  <c r="O109" i="53"/>
  <c r="O111" i="53" s="1"/>
  <c r="I57" i="54"/>
  <c r="L59" i="54"/>
  <c r="F78" i="54"/>
  <c r="H79" i="54"/>
  <c r="K79" i="54" s="1"/>
  <c r="P81" i="54"/>
  <c r="P83" i="54" s="1"/>
  <c r="F82" i="54"/>
  <c r="F83" i="54" s="1"/>
  <c r="H91" i="54"/>
  <c r="K91" i="54" s="1"/>
  <c r="H95" i="54"/>
  <c r="K95" i="54" s="1"/>
  <c r="H71" i="55"/>
  <c r="K71" i="55" s="1"/>
  <c r="N71" i="55"/>
  <c r="K75" i="55"/>
  <c r="H91" i="55"/>
  <c r="K91" i="55" s="1"/>
  <c r="N91" i="55"/>
  <c r="K93" i="55"/>
  <c r="P95" i="55"/>
  <c r="F102" i="55"/>
  <c r="H103" i="55"/>
  <c r="K103" i="55" s="1"/>
  <c r="F106" i="55"/>
  <c r="H115" i="55"/>
  <c r="K115" i="55" s="1"/>
  <c r="H119" i="55"/>
  <c r="K119" i="55" s="1"/>
  <c r="Q118" i="56"/>
  <c r="M122" i="56"/>
  <c r="H152" i="56"/>
  <c r="K152" i="56" s="1"/>
  <c r="F135" i="57"/>
  <c r="F137" i="57"/>
  <c r="Q141" i="57"/>
  <c r="M145" i="57"/>
  <c r="K150" i="57"/>
  <c r="K165" i="57"/>
  <c r="H175" i="57"/>
  <c r="K175" i="57" s="1"/>
  <c r="F146" i="58"/>
  <c r="K120" i="58"/>
  <c r="F136" i="58"/>
  <c r="K140" i="58"/>
  <c r="O156" i="58"/>
  <c r="P143" i="58"/>
  <c r="F156" i="58"/>
  <c r="K177" i="58"/>
  <c r="M196" i="58"/>
  <c r="F135" i="60"/>
  <c r="F136" i="60"/>
  <c r="Q151" i="60"/>
  <c r="H143" i="60"/>
  <c r="K143" i="60" s="1"/>
  <c r="K142" i="60"/>
  <c r="H153" i="60"/>
  <c r="K153" i="60" s="1"/>
  <c r="K147" i="60"/>
  <c r="P156" i="60"/>
  <c r="C182" i="60"/>
  <c r="I182" i="60"/>
  <c r="F134" i="61"/>
  <c r="F140" i="61"/>
  <c r="F148" i="61"/>
  <c r="N155" i="61"/>
  <c r="N128" i="61"/>
  <c r="F93" i="47"/>
  <c r="M90" i="49"/>
  <c r="Q110" i="50"/>
  <c r="H107" i="53"/>
  <c r="K107" i="53" s="1"/>
  <c r="H119" i="53"/>
  <c r="K119" i="53" s="1"/>
  <c r="O76" i="54"/>
  <c r="I79" i="54"/>
  <c r="L79" i="54" s="1"/>
  <c r="I91" i="54"/>
  <c r="L91" i="54" s="1"/>
  <c r="M99" i="55"/>
  <c r="I103" i="55"/>
  <c r="L103" i="55" s="1"/>
  <c r="I115" i="55"/>
  <c r="L115" i="55" s="1"/>
  <c r="F121" i="56"/>
  <c r="F122" i="56" s="1"/>
  <c r="B122" i="56"/>
  <c r="P126" i="56"/>
  <c r="N135" i="56"/>
  <c r="F144" i="57"/>
  <c r="F145" i="57" s="1"/>
  <c r="B145" i="57"/>
  <c r="K145" i="57" s="1"/>
  <c r="P149" i="57"/>
  <c r="F153" i="57"/>
  <c r="N158" i="57"/>
  <c r="L165" i="57"/>
  <c r="F161" i="58"/>
  <c r="F155" i="58"/>
  <c r="F120" i="58"/>
  <c r="B127" i="58"/>
  <c r="E131" i="58"/>
  <c r="K129" i="58"/>
  <c r="Q131" i="58"/>
  <c r="N152" i="58"/>
  <c r="Q153" i="58"/>
  <c r="I143" i="58"/>
  <c r="L143" i="58" s="1"/>
  <c r="Q143" i="58"/>
  <c r="O151" i="58"/>
  <c r="M156" i="58"/>
  <c r="N161" i="58"/>
  <c r="F162" i="58"/>
  <c r="F155" i="60"/>
  <c r="F150" i="60"/>
  <c r="F149" i="60"/>
  <c r="B125" i="60"/>
  <c r="I125" i="60"/>
  <c r="L125" i="60" s="1"/>
  <c r="N148" i="60"/>
  <c r="N125" i="60"/>
  <c r="M139" i="60"/>
  <c r="K135" i="60"/>
  <c r="Q143" i="60"/>
  <c r="M149" i="60"/>
  <c r="C157" i="60"/>
  <c r="E167" i="60"/>
  <c r="J171" i="60"/>
  <c r="D182" i="60"/>
  <c r="J182" i="60"/>
  <c r="F154" i="61"/>
  <c r="F141" i="61"/>
  <c r="K63" i="47"/>
  <c r="K81" i="47"/>
  <c r="I88" i="47"/>
  <c r="L88" i="47" s="1"/>
  <c r="K92" i="47"/>
  <c r="M93" i="47"/>
  <c r="L104" i="47"/>
  <c r="H113" i="47"/>
  <c r="K113" i="47" s="1"/>
  <c r="P58" i="49"/>
  <c r="K72" i="49"/>
  <c r="F79" i="49"/>
  <c r="L91" i="49"/>
  <c r="K102" i="49"/>
  <c r="P77" i="50"/>
  <c r="L86" i="50"/>
  <c r="H89" i="50"/>
  <c r="F104" i="50"/>
  <c r="F105" i="50" s="1"/>
  <c r="L104" i="50"/>
  <c r="H105" i="50"/>
  <c r="K105" i="50" s="1"/>
  <c r="F110" i="50"/>
  <c r="K121" i="50"/>
  <c r="L76" i="53"/>
  <c r="H77" i="53"/>
  <c r="K77" i="53" s="1"/>
  <c r="N77" i="53"/>
  <c r="F94" i="53"/>
  <c r="K99" i="53"/>
  <c r="Q109" i="53"/>
  <c r="Q111" i="53" s="1"/>
  <c r="I111" i="53"/>
  <c r="L111" i="53" s="1"/>
  <c r="I123" i="53"/>
  <c r="L123" i="53" s="1"/>
  <c r="K60" i="54"/>
  <c r="M61" i="54"/>
  <c r="F71" i="54"/>
  <c r="F72" i="54" s="1"/>
  <c r="L71" i="54"/>
  <c r="H72" i="54"/>
  <c r="K72" i="54" s="1"/>
  <c r="F77" i="54"/>
  <c r="N82" i="54"/>
  <c r="N83" i="54" s="1"/>
  <c r="L64" i="55"/>
  <c r="H67" i="55"/>
  <c r="K67" i="55" s="1"/>
  <c r="L82" i="55"/>
  <c r="H83" i="55"/>
  <c r="K83" i="55" s="1"/>
  <c r="P91" i="55"/>
  <c r="F105" i="55"/>
  <c r="L106" i="56"/>
  <c r="H107" i="56"/>
  <c r="K107" i="56" s="1"/>
  <c r="K111" i="56"/>
  <c r="M118" i="56"/>
  <c r="I122" i="56"/>
  <c r="L122" i="56" s="1"/>
  <c r="O122" i="56"/>
  <c r="K126" i="56"/>
  <c r="F159" i="56"/>
  <c r="F164" i="56" s="1"/>
  <c r="F166" i="56"/>
  <c r="H130" i="57"/>
  <c r="K130" i="57" s="1"/>
  <c r="K134" i="57"/>
  <c r="M141" i="57"/>
  <c r="I145" i="57"/>
  <c r="O145" i="57"/>
  <c r="F170" i="58"/>
  <c r="F175" i="58" s="1"/>
  <c r="F129" i="58"/>
  <c r="F131" i="58" s="1"/>
  <c r="L129" i="58"/>
  <c r="K135" i="58"/>
  <c r="Q151" i="58"/>
  <c r="K136" i="58"/>
  <c r="O152" i="58"/>
  <c r="F137" i="58"/>
  <c r="Q155" i="58"/>
  <c r="N157" i="58"/>
  <c r="I147" i="58"/>
  <c r="O147" i="58"/>
  <c r="N162" i="58"/>
  <c r="P147" i="58"/>
  <c r="H159" i="58"/>
  <c r="K151" i="58"/>
  <c r="K153" i="58"/>
  <c r="K155" i="58"/>
  <c r="P155" i="58"/>
  <c r="I175" i="58"/>
  <c r="L175" i="58" s="1"/>
  <c r="O175" i="58"/>
  <c r="F142" i="60"/>
  <c r="F143" i="60" s="1"/>
  <c r="F152" i="60"/>
  <c r="L135" i="60"/>
  <c r="N149" i="60"/>
  <c r="E157" i="60"/>
  <c r="M155" i="60"/>
  <c r="M167" i="60"/>
  <c r="I171" i="60"/>
  <c r="L171" i="60" s="1"/>
  <c r="E182" i="60"/>
  <c r="K182" i="60"/>
  <c r="F137" i="61"/>
  <c r="H128" i="61"/>
  <c r="K128" i="61" s="1"/>
  <c r="K127" i="61"/>
  <c r="P138" i="61"/>
  <c r="P147" i="61"/>
  <c r="C76" i="83"/>
  <c r="K76" i="83" s="1"/>
  <c r="N64" i="47"/>
  <c r="L81" i="47"/>
  <c r="F83" i="47"/>
  <c r="F92" i="47"/>
  <c r="F95" i="47"/>
  <c r="P98" i="47"/>
  <c r="H100" i="47"/>
  <c r="K100" i="47" s="1"/>
  <c r="I113" i="47"/>
  <c r="L113" i="47" s="1"/>
  <c r="Q58" i="49"/>
  <c r="M62" i="49"/>
  <c r="F66" i="49"/>
  <c r="F70" i="49" s="1"/>
  <c r="L66" i="49"/>
  <c r="K67" i="49"/>
  <c r="L72" i="49"/>
  <c r="F80" i="49"/>
  <c r="L102" i="49"/>
  <c r="H111" i="49"/>
  <c r="K111" i="49" s="1"/>
  <c r="F75" i="50"/>
  <c r="F77" i="50" s="1"/>
  <c r="M81" i="50"/>
  <c r="F91" i="50"/>
  <c r="O115" i="50"/>
  <c r="H130" i="50"/>
  <c r="K130" i="50" s="1"/>
  <c r="O77" i="53"/>
  <c r="F99" i="53"/>
  <c r="F109" i="53"/>
  <c r="F111" i="53" s="1"/>
  <c r="Q71" i="55"/>
  <c r="Q91" i="55"/>
  <c r="M105" i="55"/>
  <c r="K96" i="56"/>
  <c r="L111" i="56"/>
  <c r="F117" i="56"/>
  <c r="F118" i="56" s="1"/>
  <c r="N118" i="56"/>
  <c r="F132" i="56"/>
  <c r="F136" i="56"/>
  <c r="F137" i="56" s="1"/>
  <c r="H137" i="56"/>
  <c r="K137" i="56" s="1"/>
  <c r="K119" i="57"/>
  <c r="C130" i="57"/>
  <c r="F134" i="57"/>
  <c r="L134" i="57"/>
  <c r="F140" i="57"/>
  <c r="N141" i="57"/>
  <c r="F149" i="57"/>
  <c r="F135" i="58"/>
  <c r="L135" i="58"/>
  <c r="N154" i="58"/>
  <c r="F142" i="58"/>
  <c r="I159" i="58"/>
  <c r="L151" i="58"/>
  <c r="P161" i="58"/>
  <c r="F127" i="60"/>
  <c r="H125" i="60"/>
  <c r="K120" i="60"/>
  <c r="K127" i="60"/>
  <c r="H129" i="60"/>
  <c r="K129" i="60" s="1"/>
  <c r="O149" i="60"/>
  <c r="F120" i="61"/>
  <c r="F135" i="61"/>
  <c r="O146" i="61"/>
  <c r="O124" i="61"/>
  <c r="Q154" i="61"/>
  <c r="Q128" i="61"/>
  <c r="M146" i="61"/>
  <c r="M138" i="61"/>
  <c r="AJ17" i="86"/>
  <c r="F86" i="47"/>
  <c r="K60" i="49"/>
  <c r="L96" i="49"/>
  <c r="F100" i="50"/>
  <c r="F109" i="50"/>
  <c r="L109" i="50"/>
  <c r="F112" i="50"/>
  <c r="L116" i="50"/>
  <c r="K93" i="53"/>
  <c r="F65" i="54"/>
  <c r="F68" i="54" s="1"/>
  <c r="L65" i="54"/>
  <c r="F76" i="55"/>
  <c r="F79" i="55" s="1"/>
  <c r="F100" i="55"/>
  <c r="L96" i="56"/>
  <c r="F98" i="56"/>
  <c r="Q135" i="56"/>
  <c r="L119" i="57"/>
  <c r="Q158" i="57"/>
  <c r="F123" i="58"/>
  <c r="O154" i="58"/>
  <c r="N143" i="58"/>
  <c r="Q161" i="58"/>
  <c r="H163" i="58"/>
  <c r="K163" i="58" s="1"/>
  <c r="K167" i="58"/>
  <c r="Q125" i="60"/>
  <c r="P147" i="60"/>
  <c r="P139" i="60"/>
  <c r="O139" i="60"/>
  <c r="N156" i="60"/>
  <c r="N143" i="60"/>
  <c r="K155" i="60"/>
  <c r="H157" i="60"/>
  <c r="K157" i="60" s="1"/>
  <c r="H167" i="60"/>
  <c r="K167" i="60" s="1"/>
  <c r="F155" i="61"/>
  <c r="K118" i="61"/>
  <c r="G138" i="61"/>
  <c r="J27" i="86"/>
  <c r="C107" i="87" s="1"/>
  <c r="K107" i="87" s="1"/>
  <c r="I27" i="86"/>
  <c r="B107" i="87" s="1"/>
  <c r="H27" i="86"/>
  <c r="C91" i="87" s="1"/>
  <c r="G27" i="86"/>
  <c r="B91" i="87" s="1"/>
  <c r="L27" i="86"/>
  <c r="C123" i="87" s="1"/>
  <c r="F27" i="86"/>
  <c r="K27" i="86"/>
  <c r="B123" i="87" s="1"/>
  <c r="J123" i="87" s="1"/>
  <c r="E27" i="86"/>
  <c r="B123" i="82"/>
  <c r="N60" i="47"/>
  <c r="M77" i="50"/>
  <c r="F93" i="53"/>
  <c r="O95" i="55"/>
  <c r="F105" i="56"/>
  <c r="F128" i="56"/>
  <c r="F128" i="57"/>
  <c r="F130" i="57" s="1"/>
  <c r="F151" i="57"/>
  <c r="N156" i="58"/>
  <c r="K142" i="58"/>
  <c r="F145" i="58"/>
  <c r="M151" i="58"/>
  <c r="I163" i="58"/>
  <c r="L163" i="58" s="1"/>
  <c r="E192" i="58"/>
  <c r="K192" i="58"/>
  <c r="F128" i="60"/>
  <c r="Q129" i="60"/>
  <c r="L128" i="60"/>
  <c r="L133" i="60"/>
  <c r="K137" i="60"/>
  <c r="I143" i="60"/>
  <c r="L143" i="60" s="1"/>
  <c r="G153" i="60"/>
  <c r="I167" i="60"/>
  <c r="L167" i="60" s="1"/>
  <c r="F149" i="61"/>
  <c r="L118" i="61"/>
  <c r="I124" i="61"/>
  <c r="L124" i="61" s="1"/>
  <c r="K122" i="61"/>
  <c r="O150" i="61"/>
  <c r="L44" i="86"/>
  <c r="C125" i="88" s="1"/>
  <c r="K125" i="88" s="1"/>
  <c r="F44" i="86"/>
  <c r="I44" i="86"/>
  <c r="B108" i="88" s="1"/>
  <c r="J108" i="88" s="1"/>
  <c r="H44" i="86"/>
  <c r="C91" i="88" s="1"/>
  <c r="K91" i="88" s="1"/>
  <c r="G44" i="86"/>
  <c r="B91" i="88" s="1"/>
  <c r="E44" i="86"/>
  <c r="K44" i="86"/>
  <c r="B125" i="88" s="1"/>
  <c r="J44" i="86"/>
  <c r="C108" i="88" s="1"/>
  <c r="B124" i="82"/>
  <c r="J124" i="82" s="1"/>
  <c r="F126" i="61"/>
  <c r="I142" i="61"/>
  <c r="O142" i="61"/>
  <c r="F146" i="61"/>
  <c r="I152" i="61"/>
  <c r="N11" i="86"/>
  <c r="F42" i="86"/>
  <c r="C66" i="86"/>
  <c r="D61" i="86" s="1"/>
  <c r="I6" i="81"/>
  <c r="J6" i="81"/>
  <c r="L6" i="81"/>
  <c r="B107" i="82"/>
  <c r="J107" i="82" s="1"/>
  <c r="K27" i="81"/>
  <c r="B125" i="83" s="1"/>
  <c r="J125" i="83" s="1"/>
  <c r="E27" i="81"/>
  <c r="T50" i="81"/>
  <c r="Q49" i="81"/>
  <c r="AD37" i="81"/>
  <c r="R50" i="81"/>
  <c r="V49" i="81"/>
  <c r="U50" i="81"/>
  <c r="S49" i="81"/>
  <c r="U49" i="81"/>
  <c r="Q50" i="81"/>
  <c r="L148" i="60"/>
  <c r="O155" i="60"/>
  <c r="F156" i="60"/>
  <c r="L156" i="60"/>
  <c r="P124" i="61"/>
  <c r="H138" i="61"/>
  <c r="N138" i="61"/>
  <c r="P142" i="61"/>
  <c r="P149" i="61"/>
  <c r="M154" i="61"/>
  <c r="K160" i="61"/>
  <c r="H170" i="61"/>
  <c r="K170" i="61" s="1"/>
  <c r="AF6" i="86"/>
  <c r="AL6" i="86"/>
  <c r="AG7" i="86"/>
  <c r="AH8" i="86"/>
  <c r="T8" i="86" s="1"/>
  <c r="AI9" i="86"/>
  <c r="AJ10" i="86"/>
  <c r="V10" i="86" s="1"/>
  <c r="I11" i="86"/>
  <c r="AG14" i="86"/>
  <c r="AG17" i="86" s="1"/>
  <c r="AH15" i="86"/>
  <c r="T15" i="86" s="1"/>
  <c r="AI16" i="86"/>
  <c r="AH23" i="86"/>
  <c r="AE24" i="86"/>
  <c r="Q24" i="86" s="1"/>
  <c r="AK24" i="86"/>
  <c r="W24" i="86" s="1"/>
  <c r="AH25" i="86"/>
  <c r="T25" i="86" s="1"/>
  <c r="AE26" i="86"/>
  <c r="Q26" i="86" s="1"/>
  <c r="AK26" i="86"/>
  <c r="W26" i="86" s="1"/>
  <c r="AH27" i="86"/>
  <c r="T27" i="86" s="1"/>
  <c r="D29" i="86"/>
  <c r="AF31" i="86"/>
  <c r="AF32" i="86"/>
  <c r="AF33" i="86"/>
  <c r="AJ40" i="86"/>
  <c r="AI41" i="86"/>
  <c r="AE42" i="86"/>
  <c r="AL42" i="86"/>
  <c r="H43" i="86"/>
  <c r="C90" i="88" s="1"/>
  <c r="AH43" i="86"/>
  <c r="AK44" i="86"/>
  <c r="G45" i="86"/>
  <c r="B92" i="88" s="1"/>
  <c r="J92" i="88" s="1"/>
  <c r="F47" i="86"/>
  <c r="AH48" i="86"/>
  <c r="AE49" i="86"/>
  <c r="AL49" i="86"/>
  <c r="AL50" i="86"/>
  <c r="D52" i="86"/>
  <c r="D54" i="86" s="1"/>
  <c r="AH16" i="81"/>
  <c r="T16" i="81" s="1"/>
  <c r="AG15" i="81"/>
  <c r="S15" i="81" s="1"/>
  <c r="AL14" i="81"/>
  <c r="X14" i="81" s="1"/>
  <c r="AF14" i="81"/>
  <c r="AI10" i="81"/>
  <c r="U10" i="81" s="1"/>
  <c r="AH9" i="81"/>
  <c r="T9" i="81" s="1"/>
  <c r="AG8" i="81"/>
  <c r="S8" i="81" s="1"/>
  <c r="AL7" i="81"/>
  <c r="X7" i="81" s="1"/>
  <c r="AF7" i="81"/>
  <c r="R7" i="81" s="1"/>
  <c r="AK6" i="81"/>
  <c r="AE6" i="81"/>
  <c r="AJ16" i="81"/>
  <c r="V16" i="81" s="1"/>
  <c r="AI15" i="81"/>
  <c r="U15" i="81" s="1"/>
  <c r="AH14" i="81"/>
  <c r="AF10" i="81"/>
  <c r="AL9" i="81"/>
  <c r="X9" i="81" s="1"/>
  <c r="AE9" i="81"/>
  <c r="AK8" i="81"/>
  <c r="W8" i="81" s="1"/>
  <c r="AJ7" i="81"/>
  <c r="AI6" i="81"/>
  <c r="U6" i="81" s="1"/>
  <c r="E6" i="81"/>
  <c r="AH6" i="81"/>
  <c r="AG7" i="81"/>
  <c r="AF8" i="81"/>
  <c r="R8" i="81" s="1"/>
  <c r="J9" i="81"/>
  <c r="U9" i="81"/>
  <c r="AF9" i="81"/>
  <c r="R9" i="81" s="1"/>
  <c r="J10" i="81"/>
  <c r="AE10" i="81"/>
  <c r="Q10" i="81" s="1"/>
  <c r="Q15" i="81"/>
  <c r="AK15" i="81"/>
  <c r="W15" i="81" s="1"/>
  <c r="AI16" i="81"/>
  <c r="U16" i="81" s="1"/>
  <c r="H23" i="81"/>
  <c r="AL23" i="81"/>
  <c r="J24" i="81"/>
  <c r="C106" i="83" s="1"/>
  <c r="K106" i="83" s="1"/>
  <c r="AF24" i="81"/>
  <c r="AF25" i="81"/>
  <c r="E26" i="81"/>
  <c r="AH26" i="81"/>
  <c r="T26" i="81" s="1"/>
  <c r="F27" i="81"/>
  <c r="AJ27" i="81"/>
  <c r="V27" i="81" s="1"/>
  <c r="AE32" i="81"/>
  <c r="AL33" i="81"/>
  <c r="X33" i="81" s="1"/>
  <c r="C121" i="84"/>
  <c r="K121" i="84" s="1"/>
  <c r="L41" i="81"/>
  <c r="C122" i="84" s="1"/>
  <c r="K122" i="84" s="1"/>
  <c r="F41" i="81"/>
  <c r="G41" i="81"/>
  <c r="D45" i="81"/>
  <c r="I41" i="81"/>
  <c r="H41" i="81"/>
  <c r="C90" i="84" s="1"/>
  <c r="K90" i="84" s="1"/>
  <c r="L43" i="81"/>
  <c r="C124" i="84" s="1"/>
  <c r="K124" i="84" s="1"/>
  <c r="F43" i="81"/>
  <c r="E43" i="81"/>
  <c r="K43" i="81"/>
  <c r="B124" i="84" s="1"/>
  <c r="J43" i="81"/>
  <c r="C108" i="84" s="1"/>
  <c r="R49" i="81"/>
  <c r="S50" i="81"/>
  <c r="G24" i="66"/>
  <c r="B134" i="69" s="1"/>
  <c r="J134" i="69" s="1"/>
  <c r="F24" i="66"/>
  <c r="E24" i="66"/>
  <c r="C133" i="70"/>
  <c r="F133" i="60"/>
  <c r="K147" i="61"/>
  <c r="K155" i="61"/>
  <c r="L160" i="61"/>
  <c r="AG6" i="86"/>
  <c r="AH7" i="86"/>
  <c r="T7" i="86" s="1"/>
  <c r="AI8" i="86"/>
  <c r="U8" i="86" s="1"/>
  <c r="H9" i="86"/>
  <c r="AJ9" i="86"/>
  <c r="AE10" i="86"/>
  <c r="AK10" i="86"/>
  <c r="W10" i="86" s="1"/>
  <c r="AH14" i="86"/>
  <c r="AI15" i="86"/>
  <c r="U15" i="86" s="1"/>
  <c r="Q33" i="86"/>
  <c r="V32" i="86"/>
  <c r="AI23" i="86"/>
  <c r="U23" i="86" s="1"/>
  <c r="D24" i="86"/>
  <c r="AF24" i="86"/>
  <c r="R24" i="86" s="1"/>
  <c r="AL24" i="86"/>
  <c r="X24" i="86" s="1"/>
  <c r="AI25" i="86"/>
  <c r="U25" i="86" s="1"/>
  <c r="D26" i="86"/>
  <c r="AF26" i="86"/>
  <c r="R26" i="86" s="1"/>
  <c r="AL26" i="86"/>
  <c r="X26" i="86" s="1"/>
  <c r="AI27" i="86"/>
  <c r="U27" i="86" s="1"/>
  <c r="D28" i="86"/>
  <c r="AG31" i="86"/>
  <c r="Q32" i="86"/>
  <c r="AG32" i="86"/>
  <c r="AK40" i="86"/>
  <c r="AJ41" i="86"/>
  <c r="G42" i="86"/>
  <c r="AF42" i="86"/>
  <c r="J43" i="86"/>
  <c r="C107" i="88" s="1"/>
  <c r="K107" i="88" s="1"/>
  <c r="AI43" i="86"/>
  <c r="AE44" i="86"/>
  <c r="AL44" i="86"/>
  <c r="H45" i="86"/>
  <c r="C92" i="88" s="1"/>
  <c r="K92" i="88" s="1"/>
  <c r="L46" i="86"/>
  <c r="C127" i="88" s="1"/>
  <c r="K127" i="88" s="1"/>
  <c r="F46" i="86"/>
  <c r="K46" i="86"/>
  <c r="B127" i="88" s="1"/>
  <c r="J127" i="88" s="1"/>
  <c r="H47" i="86"/>
  <c r="C94" i="88" s="1"/>
  <c r="K94" i="88" s="1"/>
  <c r="S48" i="86"/>
  <c r="AJ48" i="86"/>
  <c r="AF49" i="86"/>
  <c r="D71" i="86"/>
  <c r="F6" i="81"/>
  <c r="AG9" i="81"/>
  <c r="S9" i="81" s="1"/>
  <c r="AG10" i="81"/>
  <c r="S10" i="81" s="1"/>
  <c r="AE14" i="81"/>
  <c r="Q14" i="81" s="1"/>
  <c r="AL15" i="81"/>
  <c r="X15" i="81" s="1"/>
  <c r="AK16" i="81"/>
  <c r="W16" i="81" s="1"/>
  <c r="D17" i="81"/>
  <c r="AE23" i="81"/>
  <c r="AG24" i="81"/>
  <c r="S24" i="81" s="1"/>
  <c r="K25" i="81"/>
  <c r="B123" i="83" s="1"/>
  <c r="J123" i="83" s="1"/>
  <c r="E25" i="81"/>
  <c r="H25" i="81"/>
  <c r="C91" i="83" s="1"/>
  <c r="AI25" i="81"/>
  <c r="U25" i="81" s="1"/>
  <c r="AI26" i="81"/>
  <c r="U26" i="81" s="1"/>
  <c r="H27" i="81"/>
  <c r="C93" i="83" s="1"/>
  <c r="K93" i="83" s="1"/>
  <c r="AK27" i="81"/>
  <c r="W27" i="81" s="1"/>
  <c r="AE31" i="81"/>
  <c r="AF32" i="81"/>
  <c r="B73" i="84"/>
  <c r="T49" i="81"/>
  <c r="V50" i="81"/>
  <c r="D49" i="81"/>
  <c r="D50" i="81"/>
  <c r="D48" i="81"/>
  <c r="H24" i="66"/>
  <c r="C134" i="69" s="1"/>
  <c r="K134" i="69" s="1"/>
  <c r="F127" i="61"/>
  <c r="K72" i="85"/>
  <c r="AK33" i="86"/>
  <c r="W33" i="86" s="1"/>
  <c r="AE33" i="86"/>
  <c r="AJ32" i="86"/>
  <c r="AH31" i="86"/>
  <c r="AJ23" i="86"/>
  <c r="AG24" i="86"/>
  <c r="S24" i="86" s="1"/>
  <c r="AJ25" i="86"/>
  <c r="V25" i="86" s="1"/>
  <c r="AG26" i="86"/>
  <c r="S26" i="86" s="1"/>
  <c r="AJ27" i="86"/>
  <c r="V27" i="86" s="1"/>
  <c r="AI31" i="86"/>
  <c r="AH32" i="86"/>
  <c r="AH33" i="86"/>
  <c r="K43" i="86"/>
  <c r="B124" i="88" s="1"/>
  <c r="J124" i="88" s="1"/>
  <c r="G6" i="81"/>
  <c r="R6" i="81"/>
  <c r="X8" i="81"/>
  <c r="L9" i="81"/>
  <c r="F9" i="81"/>
  <c r="E9" i="81"/>
  <c r="G10" i="81"/>
  <c r="F10" i="81"/>
  <c r="L10" i="81"/>
  <c r="AJ33" i="81"/>
  <c r="AI32" i="81"/>
  <c r="AL31" i="81"/>
  <c r="X31" i="81" s="1"/>
  <c r="AF31" i="81"/>
  <c r="R31" i="81" s="1"/>
  <c r="AG27" i="81"/>
  <c r="S27" i="81" s="1"/>
  <c r="AJ26" i="81"/>
  <c r="V26" i="81" s="1"/>
  <c r="AG25" i="81"/>
  <c r="S25" i="81" s="1"/>
  <c r="AJ24" i="81"/>
  <c r="V24" i="81" s="1"/>
  <c r="AG23" i="81"/>
  <c r="S23" i="81" s="1"/>
  <c r="AG33" i="81"/>
  <c r="AG32" i="81"/>
  <c r="AK31" i="81"/>
  <c r="AF27" i="81"/>
  <c r="AK26" i="81"/>
  <c r="W26" i="81" s="1"/>
  <c r="AH25" i="81"/>
  <c r="T25" i="81" s="1"/>
  <c r="AL24" i="81"/>
  <c r="X24" i="81" s="1"/>
  <c r="AE24" i="81"/>
  <c r="AI23" i="81"/>
  <c r="AF23" i="81"/>
  <c r="R23" i="81" s="1"/>
  <c r="H24" i="81"/>
  <c r="C90" i="83" s="1"/>
  <c r="K90" i="83" s="1"/>
  <c r="L24" i="81"/>
  <c r="C122" i="83" s="1"/>
  <c r="E24" i="81"/>
  <c r="AH24" i="81"/>
  <c r="T24" i="81" s="1"/>
  <c r="AJ25" i="81"/>
  <c r="V25" i="81" s="1"/>
  <c r="AL26" i="81"/>
  <c r="X26" i="81" s="1"/>
  <c r="I27" i="81"/>
  <c r="B109" i="83" s="1"/>
  <c r="J109" i="83" s="1"/>
  <c r="AL27" i="81"/>
  <c r="X27" i="81" s="1"/>
  <c r="AG31" i="81"/>
  <c r="AH32" i="81"/>
  <c r="AF33" i="81"/>
  <c r="F147" i="60"/>
  <c r="F132" i="61"/>
  <c r="J9" i="86"/>
  <c r="AE23" i="86"/>
  <c r="AK23" i="86"/>
  <c r="AH24" i="86"/>
  <c r="T24" i="86" s="1"/>
  <c r="AE25" i="86"/>
  <c r="AK25" i="86"/>
  <c r="W25" i="86" s="1"/>
  <c r="AH26" i="86"/>
  <c r="T26" i="86" s="1"/>
  <c r="AE27" i="86"/>
  <c r="AK27" i="86"/>
  <c r="W27" i="86" s="1"/>
  <c r="AJ31" i="86"/>
  <c r="AI32" i="86"/>
  <c r="AI33" i="86"/>
  <c r="AK50" i="86"/>
  <c r="AE50" i="86"/>
  <c r="AI49" i="86"/>
  <c r="AI48" i="86"/>
  <c r="U48" i="86" s="1"/>
  <c r="AH44" i="86"/>
  <c r="AK43" i="86"/>
  <c r="AE43" i="86"/>
  <c r="Q43" i="86" s="1"/>
  <c r="AH42" i="86"/>
  <c r="AK41" i="86"/>
  <c r="AE41" i="86"/>
  <c r="Q41" i="86" s="1"/>
  <c r="AI40" i="86"/>
  <c r="U40" i="86" s="1"/>
  <c r="AF40" i="86"/>
  <c r="AF41" i="86"/>
  <c r="AI42" i="86"/>
  <c r="E43" i="86"/>
  <c r="L43" i="86"/>
  <c r="C124" i="88" s="1"/>
  <c r="K124" i="88" s="1"/>
  <c r="AL43" i="86"/>
  <c r="AG44" i="86"/>
  <c r="K45" i="86"/>
  <c r="B126" i="88" s="1"/>
  <c r="J126" i="88" s="1"/>
  <c r="AE48" i="86"/>
  <c r="AL48" i="86"/>
  <c r="AH49" i="86"/>
  <c r="AH50" i="86"/>
  <c r="D69" i="86"/>
  <c r="H6" i="81"/>
  <c r="Q8" i="81"/>
  <c r="G9" i="81"/>
  <c r="Q9" i="81"/>
  <c r="E10" i="81"/>
  <c r="D7" i="81"/>
  <c r="D8" i="81"/>
  <c r="K23" i="81"/>
  <c r="E23" i="81"/>
  <c r="I23" i="81"/>
  <c r="AH23" i="81"/>
  <c r="F24" i="81"/>
  <c r="AI24" i="81"/>
  <c r="U24" i="81" s="1"/>
  <c r="AK25" i="81"/>
  <c r="W25" i="81" s="1"/>
  <c r="AE26" i="81"/>
  <c r="J27" i="81"/>
  <c r="C109" i="83" s="1"/>
  <c r="K109" i="83" s="1"/>
  <c r="AE27" i="81"/>
  <c r="H26" i="81"/>
  <c r="C92" i="83" s="1"/>
  <c r="K92" i="83" s="1"/>
  <c r="K26" i="81"/>
  <c r="B124" i="83" s="1"/>
  <c r="AH31" i="81"/>
  <c r="AJ32" i="81"/>
  <c r="D33" i="81"/>
  <c r="AH33" i="81"/>
  <c r="C88" i="85"/>
  <c r="E9" i="86"/>
  <c r="AF23" i="86"/>
  <c r="AL23" i="86"/>
  <c r="AI24" i="86"/>
  <c r="U24" i="86" s="1"/>
  <c r="D25" i="86"/>
  <c r="AF25" i="86"/>
  <c r="AL25" i="86"/>
  <c r="X25" i="86" s="1"/>
  <c r="AI26" i="86"/>
  <c r="U26" i="86" s="1"/>
  <c r="AF27" i="86"/>
  <c r="AL27" i="86"/>
  <c r="X27" i="86" s="1"/>
  <c r="AK31" i="86"/>
  <c r="AK32" i="86"/>
  <c r="W32" i="86" s="1"/>
  <c r="AJ33" i="86"/>
  <c r="AJ67" i="86" s="1"/>
  <c r="D36" i="86"/>
  <c r="X40" i="86"/>
  <c r="AG40" i="86"/>
  <c r="AG41" i="86"/>
  <c r="AJ42" i="86"/>
  <c r="F43" i="86"/>
  <c r="AF43" i="86"/>
  <c r="R44" i="86"/>
  <c r="AI44" i="86"/>
  <c r="E45" i="86"/>
  <c r="L45" i="86"/>
  <c r="C126" i="88" s="1"/>
  <c r="K47" i="86"/>
  <c r="B128" i="88" s="1"/>
  <c r="J128" i="88" s="1"/>
  <c r="AF48" i="86"/>
  <c r="AJ49" i="86"/>
  <c r="AI50" i="86"/>
  <c r="K6" i="81"/>
  <c r="H9" i="81"/>
  <c r="H10" i="81"/>
  <c r="AK10" i="81"/>
  <c r="W10" i="81" s="1"/>
  <c r="AJ14" i="81"/>
  <c r="AH15" i="81"/>
  <c r="AF16" i="81"/>
  <c r="F23" i="81"/>
  <c r="AJ23" i="81"/>
  <c r="G24" i="81"/>
  <c r="B90" i="83" s="1"/>
  <c r="J90" i="83" s="1"/>
  <c r="AK24" i="81"/>
  <c r="W24" i="81" s="1"/>
  <c r="I25" i="81"/>
  <c r="B107" i="83" s="1"/>
  <c r="AL25" i="81"/>
  <c r="X25" i="81" s="1"/>
  <c r="J26" i="81"/>
  <c r="C108" i="83" s="1"/>
  <c r="K108" i="83" s="1"/>
  <c r="AF26" i="81"/>
  <c r="L27" i="81"/>
  <c r="C125" i="83" s="1"/>
  <c r="K125" i="83" s="1"/>
  <c r="AH27" i="81"/>
  <c r="T27" i="81" s="1"/>
  <c r="D28" i="81"/>
  <c r="AI31" i="81"/>
  <c r="U31" i="81" s="1"/>
  <c r="AK32" i="81"/>
  <c r="W32" i="81" s="1"/>
  <c r="AI33" i="81"/>
  <c r="I44" i="81"/>
  <c r="B109" i="84" s="1"/>
  <c r="J109" i="84" s="1"/>
  <c r="H44" i="81"/>
  <c r="C93" i="84" s="1"/>
  <c r="K93" i="84" s="1"/>
  <c r="L44" i="81"/>
  <c r="C125" i="84" s="1"/>
  <c r="K125" i="84" s="1"/>
  <c r="C62" i="81"/>
  <c r="D61" i="81" s="1"/>
  <c r="F7" i="66"/>
  <c r="J7" i="66" s="1"/>
  <c r="G9" i="66"/>
  <c r="I9" i="66" s="1"/>
  <c r="P30" i="66"/>
  <c r="P25" i="66"/>
  <c r="O24" i="66"/>
  <c r="S24" i="66" s="1"/>
  <c r="N23" i="66"/>
  <c r="O30" i="66"/>
  <c r="N26" i="66"/>
  <c r="R26" i="66" s="1"/>
  <c r="O23" i="66"/>
  <c r="N30" i="66"/>
  <c r="P27" i="66"/>
  <c r="M26" i="66"/>
  <c r="O25" i="66"/>
  <c r="M23" i="66"/>
  <c r="M27" i="66"/>
  <c r="J149" i="70"/>
  <c r="F42" i="66"/>
  <c r="H42" i="66"/>
  <c r="C134" i="70" s="1"/>
  <c r="Z3" i="73"/>
  <c r="U49" i="86"/>
  <c r="Q50" i="86"/>
  <c r="V33" i="81"/>
  <c r="U32" i="81"/>
  <c r="Q25" i="81"/>
  <c r="Q32" i="81"/>
  <c r="Q33" i="81"/>
  <c r="Y33" i="81" s="1"/>
  <c r="E44" i="81"/>
  <c r="D67" i="81"/>
  <c r="G7" i="66"/>
  <c r="H9" i="66"/>
  <c r="P23" i="66"/>
  <c r="M25" i="66"/>
  <c r="O26" i="66"/>
  <c r="S26" i="66" s="1"/>
  <c r="N27" i="66"/>
  <c r="D34" i="66"/>
  <c r="E42" i="66"/>
  <c r="F7" i="73"/>
  <c r="D10" i="73"/>
  <c r="G7" i="73"/>
  <c r="B88" i="72" s="1"/>
  <c r="E7" i="73"/>
  <c r="J7" i="73"/>
  <c r="C103" i="72" s="1"/>
  <c r="K103" i="72" s="1"/>
  <c r="I7" i="73"/>
  <c r="H7" i="73"/>
  <c r="C88" i="72" s="1"/>
  <c r="K88" i="72" s="1"/>
  <c r="C74" i="72"/>
  <c r="D10" i="66"/>
  <c r="M24" i="66"/>
  <c r="H25" i="66"/>
  <c r="C135" i="69" s="1"/>
  <c r="K135" i="69" s="1"/>
  <c r="G25" i="66"/>
  <c r="B135" i="69" s="1"/>
  <c r="F25" i="66"/>
  <c r="C117" i="70"/>
  <c r="F45" i="66"/>
  <c r="R44" i="66" s="1"/>
  <c r="E45" i="66"/>
  <c r="H45" i="66"/>
  <c r="C137" i="70" s="1"/>
  <c r="K137" i="70" s="1"/>
  <c r="G45" i="66"/>
  <c r="B137" i="70" s="1"/>
  <c r="J137" i="70" s="1"/>
  <c r="K133" i="69"/>
  <c r="N24" i="66"/>
  <c r="E25" i="66"/>
  <c r="Q40" i="66"/>
  <c r="U40" i="66" s="1"/>
  <c r="B133" i="70"/>
  <c r="C102" i="72"/>
  <c r="J105" i="84"/>
  <c r="K40" i="81"/>
  <c r="D28" i="66"/>
  <c r="F23" i="66"/>
  <c r="E43" i="66"/>
  <c r="Q42" i="66" s="1"/>
  <c r="F6" i="73"/>
  <c r="D16" i="73"/>
  <c r="AD31" i="73"/>
  <c r="AC31" i="73"/>
  <c r="AB31" i="73"/>
  <c r="AA31" i="73"/>
  <c r="AF31" i="73"/>
  <c r="AC30" i="73"/>
  <c r="AF29" i="73"/>
  <c r="AA25" i="73"/>
  <c r="AD24" i="73"/>
  <c r="R24" i="73" s="1"/>
  <c r="AA23" i="73"/>
  <c r="AD22" i="73"/>
  <c r="K102" i="74"/>
  <c r="AB22" i="73"/>
  <c r="P22" i="73" s="1"/>
  <c r="B73" i="74"/>
  <c r="J73" i="74" s="1"/>
  <c r="AD23" i="73"/>
  <c r="F24" i="73"/>
  <c r="AF24" i="73"/>
  <c r="T24" i="73" s="1"/>
  <c r="H25" i="73"/>
  <c r="C90" i="74" s="1"/>
  <c r="K90" i="74" s="1"/>
  <c r="AB29" i="73"/>
  <c r="D32" i="73"/>
  <c r="AD30" i="73"/>
  <c r="I5" i="66"/>
  <c r="F43" i="66"/>
  <c r="D46" i="66"/>
  <c r="D49" i="66"/>
  <c r="D50" i="66"/>
  <c r="D68" i="66"/>
  <c r="G6" i="73"/>
  <c r="K8" i="73"/>
  <c r="B119" i="72" s="1"/>
  <c r="J119" i="72" s="1"/>
  <c r="E9" i="73"/>
  <c r="K87" i="74"/>
  <c r="K22" i="73"/>
  <c r="B117" i="74" s="1"/>
  <c r="AC22" i="73"/>
  <c r="F23" i="73"/>
  <c r="AE23" i="73"/>
  <c r="G24" i="73"/>
  <c r="B89" i="74" s="1"/>
  <c r="J89" i="74" s="1"/>
  <c r="I25" i="73"/>
  <c r="B105" i="74" s="1"/>
  <c r="J105" i="74" s="1"/>
  <c r="AB25" i="73"/>
  <c r="AC29" i="73"/>
  <c r="AE30" i="73"/>
  <c r="AE31" i="73"/>
  <c r="H43" i="66"/>
  <c r="C135" i="70" s="1"/>
  <c r="K135" i="70" s="1"/>
  <c r="C87" i="72"/>
  <c r="K87" i="72" s="1"/>
  <c r="J25" i="73"/>
  <c r="C105" i="74" s="1"/>
  <c r="C108" i="74" s="1"/>
  <c r="K108" i="74" s="1"/>
  <c r="D26" i="73"/>
  <c r="AF30" i="73"/>
  <c r="B75" i="74"/>
  <c r="J75" i="74" s="1"/>
  <c r="C102" i="75"/>
  <c r="K102" i="75" s="1"/>
  <c r="J42" i="73"/>
  <c r="F148" i="62"/>
  <c r="F120" i="62"/>
  <c r="C64" i="66"/>
  <c r="D62" i="66" s="1"/>
  <c r="J102" i="72"/>
  <c r="B87" i="74"/>
  <c r="F25" i="73"/>
  <c r="C58" i="73"/>
  <c r="D54" i="73" s="1"/>
  <c r="J102" i="74"/>
  <c r="E24" i="73"/>
  <c r="G25" i="73"/>
  <c r="B90" i="74" s="1"/>
  <c r="J90" i="74" s="1"/>
  <c r="AB30" i="73"/>
  <c r="C72" i="75"/>
  <c r="F42" i="73"/>
  <c r="P146" i="62"/>
  <c r="H50" i="67"/>
  <c r="F40" i="67"/>
  <c r="J37" i="67"/>
  <c r="P6" i="66"/>
  <c r="M9" i="66"/>
  <c r="Q9" i="66" s="1"/>
  <c r="M41" i="66"/>
  <c r="N42" i="66"/>
  <c r="O43" i="66"/>
  <c r="P44" i="66"/>
  <c r="S25" i="73"/>
  <c r="O30" i="73"/>
  <c r="G38" i="73"/>
  <c r="G40" i="73"/>
  <c r="B89" i="75" s="1"/>
  <c r="J89" i="75" s="1"/>
  <c r="F154" i="62"/>
  <c r="F126" i="62"/>
  <c r="F155" i="62"/>
  <c r="F127" i="62"/>
  <c r="F134" i="62"/>
  <c r="F141" i="62"/>
  <c r="G124" i="62"/>
  <c r="P147" i="62"/>
  <c r="S47" i="73"/>
  <c r="P46" i="73"/>
  <c r="P47" i="73"/>
  <c r="S46" i="73"/>
  <c r="K39" i="73"/>
  <c r="B118" i="75" s="1"/>
  <c r="J118" i="75" s="1"/>
  <c r="K118" i="62"/>
  <c r="Z35" i="73"/>
  <c r="B108" i="75"/>
  <c r="J102" i="75"/>
  <c r="L39" i="73"/>
  <c r="C118" i="75" s="1"/>
  <c r="K118" i="75" s="1"/>
  <c r="L41" i="73"/>
  <c r="C120" i="75" s="1"/>
  <c r="H42" i="73"/>
  <c r="H45" i="73" s="1"/>
  <c r="O46" i="73"/>
  <c r="O47" i="73"/>
  <c r="F149" i="62"/>
  <c r="F121" i="62"/>
  <c r="K119" i="62"/>
  <c r="M146" i="62"/>
  <c r="I42" i="73"/>
  <c r="Q46" i="73"/>
  <c r="Q47" i="73"/>
  <c r="F140" i="62"/>
  <c r="F135" i="62"/>
  <c r="F146" i="62"/>
  <c r="F119" i="62"/>
  <c r="C124" i="62"/>
  <c r="L124" i="62" s="1"/>
  <c r="J124" i="62"/>
  <c r="L119" i="62"/>
  <c r="M147" i="62"/>
  <c r="R46" i="73"/>
  <c r="R47" i="73"/>
  <c r="L118" i="62"/>
  <c r="K121" i="62"/>
  <c r="O146" i="62"/>
  <c r="F123" i="62"/>
  <c r="H124" i="62"/>
  <c r="K124" i="62" s="1"/>
  <c r="K126" i="62"/>
  <c r="L141" i="62"/>
  <c r="H142" i="62"/>
  <c r="K142" i="62" s="1"/>
  <c r="N142" i="62"/>
  <c r="K146" i="62"/>
  <c r="Q146" i="62"/>
  <c r="Q148" i="62"/>
  <c r="N149" i="62"/>
  <c r="K154" i="62"/>
  <c r="G6" i="67"/>
  <c r="G52" i="67" s="1"/>
  <c r="F7" i="67"/>
  <c r="E8" i="67"/>
  <c r="I8" i="67" s="1"/>
  <c r="D15" i="67"/>
  <c r="G22" i="67"/>
  <c r="F23" i="67"/>
  <c r="E24" i="67"/>
  <c r="C149" i="68"/>
  <c r="K149" i="68" s="1"/>
  <c r="C149" i="64"/>
  <c r="K149" i="64" s="1"/>
  <c r="H40" i="67"/>
  <c r="D50" i="67"/>
  <c r="D56" i="67" s="1"/>
  <c r="F52" i="67"/>
  <c r="F55" i="67"/>
  <c r="I128" i="63"/>
  <c r="L128" i="63" s="1"/>
  <c r="L132" i="63"/>
  <c r="F134" i="63"/>
  <c r="F138" i="63" s="1"/>
  <c r="N138" i="63"/>
  <c r="L140" i="63"/>
  <c r="N142" i="63"/>
  <c r="F146" i="63"/>
  <c r="N148" i="63"/>
  <c r="F151" i="63"/>
  <c r="I156" i="63"/>
  <c r="Q154" i="63"/>
  <c r="K155" i="63"/>
  <c r="E166" i="63"/>
  <c r="L168" i="63"/>
  <c r="I170" i="63"/>
  <c r="L170" i="63" s="1"/>
  <c r="H170" i="63"/>
  <c r="K170" i="63" s="1"/>
  <c r="E181" i="63"/>
  <c r="K181" i="63"/>
  <c r="E154" i="64"/>
  <c r="E126" i="64"/>
  <c r="N155" i="64"/>
  <c r="B117" i="80"/>
  <c r="K54" i="78"/>
  <c r="M138" i="62"/>
  <c r="C142" i="62"/>
  <c r="O142" i="62"/>
  <c r="O149" i="62"/>
  <c r="H6" i="67"/>
  <c r="G7" i="67"/>
  <c r="I7" i="67" s="1"/>
  <c r="J20" i="67"/>
  <c r="H22" i="67"/>
  <c r="G23" i="67"/>
  <c r="G54" i="67" s="1"/>
  <c r="D25" i="67"/>
  <c r="B146" i="68"/>
  <c r="B146" i="64"/>
  <c r="B155" i="68"/>
  <c r="J155" i="68" s="1"/>
  <c r="B155" i="64"/>
  <c r="J155" i="64" s="1"/>
  <c r="I51" i="67"/>
  <c r="E53" i="67"/>
  <c r="K126" i="63"/>
  <c r="P148" i="63"/>
  <c r="Q151" i="63"/>
  <c r="O138" i="63"/>
  <c r="O142" i="63"/>
  <c r="M146" i="63"/>
  <c r="O148" i="63"/>
  <c r="H124" i="64"/>
  <c r="K124" i="64" s="1"/>
  <c r="J132" i="64"/>
  <c r="B138" i="64"/>
  <c r="K132" i="64"/>
  <c r="H138" i="64"/>
  <c r="K138" i="64" s="1"/>
  <c r="N147" i="64"/>
  <c r="K142" i="64"/>
  <c r="H138" i="62"/>
  <c r="K138" i="62" s="1"/>
  <c r="N138" i="62"/>
  <c r="P142" i="62"/>
  <c r="M148" i="62"/>
  <c r="P149" i="62"/>
  <c r="M154" i="62"/>
  <c r="K160" i="62"/>
  <c r="H170" i="62"/>
  <c r="K170" i="62" s="1"/>
  <c r="J5" i="67"/>
  <c r="H7" i="67"/>
  <c r="E20" i="67"/>
  <c r="H23" i="67"/>
  <c r="C146" i="68"/>
  <c r="K146" i="68" s="1"/>
  <c r="C146" i="64"/>
  <c r="B148" i="68"/>
  <c r="J148" i="68" s="1"/>
  <c r="B148" i="64"/>
  <c r="J148" i="64" s="1"/>
  <c r="D40" i="67"/>
  <c r="C155" i="68"/>
  <c r="K155" i="68" s="1"/>
  <c r="C155" i="64"/>
  <c r="K155" i="64" s="1"/>
  <c r="F50" i="67"/>
  <c r="J51" i="67"/>
  <c r="D59" i="67"/>
  <c r="F126" i="63"/>
  <c r="F128" i="63" s="1"/>
  <c r="B138" i="63"/>
  <c r="K138" i="63" s="1"/>
  <c r="B142" i="63"/>
  <c r="Q148" i="63"/>
  <c r="E119" i="64"/>
  <c r="B101" i="79"/>
  <c r="J101" i="79" s="1"/>
  <c r="C138" i="62"/>
  <c r="O138" i="62"/>
  <c r="I170" i="62"/>
  <c r="L170" i="62" s="1"/>
  <c r="C148" i="68"/>
  <c r="K148" i="68" s="1"/>
  <c r="C148" i="64"/>
  <c r="K148" i="64" s="1"/>
  <c r="G50" i="67"/>
  <c r="L136" i="63"/>
  <c r="M155" i="63"/>
  <c r="P149" i="63"/>
  <c r="F154" i="63"/>
  <c r="J118" i="64"/>
  <c r="B128" i="64"/>
  <c r="J128" i="64" s="1"/>
  <c r="H128" i="64"/>
  <c r="K128" i="64" s="1"/>
  <c r="N150" i="64"/>
  <c r="C105" i="76"/>
  <c r="K105" i="76" s="1"/>
  <c r="P138" i="62"/>
  <c r="F147" i="62"/>
  <c r="B147" i="68"/>
  <c r="J147" i="68" s="1"/>
  <c r="B147" i="64"/>
  <c r="J147" i="64" s="1"/>
  <c r="B154" i="68"/>
  <c r="J154" i="68" s="1"/>
  <c r="B154" i="64"/>
  <c r="J154" i="64" s="1"/>
  <c r="P146" i="63"/>
  <c r="M147" i="63"/>
  <c r="M149" i="63"/>
  <c r="P154" i="63"/>
  <c r="Q146" i="63"/>
  <c r="B152" i="63"/>
  <c r="K152" i="63" s="1"/>
  <c r="M154" i="63"/>
  <c r="F155" i="63"/>
  <c r="I166" i="63"/>
  <c r="L166" i="63" s="1"/>
  <c r="L160" i="63"/>
  <c r="O170" i="63"/>
  <c r="C181" i="63"/>
  <c r="I181" i="63"/>
  <c r="E148" i="64"/>
  <c r="E127" i="64"/>
  <c r="E120" i="64"/>
  <c r="E155" i="64"/>
  <c r="E149" i="64"/>
  <c r="E135" i="64"/>
  <c r="C147" i="68"/>
  <c r="K147" i="68" s="1"/>
  <c r="C147" i="64"/>
  <c r="K147" i="64" s="1"/>
  <c r="B149" i="68"/>
  <c r="J149" i="68" s="1"/>
  <c r="B149" i="64"/>
  <c r="J149" i="64" s="1"/>
  <c r="C154" i="68"/>
  <c r="C154" i="64"/>
  <c r="N128" i="63"/>
  <c r="M148" i="63"/>
  <c r="F161" i="63"/>
  <c r="F166" i="63" s="1"/>
  <c r="H166" i="63"/>
  <c r="K166" i="63" s="1"/>
  <c r="D181" i="63"/>
  <c r="J181" i="63"/>
  <c r="N146" i="64"/>
  <c r="N138" i="64"/>
  <c r="E133" i="64"/>
  <c r="L138" i="64"/>
  <c r="O149" i="64"/>
  <c r="M154" i="64"/>
  <c r="M156" i="64" s="1"/>
  <c r="G156" i="64"/>
  <c r="K72" i="76"/>
  <c r="Q31" i="78"/>
  <c r="V30" i="78"/>
  <c r="T31" i="78"/>
  <c r="S30" i="78"/>
  <c r="J100" i="79"/>
  <c r="D32" i="78"/>
  <c r="U31" i="78"/>
  <c r="J38" i="78"/>
  <c r="C73" i="80"/>
  <c r="K73" i="80" s="1"/>
  <c r="I41" i="78"/>
  <c r="B105" i="80" s="1"/>
  <c r="J105" i="80" s="1"/>
  <c r="L41" i="78"/>
  <c r="F41" i="78"/>
  <c r="AJ54" i="78"/>
  <c r="AG56" i="78"/>
  <c r="AG61" i="78"/>
  <c r="E154" i="68"/>
  <c r="G124" i="64"/>
  <c r="J124" i="64" s="1"/>
  <c r="J126" i="64"/>
  <c r="M138" i="64"/>
  <c r="J140" i="64"/>
  <c r="P142" i="64"/>
  <c r="M148" i="64"/>
  <c r="P149" i="64"/>
  <c r="N154" i="64"/>
  <c r="G6" i="78"/>
  <c r="AI6" i="78"/>
  <c r="W22" i="78" s="1"/>
  <c r="G7" i="78"/>
  <c r="AI7" i="78"/>
  <c r="AJ9" i="78"/>
  <c r="AE13" i="78"/>
  <c r="AJ14" i="78"/>
  <c r="AH15" i="78"/>
  <c r="T15" i="78" s="1"/>
  <c r="AD19" i="78"/>
  <c r="Q30" i="78"/>
  <c r="V31" i="78"/>
  <c r="S47" i="78"/>
  <c r="R47" i="78"/>
  <c r="S46" i="78"/>
  <c r="U47" i="78"/>
  <c r="V46" i="78"/>
  <c r="AD35" i="78"/>
  <c r="E41" i="78"/>
  <c r="U46" i="78"/>
  <c r="V47" i="78"/>
  <c r="AH56" i="78"/>
  <c r="E155" i="68"/>
  <c r="C124" i="68"/>
  <c r="I124" i="68"/>
  <c r="K119" i="68"/>
  <c r="L147" i="68"/>
  <c r="J142" i="68"/>
  <c r="K121" i="69"/>
  <c r="G170" i="64"/>
  <c r="J170" i="64" s="1"/>
  <c r="J102" i="76"/>
  <c r="E9" i="78"/>
  <c r="H9" i="78"/>
  <c r="H10" i="78" s="1"/>
  <c r="L38" i="78"/>
  <c r="F38" i="78"/>
  <c r="D42" i="78"/>
  <c r="I38" i="78"/>
  <c r="E140" i="68"/>
  <c r="E148" i="68"/>
  <c r="E134" i="68"/>
  <c r="E146" i="68"/>
  <c r="E132" i="68"/>
  <c r="J137" i="69"/>
  <c r="O138" i="64"/>
  <c r="L142" i="64"/>
  <c r="AF63" i="78"/>
  <c r="AH62" i="78"/>
  <c r="AJ61" i="78"/>
  <c r="AH57" i="78"/>
  <c r="AJ56" i="78"/>
  <c r="AF55" i="78"/>
  <c r="AG54" i="78"/>
  <c r="AE63" i="78"/>
  <c r="AG62" i="78"/>
  <c r="AI61" i="78"/>
  <c r="AG57" i="78"/>
  <c r="AI56" i="78"/>
  <c r="AE55" i="78"/>
  <c r="AF54" i="78"/>
  <c r="AF15" i="78"/>
  <c r="R15" i="78" s="1"/>
  <c r="AE14" i="78"/>
  <c r="Q14" i="78" s="1"/>
  <c r="AJ13" i="78"/>
  <c r="V13" i="78" s="1"/>
  <c r="AI9" i="78"/>
  <c r="W9" i="78" s="1"/>
  <c r="AH8" i="78"/>
  <c r="AG7" i="78"/>
  <c r="AF6" i="78"/>
  <c r="R6" i="78" s="1"/>
  <c r="AH63" i="78"/>
  <c r="AJ62" i="78"/>
  <c r="AF61" i="78"/>
  <c r="AJ57" i="78"/>
  <c r="AF56" i="78"/>
  <c r="AH55" i="78"/>
  <c r="AI54" i="78"/>
  <c r="AI15" i="78"/>
  <c r="AH14" i="78"/>
  <c r="AG13" i="78"/>
  <c r="AF9" i="78"/>
  <c r="AE8" i="78"/>
  <c r="J6" i="78"/>
  <c r="N6" i="78" s="1"/>
  <c r="J7" i="78"/>
  <c r="C89" i="76"/>
  <c r="K89" i="76" s="1"/>
  <c r="H56" i="78"/>
  <c r="AF8" i="78"/>
  <c r="F9" i="78"/>
  <c r="AH13" i="78"/>
  <c r="T30" i="78"/>
  <c r="E38" i="78"/>
  <c r="H41" i="78"/>
  <c r="C90" i="80" s="1"/>
  <c r="K90" i="80" s="1"/>
  <c r="AI55" i="78"/>
  <c r="AE57" i="78"/>
  <c r="AE62" i="78"/>
  <c r="AG63" i="78"/>
  <c r="E141" i="68"/>
  <c r="P138" i="64"/>
  <c r="E151" i="64"/>
  <c r="H152" i="64"/>
  <c r="H166" i="64"/>
  <c r="K166" i="64" s="1"/>
  <c r="C87" i="76"/>
  <c r="B103" i="76"/>
  <c r="J103" i="76" s="1"/>
  <c r="I55" i="78"/>
  <c r="G9" i="78"/>
  <c r="D10" i="78"/>
  <c r="H23" i="78"/>
  <c r="E23" i="78"/>
  <c r="U30" i="78"/>
  <c r="R31" i="78"/>
  <c r="G38" i="78"/>
  <c r="L55" i="78"/>
  <c r="N40" i="78"/>
  <c r="C134" i="80" s="1"/>
  <c r="K134" i="80" s="1"/>
  <c r="J41" i="78"/>
  <c r="C105" i="80" s="1"/>
  <c r="K105" i="80" s="1"/>
  <c r="C58" i="78"/>
  <c r="D55" i="78" s="1"/>
  <c r="AE54" i="78"/>
  <c r="AJ55" i="78"/>
  <c r="L56" i="78"/>
  <c r="AF57" i="78"/>
  <c r="AF62" i="78"/>
  <c r="AI63" i="78"/>
  <c r="E147" i="68"/>
  <c r="E133" i="68"/>
  <c r="K123" i="68"/>
  <c r="O146" i="68"/>
  <c r="L150" i="68"/>
  <c r="E6" i="78"/>
  <c r="AG6" i="78"/>
  <c r="E7" i="78"/>
  <c r="AF7" i="78"/>
  <c r="C104" i="76"/>
  <c r="K104" i="76" s="1"/>
  <c r="J56" i="78"/>
  <c r="AI8" i="78"/>
  <c r="W24" i="78" s="1"/>
  <c r="I9" i="78"/>
  <c r="AG9" i="78"/>
  <c r="AG14" i="78"/>
  <c r="S14" i="78" s="1"/>
  <c r="AE15" i="78"/>
  <c r="D16" i="78"/>
  <c r="F23" i="78"/>
  <c r="I24" i="78"/>
  <c r="I26" i="78" s="1"/>
  <c r="F24" i="78"/>
  <c r="S31" i="78"/>
  <c r="H38" i="78"/>
  <c r="K39" i="78"/>
  <c r="E39" i="78"/>
  <c r="H39" i="78"/>
  <c r="C88" i="80" s="1"/>
  <c r="K88" i="80" s="1"/>
  <c r="K41" i="78"/>
  <c r="R46" i="78"/>
  <c r="Q47" i="78"/>
  <c r="F54" i="78"/>
  <c r="AH54" i="78"/>
  <c r="AE56" i="78"/>
  <c r="AI57" i="78"/>
  <c r="D61" i="78"/>
  <c r="D64" i="78" s="1"/>
  <c r="AE61" i="78"/>
  <c r="AI62" i="78"/>
  <c r="AJ63" i="78"/>
  <c r="G124" i="68"/>
  <c r="J124" i="68" s="1"/>
  <c r="P147" i="68"/>
  <c r="O148" i="68"/>
  <c r="J22" i="78"/>
  <c r="K118" i="68"/>
  <c r="E127" i="68"/>
  <c r="K132" i="68"/>
  <c r="N142" i="68"/>
  <c r="N149" i="68"/>
  <c r="L154" i="68"/>
  <c r="K160" i="68"/>
  <c r="J168" i="68"/>
  <c r="J133" i="69"/>
  <c r="E143" i="69"/>
  <c r="E144" i="69" s="1"/>
  <c r="N144" i="69"/>
  <c r="E148" i="69"/>
  <c r="N149" i="69"/>
  <c r="E150" i="69"/>
  <c r="E152" i="69"/>
  <c r="O157" i="69"/>
  <c r="G124" i="70"/>
  <c r="J117" i="70"/>
  <c r="E133" i="70"/>
  <c r="M150" i="70"/>
  <c r="N159" i="70"/>
  <c r="N161" i="70" s="1"/>
  <c r="F172" i="70"/>
  <c r="L172" i="70"/>
  <c r="J74" i="72"/>
  <c r="J88" i="72"/>
  <c r="C128" i="68"/>
  <c r="K128" i="68" s="1"/>
  <c r="L138" i="68"/>
  <c r="C142" i="68"/>
  <c r="O142" i="68"/>
  <c r="L148" i="68"/>
  <c r="O149" i="68"/>
  <c r="M154" i="68"/>
  <c r="M156" i="68" s="1"/>
  <c r="G156" i="68"/>
  <c r="H129" i="69"/>
  <c r="L140" i="69"/>
  <c r="O151" i="69"/>
  <c r="L152" i="69"/>
  <c r="G155" i="69"/>
  <c r="P157" i="69"/>
  <c r="E150" i="70"/>
  <c r="E160" i="70"/>
  <c r="E134" i="70"/>
  <c r="E144" i="70"/>
  <c r="K117" i="70"/>
  <c r="L129" i="70"/>
  <c r="N150" i="70"/>
  <c r="N140" i="70"/>
  <c r="J135" i="70"/>
  <c r="O159" i="70"/>
  <c r="E78" i="72"/>
  <c r="K74" i="72"/>
  <c r="J72" i="74"/>
  <c r="J126" i="68"/>
  <c r="M138" i="68"/>
  <c r="J140" i="68"/>
  <c r="P142" i="68"/>
  <c r="M148" i="68"/>
  <c r="P149" i="68"/>
  <c r="M140" i="69"/>
  <c r="P151" i="69"/>
  <c r="M152" i="69"/>
  <c r="E154" i="69"/>
  <c r="E157" i="69"/>
  <c r="H159" i="69"/>
  <c r="E158" i="70"/>
  <c r="J133" i="70"/>
  <c r="K136" i="70"/>
  <c r="G22" i="78"/>
  <c r="E121" i="68"/>
  <c r="E123" i="68"/>
  <c r="E126" i="68"/>
  <c r="N138" i="68"/>
  <c r="E149" i="68"/>
  <c r="G125" i="69"/>
  <c r="E139" i="69"/>
  <c r="E149" i="69"/>
  <c r="E151" i="69"/>
  <c r="L157" i="69"/>
  <c r="L159" i="69" s="1"/>
  <c r="C189" i="69"/>
  <c r="E152" i="70"/>
  <c r="E143" i="70"/>
  <c r="E136" i="70"/>
  <c r="E159" i="70"/>
  <c r="E127" i="70"/>
  <c r="E129" i="70" s="1"/>
  <c r="E120" i="70"/>
  <c r="E124" i="70" s="1"/>
  <c r="L124" i="70"/>
  <c r="K134" i="70"/>
  <c r="H140" i="70"/>
  <c r="P151" i="70"/>
  <c r="O145" i="70"/>
  <c r="O158" i="70"/>
  <c r="I156" i="70"/>
  <c r="G161" i="70"/>
  <c r="J90" i="72"/>
  <c r="J105" i="72"/>
  <c r="O138" i="68"/>
  <c r="E124" i="69"/>
  <c r="E125" i="69" s="1"/>
  <c r="O140" i="69"/>
  <c r="G159" i="69"/>
  <c r="M157" i="69"/>
  <c r="M159" i="69" s="1"/>
  <c r="E170" i="69"/>
  <c r="K164" i="69"/>
  <c r="D174" i="69"/>
  <c r="K172" i="69"/>
  <c r="M127" i="70"/>
  <c r="M129" i="70" s="1"/>
  <c r="M124" i="70"/>
  <c r="O129" i="70"/>
  <c r="L159" i="70"/>
  <c r="K105" i="72"/>
  <c r="L128" i="72"/>
  <c r="P138" i="68"/>
  <c r="P140" i="69"/>
  <c r="P158" i="69"/>
  <c r="L174" i="69"/>
  <c r="E155" i="70"/>
  <c r="M153" i="70"/>
  <c r="L154" i="70"/>
  <c r="M128" i="72"/>
  <c r="H172" i="70"/>
  <c r="K172" i="70" s="1"/>
  <c r="G113" i="72"/>
  <c r="E125" i="72"/>
  <c r="E128" i="72" s="1"/>
  <c r="H128" i="72"/>
  <c r="K73" i="75"/>
  <c r="O124" i="70"/>
  <c r="G140" i="70"/>
  <c r="M140" i="70"/>
  <c r="G145" i="70"/>
  <c r="M145" i="70"/>
  <c r="P149" i="70"/>
  <c r="M152" i="70"/>
  <c r="G93" i="72"/>
  <c r="G98" i="72"/>
  <c r="H108" i="72"/>
  <c r="H113" i="72"/>
  <c r="E117" i="72"/>
  <c r="E119" i="72"/>
  <c r="E125" i="74"/>
  <c r="E120" i="74"/>
  <c r="E122" i="74"/>
  <c r="E155" i="74"/>
  <c r="E157" i="74" s="1"/>
  <c r="E147" i="74"/>
  <c r="E152" i="74" s="1"/>
  <c r="D93" i="74"/>
  <c r="P93" i="74"/>
  <c r="E90" i="74"/>
  <c r="G128" i="74"/>
  <c r="K132" i="74"/>
  <c r="H138" i="74"/>
  <c r="K138" i="74" s="1"/>
  <c r="K89" i="75"/>
  <c r="E93" i="76"/>
  <c r="E139" i="70"/>
  <c r="E142" i="70"/>
  <c r="H145" i="70"/>
  <c r="N145" i="70"/>
  <c r="E182" i="70"/>
  <c r="E184" i="70"/>
  <c r="E185" i="70"/>
  <c r="G78" i="72"/>
  <c r="G83" i="72"/>
  <c r="H93" i="72"/>
  <c r="E95" i="72"/>
  <c r="H98" i="72"/>
  <c r="P123" i="72"/>
  <c r="G138" i="72"/>
  <c r="J138" i="72" s="1"/>
  <c r="E81" i="74"/>
  <c r="E87" i="74"/>
  <c r="E92" i="74"/>
  <c r="L126" i="74"/>
  <c r="L128" i="74" s="1"/>
  <c r="L123" i="74"/>
  <c r="I138" i="74"/>
  <c r="K75" i="75"/>
  <c r="J105" i="75"/>
  <c r="K120" i="75"/>
  <c r="P128" i="75"/>
  <c r="M128" i="75"/>
  <c r="P158" i="70"/>
  <c r="H78" i="72"/>
  <c r="E89" i="72"/>
  <c r="H138" i="72"/>
  <c r="K138" i="72" s="1"/>
  <c r="E126" i="74"/>
  <c r="E73" i="74"/>
  <c r="E78" i="74" s="1"/>
  <c r="G83" i="74"/>
  <c r="K89" i="74"/>
  <c r="H113" i="74"/>
  <c r="F123" i="74"/>
  <c r="J74" i="75"/>
  <c r="L128" i="76"/>
  <c r="H156" i="70"/>
  <c r="L123" i="72"/>
  <c r="G143" i="72"/>
  <c r="J143" i="72" s="1"/>
  <c r="E96" i="74"/>
  <c r="E89" i="74"/>
  <c r="G78" i="74"/>
  <c r="H83" i="74"/>
  <c r="G93" i="74"/>
  <c r="K103" i="74"/>
  <c r="K105" i="74"/>
  <c r="K87" i="75"/>
  <c r="J103" i="75"/>
  <c r="L128" i="75"/>
  <c r="K88" i="76"/>
  <c r="E108" i="76"/>
  <c r="M128" i="76"/>
  <c r="M123" i="72"/>
  <c r="E80" i="74"/>
  <c r="E95" i="74"/>
  <c r="E108" i="74"/>
  <c r="H123" i="74"/>
  <c r="M128" i="74"/>
  <c r="N138" i="74"/>
  <c r="E96" i="75"/>
  <c r="E98" i="75" s="1"/>
  <c r="G123" i="75"/>
  <c r="G128" i="75"/>
  <c r="H78" i="76"/>
  <c r="H83" i="76"/>
  <c r="E126" i="76"/>
  <c r="E128" i="76" s="1"/>
  <c r="E102" i="79"/>
  <c r="E116" i="79"/>
  <c r="E91" i="79"/>
  <c r="E143" i="79"/>
  <c r="K86" i="79"/>
  <c r="K103" i="79"/>
  <c r="E81" i="75"/>
  <c r="G113" i="75"/>
  <c r="E122" i="75"/>
  <c r="E125" i="75"/>
  <c r="H128" i="75"/>
  <c r="K118" i="76"/>
  <c r="L123" i="76"/>
  <c r="J140" i="76"/>
  <c r="E150" i="76"/>
  <c r="E122" i="79"/>
  <c r="E124" i="79" s="1"/>
  <c r="E88" i="79"/>
  <c r="E94" i="79"/>
  <c r="E96" i="79" s="1"/>
  <c r="D78" i="79"/>
  <c r="J72" i="79"/>
  <c r="J75" i="79"/>
  <c r="O124" i="79"/>
  <c r="M143" i="80"/>
  <c r="E75" i="75"/>
  <c r="G93" i="75"/>
  <c r="H108" i="75"/>
  <c r="H113" i="75"/>
  <c r="E117" i="75"/>
  <c r="E119" i="75"/>
  <c r="O123" i="75"/>
  <c r="E96" i="76"/>
  <c r="E98" i="76" s="1"/>
  <c r="G123" i="76"/>
  <c r="J123" i="76" s="1"/>
  <c r="M123" i="76"/>
  <c r="J125" i="76"/>
  <c r="E151" i="79"/>
  <c r="E153" i="79" s="1"/>
  <c r="J88" i="79"/>
  <c r="K74" i="80"/>
  <c r="J103" i="80"/>
  <c r="G143" i="74"/>
  <c r="J143" i="74" s="1"/>
  <c r="G78" i="75"/>
  <c r="E92" i="75"/>
  <c r="E93" i="75" s="1"/>
  <c r="H93" i="75"/>
  <c r="P123" i="75"/>
  <c r="G138" i="75"/>
  <c r="J138" i="75" s="1"/>
  <c r="E122" i="76"/>
  <c r="K125" i="76"/>
  <c r="E86" i="79"/>
  <c r="M78" i="79"/>
  <c r="K88" i="79"/>
  <c r="M123" i="74"/>
  <c r="E77" i="75"/>
  <c r="E80" i="75"/>
  <c r="E126" i="75"/>
  <c r="H138" i="75"/>
  <c r="K138" i="75" s="1"/>
  <c r="H143" i="76"/>
  <c r="K143" i="76" s="1"/>
  <c r="E155" i="76"/>
  <c r="E157" i="76" s="1"/>
  <c r="E119" i="79"/>
  <c r="E105" i="79"/>
  <c r="E146" i="79"/>
  <c r="J89" i="80"/>
  <c r="N143" i="80"/>
  <c r="N123" i="74"/>
  <c r="L123" i="75"/>
  <c r="E147" i="75"/>
  <c r="E148" i="75"/>
  <c r="O143" i="76"/>
  <c r="E89" i="79"/>
  <c r="E117" i="79"/>
  <c r="H78" i="79"/>
  <c r="K72" i="79"/>
  <c r="J103" i="79"/>
  <c r="M124" i="79"/>
  <c r="P143" i="80"/>
  <c r="G92" i="79"/>
  <c r="E114" i="79"/>
  <c r="K114" i="79"/>
  <c r="O120" i="79"/>
  <c r="K128" i="79"/>
  <c r="G139" i="79"/>
  <c r="J139" i="79" s="1"/>
  <c r="G78" i="80"/>
  <c r="E92" i="80"/>
  <c r="E95" i="80"/>
  <c r="E98" i="80" s="1"/>
  <c r="E102" i="80"/>
  <c r="E104" i="80"/>
  <c r="J147" i="80"/>
  <c r="H153" i="80"/>
  <c r="K153" i="80" s="1"/>
  <c r="E121" i="82"/>
  <c r="E137" i="82"/>
  <c r="I84" i="82"/>
  <c r="O84" i="82"/>
  <c r="F111" i="82"/>
  <c r="L148" i="82"/>
  <c r="M148" i="82"/>
  <c r="E112" i="83"/>
  <c r="K124" i="83"/>
  <c r="H92" i="79"/>
  <c r="K101" i="79"/>
  <c r="P120" i="79"/>
  <c r="H139" i="79"/>
  <c r="K139" i="79" s="1"/>
  <c r="H78" i="80"/>
  <c r="E87" i="80"/>
  <c r="E89" i="80"/>
  <c r="E133" i="80"/>
  <c r="E135" i="80"/>
  <c r="L138" i="80"/>
  <c r="G158" i="80"/>
  <c r="J158" i="80" s="1"/>
  <c r="E163" i="80"/>
  <c r="E164" i="80"/>
  <c r="E123" i="82"/>
  <c r="E139" i="82"/>
  <c r="G100" i="82"/>
  <c r="G111" i="82"/>
  <c r="N148" i="82"/>
  <c r="N149" i="83"/>
  <c r="E120" i="80"/>
  <c r="M138" i="80"/>
  <c r="H158" i="80"/>
  <c r="K158" i="80" s="1"/>
  <c r="I79" i="82"/>
  <c r="J123" i="82"/>
  <c r="C124" i="79"/>
  <c r="K124" i="79" s="1"/>
  <c r="E137" i="80"/>
  <c r="N138" i="80"/>
  <c r="E140" i="80"/>
  <c r="E143" i="80" s="1"/>
  <c r="E146" i="82"/>
  <c r="E98" i="82"/>
  <c r="E91" i="82"/>
  <c r="D79" i="82"/>
  <c r="P79" i="82"/>
  <c r="H95" i="82"/>
  <c r="F95" i="82"/>
  <c r="K91" i="83"/>
  <c r="M120" i="79"/>
  <c r="E122" i="80"/>
  <c r="E125" i="80"/>
  <c r="E128" i="80" s="1"/>
  <c r="O95" i="82"/>
  <c r="L111" i="82"/>
  <c r="H116" i="82"/>
  <c r="H127" i="82"/>
  <c r="J107" i="83"/>
  <c r="K122" i="83"/>
  <c r="J114" i="79"/>
  <c r="N120" i="79"/>
  <c r="E107" i="80"/>
  <c r="E169" i="82"/>
  <c r="E174" i="82" s="1"/>
  <c r="E126" i="82"/>
  <c r="E142" i="82"/>
  <c r="M111" i="82"/>
  <c r="J124" i="83"/>
  <c r="L149" i="83"/>
  <c r="E97" i="82"/>
  <c r="E145" i="82"/>
  <c r="K161" i="82"/>
  <c r="E89" i="83"/>
  <c r="E93" i="83"/>
  <c r="E127" i="83"/>
  <c r="E139" i="83"/>
  <c r="E141" i="83"/>
  <c r="K153" i="83"/>
  <c r="K160" i="83" s="1"/>
  <c r="O165" i="83"/>
  <c r="K73" i="84"/>
  <c r="H80" i="84"/>
  <c r="I96" i="84"/>
  <c r="H112" i="84"/>
  <c r="O112" i="84"/>
  <c r="H128" i="84"/>
  <c r="F133" i="84"/>
  <c r="O144" i="84"/>
  <c r="E172" i="83"/>
  <c r="G96" i="83"/>
  <c r="E115" i="83"/>
  <c r="E117" i="83" s="1"/>
  <c r="E122" i="83"/>
  <c r="E124" i="83"/>
  <c r="G144" i="83"/>
  <c r="K162" i="83"/>
  <c r="H165" i="83"/>
  <c r="K165" i="83" s="1"/>
  <c r="E141" i="84"/>
  <c r="E93" i="84"/>
  <c r="E99" i="84"/>
  <c r="E140" i="84"/>
  <c r="E92" i="84"/>
  <c r="E98" i="84"/>
  <c r="L96" i="84"/>
  <c r="J92" i="84"/>
  <c r="I112" i="84"/>
  <c r="P112" i="84"/>
  <c r="O149" i="84"/>
  <c r="D160" i="84"/>
  <c r="J160" i="84"/>
  <c r="E95" i="83"/>
  <c r="H101" i="83"/>
  <c r="P147" i="83"/>
  <c r="P149" i="83" s="1"/>
  <c r="G160" i="83"/>
  <c r="G165" i="83"/>
  <c r="J165" i="83" s="1"/>
  <c r="M149" i="83"/>
  <c r="H149" i="83"/>
  <c r="E180" i="83"/>
  <c r="E80" i="84"/>
  <c r="M80" i="84"/>
  <c r="F80" i="84"/>
  <c r="F85" i="84"/>
  <c r="J108" i="84"/>
  <c r="J124" i="84"/>
  <c r="L143" i="82"/>
  <c r="G164" i="82"/>
  <c r="J164" i="82" s="1"/>
  <c r="H112" i="83"/>
  <c r="G149" i="83"/>
  <c r="E147" i="83"/>
  <c r="E149" i="83" s="1"/>
  <c r="J74" i="84"/>
  <c r="M112" i="84"/>
  <c r="K108" i="84"/>
  <c r="N128" i="84"/>
  <c r="L133" i="84"/>
  <c r="D144" i="84"/>
  <c r="L149" i="84"/>
  <c r="E99" i="83"/>
  <c r="E101" i="83" s="1"/>
  <c r="N165" i="83"/>
  <c r="G80" i="84"/>
  <c r="G112" i="84"/>
  <c r="N112" i="84"/>
  <c r="H117" i="84"/>
  <c r="G128" i="84"/>
  <c r="F144" i="84"/>
  <c r="G149" i="84"/>
  <c r="H160" i="84"/>
  <c r="E106" i="84"/>
  <c r="G165" i="84"/>
  <c r="J165" i="84" s="1"/>
  <c r="M79" i="85"/>
  <c r="E111" i="85"/>
  <c r="E171" i="84"/>
  <c r="E127" i="84"/>
  <c r="E130" i="84"/>
  <c r="E137" i="84"/>
  <c r="E139" i="84"/>
  <c r="E160" i="84"/>
  <c r="K153" i="84"/>
  <c r="K160" i="84" s="1"/>
  <c r="G79" i="85"/>
  <c r="E143" i="84"/>
  <c r="E146" i="84"/>
  <c r="E149" i="84" s="1"/>
  <c r="D165" i="84"/>
  <c r="C175" i="84"/>
  <c r="N148" i="85"/>
  <c r="E172" i="84"/>
  <c r="E131" i="84"/>
  <c r="E138" i="84"/>
  <c r="H165" i="84"/>
  <c r="K165" i="84" s="1"/>
  <c r="V2" i="85"/>
  <c r="E145" i="85"/>
  <c r="E137" i="85"/>
  <c r="E89" i="85"/>
  <c r="E97" i="85"/>
  <c r="E100" i="85" s="1"/>
  <c r="E111" i="84"/>
  <c r="E114" i="84"/>
  <c r="E117" i="84" s="1"/>
  <c r="E123" i="84"/>
  <c r="I160" i="84"/>
  <c r="O160" i="84"/>
  <c r="M165" i="84"/>
  <c r="H84" i="85"/>
  <c r="E92" i="85"/>
  <c r="E126" i="85"/>
  <c r="E129" i="85"/>
  <c r="E136" i="85"/>
  <c r="G148" i="85"/>
  <c r="E146" i="85"/>
  <c r="H164" i="85"/>
  <c r="K164" i="85" s="1"/>
  <c r="E100" i="87"/>
  <c r="J91" i="87"/>
  <c r="E174" i="85"/>
  <c r="J104" i="85"/>
  <c r="E114" i="85"/>
  <c r="E142" i="85"/>
  <c r="L146" i="85"/>
  <c r="L148" i="85" s="1"/>
  <c r="C174" i="85"/>
  <c r="K91" i="87"/>
  <c r="J107" i="87"/>
  <c r="E94" i="85"/>
  <c r="G143" i="85"/>
  <c r="M143" i="85"/>
  <c r="K161" i="85"/>
  <c r="E91" i="85"/>
  <c r="E130" i="85"/>
  <c r="H159" i="85"/>
  <c r="E113" i="85"/>
  <c r="E120" i="85"/>
  <c r="F148" i="85"/>
  <c r="M148" i="85"/>
  <c r="D159" i="85"/>
  <c r="J159" i="85"/>
  <c r="J161" i="85"/>
  <c r="G164" i="85"/>
  <c r="J164" i="85" s="1"/>
  <c r="N164" i="85"/>
  <c r="E123" i="87"/>
  <c r="E171" i="87"/>
  <c r="E126" i="87"/>
  <c r="E139" i="87"/>
  <c r="E94" i="87"/>
  <c r="H95" i="87"/>
  <c r="E104" i="87"/>
  <c r="H132" i="87"/>
  <c r="O132" i="87"/>
  <c r="L143" i="87"/>
  <c r="M148" i="87"/>
  <c r="G80" i="88"/>
  <c r="K90" i="88"/>
  <c r="E145" i="87"/>
  <c r="E91" i="87"/>
  <c r="I132" i="87"/>
  <c r="P132" i="87"/>
  <c r="F143" i="87"/>
  <c r="M143" i="87"/>
  <c r="N148" i="87"/>
  <c r="J161" i="87"/>
  <c r="G164" i="87"/>
  <c r="J164" i="87" s="1"/>
  <c r="P80" i="88"/>
  <c r="H80" i="88"/>
  <c r="J93" i="88"/>
  <c r="E172" i="87"/>
  <c r="E140" i="87"/>
  <c r="G148" i="87"/>
  <c r="K93" i="88"/>
  <c r="G102" i="88"/>
  <c r="K110" i="88"/>
  <c r="V2" i="87"/>
  <c r="E105" i="87"/>
  <c r="H127" i="87"/>
  <c r="N127" i="87"/>
  <c r="E130" i="87"/>
  <c r="E132" i="87" s="1"/>
  <c r="H143" i="87"/>
  <c r="K159" i="87"/>
  <c r="O159" i="87"/>
  <c r="J91" i="88"/>
  <c r="H102" i="88"/>
  <c r="K108" i="88"/>
  <c r="E170" i="87"/>
  <c r="E138" i="87"/>
  <c r="E146" i="87"/>
  <c r="E142" i="87"/>
  <c r="E136" i="87"/>
  <c r="E90" i="87"/>
  <c r="E92" i="87"/>
  <c r="I127" i="87"/>
  <c r="O127" i="87"/>
  <c r="K123" i="87"/>
  <c r="I143" i="87"/>
  <c r="O148" i="87"/>
  <c r="I159" i="87"/>
  <c r="M80" i="88"/>
  <c r="J76" i="88"/>
  <c r="E114" i="87"/>
  <c r="E116" i="87" s="1"/>
  <c r="L148" i="87"/>
  <c r="K161" i="87"/>
  <c r="P114" i="88"/>
  <c r="K126" i="88"/>
  <c r="K128" i="88"/>
  <c r="H131" i="88"/>
  <c r="I148" i="88"/>
  <c r="J165" i="88"/>
  <c r="AN36" i="23"/>
  <c r="X38" i="23"/>
  <c r="X43" i="23"/>
  <c r="X44" i="23" s="1"/>
  <c r="AB44" i="23"/>
  <c r="AV42" i="23"/>
  <c r="G114" i="88"/>
  <c r="M136" i="88"/>
  <c r="AR42" i="23"/>
  <c r="AN40" i="23"/>
  <c r="AN41" i="23"/>
  <c r="O102" i="88"/>
  <c r="H114" i="88"/>
  <c r="N114" i="88"/>
  <c r="J125" i="88"/>
  <c r="N148" i="88"/>
  <c r="O153" i="88"/>
  <c r="G170" i="88"/>
  <c r="J170" i="88" s="1"/>
  <c r="J167" i="88"/>
  <c r="M131" i="88"/>
  <c r="O148" i="88"/>
  <c r="G148" i="88"/>
  <c r="P153" i="88"/>
  <c r="L165" i="88"/>
  <c r="H170" i="88"/>
  <c r="K170" i="88" s="1"/>
  <c r="AZ42" i="23"/>
  <c r="AV10" i="23"/>
  <c r="K40" i="23"/>
  <c r="AA41" i="23"/>
  <c r="K167" i="88"/>
  <c r="X6" i="23"/>
  <c r="X9" i="23"/>
  <c r="X14" i="23"/>
  <c r="X15" i="23" s="1"/>
  <c r="X20" i="23"/>
  <c r="X24" i="23"/>
  <c r="AR33" i="23"/>
  <c r="AV34" i="23"/>
  <c r="C146" i="63" s="1"/>
  <c r="C152" i="63" s="1"/>
  <c r="AB37" i="23"/>
  <c r="L40" i="23"/>
  <c r="AJ40" i="23"/>
  <c r="C149" i="61" s="1"/>
  <c r="K158" i="88"/>
  <c r="K165" i="88" s="1"/>
  <c r="AV14" i="23"/>
  <c r="W35" i="23"/>
  <c r="W43" i="23"/>
  <c r="W44" i="23" s="1"/>
  <c r="AJ35" i="23"/>
  <c r="AN9" i="23"/>
  <c r="AN10" i="23" s="1"/>
  <c r="AZ14" i="23"/>
  <c r="G31" i="23"/>
  <c r="AM33" i="23"/>
  <c r="AM38" i="23" s="1"/>
  <c r="X7" i="23"/>
  <c r="AN26" i="23"/>
  <c r="AN28" i="23" s="1"/>
  <c r="X28" i="23"/>
  <c r="X29" i="23"/>
  <c r="H31" i="23"/>
  <c r="E176" i="88"/>
  <c r="E73" i="88"/>
  <c r="E80" i="88" s="1"/>
  <c r="D170" i="88"/>
  <c r="D181" i="88"/>
  <c r="E85" i="88"/>
  <c r="F170" i="88"/>
  <c r="F119" i="88"/>
  <c r="F136" i="88"/>
  <c r="F85" i="88"/>
  <c r="D102" i="88"/>
  <c r="D119" i="88"/>
  <c r="D131" i="88"/>
  <c r="F80" i="88"/>
  <c r="D85" i="88"/>
  <c r="V2" i="88"/>
  <c r="E93" i="88"/>
  <c r="E90" i="88"/>
  <c r="D165" i="88"/>
  <c r="E124" i="88"/>
  <c r="E131" i="88" s="1"/>
  <c r="F97" i="88"/>
  <c r="F102" i="88"/>
  <c r="E119" i="88"/>
  <c r="D153" i="88"/>
  <c r="F181" i="88"/>
  <c r="E99" i="88"/>
  <c r="E114" i="88"/>
  <c r="F114" i="88"/>
  <c r="F131" i="88"/>
  <c r="F148" i="88"/>
  <c r="F165" i="88"/>
  <c r="D80" i="88"/>
  <c r="D97" i="88"/>
  <c r="E143" i="88"/>
  <c r="D114" i="88"/>
  <c r="D136" i="88"/>
  <c r="D148" i="88"/>
  <c r="F153" i="88"/>
  <c r="E165" i="88"/>
  <c r="E100" i="88"/>
  <c r="E147" i="88"/>
  <c r="E150" i="88"/>
  <c r="E168" i="88"/>
  <c r="E170" i="88" s="1"/>
  <c r="E92" i="88"/>
  <c r="E133" i="88"/>
  <c r="E136" i="88" s="1"/>
  <c r="E142" i="88"/>
  <c r="E144" i="88"/>
  <c r="E96" i="88"/>
  <c r="E151" i="88"/>
  <c r="E91" i="88"/>
  <c r="E141" i="88"/>
  <c r="J114" i="43" l="1"/>
  <c r="L142" i="62"/>
  <c r="M160" i="57"/>
  <c r="X8" i="78"/>
  <c r="V8" i="78"/>
  <c r="G9" i="86"/>
  <c r="K89" i="50"/>
  <c r="C42" i="21"/>
  <c r="L156" i="62"/>
  <c r="AG55" i="78"/>
  <c r="AE6" i="78"/>
  <c r="Q6" i="78" s="1"/>
  <c r="E192" i="70"/>
  <c r="L72" i="3"/>
  <c r="D72" i="86"/>
  <c r="F107" i="56"/>
  <c r="L26" i="1"/>
  <c r="F134" i="22"/>
  <c r="H62" i="7"/>
  <c r="AJ15" i="78"/>
  <c r="V15" i="78" s="1"/>
  <c r="V63" i="78" s="1"/>
  <c r="J41" i="81"/>
  <c r="C106" i="84" s="1"/>
  <c r="K106" i="84" s="1"/>
  <c r="F9" i="86"/>
  <c r="C75" i="85" s="1"/>
  <c r="K75" i="85" s="1"/>
  <c r="F21" i="1"/>
  <c r="D7" i="21"/>
  <c r="G132" i="22"/>
  <c r="I122" i="2"/>
  <c r="AI13" i="78"/>
  <c r="I9" i="86"/>
  <c r="B107" i="85" s="1"/>
  <c r="J107" i="85" s="1"/>
  <c r="F124" i="61"/>
  <c r="M26" i="1"/>
  <c r="AE7" i="78"/>
  <c r="Q7" i="78" s="1"/>
  <c r="H67" i="3"/>
  <c r="E132" i="22"/>
  <c r="AH6" i="78"/>
  <c r="T6" i="78" s="1"/>
  <c r="AG15" i="78"/>
  <c r="S15" i="78" s="1"/>
  <c r="S63" i="78" s="1"/>
  <c r="Q43" i="66"/>
  <c r="U43" i="66" s="1"/>
  <c r="L9" i="86"/>
  <c r="C123" i="85" s="1"/>
  <c r="K123" i="85" s="1"/>
  <c r="G103" i="15"/>
  <c r="B140" i="69"/>
  <c r="J140" i="69" s="1"/>
  <c r="B129" i="22"/>
  <c r="B105" i="6"/>
  <c r="L154" i="62"/>
  <c r="AF13" i="78"/>
  <c r="R13" i="78" s="1"/>
  <c r="K122" i="19"/>
  <c r="G109" i="41"/>
  <c r="L85" i="53"/>
  <c r="AI14" i="78"/>
  <c r="U14" i="78" s="1"/>
  <c r="U31" i="73"/>
  <c r="F7" i="86"/>
  <c r="C136" i="69"/>
  <c r="K136" i="69" s="1"/>
  <c r="E7" i="86"/>
  <c r="B73" i="85" s="1"/>
  <c r="B135" i="22"/>
  <c r="T26" i="66"/>
  <c r="I26" i="66"/>
  <c r="B151" i="69" s="1"/>
  <c r="J151" i="69" s="1"/>
  <c r="Q24" i="66"/>
  <c r="H7" i="86"/>
  <c r="C89" i="85" s="1"/>
  <c r="K89" i="85" s="1"/>
  <c r="L145" i="57"/>
  <c r="E111" i="45"/>
  <c r="K108" i="17"/>
  <c r="I83" i="6"/>
  <c r="F103" i="43"/>
  <c r="R43" i="66"/>
  <c r="D61" i="67"/>
  <c r="D63" i="73"/>
  <c r="G40" i="23"/>
  <c r="B108" i="45" s="1"/>
  <c r="B111" i="45" s="1"/>
  <c r="J44" i="66"/>
  <c r="C152" i="70" s="1"/>
  <c r="K152" i="70" s="1"/>
  <c r="AN16" i="81"/>
  <c r="G7" i="86"/>
  <c r="J7" i="86"/>
  <c r="F88" i="47"/>
  <c r="F107" i="38"/>
  <c r="F110" i="38" s="1"/>
  <c r="F132" i="22"/>
  <c r="H87" i="6"/>
  <c r="C22" i="9"/>
  <c r="I22" i="9" s="1"/>
  <c r="M72" i="3"/>
  <c r="K126" i="57"/>
  <c r="E98" i="72"/>
  <c r="I44" i="66"/>
  <c r="B152" i="70" s="1"/>
  <c r="J152" i="70" s="1"/>
  <c r="D61" i="73"/>
  <c r="D64" i="73" s="1"/>
  <c r="L22" i="73"/>
  <c r="C117" i="74" s="1"/>
  <c r="L57" i="54"/>
  <c r="N98" i="49"/>
  <c r="K93" i="17"/>
  <c r="C130" i="22"/>
  <c r="B121" i="17"/>
  <c r="K41" i="81"/>
  <c r="B122" i="84" s="1"/>
  <c r="J122" i="84" s="1"/>
  <c r="S43" i="66"/>
  <c r="Q26" i="66"/>
  <c r="K129" i="22"/>
  <c r="K132" i="2"/>
  <c r="B94" i="22"/>
  <c r="K94" i="22" s="1"/>
  <c r="K138" i="68"/>
  <c r="I82" i="6"/>
  <c r="H94" i="6"/>
  <c r="V26" i="66"/>
  <c r="T27" i="66"/>
  <c r="H80" i="7"/>
  <c r="B113" i="6"/>
  <c r="B114" i="6" s="1"/>
  <c r="M98" i="49"/>
  <c r="W41" i="23"/>
  <c r="L7" i="86"/>
  <c r="K7" i="86"/>
  <c r="K103" i="56"/>
  <c r="K160" i="57"/>
  <c r="C126" i="22"/>
  <c r="H70" i="3"/>
  <c r="F124" i="63"/>
  <c r="F112" i="43"/>
  <c r="K57" i="54"/>
  <c r="AG43" i="86"/>
  <c r="S43" i="86" s="1"/>
  <c r="S60" i="86" s="1"/>
  <c r="E110" i="38"/>
  <c r="H103" i="2"/>
  <c r="F72" i="3"/>
  <c r="F44" i="81"/>
  <c r="C77" i="84" s="1"/>
  <c r="K77" i="84" s="1"/>
  <c r="T24" i="66"/>
  <c r="E47" i="86"/>
  <c r="B77" i="88" s="1"/>
  <c r="J77" i="88" s="1"/>
  <c r="G119" i="25"/>
  <c r="E113" i="44"/>
  <c r="E72" i="3"/>
  <c r="J72" i="3"/>
  <c r="F110" i="44"/>
  <c r="AZ38" i="23"/>
  <c r="C114" i="89"/>
  <c r="K114" i="89" s="1"/>
  <c r="C100" i="89"/>
  <c r="K100" i="89" s="1"/>
  <c r="K100" i="91"/>
  <c r="B114" i="89"/>
  <c r="J114" i="89" s="1"/>
  <c r="B100" i="89"/>
  <c r="J100" i="89" s="1"/>
  <c r="B72" i="89"/>
  <c r="J72" i="89" s="1"/>
  <c r="C72" i="89"/>
  <c r="K72" i="89" s="1"/>
  <c r="B86" i="89"/>
  <c r="J86" i="89" s="1"/>
  <c r="C86" i="89"/>
  <c r="K86" i="89" s="1"/>
  <c r="J138" i="64"/>
  <c r="P111" i="53"/>
  <c r="N111" i="53"/>
  <c r="K122" i="56"/>
  <c r="P107" i="55"/>
  <c r="F56" i="78"/>
  <c r="N56" i="78" s="1"/>
  <c r="N7" i="78"/>
  <c r="H54" i="67"/>
  <c r="K38" i="73"/>
  <c r="B117" i="75" s="1"/>
  <c r="H42" i="81"/>
  <c r="C91" i="84" s="1"/>
  <c r="K91" i="84" s="1"/>
  <c r="L42" i="86"/>
  <c r="Q110" i="39"/>
  <c r="G42" i="81"/>
  <c r="B91" i="84" s="1"/>
  <c r="J91" i="84" s="1"/>
  <c r="C131" i="22"/>
  <c r="C128" i="22"/>
  <c r="H71" i="3"/>
  <c r="M152" i="68"/>
  <c r="M8" i="78"/>
  <c r="F42" i="81"/>
  <c r="N42" i="81" s="1"/>
  <c r="C139" i="84" s="1"/>
  <c r="K139" i="84" s="1"/>
  <c r="K42" i="81"/>
  <c r="B123" i="84" s="1"/>
  <c r="J123" i="84" s="1"/>
  <c r="O94" i="49"/>
  <c r="B130" i="22"/>
  <c r="F55" i="78"/>
  <c r="I42" i="86"/>
  <c r="J42" i="81"/>
  <c r="C107" i="84" s="1"/>
  <c r="K107" i="84" s="1"/>
  <c r="G119" i="17"/>
  <c r="M137" i="56"/>
  <c r="E56" i="78"/>
  <c r="J42" i="86"/>
  <c r="I42" i="81"/>
  <c r="B107" i="84" s="1"/>
  <c r="J107" i="84" s="1"/>
  <c r="E42" i="86"/>
  <c r="F91" i="44"/>
  <c r="C135" i="2"/>
  <c r="C136" i="2" s="1"/>
  <c r="H75" i="3"/>
  <c r="L77" i="50"/>
  <c r="O114" i="43"/>
  <c r="I25" i="1"/>
  <c r="G123" i="17"/>
  <c r="L128" i="62"/>
  <c r="E95" i="82"/>
  <c r="F10" i="78"/>
  <c r="F13" i="78" s="1"/>
  <c r="J108" i="75"/>
  <c r="AF61" i="86"/>
  <c r="D48" i="86"/>
  <c r="F103" i="56"/>
  <c r="C134" i="22"/>
  <c r="L134" i="22" s="1"/>
  <c r="C113" i="6"/>
  <c r="C114" i="6" s="1"/>
  <c r="B131" i="22"/>
  <c r="C35" i="21"/>
  <c r="E175" i="83"/>
  <c r="G56" i="78"/>
  <c r="N152" i="68"/>
  <c r="E26" i="78"/>
  <c r="E31" i="78" s="1"/>
  <c r="H52" i="67"/>
  <c r="L9" i="73"/>
  <c r="C120" i="72" s="1"/>
  <c r="K120" i="72" s="1"/>
  <c r="L147" i="58"/>
  <c r="F111" i="41"/>
  <c r="F113" i="41" s="1"/>
  <c r="E104" i="35"/>
  <c r="G58" i="9"/>
  <c r="G60" i="9" s="1"/>
  <c r="G110" i="6"/>
  <c r="D4" i="9"/>
  <c r="D49" i="9" s="1"/>
  <c r="J49" i="9" s="1"/>
  <c r="C128" i="2"/>
  <c r="L89" i="50"/>
  <c r="D43" i="9"/>
  <c r="D45" i="9" s="1"/>
  <c r="B113" i="17"/>
  <c r="L128" i="22"/>
  <c r="L26" i="90"/>
  <c r="C114" i="91" s="1"/>
  <c r="K114" i="91" s="1"/>
  <c r="E152" i="76"/>
  <c r="E140" i="69"/>
  <c r="K142" i="68"/>
  <c r="M25" i="78"/>
  <c r="F47" i="73"/>
  <c r="J47" i="73"/>
  <c r="C112" i="75" s="1"/>
  <c r="K112" i="75" s="1"/>
  <c r="E42" i="81"/>
  <c r="H42" i="86"/>
  <c r="L142" i="61"/>
  <c r="L130" i="57"/>
  <c r="I101" i="6"/>
  <c r="R10" i="66"/>
  <c r="I100" i="6"/>
  <c r="I71" i="3"/>
  <c r="P79" i="54"/>
  <c r="N152" i="63"/>
  <c r="P156" i="63"/>
  <c r="K142" i="63"/>
  <c r="L116" i="43"/>
  <c r="O163" i="58"/>
  <c r="H113" i="41"/>
  <c r="K113" i="41" s="1"/>
  <c r="M111" i="53"/>
  <c r="P155" i="69"/>
  <c r="L156" i="68"/>
  <c r="P161" i="70"/>
  <c r="O159" i="69"/>
  <c r="U24" i="73"/>
  <c r="O156" i="68"/>
  <c r="P107" i="53"/>
  <c r="N104" i="35"/>
  <c r="X36" i="23"/>
  <c r="H129" i="2"/>
  <c r="F95" i="37"/>
  <c r="F26" i="90"/>
  <c r="C72" i="91" s="1"/>
  <c r="K72" i="91" s="1"/>
  <c r="I69" i="3"/>
  <c r="G104" i="35"/>
  <c r="E145" i="89"/>
  <c r="R24" i="66"/>
  <c r="B127" i="2"/>
  <c r="H127" i="2" s="1"/>
  <c r="L98" i="22"/>
  <c r="L126" i="22" s="1"/>
  <c r="K138" i="61"/>
  <c r="F114" i="45"/>
  <c r="D21" i="9"/>
  <c r="J21" i="9" s="1"/>
  <c r="L77" i="25"/>
  <c r="C4" i="9"/>
  <c r="I4" i="9" s="1"/>
  <c r="J47" i="86"/>
  <c r="C111" i="88" s="1"/>
  <c r="K111" i="88" s="1"/>
  <c r="H50" i="9"/>
  <c r="F91" i="17"/>
  <c r="J142" i="64"/>
  <c r="T40" i="66"/>
  <c r="C117" i="17"/>
  <c r="L117" i="17" s="1"/>
  <c r="G26" i="90"/>
  <c r="B86" i="91" s="1"/>
  <c r="J86" i="91" s="1"/>
  <c r="N58" i="3"/>
  <c r="L129" i="60"/>
  <c r="H68" i="6"/>
  <c r="F138" i="61"/>
  <c r="F112" i="25"/>
  <c r="B101" i="15"/>
  <c r="H101" i="15" s="1"/>
  <c r="H58" i="3"/>
  <c r="C130" i="2"/>
  <c r="J110" i="6"/>
  <c r="I47" i="86"/>
  <c r="B111" i="88" s="1"/>
  <c r="J111" i="88" s="1"/>
  <c r="I43" i="90"/>
  <c r="E117" i="89"/>
  <c r="E131" i="89"/>
  <c r="E121" i="89"/>
  <c r="L122" i="19"/>
  <c r="K26" i="90"/>
  <c r="B114" i="91" s="1"/>
  <c r="J114" i="91" s="1"/>
  <c r="F112" i="41"/>
  <c r="N56" i="3"/>
  <c r="E109" i="41"/>
  <c r="H56" i="3"/>
  <c r="V31" i="73"/>
  <c r="H69" i="3"/>
  <c r="L141" i="57"/>
  <c r="C8" i="21"/>
  <c r="E163" i="89"/>
  <c r="F25" i="9"/>
  <c r="K72" i="3"/>
  <c r="N11" i="66"/>
  <c r="N12" i="66" s="1"/>
  <c r="N110" i="6"/>
  <c r="F111" i="44"/>
  <c r="F125" i="60"/>
  <c r="P98" i="49"/>
  <c r="H92" i="6"/>
  <c r="B109" i="6"/>
  <c r="H109" i="6" s="1"/>
  <c r="L131" i="58"/>
  <c r="L110" i="6"/>
  <c r="J135" i="69"/>
  <c r="Q98" i="49"/>
  <c r="M132" i="2"/>
  <c r="E110" i="6"/>
  <c r="AN24" i="23"/>
  <c r="E129" i="69"/>
  <c r="E149" i="89"/>
  <c r="E159" i="69"/>
  <c r="M40" i="78"/>
  <c r="B134" i="80" s="1"/>
  <c r="J134" i="80" s="1"/>
  <c r="AE26" i="73"/>
  <c r="J41" i="66"/>
  <c r="C149" i="70" s="1"/>
  <c r="K149" i="70" s="1"/>
  <c r="F153" i="60"/>
  <c r="F89" i="41"/>
  <c r="B108" i="7"/>
  <c r="B109" i="7" s="1"/>
  <c r="F36" i="1"/>
  <c r="C127" i="2"/>
  <c r="I127" i="2" s="1"/>
  <c r="E93" i="72"/>
  <c r="K41" i="73"/>
  <c r="B120" i="75" s="1"/>
  <c r="J120" i="75" s="1"/>
  <c r="E10" i="66"/>
  <c r="K85" i="53"/>
  <c r="H52" i="9"/>
  <c r="J45" i="9"/>
  <c r="F139" i="60"/>
  <c r="G110" i="38"/>
  <c r="F112" i="38"/>
  <c r="F113" i="38" s="1"/>
  <c r="F92" i="43"/>
  <c r="F103" i="15"/>
  <c r="F105" i="7"/>
  <c r="J43" i="9"/>
  <c r="L103" i="56"/>
  <c r="R7" i="66"/>
  <c r="V7" i="66" s="1"/>
  <c r="I27" i="66"/>
  <c r="B152" i="69" s="1"/>
  <c r="J152" i="69" s="1"/>
  <c r="D20" i="9"/>
  <c r="L89" i="17"/>
  <c r="K74" i="17"/>
  <c r="I52" i="67"/>
  <c r="D12" i="86"/>
  <c r="H10" i="86"/>
  <c r="M107" i="55"/>
  <c r="AN16" i="86"/>
  <c r="L132" i="2"/>
  <c r="AG67" i="86"/>
  <c r="K8" i="86"/>
  <c r="B122" i="85" s="1"/>
  <c r="J122" i="85" s="1"/>
  <c r="K126" i="19"/>
  <c r="Q67" i="86"/>
  <c r="E106" i="37"/>
  <c r="G105" i="7"/>
  <c r="E123" i="17"/>
  <c r="R27" i="66"/>
  <c r="V27" i="66" s="1"/>
  <c r="I10" i="86"/>
  <c r="B108" i="85" s="1"/>
  <c r="J108" i="85" s="1"/>
  <c r="K159" i="58"/>
  <c r="L155" i="69"/>
  <c r="K6" i="73"/>
  <c r="B117" i="72" s="1"/>
  <c r="J117" i="72" s="1"/>
  <c r="F10" i="86"/>
  <c r="L8" i="86"/>
  <c r="I49" i="3"/>
  <c r="E119" i="25"/>
  <c r="I21" i="67"/>
  <c r="C152" i="61"/>
  <c r="E28" i="66"/>
  <c r="E33" i="66" s="1"/>
  <c r="J27" i="66"/>
  <c r="C152" i="69" s="1"/>
  <c r="K152" i="69" s="1"/>
  <c r="F8" i="86"/>
  <c r="K77" i="50"/>
  <c r="K107" i="55"/>
  <c r="G10" i="86"/>
  <c r="B92" i="85" s="1"/>
  <c r="J92" i="85" s="1"/>
  <c r="E123" i="76"/>
  <c r="AE57" i="86"/>
  <c r="F156" i="57"/>
  <c r="I87" i="6"/>
  <c r="G114" i="43"/>
  <c r="C6" i="9"/>
  <c r="I6" i="9" s="1"/>
  <c r="K23" i="73"/>
  <c r="B118" i="74" s="1"/>
  <c r="J118" i="74" s="1"/>
  <c r="K10" i="86"/>
  <c r="G8" i="86"/>
  <c r="F168" i="56"/>
  <c r="F51" i="9"/>
  <c r="Q6" i="66"/>
  <c r="U6" i="66" s="1"/>
  <c r="L137" i="56"/>
  <c r="L152" i="63"/>
  <c r="L8" i="73"/>
  <c r="C119" i="72" s="1"/>
  <c r="K119" i="72" s="1"/>
  <c r="E10" i="86"/>
  <c r="F101" i="50"/>
  <c r="E103" i="15"/>
  <c r="D19" i="21"/>
  <c r="F19" i="21" s="1"/>
  <c r="I100" i="15"/>
  <c r="D43" i="1"/>
  <c r="F43" i="1" s="1"/>
  <c r="L138" i="61"/>
  <c r="AB41" i="23"/>
  <c r="J10" i="86"/>
  <c r="C4" i="21"/>
  <c r="L138" i="63"/>
  <c r="G115" i="25"/>
  <c r="O152" i="64"/>
  <c r="B108" i="74"/>
  <c r="J108" i="74" s="1"/>
  <c r="Q27" i="66"/>
  <c r="AM7" i="81"/>
  <c r="F112" i="44"/>
  <c r="K128" i="63"/>
  <c r="K56" i="78"/>
  <c r="B99" i="7"/>
  <c r="C13" i="21"/>
  <c r="C14" i="21" s="1"/>
  <c r="C129" i="2"/>
  <c r="I129" i="2" s="1"/>
  <c r="E135" i="89"/>
  <c r="E187" i="89"/>
  <c r="AN14" i="86"/>
  <c r="Q100" i="47"/>
  <c r="N107" i="55"/>
  <c r="I113" i="44"/>
  <c r="L113" i="44" s="1"/>
  <c r="AL34" i="86"/>
  <c r="P104" i="35"/>
  <c r="O106" i="37"/>
  <c r="N117" i="50"/>
  <c r="U67" i="81"/>
  <c r="S7" i="81"/>
  <c r="S11" i="81" s="1"/>
  <c r="AE11" i="86"/>
  <c r="P137" i="56"/>
  <c r="J43" i="90"/>
  <c r="J60" i="90" s="1"/>
  <c r="B142" i="89"/>
  <c r="J142" i="89" s="1"/>
  <c r="C26" i="1"/>
  <c r="K131" i="58"/>
  <c r="E26" i="90"/>
  <c r="B72" i="91" s="1"/>
  <c r="J72" i="91" s="1"/>
  <c r="H43" i="90"/>
  <c r="C142" i="89"/>
  <c r="K142" i="89" s="1"/>
  <c r="F94" i="35"/>
  <c r="B128" i="89"/>
  <c r="J128" i="89" s="1"/>
  <c r="C128" i="89"/>
  <c r="K128" i="89" s="1"/>
  <c r="I26" i="90"/>
  <c r="B100" i="91" s="1"/>
  <c r="J100" i="91" s="1"/>
  <c r="V67" i="86"/>
  <c r="Q79" i="54"/>
  <c r="K43" i="90"/>
  <c r="F43" i="90"/>
  <c r="F60" i="90" s="1"/>
  <c r="L41" i="90"/>
  <c r="M41" i="90"/>
  <c r="N41" i="90"/>
  <c r="O41" i="90"/>
  <c r="P41" i="90"/>
  <c r="J40" i="90"/>
  <c r="M40" i="90"/>
  <c r="N40" i="90"/>
  <c r="P40" i="90"/>
  <c r="O40" i="90"/>
  <c r="K42" i="90"/>
  <c r="P42" i="90"/>
  <c r="M42" i="90"/>
  <c r="N42" i="90"/>
  <c r="O42" i="90"/>
  <c r="J42" i="90"/>
  <c r="L45" i="90"/>
  <c r="M45" i="90"/>
  <c r="N45" i="90"/>
  <c r="O45" i="90"/>
  <c r="P45" i="90"/>
  <c r="E42" i="90"/>
  <c r="G43" i="90"/>
  <c r="M43" i="90"/>
  <c r="N43" i="90"/>
  <c r="O43" i="90"/>
  <c r="P43" i="90"/>
  <c r="R44" i="90"/>
  <c r="G42" i="90"/>
  <c r="L42" i="90"/>
  <c r="H42" i="90"/>
  <c r="Q44" i="90"/>
  <c r="L40" i="90"/>
  <c r="G45" i="90"/>
  <c r="I45" i="90"/>
  <c r="H45" i="90"/>
  <c r="K45" i="90"/>
  <c r="J41" i="90"/>
  <c r="K40" i="90"/>
  <c r="Q9" i="90"/>
  <c r="F40" i="90"/>
  <c r="E45" i="90"/>
  <c r="J45" i="90"/>
  <c r="G41" i="90"/>
  <c r="R9" i="90"/>
  <c r="K8" i="90"/>
  <c r="P8" i="90"/>
  <c r="O8" i="90"/>
  <c r="N8" i="90"/>
  <c r="M8" i="90"/>
  <c r="E41" i="90"/>
  <c r="N10" i="90"/>
  <c r="O10" i="90"/>
  <c r="M10" i="90"/>
  <c r="P10" i="90"/>
  <c r="I40" i="90"/>
  <c r="R28" i="90"/>
  <c r="C158" i="91" s="1"/>
  <c r="K41" i="90"/>
  <c r="Q28" i="90"/>
  <c r="B158" i="91" s="1"/>
  <c r="P11" i="90"/>
  <c r="K144" i="91" s="1"/>
  <c r="O11" i="90"/>
  <c r="J144" i="91" s="1"/>
  <c r="N11" i="90"/>
  <c r="K130" i="91" s="1"/>
  <c r="M11" i="90"/>
  <c r="J130" i="91" s="1"/>
  <c r="F45" i="90"/>
  <c r="G40" i="90"/>
  <c r="H40" i="90"/>
  <c r="F41" i="90"/>
  <c r="N6" i="90"/>
  <c r="M6" i="90"/>
  <c r="O6" i="90"/>
  <c r="P6" i="90"/>
  <c r="E43" i="90"/>
  <c r="I41" i="90"/>
  <c r="H41" i="90"/>
  <c r="P7" i="90"/>
  <c r="O7" i="90"/>
  <c r="N7" i="90"/>
  <c r="M7" i="90"/>
  <c r="L25" i="90"/>
  <c r="C113" i="91" s="1"/>
  <c r="M25" i="90"/>
  <c r="B127" i="91" s="1"/>
  <c r="N25" i="90"/>
  <c r="C127" i="91" s="1"/>
  <c r="O25" i="90"/>
  <c r="B141" i="91" s="1"/>
  <c r="P25" i="90"/>
  <c r="C141" i="91" s="1"/>
  <c r="H26" i="90"/>
  <c r="C86" i="91" s="1"/>
  <c r="K86" i="91" s="1"/>
  <c r="M26" i="90"/>
  <c r="B128" i="91" s="1"/>
  <c r="J128" i="91" s="1"/>
  <c r="N26" i="90"/>
  <c r="C128" i="91" s="1"/>
  <c r="K128" i="91" s="1"/>
  <c r="O26" i="90"/>
  <c r="B142" i="91" s="1"/>
  <c r="J142" i="91" s="1"/>
  <c r="P26" i="90"/>
  <c r="C142" i="91" s="1"/>
  <c r="K142" i="91" s="1"/>
  <c r="K23" i="90"/>
  <c r="B111" i="91" s="1"/>
  <c r="P23" i="90"/>
  <c r="C139" i="91" s="1"/>
  <c r="O23" i="90"/>
  <c r="B139" i="91" s="1"/>
  <c r="N23" i="90"/>
  <c r="C125" i="91" s="1"/>
  <c r="M23" i="90"/>
  <c r="B125" i="91" s="1"/>
  <c r="H27" i="90"/>
  <c r="C87" i="91" s="1"/>
  <c r="M27" i="90"/>
  <c r="B129" i="91" s="1"/>
  <c r="N27" i="90"/>
  <c r="C129" i="91" s="1"/>
  <c r="O27" i="90"/>
  <c r="B143" i="91" s="1"/>
  <c r="P27" i="90"/>
  <c r="C143" i="91" s="1"/>
  <c r="M24" i="90"/>
  <c r="B126" i="91" s="1"/>
  <c r="N24" i="90"/>
  <c r="C126" i="91" s="1"/>
  <c r="O24" i="90"/>
  <c r="B140" i="91" s="1"/>
  <c r="P24" i="90"/>
  <c r="C140" i="91" s="1"/>
  <c r="L23" i="90"/>
  <c r="C111" i="91" s="1"/>
  <c r="E27" i="90"/>
  <c r="B73" i="91" s="1"/>
  <c r="E23" i="90"/>
  <c r="B69" i="91" s="1"/>
  <c r="J23" i="90"/>
  <c r="C97" i="91" s="1"/>
  <c r="J27" i="90"/>
  <c r="C101" i="91" s="1"/>
  <c r="I23" i="90"/>
  <c r="B97" i="91" s="1"/>
  <c r="G23" i="90"/>
  <c r="B83" i="91" s="1"/>
  <c r="H23" i="90"/>
  <c r="C83" i="91" s="1"/>
  <c r="L27" i="90"/>
  <c r="C115" i="91" s="1"/>
  <c r="D46" i="90"/>
  <c r="D51" i="90"/>
  <c r="I42" i="90"/>
  <c r="E40" i="90"/>
  <c r="D66" i="90"/>
  <c r="J8" i="90"/>
  <c r="H8" i="90"/>
  <c r="K25" i="90"/>
  <c r="B113" i="91" s="1"/>
  <c r="D67" i="90"/>
  <c r="E8" i="90"/>
  <c r="I8" i="90"/>
  <c r="F27" i="90"/>
  <c r="C73" i="91" s="1"/>
  <c r="K27" i="90"/>
  <c r="B115" i="91" s="1"/>
  <c r="G27" i="90"/>
  <c r="B87" i="91" s="1"/>
  <c r="I27" i="90"/>
  <c r="B101" i="91" s="1"/>
  <c r="D29" i="90"/>
  <c r="L8" i="90"/>
  <c r="G8" i="90"/>
  <c r="L24" i="90"/>
  <c r="C112" i="91" s="1"/>
  <c r="H24" i="90"/>
  <c r="C84" i="91" s="1"/>
  <c r="G24" i="90"/>
  <c r="B84" i="91" s="1"/>
  <c r="F24" i="90"/>
  <c r="C70" i="91" s="1"/>
  <c r="E24" i="90"/>
  <c r="B70" i="91" s="1"/>
  <c r="K24" i="90"/>
  <c r="B112" i="91" s="1"/>
  <c r="J24" i="90"/>
  <c r="C98" i="91" s="1"/>
  <c r="I24" i="90"/>
  <c r="B98" i="91" s="1"/>
  <c r="F8" i="90"/>
  <c r="H25" i="90"/>
  <c r="C85" i="91" s="1"/>
  <c r="I25" i="90"/>
  <c r="B99" i="91" s="1"/>
  <c r="F25" i="90"/>
  <c r="C71" i="91" s="1"/>
  <c r="E25" i="90"/>
  <c r="B71" i="91" s="1"/>
  <c r="J25" i="90"/>
  <c r="C99" i="91" s="1"/>
  <c r="D60" i="90"/>
  <c r="D59" i="90"/>
  <c r="D34" i="90"/>
  <c r="D57" i="90"/>
  <c r="H10" i="90"/>
  <c r="G10" i="90"/>
  <c r="L10" i="90"/>
  <c r="K10" i="90"/>
  <c r="J10" i="90"/>
  <c r="I10" i="90"/>
  <c r="F10" i="90"/>
  <c r="E10" i="90"/>
  <c r="E11" i="90"/>
  <c r="L11" i="90"/>
  <c r="K116" i="91" s="1"/>
  <c r="I11" i="90"/>
  <c r="J102" i="91" s="1"/>
  <c r="G11" i="90"/>
  <c r="J88" i="91" s="1"/>
  <c r="F11" i="90"/>
  <c r="K11" i="90"/>
  <c r="J11" i="90"/>
  <c r="H11" i="90"/>
  <c r="K88" i="91" s="1"/>
  <c r="D62" i="90"/>
  <c r="L6" i="90"/>
  <c r="H6" i="90"/>
  <c r="E6" i="90"/>
  <c r="D12" i="90"/>
  <c r="K6" i="90"/>
  <c r="J6" i="90"/>
  <c r="I6" i="90"/>
  <c r="G6" i="90"/>
  <c r="F6" i="90"/>
  <c r="D17" i="90"/>
  <c r="D58" i="90"/>
  <c r="I7" i="90"/>
  <c r="E7" i="90"/>
  <c r="L7" i="90"/>
  <c r="K7" i="90"/>
  <c r="G7" i="90"/>
  <c r="J7" i="90"/>
  <c r="H7" i="90"/>
  <c r="F7" i="90"/>
  <c r="E93" i="89"/>
  <c r="E89" i="89"/>
  <c r="J109" i="41"/>
  <c r="P160" i="57"/>
  <c r="O157" i="60"/>
  <c r="P111" i="45"/>
  <c r="O11" i="66"/>
  <c r="Q110" i="38"/>
  <c r="AH59" i="86"/>
  <c r="Q107" i="55"/>
  <c r="O109" i="41"/>
  <c r="S9" i="66"/>
  <c r="U9" i="66" s="1"/>
  <c r="AD32" i="73"/>
  <c r="T42" i="86"/>
  <c r="T59" i="86" s="1"/>
  <c r="AF17" i="86"/>
  <c r="S62" i="78"/>
  <c r="AJ66" i="86"/>
  <c r="E159" i="89"/>
  <c r="K93" i="75"/>
  <c r="T41" i="66"/>
  <c r="AG51" i="86"/>
  <c r="K85" i="17"/>
  <c r="C70" i="3"/>
  <c r="I70" i="3" s="1"/>
  <c r="M104" i="35"/>
  <c r="H70" i="6"/>
  <c r="I8" i="66"/>
  <c r="E128" i="74"/>
  <c r="E144" i="83"/>
  <c r="M163" i="58"/>
  <c r="M106" i="37"/>
  <c r="G136" i="22"/>
  <c r="D13" i="9"/>
  <c r="B127" i="22"/>
  <c r="J40" i="81"/>
  <c r="C105" i="84" s="1"/>
  <c r="K105" i="84" s="1"/>
  <c r="Q160" i="57"/>
  <c r="L38" i="73"/>
  <c r="C117" i="75" s="1"/>
  <c r="K117" i="75" s="1"/>
  <c r="I92" i="6"/>
  <c r="K85" i="22"/>
  <c r="K127" i="22" s="1"/>
  <c r="H10" i="73"/>
  <c r="H15" i="73" s="1"/>
  <c r="D57" i="81"/>
  <c r="AH67" i="86"/>
  <c r="N160" i="57"/>
  <c r="H40" i="81"/>
  <c r="H45" i="81" s="1"/>
  <c r="I60" i="81"/>
  <c r="F103" i="55"/>
  <c r="P100" i="47"/>
  <c r="N79" i="54"/>
  <c r="L107" i="55"/>
  <c r="Q117" i="50"/>
  <c r="B72" i="3"/>
  <c r="F152" i="61"/>
  <c r="AJ60" i="86"/>
  <c r="L129" i="22"/>
  <c r="L78" i="45"/>
  <c r="R40" i="66"/>
  <c r="E98" i="74"/>
  <c r="S10" i="66"/>
  <c r="U10" i="66" s="1"/>
  <c r="I61" i="81"/>
  <c r="F107" i="55"/>
  <c r="C19" i="21"/>
  <c r="K156" i="63"/>
  <c r="G113" i="44"/>
  <c r="AN34" i="23"/>
  <c r="E152" i="64"/>
  <c r="F156" i="62"/>
  <c r="P163" i="58"/>
  <c r="M109" i="41"/>
  <c r="K131" i="22"/>
  <c r="H117" i="44"/>
  <c r="K117" i="44" s="1"/>
  <c r="G106" i="37"/>
  <c r="B101" i="7"/>
  <c r="H101" i="7" s="1"/>
  <c r="I42" i="1"/>
  <c r="D18" i="86"/>
  <c r="E181" i="88"/>
  <c r="AI16" i="78"/>
  <c r="K124" i="68"/>
  <c r="M156" i="62"/>
  <c r="L106" i="35"/>
  <c r="O155" i="69"/>
  <c r="N155" i="69"/>
  <c r="L138" i="62"/>
  <c r="O152" i="63"/>
  <c r="AL57" i="86"/>
  <c r="AK60" i="86"/>
  <c r="S51" i="86"/>
  <c r="I114" i="39"/>
  <c r="L114" i="39" s="1"/>
  <c r="O104" i="35"/>
  <c r="O113" i="44"/>
  <c r="J128" i="68"/>
  <c r="Q156" i="63"/>
  <c r="T10" i="66"/>
  <c r="Z32" i="81"/>
  <c r="O117" i="50"/>
  <c r="I113" i="41"/>
  <c r="L113" i="41" s="1"/>
  <c r="U30" i="73"/>
  <c r="I113" i="38"/>
  <c r="L113" i="38" s="1"/>
  <c r="N94" i="49"/>
  <c r="S32" i="73"/>
  <c r="L156" i="70"/>
  <c r="T63" i="78"/>
  <c r="AN15" i="81"/>
  <c r="AK58" i="86"/>
  <c r="AG59" i="86"/>
  <c r="O100" i="47"/>
  <c r="Q109" i="41"/>
  <c r="S67" i="86"/>
  <c r="AJ34" i="81"/>
  <c r="AG65" i="86"/>
  <c r="M156" i="61"/>
  <c r="O96" i="47"/>
  <c r="M113" i="50"/>
  <c r="P109" i="41"/>
  <c r="J22" i="9"/>
  <c r="L63" i="86"/>
  <c r="E132" i="2"/>
  <c r="H55" i="67"/>
  <c r="J55" i="67" s="1"/>
  <c r="B99" i="15"/>
  <c r="H99" i="15" s="1"/>
  <c r="I101" i="2"/>
  <c r="I24" i="1"/>
  <c r="I37" i="1"/>
  <c r="C68" i="3"/>
  <c r="I68" i="3" s="1"/>
  <c r="I55" i="3"/>
  <c r="E101" i="84"/>
  <c r="D34" i="21"/>
  <c r="F34" i="21" s="1"/>
  <c r="J35" i="9"/>
  <c r="F105" i="17"/>
  <c r="C129" i="22"/>
  <c r="AJ44" i="23"/>
  <c r="C155" i="61"/>
  <c r="K126" i="22"/>
  <c r="O156" i="70"/>
  <c r="L152" i="64"/>
  <c r="Q103" i="55"/>
  <c r="M110" i="39"/>
  <c r="Q114" i="43"/>
  <c r="M79" i="54"/>
  <c r="H95" i="6"/>
  <c r="G55" i="67"/>
  <c r="L130" i="22"/>
  <c r="I45" i="86"/>
  <c r="J45" i="86"/>
  <c r="C109" i="88" s="1"/>
  <c r="K109" i="88" s="1"/>
  <c r="J8" i="86"/>
  <c r="C106" i="85" s="1"/>
  <c r="K106" i="85" s="1"/>
  <c r="I8" i="86"/>
  <c r="B106" i="85" s="1"/>
  <c r="J106" i="85" s="1"/>
  <c r="E8" i="86"/>
  <c r="B74" i="85" s="1"/>
  <c r="J74" i="85" s="1"/>
  <c r="E116" i="85"/>
  <c r="F142" i="62"/>
  <c r="K141" i="57"/>
  <c r="J110" i="38"/>
  <c r="AK56" i="78"/>
  <c r="N152" i="62"/>
  <c r="S8" i="66"/>
  <c r="U8" i="66" s="1"/>
  <c r="V66" i="81"/>
  <c r="AH61" i="86"/>
  <c r="AJ11" i="81"/>
  <c r="P96" i="47"/>
  <c r="Q17" i="86"/>
  <c r="S59" i="86"/>
  <c r="AA26" i="73"/>
  <c r="AJ17" i="81"/>
  <c r="AK34" i="86"/>
  <c r="AN8" i="81"/>
  <c r="AM7" i="86"/>
  <c r="O79" i="54"/>
  <c r="N156" i="61"/>
  <c r="N96" i="47"/>
  <c r="P152" i="64"/>
  <c r="T67" i="81"/>
  <c r="N109" i="41"/>
  <c r="M110" i="38"/>
  <c r="AL17" i="86"/>
  <c r="AM40" i="86"/>
  <c r="O153" i="60"/>
  <c r="AG24" i="73"/>
  <c r="M152" i="64"/>
  <c r="L161" i="70"/>
  <c r="M155" i="69"/>
  <c r="N156" i="70"/>
  <c r="Y49" i="86"/>
  <c r="AL11" i="81"/>
  <c r="AH11" i="81"/>
  <c r="AN10" i="81"/>
  <c r="AM9" i="86"/>
  <c r="AL11" i="86"/>
  <c r="N157" i="60"/>
  <c r="Q163" i="58"/>
  <c r="AH57" i="86"/>
  <c r="P94" i="49"/>
  <c r="AH66" i="86"/>
  <c r="AM16" i="86"/>
  <c r="P152" i="68"/>
  <c r="R10" i="81"/>
  <c r="R11" i="81" s="1"/>
  <c r="T6" i="81"/>
  <c r="Z6" i="81" s="1"/>
  <c r="AG30" i="73"/>
  <c r="T44" i="86"/>
  <c r="T61" i="86" s="1"/>
  <c r="AM15" i="81"/>
  <c r="AN9" i="81"/>
  <c r="J104" i="35"/>
  <c r="AE17" i="86"/>
  <c r="Q156" i="57"/>
  <c r="O133" i="56"/>
  <c r="M114" i="43"/>
  <c r="N113" i="44"/>
  <c r="V17" i="86"/>
  <c r="AK7" i="78"/>
  <c r="W43" i="86"/>
  <c r="W60" i="86" s="1"/>
  <c r="AI67" i="86"/>
  <c r="W59" i="86"/>
  <c r="L157" i="60"/>
  <c r="M103" i="55"/>
  <c r="Q111" i="45"/>
  <c r="H113" i="38"/>
  <c r="K113" i="38" s="1"/>
  <c r="H113" i="44"/>
  <c r="K113" i="44" s="1"/>
  <c r="Q157" i="60"/>
  <c r="AK17" i="86"/>
  <c r="AK67" i="86"/>
  <c r="AL58" i="86"/>
  <c r="M153" i="60"/>
  <c r="P156" i="64"/>
  <c r="R66" i="86"/>
  <c r="S66" i="81"/>
  <c r="P157" i="60"/>
  <c r="P103" i="55"/>
  <c r="O113" i="50"/>
  <c r="S66" i="86"/>
  <c r="Q133" i="56"/>
  <c r="P113" i="50"/>
  <c r="AI34" i="81"/>
  <c r="AL34" i="81"/>
  <c r="AE34" i="86"/>
  <c r="O156" i="61"/>
  <c r="J106" i="37"/>
  <c r="E123" i="74"/>
  <c r="E128" i="68"/>
  <c r="U9" i="78"/>
  <c r="H25" i="67"/>
  <c r="H47" i="73"/>
  <c r="C97" i="75" s="1"/>
  <c r="K97" i="75" s="1"/>
  <c r="V24" i="73"/>
  <c r="H14" i="73"/>
  <c r="R8" i="66"/>
  <c r="V8" i="66" s="1"/>
  <c r="W41" i="86"/>
  <c r="D58" i="81"/>
  <c r="D11" i="81"/>
  <c r="F147" i="58"/>
  <c r="F96" i="53"/>
  <c r="M157" i="60"/>
  <c r="F82" i="49"/>
  <c r="Q96" i="47"/>
  <c r="P156" i="68"/>
  <c r="N103" i="55"/>
  <c r="P106" i="37"/>
  <c r="P110" i="38"/>
  <c r="M117" i="50"/>
  <c r="X15" i="78"/>
  <c r="N110" i="39"/>
  <c r="J128" i="76"/>
  <c r="U7" i="66"/>
  <c r="K110" i="6"/>
  <c r="C67" i="3"/>
  <c r="I67" i="3" s="1"/>
  <c r="E156" i="68"/>
  <c r="G25" i="67"/>
  <c r="F128" i="62"/>
  <c r="AI66" i="86"/>
  <c r="N153" i="60"/>
  <c r="I113" i="6"/>
  <c r="C156" i="63"/>
  <c r="L156" i="63" s="1"/>
  <c r="AH61" i="78"/>
  <c r="AH64" i="78" s="1"/>
  <c r="AH9" i="78"/>
  <c r="T9" i="78" s="1"/>
  <c r="AG8" i="78"/>
  <c r="S8" i="78" s="1"/>
  <c r="AJ6" i="78"/>
  <c r="AL6" i="78" s="1"/>
  <c r="AF14" i="78"/>
  <c r="R14" i="78" s="1"/>
  <c r="R62" i="78" s="1"/>
  <c r="AJ7" i="78"/>
  <c r="AH7" i="78"/>
  <c r="T7" i="78" s="1"/>
  <c r="AE9" i="78"/>
  <c r="Q9" i="78" s="1"/>
  <c r="J6" i="86"/>
  <c r="L6" i="86"/>
  <c r="G6" i="86"/>
  <c r="E6" i="86"/>
  <c r="E12" i="86" s="1"/>
  <c r="P117" i="50"/>
  <c r="E100" i="82"/>
  <c r="E112" i="84"/>
  <c r="E124" i="68"/>
  <c r="D56" i="78"/>
  <c r="F156" i="63"/>
  <c r="J50" i="67"/>
  <c r="T44" i="66"/>
  <c r="C93" i="72"/>
  <c r="K93" i="72" s="1"/>
  <c r="I26" i="73"/>
  <c r="I30" i="73" s="1"/>
  <c r="B111" i="74" s="1"/>
  <c r="J111" i="74" s="1"/>
  <c r="U34" i="81"/>
  <c r="F143" i="58"/>
  <c r="F93" i="50"/>
  <c r="F96" i="47"/>
  <c r="I109" i="37"/>
  <c r="L109" i="37" s="1"/>
  <c r="C98" i="15"/>
  <c r="I98" i="15" s="1"/>
  <c r="N156" i="63"/>
  <c r="J111" i="45"/>
  <c r="L131" i="22"/>
  <c r="L113" i="17"/>
  <c r="C93" i="45"/>
  <c r="L93" i="45" s="1"/>
  <c r="C140" i="69"/>
  <c r="K140" i="69" s="1"/>
  <c r="G10" i="66"/>
  <c r="G14" i="66" s="1"/>
  <c r="F127" i="58"/>
  <c r="H110" i="39"/>
  <c r="K110" i="39" s="1"/>
  <c r="O111" i="45"/>
  <c r="O107" i="53"/>
  <c r="I110" i="39"/>
  <c r="L110" i="39" s="1"/>
  <c r="N113" i="50"/>
  <c r="B117" i="17"/>
  <c r="K117" i="17" s="1"/>
  <c r="E123" i="80"/>
  <c r="E174" i="87"/>
  <c r="Q137" i="56"/>
  <c r="F76" i="47"/>
  <c r="L110" i="44"/>
  <c r="F110" i="45"/>
  <c r="F111" i="45" s="1"/>
  <c r="K130" i="22"/>
  <c r="N159" i="69"/>
  <c r="P156" i="61"/>
  <c r="O103" i="55"/>
  <c r="N133" i="56"/>
  <c r="O137" i="56"/>
  <c r="L156" i="64"/>
  <c r="I114" i="43"/>
  <c r="L114" i="43" s="1"/>
  <c r="J110" i="39"/>
  <c r="F142" i="63"/>
  <c r="T9" i="66"/>
  <c r="V9" i="66" s="1"/>
  <c r="D65" i="81"/>
  <c r="D68" i="81" s="1"/>
  <c r="E119" i="17"/>
  <c r="F101" i="25"/>
  <c r="K89" i="17"/>
  <c r="H66" i="7"/>
  <c r="H69" i="6"/>
  <c r="E128" i="64"/>
  <c r="G110" i="39"/>
  <c r="K26" i="1"/>
  <c r="N59" i="3"/>
  <c r="B100" i="50"/>
  <c r="K100" i="50" s="1"/>
  <c r="B102" i="45"/>
  <c r="L94" i="22"/>
  <c r="P114" i="43"/>
  <c r="P113" i="44"/>
  <c r="Q107" i="53"/>
  <c r="J113" i="44"/>
  <c r="P110" i="39"/>
  <c r="N114" i="43"/>
  <c r="X17" i="86"/>
  <c r="F109" i="39"/>
  <c r="C122" i="22"/>
  <c r="L122" i="22" s="1"/>
  <c r="J8" i="67"/>
  <c r="B117" i="50"/>
  <c r="K117" i="50" s="1"/>
  <c r="I56" i="3"/>
  <c r="N100" i="47"/>
  <c r="R67" i="86"/>
  <c r="Z16" i="86"/>
  <c r="R17" i="86"/>
  <c r="E156" i="70"/>
  <c r="E127" i="87"/>
  <c r="E95" i="85"/>
  <c r="AV38" i="23"/>
  <c r="E143" i="82"/>
  <c r="L152" i="68"/>
  <c r="C152" i="68"/>
  <c r="K152" i="68" s="1"/>
  <c r="E54" i="67"/>
  <c r="F124" i="62"/>
  <c r="H46" i="73"/>
  <c r="C96" i="75" s="1"/>
  <c r="K96" i="75" s="1"/>
  <c r="S28" i="86"/>
  <c r="K125" i="60"/>
  <c r="M100" i="47"/>
  <c r="N106" i="37"/>
  <c r="K123" i="76"/>
  <c r="O156" i="64"/>
  <c r="I6" i="66"/>
  <c r="J23" i="81"/>
  <c r="C105" i="83" s="1"/>
  <c r="L23" i="81"/>
  <c r="G23" i="81"/>
  <c r="B89" i="83" s="1"/>
  <c r="J89" i="83" s="1"/>
  <c r="B128" i="2"/>
  <c r="H128" i="2" s="1"/>
  <c r="H102" i="2"/>
  <c r="E167" i="80"/>
  <c r="E152" i="75"/>
  <c r="E123" i="75"/>
  <c r="E145" i="70"/>
  <c r="S7" i="78"/>
  <c r="E148" i="79"/>
  <c r="E187" i="70"/>
  <c r="AN42" i="23"/>
  <c r="E128" i="83"/>
  <c r="E138" i="80"/>
  <c r="E127" i="82"/>
  <c r="E78" i="75"/>
  <c r="F45" i="73"/>
  <c r="R42" i="66"/>
  <c r="AE32" i="73"/>
  <c r="S44" i="66"/>
  <c r="Y15" i="86"/>
  <c r="M159" i="58"/>
  <c r="F133" i="56"/>
  <c r="M152" i="61"/>
  <c r="F141" i="57"/>
  <c r="F159" i="58"/>
  <c r="O110" i="38"/>
  <c r="I95" i="6"/>
  <c r="F108" i="39"/>
  <c r="D36" i="21"/>
  <c r="F36" i="21" s="1"/>
  <c r="J38" i="9"/>
  <c r="C20" i="9"/>
  <c r="I20" i="9" s="1"/>
  <c r="H109" i="7"/>
  <c r="U13" i="78"/>
  <c r="L124" i="63"/>
  <c r="N156" i="57"/>
  <c r="AN35" i="23"/>
  <c r="C147" i="62"/>
  <c r="C104" i="75"/>
  <c r="K104" i="75" s="1"/>
  <c r="L40" i="73"/>
  <c r="C119" i="75" s="1"/>
  <c r="K119" i="75" s="1"/>
  <c r="F102" i="44"/>
  <c r="B122" i="17"/>
  <c r="K122" i="17" s="1"/>
  <c r="C43" i="21"/>
  <c r="C58" i="21" s="1"/>
  <c r="C5" i="21"/>
  <c r="C33" i="21"/>
  <c r="I38" i="1"/>
  <c r="C75" i="79"/>
  <c r="K75" i="79" s="1"/>
  <c r="N25" i="78"/>
  <c r="K156" i="57"/>
  <c r="B122" i="22"/>
  <c r="K122" i="22" s="1"/>
  <c r="K120" i="22"/>
  <c r="I116" i="2"/>
  <c r="D54" i="78"/>
  <c r="H55" i="78"/>
  <c r="AG58" i="78"/>
  <c r="J7" i="67"/>
  <c r="F26" i="73"/>
  <c r="F30" i="73" s="1"/>
  <c r="W66" i="86"/>
  <c r="Q66" i="86"/>
  <c r="F113" i="50"/>
  <c r="Q156" i="61"/>
  <c r="F79" i="54"/>
  <c r="N137" i="56"/>
  <c r="Q113" i="50"/>
  <c r="Q153" i="60"/>
  <c r="Q106" i="37"/>
  <c r="I131" i="2"/>
  <c r="H123" i="2"/>
  <c r="B100" i="7"/>
  <c r="H100" i="7" s="1"/>
  <c r="F10" i="9"/>
  <c r="Q152" i="61"/>
  <c r="H40" i="23"/>
  <c r="C108" i="45" s="1"/>
  <c r="C111" i="45" s="1"/>
  <c r="C115" i="50"/>
  <c r="C74" i="76"/>
  <c r="K74" i="76" s="1"/>
  <c r="N8" i="78"/>
  <c r="W16" i="86"/>
  <c r="W17" i="86" s="1"/>
  <c r="B134" i="22"/>
  <c r="B136" i="22" s="1"/>
  <c r="C127" i="22"/>
  <c r="C37" i="21"/>
  <c r="H89" i="7"/>
  <c r="J20" i="9"/>
  <c r="X30" i="23"/>
  <c r="X40" i="23"/>
  <c r="AJ41" i="23"/>
  <c r="E138" i="64"/>
  <c r="G28" i="66"/>
  <c r="G32" i="66" s="1"/>
  <c r="B142" i="69" s="1"/>
  <c r="S25" i="66"/>
  <c r="P133" i="56"/>
  <c r="M94" i="49"/>
  <c r="M107" i="53"/>
  <c r="K113" i="45"/>
  <c r="G111" i="45"/>
  <c r="Q104" i="35"/>
  <c r="L111" i="43"/>
  <c r="I86" i="7"/>
  <c r="M113" i="44"/>
  <c r="O110" i="39"/>
  <c r="E142" i="64"/>
  <c r="B72" i="75"/>
  <c r="E42" i="73"/>
  <c r="D67" i="66"/>
  <c r="D70" i="66" s="1"/>
  <c r="B115" i="17"/>
  <c r="K115" i="17" s="1"/>
  <c r="K72" i="17"/>
  <c r="J132" i="2"/>
  <c r="H101" i="2"/>
  <c r="H93" i="6"/>
  <c r="C35" i="9"/>
  <c r="X11" i="23"/>
  <c r="E95" i="87"/>
  <c r="E128" i="84"/>
  <c r="E175" i="84"/>
  <c r="E96" i="84"/>
  <c r="E106" i="79"/>
  <c r="E124" i="64"/>
  <c r="F138" i="62"/>
  <c r="D60" i="66"/>
  <c r="G60" i="66" s="1"/>
  <c r="Z7" i="86"/>
  <c r="P153" i="60"/>
  <c r="P159" i="58"/>
  <c r="K127" i="58"/>
  <c r="F142" i="61"/>
  <c r="N110" i="38"/>
  <c r="K135" i="22"/>
  <c r="C116" i="17"/>
  <c r="L116" i="17" s="1"/>
  <c r="L127" i="22"/>
  <c r="I123" i="2"/>
  <c r="C50" i="21"/>
  <c r="H114" i="43"/>
  <c r="K114" i="43" s="1"/>
  <c r="F119" i="17"/>
  <c r="B116" i="17"/>
  <c r="K116" i="17" s="1"/>
  <c r="I96" i="6"/>
  <c r="J138" i="68"/>
  <c r="C100" i="50"/>
  <c r="L100" i="50" s="1"/>
  <c r="C102" i="45"/>
  <c r="AN37" i="23"/>
  <c r="C149" i="62"/>
  <c r="L149" i="62" s="1"/>
  <c r="J24" i="67"/>
  <c r="B118" i="69"/>
  <c r="J118" i="69" s="1"/>
  <c r="I23" i="66"/>
  <c r="B148" i="69" s="1"/>
  <c r="J148" i="69" s="1"/>
  <c r="L25" i="81"/>
  <c r="C123" i="83" s="1"/>
  <c r="K123" i="83" s="1"/>
  <c r="J25" i="81"/>
  <c r="C107" i="83" s="1"/>
  <c r="K107" i="83" s="1"/>
  <c r="G25" i="81"/>
  <c r="B91" i="83" s="1"/>
  <c r="J91" i="83" s="1"/>
  <c r="F25" i="81"/>
  <c r="F28" i="81" s="1"/>
  <c r="F33" i="81" s="1"/>
  <c r="R6" i="66"/>
  <c r="K24" i="81"/>
  <c r="B122" i="83" s="1"/>
  <c r="J122" i="83" s="1"/>
  <c r="I24" i="81"/>
  <c r="B106" i="83" s="1"/>
  <c r="J106" i="83" s="1"/>
  <c r="E105" i="7"/>
  <c r="C38" i="9"/>
  <c r="H96" i="6"/>
  <c r="Q159" i="58"/>
  <c r="O156" i="62"/>
  <c r="P156" i="57"/>
  <c r="N107" i="53"/>
  <c r="V7" i="81"/>
  <c r="Z7" i="81" s="1"/>
  <c r="P152" i="61"/>
  <c r="N156" i="68"/>
  <c r="P156" i="62"/>
  <c r="X58" i="86"/>
  <c r="AH58" i="78"/>
  <c r="T26" i="73"/>
  <c r="Z33" i="81"/>
  <c r="U62" i="78"/>
  <c r="O160" i="57"/>
  <c r="Q113" i="44"/>
  <c r="O98" i="49"/>
  <c r="Q156" i="62"/>
  <c r="M159" i="70"/>
  <c r="M161" i="70" s="1"/>
  <c r="AK62" i="78"/>
  <c r="AL56" i="78"/>
  <c r="N156" i="64"/>
  <c r="O45" i="66"/>
  <c r="O46" i="66" s="1"/>
  <c r="AH34" i="86"/>
  <c r="AK17" i="81"/>
  <c r="U9" i="86"/>
  <c r="U11" i="86" s="1"/>
  <c r="N159" i="58"/>
  <c r="N152" i="61"/>
  <c r="M156" i="57"/>
  <c r="Q94" i="49"/>
  <c r="AK55" i="78"/>
  <c r="W28" i="81"/>
  <c r="M156" i="70"/>
  <c r="AL62" i="78"/>
  <c r="X22" i="78"/>
  <c r="U47" i="73"/>
  <c r="Y25" i="81"/>
  <c r="AM25" i="81"/>
  <c r="Z32" i="86"/>
  <c r="O156" i="63"/>
  <c r="N156" i="62"/>
  <c r="O107" i="55"/>
  <c r="O156" i="57"/>
  <c r="M152" i="62"/>
  <c r="AG31" i="73"/>
  <c r="U51" i="86"/>
  <c r="AM16" i="81"/>
  <c r="AI17" i="81"/>
  <c r="X6" i="86"/>
  <c r="O161" i="70"/>
  <c r="AM33" i="81"/>
  <c r="AM32" i="86"/>
  <c r="N111" i="45"/>
  <c r="M133" i="56"/>
  <c r="I31" i="78"/>
  <c r="I30" i="78"/>
  <c r="B108" i="79" s="1"/>
  <c r="I29" i="78"/>
  <c r="C95" i="75"/>
  <c r="Q17" i="81"/>
  <c r="Y14" i="81"/>
  <c r="H105" i="6"/>
  <c r="J4" i="9"/>
  <c r="V61" i="86"/>
  <c r="Z10" i="86"/>
  <c r="AB10" i="86" s="1"/>
  <c r="J117" i="75"/>
  <c r="B128" i="69"/>
  <c r="J128" i="69" s="1"/>
  <c r="T66" i="86"/>
  <c r="Z15" i="86"/>
  <c r="U28" i="86"/>
  <c r="U57" i="86"/>
  <c r="I21" i="9"/>
  <c r="D52" i="9"/>
  <c r="J7" i="9"/>
  <c r="F62" i="66"/>
  <c r="E62" i="66"/>
  <c r="H62" i="66"/>
  <c r="G62" i="66"/>
  <c r="X17" i="81"/>
  <c r="Z8" i="86"/>
  <c r="T11" i="86"/>
  <c r="X26" i="23"/>
  <c r="H36" i="23"/>
  <c r="C97" i="50"/>
  <c r="X37" i="23"/>
  <c r="C154" i="58"/>
  <c r="X35" i="23"/>
  <c r="E143" i="87"/>
  <c r="E111" i="87"/>
  <c r="E127" i="85"/>
  <c r="E144" i="84"/>
  <c r="E96" i="83"/>
  <c r="E108" i="80"/>
  <c r="E93" i="74"/>
  <c r="B86" i="79"/>
  <c r="G26" i="78"/>
  <c r="T8" i="78"/>
  <c r="B73" i="80"/>
  <c r="J73" i="80" s="1"/>
  <c r="M39" i="78"/>
  <c r="B133" i="80" s="1"/>
  <c r="J133" i="80" s="1"/>
  <c r="B105" i="76"/>
  <c r="I57" i="78"/>
  <c r="B87" i="80"/>
  <c r="G42" i="78"/>
  <c r="X24" i="78"/>
  <c r="B72" i="80"/>
  <c r="E42" i="78"/>
  <c r="M38" i="78"/>
  <c r="B132" i="80" s="1"/>
  <c r="C102" i="76"/>
  <c r="J54" i="78"/>
  <c r="J10" i="78"/>
  <c r="J16" i="78" s="1"/>
  <c r="AI58" i="78"/>
  <c r="AK14" i="78"/>
  <c r="AI64" i="78"/>
  <c r="C117" i="80"/>
  <c r="L42" i="78"/>
  <c r="L54" i="78"/>
  <c r="B75" i="76"/>
  <c r="J75" i="76" s="1"/>
  <c r="E57" i="78"/>
  <c r="M9" i="78"/>
  <c r="AK13" i="78"/>
  <c r="Q13" i="78"/>
  <c r="AE16" i="78"/>
  <c r="AI10" i="78"/>
  <c r="W6" i="78"/>
  <c r="U6" i="78"/>
  <c r="C120" i="80"/>
  <c r="K120" i="80" s="1"/>
  <c r="L57" i="78"/>
  <c r="M156" i="63"/>
  <c r="P152" i="63"/>
  <c r="M152" i="63"/>
  <c r="H53" i="67"/>
  <c r="H56" i="67" s="1"/>
  <c r="J22" i="67"/>
  <c r="V46" i="73"/>
  <c r="F10" i="67"/>
  <c r="Q41" i="66"/>
  <c r="E10" i="67"/>
  <c r="AH30" i="73"/>
  <c r="J45" i="73"/>
  <c r="J46" i="73"/>
  <c r="C111" i="75" s="1"/>
  <c r="K111" i="75" s="1"/>
  <c r="C97" i="72"/>
  <c r="K97" i="72" s="1"/>
  <c r="J117" i="74"/>
  <c r="B87" i="72"/>
  <c r="G10" i="73"/>
  <c r="C74" i="74"/>
  <c r="K74" i="74" s="1"/>
  <c r="L24" i="73"/>
  <c r="C119" i="74" s="1"/>
  <c r="K119" i="74" s="1"/>
  <c r="AF32" i="73"/>
  <c r="T29" i="73"/>
  <c r="T32" i="73" s="1"/>
  <c r="J10" i="73"/>
  <c r="J16" i="73" s="1"/>
  <c r="B140" i="70"/>
  <c r="J140" i="70" s="1"/>
  <c r="AF26" i="73"/>
  <c r="S28" i="81"/>
  <c r="X34" i="81"/>
  <c r="T25" i="66"/>
  <c r="D60" i="81"/>
  <c r="D59" i="81"/>
  <c r="H10" i="66"/>
  <c r="C75" i="84"/>
  <c r="K75" i="84" s="1"/>
  <c r="Z8" i="81"/>
  <c r="B75" i="88"/>
  <c r="J75" i="88" s="1"/>
  <c r="AJ59" i="86"/>
  <c r="V42" i="86"/>
  <c r="V59" i="86" s="1"/>
  <c r="C74" i="83"/>
  <c r="K74" i="83" s="1"/>
  <c r="N24" i="81"/>
  <c r="C138" i="83" s="1"/>
  <c r="K138" i="83" s="1"/>
  <c r="B76" i="82"/>
  <c r="J76" i="82" s="1"/>
  <c r="E61" i="81"/>
  <c r="M10" i="81"/>
  <c r="B140" i="82" s="1"/>
  <c r="J140" i="82" s="1"/>
  <c r="C88" i="82"/>
  <c r="AE51" i="86"/>
  <c r="AM48" i="86"/>
  <c r="AE65" i="86"/>
  <c r="Q48" i="86"/>
  <c r="Q65" i="86" s="1"/>
  <c r="AI59" i="86"/>
  <c r="U42" i="86"/>
  <c r="U59" i="86" s="1"/>
  <c r="AM41" i="86"/>
  <c r="AE58" i="86"/>
  <c r="AI65" i="86"/>
  <c r="AI51" i="86"/>
  <c r="C107" i="85"/>
  <c r="K107" i="85" s="1"/>
  <c r="AF28" i="81"/>
  <c r="AN23" i="81"/>
  <c r="AG28" i="81"/>
  <c r="U66" i="81"/>
  <c r="AN44" i="86"/>
  <c r="AE45" i="86"/>
  <c r="J9" i="66"/>
  <c r="J73" i="84"/>
  <c r="V66" i="86"/>
  <c r="X34" i="86"/>
  <c r="AN26" i="86"/>
  <c r="C91" i="85"/>
  <c r="K91" i="85" s="1"/>
  <c r="H63" i="86"/>
  <c r="C121" i="85"/>
  <c r="C140" i="70"/>
  <c r="K140" i="70" s="1"/>
  <c r="K133" i="70"/>
  <c r="L45" i="81"/>
  <c r="L50" i="81" s="1"/>
  <c r="C132" i="84" s="1"/>
  <c r="K132" i="84" s="1"/>
  <c r="AK28" i="81"/>
  <c r="R24" i="81"/>
  <c r="Z24" i="81" s="1"/>
  <c r="AN24" i="81"/>
  <c r="AI11" i="81"/>
  <c r="AH17" i="81"/>
  <c r="AJ61" i="86"/>
  <c r="Q42" i="86"/>
  <c r="AM42" i="86"/>
  <c r="AE59" i="86"/>
  <c r="AN31" i="86"/>
  <c r="AF34" i="86"/>
  <c r="R31" i="86"/>
  <c r="AM26" i="86"/>
  <c r="AM24" i="86"/>
  <c r="C122" i="85"/>
  <c r="K122" i="85" s="1"/>
  <c r="M7" i="86"/>
  <c r="B137" i="85" s="1"/>
  <c r="J137" i="85" s="1"/>
  <c r="C104" i="82"/>
  <c r="B123" i="88"/>
  <c r="K48" i="86"/>
  <c r="K52" i="86" s="1"/>
  <c r="B134" i="88" s="1"/>
  <c r="J134" i="88" s="1"/>
  <c r="B74" i="88"/>
  <c r="J74" i="88" s="1"/>
  <c r="M44" i="86"/>
  <c r="B142" i="88" s="1"/>
  <c r="J142" i="88" s="1"/>
  <c r="AH58" i="86"/>
  <c r="AM8" i="86"/>
  <c r="AG66" i="86"/>
  <c r="N26" i="81"/>
  <c r="C140" i="83" s="1"/>
  <c r="K140" i="83" s="1"/>
  <c r="AI11" i="86"/>
  <c r="AG17" i="81"/>
  <c r="AG28" i="86"/>
  <c r="N163" i="58"/>
  <c r="F94" i="49"/>
  <c r="F72" i="47"/>
  <c r="I109" i="41"/>
  <c r="L109" i="41" s="1"/>
  <c r="L107" i="41"/>
  <c r="H107" i="35"/>
  <c r="K107" i="35" s="1"/>
  <c r="K106" i="35"/>
  <c r="H111" i="45"/>
  <c r="K111" i="45" s="1"/>
  <c r="K108" i="45"/>
  <c r="F80" i="38"/>
  <c r="C97" i="15"/>
  <c r="I69" i="15"/>
  <c r="I106" i="37"/>
  <c r="L106" i="37" s="1"/>
  <c r="F42" i="21"/>
  <c r="K121" i="17"/>
  <c r="H123" i="17"/>
  <c r="C13" i="9"/>
  <c r="I13" i="9" s="1"/>
  <c r="B110" i="2"/>
  <c r="H110" i="2" s="1"/>
  <c r="F108" i="37"/>
  <c r="F109" i="37" s="1"/>
  <c r="D49" i="21"/>
  <c r="F49" i="21" s="1"/>
  <c r="F5" i="21"/>
  <c r="F109" i="7"/>
  <c r="C34" i="21"/>
  <c r="H86" i="7"/>
  <c r="I28" i="9"/>
  <c r="F30" i="9"/>
  <c r="I30" i="9" s="1"/>
  <c r="C106" i="6"/>
  <c r="I106" i="6" s="1"/>
  <c r="B131" i="2"/>
  <c r="H131" i="2" s="1"/>
  <c r="C7" i="9"/>
  <c r="C52" i="9" s="1"/>
  <c r="F24" i="1"/>
  <c r="I93" i="6"/>
  <c r="B104" i="7"/>
  <c r="H104" i="7" s="1"/>
  <c r="I114" i="6"/>
  <c r="I94" i="6"/>
  <c r="I67" i="6"/>
  <c r="I72" i="15"/>
  <c r="I135" i="2"/>
  <c r="D35" i="21"/>
  <c r="F35" i="21" s="1"/>
  <c r="E132" i="85"/>
  <c r="E83" i="75"/>
  <c r="E92" i="79"/>
  <c r="R63" i="78"/>
  <c r="AK61" i="78"/>
  <c r="AE64" i="78"/>
  <c r="B118" i="80"/>
  <c r="J118" i="80" s="1"/>
  <c r="K55" i="78"/>
  <c r="C73" i="79"/>
  <c r="N23" i="78"/>
  <c r="F26" i="78"/>
  <c r="W8" i="78"/>
  <c r="U8" i="78"/>
  <c r="B73" i="76"/>
  <c r="J73" i="76" s="1"/>
  <c r="M7" i="78"/>
  <c r="E55" i="78"/>
  <c r="O152" i="68"/>
  <c r="M24" i="78"/>
  <c r="C75" i="76"/>
  <c r="F57" i="78"/>
  <c r="N9" i="78"/>
  <c r="Q8" i="78"/>
  <c r="AF10" i="78"/>
  <c r="AL15" i="78"/>
  <c r="AJ64" i="78"/>
  <c r="B75" i="80"/>
  <c r="J75" i="80" s="1"/>
  <c r="M41" i="78"/>
  <c r="B135" i="80" s="1"/>
  <c r="J135" i="80" s="1"/>
  <c r="M22" i="78"/>
  <c r="I10" i="78"/>
  <c r="I16" i="78" s="1"/>
  <c r="B87" i="76"/>
  <c r="G54" i="78"/>
  <c r="G10" i="78"/>
  <c r="AJ58" i="78"/>
  <c r="N152" i="64"/>
  <c r="B156" i="64"/>
  <c r="J156" i="64" s="1"/>
  <c r="G53" i="67"/>
  <c r="I53" i="67" s="1"/>
  <c r="C152" i="64"/>
  <c r="K152" i="64" s="1"/>
  <c r="K146" i="64"/>
  <c r="J52" i="67"/>
  <c r="E55" i="67"/>
  <c r="I55" i="67" s="1"/>
  <c r="I24" i="67"/>
  <c r="Q152" i="62"/>
  <c r="I45" i="73"/>
  <c r="I46" i="73"/>
  <c r="B111" i="75" s="1"/>
  <c r="J111" i="75" s="1"/>
  <c r="I47" i="73"/>
  <c r="B112" i="75" s="1"/>
  <c r="J112" i="75" s="1"/>
  <c r="I22" i="67"/>
  <c r="U46" i="73"/>
  <c r="S23" i="73"/>
  <c r="F53" i="67"/>
  <c r="H26" i="73"/>
  <c r="C75" i="74"/>
  <c r="K75" i="74" s="1"/>
  <c r="L25" i="73"/>
  <c r="C120" i="74" s="1"/>
  <c r="K120" i="74" s="1"/>
  <c r="E32" i="66"/>
  <c r="AB32" i="73"/>
  <c r="AH29" i="73"/>
  <c r="P29" i="73"/>
  <c r="R23" i="73"/>
  <c r="V23" i="73" s="1"/>
  <c r="AH23" i="73"/>
  <c r="C72" i="72"/>
  <c r="L6" i="73"/>
  <c r="C117" i="72" s="1"/>
  <c r="F10" i="73"/>
  <c r="B121" i="84"/>
  <c r="C108" i="72"/>
  <c r="K108" i="72" s="1"/>
  <c r="K102" i="72"/>
  <c r="H13" i="73"/>
  <c r="K72" i="74"/>
  <c r="C73" i="72"/>
  <c r="K73" i="72" s="1"/>
  <c r="L7" i="73"/>
  <c r="C118" i="72" s="1"/>
  <c r="K118" i="72" s="1"/>
  <c r="E31" i="66"/>
  <c r="AA32" i="73"/>
  <c r="V43" i="66"/>
  <c r="S23" i="66"/>
  <c r="O28" i="66"/>
  <c r="AN26" i="81"/>
  <c r="R26" i="81"/>
  <c r="Z26" i="81" s="1"/>
  <c r="V23" i="81"/>
  <c r="V28" i="81" s="1"/>
  <c r="AJ28" i="81"/>
  <c r="U44" i="86"/>
  <c r="U61" i="86" s="1"/>
  <c r="AI61" i="86"/>
  <c r="C106" i="88"/>
  <c r="J48" i="86"/>
  <c r="R25" i="86"/>
  <c r="AN25" i="86"/>
  <c r="K88" i="85"/>
  <c r="AM27" i="81"/>
  <c r="Q27" i="81"/>
  <c r="Y27" i="81" s="1"/>
  <c r="AH28" i="81"/>
  <c r="T23" i="81"/>
  <c r="T28" i="81" s="1"/>
  <c r="Y9" i="81"/>
  <c r="B106" i="88"/>
  <c r="Q25" i="86"/>
  <c r="AM25" i="86"/>
  <c r="D34" i="81"/>
  <c r="AG34" i="81"/>
  <c r="S31" i="81"/>
  <c r="S34" i="81" s="1"/>
  <c r="V14" i="81"/>
  <c r="B75" i="82"/>
  <c r="J75" i="82" s="1"/>
  <c r="M9" i="81"/>
  <c r="B139" i="82" s="1"/>
  <c r="J139" i="82" s="1"/>
  <c r="E60" i="81"/>
  <c r="B88" i="82"/>
  <c r="W50" i="86"/>
  <c r="W51" i="86" s="1"/>
  <c r="AJ28" i="86"/>
  <c r="V23" i="86"/>
  <c r="AN32" i="81"/>
  <c r="T15" i="81"/>
  <c r="T66" i="81" s="1"/>
  <c r="AL61" i="86"/>
  <c r="X44" i="86"/>
  <c r="X61" i="86" s="1"/>
  <c r="B89" i="88"/>
  <c r="G48" i="86"/>
  <c r="G52" i="86" s="1"/>
  <c r="B100" i="88" s="1"/>
  <c r="J100" i="88" s="1"/>
  <c r="Q34" i="86"/>
  <c r="AN24" i="86"/>
  <c r="T31" i="86"/>
  <c r="T34" i="86" s="1"/>
  <c r="U66" i="86"/>
  <c r="C73" i="85"/>
  <c r="B106" i="84"/>
  <c r="I45" i="81"/>
  <c r="I48" i="81" s="1"/>
  <c r="C128" i="84"/>
  <c r="K128" i="84" s="1"/>
  <c r="C108" i="82"/>
  <c r="K108" i="82" s="1"/>
  <c r="J61" i="81"/>
  <c r="X50" i="86"/>
  <c r="Z50" i="86" s="1"/>
  <c r="AL67" i="86"/>
  <c r="B72" i="88"/>
  <c r="E48" i="86"/>
  <c r="E52" i="86" s="1"/>
  <c r="M42" i="86"/>
  <c r="B140" i="88" s="1"/>
  <c r="AN33" i="86"/>
  <c r="W31" i="86"/>
  <c r="AM14" i="86"/>
  <c r="C74" i="85"/>
  <c r="K74" i="85" s="1"/>
  <c r="AH50" i="81"/>
  <c r="AH67" i="81" s="1"/>
  <c r="AK49" i="81"/>
  <c r="AE49" i="81"/>
  <c r="AJ48" i="81"/>
  <c r="AK44" i="81"/>
  <c r="AE44" i="81"/>
  <c r="AH43" i="81"/>
  <c r="AK42" i="81"/>
  <c r="AE42" i="81"/>
  <c r="AH41" i="81"/>
  <c r="AK40" i="81"/>
  <c r="AE40" i="81"/>
  <c r="AI50" i="81"/>
  <c r="AI67" i="81" s="1"/>
  <c r="AF49" i="81"/>
  <c r="AF48" i="81"/>
  <c r="AH44" i="81"/>
  <c r="AL43" i="81"/>
  <c r="AE43" i="81"/>
  <c r="AI42" i="81"/>
  <c r="AF41" i="81"/>
  <c r="AJ40" i="81"/>
  <c r="AE50" i="81"/>
  <c r="AL49" i="81"/>
  <c r="AE48" i="81"/>
  <c r="AJ50" i="81"/>
  <c r="AJ67" i="81" s="1"/>
  <c r="AH49" i="81"/>
  <c r="AH66" i="81" s="1"/>
  <c r="AI48" i="81"/>
  <c r="AI44" i="81"/>
  <c r="AG43" i="81"/>
  <c r="AF42" i="81"/>
  <c r="AL41" i="81"/>
  <c r="AL40" i="81"/>
  <c r="AG50" i="81"/>
  <c r="AG67" i="81" s="1"/>
  <c r="AG49" i="81"/>
  <c r="AG66" i="81" s="1"/>
  <c r="AH48" i="81"/>
  <c r="AG44" i="81"/>
  <c r="AF43" i="81"/>
  <c r="AK41" i="81"/>
  <c r="AI40" i="81"/>
  <c r="AF50" i="81"/>
  <c r="AK48" i="81"/>
  <c r="AL44" i="81"/>
  <c r="AJ42" i="81"/>
  <c r="AE41" i="81"/>
  <c r="AG48" i="81"/>
  <c r="AJ44" i="81"/>
  <c r="AH42" i="81"/>
  <c r="AH40" i="81"/>
  <c r="AF44" i="81"/>
  <c r="AK43" i="81"/>
  <c r="AG42" i="81"/>
  <c r="AG40" i="81"/>
  <c r="AJ43" i="81"/>
  <c r="AJ41" i="81"/>
  <c r="AF40" i="81"/>
  <c r="AL50" i="81"/>
  <c r="AJ49" i="81"/>
  <c r="AJ66" i="81" s="1"/>
  <c r="AI43" i="81"/>
  <c r="AI41" i="81"/>
  <c r="AK50" i="81"/>
  <c r="AI49" i="81"/>
  <c r="AI66" i="81" s="1"/>
  <c r="AL48" i="81"/>
  <c r="AL42" i="81"/>
  <c r="AG41" i="81"/>
  <c r="AM8" i="81"/>
  <c r="B104" i="82"/>
  <c r="I57" i="81"/>
  <c r="AG60" i="86"/>
  <c r="C72" i="88"/>
  <c r="F48" i="86"/>
  <c r="F52" i="86" s="1"/>
  <c r="W11" i="86"/>
  <c r="AK59" i="86"/>
  <c r="AM15" i="86"/>
  <c r="F163" i="58"/>
  <c r="F79" i="41"/>
  <c r="F108" i="41"/>
  <c r="M96" i="47"/>
  <c r="F114" i="43"/>
  <c r="I73" i="7"/>
  <c r="D20" i="21"/>
  <c r="F20" i="21" s="1"/>
  <c r="I119" i="25"/>
  <c r="L119" i="25" s="1"/>
  <c r="L117" i="25"/>
  <c r="F107" i="15"/>
  <c r="I107" i="15" s="1"/>
  <c r="I106" i="15"/>
  <c r="C81" i="7"/>
  <c r="I80" i="7"/>
  <c r="H113" i="6"/>
  <c r="E114" i="6"/>
  <c r="H114" i="6" s="1"/>
  <c r="F113" i="44"/>
  <c r="H136" i="22"/>
  <c r="L86" i="17"/>
  <c r="C114" i="17"/>
  <c r="G30" i="9"/>
  <c r="F110" i="6"/>
  <c r="F15" i="9"/>
  <c r="F58" i="9"/>
  <c r="D40" i="9"/>
  <c r="C105" i="6"/>
  <c r="I105" i="6" s="1"/>
  <c r="F136" i="22"/>
  <c r="I34" i="1"/>
  <c r="L107" i="22"/>
  <c r="D22" i="21"/>
  <c r="F22" i="21" s="1"/>
  <c r="I69" i="6"/>
  <c r="J52" i="9"/>
  <c r="H97" i="15"/>
  <c r="F8" i="21"/>
  <c r="B98" i="15"/>
  <c r="H98" i="15" s="1"/>
  <c r="G40" i="9"/>
  <c r="I136" i="2"/>
  <c r="F132" i="2"/>
  <c r="B108" i="6"/>
  <c r="H108" i="6" s="1"/>
  <c r="E148" i="87"/>
  <c r="E155" i="69"/>
  <c r="B120" i="80"/>
  <c r="J120" i="80" s="1"/>
  <c r="K57" i="78"/>
  <c r="S6" i="78"/>
  <c r="AE58" i="78"/>
  <c r="AK58" i="78" s="1"/>
  <c r="AK54" i="78"/>
  <c r="H14" i="78"/>
  <c r="H13" i="78"/>
  <c r="AL8" i="78"/>
  <c r="R8" i="78"/>
  <c r="AL9" i="78"/>
  <c r="R9" i="78"/>
  <c r="AF58" i="78"/>
  <c r="AL54" i="78"/>
  <c r="AK63" i="78"/>
  <c r="E142" i="68"/>
  <c r="X25" i="78"/>
  <c r="AE31" i="78"/>
  <c r="AJ30" i="78"/>
  <c r="AI29" i="78"/>
  <c r="AH25" i="78"/>
  <c r="T25" i="78" s="1"/>
  <c r="AG24" i="78"/>
  <c r="S24" i="78" s="1"/>
  <c r="AF23" i="78"/>
  <c r="AE22" i="78"/>
  <c r="AH31" i="78"/>
  <c r="AG30" i="78"/>
  <c r="AF29" i="78"/>
  <c r="AE25" i="78"/>
  <c r="AJ24" i="78"/>
  <c r="V24" i="78" s="1"/>
  <c r="AI23" i="78"/>
  <c r="U23" i="78" s="1"/>
  <c r="AH22" i="78"/>
  <c r="AH30" i="78"/>
  <c r="AJ29" i="78"/>
  <c r="AF25" i="78"/>
  <c r="AF22" i="78"/>
  <c r="AF30" i="78"/>
  <c r="AH29" i="78"/>
  <c r="AI24" i="78"/>
  <c r="U24" i="78" s="1"/>
  <c r="AJ31" i="78"/>
  <c r="AE30" i="78"/>
  <c r="AG29" i="78"/>
  <c r="AH24" i="78"/>
  <c r="T24" i="78" s="1"/>
  <c r="AJ23" i="78"/>
  <c r="V23" i="78" s="1"/>
  <c r="AI31" i="78"/>
  <c r="AE29" i="78"/>
  <c r="AJ25" i="78"/>
  <c r="V25" i="78" s="1"/>
  <c r="AF24" i="78"/>
  <c r="AH23" i="78"/>
  <c r="T23" i="78" s="1"/>
  <c r="AJ22" i="78"/>
  <c r="AG31" i="78"/>
  <c r="AI25" i="78"/>
  <c r="U25" i="78" s="1"/>
  <c r="AE24" i="78"/>
  <c r="AG23" i="78"/>
  <c r="S23" i="78" s="1"/>
  <c r="AI22" i="78"/>
  <c r="AF31" i="78"/>
  <c r="AI30" i="78"/>
  <c r="AG25" i="78"/>
  <c r="S25" i="78" s="1"/>
  <c r="AE23" i="78"/>
  <c r="AG22" i="78"/>
  <c r="X9" i="78"/>
  <c r="V9" i="78"/>
  <c r="N39" i="78"/>
  <c r="C133" i="80" s="1"/>
  <c r="K133" i="80" s="1"/>
  <c r="K154" i="64"/>
  <c r="C156" i="64"/>
  <c r="K156" i="64" s="1"/>
  <c r="Q152" i="63"/>
  <c r="B156" i="68"/>
  <c r="J156" i="68" s="1"/>
  <c r="J57" i="78"/>
  <c r="F54" i="67"/>
  <c r="J54" i="67" s="1"/>
  <c r="J23" i="67"/>
  <c r="J6" i="67"/>
  <c r="C82" i="75"/>
  <c r="K82" i="75" s="1"/>
  <c r="G10" i="67"/>
  <c r="B87" i="75"/>
  <c r="G42" i="73"/>
  <c r="T6" i="66"/>
  <c r="P11" i="66"/>
  <c r="J40" i="67"/>
  <c r="P152" i="62"/>
  <c r="G26" i="73"/>
  <c r="O32" i="73"/>
  <c r="E60" i="66"/>
  <c r="AC32" i="73"/>
  <c r="Q29" i="73"/>
  <c r="AG29" i="73"/>
  <c r="C93" i="74"/>
  <c r="K93" i="74" s="1"/>
  <c r="E15" i="66"/>
  <c r="R22" i="73"/>
  <c r="AD26" i="73"/>
  <c r="B119" i="70"/>
  <c r="J119" i="70" s="1"/>
  <c r="I43" i="66"/>
  <c r="B151" i="70" s="1"/>
  <c r="J151" i="70" s="1"/>
  <c r="J142" i="69"/>
  <c r="B103" i="72"/>
  <c r="I10" i="73"/>
  <c r="AH24" i="73"/>
  <c r="M28" i="66"/>
  <c r="Q23" i="66"/>
  <c r="U23" i="66" s="1"/>
  <c r="C73" i="83"/>
  <c r="U11" i="81"/>
  <c r="AF65" i="86"/>
  <c r="R48" i="86"/>
  <c r="AF51" i="86"/>
  <c r="AN48" i="86"/>
  <c r="AG58" i="86"/>
  <c r="S41" i="86"/>
  <c r="J25" i="86"/>
  <c r="C105" i="87" s="1"/>
  <c r="K105" i="87" s="1"/>
  <c r="I25" i="86"/>
  <c r="H25" i="86"/>
  <c r="C89" i="87" s="1"/>
  <c r="K89" i="87" s="1"/>
  <c r="G25" i="86"/>
  <c r="B89" i="87" s="1"/>
  <c r="J89" i="87" s="1"/>
  <c r="L25" i="86"/>
  <c r="C121" i="87" s="1"/>
  <c r="K121" i="87" s="1"/>
  <c r="F25" i="86"/>
  <c r="F61" i="86" s="1"/>
  <c r="K25" i="86"/>
  <c r="B121" i="87" s="1"/>
  <c r="J121" i="87" s="1"/>
  <c r="E25" i="86"/>
  <c r="C76" i="85"/>
  <c r="K76" i="85" s="1"/>
  <c r="N10" i="86"/>
  <c r="C140" i="85" s="1"/>
  <c r="K140" i="85" s="1"/>
  <c r="N44" i="81"/>
  <c r="C141" i="84" s="1"/>
  <c r="K141" i="84" s="1"/>
  <c r="B105" i="83"/>
  <c r="W17" i="81"/>
  <c r="B91" i="82"/>
  <c r="J91" i="82" s="1"/>
  <c r="G60" i="81"/>
  <c r="AG61" i="86"/>
  <c r="S44" i="86"/>
  <c r="S61" i="86" s="1"/>
  <c r="AF58" i="86"/>
  <c r="AN41" i="86"/>
  <c r="R41" i="86"/>
  <c r="AE67" i="86"/>
  <c r="AM50" i="86"/>
  <c r="AJ34" i="86"/>
  <c r="V31" i="86"/>
  <c r="F12" i="86"/>
  <c r="AN33" i="81"/>
  <c r="V34" i="81"/>
  <c r="AN27" i="81"/>
  <c r="R27" i="81"/>
  <c r="Z27" i="81" s="1"/>
  <c r="C75" i="82"/>
  <c r="K75" i="82" s="1"/>
  <c r="F60" i="81"/>
  <c r="N9" i="81"/>
  <c r="C139" i="82" s="1"/>
  <c r="K139" i="82" s="1"/>
  <c r="U31" i="86"/>
  <c r="AI34" i="86"/>
  <c r="C108" i="85"/>
  <c r="K108" i="85" s="1"/>
  <c r="I7" i="66"/>
  <c r="AE34" i="81"/>
  <c r="AM31" i="81"/>
  <c r="Q31" i="81"/>
  <c r="B75" i="83"/>
  <c r="J75" i="83" s="1"/>
  <c r="AE17" i="81"/>
  <c r="AM14" i="81"/>
  <c r="Q44" i="86"/>
  <c r="AE61" i="86"/>
  <c r="AM44" i="86"/>
  <c r="AJ58" i="86"/>
  <c r="V41" i="86"/>
  <c r="V58" i="86" s="1"/>
  <c r="G28" i="86"/>
  <c r="L28" i="86"/>
  <c r="F28" i="86"/>
  <c r="K28" i="86"/>
  <c r="B124" i="87" s="1"/>
  <c r="J124" i="87" s="1"/>
  <c r="E28" i="86"/>
  <c r="J28" i="86"/>
  <c r="C108" i="87" s="1"/>
  <c r="K108" i="87" s="1"/>
  <c r="I28" i="86"/>
  <c r="B108" i="87" s="1"/>
  <c r="J108" i="87" s="1"/>
  <c r="H28" i="86"/>
  <c r="C92" i="87" s="1"/>
  <c r="K92" i="87" s="1"/>
  <c r="Z26" i="86"/>
  <c r="AM10" i="86"/>
  <c r="Q10" i="86"/>
  <c r="AG11" i="86"/>
  <c r="S6" i="86"/>
  <c r="B76" i="84"/>
  <c r="J76" i="84" s="1"/>
  <c r="M43" i="81"/>
  <c r="B140" i="84" s="1"/>
  <c r="J140" i="84" s="1"/>
  <c r="C77" i="83"/>
  <c r="K77" i="83" s="1"/>
  <c r="N27" i="81"/>
  <c r="C141" i="83" s="1"/>
  <c r="K141" i="83" s="1"/>
  <c r="X23" i="81"/>
  <c r="X28" i="81" s="1"/>
  <c r="AL28" i="81"/>
  <c r="Q66" i="81"/>
  <c r="Y15" i="81"/>
  <c r="AK66" i="86"/>
  <c r="AL66" i="86"/>
  <c r="X49" i="86"/>
  <c r="W44" i="86"/>
  <c r="W61" i="86" s="1"/>
  <c r="AK61" i="86"/>
  <c r="AI58" i="86"/>
  <c r="U41" i="86"/>
  <c r="L29" i="86"/>
  <c r="L65" i="86" s="1"/>
  <c r="F29" i="86"/>
  <c r="I29" i="86"/>
  <c r="I65" i="86" s="1"/>
  <c r="H29" i="86"/>
  <c r="H65" i="86" s="1"/>
  <c r="G29" i="86"/>
  <c r="G65" i="86" s="1"/>
  <c r="E29" i="86"/>
  <c r="K29" i="86"/>
  <c r="K65" i="86" s="1"/>
  <c r="J29" i="86"/>
  <c r="J65" i="86" s="1"/>
  <c r="Y26" i="86"/>
  <c r="Y24" i="86"/>
  <c r="B91" i="85"/>
  <c r="J91" i="85" s="1"/>
  <c r="G63" i="86"/>
  <c r="AN6" i="86"/>
  <c r="AF11" i="86"/>
  <c r="S17" i="81"/>
  <c r="Z15" i="81"/>
  <c r="R66" i="81"/>
  <c r="Q60" i="86"/>
  <c r="C123" i="88"/>
  <c r="L48" i="86"/>
  <c r="L52" i="86" s="1"/>
  <c r="C134" i="88" s="1"/>
  <c r="K134" i="88" s="1"/>
  <c r="C105" i="85"/>
  <c r="K105" i="85" s="1"/>
  <c r="F128" i="61"/>
  <c r="K60" i="81"/>
  <c r="Z33" i="86"/>
  <c r="M11" i="86"/>
  <c r="L149" i="61"/>
  <c r="O159" i="58"/>
  <c r="AM6" i="86"/>
  <c r="I115" i="45"/>
  <c r="L115" i="45" s="1"/>
  <c r="L113" i="45"/>
  <c r="F100" i="47"/>
  <c r="L115" i="44"/>
  <c r="I117" i="44"/>
  <c r="L117" i="44" s="1"/>
  <c r="F107" i="41"/>
  <c r="C118" i="17"/>
  <c r="L118" i="17" s="1"/>
  <c r="I71" i="7"/>
  <c r="D18" i="21"/>
  <c r="K108" i="37"/>
  <c r="H109" i="37"/>
  <c r="K109" i="37" s="1"/>
  <c r="B79" i="15"/>
  <c r="H78" i="15"/>
  <c r="I104" i="35"/>
  <c r="L104" i="35" s="1"/>
  <c r="C136" i="22"/>
  <c r="L136" i="22" s="1"/>
  <c r="F109" i="25"/>
  <c r="F87" i="25"/>
  <c r="E107" i="15"/>
  <c r="H107" i="15" s="1"/>
  <c r="H106" i="15"/>
  <c r="E136" i="2"/>
  <c r="H136" i="2" s="1"/>
  <c r="H135" i="2"/>
  <c r="H130" i="2"/>
  <c r="B126" i="22"/>
  <c r="C23" i="21"/>
  <c r="C75" i="3"/>
  <c r="C76" i="3" s="1"/>
  <c r="C63" i="3"/>
  <c r="I63" i="3" s="1"/>
  <c r="L79" i="17"/>
  <c r="C81" i="17"/>
  <c r="L81" i="17" s="1"/>
  <c r="C38" i="21"/>
  <c r="H90" i="7"/>
  <c r="I8" i="9"/>
  <c r="F53" i="9"/>
  <c r="F76" i="3"/>
  <c r="I110" i="2"/>
  <c r="B107" i="6"/>
  <c r="H107" i="6" s="1"/>
  <c r="C19" i="9"/>
  <c r="C49" i="9" s="1"/>
  <c r="F37" i="1"/>
  <c r="D5" i="9"/>
  <c r="H72" i="7"/>
  <c r="D33" i="21"/>
  <c r="Q62" i="78"/>
  <c r="C87" i="80"/>
  <c r="H42" i="78"/>
  <c r="C80" i="76"/>
  <c r="B73" i="79"/>
  <c r="M23" i="78"/>
  <c r="K87" i="76"/>
  <c r="S13" i="78"/>
  <c r="AG16" i="78"/>
  <c r="AL63" i="78"/>
  <c r="B102" i="80"/>
  <c r="I42" i="78"/>
  <c r="I54" i="78"/>
  <c r="W25" i="78"/>
  <c r="D57" i="78"/>
  <c r="K154" i="68"/>
  <c r="C156" i="68"/>
  <c r="K156" i="68" s="1"/>
  <c r="K42" i="78"/>
  <c r="AK6" i="78"/>
  <c r="H10" i="67"/>
  <c r="AA47" i="73"/>
  <c r="AD46" i="73"/>
  <c r="AA45" i="73"/>
  <c r="AD47" i="73"/>
  <c r="AA46" i="73"/>
  <c r="AD45" i="73"/>
  <c r="AC47" i="73"/>
  <c r="AC46" i="73"/>
  <c r="AC45" i="73"/>
  <c r="AD41" i="73"/>
  <c r="R41" i="73" s="1"/>
  <c r="AA40" i="73"/>
  <c r="AD39" i="73"/>
  <c r="R39" i="73" s="1"/>
  <c r="AA38" i="73"/>
  <c r="AB47" i="73"/>
  <c r="AB46" i="73"/>
  <c r="AB45" i="73"/>
  <c r="AC41" i="73"/>
  <c r="Q41" i="73" s="1"/>
  <c r="AF40" i="73"/>
  <c r="T40" i="73" s="1"/>
  <c r="AC39" i="73"/>
  <c r="Q39" i="73" s="1"/>
  <c r="AF38" i="73"/>
  <c r="AB41" i="73"/>
  <c r="AE40" i="73"/>
  <c r="S40" i="73" s="1"/>
  <c r="AB39" i="73"/>
  <c r="AE38" i="73"/>
  <c r="AA41" i="73"/>
  <c r="AD40" i="73"/>
  <c r="R40" i="73" s="1"/>
  <c r="AA39" i="73"/>
  <c r="AD38" i="73"/>
  <c r="AF47" i="73"/>
  <c r="AF46" i="73"/>
  <c r="AF45" i="73"/>
  <c r="AF41" i="73"/>
  <c r="T41" i="73" s="1"/>
  <c r="AC40" i="73"/>
  <c r="Q40" i="73" s="1"/>
  <c r="AF39" i="73"/>
  <c r="T39" i="73" s="1"/>
  <c r="AC38" i="73"/>
  <c r="AE46" i="73"/>
  <c r="AB40" i="73"/>
  <c r="AB38" i="73"/>
  <c r="AE47" i="73"/>
  <c r="AE41" i="73"/>
  <c r="S41" i="73" s="1"/>
  <c r="AE39" i="73"/>
  <c r="S39" i="73" s="1"/>
  <c r="AE45" i="73"/>
  <c r="L42" i="73"/>
  <c r="B74" i="74"/>
  <c r="J74" i="74" s="1"/>
  <c r="K24" i="73"/>
  <c r="B119" i="74" s="1"/>
  <c r="J119" i="74" s="1"/>
  <c r="B93" i="74"/>
  <c r="J93" i="74" s="1"/>
  <c r="J87" i="74"/>
  <c r="D59" i="66"/>
  <c r="D61" i="66"/>
  <c r="E26" i="73"/>
  <c r="C73" i="74"/>
  <c r="K73" i="74" s="1"/>
  <c r="L23" i="73"/>
  <c r="C118" i="74" s="1"/>
  <c r="K118" i="74" s="1"/>
  <c r="D52" i="66"/>
  <c r="AG23" i="73"/>
  <c r="O23" i="73"/>
  <c r="C118" i="69"/>
  <c r="F28" i="66"/>
  <c r="J23" i="66"/>
  <c r="C148" i="69" s="1"/>
  <c r="C120" i="69"/>
  <c r="K120" i="69" s="1"/>
  <c r="J25" i="66"/>
  <c r="C150" i="69" s="1"/>
  <c r="K150" i="69" s="1"/>
  <c r="B118" i="70"/>
  <c r="E46" i="66"/>
  <c r="E49" i="66" s="1"/>
  <c r="I42" i="66"/>
  <c r="B150" i="70" s="1"/>
  <c r="C118" i="70"/>
  <c r="K118" i="70" s="1"/>
  <c r="J42" i="66"/>
  <c r="C150" i="70" s="1"/>
  <c r="K150" i="70" s="1"/>
  <c r="R41" i="66"/>
  <c r="T42" i="66"/>
  <c r="C92" i="82"/>
  <c r="K92" i="82" s="1"/>
  <c r="H61" i="81"/>
  <c r="B120" i="82"/>
  <c r="K57" i="81"/>
  <c r="AF60" i="86"/>
  <c r="R43" i="86"/>
  <c r="R60" i="86" s="1"/>
  <c r="AN43" i="86"/>
  <c r="B75" i="85"/>
  <c r="J75" i="85" s="1"/>
  <c r="E63" i="86"/>
  <c r="M9" i="86"/>
  <c r="B139" i="85" s="1"/>
  <c r="J139" i="85" s="1"/>
  <c r="AM26" i="81"/>
  <c r="Q26" i="81"/>
  <c r="Y26" i="81" s="1"/>
  <c r="B73" i="83"/>
  <c r="M23" i="81"/>
  <c r="B137" i="83" s="1"/>
  <c r="E28" i="81"/>
  <c r="E33" i="81" s="1"/>
  <c r="K8" i="81"/>
  <c r="E8" i="81"/>
  <c r="L8" i="81"/>
  <c r="H8" i="81"/>
  <c r="G8" i="81"/>
  <c r="F8" i="81"/>
  <c r="J8" i="81"/>
  <c r="I8" i="81"/>
  <c r="Y8" i="81"/>
  <c r="AL60" i="86"/>
  <c r="X43" i="86"/>
  <c r="X60" i="86" s="1"/>
  <c r="AM43" i="86"/>
  <c r="AE60" i="86"/>
  <c r="AK28" i="86"/>
  <c r="W23" i="86"/>
  <c r="B74" i="83"/>
  <c r="J74" i="83" s="1"/>
  <c r="AI28" i="81"/>
  <c r="U23" i="81"/>
  <c r="U28" i="81" s="1"/>
  <c r="W31" i="81"/>
  <c r="W34" i="81" s="1"/>
  <c r="AK34" i="81"/>
  <c r="R16" i="81"/>
  <c r="C124" i="82"/>
  <c r="K124" i="82" s="1"/>
  <c r="L61" i="81"/>
  <c r="C123" i="82"/>
  <c r="K123" i="82" s="1"/>
  <c r="L60" i="81"/>
  <c r="D51" i="81"/>
  <c r="U17" i="81"/>
  <c r="C76" i="88"/>
  <c r="K76" i="88" s="1"/>
  <c r="N46" i="86"/>
  <c r="C144" i="88" s="1"/>
  <c r="K144" i="88" s="1"/>
  <c r="U43" i="86"/>
  <c r="AI60" i="86"/>
  <c r="G26" i="86"/>
  <c r="B90" i="87" s="1"/>
  <c r="J90" i="87" s="1"/>
  <c r="L26" i="86"/>
  <c r="C122" i="87" s="1"/>
  <c r="K122" i="87" s="1"/>
  <c r="F26" i="86"/>
  <c r="F62" i="86" s="1"/>
  <c r="K26" i="86"/>
  <c r="E26" i="86"/>
  <c r="J26" i="86"/>
  <c r="I26" i="86"/>
  <c r="H26" i="86"/>
  <c r="Z24" i="86"/>
  <c r="Y33" i="86"/>
  <c r="B90" i="85"/>
  <c r="J90" i="85" s="1"/>
  <c r="R25" i="66"/>
  <c r="C76" i="84"/>
  <c r="K76" i="84" s="1"/>
  <c r="N43" i="81"/>
  <c r="C140" i="84" s="1"/>
  <c r="K140" i="84" s="1"/>
  <c r="B90" i="84"/>
  <c r="M41" i="81"/>
  <c r="B138" i="84" s="1"/>
  <c r="J138" i="84" s="1"/>
  <c r="AM32" i="81"/>
  <c r="C89" i="83"/>
  <c r="H28" i="81"/>
  <c r="AM9" i="81"/>
  <c r="AE11" i="81"/>
  <c r="AM6" i="81"/>
  <c r="AK65" i="86"/>
  <c r="AE66" i="86"/>
  <c r="AM49" i="86"/>
  <c r="T43" i="86"/>
  <c r="T60" i="86" s="1"/>
  <c r="AH60" i="86"/>
  <c r="AJ57" i="86"/>
  <c r="AJ45" i="86"/>
  <c r="V40" i="86"/>
  <c r="AN32" i="86"/>
  <c r="AH28" i="86"/>
  <c r="X11" i="86"/>
  <c r="S67" i="81"/>
  <c r="D62" i="86"/>
  <c r="D63" i="86"/>
  <c r="D60" i="86"/>
  <c r="B75" i="87"/>
  <c r="J75" i="87" s="1"/>
  <c r="M27" i="86"/>
  <c r="B139" i="87" s="1"/>
  <c r="J139" i="87" s="1"/>
  <c r="AK11" i="86"/>
  <c r="AN7" i="86"/>
  <c r="F129" i="60"/>
  <c r="AN50" i="86"/>
  <c r="AN15" i="86"/>
  <c r="F156" i="61"/>
  <c r="AN10" i="86"/>
  <c r="K114" i="22"/>
  <c r="K128" i="22" s="1"/>
  <c r="B128" i="22"/>
  <c r="F115" i="44"/>
  <c r="F117" i="44" s="1"/>
  <c r="C101" i="7"/>
  <c r="I101" i="7" s="1"/>
  <c r="I59" i="7"/>
  <c r="D6" i="21"/>
  <c r="C67" i="7"/>
  <c r="I67" i="7" s="1"/>
  <c r="I66" i="7"/>
  <c r="D13" i="21"/>
  <c r="H119" i="17"/>
  <c r="K113" i="17"/>
  <c r="F117" i="25"/>
  <c r="F119" i="25" s="1"/>
  <c r="F77" i="25"/>
  <c r="L73" i="17"/>
  <c r="C21" i="21"/>
  <c r="B102" i="7"/>
  <c r="H102" i="7" s="1"/>
  <c r="H26" i="1"/>
  <c r="I21" i="1"/>
  <c r="C108" i="22"/>
  <c r="L108" i="22" s="1"/>
  <c r="H119" i="25"/>
  <c r="K119" i="25" s="1"/>
  <c r="K117" i="25"/>
  <c r="I88" i="7"/>
  <c r="H81" i="6"/>
  <c r="D8" i="9"/>
  <c r="D53" i="9" s="1"/>
  <c r="C109" i="6"/>
  <c r="I109" i="6" s="1"/>
  <c r="F38" i="1"/>
  <c r="D25" i="1"/>
  <c r="D26" i="1" s="1"/>
  <c r="I36" i="1"/>
  <c r="G23" i="1"/>
  <c r="I23" i="1" s="1"/>
  <c r="D28" i="9"/>
  <c r="H99" i="7"/>
  <c r="D23" i="21"/>
  <c r="F23" i="21" s="1"/>
  <c r="H104" i="35"/>
  <c r="K104" i="35" s="1"/>
  <c r="C102" i="15"/>
  <c r="I102" i="15" s="1"/>
  <c r="H82" i="6"/>
  <c r="B118" i="17"/>
  <c r="K118" i="17" s="1"/>
  <c r="E133" i="84"/>
  <c r="E148" i="85"/>
  <c r="E148" i="82"/>
  <c r="E120" i="79"/>
  <c r="E83" i="74"/>
  <c r="E123" i="72"/>
  <c r="P156" i="70"/>
  <c r="P159" i="69"/>
  <c r="C100" i="79"/>
  <c r="J26" i="78"/>
  <c r="N22" i="78"/>
  <c r="C74" i="79"/>
  <c r="K74" i="79" s="1"/>
  <c r="N24" i="78"/>
  <c r="F15" i="78"/>
  <c r="F14" i="78"/>
  <c r="B72" i="76"/>
  <c r="E54" i="78"/>
  <c r="E10" i="78"/>
  <c r="M6" i="78"/>
  <c r="AL57" i="78"/>
  <c r="C87" i="79"/>
  <c r="H26" i="78"/>
  <c r="B90" i="76"/>
  <c r="J90" i="76" s="1"/>
  <c r="G57" i="78"/>
  <c r="AK57" i="78"/>
  <c r="H15" i="78"/>
  <c r="T14" i="78"/>
  <c r="AL14" i="78"/>
  <c r="AF64" i="78"/>
  <c r="AL55" i="78"/>
  <c r="E138" i="68"/>
  <c r="V14" i="78"/>
  <c r="V62" i="78" s="1"/>
  <c r="X14" i="78"/>
  <c r="W7" i="78"/>
  <c r="U7" i="78"/>
  <c r="W23" i="78"/>
  <c r="AG64" i="78"/>
  <c r="C102" i="80"/>
  <c r="J42" i="78"/>
  <c r="E25" i="67"/>
  <c r="E50" i="67"/>
  <c r="I20" i="67"/>
  <c r="I50" i="67" s="1"/>
  <c r="B152" i="64"/>
  <c r="J152" i="64" s="1"/>
  <c r="J146" i="64"/>
  <c r="E156" i="64"/>
  <c r="L146" i="63"/>
  <c r="I6" i="67"/>
  <c r="K40" i="73"/>
  <c r="B119" i="75" s="1"/>
  <c r="J119" i="75" s="1"/>
  <c r="I23" i="67"/>
  <c r="F152" i="62"/>
  <c r="F46" i="73"/>
  <c r="F48" i="73" s="1"/>
  <c r="V47" i="73"/>
  <c r="C78" i="75"/>
  <c r="K78" i="75" s="1"/>
  <c r="K72" i="75"/>
  <c r="D55" i="73"/>
  <c r="D56" i="73"/>
  <c r="D63" i="66"/>
  <c r="D57" i="73"/>
  <c r="K25" i="73"/>
  <c r="B120" i="74" s="1"/>
  <c r="J120" i="74" s="1"/>
  <c r="J26" i="73"/>
  <c r="AC26" i="73"/>
  <c r="AG22" i="73"/>
  <c r="Q22" i="73"/>
  <c r="B75" i="72"/>
  <c r="J75" i="72" s="1"/>
  <c r="K9" i="73"/>
  <c r="B120" i="72" s="1"/>
  <c r="J120" i="72" s="1"/>
  <c r="AH22" i="73"/>
  <c r="AB26" i="73"/>
  <c r="AH31" i="73"/>
  <c r="E10" i="73"/>
  <c r="H28" i="66"/>
  <c r="M11" i="66"/>
  <c r="B121" i="70"/>
  <c r="J121" i="70" s="1"/>
  <c r="I45" i="66"/>
  <c r="B153" i="70" s="1"/>
  <c r="J153" i="70" s="1"/>
  <c r="Q44" i="66"/>
  <c r="G33" i="66"/>
  <c r="B143" i="69" s="1"/>
  <c r="J143" i="69" s="1"/>
  <c r="B73" i="72"/>
  <c r="K7" i="73"/>
  <c r="B118" i="72" s="1"/>
  <c r="J118" i="72" s="1"/>
  <c r="N45" i="66"/>
  <c r="Q25" i="66"/>
  <c r="Y32" i="81"/>
  <c r="AF63" i="73"/>
  <c r="AD62" i="73"/>
  <c r="AB61" i="73"/>
  <c r="AD57" i="73"/>
  <c r="AB56" i="73"/>
  <c r="AF55" i="73"/>
  <c r="AC54" i="73"/>
  <c r="AC63" i="73"/>
  <c r="AA62" i="73"/>
  <c r="AE61" i="73"/>
  <c r="AA57" i="73"/>
  <c r="AE56" i="73"/>
  <c r="AC55" i="73"/>
  <c r="AF54" i="73"/>
  <c r="AD63" i="73"/>
  <c r="AE62" i="73"/>
  <c r="AF61" i="73"/>
  <c r="AC57" i="73"/>
  <c r="AD56" i="73"/>
  <c r="AB63" i="73"/>
  <c r="AC62" i="73"/>
  <c r="AD61" i="73"/>
  <c r="AB57" i="73"/>
  <c r="AC56" i="73"/>
  <c r="AE55" i="73"/>
  <c r="AE54" i="73"/>
  <c r="AA63" i="73"/>
  <c r="AB62" i="73"/>
  <c r="AC61" i="73"/>
  <c r="AA56" i="73"/>
  <c r="AD55" i="73"/>
  <c r="AD54" i="73"/>
  <c r="AA61" i="73"/>
  <c r="AB55" i="73"/>
  <c r="AB54" i="73"/>
  <c r="AF57" i="73"/>
  <c r="AA55" i="73"/>
  <c r="AA54" i="73"/>
  <c r="AA15" i="73"/>
  <c r="AD14" i="73"/>
  <c r="R14" i="73" s="1"/>
  <c r="R62" i="73" s="1"/>
  <c r="AA13" i="73"/>
  <c r="AB9" i="73"/>
  <c r="AE8" i="73"/>
  <c r="S8" i="73" s="1"/>
  <c r="S56" i="73" s="1"/>
  <c r="AB7" i="73"/>
  <c r="AE6" i="73"/>
  <c r="AB15" i="73"/>
  <c r="AE13" i="73"/>
  <c r="AC9" i="73"/>
  <c r="Q9" i="73" s="1"/>
  <c r="AA8" i="73"/>
  <c r="AF7" i="73"/>
  <c r="T7" i="73" s="1"/>
  <c r="AD6" i="73"/>
  <c r="AF62" i="73"/>
  <c r="AF14" i="73"/>
  <c r="T14" i="73" s="1"/>
  <c r="T62" i="73" s="1"/>
  <c r="AD13" i="73"/>
  <c r="AA9" i="73"/>
  <c r="AE7" i="73"/>
  <c r="S7" i="73" s="1"/>
  <c r="AC6" i="73"/>
  <c r="AE63" i="73"/>
  <c r="AF56" i="73"/>
  <c r="AE15" i="73"/>
  <c r="S15" i="73" s="1"/>
  <c r="S63" i="73" s="1"/>
  <c r="AC14" i="73"/>
  <c r="Q14" i="73" s="1"/>
  <c r="Q62" i="73" s="1"/>
  <c r="AB13" i="73"/>
  <c r="AF9" i="73"/>
  <c r="T9" i="73" s="1"/>
  <c r="AD8" i="73"/>
  <c r="R8" i="73" s="1"/>
  <c r="AC7" i="73"/>
  <c r="Q7" i="73" s="1"/>
  <c r="AA6" i="73"/>
  <c r="AD15" i="73"/>
  <c r="R15" i="73" s="1"/>
  <c r="R63" i="73" s="1"/>
  <c r="AB14" i="73"/>
  <c r="AE9" i="73"/>
  <c r="S9" i="73" s="1"/>
  <c r="AC8" i="73"/>
  <c r="Q8" i="73" s="1"/>
  <c r="AA7" i="73"/>
  <c r="AE57" i="73"/>
  <c r="AC15" i="73"/>
  <c r="Q15" i="73" s="1"/>
  <c r="Q63" i="73" s="1"/>
  <c r="AA14" i="73"/>
  <c r="AF13" i="73"/>
  <c r="AD9" i="73"/>
  <c r="R9" i="73" s="1"/>
  <c r="R57" i="73" s="1"/>
  <c r="AB8" i="73"/>
  <c r="AF6" i="73"/>
  <c r="AF15" i="73"/>
  <c r="T15" i="73" s="1"/>
  <c r="T63" i="73" s="1"/>
  <c r="AD7" i="73"/>
  <c r="R7" i="73" s="1"/>
  <c r="AF8" i="73"/>
  <c r="T8" i="73" s="1"/>
  <c r="AC13" i="73"/>
  <c r="AB6" i="73"/>
  <c r="AE14" i="73"/>
  <c r="S14" i="73" s="1"/>
  <c r="S62" i="73" s="1"/>
  <c r="U26" i="66"/>
  <c r="N28" i="66"/>
  <c r="R23" i="66"/>
  <c r="V23" i="66" s="1"/>
  <c r="O12" i="66"/>
  <c r="F46" i="66"/>
  <c r="F50" i="66" s="1"/>
  <c r="V67" i="81"/>
  <c r="Z9" i="81"/>
  <c r="AB9" i="81" s="1"/>
  <c r="AL45" i="86"/>
  <c r="AG57" i="86"/>
  <c r="AG45" i="86"/>
  <c r="S40" i="86"/>
  <c r="R27" i="86"/>
  <c r="AN27" i="86"/>
  <c r="X23" i="86"/>
  <c r="X28" i="86" s="1"/>
  <c r="AL28" i="86"/>
  <c r="B75" i="84"/>
  <c r="J75" i="84" s="1"/>
  <c r="AH34" i="81"/>
  <c r="T31" i="81"/>
  <c r="T34" i="81" s="1"/>
  <c r="B121" i="83"/>
  <c r="K28" i="81"/>
  <c r="J7" i="81"/>
  <c r="K7" i="81"/>
  <c r="H7" i="81"/>
  <c r="G7" i="81"/>
  <c r="G11" i="81" s="1"/>
  <c r="F7" i="81"/>
  <c r="E7" i="81"/>
  <c r="L7" i="81"/>
  <c r="L11" i="81" s="1"/>
  <c r="I7" i="81"/>
  <c r="AK51" i="86"/>
  <c r="AN40" i="86"/>
  <c r="AF57" i="86"/>
  <c r="AF45" i="86"/>
  <c r="R40" i="86"/>
  <c r="Q27" i="86"/>
  <c r="Y27" i="86" s="1"/>
  <c r="AM27" i="86"/>
  <c r="AE28" i="86"/>
  <c r="Q23" i="86"/>
  <c r="AM23" i="86"/>
  <c r="B124" i="85"/>
  <c r="J124" i="85" s="1"/>
  <c r="K64" i="86"/>
  <c r="Q24" i="81"/>
  <c r="Y24" i="81" s="1"/>
  <c r="AM24" i="81"/>
  <c r="C76" i="82"/>
  <c r="K76" i="82" s="1"/>
  <c r="F61" i="81"/>
  <c r="N10" i="81"/>
  <c r="C140" i="82" s="1"/>
  <c r="K140" i="82" s="1"/>
  <c r="AM33" i="86"/>
  <c r="M40" i="81"/>
  <c r="B137" i="84" s="1"/>
  <c r="Q67" i="81"/>
  <c r="Y16" i="81"/>
  <c r="C72" i="82"/>
  <c r="F57" i="81"/>
  <c r="N6" i="81"/>
  <c r="C136" i="82" s="1"/>
  <c r="AF66" i="86"/>
  <c r="AN49" i="86"/>
  <c r="AK45" i="86"/>
  <c r="AK57" i="86"/>
  <c r="W40" i="86"/>
  <c r="Y32" i="86"/>
  <c r="D30" i="86"/>
  <c r="G24" i="86"/>
  <c r="L24" i="86"/>
  <c r="F24" i="86"/>
  <c r="K24" i="86"/>
  <c r="E24" i="86"/>
  <c r="J24" i="86"/>
  <c r="I24" i="86"/>
  <c r="H24" i="86"/>
  <c r="T14" i="86"/>
  <c r="AH17" i="86"/>
  <c r="V9" i="86"/>
  <c r="AJ11" i="86"/>
  <c r="T58" i="86"/>
  <c r="B119" i="69"/>
  <c r="I24" i="66"/>
  <c r="B149" i="69" s="1"/>
  <c r="C74" i="84"/>
  <c r="N41" i="81"/>
  <c r="C138" i="84" s="1"/>
  <c r="K138" i="84" s="1"/>
  <c r="F45" i="81"/>
  <c r="B76" i="83"/>
  <c r="J76" i="83" s="1"/>
  <c r="M26" i="81"/>
  <c r="B140" i="83" s="1"/>
  <c r="J140" i="83" s="1"/>
  <c r="T14" i="81"/>
  <c r="C107" i="82"/>
  <c r="K107" i="82" s="1"/>
  <c r="J60" i="81"/>
  <c r="X11" i="81"/>
  <c r="AK11" i="81"/>
  <c r="AF17" i="81"/>
  <c r="AN14" i="81"/>
  <c r="AN17" i="81" s="1"/>
  <c r="J52" i="86"/>
  <c r="C117" i="88" s="1"/>
  <c r="K117" i="88" s="1"/>
  <c r="AH51" i="86"/>
  <c r="AH65" i="86"/>
  <c r="T48" i="86"/>
  <c r="T51" i="86" s="1"/>
  <c r="T23" i="86"/>
  <c r="S14" i="86"/>
  <c r="S7" i="86"/>
  <c r="R6" i="86"/>
  <c r="B77" i="83"/>
  <c r="J77" i="83" s="1"/>
  <c r="M27" i="81"/>
  <c r="B141" i="83" s="1"/>
  <c r="J141" i="83" s="1"/>
  <c r="Q6" i="81"/>
  <c r="D65" i="86"/>
  <c r="M47" i="86"/>
  <c r="B145" i="88" s="1"/>
  <c r="J145" i="88" s="1"/>
  <c r="L152" i="61"/>
  <c r="C74" i="88"/>
  <c r="K74" i="88" s="1"/>
  <c r="N44" i="86"/>
  <c r="C142" i="88" s="1"/>
  <c r="K142" i="88" s="1"/>
  <c r="AI17" i="86"/>
  <c r="K63" i="86"/>
  <c r="AG11" i="81"/>
  <c r="AN8" i="86"/>
  <c r="AF67" i="86"/>
  <c r="F157" i="60"/>
  <c r="AN9" i="86"/>
  <c r="F100" i="53"/>
  <c r="I110" i="38"/>
  <c r="L110" i="38" s="1"/>
  <c r="L107" i="38"/>
  <c r="M111" i="45"/>
  <c r="F84" i="37"/>
  <c r="F102" i="37"/>
  <c r="F106" i="37" s="1"/>
  <c r="B102" i="15"/>
  <c r="H102" i="15" s="1"/>
  <c r="H74" i="15"/>
  <c r="I57" i="7"/>
  <c r="D4" i="21"/>
  <c r="C99" i="7"/>
  <c r="F52" i="9"/>
  <c r="I52" i="9" s="1"/>
  <c r="I7" i="9"/>
  <c r="D43" i="21"/>
  <c r="C122" i="17"/>
  <c r="L122" i="17" s="1"/>
  <c r="J36" i="9"/>
  <c r="F116" i="43"/>
  <c r="F118" i="43" s="1"/>
  <c r="F121" i="17"/>
  <c r="F123" i="17" s="1"/>
  <c r="F109" i="17"/>
  <c r="D38" i="21"/>
  <c r="F38" i="21" s="1"/>
  <c r="G53" i="9"/>
  <c r="C121" i="17"/>
  <c r="L107" i="17"/>
  <c r="C109" i="17"/>
  <c r="L109" i="17" s="1"/>
  <c r="L93" i="17"/>
  <c r="C95" i="17"/>
  <c r="L95" i="17" s="1"/>
  <c r="D9" i="21"/>
  <c r="C36" i="21"/>
  <c r="H88" i="7"/>
  <c r="I43" i="9"/>
  <c r="F45" i="9"/>
  <c r="I45" i="9" s="1"/>
  <c r="I5" i="9"/>
  <c r="F50" i="9"/>
  <c r="H79" i="6"/>
  <c r="C108" i="6"/>
  <c r="I108" i="6" s="1"/>
  <c r="H109" i="2"/>
  <c r="I35" i="1"/>
  <c r="G22" i="1"/>
  <c r="I22" i="1" s="1"/>
  <c r="L75" i="17"/>
  <c r="C99" i="15"/>
  <c r="I99" i="15" s="1"/>
  <c r="D21" i="21"/>
  <c r="F21" i="21" s="1"/>
  <c r="I66" i="6"/>
  <c r="C108" i="7"/>
  <c r="C109" i="7" s="1"/>
  <c r="C104" i="7"/>
  <c r="I104" i="7" s="1"/>
  <c r="H80" i="6"/>
  <c r="B114" i="17"/>
  <c r="C100" i="7"/>
  <c r="I100" i="7" s="1"/>
  <c r="E26" i="1"/>
  <c r="AR38" i="23"/>
  <c r="AN33" i="23"/>
  <c r="G36" i="23"/>
  <c r="B97" i="50"/>
  <c r="E143" i="85"/>
  <c r="E93" i="80"/>
  <c r="E128" i="75"/>
  <c r="E161" i="70"/>
  <c r="E140" i="70"/>
  <c r="B102" i="79"/>
  <c r="I56" i="78"/>
  <c r="AK15" i="78"/>
  <c r="Q15" i="78"/>
  <c r="S9" i="78"/>
  <c r="AK9" i="78"/>
  <c r="R7" i="78"/>
  <c r="AH16" i="78"/>
  <c r="T13" i="78"/>
  <c r="C103" i="76"/>
  <c r="K103" i="76" s="1"/>
  <c r="J55" i="78"/>
  <c r="U15" i="78"/>
  <c r="X31" i="78"/>
  <c r="W15" i="78"/>
  <c r="AJ16" i="78"/>
  <c r="X13" i="78"/>
  <c r="E152" i="68"/>
  <c r="C72" i="80"/>
  <c r="F42" i="78"/>
  <c r="N38" i="78"/>
  <c r="C132" i="80" s="1"/>
  <c r="C90" i="76"/>
  <c r="K90" i="76" s="1"/>
  <c r="H57" i="78"/>
  <c r="AG47" i="78"/>
  <c r="AF47" i="78"/>
  <c r="AG46" i="78"/>
  <c r="AH45" i="78"/>
  <c r="AE41" i="78"/>
  <c r="AF40" i="78"/>
  <c r="AG39" i="78"/>
  <c r="S39" i="78" s="1"/>
  <c r="AH38" i="78"/>
  <c r="AI47" i="78"/>
  <c r="AJ46" i="78"/>
  <c r="AE45" i="78"/>
  <c r="AH41" i="78"/>
  <c r="T41" i="78" s="1"/>
  <c r="AI40" i="78"/>
  <c r="U40" i="78" s="1"/>
  <c r="AJ39" i="78"/>
  <c r="V39" i="78" s="1"/>
  <c r="AE38" i="78"/>
  <c r="AE47" i="78"/>
  <c r="AG45" i="78"/>
  <c r="AG41" i="78"/>
  <c r="S41" i="78" s="1"/>
  <c r="AI39" i="78"/>
  <c r="U39" i="78" s="1"/>
  <c r="AF45" i="78"/>
  <c r="AF41" i="78"/>
  <c r="AJ40" i="78"/>
  <c r="V40" i="78" s="1"/>
  <c r="V56" i="78" s="1"/>
  <c r="AH39" i="78"/>
  <c r="T39" i="78" s="1"/>
  <c r="AI46" i="78"/>
  <c r="AH40" i="78"/>
  <c r="T40" i="78" s="1"/>
  <c r="AF39" i="78"/>
  <c r="AJ38" i="78"/>
  <c r="AH46" i="78"/>
  <c r="AG40" i="78"/>
  <c r="S40" i="78" s="1"/>
  <c r="AE39" i="78"/>
  <c r="AI38" i="78"/>
  <c r="AJ47" i="78"/>
  <c r="AF46" i="78"/>
  <c r="AJ45" i="78"/>
  <c r="AJ41" i="78"/>
  <c r="V41" i="78" s="1"/>
  <c r="AE40" i="78"/>
  <c r="AG38" i="78"/>
  <c r="AH47" i="78"/>
  <c r="AE46" i="78"/>
  <c r="AI45" i="78"/>
  <c r="AI41" i="78"/>
  <c r="U41" i="78" s="1"/>
  <c r="AF38" i="78"/>
  <c r="B88" i="76"/>
  <c r="J88" i="76" s="1"/>
  <c r="G55" i="78"/>
  <c r="C75" i="80"/>
  <c r="K75" i="80" s="1"/>
  <c r="N41" i="78"/>
  <c r="C135" i="80" s="1"/>
  <c r="K135" i="80" s="1"/>
  <c r="X23" i="78"/>
  <c r="W31" i="78"/>
  <c r="H54" i="78"/>
  <c r="N54" i="78" s="1"/>
  <c r="B152" i="68"/>
  <c r="J152" i="68" s="1"/>
  <c r="J146" i="68"/>
  <c r="B123" i="80"/>
  <c r="J123" i="80" s="1"/>
  <c r="J117" i="80"/>
  <c r="F152" i="63"/>
  <c r="O152" i="62"/>
  <c r="I54" i="67"/>
  <c r="C80" i="75"/>
  <c r="L45" i="73"/>
  <c r="C125" i="75" s="1"/>
  <c r="F25" i="67"/>
  <c r="J25" i="67" s="1"/>
  <c r="G54" i="73"/>
  <c r="J54" i="73"/>
  <c r="I54" i="73"/>
  <c r="H54" i="73"/>
  <c r="F54" i="73"/>
  <c r="E54" i="73"/>
  <c r="C96" i="72"/>
  <c r="K96" i="72" s="1"/>
  <c r="P25" i="73"/>
  <c r="V25" i="73" s="1"/>
  <c r="AH25" i="73"/>
  <c r="C119" i="70"/>
  <c r="K119" i="70" s="1"/>
  <c r="J43" i="66"/>
  <c r="C151" i="70" s="1"/>
  <c r="K151" i="70" s="1"/>
  <c r="S26" i="73"/>
  <c r="AG25" i="73"/>
  <c r="O25" i="73"/>
  <c r="U25" i="73" s="1"/>
  <c r="G46" i="66"/>
  <c r="G51" i="66" s="1"/>
  <c r="B144" i="70" s="1"/>
  <c r="J144" i="70" s="1"/>
  <c r="B120" i="69"/>
  <c r="J120" i="69" s="1"/>
  <c r="I25" i="66"/>
  <c r="B150" i="69" s="1"/>
  <c r="J150" i="69" s="1"/>
  <c r="C121" i="70"/>
  <c r="K121" i="70" s="1"/>
  <c r="J45" i="66"/>
  <c r="C153" i="70" s="1"/>
  <c r="K153" i="70" s="1"/>
  <c r="P45" i="66"/>
  <c r="C123" i="74"/>
  <c r="K123" i="74" s="1"/>
  <c r="K117" i="74"/>
  <c r="V40" i="66"/>
  <c r="T23" i="66"/>
  <c r="P28" i="66"/>
  <c r="B77" i="84"/>
  <c r="J77" i="84" s="1"/>
  <c r="M44" i="81"/>
  <c r="B141" i="84" s="1"/>
  <c r="J141" i="84" s="1"/>
  <c r="R34" i="81"/>
  <c r="F10" i="66"/>
  <c r="R11" i="66" s="1"/>
  <c r="M45" i="66"/>
  <c r="C91" i="82"/>
  <c r="K91" i="82" s="1"/>
  <c r="H60" i="81"/>
  <c r="C73" i="88"/>
  <c r="K73" i="88" s="1"/>
  <c r="N43" i="86"/>
  <c r="C141" i="88" s="1"/>
  <c r="K141" i="88" s="1"/>
  <c r="AF28" i="86"/>
  <c r="R23" i="86"/>
  <c r="AN23" i="86"/>
  <c r="Y10" i="81"/>
  <c r="AA10" i="81" s="1"/>
  <c r="AL65" i="86"/>
  <c r="AL51" i="86"/>
  <c r="X48" i="86"/>
  <c r="B73" i="88"/>
  <c r="J73" i="88" s="1"/>
  <c r="M43" i="86"/>
  <c r="B141" i="88" s="1"/>
  <c r="J141" i="88" s="1"/>
  <c r="AI57" i="86"/>
  <c r="AI45" i="86"/>
  <c r="B76" i="85"/>
  <c r="J76" i="85" s="1"/>
  <c r="E64" i="86"/>
  <c r="M10" i="86"/>
  <c r="B140" i="85" s="1"/>
  <c r="J140" i="85" s="1"/>
  <c r="AN31" i="81"/>
  <c r="AF34" i="81"/>
  <c r="B92" i="82"/>
  <c r="J92" i="82" s="1"/>
  <c r="G61" i="81"/>
  <c r="M46" i="86"/>
  <c r="B144" i="88" s="1"/>
  <c r="J144" i="88" s="1"/>
  <c r="B89" i="85"/>
  <c r="G61" i="86"/>
  <c r="I49" i="81"/>
  <c r="B115" i="84" s="1"/>
  <c r="J115" i="84" s="1"/>
  <c r="E45" i="81"/>
  <c r="AM23" i="81"/>
  <c r="AE28" i="81"/>
  <c r="Q23" i="81"/>
  <c r="V48" i="86"/>
  <c r="V51" i="86" s="1"/>
  <c r="AJ51" i="86"/>
  <c r="AJ65" i="86"/>
  <c r="AH45" i="86"/>
  <c r="AN42" i="86"/>
  <c r="R42" i="86"/>
  <c r="AF59" i="86"/>
  <c r="S31" i="86"/>
  <c r="S34" i="86" s="1"/>
  <c r="AG34" i="86"/>
  <c r="AM34" i="86" s="1"/>
  <c r="AI28" i="86"/>
  <c r="N9" i="86"/>
  <c r="C139" i="85" s="1"/>
  <c r="K139" i="85" s="1"/>
  <c r="H46" i="66"/>
  <c r="H51" i="66" s="1"/>
  <c r="C144" i="70" s="1"/>
  <c r="K144" i="70" s="1"/>
  <c r="C119" i="69"/>
  <c r="K119" i="69" s="1"/>
  <c r="J24" i="66"/>
  <c r="C149" i="69" s="1"/>
  <c r="K149" i="69" s="1"/>
  <c r="R25" i="81"/>
  <c r="Z25" i="81" s="1"/>
  <c r="AN25" i="81"/>
  <c r="AM10" i="81"/>
  <c r="B72" i="82"/>
  <c r="E57" i="81"/>
  <c r="M6" i="81"/>
  <c r="B136" i="82" s="1"/>
  <c r="AF11" i="81"/>
  <c r="AN7" i="81"/>
  <c r="AL17" i="81"/>
  <c r="C77" i="88"/>
  <c r="K77" i="88" s="1"/>
  <c r="N47" i="86"/>
  <c r="C145" i="88" s="1"/>
  <c r="K145" i="88" s="1"/>
  <c r="X42" i="86"/>
  <c r="X45" i="86" s="1"/>
  <c r="AL59" i="86"/>
  <c r="AM31" i="86"/>
  <c r="I12" i="86"/>
  <c r="C92" i="85"/>
  <c r="K92" i="85" s="1"/>
  <c r="H64" i="86"/>
  <c r="B121" i="85"/>
  <c r="K12" i="86"/>
  <c r="K61" i="86"/>
  <c r="C120" i="82"/>
  <c r="L57" i="81"/>
  <c r="W6" i="81"/>
  <c r="R14" i="81"/>
  <c r="Y8" i="86"/>
  <c r="K61" i="81"/>
  <c r="U16" i="86"/>
  <c r="C75" i="87"/>
  <c r="K75" i="87" s="1"/>
  <c r="N27" i="86"/>
  <c r="C139" i="87" s="1"/>
  <c r="K139" i="87" s="1"/>
  <c r="AN6" i="81"/>
  <c r="O152" i="61"/>
  <c r="Q58" i="86"/>
  <c r="AH11" i="86"/>
  <c r="F84" i="47"/>
  <c r="L108" i="45"/>
  <c r="I111" i="45"/>
  <c r="L111" i="45" s="1"/>
  <c r="K107" i="41"/>
  <c r="H109" i="41"/>
  <c r="K109" i="41" s="1"/>
  <c r="F116" i="44"/>
  <c r="H110" i="38"/>
  <c r="K110" i="38" s="1"/>
  <c r="K107" i="38"/>
  <c r="H72" i="15"/>
  <c r="B100" i="15"/>
  <c r="H100" i="15" s="1"/>
  <c r="H15" i="9"/>
  <c r="H58" i="9"/>
  <c r="H60" i="9" s="1"/>
  <c r="H106" i="37"/>
  <c r="K106" i="37" s="1"/>
  <c r="K102" i="37"/>
  <c r="L109" i="25"/>
  <c r="I115" i="25"/>
  <c r="L115" i="25" s="1"/>
  <c r="C10" i="9"/>
  <c r="I10" i="9" s="1"/>
  <c r="F104" i="35"/>
  <c r="K109" i="25"/>
  <c r="H115" i="25"/>
  <c r="K115" i="25" s="1"/>
  <c r="F7" i="21"/>
  <c r="H10" i="9"/>
  <c r="H49" i="9"/>
  <c r="H55" i="9" s="1"/>
  <c r="C107" i="6"/>
  <c r="I107" i="6" s="1"/>
  <c r="L108" i="17"/>
  <c r="C102" i="7"/>
  <c r="I102" i="7" s="1"/>
  <c r="C101" i="15"/>
  <c r="I101" i="15" s="1"/>
  <c r="D37" i="21"/>
  <c r="F37" i="21" s="1"/>
  <c r="I128" i="2"/>
  <c r="G50" i="9"/>
  <c r="D6" i="9"/>
  <c r="G51" i="9"/>
  <c r="E102" i="88"/>
  <c r="E97" i="88"/>
  <c r="E153" i="88"/>
  <c r="E148" i="88"/>
  <c r="Z15" i="78" l="1"/>
  <c r="W14" i="78"/>
  <c r="Y14" i="78" s="1"/>
  <c r="W13" i="78"/>
  <c r="W29" i="78"/>
  <c r="W32" i="78" s="1"/>
  <c r="X29" i="78"/>
  <c r="AL13" i="78"/>
  <c r="X30" i="78"/>
  <c r="Z30" i="78" s="1"/>
  <c r="F63" i="86"/>
  <c r="N63" i="86" s="1"/>
  <c r="C51" i="9"/>
  <c r="I51" i="9" s="1"/>
  <c r="C48" i="21"/>
  <c r="N42" i="86"/>
  <c r="C140" i="88" s="1"/>
  <c r="N45" i="86"/>
  <c r="C143" i="88" s="1"/>
  <c r="K143" i="88" s="1"/>
  <c r="J63" i="86"/>
  <c r="W30" i="78"/>
  <c r="Y30" i="78" s="1"/>
  <c r="H48" i="86"/>
  <c r="H52" i="86" s="1"/>
  <c r="C100" i="88" s="1"/>
  <c r="K100" i="88" s="1"/>
  <c r="AN11" i="81"/>
  <c r="C89" i="88"/>
  <c r="F58" i="78"/>
  <c r="L48" i="81"/>
  <c r="L49" i="81"/>
  <c r="C131" i="84" s="1"/>
  <c r="K131" i="84" s="1"/>
  <c r="H12" i="86"/>
  <c r="K45" i="81"/>
  <c r="H72" i="3"/>
  <c r="N7" i="86"/>
  <c r="C137" i="85" s="1"/>
  <c r="K137" i="85" s="1"/>
  <c r="D25" i="9"/>
  <c r="J25" i="9" s="1"/>
  <c r="H108" i="7"/>
  <c r="L60" i="90"/>
  <c r="I60" i="90"/>
  <c r="K115" i="91"/>
  <c r="J126" i="91"/>
  <c r="J129" i="91"/>
  <c r="K127" i="91"/>
  <c r="V11" i="81"/>
  <c r="I31" i="73"/>
  <c r="B112" i="74" s="1"/>
  <c r="J112" i="74" s="1"/>
  <c r="I48" i="86"/>
  <c r="I52" i="86" s="1"/>
  <c r="B117" i="88" s="1"/>
  <c r="J117" i="88" s="1"/>
  <c r="K143" i="91"/>
  <c r="G28" i="81"/>
  <c r="D62" i="81"/>
  <c r="T56" i="73"/>
  <c r="B96" i="83"/>
  <c r="J96" i="83" s="1"/>
  <c r="AM17" i="81"/>
  <c r="AG32" i="73"/>
  <c r="E29" i="78"/>
  <c r="I50" i="81"/>
  <c r="B116" i="84" s="1"/>
  <c r="J116" i="84" s="1"/>
  <c r="E11" i="81"/>
  <c r="I29" i="73"/>
  <c r="E30" i="78"/>
  <c r="J140" i="91"/>
  <c r="M25" i="81"/>
  <c r="B139" i="83" s="1"/>
  <c r="J139" i="83" s="1"/>
  <c r="H57" i="81"/>
  <c r="V10" i="66"/>
  <c r="K129" i="91"/>
  <c r="K140" i="91"/>
  <c r="J127" i="91"/>
  <c r="AB7" i="86"/>
  <c r="J141" i="91"/>
  <c r="K126" i="91"/>
  <c r="J143" i="91"/>
  <c r="K141" i="91"/>
  <c r="C74" i="89"/>
  <c r="K74" i="89" s="1"/>
  <c r="K74" i="91"/>
  <c r="B69" i="89"/>
  <c r="J69" i="89" s="1"/>
  <c r="B115" i="89"/>
  <c r="J115" i="89" s="1"/>
  <c r="J115" i="91"/>
  <c r="C145" i="91"/>
  <c r="K145" i="91" s="1"/>
  <c r="K139" i="91"/>
  <c r="G60" i="90"/>
  <c r="C101" i="89"/>
  <c r="K101" i="89" s="1"/>
  <c r="K101" i="91"/>
  <c r="B112" i="89"/>
  <c r="J112" i="89" s="1"/>
  <c r="J112" i="91"/>
  <c r="J139" i="91"/>
  <c r="B145" i="91"/>
  <c r="J145" i="91" s="1"/>
  <c r="B113" i="89"/>
  <c r="J113" i="89" s="1"/>
  <c r="J113" i="91"/>
  <c r="C98" i="89"/>
  <c r="K98" i="89" s="1"/>
  <c r="K98" i="91"/>
  <c r="C112" i="89"/>
  <c r="K112" i="89" s="1"/>
  <c r="K112" i="91"/>
  <c r="C69" i="89"/>
  <c r="K69" i="89" s="1"/>
  <c r="C111" i="89"/>
  <c r="K111" i="89" s="1"/>
  <c r="C99" i="89"/>
  <c r="K99" i="89" s="1"/>
  <c r="K99" i="91"/>
  <c r="J125" i="91"/>
  <c r="B131" i="91"/>
  <c r="J131" i="91" s="1"/>
  <c r="B70" i="89"/>
  <c r="J70" i="89" s="1"/>
  <c r="J70" i="91"/>
  <c r="B74" i="89"/>
  <c r="J74" i="89" s="1"/>
  <c r="J74" i="91"/>
  <c r="K125" i="91"/>
  <c r="C131" i="91"/>
  <c r="K131" i="91" s="1"/>
  <c r="C113" i="89"/>
  <c r="K113" i="89" s="1"/>
  <c r="K113" i="91"/>
  <c r="B98" i="89"/>
  <c r="J98" i="89" s="1"/>
  <c r="J98" i="91"/>
  <c r="B97" i="89"/>
  <c r="J97" i="89" s="1"/>
  <c r="B73" i="89"/>
  <c r="J73" i="89" s="1"/>
  <c r="J73" i="91"/>
  <c r="C70" i="89"/>
  <c r="K70" i="89" s="1"/>
  <c r="K70" i="91"/>
  <c r="C97" i="89"/>
  <c r="K97" i="89" s="1"/>
  <c r="C102" i="89"/>
  <c r="K102" i="89" s="1"/>
  <c r="K102" i="91"/>
  <c r="C73" i="89"/>
  <c r="K73" i="89" s="1"/>
  <c r="K73" i="91"/>
  <c r="C71" i="89"/>
  <c r="K71" i="89" s="1"/>
  <c r="K71" i="91"/>
  <c r="B99" i="89"/>
  <c r="J99" i="89" s="1"/>
  <c r="J99" i="91"/>
  <c r="B111" i="89"/>
  <c r="J111" i="89" s="1"/>
  <c r="B116" i="89"/>
  <c r="J116" i="89" s="1"/>
  <c r="J116" i="91"/>
  <c r="B101" i="89"/>
  <c r="J101" i="89" s="1"/>
  <c r="J101" i="91"/>
  <c r="B71" i="89"/>
  <c r="J71" i="89" s="1"/>
  <c r="J71" i="91"/>
  <c r="B83" i="89"/>
  <c r="J83" i="89" s="1"/>
  <c r="C84" i="89"/>
  <c r="K84" i="89" s="1"/>
  <c r="B85" i="89"/>
  <c r="J85" i="89" s="1"/>
  <c r="J85" i="91"/>
  <c r="B156" i="89"/>
  <c r="J156" i="89" s="1"/>
  <c r="C87" i="89"/>
  <c r="K87" i="89" s="1"/>
  <c r="K87" i="91"/>
  <c r="B84" i="89"/>
  <c r="J84" i="89" s="1"/>
  <c r="J84" i="91"/>
  <c r="C83" i="89"/>
  <c r="K83" i="89" s="1"/>
  <c r="K83" i="91"/>
  <c r="C85" i="89"/>
  <c r="K85" i="89" s="1"/>
  <c r="K85" i="91"/>
  <c r="B87" i="89"/>
  <c r="J87" i="89" s="1"/>
  <c r="J87" i="91"/>
  <c r="C156" i="89"/>
  <c r="K156" i="89" s="1"/>
  <c r="X51" i="86"/>
  <c r="V6" i="66"/>
  <c r="AI68" i="86"/>
  <c r="Q55" i="73"/>
  <c r="Z10" i="81"/>
  <c r="Z11" i="81" s="1"/>
  <c r="C112" i="84"/>
  <c r="K112" i="84" s="1"/>
  <c r="M42" i="81"/>
  <c r="B139" i="84" s="1"/>
  <c r="J139" i="84" s="1"/>
  <c r="J28" i="81"/>
  <c r="X25" i="73"/>
  <c r="G45" i="81"/>
  <c r="G48" i="81" s="1"/>
  <c r="B98" i="84" s="1"/>
  <c r="G56" i="67"/>
  <c r="AN38" i="23"/>
  <c r="J45" i="81"/>
  <c r="N45" i="81" s="1"/>
  <c r="N61" i="81"/>
  <c r="E56" i="67"/>
  <c r="F115" i="25"/>
  <c r="Y50" i="86"/>
  <c r="R55" i="73"/>
  <c r="AL68" i="86"/>
  <c r="T11" i="81"/>
  <c r="R26" i="73"/>
  <c r="AG10" i="78"/>
  <c r="C10" i="21"/>
  <c r="N60" i="90"/>
  <c r="I10" i="66"/>
  <c r="C132" i="2"/>
  <c r="I132" i="2" s="1"/>
  <c r="K60" i="90"/>
  <c r="E13" i="66"/>
  <c r="E67" i="66" s="1"/>
  <c r="N55" i="78"/>
  <c r="D51" i="21"/>
  <c r="F51" i="21" s="1"/>
  <c r="S11" i="66"/>
  <c r="S12" i="66" s="1"/>
  <c r="I25" i="67"/>
  <c r="L47" i="73"/>
  <c r="C127" i="75" s="1"/>
  <c r="K127" i="75" s="1"/>
  <c r="K134" i="22"/>
  <c r="N8" i="86"/>
  <c r="C138" i="85" s="1"/>
  <c r="K138" i="85" s="1"/>
  <c r="M60" i="90"/>
  <c r="M56" i="78"/>
  <c r="AN65" i="86"/>
  <c r="C49" i="21"/>
  <c r="H60" i="90"/>
  <c r="J12" i="86"/>
  <c r="X47" i="73"/>
  <c r="G13" i="66"/>
  <c r="C52" i="21"/>
  <c r="I130" i="2"/>
  <c r="E14" i="66"/>
  <c r="G15" i="66"/>
  <c r="N10" i="78"/>
  <c r="AL7" i="78"/>
  <c r="Y66" i="86"/>
  <c r="AN17" i="86"/>
  <c r="C112" i="83"/>
  <c r="K112" i="83" s="1"/>
  <c r="H58" i="78"/>
  <c r="AN67" i="86"/>
  <c r="P60" i="90"/>
  <c r="B132" i="2"/>
  <c r="H132" i="2" s="1"/>
  <c r="H48" i="73"/>
  <c r="J53" i="67"/>
  <c r="M45" i="86"/>
  <c r="B143" i="88" s="1"/>
  <c r="J143" i="88" s="1"/>
  <c r="AJ68" i="86"/>
  <c r="K105" i="83"/>
  <c r="D58" i="73"/>
  <c r="Y62" i="78"/>
  <c r="X26" i="78"/>
  <c r="D58" i="78"/>
  <c r="N23" i="81"/>
  <c r="C137" i="83" s="1"/>
  <c r="U27" i="66"/>
  <c r="M24" i="81"/>
  <c r="B138" i="83" s="1"/>
  <c r="J138" i="83" s="1"/>
  <c r="O60" i="90"/>
  <c r="F11" i="81"/>
  <c r="AM57" i="86"/>
  <c r="AL61" i="78"/>
  <c r="AL64" i="78" s="1"/>
  <c r="W24" i="73"/>
  <c r="L29" i="90"/>
  <c r="L33" i="90" s="1"/>
  <c r="C120" i="91" s="1"/>
  <c r="K59" i="90"/>
  <c r="Y41" i="86"/>
  <c r="T45" i="86"/>
  <c r="AH68" i="86"/>
  <c r="T57" i="73"/>
  <c r="AM60" i="86"/>
  <c r="AG68" i="86"/>
  <c r="R16" i="78"/>
  <c r="W45" i="86"/>
  <c r="Y7" i="81"/>
  <c r="U60" i="86"/>
  <c r="Z44" i="86"/>
  <c r="AB44" i="86" s="1"/>
  <c r="W58" i="86"/>
  <c r="AM28" i="81"/>
  <c r="AG26" i="73"/>
  <c r="H50" i="81"/>
  <c r="C100" i="84" s="1"/>
  <c r="K100" i="84" s="1"/>
  <c r="H49" i="81"/>
  <c r="C99" i="84" s="1"/>
  <c r="K99" i="84" s="1"/>
  <c r="H48" i="81"/>
  <c r="H62" i="90"/>
  <c r="C88" i="89"/>
  <c r="K88" i="89" s="1"/>
  <c r="L62" i="90"/>
  <c r="C116" i="89"/>
  <c r="K116" i="89" s="1"/>
  <c r="B144" i="89"/>
  <c r="J144" i="89" s="1"/>
  <c r="O62" i="90"/>
  <c r="C143" i="89"/>
  <c r="K143" i="89" s="1"/>
  <c r="P61" i="90"/>
  <c r="C127" i="89"/>
  <c r="K127" i="89" s="1"/>
  <c r="N59" i="90"/>
  <c r="AA25" i="81"/>
  <c r="L61" i="90"/>
  <c r="C115" i="89"/>
  <c r="K115" i="89" s="1"/>
  <c r="B126" i="89"/>
  <c r="J126" i="89" s="1"/>
  <c r="M58" i="90"/>
  <c r="C144" i="89"/>
  <c r="K144" i="89" s="1"/>
  <c r="P62" i="90"/>
  <c r="B129" i="89"/>
  <c r="J129" i="89" s="1"/>
  <c r="M61" i="90"/>
  <c r="B141" i="89"/>
  <c r="J141" i="89" s="1"/>
  <c r="O59" i="90"/>
  <c r="L46" i="90"/>
  <c r="L49" i="90" s="1"/>
  <c r="C126" i="89"/>
  <c r="K126" i="89" s="1"/>
  <c r="N58" i="90"/>
  <c r="C139" i="89"/>
  <c r="P57" i="90"/>
  <c r="B143" i="89"/>
  <c r="J143" i="89" s="1"/>
  <c r="O61" i="90"/>
  <c r="C141" i="89"/>
  <c r="K141" i="89" s="1"/>
  <c r="P59" i="90"/>
  <c r="AL62" i="86"/>
  <c r="Q56" i="73"/>
  <c r="AJ62" i="86"/>
  <c r="H60" i="66"/>
  <c r="B140" i="89"/>
  <c r="J140" i="89" s="1"/>
  <c r="O58" i="90"/>
  <c r="B139" i="89"/>
  <c r="O57" i="90"/>
  <c r="C129" i="89"/>
  <c r="K129" i="89" s="1"/>
  <c r="N61" i="90"/>
  <c r="S45" i="86"/>
  <c r="F60" i="66"/>
  <c r="Y9" i="86"/>
  <c r="AA9" i="86" s="1"/>
  <c r="G62" i="90"/>
  <c r="B88" i="89"/>
  <c r="J88" i="89" s="1"/>
  <c r="C140" i="89"/>
  <c r="K140" i="89" s="1"/>
  <c r="P58" i="90"/>
  <c r="B125" i="89"/>
  <c r="M57" i="90"/>
  <c r="B130" i="89"/>
  <c r="J130" i="89" s="1"/>
  <c r="M62" i="90"/>
  <c r="W25" i="73"/>
  <c r="J53" i="9"/>
  <c r="I28" i="81"/>
  <c r="I33" i="81" s="1"/>
  <c r="B116" i="83" s="1"/>
  <c r="J116" i="83" s="1"/>
  <c r="C132" i="22"/>
  <c r="L132" i="22" s="1"/>
  <c r="I62" i="90"/>
  <c r="B102" i="89"/>
  <c r="J102" i="89" s="1"/>
  <c r="D68" i="90"/>
  <c r="C125" i="89"/>
  <c r="N57" i="90"/>
  <c r="C130" i="89"/>
  <c r="K130" i="89" s="1"/>
  <c r="N62" i="90"/>
  <c r="B127" i="89"/>
  <c r="J127" i="89" s="1"/>
  <c r="M59" i="90"/>
  <c r="L59" i="90"/>
  <c r="R43" i="90"/>
  <c r="K46" i="90"/>
  <c r="K50" i="90" s="1"/>
  <c r="H46" i="90"/>
  <c r="H50" i="90" s="1"/>
  <c r="M46" i="90"/>
  <c r="R41" i="90"/>
  <c r="Q45" i="90"/>
  <c r="K62" i="90"/>
  <c r="G59" i="90"/>
  <c r="R45" i="90"/>
  <c r="Q42" i="90"/>
  <c r="R42" i="90"/>
  <c r="H59" i="90"/>
  <c r="Q40" i="90"/>
  <c r="Q41" i="90"/>
  <c r="O46" i="90"/>
  <c r="G46" i="90"/>
  <c r="G49" i="90" s="1"/>
  <c r="R40" i="90"/>
  <c r="P46" i="90"/>
  <c r="Q43" i="90"/>
  <c r="I46" i="90"/>
  <c r="I49" i="90" s="1"/>
  <c r="N46" i="90"/>
  <c r="E60" i="90"/>
  <c r="J58" i="90"/>
  <c r="H61" i="90"/>
  <c r="F46" i="90"/>
  <c r="F50" i="90" s="1"/>
  <c r="J61" i="90"/>
  <c r="R27" i="90"/>
  <c r="C157" i="91" s="1"/>
  <c r="L58" i="90"/>
  <c r="J62" i="90"/>
  <c r="J46" i="90"/>
  <c r="Q8" i="90"/>
  <c r="G58" i="90"/>
  <c r="I58" i="90"/>
  <c r="E59" i="90"/>
  <c r="R25" i="90"/>
  <c r="C155" i="91" s="1"/>
  <c r="R23" i="90"/>
  <c r="C153" i="91" s="1"/>
  <c r="Q26" i="90"/>
  <c r="B156" i="91" s="1"/>
  <c r="J156" i="91" s="1"/>
  <c r="E46" i="90"/>
  <c r="R7" i="90"/>
  <c r="Q6" i="90"/>
  <c r="R11" i="90"/>
  <c r="R26" i="90"/>
  <c r="C156" i="91" s="1"/>
  <c r="K156" i="91" s="1"/>
  <c r="H58" i="90"/>
  <c r="R6" i="90"/>
  <c r="Q10" i="90"/>
  <c r="Q25" i="90"/>
  <c r="B155" i="91" s="1"/>
  <c r="Q23" i="90"/>
  <c r="B153" i="91" s="1"/>
  <c r="R10" i="90"/>
  <c r="Q27" i="90"/>
  <c r="B157" i="91" s="1"/>
  <c r="Q11" i="90"/>
  <c r="Q24" i="90"/>
  <c r="B154" i="91" s="1"/>
  <c r="R24" i="90"/>
  <c r="C154" i="91" s="1"/>
  <c r="Q7" i="90"/>
  <c r="F59" i="90"/>
  <c r="R8" i="90"/>
  <c r="O29" i="90"/>
  <c r="O32" i="90" s="1"/>
  <c r="B147" i="91" s="1"/>
  <c r="M29" i="90"/>
  <c r="P29" i="90"/>
  <c r="P32" i="90" s="1"/>
  <c r="C147" i="91" s="1"/>
  <c r="J29" i="90"/>
  <c r="J32" i="90" s="1"/>
  <c r="C105" i="91" s="1"/>
  <c r="N29" i="90"/>
  <c r="K29" i="90"/>
  <c r="J59" i="90"/>
  <c r="M12" i="90"/>
  <c r="N12" i="90"/>
  <c r="H29" i="90"/>
  <c r="G29" i="90"/>
  <c r="O12" i="90"/>
  <c r="P12" i="90"/>
  <c r="K58" i="90"/>
  <c r="I59" i="90"/>
  <c r="G61" i="90"/>
  <c r="F29" i="90"/>
  <c r="F33" i="90" s="1"/>
  <c r="C78" i="91" s="1"/>
  <c r="I29" i="90"/>
  <c r="E29" i="90"/>
  <c r="E33" i="90" s="1"/>
  <c r="B78" i="91" s="1"/>
  <c r="I61" i="90"/>
  <c r="K61" i="90"/>
  <c r="K57" i="90"/>
  <c r="K12" i="90"/>
  <c r="E61" i="90"/>
  <c r="F61" i="90"/>
  <c r="D63" i="90"/>
  <c r="E58" i="90"/>
  <c r="E57" i="90"/>
  <c r="E12" i="90"/>
  <c r="F62" i="90"/>
  <c r="H57" i="90"/>
  <c r="H12" i="90"/>
  <c r="F58" i="90"/>
  <c r="F57" i="90"/>
  <c r="F12" i="90"/>
  <c r="L57" i="90"/>
  <c r="L12" i="90"/>
  <c r="G57" i="90"/>
  <c r="G12" i="90"/>
  <c r="I57" i="90"/>
  <c r="I12" i="90"/>
  <c r="E62" i="90"/>
  <c r="J57" i="90"/>
  <c r="J12" i="90"/>
  <c r="W26" i="78"/>
  <c r="AN59" i="86"/>
  <c r="AH26" i="73"/>
  <c r="AG56" i="73"/>
  <c r="Z63" i="78"/>
  <c r="D15" i="9"/>
  <c r="J15" i="9" s="1"/>
  <c r="J13" i="9"/>
  <c r="AN34" i="81"/>
  <c r="AN28" i="86"/>
  <c r="F49" i="81"/>
  <c r="C83" i="84" s="1"/>
  <c r="K83" i="84" s="1"/>
  <c r="J8" i="9"/>
  <c r="T55" i="73"/>
  <c r="F109" i="41"/>
  <c r="C44" i="21"/>
  <c r="J61" i="86"/>
  <c r="G62" i="86"/>
  <c r="C89" i="84"/>
  <c r="N40" i="81"/>
  <c r="C137" i="84" s="1"/>
  <c r="K137" i="84" s="1"/>
  <c r="G55" i="9"/>
  <c r="AE10" i="78"/>
  <c r="F29" i="73"/>
  <c r="C80" i="74" s="1"/>
  <c r="J62" i="66"/>
  <c r="F110" i="39"/>
  <c r="AN66" i="86"/>
  <c r="R56" i="73"/>
  <c r="F55" i="9"/>
  <c r="B109" i="88"/>
  <c r="J109" i="88" s="1"/>
  <c r="I63" i="86"/>
  <c r="M63" i="86" s="1"/>
  <c r="AB26" i="81"/>
  <c r="M8" i="86"/>
  <c r="B138" i="85" s="1"/>
  <c r="J138" i="85" s="1"/>
  <c r="AI62" i="86"/>
  <c r="L155" i="61"/>
  <c r="C156" i="61"/>
  <c r="L156" i="61" s="1"/>
  <c r="F31" i="73"/>
  <c r="C82" i="74" s="1"/>
  <c r="K82" i="74" s="1"/>
  <c r="I32" i="78"/>
  <c r="C72" i="3"/>
  <c r="I72" i="3" s="1"/>
  <c r="Z23" i="81"/>
  <c r="Z28" i="81" s="1"/>
  <c r="U57" i="78"/>
  <c r="AL16" i="78"/>
  <c r="AE62" i="86"/>
  <c r="Y7" i="78"/>
  <c r="AA7" i="78" s="1"/>
  <c r="AK62" i="86"/>
  <c r="S55" i="73"/>
  <c r="Q57" i="73"/>
  <c r="AG62" i="86"/>
  <c r="AM66" i="86"/>
  <c r="B88" i="85"/>
  <c r="J88" i="85" s="1"/>
  <c r="G12" i="86"/>
  <c r="S57" i="73"/>
  <c r="AG55" i="73"/>
  <c r="I64" i="86"/>
  <c r="C120" i="85"/>
  <c r="K120" i="85" s="1"/>
  <c r="L12" i="86"/>
  <c r="Z31" i="81"/>
  <c r="Z34" i="81" s="1"/>
  <c r="AK68" i="86"/>
  <c r="AL31" i="78"/>
  <c r="J57" i="81"/>
  <c r="N57" i="81" s="1"/>
  <c r="AF16" i="78"/>
  <c r="C104" i="85"/>
  <c r="N6" i="86"/>
  <c r="C136" i="85" s="1"/>
  <c r="K136" i="85" s="1"/>
  <c r="F50" i="81"/>
  <c r="C84" i="84" s="1"/>
  <c r="K84" i="84" s="1"/>
  <c r="AL58" i="78"/>
  <c r="G57" i="81"/>
  <c r="G31" i="66"/>
  <c r="I31" i="66" s="1"/>
  <c r="I28" i="66"/>
  <c r="AH10" i="78"/>
  <c r="V7" i="78"/>
  <c r="V55" i="78" s="1"/>
  <c r="X7" i="78"/>
  <c r="AK8" i="78"/>
  <c r="B104" i="45"/>
  <c r="K104" i="45" s="1"/>
  <c r="K102" i="45"/>
  <c r="B72" i="85"/>
  <c r="J72" i="85" s="1"/>
  <c r="M6" i="86"/>
  <c r="B136" i="85" s="1"/>
  <c r="J136" i="85" s="1"/>
  <c r="V6" i="78"/>
  <c r="AJ10" i="78"/>
  <c r="X6" i="78"/>
  <c r="B132" i="22"/>
  <c r="K132" i="22" s="1"/>
  <c r="C40" i="9"/>
  <c r="I40" i="9" s="1"/>
  <c r="I35" i="9"/>
  <c r="K136" i="22"/>
  <c r="AB24" i="81"/>
  <c r="E46" i="73"/>
  <c r="B81" i="75" s="1"/>
  <c r="J81" i="75" s="1"/>
  <c r="E47" i="73"/>
  <c r="B82" i="75" s="1"/>
  <c r="J82" i="75" s="1"/>
  <c r="E45" i="73"/>
  <c r="C152" i="62"/>
  <c r="L152" i="62" s="1"/>
  <c r="L147" i="62"/>
  <c r="I76" i="3"/>
  <c r="I60" i="66"/>
  <c r="C75" i="83"/>
  <c r="K75" i="83" s="1"/>
  <c r="N25" i="81"/>
  <c r="C139" i="83" s="1"/>
  <c r="K139" i="83" s="1"/>
  <c r="B78" i="75"/>
  <c r="J78" i="75" s="1"/>
  <c r="J72" i="75"/>
  <c r="C123" i="75"/>
  <c r="K123" i="75" s="1"/>
  <c r="B123" i="17"/>
  <c r="K123" i="17" s="1"/>
  <c r="C53" i="9"/>
  <c r="I53" i="9" s="1"/>
  <c r="I38" i="9"/>
  <c r="C117" i="50"/>
  <c r="L117" i="50" s="1"/>
  <c r="L115" i="50"/>
  <c r="C121" i="83"/>
  <c r="L28" i="81"/>
  <c r="C108" i="75"/>
  <c r="K108" i="75" s="1"/>
  <c r="AH47" i="73"/>
  <c r="C50" i="9"/>
  <c r="I50" i="9" s="1"/>
  <c r="K54" i="73"/>
  <c r="U44" i="66"/>
  <c r="C53" i="21"/>
  <c r="C104" i="45"/>
  <c r="L104" i="45" s="1"/>
  <c r="L102" i="45"/>
  <c r="AL46" i="78"/>
  <c r="X46" i="78" s="1"/>
  <c r="Z46" i="78" s="1"/>
  <c r="AH55" i="73"/>
  <c r="AM58" i="86"/>
  <c r="Z42" i="86"/>
  <c r="AB42" i="86" s="1"/>
  <c r="AH57" i="73"/>
  <c r="S55" i="78"/>
  <c r="AM11" i="86"/>
  <c r="AG63" i="73"/>
  <c r="AH62" i="86"/>
  <c r="Y42" i="86"/>
  <c r="AA42" i="86" s="1"/>
  <c r="U45" i="86"/>
  <c r="C84" i="83"/>
  <c r="K84" i="83" s="1"/>
  <c r="G14" i="81"/>
  <c r="G16" i="81"/>
  <c r="G15" i="81"/>
  <c r="B126" i="70"/>
  <c r="B84" i="83"/>
  <c r="J84" i="83" s="1"/>
  <c r="R12" i="66"/>
  <c r="C127" i="70"/>
  <c r="K127" i="70" s="1"/>
  <c r="J136" i="82"/>
  <c r="R17" i="81"/>
  <c r="Z14" i="81"/>
  <c r="I17" i="86"/>
  <c r="I15" i="86"/>
  <c r="I16" i="86"/>
  <c r="E14" i="81"/>
  <c r="E15" i="81"/>
  <c r="E16" i="81"/>
  <c r="Y23" i="81"/>
  <c r="Q28" i="81"/>
  <c r="Q45" i="66"/>
  <c r="M46" i="66"/>
  <c r="R28" i="81"/>
  <c r="K80" i="75"/>
  <c r="AF42" i="78"/>
  <c r="AL38" i="78"/>
  <c r="X38" i="78" s="1"/>
  <c r="R38" i="78"/>
  <c r="AK40" i="78"/>
  <c r="W40" i="78" s="1"/>
  <c r="W56" i="78" s="1"/>
  <c r="Q40" i="78"/>
  <c r="AK39" i="78"/>
  <c r="W39" i="78" s="1"/>
  <c r="W55" i="78" s="1"/>
  <c r="Q39" i="78"/>
  <c r="AL40" i="78"/>
  <c r="X40" i="78" s="1"/>
  <c r="X56" i="78" s="1"/>
  <c r="R40" i="78"/>
  <c r="X16" i="78"/>
  <c r="J102" i="79"/>
  <c r="B106" i="79"/>
  <c r="J106" i="79" s="1"/>
  <c r="I49" i="9"/>
  <c r="T17" i="81"/>
  <c r="J149" i="69"/>
  <c r="B155" i="69"/>
  <c r="J155" i="69" s="1"/>
  <c r="T17" i="86"/>
  <c r="T65" i="86"/>
  <c r="T68" i="86" s="1"/>
  <c r="Z14" i="86"/>
  <c r="C72" i="87"/>
  <c r="F30" i="86"/>
  <c r="N24" i="86"/>
  <c r="C136" i="87" s="1"/>
  <c r="F60" i="86"/>
  <c r="R45" i="86"/>
  <c r="Z40" i="86"/>
  <c r="C89" i="82"/>
  <c r="K89" i="82" s="1"/>
  <c r="H58" i="81"/>
  <c r="AC16" i="73"/>
  <c r="Q13" i="73"/>
  <c r="AH15" i="73"/>
  <c r="P15" i="73"/>
  <c r="AH62" i="73"/>
  <c r="AD64" i="73"/>
  <c r="AE64" i="73"/>
  <c r="N46" i="66"/>
  <c r="R45" i="66"/>
  <c r="E63" i="66"/>
  <c r="H63" i="66"/>
  <c r="G63" i="66"/>
  <c r="F63" i="66"/>
  <c r="C81" i="76"/>
  <c r="K81" i="76" s="1"/>
  <c r="V16" i="78"/>
  <c r="F6" i="21"/>
  <c r="D50" i="21"/>
  <c r="F50" i="21" s="1"/>
  <c r="Q68" i="86"/>
  <c r="D66" i="86"/>
  <c r="V45" i="86"/>
  <c r="H31" i="81"/>
  <c r="H32" i="81"/>
  <c r="C99" i="83" s="1"/>
  <c r="K99" i="83" s="1"/>
  <c r="B106" i="87"/>
  <c r="J106" i="87" s="1"/>
  <c r="I62" i="86"/>
  <c r="E48" i="81"/>
  <c r="C122" i="82"/>
  <c r="K122" i="82" s="1"/>
  <c r="L59" i="81"/>
  <c r="AA26" i="81"/>
  <c r="Z43" i="86"/>
  <c r="AB43" i="86" s="1"/>
  <c r="J118" i="70"/>
  <c r="B124" i="70"/>
  <c r="J124" i="70" s="1"/>
  <c r="J28" i="66"/>
  <c r="F31" i="66"/>
  <c r="F32" i="66"/>
  <c r="F33" i="66"/>
  <c r="H61" i="66"/>
  <c r="F61" i="66"/>
  <c r="E61" i="66"/>
  <c r="G61" i="66"/>
  <c r="AG39" i="73"/>
  <c r="O39" i="73"/>
  <c r="U39" i="73" s="1"/>
  <c r="W39" i="73" s="1"/>
  <c r="AH41" i="73"/>
  <c r="P41" i="73"/>
  <c r="V41" i="73" s="1"/>
  <c r="X41" i="73" s="1"/>
  <c r="AH46" i="73"/>
  <c r="AC48" i="73"/>
  <c r="Q45" i="73"/>
  <c r="Q48" i="73" s="1"/>
  <c r="AG45" i="73"/>
  <c r="AA48" i="73"/>
  <c r="O45" i="73"/>
  <c r="S16" i="78"/>
  <c r="H46" i="78"/>
  <c r="C95" i="80" s="1"/>
  <c r="H47" i="78"/>
  <c r="H45" i="78"/>
  <c r="D50" i="9"/>
  <c r="J5" i="9"/>
  <c r="B92" i="87"/>
  <c r="J92" i="87" s="1"/>
  <c r="G64" i="86"/>
  <c r="M64" i="86" s="1"/>
  <c r="U34" i="86"/>
  <c r="U65" i="86"/>
  <c r="V34" i="86"/>
  <c r="V65" i="86"/>
  <c r="V68" i="86" s="1"/>
  <c r="I15" i="73"/>
  <c r="I13" i="73"/>
  <c r="I14" i="73"/>
  <c r="I15" i="66"/>
  <c r="S45" i="66"/>
  <c r="S46" i="66" s="1"/>
  <c r="V22" i="73"/>
  <c r="V57" i="78"/>
  <c r="AJ26" i="78"/>
  <c r="V22" i="78"/>
  <c r="AH32" i="78"/>
  <c r="T29" i="78"/>
  <c r="T32" i="78" s="1"/>
  <c r="AH26" i="78"/>
  <c r="T22" i="78"/>
  <c r="C96" i="76"/>
  <c r="K96" i="76" s="1"/>
  <c r="C119" i="17"/>
  <c r="L119" i="17" s="1"/>
  <c r="L114" i="17"/>
  <c r="N48" i="86"/>
  <c r="F53" i="86"/>
  <c r="F51" i="86"/>
  <c r="AK67" i="81"/>
  <c r="W50" i="81"/>
  <c r="AJ58" i="81"/>
  <c r="V41" i="81"/>
  <c r="V58" i="81" s="1"/>
  <c r="AH57" i="81"/>
  <c r="AH45" i="81"/>
  <c r="T40" i="81"/>
  <c r="AL61" i="81"/>
  <c r="X44" i="81"/>
  <c r="X61" i="81" s="1"/>
  <c r="AG61" i="81"/>
  <c r="S44" i="81"/>
  <c r="S61" i="81" s="1"/>
  <c r="AF59" i="81"/>
  <c r="AN42" i="81"/>
  <c r="AN59" i="81" s="1"/>
  <c r="R42" i="81"/>
  <c r="R59" i="81" s="1"/>
  <c r="AE65" i="81"/>
  <c r="AM48" i="81"/>
  <c r="AM65" i="81" s="1"/>
  <c r="AE51" i="81"/>
  <c r="Q48" i="81"/>
  <c r="Q65" i="81" s="1"/>
  <c r="AE60" i="81"/>
  <c r="AM43" i="81"/>
  <c r="AM60" i="81" s="1"/>
  <c r="Q43" i="81"/>
  <c r="Q60" i="81" s="1"/>
  <c r="AE57" i="81"/>
  <c r="AM40" i="81"/>
  <c r="AM57" i="81" s="1"/>
  <c r="AE45" i="81"/>
  <c r="Q40" i="81"/>
  <c r="Q57" i="81" s="1"/>
  <c r="AE61" i="81"/>
  <c r="AM44" i="81"/>
  <c r="AM61" i="81" s="1"/>
  <c r="Q44" i="81"/>
  <c r="W34" i="86"/>
  <c r="W65" i="86"/>
  <c r="Y31" i="86"/>
  <c r="V17" i="81"/>
  <c r="H61" i="86"/>
  <c r="I53" i="86"/>
  <c r="B118" i="88" s="1"/>
  <c r="J118" i="88" s="1"/>
  <c r="I51" i="86"/>
  <c r="AA27" i="81"/>
  <c r="C78" i="72"/>
  <c r="K78" i="72" s="1"/>
  <c r="K72" i="72"/>
  <c r="AH32" i="73"/>
  <c r="H29" i="73"/>
  <c r="H61" i="73" s="1"/>
  <c r="H31" i="73"/>
  <c r="H30" i="73"/>
  <c r="M55" i="78"/>
  <c r="AK64" i="78"/>
  <c r="C15" i="9"/>
  <c r="I15" i="9" s="1"/>
  <c r="C58" i="9"/>
  <c r="C60" i="9" s="1"/>
  <c r="K104" i="82"/>
  <c r="L62" i="86"/>
  <c r="AB6" i="81"/>
  <c r="H11" i="81"/>
  <c r="H15" i="66"/>
  <c r="H13" i="66"/>
  <c r="H14" i="66"/>
  <c r="J15" i="73"/>
  <c r="J13" i="73"/>
  <c r="J14" i="73"/>
  <c r="B93" i="72"/>
  <c r="J93" i="72" s="1"/>
  <c r="J87" i="72"/>
  <c r="X24" i="73"/>
  <c r="W10" i="78"/>
  <c r="B138" i="80"/>
  <c r="J138" i="80" s="1"/>
  <c r="J132" i="80"/>
  <c r="G30" i="78"/>
  <c r="B94" i="79" s="1"/>
  <c r="G29" i="78"/>
  <c r="M29" i="78" s="1"/>
  <c r="G31" i="78"/>
  <c r="M31" i="78" s="1"/>
  <c r="U42" i="66"/>
  <c r="B80" i="79"/>
  <c r="X59" i="86"/>
  <c r="W11" i="81"/>
  <c r="B95" i="85"/>
  <c r="J95" i="85" s="1"/>
  <c r="J89" i="85"/>
  <c r="AG48" i="78"/>
  <c r="S45" i="78"/>
  <c r="S48" i="78" s="1"/>
  <c r="C83" i="88"/>
  <c r="K83" i="88" s="1"/>
  <c r="N52" i="86"/>
  <c r="C151" i="88" s="1"/>
  <c r="K151" i="88" s="1"/>
  <c r="B125" i="69"/>
  <c r="J125" i="69" s="1"/>
  <c r="J119" i="69"/>
  <c r="C88" i="87"/>
  <c r="H30" i="86"/>
  <c r="H60" i="86"/>
  <c r="C120" i="87"/>
  <c r="L30" i="86"/>
  <c r="L60" i="86"/>
  <c r="K72" i="82"/>
  <c r="AN45" i="86"/>
  <c r="B105" i="82"/>
  <c r="J105" i="82" s="1"/>
  <c r="I58" i="81"/>
  <c r="B121" i="82"/>
  <c r="J121" i="82" s="1"/>
  <c r="K58" i="81"/>
  <c r="Z27" i="86"/>
  <c r="R61" i="86"/>
  <c r="Z61" i="86" s="1"/>
  <c r="AF16" i="73"/>
  <c r="T13" i="73"/>
  <c r="AC10" i="73"/>
  <c r="Q6" i="73"/>
  <c r="AD10" i="73"/>
  <c r="R6" i="73"/>
  <c r="AE10" i="73"/>
  <c r="S6" i="73"/>
  <c r="AG15" i="73"/>
  <c r="O15" i="73"/>
  <c r="AA64" i="73"/>
  <c r="AG61" i="73"/>
  <c r="AG62" i="73"/>
  <c r="AB64" i="73"/>
  <c r="AH61" i="73"/>
  <c r="J30" i="73"/>
  <c r="C111" i="74" s="1"/>
  <c r="K111" i="74" s="1"/>
  <c r="J31" i="73"/>
  <c r="C112" i="74" s="1"/>
  <c r="K112" i="74" s="1"/>
  <c r="J29" i="73"/>
  <c r="F56" i="73"/>
  <c r="I56" i="73"/>
  <c r="H56" i="73"/>
  <c r="G56" i="73"/>
  <c r="E56" i="73"/>
  <c r="J56" i="73"/>
  <c r="C81" i="75"/>
  <c r="K81" i="75" s="1"/>
  <c r="L46" i="73"/>
  <c r="C126" i="75" s="1"/>
  <c r="K126" i="75" s="1"/>
  <c r="U55" i="78"/>
  <c r="C51" i="21"/>
  <c r="C96" i="83"/>
  <c r="K96" i="83" s="1"/>
  <c r="K89" i="83"/>
  <c r="C106" i="87"/>
  <c r="K106" i="87" s="1"/>
  <c r="J62" i="86"/>
  <c r="B106" i="82"/>
  <c r="J106" i="82" s="1"/>
  <c r="I59" i="81"/>
  <c r="B74" i="82"/>
  <c r="J74" i="82" s="1"/>
  <c r="E59" i="81"/>
  <c r="M8" i="81"/>
  <c r="B138" i="82" s="1"/>
  <c r="J138" i="82" s="1"/>
  <c r="C125" i="69"/>
  <c r="K125" i="69" s="1"/>
  <c r="K118" i="69"/>
  <c r="H49" i="66"/>
  <c r="F59" i="66"/>
  <c r="D64" i="66"/>
  <c r="H59" i="66"/>
  <c r="G59" i="66"/>
  <c r="E59" i="66"/>
  <c r="AB42" i="73"/>
  <c r="AH38" i="73"/>
  <c r="P38" i="73"/>
  <c r="AF42" i="73"/>
  <c r="T38" i="73"/>
  <c r="T42" i="73" s="1"/>
  <c r="C93" i="80"/>
  <c r="K93" i="80" s="1"/>
  <c r="K87" i="80"/>
  <c r="M29" i="86"/>
  <c r="AA27" i="86" s="1"/>
  <c r="E65" i="86"/>
  <c r="M65" i="86" s="1"/>
  <c r="Q61" i="86"/>
  <c r="Y61" i="86" s="1"/>
  <c r="Y10" i="86"/>
  <c r="AA10" i="86" s="1"/>
  <c r="Q11" i="86"/>
  <c r="AM34" i="81"/>
  <c r="B73" i="87"/>
  <c r="J73" i="87" s="1"/>
  <c r="M25" i="86"/>
  <c r="B137" i="87" s="1"/>
  <c r="J137" i="87" s="1"/>
  <c r="B105" i="87"/>
  <c r="J105" i="87" s="1"/>
  <c r="I61" i="86"/>
  <c r="AN51" i="86"/>
  <c r="AB10" i="81"/>
  <c r="Q28" i="66"/>
  <c r="M29" i="66"/>
  <c r="J103" i="72"/>
  <c r="B108" i="72"/>
  <c r="J108" i="72" s="1"/>
  <c r="G46" i="73"/>
  <c r="K42" i="73"/>
  <c r="G47" i="73"/>
  <c r="G45" i="73"/>
  <c r="AI26" i="78"/>
  <c r="U22" i="78"/>
  <c r="U26" i="78" s="1"/>
  <c r="T55" i="78"/>
  <c r="AL30" i="78"/>
  <c r="AK22" i="78"/>
  <c r="AE26" i="78"/>
  <c r="Q22" i="78"/>
  <c r="AK31" i="78"/>
  <c r="Z9" i="78"/>
  <c r="AB9" i="78" s="1"/>
  <c r="J40" i="9"/>
  <c r="C110" i="6"/>
  <c r="I110" i="6" s="1"/>
  <c r="C80" i="88"/>
  <c r="K80" i="88" s="1"/>
  <c r="K72" i="88"/>
  <c r="G31" i="81"/>
  <c r="G32" i="81"/>
  <c r="B99" i="83" s="1"/>
  <c r="J99" i="83" s="1"/>
  <c r="AI58" i="81"/>
  <c r="U41" i="81"/>
  <c r="U58" i="81" s="1"/>
  <c r="AJ60" i="81"/>
  <c r="V43" i="81"/>
  <c r="V60" i="81" s="1"/>
  <c r="AH59" i="81"/>
  <c r="T42" i="81"/>
  <c r="T59" i="81" s="1"/>
  <c r="AK65" i="81"/>
  <c r="AK51" i="81"/>
  <c r="W48" i="81"/>
  <c r="W65" i="81" s="1"/>
  <c r="AH65" i="81"/>
  <c r="AH68" i="81" s="1"/>
  <c r="AH51" i="81"/>
  <c r="T48" i="81"/>
  <c r="T51" i="81" s="1"/>
  <c r="AG60" i="81"/>
  <c r="S43" i="81"/>
  <c r="S60" i="81" s="1"/>
  <c r="AL66" i="81"/>
  <c r="X49" i="81"/>
  <c r="AL60" i="81"/>
  <c r="X43" i="81"/>
  <c r="X60" i="81" s="1"/>
  <c r="AK57" i="81"/>
  <c r="AK45" i="81"/>
  <c r="W40" i="81"/>
  <c r="AK61" i="81"/>
  <c r="W44" i="81"/>
  <c r="W61" i="81" s="1"/>
  <c r="G51" i="86"/>
  <c r="G53" i="86"/>
  <c r="B101" i="88" s="1"/>
  <c r="J101" i="88" s="1"/>
  <c r="J106" i="88"/>
  <c r="Z25" i="86"/>
  <c r="R59" i="86"/>
  <c r="S28" i="66"/>
  <c r="S29" i="66" s="1"/>
  <c r="O29" i="66"/>
  <c r="I16" i="73"/>
  <c r="B93" i="76"/>
  <c r="J93" i="76" s="1"/>
  <c r="J87" i="76"/>
  <c r="N57" i="78"/>
  <c r="K73" i="79"/>
  <c r="C78" i="79"/>
  <c r="K78" i="79" s="1"/>
  <c r="U24" i="66"/>
  <c r="B123" i="72"/>
  <c r="J123" i="72" s="1"/>
  <c r="F28" i="67"/>
  <c r="J10" i="67"/>
  <c r="F14" i="67"/>
  <c r="F13" i="67"/>
  <c r="F29" i="67"/>
  <c r="M57" i="78"/>
  <c r="M42" i="78"/>
  <c r="E47" i="78"/>
  <c r="E45" i="78"/>
  <c r="E46" i="78"/>
  <c r="B108" i="76"/>
  <c r="J108" i="76" s="1"/>
  <c r="J105" i="76"/>
  <c r="B92" i="79"/>
  <c r="J92" i="79" s="1"/>
  <c r="J86" i="79"/>
  <c r="W67" i="86"/>
  <c r="I33" i="66"/>
  <c r="B158" i="69" s="1"/>
  <c r="J158" i="69" s="1"/>
  <c r="M26" i="78"/>
  <c r="D10" i="9"/>
  <c r="J10" i="9" s="1"/>
  <c r="C98" i="75"/>
  <c r="K98" i="75" s="1"/>
  <c r="K95" i="75"/>
  <c r="U67" i="86"/>
  <c r="Y16" i="86"/>
  <c r="U17" i="86"/>
  <c r="F15" i="66"/>
  <c r="F13" i="66"/>
  <c r="J10" i="66"/>
  <c r="F14" i="66"/>
  <c r="AE48" i="78"/>
  <c r="AK45" i="78"/>
  <c r="Q45" i="78"/>
  <c r="K17" i="86"/>
  <c r="K15" i="86"/>
  <c r="K16" i="86"/>
  <c r="AA41" i="86"/>
  <c r="P46" i="66"/>
  <c r="T45" i="66"/>
  <c r="T46" i="66" s="1"/>
  <c r="L54" i="73"/>
  <c r="V42" i="66"/>
  <c r="U45" i="78"/>
  <c r="U48" i="78" s="1"/>
  <c r="AI48" i="78"/>
  <c r="AJ48" i="78"/>
  <c r="V45" i="78"/>
  <c r="V48" i="78" s="1"/>
  <c r="AK47" i="78"/>
  <c r="W47" i="78" s="1"/>
  <c r="Y47" i="78" s="1"/>
  <c r="AH48" i="78"/>
  <c r="T45" i="78"/>
  <c r="T48" i="78" s="1"/>
  <c r="C138" i="80"/>
  <c r="K138" i="80" s="1"/>
  <c r="K132" i="80"/>
  <c r="S57" i="78"/>
  <c r="Y9" i="78"/>
  <c r="AA9" i="78" s="1"/>
  <c r="F26" i="1"/>
  <c r="D53" i="21"/>
  <c r="F53" i="21" s="1"/>
  <c r="F9" i="21"/>
  <c r="C105" i="7"/>
  <c r="I105" i="7" s="1"/>
  <c r="I99" i="7"/>
  <c r="Y6" i="81"/>
  <c r="Q11" i="81"/>
  <c r="Z6" i="86"/>
  <c r="R57" i="86"/>
  <c r="R11" i="86"/>
  <c r="B104" i="87"/>
  <c r="I30" i="86"/>
  <c r="I60" i="86"/>
  <c r="B88" i="87"/>
  <c r="G30" i="86"/>
  <c r="G60" i="86"/>
  <c r="E50" i="81"/>
  <c r="H53" i="86"/>
  <c r="C101" i="88" s="1"/>
  <c r="K101" i="88" s="1"/>
  <c r="H51" i="86"/>
  <c r="Q28" i="86"/>
  <c r="Y23" i="86"/>
  <c r="Q57" i="86"/>
  <c r="AF62" i="86"/>
  <c r="C121" i="82"/>
  <c r="K121" i="82" s="1"/>
  <c r="L58" i="81"/>
  <c r="C105" i="82"/>
  <c r="K105" i="82" s="1"/>
  <c r="J58" i="81"/>
  <c r="N29" i="66"/>
  <c r="R28" i="66"/>
  <c r="AG14" i="73"/>
  <c r="O14" i="73"/>
  <c r="AH14" i="73"/>
  <c r="P14" i="73"/>
  <c r="AB16" i="73"/>
  <c r="AH13" i="73"/>
  <c r="P13" i="73"/>
  <c r="AH7" i="73"/>
  <c r="P7" i="73"/>
  <c r="AG54" i="73"/>
  <c r="AA58" i="73"/>
  <c r="AD58" i="73"/>
  <c r="AE58" i="73"/>
  <c r="AH63" i="73"/>
  <c r="AF58" i="73"/>
  <c r="J73" i="72"/>
  <c r="B78" i="72"/>
  <c r="J78" i="72" s="1"/>
  <c r="Q11" i="66"/>
  <c r="M12" i="66"/>
  <c r="B78" i="74"/>
  <c r="J78" i="74" s="1"/>
  <c r="J55" i="73"/>
  <c r="G55" i="73"/>
  <c r="I55" i="73"/>
  <c r="H55" i="73"/>
  <c r="F55" i="73"/>
  <c r="E55" i="73"/>
  <c r="Y31" i="78"/>
  <c r="M10" i="78"/>
  <c r="E58" i="78"/>
  <c r="E14" i="78"/>
  <c r="E13" i="78"/>
  <c r="E15" i="78"/>
  <c r="J29" i="78"/>
  <c r="J31" i="78"/>
  <c r="J30" i="78"/>
  <c r="C108" i="79" s="1"/>
  <c r="D14" i="21"/>
  <c r="F14" i="21" s="1"/>
  <c r="F13" i="21"/>
  <c r="X57" i="86"/>
  <c r="B74" i="87"/>
  <c r="J74" i="87" s="1"/>
  <c r="M26" i="86"/>
  <c r="B138" i="87" s="1"/>
  <c r="J138" i="87" s="1"/>
  <c r="E62" i="86"/>
  <c r="F48" i="81"/>
  <c r="C106" i="82"/>
  <c r="K106" i="82" s="1"/>
  <c r="J59" i="81"/>
  <c r="B122" i="82"/>
  <c r="J122" i="82" s="1"/>
  <c r="K59" i="81"/>
  <c r="K11" i="81"/>
  <c r="U23" i="73"/>
  <c r="W23" i="73" s="1"/>
  <c r="O26" i="73"/>
  <c r="F49" i="66"/>
  <c r="AH40" i="73"/>
  <c r="P40" i="73"/>
  <c r="V40" i="73" s="1"/>
  <c r="X40" i="73" s="1"/>
  <c r="AF48" i="73"/>
  <c r="T45" i="73"/>
  <c r="T48" i="73" s="1"/>
  <c r="AG41" i="73"/>
  <c r="O41" i="73"/>
  <c r="U41" i="73" s="1"/>
  <c r="W41" i="73" s="1"/>
  <c r="AG38" i="73"/>
  <c r="AA42" i="73"/>
  <c r="O38" i="73"/>
  <c r="AG47" i="73"/>
  <c r="I47" i="78"/>
  <c r="I46" i="78"/>
  <c r="B110" i="80" s="1"/>
  <c r="I45" i="78"/>
  <c r="C93" i="76"/>
  <c r="K93" i="76" s="1"/>
  <c r="F16" i="78"/>
  <c r="C25" i="9"/>
  <c r="I25" i="9" s="1"/>
  <c r="I19" i="9"/>
  <c r="I75" i="3"/>
  <c r="H79" i="15"/>
  <c r="C27" i="21"/>
  <c r="B76" i="87"/>
  <c r="J76" i="87" s="1"/>
  <c r="M28" i="86"/>
  <c r="B140" i="87" s="1"/>
  <c r="J140" i="87" s="1"/>
  <c r="N60" i="81"/>
  <c r="AM67" i="86"/>
  <c r="B112" i="83"/>
  <c r="J112" i="83" s="1"/>
  <c r="J105" i="83"/>
  <c r="R51" i="86"/>
  <c r="Z48" i="86"/>
  <c r="B144" i="69"/>
  <c r="J144" i="69" s="1"/>
  <c r="B110" i="74"/>
  <c r="I32" i="73"/>
  <c r="G50" i="66"/>
  <c r="Q32" i="73"/>
  <c r="U29" i="73"/>
  <c r="B93" i="75"/>
  <c r="J93" i="75" s="1"/>
  <c r="J87" i="75"/>
  <c r="AG26" i="78"/>
  <c r="S22" i="78"/>
  <c r="S26" i="78" s="1"/>
  <c r="AL24" i="78"/>
  <c r="R24" i="78"/>
  <c r="Z24" i="78" s="1"/>
  <c r="AB24" i="78" s="1"/>
  <c r="AG32" i="78"/>
  <c r="S29" i="78"/>
  <c r="S32" i="78" s="1"/>
  <c r="AL22" i="78"/>
  <c r="AF26" i="78"/>
  <c r="R22" i="78"/>
  <c r="AL23" i="78"/>
  <c r="R23" i="78"/>
  <c r="Z23" i="78" s="1"/>
  <c r="AB23" i="78" s="1"/>
  <c r="B103" i="15"/>
  <c r="H103" i="15" s="1"/>
  <c r="J32" i="81"/>
  <c r="C115" i="83" s="1"/>
  <c r="K115" i="83" s="1"/>
  <c r="J31" i="81"/>
  <c r="AG58" i="81"/>
  <c r="S41" i="81"/>
  <c r="S58" i="81" s="1"/>
  <c r="AI60" i="81"/>
  <c r="U43" i="81"/>
  <c r="U60" i="81" s="1"/>
  <c r="AG45" i="81"/>
  <c r="AG57" i="81"/>
  <c r="S40" i="81"/>
  <c r="AJ61" i="81"/>
  <c r="V44" i="81"/>
  <c r="V61" i="81" s="1"/>
  <c r="AN50" i="81"/>
  <c r="AN67" i="81" s="1"/>
  <c r="AF67" i="81"/>
  <c r="AI61" i="81"/>
  <c r="U44" i="81"/>
  <c r="U61" i="81" s="1"/>
  <c r="AM50" i="81"/>
  <c r="AM67" i="81" s="1"/>
  <c r="AE67" i="81"/>
  <c r="AH61" i="81"/>
  <c r="T44" i="81"/>
  <c r="T61" i="81" s="1"/>
  <c r="AH58" i="81"/>
  <c r="T41" i="81"/>
  <c r="T58" i="81" s="1"/>
  <c r="AJ51" i="81"/>
  <c r="AJ65" i="81"/>
  <c r="AJ68" i="81" s="1"/>
  <c r="V48" i="81"/>
  <c r="V51" i="81" s="1"/>
  <c r="J140" i="88"/>
  <c r="B97" i="88"/>
  <c r="J97" i="88" s="1"/>
  <c r="J89" i="88"/>
  <c r="J88" i="82"/>
  <c r="AA9" i="81"/>
  <c r="G33" i="81"/>
  <c r="B100" i="83" s="1"/>
  <c r="J100" i="83" s="1"/>
  <c r="J51" i="86"/>
  <c r="J53" i="86"/>
  <c r="C118" i="88" s="1"/>
  <c r="K118" i="88" s="1"/>
  <c r="B127" i="69"/>
  <c r="I32" i="66"/>
  <c r="B157" i="69" s="1"/>
  <c r="I58" i="78"/>
  <c r="I14" i="78"/>
  <c r="I15" i="78"/>
  <c r="I13" i="78"/>
  <c r="C78" i="76"/>
  <c r="K78" i="76" s="1"/>
  <c r="K75" i="76"/>
  <c r="K53" i="86"/>
  <c r="B135" i="88" s="1"/>
  <c r="J135" i="88" s="1"/>
  <c r="K51" i="86"/>
  <c r="E61" i="86"/>
  <c r="AM59" i="86"/>
  <c r="AM45" i="86"/>
  <c r="Q51" i="86"/>
  <c r="Y48" i="86"/>
  <c r="K88" i="82"/>
  <c r="Y40" i="86"/>
  <c r="B123" i="74"/>
  <c r="J123" i="74" s="1"/>
  <c r="C110" i="75"/>
  <c r="J48" i="73"/>
  <c r="X46" i="73"/>
  <c r="B78" i="80"/>
  <c r="J78" i="80" s="1"/>
  <c r="J72" i="80"/>
  <c r="X41" i="23"/>
  <c r="I62" i="66"/>
  <c r="U58" i="86"/>
  <c r="U62" i="86" s="1"/>
  <c r="X67" i="86"/>
  <c r="Z67" i="86" s="1"/>
  <c r="AK41" i="78"/>
  <c r="W41" i="78" s="1"/>
  <c r="W57" i="78" s="1"/>
  <c r="Q41" i="78"/>
  <c r="C123" i="17"/>
  <c r="L123" i="17" s="1"/>
  <c r="L121" i="17"/>
  <c r="J72" i="82"/>
  <c r="D51" i="9"/>
  <c r="D55" i="9" s="1"/>
  <c r="J55" i="9" s="1"/>
  <c r="J6" i="9"/>
  <c r="B127" i="85"/>
  <c r="J127" i="85" s="1"/>
  <c r="J121" i="85"/>
  <c r="T28" i="66"/>
  <c r="T29" i="66" s="1"/>
  <c r="P29" i="66"/>
  <c r="AK46" i="78"/>
  <c r="W46" i="78" s="1"/>
  <c r="AJ42" i="78"/>
  <c r="V38" i="78"/>
  <c r="V42" i="78" s="1"/>
  <c r="AL41" i="78"/>
  <c r="X41" i="78" s="1"/>
  <c r="X57" i="78" s="1"/>
  <c r="R41" i="78"/>
  <c r="AK38" i="78"/>
  <c r="W38" i="78" s="1"/>
  <c r="AE42" i="78"/>
  <c r="Q38" i="78"/>
  <c r="F46" i="78"/>
  <c r="N42" i="78"/>
  <c r="F47" i="78"/>
  <c r="F45" i="78"/>
  <c r="Q63" i="78"/>
  <c r="Y15" i="78"/>
  <c r="B101" i="50"/>
  <c r="K101" i="50" s="1"/>
  <c r="K97" i="50"/>
  <c r="F4" i="21"/>
  <c r="D10" i="21"/>
  <c r="F10" i="21" s="1"/>
  <c r="D48" i="21"/>
  <c r="S58" i="86"/>
  <c r="Y7" i="86"/>
  <c r="AA7" i="86" s="1"/>
  <c r="C104" i="87"/>
  <c r="J30" i="86"/>
  <c r="J60" i="86"/>
  <c r="C97" i="88"/>
  <c r="K97" i="88" s="1"/>
  <c r="K89" i="88"/>
  <c r="AM28" i="86"/>
  <c r="AN57" i="86"/>
  <c r="B73" i="82"/>
  <c r="J73" i="82" s="1"/>
  <c r="E58" i="81"/>
  <c r="M7" i="81"/>
  <c r="B137" i="82" s="1"/>
  <c r="J137" i="82" s="1"/>
  <c r="K31" i="81"/>
  <c r="K32" i="81"/>
  <c r="B131" i="83" s="1"/>
  <c r="J131" i="83" s="1"/>
  <c r="I14" i="66"/>
  <c r="AG9" i="73"/>
  <c r="O9" i="73"/>
  <c r="AG8" i="73"/>
  <c r="O8" i="73"/>
  <c r="AC58" i="73"/>
  <c r="H33" i="66"/>
  <c r="C143" i="69" s="1"/>
  <c r="K143" i="69" s="1"/>
  <c r="H32" i="66"/>
  <c r="C142" i="69" s="1"/>
  <c r="H31" i="66"/>
  <c r="J46" i="78"/>
  <c r="C110" i="80" s="1"/>
  <c r="J47" i="78"/>
  <c r="J45" i="78"/>
  <c r="X62" i="78"/>
  <c r="M54" i="78"/>
  <c r="C106" i="79"/>
  <c r="K106" i="79" s="1"/>
  <c r="K100" i="79"/>
  <c r="AM11" i="81"/>
  <c r="V25" i="66"/>
  <c r="B122" i="87"/>
  <c r="J122" i="87" s="1"/>
  <c r="K62" i="86"/>
  <c r="B114" i="84"/>
  <c r="I51" i="81"/>
  <c r="R67" i="81"/>
  <c r="Z16" i="81"/>
  <c r="C74" i="82"/>
  <c r="K74" i="82" s="1"/>
  <c r="F59" i="81"/>
  <c r="N8" i="81"/>
  <c r="C138" i="82" s="1"/>
  <c r="K138" i="82" s="1"/>
  <c r="E31" i="81"/>
  <c r="E32" i="81"/>
  <c r="V41" i="66"/>
  <c r="G69" i="66"/>
  <c r="AE48" i="73"/>
  <c r="S45" i="73"/>
  <c r="S48" i="73" s="1"/>
  <c r="AE42" i="73"/>
  <c r="S38" i="73"/>
  <c r="S42" i="73" s="1"/>
  <c r="AD48" i="73"/>
  <c r="R45" i="73"/>
  <c r="R48" i="73" s="1"/>
  <c r="H28" i="67"/>
  <c r="H14" i="67"/>
  <c r="H13" i="67"/>
  <c r="H29" i="67"/>
  <c r="B108" i="80"/>
  <c r="J108" i="80" s="1"/>
  <c r="J102" i="80"/>
  <c r="F25" i="1"/>
  <c r="L53" i="86"/>
  <c r="C135" i="88" s="1"/>
  <c r="K135" i="88" s="1"/>
  <c r="L51" i="86"/>
  <c r="AN11" i="86"/>
  <c r="AM61" i="86"/>
  <c r="J64" i="86"/>
  <c r="C73" i="87"/>
  <c r="K73" i="87" s="1"/>
  <c r="N25" i="86"/>
  <c r="C137" i="87" s="1"/>
  <c r="K137" i="87" s="1"/>
  <c r="AF68" i="86"/>
  <c r="N28" i="81"/>
  <c r="F31" i="81"/>
  <c r="F32" i="81"/>
  <c r="Y43" i="86"/>
  <c r="T11" i="66"/>
  <c r="T12" i="66" s="1"/>
  <c r="P12" i="66"/>
  <c r="G28" i="67"/>
  <c r="G13" i="67"/>
  <c r="G29" i="67"/>
  <c r="G14" i="67"/>
  <c r="AK23" i="78"/>
  <c r="Q23" i="78"/>
  <c r="AK24" i="78"/>
  <c r="Q24" i="78"/>
  <c r="Y24" i="78" s="1"/>
  <c r="AA24" i="78" s="1"/>
  <c r="AK30" i="78"/>
  <c r="AL25" i="78"/>
  <c r="R25" i="78"/>
  <c r="Z25" i="78" s="1"/>
  <c r="AB25" i="78" s="1"/>
  <c r="AK25" i="78"/>
  <c r="Q25" i="78"/>
  <c r="S56" i="78"/>
  <c r="Z8" i="78"/>
  <c r="AB8" i="78" s="1"/>
  <c r="I58" i="9"/>
  <c r="F60" i="9"/>
  <c r="I60" i="9" s="1"/>
  <c r="I11" i="81"/>
  <c r="AL59" i="81"/>
  <c r="X42" i="81"/>
  <c r="X59" i="81" s="1"/>
  <c r="AG59" i="81"/>
  <c r="S42" i="81"/>
  <c r="S59" i="81" s="1"/>
  <c r="AG65" i="81"/>
  <c r="AG68" i="81" s="1"/>
  <c r="AG51" i="81"/>
  <c r="S48" i="81"/>
  <c r="AI45" i="81"/>
  <c r="AI57" i="81"/>
  <c r="U40" i="81"/>
  <c r="U57" i="81" s="1"/>
  <c r="AI51" i="81"/>
  <c r="AI65" i="81"/>
  <c r="AI68" i="81" s="1"/>
  <c r="U48" i="81"/>
  <c r="AJ57" i="81"/>
  <c r="AJ45" i="81"/>
  <c r="V40" i="81"/>
  <c r="AF65" i="81"/>
  <c r="AF51" i="81"/>
  <c r="AN48" i="81"/>
  <c r="AN65" i="81" s="1"/>
  <c r="R48" i="81"/>
  <c r="AM42" i="81"/>
  <c r="AM59" i="81" s="1"/>
  <c r="AE59" i="81"/>
  <c r="Q42" i="81"/>
  <c r="AE66" i="81"/>
  <c r="AM49" i="81"/>
  <c r="AM66" i="81" s="1"/>
  <c r="M48" i="86"/>
  <c r="E51" i="86"/>
  <c r="E53" i="86"/>
  <c r="V28" i="86"/>
  <c r="V57" i="86"/>
  <c r="M60" i="81"/>
  <c r="H33" i="81"/>
  <c r="C100" i="83" s="1"/>
  <c r="K100" i="83" s="1"/>
  <c r="C114" i="88"/>
  <c r="K114" i="88" s="1"/>
  <c r="K106" i="88"/>
  <c r="C78" i="74"/>
  <c r="K78" i="74" s="1"/>
  <c r="J121" i="84"/>
  <c r="B128" i="84"/>
  <c r="J128" i="84" s="1"/>
  <c r="U56" i="78"/>
  <c r="C39" i="21"/>
  <c r="B131" i="88"/>
  <c r="J131" i="88" s="1"/>
  <c r="J123" i="88"/>
  <c r="AN61" i="86"/>
  <c r="AE68" i="86"/>
  <c r="Q45" i="86"/>
  <c r="Y13" i="78"/>
  <c r="Q16" i="78"/>
  <c r="J58" i="78"/>
  <c r="J13" i="78"/>
  <c r="J14" i="78"/>
  <c r="N14" i="78" s="1"/>
  <c r="J15" i="78"/>
  <c r="L154" i="58"/>
  <c r="C159" i="58"/>
  <c r="L159" i="58" s="1"/>
  <c r="C101" i="50"/>
  <c r="L101" i="50" s="1"/>
  <c r="L97" i="50"/>
  <c r="C81" i="74"/>
  <c r="K81" i="74" s="1"/>
  <c r="Y17" i="81"/>
  <c r="R28" i="86"/>
  <c r="Z23" i="86"/>
  <c r="M57" i="81"/>
  <c r="T16" i="78"/>
  <c r="J50" i="9"/>
  <c r="L15" i="81"/>
  <c r="L14" i="81"/>
  <c r="L16" i="81"/>
  <c r="E49" i="81"/>
  <c r="C128" i="75"/>
  <c r="K128" i="75" s="1"/>
  <c r="K125" i="75"/>
  <c r="AL39" i="78"/>
  <c r="X39" i="78" s="1"/>
  <c r="R39" i="78"/>
  <c r="AF48" i="78"/>
  <c r="AL45" i="78"/>
  <c r="R45" i="78"/>
  <c r="AH42" i="78"/>
  <c r="T38" i="78"/>
  <c r="T42" i="78" s="1"/>
  <c r="AL47" i="78"/>
  <c r="X47" i="78" s="1"/>
  <c r="Z47" i="78" s="1"/>
  <c r="C78" i="80"/>
  <c r="K78" i="80" s="1"/>
  <c r="K72" i="80"/>
  <c r="U63" i="78"/>
  <c r="U16" i="78"/>
  <c r="B119" i="17"/>
  <c r="K119" i="17" s="1"/>
  <c r="K114" i="17"/>
  <c r="S65" i="86"/>
  <c r="S68" i="86" s="1"/>
  <c r="S17" i="86"/>
  <c r="Y14" i="86"/>
  <c r="V60" i="86"/>
  <c r="Z60" i="86" s="1"/>
  <c r="AB60" i="86" s="1"/>
  <c r="V11" i="86"/>
  <c r="Z9" i="86"/>
  <c r="AB9" i="86" s="1"/>
  <c r="B72" i="87"/>
  <c r="M24" i="86"/>
  <c r="B136" i="87" s="1"/>
  <c r="E60" i="86"/>
  <c r="E30" i="86"/>
  <c r="F14" i="81"/>
  <c r="F15" i="81"/>
  <c r="F16" i="81"/>
  <c r="J137" i="84"/>
  <c r="C73" i="82"/>
  <c r="K73" i="82" s="1"/>
  <c r="F58" i="81"/>
  <c r="N7" i="81"/>
  <c r="C137" i="82" s="1"/>
  <c r="K137" i="82" s="1"/>
  <c r="J121" i="83"/>
  <c r="B128" i="83"/>
  <c r="J128" i="83" s="1"/>
  <c r="F51" i="66"/>
  <c r="J46" i="66"/>
  <c r="AF10" i="73"/>
  <c r="T6" i="73"/>
  <c r="AG6" i="73"/>
  <c r="AA10" i="73"/>
  <c r="O6" i="73"/>
  <c r="AD16" i="73"/>
  <c r="R13" i="73"/>
  <c r="AH9" i="73"/>
  <c r="P9" i="73"/>
  <c r="C124" i="70"/>
  <c r="K124" i="70" s="1"/>
  <c r="K10" i="73"/>
  <c r="E14" i="73"/>
  <c r="E13" i="73"/>
  <c r="E15" i="73"/>
  <c r="Q26" i="73"/>
  <c r="U22" i="73"/>
  <c r="C108" i="80"/>
  <c r="K108" i="80" s="1"/>
  <c r="K102" i="80"/>
  <c r="H30" i="78"/>
  <c r="C94" i="79" s="1"/>
  <c r="H31" i="78"/>
  <c r="H29" i="78"/>
  <c r="B78" i="76"/>
  <c r="J78" i="76" s="1"/>
  <c r="J72" i="76"/>
  <c r="D30" i="9"/>
  <c r="J30" i="9" s="1"/>
  <c r="D58" i="9"/>
  <c r="C74" i="87"/>
  <c r="K74" i="87" s="1"/>
  <c r="N26" i="86"/>
  <c r="C138" i="87" s="1"/>
  <c r="K138" i="87" s="1"/>
  <c r="C98" i="84"/>
  <c r="W28" i="86"/>
  <c r="W57" i="86"/>
  <c r="W62" i="86" s="1"/>
  <c r="B90" i="82"/>
  <c r="J90" i="82" s="1"/>
  <c r="G59" i="81"/>
  <c r="J137" i="83"/>
  <c r="J120" i="82"/>
  <c r="B156" i="70"/>
  <c r="J156" i="70" s="1"/>
  <c r="J150" i="70"/>
  <c r="C156" i="70"/>
  <c r="K156" i="70" s="1"/>
  <c r="G49" i="66"/>
  <c r="AC42" i="73"/>
  <c r="Q38" i="73"/>
  <c r="Q42" i="73" s="1"/>
  <c r="AH39" i="73"/>
  <c r="P39" i="73"/>
  <c r="V39" i="73" s="1"/>
  <c r="X39" i="73" s="1"/>
  <c r="AG40" i="73"/>
  <c r="O40" i="73"/>
  <c r="U40" i="73" s="1"/>
  <c r="W40" i="73" s="1"/>
  <c r="AG46" i="73"/>
  <c r="J73" i="79"/>
  <c r="B78" i="79"/>
  <c r="J78" i="79" s="1"/>
  <c r="F33" i="21"/>
  <c r="D39" i="21"/>
  <c r="F39" i="21" s="1"/>
  <c r="B105" i="7"/>
  <c r="H105" i="7" s="1"/>
  <c r="K123" i="88"/>
  <c r="C131" i="88"/>
  <c r="K131" i="88" s="1"/>
  <c r="AA26" i="86"/>
  <c r="AB26" i="86"/>
  <c r="C76" i="87"/>
  <c r="K76" i="87" s="1"/>
  <c r="N28" i="86"/>
  <c r="C140" i="87" s="1"/>
  <c r="K140" i="87" s="1"/>
  <c r="Z41" i="86"/>
  <c r="AB41" i="86" s="1"/>
  <c r="C144" i="83"/>
  <c r="K144" i="83" s="1"/>
  <c r="K137" i="83"/>
  <c r="H50" i="66"/>
  <c r="C143" i="70" s="1"/>
  <c r="K143" i="70" s="1"/>
  <c r="G29" i="73"/>
  <c r="G31" i="73"/>
  <c r="B97" i="74" s="1"/>
  <c r="J97" i="74" s="1"/>
  <c r="G30" i="73"/>
  <c r="B96" i="74" s="1"/>
  <c r="J96" i="74" s="1"/>
  <c r="AE32" i="78"/>
  <c r="AK29" i="78"/>
  <c r="Q29" i="78"/>
  <c r="AJ32" i="78"/>
  <c r="V29" i="78"/>
  <c r="AL29" i="78"/>
  <c r="AF32" i="78"/>
  <c r="R29" i="78"/>
  <c r="T57" i="78"/>
  <c r="S10" i="78"/>
  <c r="Y6" i="78"/>
  <c r="D52" i="21"/>
  <c r="F52" i="21" s="1"/>
  <c r="D27" i="21"/>
  <c r="D57" i="21" s="1"/>
  <c r="I81" i="7"/>
  <c r="X65" i="86"/>
  <c r="I62" i="81"/>
  <c r="AL65" i="81"/>
  <c r="AL51" i="81"/>
  <c r="X48" i="81"/>
  <c r="AL67" i="81"/>
  <c r="X50" i="81"/>
  <c r="AK60" i="81"/>
  <c r="W43" i="81"/>
  <c r="W60" i="81" s="1"/>
  <c r="AE58" i="81"/>
  <c r="AM41" i="81"/>
  <c r="AM58" i="81" s="1"/>
  <c r="Q41" i="81"/>
  <c r="AK58" i="81"/>
  <c r="W41" i="81"/>
  <c r="W58" i="81" s="1"/>
  <c r="AL45" i="81"/>
  <c r="AL57" i="81"/>
  <c r="X40" i="81"/>
  <c r="AF58" i="81"/>
  <c r="AN41" i="81"/>
  <c r="AN58" i="81" s="1"/>
  <c r="R41" i="81"/>
  <c r="AF66" i="81"/>
  <c r="AN49" i="81"/>
  <c r="AN66" i="81" s="1"/>
  <c r="AK59" i="81"/>
  <c r="W42" i="81"/>
  <c r="W59" i="81" s="1"/>
  <c r="AK66" i="81"/>
  <c r="W49" i="81"/>
  <c r="B80" i="88"/>
  <c r="J80" i="88" s="1"/>
  <c r="J72" i="88"/>
  <c r="K73" i="85"/>
  <c r="C79" i="85"/>
  <c r="K79" i="85" s="1"/>
  <c r="J33" i="81"/>
  <c r="C116" i="83" s="1"/>
  <c r="K116" i="83" s="1"/>
  <c r="F13" i="73"/>
  <c r="F15" i="73"/>
  <c r="L10" i="73"/>
  <c r="F14" i="73"/>
  <c r="X23" i="73"/>
  <c r="B110" i="75"/>
  <c r="I48" i="73"/>
  <c r="Y8" i="78"/>
  <c r="AA8" i="78" s="1"/>
  <c r="Q10" i="78"/>
  <c r="Z31" i="78"/>
  <c r="I109" i="7"/>
  <c r="G26" i="1"/>
  <c r="I26" i="1" s="1"/>
  <c r="C103" i="15"/>
  <c r="I103" i="15" s="1"/>
  <c r="I97" i="15"/>
  <c r="M12" i="86"/>
  <c r="E17" i="86"/>
  <c r="E15" i="86"/>
  <c r="E16" i="86"/>
  <c r="Z31" i="86"/>
  <c r="R34" i="86"/>
  <c r="R65" i="86"/>
  <c r="L61" i="86"/>
  <c r="AM65" i="86"/>
  <c r="M61" i="81"/>
  <c r="V24" i="66"/>
  <c r="E29" i="67"/>
  <c r="I29" i="67" s="1"/>
  <c r="E13" i="67"/>
  <c r="E28" i="67"/>
  <c r="I10" i="67"/>
  <c r="E14" i="67"/>
  <c r="AK16" i="78"/>
  <c r="L58" i="78"/>
  <c r="L47" i="78"/>
  <c r="L63" i="78" s="1"/>
  <c r="L46" i="78"/>
  <c r="L45" i="78"/>
  <c r="G45" i="78"/>
  <c r="G46" i="78"/>
  <c r="B95" i="80" s="1"/>
  <c r="G47" i="78"/>
  <c r="B123" i="75"/>
  <c r="J123" i="75" s="1"/>
  <c r="L26" i="73"/>
  <c r="B110" i="6"/>
  <c r="H110" i="6" s="1"/>
  <c r="B110" i="79"/>
  <c r="J110" i="79" s="1"/>
  <c r="J108" i="79"/>
  <c r="K120" i="82"/>
  <c r="AG42" i="78"/>
  <c r="S38" i="78"/>
  <c r="S42" i="78" s="1"/>
  <c r="AI42" i="78"/>
  <c r="U38" i="78"/>
  <c r="U42" i="78" s="1"/>
  <c r="D58" i="21"/>
  <c r="F58" i="21" s="1"/>
  <c r="F43" i="21"/>
  <c r="T28" i="86"/>
  <c r="T57" i="86"/>
  <c r="T62" i="86" s="1"/>
  <c r="B83" i="88"/>
  <c r="J83" i="88" s="1"/>
  <c r="M52" i="86"/>
  <c r="K74" i="84"/>
  <c r="C80" i="84"/>
  <c r="K80" i="84" s="1"/>
  <c r="B120" i="87"/>
  <c r="K30" i="86"/>
  <c r="K60" i="86"/>
  <c r="K136" i="82"/>
  <c r="B89" i="82"/>
  <c r="J89" i="82" s="1"/>
  <c r="G58" i="81"/>
  <c r="AB10" i="73"/>
  <c r="AH6" i="73"/>
  <c r="P6" i="73"/>
  <c r="AH8" i="73"/>
  <c r="P8" i="73"/>
  <c r="AG7" i="73"/>
  <c r="O7" i="73"/>
  <c r="AE16" i="73"/>
  <c r="S13" i="73"/>
  <c r="AG13" i="73"/>
  <c r="AA16" i="73"/>
  <c r="O13" i="73"/>
  <c r="AB58" i="73"/>
  <c r="AH54" i="73"/>
  <c r="AC64" i="73"/>
  <c r="AF64" i="73"/>
  <c r="AG57" i="73"/>
  <c r="AH56" i="73"/>
  <c r="U25" i="66"/>
  <c r="H57" i="73"/>
  <c r="E57" i="73"/>
  <c r="G57" i="73"/>
  <c r="F57" i="73"/>
  <c r="J57" i="73"/>
  <c r="I57" i="73"/>
  <c r="T62" i="78"/>
  <c r="Z62" i="78" s="1"/>
  <c r="Z14" i="78"/>
  <c r="K87" i="79"/>
  <c r="C92" i="79"/>
  <c r="K92" i="79" s="1"/>
  <c r="C24" i="21"/>
  <c r="B111" i="85"/>
  <c r="J111" i="85" s="1"/>
  <c r="J90" i="84"/>
  <c r="B96" i="84"/>
  <c r="J96" i="84" s="1"/>
  <c r="C90" i="87"/>
  <c r="K90" i="87" s="1"/>
  <c r="H62" i="86"/>
  <c r="C130" i="84"/>
  <c r="L51" i="81"/>
  <c r="C90" i="82"/>
  <c r="K90" i="82" s="1"/>
  <c r="H59" i="81"/>
  <c r="J73" i="83"/>
  <c r="B80" i="83"/>
  <c r="J80" i="83" s="1"/>
  <c r="AN60" i="86"/>
  <c r="I46" i="66"/>
  <c r="E51" i="66"/>
  <c r="C155" i="69"/>
  <c r="K155" i="69" s="1"/>
  <c r="K148" i="69"/>
  <c r="E29" i="73"/>
  <c r="K26" i="73"/>
  <c r="E31" i="73"/>
  <c r="E30" i="73"/>
  <c r="AD42" i="73"/>
  <c r="R38" i="73"/>
  <c r="R42" i="73" s="1"/>
  <c r="AB48" i="73"/>
  <c r="AH45" i="73"/>
  <c r="P45" i="73"/>
  <c r="K58" i="78"/>
  <c r="K47" i="78"/>
  <c r="K63" i="78" s="1"/>
  <c r="K46" i="78"/>
  <c r="K45" i="78"/>
  <c r="K80" i="76"/>
  <c r="R10" i="78"/>
  <c r="F18" i="21"/>
  <c r="D24" i="21"/>
  <c r="F24" i="21" s="1"/>
  <c r="J15" i="86"/>
  <c r="J17" i="86"/>
  <c r="J16" i="86"/>
  <c r="Y60" i="86"/>
  <c r="N29" i="86"/>
  <c r="F65" i="86"/>
  <c r="N65" i="86" s="1"/>
  <c r="Z49" i="86"/>
  <c r="AB49" i="86" s="1"/>
  <c r="X66" i="86"/>
  <c r="Z66" i="86" s="1"/>
  <c r="S57" i="86"/>
  <c r="S11" i="86"/>
  <c r="Y6" i="86"/>
  <c r="C124" i="87"/>
  <c r="K124" i="87" s="1"/>
  <c r="L64" i="86"/>
  <c r="Y44" i="86"/>
  <c r="AA44" i="86" s="1"/>
  <c r="Q34" i="81"/>
  <c r="Y31" i="81"/>
  <c r="AB27" i="81"/>
  <c r="F16" i="86"/>
  <c r="N12" i="86"/>
  <c r="F15" i="86"/>
  <c r="F17" i="86"/>
  <c r="AN58" i="86"/>
  <c r="F64" i="86"/>
  <c r="K73" i="83"/>
  <c r="C80" i="83"/>
  <c r="K80" i="83" s="1"/>
  <c r="V44" i="66"/>
  <c r="E50" i="66"/>
  <c r="J60" i="66"/>
  <c r="P26" i="73"/>
  <c r="AI32" i="78"/>
  <c r="U29" i="78"/>
  <c r="C95" i="76"/>
  <c r="H16" i="78"/>
  <c r="J28" i="9"/>
  <c r="C148" i="88"/>
  <c r="K148" i="88" s="1"/>
  <c r="K140" i="88"/>
  <c r="J104" i="82"/>
  <c r="AF45" i="81"/>
  <c r="AF57" i="81"/>
  <c r="AN40" i="81"/>
  <c r="AN57" i="81" s="1"/>
  <c r="R40" i="81"/>
  <c r="AF61" i="81"/>
  <c r="AN44" i="81"/>
  <c r="AN61" i="81" s="1"/>
  <c r="R44" i="81"/>
  <c r="AJ59" i="81"/>
  <c r="V42" i="81"/>
  <c r="V59" i="81" s="1"/>
  <c r="AN43" i="81"/>
  <c r="AN60" i="81" s="1"/>
  <c r="AF60" i="81"/>
  <c r="R43" i="81"/>
  <c r="AL58" i="81"/>
  <c r="X41" i="81"/>
  <c r="X58" i="81" s="1"/>
  <c r="AI59" i="81"/>
  <c r="U42" i="81"/>
  <c r="U59" i="81" s="1"/>
  <c r="AH60" i="81"/>
  <c r="T43" i="81"/>
  <c r="T60" i="81" s="1"/>
  <c r="AM17" i="86"/>
  <c r="B112" i="84"/>
  <c r="J112" i="84" s="1"/>
  <c r="J106" i="84"/>
  <c r="H17" i="86"/>
  <c r="H15" i="86"/>
  <c r="H16" i="86"/>
  <c r="Y25" i="86"/>
  <c r="Q59" i="86"/>
  <c r="Y59" i="86" s="1"/>
  <c r="K33" i="81"/>
  <c r="B132" i="83" s="1"/>
  <c r="J132" i="83" s="1"/>
  <c r="C95" i="85"/>
  <c r="K95" i="85" s="1"/>
  <c r="E34" i="66"/>
  <c r="C95" i="72"/>
  <c r="H16" i="73"/>
  <c r="C123" i="72"/>
  <c r="K123" i="72" s="1"/>
  <c r="K117" i="72"/>
  <c r="P32" i="73"/>
  <c r="V29" i="73"/>
  <c r="F56" i="67"/>
  <c r="J56" i="67" s="1"/>
  <c r="G58" i="78"/>
  <c r="G13" i="78"/>
  <c r="G14" i="78"/>
  <c r="G15" i="78"/>
  <c r="F31" i="78"/>
  <c r="N26" i="78"/>
  <c r="F30" i="78"/>
  <c r="F62" i="78" s="1"/>
  <c r="F29" i="78"/>
  <c r="I108" i="7"/>
  <c r="D44" i="21"/>
  <c r="F44" i="21" s="1"/>
  <c r="J11" i="81"/>
  <c r="J73" i="85"/>
  <c r="B79" i="85"/>
  <c r="J79" i="85" s="1"/>
  <c r="AN34" i="86"/>
  <c r="K121" i="85"/>
  <c r="B80" i="84"/>
  <c r="J80" i="84" s="1"/>
  <c r="AN28" i="81"/>
  <c r="AM51" i="86"/>
  <c r="G15" i="73"/>
  <c r="G13" i="73"/>
  <c r="G14" i="73"/>
  <c r="U41" i="66"/>
  <c r="Z13" i="78"/>
  <c r="U10" i="78"/>
  <c r="C123" i="80"/>
  <c r="K123" i="80" s="1"/>
  <c r="K117" i="80"/>
  <c r="C108" i="76"/>
  <c r="K108" i="76" s="1"/>
  <c r="K102" i="76"/>
  <c r="B93" i="80"/>
  <c r="J93" i="80" s="1"/>
  <c r="J87" i="80"/>
  <c r="T56" i="78"/>
  <c r="T10" i="78"/>
  <c r="W16" i="78"/>
  <c r="E32" i="78"/>
  <c r="R58" i="86"/>
  <c r="Z58" i="86" s="1"/>
  <c r="X32" i="78" l="1"/>
  <c r="M45" i="81"/>
  <c r="K48" i="81"/>
  <c r="K49" i="81"/>
  <c r="B131" i="84" s="1"/>
  <c r="J131" i="84" s="1"/>
  <c r="G49" i="81"/>
  <c r="B99" i="84" s="1"/>
  <c r="J99" i="84" s="1"/>
  <c r="K50" i="81"/>
  <c r="B132" i="84" s="1"/>
  <c r="J132" i="84" s="1"/>
  <c r="G50" i="81"/>
  <c r="B100" i="84" s="1"/>
  <c r="J100" i="84" s="1"/>
  <c r="G34" i="66"/>
  <c r="B144" i="84"/>
  <c r="J144" i="84" s="1"/>
  <c r="B148" i="88"/>
  <c r="J148" i="88" s="1"/>
  <c r="L32" i="90"/>
  <c r="C119" i="91" s="1"/>
  <c r="AA43" i="86"/>
  <c r="AA25" i="86"/>
  <c r="C83" i="76"/>
  <c r="K83" i="76" s="1"/>
  <c r="H51" i="81"/>
  <c r="C127" i="85"/>
  <c r="K127" i="85" s="1"/>
  <c r="B111" i="82"/>
  <c r="J111" i="82" s="1"/>
  <c r="C127" i="82"/>
  <c r="K127" i="82" s="1"/>
  <c r="C75" i="89"/>
  <c r="K75" i="89" s="1"/>
  <c r="B117" i="89"/>
  <c r="J117" i="89" s="1"/>
  <c r="K97" i="91"/>
  <c r="C103" i="91"/>
  <c r="K103" i="91" s="1"/>
  <c r="C75" i="91"/>
  <c r="K75" i="91" s="1"/>
  <c r="K69" i="91"/>
  <c r="B75" i="89"/>
  <c r="J75" i="89" s="1"/>
  <c r="J69" i="91"/>
  <c r="B75" i="91"/>
  <c r="J75" i="91" s="1"/>
  <c r="C103" i="89"/>
  <c r="K103" i="89" s="1"/>
  <c r="B117" i="91"/>
  <c r="J117" i="91" s="1"/>
  <c r="J111" i="91"/>
  <c r="B103" i="91"/>
  <c r="J103" i="91" s="1"/>
  <c r="J97" i="91"/>
  <c r="C117" i="91"/>
  <c r="K117" i="91" s="1"/>
  <c r="K111" i="91"/>
  <c r="C153" i="89"/>
  <c r="K153" i="89" s="1"/>
  <c r="B158" i="89"/>
  <c r="J158" i="89" s="1"/>
  <c r="J158" i="91"/>
  <c r="C158" i="89"/>
  <c r="K158" i="89" s="1"/>
  <c r="K158" i="91"/>
  <c r="C89" i="91"/>
  <c r="K89" i="91" s="1"/>
  <c r="K84" i="91"/>
  <c r="C157" i="89"/>
  <c r="K157" i="89" s="1"/>
  <c r="K157" i="91"/>
  <c r="C155" i="89"/>
  <c r="K155" i="89" s="1"/>
  <c r="K155" i="91"/>
  <c r="C154" i="89"/>
  <c r="K154" i="89" s="1"/>
  <c r="K154" i="91"/>
  <c r="B155" i="89"/>
  <c r="J155" i="89" s="1"/>
  <c r="J155" i="91"/>
  <c r="B153" i="89"/>
  <c r="J153" i="89" s="1"/>
  <c r="B89" i="91"/>
  <c r="J89" i="91" s="1"/>
  <c r="J83" i="91"/>
  <c r="B154" i="89"/>
  <c r="J154" i="89" s="1"/>
  <c r="J154" i="91"/>
  <c r="B157" i="89"/>
  <c r="J157" i="89" s="1"/>
  <c r="J157" i="91"/>
  <c r="AN68" i="86"/>
  <c r="AH48" i="73"/>
  <c r="J50" i="81"/>
  <c r="J48" i="81"/>
  <c r="J49" i="81"/>
  <c r="C115" i="84" s="1"/>
  <c r="K115" i="84" s="1"/>
  <c r="R60" i="90"/>
  <c r="I56" i="67"/>
  <c r="AK10" i="78"/>
  <c r="E16" i="66"/>
  <c r="L50" i="90"/>
  <c r="L51" i="90" s="1"/>
  <c r="I13" i="66"/>
  <c r="I16" i="66" s="1"/>
  <c r="C144" i="84"/>
  <c r="K144" i="84" s="1"/>
  <c r="K49" i="90"/>
  <c r="C143" i="85"/>
  <c r="K143" i="85" s="1"/>
  <c r="L48" i="73"/>
  <c r="G16" i="66"/>
  <c r="AB8" i="86"/>
  <c r="AM68" i="86"/>
  <c r="K66" i="86"/>
  <c r="Q60" i="90"/>
  <c r="AA24" i="81"/>
  <c r="H62" i="81"/>
  <c r="L30" i="73"/>
  <c r="J62" i="81"/>
  <c r="N31" i="78"/>
  <c r="AB31" i="78" s="1"/>
  <c r="B144" i="83"/>
  <c r="J144" i="83" s="1"/>
  <c r="AB7" i="81"/>
  <c r="H49" i="90"/>
  <c r="H51" i="90" s="1"/>
  <c r="O63" i="90"/>
  <c r="C117" i="89"/>
  <c r="K117" i="89" s="1"/>
  <c r="X10" i="78"/>
  <c r="B131" i="89"/>
  <c r="J131" i="89" s="1"/>
  <c r="J125" i="89"/>
  <c r="B103" i="89"/>
  <c r="J103" i="89" s="1"/>
  <c r="P63" i="90"/>
  <c r="AN62" i="86"/>
  <c r="I31" i="81"/>
  <c r="M31" i="81" s="1"/>
  <c r="B146" i="83" s="1"/>
  <c r="J139" i="89"/>
  <c r="B145" i="89"/>
  <c r="J145" i="89" s="1"/>
  <c r="L29" i="73"/>
  <c r="C125" i="74" s="1"/>
  <c r="K125" i="74" s="1"/>
  <c r="I34" i="66"/>
  <c r="H63" i="78"/>
  <c r="B143" i="85"/>
  <c r="J143" i="85" s="1"/>
  <c r="M28" i="81"/>
  <c r="I32" i="81"/>
  <c r="B115" i="83" s="1"/>
  <c r="J115" i="83" s="1"/>
  <c r="N50" i="90"/>
  <c r="N49" i="90"/>
  <c r="O50" i="90"/>
  <c r="O49" i="90"/>
  <c r="M49" i="90"/>
  <c r="M50" i="90"/>
  <c r="C89" i="89"/>
  <c r="K89" i="89" s="1"/>
  <c r="X55" i="78"/>
  <c r="K62" i="81"/>
  <c r="B114" i="88"/>
  <c r="J114" i="88" s="1"/>
  <c r="N63" i="90"/>
  <c r="P50" i="90"/>
  <c r="P49" i="90"/>
  <c r="M63" i="90"/>
  <c r="K139" i="89"/>
  <c r="C145" i="89"/>
  <c r="K145" i="89" s="1"/>
  <c r="F32" i="73"/>
  <c r="AL32" i="78"/>
  <c r="G62" i="81"/>
  <c r="K125" i="89"/>
  <c r="C131" i="89"/>
  <c r="K131" i="89" s="1"/>
  <c r="B89" i="89"/>
  <c r="J89" i="89" s="1"/>
  <c r="Q62" i="90"/>
  <c r="I50" i="90"/>
  <c r="I51" i="90" s="1"/>
  <c r="Q58" i="90"/>
  <c r="F49" i="90"/>
  <c r="F51" i="90" s="1"/>
  <c r="R59" i="90"/>
  <c r="Q46" i="90"/>
  <c r="Q61" i="90"/>
  <c r="R62" i="90"/>
  <c r="Q57" i="90"/>
  <c r="Q59" i="90"/>
  <c r="G50" i="90"/>
  <c r="G51" i="90" s="1"/>
  <c r="R57" i="90"/>
  <c r="R58" i="90"/>
  <c r="R61" i="90"/>
  <c r="R46" i="90"/>
  <c r="L63" i="90"/>
  <c r="M33" i="90"/>
  <c r="B134" i="91" s="1"/>
  <c r="M32" i="90"/>
  <c r="B133" i="91" s="1"/>
  <c r="H63" i="90"/>
  <c r="Q29" i="90"/>
  <c r="R29" i="90"/>
  <c r="J49" i="90"/>
  <c r="J50" i="90"/>
  <c r="N33" i="90"/>
  <c r="C134" i="91" s="1"/>
  <c r="N32" i="90"/>
  <c r="C133" i="91" s="1"/>
  <c r="E50" i="90"/>
  <c r="E49" i="90"/>
  <c r="R12" i="90"/>
  <c r="N15" i="90"/>
  <c r="N16" i="90"/>
  <c r="O15" i="90"/>
  <c r="O33" i="90"/>
  <c r="B148" i="91" s="1"/>
  <c r="O16" i="90"/>
  <c r="M15" i="90"/>
  <c r="M16" i="90"/>
  <c r="J33" i="90"/>
  <c r="Q12" i="90"/>
  <c r="P15" i="90"/>
  <c r="P33" i="90"/>
  <c r="P16" i="90"/>
  <c r="K51" i="90"/>
  <c r="K33" i="90"/>
  <c r="B120" i="91" s="1"/>
  <c r="K32" i="90"/>
  <c r="B119" i="91" s="1"/>
  <c r="J63" i="90"/>
  <c r="E32" i="90"/>
  <c r="B77" i="91" s="1"/>
  <c r="G63" i="90"/>
  <c r="G33" i="90"/>
  <c r="B92" i="91" s="1"/>
  <c r="H33" i="90"/>
  <c r="C92" i="91" s="1"/>
  <c r="F32" i="90"/>
  <c r="C77" i="91" s="1"/>
  <c r="G32" i="90"/>
  <c r="B91" i="91" s="1"/>
  <c r="I63" i="90"/>
  <c r="H32" i="90"/>
  <c r="C91" i="91" s="1"/>
  <c r="I32" i="90"/>
  <c r="B105" i="91" s="1"/>
  <c r="I33" i="90"/>
  <c r="B106" i="91" s="1"/>
  <c r="K63" i="90"/>
  <c r="J15" i="90"/>
  <c r="J16" i="90"/>
  <c r="F15" i="90"/>
  <c r="F16" i="90"/>
  <c r="H15" i="90"/>
  <c r="H16" i="90"/>
  <c r="F63" i="90"/>
  <c r="G15" i="90"/>
  <c r="G16" i="90"/>
  <c r="E15" i="90"/>
  <c r="E16" i="90"/>
  <c r="K15" i="90"/>
  <c r="K16" i="90"/>
  <c r="L15" i="90"/>
  <c r="L16" i="90"/>
  <c r="K120" i="91" s="1"/>
  <c r="E63" i="90"/>
  <c r="I15" i="90"/>
  <c r="I16" i="90"/>
  <c r="N58" i="81"/>
  <c r="N62" i="86"/>
  <c r="K89" i="84"/>
  <c r="C96" i="84"/>
  <c r="K96" i="84" s="1"/>
  <c r="J63" i="66"/>
  <c r="AA24" i="86"/>
  <c r="K57" i="73"/>
  <c r="L31" i="73"/>
  <c r="X31" i="73" s="1"/>
  <c r="AA8" i="86"/>
  <c r="M61" i="86"/>
  <c r="C54" i="21"/>
  <c r="Z7" i="78"/>
  <c r="AB7" i="78" s="1"/>
  <c r="AM62" i="86"/>
  <c r="AB23" i="81"/>
  <c r="V10" i="78"/>
  <c r="Q56" i="78"/>
  <c r="Y56" i="78" s="1"/>
  <c r="AA56" i="78" s="1"/>
  <c r="AG16" i="73"/>
  <c r="G66" i="86"/>
  <c r="E62" i="81"/>
  <c r="AG64" i="73"/>
  <c r="G63" i="78"/>
  <c r="AA60" i="86"/>
  <c r="H60" i="67"/>
  <c r="L62" i="81"/>
  <c r="I66" i="86"/>
  <c r="C55" i="9"/>
  <c r="I55" i="9" s="1"/>
  <c r="AL10" i="78"/>
  <c r="R56" i="78"/>
  <c r="Z56" i="78" s="1"/>
  <c r="AB56" i="78" s="1"/>
  <c r="AH16" i="73"/>
  <c r="Y67" i="86"/>
  <c r="Z59" i="86"/>
  <c r="T61" i="78"/>
  <c r="T64" i="78" s="1"/>
  <c r="AH58" i="73"/>
  <c r="L16" i="86"/>
  <c r="C130" i="85" s="1"/>
  <c r="K130" i="85" s="1"/>
  <c r="L17" i="86"/>
  <c r="C131" i="85" s="1"/>
  <c r="K131" i="85" s="1"/>
  <c r="L15" i="86"/>
  <c r="N15" i="86" s="1"/>
  <c r="C145" i="85" s="1"/>
  <c r="J63" i="78"/>
  <c r="C143" i="82"/>
  <c r="K143" i="82" s="1"/>
  <c r="Z6" i="78"/>
  <c r="AB6" i="78" s="1"/>
  <c r="K104" i="85"/>
  <c r="C111" i="85"/>
  <c r="K111" i="85" s="1"/>
  <c r="AK32" i="78"/>
  <c r="AN45" i="81"/>
  <c r="S62" i="86"/>
  <c r="B127" i="82"/>
  <c r="J127" i="82" s="1"/>
  <c r="J32" i="78"/>
  <c r="AG10" i="73"/>
  <c r="AL26" i="78"/>
  <c r="Y40" i="78"/>
  <c r="AA40" i="78" s="1"/>
  <c r="G17" i="86"/>
  <c r="B99" i="85" s="1"/>
  <c r="J99" i="85" s="1"/>
  <c r="G16" i="86"/>
  <c r="B98" i="85" s="1"/>
  <c r="J98" i="85" s="1"/>
  <c r="G15" i="86"/>
  <c r="J51" i="9"/>
  <c r="Z41" i="78"/>
  <c r="AB41" i="78" s="1"/>
  <c r="G32" i="78"/>
  <c r="M32" i="78" s="1"/>
  <c r="AB25" i="81"/>
  <c r="AB24" i="86"/>
  <c r="AB28" i="81"/>
  <c r="H30" i="67"/>
  <c r="M30" i="78"/>
  <c r="AA30" i="78" s="1"/>
  <c r="N61" i="86"/>
  <c r="AB58" i="86" s="1"/>
  <c r="L31" i="81"/>
  <c r="N31" i="81" s="1"/>
  <c r="L33" i="81"/>
  <c r="C132" i="83" s="1"/>
  <c r="K132" i="83" s="1"/>
  <c r="L32" i="81"/>
  <c r="C131" i="83" s="1"/>
  <c r="K131" i="83" s="1"/>
  <c r="B80" i="75"/>
  <c r="E48" i="73"/>
  <c r="N58" i="78"/>
  <c r="G60" i="67"/>
  <c r="H34" i="66"/>
  <c r="K121" i="83"/>
  <c r="C128" i="83"/>
  <c r="K128" i="83" s="1"/>
  <c r="M62" i="86"/>
  <c r="AA59" i="86" s="1"/>
  <c r="R55" i="78"/>
  <c r="Z55" i="78" s="1"/>
  <c r="AB55" i="78" s="1"/>
  <c r="Z40" i="78"/>
  <c r="AB40" i="78" s="1"/>
  <c r="Y39" i="78"/>
  <c r="AA39" i="78" s="1"/>
  <c r="U54" i="78"/>
  <c r="U58" i="78" s="1"/>
  <c r="Y58" i="86"/>
  <c r="X62" i="86"/>
  <c r="AH10" i="73"/>
  <c r="AL62" i="81"/>
  <c r="AK26" i="78"/>
  <c r="D59" i="21"/>
  <c r="F59" i="21" s="1"/>
  <c r="F57" i="21"/>
  <c r="AB14" i="78"/>
  <c r="O54" i="73"/>
  <c r="U6" i="73"/>
  <c r="O10" i="73"/>
  <c r="C128" i="70"/>
  <c r="K128" i="70" s="1"/>
  <c r="J51" i="66"/>
  <c r="C160" i="70" s="1"/>
  <c r="K160" i="70" s="1"/>
  <c r="C131" i="82"/>
  <c r="K131" i="82" s="1"/>
  <c r="Y16" i="78"/>
  <c r="B82" i="88"/>
  <c r="M51" i="86"/>
  <c r="B150" i="88" s="1"/>
  <c r="E54" i="86"/>
  <c r="AI62" i="81"/>
  <c r="H15" i="67"/>
  <c r="H59" i="67"/>
  <c r="O57" i="73"/>
  <c r="U57" i="73" s="1"/>
  <c r="U9" i="73"/>
  <c r="W9" i="73" s="1"/>
  <c r="C80" i="80"/>
  <c r="N46" i="78"/>
  <c r="C113" i="75"/>
  <c r="K113" i="75" s="1"/>
  <c r="K110" i="75"/>
  <c r="Y51" i="86"/>
  <c r="B111" i="76"/>
  <c r="J111" i="76" s="1"/>
  <c r="I62" i="78"/>
  <c r="C116" i="88"/>
  <c r="J54" i="86"/>
  <c r="S45" i="81"/>
  <c r="S57" i="81"/>
  <c r="S62" i="81" s="1"/>
  <c r="U32" i="73"/>
  <c r="Z51" i="86"/>
  <c r="B111" i="80"/>
  <c r="J111" i="80" s="1"/>
  <c r="B112" i="80"/>
  <c r="J112" i="80" s="1"/>
  <c r="I48" i="78"/>
  <c r="I64" i="78" s="1"/>
  <c r="K14" i="81"/>
  <c r="K16" i="81"/>
  <c r="K15" i="81"/>
  <c r="B80" i="76"/>
  <c r="E16" i="78"/>
  <c r="M13" i="78"/>
  <c r="AA13" i="78" s="1"/>
  <c r="E61" i="78"/>
  <c r="K55" i="73"/>
  <c r="O62" i="73"/>
  <c r="U62" i="73" s="1"/>
  <c r="U14" i="73"/>
  <c r="C99" i="88"/>
  <c r="H54" i="86"/>
  <c r="J88" i="87"/>
  <c r="B95" i="87"/>
  <c r="J95" i="87" s="1"/>
  <c r="AB6" i="86"/>
  <c r="Z11" i="86"/>
  <c r="AB11" i="86" s="1"/>
  <c r="Q48" i="78"/>
  <c r="J15" i="66"/>
  <c r="F69" i="66"/>
  <c r="AB25" i="86"/>
  <c r="X66" i="81"/>
  <c r="Z66" i="81" s="1"/>
  <c r="Z49" i="81"/>
  <c r="B96" i="75"/>
  <c r="J96" i="75" s="1"/>
  <c r="K46" i="73"/>
  <c r="F63" i="78"/>
  <c r="O63" i="73"/>
  <c r="U63" i="73" s="1"/>
  <c r="U15" i="73"/>
  <c r="Q54" i="73"/>
  <c r="Q58" i="73" s="1"/>
  <c r="Q10" i="73"/>
  <c r="C79" i="82"/>
  <c r="K79" i="82" s="1"/>
  <c r="C95" i="87"/>
  <c r="K95" i="87" s="1"/>
  <c r="K88" i="87"/>
  <c r="H68" i="66"/>
  <c r="W68" i="86"/>
  <c r="AM45" i="81"/>
  <c r="Q51" i="81"/>
  <c r="Y48" i="81"/>
  <c r="C82" i="88"/>
  <c r="F54" i="86"/>
  <c r="N51" i="86"/>
  <c r="C150" i="88" s="1"/>
  <c r="H62" i="78"/>
  <c r="K95" i="80"/>
  <c r="AG48" i="73"/>
  <c r="C128" i="69"/>
  <c r="K128" i="69" s="1"/>
  <c r="J33" i="66"/>
  <c r="C158" i="69" s="1"/>
  <c r="K158" i="69" s="1"/>
  <c r="B82" i="84"/>
  <c r="M48" i="81"/>
  <c r="B146" i="84" s="1"/>
  <c r="E51" i="81"/>
  <c r="N60" i="86"/>
  <c r="F66" i="86"/>
  <c r="AL42" i="78"/>
  <c r="B114" i="85"/>
  <c r="J114" i="85" s="1"/>
  <c r="B143" i="82"/>
  <c r="J143" i="82" s="1"/>
  <c r="M33" i="81"/>
  <c r="Z16" i="78"/>
  <c r="C99" i="85"/>
  <c r="K99" i="85" s="1"/>
  <c r="K95" i="76"/>
  <c r="C98" i="76"/>
  <c r="K98" i="76" s="1"/>
  <c r="Y34" i="81"/>
  <c r="B81" i="74"/>
  <c r="J81" i="74" s="1"/>
  <c r="K30" i="73"/>
  <c r="B128" i="70"/>
  <c r="J128" i="70" s="1"/>
  <c r="I51" i="66"/>
  <c r="B160" i="70" s="1"/>
  <c r="J160" i="70" s="1"/>
  <c r="U32" i="78"/>
  <c r="U61" i="78"/>
  <c r="U64" i="78" s="1"/>
  <c r="C83" i="85"/>
  <c r="K83" i="85" s="1"/>
  <c r="N17" i="86"/>
  <c r="C114" i="85"/>
  <c r="K114" i="85" s="1"/>
  <c r="C83" i="74"/>
  <c r="K83" i="74" s="1"/>
  <c r="K80" i="74"/>
  <c r="B96" i="72"/>
  <c r="J96" i="72" s="1"/>
  <c r="G62" i="73"/>
  <c r="AF62" i="81"/>
  <c r="C81" i="85"/>
  <c r="F18" i="86"/>
  <c r="C115" i="85"/>
  <c r="K115" i="85" s="1"/>
  <c r="C133" i="84"/>
  <c r="K133" i="84" s="1"/>
  <c r="K130" i="84"/>
  <c r="Z44" i="81"/>
  <c r="AB44" i="81" s="1"/>
  <c r="R61" i="81"/>
  <c r="Z61" i="81" s="1"/>
  <c r="AB61" i="81" s="1"/>
  <c r="U62" i="81"/>
  <c r="C113" i="85"/>
  <c r="J18" i="86"/>
  <c r="B126" i="80"/>
  <c r="J126" i="80" s="1"/>
  <c r="B127" i="80"/>
  <c r="J127" i="80" s="1"/>
  <c r="K48" i="78"/>
  <c r="K64" i="78" s="1"/>
  <c r="K61" i="78"/>
  <c r="B80" i="74"/>
  <c r="E32" i="73"/>
  <c r="K29" i="73"/>
  <c r="B125" i="74" s="1"/>
  <c r="O61" i="73"/>
  <c r="O16" i="73"/>
  <c r="U13" i="73"/>
  <c r="B151" i="88"/>
  <c r="J151" i="88" s="1"/>
  <c r="AA49" i="86"/>
  <c r="E59" i="67"/>
  <c r="I13" i="67"/>
  <c r="E15" i="67"/>
  <c r="R68" i="86"/>
  <c r="Z65" i="86"/>
  <c r="C80" i="72"/>
  <c r="F61" i="73"/>
  <c r="L13" i="73"/>
  <c r="F16" i="73"/>
  <c r="AL68" i="81"/>
  <c r="R32" i="78"/>
  <c r="Z29" i="78"/>
  <c r="R61" i="78"/>
  <c r="B142" i="70"/>
  <c r="G52" i="66"/>
  <c r="H32" i="78"/>
  <c r="E33" i="86"/>
  <c r="M30" i="86"/>
  <c r="E35" i="86"/>
  <c r="E71" i="86" s="1"/>
  <c r="E34" i="86"/>
  <c r="E70" i="86" s="1"/>
  <c r="C129" i="82"/>
  <c r="L17" i="81"/>
  <c r="AB23" i="86"/>
  <c r="Z28" i="86"/>
  <c r="C111" i="76"/>
  <c r="K111" i="76" s="1"/>
  <c r="J62" i="78"/>
  <c r="Z59" i="81"/>
  <c r="Y60" i="81"/>
  <c r="AA60" i="81" s="1"/>
  <c r="Z48" i="81"/>
  <c r="R51" i="81"/>
  <c r="AJ62" i="81"/>
  <c r="C83" i="83"/>
  <c r="K83" i="83" s="1"/>
  <c r="B83" i="83"/>
  <c r="J83" i="83" s="1"/>
  <c r="K142" i="69"/>
  <c r="C144" i="69"/>
  <c r="K144" i="69" s="1"/>
  <c r="M58" i="81"/>
  <c r="F48" i="21"/>
  <c r="D54" i="21"/>
  <c r="F54" i="21" s="1"/>
  <c r="Y63" i="78"/>
  <c r="Q42" i="78"/>
  <c r="Y38" i="78"/>
  <c r="Y41" i="78"/>
  <c r="AA41" i="78" s="1"/>
  <c r="AG62" i="81"/>
  <c r="C114" i="83"/>
  <c r="J34" i="81"/>
  <c r="Z22" i="78"/>
  <c r="R26" i="78"/>
  <c r="R54" i="78"/>
  <c r="J110" i="80"/>
  <c r="C126" i="70"/>
  <c r="J49" i="66"/>
  <c r="F52" i="66"/>
  <c r="B81" i="76"/>
  <c r="J81" i="76" s="1"/>
  <c r="E62" i="78"/>
  <c r="M14" i="78"/>
  <c r="AA14" i="78" s="1"/>
  <c r="L55" i="73"/>
  <c r="P61" i="73"/>
  <c r="V13" i="73"/>
  <c r="P16" i="73"/>
  <c r="AK48" i="78"/>
  <c r="W45" i="78"/>
  <c r="J29" i="67"/>
  <c r="W45" i="81"/>
  <c r="W51" i="81"/>
  <c r="Q26" i="78"/>
  <c r="Y22" i="78"/>
  <c r="Q54" i="78"/>
  <c r="U28" i="66"/>
  <c r="Q29" i="66"/>
  <c r="U29" i="66" s="1"/>
  <c r="AA61" i="86"/>
  <c r="AH42" i="73"/>
  <c r="C142" i="70"/>
  <c r="H52" i="66"/>
  <c r="AH64" i="73"/>
  <c r="L66" i="86"/>
  <c r="B96" i="79"/>
  <c r="J96" i="79" s="1"/>
  <c r="J94" i="79"/>
  <c r="H16" i="66"/>
  <c r="H67" i="66"/>
  <c r="AM51" i="81"/>
  <c r="AH62" i="81"/>
  <c r="C84" i="88"/>
  <c r="K84" i="88" s="1"/>
  <c r="N53" i="86"/>
  <c r="V26" i="78"/>
  <c r="V54" i="78"/>
  <c r="V58" i="78" s="1"/>
  <c r="E69" i="66"/>
  <c r="C127" i="69"/>
  <c r="J32" i="66"/>
  <c r="C157" i="69" s="1"/>
  <c r="Y65" i="86"/>
  <c r="P63" i="73"/>
  <c r="V63" i="73" s="1"/>
  <c r="V15" i="73"/>
  <c r="AA7" i="81"/>
  <c r="C143" i="87"/>
  <c r="K143" i="87" s="1"/>
  <c r="K136" i="87"/>
  <c r="Y28" i="81"/>
  <c r="AA28" i="81" s="1"/>
  <c r="AA23" i="81"/>
  <c r="B113" i="85"/>
  <c r="I18" i="86"/>
  <c r="B98" i="82"/>
  <c r="J98" i="82" s="1"/>
  <c r="G66" i="81"/>
  <c r="J15" i="81"/>
  <c r="J16" i="81"/>
  <c r="J14" i="81"/>
  <c r="O55" i="73"/>
  <c r="U55" i="73" s="1"/>
  <c r="U7" i="73"/>
  <c r="W7" i="73" s="1"/>
  <c r="C125" i="80"/>
  <c r="L62" i="78"/>
  <c r="I28" i="67"/>
  <c r="E30" i="67"/>
  <c r="B83" i="85"/>
  <c r="J83" i="85" s="1"/>
  <c r="C82" i="72"/>
  <c r="K82" i="72" s="1"/>
  <c r="F63" i="73"/>
  <c r="L15" i="73"/>
  <c r="C127" i="72" s="1"/>
  <c r="K127" i="72" s="1"/>
  <c r="B96" i="76"/>
  <c r="J96" i="76" s="1"/>
  <c r="G62" i="78"/>
  <c r="C82" i="85"/>
  <c r="K82" i="85" s="1"/>
  <c r="B125" i="80"/>
  <c r="K62" i="78"/>
  <c r="P56" i="73"/>
  <c r="V56" i="73" s="1"/>
  <c r="V8" i="73"/>
  <c r="X8" i="73" s="1"/>
  <c r="W66" i="81"/>
  <c r="Y66" i="81" s="1"/>
  <c r="Y49" i="81"/>
  <c r="C101" i="84"/>
  <c r="K101" i="84" s="1"/>
  <c r="K98" i="84"/>
  <c r="D60" i="9"/>
  <c r="J60" i="9" s="1"/>
  <c r="J58" i="9"/>
  <c r="B82" i="72"/>
  <c r="J82" i="72" s="1"/>
  <c r="E63" i="73"/>
  <c r="K15" i="73"/>
  <c r="B127" i="72" s="1"/>
  <c r="J127" i="72" s="1"/>
  <c r="R48" i="78"/>
  <c r="C130" i="82"/>
  <c r="K130" i="82" s="1"/>
  <c r="C110" i="76"/>
  <c r="J61" i="78"/>
  <c r="N13" i="78"/>
  <c r="AB13" i="78" s="1"/>
  <c r="AN68" i="81"/>
  <c r="S51" i="81"/>
  <c r="S65" i="81"/>
  <c r="S68" i="81" s="1"/>
  <c r="Y46" i="78"/>
  <c r="W62" i="78"/>
  <c r="B79" i="82"/>
  <c r="J79" i="82" s="1"/>
  <c r="AB8" i="81"/>
  <c r="B159" i="69"/>
  <c r="J159" i="69" s="1"/>
  <c r="J157" i="69"/>
  <c r="B143" i="70"/>
  <c r="J143" i="70" s="1"/>
  <c r="G68" i="66"/>
  <c r="K108" i="79"/>
  <c r="C110" i="79"/>
  <c r="K110" i="79" s="1"/>
  <c r="M58" i="78"/>
  <c r="Q12" i="66"/>
  <c r="U12" i="66" s="1"/>
  <c r="U11" i="66"/>
  <c r="R29" i="66"/>
  <c r="V29" i="66" s="1"/>
  <c r="V28" i="66"/>
  <c r="B84" i="84"/>
  <c r="J84" i="84" s="1"/>
  <c r="I35" i="86"/>
  <c r="B115" i="87" s="1"/>
  <c r="J115" i="87" s="1"/>
  <c r="I34" i="86"/>
  <c r="B114" i="87" s="1"/>
  <c r="J114" i="87" s="1"/>
  <c r="I33" i="86"/>
  <c r="B80" i="80"/>
  <c r="M46" i="78"/>
  <c r="B140" i="80" s="1"/>
  <c r="F59" i="67"/>
  <c r="J13" i="67"/>
  <c r="F15" i="67"/>
  <c r="I64" i="73"/>
  <c r="S54" i="73"/>
  <c r="S58" i="73" s="1"/>
  <c r="S10" i="73"/>
  <c r="T61" i="73"/>
  <c r="T64" i="73" s="1"/>
  <c r="T16" i="73"/>
  <c r="L33" i="86"/>
  <c r="L34" i="86"/>
  <c r="L35" i="86"/>
  <c r="J80" i="79"/>
  <c r="B82" i="79"/>
  <c r="J82" i="79" s="1"/>
  <c r="H69" i="66"/>
  <c r="C111" i="82"/>
  <c r="K111" i="82" s="1"/>
  <c r="C96" i="74"/>
  <c r="K96" i="74" s="1"/>
  <c r="H62" i="73"/>
  <c r="V65" i="81"/>
  <c r="V68" i="81" s="1"/>
  <c r="Y44" i="81"/>
  <c r="AA44" i="81" s="1"/>
  <c r="Q61" i="81"/>
  <c r="Y61" i="81" s="1"/>
  <c r="AA61" i="81" s="1"/>
  <c r="AE62" i="81"/>
  <c r="AM68" i="81"/>
  <c r="T26" i="78"/>
  <c r="T54" i="78"/>
  <c r="T58" i="78" s="1"/>
  <c r="B111" i="72"/>
  <c r="J111" i="72" s="1"/>
  <c r="I62" i="73"/>
  <c r="S61" i="78"/>
  <c r="S64" i="78" s="1"/>
  <c r="I61" i="66"/>
  <c r="J31" i="66"/>
  <c r="F34" i="66"/>
  <c r="R46" i="66"/>
  <c r="V46" i="66" s="1"/>
  <c r="V45" i="66"/>
  <c r="Z45" i="86"/>
  <c r="AB45" i="86" s="1"/>
  <c r="AB40" i="86"/>
  <c r="N30" i="86"/>
  <c r="F34" i="86"/>
  <c r="F70" i="86" s="1"/>
  <c r="F33" i="86"/>
  <c r="F69" i="86" s="1"/>
  <c r="F35" i="86"/>
  <c r="C83" i="75"/>
  <c r="K83" i="75" s="1"/>
  <c r="B83" i="82"/>
  <c r="J83" i="82" s="1"/>
  <c r="E67" i="81"/>
  <c r="B115" i="85"/>
  <c r="J115" i="85" s="1"/>
  <c r="V11" i="66"/>
  <c r="B99" i="82"/>
  <c r="J99" i="82" s="1"/>
  <c r="R45" i="81"/>
  <c r="Z40" i="81"/>
  <c r="R57" i="81"/>
  <c r="Q32" i="78"/>
  <c r="Y29" i="78"/>
  <c r="U26" i="73"/>
  <c r="W26" i="73" s="1"/>
  <c r="W22" i="73"/>
  <c r="B95" i="72"/>
  <c r="G61" i="73"/>
  <c r="G16" i="73"/>
  <c r="V32" i="73"/>
  <c r="X29" i="73"/>
  <c r="C98" i="72"/>
  <c r="K98" i="72" s="1"/>
  <c r="K95" i="72"/>
  <c r="Q68" i="81"/>
  <c r="B97" i="72"/>
  <c r="J97" i="72" s="1"/>
  <c r="G63" i="73"/>
  <c r="N29" i="78"/>
  <c r="F32" i="78"/>
  <c r="F61" i="78"/>
  <c r="B95" i="76"/>
  <c r="G61" i="78"/>
  <c r="G16" i="78"/>
  <c r="C98" i="85"/>
  <c r="K98" i="85" s="1"/>
  <c r="Z43" i="81"/>
  <c r="AB43" i="81" s="1"/>
  <c r="R60" i="81"/>
  <c r="Z60" i="81" s="1"/>
  <c r="AB60" i="81" s="1"/>
  <c r="L57" i="73"/>
  <c r="B113" i="75"/>
  <c r="J113" i="75" s="1"/>
  <c r="J110" i="75"/>
  <c r="Z41" i="81"/>
  <c r="AB41" i="81" s="1"/>
  <c r="P57" i="73"/>
  <c r="V57" i="73" s="1"/>
  <c r="V9" i="73"/>
  <c r="X9" i="73" s="1"/>
  <c r="C83" i="82"/>
  <c r="K83" i="82" s="1"/>
  <c r="F67" i="81"/>
  <c r="M60" i="86"/>
  <c r="E66" i="86"/>
  <c r="Y17" i="86"/>
  <c r="U51" i="81"/>
  <c r="U65" i="81"/>
  <c r="U68" i="81" s="1"/>
  <c r="G59" i="67"/>
  <c r="G61" i="67" s="1"/>
  <c r="G15" i="67"/>
  <c r="C82" i="83"/>
  <c r="F34" i="81"/>
  <c r="B82" i="83"/>
  <c r="E34" i="81"/>
  <c r="J66" i="86"/>
  <c r="X63" i="78"/>
  <c r="AK42" i="78"/>
  <c r="C80" i="79"/>
  <c r="N30" i="78"/>
  <c r="AB30" i="78" s="1"/>
  <c r="C97" i="85"/>
  <c r="H18" i="86"/>
  <c r="H61" i="78"/>
  <c r="B127" i="70"/>
  <c r="J127" i="70" s="1"/>
  <c r="I50" i="66"/>
  <c r="B159" i="70" s="1"/>
  <c r="J159" i="70" s="1"/>
  <c r="N64" i="86"/>
  <c r="AA6" i="86"/>
  <c r="Y11" i="86"/>
  <c r="AA11" i="86" s="1"/>
  <c r="K33" i="86"/>
  <c r="K69" i="86" s="1"/>
  <c r="K35" i="86"/>
  <c r="B131" i="87" s="1"/>
  <c r="J131" i="87" s="1"/>
  <c r="K34" i="86"/>
  <c r="B130" i="87" s="1"/>
  <c r="J130" i="87" s="1"/>
  <c r="J95" i="80"/>
  <c r="Z34" i="86"/>
  <c r="X67" i="81"/>
  <c r="Z67" i="81" s="1"/>
  <c r="Z50" i="81"/>
  <c r="X68" i="86"/>
  <c r="Y10" i="78"/>
  <c r="AA10" i="78" s="1"/>
  <c r="AA6" i="78"/>
  <c r="C96" i="79"/>
  <c r="K96" i="79" s="1"/>
  <c r="K94" i="79"/>
  <c r="B80" i="72"/>
  <c r="E61" i="73"/>
  <c r="K13" i="73"/>
  <c r="E16" i="73"/>
  <c r="T54" i="73"/>
  <c r="T58" i="73" s="1"/>
  <c r="T10" i="73"/>
  <c r="C82" i="82"/>
  <c r="K82" i="82" s="1"/>
  <c r="F66" i="81"/>
  <c r="B143" i="87"/>
  <c r="J143" i="87" s="1"/>
  <c r="J136" i="87"/>
  <c r="AL48" i="78"/>
  <c r="X45" i="78"/>
  <c r="V62" i="86"/>
  <c r="AN51" i="81"/>
  <c r="I15" i="81"/>
  <c r="I14" i="81"/>
  <c r="I16" i="81"/>
  <c r="Y25" i="78"/>
  <c r="AA25" i="78" s="1"/>
  <c r="Q57" i="78"/>
  <c r="Y57" i="78" s="1"/>
  <c r="AA57" i="78" s="1"/>
  <c r="G30" i="67"/>
  <c r="C112" i="80"/>
  <c r="K112" i="80" s="1"/>
  <c r="C111" i="80"/>
  <c r="K111" i="80" s="1"/>
  <c r="J48" i="78"/>
  <c r="E68" i="66"/>
  <c r="E70" i="66" s="1"/>
  <c r="J33" i="86"/>
  <c r="J34" i="86"/>
  <c r="C114" i="87" s="1"/>
  <c r="K114" i="87" s="1"/>
  <c r="J35" i="86"/>
  <c r="C115" i="87" s="1"/>
  <c r="K115" i="87" s="1"/>
  <c r="C82" i="80"/>
  <c r="K82" i="80" s="1"/>
  <c r="C81" i="80"/>
  <c r="K81" i="80" s="1"/>
  <c r="F48" i="78"/>
  <c r="N45" i="78"/>
  <c r="W42" i="78"/>
  <c r="AA40" i="86"/>
  <c r="Y45" i="86"/>
  <c r="AA45" i="86" s="1"/>
  <c r="J127" i="69"/>
  <c r="B129" i="69"/>
  <c r="J129" i="69" s="1"/>
  <c r="AG58" i="73"/>
  <c r="Q62" i="86"/>
  <c r="Y57" i="86"/>
  <c r="J104" i="87"/>
  <c r="B111" i="87"/>
  <c r="J111" i="87" s="1"/>
  <c r="AA6" i="81"/>
  <c r="Y11" i="81"/>
  <c r="B130" i="85"/>
  <c r="J130" i="85" s="1"/>
  <c r="F68" i="66"/>
  <c r="J14" i="66"/>
  <c r="B82" i="80"/>
  <c r="J82" i="80" s="1"/>
  <c r="B81" i="80"/>
  <c r="J81" i="80" s="1"/>
  <c r="E48" i="78"/>
  <c r="M45" i="78"/>
  <c r="J14" i="67"/>
  <c r="F60" i="67"/>
  <c r="AK62" i="81"/>
  <c r="AK68" i="81"/>
  <c r="B95" i="75"/>
  <c r="G48" i="73"/>
  <c r="K45" i="73"/>
  <c r="B125" i="75" s="1"/>
  <c r="I59" i="66"/>
  <c r="L56" i="73"/>
  <c r="C127" i="87"/>
  <c r="K127" i="87" s="1"/>
  <c r="K120" i="87"/>
  <c r="C111" i="72"/>
  <c r="K111" i="72" s="1"/>
  <c r="J62" i="73"/>
  <c r="H16" i="81"/>
  <c r="H15" i="81"/>
  <c r="H14" i="81"/>
  <c r="N14" i="81" s="1"/>
  <c r="C145" i="82" s="1"/>
  <c r="C97" i="74"/>
  <c r="K97" i="74" s="1"/>
  <c r="H63" i="73"/>
  <c r="Y43" i="81"/>
  <c r="AA43" i="81" s="1"/>
  <c r="AE68" i="81"/>
  <c r="B110" i="72"/>
  <c r="I61" i="73"/>
  <c r="U68" i="86"/>
  <c r="Q61" i="73"/>
  <c r="Q64" i="73" s="1"/>
  <c r="Q16" i="73"/>
  <c r="C79" i="87"/>
  <c r="K79" i="87" s="1"/>
  <c r="K72" i="87"/>
  <c r="B82" i="82"/>
  <c r="J82" i="82" s="1"/>
  <c r="E66" i="81"/>
  <c r="Z17" i="81"/>
  <c r="J98" i="84"/>
  <c r="V12" i="66"/>
  <c r="E52" i="66"/>
  <c r="B97" i="82"/>
  <c r="G65" i="81"/>
  <c r="G17" i="81"/>
  <c r="P54" i="73"/>
  <c r="P10" i="73"/>
  <c r="V6" i="73"/>
  <c r="Y41" i="81"/>
  <c r="AA41" i="81" s="1"/>
  <c r="Q58" i="81"/>
  <c r="Y58" i="81" s="1"/>
  <c r="V32" i="78"/>
  <c r="V61" i="78"/>
  <c r="V64" i="78" s="1"/>
  <c r="B81" i="72"/>
  <c r="J81" i="72" s="1"/>
  <c r="E62" i="73"/>
  <c r="K14" i="73"/>
  <c r="B126" i="72" s="1"/>
  <c r="J126" i="72" s="1"/>
  <c r="R61" i="73"/>
  <c r="R64" i="73" s="1"/>
  <c r="R16" i="73"/>
  <c r="N11" i="81"/>
  <c r="AB11" i="81" s="1"/>
  <c r="B79" i="87"/>
  <c r="J79" i="87" s="1"/>
  <c r="J72" i="87"/>
  <c r="Y42" i="81"/>
  <c r="AA42" i="81" s="1"/>
  <c r="Q59" i="81"/>
  <c r="Y59" i="81" s="1"/>
  <c r="AF68" i="81"/>
  <c r="Y23" i="78"/>
  <c r="AA23" i="78" s="1"/>
  <c r="Q55" i="78"/>
  <c r="Y55" i="78" s="1"/>
  <c r="AA55" i="78" s="1"/>
  <c r="C133" i="88"/>
  <c r="L54" i="86"/>
  <c r="B117" i="84"/>
  <c r="J117" i="84" s="1"/>
  <c r="J114" i="84"/>
  <c r="O56" i="73"/>
  <c r="U56" i="73" s="1"/>
  <c r="U8" i="73"/>
  <c r="W8" i="73" s="1"/>
  <c r="C111" i="87"/>
  <c r="K111" i="87" s="1"/>
  <c r="K104" i="87"/>
  <c r="N47" i="78"/>
  <c r="AB47" i="78" s="1"/>
  <c r="B110" i="76"/>
  <c r="I61" i="78"/>
  <c r="B95" i="82"/>
  <c r="J95" i="82" s="1"/>
  <c r="J110" i="74"/>
  <c r="B113" i="74"/>
  <c r="J113" i="74" s="1"/>
  <c r="C29" i="21"/>
  <c r="C57" i="21"/>
  <c r="C59" i="21" s="1"/>
  <c r="N16" i="78"/>
  <c r="O42" i="73"/>
  <c r="U38" i="73"/>
  <c r="P62" i="73"/>
  <c r="V62" i="73" s="1"/>
  <c r="V14" i="73"/>
  <c r="AA23" i="86"/>
  <c r="Y28" i="86"/>
  <c r="B129" i="85"/>
  <c r="K18" i="86"/>
  <c r="M47" i="78"/>
  <c r="AA47" i="78" s="1"/>
  <c r="B99" i="88"/>
  <c r="G54" i="86"/>
  <c r="B97" i="75"/>
  <c r="J97" i="75" s="1"/>
  <c r="K47" i="73"/>
  <c r="J59" i="66"/>
  <c r="C110" i="74"/>
  <c r="J32" i="73"/>
  <c r="J64" i="73" s="1"/>
  <c r="R54" i="73"/>
  <c r="R58" i="73" s="1"/>
  <c r="R10" i="73"/>
  <c r="AB61" i="86"/>
  <c r="H66" i="86"/>
  <c r="W57" i="81"/>
  <c r="W62" i="81" s="1"/>
  <c r="R58" i="81"/>
  <c r="Z58" i="81" s="1"/>
  <c r="W54" i="78"/>
  <c r="W58" i="78" s="1"/>
  <c r="C110" i="72"/>
  <c r="J61" i="73"/>
  <c r="C95" i="74"/>
  <c r="H32" i="73"/>
  <c r="B116" i="88"/>
  <c r="I54" i="86"/>
  <c r="Y34" i="86"/>
  <c r="Z42" i="81"/>
  <c r="AB42" i="81" s="1"/>
  <c r="W67" i="81"/>
  <c r="Y67" i="81" s="1"/>
  <c r="Y50" i="81"/>
  <c r="X22" i="73"/>
  <c r="V26" i="73"/>
  <c r="X26" i="73" s="1"/>
  <c r="B112" i="72"/>
  <c r="J112" i="72" s="1"/>
  <c r="I63" i="73"/>
  <c r="C97" i="80"/>
  <c r="K97" i="80" s="1"/>
  <c r="C96" i="80"/>
  <c r="K96" i="80" s="1"/>
  <c r="H48" i="78"/>
  <c r="O48" i="73"/>
  <c r="U45" i="73"/>
  <c r="C98" i="83"/>
  <c r="H34" i="81"/>
  <c r="F62" i="81"/>
  <c r="Z17" i="86"/>
  <c r="T65" i="81"/>
  <c r="T68" i="81" s="1"/>
  <c r="Z38" i="78"/>
  <c r="R42" i="78"/>
  <c r="B81" i="82"/>
  <c r="E17" i="81"/>
  <c r="E65" i="81"/>
  <c r="J50" i="66"/>
  <c r="C159" i="70" s="1"/>
  <c r="K159" i="70" s="1"/>
  <c r="I49" i="66"/>
  <c r="S61" i="73"/>
  <c r="S64" i="73" s="1"/>
  <c r="S16" i="73"/>
  <c r="B127" i="87"/>
  <c r="J127" i="87" s="1"/>
  <c r="J120" i="87"/>
  <c r="B97" i="80"/>
  <c r="J97" i="80" s="1"/>
  <c r="B96" i="80"/>
  <c r="J96" i="80" s="1"/>
  <c r="G48" i="78"/>
  <c r="E60" i="67"/>
  <c r="I14" i="67"/>
  <c r="I60" i="67" s="1"/>
  <c r="B82" i="85"/>
  <c r="J82" i="85" s="1"/>
  <c r="M16" i="86"/>
  <c r="C81" i="72"/>
  <c r="K81" i="72" s="1"/>
  <c r="F62" i="73"/>
  <c r="L14" i="73"/>
  <c r="C126" i="72" s="1"/>
  <c r="K126" i="72" s="1"/>
  <c r="V45" i="73"/>
  <c r="P48" i="73"/>
  <c r="B82" i="74"/>
  <c r="J82" i="74" s="1"/>
  <c r="K31" i="73"/>
  <c r="C126" i="80"/>
  <c r="K126" i="80" s="1"/>
  <c r="C127" i="80"/>
  <c r="K127" i="80" s="1"/>
  <c r="L61" i="78"/>
  <c r="L48" i="78"/>
  <c r="L64" i="78" s="1"/>
  <c r="B81" i="85"/>
  <c r="E18" i="86"/>
  <c r="M15" i="86"/>
  <c r="B145" i="85" s="1"/>
  <c r="X45" i="81"/>
  <c r="X57" i="81"/>
  <c r="X62" i="81" s="1"/>
  <c r="X51" i="81"/>
  <c r="X65" i="81"/>
  <c r="D29" i="21"/>
  <c r="F29" i="21" s="1"/>
  <c r="F27" i="21"/>
  <c r="S54" i="78"/>
  <c r="S58" i="78" s="1"/>
  <c r="B95" i="74"/>
  <c r="G32" i="73"/>
  <c r="C81" i="82"/>
  <c r="F65" i="81"/>
  <c r="F17" i="81"/>
  <c r="Z39" i="78"/>
  <c r="AB39" i="78" s="1"/>
  <c r="B83" i="84"/>
  <c r="J83" i="84" s="1"/>
  <c r="M49" i="81"/>
  <c r="B147" i="84" s="1"/>
  <c r="J147" i="84" s="1"/>
  <c r="C126" i="74"/>
  <c r="K126" i="74" s="1"/>
  <c r="X30" i="73"/>
  <c r="Q61" i="78"/>
  <c r="B84" i="88"/>
  <c r="J84" i="88" s="1"/>
  <c r="M53" i="86"/>
  <c r="V45" i="81"/>
  <c r="V57" i="81"/>
  <c r="V62" i="81" s="1"/>
  <c r="U45" i="81"/>
  <c r="N59" i="81"/>
  <c r="K110" i="80"/>
  <c r="B130" i="83"/>
  <c r="K34" i="81"/>
  <c r="C95" i="82"/>
  <c r="K95" i="82" s="1"/>
  <c r="B133" i="88"/>
  <c r="K54" i="86"/>
  <c r="I63" i="78"/>
  <c r="AG42" i="73"/>
  <c r="G67" i="66"/>
  <c r="C82" i="84"/>
  <c r="N48" i="81"/>
  <c r="C146" i="84" s="1"/>
  <c r="F51" i="81"/>
  <c r="M15" i="78"/>
  <c r="AA15" i="78" s="1"/>
  <c r="E63" i="78"/>
  <c r="AA31" i="78"/>
  <c r="P55" i="73"/>
  <c r="V55" i="73" s="1"/>
  <c r="V7" i="73"/>
  <c r="X7" i="73" s="1"/>
  <c r="G33" i="86"/>
  <c r="G34" i="86"/>
  <c r="G35" i="86"/>
  <c r="R62" i="86"/>
  <c r="Z57" i="86"/>
  <c r="W63" i="78"/>
  <c r="B131" i="85"/>
  <c r="J131" i="85" s="1"/>
  <c r="F67" i="66"/>
  <c r="J13" i="66"/>
  <c r="F16" i="66"/>
  <c r="J28" i="67"/>
  <c r="F30" i="67"/>
  <c r="J30" i="67" s="1"/>
  <c r="B98" i="83"/>
  <c r="G34" i="81"/>
  <c r="R57" i="78"/>
  <c r="Z57" i="78" s="1"/>
  <c r="AB57" i="78" s="1"/>
  <c r="P42" i="73"/>
  <c r="V38" i="73"/>
  <c r="M59" i="81"/>
  <c r="N15" i="78"/>
  <c r="AB15" i="78" s="1"/>
  <c r="K56" i="73"/>
  <c r="AB27" i="86"/>
  <c r="H33" i="86"/>
  <c r="H34" i="86"/>
  <c r="C98" i="87" s="1"/>
  <c r="K98" i="87" s="1"/>
  <c r="H35" i="86"/>
  <c r="C99" i="87" s="1"/>
  <c r="K99" i="87" s="1"/>
  <c r="C112" i="72"/>
  <c r="K112" i="72" s="1"/>
  <c r="J63" i="73"/>
  <c r="Y40" i="81"/>
  <c r="Q45" i="81"/>
  <c r="T45" i="81"/>
  <c r="T57" i="81"/>
  <c r="T62" i="81" s="1"/>
  <c r="J61" i="66"/>
  <c r="AA8" i="81"/>
  <c r="I63" i="66"/>
  <c r="X42" i="78"/>
  <c r="X54" i="78"/>
  <c r="Q46" i="66"/>
  <c r="U46" i="66" s="1"/>
  <c r="U45" i="66"/>
  <c r="M11" i="81"/>
  <c r="R65" i="81"/>
  <c r="J126" i="70"/>
  <c r="M50" i="81" l="1"/>
  <c r="B148" i="84" s="1"/>
  <c r="J148" i="84" s="1"/>
  <c r="G67" i="81"/>
  <c r="G51" i="81"/>
  <c r="B101" i="84"/>
  <c r="J101" i="84" s="1"/>
  <c r="B130" i="84"/>
  <c r="K51" i="81"/>
  <c r="M51" i="81" s="1"/>
  <c r="AB58" i="81"/>
  <c r="I67" i="66"/>
  <c r="N62" i="81"/>
  <c r="J134" i="91"/>
  <c r="N33" i="81"/>
  <c r="AB33" i="81" s="1"/>
  <c r="B114" i="83"/>
  <c r="K134" i="91"/>
  <c r="L34" i="90"/>
  <c r="N49" i="81"/>
  <c r="C147" i="84" s="1"/>
  <c r="K147" i="84" s="1"/>
  <c r="J60" i="67"/>
  <c r="J34" i="90"/>
  <c r="C106" i="91"/>
  <c r="K106" i="91" s="1"/>
  <c r="P34" i="90"/>
  <c r="C148" i="91"/>
  <c r="C149" i="91" s="1"/>
  <c r="K149" i="91" s="1"/>
  <c r="J148" i="91"/>
  <c r="B159" i="89"/>
  <c r="J159" i="89" s="1"/>
  <c r="B77" i="89"/>
  <c r="J77" i="89" s="1"/>
  <c r="C106" i="89"/>
  <c r="K106" i="89" s="1"/>
  <c r="C77" i="89"/>
  <c r="C105" i="89"/>
  <c r="J133" i="91"/>
  <c r="B135" i="91"/>
  <c r="J135" i="91" s="1"/>
  <c r="B149" i="91"/>
  <c r="J149" i="91" s="1"/>
  <c r="J147" i="91"/>
  <c r="B105" i="89"/>
  <c r="C119" i="89"/>
  <c r="K119" i="89" s="1"/>
  <c r="K147" i="91"/>
  <c r="B120" i="89"/>
  <c r="J120" i="89" s="1"/>
  <c r="J120" i="91"/>
  <c r="C135" i="91"/>
  <c r="K135" i="91" s="1"/>
  <c r="K133" i="91"/>
  <c r="B119" i="89"/>
  <c r="J119" i="89" s="1"/>
  <c r="B106" i="89"/>
  <c r="J106" i="89" s="1"/>
  <c r="J106" i="91"/>
  <c r="B78" i="89"/>
  <c r="J78" i="89" s="1"/>
  <c r="J78" i="91"/>
  <c r="C78" i="89"/>
  <c r="K78" i="89" s="1"/>
  <c r="K78" i="91"/>
  <c r="C92" i="89"/>
  <c r="K92" i="89" s="1"/>
  <c r="K92" i="91"/>
  <c r="C91" i="89"/>
  <c r="K91" i="89" s="1"/>
  <c r="C159" i="89"/>
  <c r="K159" i="89" s="1"/>
  <c r="B91" i="89"/>
  <c r="J91" i="89" s="1"/>
  <c r="J153" i="91"/>
  <c r="B159" i="91"/>
  <c r="J159" i="91" s="1"/>
  <c r="C159" i="91"/>
  <c r="K159" i="91" s="1"/>
  <c r="K153" i="91"/>
  <c r="B92" i="89"/>
  <c r="J92" i="89" s="1"/>
  <c r="J92" i="91"/>
  <c r="X58" i="78"/>
  <c r="J51" i="81"/>
  <c r="N51" i="81" s="1"/>
  <c r="C114" i="84"/>
  <c r="C116" i="84"/>
  <c r="K116" i="84" s="1"/>
  <c r="N50" i="81"/>
  <c r="C148" i="84" s="1"/>
  <c r="K148" i="84" s="1"/>
  <c r="M62" i="81"/>
  <c r="M66" i="86"/>
  <c r="Q49" i="90"/>
  <c r="AB59" i="86"/>
  <c r="C127" i="74"/>
  <c r="K127" i="74" s="1"/>
  <c r="M17" i="86"/>
  <c r="B147" i="85" s="1"/>
  <c r="J147" i="85" s="1"/>
  <c r="AA58" i="86"/>
  <c r="N16" i="86"/>
  <c r="AA28" i="86"/>
  <c r="C113" i="80"/>
  <c r="K113" i="80" s="1"/>
  <c r="M32" i="81"/>
  <c r="AA32" i="81" s="1"/>
  <c r="W57" i="73"/>
  <c r="W55" i="73"/>
  <c r="I34" i="81"/>
  <c r="N51" i="90"/>
  <c r="H64" i="78"/>
  <c r="K48" i="73"/>
  <c r="L65" i="81"/>
  <c r="J64" i="78"/>
  <c r="K71" i="86"/>
  <c r="K62" i="73"/>
  <c r="M14" i="81"/>
  <c r="H61" i="67"/>
  <c r="K70" i="86"/>
  <c r="C147" i="89"/>
  <c r="P66" i="90"/>
  <c r="B147" i="89"/>
  <c r="O66" i="90"/>
  <c r="C134" i="89"/>
  <c r="K134" i="89" s="1"/>
  <c r="N67" i="90"/>
  <c r="C148" i="89"/>
  <c r="K148" i="89" s="1"/>
  <c r="P67" i="90"/>
  <c r="B134" i="89"/>
  <c r="J134" i="89" s="1"/>
  <c r="M67" i="90"/>
  <c r="C133" i="89"/>
  <c r="N66" i="90"/>
  <c r="R50" i="90"/>
  <c r="M51" i="90"/>
  <c r="B133" i="89"/>
  <c r="M66" i="90"/>
  <c r="O51" i="90"/>
  <c r="L67" i="90"/>
  <c r="C120" i="89"/>
  <c r="K120" i="89" s="1"/>
  <c r="B148" i="89"/>
  <c r="J148" i="89" s="1"/>
  <c r="O67" i="90"/>
  <c r="P51" i="90"/>
  <c r="K34" i="90"/>
  <c r="R49" i="90"/>
  <c r="R63" i="90"/>
  <c r="Q63" i="90"/>
  <c r="Q50" i="90"/>
  <c r="J51" i="90"/>
  <c r="K67" i="90"/>
  <c r="E51" i="90"/>
  <c r="N34" i="90"/>
  <c r="M34" i="90"/>
  <c r="R16" i="90"/>
  <c r="R33" i="90"/>
  <c r="C162" i="91" s="1"/>
  <c r="Q16" i="90"/>
  <c r="R15" i="90"/>
  <c r="Q33" i="90"/>
  <c r="B162" i="91" s="1"/>
  <c r="Q15" i="90"/>
  <c r="J67" i="90"/>
  <c r="O34" i="90"/>
  <c r="Q32" i="90"/>
  <c r="B161" i="91" s="1"/>
  <c r="H67" i="90"/>
  <c r="F34" i="90"/>
  <c r="R32" i="90"/>
  <c r="C161" i="91" s="1"/>
  <c r="E34" i="90"/>
  <c r="I67" i="90"/>
  <c r="G34" i="90"/>
  <c r="G67" i="90"/>
  <c r="I34" i="90"/>
  <c r="O17" i="90"/>
  <c r="N17" i="90"/>
  <c r="M17" i="90"/>
  <c r="P17" i="90"/>
  <c r="H34" i="90"/>
  <c r="L66" i="90"/>
  <c r="L17" i="90"/>
  <c r="E67" i="90"/>
  <c r="F67" i="90"/>
  <c r="E66" i="90"/>
  <c r="E17" i="90"/>
  <c r="F66" i="90"/>
  <c r="F17" i="90"/>
  <c r="J66" i="90"/>
  <c r="J17" i="90"/>
  <c r="H66" i="90"/>
  <c r="H17" i="90"/>
  <c r="I66" i="90"/>
  <c r="I17" i="90"/>
  <c r="G66" i="90"/>
  <c r="G17" i="90"/>
  <c r="K66" i="90"/>
  <c r="K17" i="90"/>
  <c r="N63" i="78"/>
  <c r="AB63" i="78" s="1"/>
  <c r="F64" i="78"/>
  <c r="AB48" i="86"/>
  <c r="I71" i="86"/>
  <c r="L67" i="81"/>
  <c r="Z10" i="78"/>
  <c r="AB10" i="78" s="1"/>
  <c r="J34" i="66"/>
  <c r="H64" i="73"/>
  <c r="B129" i="70"/>
  <c r="J129" i="70" s="1"/>
  <c r="L32" i="73"/>
  <c r="X32" i="73" s="1"/>
  <c r="M15" i="81"/>
  <c r="B146" i="82" s="1"/>
  <c r="J146" i="82" s="1"/>
  <c r="N32" i="81"/>
  <c r="X55" i="73"/>
  <c r="AB14" i="86"/>
  <c r="B97" i="85"/>
  <c r="G18" i="86"/>
  <c r="M18" i="86" s="1"/>
  <c r="AA17" i="86" s="1"/>
  <c r="L18" i="86"/>
  <c r="N18" i="86" s="1"/>
  <c r="AB17" i="86" s="1"/>
  <c r="C129" i="85"/>
  <c r="I68" i="66"/>
  <c r="AB59" i="81"/>
  <c r="W56" i="73"/>
  <c r="N62" i="78"/>
  <c r="AB62" i="78" s="1"/>
  <c r="C130" i="83"/>
  <c r="L34" i="81"/>
  <c r="L68" i="81" s="1"/>
  <c r="G64" i="73"/>
  <c r="G70" i="66"/>
  <c r="M63" i="78"/>
  <c r="AA63" i="78" s="1"/>
  <c r="M48" i="78"/>
  <c r="N32" i="78"/>
  <c r="L66" i="81"/>
  <c r="W14" i="73"/>
  <c r="F61" i="67"/>
  <c r="AA50" i="81"/>
  <c r="G68" i="81"/>
  <c r="B83" i="75"/>
  <c r="J83" i="75" s="1"/>
  <c r="J80" i="75"/>
  <c r="X68" i="81"/>
  <c r="Z42" i="78"/>
  <c r="AB42" i="78" s="1"/>
  <c r="AB38" i="78"/>
  <c r="C98" i="74"/>
  <c r="K98" i="74" s="1"/>
  <c r="K95" i="74"/>
  <c r="AA48" i="86"/>
  <c r="U48" i="73"/>
  <c r="W45" i="73"/>
  <c r="B102" i="88"/>
  <c r="J102" i="88" s="1"/>
  <c r="J99" i="88"/>
  <c r="B113" i="72"/>
  <c r="J113" i="72" s="1"/>
  <c r="J110" i="72"/>
  <c r="C98" i="82"/>
  <c r="K98" i="82" s="1"/>
  <c r="H66" i="81"/>
  <c r="AA57" i="86"/>
  <c r="Y62" i="86"/>
  <c r="B113" i="82"/>
  <c r="I65" i="81"/>
  <c r="I17" i="81"/>
  <c r="I68" i="81" s="1"/>
  <c r="C85" i="83"/>
  <c r="K85" i="83" s="1"/>
  <c r="K82" i="83"/>
  <c r="AA14" i="86"/>
  <c r="B98" i="76"/>
  <c r="J98" i="76" s="1"/>
  <c r="J95" i="76"/>
  <c r="AA29" i="78"/>
  <c r="Y32" i="78"/>
  <c r="AA32" i="78" s="1"/>
  <c r="C130" i="87"/>
  <c r="K130" i="87" s="1"/>
  <c r="L70" i="86"/>
  <c r="J140" i="80"/>
  <c r="AA46" i="78"/>
  <c r="C113" i="76"/>
  <c r="K113" i="76" s="1"/>
  <c r="K110" i="76"/>
  <c r="K63" i="73"/>
  <c r="W63" i="73" s="1"/>
  <c r="AA49" i="81"/>
  <c r="C146" i="85"/>
  <c r="K146" i="85" s="1"/>
  <c r="AB15" i="86"/>
  <c r="I30" i="67"/>
  <c r="C113" i="82"/>
  <c r="J17" i="81"/>
  <c r="J68" i="81" s="1"/>
  <c r="J65" i="81"/>
  <c r="V16" i="73"/>
  <c r="X13" i="73"/>
  <c r="Y42" i="78"/>
  <c r="AA42" i="78" s="1"/>
  <c r="AA38" i="78"/>
  <c r="U16" i="73"/>
  <c r="W13" i="73"/>
  <c r="C116" i="85"/>
  <c r="K116" i="85" s="1"/>
  <c r="K113" i="85"/>
  <c r="J71" i="86"/>
  <c r="C84" i="85"/>
  <c r="K84" i="85" s="1"/>
  <c r="K81" i="85"/>
  <c r="AA31" i="81"/>
  <c r="AB16" i="78"/>
  <c r="I70" i="86"/>
  <c r="B149" i="84"/>
  <c r="J149" i="84" s="1"/>
  <c r="J146" i="84"/>
  <c r="C98" i="80"/>
  <c r="K98" i="80" s="1"/>
  <c r="Y51" i="81"/>
  <c r="AA48" i="81"/>
  <c r="W62" i="73"/>
  <c r="B130" i="82"/>
  <c r="J130" i="82" s="1"/>
  <c r="K66" i="81"/>
  <c r="C83" i="80"/>
  <c r="K83" i="80" s="1"/>
  <c r="K80" i="80"/>
  <c r="B85" i="88"/>
  <c r="J85" i="88" s="1"/>
  <c r="J82" i="88"/>
  <c r="B101" i="83"/>
  <c r="J101" i="83" s="1"/>
  <c r="J98" i="83"/>
  <c r="J145" i="85"/>
  <c r="C97" i="82"/>
  <c r="H65" i="81"/>
  <c r="H17" i="81"/>
  <c r="H68" i="81" s="1"/>
  <c r="C147" i="83"/>
  <c r="K147" i="83" s="1"/>
  <c r="AB32" i="81"/>
  <c r="B81" i="87"/>
  <c r="M33" i="86"/>
  <c r="E36" i="86"/>
  <c r="K82" i="88"/>
  <c r="C85" i="88"/>
  <c r="K85" i="88" s="1"/>
  <c r="J150" i="88"/>
  <c r="X38" i="73"/>
  <c r="V42" i="73"/>
  <c r="X42" i="73" s="1"/>
  <c r="B98" i="87"/>
  <c r="J98" i="87" s="1"/>
  <c r="G70" i="86"/>
  <c r="B152" i="88"/>
  <c r="J152" i="88" s="1"/>
  <c r="AA50" i="86"/>
  <c r="C84" i="82"/>
  <c r="K84" i="82" s="1"/>
  <c r="K81" i="82"/>
  <c r="E69" i="86"/>
  <c r="B127" i="74"/>
  <c r="J127" i="74" s="1"/>
  <c r="W31" i="73"/>
  <c r="L62" i="73"/>
  <c r="X62" i="73" s="1"/>
  <c r="E68" i="81"/>
  <c r="AA58" i="81"/>
  <c r="AB14" i="81"/>
  <c r="C99" i="82"/>
  <c r="K99" i="82" s="1"/>
  <c r="H67" i="81"/>
  <c r="B114" i="82"/>
  <c r="J114" i="82" s="1"/>
  <c r="I66" i="81"/>
  <c r="K80" i="79"/>
  <c r="C82" i="79"/>
  <c r="K82" i="79" s="1"/>
  <c r="J146" i="83"/>
  <c r="X57" i="73"/>
  <c r="N61" i="78"/>
  <c r="Y65" i="81"/>
  <c r="AM62" i="81"/>
  <c r="C129" i="87"/>
  <c r="L36" i="86"/>
  <c r="L69" i="86"/>
  <c r="B117" i="83"/>
  <c r="J117" i="83" s="1"/>
  <c r="J114" i="83"/>
  <c r="B83" i="80"/>
  <c r="J83" i="80" s="1"/>
  <c r="J80" i="80"/>
  <c r="L63" i="73"/>
  <c r="X63" i="73" s="1"/>
  <c r="C115" i="82"/>
  <c r="K115" i="82" s="1"/>
  <c r="J67" i="81"/>
  <c r="B116" i="85"/>
  <c r="J116" i="85" s="1"/>
  <c r="J113" i="85"/>
  <c r="X15" i="73"/>
  <c r="H70" i="66"/>
  <c r="P64" i="73"/>
  <c r="V61" i="73"/>
  <c r="C158" i="70"/>
  <c r="J52" i="66"/>
  <c r="Z26" i="78"/>
  <c r="AB26" i="78" s="1"/>
  <c r="AB22" i="78"/>
  <c r="C132" i="82"/>
  <c r="K132" i="82" s="1"/>
  <c r="K129" i="82"/>
  <c r="I15" i="67"/>
  <c r="AN62" i="81"/>
  <c r="J70" i="86"/>
  <c r="B85" i="84"/>
  <c r="J85" i="84" s="1"/>
  <c r="J82" i="84"/>
  <c r="I69" i="66"/>
  <c r="B126" i="75"/>
  <c r="J126" i="75" s="1"/>
  <c r="W46" i="73"/>
  <c r="B131" i="82"/>
  <c r="J131" i="82" s="1"/>
  <c r="K67" i="81"/>
  <c r="C119" i="88"/>
  <c r="K119" i="88" s="1"/>
  <c r="K116" i="88"/>
  <c r="K145" i="82"/>
  <c r="C136" i="88"/>
  <c r="K136" i="88" s="1"/>
  <c r="K133" i="88"/>
  <c r="B113" i="87"/>
  <c r="I36" i="86"/>
  <c r="I72" i="86" s="1"/>
  <c r="I69" i="86"/>
  <c r="Z68" i="86"/>
  <c r="C140" i="80"/>
  <c r="AB46" i="78"/>
  <c r="B99" i="87"/>
  <c r="J99" i="87" s="1"/>
  <c r="G71" i="86"/>
  <c r="J81" i="85"/>
  <c r="B84" i="85"/>
  <c r="J84" i="85" s="1"/>
  <c r="B145" i="82"/>
  <c r="AA14" i="81"/>
  <c r="C113" i="72"/>
  <c r="K113" i="72" s="1"/>
  <c r="K110" i="72"/>
  <c r="X14" i="73"/>
  <c r="B113" i="76"/>
  <c r="J113" i="76" s="1"/>
  <c r="J110" i="76"/>
  <c r="B100" i="82"/>
  <c r="J100" i="82" s="1"/>
  <c r="J97" i="82"/>
  <c r="AA11" i="81"/>
  <c r="N15" i="81"/>
  <c r="B125" i="72"/>
  <c r="K16" i="73"/>
  <c r="B129" i="87"/>
  <c r="K36" i="86"/>
  <c r="M34" i="81"/>
  <c r="AA34" i="81" s="1"/>
  <c r="H70" i="86"/>
  <c r="B98" i="72"/>
  <c r="J98" i="72" s="1"/>
  <c r="J95" i="72"/>
  <c r="R62" i="81"/>
  <c r="Z57" i="81"/>
  <c r="C83" i="87"/>
  <c r="K83" i="87" s="1"/>
  <c r="N35" i="86"/>
  <c r="C114" i="82"/>
  <c r="K114" i="82" s="1"/>
  <c r="J66" i="81"/>
  <c r="C145" i="70"/>
  <c r="K145" i="70" s="1"/>
  <c r="K142" i="70"/>
  <c r="C129" i="70"/>
  <c r="K129" i="70" s="1"/>
  <c r="K126" i="70"/>
  <c r="AB28" i="86"/>
  <c r="B82" i="87"/>
  <c r="J82" i="87" s="1"/>
  <c r="M34" i="86"/>
  <c r="B145" i="70"/>
  <c r="J145" i="70" s="1"/>
  <c r="J142" i="70"/>
  <c r="C125" i="72"/>
  <c r="L16" i="73"/>
  <c r="I59" i="67"/>
  <c r="U61" i="73"/>
  <c r="O64" i="73"/>
  <c r="J69" i="66"/>
  <c r="M61" i="78"/>
  <c r="B129" i="82"/>
  <c r="K65" i="81"/>
  <c r="M65" i="81" s="1"/>
  <c r="K17" i="81"/>
  <c r="K68" i="81" s="1"/>
  <c r="W29" i="73"/>
  <c r="J67" i="66"/>
  <c r="J16" i="66"/>
  <c r="C113" i="74"/>
  <c r="K113" i="74" s="1"/>
  <c r="K110" i="74"/>
  <c r="B98" i="75"/>
  <c r="J98" i="75" s="1"/>
  <c r="J95" i="75"/>
  <c r="B115" i="82"/>
  <c r="J115" i="82" s="1"/>
  <c r="I67" i="81"/>
  <c r="C131" i="87"/>
  <c r="K131" i="87" s="1"/>
  <c r="L71" i="86"/>
  <c r="B128" i="80"/>
  <c r="J128" i="80" s="1"/>
  <c r="J125" i="80"/>
  <c r="C129" i="69"/>
  <c r="K129" i="69" s="1"/>
  <c r="K127" i="69"/>
  <c r="R58" i="78"/>
  <c r="Z54" i="78"/>
  <c r="B83" i="76"/>
  <c r="J83" i="76" s="1"/>
  <c r="J80" i="76"/>
  <c r="F70" i="66"/>
  <c r="B97" i="87"/>
  <c r="G36" i="86"/>
  <c r="G69" i="86"/>
  <c r="Z65" i="81"/>
  <c r="R68" i="81"/>
  <c r="B98" i="74"/>
  <c r="J98" i="74" s="1"/>
  <c r="J95" i="74"/>
  <c r="J81" i="82"/>
  <c r="B84" i="82"/>
  <c r="J84" i="82" s="1"/>
  <c r="B119" i="88"/>
  <c r="J119" i="88" s="1"/>
  <c r="J116" i="88"/>
  <c r="B127" i="75"/>
  <c r="J127" i="75" s="1"/>
  <c r="W47" i="73"/>
  <c r="V10" i="73"/>
  <c r="X10" i="73" s="1"/>
  <c r="X6" i="73"/>
  <c r="J125" i="75"/>
  <c r="C141" i="80"/>
  <c r="K141" i="80" s="1"/>
  <c r="C142" i="80"/>
  <c r="K142" i="80" s="1"/>
  <c r="C113" i="87"/>
  <c r="J36" i="86"/>
  <c r="J72" i="86" s="1"/>
  <c r="E64" i="73"/>
  <c r="K61" i="73"/>
  <c r="B85" i="83"/>
  <c r="J85" i="83" s="1"/>
  <c r="J82" i="83"/>
  <c r="N16" i="81"/>
  <c r="Z45" i="81"/>
  <c r="AB45" i="81" s="1"/>
  <c r="AB40" i="81"/>
  <c r="C81" i="87"/>
  <c r="N33" i="86"/>
  <c r="F36" i="86"/>
  <c r="F72" i="86" s="1"/>
  <c r="J15" i="67"/>
  <c r="Y57" i="81"/>
  <c r="X56" i="73"/>
  <c r="C128" i="80"/>
  <c r="K128" i="80" s="1"/>
  <c r="K125" i="80"/>
  <c r="Y68" i="86"/>
  <c r="C152" i="88"/>
  <c r="K152" i="88" s="1"/>
  <c r="AB50" i="86"/>
  <c r="Y54" i="78"/>
  <c r="Q58" i="78"/>
  <c r="W48" i="78"/>
  <c r="W61" i="78"/>
  <c r="W64" i="78" s="1"/>
  <c r="C117" i="83"/>
  <c r="K117" i="83" s="1"/>
  <c r="K114" i="83"/>
  <c r="B147" i="83"/>
  <c r="J147" i="83" s="1"/>
  <c r="AB48" i="81"/>
  <c r="Z51" i="81"/>
  <c r="B83" i="87"/>
  <c r="J83" i="87" s="1"/>
  <c r="M35" i="86"/>
  <c r="R64" i="78"/>
  <c r="Z61" i="78"/>
  <c r="F64" i="73"/>
  <c r="L61" i="73"/>
  <c r="E61" i="67"/>
  <c r="I61" i="67" s="1"/>
  <c r="J125" i="74"/>
  <c r="K145" i="85"/>
  <c r="C147" i="85"/>
  <c r="K147" i="85" s="1"/>
  <c r="AB16" i="86"/>
  <c r="N66" i="86"/>
  <c r="K150" i="88"/>
  <c r="Y45" i="78"/>
  <c r="W6" i="73"/>
  <c r="U10" i="73"/>
  <c r="W10" i="73" s="1"/>
  <c r="W68" i="81"/>
  <c r="C101" i="83"/>
  <c r="K101" i="83" s="1"/>
  <c r="K98" i="83"/>
  <c r="V54" i="73"/>
  <c r="P58" i="73"/>
  <c r="C100" i="85"/>
  <c r="K100" i="85" s="1"/>
  <c r="K97" i="85"/>
  <c r="B83" i="74"/>
  <c r="J83" i="74" s="1"/>
  <c r="J80" i="74"/>
  <c r="B133" i="83"/>
  <c r="J133" i="83" s="1"/>
  <c r="J130" i="83"/>
  <c r="C97" i="87"/>
  <c r="H36" i="86"/>
  <c r="H72" i="86" s="1"/>
  <c r="Y45" i="81"/>
  <c r="AA45" i="81" s="1"/>
  <c r="AA40" i="81"/>
  <c r="C149" i="84"/>
  <c r="K149" i="84" s="1"/>
  <c r="K146" i="84"/>
  <c r="B136" i="88"/>
  <c r="J136" i="88" s="1"/>
  <c r="J133" i="88"/>
  <c r="Y61" i="78"/>
  <c r="Q64" i="78"/>
  <c r="B146" i="85"/>
  <c r="J146" i="85" s="1"/>
  <c r="AA15" i="86"/>
  <c r="K72" i="86"/>
  <c r="AB57" i="86"/>
  <c r="Z62" i="86"/>
  <c r="C85" i="84"/>
  <c r="K85" i="84" s="1"/>
  <c r="K82" i="84"/>
  <c r="F68" i="81"/>
  <c r="X45" i="73"/>
  <c r="V48" i="73"/>
  <c r="X48" i="73" s="1"/>
  <c r="B158" i="70"/>
  <c r="I52" i="66"/>
  <c r="J129" i="85"/>
  <c r="B132" i="85"/>
  <c r="J132" i="85" s="1"/>
  <c r="W38" i="73"/>
  <c r="U42" i="73"/>
  <c r="W42" i="73" s="1"/>
  <c r="AA59" i="81"/>
  <c r="B141" i="80"/>
  <c r="J141" i="80" s="1"/>
  <c r="B142" i="80"/>
  <c r="J142" i="80" s="1"/>
  <c r="J68" i="66"/>
  <c r="N48" i="78"/>
  <c r="X48" i="78"/>
  <c r="X61" i="78"/>
  <c r="X64" i="78" s="1"/>
  <c r="B83" i="72"/>
  <c r="J83" i="72" s="1"/>
  <c r="J80" i="72"/>
  <c r="B98" i="80"/>
  <c r="J98" i="80" s="1"/>
  <c r="H69" i="86"/>
  <c r="C146" i="83"/>
  <c r="AB31" i="81"/>
  <c r="G64" i="78"/>
  <c r="M16" i="81"/>
  <c r="C82" i="87"/>
  <c r="K82" i="87" s="1"/>
  <c r="N34" i="86"/>
  <c r="J59" i="67"/>
  <c r="Q62" i="81"/>
  <c r="Z45" i="78"/>
  <c r="C159" i="69"/>
  <c r="K159" i="69" s="1"/>
  <c r="K157" i="69"/>
  <c r="Y26" i="78"/>
  <c r="AA26" i="78" s="1"/>
  <c r="AA22" i="78"/>
  <c r="M62" i="78"/>
  <c r="AA62" i="78" s="1"/>
  <c r="B113" i="80"/>
  <c r="J113" i="80" s="1"/>
  <c r="Z32" i="78"/>
  <c r="AB29" i="78"/>
  <c r="C83" i="72"/>
  <c r="K83" i="72" s="1"/>
  <c r="K80" i="72"/>
  <c r="K32" i="73"/>
  <c r="W32" i="73" s="1"/>
  <c r="J69" i="86"/>
  <c r="F71" i="86"/>
  <c r="B126" i="74"/>
  <c r="J126" i="74" s="1"/>
  <c r="W30" i="73"/>
  <c r="H71" i="86"/>
  <c r="B148" i="83"/>
  <c r="J148" i="83" s="1"/>
  <c r="AA33" i="81"/>
  <c r="N54" i="86"/>
  <c r="AB51" i="86" s="1"/>
  <c r="W15" i="73"/>
  <c r="C102" i="88"/>
  <c r="K102" i="88" s="1"/>
  <c r="K99" i="88"/>
  <c r="M16" i="78"/>
  <c r="AA16" i="78" s="1"/>
  <c r="E64" i="78"/>
  <c r="M54" i="86"/>
  <c r="AA51" i="86" s="1"/>
  <c r="U54" i="73"/>
  <c r="O58" i="73"/>
  <c r="AA51" i="81" l="1"/>
  <c r="B133" i="84"/>
  <c r="J133" i="84" s="1"/>
  <c r="J130" i="84"/>
  <c r="M70" i="86"/>
  <c r="AA66" i="86" s="1"/>
  <c r="AB32" i="78"/>
  <c r="C148" i="83"/>
  <c r="K148" i="83" s="1"/>
  <c r="L72" i="86"/>
  <c r="C128" i="74"/>
  <c r="K128" i="74" s="1"/>
  <c r="W48" i="73"/>
  <c r="L68" i="90"/>
  <c r="B79" i="89"/>
  <c r="J79" i="89" s="1"/>
  <c r="K148" i="91"/>
  <c r="C107" i="89"/>
  <c r="K107" i="89" s="1"/>
  <c r="AB49" i="81"/>
  <c r="M71" i="86"/>
  <c r="AA67" i="86" s="1"/>
  <c r="C93" i="89"/>
  <c r="K93" i="89" s="1"/>
  <c r="K105" i="89"/>
  <c r="B121" i="89"/>
  <c r="J121" i="89" s="1"/>
  <c r="B107" i="89"/>
  <c r="J107" i="89" s="1"/>
  <c r="C79" i="89"/>
  <c r="K79" i="89" s="1"/>
  <c r="K77" i="89"/>
  <c r="J105" i="89"/>
  <c r="C107" i="91"/>
  <c r="K107" i="91" s="1"/>
  <c r="K105" i="91"/>
  <c r="K119" i="91"/>
  <c r="C121" i="91"/>
  <c r="K121" i="91" s="1"/>
  <c r="J105" i="91"/>
  <c r="B107" i="91"/>
  <c r="J107" i="91" s="1"/>
  <c r="C79" i="91"/>
  <c r="K79" i="91" s="1"/>
  <c r="K77" i="91"/>
  <c r="J119" i="91"/>
  <c r="B121" i="91"/>
  <c r="J121" i="91" s="1"/>
  <c r="B79" i="91"/>
  <c r="J79" i="91" s="1"/>
  <c r="J77" i="91"/>
  <c r="J161" i="91"/>
  <c r="B93" i="91"/>
  <c r="J93" i="91" s="1"/>
  <c r="J91" i="91"/>
  <c r="B93" i="89"/>
  <c r="J93" i="89" s="1"/>
  <c r="C161" i="89"/>
  <c r="K161" i="89" s="1"/>
  <c r="B162" i="89"/>
  <c r="J162" i="89" s="1"/>
  <c r="J162" i="91"/>
  <c r="C93" i="91"/>
  <c r="K93" i="91" s="1"/>
  <c r="K91" i="91"/>
  <c r="C162" i="89"/>
  <c r="K162" i="89" s="1"/>
  <c r="K162" i="91"/>
  <c r="AB51" i="81"/>
  <c r="AA15" i="81"/>
  <c r="C117" i="84"/>
  <c r="K117" i="84" s="1"/>
  <c r="K114" i="84"/>
  <c r="AA62" i="86"/>
  <c r="AB50" i="81"/>
  <c r="Q51" i="90"/>
  <c r="N64" i="78"/>
  <c r="L64" i="73"/>
  <c r="K64" i="73"/>
  <c r="M68" i="90"/>
  <c r="AA16" i="86"/>
  <c r="J61" i="67"/>
  <c r="R51" i="90"/>
  <c r="K68" i="90"/>
  <c r="P68" i="90"/>
  <c r="O68" i="90"/>
  <c r="R34" i="90"/>
  <c r="J133" i="89"/>
  <c r="B135" i="89"/>
  <c r="J135" i="89" s="1"/>
  <c r="K133" i="89"/>
  <c r="C135" i="89"/>
  <c r="K135" i="89" s="1"/>
  <c r="B149" i="89"/>
  <c r="J149" i="89" s="1"/>
  <c r="J147" i="89"/>
  <c r="C149" i="89"/>
  <c r="K149" i="89" s="1"/>
  <c r="K147" i="89"/>
  <c r="N68" i="90"/>
  <c r="C121" i="89"/>
  <c r="K121" i="89" s="1"/>
  <c r="Q17" i="90"/>
  <c r="B161" i="89"/>
  <c r="Q34" i="90"/>
  <c r="J68" i="90"/>
  <c r="R66" i="90"/>
  <c r="Q66" i="90"/>
  <c r="R67" i="90"/>
  <c r="Q67" i="90"/>
  <c r="R17" i="90"/>
  <c r="G68" i="90"/>
  <c r="I68" i="90"/>
  <c r="H68" i="90"/>
  <c r="E68" i="90"/>
  <c r="F68" i="90"/>
  <c r="M67" i="81"/>
  <c r="AA67" i="81" s="1"/>
  <c r="N65" i="81"/>
  <c r="AB65" i="81" s="1"/>
  <c r="G72" i="86"/>
  <c r="AB62" i="86"/>
  <c r="C132" i="85"/>
  <c r="K132" i="85" s="1"/>
  <c r="K129" i="85"/>
  <c r="C153" i="88"/>
  <c r="K153" i="88" s="1"/>
  <c r="B100" i="85"/>
  <c r="J100" i="85" s="1"/>
  <c r="J97" i="85"/>
  <c r="N69" i="86"/>
  <c r="AB65" i="86" s="1"/>
  <c r="I70" i="66"/>
  <c r="M66" i="81"/>
  <c r="AA66" i="81" s="1"/>
  <c r="N66" i="81"/>
  <c r="AB66" i="81" s="1"/>
  <c r="N34" i="81"/>
  <c r="AB34" i="81" s="1"/>
  <c r="J70" i="66"/>
  <c r="N67" i="81"/>
  <c r="AB67" i="81" s="1"/>
  <c r="C133" i="83"/>
  <c r="K133" i="83" s="1"/>
  <c r="K130" i="83"/>
  <c r="N70" i="86"/>
  <c r="AB66" i="86" s="1"/>
  <c r="B128" i="74"/>
  <c r="J128" i="74" s="1"/>
  <c r="M36" i="86"/>
  <c r="AA34" i="86" s="1"/>
  <c r="M68" i="81"/>
  <c r="M17" i="81"/>
  <c r="AA17" i="81" s="1"/>
  <c r="B132" i="87"/>
  <c r="J132" i="87" s="1"/>
  <c r="J129" i="87"/>
  <c r="N72" i="86"/>
  <c r="AB68" i="86" s="1"/>
  <c r="B161" i="70"/>
  <c r="J161" i="70" s="1"/>
  <c r="J158" i="70"/>
  <c r="C100" i="87"/>
  <c r="K100" i="87" s="1"/>
  <c r="K97" i="87"/>
  <c r="AB61" i="78"/>
  <c r="Z64" i="78"/>
  <c r="C145" i="87"/>
  <c r="AB31" i="86"/>
  <c r="W61" i="73"/>
  <c r="U64" i="73"/>
  <c r="W64" i="73" s="1"/>
  <c r="B146" i="87"/>
  <c r="J146" i="87" s="1"/>
  <c r="AA32" i="86"/>
  <c r="M69" i="86"/>
  <c r="AA65" i="86" s="1"/>
  <c r="B148" i="85"/>
  <c r="J148" i="85" s="1"/>
  <c r="W16" i="73"/>
  <c r="B143" i="80"/>
  <c r="J143" i="80" s="1"/>
  <c r="B116" i="82"/>
  <c r="J116" i="82" s="1"/>
  <c r="J113" i="82"/>
  <c r="B147" i="82"/>
  <c r="J147" i="82" s="1"/>
  <c r="AA16" i="81"/>
  <c r="AA54" i="78"/>
  <c r="Y58" i="78"/>
  <c r="AA58" i="78" s="1"/>
  <c r="C84" i="87"/>
  <c r="K84" i="87" s="1"/>
  <c r="K81" i="87"/>
  <c r="C116" i="87"/>
  <c r="K116" i="87" s="1"/>
  <c r="K113" i="87"/>
  <c r="B132" i="82"/>
  <c r="J132" i="82" s="1"/>
  <c r="J129" i="82"/>
  <c r="AB57" i="81"/>
  <c r="Z62" i="81"/>
  <c r="AB62" i="81" s="1"/>
  <c r="U58" i="73"/>
  <c r="W58" i="73" s="1"/>
  <c r="W54" i="73"/>
  <c r="E72" i="86"/>
  <c r="M72" i="86" s="1"/>
  <c r="AA68" i="86" s="1"/>
  <c r="AA57" i="81"/>
  <c r="Y62" i="81"/>
  <c r="AA62" i="81" s="1"/>
  <c r="C128" i="72"/>
  <c r="K128" i="72" s="1"/>
  <c r="K125" i="72"/>
  <c r="C132" i="87"/>
  <c r="K132" i="87" s="1"/>
  <c r="K129" i="87"/>
  <c r="B149" i="83"/>
  <c r="J149" i="83" s="1"/>
  <c r="B145" i="87"/>
  <c r="AA31" i="86"/>
  <c r="B147" i="87"/>
  <c r="J147" i="87" s="1"/>
  <c r="AA33" i="86"/>
  <c r="X54" i="73"/>
  <c r="V58" i="73"/>
  <c r="X58" i="73" s="1"/>
  <c r="C147" i="82"/>
  <c r="K147" i="82" s="1"/>
  <c r="AB16" i="81"/>
  <c r="B128" i="72"/>
  <c r="J128" i="72" s="1"/>
  <c r="J125" i="72"/>
  <c r="J145" i="82"/>
  <c r="B116" i="87"/>
  <c r="J116" i="87" s="1"/>
  <c r="J113" i="87"/>
  <c r="C161" i="70"/>
  <c r="K161" i="70" s="1"/>
  <c r="K158" i="70"/>
  <c r="B84" i="87"/>
  <c r="J84" i="87" s="1"/>
  <c r="J81" i="87"/>
  <c r="C100" i="82"/>
  <c r="K100" i="82" s="1"/>
  <c r="K97" i="82"/>
  <c r="X16" i="73"/>
  <c r="AB45" i="78"/>
  <c r="Z48" i="78"/>
  <c r="AB48" i="78" s="1"/>
  <c r="Z68" i="81"/>
  <c r="C116" i="82"/>
  <c r="K116" i="82" s="1"/>
  <c r="K113" i="82"/>
  <c r="M64" i="78"/>
  <c r="N71" i="86"/>
  <c r="AB67" i="86" s="1"/>
  <c r="N68" i="81"/>
  <c r="AA61" i="78"/>
  <c r="Y64" i="78"/>
  <c r="C146" i="87"/>
  <c r="K146" i="87" s="1"/>
  <c r="AB32" i="86"/>
  <c r="C149" i="83"/>
  <c r="K149" i="83" s="1"/>
  <c r="K146" i="83"/>
  <c r="N17" i="81"/>
  <c r="AB17" i="81" s="1"/>
  <c r="Y48" i="78"/>
  <c r="AA48" i="78" s="1"/>
  <c r="AA45" i="78"/>
  <c r="C148" i="85"/>
  <c r="K148" i="85" s="1"/>
  <c r="N36" i="86"/>
  <c r="AB34" i="86" s="1"/>
  <c r="B128" i="75"/>
  <c r="J128" i="75" s="1"/>
  <c r="J97" i="87"/>
  <c r="B100" i="87"/>
  <c r="J100" i="87" s="1"/>
  <c r="Z58" i="78"/>
  <c r="AB58" i="78" s="1"/>
  <c r="AB54" i="78"/>
  <c r="C147" i="87"/>
  <c r="K147" i="87" s="1"/>
  <c r="AB33" i="86"/>
  <c r="C146" i="82"/>
  <c r="AB15" i="81"/>
  <c r="C143" i="80"/>
  <c r="K143" i="80" s="1"/>
  <c r="K140" i="80"/>
  <c r="V64" i="73"/>
  <c r="X64" i="73" s="1"/>
  <c r="X61" i="73"/>
  <c r="Y68" i="81"/>
  <c r="AA65" i="81"/>
  <c r="B153" i="88"/>
  <c r="J153" i="88" s="1"/>
  <c r="C163" i="89" l="1"/>
  <c r="K163" i="89" s="1"/>
  <c r="C163" i="91"/>
  <c r="K163" i="91" s="1"/>
  <c r="K161" i="91"/>
  <c r="B163" i="91"/>
  <c r="J163" i="91" s="1"/>
  <c r="AB64" i="78"/>
  <c r="AA68" i="81"/>
  <c r="B163" i="89"/>
  <c r="J163" i="89" s="1"/>
  <c r="J161" i="89"/>
  <c r="Q68" i="90"/>
  <c r="R68" i="90"/>
  <c r="B148" i="82"/>
  <c r="J148" i="82" s="1"/>
  <c r="K146" i="82"/>
  <c r="C148" i="82"/>
  <c r="K148" i="82" s="1"/>
  <c r="AA64" i="78"/>
  <c r="C148" i="87"/>
  <c r="K148" i="87" s="1"/>
  <c r="K145" i="87"/>
  <c r="B148" i="87"/>
  <c r="J148" i="87" s="1"/>
  <c r="J145" i="87"/>
  <c r="AB68" i="81"/>
  <c r="F11" i="9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Калачева Лалита Алибеевна</author>
  </authors>
  <commentList>
    <comment ref="H24" authorId="0" shapeId="0" xr:uid="{00000000-0006-0000-0400-000001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возможно будет чистова отд.
</t>
        </r>
      </text>
    </comment>
    <comment ref="H30" authorId="0" shapeId="0" xr:uid="{00000000-0006-0000-0400-000002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Согласована чистовая отдлека Исаева М.Ю письмо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Бляблин Илья Александрович</author>
  </authors>
  <commentList>
    <comment ref="F2" authorId="0" shapeId="0" xr:uid="{00000000-0006-0000-09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9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C75" authorId="1" shapeId="0" xr:uid="{00000000-0006-0000-0900-000003000000}">
      <text>
        <r>
          <rPr>
            <b/>
            <sz val="9"/>
            <rFont val="Tahoma"/>
            <family val="2"/>
            <charset val="204"/>
          </rPr>
          <t>Бляблин Илья Александрович:</t>
        </r>
        <r>
          <rPr>
            <sz val="9"/>
            <rFont val="Tahoma"/>
            <family val="2"/>
            <charset val="204"/>
          </rPr>
          <t xml:space="preserve">
инд.п. 3 кв: 
16 581 936
факт 13 911 417
выпоолнение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0A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A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0B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B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  <author>Задуева Алена Петровна</author>
  </authors>
  <commentList>
    <comment ref="F2" authorId="0" shapeId="0" xr:uid="{00000000-0006-0000-0C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C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F13" authorId="1" shapeId="0" xr:uid="{00000000-0006-0000-0C00-000003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  <comment ref="F18" authorId="1" shapeId="0" xr:uid="{00000000-0006-0000-0C00-000004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  <comment ref="F25" authorId="2" shapeId="0" xr:uid="{00000000-0006-0000-0C00-000005000000}">
      <text>
        <r>
          <rPr>
            <b/>
            <sz val="9"/>
            <rFont val="Tahoma"/>
            <family val="2"/>
            <charset val="204"/>
          </rPr>
          <t>Задуева Алена Петровна:</t>
        </r>
        <r>
          <rPr>
            <sz val="9"/>
            <rFont val="Tahoma"/>
            <family val="2"/>
            <charset val="204"/>
          </rPr>
          <t xml:space="preserve">
Предчистовая в подарок
</t>
        </r>
      </text>
    </comment>
    <comment ref="F27" authorId="1" shapeId="0" xr:uid="{00000000-0006-0000-0C00-000006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  <comment ref="F31" authorId="2" shapeId="0" xr:uid="{00000000-0006-0000-0C00-000007000000}">
      <text>
        <r>
          <rPr>
            <b/>
            <sz val="9"/>
            <rFont val="Tahoma"/>
            <family val="2"/>
            <charset val="204"/>
          </rPr>
          <t>Задуева Алена Петровна: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36" authorId="1" shapeId="0" xr:uid="{00000000-0006-0000-0C00-000008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  <comment ref="F40" authorId="1" shapeId="0" xr:uid="{00000000-0006-0000-0C00-000009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Крюков Никита Олегович</author>
    <author>Никишов Михаил Анатольевич</author>
  </authors>
  <commentList>
    <comment ref="F2" authorId="0" shapeId="0" xr:uid="{00000000-0006-0000-0D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D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F10" authorId="1" shapeId="0" xr:uid="{00000000-0006-0000-0D00-000003000000}">
      <text>
        <r>
          <rPr>
            <b/>
            <sz val="9"/>
            <rFont val="Tahoma"/>
            <family val="2"/>
            <charset val="204"/>
          </rPr>
          <t>Крюков Никита Олегович: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12" authorId="1" shapeId="0" xr:uid="{00000000-0006-0000-0D00-000004000000}">
      <text>
        <r>
          <rPr>
            <b/>
            <sz val="9"/>
            <rFont val="Tahoma"/>
            <family val="2"/>
            <charset val="204"/>
          </rPr>
          <t>Крюков Никита Олегович: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21" authorId="2" shapeId="0" xr:uid="{00000000-0006-0000-0D00-000005000000}">
      <text>
        <r>
          <rPr>
            <b/>
            <sz val="9"/>
            <rFont val="Tahoma"/>
            <family val="2"/>
            <charset val="204"/>
          </rPr>
          <t>Никишов Михаил Анатольевич: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51" authorId="1" shapeId="0" xr:uid="{00000000-0006-0000-0D00-000006000000}">
      <text>
        <r>
          <rPr>
            <b/>
            <sz val="9"/>
            <rFont val="Tahoma"/>
            <family val="2"/>
            <charset val="204"/>
          </rPr>
          <t>Крюков Никита Олегович: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  <author>Крюков Никита Олегович</author>
  </authors>
  <commentList>
    <comment ref="F2" authorId="0" shapeId="0" xr:uid="{00000000-0006-0000-0E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E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F4" authorId="1" shapeId="0" xr:uid="{00000000-0006-0000-0E00-000003000000}">
      <text>
        <r>
          <rPr>
            <b/>
            <sz val="9"/>
            <rFont val="Tahoma"/>
            <family val="2"/>
            <charset val="204"/>
          </rPr>
          <t xml:space="preserve">предчист в подарок
</t>
        </r>
      </text>
    </comment>
    <comment ref="F10" authorId="1" shapeId="0" xr:uid="{00000000-0006-0000-0E00-000004000000}">
      <text>
        <r>
          <rPr>
            <b/>
            <sz val="9"/>
            <rFont val="Tahoma"/>
            <family val="2"/>
            <charset val="204"/>
          </rPr>
          <t xml:space="preserve">предчист в подарок
</t>
        </r>
      </text>
    </comment>
    <comment ref="F16" authorId="1" shapeId="0" xr:uid="{00000000-0006-0000-0E00-000005000000}">
      <text>
        <r>
          <rPr>
            <b/>
            <sz val="9"/>
            <rFont val="Tahoma"/>
            <family val="2"/>
            <charset val="204"/>
          </rPr>
          <t>предчист в подарок</t>
        </r>
      </text>
    </comment>
    <comment ref="I28" authorId="2" shapeId="0" xr:uid="{00000000-0006-0000-0E00-000006000000}">
      <text>
        <r>
          <rPr>
            <b/>
            <sz val="9"/>
            <rFont val="Tahoma"/>
            <family val="2"/>
            <charset val="204"/>
          </rPr>
          <t>Крюков Никита Олегович:</t>
        </r>
        <r>
          <rPr>
            <sz val="9"/>
            <rFont val="Tahoma"/>
            <family val="2"/>
            <charset val="204"/>
          </rPr>
          <t xml:space="preserve">
скидка 2% иногородним</t>
        </r>
      </text>
    </comment>
    <comment ref="I59" authorId="2" shapeId="0" xr:uid="{00000000-0006-0000-0E00-000007000000}">
      <text>
        <r>
          <rPr>
            <b/>
            <sz val="9"/>
            <rFont val="Tahoma"/>
            <family val="2"/>
            <charset val="204"/>
          </rPr>
          <t>Крюков Никита Олегович:</t>
        </r>
        <r>
          <rPr>
            <sz val="9"/>
            <rFont val="Tahoma"/>
            <family val="2"/>
            <charset val="204"/>
          </rPr>
          <t xml:space="preserve">
скидка 2% Иногородним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0F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0F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0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0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1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1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2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2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3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3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4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4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</authors>
  <commentList>
    <comment ref="F2" authorId="0" shapeId="0" xr:uid="{00000000-0006-0000-15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5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D38" authorId="1" shapeId="0" xr:uid="{00000000-0006-0000-1500-000003000000}">
      <text>
        <r>
          <rPr>
            <b/>
            <sz val="9"/>
            <rFont val="Tahoma"/>
            <family val="2"/>
            <charset val="204"/>
          </rPr>
          <t xml:space="preserve">Все метры
</t>
        </r>
        <r>
          <rPr>
            <sz val="9"/>
            <rFont val="Tahoma"/>
            <family val="2"/>
            <charset val="204"/>
          </rPr>
          <t xml:space="preserve">
</t>
        </r>
      </text>
    </comment>
    <comment ref="R38" authorId="1" shapeId="0" xr:uid="{00000000-0006-0000-1500-000004000000}">
      <text>
        <r>
          <rPr>
            <b/>
            <sz val="9"/>
            <rFont val="Tahoma"/>
            <family val="2"/>
            <charset val="204"/>
          </rPr>
          <t>Все метры</t>
        </r>
        <r>
          <rPr>
            <sz val="9"/>
            <rFont val="Tahoma"/>
            <family val="2"/>
            <charset val="20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</authors>
  <commentList>
    <comment ref="F2" authorId="0" shapeId="0" xr:uid="{00000000-0006-0000-16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6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T8" authorId="1" shapeId="0" xr:uid="{00000000-0006-0000-1600-000003000000}">
      <text>
        <r>
          <rPr>
            <b/>
            <sz val="9"/>
            <rFont val="Tahoma"/>
            <family val="2"/>
            <charset val="204"/>
          </rPr>
          <t>ПРОШУ УЧЕСТЬ ДОГОВОР В РАВНЫХ ДОЛЯХ- 5% Окунев, 5%-Калачева</t>
        </r>
      </text>
    </comment>
    <comment ref="O14" authorId="1" shapeId="0" xr:uid="{00000000-0006-0000-1600-000004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субсидия на сумму</t>
        </r>
      </text>
    </comment>
    <comment ref="O27" authorId="1" shapeId="0" xr:uid="{00000000-0006-0000-1600-000005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скидка на кв</t>
        </r>
      </text>
    </comment>
    <comment ref="U27" authorId="1" shapeId="0" xr:uid="{00000000-0006-0000-1600-000006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субсидия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Задуева Алена Петровна</author>
    <author>Калачева Лалита Алибеевна</author>
  </authors>
  <commentList>
    <comment ref="F2" authorId="0" shapeId="0" xr:uid="{00000000-0006-0000-17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7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D8" authorId="1" shapeId="0" xr:uid="{00000000-0006-0000-1700-000003000000}">
      <text>
        <r>
          <rPr>
            <b/>
            <sz val="9"/>
            <rFont val="Tahoma"/>
            <family val="2"/>
            <charset val="204"/>
          </rPr>
          <t>Задуева Алена Петровна: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14" authorId="2" shapeId="0" xr:uid="{00000000-0006-0000-1700-000004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все метры</t>
        </r>
      </text>
    </comment>
    <comment ref="R14" authorId="2" shapeId="0" xr:uid="{00000000-0006-0000-1700-000005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ВСЕ МЕТРЫ</t>
        </r>
      </text>
    </comment>
    <comment ref="D24" authorId="2" shapeId="0" xr:uid="{00000000-0006-0000-1700-000006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все метры</t>
        </r>
      </text>
    </comment>
    <comment ref="R24" authorId="1" shapeId="0" xr:uid="{00000000-0006-0000-1700-000007000000}">
      <text>
        <r>
          <rPr>
            <b/>
            <sz val="9"/>
            <rFont val="Tahoma"/>
            <family val="2"/>
            <charset val="204"/>
          </rPr>
          <t>Задуева Алена Петровна:</t>
        </r>
        <r>
          <rPr>
            <sz val="9"/>
            <rFont val="Tahoma"/>
            <family val="2"/>
            <charset val="204"/>
          </rPr>
          <t xml:space="preserve">
всеметры
</t>
        </r>
      </text>
    </comment>
    <comment ref="F45" authorId="2" shapeId="0" xr:uid="{00000000-0006-0000-1700-000008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НЕ МОГУ ВНЕСТИ ИНФУ
черновая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Гайганова Ульяна Геннадьевна</author>
    <author>Киреев Александр Сергеевич</author>
    <author>Калачева Лалита Алибеевна</author>
  </authors>
  <commentList>
    <comment ref="F2" authorId="0" shapeId="0" xr:uid="{00000000-0006-0000-18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8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D8" authorId="1" shapeId="0" xr:uid="{00000000-0006-0000-1800-000003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10" authorId="1" shapeId="0" xr:uid="{00000000-0006-0000-1800-000004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13" authorId="1" shapeId="0" xr:uid="{00000000-0006-0000-1800-000005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O20" authorId="2" shapeId="0" xr:uid="{00000000-0006-0000-1800-000006000000}">
      <text>
        <r>
          <rPr>
            <b/>
            <sz val="9"/>
            <rFont val="Tahoma"/>
            <family val="2"/>
            <charset val="204"/>
          </rPr>
          <t>Киреев Александр Сергеевич:</t>
        </r>
        <r>
          <rPr>
            <sz val="9"/>
            <rFont val="Tahoma"/>
            <family val="2"/>
            <charset val="204"/>
          </rPr>
          <t xml:space="preserve">
жд ипотека.
Долгое согласование.
16.43. Абсолют одобрение.
Согласование сроков и формы оформления.</t>
        </r>
      </text>
    </comment>
    <comment ref="U29" authorId="3" shapeId="0" xr:uid="{00000000-0006-0000-1800-000007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субсидия</t>
        </r>
      </text>
    </comment>
    <comment ref="C32" authorId="3" shapeId="0" xr:uid="{00000000-0006-0000-1800-000008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дом клик</t>
        </r>
      </text>
    </comment>
    <comment ref="D34" authorId="1" shapeId="0" xr:uid="{00000000-0006-0000-1800-000009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45" authorId="1" shapeId="0" xr:uid="{00000000-0006-0000-1800-00000A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</authors>
  <commentList>
    <comment ref="F2" authorId="0" shapeId="0" xr:uid="{00000000-0006-0000-19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9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U28" authorId="1" shapeId="0" xr:uid="{00000000-0006-0000-1900-000003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субсидия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F2" authorId="0" shapeId="0" xr:uid="{00000000-0006-0000-1A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A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Гайганова Ульяна Геннадьевна</author>
    <author>Калачева Лалита Алибеевна</author>
  </authors>
  <commentList>
    <comment ref="F2" authorId="0" shapeId="0" xr:uid="{00000000-0006-0000-1B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U2" authorId="0" shapeId="0" xr:uid="{00000000-0006-0000-1B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D12" authorId="1" shapeId="0" xr:uid="{00000000-0006-0000-1B00-000003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 метры</t>
        </r>
      </text>
    </comment>
    <comment ref="D13" authorId="1" shapeId="0" xr:uid="{00000000-0006-0000-1B00-000004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15" authorId="1" shapeId="0" xr:uid="{00000000-0006-0000-1B00-000005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 метры</t>
        </r>
      </text>
    </comment>
    <comment ref="D32" authorId="1" shapeId="0" xr:uid="{00000000-0006-0000-1B00-000006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34" authorId="1" shapeId="0" xr:uid="{00000000-0006-0000-1B00-000007000000}">
      <text>
        <r>
          <rPr>
            <b/>
            <sz val="9"/>
            <rFont val="Tahoma"/>
            <family val="2"/>
            <charset val="204"/>
          </rPr>
          <t>Калачева: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D35" authorId="1" shapeId="0" xr:uid="{00000000-0006-0000-1B00-000008000000}">
      <text>
        <r>
          <rPr>
            <b/>
            <sz val="9"/>
            <rFont val="Tahoma"/>
            <family val="2"/>
            <charset val="204"/>
          </rPr>
          <t>Калачева:</t>
        </r>
        <r>
          <rPr>
            <sz val="9"/>
            <rFont val="Tahoma"/>
            <family val="2"/>
            <charset val="204"/>
          </rPr>
          <t xml:space="preserve">
всеметры</t>
        </r>
      </text>
    </comment>
    <comment ref="F38" authorId="2" shapeId="0" xr:uid="{00000000-0006-0000-1B00-000009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не могу внести данные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</authors>
  <commentList>
    <comment ref="F2" authorId="0" shapeId="0" xr:uid="{00000000-0006-0000-1C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T2" authorId="0" shapeId="0" xr:uid="{00000000-0006-0000-1C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Поле не заполнять.
Работает по формуле (сумм/м2-отделка)*м2</t>
        </r>
      </text>
    </comment>
    <comment ref="D19" authorId="1" shapeId="0" xr:uid="{00000000-0006-0000-1C00-000003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дом клик
</t>
        </r>
      </text>
    </comment>
    <comment ref="D20" authorId="1" shapeId="0" xr:uid="{00000000-0006-0000-1C00-000004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дом клик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Гайганова Ульяна Геннадьевна</author>
  </authors>
  <commentList>
    <comment ref="F2" authorId="0" shapeId="0" xr:uid="{00000000-0006-0000-1D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T2" authorId="0" shapeId="0" xr:uid="{00000000-0006-0000-1D00-000002000000}">
      <text>
        <r>
          <rPr>
            <sz val="9"/>
            <rFont val="Tahoma"/>
            <family val="2"/>
            <charset val="204"/>
          </rPr>
          <t xml:space="preserve">Не удалять. Зашиты формулы
</t>
        </r>
      </text>
    </comment>
    <comment ref="F44" authorId="1" shapeId="0" xr:uid="{00000000-0006-0000-1D00-000003000000}">
      <text>
        <r>
          <rPr>
            <b/>
            <sz val="9"/>
            <rFont val="Tahoma"/>
            <family val="2"/>
            <charset val="204"/>
          </rPr>
          <t>Гайганова Ульяна Геннадьевна: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Дик Елена Анатольевна</author>
  </authors>
  <commentList>
    <comment ref="F2" authorId="0" shapeId="0" xr:uid="{00000000-0006-0000-1E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F21" authorId="1" shapeId="0" xr:uid="{00000000-0006-0000-1E00-000002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огтделка в подарок</t>
        </r>
      </text>
    </comment>
    <comment ref="F22" authorId="1" shapeId="0" xr:uid="{00000000-0006-0000-1E00-000003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отделка в подарок</t>
        </r>
      </text>
    </comment>
    <comment ref="F25" authorId="1" shapeId="0" xr:uid="{00000000-0006-0000-1E00-000004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отделка в подарок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Дик Елена Анатольевна</author>
    <author>Калачева Лалита Алибеевна</author>
  </authors>
  <commentList>
    <comment ref="F2" authorId="0" shapeId="0" xr:uid="{00000000-0006-0000-1F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F31" authorId="1" shapeId="0" xr:uid="{00000000-0006-0000-1F00-000002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41" authorId="2" shapeId="0" xr:uid="{00000000-0006-0000-1F00-000003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предчист в подарок</t>
        </r>
      </text>
    </comment>
    <comment ref="F43" authorId="1" shapeId="0" xr:uid="{00000000-0006-0000-1F00-000004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  <comment ref="F44" authorId="1" shapeId="0" xr:uid="{00000000-0006-0000-1F00-000005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в подарок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Журбенко Диана Олеговна</author>
    <author>Калачева Лалита Алибеевна</author>
    <author>Дик Елена Анатольевна</author>
  </authors>
  <commentList>
    <comment ref="F2" authorId="0" shapeId="0" xr:uid="{00000000-0006-0000-20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F7" authorId="1" shapeId="0" xr:uid="{00000000-0006-0000-2000-000002000000}">
      <text>
        <r>
          <rPr>
            <b/>
            <sz val="9"/>
            <rFont val="Tahoma"/>
            <family val="2"/>
            <charset val="204"/>
          </rPr>
          <t>Журбенко Диана Олеговна:</t>
        </r>
        <r>
          <rPr>
            <sz val="9"/>
            <rFont val="Tahoma"/>
            <family val="2"/>
            <charset val="204"/>
          </rPr>
          <t xml:space="preserve">
предчист в подарок </t>
        </r>
      </text>
    </comment>
    <comment ref="F14" authorId="2" shapeId="0" xr:uid="{00000000-0006-0000-2000-000003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предчист в подарок</t>
        </r>
      </text>
    </comment>
    <comment ref="F17" authorId="3" shapeId="0" xr:uid="{00000000-0006-0000-2000-000004000000}">
      <text>
        <r>
          <rPr>
            <b/>
            <sz val="9"/>
            <rFont val="Tahoma"/>
            <family val="2"/>
            <charset val="204"/>
          </rPr>
          <t>Дик Елена Анатольевна:</t>
        </r>
        <r>
          <rPr>
            <sz val="9"/>
            <rFont val="Tahoma"/>
            <family val="2"/>
            <charset val="204"/>
          </rPr>
          <t xml:space="preserve">
Предчистовая отделка в подарок</t>
        </r>
      </text>
    </comment>
    <comment ref="F22" authorId="2" shapeId="0" xr:uid="{00000000-0006-0000-2000-000005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предчист в подарок</t>
        </r>
      </text>
    </comment>
    <comment ref="F26" authorId="2" shapeId="0" xr:uid="{00000000-0006-0000-2000-000006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 подарок</t>
        </r>
      </text>
    </comment>
    <comment ref="F31" authorId="2" shapeId="0" xr:uid="{00000000-0006-0000-2000-000007000000}">
      <text>
        <r>
          <rPr>
            <b/>
            <sz val="9"/>
            <rFont val="Tahoma"/>
            <family val="2"/>
            <charset val="204"/>
          </rPr>
          <t>Калачева Лалита Алибеевна:</t>
        </r>
        <r>
          <rPr>
            <sz val="9"/>
            <rFont val="Tahoma"/>
            <family val="2"/>
            <charset val="204"/>
          </rPr>
          <t xml:space="preserve">
в подарок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1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1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2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2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3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3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4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4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5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5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Парьева Александра Андреевна</author>
  </authors>
  <commentList>
    <comment ref="C5" authorId="0" shapeId="0" xr:uid="{00000000-0006-0000-2A00-000001000000}">
      <text>
        <r>
          <rPr>
            <b/>
            <sz val="9"/>
            <rFont val="Tahoma"/>
            <family val="2"/>
            <charset val="204"/>
          </rPr>
          <t>Парьева Александра Андреевна:</t>
        </r>
        <r>
          <rPr>
            <sz val="9"/>
            <rFont val="Tahoma"/>
            <family val="2"/>
            <charset val="204"/>
          </rPr>
          <t xml:space="preserve">
В каждом месяце считается за вычетом отпускных дней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B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B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D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D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2E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2E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Парьева Александра Андреевна</author>
  </authors>
  <commentList>
    <comment ref="C5" authorId="0" shapeId="0" xr:uid="{00000000-0006-0000-2F00-000001000000}">
      <text>
        <r>
          <rPr>
            <b/>
            <sz val="9"/>
            <rFont val="Tahoma"/>
            <family val="2"/>
            <charset val="204"/>
          </rPr>
          <t>Парьева Александра Андреевна:</t>
        </r>
        <r>
          <rPr>
            <sz val="9"/>
            <rFont val="Tahoma"/>
            <family val="2"/>
            <charset val="204"/>
          </rPr>
          <t xml:space="preserve">
В каждом месяце считается за вычетом отпускных дней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30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30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  <author>Калачева Лалита Алибеевна</author>
  </authors>
  <commentList>
    <comment ref="G2" authorId="0" shapeId="0" xr:uid="{00000000-0006-0000-31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31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K17" authorId="1" shapeId="0" xr:uid="{00000000-0006-0000-3100-000003000000}">
      <text>
        <r>
          <rPr>
            <b/>
            <sz val="9"/>
            <rFont val="Tahoma"/>
            <family val="2"/>
            <charset val="204"/>
          </rPr>
          <t>Аня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G2" authorId="0" shapeId="0" xr:uid="{00000000-0006-0000-32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H2" authorId="0" shapeId="0" xr:uid="{00000000-0006-0000-32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3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3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4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4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5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5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6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6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7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7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8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8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2" authorId="0" shapeId="0" xr:uid="{00000000-0006-0000-39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2" authorId="0" shapeId="0" xr:uid="{00000000-0006-0000-39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A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A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B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B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C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C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D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D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E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E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3F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3F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3" authorId="0" shapeId="0" xr:uid="{00000000-0006-0000-4000-000001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  <comment ref="I3" authorId="0" shapeId="0" xr:uid="{00000000-0006-0000-4000-000002000000}">
      <text>
        <r>
          <rPr>
            <b/>
            <sz val="9"/>
            <rFont val="Tahoma"/>
            <family val="2"/>
            <charset val="204"/>
          </rPr>
          <t>Астахов Максим Александрович:</t>
        </r>
        <r>
          <rPr>
            <sz val="9"/>
            <rFont val="Tahoma"/>
            <family val="2"/>
            <charset val="204"/>
          </rPr>
          <t xml:space="preserve">
Обязательное поле для заполнения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Запрос — РД" description="Соединение с запросом &quot;РД&quot; в книге." type="5" refreshedVersion="8" background="1" refreshOnLoad="1" saveData="1">
    <dbPr connection="Provider=Microsoft.Mashup.OleDb.1;Data Source=$Workbook$;Location=РД;Extended Properties=&quot;&quot;" command="SELECT * FROM [РД]"/>
  </connection>
</connections>
</file>

<file path=xl/sharedStrings.xml><?xml version="1.0" encoding="utf-8"?>
<sst xmlns="http://schemas.openxmlformats.org/spreadsheetml/2006/main" count="104066" uniqueCount="11660">
  <si>
    <t>Дом</t>
  </si>
  <si>
    <t>МОП</t>
  </si>
  <si>
    <t>отделка</t>
  </si>
  <si>
    <t>ИМ</t>
  </si>
  <si>
    <t>регистрация</t>
  </si>
  <si>
    <t>Бронь</t>
  </si>
  <si>
    <t>Продажа</t>
  </si>
  <si>
    <t>Дом 4</t>
  </si>
  <si>
    <t>Дик</t>
  </si>
  <si>
    <t>Черновая</t>
  </si>
  <si>
    <t>Нет</t>
  </si>
  <si>
    <t>МФЦ</t>
  </si>
  <si>
    <t>Платная</t>
  </si>
  <si>
    <t>Дом 5</t>
  </si>
  <si>
    <t>Полехович</t>
  </si>
  <si>
    <t>Предчистовая</t>
  </si>
  <si>
    <t>Кагирова</t>
  </si>
  <si>
    <t>СЭР</t>
  </si>
  <si>
    <t>Устная</t>
  </si>
  <si>
    <t>4 квартал Дом 1</t>
  </si>
  <si>
    <t>Никишов</t>
  </si>
  <si>
    <t>White Box</t>
  </si>
  <si>
    <t>Журбенко</t>
  </si>
  <si>
    <t>4 квартал Дом 2</t>
  </si>
  <si>
    <t>Нуждина</t>
  </si>
  <si>
    <t>Чистовая</t>
  </si>
  <si>
    <t>Петрова</t>
  </si>
  <si>
    <t>Дом 3</t>
  </si>
  <si>
    <t>Арефьев</t>
  </si>
  <si>
    <t>Координатор</t>
  </si>
  <si>
    <t>Тарасов</t>
  </si>
  <si>
    <t>АН - Все метры</t>
  </si>
  <si>
    <t>АН - Новая Жизнь</t>
  </si>
  <si>
    <t>АН - Волжский квартал</t>
  </si>
  <si>
    <t>АН - Юпитер</t>
  </si>
  <si>
    <t>АН - Фин советник</t>
  </si>
  <si>
    <t>АН - Огни Самары</t>
  </si>
  <si>
    <t>АН - Самолет Плюс</t>
  </si>
  <si>
    <t>АН - Византия</t>
  </si>
  <si>
    <t>АН - ПроНедвижимость</t>
  </si>
  <si>
    <t>АН - Этажи</t>
  </si>
  <si>
    <t>АН - ИП Филимонова</t>
  </si>
  <si>
    <t>АН - Тими</t>
  </si>
  <si>
    <t>АН - ПГР</t>
  </si>
  <si>
    <t>Алена Сбер</t>
  </si>
  <si>
    <t>АН - ДомКлик</t>
  </si>
  <si>
    <t>Солоненко</t>
  </si>
  <si>
    <t>март</t>
  </si>
  <si>
    <t>№</t>
  </si>
  <si>
    <t>заявка №</t>
  </si>
  <si>
    <t>№ Дома</t>
  </si>
  <si>
    <t>Ком</t>
  </si>
  <si>
    <t xml:space="preserve">квартира </t>
  </si>
  <si>
    <t>м2</t>
  </si>
  <si>
    <t>сумма</t>
  </si>
  <si>
    <t>форма опл</t>
  </si>
  <si>
    <t>Тип брони</t>
  </si>
  <si>
    <t xml:space="preserve">дата регистрации </t>
  </si>
  <si>
    <t>форма сдачи</t>
  </si>
  <si>
    <t>ФИО клиента</t>
  </si>
  <si>
    <t>комментарий ИМ</t>
  </si>
  <si>
    <t>Подробный комментарий ИМ</t>
  </si>
  <si>
    <t>КТУ</t>
  </si>
  <si>
    <t>Окунев</t>
  </si>
  <si>
    <t>дом 1</t>
  </si>
  <si>
    <t>Ипотека</t>
  </si>
  <si>
    <t>Бильданова Гюзель Харуновна</t>
  </si>
  <si>
    <t>сдан на регистрацию</t>
  </si>
  <si>
    <t>ки подписан сдать ы мфц</t>
  </si>
  <si>
    <t>45% Окунев / 55% Гайганова</t>
  </si>
  <si>
    <t>Андросов Сергей Юрьевич</t>
  </si>
  <si>
    <t>зарегистрирован</t>
  </si>
  <si>
    <t>100% Окунев</t>
  </si>
  <si>
    <t>Гайганова</t>
  </si>
  <si>
    <t>Дом 1</t>
  </si>
  <si>
    <t>Васильев Андрей Викторович</t>
  </si>
  <si>
    <t>55% Гайганова / 45% Окунев</t>
  </si>
  <si>
    <t>Калачева</t>
  </si>
  <si>
    <t>Никоноров Олег Викторович</t>
  </si>
  <si>
    <t>100% Калачева</t>
  </si>
  <si>
    <t>Носков Михаил Юрьевич</t>
  </si>
  <si>
    <t>Сенновская Оксана Валерьевна</t>
  </si>
  <si>
    <t>Иванова Екатерина Егоровна</t>
  </si>
  <si>
    <t>Балашкина Оксана</t>
  </si>
  <si>
    <t>нет</t>
  </si>
  <si>
    <t>Наличные</t>
  </si>
  <si>
    <t>Просвиров Сергей</t>
  </si>
  <si>
    <t>Гайлис Алексей Валентинович</t>
  </si>
  <si>
    <t>100% Гайганова</t>
  </si>
  <si>
    <t>Прошина Елена Александровна</t>
  </si>
  <si>
    <t>Сиразов Марсель Фоатович</t>
  </si>
  <si>
    <t>устная</t>
  </si>
  <si>
    <t>Гришин Андрей</t>
  </si>
  <si>
    <t>Муродалиев Акрамджон</t>
  </si>
  <si>
    <t>Всего по всем домам</t>
  </si>
  <si>
    <t>План шт</t>
  </si>
  <si>
    <t>Факт шт</t>
  </si>
  <si>
    <t>План руб</t>
  </si>
  <si>
    <t>Факт руб</t>
  </si>
  <si>
    <t>%выполнения по сумме</t>
  </si>
  <si>
    <t>План м2</t>
  </si>
  <si>
    <t>Факт м2</t>
  </si>
  <si>
    <t>%выполнения м2</t>
  </si>
  <si>
    <t>с</t>
  </si>
  <si>
    <t>1к</t>
  </si>
  <si>
    <t>2к</t>
  </si>
  <si>
    <t>3к</t>
  </si>
  <si>
    <t>По дом 1</t>
  </si>
  <si>
    <t>Зарегистрирован</t>
  </si>
  <si>
    <t>Пусто</t>
  </si>
  <si>
    <t>По дому 1</t>
  </si>
  <si>
    <t>Сдан на регистрацию</t>
  </si>
  <si>
    <t xml:space="preserve">По дом 2 </t>
  </si>
  <si>
    <t>По дом 2</t>
  </si>
  <si>
    <t>Итого</t>
  </si>
  <si>
    <t>ИМОП</t>
  </si>
  <si>
    <t>Всего Дом 1</t>
  </si>
  <si>
    <t>Всего Дом 2</t>
  </si>
  <si>
    <t xml:space="preserve"> </t>
  </si>
  <si>
    <t>апрель</t>
  </si>
  <si>
    <t>№ дома</t>
  </si>
  <si>
    <t>Дом 2</t>
  </si>
  <si>
    <t>Полунин Денис</t>
  </si>
  <si>
    <t>выйдет в апреле на сделку</t>
  </si>
  <si>
    <t>сделка 23.04</t>
  </si>
  <si>
    <t>9 897</t>
  </si>
  <si>
    <t>Ремнев Евгений Владимирович</t>
  </si>
  <si>
    <t xml:space="preserve">определяется </t>
  </si>
  <si>
    <t>Чекурова Ольга</t>
  </si>
  <si>
    <t>отправила в втб,абс, дом</t>
  </si>
  <si>
    <t>Рассрочка</t>
  </si>
  <si>
    <t>Зубарев Игорь</t>
  </si>
  <si>
    <t xml:space="preserve">сдан мфц </t>
  </si>
  <si>
    <t xml:space="preserve"> Бисингалиев Аймрза</t>
  </si>
  <si>
    <t>сдан</t>
  </si>
  <si>
    <t>Нехаев Евгений (отец Евгений)</t>
  </si>
  <si>
    <t>стоимость согласовала с Владом Юрьевичем</t>
  </si>
  <si>
    <t xml:space="preserve">Полунина Наталья Геннадьевна </t>
  </si>
  <si>
    <t>Пешков Владимир Павлович</t>
  </si>
  <si>
    <t>Чадина Зоя</t>
  </si>
  <si>
    <t>Ухова Лилия Васильевна</t>
  </si>
  <si>
    <t>сдан мфц 09.04</t>
  </si>
  <si>
    <t>Черкашина И.В.</t>
  </si>
  <si>
    <t xml:space="preserve">45% Гайганова / 55% Окунев </t>
  </si>
  <si>
    <t>Будкова Оксана Юрьевна</t>
  </si>
  <si>
    <t>Затулеев Антон</t>
  </si>
  <si>
    <t>Бородич Марина(Андрей)</t>
  </si>
  <si>
    <t>100% Никишов</t>
  </si>
  <si>
    <t>Гусейнов Эдгар</t>
  </si>
  <si>
    <t>одобрение объекта</t>
  </si>
  <si>
    <t>Маринина Мария</t>
  </si>
  <si>
    <t>Дмитриев Дмитрий</t>
  </si>
  <si>
    <t>Долгих Ольга</t>
  </si>
  <si>
    <t>сделка 21.04</t>
  </si>
  <si>
    <t>Руднева Юлия</t>
  </si>
  <si>
    <t>Илларионов Евгений</t>
  </si>
  <si>
    <t>Амирова Анастасия</t>
  </si>
  <si>
    <t>приедит с мурманска 12</t>
  </si>
  <si>
    <t>Муханов Берик</t>
  </si>
  <si>
    <t>кд подписан</t>
  </si>
  <si>
    <t>Рябков Алексей</t>
  </si>
  <si>
    <t>Куликова Анастасия</t>
  </si>
  <si>
    <t>сдаём в мфц 17.04</t>
  </si>
  <si>
    <t>Симонова Екатерина Геннадьевна</t>
  </si>
  <si>
    <t>Фильченков Евгений</t>
  </si>
  <si>
    <t>Лещева Надежда Петровна</t>
  </si>
  <si>
    <t>Кудинова Мария Николаевна</t>
  </si>
  <si>
    <t>Рубинский Константин Павлович</t>
  </si>
  <si>
    <t>Полянская Екатерина Александровна</t>
  </si>
  <si>
    <t>Пономаренко Елена Семеновна</t>
  </si>
  <si>
    <t>Качурин Алексей</t>
  </si>
  <si>
    <t>Сиваковы Артем и Людмила</t>
  </si>
  <si>
    <t xml:space="preserve">55% Никишов / 45% Гайганова </t>
  </si>
  <si>
    <t>Жукова Анжелика</t>
  </si>
  <si>
    <t>9823/1800</t>
  </si>
  <si>
    <t>Рябикин Олег</t>
  </si>
  <si>
    <t>Чапайкин Петр</t>
  </si>
  <si>
    <t>Курочкин Дмитрий</t>
  </si>
  <si>
    <t>55% Окунев / 45% Никишов</t>
  </si>
  <si>
    <t>Березина Светлана Александровна</t>
  </si>
  <si>
    <t>Мосолов Василий Геннадьевич</t>
  </si>
  <si>
    <t>Шубин Евгений Геннадьевич</t>
  </si>
  <si>
    <t>Хархардин</t>
  </si>
  <si>
    <t>Поварова Татьяна</t>
  </si>
  <si>
    <t>Галиакберова Альфия</t>
  </si>
  <si>
    <t>55% Гайганова / 45% Никишов</t>
  </si>
  <si>
    <t>Захарова Эльвира Сергеевна</t>
  </si>
  <si>
    <t>Бабенко Елена Виальевна</t>
  </si>
  <si>
    <t>Размазина Марина, Абаимовы.</t>
  </si>
  <si>
    <t>Сливины Ирина и Дмитрий</t>
  </si>
  <si>
    <t>55% Окунев / 45% Калачева</t>
  </si>
  <si>
    <t>сделка 16.04</t>
  </si>
  <si>
    <t>Колесихина Татьяна</t>
  </si>
  <si>
    <t>сделка 15.04</t>
  </si>
  <si>
    <t>Филатов Денис</t>
  </si>
  <si>
    <t>Бурмаков Роман</t>
  </si>
  <si>
    <t>Каленников Дмитрий</t>
  </si>
  <si>
    <t>Персиянцева Наталья</t>
  </si>
  <si>
    <t>пл.бронь до 20.04</t>
  </si>
  <si>
    <t>Мамыркин Александр</t>
  </si>
  <si>
    <t>сделка 12.04</t>
  </si>
  <si>
    <t>Склепкович Антон</t>
  </si>
  <si>
    <t>сделка прошла</t>
  </si>
  <si>
    <t>пл.бронь до 03.05</t>
  </si>
  <si>
    <t>Краснова  (Макарова Юлия)</t>
  </si>
  <si>
    <t>Ульяновск</t>
  </si>
  <si>
    <t>Власенко и Гарипова</t>
  </si>
  <si>
    <t>23.04  на 16.10</t>
  </si>
  <si>
    <t>оплатит 15.04</t>
  </si>
  <si>
    <t>Кистанова нина</t>
  </si>
  <si>
    <t>сделка 13.04</t>
  </si>
  <si>
    <t>Сысоев Юрий Алексеевич</t>
  </si>
  <si>
    <t>Клипиков Андрей</t>
  </si>
  <si>
    <t>Малахова Екатерина</t>
  </si>
  <si>
    <t>Синекоповы Оксана и Владислав</t>
  </si>
  <si>
    <t>Радаева Анна Анатольевна</t>
  </si>
  <si>
    <t>Казверов Андрей</t>
  </si>
  <si>
    <t>Берникова Наталья</t>
  </si>
  <si>
    <t>Кузнецов Вячеслав</t>
  </si>
  <si>
    <t>45% Калачева, 55% Никишов</t>
  </si>
  <si>
    <t>Тюрина Екатерина</t>
  </si>
  <si>
    <t>сделка 20.04</t>
  </si>
  <si>
    <t>Заверяевы Алексей и Юлия</t>
  </si>
  <si>
    <t>Вретто Марина</t>
  </si>
  <si>
    <t>Колычева Инна Валентиновна</t>
  </si>
  <si>
    <t>Харитонова Татьяна Александровна</t>
  </si>
  <si>
    <t>20+P75:R75.04.2021</t>
  </si>
  <si>
    <t>Мухамеджановы Людмила и Роберт</t>
  </si>
  <si>
    <t>Мокшин Владимир, Лидия</t>
  </si>
  <si>
    <t>Жесков Александр</t>
  </si>
  <si>
    <t>Мирошниченко Антон и Софья</t>
  </si>
  <si>
    <t>Мотин Олег Александрович</t>
  </si>
  <si>
    <t>Егоров Сергей Михайлович</t>
  </si>
  <si>
    <t>Волкова Ирина</t>
  </si>
  <si>
    <t>45% Окунев /55% Калачева</t>
  </si>
  <si>
    <t>Чанчарова Акслу</t>
  </si>
  <si>
    <t>Карисова Асель</t>
  </si>
  <si>
    <t>Сделка 23.04</t>
  </si>
  <si>
    <t>Рудакова Дарья</t>
  </si>
  <si>
    <t>55% Окунев /45% Калачева</t>
  </si>
  <si>
    <t>Сделка 22.04</t>
  </si>
  <si>
    <t>Аитовы Ирина и Дмитрий</t>
  </si>
  <si>
    <t>Сайфуллин Марат Амерзянович</t>
  </si>
  <si>
    <t>Российский Артем</t>
  </si>
  <si>
    <t>Учакина Екатерина</t>
  </si>
  <si>
    <t>Сологубова Кристина</t>
  </si>
  <si>
    <t>Сделка 29.04</t>
  </si>
  <si>
    <t>Пономаренко Владимир Алексеевич</t>
  </si>
  <si>
    <t xml:space="preserve"> 55% Гайганова / 45% Калачева </t>
  </si>
  <si>
    <t>Давыдов Алексей</t>
  </si>
  <si>
    <t>Искакова Улдай</t>
  </si>
  <si>
    <t>Нурмамадшоев Муслим</t>
  </si>
  <si>
    <t>Уткин Евгений</t>
  </si>
  <si>
    <t>Норкин Максим Александрович</t>
  </si>
  <si>
    <t>Индивидуальный план продаж апрель 2021 Дом 1</t>
  </si>
  <si>
    <t>Утверждено</t>
  </si>
  <si>
    <t>Исаева Мария Юрьевна</t>
  </si>
  <si>
    <t>Бляблин Илья Александрович</t>
  </si>
  <si>
    <t>Индивидуальный план продаж апрель 2021 Дом 2</t>
  </si>
  <si>
    <t>Индивидуальный план продаж апрель 2021 по всем домам</t>
  </si>
  <si>
    <t>Принято</t>
  </si>
  <si>
    <t>ФИО МОП / Подпись</t>
  </si>
  <si>
    <t>ФИО ИМ / Подпись</t>
  </si>
  <si>
    <t>май</t>
  </si>
  <si>
    <t>дата регистрации ДДУ</t>
  </si>
  <si>
    <t>Подробный комментарий МОП</t>
  </si>
  <si>
    <t xml:space="preserve"> Медведев Александр Георгиевич</t>
  </si>
  <si>
    <t xml:space="preserve"> 55% Гайганова / 45% Окунев</t>
  </si>
  <si>
    <t>Яшин Павел</t>
  </si>
  <si>
    <t>ждем №КД</t>
  </si>
  <si>
    <t>Арстанова Гульнара</t>
  </si>
  <si>
    <t>Котерева Марина</t>
  </si>
  <si>
    <t xml:space="preserve"> сделка назначена на 27 мая</t>
  </si>
  <si>
    <t>Турков Дмитрий</t>
  </si>
  <si>
    <t>21.05 сделка</t>
  </si>
  <si>
    <t>Филимонова Надежда Сергеевна</t>
  </si>
  <si>
    <t>Городецкий Сергей</t>
  </si>
  <si>
    <t>Земсков Роман</t>
  </si>
  <si>
    <t>сделка в мфц в 13:00-13:30</t>
  </si>
  <si>
    <t>Смерницкий Виталий и Лилия</t>
  </si>
  <si>
    <t>9822, 9278</t>
  </si>
  <si>
    <t>Филиппов/Хомутецкий</t>
  </si>
  <si>
    <t>Ахмедова Венера, Махмуд</t>
  </si>
  <si>
    <t>Мотин А.П</t>
  </si>
  <si>
    <t>07.05 банк, 12 мая мфц в 16:30</t>
  </si>
  <si>
    <t>Зуева Татьяна</t>
  </si>
  <si>
    <t>рассрочка</t>
  </si>
  <si>
    <t xml:space="preserve"> Джелилова Алие</t>
  </si>
  <si>
    <t>07.05 банк, мфц  13.05.21 в 14-15ч</t>
  </si>
  <si>
    <t>55% Калачева 45% Никишов</t>
  </si>
  <si>
    <t>Ульченко Ольга</t>
  </si>
  <si>
    <t>МФЦ в 12:00</t>
  </si>
  <si>
    <t>Егоров Дмитрий</t>
  </si>
  <si>
    <t>сделка предварительно на 27-28.05</t>
  </si>
  <si>
    <t>Абраамян Сурен и Мариам</t>
  </si>
  <si>
    <t>Вишняковы Виктория и Ролан</t>
  </si>
  <si>
    <t>Вишняков Федор</t>
  </si>
  <si>
    <t>55% Никишов, 45% Гайганова</t>
  </si>
  <si>
    <t>Слободчиковы Виктор и Анастасия</t>
  </si>
  <si>
    <t>Турдиева Надира</t>
  </si>
  <si>
    <t>Сопова Анастасия</t>
  </si>
  <si>
    <t>сделка 25.05.2021</t>
  </si>
  <si>
    <t>Привалова Людмила</t>
  </si>
  <si>
    <t>Сделка в мфц после 14:00</t>
  </si>
  <si>
    <t>Шацких Е.,Е.</t>
  </si>
  <si>
    <t>Сделка до 20.05</t>
  </si>
  <si>
    <t>Гузанова Алиса</t>
  </si>
  <si>
    <t>Сделка 28.05.2021г</t>
  </si>
  <si>
    <t>Шевякова Ольга</t>
  </si>
  <si>
    <t>Сделка 28.05.2021г в 13:00</t>
  </si>
  <si>
    <t>Писарева Наталья</t>
  </si>
  <si>
    <t>Буров Леонид</t>
  </si>
  <si>
    <t xml:space="preserve">Васильев Виктор </t>
  </si>
  <si>
    <t>Пустобаев Сергей Алексеевич</t>
  </si>
  <si>
    <t>Осипова Ольга Игоревна</t>
  </si>
  <si>
    <t>ДДУ сдан 01.06, засчитан в май</t>
  </si>
  <si>
    <t>Индивидуальный план продаж Май 2021 Дом 1</t>
  </si>
  <si>
    <t>Индивидуальный план продаж Май 2021 Дом 2</t>
  </si>
  <si>
    <t>Индивидуальный план продаж Май 2021 по всем домам</t>
  </si>
  <si>
    <t xml:space="preserve">июнь </t>
  </si>
  <si>
    <t>Колесников Николай</t>
  </si>
  <si>
    <t xml:space="preserve">Зарегистрирован </t>
  </si>
  <si>
    <t>сделка в банке прошла</t>
  </si>
  <si>
    <t>Иващев Владимир Федорович</t>
  </si>
  <si>
    <t>внес деньги 05.06, мфц 11.06 10:00</t>
  </si>
  <si>
    <t>Байкулов Роман Анатольевич</t>
  </si>
  <si>
    <t>ДКП</t>
  </si>
  <si>
    <t>Поруновы</t>
  </si>
  <si>
    <t>к концу месяца возможно, вроде нашли покупателя</t>
  </si>
  <si>
    <t>Тулепов Нургали</t>
  </si>
  <si>
    <t>ДКП, МФЦ 22.06</t>
  </si>
  <si>
    <t>Моисеевы</t>
  </si>
  <si>
    <t>Сделка 16.06.2021г</t>
  </si>
  <si>
    <t>16.06.021</t>
  </si>
  <si>
    <t>Сумарокова Ирина Владимировна</t>
  </si>
  <si>
    <t>подписала кд</t>
  </si>
  <si>
    <t>90% Никишов/10% Калачева</t>
  </si>
  <si>
    <t>Кузьменко Виталий Владимирович</t>
  </si>
  <si>
    <t>Киселев Роман Павлович</t>
  </si>
  <si>
    <t>Разливанова Елена Александровна</t>
  </si>
  <si>
    <t>Оганисян Айк Саядович</t>
  </si>
  <si>
    <t>ДКП, оценщик 08.06</t>
  </si>
  <si>
    <t>Корежин Дмитрий Геннадьевич</t>
  </si>
  <si>
    <t>ДКП, МФЦ в 12:00-13:00</t>
  </si>
  <si>
    <t>10% Калачева</t>
  </si>
  <si>
    <t>Бобровникова Екатерина</t>
  </si>
  <si>
    <t xml:space="preserve">Казахстан, деньги перевел на р/с </t>
  </si>
  <si>
    <t>Манукян Левон Павликович</t>
  </si>
  <si>
    <t>Нураевы Ф и Э</t>
  </si>
  <si>
    <t>Сделка 10.06.2021</t>
  </si>
  <si>
    <t>Кагирова А.Р.</t>
  </si>
  <si>
    <t>сотрудник ОП</t>
  </si>
  <si>
    <t>Сорокина Ольга Александровна</t>
  </si>
  <si>
    <t>Кредитный договор подписан.</t>
  </si>
  <si>
    <t>Азина Анастасия</t>
  </si>
  <si>
    <t>15.06. 11:00 оценщики</t>
  </si>
  <si>
    <t>10%+заявка-Гайганова/45%Окунев/45% Никишов</t>
  </si>
  <si>
    <t> Бекназаров Буниёд Тиллоевич</t>
  </si>
  <si>
    <t>МФЦ 21.06.21 10:00</t>
  </si>
  <si>
    <t>Низамеева Алена Андреевна</t>
  </si>
  <si>
    <t>сделка после 18.06</t>
  </si>
  <si>
    <t>Мещеряков Вадим</t>
  </si>
  <si>
    <t>проверяет дду</t>
  </si>
  <si>
    <t>90% Никишов, 10 % Калачева</t>
  </si>
  <si>
    <t>Лаврентьева Марина</t>
  </si>
  <si>
    <t>жду ответ по отделке чист или предчист</t>
  </si>
  <si>
    <t>45% Никишов, 55 % Калачева</t>
  </si>
  <si>
    <t>Чеснова Эльвира</t>
  </si>
  <si>
    <t>жду документы для дду, также одобрение от росбанка,втб</t>
  </si>
  <si>
    <t>Лопатинская Татьяна</t>
  </si>
  <si>
    <t>кредитный подписан</t>
  </si>
  <si>
    <t>Григорян Нуне</t>
  </si>
  <si>
    <t>сдан в мфц 29.06</t>
  </si>
  <si>
    <t>Александровы Сергей,Анастасия</t>
  </si>
  <si>
    <t>Бильданова Джамиля</t>
  </si>
  <si>
    <t>1-ый договор, МФЦ 18.06.2021</t>
  </si>
  <si>
    <t>55% Калачева/ 45% Гайганова</t>
  </si>
  <si>
    <t>Притолюк Денис, Диана</t>
  </si>
  <si>
    <t>прошла</t>
  </si>
  <si>
    <t>Куликов Юрий</t>
  </si>
  <si>
    <t>Захаров Кирилл</t>
  </si>
  <si>
    <t>мфц 29.06.21 в 17.00</t>
  </si>
  <si>
    <t>Колмакова Анна</t>
  </si>
  <si>
    <t>Шкарин Александр Геннадьевич</t>
  </si>
  <si>
    <t>Сновида Микаэла Михайловна</t>
  </si>
  <si>
    <t xml:space="preserve">Мельников Александр </t>
  </si>
  <si>
    <t>Сделка 24.06</t>
  </si>
  <si>
    <t>Грищенко Светлана</t>
  </si>
  <si>
    <t>Сделка 22 июня</t>
  </si>
  <si>
    <t>Фасахов Алмаз</t>
  </si>
  <si>
    <t>Никитин Алексей</t>
  </si>
  <si>
    <t>Панин</t>
  </si>
  <si>
    <t>Ухова Лилия</t>
  </si>
  <si>
    <t>Удовенко В.Н и Л.Г</t>
  </si>
  <si>
    <t xml:space="preserve">Рожнякова Дарья </t>
  </si>
  <si>
    <t>Сделка 24.06 кд подписан</t>
  </si>
  <si>
    <t>Хазиров Булат Гарифуллович</t>
  </si>
  <si>
    <t>Уртамбаева Айжан</t>
  </si>
  <si>
    <t>Кривов Денис Влкадимирович</t>
  </si>
  <si>
    <t>Хабарина Вера Федоровна</t>
  </si>
  <si>
    <t>Кулясова Татьяна</t>
  </si>
  <si>
    <t>ДКП, ВТБ</t>
  </si>
  <si>
    <t>Балакирев</t>
  </si>
  <si>
    <t>29 июня в 14:00 банк КД</t>
  </si>
  <si>
    <t>90% Калачева/10% Окунев</t>
  </si>
  <si>
    <t>Олейников Артем</t>
  </si>
  <si>
    <t>на согласовании объекта в банке</t>
  </si>
  <si>
    <t>Захарьев</t>
  </si>
  <si>
    <t>Захарьев/Окунев</t>
  </si>
  <si>
    <t>Кузьмин Евгений</t>
  </si>
  <si>
    <t>30.06 мфц после обеда</t>
  </si>
  <si>
    <t>Индивидуальный план продаж</t>
  </si>
  <si>
    <t>ВСЕ ДОМА</t>
  </si>
  <si>
    <t>Хозяин сделки / заявки 45%</t>
  </si>
  <si>
    <t>Встреча 45%</t>
  </si>
  <si>
    <t>Подготовка ДДУ 10%</t>
  </si>
  <si>
    <t>Депутатов Никита</t>
  </si>
  <si>
    <t>ВИ</t>
  </si>
  <si>
    <t>Ларьков Вадим</t>
  </si>
  <si>
    <t>Отправили на регистрацию</t>
  </si>
  <si>
    <t>Самойленко Василий</t>
  </si>
  <si>
    <t>Делаем ДДУ</t>
  </si>
  <si>
    <t>Денис Петрунин</t>
  </si>
  <si>
    <t>Оксана Мейхер</t>
  </si>
  <si>
    <t>Иванов-Фролова</t>
  </si>
  <si>
    <t>сделка на 29.07 Нефтеюганск</t>
  </si>
  <si>
    <t>Мещеряков Владимир</t>
  </si>
  <si>
    <t>29.07 подаем на регистрацию по СЭР</t>
  </si>
  <si>
    <t>Кабасакалова Екатерина</t>
  </si>
  <si>
    <t>Пермяков</t>
  </si>
  <si>
    <t>сделка 30.07.2021 Бузулук</t>
  </si>
  <si>
    <t>Ткачук Евгения</t>
  </si>
  <si>
    <t>одобрена, готова выйти на сделку</t>
  </si>
  <si>
    <t>Василенко Светлана</t>
  </si>
  <si>
    <t>Договор на стадии проверки. В МФЦ 22.07 в 10:00</t>
  </si>
  <si>
    <t>Муханова Дельда</t>
  </si>
  <si>
    <t>Сдали на регистрацию</t>
  </si>
  <si>
    <t>Шиманчик Наталья Е.</t>
  </si>
  <si>
    <t>на регистрации</t>
  </si>
  <si>
    <t>Молостов</t>
  </si>
  <si>
    <t>Сдан на регистацию 23.07.21</t>
  </si>
  <si>
    <t>14067/14010</t>
  </si>
  <si>
    <t>Аптечкины</t>
  </si>
  <si>
    <t>24.07. сделка в Тольятти</t>
  </si>
  <si>
    <t>Шляпугин Андрей</t>
  </si>
  <si>
    <t>31.07 сдаем в мфц в Кошельке</t>
  </si>
  <si>
    <t>Федюкова Наталья</t>
  </si>
  <si>
    <t>12.07 запись в банке; МФЦ 27.07 в 11:30</t>
  </si>
  <si>
    <t>Фомин Дмитрий</t>
  </si>
  <si>
    <t>Малькова Юлия</t>
  </si>
  <si>
    <t>сделала дду</t>
  </si>
  <si>
    <t>Вера Токарева</t>
  </si>
  <si>
    <t>зарегистрирована</t>
  </si>
  <si>
    <t>Ткач Татьяна</t>
  </si>
  <si>
    <t>сделка в банке 15.07.2021</t>
  </si>
  <si>
    <t>Иноземцева Екатерина</t>
  </si>
  <si>
    <t>23.07 сделка, 24.07 МФЦ в 11:55</t>
  </si>
  <si>
    <t>Гонтаренко Алла</t>
  </si>
  <si>
    <t>Чижкова Светлана</t>
  </si>
  <si>
    <t>бронь пл до 22.06.21</t>
  </si>
  <si>
    <t>Макаров Анатолий</t>
  </si>
  <si>
    <t>Анна Шинина</t>
  </si>
  <si>
    <t>сдана на регистрацию</t>
  </si>
  <si>
    <t>Зубов Михаил</t>
  </si>
  <si>
    <t xml:space="preserve">Просвирнин Сергей  </t>
  </si>
  <si>
    <t>Терентьев Виктор</t>
  </si>
  <si>
    <t>сделка 31.07</t>
  </si>
  <si>
    <t>Бережная Гюльнара</t>
  </si>
  <si>
    <t>Хурамшина Ксения</t>
  </si>
  <si>
    <t xml:space="preserve">Подготовка договора </t>
  </si>
  <si>
    <t>Александр Журавлев</t>
  </si>
  <si>
    <t>Крюков</t>
  </si>
  <si>
    <t>Полукаров Алексей</t>
  </si>
  <si>
    <t>сделка 30.07</t>
  </si>
  <si>
    <t>мфц</t>
  </si>
  <si>
    <t>Дарья (холдинг)</t>
  </si>
  <si>
    <t>мфц 26.07-30.07</t>
  </si>
  <si>
    <t>Стрельцов Сергей</t>
  </si>
  <si>
    <t>Верхоглядов Павел</t>
  </si>
  <si>
    <t>одобрение объекта в банке</t>
  </si>
  <si>
    <t>Гараева Ирина</t>
  </si>
  <si>
    <t>Малахова Наталья</t>
  </si>
  <si>
    <t>Сделала дду</t>
  </si>
  <si>
    <t>Хаерзаманов Рафаэль</t>
  </si>
  <si>
    <t>сделка прошла 17.07.2021</t>
  </si>
  <si>
    <t>Белов Артем Алексеевич</t>
  </si>
  <si>
    <t>дист. сделка из Хабаровска. Деньги на счету, ждем подачи на регистрацию</t>
  </si>
  <si>
    <t>Зарщиков Андрей</t>
  </si>
  <si>
    <t>Сергей Астафьев</t>
  </si>
  <si>
    <t>дом 2</t>
  </si>
  <si>
    <t>Диенко Алексей</t>
  </si>
  <si>
    <t>согласование объекта</t>
  </si>
  <si>
    <t>Шебела Михаил</t>
  </si>
  <si>
    <t>Кауфманн Евгений</t>
  </si>
  <si>
    <t>Прогноз м2</t>
  </si>
  <si>
    <t>Прогноз руб</t>
  </si>
  <si>
    <t>Прогноз шт</t>
  </si>
  <si>
    <t>Утверждено КД</t>
  </si>
  <si>
    <t>____________________</t>
  </si>
  <si>
    <t>Исаева М.Ю</t>
  </si>
  <si>
    <t>Столбец1</t>
  </si>
  <si>
    <t>Столбец2</t>
  </si>
  <si>
    <t>Нешитая,Волков</t>
  </si>
  <si>
    <t>Сделка 23 августа</t>
  </si>
  <si>
    <t>Куринной Александр</t>
  </si>
  <si>
    <t>Кравчуковы</t>
  </si>
  <si>
    <t>Арисова Марина</t>
  </si>
  <si>
    <t>одобрена, сделка 26.08</t>
  </si>
  <si>
    <t>Томашевская София</t>
  </si>
  <si>
    <t>Калашникова Юлия</t>
  </si>
  <si>
    <t>Абраамян Артур</t>
  </si>
  <si>
    <t>Ксения Карнаухова</t>
  </si>
  <si>
    <t>Шилин Михаил</t>
  </si>
  <si>
    <t>Анастасия/Надежда Яковлевна</t>
  </si>
  <si>
    <t>наличные</t>
  </si>
  <si>
    <t>платная</t>
  </si>
  <si>
    <t>Кочергин Сергей</t>
  </si>
  <si>
    <t>готов к сделке. МФЦ 26.08.2021 в 17.20.</t>
  </si>
  <si>
    <t>Шведов Павел</t>
  </si>
  <si>
    <t>Талон на регистр. На 24.08.</t>
  </si>
  <si>
    <t>Боина Ирина</t>
  </si>
  <si>
    <t>Джаксумбаевы</t>
  </si>
  <si>
    <t xml:space="preserve">СДАН </t>
  </si>
  <si>
    <t>Комиссаровы</t>
  </si>
  <si>
    <t>Кромский Алексей</t>
  </si>
  <si>
    <t>Скворцовы</t>
  </si>
  <si>
    <t>Евсюковы</t>
  </si>
  <si>
    <t>Соколов Виктор</t>
  </si>
  <si>
    <t>Склоняется к совкомбанку</t>
  </si>
  <si>
    <t>сэр/мфц</t>
  </si>
  <si>
    <t>Доронина Светлана</t>
  </si>
  <si>
    <t>Ефремов (Радмила)</t>
  </si>
  <si>
    <t>Зайцева Яна</t>
  </si>
  <si>
    <t>Калашникова Елена</t>
  </si>
  <si>
    <t xml:space="preserve">Крюков </t>
  </si>
  <si>
    <t>Кромский Александр</t>
  </si>
  <si>
    <t>сделка 31.08</t>
  </si>
  <si>
    <t>Кулаков</t>
  </si>
  <si>
    <t>26.08.2021 записан в банк на сделку</t>
  </si>
  <si>
    <t>Сапрыкина Галина</t>
  </si>
  <si>
    <t>13,08,2021</t>
  </si>
  <si>
    <t>Попова Ирина</t>
  </si>
  <si>
    <t>Литвинова</t>
  </si>
  <si>
    <t>Прозоровы</t>
  </si>
  <si>
    <t>Мелконян Самвел</t>
  </si>
  <si>
    <t>Тумасян Артур</t>
  </si>
  <si>
    <t>банк 19.08, мфц 25.08 10:30</t>
  </si>
  <si>
    <t>Саргсян Анна</t>
  </si>
  <si>
    <t>банк 19.08, мфц 25.08 11:30</t>
  </si>
  <si>
    <t>Николай Воронин</t>
  </si>
  <si>
    <t>Земцов Виктор</t>
  </si>
  <si>
    <t>Лесных Гуля</t>
  </si>
  <si>
    <t>Рыжова Нина</t>
  </si>
  <si>
    <t xml:space="preserve">сдан на рег </t>
  </si>
  <si>
    <t>Дом3</t>
  </si>
  <si>
    <t>Лаухина Елена</t>
  </si>
  <si>
    <t>ипотека одобренна, оформление дду</t>
  </si>
  <si>
    <t>Лукьяновы</t>
  </si>
  <si>
    <t>15047(12165,334)</t>
  </si>
  <si>
    <t>30.08.201</t>
  </si>
  <si>
    <t>Булатова Екатерина</t>
  </si>
  <si>
    <t>30.08 сделка</t>
  </si>
  <si>
    <t>Никишов/Кагирова</t>
  </si>
  <si>
    <t>Андрей Дугушов</t>
  </si>
  <si>
    <t>Сделка 26 августа в Тольятти</t>
  </si>
  <si>
    <t>Деревянкины</t>
  </si>
  <si>
    <t xml:space="preserve">ДДУ в банке на проверке </t>
  </si>
  <si>
    <t>Иванова Марина</t>
  </si>
  <si>
    <t>Панкова Яна</t>
  </si>
  <si>
    <t>Гайганова Ульяна</t>
  </si>
  <si>
    <t>сотрудник ОП, сделка зарегистрирована</t>
  </si>
  <si>
    <t>Тихомировы</t>
  </si>
  <si>
    <t>Уткелбаева</t>
  </si>
  <si>
    <t xml:space="preserve">Захарьев </t>
  </si>
  <si>
    <t xml:space="preserve">Сафонова Татьяна </t>
  </si>
  <si>
    <t>Артемьева</t>
  </si>
  <si>
    <t>Отделка</t>
  </si>
  <si>
    <t>Столбец3</t>
  </si>
  <si>
    <t>сумма без отделки</t>
  </si>
  <si>
    <t>Петровы</t>
  </si>
  <si>
    <t>КД подписали подать сдать на регистрацию</t>
  </si>
  <si>
    <t>Наталья Соколова</t>
  </si>
  <si>
    <t>Юрий Савенков</t>
  </si>
  <si>
    <t>ипотека</t>
  </si>
  <si>
    <t>Халиулин Ришат</t>
  </si>
  <si>
    <t>Петров Юрий Ю.</t>
  </si>
  <si>
    <t>Дубошины Н. и Л.</t>
  </si>
  <si>
    <t>Светлана Гоголь</t>
  </si>
  <si>
    <t>Алексей Слепов</t>
  </si>
  <si>
    <t>Зирюкина Татьяна</t>
  </si>
  <si>
    <t>Татьяна/Олег Мурзаковы</t>
  </si>
  <si>
    <t>Гришановы Е. и К.</t>
  </si>
  <si>
    <t>Кортукова Диана</t>
  </si>
  <si>
    <t>Голубевы</t>
  </si>
  <si>
    <t>Записаны на сделку 25.09.2021</t>
  </si>
  <si>
    <t>Загорулько Евгений</t>
  </si>
  <si>
    <t>Крыга Татьяна</t>
  </si>
  <si>
    <t>Чагдаш</t>
  </si>
  <si>
    <t>11.09 открыл эскроу МФЦ 20.09</t>
  </si>
  <si>
    <t>Коростелёва Надежда</t>
  </si>
  <si>
    <t>Суханова Наталья</t>
  </si>
  <si>
    <t>подготовка дду, согласование объекта</t>
  </si>
  <si>
    <t>Кадиров Усмон</t>
  </si>
  <si>
    <t>Григорьева Олеся</t>
  </si>
  <si>
    <t xml:space="preserve">Корбан Сергей </t>
  </si>
  <si>
    <t>Соколова Эльза</t>
  </si>
  <si>
    <t>Федисова Маргарита</t>
  </si>
  <si>
    <t>Пестрова Татьяна</t>
  </si>
  <si>
    <t>сделка в банке прошла, мфц 17.09</t>
  </si>
  <si>
    <t>Аверкиева татьяна</t>
  </si>
  <si>
    <t>Исакова Екатерина</t>
  </si>
  <si>
    <t>Забрали документы из ВТБ, МФЦ 30.09</t>
  </si>
  <si>
    <t>Марынич Анатолий</t>
  </si>
  <si>
    <t>Поповы</t>
  </si>
  <si>
    <t xml:space="preserve">нет </t>
  </si>
  <si>
    <t>Ушков Павел</t>
  </si>
  <si>
    <t xml:space="preserve">платная бронь </t>
  </si>
  <si>
    <t>Вагизов</t>
  </si>
  <si>
    <t>Сдан на регистрацию 03.09.21</t>
  </si>
  <si>
    <t>Евстигнеева Екатерина</t>
  </si>
  <si>
    <t>Алексеева Мария</t>
  </si>
  <si>
    <t>Евсеева Светлана</t>
  </si>
  <si>
    <t>сделка10.09 в 9 утра</t>
  </si>
  <si>
    <t>Илясова Светлана</t>
  </si>
  <si>
    <t>сделка 09.09.21 в  9.00</t>
  </si>
  <si>
    <t>Шульдешов Дмитрий</t>
  </si>
  <si>
    <t>Петрова Ирина</t>
  </si>
  <si>
    <t>Рогожина Ольга</t>
  </si>
  <si>
    <t xml:space="preserve">Ипотека одобрена, отправил договор на проверку клиенту , СДЕЛКА 30.09 </t>
  </si>
  <si>
    <t>Цыганова Лариса</t>
  </si>
  <si>
    <t>Ошкин Александр</t>
  </si>
  <si>
    <t xml:space="preserve">Гималетдинова Зарина </t>
  </si>
  <si>
    <t>Решетов Кирилл</t>
  </si>
  <si>
    <t>сделка 10.09.2021</t>
  </si>
  <si>
    <t>Николаева Ксения</t>
  </si>
  <si>
    <t>Казакова Мария</t>
  </si>
  <si>
    <t xml:space="preserve">Мирошкина Любовь </t>
  </si>
  <si>
    <t>Майстренко Сергей</t>
  </si>
  <si>
    <t>Харлашин Андрей</t>
  </si>
  <si>
    <t>дк1%/сбер отказ, одобрен в втб</t>
  </si>
  <si>
    <t>Вилькотзин</t>
  </si>
  <si>
    <t>Возненко Наталия</t>
  </si>
  <si>
    <t>сэр 30.09.21 г.Иркутск</t>
  </si>
  <si>
    <t>Андреева</t>
  </si>
  <si>
    <t>мфц 28.09.21 в 11.40</t>
  </si>
  <si>
    <t>Утешев Альберт</t>
  </si>
  <si>
    <t>подписал кредитный , мфц 01.10.21??????</t>
  </si>
  <si>
    <t>Узбяков Рушан</t>
  </si>
  <si>
    <t>Приц Наталья</t>
  </si>
  <si>
    <t>30.09.2021 СЭР</t>
  </si>
  <si>
    <t>Варюхин Вячеслав</t>
  </si>
  <si>
    <t>Малышев Владимир</t>
  </si>
  <si>
    <t>дду от 30.09, кд от 01.10</t>
  </si>
  <si>
    <t>Согласовано _________________ М.Ю Исаева</t>
  </si>
  <si>
    <t>Яндуков Александр</t>
  </si>
  <si>
    <t xml:space="preserve">сдан на регистрацию </t>
  </si>
  <si>
    <t>Мелентьев Александр</t>
  </si>
  <si>
    <t>Гирченко Ирина</t>
  </si>
  <si>
    <t>Гафарова Мария</t>
  </si>
  <si>
    <t>Спирина Ирина</t>
  </si>
  <si>
    <t>Воен. Ипотека</t>
  </si>
  <si>
    <t>Хайдаров Дамир</t>
  </si>
  <si>
    <t>12.102021</t>
  </si>
  <si>
    <t>Ланкина Алена</t>
  </si>
  <si>
    <t>Чернышин Сергей</t>
  </si>
  <si>
    <t>Юлия Антонова</t>
  </si>
  <si>
    <t>19.20.2021</t>
  </si>
  <si>
    <t>Болотина Мария Ф.</t>
  </si>
  <si>
    <t>Шафигуллины И. и Р.</t>
  </si>
  <si>
    <t xml:space="preserve">Караковы Виктория </t>
  </si>
  <si>
    <t>Столярова Наталья</t>
  </si>
  <si>
    <t>Зарипова Руфия</t>
  </si>
  <si>
    <t>Макарова Марина</t>
  </si>
  <si>
    <t>Салават Жамбатыров</t>
  </si>
  <si>
    <t xml:space="preserve">Павлов Евгений </t>
  </si>
  <si>
    <t>Сахипова Татьяна</t>
  </si>
  <si>
    <t>Сизов Евгений</t>
  </si>
  <si>
    <t>платная бронь до 19.10.2021</t>
  </si>
  <si>
    <t>Назаркина Оксана</t>
  </si>
  <si>
    <t>Кирдяпкина</t>
  </si>
  <si>
    <t>Лапухов Андрей</t>
  </si>
  <si>
    <t>Танич Александр</t>
  </si>
  <si>
    <t>Зарипов Марсель\Эльмира</t>
  </si>
  <si>
    <t>Подготовка/согласование ДДУ</t>
  </si>
  <si>
    <t>Лунина Любовь</t>
  </si>
  <si>
    <t xml:space="preserve">сделка 23.10 </t>
  </si>
  <si>
    <t>Тугушева Лилия</t>
  </si>
  <si>
    <t>Вячеслав\Эвелина</t>
  </si>
  <si>
    <t>Кушаев Тимур</t>
  </si>
  <si>
    <t xml:space="preserve">Мякисев Николай </t>
  </si>
  <si>
    <t xml:space="preserve">подготовка дду </t>
  </si>
  <si>
    <t>Никитины</t>
  </si>
  <si>
    <t>Планируем выйти на сделку 19.10</t>
  </si>
  <si>
    <t>Калинкин Сергей</t>
  </si>
  <si>
    <t>Позняков Дмитрий</t>
  </si>
  <si>
    <t>Озеров Евгений</t>
  </si>
  <si>
    <t>Журавлев Дмитрий</t>
  </si>
  <si>
    <t>Горнаева Анна</t>
  </si>
  <si>
    <t xml:space="preserve">Кузнецова Ольга </t>
  </si>
  <si>
    <t>Борисовы</t>
  </si>
  <si>
    <t>ви</t>
  </si>
  <si>
    <t>Фаткуллин Рустам Риммович</t>
  </si>
  <si>
    <t>Игнатов Артём</t>
  </si>
  <si>
    <t>Клиент определяется с первоначальным взносом</t>
  </si>
  <si>
    <t>Назимова Наталья</t>
  </si>
  <si>
    <t xml:space="preserve">Платная </t>
  </si>
  <si>
    <t>Борисов Игорь</t>
  </si>
  <si>
    <t>16 150</t>
  </si>
  <si>
    <t>Порывай</t>
  </si>
  <si>
    <t>Плотникова Марина</t>
  </si>
  <si>
    <t>Шишина Светлана</t>
  </si>
  <si>
    <t>Ли Цинхуа</t>
  </si>
  <si>
    <t>Черкасов Иван</t>
  </si>
  <si>
    <t>Индивидуальный план</t>
  </si>
  <si>
    <t>план шт</t>
  </si>
  <si>
    <t xml:space="preserve">ФАКТ/ПЛАН % м2 </t>
  </si>
  <si>
    <t>ФАКТ/План % по сумме</t>
  </si>
  <si>
    <t/>
  </si>
  <si>
    <t>Все дома</t>
  </si>
  <si>
    <t>№п/п</t>
  </si>
  <si>
    <t>Александр Андреев</t>
  </si>
  <si>
    <t>Беляков Сергей В.</t>
  </si>
  <si>
    <t>Кондратенко Юлия и Станислав</t>
  </si>
  <si>
    <t>Мелек Авни</t>
  </si>
  <si>
    <t>Чувашов Спартак</t>
  </si>
  <si>
    <t>Будко Анна</t>
  </si>
  <si>
    <t>Галузина Мария</t>
  </si>
  <si>
    <t>Попов Роман</t>
  </si>
  <si>
    <t>Насекин Олег</t>
  </si>
  <si>
    <t>Вырыпаева Екатерина</t>
  </si>
  <si>
    <t>Инкина Инна</t>
  </si>
  <si>
    <t>Григорьева</t>
  </si>
  <si>
    <t>Киселев Дмитрий</t>
  </si>
  <si>
    <t>Тупиков Иван</t>
  </si>
  <si>
    <t>Алина Ахметова</t>
  </si>
  <si>
    <t>Алена Демченко</t>
  </si>
  <si>
    <t>Игорь Быков</t>
  </si>
  <si>
    <t>Насырова Динара</t>
  </si>
  <si>
    <t>Быкова Наталья</t>
  </si>
  <si>
    <t>Потапова Тамара</t>
  </si>
  <si>
    <t>Мустаева Эльвира</t>
  </si>
  <si>
    <t>Раганян Самвел</t>
  </si>
  <si>
    <t>Рыжова Валерия</t>
  </si>
  <si>
    <t>Файзуллоев Гайрат</t>
  </si>
  <si>
    <t>Епифанова Анна</t>
  </si>
  <si>
    <t>Байрамов Ислам</t>
  </si>
  <si>
    <t>Жданов Юрий</t>
  </si>
  <si>
    <t>Мальцев Алексей</t>
  </si>
  <si>
    <t>Щербицкие</t>
  </si>
  <si>
    <t>Кредышева Светлана Холдинг</t>
  </si>
  <si>
    <t>Корнеев Дмитрий</t>
  </si>
  <si>
    <t>Вишняковы</t>
  </si>
  <si>
    <t>Матыцин Ефим</t>
  </si>
  <si>
    <t>Леонтьев Андрей</t>
  </si>
  <si>
    <t>Кисилева Юлия</t>
  </si>
  <si>
    <t>Туринцева Алла</t>
  </si>
  <si>
    <t xml:space="preserve">Изенкова Е.А. </t>
  </si>
  <si>
    <t>Рогачев Николай</t>
  </si>
  <si>
    <t>Чирсовы Евгений и Анастасия</t>
  </si>
  <si>
    <t>Беляков Петр</t>
  </si>
  <si>
    <t>Ведерников Сергей</t>
  </si>
  <si>
    <t>Ничаева Г.В.</t>
  </si>
  <si>
    <t>Миндаров Ришат</t>
  </si>
  <si>
    <t>Бредихина Ольга</t>
  </si>
  <si>
    <t>Власова Светлана</t>
  </si>
  <si>
    <t>Кашинцева Татьяна</t>
  </si>
  <si>
    <t>Данцуй Сергей</t>
  </si>
  <si>
    <t>Сараев Кирилл</t>
  </si>
  <si>
    <t>Буланова Янина</t>
  </si>
  <si>
    <t>Новиков Никита</t>
  </si>
  <si>
    <t>Серт.РВИ</t>
  </si>
  <si>
    <t>Юсупов Гаджимурад</t>
  </si>
  <si>
    <t>Иевлевы Максим и Екатерина</t>
  </si>
  <si>
    <t>Брызгалов Руслан</t>
  </si>
  <si>
    <t>Баширина Наталья</t>
  </si>
  <si>
    <t>Дунаев Алексей</t>
  </si>
  <si>
    <t>Желобкович Ольга</t>
  </si>
  <si>
    <t>Тинкин А</t>
  </si>
  <si>
    <t>Баурчану Наталья</t>
  </si>
  <si>
    <t>Попова Ирина Ю.</t>
  </si>
  <si>
    <t>Иванов Александр</t>
  </si>
  <si>
    <t>Сурских Сергей</t>
  </si>
  <si>
    <t>Тимофеев Дмитрий</t>
  </si>
  <si>
    <t>Смирнова Ирина</t>
  </si>
  <si>
    <t>Кадиров, Курбанова</t>
  </si>
  <si>
    <t>Шишова Анна</t>
  </si>
  <si>
    <t>Токарева Анна</t>
  </si>
  <si>
    <t>Сафиханов Низами</t>
  </si>
  <si>
    <t>Хамирова Марина</t>
  </si>
  <si>
    <t>объект на одобрении</t>
  </si>
  <si>
    <t>Лагашкина Юлия</t>
  </si>
  <si>
    <t>Сделка  10 декабря</t>
  </si>
  <si>
    <t>Рыбакова Лариса</t>
  </si>
  <si>
    <t>Германюк Анастасия</t>
  </si>
  <si>
    <t>Евдокимов</t>
  </si>
  <si>
    <t>Калачев Константин</t>
  </si>
  <si>
    <t>Заварзина Влада</t>
  </si>
  <si>
    <t>Румия Хабибуллина</t>
  </si>
  <si>
    <t>Кеняйкин Артем</t>
  </si>
  <si>
    <t>Федотова Елена</t>
  </si>
  <si>
    <t>Баканова Ольга</t>
  </si>
  <si>
    <t>Кирпиков Алексей</t>
  </si>
  <si>
    <t>Мольковы</t>
  </si>
  <si>
    <t>Салихова Алена</t>
  </si>
  <si>
    <t>17 994, 17497</t>
  </si>
  <si>
    <t>Милкин Николай</t>
  </si>
  <si>
    <t>Астапов Владимир Гаврилович</t>
  </si>
  <si>
    <t>Рания</t>
  </si>
  <si>
    <t>Жарковы Анна</t>
  </si>
  <si>
    <t>Сергейчевы Татьяна</t>
  </si>
  <si>
    <t>Надежда Бабушкина</t>
  </si>
  <si>
    <t>Пчелякова Ирина</t>
  </si>
  <si>
    <t>Жамбатыров</t>
  </si>
  <si>
    <t>Гусарова</t>
  </si>
  <si>
    <t>Золотов Денис</t>
  </si>
  <si>
    <t>Жданов Андрей</t>
  </si>
  <si>
    <t>Каракулов Саид</t>
  </si>
  <si>
    <t>Кузнецова Светлана</t>
  </si>
  <si>
    <t>Лилия</t>
  </si>
  <si>
    <t>Лебедка Владимир</t>
  </si>
  <si>
    <t>Елисеевы Татьяна</t>
  </si>
  <si>
    <t>Чаус Андрей</t>
  </si>
  <si>
    <t>Олейник Олеся</t>
  </si>
  <si>
    <t>Светлана Малыхина</t>
  </si>
  <si>
    <t>Шестаевы И. и Е.</t>
  </si>
  <si>
    <t>Данцуй В.С.</t>
  </si>
  <si>
    <t>Москвичева Анна</t>
  </si>
  <si>
    <t>Тимофеева Светлана</t>
  </si>
  <si>
    <t>Назаралиева Фадме</t>
  </si>
  <si>
    <t>Трегубов Дмитрий</t>
  </si>
  <si>
    <t>.</t>
  </si>
  <si>
    <t>Ямолова Светлана</t>
  </si>
  <si>
    <t>Галюга Станислав</t>
  </si>
  <si>
    <t>Буркова Дарья</t>
  </si>
  <si>
    <t>Кусакина О.Н.</t>
  </si>
  <si>
    <t>Калядяева Алина</t>
  </si>
  <si>
    <t>Асанов Ильнур</t>
  </si>
  <si>
    <t>Ирина Анненкова</t>
  </si>
  <si>
    <t>Асанов Марат</t>
  </si>
  <si>
    <t>Гордеева Екатерина</t>
  </si>
  <si>
    <t>Бабич Дмитрий</t>
  </si>
  <si>
    <t>Ларин Александр</t>
  </si>
  <si>
    <t>Савельев Андрей</t>
  </si>
  <si>
    <t>Имангулов Александр</t>
  </si>
  <si>
    <t>Поздняков Евгений</t>
  </si>
  <si>
    <t>Клюшникова Виктория</t>
  </si>
  <si>
    <t>Еранов Максим</t>
  </si>
  <si>
    <t>Анна Гринькевич</t>
  </si>
  <si>
    <t>Манучарян Рузана</t>
  </si>
  <si>
    <t>Топорков Артем,Анастасия</t>
  </si>
  <si>
    <t>Саодат</t>
  </si>
  <si>
    <t>Трошин Алексей</t>
  </si>
  <si>
    <t>Хаванцев Иван</t>
  </si>
  <si>
    <t>Поляков Евгений</t>
  </si>
  <si>
    <t>Гаврилюк Ольга</t>
  </si>
  <si>
    <t>Бурцева Инна</t>
  </si>
  <si>
    <t>Белова Дина</t>
  </si>
  <si>
    <t>Литвинов</t>
  </si>
  <si>
    <t>Андреева Ольга</t>
  </si>
  <si>
    <t>Буравлева Татьяна/Анастасия</t>
  </si>
  <si>
    <t>Фадеев Алексей</t>
  </si>
  <si>
    <t>Гузель</t>
  </si>
  <si>
    <t>Вердин Виталий</t>
  </si>
  <si>
    <t>Абалымова Светлана</t>
  </si>
  <si>
    <t>Потапов Николай</t>
  </si>
  <si>
    <t>Кокорина Галина</t>
  </si>
  <si>
    <t>Мухамедьяров Ринат</t>
  </si>
  <si>
    <t>Коренченко Михаил</t>
  </si>
  <si>
    <t>Лапина Татьяна</t>
  </si>
  <si>
    <t>Лохомотова Алла</t>
  </si>
  <si>
    <t>Ильина Валентина</t>
  </si>
  <si>
    <t>Чурилов Никита</t>
  </si>
  <si>
    <t>Дендюро</t>
  </si>
  <si>
    <t>Чустиль Максим и Екатерина</t>
  </si>
  <si>
    <t>Чустиль Ирина</t>
  </si>
  <si>
    <t>Авдеева Валентина</t>
  </si>
  <si>
    <t>Уряшова Оксана</t>
  </si>
  <si>
    <t>Ярлыгаева Мярьям</t>
  </si>
  <si>
    <t>Задуева</t>
  </si>
  <si>
    <t>Договора агентства</t>
  </si>
  <si>
    <t>Арзамасцев Евгений</t>
  </si>
  <si>
    <t>мфц 7.02.22 обед</t>
  </si>
  <si>
    <t>Ермончик Яна</t>
  </si>
  <si>
    <t>Сделка 19.02.2022 (предчистовая в подарок)</t>
  </si>
  <si>
    <t>Сделка 07.02.2022</t>
  </si>
  <si>
    <t>Карташева Наталья</t>
  </si>
  <si>
    <t>Бесов Андрей</t>
  </si>
  <si>
    <t>Комова Ирина</t>
  </si>
  <si>
    <t xml:space="preserve"> Кузьмин Сергей</t>
  </si>
  <si>
    <t>Корнеев Евгений</t>
  </si>
  <si>
    <t>сделка до 28.02.2022</t>
  </si>
  <si>
    <t>Ионова Юлия</t>
  </si>
  <si>
    <t>Дугушев Дмитрий</t>
  </si>
  <si>
    <t>Садыкова Нина</t>
  </si>
  <si>
    <t>Казанин Игорь</t>
  </si>
  <si>
    <t>Саранцев Дмитрий</t>
  </si>
  <si>
    <t>Кишинин Андрей,Анна</t>
  </si>
  <si>
    <t>Цыбанов Евгений</t>
  </si>
  <si>
    <t>Истомина Яна</t>
  </si>
  <si>
    <t>Яковлева Венера</t>
  </si>
  <si>
    <t>Сарычевы Екатерина и Тимур</t>
  </si>
  <si>
    <t>Абушаев Усман С.</t>
  </si>
  <si>
    <t>Хрипунова (все метры)</t>
  </si>
  <si>
    <t>Зеленин Андрей</t>
  </si>
  <si>
    <t>Михеев Денис</t>
  </si>
  <si>
    <t>3 984 168,1</t>
  </si>
  <si>
    <t>Андрей Калинин (все метры)</t>
  </si>
  <si>
    <t>сделка 08.02 в 11.00 ВСЕ МЕТРЫ</t>
  </si>
  <si>
    <t>Ким Евдокия Д.</t>
  </si>
  <si>
    <t>Григорян Сергей</t>
  </si>
  <si>
    <t>Москалев Вячеслав</t>
  </si>
  <si>
    <t>Борисова Евгения</t>
  </si>
  <si>
    <t>Нестеров Станислав</t>
  </si>
  <si>
    <t>Дорогойченков Василий</t>
  </si>
  <si>
    <t>Семенчук Дмитрий</t>
  </si>
  <si>
    <t>Виноградова Юлия</t>
  </si>
  <si>
    <t>Анна Пахомова</t>
  </si>
  <si>
    <t>Дамир</t>
  </si>
  <si>
    <t>Герфорт Сергей</t>
  </si>
  <si>
    <t>Рахматуллина Елена</t>
  </si>
  <si>
    <t>Смирнова Людмила</t>
  </si>
  <si>
    <t>Буланова Яна</t>
  </si>
  <si>
    <t>Поляков Все метры</t>
  </si>
  <si>
    <t>19493/11199</t>
  </si>
  <si>
    <t>сделка 17.02.22 мфц</t>
  </si>
  <si>
    <t>Бешанин Иван</t>
  </si>
  <si>
    <t>19127/18727/18725</t>
  </si>
  <si>
    <t>Ахтямовы</t>
  </si>
  <si>
    <t>Сделка 16.02.2022</t>
  </si>
  <si>
    <t>Мукольянц</t>
  </si>
  <si>
    <t>Сделка 21 февраля</t>
  </si>
  <si>
    <t>Игонина Анастасия</t>
  </si>
  <si>
    <t>Лобачев Антон Сергеевич</t>
  </si>
  <si>
    <t>Малицкий Павел</t>
  </si>
  <si>
    <t>Фролов Павел</t>
  </si>
  <si>
    <t>Яшкина Кристина</t>
  </si>
  <si>
    <t>Кашина Юлия</t>
  </si>
  <si>
    <t>Полякова Марина</t>
  </si>
  <si>
    <t>Каськ Сергей</t>
  </si>
  <si>
    <t>Вишневская Елена</t>
  </si>
  <si>
    <t>сделка  28.02</t>
  </si>
  <si>
    <t>Ардашева Наталья</t>
  </si>
  <si>
    <t>Дудашвили Нугзар</t>
  </si>
  <si>
    <t>Ваганова Марина</t>
  </si>
  <si>
    <t>Кутузов Денис</t>
  </si>
  <si>
    <t>Договора АН</t>
  </si>
  <si>
    <t>Факт м2/2</t>
  </si>
  <si>
    <t>Факт руб/2</t>
  </si>
  <si>
    <t>покупка после продажи своей квартиры</t>
  </si>
  <si>
    <t>4 654 990,44</t>
  </si>
  <si>
    <t>Дмитриев Виталий</t>
  </si>
  <si>
    <t>Муромцева Мария</t>
  </si>
  <si>
    <t>Мантров Олег</t>
  </si>
  <si>
    <t>Никонова Оксана</t>
  </si>
  <si>
    <t>Прокопьева Ольга</t>
  </si>
  <si>
    <t>Котрухов Валерий</t>
  </si>
  <si>
    <t>Башева Ирина</t>
  </si>
  <si>
    <t>Рогачев Виталий-Ольга</t>
  </si>
  <si>
    <t>Шалдыбина Ольга</t>
  </si>
  <si>
    <t>Кашмина Оксана</t>
  </si>
  <si>
    <t>Корниловы</t>
  </si>
  <si>
    <t>Лимин Валерий</t>
  </si>
  <si>
    <t>Марианна Смирнова</t>
  </si>
  <si>
    <t>Волкова Людмила</t>
  </si>
  <si>
    <t>Матина Ольга</t>
  </si>
  <si>
    <t>Белоусова Елена</t>
  </si>
  <si>
    <t>Денисова Екатерина</t>
  </si>
  <si>
    <t>Жерельевы Илья и Лиана</t>
  </si>
  <si>
    <t>Сафронов Васлий</t>
  </si>
  <si>
    <t>Головкин Юрий</t>
  </si>
  <si>
    <t>Давыденко Евгений</t>
  </si>
  <si>
    <t>Чалова Екатерина (все метры)</t>
  </si>
  <si>
    <t>Титова Татьяна</t>
  </si>
  <si>
    <t>Бреус Сергей</t>
  </si>
  <si>
    <t>Малкин Юрий</t>
  </si>
  <si>
    <t>Иванова Ольга</t>
  </si>
  <si>
    <t>Лариса Мулендеева</t>
  </si>
  <si>
    <t xml:space="preserve">Шуриевы Айслу </t>
  </si>
  <si>
    <t>Мещеряковы/Булатовы</t>
  </si>
  <si>
    <t>Владимир Семенов</t>
  </si>
  <si>
    <t>Папп Владислав</t>
  </si>
  <si>
    <t>Стоянова Вера</t>
  </si>
  <si>
    <t>Коссе Евгений</t>
  </si>
  <si>
    <t>Екатерина Найденко</t>
  </si>
  <si>
    <t>Гусаров Андрей</t>
  </si>
  <si>
    <t>Мумбер Елена</t>
  </si>
  <si>
    <t>Никишов Михаил</t>
  </si>
  <si>
    <t>Дерков Андрей</t>
  </si>
  <si>
    <t>Судариков Александр</t>
  </si>
  <si>
    <t>Солдатенковы</t>
  </si>
  <si>
    <t>Гогорян Паруй</t>
  </si>
  <si>
    <t>Поротькина Ирина</t>
  </si>
  <si>
    <t>Марданова Елена</t>
  </si>
  <si>
    <t>Одиноков</t>
  </si>
  <si>
    <t>Альферович</t>
  </si>
  <si>
    <t>Ливановы</t>
  </si>
  <si>
    <t>Курбангулова Гузель (все метры)</t>
  </si>
  <si>
    <t>Лазарева Ксения</t>
  </si>
  <si>
    <t>Деханова Ольга</t>
  </si>
  <si>
    <t>Исмайлова Екатерина</t>
  </si>
  <si>
    <t>Кобелян Наира</t>
  </si>
  <si>
    <t>Салманов Кирилл</t>
  </si>
  <si>
    <t>Винокуров</t>
  </si>
  <si>
    <t>Полякова Татьяна</t>
  </si>
  <si>
    <t>Пушин Дмитрий</t>
  </si>
  <si>
    <t>Костанян Мамикон</t>
  </si>
  <si>
    <t>Колмычкова Галина</t>
  </si>
  <si>
    <t>Каюкова Анастасия</t>
  </si>
  <si>
    <t>Алешина Елена</t>
  </si>
  <si>
    <t>Кадауб Данияр</t>
  </si>
  <si>
    <t>Мироненко Елена</t>
  </si>
  <si>
    <t>Сафонова Людмила</t>
  </si>
  <si>
    <t>Хачатуров Эдуард</t>
  </si>
  <si>
    <t>Семкин Александр</t>
  </si>
  <si>
    <t>Абитаева Рамиля</t>
  </si>
  <si>
    <t>Тарабарова Марина</t>
  </si>
  <si>
    <t>Котова Любовь</t>
  </si>
  <si>
    <t>Черцов Андрей</t>
  </si>
  <si>
    <t>Круткин Николай</t>
  </si>
  <si>
    <t>Никитина Марина</t>
  </si>
  <si>
    <t>Мамедова</t>
  </si>
  <si>
    <t>Мухатьянова Сагиля</t>
  </si>
  <si>
    <t>Буренкова Елизавета</t>
  </si>
  <si>
    <t>Стрелкин Александр</t>
  </si>
  <si>
    <t>Умнов Виталий</t>
  </si>
  <si>
    <t>Давыдова Ольга</t>
  </si>
  <si>
    <t>Воронова Наталья</t>
  </si>
  <si>
    <t>Карян Давид</t>
  </si>
  <si>
    <t>Папанов Вячеслав</t>
  </si>
  <si>
    <t>Алексей</t>
  </si>
  <si>
    <t>Екатерина Савенкова</t>
  </si>
  <si>
    <t>5 272 137,66</t>
  </si>
  <si>
    <t>Вилданов Дим Сафиуллович</t>
  </si>
  <si>
    <t>Попова Ольга</t>
  </si>
  <si>
    <t>Яшина Марина</t>
  </si>
  <si>
    <t>Субочев Владимир</t>
  </si>
  <si>
    <t>Климачева</t>
  </si>
  <si>
    <t>Кучкаров Музаффар</t>
  </si>
  <si>
    <t>Горшкова Елена</t>
  </si>
  <si>
    <t>Михайлюк Ольга</t>
  </si>
  <si>
    <t>Хамзин Дамир</t>
  </si>
  <si>
    <t>Гондрабура Ольга</t>
  </si>
  <si>
    <t>Окунев Алексей</t>
  </si>
  <si>
    <t>Степанян Сатик</t>
  </si>
  <si>
    <t>Лизуновы</t>
  </si>
  <si>
    <t>Лопатюк Яна</t>
  </si>
  <si>
    <t>Марочкина</t>
  </si>
  <si>
    <t>Шлыкова Елена</t>
  </si>
  <si>
    <t xml:space="preserve">           </t>
  </si>
  <si>
    <t>Аникина Наталья</t>
  </si>
  <si>
    <t>Мендгазиева Айжана</t>
  </si>
  <si>
    <t>Сдан на регистрацию. предчист в подарок</t>
  </si>
  <si>
    <t>Малышева Надежда</t>
  </si>
  <si>
    <t>Хусаинов Рифат</t>
  </si>
  <si>
    <t>21 730</t>
  </si>
  <si>
    <t>Кулаева Татьяна</t>
  </si>
  <si>
    <t xml:space="preserve">Сдан на регистрацию </t>
  </si>
  <si>
    <t xml:space="preserve">Казимов Виктор </t>
  </si>
  <si>
    <t>Маркова светлана</t>
  </si>
  <si>
    <t>Акимова Надежда</t>
  </si>
  <si>
    <t>Карчевская Галина</t>
  </si>
  <si>
    <t>Уланов Сергей</t>
  </si>
  <si>
    <t>Акимов Виталий</t>
  </si>
  <si>
    <t>Огудин Юрий</t>
  </si>
  <si>
    <t>Черешнева Галина</t>
  </si>
  <si>
    <t>Амелькина Анна</t>
  </si>
  <si>
    <t>Табаков Олег</t>
  </si>
  <si>
    <t>Польская Екатерина</t>
  </si>
  <si>
    <t>Шайкин Александр</t>
  </si>
  <si>
    <t>Оликова Ольга</t>
  </si>
  <si>
    <t>Николаев Федор</t>
  </si>
  <si>
    <t>Глотов Дмитрий</t>
  </si>
  <si>
    <t>Смирнова Т.Ю.</t>
  </si>
  <si>
    <t xml:space="preserve">Кульмаметова Зульфия </t>
  </si>
  <si>
    <t>Мухопад Нина</t>
  </si>
  <si>
    <t>Кинжигалиева Зауре</t>
  </si>
  <si>
    <t>Мельникова Евгения</t>
  </si>
  <si>
    <t>Павлов Дмитрий</t>
  </si>
  <si>
    <t>Шайкиева Римма</t>
  </si>
  <si>
    <t>Нестерова Ирина</t>
  </si>
  <si>
    <t>Потапенко Илья</t>
  </si>
  <si>
    <t>Ядрышникова Людмила</t>
  </si>
  <si>
    <t>Нагорная Татьяна</t>
  </si>
  <si>
    <t>Кельчина Олеся</t>
  </si>
  <si>
    <t>Черников Вячеслав</t>
  </si>
  <si>
    <t>Зайцева Мария</t>
  </si>
  <si>
    <t>Климашов Илья</t>
  </si>
  <si>
    <t>Пирогов Юрий</t>
  </si>
  <si>
    <t>Клинов Дмитрий</t>
  </si>
  <si>
    <t>сэр</t>
  </si>
  <si>
    <t>Зейнал</t>
  </si>
  <si>
    <t>Пожилова Елена</t>
  </si>
  <si>
    <t>Стрельниковы</t>
  </si>
  <si>
    <t>Бабаян Разалия</t>
  </si>
  <si>
    <t>Попова Сетлана</t>
  </si>
  <si>
    <t>Усманов Ильсаф</t>
  </si>
  <si>
    <t xml:space="preserve"> Пирюш Мария</t>
  </si>
  <si>
    <t>Клименко Жанна</t>
  </si>
  <si>
    <t>Петрова Юлия</t>
  </si>
  <si>
    <t>Чапаева Альбина</t>
  </si>
  <si>
    <t>Якупова Гузалия</t>
  </si>
  <si>
    <t>Камаева Лилия</t>
  </si>
  <si>
    <t>Хомчуковы</t>
  </si>
  <si>
    <t>Кириченко Татьяна</t>
  </si>
  <si>
    <t>Шульгин Тихон</t>
  </si>
  <si>
    <t>Сазонова Татьяна</t>
  </si>
  <si>
    <t>Ахметшина Мадина</t>
  </si>
  <si>
    <t>Емшанова Ольга</t>
  </si>
  <si>
    <t>Славкина Елена</t>
  </si>
  <si>
    <t>Суворова Ирина</t>
  </si>
  <si>
    <t>Юдаков Валерий</t>
  </si>
  <si>
    <t>Люкшин</t>
  </si>
  <si>
    <t>Чобанян Воскеат</t>
  </si>
  <si>
    <t>Вавилкина Ольга</t>
  </si>
  <si>
    <t>12.09.202</t>
  </si>
  <si>
    <t>Тарасевич Ирина</t>
  </si>
  <si>
    <t>Серяпина Юлия</t>
  </si>
  <si>
    <t>Гросс Илья</t>
  </si>
  <si>
    <t>Савченко Екатерина</t>
  </si>
  <si>
    <t>Токарев Никита</t>
  </si>
  <si>
    <t>Котляров Алексей</t>
  </si>
  <si>
    <t>Каркула Вадим</t>
  </si>
  <si>
    <t>Петров Дмитрий</t>
  </si>
  <si>
    <t>Блудилина екатерина (Антон Федоров)</t>
  </si>
  <si>
    <t>Сенина Виктория</t>
  </si>
  <si>
    <t>Феденева Анастасия</t>
  </si>
  <si>
    <t>Суфьянова Лена</t>
  </si>
  <si>
    <t>Маслов Даниил</t>
  </si>
  <si>
    <t>Жук Эльвира</t>
  </si>
  <si>
    <t xml:space="preserve"> Розенблюм Анна</t>
  </si>
  <si>
    <t>Ащеулова Полина</t>
  </si>
  <si>
    <t>Тихонов Виктор</t>
  </si>
  <si>
    <t>Мякченко Ирина</t>
  </si>
  <si>
    <t>Сенатова Светлана</t>
  </si>
  <si>
    <t>Кубжасаров Дархан</t>
  </si>
  <si>
    <t>Малица-Куликова</t>
  </si>
  <si>
    <t>Коннова Галина</t>
  </si>
  <si>
    <t>Антонова Ольга</t>
  </si>
  <si>
    <t>Мукминова Римма</t>
  </si>
  <si>
    <t>Солодова Анастасия</t>
  </si>
  <si>
    <t>Князюк Иван</t>
  </si>
  <si>
    <t>Чапланов Юрий,Мария</t>
  </si>
  <si>
    <t>сделка 21,09.22</t>
  </si>
  <si>
    <t>Уралев Андрей</t>
  </si>
  <si>
    <t>Лопанский Зыкова</t>
  </si>
  <si>
    <t>Володин Евгений</t>
  </si>
  <si>
    <t>Варушкин Владимир</t>
  </si>
  <si>
    <t>Кипар Татьяна</t>
  </si>
  <si>
    <t>Репях Виктория</t>
  </si>
  <si>
    <t>Царева Елена</t>
  </si>
  <si>
    <t>Кашкин Денис</t>
  </si>
  <si>
    <t>Атлашева</t>
  </si>
  <si>
    <t>Егоров Николай</t>
  </si>
  <si>
    <t>Коржова София</t>
  </si>
  <si>
    <t>Плохотниченко Анастасия</t>
  </si>
  <si>
    <t>Луценко Алексей</t>
  </si>
  <si>
    <t>Хрущева Олеся</t>
  </si>
  <si>
    <t>Зайцева Лилия</t>
  </si>
  <si>
    <t>Иванова Ольга (Влад)</t>
  </si>
  <si>
    <t xml:space="preserve"> Фомин Александр</t>
  </si>
  <si>
    <t>Лещев Сергей</t>
  </si>
  <si>
    <t>Мазур Ирина</t>
  </si>
  <si>
    <t>Ионова Наталья</t>
  </si>
  <si>
    <t>Пугачева Юлия /Нэли Ивановна</t>
  </si>
  <si>
    <t>Терских Алексей</t>
  </si>
  <si>
    <t>Зайчиковы</t>
  </si>
  <si>
    <t>пл бронь до 31,10.22</t>
  </si>
  <si>
    <t>Феденева</t>
  </si>
  <si>
    <t>Пайдуганов Александр Анжелика</t>
  </si>
  <si>
    <t>Голиков Евгений</t>
  </si>
  <si>
    <t>Букарева Ольга</t>
  </si>
  <si>
    <t>Остапенко</t>
  </si>
  <si>
    <t>Виноградова Юля</t>
  </si>
  <si>
    <t>Ганускус</t>
  </si>
  <si>
    <t>Кондакова</t>
  </si>
  <si>
    <t>Зайцева Елизавета</t>
  </si>
  <si>
    <t>Хлопяник Анна</t>
  </si>
  <si>
    <t>Шехурдин Илья</t>
  </si>
  <si>
    <t>Боровец Алексей</t>
  </si>
  <si>
    <t>Анисова Елена</t>
  </si>
  <si>
    <t xml:space="preserve"> сдан на регистрацию</t>
  </si>
  <si>
    <t>Цыганова Мария</t>
  </si>
  <si>
    <t>Фомичева Юля</t>
  </si>
  <si>
    <t>Кабанов Александр</t>
  </si>
  <si>
    <t>28.10 сделка в Челно-Вершинах</t>
  </si>
  <si>
    <t>Кузнецова Ирина</t>
  </si>
  <si>
    <t>Шаяхметов Радик</t>
  </si>
  <si>
    <t>Вознюк Дмитрий</t>
  </si>
  <si>
    <t>сделка 31.10.22</t>
  </si>
  <si>
    <t>Басова Елена</t>
  </si>
  <si>
    <t>Егорова Алиса</t>
  </si>
  <si>
    <t>Козлова Светлана</t>
  </si>
  <si>
    <t>Ахмедов Хантемир</t>
  </si>
  <si>
    <t>Меликова Ольга</t>
  </si>
  <si>
    <t>Гущина Ирина</t>
  </si>
  <si>
    <t>Хандин Андрей</t>
  </si>
  <si>
    <t>Умиров Садулла</t>
  </si>
  <si>
    <t>Мешкова Татьяна</t>
  </si>
  <si>
    <t>Харисова Алина</t>
  </si>
  <si>
    <t>сделка 28.10.22</t>
  </si>
  <si>
    <t>Нуретдинова Алена</t>
  </si>
  <si>
    <t>31.10.22 сделка</t>
  </si>
  <si>
    <t>Елистратова Елена</t>
  </si>
  <si>
    <t>Плодунова Ольга</t>
  </si>
  <si>
    <t>Балонова Светлана</t>
  </si>
  <si>
    <t>Карпова Ирина</t>
  </si>
  <si>
    <t>Морозова Люба</t>
  </si>
  <si>
    <t>Все метры</t>
  </si>
  <si>
    <t>Черный Евгений</t>
  </si>
  <si>
    <t>Аркуша Светлана</t>
  </si>
  <si>
    <t>Назаров Назар</t>
  </si>
  <si>
    <t>Астанков Дмитрий</t>
  </si>
  <si>
    <t>Лобачева Анастасия</t>
  </si>
  <si>
    <t>Анисимова Бану</t>
  </si>
  <si>
    <t>Тимиркина Лиля</t>
  </si>
  <si>
    <t>Арефьева Марина</t>
  </si>
  <si>
    <t>Кудинов Александр</t>
  </si>
  <si>
    <t>Арефьев Александр</t>
  </si>
  <si>
    <t>Нешитая Мария</t>
  </si>
  <si>
    <t>Григорьева Юлия</t>
  </si>
  <si>
    <t>Борзых Анастасия</t>
  </si>
  <si>
    <t>Овчинникова</t>
  </si>
  <si>
    <t>Попов Евгений Надежда</t>
  </si>
  <si>
    <t>Криволапов Ян</t>
  </si>
  <si>
    <t>Притула Сергей</t>
  </si>
  <si>
    <t>Макаров Алексей</t>
  </si>
  <si>
    <t>Поленова Татьяна</t>
  </si>
  <si>
    <t>Асланова Тарана</t>
  </si>
  <si>
    <t>Родионова Мария</t>
  </si>
  <si>
    <t>Воевода Владимир</t>
  </si>
  <si>
    <t>Старенко Родион</t>
  </si>
  <si>
    <t>Евдокимов Вячеслав</t>
  </si>
  <si>
    <t>Коновалов Роман</t>
  </si>
  <si>
    <t>Кофанова</t>
  </si>
  <si>
    <t>Матросова Ольга</t>
  </si>
  <si>
    <t>Овчинников Денис</t>
  </si>
  <si>
    <t>Адонькин Евгений</t>
  </si>
  <si>
    <t>Никифорова Кристина</t>
  </si>
  <si>
    <t>Жирнова Александра</t>
  </si>
  <si>
    <t>Краснов Егор</t>
  </si>
  <si>
    <t>Ковалевская Наталия</t>
  </si>
  <si>
    <t>Федосеева Елена</t>
  </si>
  <si>
    <t>Лобов Сергей</t>
  </si>
  <si>
    <t>Коротков Антон</t>
  </si>
  <si>
    <t>Когулько Олеся</t>
  </si>
  <si>
    <t>Ганихин Дмитрий</t>
  </si>
  <si>
    <t>Саламонова</t>
  </si>
  <si>
    <t>Бикеев Максим</t>
  </si>
  <si>
    <t>Полстьянова Мария</t>
  </si>
  <si>
    <t>Гусак Роман</t>
  </si>
  <si>
    <t>Гасанов Табриз</t>
  </si>
  <si>
    <t>Васянин Алексей</t>
  </si>
  <si>
    <t>Саймуков Евгений</t>
  </si>
  <si>
    <t>Мамедова Наталья</t>
  </si>
  <si>
    <t>Елизаркин Евгений</t>
  </si>
  <si>
    <t>Кочарян Флора</t>
  </si>
  <si>
    <t>Головатенко Мария</t>
  </si>
  <si>
    <t>Еремина Юлия</t>
  </si>
  <si>
    <t>Сайитбурханова Дилдора</t>
  </si>
  <si>
    <t>Коннов Александр</t>
  </si>
  <si>
    <t>Худошина Лариса</t>
  </si>
  <si>
    <t>Тюрин Евгений</t>
  </si>
  <si>
    <t>Астанина Наталья</t>
  </si>
  <si>
    <t>Попов Олег</t>
  </si>
  <si>
    <t>Сёмкин Максим</t>
  </si>
  <si>
    <t>Петрунин Денис</t>
  </si>
  <si>
    <t>Погосян Римма</t>
  </si>
  <si>
    <t>Багдасарян Геворг</t>
  </si>
  <si>
    <t>Старикова Екатерина</t>
  </si>
  <si>
    <t>Макарова Дарья</t>
  </si>
  <si>
    <t>Гилетина Евгения</t>
  </si>
  <si>
    <t>Шадских Юрий</t>
  </si>
  <si>
    <t>Ишбулдина Диана</t>
  </si>
  <si>
    <t>Щербова Анастасия</t>
  </si>
  <si>
    <t>Акиняев Дмитрий</t>
  </si>
  <si>
    <t>Артемьев Юрий</t>
  </si>
  <si>
    <t>Бабамуратова Евгения</t>
  </si>
  <si>
    <t>Ерошкина Любовь</t>
  </si>
  <si>
    <t>Фоминых Павел</t>
  </si>
  <si>
    <t>Кудряшов Александр</t>
  </si>
  <si>
    <t>Матвеев  ВТБ</t>
  </si>
  <si>
    <t>Буряк Елена</t>
  </si>
  <si>
    <t>Гришин Александр</t>
  </si>
  <si>
    <t>Сарсенгалиев Руслан</t>
  </si>
  <si>
    <t>Кузнецова Алла</t>
  </si>
  <si>
    <t>Кузнецов Евгений</t>
  </si>
  <si>
    <t>Дмитриенко Татьяна</t>
  </si>
  <si>
    <t>Жиганов Евгений</t>
  </si>
  <si>
    <t>Крылов Максим</t>
  </si>
  <si>
    <t>Корнилов Павел</t>
  </si>
  <si>
    <t>Сидоренко Любовь</t>
  </si>
  <si>
    <t>Калитикова Татьяна</t>
  </si>
  <si>
    <t>Богомолова Олеся</t>
  </si>
  <si>
    <t>Короткова Наталья</t>
  </si>
  <si>
    <t>Зайцева Екатерина</t>
  </si>
  <si>
    <t>Касьянов Виталий</t>
  </si>
  <si>
    <t>Бондарева Диана</t>
  </si>
  <si>
    <t>Герасимов Семен</t>
  </si>
  <si>
    <t>Осипкина Екатерина</t>
  </si>
  <si>
    <t>Сарбитова Анастасия</t>
  </si>
  <si>
    <t>Антонов Александр</t>
  </si>
  <si>
    <t>Меньших Сергей</t>
  </si>
  <si>
    <t>Кондратьев Максим</t>
  </si>
  <si>
    <t>Давлетов Азамат</t>
  </si>
  <si>
    <t>Артемьев Сергей</t>
  </si>
  <si>
    <t>Елышкин Александр</t>
  </si>
  <si>
    <t>Акулов Илья</t>
  </si>
  <si>
    <t>Гармышева Людмила</t>
  </si>
  <si>
    <t>Смирнов Максим</t>
  </si>
  <si>
    <t>Терещенко Дмитрий</t>
  </si>
  <si>
    <t>Слатов Михаил Оксана</t>
  </si>
  <si>
    <t>Ахметова Аида</t>
  </si>
  <si>
    <t>Трыков Николай</t>
  </si>
  <si>
    <t>Мурзина</t>
  </si>
  <si>
    <t>Носиков Иван</t>
  </si>
  <si>
    <t>Мельникова Елена</t>
  </si>
  <si>
    <t>Погосян Арман</t>
  </si>
  <si>
    <t>Пчелинцева Клавдия</t>
  </si>
  <si>
    <t>Борисова Наталья</t>
  </si>
  <si>
    <t>Скрибец Гузель</t>
  </si>
  <si>
    <t>Максимова Яна</t>
  </si>
  <si>
    <t>Штефан Валерия</t>
  </si>
  <si>
    <t>Макина Мария</t>
  </si>
  <si>
    <t>Седов Михаил</t>
  </si>
  <si>
    <t>Назаргалеева Алина</t>
  </si>
  <si>
    <t>Каримов Рузиль</t>
  </si>
  <si>
    <t>Шукалаков Руслан</t>
  </si>
  <si>
    <t>Рамазанов Ильдар</t>
  </si>
  <si>
    <t>Изотов Роман</t>
  </si>
  <si>
    <t>Бочкарева Марина</t>
  </si>
  <si>
    <t>Воронкова Виолетта</t>
  </si>
  <si>
    <t>Бобров Дмитрий</t>
  </si>
  <si>
    <t>Копылов Николай</t>
  </si>
  <si>
    <t xml:space="preserve"> Петрова Галина </t>
  </si>
  <si>
    <t>Филипповы</t>
  </si>
  <si>
    <t>Лукьянов Виталий</t>
  </si>
  <si>
    <t>Шафиков Ришат</t>
  </si>
  <si>
    <t>офис</t>
  </si>
  <si>
    <t>Ковалев</t>
  </si>
  <si>
    <t>Попова Людмила</t>
  </si>
  <si>
    <t>ООО "Строй Комфорт"</t>
  </si>
  <si>
    <t>Титова Любовь</t>
  </si>
  <si>
    <t>Пересыпкина Света</t>
  </si>
  <si>
    <t>Филатова Анастасия</t>
  </si>
  <si>
    <t>Лысова Юлия</t>
  </si>
  <si>
    <t>Леднева Мария</t>
  </si>
  <si>
    <t>Сафонова Светлана</t>
  </si>
  <si>
    <t>Каштанова Юлия</t>
  </si>
  <si>
    <t>Зайцева</t>
  </si>
  <si>
    <t>Небайкин Андрей</t>
  </si>
  <si>
    <t>Ивлева Юлия</t>
  </si>
  <si>
    <t>Гулий Владислав</t>
  </si>
  <si>
    <t xml:space="preserve">Каткасов </t>
  </si>
  <si>
    <t>4 671 077,84</t>
  </si>
  <si>
    <t>Арбузова Елена</t>
  </si>
  <si>
    <t>Страхова Лариса</t>
  </si>
  <si>
    <t>Доронина Наталья</t>
  </si>
  <si>
    <t>Яздонов Юсуф</t>
  </si>
  <si>
    <t>Акопян Ольга</t>
  </si>
  <si>
    <t>Жильцов Александр</t>
  </si>
  <si>
    <t>Курносовы</t>
  </si>
  <si>
    <t>Мальчевский Иван</t>
  </si>
  <si>
    <t>Павлов Данил</t>
  </si>
  <si>
    <t>Меркушев Сергей</t>
  </si>
  <si>
    <t>Мачинский Николай</t>
  </si>
  <si>
    <t>Антонов Дмитрий</t>
  </si>
  <si>
    <t>Макаренко Марина</t>
  </si>
  <si>
    <t>Офис</t>
  </si>
  <si>
    <t>Коммерция</t>
  </si>
  <si>
    <t>Николаев Денис</t>
  </si>
  <si>
    <t>Елин Василий</t>
  </si>
  <si>
    <t>Богатенкова</t>
  </si>
  <si>
    <t>Шибаков</t>
  </si>
  <si>
    <t>Суфиев Зафар/Мавджуда</t>
  </si>
  <si>
    <t>Комендантов Алексей</t>
  </si>
  <si>
    <t>Карасев Юрий</t>
  </si>
  <si>
    <t>Шилов</t>
  </si>
  <si>
    <t>Язанов Алишер</t>
  </si>
  <si>
    <t>Учватова Ирина</t>
  </si>
  <si>
    <t>Федосовы</t>
  </si>
  <si>
    <t>Жилкин Виктор</t>
  </si>
  <si>
    <t>Борисова Ольга</t>
  </si>
  <si>
    <t>Привалов Денис</t>
  </si>
  <si>
    <t>Поляков Антон</t>
  </si>
  <si>
    <t>Альфия Слепнева</t>
  </si>
  <si>
    <t>Гринкевич Алеся</t>
  </si>
  <si>
    <t>Журавлев Николай</t>
  </si>
  <si>
    <t>Назин Александр</t>
  </si>
  <si>
    <t>Саяпин Евгений</t>
  </si>
  <si>
    <t>Кочарова Татьяна</t>
  </si>
  <si>
    <t>Соболев Дмитрий</t>
  </si>
  <si>
    <t>сделка 22.03.23</t>
  </si>
  <si>
    <t>Тихонова Марина</t>
  </si>
  <si>
    <t>Галиулин Владимир</t>
  </si>
  <si>
    <t>Черепкова Наталия</t>
  </si>
  <si>
    <t>Кочоян Амаяк</t>
  </si>
  <si>
    <t>Баев Василий</t>
  </si>
  <si>
    <t>Гаврилова Ольга</t>
  </si>
  <si>
    <t>Хачатурян Марина</t>
  </si>
  <si>
    <t>Магасова Ольга</t>
  </si>
  <si>
    <t>Карпеченко Ирина</t>
  </si>
  <si>
    <t>Золотцева Евгения</t>
  </si>
  <si>
    <t>сделка 20.03.23</t>
  </si>
  <si>
    <t>Хусаинова Зарина</t>
  </si>
  <si>
    <t>сделка 23.03.23</t>
  </si>
  <si>
    <t>Улитина</t>
  </si>
  <si>
    <t>Костюченко Николай</t>
  </si>
  <si>
    <t>Ибоян Джако</t>
  </si>
  <si>
    <t>Ибоян Садо</t>
  </si>
  <si>
    <t>Гранкина Дарья</t>
  </si>
  <si>
    <t>Мелькина Алена</t>
  </si>
  <si>
    <t>Курганова Клавдия</t>
  </si>
  <si>
    <t>Кондратьева Мария</t>
  </si>
  <si>
    <t>Цой Елена</t>
  </si>
  <si>
    <t>Атнагулова Кристина</t>
  </si>
  <si>
    <t>Паутов Максим</t>
  </si>
  <si>
    <t>Вишневская опека</t>
  </si>
  <si>
    <t>Михелев Никита</t>
  </si>
  <si>
    <t>Уварова Дина</t>
  </si>
  <si>
    <t>Царев Владимир</t>
  </si>
  <si>
    <t>Зарипова Вероника</t>
  </si>
  <si>
    <t>Галкин Даниил</t>
  </si>
  <si>
    <t>Просвиркин Константин</t>
  </si>
  <si>
    <t>Алямовская</t>
  </si>
  <si>
    <t>Исмаилов Тимурбек</t>
  </si>
  <si>
    <t>Хусанова Сабина</t>
  </si>
  <si>
    <t>Ахматова Анастасия</t>
  </si>
  <si>
    <t>Итяксова Снежана</t>
  </si>
  <si>
    <t>Хвостов Николай</t>
  </si>
  <si>
    <t>Ибоян Зорба</t>
  </si>
  <si>
    <t>Антонян Марина</t>
  </si>
  <si>
    <t>Ниденс Максим</t>
  </si>
  <si>
    <t>Анисова Ольга</t>
  </si>
  <si>
    <t>7 895 000,00</t>
  </si>
  <si>
    <t>ООО "Строй-Комфорт"</t>
  </si>
  <si>
    <t>Прокаева Елена</t>
  </si>
  <si>
    <t>Ярисова Марина</t>
  </si>
  <si>
    <t>Хвостов Юрий</t>
  </si>
  <si>
    <t>Лазарева Анна</t>
  </si>
  <si>
    <t>Митина Мария</t>
  </si>
  <si>
    <t>Печкурова Ирина</t>
  </si>
  <si>
    <t>Абдуназаров Б.</t>
  </si>
  <si>
    <t>Маукенова У.</t>
  </si>
  <si>
    <t>сдан  на регистацию</t>
  </si>
  <si>
    <t>Тюрин Анатолий</t>
  </si>
  <si>
    <t>Жиляев Михаил</t>
  </si>
  <si>
    <t>Иванова Елена</t>
  </si>
  <si>
    <t>Бурбыга В.</t>
  </si>
  <si>
    <t>Фокин С.</t>
  </si>
  <si>
    <t>Куликов Александр</t>
  </si>
  <si>
    <t>Самошенкова Е.</t>
  </si>
  <si>
    <t>Джамалова Ф.</t>
  </si>
  <si>
    <t>Максимов Мануил</t>
  </si>
  <si>
    <t>Ефимов Владимир</t>
  </si>
  <si>
    <t>Приступа Р.</t>
  </si>
  <si>
    <t>Бабаян Георгий</t>
  </si>
  <si>
    <t>Матвеев Борис</t>
  </si>
  <si>
    <t>Форафонов Валерий</t>
  </si>
  <si>
    <t>Генералова Екатерина</t>
  </si>
  <si>
    <t>Орехова С.Н.</t>
  </si>
  <si>
    <t>Новиков Евгений</t>
  </si>
  <si>
    <t>Скорикова Анна</t>
  </si>
  <si>
    <t>Мищенкова Елена</t>
  </si>
  <si>
    <t xml:space="preserve">Медведев И.В. </t>
  </si>
  <si>
    <t>Карякина А.П.</t>
  </si>
  <si>
    <t>Завьялова Лидия</t>
  </si>
  <si>
    <t>Сенатов В.</t>
  </si>
  <si>
    <t>Шеломенцев Владимир</t>
  </si>
  <si>
    <t>Дорофеев К.</t>
  </si>
  <si>
    <t>Биктагиров Дмитрий</t>
  </si>
  <si>
    <t>Артюшевский Дмитрий</t>
  </si>
  <si>
    <t>Дьяконова Ина</t>
  </si>
  <si>
    <t>Даньшов Д.</t>
  </si>
  <si>
    <t>Землянкин Р.</t>
  </si>
  <si>
    <t>Максимов Сергей</t>
  </si>
  <si>
    <t>Рабаева Нургуль</t>
  </si>
  <si>
    <t>Сайдалиев Санжар</t>
  </si>
  <si>
    <t>сделка до 25.05.23</t>
  </si>
  <si>
    <t>Оганова Диана</t>
  </si>
  <si>
    <t>Силаева Ольга</t>
  </si>
  <si>
    <t>Боярская Арина</t>
  </si>
  <si>
    <t>Тихонова А.</t>
  </si>
  <si>
    <t>Чебакова Марина</t>
  </si>
  <si>
    <t>Висков Дмитрий</t>
  </si>
  <si>
    <t>Сенчева Виктория</t>
  </si>
  <si>
    <t>Солдатова Галина</t>
  </si>
  <si>
    <t>Абрамкина Наталья</t>
  </si>
  <si>
    <t>Богданова Елена</t>
  </si>
  <si>
    <t>Лазарев Валерий</t>
  </si>
  <si>
    <t>Иванушкин Николай</t>
  </si>
  <si>
    <t>Антипова Анфиса</t>
  </si>
  <si>
    <t>Грабилин Андрей</t>
  </si>
  <si>
    <t>Жирельва Анна</t>
  </si>
  <si>
    <t>Шайдулин Ильнур</t>
  </si>
  <si>
    <t>Рауш Александра</t>
  </si>
  <si>
    <t>Староверов Дмитрий</t>
  </si>
  <si>
    <t>Бурлакова Ольга</t>
  </si>
  <si>
    <t>Гончаров</t>
  </si>
  <si>
    <t>Селезнева</t>
  </si>
  <si>
    <t>Елизарова Екатерина</t>
  </si>
  <si>
    <t>Бирюкова Инна</t>
  </si>
  <si>
    <t>Беляев Александр</t>
  </si>
  <si>
    <t>Антонов Владимир</t>
  </si>
  <si>
    <t>Лебедев Александр</t>
  </si>
  <si>
    <t>Калинников Александр</t>
  </si>
  <si>
    <t>Шмырева Юлия</t>
  </si>
  <si>
    <t>Крюков Николай</t>
  </si>
  <si>
    <t>Соковых Елена</t>
  </si>
  <si>
    <t>Артемеев Евгений</t>
  </si>
  <si>
    <t>25179-25196</t>
  </si>
  <si>
    <t>Кредышев</t>
  </si>
  <si>
    <t>Матосова Светлана</t>
  </si>
  <si>
    <t xml:space="preserve">Синютин Антон </t>
  </si>
  <si>
    <t>Егоров Алексей</t>
  </si>
  <si>
    <t>Юзькива Зухра</t>
  </si>
  <si>
    <t>Вавилина Лилия</t>
  </si>
  <si>
    <t>Таласов Нурман</t>
  </si>
  <si>
    <t>Кожевников Сергей Анатольевич</t>
  </si>
  <si>
    <t>Калинина Ольга</t>
  </si>
  <si>
    <t>Кирина Ирина</t>
  </si>
  <si>
    <t>Халимдарова Марлэна</t>
  </si>
  <si>
    <t>Ховрычева Алена</t>
  </si>
  <si>
    <t>Храмова Наталья</t>
  </si>
  <si>
    <t>Милентьева Анастасия</t>
  </si>
  <si>
    <t>Биишева Татьяна</t>
  </si>
  <si>
    <t>Зайцева Анастасия</t>
  </si>
  <si>
    <t>сделка 30.06.23</t>
  </si>
  <si>
    <t>25223/25</t>
  </si>
  <si>
    <t>Валиахметов Алмаз</t>
  </si>
  <si>
    <t>Рудик Сергей</t>
  </si>
  <si>
    <t>Мингазова Римма</t>
  </si>
  <si>
    <t>Гришкова Ольга</t>
  </si>
  <si>
    <t xml:space="preserve">Синицин Виталий </t>
  </si>
  <si>
    <t>Вечканова Анна</t>
  </si>
  <si>
    <t>Припиченко Любовь</t>
  </si>
  <si>
    <t>Виноходов Евгений</t>
  </si>
  <si>
    <t>Русяева Ирина</t>
  </si>
  <si>
    <t>Хасанова Альбина</t>
  </si>
  <si>
    <t>Ковалева Екатерина</t>
  </si>
  <si>
    <t>Мурзакова Татьяна</t>
  </si>
  <si>
    <t>Романов Игорь</t>
  </si>
  <si>
    <t>Нехаев Вадим</t>
  </si>
  <si>
    <t>воен ипотека</t>
  </si>
  <si>
    <t>Акименко С</t>
  </si>
  <si>
    <t>Михедько Виталий</t>
  </si>
  <si>
    <t>Мендалиев Нурсултан</t>
  </si>
  <si>
    <t>Курова Валентина</t>
  </si>
  <si>
    <t>Челеев Вячеслав</t>
  </si>
  <si>
    <t>Давыденко Иван</t>
  </si>
  <si>
    <t>Сабитов Ильдар</t>
  </si>
  <si>
    <t>Гончаренко Диана</t>
  </si>
  <si>
    <t>Волкова Мария</t>
  </si>
  <si>
    <t>Чижиков Дмитрий</t>
  </si>
  <si>
    <t>Курлаганов Максим</t>
  </si>
  <si>
    <t>Пасечников</t>
  </si>
  <si>
    <t>Юрий  Шатковский</t>
  </si>
  <si>
    <t>Тарасов Максим</t>
  </si>
  <si>
    <t>Рахманкулова Александра</t>
  </si>
  <si>
    <t>Павлов Алексей</t>
  </si>
  <si>
    <t>Хохлов Сергей</t>
  </si>
  <si>
    <t>Маслов Руслан</t>
  </si>
  <si>
    <t>Косенко Дмитрий</t>
  </si>
  <si>
    <t>Арестанова Сагатад</t>
  </si>
  <si>
    <t>Ухлова Елена</t>
  </si>
  <si>
    <t>Байцони</t>
  </si>
  <si>
    <t>Дельвиг Алиса</t>
  </si>
  <si>
    <t>Плахова Анна</t>
  </si>
  <si>
    <t>Круглова Ирина</t>
  </si>
  <si>
    <t>Тарасенко Роман</t>
  </si>
  <si>
    <t>Шульпин</t>
  </si>
  <si>
    <t>Медведев Вадим</t>
  </si>
  <si>
    <t>Тишаков Максим</t>
  </si>
  <si>
    <t>Макарова Елена</t>
  </si>
  <si>
    <t>Крашенникова Евгения</t>
  </si>
  <si>
    <t>Муталимова анна</t>
  </si>
  <si>
    <t>сделка 31.07.2023</t>
  </si>
  <si>
    <t>Агаев Ульви</t>
  </si>
  <si>
    <t>Таскаева Юлия</t>
  </si>
  <si>
    <t>Абзибаров Валерий</t>
  </si>
  <si>
    <t>Куракин Роман</t>
  </si>
  <si>
    <t>№ кв</t>
  </si>
  <si>
    <t>Комнатность</t>
  </si>
  <si>
    <t>Цема м2 отделки</t>
  </si>
  <si>
    <t>КТУ2</t>
  </si>
  <si>
    <t>Сумма без отделки</t>
  </si>
  <si>
    <t>Багиро Мурзафар</t>
  </si>
  <si>
    <t>платная бронь  РВИ</t>
  </si>
  <si>
    <t>Куненков Алексей</t>
  </si>
  <si>
    <t>Хашимов Рустам</t>
  </si>
  <si>
    <t>5 дом</t>
  </si>
  <si>
    <t>Вострикова Виктория</t>
  </si>
  <si>
    <t xml:space="preserve">сделка в сентябре </t>
  </si>
  <si>
    <t>платная бронь до 15.08.23</t>
  </si>
  <si>
    <t>Мелконян Элен</t>
  </si>
  <si>
    <t>Евсеев Сергей</t>
  </si>
  <si>
    <t>Зайнетдинова Анна</t>
  </si>
  <si>
    <t>4 дом</t>
  </si>
  <si>
    <t>Екатерина Скуратова</t>
  </si>
  <si>
    <t>Карапетян Гразолета</t>
  </si>
  <si>
    <t>Щербакова Ольга</t>
  </si>
  <si>
    <t>Хурчак Елена</t>
  </si>
  <si>
    <t>Козлов Александр</t>
  </si>
  <si>
    <t>Елена Казакул</t>
  </si>
  <si>
    <t>Инчакова Анастасия</t>
  </si>
  <si>
    <t>Ерофеев Илья</t>
  </si>
  <si>
    <t>Патрина Татьяна</t>
  </si>
  <si>
    <t>Кожухова Галина</t>
  </si>
  <si>
    <t>Батраева Лилия</t>
  </si>
  <si>
    <t>Краснова Полина</t>
  </si>
  <si>
    <t>Анна Казарян</t>
  </si>
  <si>
    <t>Хритинин Евгений</t>
  </si>
  <si>
    <t>Даниил Кильдишов</t>
  </si>
  <si>
    <t>Андрей Дубченок</t>
  </si>
  <si>
    <t>Волкова Екатерина</t>
  </si>
  <si>
    <t>Буранов Егор</t>
  </si>
  <si>
    <t>Тихонов Иван</t>
  </si>
  <si>
    <t>Водякова</t>
  </si>
  <si>
    <t>Сергеев Вячеслав</t>
  </si>
  <si>
    <t>Домнина Татьяна</t>
  </si>
  <si>
    <t>Насрединова Фая</t>
  </si>
  <si>
    <t>Усенков Денис</t>
  </si>
  <si>
    <t>Сальникова Олеся</t>
  </si>
  <si>
    <t>Шагинян Армине</t>
  </si>
  <si>
    <t>Гришин Владислав</t>
  </si>
  <si>
    <t>Мекле Юлия</t>
  </si>
  <si>
    <t>Швырина Галина</t>
  </si>
  <si>
    <t>Ходорожия елена</t>
  </si>
  <si>
    <t>Джалилова Ильнара</t>
  </si>
  <si>
    <t>Яндакова Анастасия</t>
  </si>
  <si>
    <t>Величко елена</t>
  </si>
  <si>
    <t>Шагинян Анастасия</t>
  </si>
  <si>
    <t>Подмарев Руслан</t>
  </si>
  <si>
    <t>Челнокова Елена</t>
  </si>
  <si>
    <t>Ступников Николай</t>
  </si>
  <si>
    <t>Валитов Румиль</t>
  </si>
  <si>
    <t>Левушкин Сергей</t>
  </si>
  <si>
    <t>Лилит Сергеева</t>
  </si>
  <si>
    <t>Ризаханов Марат</t>
  </si>
  <si>
    <t>Олег Гололобов</t>
  </si>
  <si>
    <t>Савельев Евгений</t>
  </si>
  <si>
    <t>Дериглазова Оксана</t>
  </si>
  <si>
    <t>Шалунова Ольга</t>
  </si>
  <si>
    <t>Елистратова Олеся</t>
  </si>
  <si>
    <t>Коротеева Евгения</t>
  </si>
  <si>
    <t>Татаров Антон</t>
  </si>
  <si>
    <t>Есаян Мария</t>
  </si>
  <si>
    <t>Вострышев Сергей</t>
  </si>
  <si>
    <t>Савина Оксана</t>
  </si>
  <si>
    <t>Еремян Анжелика</t>
  </si>
  <si>
    <t>Полина Бутусова</t>
  </si>
  <si>
    <t>Соседов Александр</t>
  </si>
  <si>
    <t>Сидоров Родион</t>
  </si>
  <si>
    <t>Сумарокова Ирина</t>
  </si>
  <si>
    <t>5 Рассрочка</t>
  </si>
  <si>
    <t>Кроневальд Тамара</t>
  </si>
  <si>
    <t>деньги на счет положили, ЭЦП выпустили</t>
  </si>
  <si>
    <t>Холюнов Леонид</t>
  </si>
  <si>
    <t>сделка в банке 28.08 прошла</t>
  </si>
  <si>
    <t>д5</t>
  </si>
  <si>
    <t>Гукалова Валентина</t>
  </si>
  <si>
    <t>Александров Александр</t>
  </si>
  <si>
    <t>Земсков Александр</t>
  </si>
  <si>
    <t>Блохин Роман</t>
  </si>
  <si>
    <t>Дульский Максим</t>
  </si>
  <si>
    <t>Поленов Евгений Александрович</t>
  </si>
  <si>
    <t>Солодилова Татьяна</t>
  </si>
  <si>
    <t xml:space="preserve">Крепчук Сергей </t>
  </si>
  <si>
    <t>Фоменко Илья</t>
  </si>
  <si>
    <t>Ильдюганова Елена</t>
  </si>
  <si>
    <t>Карпова Наталья</t>
  </si>
  <si>
    <t>Егоров Максим</t>
  </si>
  <si>
    <t>Лучинина Надежда</t>
  </si>
  <si>
    <t xml:space="preserve">Идельбаева Алина </t>
  </si>
  <si>
    <t>Половинкина Наталья</t>
  </si>
  <si>
    <t>Арефьева Галина</t>
  </si>
  <si>
    <t>Беляцкий Виталий</t>
  </si>
  <si>
    <t>Ельмеев Тимофей</t>
  </si>
  <si>
    <t>Халиуллина Юлия</t>
  </si>
  <si>
    <t>Таганов Андрей</t>
  </si>
  <si>
    <t>Хорунов Александр</t>
  </si>
  <si>
    <t>Волкова Елена</t>
  </si>
  <si>
    <t>Белькина Галина</t>
  </si>
  <si>
    <t>Семенова Виктория</t>
  </si>
  <si>
    <r>
      <rPr>
        <sz val="10"/>
        <color theme="1"/>
        <rFont val="Calibri"/>
        <family val="2"/>
        <charset val="204"/>
        <scheme val="minor"/>
      </rPr>
      <t>Мирзоева</t>
    </r>
    <r>
      <rPr>
        <b/>
        <sz val="10"/>
        <color theme="1"/>
        <rFont val="Calibri"/>
        <family val="2"/>
        <charset val="204"/>
        <scheme val="minor"/>
      </rPr>
      <t xml:space="preserve"> </t>
    </r>
    <r>
      <rPr>
        <sz val="10"/>
        <color theme="1"/>
        <rFont val="Calibri"/>
        <family val="2"/>
        <charset val="204"/>
        <scheme val="minor"/>
      </rPr>
      <t>Наргиза</t>
    </r>
  </si>
  <si>
    <t>Бурнаева Алена</t>
  </si>
  <si>
    <t>Солдатов Николай</t>
  </si>
  <si>
    <t>Уколова Алина</t>
  </si>
  <si>
    <t>Рязанцева Ксения</t>
  </si>
  <si>
    <t>Буров Кирилл</t>
  </si>
  <si>
    <t>Черкашина Ирина</t>
  </si>
  <si>
    <t>Зубков Дмитрий</t>
  </si>
  <si>
    <t>Алимбекова Наталья</t>
  </si>
  <si>
    <t>Шеркунов Михаил</t>
  </si>
  <si>
    <t>Подольхова Ильмира</t>
  </si>
  <si>
    <t>Емуранов Игорь</t>
  </si>
  <si>
    <t>Толмачев Дмитрий</t>
  </si>
  <si>
    <t>Косырев Сергей</t>
  </si>
  <si>
    <t>#26 553, #26527</t>
  </si>
  <si>
    <t>Гордиенко Александр</t>
  </si>
  <si>
    <t>Гусейнова Адиля</t>
  </si>
  <si>
    <t>Гафаров Искандер</t>
  </si>
  <si>
    <t>Калашникова Тамара</t>
  </si>
  <si>
    <t>Игнатьева Ирина</t>
  </si>
  <si>
    <t>Герасимов Денис</t>
  </si>
  <si>
    <t>Саймукова Елена</t>
  </si>
  <si>
    <t>Галанина Ольга и Сергей</t>
  </si>
  <si>
    <t>Королева Карина</t>
  </si>
  <si>
    <t>Альдебеневы Михаил и Юлия</t>
  </si>
  <si>
    <t>Каревы Владислав и Алина</t>
  </si>
  <si>
    <t>Воробьев Дмитрий</t>
  </si>
  <si>
    <t>Троценко Никита</t>
  </si>
  <si>
    <t>Шумилкина Елизавета</t>
  </si>
  <si>
    <t>Шишкова Светлана Михаловна</t>
  </si>
  <si>
    <t>Кузнецова Ирина Евгеньевна</t>
  </si>
  <si>
    <t>Любаковы Сергей и Елена</t>
  </si>
  <si>
    <t>Нестеренко Александр и Людмила</t>
  </si>
  <si>
    <t>Ягудина Юлия</t>
  </si>
  <si>
    <t>Капанжа Андрей</t>
  </si>
  <si>
    <t>Сметанины Сергей  Татьяна</t>
  </si>
  <si>
    <t>Капкова Юлия</t>
  </si>
  <si>
    <t xml:space="preserve">Марьина Татьяна </t>
  </si>
  <si>
    <t>Власов Михаил</t>
  </si>
  <si>
    <t>Хайруллина Светлана</t>
  </si>
  <si>
    <t>ждет деньги на ПВ</t>
  </si>
  <si>
    <t>Свешникова Марина</t>
  </si>
  <si>
    <t>Мамышева Лилия</t>
  </si>
  <si>
    <t>Агапов Артем</t>
  </si>
  <si>
    <t>Агапов Егор</t>
  </si>
  <si>
    <t>Сеидова Мальвина Ахмедовна</t>
  </si>
  <si>
    <t xml:space="preserve">Хуснуллина </t>
  </si>
  <si>
    <t>Степаненко/Устинина</t>
  </si>
  <si>
    <t>Сандальнов Павел</t>
  </si>
  <si>
    <t>Агапова Татьяна</t>
  </si>
  <si>
    <t>Морятова Ольга</t>
  </si>
  <si>
    <t>Новопольский Р.А.</t>
  </si>
  <si>
    <t>Лещенко Юлия</t>
  </si>
  <si>
    <t>Хайбулатов</t>
  </si>
  <si>
    <t>Ивахова Алена</t>
  </si>
  <si>
    <t>Чечеткин Александр</t>
  </si>
  <si>
    <t>Алексеев Александр</t>
  </si>
  <si>
    <t>Ивасенко Анна</t>
  </si>
  <si>
    <t>Азимова Надежда</t>
  </si>
  <si>
    <t>Артемьев Александр</t>
  </si>
  <si>
    <t>Антонов Иван</t>
  </si>
  <si>
    <t>Андрей Алексеев</t>
  </si>
  <si>
    <t>Абузярова Виктория</t>
  </si>
  <si>
    <t>Кармышев Иван</t>
  </si>
  <si>
    <t>Пазельский Максим</t>
  </si>
  <si>
    <t>Кузнецова Людмила</t>
  </si>
  <si>
    <t>Мошков Сергей</t>
  </si>
  <si>
    <t>Дмитриев Денис</t>
  </si>
  <si>
    <t>сделка 30.10.2023</t>
  </si>
  <si>
    <t xml:space="preserve">Зеленские </t>
  </si>
  <si>
    <t>Анферов Николай</t>
  </si>
  <si>
    <t>пл. бронь до 31.10.23</t>
  </si>
  <si>
    <t>Тереховы</t>
  </si>
  <si>
    <t>ноябрь</t>
  </si>
  <si>
    <t>Тугушев Рамиль</t>
  </si>
  <si>
    <t>пл. бронь до 26.10.23</t>
  </si>
  <si>
    <t>Колесникова Ольга</t>
  </si>
  <si>
    <t>Богомолов Сергей</t>
  </si>
  <si>
    <t>Егоров Дмитрий Васильевич</t>
  </si>
  <si>
    <t>Быкова Екатерина</t>
  </si>
  <si>
    <t>Глазунов Леонид</t>
  </si>
  <si>
    <t>Швед Сергей</t>
  </si>
  <si>
    <t>Костяковы Анастасия/Иван</t>
  </si>
  <si>
    <t>Лысов Александр</t>
  </si>
  <si>
    <t>Давлатназаров Д</t>
  </si>
  <si>
    <t>Улисов А.А</t>
  </si>
  <si>
    <t>сделка 14.11.23</t>
  </si>
  <si>
    <t>Мухаева О.</t>
  </si>
  <si>
    <t>пл. бр. До 28 ноября</t>
  </si>
  <si>
    <t>Сэр</t>
  </si>
  <si>
    <t>Раджабов Эльяр, Загидат</t>
  </si>
  <si>
    <t>Андрейкин Николай</t>
  </si>
  <si>
    <t>Махамадиев С.</t>
  </si>
  <si>
    <t>Ошуркова Марина</t>
  </si>
  <si>
    <t>готовим ДДУ</t>
  </si>
  <si>
    <t>Дорш П.</t>
  </si>
  <si>
    <t>Шалунова О.</t>
  </si>
  <si>
    <t>сделка 18.11.23</t>
  </si>
  <si>
    <t>Титов А.</t>
  </si>
  <si>
    <t>Чмелева Анастасия</t>
  </si>
  <si>
    <t>Юсупова Альфия</t>
  </si>
  <si>
    <t>сделка 15.11.23</t>
  </si>
  <si>
    <t>Целых Сергей</t>
  </si>
  <si>
    <t>Бабаева Туркел</t>
  </si>
  <si>
    <t>Румянцев Никита</t>
  </si>
  <si>
    <t>пл. бронь до 03.12</t>
  </si>
  <si>
    <t>Чебодаев А.</t>
  </si>
  <si>
    <t>Ахинян Артур и Кнарик</t>
  </si>
  <si>
    <t>Дербиш Артур</t>
  </si>
  <si>
    <t xml:space="preserve">согласование объекта </t>
  </si>
  <si>
    <t>Ивасенко Антон</t>
  </si>
  <si>
    <t>Дрогунов Лямасова</t>
  </si>
  <si>
    <t>Новая Жизнь</t>
  </si>
  <si>
    <t>Окунева Л.</t>
  </si>
  <si>
    <t>Гладковы</t>
  </si>
  <si>
    <t>сделка 16.11.23</t>
  </si>
  <si>
    <t>Карий Д.</t>
  </si>
  <si>
    <t>Соколов Андрей</t>
  </si>
  <si>
    <t>Марталог Светлана</t>
  </si>
  <si>
    <t>Елисеева Екатерина</t>
  </si>
  <si>
    <t>Гордюшкин Сергей</t>
  </si>
  <si>
    <t>Кудряшов Павел</t>
  </si>
  <si>
    <t>Алмардонов</t>
  </si>
  <si>
    <t>Байбековы</t>
  </si>
  <si>
    <t>Амоновы</t>
  </si>
  <si>
    <t>Искрина Виктория</t>
  </si>
  <si>
    <t>Дяконенко Сергей</t>
  </si>
  <si>
    <t>Афанасьева</t>
  </si>
  <si>
    <t>Иванова Галина</t>
  </si>
  <si>
    <t>Давлетьянова Лилия</t>
  </si>
  <si>
    <t>Чикова Алина</t>
  </si>
  <si>
    <t>Малых Полина</t>
  </si>
  <si>
    <t>Милютин Виталий</t>
  </si>
  <si>
    <t>Вечканова Полина</t>
  </si>
  <si>
    <t>Купряев Павел</t>
  </si>
  <si>
    <t>Митрощенко Светлана</t>
  </si>
  <si>
    <t>пл бр до 06.12.2023</t>
  </si>
  <si>
    <t>Жижко Владислав и Анастасия</t>
  </si>
  <si>
    <t>Кучерявый Иван и Анна</t>
  </si>
  <si>
    <t>Саяпин Максим</t>
  </si>
  <si>
    <t>Сафроновы</t>
  </si>
  <si>
    <t>Персиянцева Н.В.</t>
  </si>
  <si>
    <t>28.12 сделка</t>
  </si>
  <si>
    <t>Пл. бр. 29.12.23</t>
  </si>
  <si>
    <t>14.13.23</t>
  </si>
  <si>
    <t>Муратов Роман</t>
  </si>
  <si>
    <t>Федрушкова Зоя</t>
  </si>
  <si>
    <t>Согласование объекта</t>
  </si>
  <si>
    <t>Ермольчева Александра и Антон</t>
  </si>
  <si>
    <t>Тутова Светлана</t>
  </si>
  <si>
    <t>Курбангалеева А. М</t>
  </si>
  <si>
    <t>Терехова Светлана</t>
  </si>
  <si>
    <t>Левина Надежда</t>
  </si>
  <si>
    <t>Горбунова Е.</t>
  </si>
  <si>
    <t>сднан на регистрацию</t>
  </si>
  <si>
    <t>Кузерова Маргарита</t>
  </si>
  <si>
    <t>Григорьев Василий</t>
  </si>
  <si>
    <t>Воронина Наталья</t>
  </si>
  <si>
    <t xml:space="preserve">Азизова </t>
  </si>
  <si>
    <t>Пашкевич О.</t>
  </si>
  <si>
    <t>Ильины</t>
  </si>
  <si>
    <t>Рамазанова Светлана</t>
  </si>
  <si>
    <t>Бутаев Охунжон</t>
  </si>
  <si>
    <t>Лузгина Светлана</t>
  </si>
  <si>
    <t>Тужилова Светлана</t>
  </si>
  <si>
    <t>Михайлова Марина и Курбонов Шероз</t>
  </si>
  <si>
    <t>Рознюк Анастасия</t>
  </si>
  <si>
    <t>Черных Е.Г.</t>
  </si>
  <si>
    <t>Архипова Е.И.</t>
  </si>
  <si>
    <t>Саликова А.Н.</t>
  </si>
  <si>
    <t>Пеньков С.С.</t>
  </si>
  <si>
    <t>Петросян Алла</t>
  </si>
  <si>
    <t>Абрамова Олеся</t>
  </si>
  <si>
    <t>Тимербулатовы Тимур и Наталья</t>
  </si>
  <si>
    <t>Серго Исоян</t>
  </si>
  <si>
    <t>Сотаев Камал</t>
  </si>
  <si>
    <t>наличный</t>
  </si>
  <si>
    <t>Зинина Юлия</t>
  </si>
  <si>
    <t>Шахматовы Елена и Глеб</t>
  </si>
  <si>
    <t>Нестеровы</t>
  </si>
  <si>
    <t>Каримов Руслан</t>
  </si>
  <si>
    <t>Утешкалиев</t>
  </si>
  <si>
    <t>Нивильевы</t>
  </si>
  <si>
    <t>Османова</t>
  </si>
  <si>
    <t>Гвоздев</t>
  </si>
  <si>
    <t>Факт с учетом 0,5 АН</t>
  </si>
  <si>
    <t>АН</t>
  </si>
  <si>
    <t>Утвержденные планы</t>
  </si>
  <si>
    <t>Период</t>
  </si>
  <si>
    <t>Площадь</t>
  </si>
  <si>
    <t>Стоимость ОН</t>
  </si>
  <si>
    <t>Менеджер отдела продаж</t>
  </si>
  <si>
    <t>4 Квартал Дом 1</t>
  </si>
  <si>
    <t>4 Квартал Дом 2</t>
  </si>
  <si>
    <t>% от плана общий</t>
  </si>
  <si>
    <t>Сотрудник</t>
  </si>
  <si>
    <t>часы</t>
  </si>
  <si>
    <t>% распределения ПП</t>
  </si>
  <si>
    <t>Сумма</t>
  </si>
  <si>
    <t>Ипотечный менеджер</t>
  </si>
  <si>
    <t>Итого по 2025</t>
  </si>
  <si>
    <t>Радченко</t>
  </si>
  <si>
    <t>1 квартал 2024</t>
  </si>
  <si>
    <t>Утвержденный ПП Дом 4</t>
  </si>
  <si>
    <t>Итого S</t>
  </si>
  <si>
    <t>Итого Сумма сделок</t>
  </si>
  <si>
    <t>Факт</t>
  </si>
  <si>
    <t>Отклонение</t>
  </si>
  <si>
    <t>Сумма сделок</t>
  </si>
  <si>
    <t>Голенко</t>
  </si>
  <si>
    <t>Итого с АН</t>
  </si>
  <si>
    <t>Сделки АН</t>
  </si>
  <si>
    <t>Распределение</t>
  </si>
  <si>
    <t>Итого по 2024</t>
  </si>
  <si>
    <t>Утвержденный ПП Дом 5</t>
  </si>
  <si>
    <t>Итог с АН</t>
  </si>
  <si>
    <t>3 квартал 2024</t>
  </si>
  <si>
    <t>Татьяна Абрамова</t>
  </si>
  <si>
    <t>Яхина Джамиля</t>
  </si>
  <si>
    <t>Шабашов Виктор</t>
  </si>
  <si>
    <t>Гержан Никита</t>
  </si>
  <si>
    <t>Тюфутина Анна</t>
  </si>
  <si>
    <t>Сидоров Иван</t>
  </si>
  <si>
    <t>Дмитрий охранник</t>
  </si>
  <si>
    <t>Каюмова Сарвиноз</t>
  </si>
  <si>
    <t>Хамроева Нозанин</t>
  </si>
  <si>
    <t>Грунвальд Нина</t>
  </si>
  <si>
    <t>Маковский Дмитрий</t>
  </si>
  <si>
    <t>Махмудов Хурсанд</t>
  </si>
  <si>
    <t>готовим дду</t>
  </si>
  <si>
    <t>Фролова Владелина</t>
  </si>
  <si>
    <t>Заряева Ольга</t>
  </si>
  <si>
    <t>Симонов</t>
  </si>
  <si>
    <t>Бахтеева</t>
  </si>
  <si>
    <t>сделка 29.01.24</t>
  </si>
  <si>
    <t>Волков Станислав</t>
  </si>
  <si>
    <t>АН - *</t>
  </si>
  <si>
    <t>Январь</t>
  </si>
  <si>
    <t>Менеджер</t>
  </si>
  <si>
    <t>Площадь Д4</t>
  </si>
  <si>
    <t>Сумма сделок Д4</t>
  </si>
  <si>
    <t>Площадь Д5</t>
  </si>
  <si>
    <t>Сумма сделок Д5</t>
  </si>
  <si>
    <t>Студия</t>
  </si>
  <si>
    <t>1 Комнатная</t>
  </si>
  <si>
    <t>2 Комнатная</t>
  </si>
  <si>
    <t>3 Комнатная</t>
  </si>
  <si>
    <t>Ср. цена м</t>
  </si>
  <si>
    <t>Февраль</t>
  </si>
  <si>
    <t>Март</t>
  </si>
  <si>
    <t>Апрель</t>
  </si>
  <si>
    <t>Май</t>
  </si>
  <si>
    <t>Июнь</t>
  </si>
  <si>
    <t>Ипотечный</t>
  </si>
  <si>
    <t>Июль</t>
  </si>
  <si>
    <t>Август</t>
  </si>
  <si>
    <t>Сентябрь</t>
  </si>
  <si>
    <t>Октябрь</t>
  </si>
  <si>
    <t>Ноябрь</t>
  </si>
  <si>
    <t>Декабрь</t>
  </si>
  <si>
    <t>1 Квартал</t>
  </si>
  <si>
    <t>Юрий и Юлия Гвоздевы</t>
  </si>
  <si>
    <t>Павел/Анна Кочетковы</t>
  </si>
  <si>
    <t>Гришин В.</t>
  </si>
  <si>
    <t>Ашуров Х.</t>
  </si>
  <si>
    <t>Ример В.В.</t>
  </si>
  <si>
    <t>Слукина Ю.</t>
  </si>
  <si>
    <t>Шмаковы</t>
  </si>
  <si>
    <t>Анастасия Лисенкова</t>
  </si>
  <si>
    <t>Хлыстун Арина</t>
  </si>
  <si>
    <t>нал + сертификат</t>
  </si>
  <si>
    <t>Савельева Екатерина</t>
  </si>
  <si>
    <t>Хаустов Максим</t>
  </si>
  <si>
    <t>Булавин Иван</t>
  </si>
  <si>
    <t>Демычев Антон</t>
  </si>
  <si>
    <t>Кабиевы</t>
  </si>
  <si>
    <t>Митянин Николай</t>
  </si>
  <si>
    <t>Баротов Г</t>
  </si>
  <si>
    <t>Котляровы</t>
  </si>
  <si>
    <t>Горбашов Сергей</t>
  </si>
  <si>
    <t>Михеева Анна</t>
  </si>
  <si>
    <t>Болисова Арина</t>
  </si>
  <si>
    <t>Синяева А.</t>
  </si>
  <si>
    <t>Кежаева София</t>
  </si>
  <si>
    <t>Усманов И.А.</t>
  </si>
  <si>
    <t>Зайцев Александр</t>
  </si>
  <si>
    <t>Павлуткин Андрей</t>
  </si>
  <si>
    <t>РВИ</t>
  </si>
  <si>
    <t>Есина Ю.</t>
  </si>
  <si>
    <t>Павлов Анатолий</t>
  </si>
  <si>
    <t>Мусаевы</t>
  </si>
  <si>
    <t>Чистиль</t>
  </si>
  <si>
    <t>Данилова Е.</t>
  </si>
  <si>
    <t>Карпенко Сергей</t>
  </si>
  <si>
    <t>субсидия семейная 4,6%</t>
  </si>
  <si>
    <t>Колдакова Н.</t>
  </si>
  <si>
    <t>Ионов Алексей</t>
  </si>
  <si>
    <t>Леванова Яна</t>
  </si>
  <si>
    <t>Беляков н.</t>
  </si>
  <si>
    <t>Ращенко Ирина</t>
  </si>
  <si>
    <t>субсидия семейная 6,6%</t>
  </si>
  <si>
    <t>Боровик Егор</t>
  </si>
  <si>
    <t>Катаева Ирина</t>
  </si>
  <si>
    <t>Хужамова Хабиба</t>
  </si>
  <si>
    <t>Липняков Артем</t>
  </si>
  <si>
    <t>Шаронов</t>
  </si>
  <si>
    <t>Румянцев Денис</t>
  </si>
  <si>
    <t>Семенов Александр</t>
  </si>
  <si>
    <t>Семенова Азиза</t>
  </si>
  <si>
    <t>Никулов А.</t>
  </si>
  <si>
    <t>транш</t>
  </si>
  <si>
    <t>Полуянов Анатолий</t>
  </si>
  <si>
    <t>Меновщиков Алексей</t>
  </si>
  <si>
    <t>Шердяев Артем</t>
  </si>
  <si>
    <t>Головченко людмила</t>
  </si>
  <si>
    <t>Каримова Мадина</t>
  </si>
  <si>
    <t>Валерий Рашевский</t>
  </si>
  <si>
    <t>Виноградова Татьяна</t>
  </si>
  <si>
    <t>Банько Елена</t>
  </si>
  <si>
    <t>Петров Данила</t>
  </si>
  <si>
    <t>4 квартал 2024</t>
  </si>
  <si>
    <t>Романовы</t>
  </si>
  <si>
    <t>Захаров Руслан</t>
  </si>
  <si>
    <t>Аветисян Бабкен</t>
  </si>
  <si>
    <t>Дмитрий Сланин</t>
  </si>
  <si>
    <t>Пампуров Алексей</t>
  </si>
  <si>
    <t>Антипов Владимир</t>
  </si>
  <si>
    <t>Бузланов Михаил</t>
  </si>
  <si>
    <t>Алиева Ирина</t>
  </si>
  <si>
    <t>Плахотников Илья</t>
  </si>
  <si>
    <t>Севил</t>
  </si>
  <si>
    <t>Григоров Евгений</t>
  </si>
  <si>
    <t>Илья Девяткин</t>
  </si>
  <si>
    <t>Овсянниковы</t>
  </si>
  <si>
    <t>Бартновский Леонид</t>
  </si>
  <si>
    <t xml:space="preserve">Коноплева Светлана </t>
  </si>
  <si>
    <t>Щербакова Елена</t>
  </si>
  <si>
    <t>Гайнуллин Марат</t>
  </si>
  <si>
    <t>Поступайло Алексей</t>
  </si>
  <si>
    <t>сделка 15.04.2024</t>
  </si>
  <si>
    <t>Чеснокова Полина</t>
  </si>
  <si>
    <t>Смирнова Наталья</t>
  </si>
  <si>
    <t>сделка после 25.04</t>
  </si>
  <si>
    <t>Асабин Сергей</t>
  </si>
  <si>
    <t>сделка после 22.04</t>
  </si>
  <si>
    <t>Шуругин Петр</t>
  </si>
  <si>
    <t>сделка 30.04</t>
  </si>
  <si>
    <t>Куприянова Анастасия</t>
  </si>
  <si>
    <t>согласовываем ДДУ</t>
  </si>
  <si>
    <t>Брель Екатерина</t>
  </si>
  <si>
    <t>Константиновы Андрей и Анна</t>
  </si>
  <si>
    <t>Одинцов Андрей</t>
  </si>
  <si>
    <t>Пелин Артем</t>
  </si>
  <si>
    <t>Цена м2 отделки</t>
  </si>
  <si>
    <t>Савлук Егор</t>
  </si>
  <si>
    <t>Литвиненко Александр</t>
  </si>
  <si>
    <t>Шестковы Юлия и Рамиля</t>
  </si>
  <si>
    <t>Быков Владимир</t>
  </si>
  <si>
    <t>Егорова Анна</t>
  </si>
  <si>
    <t>Якимов Александр</t>
  </si>
  <si>
    <t>Мухаметьянов Радим</t>
  </si>
  <si>
    <t>Миронова Мария</t>
  </si>
  <si>
    <t>Никудимова Ольга А.</t>
  </si>
  <si>
    <t>Евсеев Владимир</t>
  </si>
  <si>
    <t>Масловы Евгений и Татьяна</t>
  </si>
  <si>
    <t>Сысоевы</t>
  </si>
  <si>
    <t>сделка 7.05</t>
  </si>
  <si>
    <t>Дедюлина</t>
  </si>
  <si>
    <t>сделка 08.05.24</t>
  </si>
  <si>
    <t>Виноградов илья</t>
  </si>
  <si>
    <t>Токмило</t>
  </si>
  <si>
    <t>сделка 16.05.24</t>
  </si>
  <si>
    <t>Саломатина</t>
  </si>
  <si>
    <t>Баранов Константин</t>
  </si>
  <si>
    <t>Репченко Анна</t>
  </si>
  <si>
    <t>Дрофа Анастасия</t>
  </si>
  <si>
    <t>Погосян Цогик</t>
  </si>
  <si>
    <t>Сапожников Дмитрий</t>
  </si>
  <si>
    <t>Самиевы</t>
  </si>
  <si>
    <t>Ильдюганов</t>
  </si>
  <si>
    <t>Сулейманов Станислав</t>
  </si>
  <si>
    <t>Оленич Олег</t>
  </si>
  <si>
    <t>Смирнова Юлия</t>
  </si>
  <si>
    <t>3 416 500,00</t>
  </si>
  <si>
    <t>Филатова Екатерина</t>
  </si>
  <si>
    <t>Прокопчук Ирина</t>
  </si>
  <si>
    <t>Фильченко О.В.</t>
  </si>
  <si>
    <t>Гиндус Марк</t>
  </si>
  <si>
    <t>Горбунова Е.В.</t>
  </si>
  <si>
    <t>Горячев М. А.</t>
  </si>
  <si>
    <t>Форкунова Е.В.</t>
  </si>
  <si>
    <t>Атнагулова К.</t>
  </si>
  <si>
    <t>Учина Е.С.</t>
  </si>
  <si>
    <t>Кеняйкин И.С.</t>
  </si>
  <si>
    <t>Кишонкова Л.Г.</t>
  </si>
  <si>
    <t>Дошимов Самат</t>
  </si>
  <si>
    <t>сдан на регистрацию, семейная</t>
  </si>
  <si>
    <t>Мостовщикова Т.</t>
  </si>
  <si>
    <t>Шарафутдинов Денис</t>
  </si>
  <si>
    <t>сдан на регистацию, семейная</t>
  </si>
  <si>
    <t>Семина Александра</t>
  </si>
  <si>
    <t>сдан на регистрацию, ГП</t>
  </si>
  <si>
    <t>Радина Марина</t>
  </si>
  <si>
    <t>Гараева Надежда</t>
  </si>
  <si>
    <t>Пешковы</t>
  </si>
  <si>
    <t>Бронские</t>
  </si>
  <si>
    <t>Корхалев Денис</t>
  </si>
  <si>
    <t>Сордия Ульяна</t>
  </si>
  <si>
    <t>Назины Дмитрий и Екатерина</t>
  </si>
  <si>
    <t>Чибидин Александр</t>
  </si>
  <si>
    <t>Махинько Семен</t>
  </si>
  <si>
    <t>Назаровы Юлия и Александр</t>
  </si>
  <si>
    <t>Чепов Сергей</t>
  </si>
  <si>
    <t>Куликова-Шилов</t>
  </si>
  <si>
    <t>Рогозянский Иван</t>
  </si>
  <si>
    <t>Кузнецова Елена</t>
  </si>
  <si>
    <t>Платонов Алексей</t>
  </si>
  <si>
    <t>Коткова Елена</t>
  </si>
  <si>
    <t>Якупова Г.М.</t>
  </si>
  <si>
    <t>Луканов Алексей IT</t>
  </si>
  <si>
    <t>сдан на регистрацию, IT</t>
  </si>
  <si>
    <t>Мякишева Алена</t>
  </si>
  <si>
    <t>Карабаненко Мадина</t>
  </si>
  <si>
    <t>Курмашов Аскар</t>
  </si>
  <si>
    <t>Преснякова Оксана</t>
  </si>
  <si>
    <t>Панова Светлана</t>
  </si>
  <si>
    <t>Гвоздев Владислав</t>
  </si>
  <si>
    <t>Ященко А</t>
  </si>
  <si>
    <t>Лямина Ирина</t>
  </si>
  <si>
    <t>Дворникова Екатерина</t>
  </si>
  <si>
    <t>Мурзаевы</t>
  </si>
  <si>
    <t>Толмачева Татьяна</t>
  </si>
  <si>
    <t>Эрназарова</t>
  </si>
  <si>
    <t>Ронжина Наталья</t>
  </si>
  <si>
    <t xml:space="preserve">Андреева Ирина </t>
  </si>
  <si>
    <t>Баев Дмитрий</t>
  </si>
  <si>
    <t>Краснослободцева Татьяна</t>
  </si>
  <si>
    <t>Сельсков Александр</t>
  </si>
  <si>
    <t>Кухлянский</t>
  </si>
  <si>
    <t>Халиков Бахтиер</t>
  </si>
  <si>
    <t xml:space="preserve">Сеийдли </t>
  </si>
  <si>
    <t>Джумаева</t>
  </si>
  <si>
    <t>Ашмарин Дмитрий</t>
  </si>
  <si>
    <t>Муругова Е.А.</t>
  </si>
  <si>
    <t>Курбанаева Г.Г.</t>
  </si>
  <si>
    <t>Калюжин К.</t>
  </si>
  <si>
    <t>Оганнисян Феликс</t>
  </si>
  <si>
    <t>сдан  на регистрацию, семейная</t>
  </si>
  <si>
    <t>Филимонова Юлия</t>
  </si>
  <si>
    <t xml:space="preserve">сдан на регистрацию, семейная </t>
  </si>
  <si>
    <t>Колпакова Д</t>
  </si>
  <si>
    <t>Коба М.</t>
  </si>
  <si>
    <t xml:space="preserve">Беликов </t>
  </si>
  <si>
    <t>семейная</t>
  </si>
  <si>
    <t>Шевченко Е.</t>
  </si>
  <si>
    <t>Ширяева Н.С.</t>
  </si>
  <si>
    <t>Юнусов Р.</t>
  </si>
  <si>
    <t>на регистрации, ГП</t>
  </si>
  <si>
    <t>Солдатова Юлия</t>
  </si>
  <si>
    <t>Корнеев Илья</t>
  </si>
  <si>
    <t>Зотова Екатерина</t>
  </si>
  <si>
    <t>Воленко Дмитрий и Светлана</t>
  </si>
  <si>
    <t xml:space="preserve">не продали квартиру </t>
  </si>
  <si>
    <t>трейд ин, сделка в июле</t>
  </si>
  <si>
    <t>Баркова Галина</t>
  </si>
  <si>
    <t>требуется разрешение опеки</t>
  </si>
  <si>
    <t>РВИ, отправлены курьером документы</t>
  </si>
  <si>
    <t>Сатдаров Рауф</t>
  </si>
  <si>
    <t>Елин В.Ю.</t>
  </si>
  <si>
    <t>Филиппов</t>
  </si>
  <si>
    <t>Валов Анатолий</t>
  </si>
  <si>
    <t>Бабенков Андрей</t>
  </si>
  <si>
    <t>Юрченко Е.О.</t>
  </si>
  <si>
    <t>Юлтаева Регина</t>
  </si>
  <si>
    <t>Рашидова Дилрабо</t>
  </si>
  <si>
    <t>Ведькалов Дмитрий</t>
  </si>
  <si>
    <t>Немчинов Иван</t>
  </si>
  <si>
    <t>Краснова Анастасия</t>
  </si>
  <si>
    <t>Сочивко</t>
  </si>
  <si>
    <t>на август, нужно открыть счет эскроу</t>
  </si>
  <si>
    <t>Вильданова</t>
  </si>
  <si>
    <t>Мечова Марина</t>
  </si>
  <si>
    <t>сделка на 30.07</t>
  </si>
  <si>
    <t>Меделяева Марина</t>
  </si>
  <si>
    <t>сделка на 31.07</t>
  </si>
  <si>
    <t>Циунель Мария</t>
  </si>
  <si>
    <t>Померанцев Денис</t>
  </si>
  <si>
    <t>готовим дду, IT  ипотека</t>
  </si>
  <si>
    <t>Чустиль Ирина и Максим</t>
  </si>
  <si>
    <t>Клянин Евгений</t>
  </si>
  <si>
    <t>Левагина Екатерина</t>
  </si>
  <si>
    <t>Скрибец Г.К.</t>
  </si>
  <si>
    <t>Филиппова Виктория Алексеевна</t>
  </si>
  <si>
    <t>12.08 готова на сделку</t>
  </si>
  <si>
    <t xml:space="preserve">Пантелеева Ирина </t>
  </si>
  <si>
    <t>Туйзюкова Ольга</t>
  </si>
  <si>
    <t>Шигильчин Вадим Михайлович</t>
  </si>
  <si>
    <t>Чистяковы</t>
  </si>
  <si>
    <t>Меметова Фериде Изетовна</t>
  </si>
  <si>
    <t>Савельевы</t>
  </si>
  <si>
    <t>Рузиевы</t>
  </si>
  <si>
    <t>Очеретенко</t>
  </si>
  <si>
    <t>Салиев Вахоп</t>
  </si>
  <si>
    <t>Мордашова Е.В.</t>
  </si>
  <si>
    <t>Хачатурян Армине</t>
  </si>
  <si>
    <t>Лымарева Елена</t>
  </si>
  <si>
    <t>Акопян Даниил</t>
  </si>
  <si>
    <t>Землянова Елена</t>
  </si>
  <si>
    <t>Встреча</t>
  </si>
  <si>
    <t>Нурдинов Николай Искендарович</t>
  </si>
  <si>
    <t>Рыбакин Степан Анатольевич</t>
  </si>
  <si>
    <t>Якимов Василий</t>
  </si>
  <si>
    <t>Гаврилов Павел</t>
  </si>
  <si>
    <t>Чекунов Владимир Леонидович</t>
  </si>
  <si>
    <t>Грамзин Руслан</t>
  </si>
  <si>
    <t>Милохов Никита</t>
  </si>
  <si>
    <t>Чугунова Ирина</t>
  </si>
  <si>
    <t xml:space="preserve">Глазунов Игорь </t>
  </si>
  <si>
    <t>Косимов Ахрор</t>
  </si>
  <si>
    <t>Иглин Дмитрий</t>
  </si>
  <si>
    <t>Алексеева Екатерина</t>
  </si>
  <si>
    <t>Козяевы</t>
  </si>
  <si>
    <t xml:space="preserve">Набиева </t>
  </si>
  <si>
    <t>Арефьев Михаил</t>
  </si>
  <si>
    <t>Сынковы Елена и Петр</t>
  </si>
  <si>
    <t>одобрена в Абсолют банке</t>
  </si>
  <si>
    <t>ищет ПВ</t>
  </si>
  <si>
    <t>думает будет рассрочка или ипотека</t>
  </si>
  <si>
    <t>Киреев Алексей и Маргарита</t>
  </si>
  <si>
    <t>Буланов Артём</t>
  </si>
  <si>
    <t>Горбачева Наталья</t>
  </si>
  <si>
    <t>26 929</t>
  </si>
  <si>
    <t>Лайкова Екатерина</t>
  </si>
  <si>
    <t>Саханова</t>
  </si>
  <si>
    <t>ждем лимитов от Сбера</t>
  </si>
  <si>
    <t>Сергеев Дмтирий</t>
  </si>
  <si>
    <t xml:space="preserve">Ланьшова Юлия </t>
  </si>
  <si>
    <t>Коновалова Лариса</t>
  </si>
  <si>
    <t>Мхитарян Джульета Арамаисовна</t>
  </si>
  <si>
    <t>Гусейнов Магомед</t>
  </si>
  <si>
    <t>Василишин Егор</t>
  </si>
  <si>
    <t>Архипов Роман</t>
  </si>
  <si>
    <t>Аюев Александр</t>
  </si>
  <si>
    <t>Евгений и Анастасия Ли</t>
  </si>
  <si>
    <t xml:space="preserve">Малых Полина </t>
  </si>
  <si>
    <t>Петрова Ксения</t>
  </si>
  <si>
    <t>Кожевникова Татьяна</t>
  </si>
  <si>
    <t>Панарина Ирина</t>
  </si>
  <si>
    <t>Черепова Оксана</t>
  </si>
  <si>
    <t>Сафиулина</t>
  </si>
  <si>
    <t>Власик</t>
  </si>
  <si>
    <t>Кодиров Бобур</t>
  </si>
  <si>
    <t xml:space="preserve">Гизатулин Тимур </t>
  </si>
  <si>
    <t>Акбулатова</t>
  </si>
  <si>
    <t>Тарасевич</t>
  </si>
  <si>
    <t>Сарханова Альфия</t>
  </si>
  <si>
    <t>Блажева Т.И.</t>
  </si>
  <si>
    <t>Курбанов</t>
  </si>
  <si>
    <t>Дуспулов Канат</t>
  </si>
  <si>
    <t>Морозова Марина</t>
  </si>
  <si>
    <t>Маркова</t>
  </si>
  <si>
    <t>Иванченко</t>
  </si>
  <si>
    <t>Данилина Наталья</t>
  </si>
  <si>
    <t>Мирзоева Арзу Худаверди кызы</t>
  </si>
  <si>
    <t>Оруджев Маил</t>
  </si>
  <si>
    <t>Теплов Артем</t>
  </si>
  <si>
    <t>Абдурахмонов Файзулло</t>
  </si>
  <si>
    <t>Черникова Елена</t>
  </si>
  <si>
    <t>Насибов Ровшан</t>
  </si>
  <si>
    <t>ДДУ готов, выводим</t>
  </si>
  <si>
    <t>Шигирданов Сергей</t>
  </si>
  <si>
    <t>Одобрен, ждем скидку</t>
  </si>
  <si>
    <t>Дмитрий Уваров</t>
  </si>
  <si>
    <t>Готовим на сделку</t>
  </si>
  <si>
    <t>Яздонов Баходуржон</t>
  </si>
  <si>
    <t>Павлова Екатерина</t>
  </si>
  <si>
    <t>Ждем запись на сделку</t>
  </si>
  <si>
    <t>Чернова Елена</t>
  </si>
  <si>
    <t>Богомолова Т.В.</t>
  </si>
  <si>
    <t xml:space="preserve">Заика Алина </t>
  </si>
  <si>
    <t>Маркушин Сергей</t>
  </si>
  <si>
    <t>Жумагалиевы Диана</t>
  </si>
  <si>
    <t>Разумова Анастасия</t>
  </si>
  <si>
    <t>Вахобов Ж.</t>
  </si>
  <si>
    <t xml:space="preserve">Демина Эльвира </t>
  </si>
  <si>
    <t>Трифонова Дарья</t>
  </si>
  <si>
    <t>Юлдашева Тахмина</t>
  </si>
  <si>
    <t xml:space="preserve">Черновая </t>
  </si>
  <si>
    <t xml:space="preserve">Мусаева Полина </t>
  </si>
  <si>
    <t xml:space="preserve">СЭР </t>
  </si>
  <si>
    <t xml:space="preserve">Курбангалеев </t>
  </si>
  <si>
    <t>Мороз Владимир</t>
  </si>
  <si>
    <t>Соколов Илья</t>
  </si>
  <si>
    <t>Самойлов</t>
  </si>
  <si>
    <t xml:space="preserve">ждем продажу его квартиры </t>
  </si>
  <si>
    <t>Русскин Андрей</t>
  </si>
  <si>
    <t>Неясов</t>
  </si>
  <si>
    <t>Пронин Александр</t>
  </si>
  <si>
    <t>Филиппов Алексей</t>
  </si>
  <si>
    <t>Саблукова Юлия</t>
  </si>
  <si>
    <t>Богатова Ольга</t>
  </si>
  <si>
    <t>Германова Мария</t>
  </si>
  <si>
    <t>Каргина Виктория</t>
  </si>
  <si>
    <t xml:space="preserve"> сделка 18.12.24</t>
  </si>
  <si>
    <t>Куанышева Талныш</t>
  </si>
  <si>
    <t xml:space="preserve">Гукасян Лилит </t>
  </si>
  <si>
    <t>Шустиковы Лилия и Денис</t>
  </si>
  <si>
    <t xml:space="preserve">Усманов Айрат </t>
  </si>
  <si>
    <t>Моисеев Алексей</t>
  </si>
  <si>
    <t>Дурандин Евгений</t>
  </si>
  <si>
    <t>Санталова О.О.</t>
  </si>
  <si>
    <t>Тошмадов Р.Х.</t>
  </si>
  <si>
    <t>Явкаева В.С.</t>
  </si>
  <si>
    <t xml:space="preserve">Леднев Самуил </t>
  </si>
  <si>
    <t xml:space="preserve">ждем мск </t>
  </si>
  <si>
    <t>офис 3</t>
  </si>
  <si>
    <t>ПДКП</t>
  </si>
  <si>
    <t>ООО «СПЕЦУНИВЕРСАЛ»</t>
  </si>
  <si>
    <t xml:space="preserve">офис 5 </t>
  </si>
  <si>
    <t>офис 6</t>
  </si>
  <si>
    <t>Теплов А.</t>
  </si>
  <si>
    <t>кладовая 9</t>
  </si>
  <si>
    <t>Комарова Екатерина</t>
  </si>
  <si>
    <t>АН-Все метры</t>
  </si>
  <si>
    <t>Котович Илья Сергеевич</t>
  </si>
  <si>
    <t>Исайчева Евгения</t>
  </si>
  <si>
    <t>Шнякин Кирилл</t>
  </si>
  <si>
    <t>Смеловская Елена</t>
  </si>
  <si>
    <t>Цой Сергей</t>
  </si>
  <si>
    <t>Керосиров Дмитрий Николаевич</t>
  </si>
  <si>
    <t>Циммерман Алена</t>
  </si>
  <si>
    <t>Халитов Ленар</t>
  </si>
  <si>
    <t>Семенова Евгения</t>
  </si>
  <si>
    <t>Усейнова Алсу</t>
  </si>
  <si>
    <t>39 650</t>
  </si>
  <si>
    <t>Алижонова Фатима</t>
  </si>
  <si>
    <t>Петрова Надежда</t>
  </si>
  <si>
    <t>Шуругина Кристина</t>
  </si>
  <si>
    <t>Владимировы</t>
  </si>
  <si>
    <t>Ястребовы</t>
  </si>
  <si>
    <t>Климов</t>
  </si>
  <si>
    <t xml:space="preserve">Пешкина </t>
  </si>
  <si>
    <t>Тухфатуллина Регина</t>
  </si>
  <si>
    <t>Долбин Дмитрий</t>
  </si>
  <si>
    <t>39 905</t>
  </si>
  <si>
    <t>Романова Елена Николаевна</t>
  </si>
  <si>
    <t>Соколов Александр</t>
  </si>
  <si>
    <t>Лазарев Виталий</t>
  </si>
  <si>
    <t>Протопопова Полина</t>
  </si>
  <si>
    <t>Леонгард Таисия</t>
  </si>
  <si>
    <t>Ан -ДомКлик</t>
  </si>
  <si>
    <t>Баландова Галина/Халитов Ленар</t>
  </si>
  <si>
    <t>Латыпова Ольга</t>
  </si>
  <si>
    <t>Абдуллоева Махина</t>
  </si>
  <si>
    <t>Шевчук Татьяна</t>
  </si>
  <si>
    <t>Бабушкина Марина</t>
  </si>
  <si>
    <t>Беликов А.А.</t>
  </si>
  <si>
    <t>Вилков Кирилл</t>
  </si>
  <si>
    <t>40296, 39614</t>
  </si>
  <si>
    <t>Люкова Л.Т.</t>
  </si>
  <si>
    <t>Абдуллаева Курманжан</t>
  </si>
  <si>
    <t>Колчина Светлана</t>
  </si>
  <si>
    <t>Каменко Вячеслав</t>
  </si>
  <si>
    <t>Новосельская Я.С.</t>
  </si>
  <si>
    <t>Жлуктов А.В.</t>
  </si>
  <si>
    <t xml:space="preserve"> Маркова Марина Евгеньевна</t>
  </si>
  <si>
    <t>черновая</t>
  </si>
  <si>
    <t>Кожухов Иван</t>
  </si>
  <si>
    <t>Покупка в рассрочку для инвестиций</t>
  </si>
  <si>
    <t>Дубошина Надежда</t>
  </si>
  <si>
    <t xml:space="preserve">Новосельская Я.С. </t>
  </si>
  <si>
    <t>36 781</t>
  </si>
  <si>
    <t xml:space="preserve"> Гоцуляк Т.А. </t>
  </si>
  <si>
    <t>Волков Дмитрий</t>
  </si>
  <si>
    <t xml:space="preserve">Валиева </t>
  </si>
  <si>
    <t>Рослякова Алена</t>
  </si>
  <si>
    <t>Головченко Сергей</t>
  </si>
  <si>
    <t>записан на 10.03</t>
  </si>
  <si>
    <t xml:space="preserve">Герасимова </t>
  </si>
  <si>
    <t>Михальченко Алла</t>
  </si>
  <si>
    <t>записана на 12.03</t>
  </si>
  <si>
    <t xml:space="preserve">Ахмедова </t>
  </si>
  <si>
    <t>Каратаева Ирина</t>
  </si>
  <si>
    <t>на сделку  21.03</t>
  </si>
  <si>
    <t>Шерин Виталий</t>
  </si>
  <si>
    <t>на сделку 26.03</t>
  </si>
  <si>
    <t xml:space="preserve">Денисов </t>
  </si>
  <si>
    <t>Оруджева</t>
  </si>
  <si>
    <t>Оруджев</t>
  </si>
  <si>
    <t>Соколова</t>
  </si>
  <si>
    <t>сделка 27.03</t>
  </si>
  <si>
    <t>Дмитриева-Крылов</t>
  </si>
  <si>
    <t>сделка 20.03.25</t>
  </si>
  <si>
    <t>Уварова Алена</t>
  </si>
  <si>
    <t>сделка 17.03</t>
  </si>
  <si>
    <t>Довыденко Лариса</t>
  </si>
  <si>
    <t>Германов Дмитрий</t>
  </si>
  <si>
    <t>Лазарева Татьяна</t>
  </si>
  <si>
    <t>28.03.25 без СБР, дистанционно</t>
  </si>
  <si>
    <t>Дьячкова Оксана</t>
  </si>
  <si>
    <t>Бекетов Евгений</t>
  </si>
  <si>
    <t>Пелипенко Иван</t>
  </si>
  <si>
    <t>Зражевская Илона</t>
  </si>
  <si>
    <t>сделка 24.03</t>
  </si>
  <si>
    <t>Дикая Юлия</t>
  </si>
  <si>
    <t xml:space="preserve">Кирдяшева Кристина </t>
  </si>
  <si>
    <t>Гергерт Светлана</t>
  </si>
  <si>
    <t>Лысюк</t>
  </si>
  <si>
    <t xml:space="preserve">Корабельников </t>
  </si>
  <si>
    <t>Муротова</t>
  </si>
  <si>
    <t>Будько</t>
  </si>
  <si>
    <t>Жерновой</t>
  </si>
  <si>
    <t>Сарибекян Сурен</t>
  </si>
  <si>
    <t>Зенин Александр</t>
  </si>
  <si>
    <t>Толмачева Елена</t>
  </si>
  <si>
    <t>Новиков Иван</t>
  </si>
  <si>
    <t>Икромов Азизбек</t>
  </si>
  <si>
    <t xml:space="preserve">Карпушкин Виталий </t>
  </si>
  <si>
    <t>Шестернин Денис</t>
  </si>
  <si>
    <t>Александр/Яна</t>
  </si>
  <si>
    <t>Кладовая №5</t>
  </si>
  <si>
    <t>Наличка</t>
  </si>
  <si>
    <t>Люкшина Дарья</t>
  </si>
  <si>
    <t>Кладовая №2</t>
  </si>
  <si>
    <t>Кучерявая Анна</t>
  </si>
  <si>
    <t xml:space="preserve">Хайдаров </t>
  </si>
  <si>
    <t>Миронцева Евгения</t>
  </si>
  <si>
    <t xml:space="preserve">Щербаков Клим </t>
  </si>
  <si>
    <t xml:space="preserve">Шипиш </t>
  </si>
  <si>
    <t>Пыжикова Надежда Сергеевна</t>
  </si>
  <si>
    <t>Кладовая №3</t>
  </si>
  <si>
    <t>Гараева Н.А.</t>
  </si>
  <si>
    <t xml:space="preserve">Кладовая №4 </t>
  </si>
  <si>
    <t>Немчинов</t>
  </si>
  <si>
    <t>Ишханян Аня</t>
  </si>
  <si>
    <t>Турченко Михаил</t>
  </si>
  <si>
    <t xml:space="preserve">Незабудкина Светлана </t>
  </si>
  <si>
    <t xml:space="preserve">Годованик Наталья </t>
  </si>
  <si>
    <t>Захаров</t>
  </si>
  <si>
    <t>Никитина Евгения</t>
  </si>
  <si>
    <t>Кладовая №6</t>
  </si>
  <si>
    <t>Худошина лариса</t>
  </si>
  <si>
    <t>Кладовая №1</t>
  </si>
  <si>
    <t>Елин Вячеслав</t>
  </si>
  <si>
    <t>Ахвердян Шогик</t>
  </si>
  <si>
    <t>Порубачий</t>
  </si>
  <si>
    <t>Петрова Татьяна</t>
  </si>
  <si>
    <t>Благодарева Любовь</t>
  </si>
  <si>
    <t>Исомаддинова Фируза</t>
  </si>
  <si>
    <t>Мурадян Артак</t>
  </si>
  <si>
    <t>Железникова Ольга</t>
  </si>
  <si>
    <t>Азизова Зебо</t>
  </si>
  <si>
    <t>оф 5</t>
  </si>
  <si>
    <t>Джурик Денис</t>
  </si>
  <si>
    <t>Чернова Алина</t>
  </si>
  <si>
    <t>оф 1</t>
  </si>
  <si>
    <t>Атласов А.А.</t>
  </si>
  <si>
    <t>оф 2</t>
  </si>
  <si>
    <t>оф 6</t>
  </si>
  <si>
    <t>Малышева Светлана</t>
  </si>
  <si>
    <t>Андреев Михаил</t>
  </si>
  <si>
    <t xml:space="preserve">Ишков Алексей </t>
  </si>
  <si>
    <t>Савченка и Самохина</t>
  </si>
  <si>
    <t>Жилина Ольга</t>
  </si>
  <si>
    <t>Николаев Федор и Елизавета</t>
  </si>
  <si>
    <t>Джамолов Д</t>
  </si>
  <si>
    <t>Иванова Юлия</t>
  </si>
  <si>
    <t>Рассрочка, ПВ - МСК</t>
  </si>
  <si>
    <t xml:space="preserve">Темераалеев </t>
  </si>
  <si>
    <t>Александр Шулепов</t>
  </si>
  <si>
    <t>Казакова Олеся</t>
  </si>
  <si>
    <t xml:space="preserve">Купцова Наталья </t>
  </si>
  <si>
    <t>Боязитова Алина</t>
  </si>
  <si>
    <t>Умбетов Серик</t>
  </si>
  <si>
    <t>Зобнина Анна</t>
  </si>
  <si>
    <t>Морятова О.</t>
  </si>
  <si>
    <t>Зотова Н.</t>
  </si>
  <si>
    <t>Филиппов С.</t>
  </si>
  <si>
    <t>Качаев</t>
  </si>
  <si>
    <t>Кувачева</t>
  </si>
  <si>
    <t>Шляхов Валентин</t>
  </si>
  <si>
    <t>Рыбаков М.С.</t>
  </si>
  <si>
    <t>Икромов Фируз</t>
  </si>
  <si>
    <t>Губайдуллов</t>
  </si>
  <si>
    <t xml:space="preserve">Хайитбоева </t>
  </si>
  <si>
    <t>АН ДомКлик</t>
  </si>
  <si>
    <t>Валиева Райхона</t>
  </si>
  <si>
    <t>Таран Валерия</t>
  </si>
  <si>
    <t>за месяц</t>
  </si>
  <si>
    <t>Дата подачи на регистрацию</t>
  </si>
  <si>
    <t>Секция</t>
  </si>
  <si>
    <t>№ на этаже</t>
  </si>
  <si>
    <t>Этаж</t>
  </si>
  <si>
    <t>Тип кв</t>
  </si>
  <si>
    <t>S</t>
  </si>
  <si>
    <t xml:space="preserve">Отделка </t>
  </si>
  <si>
    <t>Сумма договора</t>
  </si>
  <si>
    <t>Пл. бронь</t>
  </si>
  <si>
    <t>Стоимость с отделкой итог</t>
  </si>
  <si>
    <t>Цена м2 с отделкой итог</t>
  </si>
  <si>
    <t>Стоимость отделки</t>
  </si>
  <si>
    <t>Стоимость без отделки итог</t>
  </si>
  <si>
    <t>Цена м2 без отделки итог</t>
  </si>
  <si>
    <t>Вариант оплаты</t>
  </si>
  <si>
    <t>Название акции</t>
  </si>
  <si>
    <t>Сумма скидки</t>
  </si>
  <si>
    <t>Программа кредитования</t>
  </si>
  <si>
    <t>Дата договора</t>
  </si>
  <si>
    <t>№ договора</t>
  </si>
  <si>
    <t>Состояние</t>
  </si>
  <si>
    <t>Электронная регистрация</t>
  </si>
  <si>
    <t>Способ регистрации</t>
  </si>
  <si>
    <t>Тип покупки</t>
  </si>
  <si>
    <t>Банк</t>
  </si>
  <si>
    <t>Дата расторжения</t>
  </si>
  <si>
    <t>Основной клиент</t>
  </si>
  <si>
    <t>Мобильный телефон</t>
  </si>
  <si>
    <t>Электронная почта</t>
  </si>
  <si>
    <t>Источник обращения</t>
  </si>
  <si>
    <t>Источник рекламы</t>
  </si>
  <si>
    <t>Источник маркетинга</t>
  </si>
  <si>
    <t>Фикс за АН</t>
  </si>
  <si>
    <t>Комментарий</t>
  </si>
  <si>
    <t>Б</t>
  </si>
  <si>
    <t>100%</t>
  </si>
  <si>
    <t>1/2-22/292</t>
  </si>
  <si>
    <t>ДДУ</t>
  </si>
  <si>
    <t>Эфендиев Юрий Исмаилович</t>
  </si>
  <si>
    <t>79179497720</t>
  </si>
  <si>
    <t>yuriief63@gmail.com</t>
  </si>
  <si>
    <t>Реклама в ТК - Брандмауэр на Амбаре</t>
  </si>
  <si>
    <t>Первичная встреча</t>
  </si>
  <si>
    <t>А</t>
  </si>
  <si>
    <t>1/1-02/001</t>
  </si>
  <si>
    <t>Расторгнут</t>
  </si>
  <si>
    <t>Мельникова Светлана Геннадьевна</t>
  </si>
  <si>
    <t>79171682931</t>
  </si>
  <si>
    <t>melnikova@globalvsn.com</t>
  </si>
  <si>
    <t>Нет ответа</t>
  </si>
  <si>
    <t>Нет данных</t>
  </si>
  <si>
    <t>1/1-06/042</t>
  </si>
  <si>
    <t>Аглиуллина Рузалия Минвалиевна</t>
  </si>
  <si>
    <t>79179568450</t>
  </si>
  <si>
    <t>biktimerovasamara@gmail.com</t>
  </si>
  <si>
    <t>1/1-13/117</t>
  </si>
  <si>
    <t>Дериглазова Оксана Викторовна</t>
  </si>
  <si>
    <t>79270107370</t>
  </si>
  <si>
    <t>Deriglazova-oks@mail.ru</t>
  </si>
  <si>
    <t>Партнерство - Другое (указать источник)</t>
  </si>
  <si>
    <t>Виденева</t>
  </si>
  <si>
    <t>1/1-09/072</t>
  </si>
  <si>
    <t>1/2-21/288</t>
  </si>
  <si>
    <t>Рудченко Анна Владимировна</t>
  </si>
  <si>
    <t>79608170398</t>
  </si>
  <si>
    <t>rudchenko1980@mail.ru</t>
  </si>
  <si>
    <t>Объект - Стройка</t>
  </si>
  <si>
    <t>1/1-16/147</t>
  </si>
  <si>
    <t>Федченко Юрий Николаевич</t>
  </si>
  <si>
    <t>79272085711</t>
  </si>
  <si>
    <t>as909jf@mail.ru</t>
  </si>
  <si>
    <t>1/2-23/301</t>
  </si>
  <si>
    <t>Тенишева Оксана Анатольевна</t>
  </si>
  <si>
    <t>79608146060</t>
  </si>
  <si>
    <t>astrat63@yandex.ru</t>
  </si>
  <si>
    <t>Соцсети - ВКонтакте</t>
  </si>
  <si>
    <t>1/2-09/201</t>
  </si>
  <si>
    <t>Гроздова Виктория Александровна</t>
  </si>
  <si>
    <t>79276883846</t>
  </si>
  <si>
    <t>VKravtsova1991@yandex.ru</t>
  </si>
  <si>
    <t>Интернет</t>
  </si>
  <si>
    <t>1/1-08/069</t>
  </si>
  <si>
    <t>Никонорова Ольга Викторовна</t>
  </si>
  <si>
    <t>79272613607</t>
  </si>
  <si>
    <t>vovan.samara.72@mail.ru</t>
  </si>
  <si>
    <t>1/2-09/203</t>
  </si>
  <si>
    <t>Дом.РФ</t>
  </si>
  <si>
    <t>Мезенцев Дмитрий Владимирович</t>
  </si>
  <si>
    <t>79277661383</t>
  </si>
  <si>
    <t>dmitrijmezencev24@gmail.com</t>
  </si>
  <si>
    <t>Французова</t>
  </si>
  <si>
    <t>1/2-23/302</t>
  </si>
  <si>
    <t>ВТБ</t>
  </si>
  <si>
    <t>Хурамшин Марсель Исмагилович</t>
  </si>
  <si>
    <t>79171133544</t>
  </si>
  <si>
    <t>kseniya.huramshina@mail.ru</t>
  </si>
  <si>
    <t>Полиграфия - Лифлет</t>
  </si>
  <si>
    <t>Первичный звонок</t>
  </si>
  <si>
    <t>1/2-19/275</t>
  </si>
  <si>
    <t>Сбербанк</t>
  </si>
  <si>
    <t>Минигалимов Мазит Минзуфарович</t>
  </si>
  <si>
    <t>79608111867</t>
  </si>
  <si>
    <t>rinkom277@yandex.ru</t>
  </si>
  <si>
    <t>1/2-24-307</t>
  </si>
  <si>
    <t>Абсолют банк</t>
  </si>
  <si>
    <t>Стасенко Сергей Валерьевич</t>
  </si>
  <si>
    <t>79879209668</t>
  </si>
  <si>
    <t>stasenko.serge@yandex.ru</t>
  </si>
  <si>
    <t>Доп. бронь (Вторичная)</t>
  </si>
  <si>
    <t>В</t>
  </si>
  <si>
    <t>1/3-02/314</t>
  </si>
  <si>
    <t>Полуэктов Виталий Викторович</t>
  </si>
  <si>
    <t>79272099676</t>
  </si>
  <si>
    <t>vintag.w@list.ru</t>
  </si>
  <si>
    <t>1/2-20/280</t>
  </si>
  <si>
    <t>Хомякова Ольга Леонидовна</t>
  </si>
  <si>
    <t>79277499793</t>
  </si>
  <si>
    <t>makhamat2017@yandex.ru</t>
  </si>
  <si>
    <t>Пресса - СМИ online</t>
  </si>
  <si>
    <t>1/1-05/031</t>
  </si>
  <si>
    <t>Синицын Алексей Михайлович</t>
  </si>
  <si>
    <t>79966224077</t>
  </si>
  <si>
    <t>no@no</t>
  </si>
  <si>
    <t>1/2-17/257</t>
  </si>
  <si>
    <t>Салахова Гулина Наильевна</t>
  </si>
  <si>
    <t>79297000197</t>
  </si>
  <si>
    <t>l.evk@yandex.ru</t>
  </si>
  <si>
    <t>1/2-18/264</t>
  </si>
  <si>
    <t>Повторное обращение</t>
  </si>
  <si>
    <t>1/1-08/067</t>
  </si>
  <si>
    <t>Карманникова Светлана Вячеславовна</t>
  </si>
  <si>
    <t>79179540217</t>
  </si>
  <si>
    <t>svk2805@mail.ru</t>
  </si>
  <si>
    <t>Полиграфия - Буклеты</t>
  </si>
  <si>
    <t>1/3-03/322</t>
  </si>
  <si>
    <t>Басова Елена Анатольевна</t>
  </si>
  <si>
    <t>79270179449</t>
  </si>
  <si>
    <t>jasmin77777@yandex.ru</t>
  </si>
  <si>
    <t>1/1-04/021</t>
  </si>
  <si>
    <t>Уступка</t>
  </si>
  <si>
    <t>Минина Анастасия Алексеевна</t>
  </si>
  <si>
    <t>79171409247</t>
  </si>
  <si>
    <t>Kesha_as163@mail.ru</t>
  </si>
  <si>
    <t>Звонок</t>
  </si>
  <si>
    <t>Сайт</t>
  </si>
  <si>
    <t>1/1-11/092</t>
  </si>
  <si>
    <t>Корнилин Александр Александрович</t>
  </si>
  <si>
    <t>79277221112</t>
  </si>
  <si>
    <t>aakornilin@gmail.com</t>
  </si>
  <si>
    <t>Рекомендации - Клиенты</t>
  </si>
  <si>
    <t>1/3-07/355</t>
  </si>
  <si>
    <t>Хадыкин Сергей Владимирович</t>
  </si>
  <si>
    <t>79171289321</t>
  </si>
  <si>
    <t>Ebash_hardcore163@rambler.ru</t>
  </si>
  <si>
    <t>1/1-07/054</t>
  </si>
  <si>
    <t>Каширова Ольга Михайловна</t>
  </si>
  <si>
    <t>79639171662</t>
  </si>
  <si>
    <t>okashirova36@gmail.ru</t>
  </si>
  <si>
    <t>1/1-15/134</t>
  </si>
  <si>
    <t>Ланцов Алексей Александрович</t>
  </si>
  <si>
    <t>79272041378</t>
  </si>
  <si>
    <t>tcfantom1@yandex.ru</t>
  </si>
  <si>
    <t>1/2-21/287</t>
  </si>
  <si>
    <t>Гладецкий Эдуард Вадимович</t>
  </si>
  <si>
    <t>79276979754</t>
  </si>
  <si>
    <t>gladetskiy@list.ru</t>
  </si>
  <si>
    <t>1/2-07/186</t>
  </si>
  <si>
    <t>Галимов Ринат Рифатович</t>
  </si>
  <si>
    <t>79277256232</t>
  </si>
  <si>
    <t>rinat250580@gmail.com</t>
  </si>
  <si>
    <t xml:space="preserve">SEO Яндекс </t>
  </si>
  <si>
    <t>1/2-23/300</t>
  </si>
  <si>
    <t>Вольных Дмитрий Юрьевич</t>
  </si>
  <si>
    <t>79277566651</t>
  </si>
  <si>
    <t>v777op@mail.ru</t>
  </si>
  <si>
    <t>1/2-16/252</t>
  </si>
  <si>
    <t>Кичатова Анна Сергеевна</t>
  </si>
  <si>
    <t>79270094503</t>
  </si>
  <si>
    <t>anna_50898@mail.ru</t>
  </si>
  <si>
    <t>Контекст - Google</t>
  </si>
  <si>
    <t>1/2-02/154</t>
  </si>
  <si>
    <t>Золотов Дмитрий Олегович</t>
  </si>
  <si>
    <t>79371769779</t>
  </si>
  <si>
    <t>zorro638@gmail.com</t>
  </si>
  <si>
    <t>Реклама в ТК - Навигация в Амбаре</t>
  </si>
  <si>
    <t>Инстаграм</t>
  </si>
  <si>
    <t>1/1-06/045</t>
  </si>
  <si>
    <t>Патрина Татьяна Николаевна</t>
  </si>
  <si>
    <t>79272019224</t>
  </si>
  <si>
    <t>t.patrina73@yandex.ru</t>
  </si>
  <si>
    <t>Контекст - Яндекс</t>
  </si>
  <si>
    <t>Астафурова</t>
  </si>
  <si>
    <t>Скидка иногородним</t>
  </si>
  <si>
    <t>1/1-07/056</t>
  </si>
  <si>
    <t>Шипунов Сергей Александрович</t>
  </si>
  <si>
    <t>79371751122</t>
  </si>
  <si>
    <t>lena333376@mail.ru</t>
  </si>
  <si>
    <t>1/2-17/260</t>
  </si>
  <si>
    <t>Серебрякова Ольга Валентиновна</t>
  </si>
  <si>
    <t>79270191118</t>
  </si>
  <si>
    <t>leliklapteva@mail.ru</t>
  </si>
  <si>
    <t>Наружная реклама - Щиты, видеоэкраны Самара</t>
  </si>
  <si>
    <t>1/3-04/335</t>
  </si>
  <si>
    <t>Баньковский Станислав Евгеньевич</t>
  </si>
  <si>
    <t>79198080577</t>
  </si>
  <si>
    <t>bankovse@gmail.com</t>
  </si>
  <si>
    <t>1/1-09/075</t>
  </si>
  <si>
    <t>АКБ Связь Банк</t>
  </si>
  <si>
    <t>Гагиева Кристина Андреевна</t>
  </si>
  <si>
    <t>79991715464</t>
  </si>
  <si>
    <t>tinochka_kriska@mail.ru</t>
  </si>
  <si>
    <t>1/2-15/243</t>
  </si>
  <si>
    <t>1/2-21/290</t>
  </si>
  <si>
    <t>Кузнецова Елена Александровна</t>
  </si>
  <si>
    <t>79371812626</t>
  </si>
  <si>
    <t>kuzneea@yandex.ru</t>
  </si>
  <si>
    <t>Агрегаторы - Циан</t>
  </si>
  <si>
    <t>1/2-12/222</t>
  </si>
  <si>
    <t>Тарзян Дина Сергеевна</t>
  </si>
  <si>
    <t>79991701130</t>
  </si>
  <si>
    <t>mirra2019@bk.ru</t>
  </si>
  <si>
    <t>1/3-06/351</t>
  </si>
  <si>
    <t>Овцинов Александр Викторович</t>
  </si>
  <si>
    <t>79277349789</t>
  </si>
  <si>
    <t>orelsamara1961@gmail.com</t>
  </si>
  <si>
    <t>ТВ</t>
  </si>
  <si>
    <t>1/3-05/338</t>
  </si>
  <si>
    <t>Галдеев Сергей Михайлович</t>
  </si>
  <si>
    <t>79170135382</t>
  </si>
  <si>
    <t>galdeeu@mail.ru</t>
  </si>
  <si>
    <t>1/2-05/174</t>
  </si>
  <si>
    <t>Хохлова Александра Владимировна</t>
  </si>
  <si>
    <t>79277902189</t>
  </si>
  <si>
    <t>tory013@yandex.ru</t>
  </si>
  <si>
    <t>Рекомендации - Жители</t>
  </si>
  <si>
    <t>1/2-05/175</t>
  </si>
  <si>
    <t>Хохлова Виктория Игоревна</t>
  </si>
  <si>
    <t>79370621303</t>
  </si>
  <si>
    <t>1/2-19/273</t>
  </si>
  <si>
    <t>Засыпкина Виктория Сергеевна</t>
  </si>
  <si>
    <t>79879811240</t>
  </si>
  <si>
    <t>viktoriyazas99@icloud.com</t>
  </si>
  <si>
    <t>1/1-15/138</t>
  </si>
  <si>
    <t>Штанин Вадим Олегович</t>
  </si>
  <si>
    <t>79372092098</t>
  </si>
  <si>
    <t>lil.1000.p@yandex.ru</t>
  </si>
  <si>
    <t>1/1-04/027</t>
  </si>
  <si>
    <t>Нуждина Галина Петровна</t>
  </si>
  <si>
    <t>79376475452</t>
  </si>
  <si>
    <t>1/2-24/308</t>
  </si>
  <si>
    <t>Солкин Андрей Викторович</t>
  </si>
  <si>
    <t>79270123210</t>
  </si>
  <si>
    <t>solkraboh@mail.ru</t>
  </si>
  <si>
    <t>1/1-04/025</t>
  </si>
  <si>
    <t>Артищев Роман Владимирович</t>
  </si>
  <si>
    <t>79171400303</t>
  </si>
  <si>
    <t>Artischev.roman@yandex.ru</t>
  </si>
  <si>
    <t>1/1-07/058</t>
  </si>
  <si>
    <t>Уралсиб банк</t>
  </si>
  <si>
    <t>Касаткина Наталья Николаевна</t>
  </si>
  <si>
    <t>79170187495</t>
  </si>
  <si>
    <t>kasatkina.natalia.2013@mail.ru</t>
  </si>
  <si>
    <t>1/1-05/034</t>
  </si>
  <si>
    <t>Атанов Алексей Евгеньевич</t>
  </si>
  <si>
    <t>79276523507</t>
  </si>
  <si>
    <t>atansamara@mail.ru</t>
  </si>
  <si>
    <t>Транспорт - Автобусы</t>
  </si>
  <si>
    <t>1/2-08/195</t>
  </si>
  <si>
    <t>Смирнов Евгений Владимирович</t>
  </si>
  <si>
    <t>79276011606</t>
  </si>
  <si>
    <t>Smirnov-201276@yandex.ru</t>
  </si>
  <si>
    <t>1/3-03/320</t>
  </si>
  <si>
    <t>Коршиков Андрей Александрович</t>
  </si>
  <si>
    <t>79171108422</t>
  </si>
  <si>
    <t>Korshikovandrei@mail.ru</t>
  </si>
  <si>
    <t>Радио</t>
  </si>
  <si>
    <t>1/1-08/064</t>
  </si>
  <si>
    <t>Кардапольцев Сергей Леонидович</t>
  </si>
  <si>
    <t>79370692509</t>
  </si>
  <si>
    <t>sergekard@gmail.com</t>
  </si>
  <si>
    <t>1/2-19/274</t>
  </si>
  <si>
    <t>Мелентьев Александр Владимирович</t>
  </si>
  <si>
    <t>79371773000</t>
  </si>
  <si>
    <t>melentev_av@list.ru</t>
  </si>
  <si>
    <t>1/3-02/315</t>
  </si>
  <si>
    <t>Гаврилов Евгений Валерьевич</t>
  </si>
  <si>
    <t>79277372098</t>
  </si>
  <si>
    <t>leha063.com@mail.ru</t>
  </si>
  <si>
    <t>1/3-02/312</t>
  </si>
  <si>
    <t>Милютина Галина Геннадьевна</t>
  </si>
  <si>
    <t>79871512043</t>
  </si>
  <si>
    <t>esk.gala@gmail.com</t>
  </si>
  <si>
    <t>1/2-22/297</t>
  </si>
  <si>
    <t>Голубкова Юлия Сергеевна</t>
  </si>
  <si>
    <t>79272045826</t>
  </si>
  <si>
    <t>golubkova_74@list.ru</t>
  </si>
  <si>
    <t>1/3-02/316</t>
  </si>
  <si>
    <t>Ерофеева Татьяна Владимировна</t>
  </si>
  <si>
    <t>79276500215</t>
  </si>
  <si>
    <t>erotanya79@mail.ru</t>
  </si>
  <si>
    <t>1/1-02/004</t>
  </si>
  <si>
    <t>Бугрова Анастасия Андреевна</t>
  </si>
  <si>
    <t>79272099214</t>
  </si>
  <si>
    <t>nastya.bugrova.93@mail.ru</t>
  </si>
  <si>
    <t>1/1-08/062</t>
  </si>
  <si>
    <t>Андреева Лариса Михайловна</t>
  </si>
  <si>
    <t>79377973620</t>
  </si>
  <si>
    <t>ya_krasavchik001@mail.ru</t>
  </si>
  <si>
    <t>1/1-08/066</t>
  </si>
  <si>
    <t>Топориков Антон Алексеевич</t>
  </si>
  <si>
    <t>79270071838</t>
  </si>
  <si>
    <t>toporikova-018@mail.ru</t>
  </si>
  <si>
    <t>1/2-24/311</t>
  </si>
  <si>
    <t>Левшин Алексей Михайлович</t>
  </si>
  <si>
    <t>79089224421</t>
  </si>
  <si>
    <t>2022025@mail.ru</t>
  </si>
  <si>
    <t>1/1-10/084</t>
  </si>
  <si>
    <t>1/2-07/188</t>
  </si>
  <si>
    <t>Носовская Наталья Геннадьевна</t>
  </si>
  <si>
    <t>79379916828</t>
  </si>
  <si>
    <t>Nosovskaya80@mail.ru</t>
  </si>
  <si>
    <t>Яндекс.Недвижимость</t>
  </si>
  <si>
    <t>1/1-03/012</t>
  </si>
  <si>
    <t>Томилов Владимир Владимирович</t>
  </si>
  <si>
    <t>79276075505</t>
  </si>
  <si>
    <t>tomilovkuzov@mail.ru</t>
  </si>
  <si>
    <t>1/1-03/011</t>
  </si>
  <si>
    <t>Орешкин Никита Сергеевич</t>
  </si>
  <si>
    <t>79277931246</t>
  </si>
  <si>
    <t>maria.trachuk99@mail.ru</t>
  </si>
  <si>
    <t>Рекомендации - от сотрудников ГВ</t>
  </si>
  <si>
    <t>1/1-08/061</t>
  </si>
  <si>
    <t>Столярова Наталья Викторовна</t>
  </si>
  <si>
    <t>79276850734</t>
  </si>
  <si>
    <t>stolyarova.nv@list.ru</t>
  </si>
  <si>
    <t>1/2-19/270</t>
  </si>
  <si>
    <t>Некрасов Дмитрий Сергеевич</t>
  </si>
  <si>
    <t>79991720708</t>
  </si>
  <si>
    <t>NekrasovPSD@yandex.ru</t>
  </si>
  <si>
    <t>1/1-02/010</t>
  </si>
  <si>
    <t>Потапов Вячеслав Владимирович</t>
  </si>
  <si>
    <t>79277173128</t>
  </si>
  <si>
    <t>holod-sl@mail.ru</t>
  </si>
  <si>
    <t>Серебряный возраст</t>
  </si>
  <si>
    <t>1/1-07/059</t>
  </si>
  <si>
    <t>Кирдяпкин Геннадий Егорович</t>
  </si>
  <si>
    <t>79277104463</t>
  </si>
  <si>
    <t>Kirdyapkina.darya@yandex.ru</t>
  </si>
  <si>
    <t>1/2-03/164</t>
  </si>
  <si>
    <t>Бешерян Захар Абелович</t>
  </si>
  <si>
    <t>79196127842</t>
  </si>
  <si>
    <t>besherianAA@trcont.ru</t>
  </si>
  <si>
    <t>Объект - Баннер на доме с телефоном</t>
  </si>
  <si>
    <t xml:space="preserve">SEO Google </t>
  </si>
  <si>
    <t>1/1-16/144</t>
  </si>
  <si>
    <t>Зотова Екатерина Васильевна</t>
  </si>
  <si>
    <t>79033003012</t>
  </si>
  <si>
    <t>Katya5.85@mail.ru</t>
  </si>
  <si>
    <t>1/1-13/111</t>
  </si>
  <si>
    <t>Рогожкина Анастасия Андреевна</t>
  </si>
  <si>
    <t>79272619769</t>
  </si>
  <si>
    <t>Katerina.kis2009@mail.ru</t>
  </si>
  <si>
    <t>Партнерство - Риелторы</t>
  </si>
  <si>
    <t>1/2-19/276</t>
  </si>
  <si>
    <t>Клочков Александр Витальевич</t>
  </si>
  <si>
    <t>79879622214</t>
  </si>
  <si>
    <t>79879622214@yandex.ru</t>
  </si>
  <si>
    <t>1/2-05/176</t>
  </si>
  <si>
    <t>Сафронов Сергей Викторович</t>
  </si>
  <si>
    <t>79277688183</t>
  </si>
  <si>
    <t>elenasergsafronova@gmail.com</t>
  </si>
  <si>
    <t>1/1-07/060</t>
  </si>
  <si>
    <t>Радаев Алексей Дмитриевич</t>
  </si>
  <si>
    <t>79377918912</t>
  </si>
  <si>
    <t>radaeva.dina@mail.ru</t>
  </si>
  <si>
    <t>Агрегаторы - Авито</t>
  </si>
  <si>
    <t>1/3-06/346</t>
  </si>
  <si>
    <t>Погорелов Александр Владимирович</t>
  </si>
  <si>
    <t>79272982772</t>
  </si>
  <si>
    <t>1/2-07/187</t>
  </si>
  <si>
    <t>Забродин Денис Владимирович</t>
  </si>
  <si>
    <t>79608194106</t>
  </si>
  <si>
    <t>denis.zabrodin1986@mail.ru</t>
  </si>
  <si>
    <t>Вконтакте - таргет</t>
  </si>
  <si>
    <t>1/2-18/266</t>
  </si>
  <si>
    <t>Коптелина Ксения Тимуровна</t>
  </si>
  <si>
    <t>78462778349</t>
  </si>
  <si>
    <t>ksenchik883@gmail.com</t>
  </si>
  <si>
    <t>1/2-17/261</t>
  </si>
  <si>
    <t>Кудряшов Евгений Сергеевич</t>
  </si>
  <si>
    <t>79272085701</t>
  </si>
  <si>
    <t>tsarkovanatasha@mail.ru</t>
  </si>
  <si>
    <t>1/2-22/291</t>
  </si>
  <si>
    <t>Кирилов Алексей Сергеевич</t>
  </si>
  <si>
    <t>79277014975</t>
  </si>
  <si>
    <t>Aleksey.kirilov@mt.com</t>
  </si>
  <si>
    <t>1/2-18/268</t>
  </si>
  <si>
    <t>Кузьмичев Павел Александрович</t>
  </si>
  <si>
    <t>79179763086</t>
  </si>
  <si>
    <t>paval85@mail.ru</t>
  </si>
  <si>
    <t>Реклама в ТК - Стойка с листовками</t>
  </si>
  <si>
    <t>1/2-03/163</t>
  </si>
  <si>
    <t>Кавкаев Александр Вячеславович</t>
  </si>
  <si>
    <t>79871670067</t>
  </si>
  <si>
    <t>kavkaev97@inbox.ru</t>
  </si>
  <si>
    <t>Соцсети - Instagram</t>
  </si>
  <si>
    <t>1/2-14/238</t>
  </si>
  <si>
    <t>Штирбу Иван Иванович</t>
  </si>
  <si>
    <t>79179474215</t>
  </si>
  <si>
    <t>schtirbu@mail.ru</t>
  </si>
  <si>
    <t>1/1-16/142</t>
  </si>
  <si>
    <t>Олейник Олеся Валерьевна</t>
  </si>
  <si>
    <t>79053004535</t>
  </si>
  <si>
    <t>olesya_eva_80@inbox.ru</t>
  </si>
  <si>
    <t>1/1-16/145</t>
  </si>
  <si>
    <t>Никифоров, Алексей Михайлович</t>
  </si>
  <si>
    <t>79276084899</t>
  </si>
  <si>
    <t>olis91@mail.ru</t>
  </si>
  <si>
    <t>1/1-09/079</t>
  </si>
  <si>
    <t>Россельхозбанк</t>
  </si>
  <si>
    <t>Козадаева Юлия Александровна</t>
  </si>
  <si>
    <t>79272098526</t>
  </si>
  <si>
    <t>Latysh_y@mail.ru</t>
  </si>
  <si>
    <t>SEO</t>
  </si>
  <si>
    <t>1/3-05/342</t>
  </si>
  <si>
    <t>Курьянов Максим Владимирович</t>
  </si>
  <si>
    <t>79277552491</t>
  </si>
  <si>
    <t>Kuryanova.kuryanova2017@yandex.ru</t>
  </si>
  <si>
    <t>1/2-13/233</t>
  </si>
  <si>
    <t>Панов Юрий Юрьевич</t>
  </si>
  <si>
    <t>79279017980</t>
  </si>
  <si>
    <t>georgiyconecs@mail.ru</t>
  </si>
  <si>
    <t>1/2-02/156</t>
  </si>
  <si>
    <t>Ахмадуллин Фанис Ринатович</t>
  </si>
  <si>
    <t>79277017415</t>
  </si>
  <si>
    <t>fanis83ar@mail.ru</t>
  </si>
  <si>
    <t>1/2-06/184</t>
  </si>
  <si>
    <t>Сиряев Олег Владимирович</t>
  </si>
  <si>
    <t>79178151344</t>
  </si>
  <si>
    <t>d.safina_92@mail.ru</t>
  </si>
  <si>
    <t>1/1-15/139</t>
  </si>
  <si>
    <t>Файрушин Раис Гильмитдинович</t>
  </si>
  <si>
    <t>79295185090</t>
  </si>
  <si>
    <t>Rais.Fajrushin@bk.ru</t>
  </si>
  <si>
    <t>1/2-12/224</t>
  </si>
  <si>
    <t>Малышов, Олег Алексеевич</t>
  </si>
  <si>
    <t>79277467602</t>
  </si>
  <si>
    <t>malyshov-oleg@mail.ru</t>
  </si>
  <si>
    <t>1/2-13/231</t>
  </si>
  <si>
    <t>Попова Светлана Михайловна</t>
  </si>
  <si>
    <t>79276570056</t>
  </si>
  <si>
    <t>89276570056@mail.ru</t>
  </si>
  <si>
    <t>1/2-24/305</t>
  </si>
  <si>
    <t>Геплюк Наталья Николаевна</t>
  </si>
  <si>
    <t>79171537896</t>
  </si>
  <si>
    <t>Train44727@gmail.com</t>
  </si>
  <si>
    <t>1/2-23/303</t>
  </si>
  <si>
    <t>Царёва Дарья, Алексей Николаевна</t>
  </si>
  <si>
    <t>79991716151</t>
  </si>
  <si>
    <t>stsar63eva@yandex.ru</t>
  </si>
  <si>
    <t>1/2-24/309</t>
  </si>
  <si>
    <t>Кузнецов Дмитрий Игоревич</t>
  </si>
  <si>
    <t>79277637785</t>
  </si>
  <si>
    <t>ola.kuz@yandex.ru</t>
  </si>
  <si>
    <t>1/2-10/208</t>
  </si>
  <si>
    <t>Моисеев Александр Алексеевич</t>
  </si>
  <si>
    <t>79379815349</t>
  </si>
  <si>
    <t>mois.aa70@mail.ru</t>
  </si>
  <si>
    <t>Авито</t>
  </si>
  <si>
    <t>Индивидуальная скидка</t>
  </si>
  <si>
    <t>1/1-05/037</t>
  </si>
  <si>
    <t>Пчелинцев Андрей Викторович</t>
  </si>
  <si>
    <t>79270091009</t>
  </si>
  <si>
    <t>natalya.pchelinc@mail.ru</t>
  </si>
  <si>
    <t>1/1-12/102</t>
  </si>
  <si>
    <t>Грибкова Наталья Ивановна</t>
  </si>
  <si>
    <t>79171412800</t>
  </si>
  <si>
    <t>Gribok1982@mail.ru</t>
  </si>
  <si>
    <t>1/2-02/152</t>
  </si>
  <si>
    <t>Федоров Александр Сергеевич</t>
  </si>
  <si>
    <t>79023719733</t>
  </si>
  <si>
    <t>f3bofyodorov@yandex.ru</t>
  </si>
  <si>
    <t>1/3-03/321</t>
  </si>
  <si>
    <t>Умерова Анастасия Николаевна</t>
  </si>
  <si>
    <t>79061261962</t>
  </si>
  <si>
    <t>staciy@mail.ru</t>
  </si>
  <si>
    <t>Контекст</t>
  </si>
  <si>
    <t>1/1-04/022</t>
  </si>
  <si>
    <t>Андрюхина Оксана Николаевна</t>
  </si>
  <si>
    <t>79879448723</t>
  </si>
  <si>
    <t>andryukhina7397@mail.ru</t>
  </si>
  <si>
    <t>1/2-18/267</t>
  </si>
  <si>
    <t>Кузнецов Вячеслав Эльчинович</t>
  </si>
  <si>
    <t>79272073244</t>
  </si>
  <si>
    <t>1/2-04/171</t>
  </si>
  <si>
    <t>Мацнев Дмитрий Викторович</t>
  </si>
  <si>
    <t>79370764719</t>
  </si>
  <si>
    <t>matsnev.dmitri@gmail.com</t>
  </si>
  <si>
    <t>1/1-09/076</t>
  </si>
  <si>
    <t>Хан Алексей Афанасьевич</t>
  </si>
  <si>
    <t>79879869850</t>
  </si>
  <si>
    <t>khanter@yandex.ru</t>
  </si>
  <si>
    <t>1/1-02/007</t>
  </si>
  <si>
    <t>Толкачева Ольга Сергеевна</t>
  </si>
  <si>
    <t>79225376592</t>
  </si>
  <si>
    <t>Krvina2008@mail.ru</t>
  </si>
  <si>
    <t>1/2-21/286</t>
  </si>
  <si>
    <t>Беспалова Роза Шагеевна</t>
  </si>
  <si>
    <t>79372856666</t>
  </si>
  <si>
    <t>89372856666@mail.ru</t>
  </si>
  <si>
    <t>1/2-06/183</t>
  </si>
  <si>
    <t>Сабитова Екатерина Владимировна</t>
  </si>
  <si>
    <t>79874495288</t>
  </si>
  <si>
    <t>kdisplacement@yandex.ru</t>
  </si>
  <si>
    <t>1/1-03/020</t>
  </si>
  <si>
    <t>Немыслина Яна Геннадьевна</t>
  </si>
  <si>
    <t>79125631107</t>
  </si>
  <si>
    <t>Nemyslina90@mail.ru</t>
  </si>
  <si>
    <t>1/2-14/241</t>
  </si>
  <si>
    <t>Докторов Иван Алексеевич</t>
  </si>
  <si>
    <t>79991709069</t>
  </si>
  <si>
    <t>vip.doktorov@mail.ru</t>
  </si>
  <si>
    <t>1/2-12/221</t>
  </si>
  <si>
    <t>Перфильева Оксана Валерьевна</t>
  </si>
  <si>
    <t>79084918094</t>
  </si>
  <si>
    <t>medicina173@mail.ru</t>
  </si>
  <si>
    <t>1/1-08/070</t>
  </si>
  <si>
    <t>Домрачев Дмитрий Владимирович</t>
  </si>
  <si>
    <t>79146238268</t>
  </si>
  <si>
    <t>kamjanx@gmail.com</t>
  </si>
  <si>
    <t>1/1-21/289</t>
  </si>
  <si>
    <t>Непряхин Артем Олегович</t>
  </si>
  <si>
    <t>79272604349</t>
  </si>
  <si>
    <t>ls-08@inbox.ru</t>
  </si>
  <si>
    <t>1/2-03/159</t>
  </si>
  <si>
    <t>Морозов Максим Владимирович</t>
  </si>
  <si>
    <t>79276564580</t>
  </si>
  <si>
    <t>m.maksonchik@mail.ru</t>
  </si>
  <si>
    <t>1/2-10/213</t>
  </si>
  <si>
    <t>Голинский Антон Яковлевич</t>
  </si>
  <si>
    <t>79963411920</t>
  </si>
  <si>
    <t>golinskiy@bk.ru</t>
  </si>
  <si>
    <t>1/3-07/357</t>
  </si>
  <si>
    <t>Челеев Артем Вячеславович</t>
  </si>
  <si>
    <t>79277008449</t>
  </si>
  <si>
    <t>arch.06@mail.ru</t>
  </si>
  <si>
    <t>1/2-24/306</t>
  </si>
  <si>
    <t>Иванова Наталья Михайловна Михайловна</t>
  </si>
  <si>
    <t>79061250560</t>
  </si>
  <si>
    <t>ivanovayantar@mail.ru</t>
  </si>
  <si>
    <t>1/1-12/104</t>
  </si>
  <si>
    <t>Барабанова Мария Александровна</t>
  </si>
  <si>
    <t>79272626481</t>
  </si>
  <si>
    <t>barmar79@yandex.ru</t>
  </si>
  <si>
    <t>1/3-03/327</t>
  </si>
  <si>
    <t>Петров Павел Алексеевич</t>
  </si>
  <si>
    <t>79270067646</t>
  </si>
  <si>
    <t>pavel-paha-1977-petrov@mail.ru</t>
  </si>
  <si>
    <t>1/1-16/141</t>
  </si>
  <si>
    <t>Кочкина Елизавета Борисовна</t>
  </si>
  <si>
    <t>79376506817</t>
  </si>
  <si>
    <t>ebkochkina@mail.ru</t>
  </si>
  <si>
    <t>1/1-10/089</t>
  </si>
  <si>
    <t>Назарова Татьяна Олеговна</t>
  </si>
  <si>
    <t>79270085954</t>
  </si>
  <si>
    <t>roman0493@gmail.com</t>
  </si>
  <si>
    <t>1/2-04/168</t>
  </si>
  <si>
    <t>Нагорнов Игорь Николаевич</t>
  </si>
  <si>
    <t>79024260959</t>
  </si>
  <si>
    <t>T_vladimirovna@mail.ru</t>
  </si>
  <si>
    <t>1/2-04/170</t>
  </si>
  <si>
    <t>Кошкин Сергей Николаевич</t>
  </si>
  <si>
    <t>79649853736</t>
  </si>
  <si>
    <t>koshkinsn@mail.ru</t>
  </si>
  <si>
    <t>1/1-16/143</t>
  </si>
  <si>
    <t>Пехота Дмитрий Петрович</t>
  </si>
  <si>
    <t>79277675028</t>
  </si>
  <si>
    <t>Dmitrytarget@mail.ru</t>
  </si>
  <si>
    <t>1/1-14/124</t>
  </si>
  <si>
    <t>Ежков Дмитрий Владимирович</t>
  </si>
  <si>
    <t>79279075834</t>
  </si>
  <si>
    <t>Ejkovdv@mail.ru</t>
  </si>
  <si>
    <t>1/1-10/081</t>
  </si>
  <si>
    <t>Кредышева Евгения Сергеевна</t>
  </si>
  <si>
    <t>79277445724</t>
  </si>
  <si>
    <t>mila8650@mail.ru</t>
  </si>
  <si>
    <t>1/2-05/178</t>
  </si>
  <si>
    <t>Малышева Евгения Викторовна</t>
  </si>
  <si>
    <t>79171442719</t>
  </si>
  <si>
    <t>Vfksi_82@mail.ru</t>
  </si>
  <si>
    <t>1/2-13/229</t>
  </si>
  <si>
    <t>Бережная Оксана Ильясовна</t>
  </si>
  <si>
    <t>79198095424</t>
  </si>
  <si>
    <t>goldvolga13@mail.ru</t>
  </si>
  <si>
    <t>1/2-10/212</t>
  </si>
  <si>
    <t>Павлов Юрий Юрьевич</t>
  </si>
  <si>
    <t>79144404827</t>
  </si>
  <si>
    <t>ponab80@gmail.com</t>
  </si>
  <si>
    <t>1/1-12/110</t>
  </si>
  <si>
    <t>Сусин Михаил Михайлович</t>
  </si>
  <si>
    <t>79376363869</t>
  </si>
  <si>
    <t>Mikhailsusin92@yandex.ru</t>
  </si>
  <si>
    <t>1/2-13/234</t>
  </si>
  <si>
    <t>Искорнев Виктор Александрович</t>
  </si>
  <si>
    <t>79372008544</t>
  </si>
  <si>
    <t>Iskornevva@mail.ru</t>
  </si>
  <si>
    <t>1/1-03/019</t>
  </si>
  <si>
    <t>Лактионов Алексей Сергеевич</t>
  </si>
  <si>
    <t>79377973730</t>
  </si>
  <si>
    <t>laktionova58@gmail.com</t>
  </si>
  <si>
    <t>1/2-10/209</t>
  </si>
  <si>
    <t>Белова Любовь Александровна</t>
  </si>
  <si>
    <t>79198187988</t>
  </si>
  <si>
    <t>lubelova@mail.ru</t>
  </si>
  <si>
    <t>1/2-06/185</t>
  </si>
  <si>
    <t>Ильин Александр Юрьевич</t>
  </si>
  <si>
    <t>79370734620</t>
  </si>
  <si>
    <t>vikin-345@mail.ru</t>
  </si>
  <si>
    <t>1/3-02/319</t>
  </si>
  <si>
    <t>Губанова Екатерина Валерьевна</t>
  </si>
  <si>
    <t>79371808242</t>
  </si>
  <si>
    <t>fohx63@gmail.com</t>
  </si>
  <si>
    <t>1/2-19/272</t>
  </si>
  <si>
    <t>Андропов Евгений Юрьевич</t>
  </si>
  <si>
    <t>79171498551</t>
  </si>
  <si>
    <t>sportivnay03@rambler.ru</t>
  </si>
  <si>
    <t>Инстаграм - таргет</t>
  </si>
  <si>
    <t>1/1-12/105</t>
  </si>
  <si>
    <t>Сорокин Вячеслав Борисович</t>
  </si>
  <si>
    <t>79879188906</t>
  </si>
  <si>
    <t>sorokin06061966@gmail.com</t>
  </si>
  <si>
    <t>1/2-17/262</t>
  </si>
  <si>
    <t>Аношина Ольга Олеговна</t>
  </si>
  <si>
    <t>79276867435</t>
  </si>
  <si>
    <t>lelya.anoshina@gmail.com</t>
  </si>
  <si>
    <t>1/2-09/205</t>
  </si>
  <si>
    <t>Латыпов Ринат Фаритович</t>
  </si>
  <si>
    <t>79276059240</t>
  </si>
  <si>
    <t>darthrinat@rambler.ru</t>
  </si>
  <si>
    <t>1/1-14/128</t>
  </si>
  <si>
    <t>Иванченко Ольга Викторовна</t>
  </si>
  <si>
    <t>79660505506</t>
  </si>
  <si>
    <t>legkoiprosto2014@mail.ru</t>
  </si>
  <si>
    <t>Рекомендации - Сотрудники</t>
  </si>
  <si>
    <t>1/2-07/192</t>
  </si>
  <si>
    <t>Карташов Николай Сергеевич</t>
  </si>
  <si>
    <t>79044852818</t>
  </si>
  <si>
    <t>Kartashov1.077@mail.ru</t>
  </si>
  <si>
    <t>Агрегаторы - ДомКлик</t>
  </si>
  <si>
    <t>1/2-08/196</t>
  </si>
  <si>
    <t>Зубов Алексей Николаевич</t>
  </si>
  <si>
    <t>78469533838</t>
  </si>
  <si>
    <t>alekseizn@mail.ru</t>
  </si>
  <si>
    <t>1/1-13/114</t>
  </si>
  <si>
    <t>Квасов Сергей Владимирович</t>
  </si>
  <si>
    <t>79084161293</t>
  </si>
  <si>
    <t>kvas94kvasov@yandex.ru</t>
  </si>
  <si>
    <t>1/2-06/180</t>
  </si>
  <si>
    <t>Мусина Юлия Маратовна</t>
  </si>
  <si>
    <t>79270097867</t>
  </si>
  <si>
    <t>kamecon@mail.ru</t>
  </si>
  <si>
    <t>1/2-11/216</t>
  </si>
  <si>
    <t>Борискина Татьяна Васильевна</t>
  </si>
  <si>
    <t>79171189956</t>
  </si>
  <si>
    <t>tboriskina8@yandex.ru</t>
  </si>
  <si>
    <t>1/1-07/051</t>
  </si>
  <si>
    <t>Чичановская Марина Михайловна</t>
  </si>
  <si>
    <t>79272047764</t>
  </si>
  <si>
    <t>89376457066@mail.ru</t>
  </si>
  <si>
    <t>1/2-04/166</t>
  </si>
  <si>
    <t>Булатов Хайдяр Закиевич</t>
  </si>
  <si>
    <t>79272670493</t>
  </si>
  <si>
    <t>xajdyar.bulatov@inbox.ru</t>
  </si>
  <si>
    <t>1% Дом.Клик</t>
  </si>
  <si>
    <t>1/3-03/323</t>
  </si>
  <si>
    <t>Асабин Сергей Николаевич</t>
  </si>
  <si>
    <t>79991091355</t>
  </si>
  <si>
    <t>serzh.asabin.94@mail.ru</t>
  </si>
  <si>
    <t>1/1-16/149</t>
  </si>
  <si>
    <t>Тетюков Дмитрий Викторович</t>
  </si>
  <si>
    <t>79292837938</t>
  </si>
  <si>
    <t>modern_84_84@mail.ru</t>
  </si>
  <si>
    <t>1/1-04/029</t>
  </si>
  <si>
    <t>Галичкина Татьяна Михайловна</t>
  </si>
  <si>
    <t>79961126672</t>
  </si>
  <si>
    <t>08082020p@mail.ru</t>
  </si>
  <si>
    <t>1/1-14/125</t>
  </si>
  <si>
    <t>Богатская Елена Сергеевна</t>
  </si>
  <si>
    <t>79277226441</t>
  </si>
  <si>
    <t>e.bogatskaja@yandex.ru</t>
  </si>
  <si>
    <t>1/2-14/237</t>
  </si>
  <si>
    <t>Петрова Диана Валерьевна</t>
  </si>
  <si>
    <t>79871552562</t>
  </si>
  <si>
    <t>dianapetrova17@gmail.com</t>
  </si>
  <si>
    <t>1/2-06/182</t>
  </si>
  <si>
    <t>Царькова Татьяна Александровна</t>
  </si>
  <si>
    <t>79270008212</t>
  </si>
  <si>
    <t>nik.czarkov@bk.ru</t>
  </si>
  <si>
    <t>1/2-15/244</t>
  </si>
  <si>
    <t>Сабаев Виталий Владимирович</t>
  </si>
  <si>
    <t>79272069851</t>
  </si>
  <si>
    <t>vv_sabayev@mail.ru</t>
  </si>
  <si>
    <t>1/2-07/189</t>
  </si>
  <si>
    <t>Золотухин Владимир Иванович</t>
  </si>
  <si>
    <t>78457954213</t>
  </si>
  <si>
    <t>1/2-22/293</t>
  </si>
  <si>
    <t>Лушина Александра Николаевна</t>
  </si>
  <si>
    <t>79296521912</t>
  </si>
  <si>
    <t>Alexandra063@yandex.ru</t>
  </si>
  <si>
    <t>1/1-06/041</t>
  </si>
  <si>
    <t>Борисова Ирина Александровна</t>
  </si>
  <si>
    <t>79379981066</t>
  </si>
  <si>
    <t>79379981066@ya.ru</t>
  </si>
  <si>
    <t>Чат-бот</t>
  </si>
  <si>
    <t>1/2-16/253</t>
  </si>
  <si>
    <t>Кашаев Владимир Геннадьевич</t>
  </si>
  <si>
    <t>79138043008</t>
  </si>
  <si>
    <t>Kristina7114@mail.ru</t>
  </si>
  <si>
    <t>1/1-05/035</t>
  </si>
  <si>
    <t>Кубжасаров Данияр Галимжанович</t>
  </si>
  <si>
    <t>79244830639</t>
  </si>
  <si>
    <t>kubzhasarov95@mail.ru</t>
  </si>
  <si>
    <t>1/2-15/247</t>
  </si>
  <si>
    <t>Коровин Денис Сергеевич</t>
  </si>
  <si>
    <t>79370648940</t>
  </si>
  <si>
    <t>samaraden007@mail.ru</t>
  </si>
  <si>
    <t>1/2-22/294</t>
  </si>
  <si>
    <t>Хомутецкий Александр Сергеевич</t>
  </si>
  <si>
    <t>79129891999</t>
  </si>
  <si>
    <t>khomutetskiy93@mail.ru</t>
  </si>
  <si>
    <t>ДомКлик</t>
  </si>
  <si>
    <t>Мед работник</t>
  </si>
  <si>
    <t>1/2-18/265</t>
  </si>
  <si>
    <t>Тюркина Нина Васильевна</t>
  </si>
  <si>
    <t>79270584273</t>
  </si>
  <si>
    <t>avm0476@yandex.ru</t>
  </si>
  <si>
    <t>1/3-07/354</t>
  </si>
  <si>
    <t>Кушаев Тимур Рауфович</t>
  </si>
  <si>
    <t>79272956659</t>
  </si>
  <si>
    <t>Timur.kushaev@gmail.com</t>
  </si>
  <si>
    <t>1/1-16/150</t>
  </si>
  <si>
    <t>Бычкова Татьяна Геннадьевна</t>
  </si>
  <si>
    <t>79871902619</t>
  </si>
  <si>
    <t>Abychkov76@mail.ru</t>
  </si>
  <si>
    <t>1/1-02/009</t>
  </si>
  <si>
    <t>Борисевич Ольга Евгеньевна</t>
  </si>
  <si>
    <t>79171655750</t>
  </si>
  <si>
    <t>olya041160@mail.ru</t>
  </si>
  <si>
    <t>1/1-14/129</t>
  </si>
  <si>
    <t>Ревина Инесса Александровна</t>
  </si>
  <si>
    <t>79279086068</t>
  </si>
  <si>
    <t>inessa2811@yandex.ru</t>
  </si>
  <si>
    <t>1/1-07/055</t>
  </si>
  <si>
    <t>Воронин Александр Сергеевич</t>
  </si>
  <si>
    <t>79276932330</t>
  </si>
  <si>
    <t>voron163@mail.ru</t>
  </si>
  <si>
    <t>1/2-10/211</t>
  </si>
  <si>
    <t>Андреев Дмитрий Александрович</t>
  </si>
  <si>
    <t>79176036474</t>
  </si>
  <si>
    <t>andreevymvm@gmail.com</t>
  </si>
  <si>
    <t>1/2-04/167</t>
  </si>
  <si>
    <t>Кожаева Светлана Раисовна</t>
  </si>
  <si>
    <t>79370711033</t>
  </si>
  <si>
    <t>tultilana@hotmail.com</t>
  </si>
  <si>
    <t>1/3-07/353</t>
  </si>
  <si>
    <t>Кушаева Динара Рауфовна</t>
  </si>
  <si>
    <t>79171139417</t>
  </si>
  <si>
    <t>dinara_kushaeva@mail.ru</t>
  </si>
  <si>
    <t>1/3-04/333</t>
  </si>
  <si>
    <t>Егорова Васелина Юрьевна</t>
  </si>
  <si>
    <t>79124284288</t>
  </si>
  <si>
    <t>Egorik-80@mail.ru</t>
  </si>
  <si>
    <t>1/2-13/230</t>
  </si>
  <si>
    <t>Валентинова Татьяна Юрьевна</t>
  </si>
  <si>
    <t>79048009827</t>
  </si>
  <si>
    <t>lenovo_is_tatiana@hotmail.com</t>
  </si>
  <si>
    <t>1/1-09/078</t>
  </si>
  <si>
    <t>Буренин Александр Дмитриевич</t>
  </si>
  <si>
    <t>79171149411</t>
  </si>
  <si>
    <t>aleksandr.flat2020@gmail.com</t>
  </si>
  <si>
    <t>1/2-08/198</t>
  </si>
  <si>
    <t>Шатохина Марина Анатольевна</t>
  </si>
  <si>
    <t>79370682552</t>
  </si>
  <si>
    <t>marinaa22_2010@mail.ru</t>
  </si>
  <si>
    <t>1/1-05/039</t>
  </si>
  <si>
    <t>Майборода Дмитрий Николаевич</t>
  </si>
  <si>
    <t>79129593645</t>
  </si>
  <si>
    <t>Olenka_79-2008@mail.ru</t>
  </si>
  <si>
    <t>1/3-04/331</t>
  </si>
  <si>
    <t>Козлова Татьяна Юрьевна</t>
  </si>
  <si>
    <t>79022361785</t>
  </si>
  <si>
    <t>keis1977@mail.ru</t>
  </si>
  <si>
    <t>1/3-06/348</t>
  </si>
  <si>
    <t>Кулагина Татьяна Сергеевна</t>
  </si>
  <si>
    <t>79228132199</t>
  </si>
  <si>
    <t>kts2210@rambler.ru</t>
  </si>
  <si>
    <t>Молодая семья</t>
  </si>
  <si>
    <t>1/1-14/123</t>
  </si>
  <si>
    <t>Чучанов Александр Сергеевич</t>
  </si>
  <si>
    <t>79170374974</t>
  </si>
  <si>
    <t>schuchanov@yandex.ru</t>
  </si>
  <si>
    <t>1/1-11/099</t>
  </si>
  <si>
    <t>Бараненко Евгения Сергеевна</t>
  </si>
  <si>
    <t>79112505666</t>
  </si>
  <si>
    <t>lady-death@yandex.ru</t>
  </si>
  <si>
    <t>1/1-10/088</t>
  </si>
  <si>
    <t>Пеняев Юрий Николаевич</t>
  </si>
  <si>
    <t>79292554354</t>
  </si>
  <si>
    <t>Penyaev81@mail.ru</t>
  </si>
  <si>
    <t>1/2-17/258</t>
  </si>
  <si>
    <t>Шарипова Гулия Андреевна</t>
  </si>
  <si>
    <t>79178139690</t>
  </si>
  <si>
    <t>79277210771@yandex.ru</t>
  </si>
  <si>
    <t>1/1-12/108</t>
  </si>
  <si>
    <t>Удачин Андрей Юрьевич</t>
  </si>
  <si>
    <t>79371001926</t>
  </si>
  <si>
    <t>andrei.udachin@yandex.ru</t>
  </si>
  <si>
    <t>Циан</t>
  </si>
  <si>
    <t>1/1-13/120</t>
  </si>
  <si>
    <t>Липатов Дмитрий Юрьевич</t>
  </si>
  <si>
    <t>79649843252</t>
  </si>
  <si>
    <t>lipatd29@gmail.com</t>
  </si>
  <si>
    <t>1/1-03/015</t>
  </si>
  <si>
    <t>Демендеев Олег Александрович</t>
  </si>
  <si>
    <t>79272951905</t>
  </si>
  <si>
    <t>oleg-demendeev@yandex.ru</t>
  </si>
  <si>
    <t>Вконтакте</t>
  </si>
  <si>
    <t>1/3-02/317</t>
  </si>
  <si>
    <t>Альфа-банк</t>
  </si>
  <si>
    <t>Вербицкая Галина Владимировна</t>
  </si>
  <si>
    <t>79266033667</t>
  </si>
  <si>
    <t>verbitskaya-galina@yandex.kz</t>
  </si>
  <si>
    <t>Mail обращение</t>
  </si>
  <si>
    <t>1/1-06/050</t>
  </si>
  <si>
    <t>Калачикова Наталья Равильевна</t>
  </si>
  <si>
    <t>79277286629</t>
  </si>
  <si>
    <t>Natalya.kalachikova@mail.ru</t>
  </si>
  <si>
    <t xml:space="preserve">Зачетная квартира </t>
  </si>
  <si>
    <t>1/1-05/038</t>
  </si>
  <si>
    <t>Алимгулов Ильдар Ренатович</t>
  </si>
  <si>
    <t>79328422922</t>
  </si>
  <si>
    <t>alimgulow.ildar@yandex.ru</t>
  </si>
  <si>
    <t>1/1-06/048</t>
  </si>
  <si>
    <t>Ерофеева Татьяна Христофоровна</t>
  </si>
  <si>
    <t>79033004545</t>
  </si>
  <si>
    <t>Manh@bmail.ru</t>
  </si>
  <si>
    <t>1/1-11/098</t>
  </si>
  <si>
    <t>Кузнецов Олег Михайлович</t>
  </si>
  <si>
    <t>79171587607</t>
  </si>
  <si>
    <t>oleg.k163@mail.ru</t>
  </si>
  <si>
    <t>1/2-16/251</t>
  </si>
  <si>
    <t>Пантелеева Елена Владимировна</t>
  </si>
  <si>
    <t>79182931416</t>
  </si>
  <si>
    <t>liderzao@yandex.ru</t>
  </si>
  <si>
    <t>1/2-03/161</t>
  </si>
  <si>
    <t>Гладышева Юлия Павловна</t>
  </si>
  <si>
    <t>79277200244</t>
  </si>
  <si>
    <t>gladysh0711@mail.ru</t>
  </si>
  <si>
    <t>2Gis</t>
  </si>
  <si>
    <t>1/2-08/197</t>
  </si>
  <si>
    <t>Чернышев Дмитрий Леонидович</t>
  </si>
  <si>
    <t>79372072667</t>
  </si>
  <si>
    <t>mr.dm.chernyshev@gmail.com</t>
  </si>
  <si>
    <t>1/1-10/083</t>
  </si>
  <si>
    <t>Сямуков Егор Юрьевич</t>
  </si>
  <si>
    <t>79376419080</t>
  </si>
  <si>
    <t>egor.syamukov@mail.ru</t>
  </si>
  <si>
    <t>1/1-02/008</t>
  </si>
  <si>
    <t>Попурко Анастасия Ивановна</t>
  </si>
  <si>
    <t>79649729217</t>
  </si>
  <si>
    <t>p-nastia@yandex.ru</t>
  </si>
  <si>
    <t>1/2-11/218</t>
  </si>
  <si>
    <t>Лапаева Лариса Михайловна</t>
  </si>
  <si>
    <t>79272678717</t>
  </si>
  <si>
    <t>1/1-12/101</t>
  </si>
  <si>
    <t>Дусеева Армат Гали-Арстанович</t>
  </si>
  <si>
    <t>79272656678</t>
  </si>
  <si>
    <t>duseeffintra@gmail.com</t>
  </si>
  <si>
    <t>1/1-14/126</t>
  </si>
  <si>
    <t>Почиталин Владимир Николаевич</t>
  </si>
  <si>
    <t>79879108286</t>
  </si>
  <si>
    <t>yu.gulchenko@gmail.com</t>
  </si>
  <si>
    <t>1/1-06/049</t>
  </si>
  <si>
    <t>Хабибуллин Виталий Закиуллович</t>
  </si>
  <si>
    <t>79277255479</t>
  </si>
  <si>
    <t>Lyubovhab@yandex.ru</t>
  </si>
  <si>
    <t>1/1-12/107</t>
  </si>
  <si>
    <t>Хачатрян Шаке Коляевна</t>
  </si>
  <si>
    <t>79276096777</t>
  </si>
  <si>
    <t>Shake1972@mail.ru</t>
  </si>
  <si>
    <t>1/1-12/109</t>
  </si>
  <si>
    <t>Кириллов Алексей Александрович</t>
  </si>
  <si>
    <t>79967380723</t>
  </si>
  <si>
    <t>kirillov.lesha@yandex.ru</t>
  </si>
  <si>
    <t>1/1-14/130</t>
  </si>
  <si>
    <t>Брагина Юлия Валентиновна</t>
  </si>
  <si>
    <t>79272053167</t>
  </si>
  <si>
    <t>bragina07.09.79@yandex.ru</t>
  </si>
  <si>
    <t>1/1-08/068</t>
  </si>
  <si>
    <t>Ильясов Шамель Барыевич</t>
  </si>
  <si>
    <t>79277241095</t>
  </si>
  <si>
    <t>ilyasova_gu@icloud.com</t>
  </si>
  <si>
    <t>1/2-11/215</t>
  </si>
  <si>
    <t>Никитина Яна Григорьевна</t>
  </si>
  <si>
    <t>79277339085</t>
  </si>
  <si>
    <t>byyanulyaaaa97@gmail.com</t>
  </si>
  <si>
    <t>1/1-14/127</t>
  </si>
  <si>
    <t>Шкляров Максим Николаевич</t>
  </si>
  <si>
    <t>79171154783</t>
  </si>
  <si>
    <t>MNShklyarov@gmail.com</t>
  </si>
  <si>
    <t>1/1-02/005</t>
  </si>
  <si>
    <t>Ахметгалиев Жардем Тлекович</t>
  </si>
  <si>
    <t>79226201769</t>
  </si>
  <si>
    <t>azhardem@mail.ru</t>
  </si>
  <si>
    <t>1/2-04/165</t>
  </si>
  <si>
    <t>Заикин Александр Сергеевич</t>
  </si>
  <si>
    <t>79272014307</t>
  </si>
  <si>
    <t>Nastya.89-24@mail.ru</t>
  </si>
  <si>
    <t>1/2-02/153</t>
  </si>
  <si>
    <t>Казеннова Евгения Анатольевна</t>
  </si>
  <si>
    <t>79376469665</t>
  </si>
  <si>
    <t>yasnaia@bk.ru</t>
  </si>
  <si>
    <t>1/3-02/313</t>
  </si>
  <si>
    <t>Малов Евгений Александрович</t>
  </si>
  <si>
    <t>79276551273</t>
  </si>
  <si>
    <t>sk_ruff@mail.ru</t>
  </si>
  <si>
    <t>1/1-11/100</t>
  </si>
  <si>
    <t>Горшенин Сергей Владимирович</t>
  </si>
  <si>
    <t>79376501978</t>
  </si>
  <si>
    <t>gorsheninsv@ya.ru</t>
  </si>
  <si>
    <t>1/2-16/249</t>
  </si>
  <si>
    <t>Кононенко Роман Андреевич</t>
  </si>
  <si>
    <t>79370701525</t>
  </si>
  <si>
    <t>xjaegger@gmail.com</t>
  </si>
  <si>
    <t>1/3-04/329</t>
  </si>
  <si>
    <t>Рожков Иван Анатольевич</t>
  </si>
  <si>
    <t>79879502594</t>
  </si>
  <si>
    <t>rozhkov.IV88@mail.ru</t>
  </si>
  <si>
    <t>1/1-04/028</t>
  </si>
  <si>
    <t>Газизова Нурия Гумаровна</t>
  </si>
  <si>
    <t>79371841228</t>
  </si>
  <si>
    <t>gazizovanuria23@gmail.com</t>
  </si>
  <si>
    <t>Скидка сотруднику</t>
  </si>
  <si>
    <t>1/1-15/137</t>
  </si>
  <si>
    <t>Лыскова Ирина Владимировна</t>
  </si>
  <si>
    <t>lyskova@globalvsn.com</t>
  </si>
  <si>
    <t>1/1-13/113</t>
  </si>
  <si>
    <t>Сиротина Виктория Владимировна</t>
  </si>
  <si>
    <t>79033349220</t>
  </si>
  <si>
    <t>sirotina.vikulya@list.ru</t>
  </si>
  <si>
    <t>1/2-04/169</t>
  </si>
  <si>
    <t>Седых Кристина Андреевна</t>
  </si>
  <si>
    <t>79171079089</t>
  </si>
  <si>
    <t>sulmeldis@mail.ru</t>
  </si>
  <si>
    <t>1/1-13/119</t>
  </si>
  <si>
    <t>Симановская Елена Владимировна</t>
  </si>
  <si>
    <t>79295504650</t>
  </si>
  <si>
    <t>0711652806@mail.ru</t>
  </si>
  <si>
    <t>1/3-03/324</t>
  </si>
  <si>
    <t>Павлова Вероника Николаевна</t>
  </si>
  <si>
    <t>79608457483</t>
  </si>
  <si>
    <t>Pav_veronika71@mail.ru</t>
  </si>
  <si>
    <t>1/2-09/204</t>
  </si>
  <si>
    <t>Дидковский Александр Владимирович</t>
  </si>
  <si>
    <t>79277509595</t>
  </si>
  <si>
    <t>ded-fin@mail.ru</t>
  </si>
  <si>
    <t>1/1-03/017</t>
  </si>
  <si>
    <t>Тырнов Сергей Александрович</t>
  </si>
  <si>
    <t>79276891285</t>
  </si>
  <si>
    <t>sergeytyrnov87@gmail.com</t>
  </si>
  <si>
    <t>1/1-07/057</t>
  </si>
  <si>
    <t>Салихова Менира Решидовна</t>
  </si>
  <si>
    <t>79179549256</t>
  </si>
  <si>
    <t>Svet-2004@yandex.ru</t>
  </si>
  <si>
    <t>1/1-02/006</t>
  </si>
  <si>
    <t>Кирпиков Алексей Владиславович</t>
  </si>
  <si>
    <t>79068140909</t>
  </si>
  <si>
    <t>kirpikov.av@gmail.com</t>
  </si>
  <si>
    <t>1/1-11/097</t>
  </si>
  <si>
    <t>Колесникова Ольга Сергеевна</t>
  </si>
  <si>
    <t>79371817722</t>
  </si>
  <si>
    <t>olka1185@yandex.ru</t>
  </si>
  <si>
    <t>1/3-05/336</t>
  </si>
  <si>
    <t>Курманбакиев Марат Ильдарович</t>
  </si>
  <si>
    <t>79306669962</t>
  </si>
  <si>
    <t>maratk@outlook.com</t>
  </si>
  <si>
    <t>1/1-04/030</t>
  </si>
  <si>
    <t>Косов Сергей Владимирович</t>
  </si>
  <si>
    <t>79277174516</t>
  </si>
  <si>
    <t>ksv063063@yandex.ru</t>
  </si>
  <si>
    <t>1/3-07/358</t>
  </si>
  <si>
    <t>Светличный Алексей Петрович</t>
  </si>
  <si>
    <t>79879461443</t>
  </si>
  <si>
    <t>aleksey.svet@yandex.ru</t>
  </si>
  <si>
    <t>1/2-20/278</t>
  </si>
  <si>
    <t>Ведерников Сергей Андреевич</t>
  </si>
  <si>
    <t>79502067114</t>
  </si>
  <si>
    <t>vsaustu@mail.ru</t>
  </si>
  <si>
    <t>1/3-04/334</t>
  </si>
  <si>
    <t>Погосян Дантес Аразович</t>
  </si>
  <si>
    <t>79024259680</t>
  </si>
  <si>
    <t>armdp2994@mail.ru</t>
  </si>
  <si>
    <t>1/1-16/148</t>
  </si>
  <si>
    <t>Федоров Николай Владимирович</t>
  </si>
  <si>
    <t>79274615456</t>
  </si>
  <si>
    <t>KoshechkaSadykova@mail.ru</t>
  </si>
  <si>
    <t>1/2-18/263</t>
  </si>
  <si>
    <t>Рыжов Михаил Викторович</t>
  </si>
  <si>
    <t>79171450000</t>
  </si>
  <si>
    <t>zetstat@yandex.ru</t>
  </si>
  <si>
    <t>1/1-09/077</t>
  </si>
  <si>
    <t>Горбунов Андрей Владимирович</t>
  </si>
  <si>
    <t>79179431556</t>
  </si>
  <si>
    <t>samsamara1966@mail.ru</t>
  </si>
  <si>
    <t>1/2-12/225</t>
  </si>
  <si>
    <t>Волчков Иван Васильевич</t>
  </si>
  <si>
    <t>79140214505</t>
  </si>
  <si>
    <t>Volchkovivan@rambler.ru</t>
  </si>
  <si>
    <t>1/1-09/073</t>
  </si>
  <si>
    <t>Ноздряков Евгений Александрович</t>
  </si>
  <si>
    <t>79272073665</t>
  </si>
  <si>
    <t>lady.miracle@list.ru</t>
  </si>
  <si>
    <t>онлайн радио - unisound</t>
  </si>
  <si>
    <t>1/1-08/063</t>
  </si>
  <si>
    <t>Курова Ирина Александровна</t>
  </si>
  <si>
    <t>79277612520</t>
  </si>
  <si>
    <t>rita.kurova@mail.ru</t>
  </si>
  <si>
    <t>1/2-10/210</t>
  </si>
  <si>
    <t>Ольшевская Марина Алексеевна</t>
  </si>
  <si>
    <t>79277230012</t>
  </si>
  <si>
    <t>olshevskayama@gmail.com</t>
  </si>
  <si>
    <t>1/1-03/014</t>
  </si>
  <si>
    <t>Дяченко Татьяна Александровна</t>
  </si>
  <si>
    <t>79171046747</t>
  </si>
  <si>
    <t>tatty006@rambler.ru</t>
  </si>
  <si>
    <t>1/1-12/103</t>
  </si>
  <si>
    <t>Кумашева Елена Александровна</t>
  </si>
  <si>
    <t>79276007256</t>
  </si>
  <si>
    <t>elena-kumasheva@yandex.ru</t>
  </si>
  <si>
    <t>1/1-06/046</t>
  </si>
  <si>
    <t>Патрахина Людмила Григорьевна</t>
  </si>
  <si>
    <t>79959099261</t>
  </si>
  <si>
    <t>patrahina.mila@yandex.ru</t>
  </si>
  <si>
    <t>1/3-05/340</t>
  </si>
  <si>
    <t>Чекерес Виктория Николаевна</t>
  </si>
  <si>
    <t>79279001157</t>
  </si>
  <si>
    <t>Info@balans63.ru</t>
  </si>
  <si>
    <t>1/1-10/087</t>
  </si>
  <si>
    <t>Данченко Никита Васильевич</t>
  </si>
  <si>
    <t>79376407660</t>
  </si>
  <si>
    <t>nikdan321@gmail.com</t>
  </si>
  <si>
    <t>1/1-16/146</t>
  </si>
  <si>
    <t>Казакова Ирина Александровна</t>
  </si>
  <si>
    <t>79869510603</t>
  </si>
  <si>
    <t>irka.3107@mail.ru</t>
  </si>
  <si>
    <t>1/2-02/157</t>
  </si>
  <si>
    <t>Муханова Дельда Гавриловна</t>
  </si>
  <si>
    <t>79649781449</t>
  </si>
  <si>
    <t>mukhanov94@inbox.ru</t>
  </si>
  <si>
    <t>1/1-13/116</t>
  </si>
  <si>
    <t>Качурин Алексей Николаевич</t>
  </si>
  <si>
    <t>79277232664</t>
  </si>
  <si>
    <t>kalengasky@gmail.com</t>
  </si>
  <si>
    <t>1/1-08/065</t>
  </si>
  <si>
    <t>1/2-05/177</t>
  </si>
  <si>
    <t>Борисов Владимир Сергеевич</t>
  </si>
  <si>
    <t>79128977297</t>
  </si>
  <si>
    <t>smr_director@aluminstroy.ru</t>
  </si>
  <si>
    <t>1/2-13/232</t>
  </si>
  <si>
    <t>Сердюкова Ирина Александровна</t>
  </si>
  <si>
    <t>79608319968</t>
  </si>
  <si>
    <t>samarchanka69@mail.ru</t>
  </si>
  <si>
    <t>1/1-09/080</t>
  </si>
  <si>
    <t>Кузьмин Дмитрий Михайлович</t>
  </si>
  <si>
    <t>79170363082</t>
  </si>
  <si>
    <t>deman9952@gmail.com</t>
  </si>
  <si>
    <t>1/1-12/106</t>
  </si>
  <si>
    <t>Кузнецов Евгений Владимирович</t>
  </si>
  <si>
    <t>79874496259</t>
  </si>
  <si>
    <t>Akuzn93@gmail.com</t>
  </si>
  <si>
    <t>1/2-22/295</t>
  </si>
  <si>
    <t>Дядик Михаил Викторович</t>
  </si>
  <si>
    <t>79376579454</t>
  </si>
  <si>
    <t>mihail.dyadik@cchellenic.com</t>
  </si>
  <si>
    <t>Агрегаторы - Домстрой.рф</t>
  </si>
  <si>
    <t xml:space="preserve">Карты </t>
  </si>
  <si>
    <t>1/1-03/016</t>
  </si>
  <si>
    <t>1/1-11/093</t>
  </si>
  <si>
    <t>Кокин Сергей Александрович</t>
  </si>
  <si>
    <t>79631168333</t>
  </si>
  <si>
    <t>Ykokina@icloud.com</t>
  </si>
  <si>
    <t>1/2-14/236</t>
  </si>
  <si>
    <t>Давыдов Сергей Васильевич</t>
  </si>
  <si>
    <t>79093643527</t>
  </si>
  <si>
    <t>davydovnik23@mail.ru</t>
  </si>
  <si>
    <t>1/2-09/202</t>
  </si>
  <si>
    <t>Самородова Наталья Николаевна</t>
  </si>
  <si>
    <t>79608122668</t>
  </si>
  <si>
    <t>samor0dova.n@yandex.ru</t>
  </si>
  <si>
    <t>1/2-03/160</t>
  </si>
  <si>
    <t>Аюкасов Наиль Фаильевич</t>
  </si>
  <si>
    <t>79171302469</t>
  </si>
  <si>
    <t>nail.aiuckasov2011@yandex.ru</t>
  </si>
  <si>
    <t>1/1-07/052</t>
  </si>
  <si>
    <t>Тюрина Альбина Сергеевна</t>
  </si>
  <si>
    <t>79277820699</t>
  </si>
  <si>
    <t>tenrr2004@gmail.com</t>
  </si>
  <si>
    <t>1/1-09/074</t>
  </si>
  <si>
    <t>Катанов Сергей Анатольевич</t>
  </si>
  <si>
    <t>79379880145</t>
  </si>
  <si>
    <t>Katanova76@mail.ru</t>
  </si>
  <si>
    <t>1/1-06/047</t>
  </si>
  <si>
    <t>Кутырева Ирина Олеговна</t>
  </si>
  <si>
    <t>79276589367</t>
  </si>
  <si>
    <t>Irinakut95@mail.ru</t>
  </si>
  <si>
    <t>1/2-15/248</t>
  </si>
  <si>
    <t>Андилевко Денис Анатольевич</t>
  </si>
  <si>
    <t>79171287541</t>
  </si>
  <si>
    <t>naturaljob@yandex.ru</t>
  </si>
  <si>
    <t>1/2-11/217</t>
  </si>
  <si>
    <t>Кухлянский Алексей Сергеевич</t>
  </si>
  <si>
    <t>79277530606</t>
  </si>
  <si>
    <t>akukhlya@gmail.com</t>
  </si>
  <si>
    <t>Агрегаторы - Яндекс.Недвижимость</t>
  </si>
  <si>
    <t>1/3-04/330</t>
  </si>
  <si>
    <t>Семенов Василий Васильевич</t>
  </si>
  <si>
    <t>79171105057</t>
  </si>
  <si>
    <t>vvsemenov1977@mail.ru</t>
  </si>
  <si>
    <t>1/1-13/118</t>
  </si>
  <si>
    <t>Бондаренко Михаил Владимирович</t>
  </si>
  <si>
    <t>79372096001</t>
  </si>
  <si>
    <t>mixa261193@mail.ru</t>
  </si>
  <si>
    <t>1/1-05/032</t>
  </si>
  <si>
    <t>Слепышева Ольга Владимировна</t>
  </si>
  <si>
    <t>79279036324</t>
  </si>
  <si>
    <t>28olga@mail.ru</t>
  </si>
  <si>
    <t>1/2-17/256</t>
  </si>
  <si>
    <t>Якупов Наиль Сабирзянович</t>
  </si>
  <si>
    <t>79966217475</t>
  </si>
  <si>
    <t>asgard-kms@mail.ru</t>
  </si>
  <si>
    <t>1/1-13/112</t>
  </si>
  <si>
    <t>Бодрая Татьяна Васильевна</t>
  </si>
  <si>
    <t>79180672232</t>
  </si>
  <si>
    <t>Viktoria.muhametsabirova@yandex.ru</t>
  </si>
  <si>
    <t>1/2-05/173</t>
  </si>
  <si>
    <t>Степанова Галина Александровна</t>
  </si>
  <si>
    <t>79277140129</t>
  </si>
  <si>
    <t>stmazlova@gmail.com</t>
  </si>
  <si>
    <t>1/1-10/082</t>
  </si>
  <si>
    <t>Окунев Иван Юрьевич</t>
  </si>
  <si>
    <t>79371810476</t>
  </si>
  <si>
    <t>karding2012@gmail.com</t>
  </si>
  <si>
    <t>1/2-12/223</t>
  </si>
  <si>
    <t>Дазиденко Юрий Александрович</t>
  </si>
  <si>
    <t>79228774747</t>
  </si>
  <si>
    <t>dazidenkoya@rambler.ru</t>
  </si>
  <si>
    <t>1/2-08/199</t>
  </si>
  <si>
    <t>Кокарев Александр Александрович</t>
  </si>
  <si>
    <t>79879230391</t>
  </si>
  <si>
    <t>sveta-7474@yandex.ru</t>
  </si>
  <si>
    <t>1/2-08/194</t>
  </si>
  <si>
    <t>Ляпунова Ирина Ивановна</t>
  </si>
  <si>
    <t>79178239521</t>
  </si>
  <si>
    <t>Rodrlgo63@mail.ru</t>
  </si>
  <si>
    <t>1/3-05/343</t>
  </si>
  <si>
    <t>Соколов Алексей Константинович</t>
  </si>
  <si>
    <t>79178221946</t>
  </si>
  <si>
    <t>Sokolov-l-2010@mail.ru</t>
  </si>
  <si>
    <t>1/2-02/155</t>
  </si>
  <si>
    <t>Жаркенева Райхан Махмудовна</t>
  </si>
  <si>
    <t>79228549767</t>
  </si>
  <si>
    <t>Raihan_kz777@mail.ru</t>
  </si>
  <si>
    <t>1/1-03/018</t>
  </si>
  <si>
    <t>Белослудцева Людмила Анатольевна</t>
  </si>
  <si>
    <t>79371847300</t>
  </si>
  <si>
    <t>plutik1973@gmail.com</t>
  </si>
  <si>
    <t>1/2-11/220</t>
  </si>
  <si>
    <t>Барышев Александр Владимирович</t>
  </si>
  <si>
    <t>79171552494</t>
  </si>
  <si>
    <t>Alex_barysheb@mail.ru</t>
  </si>
  <si>
    <t>1/1-13/115</t>
  </si>
  <si>
    <t>Лазарев Александр Витальевич</t>
  </si>
  <si>
    <t>79279032739</t>
  </si>
  <si>
    <t>sanek_163rus@mail.ru</t>
  </si>
  <si>
    <t>1/2-24/310</t>
  </si>
  <si>
    <t>Курбаева Мария Маратовна</t>
  </si>
  <si>
    <t>79262563499</t>
  </si>
  <si>
    <t>egorkin-00@mail.ru</t>
  </si>
  <si>
    <t>1/3-06/350</t>
  </si>
  <si>
    <t>Пономарева Дагиба Раисовна</t>
  </si>
  <si>
    <t>79397502267</t>
  </si>
  <si>
    <t>dagiba.ponomareva@mail.ru</t>
  </si>
  <si>
    <t>1/2-16/250</t>
  </si>
  <si>
    <t>Попов Юрий Анатольевич</t>
  </si>
  <si>
    <t>79372043052</t>
  </si>
  <si>
    <t>yura.popov1987@mail.ru</t>
  </si>
  <si>
    <t>1/2-05/172</t>
  </si>
  <si>
    <t>Уваров Алексей Георгиевич</t>
  </si>
  <si>
    <t>79276077475</t>
  </si>
  <si>
    <t>alexei.uvarov@gmail.com</t>
  </si>
  <si>
    <t>1/3-06/349</t>
  </si>
  <si>
    <t>Акимова Анна Сергеевна</t>
  </si>
  <si>
    <t>79224256425</t>
  </si>
  <si>
    <t>akimovaanna@inbox.ru</t>
  </si>
  <si>
    <t>1/2-14/239</t>
  </si>
  <si>
    <t>Гайнутдинов Фаил Минахметович</t>
  </si>
  <si>
    <t>79371899607</t>
  </si>
  <si>
    <t>husnullova@list.ru</t>
  </si>
  <si>
    <t>1/3-06/347</t>
  </si>
  <si>
    <t>Манукян Астхик Артуровна</t>
  </si>
  <si>
    <t>79178146126</t>
  </si>
  <si>
    <t>astkhik.m.a@gmail.com</t>
  </si>
  <si>
    <t>1/2-06/179</t>
  </si>
  <si>
    <t>Чугунова Ирина Викторовна</t>
  </si>
  <si>
    <t>79277935093</t>
  </si>
  <si>
    <t>chugunova_1979@inbox.ru</t>
  </si>
  <si>
    <t>1/2-20/283</t>
  </si>
  <si>
    <t>Овчинников Никита Валерьевич</t>
  </si>
  <si>
    <t>79277260333</t>
  </si>
  <si>
    <t>nikita-ok@yandex.ru</t>
  </si>
  <si>
    <t>1/3-04/332</t>
  </si>
  <si>
    <t>Панченко Сергей Николаевич</t>
  </si>
  <si>
    <t>77016430574</t>
  </si>
  <si>
    <t>psn19750111@gmail.com</t>
  </si>
  <si>
    <t>1/2-16/254</t>
  </si>
  <si>
    <t>Образцов Андрей Викторович</t>
  </si>
  <si>
    <t>79272046589</t>
  </si>
  <si>
    <t>Obrazcov_AV@mail.ru</t>
  </si>
  <si>
    <t>1/2-17/259</t>
  </si>
  <si>
    <t>Рунова Татьяна Михайловна</t>
  </si>
  <si>
    <t>79228811811</t>
  </si>
  <si>
    <t>tatiana_8811811@mail.ru</t>
  </si>
  <si>
    <t>1/2-19/271</t>
  </si>
  <si>
    <t>Потапова Наталья Николаевна</t>
  </si>
  <si>
    <t>79372729755</t>
  </si>
  <si>
    <t>potapova.natali@rambler.ru</t>
  </si>
  <si>
    <t>1/2-23/304</t>
  </si>
  <si>
    <t>Рангаева Виктория Николаевна</t>
  </si>
  <si>
    <t>79871598486</t>
  </si>
  <si>
    <t>kvn_86@rambler.ru</t>
  </si>
  <si>
    <t>1/3-02/318</t>
  </si>
  <si>
    <t>Зайнутдинова Ирина Алексеевна</t>
  </si>
  <si>
    <t>79171255638</t>
  </si>
  <si>
    <t>ia110153@mail.ru</t>
  </si>
  <si>
    <t>1/2-18/269</t>
  </si>
  <si>
    <t>Светкин Дмитрий Анатольевич</t>
  </si>
  <si>
    <t>79276924605</t>
  </si>
  <si>
    <t>mercury-033@ro.ru</t>
  </si>
  <si>
    <t>Google Карты</t>
  </si>
  <si>
    <t>1/2-15/245</t>
  </si>
  <si>
    <t>Харьковская Светлана Николаевна</t>
  </si>
  <si>
    <t>79871693613</t>
  </si>
  <si>
    <t>alena.efko.sv@gmail.com</t>
  </si>
  <si>
    <t>1/1-04/026</t>
  </si>
  <si>
    <t>Никитин Игорь Вячеславович</t>
  </si>
  <si>
    <t>79171038200</t>
  </si>
  <si>
    <t>nikitiniv33@gmail.com</t>
  </si>
  <si>
    <t>1/1-06/043</t>
  </si>
  <si>
    <t>Шнель Александра Владимировна</t>
  </si>
  <si>
    <t>79277553371</t>
  </si>
  <si>
    <t>riddle__94@mail.ru</t>
  </si>
  <si>
    <t>1/1-10/085</t>
  </si>
  <si>
    <t>Бакин Денис Игоревич</t>
  </si>
  <si>
    <t>79370617420</t>
  </si>
  <si>
    <t>denisik.bakin@yandex.ru</t>
  </si>
  <si>
    <t>1/2-09/206</t>
  </si>
  <si>
    <t>Панова Анна Васильевна</t>
  </si>
  <si>
    <t>79179555853</t>
  </si>
  <si>
    <t>73.panova@gmail.com</t>
  </si>
  <si>
    <t>1/3-05/341</t>
  </si>
  <si>
    <t>Авдеева Галина Николаевна</t>
  </si>
  <si>
    <t>79879456730</t>
  </si>
  <si>
    <t>sergey-av@mail.ru</t>
  </si>
  <si>
    <t>1/1-11/094</t>
  </si>
  <si>
    <t>Акиров Рашит Сайфетдинович</t>
  </si>
  <si>
    <t>79171533338</t>
  </si>
  <si>
    <t>akirov_rashit@mail.ru</t>
  </si>
  <si>
    <t>1/2-11/219</t>
  </si>
  <si>
    <t>Скворцова Олеся Анатольевна</t>
  </si>
  <si>
    <t>79277153130</t>
  </si>
  <si>
    <t>ac-dc2015g@yandex.ru</t>
  </si>
  <si>
    <t>1/1-11/095</t>
  </si>
  <si>
    <t>Карныгина Марина Анатольевна</t>
  </si>
  <si>
    <t>79376485000</t>
  </si>
  <si>
    <t>arsa-mebel@mail.ru</t>
  </si>
  <si>
    <t>1/1-10/086</t>
  </si>
  <si>
    <t>Кельчина Олеся Олеговна</t>
  </si>
  <si>
    <t>79272088701</t>
  </si>
  <si>
    <t>Kudinova.1988@mail.ru</t>
  </si>
  <si>
    <t>Андрейкина Наталья Александровна</t>
  </si>
  <si>
    <t>79277230582</t>
  </si>
  <si>
    <t>alexbezen@mail.ru</t>
  </si>
  <si>
    <t>1/2-07/190</t>
  </si>
  <si>
    <t>Самсонов Максим Сергеевич</t>
  </si>
  <si>
    <t>79277572986</t>
  </si>
  <si>
    <t>Severjak@rambler.ru</t>
  </si>
  <si>
    <t>1/2-20/279</t>
  </si>
  <si>
    <t>Дорофеев Сергей Александрович</t>
  </si>
  <si>
    <t>79372334055</t>
  </si>
  <si>
    <t>saav991312@mail.ru</t>
  </si>
  <si>
    <t>1/2-02/151</t>
  </si>
  <si>
    <t>79277390627</t>
  </si>
  <si>
    <t>ev.remnev@gmail.com</t>
  </si>
  <si>
    <t>Другое</t>
  </si>
  <si>
    <t>1/1-14/121</t>
  </si>
  <si>
    <t>Разгоняева Дарья Владимировна</t>
  </si>
  <si>
    <t>79171484238</t>
  </si>
  <si>
    <t>daryanarazgonyaeva@gmail.com</t>
  </si>
  <si>
    <t>Доп.соглашение о смене отделки с черновой на предчистовую</t>
  </si>
  <si>
    <t>1/3-07/356</t>
  </si>
  <si>
    <t>Котиков Сергей Алексеевич</t>
  </si>
  <si>
    <t>79179459550</t>
  </si>
  <si>
    <t>samara163@hotmail.com</t>
  </si>
  <si>
    <t>1/1-10/090</t>
  </si>
  <si>
    <t>Имаммерзоев Кодирали Тохирджонович</t>
  </si>
  <si>
    <t>79255517464</t>
  </si>
  <si>
    <t>musoevkadir@gmail.com</t>
  </si>
  <si>
    <t>1/2-10/207</t>
  </si>
  <si>
    <t>Ковредов Александр Николаевич</t>
  </si>
  <si>
    <t>79379928829</t>
  </si>
  <si>
    <t>aaanutikkk@mail.ru</t>
  </si>
  <si>
    <t>1/1-15/135</t>
  </si>
  <si>
    <t>КУДИНОВ ВИКТОР ЮРЬЕВИЧ</t>
  </si>
  <si>
    <t>79270159558</t>
  </si>
  <si>
    <t>Kudinoff.v@mail.ru</t>
  </si>
  <si>
    <t>1/3-03/325</t>
  </si>
  <si>
    <t>Николаев Александр Анатольевич</t>
  </si>
  <si>
    <t>79277106378</t>
  </si>
  <si>
    <t>elenakudyrova@gmail.com</t>
  </si>
  <si>
    <t>1/1-15/136</t>
  </si>
  <si>
    <t>Бабенко Сергей Владимирович</t>
  </si>
  <si>
    <t>79603476757</t>
  </si>
  <si>
    <t>bsv1988@mail.ru</t>
  </si>
  <si>
    <t>1/2-23/298</t>
  </si>
  <si>
    <t>Луконин Сергей Викторович</t>
  </si>
  <si>
    <t>79171090199</t>
  </si>
  <si>
    <t>lukonin_001@mail.ru</t>
  </si>
  <si>
    <t>1/1-14/122</t>
  </si>
  <si>
    <t>Николаев Сергей Александрович</t>
  </si>
  <si>
    <t>79170327233</t>
  </si>
  <si>
    <t>tanulga@mail.ru</t>
  </si>
  <si>
    <t>Агрегаторы - ДомКлик (Витрина)</t>
  </si>
  <si>
    <t>1/2-20/282</t>
  </si>
  <si>
    <t>ЧУДНЕНКО ЕВГЕНИЙ АНДРЕЕВИЧ</t>
  </si>
  <si>
    <t>79171650806</t>
  </si>
  <si>
    <t>chudnenko93@gmail.com</t>
  </si>
  <si>
    <t>1/1-15/131</t>
  </si>
  <si>
    <t>Командирова Ирина Алексеевна</t>
  </si>
  <si>
    <t>79277049513</t>
  </si>
  <si>
    <t>Gen250@mail.ru</t>
  </si>
  <si>
    <t>1/2-12/227</t>
  </si>
  <si>
    <t>Таразанова Мария Александровна</t>
  </si>
  <si>
    <t>79143736110</t>
  </si>
  <si>
    <t>c180-87@mail.ru</t>
  </si>
  <si>
    <t>1/2-14/240</t>
  </si>
  <si>
    <t>Меликов Артём Георгиевич</t>
  </si>
  <si>
    <t>79397574225</t>
  </si>
  <si>
    <t>artemmelikov98@gmail.com</t>
  </si>
  <si>
    <t>1/2-15/246</t>
  </si>
  <si>
    <t>Якимова Мария Олеговна</t>
  </si>
  <si>
    <t>79639161511</t>
  </si>
  <si>
    <t>victoor.yakimov@gmail.com</t>
  </si>
  <si>
    <t>1/1-15/140</t>
  </si>
  <si>
    <t>Байбикова Альмира Маратовна</t>
  </si>
  <si>
    <t>79277646666</t>
  </si>
  <si>
    <t>karimova_almira@mail.ru</t>
  </si>
  <si>
    <t>2/1-21/135</t>
  </si>
  <si>
    <t>Курочкин Дмитрий Александрович</t>
  </si>
  <si>
    <t>79171056528</t>
  </si>
  <si>
    <t>skodnik13@mail.ru</t>
  </si>
  <si>
    <t>1/2-12/226</t>
  </si>
  <si>
    <t>79093701855</t>
  </si>
  <si>
    <t>nikonorov88@list.ru</t>
  </si>
  <si>
    <t>1/3-07/359</t>
  </si>
  <si>
    <t>79371885942</t>
  </si>
  <si>
    <t>dronresp@gmail.com</t>
  </si>
  <si>
    <t>1/2-06/181</t>
  </si>
  <si>
    <t>79372005475</t>
  </si>
  <si>
    <t>samira12.06@mail.ru</t>
  </si>
  <si>
    <t>1/2-14/235</t>
  </si>
  <si>
    <t>79124220104</t>
  </si>
  <si>
    <t>volk5.98@mail.ru</t>
  </si>
  <si>
    <t>1/2-16/255</t>
  </si>
  <si>
    <t>79275336687</t>
  </si>
  <si>
    <t>panzer007@bk.ru</t>
  </si>
  <si>
    <t>1/1-05/040</t>
  </si>
  <si>
    <t>Просвиров Сергей Сергеевич</t>
  </si>
  <si>
    <t>79171612574</t>
  </si>
  <si>
    <t>27sergio@mail.ru</t>
  </si>
  <si>
    <t>1/2-11/214</t>
  </si>
  <si>
    <t>Совкомбанк</t>
  </si>
  <si>
    <t>Гусейнов Эдгар Рахметуллаевич</t>
  </si>
  <si>
    <t>79991728999</t>
  </si>
  <si>
    <t>guseinov06101989@icloud.com</t>
  </si>
  <si>
    <t>1/1-07/053</t>
  </si>
  <si>
    <t>Балашкина Оксана Васильевна</t>
  </si>
  <si>
    <t>79226202514</t>
  </si>
  <si>
    <t>balashkina1979@mail.ru</t>
  </si>
  <si>
    <t>1/1-03/013</t>
  </si>
  <si>
    <t>79325573007</t>
  </si>
  <si>
    <t>nadnik014@yandex.ru</t>
  </si>
  <si>
    <t>1/1-11/091</t>
  </si>
  <si>
    <t>79279082042</t>
  </si>
  <si>
    <t>Eproshina79@mail.ru</t>
  </si>
  <si>
    <t>79171439576</t>
  </si>
  <si>
    <t>inna69gai@gmail.com</t>
  </si>
  <si>
    <t>1/1-04/023</t>
  </si>
  <si>
    <t>79625443035</t>
  </si>
  <si>
    <t>sergejsalasov23@gmail.com</t>
  </si>
  <si>
    <t>1/2-07/191</t>
  </si>
  <si>
    <t>Гришин Андрей Валериевич</t>
  </si>
  <si>
    <t>79966198699</t>
  </si>
  <si>
    <t>grishin-a-v@mail.ru</t>
  </si>
  <si>
    <t>Доп.соглашение о смене отделки с черновой на чистовую</t>
  </si>
  <si>
    <t>1/1-15/133</t>
  </si>
  <si>
    <t>79033027980</t>
  </si>
  <si>
    <t>sirazov.92@gmail.com</t>
  </si>
  <si>
    <t>1/3-04/328</t>
  </si>
  <si>
    <t>Муродалиев Акрамджон Мавджудалиевич</t>
  </si>
  <si>
    <t>79649884462</t>
  </si>
  <si>
    <t>akpam73@mail.ru</t>
  </si>
  <si>
    <t>1/1-11/096</t>
  </si>
  <si>
    <t>Размазина Марина Валентиновна</t>
  </si>
  <si>
    <t>79277299191</t>
  </si>
  <si>
    <t>artem_abaimov@list.ru</t>
  </si>
  <si>
    <t>Гордость России</t>
  </si>
  <si>
    <t>2/1-03/009</t>
  </si>
  <si>
    <t>79170386180</t>
  </si>
  <si>
    <t>katja-poljanskaja2@rambler.ru</t>
  </si>
  <si>
    <t>2/2-04/188</t>
  </si>
  <si>
    <t>Муханов Берик Болатович</t>
  </si>
  <si>
    <t>79871597562</t>
  </si>
  <si>
    <t>muchanov94@inbox.ru</t>
  </si>
  <si>
    <t>2/1-19/125</t>
  </si>
  <si>
    <t>Амирова Анастасия Геннадьевна</t>
  </si>
  <si>
    <t>79608190101</t>
  </si>
  <si>
    <t>Klementevaag@mail.ru</t>
  </si>
  <si>
    <t>2/2-02/171</t>
  </si>
  <si>
    <t>БЕРЕЗИНА СВЕТЛАНА АЛЕКСАНДРОВНА</t>
  </si>
  <si>
    <t>79277760059</t>
  </si>
  <si>
    <t>cwetyk567@gmail.com</t>
  </si>
  <si>
    <t>2/1-03/013</t>
  </si>
  <si>
    <t>ЖУКОВА АНЖЕЛИКА ВАЛЕРЬЕВНА</t>
  </si>
  <si>
    <t>79276921591</t>
  </si>
  <si>
    <t>Angel9870@rambler.ru</t>
  </si>
  <si>
    <t>2/1-03/014</t>
  </si>
  <si>
    <t>РЯБИКИН ОЛЕГ ВАЛЕРЬЕВИЧ</t>
  </si>
  <si>
    <t>79874360673</t>
  </si>
  <si>
    <t>olegryaba@mail.ru</t>
  </si>
  <si>
    <t>Повторная покупка</t>
  </si>
  <si>
    <t>2/2-10/252</t>
  </si>
  <si>
    <t>Рябков Алексей Александрович</t>
  </si>
  <si>
    <t>79125343888</t>
  </si>
  <si>
    <t>ryabkov.alex85@yandex.ru</t>
  </si>
  <si>
    <t>2/2-02/167</t>
  </si>
  <si>
    <t>МОСОЛОВ ВАСИЛИЙ ГЕННАДЬЕВИЧ</t>
  </si>
  <si>
    <t>79991719158</t>
  </si>
  <si>
    <t>vasekmosol8@icloud.com</t>
  </si>
  <si>
    <t>2/2-12/272</t>
  </si>
  <si>
    <t>79178103314</t>
  </si>
  <si>
    <t>van101182@yandex.ru</t>
  </si>
  <si>
    <t>2/1-09/055</t>
  </si>
  <si>
    <t>Фильченков Евгений Александрович</t>
  </si>
  <si>
    <t>79089003849</t>
  </si>
  <si>
    <t>evgen.fill@yandex.ru</t>
  </si>
  <si>
    <t>2/2-04/186</t>
  </si>
  <si>
    <t>СИВАКОВ АРТЕМ ДМИТРИЕВИЧ</t>
  </si>
  <si>
    <t>79179452860</t>
  </si>
  <si>
    <t>Sivakov.a.d@yandex.ru</t>
  </si>
  <si>
    <t>2/2-13/293</t>
  </si>
  <si>
    <t>79093637764</t>
  </si>
  <si>
    <t>nadya.lesheva1974@yandex.ru</t>
  </si>
  <si>
    <t>2/2-07/220</t>
  </si>
  <si>
    <t>БАБЕНКО ЕЛЕНА ВИТАЛЬЕВНА</t>
  </si>
  <si>
    <t>79328453804</t>
  </si>
  <si>
    <t>helen9702@mail.ru</t>
  </si>
  <si>
    <t>2/2-13/289</t>
  </si>
  <si>
    <t>Зубарев Игорь Олегович</t>
  </si>
  <si>
    <t>79178139896</t>
  </si>
  <si>
    <t>newgar63@gmail.com</t>
  </si>
  <si>
    <t>2/2-03/180</t>
  </si>
  <si>
    <t>79277340035</t>
  </si>
  <si>
    <t>Shub2006@mail.ru</t>
  </si>
  <si>
    <t>2/2-02/162</t>
  </si>
  <si>
    <t>2/1-12/072</t>
  </si>
  <si>
    <t>ФИЛАТОВ ДЕНИС ЮРЬЕВИЧ</t>
  </si>
  <si>
    <t>79277599163</t>
  </si>
  <si>
    <t>vbs-samara@rambler.ru</t>
  </si>
  <si>
    <t>2/2-15/307</t>
  </si>
  <si>
    <t>Пешкова Татьяна Анатольевна</t>
  </si>
  <si>
    <t>79277079812</t>
  </si>
  <si>
    <t>7079812@gmail.com</t>
  </si>
  <si>
    <t>1/1-05/033</t>
  </si>
  <si>
    <t>Чекурова Ольга Сергеевна</t>
  </si>
  <si>
    <t>79879143907</t>
  </si>
  <si>
    <t>sergeevaolga1988@gmail.com</t>
  </si>
  <si>
    <t>2/2-03/179</t>
  </si>
  <si>
    <t>Векилова Ирина Юрьевна</t>
  </si>
  <si>
    <t>79171567706</t>
  </si>
  <si>
    <t>vekilova@inbox.ru</t>
  </si>
  <si>
    <t>Бисингалиев Аймрза Абилькаерович</t>
  </si>
  <si>
    <t>79277450907</t>
  </si>
  <si>
    <t>abisingaliev@mail.ru</t>
  </si>
  <si>
    <t>1/3-07/352</t>
  </si>
  <si>
    <t>Берникова Наталья Александровна</t>
  </si>
  <si>
    <t>79023738950</t>
  </si>
  <si>
    <t>natasha19761206@yandex.ru</t>
  </si>
  <si>
    <t>2/2-14/303</t>
  </si>
  <si>
    <t>79279095300</t>
  </si>
  <si>
    <t>delta-163@inbox.ru</t>
  </si>
  <si>
    <t>2/2-04/184</t>
  </si>
  <si>
    <t>79171010893</t>
  </si>
  <si>
    <t>oks60@yandex.ru</t>
  </si>
  <si>
    <t>2/2-13/290</t>
  </si>
  <si>
    <t>Черкашина Ирина Вячеславовна</t>
  </si>
  <si>
    <t>79228015935</t>
  </si>
  <si>
    <t>rigenkaj2781@mail.ru</t>
  </si>
  <si>
    <t>2/2-09/248</t>
  </si>
  <si>
    <t>79277209974</t>
  </si>
  <si>
    <t>Lilkat@mail.ru</t>
  </si>
  <si>
    <t>2/2-03/174</t>
  </si>
  <si>
    <t>79991586528</t>
  </si>
  <si>
    <t>2/2-03/178</t>
  </si>
  <si>
    <t>ГАЛИАКБЕРОВА АЛЬФИЯ РАФАИЛОВНА</t>
  </si>
  <si>
    <t>79379867380</t>
  </si>
  <si>
    <t>alfika78@mail.ru</t>
  </si>
  <si>
    <t>2/2-09/246</t>
  </si>
  <si>
    <t>ЧАПАЙКИН ПЕТР ВИКТОРОВИЧ</t>
  </si>
  <si>
    <t>79276080409</t>
  </si>
  <si>
    <t>chapay7772009@gmail.com</t>
  </si>
  <si>
    <t>2/2-09/247</t>
  </si>
  <si>
    <t>Затулеев Антон Алексеевич</t>
  </si>
  <si>
    <t>79276173222</t>
  </si>
  <si>
    <t>Luska979@yandex.ru</t>
  </si>
  <si>
    <t>2/2-13/285</t>
  </si>
  <si>
    <t>79277442177</t>
  </si>
  <si>
    <t>samnikita@mail.ru</t>
  </si>
  <si>
    <t>2/2-08/231</t>
  </si>
  <si>
    <t>Хархардин Александр Андреевич</t>
  </si>
  <si>
    <t>79990806620</t>
  </si>
  <si>
    <t>BlackTulips@mail.ru</t>
  </si>
  <si>
    <t>2/2-14/294</t>
  </si>
  <si>
    <t>Чадина Зоя Юрьевна</t>
  </si>
  <si>
    <t>79135885747</t>
  </si>
  <si>
    <t>Chadina.zoya@mail.ru</t>
  </si>
  <si>
    <t>2/1-20/130</t>
  </si>
  <si>
    <t>Синекопова Оксана Геннадьевна</t>
  </si>
  <si>
    <t>79270073349</t>
  </si>
  <si>
    <t>sog21@mail.ru</t>
  </si>
  <si>
    <t>2/2-11/262</t>
  </si>
  <si>
    <t>79228535831</t>
  </si>
  <si>
    <t>mari.kudinova.98@bk.ru</t>
  </si>
  <si>
    <t>2/2-10/253</t>
  </si>
  <si>
    <t>Поварова Татьяна Петровна</t>
  </si>
  <si>
    <t>79297141053</t>
  </si>
  <si>
    <t>povarovatp@globalvsn.com</t>
  </si>
  <si>
    <t>2/1-12/077</t>
  </si>
  <si>
    <t>Мамыркин Александр Владимирович</t>
  </si>
  <si>
    <t>79272035983</t>
  </si>
  <si>
    <t>mav-898@yandex.ru</t>
  </si>
  <si>
    <t>2/2-09/240</t>
  </si>
  <si>
    <t>ДМИТРИЕВ ДМИТРИЙ ЮРЬЕВИЧ</t>
  </si>
  <si>
    <t>79228129111</t>
  </si>
  <si>
    <t>dmitriyeva1984@internet.ru</t>
  </si>
  <si>
    <t>1/2-20/281</t>
  </si>
  <si>
    <t>Нехаев Евгений Владимирович</t>
  </si>
  <si>
    <t>79272028429</t>
  </si>
  <si>
    <t>Mozg73@yandex.ru</t>
  </si>
  <si>
    <t>2/2-11/271</t>
  </si>
  <si>
    <t>Илларионов Евгений Александрович</t>
  </si>
  <si>
    <t>79170367801</t>
  </si>
  <si>
    <t>illarionov.evgeniy63@yandex.ru</t>
  </si>
  <si>
    <t>2/2-04/187</t>
  </si>
  <si>
    <t>Кистанова Нина Сергеевна</t>
  </si>
  <si>
    <t>79277341919</t>
  </si>
  <si>
    <t>kuznetsoff94@mail.ru</t>
  </si>
  <si>
    <t>2/2-08/228</t>
  </si>
  <si>
    <t>БОРОДИЧ МАРИНА АЛЕКСАНДРОВНА</t>
  </si>
  <si>
    <t>79376355236</t>
  </si>
  <si>
    <t>b0r0dich@yandex.ru</t>
  </si>
  <si>
    <t>2/2-06/206</t>
  </si>
  <si>
    <t>79270020601</t>
  </si>
  <si>
    <t>abushov_kostya@mail.ru</t>
  </si>
  <si>
    <t>2/2-02/172</t>
  </si>
  <si>
    <t>Заверяев Алексей Николаевич</t>
  </si>
  <si>
    <t>79371773166</t>
  </si>
  <si>
    <t>alex5679@mail.ru</t>
  </si>
  <si>
    <t>Многодетная семья</t>
  </si>
  <si>
    <t>1/2-21/284</t>
  </si>
  <si>
    <t>КОЛЕСИХИНА ТАТЬЯНА АЛЕКСЕЕВНА</t>
  </si>
  <si>
    <t>79272640122</t>
  </si>
  <si>
    <t>Kolesihinatatyana@gmail.com</t>
  </si>
  <si>
    <t>2/1-10/063</t>
  </si>
  <si>
    <t>79279052251</t>
  </si>
  <si>
    <t>pewkovadina@mail.ru</t>
  </si>
  <si>
    <t>2/2-06/215</t>
  </si>
  <si>
    <t>Куликова Анастасия Александровна</t>
  </si>
  <si>
    <t>79053016770</t>
  </si>
  <si>
    <t>nast.kulikowa@yandex.ru</t>
  </si>
  <si>
    <t>2/1-06/034</t>
  </si>
  <si>
    <t>Сливина Ирина Алексеевна</t>
  </si>
  <si>
    <t>79276858807</t>
  </si>
  <si>
    <t>slivina.ia@hvorostyanka.ru</t>
  </si>
  <si>
    <t>2/2-14/298</t>
  </si>
  <si>
    <t>Мухамеджанова Людмила Сергеевна</t>
  </si>
  <si>
    <t>79879278157</t>
  </si>
  <si>
    <t>wokrobs@mail.ru</t>
  </si>
  <si>
    <t>2/2-12/281</t>
  </si>
  <si>
    <t>Вретто Марина Евгеньевна</t>
  </si>
  <si>
    <t>79874479928</t>
  </si>
  <si>
    <t>marina116363@gmail.com</t>
  </si>
  <si>
    <t>2/2-12/279</t>
  </si>
  <si>
    <t>2/2-09/249</t>
  </si>
  <si>
    <t>МАЛАХОВА ЕКАТЕРИНА ВЯЧЕСЛАВОВНА</t>
  </si>
  <si>
    <t>79272082830</t>
  </si>
  <si>
    <t>malahovakat@mail.ru</t>
  </si>
  <si>
    <t>2/1-21/134</t>
  </si>
  <si>
    <t>МАРИНИНА МАРИЯ АЛЕКСАНДРОВНА</t>
  </si>
  <si>
    <t>79091507295</t>
  </si>
  <si>
    <t>dyshechka367@rambler.ru</t>
  </si>
  <si>
    <t>2/1-20/133</t>
  </si>
  <si>
    <t>Мокшин Владимир Валерьевич</t>
  </si>
  <si>
    <t>79376472155</t>
  </si>
  <si>
    <t>Wowqa.m@gmail.com</t>
  </si>
  <si>
    <t>2/1-06/035</t>
  </si>
  <si>
    <t>КЛИПИКОВ АНДРЕЙ АЛЕКСАНДРОВИЧ</t>
  </si>
  <si>
    <t>79376566270</t>
  </si>
  <si>
    <t>Brain_best_01@mail.ru</t>
  </si>
  <si>
    <t>2/2-05/205</t>
  </si>
  <si>
    <t>Персиянцева Наталья Владимировна</t>
  </si>
  <si>
    <t>79272052428</t>
  </si>
  <si>
    <t>Persik19@live.com</t>
  </si>
  <si>
    <t>2/1-12/076</t>
  </si>
  <si>
    <t>Казверов Андрей Александрович</t>
  </si>
  <si>
    <t>79277129422</t>
  </si>
  <si>
    <t>Vybor-63@yandex.ru</t>
  </si>
  <si>
    <t>2/1-12/071</t>
  </si>
  <si>
    <t>Руднева Юлия Геннадьевна</t>
  </si>
  <si>
    <t>79613808657</t>
  </si>
  <si>
    <t>Mpmk@bk.ru</t>
  </si>
  <si>
    <t>2/2-14/297</t>
  </si>
  <si>
    <t>2/2-07/222</t>
  </si>
  <si>
    <t>Тюрина Екатерина Александровна</t>
  </si>
  <si>
    <t>79276558805</t>
  </si>
  <si>
    <t>kisska125@mail.ru</t>
  </si>
  <si>
    <t>2/1-23/149</t>
  </si>
  <si>
    <t>79277398611</t>
  </si>
  <si>
    <t>inna-smp@rambler.ru</t>
  </si>
  <si>
    <t>2/1-12/075</t>
  </si>
  <si>
    <t>Долгих Ольга Алексеевна</t>
  </si>
  <si>
    <t>79063475043</t>
  </si>
  <si>
    <t>angara1988@yandex.ru</t>
  </si>
  <si>
    <t>2/1-09/052</t>
  </si>
  <si>
    <t>79272064681</t>
  </si>
  <si>
    <t>tatyana.lvova.1982@mail.ru</t>
  </si>
  <si>
    <t>2/1-22/147</t>
  </si>
  <si>
    <t>Полунина Наталья Геннадьевна</t>
  </si>
  <si>
    <t>79272097374</t>
  </si>
  <si>
    <t>an.polunin@yandex.ru</t>
  </si>
  <si>
    <t>Господдержка 2020</t>
  </si>
  <si>
    <t>2/1-23/148</t>
  </si>
  <si>
    <t>ЖЕСКОВ АЛЕКСАНДР ВЯЧЕСЛАВОВИЧ</t>
  </si>
  <si>
    <t>79277056944</t>
  </si>
  <si>
    <t>zheskov63@yandex.ru</t>
  </si>
  <si>
    <t>1/2-08/193</t>
  </si>
  <si>
    <t>МИРОШНИЧЕНКО АНТОН АЛЕКСАНДРОВИЧ</t>
  </si>
  <si>
    <t>79277294185</t>
  </si>
  <si>
    <t>antonmirosh163@gmail.com</t>
  </si>
  <si>
    <t>2/1-09/053</t>
  </si>
  <si>
    <t>79879516453</t>
  </si>
  <si>
    <t>Marina@travel63.ru</t>
  </si>
  <si>
    <t>2/2-08/237</t>
  </si>
  <si>
    <t>Бурмаков Роман Сергеевич</t>
  </si>
  <si>
    <t>79879830482</t>
  </si>
  <si>
    <t>dananik09@gmail.com</t>
  </si>
  <si>
    <t>2/2-03/181</t>
  </si>
  <si>
    <t>Власенко Олег Анатольевич</t>
  </si>
  <si>
    <t>79674823640</t>
  </si>
  <si>
    <t>oltrsmail@gmail.com</t>
  </si>
  <si>
    <t>2/1-24/155</t>
  </si>
  <si>
    <t>Полунин Денис Александрович</t>
  </si>
  <si>
    <t>79270044842</t>
  </si>
  <si>
    <t>Den.pol2010@ya.ru</t>
  </si>
  <si>
    <t>2/2-10/259</t>
  </si>
  <si>
    <t>Краснова Ирина Александровна</t>
  </si>
  <si>
    <t>79277514419</t>
  </si>
  <si>
    <t>krasnovayulia000@yandex.ru</t>
  </si>
  <si>
    <t>2/2-11/267</t>
  </si>
  <si>
    <t>Рудакова Дарья Юрьевна</t>
  </si>
  <si>
    <t>79277257478</t>
  </si>
  <si>
    <t>rudakovadasha@icloud.com</t>
  </si>
  <si>
    <t>2/2-02/166</t>
  </si>
  <si>
    <t>Чанчарова Акслу Аватовна</t>
  </si>
  <si>
    <t>79649905681</t>
  </si>
  <si>
    <t>chancharova26@gmail.com</t>
  </si>
  <si>
    <t>2/1-12/074</t>
  </si>
  <si>
    <t>Карисова Асель Кусаиновна</t>
  </si>
  <si>
    <t>79171526617</t>
  </si>
  <si>
    <t>Karisova.95@mail.ru</t>
  </si>
  <si>
    <t>2/1-06/029</t>
  </si>
  <si>
    <t>79370613111</t>
  </si>
  <si>
    <t>chigan163@gmail.com</t>
  </si>
  <si>
    <t>2/1-16/105</t>
  </si>
  <si>
    <t>Аитова Ирина Валериевна</t>
  </si>
  <si>
    <t>79272668626</t>
  </si>
  <si>
    <t>Aitova.irina2016@yandex.ru</t>
  </si>
  <si>
    <t>2/2-06/210</t>
  </si>
  <si>
    <t>Волкова Ирина Сергеевна</t>
  </si>
  <si>
    <t>79171419131</t>
  </si>
  <si>
    <t>arisha.volkova.19@inbox.ru</t>
  </si>
  <si>
    <t>2/2-13/284</t>
  </si>
  <si>
    <t>Склепкович Антон Евгеньевич</t>
  </si>
  <si>
    <t>79991719727</t>
  </si>
  <si>
    <t>S3riousss@gmail.com</t>
  </si>
  <si>
    <t>2/2-12/282</t>
  </si>
  <si>
    <t>79022931981</t>
  </si>
  <si>
    <t>omotin@mail.ru</t>
  </si>
  <si>
    <t>2/1-18/113</t>
  </si>
  <si>
    <t>Российская, Светлана Викторовна</t>
  </si>
  <si>
    <t>79276111482</t>
  </si>
  <si>
    <t>artem-rossiyskiy@mail.ru</t>
  </si>
  <si>
    <t>2/1-07/042</t>
  </si>
  <si>
    <t>УЧАКИНА ЕКАТЕРИНА ВЛАДИМИРОВНА</t>
  </si>
  <si>
    <t>79649762434</t>
  </si>
  <si>
    <t>katrine72@mail.ru</t>
  </si>
  <si>
    <t>2/2-09/239</t>
  </si>
  <si>
    <t>Егорова Людмила Николаевна</t>
  </si>
  <si>
    <t>79277537442</t>
  </si>
  <si>
    <t>malaluns@gmail.com</t>
  </si>
  <si>
    <t>2/2-07/227</t>
  </si>
  <si>
    <t>Уткин Евгений Александрович</t>
  </si>
  <si>
    <t>79371773737</t>
  </si>
  <si>
    <t>uzhenja@yandex.ru</t>
  </si>
  <si>
    <t>2/2-04/193</t>
  </si>
  <si>
    <t>79277399455</t>
  </si>
  <si>
    <t>2/1-12/073</t>
  </si>
  <si>
    <t>ДАВЫДОВ АЛЕКСЕЙ АНАТОЛЬЕВИЧ</t>
  </si>
  <si>
    <t>79376445915</t>
  </si>
  <si>
    <t>davydov211284@yandex.ru</t>
  </si>
  <si>
    <t>2/1-20/128</t>
  </si>
  <si>
    <t>Сологубова Кристина Александровна</t>
  </si>
  <si>
    <t>79277047641</t>
  </si>
  <si>
    <t>kristina-gorshko@mail.ru</t>
  </si>
  <si>
    <t>2/2-14/299</t>
  </si>
  <si>
    <t>НУРМАМАДШОЕВ МУСЛИМ РАХМАТШОЕВИЧ</t>
  </si>
  <si>
    <t>79171000404</t>
  </si>
  <si>
    <t>muslim.nur.0@mail.ru</t>
  </si>
  <si>
    <t>2/1-03/010</t>
  </si>
  <si>
    <t>ИСКАКОВА УЛДАЙ ГОПАСОВНА</t>
  </si>
  <si>
    <t>79276904164</t>
  </si>
  <si>
    <t>sitkalieva777@mail.ru</t>
  </si>
  <si>
    <t>2/2-07/221</t>
  </si>
  <si>
    <t>79373966646</t>
  </si>
  <si>
    <t>norkin550@gmail.com</t>
  </si>
  <si>
    <t>2/1-02/001</t>
  </si>
  <si>
    <t>Ахмедов Махмуд Муродиллоевич</t>
  </si>
  <si>
    <t>79277224822</t>
  </si>
  <si>
    <t>v.yagudina1980@yandex.ru</t>
  </si>
  <si>
    <t>2/2-10/260</t>
  </si>
  <si>
    <t>Зуева, Татьяна Анатольевна</t>
  </si>
  <si>
    <t>79966229763</t>
  </si>
  <si>
    <t>Zuev175@icloud.com</t>
  </si>
  <si>
    <t>2/2-06/211</t>
  </si>
  <si>
    <t>Городецкий Сергей Юрьевич</t>
  </si>
  <si>
    <t>79225527036</t>
  </si>
  <si>
    <t>Sergey030873@yandex.ru</t>
  </si>
  <si>
    <t>2/2-03/182</t>
  </si>
  <si>
    <t>Мотин Александр Петрович</t>
  </si>
  <si>
    <t>79276927299</t>
  </si>
  <si>
    <t>2/2-11/265</t>
  </si>
  <si>
    <t>Джелилова Алие Эдемовна</t>
  </si>
  <si>
    <t>79277385374</t>
  </si>
  <si>
    <t>alka55-55@mail.ru</t>
  </si>
  <si>
    <t>2/2-10/254</t>
  </si>
  <si>
    <t>Арстанова Гульнара Игнатьевна</t>
  </si>
  <si>
    <t>79270746967</t>
  </si>
  <si>
    <t>gusik_yo@mail.ru</t>
  </si>
  <si>
    <t>2/1-02/005</t>
  </si>
  <si>
    <t>Филиппов, Виталий Александрович</t>
  </si>
  <si>
    <t>vittamin@mail.ru</t>
  </si>
  <si>
    <t>2/2-08/230</t>
  </si>
  <si>
    <t>Медведев Александр Георгиевич</t>
  </si>
  <si>
    <t>79967421769</t>
  </si>
  <si>
    <t>alexchard2012@gmail.com</t>
  </si>
  <si>
    <t>2/2-03/183</t>
  </si>
  <si>
    <t>СМЕРНИЦКИЙ ВИТАЛИЙ ГЕННАДЬЕВИЧ</t>
  </si>
  <si>
    <t>79277269001</t>
  </si>
  <si>
    <t>sv063@bk.ru</t>
  </si>
  <si>
    <t>2/1-14/085</t>
  </si>
  <si>
    <t>79371710381</t>
  </si>
  <si>
    <t>filimonova_ns@mail.ru</t>
  </si>
  <si>
    <t>2/1-04/021</t>
  </si>
  <si>
    <t>ВИШНЯКОВ ФЕДОР СЕРГЕЕВИЧ</t>
  </si>
  <si>
    <t>79022380263</t>
  </si>
  <si>
    <t>f.vishnyaKov@mail.ru</t>
  </si>
  <si>
    <t>2/2-06/214</t>
  </si>
  <si>
    <t>СЛОБОДЧИКОВ ВИКТОР МИХАЙЛОВИЧ</t>
  </si>
  <si>
    <t>79372162268</t>
  </si>
  <si>
    <t>Viktor.slobodchikov@bk.ru</t>
  </si>
  <si>
    <t>2/2-12/277</t>
  </si>
  <si>
    <t>Ульченко Ольга Валерьевна</t>
  </si>
  <si>
    <t>79171484587</t>
  </si>
  <si>
    <t>OLGAulchenko@rambler.ru</t>
  </si>
  <si>
    <t>2/2-10/256</t>
  </si>
  <si>
    <t>Привалова Людмила Юрьевна</t>
  </si>
  <si>
    <t>79178149824</t>
  </si>
  <si>
    <t>volavirp@yandex.ru</t>
  </si>
  <si>
    <t>2/1-15/092</t>
  </si>
  <si>
    <t>Шацких Евгений Игоревич</t>
  </si>
  <si>
    <t>79179527769</t>
  </si>
  <si>
    <t>Shatskih163@gmail.com</t>
  </si>
  <si>
    <t>2/1-09/051</t>
  </si>
  <si>
    <t>2/1-04/015</t>
  </si>
  <si>
    <t>Турков Дмитрий Владимироич</t>
  </si>
  <si>
    <t>79510375402</t>
  </si>
  <si>
    <t>dm.turkov@mail.ru</t>
  </si>
  <si>
    <t>Подарок</t>
  </si>
  <si>
    <t>ДД-1/1-02/002</t>
  </si>
  <si>
    <t>Договор Дарения</t>
  </si>
  <si>
    <t>Ульянов Олег Николаевич</t>
  </si>
  <si>
    <t>Подарочные квартиры</t>
  </si>
  <si>
    <t>ДД-1/1-15/132</t>
  </si>
  <si>
    <t>Пудовкина Юлия Сергеевна</t>
  </si>
  <si>
    <t>2/2-07/223</t>
  </si>
  <si>
    <t>ЯШИН ПАВЕЛ ЮРЬЕВИЧ</t>
  </si>
  <si>
    <t>79379932888</t>
  </si>
  <si>
    <t>Pavelyashin1971@gmail.com</t>
  </si>
  <si>
    <t>2/1-17/106</t>
  </si>
  <si>
    <t>ЕГОРОВ ДМИТРИЙ ВИКТОРОВИЧ</t>
  </si>
  <si>
    <t>79228506155</t>
  </si>
  <si>
    <t>egorov.dv92@icloud.com</t>
  </si>
  <si>
    <t>2/1-17/107</t>
  </si>
  <si>
    <t>Сопова Анастасия Александровна</t>
  </si>
  <si>
    <t>79277464688</t>
  </si>
  <si>
    <t>sopovaaa@bk.ru</t>
  </si>
  <si>
    <t>ДД-1/3-05/337</t>
  </si>
  <si>
    <t>Минигалимов Радиф Мазитович</t>
  </si>
  <si>
    <t>2/2-07/226</t>
  </si>
  <si>
    <t>Земсков Роман Владимирович</t>
  </si>
  <si>
    <t>79505083605</t>
  </si>
  <si>
    <t>zemskovzema@mail.ru</t>
  </si>
  <si>
    <t>2/1-16/104</t>
  </si>
  <si>
    <t>Котерева, Марина Васильевна</t>
  </si>
  <si>
    <t>79825580142</t>
  </si>
  <si>
    <t>kotereva.m@mail.ru</t>
  </si>
  <si>
    <t>2/2-08/232</t>
  </si>
  <si>
    <t>Гузанова Алиса Спартаковна</t>
  </si>
  <si>
    <t>79277562348</t>
  </si>
  <si>
    <t>alisaguzanva@rambler.ru</t>
  </si>
  <si>
    <t>2/1-20/127</t>
  </si>
  <si>
    <t>Шевякова Ольга Владимировна</t>
  </si>
  <si>
    <t>79198058922</t>
  </si>
  <si>
    <t>polt-vladimir@yandex.ru</t>
  </si>
  <si>
    <t>2/1-14/086</t>
  </si>
  <si>
    <t>2/2-04/190</t>
  </si>
  <si>
    <t>Писарева Наталья Петровна</t>
  </si>
  <si>
    <t>79276979700</t>
  </si>
  <si>
    <t>pisareva.55@list.ru</t>
  </si>
  <si>
    <t>2/1-13/081</t>
  </si>
  <si>
    <t>Турдиева Надира Косимовна</t>
  </si>
  <si>
    <t>79097868729</t>
  </si>
  <si>
    <t>nodirakhon.turdieva@bk.ru</t>
  </si>
  <si>
    <t>2/1-02/007</t>
  </si>
  <si>
    <t>ВИШНЯКОВА ВИКТОРИЯ ВИКТОРОВНА</t>
  </si>
  <si>
    <t>79021836993</t>
  </si>
  <si>
    <t>vennika@yandex.ru</t>
  </si>
  <si>
    <t>2/1-05/023</t>
  </si>
  <si>
    <t>Васильев Виктор Владимирович</t>
  </si>
  <si>
    <t>79277613993</t>
  </si>
  <si>
    <t>doublekris37@gmail.com</t>
  </si>
  <si>
    <t>2/1-08/044</t>
  </si>
  <si>
    <t>Буров Леонид Олегович</t>
  </si>
  <si>
    <t>79608341877</t>
  </si>
  <si>
    <t>lenya_burov@mail.ru</t>
  </si>
  <si>
    <t>2/2-08/238</t>
  </si>
  <si>
    <t>79397122729</t>
  </si>
  <si>
    <t>pustobaev.sergei@mail.ru</t>
  </si>
  <si>
    <t>2/2-09/245</t>
  </si>
  <si>
    <t>АБРААМЯН СУРЕН СЕРЕЖЕВИЧ</t>
  </si>
  <si>
    <t>79371780906</t>
  </si>
  <si>
    <t>suren-abraamyan@mail.ru</t>
  </si>
  <si>
    <t>2/1-03/008</t>
  </si>
  <si>
    <t>79021593815</t>
  </si>
  <si>
    <t>lina.osipova.2018@inbox.ru</t>
  </si>
  <si>
    <t>1/2-03/162</t>
  </si>
  <si>
    <t>Байкулова Ольга Витальевна</t>
  </si>
  <si>
    <t>79879080192</t>
  </si>
  <si>
    <t>olga.chepakova@mail.ru</t>
  </si>
  <si>
    <t>2/1-04/020</t>
  </si>
  <si>
    <t>79277213909</t>
  </si>
  <si>
    <t>bestslime@mail.ru</t>
  </si>
  <si>
    <t>1/3-06/345</t>
  </si>
  <si>
    <t>Корежин, Дмитрий Геннадьевич</t>
  </si>
  <si>
    <t>79171513120</t>
  </si>
  <si>
    <t>dmitrii-korezhin@mail.ru</t>
  </si>
  <si>
    <t>2/1-19/121</t>
  </si>
  <si>
    <t>Колесников Николай Анатольевич</t>
  </si>
  <si>
    <t>79328477787</t>
  </si>
  <si>
    <t>Nikolay-kolesnikov92@mail.ru</t>
  </si>
  <si>
    <t>2/1-15/095</t>
  </si>
  <si>
    <t>Нураев Фярхать Дефярович</t>
  </si>
  <si>
    <t>79276040772</t>
  </si>
  <si>
    <t>al1mu2nu3p1n2@mail.ru</t>
  </si>
  <si>
    <t>Реклама в ТК - Рекламные щиты на парковке Амбара</t>
  </si>
  <si>
    <t>2/1-02/006</t>
  </si>
  <si>
    <t>79272691472</t>
  </si>
  <si>
    <t>ivf585@yandex.ru</t>
  </si>
  <si>
    <t>Дети с ограниченными возможностями</t>
  </si>
  <si>
    <t>2/1-06/031</t>
  </si>
  <si>
    <t>Моисеев Петр Владимирович</t>
  </si>
  <si>
    <t>79277016052</t>
  </si>
  <si>
    <t>irina-solkina@mail.ru</t>
  </si>
  <si>
    <t>2/2-12/274</t>
  </si>
  <si>
    <t>79372062245</t>
  </si>
  <si>
    <t>Razlivanov94@mail.ru</t>
  </si>
  <si>
    <t>2/1-16/099</t>
  </si>
  <si>
    <t>79991701230</t>
  </si>
  <si>
    <t>Romakise@rambler.ru</t>
  </si>
  <si>
    <t>1/1-05/036</t>
  </si>
  <si>
    <t>79270040603</t>
  </si>
  <si>
    <t>haykrim0197@yandex.ru</t>
  </si>
  <si>
    <t>2/2-10/255</t>
  </si>
  <si>
    <t>Притолюк Денис Витальевич</t>
  </si>
  <si>
    <t>79171209420</t>
  </si>
  <si>
    <t>skorp-den@mail.ru</t>
  </si>
  <si>
    <t>2/1-14/091</t>
  </si>
  <si>
    <t>СУМАРОКОВА ИРИНА ВЛАДИМИРОВНА</t>
  </si>
  <si>
    <t>79245055063</t>
  </si>
  <si>
    <t>sumarokov.v98@mail.ru</t>
  </si>
  <si>
    <t>2/1-19/123</t>
  </si>
  <si>
    <t>79277707095</t>
  </si>
  <si>
    <t>Lmanukyan89@gmail.com</t>
  </si>
  <si>
    <t>1/3-05/339</t>
  </si>
  <si>
    <t>79277145954</t>
  </si>
  <si>
    <t>2/2-05/199</t>
  </si>
  <si>
    <t>79825832001</t>
  </si>
  <si>
    <t>nata.dyakova.79@inbox.ru</t>
  </si>
  <si>
    <t>Г</t>
  </si>
  <si>
    <t>3/4-08/565</t>
  </si>
  <si>
    <t>Бильданова Джамиля Минигиреевна</t>
  </si>
  <si>
    <t>79179540343</t>
  </si>
  <si>
    <t>Aliyabildanova@icloud.com</t>
  </si>
  <si>
    <t>2/2-05/200</t>
  </si>
  <si>
    <t>Бекназаров Буниёд Тиллоевич</t>
  </si>
  <si>
    <t>79879438247</t>
  </si>
  <si>
    <t>tilloev860111@gmail.com</t>
  </si>
  <si>
    <t>1/3-03/326</t>
  </si>
  <si>
    <t>Тулепов Нургали Закарьевич</t>
  </si>
  <si>
    <t>79276878998</t>
  </si>
  <si>
    <t>777_almagulya@mail.ru</t>
  </si>
  <si>
    <t>2/1-05/022</t>
  </si>
  <si>
    <t>79277778057</t>
  </si>
  <si>
    <t>lelikbeyb@mail.ru</t>
  </si>
  <si>
    <t>1/3-06/344</t>
  </si>
  <si>
    <t>Азина Анастасия Геннадьевна</t>
  </si>
  <si>
    <t>79397066373</t>
  </si>
  <si>
    <t>iyariclatyshev2@gmail.com</t>
  </si>
  <si>
    <t>Прогород</t>
  </si>
  <si>
    <t>2/2-06/213</t>
  </si>
  <si>
    <t>Александров Сергей Владимирович</t>
  </si>
  <si>
    <t>79297118909</t>
  </si>
  <si>
    <t>ALEKS130884SERJ@mail.ru</t>
  </si>
  <si>
    <t>2/2-09/244</t>
  </si>
  <si>
    <t>Грищенко Светлана Витальевна</t>
  </si>
  <si>
    <t>79220587046</t>
  </si>
  <si>
    <t>svetlana-150@yandex.ru</t>
  </si>
  <si>
    <t>2/2-06/209</t>
  </si>
  <si>
    <t>МЕЩЕРЯКОВ ВАДИМ ДМИТРИЕВИЧ</t>
  </si>
  <si>
    <t>79608326371</t>
  </si>
  <si>
    <t>eo18eo@yandex.ru</t>
  </si>
  <si>
    <t>2/2-14/301</t>
  </si>
  <si>
    <t>Лаврентьева Марина Павловна</t>
  </si>
  <si>
    <t>79376476070</t>
  </si>
  <si>
    <t>marina.lavrenteva.72@mail.ru</t>
  </si>
  <si>
    <t>2/2-11/266</t>
  </si>
  <si>
    <t>Мельников Александр Владимирович</t>
  </si>
  <si>
    <t>79277231420</t>
  </si>
  <si>
    <t>oorangeskyy@gmail.com</t>
  </si>
  <si>
    <t>2/1-03/011</t>
  </si>
  <si>
    <t>Панин Максим Викторович</t>
  </si>
  <si>
    <t>79371818140</t>
  </si>
  <si>
    <t>paninmakc@mail.ru</t>
  </si>
  <si>
    <t>2/2-05/202</t>
  </si>
  <si>
    <t>2/1-21/136</t>
  </si>
  <si>
    <t>ЧЕСНОВА ЭЛЬВИРА ШАВКАТОВНА</t>
  </si>
  <si>
    <t>79276864298</t>
  </si>
  <si>
    <t>elvira.chesnova@mail.ru</t>
  </si>
  <si>
    <t>2/2-08/236</t>
  </si>
  <si>
    <t>79247904986</t>
  </si>
  <si>
    <t>khazirv@rambler.ru</t>
  </si>
  <si>
    <t>3/4-03/522</t>
  </si>
  <si>
    <t>79022386217</t>
  </si>
  <si>
    <t>khabarinvv@mail.ru</t>
  </si>
  <si>
    <t>Смс -рассылка (звонок на 8800)</t>
  </si>
  <si>
    <t>2/1-08/043</t>
  </si>
  <si>
    <t>Порунов Алексей Викторович</t>
  </si>
  <si>
    <t>79171083700</t>
  </si>
  <si>
    <t>porunov81@mail.ru</t>
  </si>
  <si>
    <t>2/2-13/287</t>
  </si>
  <si>
    <t>Кривов Денис Владимирович</t>
  </si>
  <si>
    <t>79179455220</t>
  </si>
  <si>
    <t>Krivoolia@bk.ru</t>
  </si>
  <si>
    <t>2/1-07/037</t>
  </si>
  <si>
    <t>Григорян Нунэ Карленовна</t>
  </si>
  <si>
    <t>79377955076</t>
  </si>
  <si>
    <t>arturg.88@mail.ru</t>
  </si>
  <si>
    <t>3/2-04/228</t>
  </si>
  <si>
    <t>Захаров Кирилл Константинович</t>
  </si>
  <si>
    <t>79376527447</t>
  </si>
  <si>
    <t>19kirill97z@gmail.com</t>
  </si>
  <si>
    <t>1/2-21/285</t>
  </si>
  <si>
    <t>Кулясова Татьяна Валерьевна</t>
  </si>
  <si>
    <t>79370688870</t>
  </si>
  <si>
    <t>kulyasova998@mail.ru</t>
  </si>
  <si>
    <t>2/1-13/082</t>
  </si>
  <si>
    <t>Уртамбаева Айжан Камидуллаевна</t>
  </si>
  <si>
    <t>79608336513</t>
  </si>
  <si>
    <t>aizhan4ik.93@mail.ru</t>
  </si>
  <si>
    <t>2/2-15/306</t>
  </si>
  <si>
    <t>КАГИРОВА АЛИЯ РАВИЛЬЕВНА</t>
  </si>
  <si>
    <t>79270104567</t>
  </si>
  <si>
    <t>aliyakagirova@yandex.ru</t>
  </si>
  <si>
    <t>3/4-12/599</t>
  </si>
  <si>
    <t>79379990599</t>
  </si>
  <si>
    <t>dmitry-sytchev@rambler.ru</t>
  </si>
  <si>
    <t>3/4-07/559</t>
  </si>
  <si>
    <t>Лопатинская Татьяна Александровна</t>
  </si>
  <si>
    <t>79272035723</t>
  </si>
  <si>
    <t>tatiana.lopatinskaya@yandex.ru</t>
  </si>
  <si>
    <t>3/4-15/620</t>
  </si>
  <si>
    <t>79397129145</t>
  </si>
  <si>
    <t>s.r.19@yandex.ru</t>
  </si>
  <si>
    <t>3/2-12/290</t>
  </si>
  <si>
    <t>Куликов Юрий Вячеславович</t>
  </si>
  <si>
    <t>79277347430</t>
  </si>
  <si>
    <t>KYV01061966@mail.ru</t>
  </si>
  <si>
    <t>3/2-09/271</t>
  </si>
  <si>
    <t>Фасахов Алмаз Асхатович</t>
  </si>
  <si>
    <t>79023790894</t>
  </si>
  <si>
    <t>anyuta-samara@yandex.ru</t>
  </si>
  <si>
    <t>3/4-08/561</t>
  </si>
  <si>
    <t>Рожнякова Дарья Александровна</t>
  </si>
  <si>
    <t>79272002970</t>
  </si>
  <si>
    <t>Dasha06387@mail.ru</t>
  </si>
  <si>
    <t>3/4-03/523</t>
  </si>
  <si>
    <t>Балакирев Алексей Алексеевич</t>
  </si>
  <si>
    <t>79871585557</t>
  </si>
  <si>
    <t>abalakirev@inbox.ru</t>
  </si>
  <si>
    <t>3/3-14/494</t>
  </si>
  <si>
    <t>НИКИТИН АЛЕКСЕЙ ВЛАДИМИРОВИЧ</t>
  </si>
  <si>
    <t>79176229812</t>
  </si>
  <si>
    <t>baevka@bk.ru</t>
  </si>
  <si>
    <t>3/4-12/592</t>
  </si>
  <si>
    <t>Удовенко Валерий Николаевич</t>
  </si>
  <si>
    <t>79178171646</t>
  </si>
  <si>
    <t>udovenko_lily@mail.ru</t>
  </si>
  <si>
    <t>3/4-10/578</t>
  </si>
  <si>
    <t>Кузьмин Евгений Владимирович</t>
  </si>
  <si>
    <t>79170363999</t>
  </si>
  <si>
    <t>new2017@mail.ru</t>
  </si>
  <si>
    <t>2/1-06/032</t>
  </si>
  <si>
    <t>Олейников Артем Юрьевич</t>
  </si>
  <si>
    <t>79370715050</t>
  </si>
  <si>
    <t>oleuv123@yandex.ru</t>
  </si>
  <si>
    <t>3/2-12/293</t>
  </si>
  <si>
    <t>Сысоева Оксана Леонидовна</t>
  </si>
  <si>
    <t>79967477441</t>
  </si>
  <si>
    <t>3/4-04/533</t>
  </si>
  <si>
    <t>Завьялова Ольга Степановна</t>
  </si>
  <si>
    <t>79140133611</t>
  </si>
  <si>
    <t>zavyalova56@inbox.ru </t>
  </si>
  <si>
    <t>2/2-02/169</t>
  </si>
  <si>
    <t>ГОНТАРЕНКО АЛЛА ВИКТОРОВНА</t>
  </si>
  <si>
    <t>79242250013</t>
  </si>
  <si>
    <t>All352005@yandex.ru</t>
  </si>
  <si>
    <t>2/2-14/295</t>
  </si>
  <si>
    <t>НИКИШОВ МИХАИЛ АНАТОЛЬЕВИЧ</t>
  </si>
  <si>
    <t>79871596808</t>
  </si>
  <si>
    <t>Nikmihail82@yandex.ru</t>
  </si>
  <si>
    <t>2/2-14/302</t>
  </si>
  <si>
    <t>Шебела, Михаил Иванович</t>
  </si>
  <si>
    <t>79276902449</t>
  </si>
  <si>
    <t>shiba199133@gmail.com</t>
  </si>
  <si>
    <t>1/2-23/299</t>
  </si>
  <si>
    <t>Ларьков Вадим Игоревич</t>
  </si>
  <si>
    <t>79376554007</t>
  </si>
  <si>
    <t>3/4-03/524</t>
  </si>
  <si>
    <t>ТОКАРЕВА ВЕРА НИКОЛАЕВНА</t>
  </si>
  <si>
    <t>79372091310</t>
  </si>
  <si>
    <t>tokarevavera@yandex.ru</t>
  </si>
  <si>
    <t>3/4-11/591</t>
  </si>
  <si>
    <t>Хаерзаманов Рафаэль Рашитович</t>
  </si>
  <si>
    <t>79170390483</t>
  </si>
  <si>
    <t>seahawkru@gmail.com</t>
  </si>
  <si>
    <t>2/2-07/224</t>
  </si>
  <si>
    <t>Макаров Анатолий Анатольевич</t>
  </si>
  <si>
    <t>79171458157</t>
  </si>
  <si>
    <t>Makarovone2015@gmail.com</t>
  </si>
  <si>
    <t>3/2-17/335</t>
  </si>
  <si>
    <t>Василенко Светлана Вениаминовна</t>
  </si>
  <si>
    <t>79272603824</t>
  </si>
  <si>
    <t>Vasilenko.s.v@yandex.ru</t>
  </si>
  <si>
    <t>3/4-03/527</t>
  </si>
  <si>
    <t>Куликова Олеся Михайловна</t>
  </si>
  <si>
    <t>79871681875</t>
  </si>
  <si>
    <t>olesakulikova105@gmail.com</t>
  </si>
  <si>
    <t>3/4-09/570</t>
  </si>
  <si>
    <t>ЖУРАВЛЕВ АЛЕКСАНДР НИКОЛАЕВИЧ</t>
  </si>
  <si>
    <t>79376405240</t>
  </si>
  <si>
    <t>anz-s@mail.ru</t>
  </si>
  <si>
    <t>3/4-13/603</t>
  </si>
  <si>
    <t>АСТАФЬЕВ СЕРГЕЙ ВИКТОРОВИЧ</t>
  </si>
  <si>
    <t>79277243574</t>
  </si>
  <si>
    <t>egypt06@mail.ru</t>
  </si>
  <si>
    <t>2/2-14/296</t>
  </si>
  <si>
    <t>Диенко, Алексей Владимирович</t>
  </si>
  <si>
    <t>79275598382</t>
  </si>
  <si>
    <t>lana.t.95@mail.ru</t>
  </si>
  <si>
    <t>3/4-14/611</t>
  </si>
  <si>
    <t>КАУФМАНН ЕВГЕНИЙ ИГОРЕВИЧ</t>
  </si>
  <si>
    <t>79272014088</t>
  </si>
  <si>
    <t>Ledystyle2@mail.ru</t>
  </si>
  <si>
    <t>2/1-04/019</t>
  </si>
  <si>
    <t>ПЕТРУНИН ДЕНИС СЕРГЕЕВИЧ</t>
  </si>
  <si>
    <t>79226002069</t>
  </si>
  <si>
    <t>28331vh@mail.ru</t>
  </si>
  <si>
    <t>2/1-18/117</t>
  </si>
  <si>
    <t>Молостов Константин Владимирович</t>
  </si>
  <si>
    <t>79228205550</t>
  </si>
  <si>
    <t>molostovkv@mail.ru</t>
  </si>
  <si>
    <t>3/4-04/531</t>
  </si>
  <si>
    <t>ИНОЗЕМЦЕВА ЕКАТЕРИНА КОНСТАНТИНОВНА</t>
  </si>
  <si>
    <t>79171465954</t>
  </si>
  <si>
    <t>Velichko-2009@mail.ru</t>
  </si>
  <si>
    <t>3/4-12/598</t>
  </si>
  <si>
    <t>Белов Артём Алексеевич</t>
  </si>
  <si>
    <t>79141936808</t>
  </si>
  <si>
    <t>White01www1988@mail.ru</t>
  </si>
  <si>
    <t>3/4-02/517</t>
  </si>
  <si>
    <t>Малькова Юлия Игоревна</t>
  </si>
  <si>
    <t>79277183923</t>
  </si>
  <si>
    <t>malkova.iu@yandex.ru</t>
  </si>
  <si>
    <t>3/1-24/199</t>
  </si>
  <si>
    <t>Депутатов Никита Витальевич</t>
  </si>
  <si>
    <t>79370777166</t>
  </si>
  <si>
    <t>deputatov.stom@mail.ru</t>
  </si>
  <si>
    <t>2/2-13/292</t>
  </si>
  <si>
    <t>Малахова Наталья Сергеевна</t>
  </si>
  <si>
    <t>79397097730</t>
  </si>
  <si>
    <t>n.malakhova-63@mail.ru</t>
  </si>
  <si>
    <t>3/4-10/583</t>
  </si>
  <si>
    <t>МЕЙХЕР ОКСАНА ГЕННАДЬЕВНА</t>
  </si>
  <si>
    <t>79277336663</t>
  </si>
  <si>
    <t>Meykher1983@mail.ru</t>
  </si>
  <si>
    <t>3/3-10/458</t>
  </si>
  <si>
    <t>Федюкова Наталья Евгеньевна</t>
  </si>
  <si>
    <t>79277940973</t>
  </si>
  <si>
    <t>2/2-08/235</t>
  </si>
  <si>
    <t>ЗУБОВ МИХАИЛ ВАЛЕРЬЕВИЧ</t>
  </si>
  <si>
    <t>79277009245</t>
  </si>
  <si>
    <t>al-biruni@ya.ru</t>
  </si>
  <si>
    <t>3/3-08/447</t>
  </si>
  <si>
    <t>Аптечкин, Максим Владимирович</t>
  </si>
  <si>
    <t>79047095039</t>
  </si>
  <si>
    <t>Irinaaptechkina@mail.ru</t>
  </si>
  <si>
    <t>3/3-08/442</t>
  </si>
  <si>
    <t>ШИМАНЧИК НАТАЛЬЯ ЕВГЕНЬЕВНА</t>
  </si>
  <si>
    <t>79967245008</t>
  </si>
  <si>
    <t>Danilkin.denis@mail.ru</t>
  </si>
  <si>
    <t>3/3-08/444</t>
  </si>
  <si>
    <t>3/4-08/562</t>
  </si>
  <si>
    <t>БЕРЕЖНАЯ ГЮЛЬНАРА ЭДУАРДОВНА</t>
  </si>
  <si>
    <t>79061276625</t>
  </si>
  <si>
    <t>John.Doe32@mail.ru</t>
  </si>
  <si>
    <t>3/3-05/423</t>
  </si>
  <si>
    <t>3/2-06/246</t>
  </si>
  <si>
    <t>Самойленко Василий Васильевич</t>
  </si>
  <si>
    <t>79821961673</t>
  </si>
  <si>
    <t>samoilenko-66@mail.ru</t>
  </si>
  <si>
    <t>3/3-14/495</t>
  </si>
  <si>
    <t>ФОМИН ДМИТРИЙ АЛЕКСАНДРОВИЧ</t>
  </si>
  <si>
    <t>79966203830</t>
  </si>
  <si>
    <t>coccok@mail.ru</t>
  </si>
  <si>
    <t>3/2-11/282</t>
  </si>
  <si>
    <t>Мещеряков Владимир Владимирович</t>
  </si>
  <si>
    <t>79276004934</t>
  </si>
  <si>
    <t>vm6004934@yandex.ru</t>
  </si>
  <si>
    <t>3/2-07/255</t>
  </si>
  <si>
    <t>Иванов Сергей Валерьевич</t>
  </si>
  <si>
    <t>79824115597</t>
  </si>
  <si>
    <t>veroniika1986@mail.ru</t>
  </si>
  <si>
    <t>2/2-04/185</t>
  </si>
  <si>
    <t>Чижкова, Светлана Владимировна</t>
  </si>
  <si>
    <t>79276569594</t>
  </si>
  <si>
    <t>svchso@gmail.com</t>
  </si>
  <si>
    <t>2/2-11/270</t>
  </si>
  <si>
    <t>Зеленова Дарья Андреевна</t>
  </si>
  <si>
    <t>79272047722</t>
  </si>
  <si>
    <t>Ree-bok@yandex.ru</t>
  </si>
  <si>
    <t>3/4-04/535</t>
  </si>
  <si>
    <t>ШИНИНА АННА МИХАЙЛОВНА</t>
  </si>
  <si>
    <t>79277777784</t>
  </si>
  <si>
    <t>shininanet@gmail.com</t>
  </si>
  <si>
    <t>2/1-23/150</t>
  </si>
  <si>
    <t>Шляпугин Андрей Александрович</t>
  </si>
  <si>
    <t>79963425955</t>
  </si>
  <si>
    <t>scar_-_ckk@mail.ru</t>
  </si>
  <si>
    <t>2/1-05/025</t>
  </si>
  <si>
    <t>Пермяков Александр Владимирович</t>
  </si>
  <si>
    <t>79225479897</t>
  </si>
  <si>
    <t>permyakov16011980@mail.ru</t>
  </si>
  <si>
    <t>3/2-06/247</t>
  </si>
  <si>
    <t>СТРЕЛЬЦОВА ВАЛЕНТИНА ВИКТОРОВНА</t>
  </si>
  <si>
    <t>79376498117</t>
  </si>
  <si>
    <t>ss198@mail.ru</t>
  </si>
  <si>
    <t>1/2-20/277</t>
  </si>
  <si>
    <t>Зарщиков Андрей Владимирович</t>
  </si>
  <si>
    <t>79276086949</t>
  </si>
  <si>
    <t>3/2-11/284</t>
  </si>
  <si>
    <t>КАБАСАКАЛОВ ВЯЧИСЛАВ ВЯЧИСЛАВОВИЧ</t>
  </si>
  <si>
    <t>79047308822</t>
  </si>
  <si>
    <t>markova_katerina96@inbox.ru</t>
  </si>
  <si>
    <t>3/4-08/564</t>
  </si>
  <si>
    <t>Хурамшина Ксения Юрьевна</t>
  </si>
  <si>
    <t>79171260489</t>
  </si>
  <si>
    <t>3/4-06/547</t>
  </si>
  <si>
    <t>Просвирнин Сергей Викторович</t>
  </si>
  <si>
    <t>79272096758</t>
  </si>
  <si>
    <t>proswirnin.serezha2017@yandex.ru</t>
  </si>
  <si>
    <t>2/2-11/269</t>
  </si>
  <si>
    <t>ПОЛУКАРОВ АЛЕКСЕЙ АНДРЕЕВИЧ</t>
  </si>
  <si>
    <t>79654483803</t>
  </si>
  <si>
    <t>olga.polukarova.95@mail.ru</t>
  </si>
  <si>
    <t>3/4-11/584</t>
  </si>
  <si>
    <t>Верхоглядов Павел Олегович</t>
  </si>
  <si>
    <t>79608136357</t>
  </si>
  <si>
    <t>dongod@bk.ru</t>
  </si>
  <si>
    <t>2/2-11/263</t>
  </si>
  <si>
    <t>Терентьев Виктор Александрович</t>
  </si>
  <si>
    <t>79649857742</t>
  </si>
  <si>
    <t>viktor_terentyev@mail.ru</t>
  </si>
  <si>
    <t>2/2-12/275</t>
  </si>
  <si>
    <t>Гараева Ирина Александровна</t>
  </si>
  <si>
    <t>79272130657</t>
  </si>
  <si>
    <t>irengaraeva@yandex.ru</t>
  </si>
  <si>
    <t>3/2-13/303</t>
  </si>
  <si>
    <t>Ткачук Евгения Николаевна</t>
  </si>
  <si>
    <t>79272046040</t>
  </si>
  <si>
    <t>evgeniatkacuk2@gmail.com</t>
  </si>
  <si>
    <t>3/4-09/572</t>
  </si>
  <si>
    <t>Доронина Светлана Евгеньевна</t>
  </si>
  <si>
    <t>79372309099</t>
  </si>
  <si>
    <t>tropinkakatya@mail.ru</t>
  </si>
  <si>
    <t>3/4-13/604</t>
  </si>
  <si>
    <t>Калашникова Елена Михайловна</t>
  </si>
  <si>
    <t>79171114040</t>
  </si>
  <si>
    <t>Elenak1905@mail.ru</t>
  </si>
  <si>
    <t>1/1-09/071</t>
  </si>
  <si>
    <t>БОИНА ИРИНА ВИКТОРОВНА</t>
  </si>
  <si>
    <t>79272632932</t>
  </si>
  <si>
    <t>ivboina@bk.ru</t>
  </si>
  <si>
    <t>2/2-15/312</t>
  </si>
  <si>
    <t>АБРААМЯН АРТУР ЮРИЕВИЧ</t>
  </si>
  <si>
    <t>79171414647</t>
  </si>
  <si>
    <t>artur_abraamyan_79@mail.ru</t>
  </si>
  <si>
    <t>1/2-15/242</t>
  </si>
  <si>
    <t>Куринной Александр Владимирович</t>
  </si>
  <si>
    <t>79258778555</t>
  </si>
  <si>
    <t>Caneknet@mail.ru</t>
  </si>
  <si>
    <t>3/2-04/226</t>
  </si>
  <si>
    <t>Ефремов Юрий Алексеевич</t>
  </si>
  <si>
    <t>79276937848</t>
  </si>
  <si>
    <t>eyrik777@mail.ru</t>
  </si>
  <si>
    <t>2/1-13/079</t>
  </si>
  <si>
    <t>ТОМАШЕВСКАЯ СОФИЯ АЛЕКСАНДРОВНА</t>
  </si>
  <si>
    <t>79061253221</t>
  </si>
  <si>
    <t>tomsofiya@rambler.ru</t>
  </si>
  <si>
    <t>2/1-13/080</t>
  </si>
  <si>
    <t>2/2-12/276</t>
  </si>
  <si>
    <t>Кромский Алексей Павлович</t>
  </si>
  <si>
    <t>79228088876</t>
  </si>
  <si>
    <t>www.kromskiy@mail.ru</t>
  </si>
  <si>
    <t>3/2-07/254</t>
  </si>
  <si>
    <t>Комиссарова Юлия Юрьевна</t>
  </si>
  <si>
    <t>79965896519</t>
  </si>
  <si>
    <t>Kom3235@yandex.ru</t>
  </si>
  <si>
    <t>3/2-16/327</t>
  </si>
  <si>
    <t>Евсюков Роман Владимирович</t>
  </si>
  <si>
    <t>79228830068</t>
  </si>
  <si>
    <t>roman582@bk.ru</t>
  </si>
  <si>
    <t>Партнерство - Банки</t>
  </si>
  <si>
    <t>2/1-21/139</t>
  </si>
  <si>
    <t>Скворцов Владислав Игоревич</t>
  </si>
  <si>
    <t>79959663018</t>
  </si>
  <si>
    <t>kostina19.99@mail.ru</t>
  </si>
  <si>
    <t>3/4-12/595</t>
  </si>
  <si>
    <t>КАРНАУХОВА КСЕНИЯ ЮРЬЕВНА</t>
  </si>
  <si>
    <t>79270042960</t>
  </si>
  <si>
    <t>kkarnauhova_88@mail.ru</t>
  </si>
  <si>
    <t>2/1-06/033</t>
  </si>
  <si>
    <t>Гайганова Ульяна Геннадьевна</t>
  </si>
  <si>
    <t>79276535170</t>
  </si>
  <si>
    <t>gayganovaulyana@gmail.com</t>
  </si>
  <si>
    <t>3/2-10/277</t>
  </si>
  <si>
    <t>Попова Ирина Юрьевна</t>
  </si>
  <si>
    <t>79277668075</t>
  </si>
  <si>
    <t>natali.popova999@icloud.com</t>
  </si>
  <si>
    <t>1/2-13/228</t>
  </si>
  <si>
    <t>Мелконян Самвел Артурович</t>
  </si>
  <si>
    <t>79372077788</t>
  </si>
  <si>
    <t>melkonyan.s@mail.ru</t>
  </si>
  <si>
    <t>3/4-14/610</t>
  </si>
  <si>
    <t>КАЛАШНИКОВА ЮЛИЯ АЛЕКСЕЕВНА</t>
  </si>
  <si>
    <t>79879870174</t>
  </si>
  <si>
    <t>yulya.pershina.1993@mail.ru</t>
  </si>
  <si>
    <t>3/3-15/498</t>
  </si>
  <si>
    <t>Сапрыкина Галина Павловна</t>
  </si>
  <si>
    <t>79277438858</t>
  </si>
  <si>
    <t>FIFA-112@mail.ru</t>
  </si>
  <si>
    <t>3/4-05/540</t>
  </si>
  <si>
    <t>Петрова Надежда Яковлевна</t>
  </si>
  <si>
    <t>79272676119</t>
  </si>
  <si>
    <t>Flower.999@mail.ru</t>
  </si>
  <si>
    <t>2/2-09/243</t>
  </si>
  <si>
    <t>Джаксумбаев Бауржан Рамазанович</t>
  </si>
  <si>
    <t>79022387500</t>
  </si>
  <si>
    <t>baur9326@gmail.com</t>
  </si>
  <si>
    <t>Яндекс.Карты</t>
  </si>
  <si>
    <t>Литвинова Ксения Юрьевна</t>
  </si>
  <si>
    <t>79279077262</t>
  </si>
  <si>
    <t>Ksukarmel@mail.ru</t>
  </si>
  <si>
    <t>3/2-05/233</t>
  </si>
  <si>
    <t>Кравчук Юлия Николаевна</t>
  </si>
  <si>
    <t>79270224554</t>
  </si>
  <si>
    <t>Djskl@bk.ru</t>
  </si>
  <si>
    <t>3/4-03/525</t>
  </si>
  <si>
    <t>Открытие</t>
  </si>
  <si>
    <t>Шилин Михаил Александрович</t>
  </si>
  <si>
    <t>79960783382</t>
  </si>
  <si>
    <t>mikhashilinshilin@yandex.ru</t>
  </si>
  <si>
    <t>3/2-13/300</t>
  </si>
  <si>
    <t>Лукьянова Юлия Равильевна</t>
  </si>
  <si>
    <t>79277509848</t>
  </si>
  <si>
    <t>Lukyanovayulia@bk.ru</t>
  </si>
  <si>
    <t>3/2-11/281</t>
  </si>
  <si>
    <t>Рыжова Нина Геннадьевна</t>
  </si>
  <si>
    <t>79276086838</t>
  </si>
  <si>
    <t>mng1982@bk.ru</t>
  </si>
  <si>
    <t>2/2-02/165</t>
  </si>
  <si>
    <t>Прозоров Павел Николаевич</t>
  </si>
  <si>
    <t>79277835962</t>
  </si>
  <si>
    <t>elizavetaprozorova@yandex.ru</t>
  </si>
  <si>
    <t>3/4-02/515</t>
  </si>
  <si>
    <t>Земцов Виктор Аркадьевич</t>
  </si>
  <si>
    <t>79171593398</t>
  </si>
  <si>
    <t>Vitya.zemtsov@mail.ru</t>
  </si>
  <si>
    <t>3/3-13/482</t>
  </si>
  <si>
    <t>Шведов Павел Николаевич</t>
  </si>
  <si>
    <t>79277453570</t>
  </si>
  <si>
    <t>Shved_samara@mail.ru</t>
  </si>
  <si>
    <t>3/4-03/526</t>
  </si>
  <si>
    <t>Нешитая Мария Аркадьевна</t>
  </si>
  <si>
    <t>79874502232</t>
  </si>
  <si>
    <t>volkov1013@mail.ru</t>
  </si>
  <si>
    <t>3/4-08/566</t>
  </si>
  <si>
    <t>Лесных Айгуль Абугалиевна</t>
  </si>
  <si>
    <t>79277080058</t>
  </si>
  <si>
    <t>ya_luntik@mail.ru</t>
  </si>
  <si>
    <t>3/2-10/276</t>
  </si>
  <si>
    <t>Сидуллин Денис Аркадьевич</t>
  </si>
  <si>
    <t>79613879393</t>
  </si>
  <si>
    <t>sidullin@mail.ru</t>
  </si>
  <si>
    <t>3/4-07/557</t>
  </si>
  <si>
    <t>Бондарчик Ирина Геннадьевна</t>
  </si>
  <si>
    <t>79277184864</t>
  </si>
  <si>
    <t>irinabondarchik@gmail.com</t>
  </si>
  <si>
    <t>3/4-07/555</t>
  </si>
  <si>
    <t>Кочергин Сергей Михайлович</t>
  </si>
  <si>
    <t>79879112638</t>
  </si>
  <si>
    <t>serezhenka_kochergin@mail.ru</t>
  </si>
  <si>
    <t>3/4-12/596</t>
  </si>
  <si>
    <t>Дугушов Андрей Валериевич</t>
  </si>
  <si>
    <t>79093655277</t>
  </si>
  <si>
    <t>dugushov1977@mail.ru</t>
  </si>
  <si>
    <t>3/4-08/560</t>
  </si>
  <si>
    <t>Кулаков Виктор Сергеевич</t>
  </si>
  <si>
    <t>79171514299</t>
  </si>
  <si>
    <t>ae.nwc@mail.ru</t>
  </si>
  <si>
    <t>3/4-10/581</t>
  </si>
  <si>
    <t>Лаухина Елена Васильевна</t>
  </si>
  <si>
    <t>79277342137</t>
  </si>
  <si>
    <t>Lena_Lau@mail.ru</t>
  </si>
  <si>
    <t>3/2-03/223</t>
  </si>
  <si>
    <t>Воронин Николай Сергеевич</t>
  </si>
  <si>
    <t>79277165387</t>
  </si>
  <si>
    <t>nikolajvoronin63@gmail.com</t>
  </si>
  <si>
    <t>3/4-04/534</t>
  </si>
  <si>
    <t>Арисова Марина Петровна</t>
  </si>
  <si>
    <t>79277656500</t>
  </si>
  <si>
    <t>3/4-09/573</t>
  </si>
  <si>
    <t>Иванова Марина Ивановна</t>
  </si>
  <si>
    <t>79198084737</t>
  </si>
  <si>
    <t>Suhova5599@mail.ru</t>
  </si>
  <si>
    <t>3/4-05/542</t>
  </si>
  <si>
    <t>Деревянкина Валентина Викторовна</t>
  </si>
  <si>
    <t>79279818315</t>
  </si>
  <si>
    <t>agach@mail.ru</t>
  </si>
  <si>
    <t>3/4-08/567</t>
  </si>
  <si>
    <t>Булатова Екатерина Валерьевна</t>
  </si>
  <si>
    <t>79608326372</t>
  </si>
  <si>
    <t>Katerina0122@yandex.ru</t>
  </si>
  <si>
    <t>3/4-07/558</t>
  </si>
  <si>
    <t>Зайцев Олег Николаевич</t>
  </si>
  <si>
    <t>79171010606</t>
  </si>
  <si>
    <t>yan7557@yandex.ru</t>
  </si>
  <si>
    <t>3/3-05/421</t>
  </si>
  <si>
    <t>Панков Николай Александрович</t>
  </si>
  <si>
    <t>79171447434</t>
  </si>
  <si>
    <t>yana22pankova@gmail.com</t>
  </si>
  <si>
    <t>2/1-17/108</t>
  </si>
  <si>
    <t>Кромский Александр Павлович</t>
  </si>
  <si>
    <t>79228586686</t>
  </si>
  <si>
    <t>kromskiysanek3@gmail.com</t>
  </si>
  <si>
    <t>2/2-05/203</t>
  </si>
  <si>
    <t>Соколов Виктор Викторович</t>
  </si>
  <si>
    <t>79155273829</t>
  </si>
  <si>
    <t>elrass@list.ru</t>
  </si>
  <si>
    <t>2/1-07/040</t>
  </si>
  <si>
    <t>Росбанк</t>
  </si>
  <si>
    <t>Уткелбаева Жанара Дсуповна</t>
  </si>
  <si>
    <t>79277260816</t>
  </si>
  <si>
    <t>ulyan_uralsk@mail.ru</t>
  </si>
  <si>
    <t>3/3-05/417</t>
  </si>
  <si>
    <t>Сафонова Татьяна Сергеевна</t>
  </si>
  <si>
    <t>79967247542</t>
  </si>
  <si>
    <t>Safonovatanya1990@gmail.com</t>
  </si>
  <si>
    <t>3/4-14/614</t>
  </si>
  <si>
    <t>Тихомиров Егор Георгиевич</t>
  </si>
  <si>
    <t>79276936401</t>
  </si>
  <si>
    <t>Сайт - PDF документ</t>
  </si>
  <si>
    <t>1/1-04/024</t>
  </si>
  <si>
    <t>Крыга Алексей Александрович</t>
  </si>
  <si>
    <t>79171070492</t>
  </si>
  <si>
    <t>Krygat@ucloud.com</t>
  </si>
  <si>
    <t>2/2-04/194</t>
  </si>
  <si>
    <t>Федисова Маргарита Александровна</t>
  </si>
  <si>
    <t>79277076097</t>
  </si>
  <si>
    <t>oh_rita_rita@mail.ru</t>
  </si>
  <si>
    <t>2/2-08/234</t>
  </si>
  <si>
    <t>Григорьева Олеся Евгеньевна</t>
  </si>
  <si>
    <t>79879841519</t>
  </si>
  <si>
    <t>raketa2508@icloud.com</t>
  </si>
  <si>
    <t>3/2-02/210</t>
  </si>
  <si>
    <t>Маренин Максим Михайлович</t>
  </si>
  <si>
    <t>79967240138</t>
  </si>
  <si>
    <t>maxarabessky@gmail.com</t>
  </si>
  <si>
    <t>3/2-10/274</t>
  </si>
  <si>
    <t>Вагизов Артур Талгатович</t>
  </si>
  <si>
    <t>79228873383</t>
  </si>
  <si>
    <t>svi_rabota@mail.ru</t>
  </si>
  <si>
    <t>2/2-06/208</t>
  </si>
  <si>
    <t>Загорулько Евгений Андреевич</t>
  </si>
  <si>
    <t>79991718013</t>
  </si>
  <si>
    <t>Zagorulko_04@mail.ru</t>
  </si>
  <si>
    <t>3/4-08/563</t>
  </si>
  <si>
    <t>Соколова Эльза Рякибовна</t>
  </si>
  <si>
    <t>79277758838</t>
  </si>
  <si>
    <t>sokolovajulia11012@gmail.com</t>
  </si>
  <si>
    <t>3/2-09/267</t>
  </si>
  <si>
    <t>АВЕРКИЕВА ТАТЬЯНА МИХАЙЛОВНА</t>
  </si>
  <si>
    <t>79825930300</t>
  </si>
  <si>
    <t>s_averkiev@mail.ru</t>
  </si>
  <si>
    <t>2/2-07/218</t>
  </si>
  <si>
    <t>79036761648</t>
  </si>
  <si>
    <t>intertop10@mail.ru</t>
  </si>
  <si>
    <t>Сотрудник ГВ</t>
  </si>
  <si>
    <t>3/4-04/532</t>
  </si>
  <si>
    <t>Алексеева Мария Федоровна</t>
  </si>
  <si>
    <t>79371755051</t>
  </si>
  <si>
    <t>stasia-27@yandex.ru</t>
  </si>
  <si>
    <t>3/3-06/426</t>
  </si>
  <si>
    <t>3/2-16/326</t>
  </si>
  <si>
    <t>Корбан Сергей Александрович</t>
  </si>
  <si>
    <t>79277940553</t>
  </si>
  <si>
    <t>korsa1995@gmail.ru</t>
  </si>
  <si>
    <t>3/2-12/289</t>
  </si>
  <si>
    <t>Попов Олег Николаевич</t>
  </si>
  <si>
    <t>79276565788</t>
  </si>
  <si>
    <t>popova19787@gmail.com</t>
  </si>
  <si>
    <t>2/1-05/027</t>
  </si>
  <si>
    <t>Евстигнеева Екатерина Юрьевна</t>
  </si>
  <si>
    <t>79061265615</t>
  </si>
  <si>
    <t>kat93-mail.ru@yandex.ru</t>
  </si>
  <si>
    <t>3/4-09/575</t>
  </si>
  <si>
    <t>Илясова Светлана Викторовна</t>
  </si>
  <si>
    <t>79277240301</t>
  </si>
  <si>
    <t>sv.iliasova@yandex.ru</t>
  </si>
  <si>
    <t>2/1-10/058</t>
  </si>
  <si>
    <t>Гималетдинова Зарина Радиковна</t>
  </si>
  <si>
    <t>79370098661</t>
  </si>
  <si>
    <t>ilnazei@icloud.com</t>
  </si>
  <si>
    <t>3/3-08/445</t>
  </si>
  <si>
    <t>Савосин Михаил Игоревич</t>
  </si>
  <si>
    <t>79277110645</t>
  </si>
  <si>
    <t>mihail.savosin@yandex.ru</t>
  </si>
  <si>
    <t>1/1-02/003</t>
  </si>
  <si>
    <t>Мариныч Анатолий</t>
  </si>
  <si>
    <t>79270288876</t>
  </si>
  <si>
    <t>2/1-04/018</t>
  </si>
  <si>
    <t>Евсеева Светлана Владимировна</t>
  </si>
  <si>
    <t>79277260226</t>
  </si>
  <si>
    <t>dmtrjjvsv@rambler.ru</t>
  </si>
  <si>
    <t>3/2-17/330</t>
  </si>
  <si>
    <t>Решетов Кирилл Сергеевич</t>
  </si>
  <si>
    <t>79270101650</t>
  </si>
  <si>
    <t>ly4manov@yandex.ru</t>
  </si>
  <si>
    <t>3/4-09/574</t>
  </si>
  <si>
    <t>Халиулин Ришат Романович</t>
  </si>
  <si>
    <t>79871578837</t>
  </si>
  <si>
    <t>khaliulin163@mail.ru</t>
  </si>
  <si>
    <t>3/2-15/314</t>
  </si>
  <si>
    <t>Костина Елена Игоревна</t>
  </si>
  <si>
    <t>79277212179</t>
  </si>
  <si>
    <t>utkinalena294@gmail.com</t>
  </si>
  <si>
    <t>3/4-05/537</t>
  </si>
  <si>
    <t>Соколова Наталья Викторовна</t>
  </si>
  <si>
    <t>79276865802</t>
  </si>
  <si>
    <t>natalya-cliring@mail.ru</t>
  </si>
  <si>
    <t>3/2-05/234</t>
  </si>
  <si>
    <t>Ошкин Александр Андреевич</t>
  </si>
  <si>
    <t>79277575401</t>
  </si>
  <si>
    <t>3/2-16/322</t>
  </si>
  <si>
    <t>Мирошкина Любовь Викторовна</t>
  </si>
  <si>
    <t>79277064865</t>
  </si>
  <si>
    <t>MIROSHKINA-1960@YANDEX.RU</t>
  </si>
  <si>
    <t>3/4-05/538</t>
  </si>
  <si>
    <t>Пестрова Татьяна Олеговна</t>
  </si>
  <si>
    <t>79058946144</t>
  </si>
  <si>
    <t>logist@nwc-g.com</t>
  </si>
  <si>
    <t>3/2-06/242</t>
  </si>
  <si>
    <t>Савенков Юрий Николаевич</t>
  </si>
  <si>
    <t>79372485993</t>
  </si>
  <si>
    <t>Syn7474@mail.ru</t>
  </si>
  <si>
    <t>3/3-11/469</t>
  </si>
  <si>
    <t>Казакова Мария Сергеевна</t>
  </si>
  <si>
    <t>79277926876</t>
  </si>
  <si>
    <t>marusj100982@yandex.ru</t>
  </si>
  <si>
    <t>3/4-15/617</t>
  </si>
  <si>
    <t>Ак Чагдаш</t>
  </si>
  <si>
    <t>79053842211</t>
  </si>
  <si>
    <t>cagdas.ak34@gmail.com</t>
  </si>
  <si>
    <t>2/1-23/151</t>
  </si>
  <si>
    <t>2/1-19/120</t>
  </si>
  <si>
    <t>Николаева, Ксения Александровна</t>
  </si>
  <si>
    <t>79277363015</t>
  </si>
  <si>
    <t>kseniya.nikolayeva.1996@mail.ru</t>
  </si>
  <si>
    <t>2/1-20/129</t>
  </si>
  <si>
    <t>Шульдешов Дмитрий Петрович</t>
  </si>
  <si>
    <t>79170158530</t>
  </si>
  <si>
    <t>raket108500@mail.ru</t>
  </si>
  <si>
    <t>3/2-14/306</t>
  </si>
  <si>
    <t>Петрова Ирина Юрьевна</t>
  </si>
  <si>
    <t>79272044304</t>
  </si>
  <si>
    <t>ip_ip2018@list.ru</t>
  </si>
  <si>
    <t>3/2-08/262</t>
  </si>
  <si>
    <t>Суханова Наталья Геннадьевна</t>
  </si>
  <si>
    <t>79608181550</t>
  </si>
  <si>
    <t>nata20163009@gmail.com</t>
  </si>
  <si>
    <t>3/2-08/258</t>
  </si>
  <si>
    <t>Пыресев Александр Александрович</t>
  </si>
  <si>
    <t>79277069743</t>
  </si>
  <si>
    <t>m.pyreseva@icloud.com</t>
  </si>
  <si>
    <t>2/1-13/084</t>
  </si>
  <si>
    <t>Ушков Павел Владимирович</t>
  </si>
  <si>
    <t>79277199013</t>
  </si>
  <si>
    <t>Strix925@yandex.ru</t>
  </si>
  <si>
    <t>3/2-13/302</t>
  </si>
  <si>
    <t>Голубев Валерий Михайлович</t>
  </si>
  <si>
    <t>79874377900</t>
  </si>
  <si>
    <t>gol_86@list.ru</t>
  </si>
  <si>
    <t>3/2-12/291</t>
  </si>
  <si>
    <t>Харлашин Андрей Олегович</t>
  </si>
  <si>
    <t>79277672649</t>
  </si>
  <si>
    <t>olgysha19950@gmail.com</t>
  </si>
  <si>
    <t>Агрегаторы - ДомКлик (Витрина 1%)</t>
  </si>
  <si>
    <t>3/2-16/324</t>
  </si>
  <si>
    <t>Дубошин Николай Юрьевич</t>
  </si>
  <si>
    <t>79273646638</t>
  </si>
  <si>
    <t>dnu58@rambler.ru</t>
  </si>
  <si>
    <t>3/3-02/395</t>
  </si>
  <si>
    <t>Гоголь Светлана Петровна</t>
  </si>
  <si>
    <t>79277558252</t>
  </si>
  <si>
    <t>Svetlanaggl@rambler.ru</t>
  </si>
  <si>
    <t>2/2-06/212</t>
  </si>
  <si>
    <t>Цыганова Лариса Васильевна</t>
  </si>
  <si>
    <t>79272152177</t>
  </si>
  <si>
    <t>larissa100560@yandex.ru</t>
  </si>
  <si>
    <t>3/4-13/606</t>
  </si>
  <si>
    <t>Майстренко Сергей Владимирович</t>
  </si>
  <si>
    <t>79084184498</t>
  </si>
  <si>
    <t>Nsk446200@mail.ru</t>
  </si>
  <si>
    <t>3/2-13/298</t>
  </si>
  <si>
    <t>Вилькотзин Ольга Валериевна</t>
  </si>
  <si>
    <t>79276149565</t>
  </si>
  <si>
    <t>kudryavaya-samara@yandex.ru</t>
  </si>
  <si>
    <t>3/4-11/585</t>
  </si>
  <si>
    <t>3/4-13/605</t>
  </si>
  <si>
    <t>Д</t>
  </si>
  <si>
    <t>3/5-13/736</t>
  </si>
  <si>
    <t>Мурзакова Татьяна Николаевна</t>
  </si>
  <si>
    <t>79125318309</t>
  </si>
  <si>
    <t>mur.tanya86@mail.ru</t>
  </si>
  <si>
    <t>2/2-15/310</t>
  </si>
  <si>
    <t>Гришаева Екатерина Владимировна</t>
  </si>
  <si>
    <t>79140954543</t>
  </si>
  <si>
    <t>katerina293@mail.ru</t>
  </si>
  <si>
    <t>3/3-10/459</t>
  </si>
  <si>
    <t>Узбяков Рушан Харрясьевич</t>
  </si>
  <si>
    <t>79370228761</t>
  </si>
  <si>
    <t>rais.ru@inbox.ru</t>
  </si>
  <si>
    <t>1/2-09/200</t>
  </si>
  <si>
    <t>Исакова Екатерина Олеговна</t>
  </si>
  <si>
    <t>79995369692</t>
  </si>
  <si>
    <t>tomkrys@mail.ru</t>
  </si>
  <si>
    <t>1/2-03/158</t>
  </si>
  <si>
    <t>Кадиров Хазратали Усмонович</t>
  </si>
  <si>
    <t>79179423435</t>
  </si>
  <si>
    <t>Chambers89-89@mail.ru</t>
  </si>
  <si>
    <t>3/4-11/586</t>
  </si>
  <si>
    <t>Возненко Наталия Ивановна</t>
  </si>
  <si>
    <t>79996836073</t>
  </si>
  <si>
    <t>lady.nata38@yandex.ru</t>
  </si>
  <si>
    <t>3/4-11/590</t>
  </si>
  <si>
    <t>Промсвязьбанк</t>
  </si>
  <si>
    <t>Утешев Альберт Мурзагалиевич</t>
  </si>
  <si>
    <t>79610528242</t>
  </si>
  <si>
    <t>uteshev.albert@bk.ru</t>
  </si>
  <si>
    <t>3/2-18/337</t>
  </si>
  <si>
    <t>Приц Наталья Игоревна</t>
  </si>
  <si>
    <t>79178108313</t>
  </si>
  <si>
    <t>Alpric@yandex.ru</t>
  </si>
  <si>
    <t>3/2-11/287</t>
  </si>
  <si>
    <t>Малышева Татьяна Ивановна</t>
  </si>
  <si>
    <t>79276013582</t>
  </si>
  <si>
    <t>vl.m65@mail.ru</t>
  </si>
  <si>
    <t>3/4-13/601</t>
  </si>
  <si>
    <t>Рогожина Ольга Викторовна</t>
  </si>
  <si>
    <t>79277140090</t>
  </si>
  <si>
    <t>rogozhinaov@mail.ru</t>
  </si>
  <si>
    <t>3/2-12/295</t>
  </si>
  <si>
    <t>Варюхин Вячеслав Викторович</t>
  </si>
  <si>
    <t>79053021812</t>
  </si>
  <si>
    <t>3/2-19/350</t>
  </si>
  <si>
    <t>Зирюкина Татьяна Николаевна</t>
  </si>
  <si>
    <t>79195380007</t>
  </si>
  <si>
    <t>ziryukina@gesnv.ru</t>
  </si>
  <si>
    <t>2/2-13/288</t>
  </si>
  <si>
    <t>Слепов Алексей Александрович</t>
  </si>
  <si>
    <t>79649888863</t>
  </si>
  <si>
    <t>aleksey_111@mail.ru</t>
  </si>
  <si>
    <t>3/2-05/239</t>
  </si>
  <si>
    <t>Павлов Евгений Витальевич</t>
  </si>
  <si>
    <t>79608208073</t>
  </si>
  <si>
    <t>ewgenypavlov@yandex.ru</t>
  </si>
  <si>
    <t>3/2-07/252</t>
  </si>
  <si>
    <t>Кирдяпкина, Елена Александровна</t>
  </si>
  <si>
    <t>2/1-22/143</t>
  </si>
  <si>
    <t>Порывай Максим Романович</t>
  </si>
  <si>
    <t>79625289565</t>
  </si>
  <si>
    <t>max5289565@gmail.com</t>
  </si>
  <si>
    <t>3/2-18/343</t>
  </si>
  <si>
    <t>Борисов Игорь Иванович</t>
  </si>
  <si>
    <t>79129377561</t>
  </si>
  <si>
    <t>3/2-18/338</t>
  </si>
  <si>
    <t>Фомин Александр Владимирович</t>
  </si>
  <si>
    <t>79277620020</t>
  </si>
  <si>
    <t>alex.fomin@gmail.com</t>
  </si>
  <si>
    <t>3/3-14/490</t>
  </si>
  <si>
    <t>Назаркина Оксана Станиславовна</t>
  </si>
  <si>
    <t>79276594003</t>
  </si>
  <si>
    <t>nazarkina.oksana@mail.ru</t>
  </si>
  <si>
    <t>3/4-14/612</t>
  </si>
  <si>
    <t>3/4-07/552</t>
  </si>
  <si>
    <t>Мякисев Николай Леонидович</t>
  </si>
  <si>
    <t>79272006040</t>
  </si>
  <si>
    <t>nikola0610@bk.ru</t>
  </si>
  <si>
    <t>2/1-03/012</t>
  </si>
  <si>
    <t>Гафарова Мария Александровна</t>
  </si>
  <si>
    <t>79920091300</t>
  </si>
  <si>
    <t>matrewka_87@mail.ru</t>
  </si>
  <si>
    <t>3/2-14/311</t>
  </si>
  <si>
    <t>Ланкин Алексей Федорович</t>
  </si>
  <si>
    <t>79879024662</t>
  </si>
  <si>
    <t>ch-angela@mail.ru</t>
  </si>
  <si>
    <t>3/4-06/549</t>
  </si>
  <si>
    <t>Зарипова Эльмира Мусагитовна</t>
  </si>
  <si>
    <t>79276059338</t>
  </si>
  <si>
    <t>elnar.zaripov2011@yandex.ru</t>
  </si>
  <si>
    <t>3/3-11/470</t>
  </si>
  <si>
    <t>Зарипова Руфия Мухтасаровна</t>
  </si>
  <si>
    <t>79228717777</t>
  </si>
  <si>
    <t>Rufiazaripova@yandex.ru</t>
  </si>
  <si>
    <t>3/2-04/231</t>
  </si>
  <si>
    <t>Зарубина Ирина Сергеевна</t>
  </si>
  <si>
    <t>77769166060</t>
  </si>
  <si>
    <t>irina.zarubina_dyakova@mail.ru</t>
  </si>
  <si>
    <t>3/3-13/487</t>
  </si>
  <si>
    <t>Позняков Дмитрий Владимирович</t>
  </si>
  <si>
    <t>79170180212</t>
  </si>
  <si>
    <t>poznyakov.dmitriy@mail.ru</t>
  </si>
  <si>
    <t>3/4-07/556</t>
  </si>
  <si>
    <t>Сизова Лилия Андреевна</t>
  </si>
  <si>
    <t>79171525066</t>
  </si>
  <si>
    <t>3/4-14/613</t>
  </si>
  <si>
    <t>Тугушева Лилия Вильдановна</t>
  </si>
  <si>
    <t>79277742428</t>
  </si>
  <si>
    <t>tugusheva.80@bk.ru</t>
  </si>
  <si>
    <t>2/1-07/036</t>
  </si>
  <si>
    <t>Антонова Юлия Валерьевна</t>
  </si>
  <si>
    <t>79179615194</t>
  </si>
  <si>
    <t>julia_antonova_01@mail.ru</t>
  </si>
  <si>
    <t>3/3-09/450</t>
  </si>
  <si>
    <t>Журавлев Дмитрий Станиславович</t>
  </si>
  <si>
    <t>79063458458</t>
  </si>
  <si>
    <t>Turondim63@yandex.ru</t>
  </si>
  <si>
    <t>3/2-07/253</t>
  </si>
  <si>
    <t>Каракова Виктория Николаевна</t>
  </si>
  <si>
    <t>79879506855</t>
  </si>
  <si>
    <t>3/4-05/543</t>
  </si>
  <si>
    <t>Кривуля Эвелина Валерьевна</t>
  </si>
  <si>
    <t>79171166606</t>
  </si>
  <si>
    <t>evelinafbu@yandex.ru</t>
  </si>
  <si>
    <t>3/3-05/420</t>
  </si>
  <si>
    <t>Кузнецова Ольга Евгеньевна</t>
  </si>
  <si>
    <t>olga6040@icloud.com</t>
  </si>
  <si>
    <t>3/3-12/473</t>
  </si>
  <si>
    <t>Никитина Татьяна Владимировна</t>
  </si>
  <si>
    <t>79677633888</t>
  </si>
  <si>
    <t>tomasvulf@gmail.com</t>
  </si>
  <si>
    <t>2/2-04/191</t>
  </si>
  <si>
    <t>Жамбатырова Равиля Юсуповна</t>
  </si>
  <si>
    <t>79324293368</t>
  </si>
  <si>
    <t>zryu1973@mail.ru</t>
  </si>
  <si>
    <t>3/3-11/465</t>
  </si>
  <si>
    <t>Борисова Наталья Григорьевна</t>
  </si>
  <si>
    <t>79371824423</t>
  </si>
  <si>
    <t>dmitriyborisov1967@gmail.com</t>
  </si>
  <si>
    <t>2/1-17/109</t>
  </si>
  <si>
    <t>Хайдаров Дамир Рамузович</t>
  </si>
  <si>
    <t>79966244862</t>
  </si>
  <si>
    <t>santa_damir@mail.ru</t>
  </si>
  <si>
    <t>3/2-09/270</t>
  </si>
  <si>
    <t>Болотина Мария Федоровна</t>
  </si>
  <si>
    <t>79271519970</t>
  </si>
  <si>
    <t>Badanovaea@mail.ru</t>
  </si>
  <si>
    <t>3/3-03/402</t>
  </si>
  <si>
    <t>Калинкин Сергей Валентинович</t>
  </si>
  <si>
    <t>79277181453</t>
  </si>
  <si>
    <t>kalinchik2420@mail.ru</t>
  </si>
  <si>
    <t>3/4-05/539</t>
  </si>
  <si>
    <t>Шафигуллин Ильгам Минзагитович</t>
  </si>
  <si>
    <t>79228987765</t>
  </si>
  <si>
    <t>iamkill@mail.ru</t>
  </si>
  <si>
    <t>3/3-14/492</t>
  </si>
  <si>
    <t>Хомутова Мария Александровна</t>
  </si>
  <si>
    <t>79277233722</t>
  </si>
  <si>
    <t>khomutovamariya@yandex.ru</t>
  </si>
  <si>
    <t>3/4-10/580</t>
  </si>
  <si>
    <t>3/3-12/474</t>
  </si>
  <si>
    <t>Яндуков Александр Евгеньевич</t>
  </si>
  <si>
    <t>79370662413</t>
  </si>
  <si>
    <t>yandukov93@mail.ru</t>
  </si>
  <si>
    <t>3/3-11/468</t>
  </si>
  <si>
    <t>Назимова Наталья Владимировна</t>
  </si>
  <si>
    <t>79277303730</t>
  </si>
  <si>
    <t>n_nazimova@mail.ru</t>
  </si>
  <si>
    <t>2/2-13/286</t>
  </si>
  <si>
    <t>Макарова Марина Вазгеновна</t>
  </si>
  <si>
    <t>79377910023</t>
  </si>
  <si>
    <t>makarova_marina82@mail.ru</t>
  </si>
  <si>
    <t>2/1-14/089</t>
  </si>
  <si>
    <t>Лунина Любовь Викторовна</t>
  </si>
  <si>
    <t>79118957686</t>
  </si>
  <si>
    <t>Lunina-1974@mail.ru</t>
  </si>
  <si>
    <t>2/2-09/241</t>
  </si>
  <si>
    <t>Танич Александр Иванович</t>
  </si>
  <si>
    <t>79272087252</t>
  </si>
  <si>
    <t>tanich.al@yandex.ru</t>
  </si>
  <si>
    <t>Facebook</t>
  </si>
  <si>
    <t>2/2-15/313</t>
  </si>
  <si>
    <t>Спирина Ирина Сергеевна</t>
  </si>
  <si>
    <t>79277310600</t>
  </si>
  <si>
    <t>metallistmw@mail.ru</t>
  </si>
  <si>
    <t>2/1-22/146</t>
  </si>
  <si>
    <t>Лапухов Андрей Евгеньевич</t>
  </si>
  <si>
    <t>79277555618</t>
  </si>
  <si>
    <t>lapuhow.andrei@yandex.ru</t>
  </si>
  <si>
    <t>3/4-02/514</t>
  </si>
  <si>
    <t>Плотникова Марина Владимировна</t>
  </si>
  <si>
    <t>79272010907</t>
  </si>
  <si>
    <t>lt.plotnikova@gmail.ru</t>
  </si>
  <si>
    <t>2/2-10/257</t>
  </si>
  <si>
    <t>Чернышин Сергей Вячеславович</t>
  </si>
  <si>
    <t>79096142374</t>
  </si>
  <si>
    <t>sserdji@gmail.com</t>
  </si>
  <si>
    <t>1/2-22/296</t>
  </si>
  <si>
    <t>Гирченко Ирина Вячеславовна</t>
  </si>
  <si>
    <t>79297075430</t>
  </si>
  <si>
    <t>irina.harasowa@yandex.ru</t>
  </si>
  <si>
    <t>3/2-08/263</t>
  </si>
  <si>
    <t>79179615134</t>
  </si>
  <si>
    <t>iamrystam@yandex.ru</t>
  </si>
  <si>
    <t>2/2-04/192</t>
  </si>
  <si>
    <t>Игнатов Артем Юрьевич</t>
  </si>
  <si>
    <t>79279067613</t>
  </si>
  <si>
    <t>yudeckii@gmail.com</t>
  </si>
  <si>
    <t>3/4-05/541</t>
  </si>
  <si>
    <t>Сахипова Татьяна Владимировна</t>
  </si>
  <si>
    <t>79376494082</t>
  </si>
  <si>
    <t>tsakhipova@mvd.ru</t>
  </si>
  <si>
    <t>3/4-15/616</t>
  </si>
  <si>
    <t>Черкасов Иван Александрович</t>
  </si>
  <si>
    <t>79270092525</t>
  </si>
  <si>
    <t>lana.rassvet@yandex.ru</t>
  </si>
  <si>
    <t>2/1-15/093</t>
  </si>
  <si>
    <t>79649900888</t>
  </si>
  <si>
    <t>ya.ivan1983@yandex.ru</t>
  </si>
  <si>
    <t>3/4-02/516</t>
  </si>
  <si>
    <t>Шишина Светлана Атимбековна</t>
  </si>
  <si>
    <t>79677645412</t>
  </si>
  <si>
    <t>tsinhuali@yandex.ru</t>
  </si>
  <si>
    <t>2/1-16/103</t>
  </si>
  <si>
    <t>Беляков Сергей Викторович</t>
  </si>
  <si>
    <t>79226227596</t>
  </si>
  <si>
    <t>Sergei.156@yandex.ru</t>
  </si>
  <si>
    <t>3/4-14/615</t>
  </si>
  <si>
    <t>Кондратенко Юлия Леонидовна</t>
  </si>
  <si>
    <t>79171454719</t>
  </si>
  <si>
    <t>Julykondratenko@gmail.com</t>
  </si>
  <si>
    <t>3/3-05/418</t>
  </si>
  <si>
    <t>Одинцов Сергей Сергеевич</t>
  </si>
  <si>
    <t>79874530323</t>
  </si>
  <si>
    <t>Natasha7271995@mail.ru</t>
  </si>
  <si>
    <t>3/3-07/434</t>
  </si>
  <si>
    <t>Чувашов Спартак Николаевич</t>
  </si>
  <si>
    <t>79198024001</t>
  </si>
  <si>
    <t>spartaksamara@mail.ru</t>
  </si>
  <si>
    <t>2/1-11/067</t>
  </si>
  <si>
    <t>Киселев Дмитрий Анатольевич</t>
  </si>
  <si>
    <t>79033001002</t>
  </si>
  <si>
    <t>kiselevdmitri13@gmail.com</t>
  </si>
  <si>
    <t>3/4-12/594</t>
  </si>
  <si>
    <t>Григорьева Елена Николаевна</t>
  </si>
  <si>
    <t>79276013331</t>
  </si>
  <si>
    <t>g-elena75@mail.ru</t>
  </si>
  <si>
    <t>2/1-10/061</t>
  </si>
  <si>
    <t>Будко Анна Александровна</t>
  </si>
  <si>
    <t>79170346584</t>
  </si>
  <si>
    <t>budko-1973@yandex.ru</t>
  </si>
  <si>
    <t>2/2-06/216</t>
  </si>
  <si>
    <t>Галузина Мария Юрьевна</t>
  </si>
  <si>
    <t>79277017630</t>
  </si>
  <si>
    <t>galuzinam@mail.ru</t>
  </si>
  <si>
    <t>1/1-06/044</t>
  </si>
  <si>
    <t>79295670089</t>
  </si>
  <si>
    <t>2/2-03/176</t>
  </si>
  <si>
    <t>Тупиков, Иван Дмитриевич</t>
  </si>
  <si>
    <t>79170135735</t>
  </si>
  <si>
    <t>ivan2017tupikov@yandex.ru</t>
  </si>
  <si>
    <t>3/4-13/607</t>
  </si>
  <si>
    <t>Насекин Олег Борисович</t>
  </si>
  <si>
    <t>79297151809</t>
  </si>
  <si>
    <t>nasekin.danil2013@yandex.ru</t>
  </si>
  <si>
    <t>3/2-04/229</t>
  </si>
  <si>
    <t>Вырыпаева Екатерина Вячеславовна</t>
  </si>
  <si>
    <t>79272166156</t>
  </si>
  <si>
    <t>k.vyrypaeva@mail.ru</t>
  </si>
  <si>
    <t>3/2-04/225</t>
  </si>
  <si>
    <t>Инкина Инна Александровна</t>
  </si>
  <si>
    <t>79278912237</t>
  </si>
  <si>
    <t>3/3-09/455</t>
  </si>
  <si>
    <t>Попов Роман Михайлович</t>
  </si>
  <si>
    <t>79608233742</t>
  </si>
  <si>
    <t>zjiodeu@inbox.ru</t>
  </si>
  <si>
    <t>3/3-02/396</t>
  </si>
  <si>
    <t>Быков Игорь Викторович</t>
  </si>
  <si>
    <t>79276087606</t>
  </si>
  <si>
    <t>nataly8121@yandex.ru</t>
  </si>
  <si>
    <t>3/3-02/394</t>
  </si>
  <si>
    <t>Быкова Наталья Геннадиевна</t>
  </si>
  <si>
    <t>3/4-15/622</t>
  </si>
  <si>
    <t>Раганян Самвел Тигранович</t>
  </si>
  <si>
    <t>79677673333</t>
  </si>
  <si>
    <t>2184833@mail.ru</t>
  </si>
  <si>
    <t>3/5-19/784</t>
  </si>
  <si>
    <t>Андреева Елена Евгеньевна</t>
  </si>
  <si>
    <t>79325314147</t>
  </si>
  <si>
    <t>andreeva.elena2007@yandex.ru</t>
  </si>
  <si>
    <t>3/4-15/618</t>
  </si>
  <si>
    <t>Демченко Алена Андреевна</t>
  </si>
  <si>
    <t>79377919714</t>
  </si>
  <si>
    <t>alyonademchenko@yandex.ru</t>
  </si>
  <si>
    <t>3/3-06/431</t>
  </si>
  <si>
    <t>Файзуллоев Гайрат Махсудович</t>
  </si>
  <si>
    <t>79277277741</t>
  </si>
  <si>
    <t>gayrat-887@mail.ru</t>
  </si>
  <si>
    <t>3/4-06/551</t>
  </si>
  <si>
    <t>Мустаева Эльвира Мухаммедовна</t>
  </si>
  <si>
    <t>79874348548</t>
  </si>
  <si>
    <t>anvar.ru.mama@gmail.com</t>
  </si>
  <si>
    <t>2/1-02/004</t>
  </si>
  <si>
    <t>Насырова Динара Хасановна</t>
  </si>
  <si>
    <t>79992585790</t>
  </si>
  <si>
    <t>nasyrov_aynur@mail.ru</t>
  </si>
  <si>
    <t>Квартира месяца</t>
  </si>
  <si>
    <t>3/4-14/608</t>
  </si>
  <si>
    <t>Щербицкий Вячеслав Олегович</t>
  </si>
  <si>
    <t>79053005645</t>
  </si>
  <si>
    <t>59-07@mail.ru</t>
  </si>
  <si>
    <t>3/2-18/342</t>
  </si>
  <si>
    <t>Леонтьев Андрей Петрович</t>
  </si>
  <si>
    <t>79963414806</t>
  </si>
  <si>
    <t>and1488rus@gmail.com</t>
  </si>
  <si>
    <t>2/1-11/070</t>
  </si>
  <si>
    <t>Рыжова Валерия Андреевна</t>
  </si>
  <si>
    <t>79015315300</t>
  </si>
  <si>
    <t>valeriryz@yandex.ru</t>
  </si>
  <si>
    <t>3/3-13/481</t>
  </si>
  <si>
    <t>Мальцев Алексей Андреевич</t>
  </si>
  <si>
    <t>79270055448</t>
  </si>
  <si>
    <t>alekseymasev@gmail.com</t>
  </si>
  <si>
    <t>2/2-14/304</t>
  </si>
  <si>
    <t>Жданов Юрий Александрович</t>
  </si>
  <si>
    <t>79279007101</t>
  </si>
  <si>
    <t>zhdanoff.iur@yandex.ru</t>
  </si>
  <si>
    <t>2/1-09/056</t>
  </si>
  <si>
    <t>Кисилева Юлия Константиновна</t>
  </si>
  <si>
    <t>79370626698</t>
  </si>
  <si>
    <t>kisilevay6@yandex.ru</t>
  </si>
  <si>
    <t>3/2-18/340</t>
  </si>
  <si>
    <t>Кредышева Светлана Борисовна</t>
  </si>
  <si>
    <t>79171170762</t>
  </si>
  <si>
    <t>kredysheva70@mail.ru</t>
  </si>
  <si>
    <t>3/3-11/471</t>
  </si>
  <si>
    <t>Ахметова Алена Раисовна</t>
  </si>
  <si>
    <t>79872050788</t>
  </si>
  <si>
    <t>Ahmetovairt@yandex.ru</t>
  </si>
  <si>
    <t>2/1-16/102</t>
  </si>
  <si>
    <t>Епифанова Анна Евгеньевна</t>
  </si>
  <si>
    <t>79879171142</t>
  </si>
  <si>
    <t>anechkaepifanova@yandex.ru</t>
  </si>
  <si>
    <t>3/4-16/628</t>
  </si>
  <si>
    <t>Корнеев Дмитрий Алексеевич</t>
  </si>
  <si>
    <t>79276935022</t>
  </si>
  <si>
    <t>dmitrij.korneeff1991@yandex.ru</t>
  </si>
  <si>
    <t>2/2-05/201</t>
  </si>
  <si>
    <t>Потапова Тамара Геннадьевна</t>
  </si>
  <si>
    <t>79270050640</t>
  </si>
  <si>
    <t>Toma.p1607@mail.ru</t>
  </si>
  <si>
    <t>3/4-15/621</t>
  </si>
  <si>
    <t>2/1-08/046</t>
  </si>
  <si>
    <t>Матыцин Ефим Владимирович</t>
  </si>
  <si>
    <t>79608148728</t>
  </si>
  <si>
    <t>mr.brazz@gmail.com</t>
  </si>
  <si>
    <t>Байрамов Ислам Гусейбегович</t>
  </si>
  <si>
    <t>79608230005</t>
  </si>
  <si>
    <t>Islammilena050@icloud.com</t>
  </si>
  <si>
    <t>2/2-08/229</t>
  </si>
  <si>
    <t>Вишнякова Дарья Вадимовна</t>
  </si>
  <si>
    <t>79255114507</t>
  </si>
  <si>
    <t>Nikolaeva.d.v.97@yandex.ru</t>
  </si>
  <si>
    <t>Предчистовая отделка в подарок</t>
  </si>
  <si>
    <t>3/1-03/016</t>
  </si>
  <si>
    <t>Изенкова Екатерина Александровна</t>
  </si>
  <si>
    <t>79277459887</t>
  </si>
  <si>
    <t>tixonowa@mail.ru</t>
  </si>
  <si>
    <t>3/4-06/548</t>
  </si>
  <si>
    <t>Туринцева Алла Викторовна</t>
  </si>
  <si>
    <t>79277478474</t>
  </si>
  <si>
    <t>belousova.alla@mail.ru</t>
  </si>
  <si>
    <t>3/5-05/661</t>
  </si>
  <si>
    <t>Чурсин Евгений Валерьевич</t>
  </si>
  <si>
    <t>79272007257</t>
  </si>
  <si>
    <t>anachurr@gmail.com</t>
  </si>
  <si>
    <t>Е</t>
  </si>
  <si>
    <t>3/6-05/863</t>
  </si>
  <si>
    <t>Беляков Петр Викторович</t>
  </si>
  <si>
    <t>79619327813</t>
  </si>
  <si>
    <t>Petr.Belyakov156@yandex.ru</t>
  </si>
  <si>
    <t>3/1-07/051</t>
  </si>
  <si>
    <t>Миндаров Ришат Хайдарзянович</t>
  </si>
  <si>
    <t>79874436299</t>
  </si>
  <si>
    <t>mindarova87@list.ru</t>
  </si>
  <si>
    <t>3/6-09/898</t>
  </si>
  <si>
    <t>2/2-02/168</t>
  </si>
  <si>
    <t>Бредихина Ольга Николаевна</t>
  </si>
  <si>
    <t>79277242374</t>
  </si>
  <si>
    <t>2/1-19/124</t>
  </si>
  <si>
    <t>Буланова Янина Ионаса</t>
  </si>
  <si>
    <t>79397018686</t>
  </si>
  <si>
    <t>yaninabulanova@yandex.ru</t>
  </si>
  <si>
    <t>3/6-02/838</t>
  </si>
  <si>
    <t>Власова Светлана Викторовна</t>
  </si>
  <si>
    <t>79917959002</t>
  </si>
  <si>
    <t>ru-08100direktor@belwest.com</t>
  </si>
  <si>
    <t>2/1-21/138</t>
  </si>
  <si>
    <t>Рогачев Николай Геннадьевич</t>
  </si>
  <si>
    <t>79879874898</t>
  </si>
  <si>
    <t>rogachev8@mail.ru</t>
  </si>
  <si>
    <t>3/5-13/734</t>
  </si>
  <si>
    <t>Новиков Никита Сергеевич</t>
  </si>
  <si>
    <t>79178193290</t>
  </si>
  <si>
    <t>nikitanovikov163@gmail.com</t>
  </si>
  <si>
    <t>3/6-08/890</t>
  </si>
  <si>
    <t>2/1-05/026</t>
  </si>
  <si>
    <t>Кашинцева Татьяна Михайловна</t>
  </si>
  <si>
    <t>79277369659</t>
  </si>
  <si>
    <t>Kashincev69@yandex.ru</t>
  </si>
  <si>
    <t>2/2-15/311</t>
  </si>
  <si>
    <t>Данцуй Сергей Сергеевич</t>
  </si>
  <si>
    <t>79276851212</t>
  </si>
  <si>
    <t>dantsuy@bk.ru</t>
  </si>
  <si>
    <t>3/4-06/544</t>
  </si>
  <si>
    <t>Нечаева Галина Викторовна</t>
  </si>
  <si>
    <t>79276522187</t>
  </si>
  <si>
    <t>Nechgv@yfndex.ru</t>
  </si>
  <si>
    <t>3/5-11/716</t>
  </si>
  <si>
    <t>Сараев Кирилл Андреевич</t>
  </si>
  <si>
    <t>79879000163</t>
  </si>
  <si>
    <t>Saraev_K@mail.ru</t>
  </si>
  <si>
    <t>3/4-11/589</t>
  </si>
  <si>
    <t>3/3-14/493</t>
  </si>
  <si>
    <t>Иевлев Максим Александрович</t>
  </si>
  <si>
    <t>79379817056</t>
  </si>
  <si>
    <t>ferina2008@yandex.ru</t>
  </si>
  <si>
    <t>2/1-18/114</t>
  </si>
  <si>
    <t>Дунаев Алексей Петрович</t>
  </si>
  <si>
    <t>79879846610</t>
  </si>
  <si>
    <t>dunaev00x@mail.ru</t>
  </si>
  <si>
    <t>3/1-13/105</t>
  </si>
  <si>
    <t>Тропинина Екатерина Валерьевна</t>
  </si>
  <si>
    <t>79270043415</t>
  </si>
  <si>
    <t>valeria344@mail.ru</t>
  </si>
  <si>
    <t>3/5-10/707</t>
  </si>
  <si>
    <t>Сурских Сергей Сергеевич</t>
  </si>
  <si>
    <t>79376532717</t>
  </si>
  <si>
    <t>nadezhdanka2702@gmail.com</t>
  </si>
  <si>
    <t>3/5-13/733</t>
  </si>
  <si>
    <t>Сафиханов Низами Хантамир-Оглы</t>
  </si>
  <si>
    <t>79277571357</t>
  </si>
  <si>
    <t>Safikhanov78@gmail.com</t>
  </si>
  <si>
    <t>3/2-07/250</t>
  </si>
  <si>
    <t>3/1-08/059</t>
  </si>
  <si>
    <t>Тимофеев Дмитрий Владимирович</t>
  </si>
  <si>
    <t>79379881445</t>
  </si>
  <si>
    <t>dvtimoff@gmail.com</t>
  </si>
  <si>
    <t>2/2-08/233</t>
  </si>
  <si>
    <t>Лагашкина Юлия Дмитриевна</t>
  </si>
  <si>
    <t>3/5-16/761</t>
  </si>
  <si>
    <t>Рыбакова Лариса Юрьевна</t>
  </si>
  <si>
    <t>79033044515</t>
  </si>
  <si>
    <t>ribacova63@rambler.ru</t>
  </si>
  <si>
    <t>3/5-11/717</t>
  </si>
  <si>
    <t>Германюк Анастасия Николаевна</t>
  </si>
  <si>
    <t>79379947186</t>
  </si>
  <si>
    <t>Germanyuk@bk.ru</t>
  </si>
  <si>
    <t>2/1-14/088</t>
  </si>
  <si>
    <t>Брызгалов Руслан Владимирович</t>
  </si>
  <si>
    <t>79179420171</t>
  </si>
  <si>
    <t>Rbryzgalov@bk.ru</t>
  </si>
  <si>
    <t>3/2-15/319</t>
  </si>
  <si>
    <t>Смирнова Ирина Алексеевна</t>
  </si>
  <si>
    <t>79093700670</t>
  </si>
  <si>
    <t>non.sons@mail.ru</t>
  </si>
  <si>
    <t>2/1-08/047</t>
  </si>
  <si>
    <t>Баурчану Наталья Владимировна</t>
  </si>
  <si>
    <t>79025816065</t>
  </si>
  <si>
    <t>aleksbau@yandex.ru</t>
  </si>
  <si>
    <t>3/6-09/899</t>
  </si>
  <si>
    <t>3/1-04/024</t>
  </si>
  <si>
    <t>Дусеев Армат Гали-Арстанович</t>
  </si>
  <si>
    <t>duseeff.a@yandex.ru</t>
  </si>
  <si>
    <t>3/3-08/443</t>
  </si>
  <si>
    <t>Заварзина Влада Александровна</t>
  </si>
  <si>
    <t>79272969500</t>
  </si>
  <si>
    <t>eriomina.vlada@yandex.ru</t>
  </si>
  <si>
    <t>3/1-13/102</t>
  </si>
  <si>
    <t>Салихова Алена Александровна</t>
  </si>
  <si>
    <t>79171469684</t>
  </si>
  <si>
    <t>Popovaaloyna@gmail.com</t>
  </si>
  <si>
    <t>3/3-06/425</t>
  </si>
  <si>
    <t>Тикин Александр Сергеевич</t>
  </si>
  <si>
    <t>79015288125</t>
  </si>
  <si>
    <t>2/2-04/189</t>
  </si>
  <si>
    <t>Юсупов Гаджимурат</t>
  </si>
  <si>
    <t>79272646062</t>
  </si>
  <si>
    <t>Yusupov.gadjimurad@yandex.ru</t>
  </si>
  <si>
    <t>3/5-06/673</t>
  </si>
  <si>
    <t>Шишова Анна Павловна</t>
  </si>
  <si>
    <t>79276154530</t>
  </si>
  <si>
    <t>Ikler2008@rambler.ru</t>
  </si>
  <si>
    <t>3/5-05/662</t>
  </si>
  <si>
    <t>Баканова Ольга Юрьевна</t>
  </si>
  <si>
    <t>79276032953</t>
  </si>
  <si>
    <t>Olgasupergaz@mail.ru</t>
  </si>
  <si>
    <t>3/1-04/021</t>
  </si>
  <si>
    <t>Кеняйкин Артем Сергеевич</t>
  </si>
  <si>
    <t>Belka.89@inbox.ru</t>
  </si>
  <si>
    <t>3/5-02/634</t>
  </si>
  <si>
    <t>Башарина Наталья Николаевна</t>
  </si>
  <si>
    <t>79608397116</t>
  </si>
  <si>
    <t>mox.natali@yandex.ru</t>
  </si>
  <si>
    <t>2/1-09/054</t>
  </si>
  <si>
    <t>Калачев Константин Михайлович</t>
  </si>
  <si>
    <t>79871679611</t>
  </si>
  <si>
    <t>km_post@list.ru</t>
  </si>
  <si>
    <t>3/4-06/550</t>
  </si>
  <si>
    <t>Мольков Дмитрий Борисович</t>
  </si>
  <si>
    <t>79603206363</t>
  </si>
  <si>
    <t>malek-off@yandex.ru</t>
  </si>
  <si>
    <t>3/1-17/136</t>
  </si>
  <si>
    <t>Федотова Елена Александровна</t>
  </si>
  <si>
    <t>79279014426</t>
  </si>
  <si>
    <t>Sv-fedotova80@mail.ru</t>
  </si>
  <si>
    <t>2/1-22/145</t>
  </si>
  <si>
    <t>Токарева Алёна Владимировна</t>
  </si>
  <si>
    <t>79277016939</t>
  </si>
  <si>
    <t>alena2203@mail.ru</t>
  </si>
  <si>
    <t>3/5-03/646</t>
  </si>
  <si>
    <t>Жаркова Анна Васильевна</t>
  </si>
  <si>
    <t>79270194214</t>
  </si>
  <si>
    <t>anja-555@mail.ru</t>
  </si>
  <si>
    <t>3/6-07/884</t>
  </si>
  <si>
    <t>79277069587</t>
  </si>
  <si>
    <t>tazinayv1@mail.ru</t>
  </si>
  <si>
    <t>3/6-02/836</t>
  </si>
  <si>
    <t>79372023755</t>
  </si>
  <si>
    <t>3/5-10/706</t>
  </si>
  <si>
    <t>Милкин Николай Николаевич</t>
  </si>
  <si>
    <t>79271865161</t>
  </si>
  <si>
    <t>milkinnikolay@yandex.ru</t>
  </si>
  <si>
    <t>2/2-03/177</t>
  </si>
  <si>
    <t>Кадиров Икромжон Усманович</t>
  </si>
  <si>
    <t>79608121878</t>
  </si>
  <si>
    <t>3/2-18/339</t>
  </si>
  <si>
    <t>Метр квадратный</t>
  </si>
  <si>
    <t>Гусарова Марина Юрьевна</t>
  </si>
  <si>
    <t>79178180602</t>
  </si>
  <si>
    <t>m607@mail.ru</t>
  </si>
  <si>
    <t>2/1-09/050</t>
  </si>
  <si>
    <t>Жамбатыров Ильдар Салаватович</t>
  </si>
  <si>
    <t>79292933662</t>
  </si>
  <si>
    <t>Bashmakovakaty63@gmail.com</t>
  </si>
  <si>
    <t>3/2-03/217</t>
  </si>
  <si>
    <t>Жданов Андрей Сергеевич</t>
  </si>
  <si>
    <t>79649874348</t>
  </si>
  <si>
    <t>infopmation163@yandex.ru</t>
  </si>
  <si>
    <t>3/2-17/329</t>
  </si>
  <si>
    <t>Тимофеева Светлана Викторовна</t>
  </si>
  <si>
    <t>79053016610</t>
  </si>
  <si>
    <t>svtim15@gmail.com</t>
  </si>
  <si>
    <t>3/5-06/671</t>
  </si>
  <si>
    <t>3/6-06/871</t>
  </si>
  <si>
    <t>3/6-10/907</t>
  </si>
  <si>
    <t>3/6-10/908</t>
  </si>
  <si>
    <t>2/1-06/030</t>
  </si>
  <si>
    <t>Бабушкина Надежда Николаевна</t>
  </si>
  <si>
    <t>79277078975</t>
  </si>
  <si>
    <t>nadezhda_babushkina@bk.ru</t>
  </si>
  <si>
    <t>3/4-15/623</t>
  </si>
  <si>
    <t>Золотов Денис Андреевич</t>
  </si>
  <si>
    <t>79677202265</t>
  </si>
  <si>
    <t>deonis.zolotov@gmail.com</t>
  </si>
  <si>
    <t>3/5-14/742</t>
  </si>
  <si>
    <t>Кузнецова Светлана Сергеевна</t>
  </si>
  <si>
    <t>79376522103</t>
  </si>
  <si>
    <t>sveto4ka_kuz@mail.ru</t>
  </si>
  <si>
    <t>2/2-06/207</t>
  </si>
  <si>
    <t>Лебедка Владимир Васильевич</t>
  </si>
  <si>
    <t>79171282835</t>
  </si>
  <si>
    <t>vlad-rl@yandex.ru</t>
  </si>
  <si>
    <t>Н - Все метры</t>
  </si>
  <si>
    <t>Да</t>
  </si>
  <si>
    <t>2/2-03/173</t>
  </si>
  <si>
    <t>2/2-02/163</t>
  </si>
  <si>
    <t>Желобкович Ольга Николаевна</t>
  </si>
  <si>
    <t>79272623562</t>
  </si>
  <si>
    <t>Janborisova@yandex.ru</t>
  </si>
  <si>
    <t>3/3-02/397</t>
  </si>
  <si>
    <t>Сергейчев Александр Владимирович</t>
  </si>
  <si>
    <t>79371748391</t>
  </si>
  <si>
    <t>vertanya20@yandex.ru</t>
  </si>
  <si>
    <t>2/1-17/110</t>
  </si>
  <si>
    <t>Шестаев Игорь Николаевич</t>
  </si>
  <si>
    <t>79228887905</t>
  </si>
  <si>
    <t>gichkalov@reg.ru</t>
  </si>
  <si>
    <t>2/2-09/242</t>
  </si>
  <si>
    <t>Аксютина Рания Раильевна</t>
  </si>
  <si>
    <t>79270022965</t>
  </si>
  <si>
    <t>raniya-94@mail.ru</t>
  </si>
  <si>
    <t>3/2-17/332</t>
  </si>
  <si>
    <t>Чаус Андрей Игоревич</t>
  </si>
  <si>
    <t>79608189291</t>
  </si>
  <si>
    <t>andrchaus@gmail.com</t>
  </si>
  <si>
    <t>3/1-04/026</t>
  </si>
  <si>
    <t>2/2-12/278</t>
  </si>
  <si>
    <t>Данцуй Владимир Сергеевич</t>
  </si>
  <si>
    <t>Dancyi1618@mail.ru</t>
  </si>
  <si>
    <t>3/2-13/299</t>
  </si>
  <si>
    <t>Хамирова Марина Валериевна</t>
  </si>
  <si>
    <t>79397522422</t>
  </si>
  <si>
    <t>3/1-11/090</t>
  </si>
  <si>
    <t>Пчелякова Ирина Александровна</t>
  </si>
  <si>
    <t>79277185559</t>
  </si>
  <si>
    <t>natyrella_1@mail.ru</t>
  </si>
  <si>
    <t>3/2-16/321</t>
  </si>
  <si>
    <t>Каракулов Субхиддин Гулмуродович</t>
  </si>
  <si>
    <t>79063403815</t>
  </si>
  <si>
    <t>3/1-07/050</t>
  </si>
  <si>
    <t>Елисеев Дмитрий Владимирович</t>
  </si>
  <si>
    <t>79397177522</t>
  </si>
  <si>
    <t>tatiana@samaradom.ru</t>
  </si>
  <si>
    <t>3/1-08/062</t>
  </si>
  <si>
    <t>Малыхина Светлана Дмитриевна</t>
  </si>
  <si>
    <t>79376470336</t>
  </si>
  <si>
    <t>sweta_mal_76@mail.ru</t>
  </si>
  <si>
    <t>3/1-07/049</t>
  </si>
  <si>
    <t>Исхакова Лилия Камильевна</t>
  </si>
  <si>
    <t>79277270891</t>
  </si>
  <si>
    <t>ishakoval71@gmail.com</t>
  </si>
  <si>
    <t>3/1-02/004</t>
  </si>
  <si>
    <t>Назаралиева Фадме Надировна</t>
  </si>
  <si>
    <t>79272948396</t>
  </si>
  <si>
    <t>fadmenazaralieva05@gmail.com</t>
  </si>
  <si>
    <t>3/6-03/848</t>
  </si>
  <si>
    <t>Хабибуллин Раиль Халилович</t>
  </si>
  <si>
    <t>79371714609</t>
  </si>
  <si>
    <t>3/1-04/027</t>
  </si>
  <si>
    <t>Москвичев Геннадий Сергеевич</t>
  </si>
  <si>
    <t>79198016142</t>
  </si>
  <si>
    <t>3417557@gmail.com</t>
  </si>
  <si>
    <t>3/5-09/697</t>
  </si>
  <si>
    <t>Трегубов Дмитрий Михайлович</t>
  </si>
  <si>
    <t>79179463826</t>
  </si>
  <si>
    <t>dmitriymihailovicht@gmail.com</t>
  </si>
  <si>
    <t>2/1-20/131</t>
  </si>
  <si>
    <t>Буркова Дарья Павловна</t>
  </si>
  <si>
    <t>79272004244</t>
  </si>
  <si>
    <t>darena6324@gmail.com</t>
  </si>
  <si>
    <t>3/4-07/554</t>
  </si>
  <si>
    <t>Гордеева Екатерина Владимировна</t>
  </si>
  <si>
    <t>79377937533</t>
  </si>
  <si>
    <t>ais.chpv@mail.ru</t>
  </si>
  <si>
    <t>3/4-09/568</t>
  </si>
  <si>
    <t>Бабич Дмитрий Алексеевич</t>
  </si>
  <si>
    <t>79277548055</t>
  </si>
  <si>
    <t>dmitriy.babich.1996@mail.ru</t>
  </si>
  <si>
    <t>2/1-18/119</t>
  </si>
  <si>
    <t>Асанов Ильнур Маратович</t>
  </si>
  <si>
    <t>79277217854</t>
  </si>
  <si>
    <t>ilnur.asanov@gmail.com</t>
  </si>
  <si>
    <t>2/1-15/096</t>
  </si>
  <si>
    <t>Асанова Эльвира Алиевловна</t>
  </si>
  <si>
    <t>2/1-15/094</t>
  </si>
  <si>
    <t>Савельев Андрей Васильевич</t>
  </si>
  <si>
    <t>79270113515</t>
  </si>
  <si>
    <t>andrei-samara.81@mail.ru</t>
  </si>
  <si>
    <t>2/2-15/309</t>
  </si>
  <si>
    <t>Ларин Александр Николаевич</t>
  </si>
  <si>
    <t>79372017949</t>
  </si>
  <si>
    <t>Larin_69@list.ru</t>
  </si>
  <si>
    <t>3/6-03/845</t>
  </si>
  <si>
    <t>Калядяева Алина Геннадьевна</t>
  </si>
  <si>
    <t>79879473744</t>
  </si>
  <si>
    <t>tarasova123@bk.ru</t>
  </si>
  <si>
    <t>2/1-23/152</t>
  </si>
  <si>
    <t>Имангулов Александр Дамирович</t>
  </si>
  <si>
    <t>79967278817</t>
  </si>
  <si>
    <t>sasha16362@gmail.com</t>
  </si>
  <si>
    <t>3/2-09/268</t>
  </si>
  <si>
    <t>Ямолова Светлана Петровна</t>
  </si>
  <si>
    <t>79276147029</t>
  </si>
  <si>
    <t>svetlana_yamolov@mail.ru</t>
  </si>
  <si>
    <t>3/4-04/528</t>
  </si>
  <si>
    <t>Еранов Максим Михайлович</t>
  </si>
  <si>
    <t>79874300300</t>
  </si>
  <si>
    <t>3/1-12/091</t>
  </si>
  <si>
    <t>Манучарян Рузана Мушеговна</t>
  </si>
  <si>
    <t>79608256260</t>
  </si>
  <si>
    <t>ruzanna2010@mail.ru</t>
  </si>
  <si>
    <t>3/1-04/020</t>
  </si>
  <si>
    <t>3/2-15/316</t>
  </si>
  <si>
    <t>Поздняков Евгений Александрович</t>
  </si>
  <si>
    <t>79272044515</t>
  </si>
  <si>
    <t>eap163@ya.ru</t>
  </si>
  <si>
    <t>3/6-07/881</t>
  </si>
  <si>
    <t>Ветеран боевых действий</t>
  </si>
  <si>
    <t>3/1-12/099</t>
  </si>
  <si>
    <t>Кропотова Саодат Назаралиевна</t>
  </si>
  <si>
    <t>79379941182</t>
  </si>
  <si>
    <t>s_a_o_d_a_t@mail.ru</t>
  </si>
  <si>
    <t>3/2-14/308</t>
  </si>
  <si>
    <t>Захарова Елена Дмитриевна</t>
  </si>
  <si>
    <t>harlam1978@mail.ru</t>
  </si>
  <si>
    <t>3/4-03/520</t>
  </si>
  <si>
    <t>Клюшникова Виктория Викторовна</t>
  </si>
  <si>
    <t>79171072007</t>
  </si>
  <si>
    <t>klybnichka88@mail.ru</t>
  </si>
  <si>
    <t>2/2-12/280</t>
  </si>
  <si>
    <t>Топорков Артем Юрьевич</t>
  </si>
  <si>
    <t>79277566335</t>
  </si>
  <si>
    <t>a.toporkov@delta-energy.ru</t>
  </si>
  <si>
    <t>Рассылка ГОРОД</t>
  </si>
  <si>
    <t>Прочее</t>
  </si>
  <si>
    <t>3/2-06/244</t>
  </si>
  <si>
    <t>Хаванцев Иван Юрьевич</t>
  </si>
  <si>
    <t>79277679836</t>
  </si>
  <si>
    <t>havantsevivan@mail.ru</t>
  </si>
  <si>
    <t>2/1-21/137</t>
  </si>
  <si>
    <t>Гринькевич Анна Павловна</t>
  </si>
  <si>
    <t>79379806873</t>
  </si>
  <si>
    <t>annagrin81@mail.ru</t>
  </si>
  <si>
    <t>3/2-16/325</t>
  </si>
  <si>
    <t>Бурцева Инна Владимировна</t>
  </si>
  <si>
    <t>79608300088</t>
  </si>
  <si>
    <t>burceva_inna@list.ru</t>
  </si>
  <si>
    <t>3/6-04/854</t>
  </si>
  <si>
    <t>Кусакина Ольга Николаевна</t>
  </si>
  <si>
    <t>79879539320</t>
  </si>
  <si>
    <t>3/2-08/260</t>
  </si>
  <si>
    <t>Трошкин Алексей Геннадьевич</t>
  </si>
  <si>
    <t>79879637282</t>
  </si>
  <si>
    <t>Tro_leks@mail.ru</t>
  </si>
  <si>
    <t>3/1-03/018</t>
  </si>
  <si>
    <t>Мухамедьяров Ринат Рафаильевич</t>
  </si>
  <si>
    <t>79096028158</t>
  </si>
  <si>
    <t>rinat_wit@mail.ru</t>
  </si>
  <si>
    <t>3/5-04/652</t>
  </si>
  <si>
    <t>77711082421</t>
  </si>
  <si>
    <t>Galugas@mail.ru</t>
  </si>
  <si>
    <t>2/1-10/060</t>
  </si>
  <si>
    <t>Литвинов Александр Николаевич</t>
  </si>
  <si>
    <t>79277233343</t>
  </si>
  <si>
    <t>Sandro9@mail.ru</t>
  </si>
  <si>
    <t>3/5-03/644</t>
  </si>
  <si>
    <t>Андреева Ольга Валерьевна</t>
  </si>
  <si>
    <t>79053012050</t>
  </si>
  <si>
    <t>helga2003514@mail.ru</t>
  </si>
  <si>
    <t>2/2-05/198</t>
  </si>
  <si>
    <t>Абалымова Светлана Сергеевна</t>
  </si>
  <si>
    <t>79967399297</t>
  </si>
  <si>
    <t>ss21081991@yandex.ru</t>
  </si>
  <si>
    <t>3/2-09/265</t>
  </si>
  <si>
    <t>Буравлева Татьяна Григорьевна</t>
  </si>
  <si>
    <t>79376521645</t>
  </si>
  <si>
    <t>myrzabaeva@mail.ru</t>
  </si>
  <si>
    <t>3/1-19/154</t>
  </si>
  <si>
    <t>Вердин Виталий Евгеньевич</t>
  </si>
  <si>
    <t>79258060668</t>
  </si>
  <si>
    <t>vitaliy_v_v_e_90@mail.ru</t>
  </si>
  <si>
    <t>3/3-12/476</t>
  </si>
  <si>
    <t>Хамидуллова Гузель Зарифовна</t>
  </si>
  <si>
    <t>79991713478</t>
  </si>
  <si>
    <t>gezelkaham992@mail.ru</t>
  </si>
  <si>
    <t>3/1-04/022</t>
  </si>
  <si>
    <t>Потапов Николай Семенович</t>
  </si>
  <si>
    <t>79023354210</t>
  </si>
  <si>
    <t>samara-sns@yandex.ru</t>
  </si>
  <si>
    <t>2/2-11/268</t>
  </si>
  <si>
    <t>Кокорина Галина Сергеевна</t>
  </si>
  <si>
    <t>79773189445</t>
  </si>
  <si>
    <t>galacernyseva46752@gmail.com</t>
  </si>
  <si>
    <t>2/1-08/045</t>
  </si>
  <si>
    <t>Ильина Валентина Сергеевна</t>
  </si>
  <si>
    <t>79213531761</t>
  </si>
  <si>
    <t>Rock-Dozor-Muzon@mail.ru</t>
  </si>
  <si>
    <t>3/2-14/305</t>
  </si>
  <si>
    <t>Коренченко Михаил Анатольевич</t>
  </si>
  <si>
    <t>79272199082</t>
  </si>
  <si>
    <t>m17122@mail.ru</t>
  </si>
  <si>
    <t>3/3-09/449</t>
  </si>
  <si>
    <t>Лохмотова Алла Владимировна</t>
  </si>
  <si>
    <t>79376428223</t>
  </si>
  <si>
    <t>rikushash30@gmail.com</t>
  </si>
  <si>
    <t>3/3-09/452</t>
  </si>
  <si>
    <t>Поляков Евгений Николаевич</t>
  </si>
  <si>
    <t>79277193280</t>
  </si>
  <si>
    <t>epol80@mail.ru</t>
  </si>
  <si>
    <t>3/4-16/631</t>
  </si>
  <si>
    <t>Анненкова Ирина Александровна</t>
  </si>
  <si>
    <t>79277370640</t>
  </si>
  <si>
    <t>3/1-08/063</t>
  </si>
  <si>
    <t>79371764209</t>
  </si>
  <si>
    <t>3/3-10/460</t>
  </si>
  <si>
    <t>Гаврилюк Ольга Владимировна</t>
  </si>
  <si>
    <t>79179444777</t>
  </si>
  <si>
    <t>Sferi63@yandex.ru</t>
  </si>
  <si>
    <t>3/1-12/093</t>
  </si>
  <si>
    <t>Фадеев Алексей Александрович</t>
  </si>
  <si>
    <t>79279029902</t>
  </si>
  <si>
    <t>aleksey.fadeev@hotmail.com</t>
  </si>
  <si>
    <t>2/1-11/068</t>
  </si>
  <si>
    <t>Чурилов Никита Сергеевич</t>
  </si>
  <si>
    <t>79379977771</t>
  </si>
  <si>
    <t>futbolhelp@mail.ru</t>
  </si>
  <si>
    <t>2/1-18/116</t>
  </si>
  <si>
    <t>Лапина Татьяна Владимировна</t>
  </si>
  <si>
    <t>79879473516</t>
  </si>
  <si>
    <t>lesnovatanja@gmail.com</t>
  </si>
  <si>
    <t>2/1-24/158</t>
  </si>
  <si>
    <t>Дендюро Артем Дмитриевич</t>
  </si>
  <si>
    <t>79277547588</t>
  </si>
  <si>
    <t>Dendyuro@inbox.ru</t>
  </si>
  <si>
    <t>3/3-06/428</t>
  </si>
  <si>
    <t>Авдеева Валентина Николаевна</t>
  </si>
  <si>
    <t>79371815040</t>
  </si>
  <si>
    <t>Lv.aleshina@mail.ru</t>
  </si>
  <si>
    <t>3/6-05/864</t>
  </si>
  <si>
    <t>Чустиль Ирина Нурлисламовна</t>
  </si>
  <si>
    <t>79869529641</t>
  </si>
  <si>
    <t>irinashn@list.ru</t>
  </si>
  <si>
    <t>2/1-08/048</t>
  </si>
  <si>
    <t>Чустиль Максим Сергеевич</t>
  </si>
  <si>
    <t>79538322840</t>
  </si>
  <si>
    <t>Maks_952205@mail.ru</t>
  </si>
  <si>
    <t>3/2-10/273</t>
  </si>
  <si>
    <t>Ярлыгаева Мярьям Идрисовна</t>
  </si>
  <si>
    <t>79276034474</t>
  </si>
  <si>
    <t>malaninka555@yandex.ru</t>
  </si>
  <si>
    <t>2/1-14/090</t>
  </si>
  <si>
    <t>Уряшова Оксана Сергеевна</t>
  </si>
  <si>
    <t>79277977424</t>
  </si>
  <si>
    <t>Kopeykina1987@mail.ru</t>
  </si>
  <si>
    <t>2/2-05/204</t>
  </si>
  <si>
    <t>Садыкова Нина Игорьевна</t>
  </si>
  <si>
    <t>79276530195</t>
  </si>
  <si>
    <t>nina.matveeva4999@gmail.com</t>
  </si>
  <si>
    <t>2/2-12/273</t>
  </si>
  <si>
    <t>Ионова Юлия Викторовна</t>
  </si>
  <si>
    <t>79178186799</t>
  </si>
  <si>
    <t>ionovajulia99@mail.ru</t>
  </si>
  <si>
    <t>2/1-11/065</t>
  </si>
  <si>
    <t>Цыбанов Евгений Владимирович</t>
  </si>
  <si>
    <t>79277412108</t>
  </si>
  <si>
    <t>Tsybanov63@gmail.com</t>
  </si>
  <si>
    <t>3/4-04/530</t>
  </si>
  <si>
    <t>Казанин Игорь Николаевич</t>
  </si>
  <si>
    <t>79270000012</t>
  </si>
  <si>
    <t>Kazanin.in@yandex.ru</t>
  </si>
  <si>
    <t>3/1-13/101</t>
  </si>
  <si>
    <t>Яковлева Венера Искяндяровна</t>
  </si>
  <si>
    <t>79379974213</t>
  </si>
  <si>
    <t>yacovlevavenera@yandex.ru</t>
  </si>
  <si>
    <t>3/4-13/602</t>
  </si>
  <si>
    <t>Арзамасцев Евгений Сергеевич</t>
  </si>
  <si>
    <t>79370639653</t>
  </si>
  <si>
    <t>zhenya-arzamascev@yandex.ru</t>
  </si>
  <si>
    <t>3/1-13/100</t>
  </si>
  <si>
    <t>Зеленин Андрей Романович</t>
  </si>
  <si>
    <t>79277119737</t>
  </si>
  <si>
    <t>gecube@ya.ru</t>
  </si>
  <si>
    <t>3/2-13/297</t>
  </si>
  <si>
    <t>Никитин Андрей Анатольевич</t>
  </si>
  <si>
    <t>79171223540</t>
  </si>
  <si>
    <t>andreinikitin1984@mail.ru</t>
  </si>
  <si>
    <t>3/1-09/067</t>
  </si>
  <si>
    <t>Хрипунова Ольга Николаевна</t>
  </si>
  <si>
    <t>79277128995</t>
  </si>
  <si>
    <t>hon_samara@mail.ru</t>
  </si>
  <si>
    <t>3/4-09/569</t>
  </si>
  <si>
    <t>3/5-14/743</t>
  </si>
  <si>
    <t>3/3-10/457</t>
  </si>
  <si>
    <t>Кортукова Диана Гумеровна</t>
  </si>
  <si>
    <t>79879260719</t>
  </si>
  <si>
    <t>valeeva09@mail.ru</t>
  </si>
  <si>
    <t>3/3-13/484</t>
  </si>
  <si>
    <t>Сарычева Екатерина Евгеньевна</t>
  </si>
  <si>
    <t>79967414766</t>
  </si>
  <si>
    <t>sarychev-t@mail.ru</t>
  </si>
  <si>
    <t>3/5-03/647</t>
  </si>
  <si>
    <t>Абушаев Усман Саитович</t>
  </si>
  <si>
    <t>79370745945</t>
  </si>
  <si>
    <t>Lili_samara008@mail.ru</t>
  </si>
  <si>
    <t>3/5-09/698</t>
  </si>
  <si>
    <t>Кишинин Андрей Анатольевич</t>
  </si>
  <si>
    <t>79276168817</t>
  </si>
  <si>
    <t>Anna_Kishinina@mail.ru</t>
  </si>
  <si>
    <t>3/1-15/123</t>
  </si>
  <si>
    <t>Калинин Андрей Михайлович</t>
  </si>
  <si>
    <t>79270013213</t>
  </si>
  <si>
    <t>kalinin063_ne@mail.ru</t>
  </si>
  <si>
    <t>3/2-13/301</t>
  </si>
  <si>
    <t>Истомина Яна Валентиновна</t>
  </si>
  <si>
    <t>79879672226</t>
  </si>
  <si>
    <t>mylatka_1011@mail.ru</t>
  </si>
  <si>
    <t>3/1-08/057</t>
  </si>
  <si>
    <t>Ким Евдокия Дмитриевна</t>
  </si>
  <si>
    <t>79083230877</t>
  </si>
  <si>
    <t>kimeudo@yandex.ru</t>
  </si>
  <si>
    <t>Предчистовая отделка в подарок + 3% сотруднику</t>
  </si>
  <si>
    <t>3/4-10/576</t>
  </si>
  <si>
    <t>Кузьмин Сергей Васильевич</t>
  </si>
  <si>
    <t>79171082224</t>
  </si>
  <si>
    <t>89171082224@yandex.ru</t>
  </si>
  <si>
    <t>3/2-23/380</t>
  </si>
  <si>
    <t>Михеев Денис Борисович</t>
  </si>
  <si>
    <t>79853682270</t>
  </si>
  <si>
    <t>den.freelancer@gmail.com</t>
  </si>
  <si>
    <t>3/2-12/292</t>
  </si>
  <si>
    <t>Комова Ирина Игоревна</t>
  </si>
  <si>
    <t>79370726949</t>
  </si>
  <si>
    <t>Irinaigorevna270389@yandex.ru</t>
  </si>
  <si>
    <t>3/2-15/313</t>
  </si>
  <si>
    <t>Дугушев Дмитрий Анатольевич</t>
  </si>
  <si>
    <t>79063405644</t>
  </si>
  <si>
    <t>firstdd@mail.ru</t>
  </si>
  <si>
    <t>3/4-11/588</t>
  </si>
  <si>
    <t>Нестеров Станислав Валериевич</t>
  </si>
  <si>
    <t>79131652058</t>
  </si>
  <si>
    <t>Nesstval@rambler.ru</t>
  </si>
  <si>
    <t>3/3-04/410</t>
  </si>
  <si>
    <t>Борисова Евгения Юрьевна</t>
  </si>
  <si>
    <t>79273745767</t>
  </si>
  <si>
    <t>evgeniashatkova@mail.ru</t>
  </si>
  <si>
    <t>2/2-14/300</t>
  </si>
  <si>
    <t>3/2-06/241</t>
  </si>
  <si>
    <t>Дорогойченков Василий Александрович</t>
  </si>
  <si>
    <t>79277415520</t>
  </si>
  <si>
    <t>Dorogoichenkov@mail.ru</t>
  </si>
  <si>
    <t>2/2-11/264</t>
  </si>
  <si>
    <t>Герфорт Сергей Викторович</t>
  </si>
  <si>
    <t>79376425933</t>
  </si>
  <si>
    <t>sergej.gerfort@mail.ru</t>
  </si>
  <si>
    <t>3/1-10/081</t>
  </si>
  <si>
    <t>Рахматуллина Елена Робертовна</t>
  </si>
  <si>
    <t>79372073724</t>
  </si>
  <si>
    <t>rahmatullinaelena98@gmail.com</t>
  </si>
  <si>
    <t>3/1-10/077</t>
  </si>
  <si>
    <t>Хохлова Александра Георгиевна</t>
  </si>
  <si>
    <t>79270160100</t>
  </si>
  <si>
    <t>89270160100@mail.ru</t>
  </si>
  <si>
    <t>3/2-05/236</t>
  </si>
  <si>
    <t>Виноградова Юлия Васильевна</t>
  </si>
  <si>
    <t>79781173848</t>
  </si>
  <si>
    <t>vinogradova.julia27@yandex.ru</t>
  </si>
  <si>
    <t>3/3-07/436</t>
  </si>
  <si>
    <t>Пахомова Анна Борисовна</t>
  </si>
  <si>
    <t>79871502124</t>
  </si>
  <si>
    <t>anutick.pakhomova@gmail.com</t>
  </si>
  <si>
    <t>2/1-11/066</t>
  </si>
  <si>
    <t>Саранцев Дмитрий Валентинович</t>
  </si>
  <si>
    <t>79140893023</t>
  </si>
  <si>
    <t>sarancev.dmitriy@mail.ru</t>
  </si>
  <si>
    <t>3/1-12/096</t>
  </si>
  <si>
    <t>Григорян Сергей Гамлетович</t>
  </si>
  <si>
    <t>79370690740</t>
  </si>
  <si>
    <t>grigoryan_64@mail.ru</t>
  </si>
  <si>
    <t>3/1-02/007</t>
  </si>
  <si>
    <t>Бесов Андрей Владимирович</t>
  </si>
  <si>
    <t>79879142540</t>
  </si>
  <si>
    <t>andrei10051996@yandex.ru</t>
  </si>
  <si>
    <t>3/1-03/014</t>
  </si>
  <si>
    <t>Ахтямова Земфира Расыховна</t>
  </si>
  <si>
    <t>79277564371</t>
  </si>
  <si>
    <t>mif-81-81@mail.ru</t>
  </si>
  <si>
    <t>2/1-07/039</t>
  </si>
  <si>
    <t>Семенчук Дмитрий Владимирович</t>
  </si>
  <si>
    <t>79179407330</t>
  </si>
  <si>
    <t>dimancm@mail.ru</t>
  </si>
  <si>
    <t>3/2-04/227</t>
  </si>
  <si>
    <t>Смирнова Людмила Геннадьевна</t>
  </si>
  <si>
    <t>79277407778</t>
  </si>
  <si>
    <t>lovenikolai2012@yandex.ru</t>
  </si>
  <si>
    <t>3/4-12/597</t>
  </si>
  <si>
    <t>3/2-20/356</t>
  </si>
  <si>
    <t>Бешанин Иван Александрович</t>
  </si>
  <si>
    <t>79270169935</t>
  </si>
  <si>
    <t>donlost007@mail.ru</t>
  </si>
  <si>
    <t>3/5-10/708</t>
  </si>
  <si>
    <t>Игонина Анастасия Александровна</t>
  </si>
  <si>
    <t>79967436858</t>
  </si>
  <si>
    <t>Igonina6600@mail.ru</t>
  </si>
  <si>
    <t>Домострой</t>
  </si>
  <si>
    <t>3/1-09/064</t>
  </si>
  <si>
    <t>Ермончик Яна Игорьевна</t>
  </si>
  <si>
    <t>79270275185</t>
  </si>
  <si>
    <t>yanateacher@mail.ru</t>
  </si>
  <si>
    <t>2/2-10/258</t>
  </si>
  <si>
    <t>Фролов Сергей Юрьевич</t>
  </si>
  <si>
    <t>79874474783</t>
  </si>
  <si>
    <t>frolv.s@mail.ru</t>
  </si>
  <si>
    <t>3/4-02/512</t>
  </si>
  <si>
    <t>Мукальянц Татьяна Ивановна</t>
  </si>
  <si>
    <t>79278283438</t>
  </si>
  <si>
    <t>misha19745@rambler.ru</t>
  </si>
  <si>
    <t>3/5-07/679</t>
  </si>
  <si>
    <t>Полякова Марина Витальевна</t>
  </si>
  <si>
    <t>79270174325</t>
  </si>
  <si>
    <t>x_letter@mail.ru</t>
  </si>
  <si>
    <t>2/1-22/142</t>
  </si>
  <si>
    <t>Каськ Сергей Вячеславович</t>
  </si>
  <si>
    <t>79277004602</t>
  </si>
  <si>
    <t>kask92@mail.ru</t>
  </si>
  <si>
    <t>3/4-06/546</t>
  </si>
  <si>
    <t>Полякова Лидия Афанасьевна</t>
  </si>
  <si>
    <t>3/4-14/609</t>
  </si>
  <si>
    <t>Малицкий Павел Александрович</t>
  </si>
  <si>
    <t>79276871271</t>
  </si>
  <si>
    <t>Sheti@list.ru</t>
  </si>
  <si>
    <t>3/4-16/629</t>
  </si>
  <si>
    <t>Яшкина Кристина Анатольевна</t>
  </si>
  <si>
    <t>79370653688</t>
  </si>
  <si>
    <t>Tina154@mail.ru</t>
  </si>
  <si>
    <t>2/2-10/250</t>
  </si>
  <si>
    <t>Дудашвили Нузгари Нодарович</t>
  </si>
  <si>
    <t>79879818213</t>
  </si>
  <si>
    <t>Maruchakirina1993@mail.ru</t>
  </si>
  <si>
    <t>2/2-15/315</t>
  </si>
  <si>
    <t>Кашина Юлия Владимировна</t>
  </si>
  <si>
    <t>79990365233</t>
  </si>
  <si>
    <t>solnechnaya-yuliya@mail.ru</t>
  </si>
  <si>
    <t>3/5-08/688</t>
  </si>
  <si>
    <t>Карташева Наталья Наилевна</t>
  </si>
  <si>
    <t>79171454697</t>
  </si>
  <si>
    <t>natalirsu10@mail.ru</t>
  </si>
  <si>
    <t>3/1-06/042</t>
  </si>
  <si>
    <t>79379815455</t>
  </si>
  <si>
    <t>Antolob@yandex.ru</t>
  </si>
  <si>
    <t>Агентство недвижимости</t>
  </si>
  <si>
    <t>3/1-09/072</t>
  </si>
  <si>
    <t>Ардашева Наталья Владимировна</t>
  </si>
  <si>
    <t>79371787581</t>
  </si>
  <si>
    <t>Ardasheva.N.V@yandex.ru</t>
  </si>
  <si>
    <t>3/1-13/108</t>
  </si>
  <si>
    <t>3/2-10/279</t>
  </si>
  <si>
    <t>Тажиахмятов Дамир Сяитович</t>
  </si>
  <si>
    <t>79179410839</t>
  </si>
  <si>
    <t>Damir140usa@yandex.ru</t>
  </si>
  <si>
    <t>Риелторы</t>
  </si>
  <si>
    <t>3/6-06/872</t>
  </si>
  <si>
    <t>3/5-18/780</t>
  </si>
  <si>
    <t>Ваганова Марина Валентиновна</t>
  </si>
  <si>
    <t>79171609100</t>
  </si>
  <si>
    <t>marinavagan69@gmail.com</t>
  </si>
  <si>
    <t>3/6-04/851</t>
  </si>
  <si>
    <t>Малахова Наталья Васильевна</t>
  </si>
  <si>
    <t>79951318303</t>
  </si>
  <si>
    <t>a-krivo1@rambler.ru</t>
  </si>
  <si>
    <t>3/5-16/763</t>
  </si>
  <si>
    <t>Корнеев Евгений Александрович</t>
  </si>
  <si>
    <t>79963425483</t>
  </si>
  <si>
    <t>nktec1@gmail.com</t>
  </si>
  <si>
    <t>3/1-03/015</t>
  </si>
  <si>
    <t>Вишневская Елена Викторовна</t>
  </si>
  <si>
    <t>79272650552</t>
  </si>
  <si>
    <t>Vishnevskayaev63@gmail.com</t>
  </si>
  <si>
    <t>3/1-08/060</t>
  </si>
  <si>
    <t>Кутузов Денис Михайлович</t>
  </si>
  <si>
    <t>79176076331</t>
  </si>
  <si>
    <t>denis12345693@mail.ru</t>
  </si>
  <si>
    <t>3/4-15/619</t>
  </si>
  <si>
    <t>Никонова Оксана Сергеевна</t>
  </si>
  <si>
    <t>79277239773</t>
  </si>
  <si>
    <t>lebedeva163@mail.ru</t>
  </si>
  <si>
    <t>3/4-16/626</t>
  </si>
  <si>
    <t>Кашмина Оксана Анатольевна</t>
  </si>
  <si>
    <t>79277192967</t>
  </si>
  <si>
    <t>Kashminaoa095@mail.ru</t>
  </si>
  <si>
    <t>3/1-16/134</t>
  </si>
  <si>
    <t>Корнилова Елена Михайловна</t>
  </si>
  <si>
    <t>79277530656</t>
  </si>
  <si>
    <t>elenakornilova88@mail.ru</t>
  </si>
  <si>
    <t>2/2-05/196</t>
  </si>
  <si>
    <t>Волкова Людмила Николаевна</t>
  </si>
  <si>
    <t>79220554855</t>
  </si>
  <si>
    <t>ms.smile76@mail.ru</t>
  </si>
  <si>
    <t>3/3-16/509</t>
  </si>
  <si>
    <t>Лимина, Марина Сергеевна</t>
  </si>
  <si>
    <t>79608116106</t>
  </si>
  <si>
    <t>twix163@bk.ru</t>
  </si>
  <si>
    <t>3/3-15/501</t>
  </si>
  <si>
    <t>3/4-16/624</t>
  </si>
  <si>
    <t>Дмитриев Виталий Валентинович</t>
  </si>
  <si>
    <t>79878430848</t>
  </si>
  <si>
    <t>Vital1vitali@yandex.ru</t>
  </si>
  <si>
    <t>3/1-13/107</t>
  </si>
  <si>
    <t>Муромцева Мария Николаевна</t>
  </si>
  <si>
    <t>79276063005</t>
  </si>
  <si>
    <t>mariya200584@list.ru</t>
  </si>
  <si>
    <t>3/4-06/545</t>
  </si>
  <si>
    <t>Чалова Екатерина Васильевна</t>
  </si>
  <si>
    <t>79277989878</t>
  </si>
  <si>
    <t>ev7989878@gmail.com</t>
  </si>
  <si>
    <t>2/2-13/283</t>
  </si>
  <si>
    <t>Бреус Сергей Владимирович</t>
  </si>
  <si>
    <t>79276583475</t>
  </si>
  <si>
    <t>Sbrs@list.ru</t>
  </si>
  <si>
    <t>Домклик (витрина 1%)</t>
  </si>
  <si>
    <t>3/1-10/080</t>
  </si>
  <si>
    <t>Шалдыбина Ольга Николаевна</t>
  </si>
  <si>
    <t>79608303000</t>
  </si>
  <si>
    <t>Oshaldybina@rambler.ru</t>
  </si>
  <si>
    <t>3/1-09/071</t>
  </si>
  <si>
    <t>Малкин Юрий Владимирович</t>
  </si>
  <si>
    <t>79277441659</t>
  </si>
  <si>
    <t>supertones@yandex.ru</t>
  </si>
  <si>
    <t>3/1-12/092</t>
  </si>
  <si>
    <t>Белоусова Елена Николаевна</t>
  </si>
  <si>
    <t>79277460714</t>
  </si>
  <si>
    <t>Whiteleka@yandex.ru</t>
  </si>
  <si>
    <t>3/2-08/257</t>
  </si>
  <si>
    <t>Смирнова Марианна Алексеевна</t>
  </si>
  <si>
    <t>79371828973</t>
  </si>
  <si>
    <t>maslovamarianna13@gmail.com</t>
  </si>
  <si>
    <t>3/1-17/137</t>
  </si>
  <si>
    <t>Шуриева Айслу Мрзбаевна</t>
  </si>
  <si>
    <t>79376442747</t>
  </si>
  <si>
    <t>Ayslashes@yandex.ru</t>
  </si>
  <si>
    <t>3/2-04/230</t>
  </si>
  <si>
    <t>Титов Сергей Константинович</t>
  </si>
  <si>
    <t>79370697048</t>
  </si>
  <si>
    <t>sergej-titov-2019@mail.ru</t>
  </si>
  <si>
    <t>3/5-08/689</t>
  </si>
  <si>
    <t>Матина Ольга Викторовна</t>
  </si>
  <si>
    <t>79277126487</t>
  </si>
  <si>
    <t>yuriymatin@gmail.com</t>
  </si>
  <si>
    <t>3/1-07/053</t>
  </si>
  <si>
    <t>Денисова Екатерина Викторовна</t>
  </si>
  <si>
    <t>79270113895</t>
  </si>
  <si>
    <t>la_katarina.ssu.1993@mail.ru</t>
  </si>
  <si>
    <t>3/3-04/409</t>
  </si>
  <si>
    <t>Сафронов Василий Александрович</t>
  </si>
  <si>
    <t>79178248211</t>
  </si>
  <si>
    <t>natalja85@mail.ru</t>
  </si>
  <si>
    <t>3/3-12/477</t>
  </si>
  <si>
    <t>Иванова Ольга Викторовна</t>
  </si>
  <si>
    <t>79224293766</t>
  </si>
  <si>
    <t>O.vivanova@yandex.ru</t>
  </si>
  <si>
    <t>Домклик (витрина)</t>
  </si>
  <si>
    <t>3/1-06/045</t>
  </si>
  <si>
    <t>Башева Ирина Николаевна</t>
  </si>
  <si>
    <t>79879133753</t>
  </si>
  <si>
    <t>bashevairina69@mail.ru</t>
  </si>
  <si>
    <t>3/5-05/663</t>
  </si>
  <si>
    <t>Прокопьева Ольга Владимировна</t>
  </si>
  <si>
    <t>79631170969</t>
  </si>
  <si>
    <t>olga.prokopeva.80@bk.ru</t>
  </si>
  <si>
    <t>3/4-16/630</t>
  </si>
  <si>
    <t>Головкин Юрий Викторович</t>
  </si>
  <si>
    <t>79821761795</t>
  </si>
  <si>
    <t>golovkinurij046@gmail.com</t>
  </si>
  <si>
    <t>3/3-08/446</t>
  </si>
  <si>
    <t>Папп Владислав Викторович</t>
  </si>
  <si>
    <t>79374050182</t>
  </si>
  <si>
    <t>PappVV@velesstroy.com</t>
  </si>
  <si>
    <t>3/1-15/122</t>
  </si>
  <si>
    <t>Котрухов Валерий Анатольевич</t>
  </si>
  <si>
    <t>79171041043</t>
  </si>
  <si>
    <t>denis9226@mail.ru</t>
  </si>
  <si>
    <t>3/3-04/415</t>
  </si>
  <si>
    <t>Солдатенков Иван Андреевич</t>
  </si>
  <si>
    <t>79677689172</t>
  </si>
  <si>
    <t>Soldatenkov.ivan111@gmail.com</t>
  </si>
  <si>
    <t>3/3-08/441</t>
  </si>
  <si>
    <t>Семёнов Владимир Андреевич</t>
  </si>
  <si>
    <t>79371828489</t>
  </si>
  <si>
    <t>vova.semenov98@mail.ru</t>
  </si>
  <si>
    <t>3/6-02/833</t>
  </si>
  <si>
    <t>Коссе Евгений Александрович</t>
  </si>
  <si>
    <t>79376997106</t>
  </si>
  <si>
    <t>k2019evgenij@gmail.com</t>
  </si>
  <si>
    <t>2/1-15/097</t>
  </si>
  <si>
    <t>Марданова Елена Генадьевна</t>
  </si>
  <si>
    <t>79370778277</t>
  </si>
  <si>
    <t>timur79555@gmail.com</t>
  </si>
  <si>
    <t>3/1-05/036</t>
  </si>
  <si>
    <t>Стоянова Вера Дмитриевна</t>
  </si>
  <si>
    <t>vera300158@yandex.ru</t>
  </si>
  <si>
    <t>3/1-10/076</t>
  </si>
  <si>
    <t>Асмолова Ирина Константиновна</t>
  </si>
  <si>
    <t>79262599999</t>
  </si>
  <si>
    <t>dr.irina-asmolova@gmail.com</t>
  </si>
  <si>
    <t>3/4-10/582</t>
  </si>
  <si>
    <t>Мантров Олег Геннадьевич</t>
  </si>
  <si>
    <t>79276073113</t>
  </si>
  <si>
    <t>mantrovaegenia@yandex.ru</t>
  </si>
  <si>
    <t>3/2-21/364</t>
  </si>
  <si>
    <t>Давыденко Евгений Александрович</t>
  </si>
  <si>
    <t>79125357778</t>
  </si>
  <si>
    <t>eadavydenko@sib.rosneft.ru</t>
  </si>
  <si>
    <t>3/1-05/028</t>
  </si>
  <si>
    <t>Жерельева Лиана Марсельевна</t>
  </si>
  <si>
    <t>79501843245</t>
  </si>
  <si>
    <t>lyho95@mail.ru</t>
  </si>
  <si>
    <t>3/5-22/811</t>
  </si>
  <si>
    <t>Дерков Андрей Геннадьевич</t>
  </si>
  <si>
    <t>79228884777</t>
  </si>
  <si>
    <t>Aderkov@yandex.ru</t>
  </si>
  <si>
    <t>3/3-07/433</t>
  </si>
  <si>
    <t>Найденко Екатерина Викторовна</t>
  </si>
  <si>
    <t>79871669896</t>
  </si>
  <si>
    <t>Katay19892008@mail.ru</t>
  </si>
  <si>
    <t>3/1-05/035</t>
  </si>
  <si>
    <t>Мулендеева Лариса Николаевна</t>
  </si>
  <si>
    <t>79608083608</t>
  </si>
  <si>
    <t>Muln@mail.ru</t>
  </si>
  <si>
    <t>2/1-22/144</t>
  </si>
  <si>
    <t>Одиноков Алексей Викторович</t>
  </si>
  <si>
    <t>79277127127</t>
  </si>
  <si>
    <t>odinokovav@gmail.com</t>
  </si>
  <si>
    <t>3/4-02/513</t>
  </si>
  <si>
    <t>Мещерякова Анастасия Владимировна</t>
  </si>
  <si>
    <t>79270037630</t>
  </si>
  <si>
    <t>anastasijameserakova2020@gmail.com</t>
  </si>
  <si>
    <t>3/3-03/404</t>
  </si>
  <si>
    <t>3/2-03/220</t>
  </si>
  <si>
    <t>2/2-10/251</t>
  </si>
  <si>
    <t>Мумбер Елена Ильинична</t>
  </si>
  <si>
    <t>79276086894</t>
  </si>
  <si>
    <t>mumber@inbox.ru</t>
  </si>
  <si>
    <t>2/2-15/308</t>
  </si>
  <si>
    <t>Альферович Александр Андреевич</t>
  </si>
  <si>
    <t>79058241267</t>
  </si>
  <si>
    <t>Alferovich89@gmail.com</t>
  </si>
  <si>
    <t>3/1-12/098</t>
  </si>
  <si>
    <t>3/3-03/401</t>
  </si>
  <si>
    <t>Гусаров Андрей Александрович</t>
  </si>
  <si>
    <t>79871564066</t>
  </si>
  <si>
    <t>iraiola.apneka@yandex.ru</t>
  </si>
  <si>
    <t>3/4-09/571</t>
  </si>
  <si>
    <t>Столярова Полина Юрьевна</t>
  </si>
  <si>
    <t>79276935536</t>
  </si>
  <si>
    <t>3/4-12/593</t>
  </si>
  <si>
    <t>Судариков Александр Владимирович</t>
  </si>
  <si>
    <t>79377971454</t>
  </si>
  <si>
    <t>sudarikova1978@mail.ru</t>
  </si>
  <si>
    <t>3/1-14/114</t>
  </si>
  <si>
    <t>Курбангулов Ильшат Явдатович</t>
  </si>
  <si>
    <t>79171565292</t>
  </si>
  <si>
    <t>Guz_el@mail.ru</t>
  </si>
  <si>
    <t>Семейная ипотека</t>
  </si>
  <si>
    <t>3/3-11/467</t>
  </si>
  <si>
    <t>Поротькина Ирина Вячеславовна</t>
  </si>
  <si>
    <t>79270091588</t>
  </si>
  <si>
    <t>irina109@mail.ru</t>
  </si>
  <si>
    <t>3/3-09/453</t>
  </si>
  <si>
    <t>Деханова Ольга Сергеевна</t>
  </si>
  <si>
    <t>79678942854</t>
  </si>
  <si>
    <t>Dehanova-olga@mail.ru</t>
  </si>
  <si>
    <t>3/1-09/069</t>
  </si>
  <si>
    <t>Абитаева Рамиля Рашатовна</t>
  </si>
  <si>
    <t>79371762105</t>
  </si>
  <si>
    <t>aditaeva1981@gmail.com</t>
  </si>
  <si>
    <t>3/2-15/315</t>
  </si>
  <si>
    <t>Лазарева Ксения Дмитриевна</t>
  </si>
  <si>
    <t>79277500356</t>
  </si>
  <si>
    <t>fil110798@mail.ru</t>
  </si>
  <si>
    <t>3/3-05/419</t>
  </si>
  <si>
    <t>Ливанова Лариса Вячеславовна</t>
  </si>
  <si>
    <t>79272097475</t>
  </si>
  <si>
    <t>Livanov-an@mail.ru</t>
  </si>
  <si>
    <t>3/1-14/109</t>
  </si>
  <si>
    <t>Костанян Мамикон Каренович</t>
  </si>
  <si>
    <t>79879224474</t>
  </si>
  <si>
    <t>mamikon_7@mail.ru</t>
  </si>
  <si>
    <t>3/5-20/794</t>
  </si>
  <si>
    <t>Колмычкова Галина Валентиновна</t>
  </si>
  <si>
    <t>79879290463</t>
  </si>
  <si>
    <t>galka270384@mail.ru</t>
  </si>
  <si>
    <t>2/1-24/159</t>
  </si>
  <si>
    <t>Алешина Елена Борисовна</t>
  </si>
  <si>
    <t>79276582819</t>
  </si>
  <si>
    <t>lovelorn_191@mail.ru</t>
  </si>
  <si>
    <t>3/1-13/104</t>
  </si>
  <si>
    <t>Полякова Татьяна Александровна</t>
  </si>
  <si>
    <t>79277294773</t>
  </si>
  <si>
    <t>Tatyana_polyakova_85_85@mail.ru</t>
  </si>
  <si>
    <t>3/1-11/087</t>
  </si>
  <si>
    <t>Кобелян Наира Хачиковна</t>
  </si>
  <si>
    <t>79874392728</t>
  </si>
  <si>
    <t>tcogik.21@mail.ru</t>
  </si>
  <si>
    <t>3/1-16/128</t>
  </si>
  <si>
    <t>Винокуров Сергей Александрович</t>
  </si>
  <si>
    <t>79297076216</t>
  </si>
  <si>
    <t>sv-prac-kamaz@mail.ru</t>
  </si>
  <si>
    <t>3/2-10/275</t>
  </si>
  <si>
    <t>Каюкова Анастасия Олеговна</t>
  </si>
  <si>
    <t>78462796107</t>
  </si>
  <si>
    <t>Kayukovata@mail.ru</t>
  </si>
  <si>
    <t>3/1-04/025</t>
  </si>
  <si>
    <t>Салманов Кирилл Геннадьевич</t>
  </si>
  <si>
    <t>79371874558</t>
  </si>
  <si>
    <t>As.atelier2016@gmail.com</t>
  </si>
  <si>
    <t>3/2-07/249</t>
  </si>
  <si>
    <t>Исмайлова Екатерина Олеговна</t>
  </si>
  <si>
    <t>79871625117</t>
  </si>
  <si>
    <t>Ismylova999@mail.ru</t>
  </si>
  <si>
    <t>3/3-14/491</t>
  </si>
  <si>
    <t>Тарабарова Марина Анатольевна</t>
  </si>
  <si>
    <t>79277170487</t>
  </si>
  <si>
    <t>savelieva1977@yandex.ru</t>
  </si>
  <si>
    <t>3/2-07/251</t>
  </si>
  <si>
    <t>Котова Любовь Борисовна</t>
  </si>
  <si>
    <t>79198164412</t>
  </si>
  <si>
    <t>kotova011964@gmail.com</t>
  </si>
  <si>
    <t>3/3-03/405</t>
  </si>
  <si>
    <t>Кадауб Даниял Маннепович</t>
  </si>
  <si>
    <t>79272993635</t>
  </si>
  <si>
    <t>Gulnara.isabekova@mail.ru</t>
  </si>
  <si>
    <t>2/2-15/305</t>
  </si>
  <si>
    <t>Сафонова Людмила Юрьевна</t>
  </si>
  <si>
    <t>79171565888</t>
  </si>
  <si>
    <t>89171565888@mail.ru</t>
  </si>
  <si>
    <t>2/2-07/225</t>
  </si>
  <si>
    <t>Семкин Александр Александрович</t>
  </si>
  <si>
    <t>79871601412</t>
  </si>
  <si>
    <t>nastika8899@list.ru</t>
  </si>
  <si>
    <t>3/1-09/065</t>
  </si>
  <si>
    <t>Никитина Марина Викторовна</t>
  </si>
  <si>
    <t>79272143252</t>
  </si>
  <si>
    <t>niki_marine@mail.ru</t>
  </si>
  <si>
    <t>2/1-16/100</t>
  </si>
  <si>
    <t>Круткин Николай Геннадьевич</t>
  </si>
  <si>
    <t>79277324570</t>
  </si>
  <si>
    <t>krutrin@mail.ru</t>
  </si>
  <si>
    <t>Цена по фактическим обмерам. Клиент Без доплат</t>
  </si>
  <si>
    <t>2/2-11/261</t>
  </si>
  <si>
    <t>Черцов Юрий Юрьевич</t>
  </si>
  <si>
    <t>79021535084</t>
  </si>
  <si>
    <t>Andre.c@mail.ru</t>
  </si>
  <si>
    <t>3/1-14/111</t>
  </si>
  <si>
    <t>Пушин Дмитрий Владимирович</t>
  </si>
  <si>
    <t>79277246862</t>
  </si>
  <si>
    <t>mityapuschin@yandex.ru</t>
  </si>
  <si>
    <t>Скидка 4% на 4к</t>
  </si>
  <si>
    <t>3/5-17/768</t>
  </si>
  <si>
    <t>Хачатуров Эдуард Андраникович</t>
  </si>
  <si>
    <t>79277504870</t>
  </si>
  <si>
    <t>hachaturovea85@icloud.com</t>
  </si>
  <si>
    <t>3/2-09/266</t>
  </si>
  <si>
    <t>Мироненко Елена Леонидовна</t>
  </si>
  <si>
    <t>79379819807</t>
  </si>
  <si>
    <t>milovica-kz@mail.ru</t>
  </si>
  <si>
    <t>2/2-15/314</t>
  </si>
  <si>
    <t>Мухатьянова Сагиля Танышпайевна</t>
  </si>
  <si>
    <t>79269048081</t>
  </si>
  <si>
    <t>Sagily@mail.ru</t>
  </si>
  <si>
    <t>3/1-05/033</t>
  </si>
  <si>
    <t>Гогорян Паруйр Степанович</t>
  </si>
  <si>
    <t>79370724701</t>
  </si>
  <si>
    <t>Lusinar-92@mail.ru</t>
  </si>
  <si>
    <t>3/5-23/820</t>
  </si>
  <si>
    <t>Буренкова Елизавета Вячеславовна</t>
  </si>
  <si>
    <t>79295051729</t>
  </si>
  <si>
    <t>elenabur0875@yandex.ru</t>
  </si>
  <si>
    <t>3/5-13/732</t>
  </si>
  <si>
    <t>Стрелкин Александр Сергеевич</t>
  </si>
  <si>
    <t>79276913003</t>
  </si>
  <si>
    <t>strelkin.1998@yandex.ru</t>
  </si>
  <si>
    <t>3/5-10/710</t>
  </si>
  <si>
    <t>Мамедова Айтен Шохрат Кзы</t>
  </si>
  <si>
    <t>79277377337</t>
  </si>
  <si>
    <t>Ajtenmamedova308@gmail.com</t>
  </si>
  <si>
    <t>2/1-24/160</t>
  </si>
  <si>
    <t>Умнов, Виталий Викторович</t>
  </si>
  <si>
    <t>79277090569</t>
  </si>
  <si>
    <t>lola.savchuk@yandex.ru</t>
  </si>
  <si>
    <t>3/1-08/056</t>
  </si>
  <si>
    <t>Давыдова Ольга Анатольевна</t>
  </si>
  <si>
    <t>79276905511</t>
  </si>
  <si>
    <t>devid446ss@gmail.com</t>
  </si>
  <si>
    <t>3/1-17/138</t>
  </si>
  <si>
    <t>Воронова Наталья Николаевна</t>
  </si>
  <si>
    <t>79270026202</t>
  </si>
  <si>
    <t>nkodolova@mail.ru</t>
  </si>
  <si>
    <t>Поддержка от застройщика 2022</t>
  </si>
  <si>
    <t>3/1-10/078</t>
  </si>
  <si>
    <t>Папанов Вячеслав Юрьевич</t>
  </si>
  <si>
    <t>79397551205</t>
  </si>
  <si>
    <t>papanov.s@gmail.com</t>
  </si>
  <si>
    <t>3/2-10/278</t>
  </si>
  <si>
    <t>Карян Давид Жораевич</t>
  </si>
  <si>
    <t>79276550258</t>
  </si>
  <si>
    <t>dkaryan58@mail.ru</t>
  </si>
  <si>
    <t>3/2-05/235</t>
  </si>
  <si>
    <t>Савенкова Екатерина Борисовна</t>
  </si>
  <si>
    <t>79196456151</t>
  </si>
  <si>
    <t>savenkovakat82@yandex.ru</t>
  </si>
  <si>
    <t>3/2-03/222</t>
  </si>
  <si>
    <t>Конаныхин Алексей Юрьевич</t>
  </si>
  <si>
    <t>79093231551</t>
  </si>
  <si>
    <t>vip.saw1988@mail.ru</t>
  </si>
  <si>
    <t>3/4-05/536</t>
  </si>
  <si>
    <t>79277055147</t>
  </si>
  <si>
    <t>dim.vildanov@mail.ru</t>
  </si>
  <si>
    <t>3/2-22/372</t>
  </si>
  <si>
    <t>Климачева Екатерина Сергеевна</t>
  </si>
  <si>
    <t>79370284299</t>
  </si>
  <si>
    <t>klimacheva_yekaterina@mail.ru</t>
  </si>
  <si>
    <t>3/5-08/691</t>
  </si>
  <si>
    <t>Кучкаров Музаффар Муродович</t>
  </si>
  <si>
    <t>79170388917</t>
  </si>
  <si>
    <t>muzaffarkuchkarov@mail.ru</t>
  </si>
  <si>
    <t>2/1-02/003</t>
  </si>
  <si>
    <t>Седельников Александр Геннадьевич</t>
  </si>
  <si>
    <t>79372050607</t>
  </si>
  <si>
    <t>89372050607@mail.ru</t>
  </si>
  <si>
    <t>2/2-02/164</t>
  </si>
  <si>
    <t>3/1-08/055</t>
  </si>
  <si>
    <t>Субочев Владимир Владимирович</t>
  </si>
  <si>
    <t>79212841015</t>
  </si>
  <si>
    <t>subochevvolodimir@yandex.ru</t>
  </si>
  <si>
    <t>2/1-24/157</t>
  </si>
  <si>
    <t>2/1-24/161</t>
  </si>
  <si>
    <t>2/2-02/170</t>
  </si>
  <si>
    <t>2/2-05/195</t>
  </si>
  <si>
    <t>IT</t>
  </si>
  <si>
    <t>3/5-07/683</t>
  </si>
  <si>
    <t>Горшкова Елена Александровна</t>
  </si>
  <si>
    <t>79272077057</t>
  </si>
  <si>
    <t>gorshkovae@mail.ru</t>
  </si>
  <si>
    <t>3/4-07/553</t>
  </si>
  <si>
    <t>3/5-06/670</t>
  </si>
  <si>
    <t>Михайлюк Ольга Сергеевна</t>
  </si>
  <si>
    <t>79131640257</t>
  </si>
  <si>
    <t>mixajlyuk59@bk.ru</t>
  </si>
  <si>
    <t>3/3-16/506</t>
  </si>
  <si>
    <t>3/1-19/159</t>
  </si>
  <si>
    <t>Окунев Алексей Леонидович</t>
  </si>
  <si>
    <t>79277323945</t>
  </si>
  <si>
    <t>okunev.alexey13@yandex.ru</t>
  </si>
  <si>
    <t>3/5-21/803</t>
  </si>
  <si>
    <t>Лизунов Владимир Юрьевич</t>
  </si>
  <si>
    <t>79272036322</t>
  </si>
  <si>
    <t>alfimovanastya@mail.ru</t>
  </si>
  <si>
    <t>3/1-15/120</t>
  </si>
  <si>
    <t>Яшина Марина Ивановна</t>
  </si>
  <si>
    <t>79276599494</t>
  </si>
  <si>
    <t>elena_feizikova@mail.ru</t>
  </si>
  <si>
    <t>3/1-02/009</t>
  </si>
  <si>
    <t>3/1-05/029</t>
  </si>
  <si>
    <t>Хамзин Дамир Наильевич</t>
  </si>
  <si>
    <t>79272947684</t>
  </si>
  <si>
    <t>Vault797@gmail.com</t>
  </si>
  <si>
    <t>2/1-16/101</t>
  </si>
  <si>
    <t>Шлыкова Елена Викторовна</t>
  </si>
  <si>
    <t>79879019168</t>
  </si>
  <si>
    <t>yellow-964@mail.ru</t>
  </si>
  <si>
    <t>3/5-12/724</t>
  </si>
  <si>
    <t>Гондрабура Ольга Владимировна</t>
  </si>
  <si>
    <t>79228237994</t>
  </si>
  <si>
    <t>olga.gondrabura@yandex.ru</t>
  </si>
  <si>
    <t>3/1-06/038</t>
  </si>
  <si>
    <t>Лопатюк Яна Владимировна</t>
  </si>
  <si>
    <t>79021860169</t>
  </si>
  <si>
    <t>Yana-l@nwc-g.com</t>
  </si>
  <si>
    <t>3/6-09/895</t>
  </si>
  <si>
    <t>Степанян Сатеник Татуловна</t>
  </si>
  <si>
    <t>79879482872</t>
  </si>
  <si>
    <t>satstepanyan28@gmail.com</t>
  </si>
  <si>
    <t>3/2-24/386</t>
  </si>
  <si>
    <t>Аникина Наталья Александровна</t>
  </si>
  <si>
    <t>79270000744</t>
  </si>
  <si>
    <t>pobeda_kriss@mail.ru</t>
  </si>
  <si>
    <t>3/1-22/185</t>
  </si>
  <si>
    <t>pavlicenkomaria99@gmail.com</t>
  </si>
  <si>
    <t>3/1-11/082</t>
  </si>
  <si>
    <t>Мендгазиева Айжана Токтарбаевна</t>
  </si>
  <si>
    <t>79179534153</t>
  </si>
  <si>
    <t>aishanamyxa@mail.ru</t>
  </si>
  <si>
    <t>3/1-10/073</t>
  </si>
  <si>
    <t>Хусаинов Рифат Асхатович</t>
  </si>
  <si>
    <t>79171093350</t>
  </si>
  <si>
    <t>Logrifat@gmail.com</t>
  </si>
  <si>
    <t>3/1-11/089</t>
  </si>
  <si>
    <t>Малышева Надежда Викторовна</t>
  </si>
  <si>
    <t>79276179383</t>
  </si>
  <si>
    <t>malyschewa.nadezhda@yandex.ru</t>
  </si>
  <si>
    <t>3/6-05/858</t>
  </si>
  <si>
    <t>Кулаев Петр Николаевич</t>
  </si>
  <si>
    <t>79228874021</t>
  </si>
  <si>
    <t>tania.ilyin@yandex.ru</t>
  </si>
  <si>
    <t>Н - Новая жизнь</t>
  </si>
  <si>
    <t>3/6-08/887</t>
  </si>
  <si>
    <t>Акимова Надежда Александровна</t>
  </si>
  <si>
    <t>79370626884</t>
  </si>
  <si>
    <t>nadya.akimova.2016@mail.ru</t>
  </si>
  <si>
    <t>3/6-05/860</t>
  </si>
  <si>
    <t>Маркова Светлана Геннадьевна</t>
  </si>
  <si>
    <t>79376529539</t>
  </si>
  <si>
    <t>smarkowa@gmail.com</t>
  </si>
  <si>
    <t>2/1-07/041</t>
  </si>
  <si>
    <t>Карчевская Ирина Александровна</t>
  </si>
  <si>
    <t>79063441334</t>
  </si>
  <si>
    <t>karchevskaya.GN@yandex.ru</t>
  </si>
  <si>
    <t>3/4-13/600</t>
  </si>
  <si>
    <t>Казимов Виктор Владимирович</t>
  </si>
  <si>
    <t>79642445650</t>
  </si>
  <si>
    <t>KAZIMOV174RUS@MAIL.RU</t>
  </si>
  <si>
    <t>4/1-15/111</t>
  </si>
  <si>
    <t>2679057@mail.ru</t>
  </si>
  <si>
    <t>Первый ДДУ дом 4</t>
  </si>
  <si>
    <t>4/3-13/324</t>
  </si>
  <si>
    <t>Ядрышникова Людмила Ивановна</t>
  </si>
  <si>
    <t>79222555198</t>
  </si>
  <si>
    <t>11.02.85@mail.ru</t>
  </si>
  <si>
    <t>4/3-11/310</t>
  </si>
  <si>
    <t>Шайкин Александр Александрович</t>
  </si>
  <si>
    <t>79171133320</t>
  </si>
  <si>
    <t>1q2w3e_56@mail.ru</t>
  </si>
  <si>
    <t>4/2-03/134</t>
  </si>
  <si>
    <t>Павлов Дмитрий Васильевич</t>
  </si>
  <si>
    <t>79196469008</t>
  </si>
  <si>
    <t>pv.dmitry@mail.ru</t>
  </si>
  <si>
    <t>4/3-14/331</t>
  </si>
  <si>
    <t>Шайкиева Римма Ришатовна</t>
  </si>
  <si>
    <t>79371748843</t>
  </si>
  <si>
    <t>Sh.rimmochka@yandex.ru</t>
  </si>
  <si>
    <t>4/1-03/016</t>
  </si>
  <si>
    <t>Огудин Юрий Владимирович</t>
  </si>
  <si>
    <t>79871508939</t>
  </si>
  <si>
    <t>ogudin@mail.ru</t>
  </si>
  <si>
    <t>3/6-08/885</t>
  </si>
  <si>
    <t>Уланов Валерий Николаевич</t>
  </si>
  <si>
    <t>79277029949</t>
  </si>
  <si>
    <t>serzh.ulanov.1980@mail.ru</t>
  </si>
  <si>
    <t>4/2-02/128</t>
  </si>
  <si>
    <t>4/1-13/095</t>
  </si>
  <si>
    <t>dmitri56110683@gmail.com</t>
  </si>
  <si>
    <t>4/3-16/345</t>
  </si>
  <si>
    <t>Польская Екатерина Ильинична</t>
  </si>
  <si>
    <t>79271436528</t>
  </si>
  <si>
    <t>pei_05@mail.ru</t>
  </si>
  <si>
    <t>4/3-08/289</t>
  </si>
  <si>
    <t>Черников Вячеслав Викторович</t>
  </si>
  <si>
    <t>79179501367</t>
  </si>
  <si>
    <t>maria4cher14@gmail.com</t>
  </si>
  <si>
    <t>4/2-06/155</t>
  </si>
  <si>
    <t>Курбанова Равзат Мусаевна</t>
  </si>
  <si>
    <t>79656666762</t>
  </si>
  <si>
    <t>Roma.kurbanov.800@mail.ru</t>
  </si>
  <si>
    <t>4/1-04/024</t>
  </si>
  <si>
    <t>Мельникова Евгения Александровна</t>
  </si>
  <si>
    <t>79270017633</t>
  </si>
  <si>
    <t>venera-star@mail.ru</t>
  </si>
  <si>
    <t>4/2-04/137</t>
  </si>
  <si>
    <t>Нестерова Ирина Александровна</t>
  </si>
  <si>
    <t>79276919364</t>
  </si>
  <si>
    <t>snesterova39@gmail.com</t>
  </si>
  <si>
    <t>4/3-05/268</t>
  </si>
  <si>
    <t>Нагорная Татьяна Александровна</t>
  </si>
  <si>
    <t>79277278681</t>
  </si>
  <si>
    <t>nagornay21@gmail.com</t>
  </si>
  <si>
    <t>4/2-05/145</t>
  </si>
  <si>
    <t>Клинов Дмитрий Дмитриевич</t>
  </si>
  <si>
    <t>79879056789</t>
  </si>
  <si>
    <t>Rockstar7@yandex.ru</t>
  </si>
  <si>
    <t>4/1-02/008</t>
  </si>
  <si>
    <t>79270121103</t>
  </si>
  <si>
    <t>khamirova36@gmail.com</t>
  </si>
  <si>
    <t>4/3-09/296</t>
  </si>
  <si>
    <t>Потапенко Илья Михайлович</t>
  </si>
  <si>
    <t>79019435364</t>
  </si>
  <si>
    <t>il.potapenko3227@gmail.com</t>
  </si>
  <si>
    <t>4/3-17/349</t>
  </si>
  <si>
    <t>Домклик</t>
  </si>
  <si>
    <t>Мухопад Нина Геннадьевна</t>
  </si>
  <si>
    <t>79879429502</t>
  </si>
  <si>
    <t>nin.muhopad@gmail.com</t>
  </si>
  <si>
    <t>К-137</t>
  </si>
  <si>
    <t>Город</t>
  </si>
  <si>
    <t>ДЕПАРТАМЕНТ УПРАВЛЕНИЯ ИМУЩЕСТВОМ ГОРОДСКОГО ОКРУГА САМАРА</t>
  </si>
  <si>
    <t>ано под город</t>
  </si>
  <si>
    <t>Передано под город</t>
  </si>
  <si>
    <t>К-103</t>
  </si>
  <si>
    <t>К-105</t>
  </si>
  <si>
    <t>К-107</t>
  </si>
  <si>
    <t>К-108</t>
  </si>
  <si>
    <t>К-109</t>
  </si>
  <si>
    <t>К-110</t>
  </si>
  <si>
    <t>К-111</t>
  </si>
  <si>
    <t>К-112</t>
  </si>
  <si>
    <t>К-113</t>
  </si>
  <si>
    <t>К-114</t>
  </si>
  <si>
    <t>К-115</t>
  </si>
  <si>
    <t>К-116</t>
  </si>
  <si>
    <t>К-117</t>
  </si>
  <si>
    <t>К-118</t>
  </si>
  <si>
    <t>К-119</t>
  </si>
  <si>
    <t>К-120</t>
  </si>
  <si>
    <t>К-121</t>
  </si>
  <si>
    <t>К-122</t>
  </si>
  <si>
    <t>К-123</t>
  </si>
  <si>
    <t>К-124</t>
  </si>
  <si>
    <t>К-125</t>
  </si>
  <si>
    <t>К-126</t>
  </si>
  <si>
    <t>К-127</t>
  </si>
  <si>
    <t>К-128</t>
  </si>
  <si>
    <t>К-129</t>
  </si>
  <si>
    <t>К-130</t>
  </si>
  <si>
    <t>К-131</t>
  </si>
  <si>
    <t>К-132</t>
  </si>
  <si>
    <t>К-133</t>
  </si>
  <si>
    <t>К-134</t>
  </si>
  <si>
    <t>К-135</t>
  </si>
  <si>
    <t>4/3-07/282</t>
  </si>
  <si>
    <t>Кульмаметова Зульфия Анваровна</t>
  </si>
  <si>
    <t>79277216252</t>
  </si>
  <si>
    <t>kammfc@mail.ru</t>
  </si>
  <si>
    <t>4/1-03/015</t>
  </si>
  <si>
    <t>Оликова Ольга Юрьевна</t>
  </si>
  <si>
    <t>79270167705</t>
  </si>
  <si>
    <t>Olikov.03@mail.ru</t>
  </si>
  <si>
    <t>3/1-16/130</t>
  </si>
  <si>
    <t>Усманов Ильсаф Ансафович</t>
  </si>
  <si>
    <t>79510619129</t>
  </si>
  <si>
    <t>usmanovilsaf@yandex.ru</t>
  </si>
  <si>
    <t>3/1-11/085</t>
  </si>
  <si>
    <t>79325468086</t>
  </si>
  <si>
    <t>popovaSM333@mail.ru</t>
  </si>
  <si>
    <t>4/1-11/077</t>
  </si>
  <si>
    <t>Петрова Юлия Владимировна</t>
  </si>
  <si>
    <t>79179555284</t>
  </si>
  <si>
    <t>kat-ti76@mail.ru</t>
  </si>
  <si>
    <t>2/2-07/219</t>
  </si>
  <si>
    <t>Халидов Зейнал Джангирович</t>
  </si>
  <si>
    <t>79370618858</t>
  </si>
  <si>
    <t>Xalidovz@mail.ru</t>
  </si>
  <si>
    <t>4/2-05/147</t>
  </si>
  <si>
    <t>Пирогов Юрий Сергеевич</t>
  </si>
  <si>
    <t>79276022928</t>
  </si>
  <si>
    <t>y.s.pirogov@mail.ru</t>
  </si>
  <si>
    <t>3/1-09/066</t>
  </si>
  <si>
    <t>Чапаева Альбина Ряхимовна</t>
  </si>
  <si>
    <t>79019425256</t>
  </si>
  <si>
    <t>tata2810@mail.ru</t>
  </si>
  <si>
    <t>Онлайн бронирование</t>
  </si>
  <si>
    <t>4/3-15/338</t>
  </si>
  <si>
    <t>Камаева Лилия Рашитовна</t>
  </si>
  <si>
    <t>79379955848</t>
  </si>
  <si>
    <t>Lika88-rash@mail.ru</t>
  </si>
  <si>
    <t>4/3-06/271</t>
  </si>
  <si>
    <t>Смирнова Татьяна Юрьевна</t>
  </si>
  <si>
    <t>79277462775</t>
  </si>
  <si>
    <t>smirnova.tat60@list.ru</t>
  </si>
  <si>
    <t>4/2-11/195</t>
  </si>
  <si>
    <t>Солодилова Елена Сергеевна</t>
  </si>
  <si>
    <t>79879126040</t>
  </si>
  <si>
    <t>lenok_kz93@mail.ru</t>
  </si>
  <si>
    <t>4/3-06/275</t>
  </si>
  <si>
    <t>4/2-04/141</t>
  </si>
  <si>
    <t>Подсохина Ольга Анатольевна</t>
  </si>
  <si>
    <t>79279036998</t>
  </si>
  <si>
    <t>ol.bxgg@mail.ru</t>
  </si>
  <si>
    <t>3/1-11/083</t>
  </si>
  <si>
    <t>Якупова Гузелия Ислямовна</t>
  </si>
  <si>
    <t>79397552669</t>
  </si>
  <si>
    <t>yakupova_1597@mail.ru</t>
  </si>
  <si>
    <t>4/4-13/506</t>
  </si>
  <si>
    <t>Хомчук Владимир Михайлович</t>
  </si>
  <si>
    <t>79967383722</t>
  </si>
  <si>
    <t>ilinykh.e.o@gmail.com</t>
  </si>
  <si>
    <t>2/1-04/017</t>
  </si>
  <si>
    <t>Стрельников Василий Николаевич</t>
  </si>
  <si>
    <t>79271629340</t>
  </si>
  <si>
    <t>svn_2010@mail.ru</t>
  </si>
  <si>
    <t>4/3-13/322</t>
  </si>
  <si>
    <t>Акимова, Оксана Владимировна</t>
  </si>
  <si>
    <t>79053042142</t>
  </si>
  <si>
    <t>oksana.akimova1977@gmail.com</t>
  </si>
  <si>
    <t>3/5-15/751</t>
  </si>
  <si>
    <t>Климашов Илья Вячеславович</t>
  </si>
  <si>
    <t>79272136605</t>
  </si>
  <si>
    <t>ivklimashov@mail.ru</t>
  </si>
  <si>
    <t>4/3-03/248</t>
  </si>
  <si>
    <t>Кинжигалиева Зауре Дуйсембаевна</t>
  </si>
  <si>
    <t>79170114446</t>
  </si>
  <si>
    <t>Zau_2011@mail.ru</t>
  </si>
  <si>
    <t>3/5-02/635</t>
  </si>
  <si>
    <t>Зайцева Мария Владимировна</t>
  </si>
  <si>
    <t>79277173568</t>
  </si>
  <si>
    <t>mzaj@rambler.ru</t>
  </si>
  <si>
    <t>3/1-07/047</t>
  </si>
  <si>
    <t>Кириченко Татьяна Сергеевна</t>
  </si>
  <si>
    <t>79324113241</t>
  </si>
  <si>
    <t>kirichenkots@yandex.ru</t>
  </si>
  <si>
    <t>3/6-05/866</t>
  </si>
  <si>
    <t>Шульгин Тихон Владимирович</t>
  </si>
  <si>
    <t>79198069174</t>
  </si>
  <si>
    <t>tihon163@gmail.com</t>
  </si>
  <si>
    <t>К-104</t>
  </si>
  <si>
    <t>К-106</t>
  </si>
  <si>
    <t>2/1-10/062</t>
  </si>
  <si>
    <t>Бабаян Разалия Равильевна</t>
  </si>
  <si>
    <t>79631112266</t>
  </si>
  <si>
    <t>paserov20@gmail.com</t>
  </si>
  <si>
    <t>Субсидирование 701 222</t>
  </si>
  <si>
    <t>4/1-02/001</t>
  </si>
  <si>
    <t>Сейсалиев Сержан Фаритович</t>
  </si>
  <si>
    <t>79226830994</t>
  </si>
  <si>
    <t>Seysaliev@bk.ru</t>
  </si>
  <si>
    <t>4/2-03/129</t>
  </si>
  <si>
    <t>Ефимов Алексей Михайлович</t>
  </si>
  <si>
    <t>79276549966</t>
  </si>
  <si>
    <t>Arus-75@mail.ru</t>
  </si>
  <si>
    <t>4/1-04/023</t>
  </si>
  <si>
    <t>4/1-02/007</t>
  </si>
  <si>
    <t>Табаков Олег Валентинович</t>
  </si>
  <si>
    <t>79171057734</t>
  </si>
  <si>
    <t>ddtr1987@mail.ru</t>
  </si>
  <si>
    <t>3/1-10/074</t>
  </si>
  <si>
    <t>Ахметшина Мадина Робеноровна</t>
  </si>
  <si>
    <t>79867211015</t>
  </si>
  <si>
    <t>Akhmetshina.madina@yandex.ru</t>
  </si>
  <si>
    <t>3/5-07/680</t>
  </si>
  <si>
    <t>Емшанова Ольга Анатольевна</t>
  </si>
  <si>
    <t>79639124939</t>
  </si>
  <si>
    <t>emshanova_olga@mail.ru</t>
  </si>
  <si>
    <t>2/1-14/087</t>
  </si>
  <si>
    <t>Амелькина Анна Васильевна</t>
  </si>
  <si>
    <t>79638891609</t>
  </si>
  <si>
    <t>Nuraamelkina@rambler.ru</t>
  </si>
  <si>
    <t>2/1-10/057</t>
  </si>
  <si>
    <t>Чобанян Воскеат Вачагановна</t>
  </si>
  <si>
    <t>79874374340</t>
  </si>
  <si>
    <t>isoyan.sonya@mail.ru</t>
  </si>
  <si>
    <t>3/1-10/075</t>
  </si>
  <si>
    <t>Славкина Елена Владимировна</t>
  </si>
  <si>
    <t>79279063647</t>
  </si>
  <si>
    <t>elena.slavkina@gmail.com</t>
  </si>
  <si>
    <t>2/1-11/064</t>
  </si>
  <si>
    <t>Юдаков Валерий Юрьевич</t>
  </si>
  <si>
    <t>79963416202</t>
  </si>
  <si>
    <t>u-dva@list.ru</t>
  </si>
  <si>
    <t>3/5-15/752</t>
  </si>
  <si>
    <t>Сазонова Татьяна Геннадьевна</t>
  </si>
  <si>
    <t>79277396665</t>
  </si>
  <si>
    <t>masupria@mail.ru</t>
  </si>
  <si>
    <t>3/1-03/011</t>
  </si>
  <si>
    <t>Суворова Ирина Константиновна</t>
  </si>
  <si>
    <t>79879539577</t>
  </si>
  <si>
    <t>suvorova.suvor-k@yandex.ru</t>
  </si>
  <si>
    <t>3/5-16/762</t>
  </si>
  <si>
    <t>Люкшин, Игорь Александрович</t>
  </si>
  <si>
    <t>79226241334</t>
  </si>
  <si>
    <t>lyukshina90@internet.ru</t>
  </si>
  <si>
    <t>4/1-16/113</t>
  </si>
  <si>
    <t>Серяпина Юлия Юрьевна</t>
  </si>
  <si>
    <t>79279075735</t>
  </si>
  <si>
    <t>suu001@yandex.ru</t>
  </si>
  <si>
    <t>3/1-14/110</t>
  </si>
  <si>
    <t>Котляров Алексей Николаевич</t>
  </si>
  <si>
    <t>79061494376</t>
  </si>
  <si>
    <t>director@npartner63.ru</t>
  </si>
  <si>
    <t>3/6-04/856</t>
  </si>
  <si>
    <t>Сенина Виктория Сергеевна</t>
  </si>
  <si>
    <t>79277137314</t>
  </si>
  <si>
    <t>Solovova_vika@mail.ru</t>
  </si>
  <si>
    <t>2/1-18/115</t>
  </si>
  <si>
    <t>Токарев Никита Евгеньевич</t>
  </si>
  <si>
    <t>79270209360</t>
  </si>
  <si>
    <t>nikita-tokarev163@yandex.ru</t>
  </si>
  <si>
    <t>3/1-11/084</t>
  </si>
  <si>
    <t>Жук Эльвира Вячеславовна</t>
  </si>
  <si>
    <t>79276147953</t>
  </si>
  <si>
    <t>saetgalin@bk.ru</t>
  </si>
  <si>
    <t>3/6-08/893</t>
  </si>
  <si>
    <t>Блудилина Екатерина Геннадьевна</t>
  </si>
  <si>
    <t>79093718666</t>
  </si>
  <si>
    <t>Fedor235@bk.ru</t>
  </si>
  <si>
    <t>4/4-08/461</t>
  </si>
  <si>
    <t>Вавилкина Ольга Владимировна</t>
  </si>
  <si>
    <t>79171429539</t>
  </si>
  <si>
    <t>vsam604@gmail.com</t>
  </si>
  <si>
    <t>4/3-12/317</t>
  </si>
  <si>
    <t>Гросс Илья Сергеевич</t>
  </si>
  <si>
    <t>79371790606</t>
  </si>
  <si>
    <t>ilia_gross@rambler.ru</t>
  </si>
  <si>
    <t>Савченко Екатерина Алексеевна</t>
  </si>
  <si>
    <t>79277572767</t>
  </si>
  <si>
    <t>kate16savchenko@gmail.com</t>
  </si>
  <si>
    <t>3/5-08/690</t>
  </si>
  <si>
    <t>Каркула Вадим Юрьевич</t>
  </si>
  <si>
    <t>79639127813</t>
  </si>
  <si>
    <t>Vadim.karkula@mail.ru</t>
  </si>
  <si>
    <t>4/3-06/269</t>
  </si>
  <si>
    <t>Тарасевич Ирина Александровна</t>
  </si>
  <si>
    <t>79276115623</t>
  </si>
  <si>
    <t>tia-tlt@yandex.ru</t>
  </si>
  <si>
    <t>3/3-11/466</t>
  </si>
  <si>
    <t>Маслов Даниил Максимович</t>
  </si>
  <si>
    <t>79027003787</t>
  </si>
  <si>
    <t>maslov2daniil@gmail.com</t>
  </si>
  <si>
    <t>3/6-02/839</t>
  </si>
  <si>
    <t>3/5-24/825</t>
  </si>
  <si>
    <t>Петров Дмитрий Алексеевич</t>
  </si>
  <si>
    <t>79276033385</t>
  </si>
  <si>
    <t>Dmitry0424@yandex.ru</t>
  </si>
  <si>
    <t>4/1-16/115</t>
  </si>
  <si>
    <t>Розенблюм Анна Моисеевна</t>
  </si>
  <si>
    <t>79276508234</t>
  </si>
  <si>
    <t>any-r@rambler.ru</t>
  </si>
  <si>
    <t>3/6-06/874</t>
  </si>
  <si>
    <t>Кубжасаров Дархан Галимжанович</t>
  </si>
  <si>
    <t>79277742396</t>
  </si>
  <si>
    <t>khantwain@mail.ru</t>
  </si>
  <si>
    <t>4/4-12/493</t>
  </si>
  <si>
    <t>Ащеулова Полина Васильевна</t>
  </si>
  <si>
    <t>79277010939</t>
  </si>
  <si>
    <t>polina.asheulova@mail.ru</t>
  </si>
  <si>
    <t>3/1-16/129</t>
  </si>
  <si>
    <t>Сенатова Светлана Ивановна</t>
  </si>
  <si>
    <t>79053028162</t>
  </si>
  <si>
    <t>usenatova@gmail.com</t>
  </si>
  <si>
    <t>3/1-19/158</t>
  </si>
  <si>
    <t>Солодова Анастасия Александровна</t>
  </si>
  <si>
    <t>79376568600</t>
  </si>
  <si>
    <t>Ann4am@yandex.ru</t>
  </si>
  <si>
    <t>3/6-03/847</t>
  </si>
  <si>
    <t>Тихонов Виктор Михайлович</t>
  </si>
  <si>
    <t>79276007061</t>
  </si>
  <si>
    <t>xokkey1987@yandex.ru</t>
  </si>
  <si>
    <t>3/1-07/048</t>
  </si>
  <si>
    <t>Коннова Галина Александровна</t>
  </si>
  <si>
    <t>79228883947</t>
  </si>
  <si>
    <t>Gala130366@mail.ru</t>
  </si>
  <si>
    <t>4/3-19/362</t>
  </si>
  <si>
    <t>Мякченко Ирина Александровна</t>
  </si>
  <si>
    <t>79276019206</t>
  </si>
  <si>
    <t>irina-grafova@bk.ru</t>
  </si>
  <si>
    <t>3/1-19/156</t>
  </si>
  <si>
    <t>Князюк Иван Иванович</t>
  </si>
  <si>
    <t>79370730681</t>
  </si>
  <si>
    <t>Kseniya.Knyazyk@russianpost.ru</t>
  </si>
  <si>
    <t>2/1-07/038</t>
  </si>
  <si>
    <t>Феденева Анастасия Александровна</t>
  </si>
  <si>
    <t>79379991940</t>
  </si>
  <si>
    <t>63rts@bk.ru</t>
  </si>
  <si>
    <t>Субсидия 961094,00</t>
  </si>
  <si>
    <t>3/1-15/119</t>
  </si>
  <si>
    <t>Малица Дмитрий Иванович</t>
  </si>
  <si>
    <t>79370707771</t>
  </si>
  <si>
    <t>dmitrymal@list.ru</t>
  </si>
  <si>
    <t>3/1-04/023</t>
  </si>
  <si>
    <t>Вашуркин Владимир Олегович</t>
  </si>
  <si>
    <t>79047452847</t>
  </si>
  <si>
    <t>vashurckin.vladim@yandex.ru</t>
  </si>
  <si>
    <t>3/5-22/809</t>
  </si>
  <si>
    <t>Уралев Андрей Сергеевич</t>
  </si>
  <si>
    <t>79279572933</t>
  </si>
  <si>
    <t>andreyya111@gmail.com</t>
  </si>
  <si>
    <t>4/3-16/342</t>
  </si>
  <si>
    <t>Володин Евгений Игоревич</t>
  </si>
  <si>
    <t>79214426924</t>
  </si>
  <si>
    <t>zhenek173@mail.ru</t>
  </si>
  <si>
    <t>3/1-03/013</t>
  </si>
  <si>
    <t>Мукминова Римма Нажиповна</t>
  </si>
  <si>
    <t>79966196521</t>
  </si>
  <si>
    <t>mukminovarimma01@gmail.com</t>
  </si>
  <si>
    <t>3/3-04/412</t>
  </si>
  <si>
    <t>Кипар Татьяна Евгеньевна</t>
  </si>
  <si>
    <t>79155731257</t>
  </si>
  <si>
    <t>kipart@mail.ru</t>
  </si>
  <si>
    <t>3/1-19/157</t>
  </si>
  <si>
    <t>Царева Елена Владимировна</t>
  </si>
  <si>
    <t>79613812481</t>
  </si>
  <si>
    <t>ele1609427462@yandex.ru</t>
  </si>
  <si>
    <t>3/5-15/755</t>
  </si>
  <si>
    <t>Кашкин Денис Иванович</t>
  </si>
  <si>
    <t>79058840061</t>
  </si>
  <si>
    <t>denismail01@gmail.com</t>
  </si>
  <si>
    <t>3/5-16/764</t>
  </si>
  <si>
    <t>Репях Виктория Павловна</t>
  </si>
  <si>
    <t>79276986264</t>
  </si>
  <si>
    <t>vpp95@yandex.ru</t>
  </si>
  <si>
    <t>3/1-20/164</t>
  </si>
  <si>
    <t>Чапланов Юрий Дмитриевич</t>
  </si>
  <si>
    <t>79397176539</t>
  </si>
  <si>
    <t>Chaplanov1@ya.ru</t>
  </si>
  <si>
    <t>Рекомендации - Знакомые</t>
  </si>
  <si>
    <t>3/5-17/771</t>
  </si>
  <si>
    <t>Лопанский Михаил Алексеевич</t>
  </si>
  <si>
    <t>79276871573</t>
  </si>
  <si>
    <t>zykova_irina94@mail.ru</t>
  </si>
  <si>
    <t>3/1-22/186</t>
  </si>
  <si>
    <t>Атлашова, Светлана Юрьевна</t>
  </si>
  <si>
    <t>79608236392</t>
  </si>
  <si>
    <t>atlasu71@mail.ru</t>
  </si>
  <si>
    <t>3/5-11/715</t>
  </si>
  <si>
    <t>Егоров Николай Юрьевич</t>
  </si>
  <si>
    <t>79093234535</t>
  </si>
  <si>
    <t>egorov.nikolas@yandex.ru</t>
  </si>
  <si>
    <t>3/1-19/162</t>
  </si>
  <si>
    <t>Суфьянова Лена Рамильевна</t>
  </si>
  <si>
    <t>79397561510</t>
  </si>
  <si>
    <t>sufyanova_lena@mail.ru</t>
  </si>
  <si>
    <t>2/1-13/083</t>
  </si>
  <si>
    <t>Антонова Ольга Сергеевна</t>
  </si>
  <si>
    <t>79297060876</t>
  </si>
  <si>
    <t>mironiha_olga@mail.ru</t>
  </si>
  <si>
    <t xml:space="preserve">Субсидия </t>
  </si>
  <si>
    <t>3/1-02/005</t>
  </si>
  <si>
    <t>Коржова София Алексеевна</t>
  </si>
  <si>
    <t>79022353294</t>
  </si>
  <si>
    <t>SERVOKORZOV@gmail.com</t>
  </si>
  <si>
    <t>К-169</t>
  </si>
  <si>
    <t>К-170</t>
  </si>
  <si>
    <t>3/5-08/692</t>
  </si>
  <si>
    <t>Лещев Сергей Иванович</t>
  </si>
  <si>
    <t>79103221234</t>
  </si>
  <si>
    <t>Raketa024@mail.ru</t>
  </si>
  <si>
    <t>3/5-12/725</t>
  </si>
  <si>
    <t>Хрущева Олеся Вячеславовна</t>
  </si>
  <si>
    <t>79871511382</t>
  </si>
  <si>
    <t>Xrushhyova20@mail.ru</t>
  </si>
  <si>
    <t>3/1-11/086</t>
  </si>
  <si>
    <t>Зайцева Лилия Михайловна</t>
  </si>
  <si>
    <t>79272019673</t>
  </si>
  <si>
    <t>zaycev_vv1964@mail.ru</t>
  </si>
  <si>
    <t>4/2-16/233</t>
  </si>
  <si>
    <t>3/1-12/095</t>
  </si>
  <si>
    <t>Мазур Дмитрий Васильевич</t>
  </si>
  <si>
    <t>79171078398</t>
  </si>
  <si>
    <t>ip.13@mail.ru</t>
  </si>
  <si>
    <t>3/5-11/719</t>
  </si>
  <si>
    <t>79969248977</t>
  </si>
  <si>
    <t>svivanov10@mail.ru</t>
  </si>
  <si>
    <t>3/5-04/653</t>
  </si>
  <si>
    <t>Терских Тамара Владимировна</t>
  </si>
  <si>
    <t>79270107310</t>
  </si>
  <si>
    <t>aleksei.terskih@yandex.ru</t>
  </si>
  <si>
    <t>3/6-04/857</t>
  </si>
  <si>
    <t>Пугачева Юлия Владимировна</t>
  </si>
  <si>
    <t>79171149782</t>
  </si>
  <si>
    <t>juliapug1003@mail.ru</t>
  </si>
  <si>
    <t>3/6-08/892</t>
  </si>
  <si>
    <t>Чертилов Андрей Александрович</t>
  </si>
  <si>
    <t>79171116044</t>
  </si>
  <si>
    <t>anime7@mail.ru</t>
  </si>
  <si>
    <t>3/1-23/192</t>
  </si>
  <si>
    <t>Луценко Алексей Павлович</t>
  </si>
  <si>
    <t>79879217776</t>
  </si>
  <si>
    <t>Kontakt_2011@list.ru</t>
  </si>
  <si>
    <t>3/6-05/865</t>
  </si>
  <si>
    <t>4/3-05/266</t>
  </si>
  <si>
    <t>Зайцева Елизавета Игоревна</t>
  </si>
  <si>
    <t>79179578896</t>
  </si>
  <si>
    <t>irina61072@mail.ru</t>
  </si>
  <si>
    <t>3/5-14/746</t>
  </si>
  <si>
    <t>Ионова Наталья Николаевна</t>
  </si>
  <si>
    <t>79276511114</t>
  </si>
  <si>
    <t>tata.lica.nova@mail.ru</t>
  </si>
  <si>
    <t>3/5-04/651</t>
  </si>
  <si>
    <t>3/5-18/777</t>
  </si>
  <si>
    <t>Анисова Елена Олеговна</t>
  </si>
  <si>
    <t>79272970874</t>
  </si>
  <si>
    <t>anisovaelena.1998@gmail.com</t>
  </si>
  <si>
    <t>4/2-13/209</t>
  </si>
  <si>
    <t>79876304688</t>
  </si>
  <si>
    <t>Кондакова Елена Викторовна</t>
  </si>
  <si>
    <t>79093656050</t>
  </si>
  <si>
    <t>lenakondakova2011@yandex.ru</t>
  </si>
  <si>
    <t>3/2-05/238</t>
  </si>
  <si>
    <t>Хлопяник Анна Игоревна</t>
  </si>
  <si>
    <t>79272087818</t>
  </si>
  <si>
    <t>Apitoxin@mail.ru</t>
  </si>
  <si>
    <t>3/4-16/627</t>
  </si>
  <si>
    <t>Остапенко Дмитрий Андреевич</t>
  </si>
  <si>
    <t>79021839443</t>
  </si>
  <si>
    <t>ostkata@icloud.com</t>
  </si>
  <si>
    <t>4/2-16/236</t>
  </si>
  <si>
    <t>Боровец Алексей Николаевич</t>
  </si>
  <si>
    <t>79379973024</t>
  </si>
  <si>
    <t>alexeiborovets123@gmail.com</t>
  </si>
  <si>
    <t>3/2-11/286</t>
  </si>
  <si>
    <t>Ахмедов Хантемир Зафар Оглы</t>
  </si>
  <si>
    <t>79272185155</t>
  </si>
  <si>
    <t>xantamiraxmed@gmail.com</t>
  </si>
  <si>
    <t>3/1-19/161</t>
  </si>
  <si>
    <t>Фомичева Юлия Владимировна</t>
  </si>
  <si>
    <t>79991718146</t>
  </si>
  <si>
    <t>fomichiova1996@mail.ru</t>
  </si>
  <si>
    <t>3/5-05/665</t>
  </si>
  <si>
    <t>Кузнецова Ирина Анатольевна</t>
  </si>
  <si>
    <t>79170303730</t>
  </si>
  <si>
    <t>kuznetcovaia@list.ru</t>
  </si>
  <si>
    <t>3/6-07/876</t>
  </si>
  <si>
    <t>Цыганова Мария Сергеевна</t>
  </si>
  <si>
    <t>79917121245</t>
  </si>
  <si>
    <t>mciganova@bk.ru</t>
  </si>
  <si>
    <t>3/2-22/370</t>
  </si>
  <si>
    <t>Шехурдин Илья Сергеевич</t>
  </si>
  <si>
    <t>79179492196</t>
  </si>
  <si>
    <t>ilya.shexurdin@mail.ru</t>
  </si>
  <si>
    <t>2/1-13/078</t>
  </si>
  <si>
    <t>Пайдуганов Александр Владиславович</t>
  </si>
  <si>
    <t>79370048081</t>
  </si>
  <si>
    <t>payduganow@gmail.com</t>
  </si>
  <si>
    <t>3/4-10/577</t>
  </si>
  <si>
    <t>Шаяхметов Радик Нуриахметович</t>
  </si>
  <si>
    <t>79376402771</t>
  </si>
  <si>
    <t>guzelaladeva@gmail.com</t>
  </si>
  <si>
    <t>2/1-15/098</t>
  </si>
  <si>
    <t>Голиков Евгений Андреевич</t>
  </si>
  <si>
    <t>79178189004</t>
  </si>
  <si>
    <t>fatimka_9@mail.ru</t>
  </si>
  <si>
    <t>3/6-09/896</t>
  </si>
  <si>
    <t>Плохотниченко Анастасия Юрьевна</t>
  </si>
  <si>
    <t>79178215909</t>
  </si>
  <si>
    <t>Pl13an10@rambler.ru</t>
  </si>
  <si>
    <t>4/3-02/244</t>
  </si>
  <si>
    <t>3/5-12/726</t>
  </si>
  <si>
    <t>Ганускус Анастасия Порферьевна</t>
  </si>
  <si>
    <t>79613927708</t>
  </si>
  <si>
    <t>aganuskus@mail.ru</t>
  </si>
  <si>
    <t>3/5-14/744</t>
  </si>
  <si>
    <t>Егоров Виталий Александрович</t>
  </si>
  <si>
    <t>79967268000</t>
  </si>
  <si>
    <t>Helen-ok@mail.ru</t>
  </si>
  <si>
    <t>3/5-06/674</t>
  </si>
  <si>
    <t>Козлова Светлана Сергеевна</t>
  </si>
  <si>
    <t>79272048366</t>
  </si>
  <si>
    <t>svetlana.kozlova.2023@inbox.ru</t>
  </si>
  <si>
    <t>3/2-19/346</t>
  </si>
  <si>
    <t>Меликова Ольга Михайловна</t>
  </si>
  <si>
    <t>79277173881</t>
  </si>
  <si>
    <t>vdv.melikov@icloud.com</t>
  </si>
  <si>
    <t>3/5-09/699</t>
  </si>
  <si>
    <t>Гущина Ирина Сергеевна</t>
  </si>
  <si>
    <t>79372002692</t>
  </si>
  <si>
    <t>gushinairisha@gmail.com</t>
  </si>
  <si>
    <t>3/1-09/068</t>
  </si>
  <si>
    <t>Харисова Алина Анваровна</t>
  </si>
  <si>
    <t>79111111111</t>
  </si>
  <si>
    <t>harisovaalina642@gmail.com</t>
  </si>
  <si>
    <t>4/2-14/219</t>
  </si>
  <si>
    <t>Зайчикова Наталья Николаевна</t>
  </si>
  <si>
    <t>79277146318</t>
  </si>
  <si>
    <t>Amazon72@mail.ru</t>
  </si>
  <si>
    <t>3/2-12/294</t>
  </si>
  <si>
    <t>Кабанов Александр Яковлевич</t>
  </si>
  <si>
    <t>79677659943</t>
  </si>
  <si>
    <t>aleks.kab@mail.ru</t>
  </si>
  <si>
    <t>3/1-18/150</t>
  </si>
  <si>
    <t>Умиров Садулла Туйчиевич</t>
  </si>
  <si>
    <t>79053040853</t>
  </si>
  <si>
    <t>umirovsadullo@yandex.ru</t>
  </si>
  <si>
    <t>3/5-12/728</t>
  </si>
  <si>
    <t>Хандин Андрей Валерьевич</t>
  </si>
  <si>
    <t>79372053266</t>
  </si>
  <si>
    <t>akhandin@mail.ru</t>
  </si>
  <si>
    <t>3/5-19/785</t>
  </si>
  <si>
    <t>Мешкова Татьяна Павловна</t>
  </si>
  <si>
    <t>79170137280</t>
  </si>
  <si>
    <t>dr.meshkovak@mail.ru</t>
  </si>
  <si>
    <t>3/5-21/801</t>
  </si>
  <si>
    <t>Вознюк Дмитрий Алексеевич</t>
  </si>
  <si>
    <t>79882890063</t>
  </si>
  <si>
    <t>d.voznyuk@rambler.ru</t>
  </si>
  <si>
    <t>3/5-09/701</t>
  </si>
  <si>
    <t>Нуретдинова Алёна Вячеславовна</t>
  </si>
  <si>
    <t>79226227004</t>
  </si>
  <si>
    <t>nuretdinova.alena@mail.ru</t>
  </si>
  <si>
    <t>4/2-06/158</t>
  </si>
  <si>
    <t>Астанков Дмитрий Александрович</t>
  </si>
  <si>
    <t>79879072903</t>
  </si>
  <si>
    <t>astankov24121975@mail.ru</t>
  </si>
  <si>
    <t>4/1-03/009</t>
  </si>
  <si>
    <t>Карпова Ирина Александровна</t>
  </si>
  <si>
    <t>79277417935</t>
  </si>
  <si>
    <t>kiainfo@mail.ru</t>
  </si>
  <si>
    <t>3/6-09/901</t>
  </si>
  <si>
    <t>Черный Евгений Александрович</t>
  </si>
  <si>
    <t>79179535713</t>
  </si>
  <si>
    <t>archi.xiii@mail.ru</t>
  </si>
  <si>
    <t>3/2-03/218</t>
  </si>
  <si>
    <t>Арефьева Марина Сергеевна</t>
  </si>
  <si>
    <t>79277403570</t>
  </si>
  <si>
    <t>sergeevna-22@yandex.ru</t>
  </si>
  <si>
    <t>4/1-04/017</t>
  </si>
  <si>
    <t>Балонова Светлана Геннадьевна</t>
  </si>
  <si>
    <t>79879881220</t>
  </si>
  <si>
    <t>balonova68@mail.ru</t>
  </si>
  <si>
    <t>3/2-02/212</t>
  </si>
  <si>
    <t>Кудинов Александр Евгеньевич</t>
  </si>
  <si>
    <t>79272071878</t>
  </si>
  <si>
    <t>Kudinovae159@yandex.ru</t>
  </si>
  <si>
    <t>2/1-04/016</t>
  </si>
  <si>
    <t>Плодунова Ольга Сергеевна</t>
  </si>
  <si>
    <t>79871624059</t>
  </si>
  <si>
    <t>Plodunov63rus@bk.ru</t>
  </si>
  <si>
    <t>4/2-05/149</t>
  </si>
  <si>
    <t>Лобачева Анастасия Сергеевна</t>
  </si>
  <si>
    <t>79272674212</t>
  </si>
  <si>
    <t>Lobacheva81@mail.ru</t>
  </si>
  <si>
    <t>4/1-09/057</t>
  </si>
  <si>
    <t>Овчинникова Наталья Владимировна</t>
  </si>
  <si>
    <t>79869532962</t>
  </si>
  <si>
    <t>natali29012000@bk.ru</t>
  </si>
  <si>
    <t>3/1-19/155</t>
  </si>
  <si>
    <t>Притула Сергей Сергеевич</t>
  </si>
  <si>
    <t>79277342250</t>
  </si>
  <si>
    <t>pritula.s@list.ru</t>
  </si>
  <si>
    <t>4/3-14/329</t>
  </si>
  <si>
    <t>Поленова Татьяна Валентиновна</t>
  </si>
  <si>
    <t>79272690253</t>
  </si>
  <si>
    <t>polenova82@yandex.ru</t>
  </si>
  <si>
    <t>4/3-09/294</t>
  </si>
  <si>
    <t>Тимиркин Сергей Александрович</t>
  </si>
  <si>
    <t>79966208011</t>
  </si>
  <si>
    <t>Belochka94@list.ru</t>
  </si>
  <si>
    <t>3/1-21/173</t>
  </si>
  <si>
    <t>Попов Евгений Викторович</t>
  </si>
  <si>
    <t>79292814124</t>
  </si>
  <si>
    <t>nadezhda.popova.1981icloud.com@mail.ru</t>
  </si>
  <si>
    <t>3/1-14/112</t>
  </si>
  <si>
    <t>Криволапов Ян Павлович</t>
  </si>
  <si>
    <t>79379865732</t>
  </si>
  <si>
    <t>profsouz63@rambler.ru</t>
  </si>
  <si>
    <t>4/2-07/168</t>
  </si>
  <si>
    <t>Макаров Алексей Сергеевич</t>
  </si>
  <si>
    <t>79198046711</t>
  </si>
  <si>
    <t>makar0398@mail.ru</t>
  </si>
  <si>
    <t>4/2-08/171</t>
  </si>
  <si>
    <t>Асланова Тарана Биннат Кзы</t>
  </si>
  <si>
    <t>79372112068</t>
  </si>
  <si>
    <t>cool.gse2013@yandex.ru</t>
  </si>
  <si>
    <t>3/1-23/191</t>
  </si>
  <si>
    <t>Гусейнова Амина Бейдуллаевна</t>
  </si>
  <si>
    <t>amina.guseynova.2906@mail.ru</t>
  </si>
  <si>
    <t>4/2-09/184</t>
  </si>
  <si>
    <t>Родионова Мария Олеговна</t>
  </si>
  <si>
    <t>79277290757</t>
  </si>
  <si>
    <t>rodionovamaria2022@mail.ru</t>
  </si>
  <si>
    <t>4/2-13/215</t>
  </si>
  <si>
    <t>Назаренко Назар Сергеевич</t>
  </si>
  <si>
    <t>79871605204</t>
  </si>
  <si>
    <t>Nsn0112@mail.ru</t>
  </si>
  <si>
    <t>Изменение отделки с черновой на чистовую, в связи с предоставлением индивидуальной компенсации участникам СВО</t>
  </si>
  <si>
    <t>К-289</t>
  </si>
  <si>
    <t>4/3-13/321</t>
  </si>
  <si>
    <t>Матросова Ольга Анатольевна</t>
  </si>
  <si>
    <t>79279087376</t>
  </si>
  <si>
    <t>matrosovaolga@inbox.ru</t>
  </si>
  <si>
    <t>199-ГВД</t>
  </si>
  <si>
    <t>Департамент управления делами Губернатора Самарской области и Правительства Самарской области</t>
  </si>
  <si>
    <t>4/2-03/136</t>
  </si>
  <si>
    <t>Старенко Родион Дмитриевич</t>
  </si>
  <si>
    <t>79871521740</t>
  </si>
  <si>
    <t>Fefe13@yandex.ru</t>
  </si>
  <si>
    <t>3/1-21/174</t>
  </si>
  <si>
    <t>Воевода Владимир Сергеевич</t>
  </si>
  <si>
    <t>79171092533</t>
  </si>
  <si>
    <t>Voevoda63@icloud.com</t>
  </si>
  <si>
    <t>3/5-23/817</t>
  </si>
  <si>
    <t>Григорьева Юлия Николаевна</t>
  </si>
  <si>
    <t>79276001519</t>
  </si>
  <si>
    <t>Komuss@rambler.ru</t>
  </si>
  <si>
    <t>3/1-14/113</t>
  </si>
  <si>
    <t>Елистратова Елена Алексеевна</t>
  </si>
  <si>
    <t>79277073799</t>
  </si>
  <si>
    <t>elistratova.elena99@yandex.ru</t>
  </si>
  <si>
    <t>4/3-23/392</t>
  </si>
  <si>
    <t>Жирнова Александра Владимировна</t>
  </si>
  <si>
    <t>79228433837</t>
  </si>
  <si>
    <t>sasha_lorgina@mail.ru</t>
  </si>
  <si>
    <t>4/2-15/225</t>
  </si>
  <si>
    <t>Никифорова Кристина Валерьевна</t>
  </si>
  <si>
    <t>79277959746</t>
  </si>
  <si>
    <t>Creative-art@bk.ru</t>
  </si>
  <si>
    <t>4/2-12/203</t>
  </si>
  <si>
    <t>Овчинникова Олеся Викторовна</t>
  </si>
  <si>
    <t>79879889902</t>
  </si>
  <si>
    <t>Ls-mebel@mail.ru</t>
  </si>
  <si>
    <t>4/4-11/484</t>
  </si>
  <si>
    <t>Авдонькин Евгений Дмитриевич</t>
  </si>
  <si>
    <t>79272634994</t>
  </si>
  <si>
    <t>eavdonkin4@gmail.com</t>
  </si>
  <si>
    <t>3/1-20/165</t>
  </si>
  <si>
    <t>Краснов Егор Алексеевич</t>
  </si>
  <si>
    <t>79277866455</t>
  </si>
  <si>
    <t>Egor.h022et@gmail.com</t>
  </si>
  <si>
    <t>4/1-07/041</t>
  </si>
  <si>
    <t>Федосеева Елена Юрьевна</t>
  </si>
  <si>
    <t>79225485343</t>
  </si>
  <si>
    <t>Clinova.lena@mail.ru</t>
  </si>
  <si>
    <t>3/5-17/769</t>
  </si>
  <si>
    <t>Евдокимов Вячеслав Михайлович</t>
  </si>
  <si>
    <t>79270973407</t>
  </si>
  <si>
    <t>evdokimov.d13@mail.ru</t>
  </si>
  <si>
    <t>4/3-08/284</t>
  </si>
  <si>
    <t>Лобов Сергей Сергеевич</t>
  </si>
  <si>
    <t>79272611740</t>
  </si>
  <si>
    <t>lss1102@yandex.ru</t>
  </si>
  <si>
    <t>Ближе к звездам</t>
  </si>
  <si>
    <t>4/1-16/116</t>
  </si>
  <si>
    <t>Коротков Антон Владимирович</t>
  </si>
  <si>
    <t>79879294979</t>
  </si>
  <si>
    <t>a.korotkov@list.ru</t>
  </si>
  <si>
    <t>3/5-06/672</t>
  </si>
  <si>
    <t>Ковалевская Наталия Васильевна</t>
  </si>
  <si>
    <t>765764533</t>
  </si>
  <si>
    <t>kv56kvl@mail.ru</t>
  </si>
  <si>
    <t>3/5-12/727</t>
  </si>
  <si>
    <t>Аркуша Светлана Олеговна</t>
  </si>
  <si>
    <t>79276865196</t>
  </si>
  <si>
    <t>svetafeb84@mail.ru</t>
  </si>
  <si>
    <t>4/4-12/495</t>
  </si>
  <si>
    <t>Когулько Олеся Анатольевна</t>
  </si>
  <si>
    <t>79093429541</t>
  </si>
  <si>
    <t>olesa.kogulko2006@gmail.com</t>
  </si>
  <si>
    <t>3/1-06/041</t>
  </si>
  <si>
    <t>Коновалов Роман Сергеевич</t>
  </si>
  <si>
    <t>79276953167</t>
  </si>
  <si>
    <t>bgt-konovalov@yandex.ru</t>
  </si>
  <si>
    <t>3/5-20/793</t>
  </si>
  <si>
    <t>Саламонова Ольга Александровна</t>
  </si>
  <si>
    <t>79371707132</t>
  </si>
  <si>
    <t>O.sallamonova@mail.ru</t>
  </si>
  <si>
    <t>4/2-07/161</t>
  </si>
  <si>
    <t>Полстьянова Мария Владимировна</t>
  </si>
  <si>
    <t>79272651405</t>
  </si>
  <si>
    <t>polstyanova82@mail.ru</t>
  </si>
  <si>
    <t>4/2-16/240</t>
  </si>
  <si>
    <t>Бикеев Максим Павлович</t>
  </si>
  <si>
    <t>79277134001</t>
  </si>
  <si>
    <t>m-bikeev@mail.ru</t>
  </si>
  <si>
    <t>4/3-10/303</t>
  </si>
  <si>
    <t>Морозов Александр Васильевич</t>
  </si>
  <si>
    <t>79371747316</t>
  </si>
  <si>
    <t>moroz2.anuta-1010@yandex.ru</t>
  </si>
  <si>
    <t>РЖД</t>
  </si>
  <si>
    <t>3/5-15/753</t>
  </si>
  <si>
    <t>Борзых Анастасия Алексеевна</t>
  </si>
  <si>
    <t>79613879281</t>
  </si>
  <si>
    <t>anastasy5566@gmail.com</t>
  </si>
  <si>
    <t>4/1-16/118</t>
  </si>
  <si>
    <t>Арефьев Александр Валериевич</t>
  </si>
  <si>
    <t>79297061456</t>
  </si>
  <si>
    <t>algeodi@yandex.ru</t>
  </si>
  <si>
    <t>3/3-15/500</t>
  </si>
  <si>
    <t>Анисимова Бану Мавлетовна</t>
  </si>
  <si>
    <t>79879023930</t>
  </si>
  <si>
    <t>nelli.anisimova.2014@mail.ru</t>
  </si>
  <si>
    <t>4/1-03/011</t>
  </si>
  <si>
    <t>Ганихин Дмитрий Сергеевич</t>
  </si>
  <si>
    <t>79871551406</t>
  </si>
  <si>
    <t>coolpro20@yandex.ru</t>
  </si>
  <si>
    <t>3/1-18/146</t>
  </si>
  <si>
    <t>4/4-16/530</t>
  </si>
  <si>
    <t>Гусак Роман Александрович</t>
  </si>
  <si>
    <t>79171415140</t>
  </si>
  <si>
    <t>gusakroman@icloud.com</t>
  </si>
  <si>
    <t>4/3-10/299</t>
  </si>
  <si>
    <t>Васянин Алексей Павлович</t>
  </si>
  <si>
    <t>79376526594</t>
  </si>
  <si>
    <t>vasaninaleksej9@gmail.com</t>
  </si>
  <si>
    <t>4/1-05/027</t>
  </si>
  <si>
    <t>Мамедова Наталья Петровна</t>
  </si>
  <si>
    <t>79276555534</t>
  </si>
  <si>
    <t>mamedovanatala04@gmail.com</t>
  </si>
  <si>
    <t>4/3-15/335</t>
  </si>
  <si>
    <t>Головатенко Мария Сергеевна</t>
  </si>
  <si>
    <t>79297061665</t>
  </si>
  <si>
    <t>Mimago@mail.ru</t>
  </si>
  <si>
    <t>4/4-11/486</t>
  </si>
  <si>
    <t>Коннов Александр Владиславович</t>
  </si>
  <si>
    <t>79277205561</t>
  </si>
  <si>
    <t>ev.shadieva@.mail.ru</t>
  </si>
  <si>
    <t>4/1-14/101</t>
  </si>
  <si>
    <t>Саймуков Евгений Сергеевич</t>
  </si>
  <si>
    <t>79639159682</t>
  </si>
  <si>
    <t>nevermoresf99@mail.ru</t>
  </si>
  <si>
    <t>4/2-04/139</t>
  </si>
  <si>
    <t>Тюрин Евгений Александрович</t>
  </si>
  <si>
    <t>79608257283</t>
  </si>
  <si>
    <t>teatur1111@gmail.com</t>
  </si>
  <si>
    <t>4/1-07/047</t>
  </si>
  <si>
    <t>Астанин Сергей Анатольевич</t>
  </si>
  <si>
    <t>79608102138</t>
  </si>
  <si>
    <t>ast_a_shonok@bk.ru</t>
  </si>
  <si>
    <t>4/2-04/143</t>
  </si>
  <si>
    <t>Сайитбурханова Дилдора Арапжоновна</t>
  </si>
  <si>
    <t>79619369949</t>
  </si>
  <si>
    <t>Men.bu.men95@mail.ru</t>
  </si>
  <si>
    <t>4/1-05/026</t>
  </si>
  <si>
    <t>Погосян Римма Рушановна</t>
  </si>
  <si>
    <t>79228896697</t>
  </si>
  <si>
    <t>rimma.akhmetshina.97@gmail.com</t>
  </si>
  <si>
    <t>3/1-05/031</t>
  </si>
  <si>
    <t>2/2-03/175</t>
  </si>
  <si>
    <t>Семкин Максим Дмитриевич</t>
  </si>
  <si>
    <t>79179430272</t>
  </si>
  <si>
    <t>meenger@mail.ru</t>
  </si>
  <si>
    <t>4/3-14/325</t>
  </si>
  <si>
    <t>Щербова Анастасия Викторовна</t>
  </si>
  <si>
    <t>79277168910</t>
  </si>
  <si>
    <t>asherbova@icloud.com</t>
  </si>
  <si>
    <t>4/2-09/177</t>
  </si>
  <si>
    <t>Шадских Юрий Михайлович</t>
  </si>
  <si>
    <t>79397180402</t>
  </si>
  <si>
    <t>yura.shadskikh@bk.ru</t>
  </si>
  <si>
    <t>4/4-10/479</t>
  </si>
  <si>
    <t>Худошина Лариса Олеговна</t>
  </si>
  <si>
    <t>79178173375</t>
  </si>
  <si>
    <t>dima91lora@mail.ru</t>
  </si>
  <si>
    <t>4/2-08/172</t>
  </si>
  <si>
    <t>Елизаркин Евгений Геннадьевич</t>
  </si>
  <si>
    <t>79277453262</t>
  </si>
  <si>
    <t>Eliblog@yandex.ru</t>
  </si>
  <si>
    <t>4/3-19/364</t>
  </si>
  <si>
    <t>Гилетина Евгения Евгеньевна</t>
  </si>
  <si>
    <t>79125120108</t>
  </si>
  <si>
    <t>e.nikitina.1975@mail.ru</t>
  </si>
  <si>
    <t>4/1-13/089</t>
  </si>
  <si>
    <t>Еремина Юлия Владимировна</t>
  </si>
  <si>
    <t>79272657804</t>
  </si>
  <si>
    <t>eremina-htpng@mail.ru</t>
  </si>
  <si>
    <t>4/4-14/514</t>
  </si>
  <si>
    <t>Акиняев Дмитрий Николаевич</t>
  </si>
  <si>
    <t>79967452123</t>
  </si>
  <si>
    <t>dugusheva.nastyona@yandex.ru</t>
  </si>
  <si>
    <t>2/1-10/059</t>
  </si>
  <si>
    <t>Багдасарян Геворг Рубикович</t>
  </si>
  <si>
    <t>79033000654</t>
  </si>
  <si>
    <t>bruschatka.63@mail.ru</t>
  </si>
  <si>
    <t>4/4-14/515</t>
  </si>
  <si>
    <t>Кудряшов Александр Игоревич</t>
  </si>
  <si>
    <t>79608271114</t>
  </si>
  <si>
    <t>nikisparda@gmail.com</t>
  </si>
  <si>
    <t>4/3-24/396</t>
  </si>
  <si>
    <t>Попов Олег Владимирович</t>
  </si>
  <si>
    <t>79272621924</t>
  </si>
  <si>
    <t>olegspopov@yandex.ru</t>
  </si>
  <si>
    <t>4/1-06/035</t>
  </si>
  <si>
    <t>Старикова Екатерина Евгеньевна</t>
  </si>
  <si>
    <t>79633434335</t>
  </si>
  <si>
    <t>Eliseeva.ee@mail.ru</t>
  </si>
  <si>
    <t>4/1-10/066</t>
  </si>
  <si>
    <t>Кочарян Флора Кареновна</t>
  </si>
  <si>
    <t>71234566666</t>
  </si>
  <si>
    <t>flora.kocharyan@yandex.ru</t>
  </si>
  <si>
    <t>3/1-17/139</t>
  </si>
  <si>
    <t>Матвеев Александр Анатольевич</t>
  </si>
  <si>
    <t>79277078808</t>
  </si>
  <si>
    <t>matveevaa63@mail.ru</t>
  </si>
  <si>
    <t>4/4-08/458</t>
  </si>
  <si>
    <t>Гасанов Табриз Тейюб Оглы</t>
  </si>
  <si>
    <t>79879095479</t>
  </si>
  <si>
    <t>tabriz.gasanov.63@mail.ru</t>
  </si>
  <si>
    <t>4/1-12/083</t>
  </si>
  <si>
    <t>Ишбулдина Диана Сергеевна</t>
  </si>
  <si>
    <t>79169376617</t>
  </si>
  <si>
    <t>dianaisbuldina@gmail.com</t>
  </si>
  <si>
    <t>4/1-09/061</t>
  </si>
  <si>
    <t>Артемьев Юрий Владимирович</t>
  </si>
  <si>
    <t>79649777716</t>
  </si>
  <si>
    <t>artemev87@mail.ru</t>
  </si>
  <si>
    <t>3/6-07/883</t>
  </si>
  <si>
    <t>Ерошкина Любовь Владимировна</t>
  </si>
  <si>
    <t>79376674998</t>
  </si>
  <si>
    <t>lub.eroschkina@yandex.ru</t>
  </si>
  <si>
    <t>3/1-22/182</t>
  </si>
  <si>
    <t>Жиганов Евгений Константинович</t>
  </si>
  <si>
    <t>79063414441</t>
  </si>
  <si>
    <t>zhiganovek@mail.ru</t>
  </si>
  <si>
    <t>4/4-03/412</t>
  </si>
  <si>
    <t>Кузнецова Алла Владимировна</t>
  </si>
  <si>
    <t>79171011222</t>
  </si>
  <si>
    <t>kuznetsovaalv@mail.ru</t>
  </si>
  <si>
    <t>4/1-05/028</t>
  </si>
  <si>
    <t>Кузнецов Евгений Игоревич</t>
  </si>
  <si>
    <t>79171014121</t>
  </si>
  <si>
    <t>Price.kuznetsov@yandex.ru</t>
  </si>
  <si>
    <t>3/1-06/040</t>
  </si>
  <si>
    <t>Дмитриенко Татьяна Юрьевна</t>
  </si>
  <si>
    <t>79879226410</t>
  </si>
  <si>
    <t>ztarasov1@yandex.ru</t>
  </si>
  <si>
    <t>4/1-06/040</t>
  </si>
  <si>
    <t>Сидоренко Любовь Григорьевна</t>
  </si>
  <si>
    <t>79879257536</t>
  </si>
  <si>
    <t>Gloss-samara@yandex.ru</t>
  </si>
  <si>
    <t>Наружная реклама - Щиты в области</t>
  </si>
  <si>
    <t>4/1-09/064</t>
  </si>
  <si>
    <t>79773620529</t>
  </si>
  <si>
    <t>Zapisvisa_ag@mail.ru</t>
  </si>
  <si>
    <t>3/1-05/032</t>
  </si>
  <si>
    <t>Бабамуратова Евгения Бекмуратовна</t>
  </si>
  <si>
    <t>79879594733</t>
  </si>
  <si>
    <t>eu@busareva.com</t>
  </si>
  <si>
    <t>4/1-06/039</t>
  </si>
  <si>
    <t>Буряк Елена Николаевна</t>
  </si>
  <si>
    <t>79276928885</t>
  </si>
  <si>
    <t>A.buryak86@mail.ru</t>
  </si>
  <si>
    <t>4/3-08/287</t>
  </si>
  <si>
    <t>Гришин Александр Анатольевич</t>
  </si>
  <si>
    <t>79279006838</t>
  </si>
  <si>
    <t>Aleksandr.grishin.81@inbox.ru</t>
  </si>
  <si>
    <t>3/6-09/902</t>
  </si>
  <si>
    <t>Крылов Максим Александрович</t>
  </si>
  <si>
    <t>79171670395</t>
  </si>
  <si>
    <t>tan0739@bk.ru</t>
  </si>
  <si>
    <t>4/1-02/004</t>
  </si>
  <si>
    <t>Короткова Наталья Васильевна</t>
  </si>
  <si>
    <t>79608146621</t>
  </si>
  <si>
    <t>Andrej.korotkov.74@mail.ru</t>
  </si>
  <si>
    <t>3/1-08/058</t>
  </si>
  <si>
    <t>Калитикова Татьяна Владимировна</t>
  </si>
  <si>
    <t>79531533784</t>
  </si>
  <si>
    <t>tasya.com@mail.ru</t>
  </si>
  <si>
    <t>4/2-16/238</t>
  </si>
  <si>
    <t>Богомолова Олеся Владимировна</t>
  </si>
  <si>
    <t>79277422107</t>
  </si>
  <si>
    <t>Oliesia_boghomolova@mail.ru</t>
  </si>
  <si>
    <t>4/2-12/208</t>
  </si>
  <si>
    <t>Корнилов Павел Андреевич</t>
  </si>
  <si>
    <t>79272670738</t>
  </si>
  <si>
    <t>pavelk1990@yandex.ru</t>
  </si>
  <si>
    <t>3/1-22/188</t>
  </si>
  <si>
    <t>Зайцева Екатерина Владимировна</t>
  </si>
  <si>
    <t>79279083882</t>
  </si>
  <si>
    <t>buravshik@mail.ru</t>
  </si>
  <si>
    <t>3/5-01/018</t>
  </si>
  <si>
    <t>Трынов Олег Леонидович</t>
  </si>
  <si>
    <t>79272114959</t>
  </si>
  <si>
    <t>Olegovich.70@mail.ru</t>
  </si>
  <si>
    <t>3/5-01/019</t>
  </si>
  <si>
    <t>4/4-06/441</t>
  </si>
  <si>
    <t>Касьянов Виталий Геннадьевич</t>
  </si>
  <si>
    <t>79997019901</t>
  </si>
  <si>
    <t>kasyanov_vg@mail.ru</t>
  </si>
  <si>
    <t>4/2-08/176</t>
  </si>
  <si>
    <t>4/1-12/088</t>
  </si>
  <si>
    <t>Макарова Дарья Николаевна</t>
  </si>
  <si>
    <t>79272603173</t>
  </si>
  <si>
    <t>dmak163@mail.ru</t>
  </si>
  <si>
    <t>2/2-05/197</t>
  </si>
  <si>
    <t>Бондарева Диана Александровна</t>
  </si>
  <si>
    <t>79277239597</t>
  </si>
  <si>
    <t>3/1-20/166</t>
  </si>
  <si>
    <t>Герасимов Семён Михайлович</t>
  </si>
  <si>
    <t>79021582190</t>
  </si>
  <si>
    <t>semen16.99@mail.ru</t>
  </si>
  <si>
    <t>4/2-05/152</t>
  </si>
  <si>
    <t>Пописташ Борис Викторович</t>
  </si>
  <si>
    <t>79292162050</t>
  </si>
  <si>
    <t>boris@rachitele.ru</t>
  </si>
  <si>
    <t>4/1-07/045</t>
  </si>
  <si>
    <t>Сарбитова Анастасия Юрьевна</t>
  </si>
  <si>
    <t>79991721700</t>
  </si>
  <si>
    <t>stefanyuk96@mail.ru</t>
  </si>
  <si>
    <t>4/1-06/036</t>
  </si>
  <si>
    <t>Антонов Александр Олегович</t>
  </si>
  <si>
    <t>79874344367</t>
  </si>
  <si>
    <t>sasha08.98.2015@yandex.ru</t>
  </si>
  <si>
    <t>3/1-21/179</t>
  </si>
  <si>
    <t>Меньших Сергей Федорович</t>
  </si>
  <si>
    <t>79171502786</t>
  </si>
  <si>
    <t>mst@evrobiotech.ru</t>
  </si>
  <si>
    <t>3/6-10/911</t>
  </si>
  <si>
    <t>Давлетов Азамат Ахметджанович</t>
  </si>
  <si>
    <t>79957912014</t>
  </si>
  <si>
    <t>Zamadavletov@gmail.com</t>
  </si>
  <si>
    <t>4/1-16/120</t>
  </si>
  <si>
    <t>Артемьев Сергей Викторович</t>
  </si>
  <si>
    <t>79277782855</t>
  </si>
  <si>
    <t>89277507454@yandex.ru</t>
  </si>
  <si>
    <t>Доп.соглашение о смене отделки с предчистовой на чистовую</t>
  </si>
  <si>
    <t>3/2-23/378</t>
  </si>
  <si>
    <t>Смирнов Максим Николаевич</t>
  </si>
  <si>
    <t>79379948217</t>
  </si>
  <si>
    <t>smirnowmax1990@gmail.com</t>
  </si>
  <si>
    <t>4/3-11/308</t>
  </si>
  <si>
    <t>Осипкина Екатерина Сергеевна</t>
  </si>
  <si>
    <t>79273891398</t>
  </si>
  <si>
    <t>sharova.2@yandex.ru</t>
  </si>
  <si>
    <t>Изменение отделки с предчистовой на чистовую, в связи с предоставлением индивидуальной компенсации участникам СВО</t>
  </si>
  <si>
    <t>4/1-11/080</t>
  </si>
  <si>
    <t>Елышкин Александр Евгеньевич</t>
  </si>
  <si>
    <t>79869539855</t>
  </si>
  <si>
    <t>Elysh07@gmail.com</t>
  </si>
  <si>
    <t>4/4-11/485</t>
  </si>
  <si>
    <t>Слатов Михаил Владимирович</t>
  </si>
  <si>
    <t>79963421639</t>
  </si>
  <si>
    <t>mv.slatov113@gmail.com</t>
  </si>
  <si>
    <t>4/3-06/273</t>
  </si>
  <si>
    <t>Кондратьев Максим Сергеевич</t>
  </si>
  <si>
    <t>79874148713</t>
  </si>
  <si>
    <t>Shtylc@yandex.ru</t>
  </si>
  <si>
    <t>3/1-12/094</t>
  </si>
  <si>
    <t>Мурзина Екатерина Юрьевна</t>
  </si>
  <si>
    <t>79379837580</t>
  </si>
  <si>
    <t>murzina_katay@mail.ru</t>
  </si>
  <si>
    <t>4/2-13/211</t>
  </si>
  <si>
    <t>Гармышева Людмила Александровна</t>
  </si>
  <si>
    <t>79171076962</t>
  </si>
  <si>
    <t>vip.lyda2010@mail.ru</t>
  </si>
  <si>
    <t>4/1-13/090</t>
  </si>
  <si>
    <t>Ахметова Аида Альбековна</t>
  </si>
  <si>
    <t>79376561560</t>
  </si>
  <si>
    <t>Ahmetova_1999@icloud.com</t>
  </si>
  <si>
    <t>3/1-22/184</t>
  </si>
  <si>
    <t>Носиков Иван Сергеевич</t>
  </si>
  <si>
    <t>79967204889</t>
  </si>
  <si>
    <t>nosikovivan04@gmail.com</t>
  </si>
  <si>
    <t>4/2-02/121</t>
  </si>
  <si>
    <t>Борисова Наталья Александровна</t>
  </si>
  <si>
    <t>79376535081</t>
  </si>
  <si>
    <t>Bna.1989y392ak@gmail.com</t>
  </si>
  <si>
    <t>4/2-05/151</t>
  </si>
  <si>
    <t>Акулов Илья Павлович</t>
  </si>
  <si>
    <t>79372397725</t>
  </si>
  <si>
    <t>p.akulov73@mail.ru</t>
  </si>
  <si>
    <t>3/6-01/022</t>
  </si>
  <si>
    <t>Джурик Денис Васильевич</t>
  </si>
  <si>
    <t>79372500480</t>
  </si>
  <si>
    <t>ddzhurik@yandex.ru</t>
  </si>
  <si>
    <t>3/4-01/011</t>
  </si>
  <si>
    <t>79272780150</t>
  </si>
  <si>
    <t>4/3-05/265</t>
  </si>
  <si>
    <t>Погосян Арман Масисович</t>
  </si>
  <si>
    <t>79376570012</t>
  </si>
  <si>
    <t>pogarm_95@mail.ru</t>
  </si>
  <si>
    <t>4/2-09/183</t>
  </si>
  <si>
    <t>Терещенко Дмитрий Валерьевич</t>
  </si>
  <si>
    <t>79879176495</t>
  </si>
  <si>
    <t>1grv@mail.ru</t>
  </si>
  <si>
    <t>4/4-06/440</t>
  </si>
  <si>
    <t>Трыков Николай Олегович</t>
  </si>
  <si>
    <t>79277022378</t>
  </si>
  <si>
    <t>truk07@mail.ru</t>
  </si>
  <si>
    <t>4/1-08/051</t>
  </si>
  <si>
    <t>Мельникова Елена Николаевна</t>
  </si>
  <si>
    <t>79272967159</t>
  </si>
  <si>
    <t>kurochka_rjaba@list.ru</t>
  </si>
  <si>
    <t>4/2-11/193</t>
  </si>
  <si>
    <t>Пчелинцева Клавдия Сергеевна</t>
  </si>
  <si>
    <t>79271073325</t>
  </si>
  <si>
    <t>klaudiashifer1989@mail.ru</t>
  </si>
  <si>
    <t>3/4-01/013</t>
  </si>
  <si>
    <t>Синютин Антон Вячеславович</t>
  </si>
  <si>
    <t>79270097272</t>
  </si>
  <si>
    <t>samara_beer@mail.ru</t>
  </si>
  <si>
    <t>3/4-01/014</t>
  </si>
  <si>
    <t>4/3-05/262</t>
  </si>
  <si>
    <t>Скрибец Гузель Киямодиновна</t>
  </si>
  <si>
    <t>79276049178</t>
  </si>
  <si>
    <t>yari208@mail.ru</t>
  </si>
  <si>
    <t>4/4-09/467</t>
  </si>
  <si>
    <t>Максимова Яна Анатольевна</t>
  </si>
  <si>
    <t>79371814420</t>
  </si>
  <si>
    <t>yana.maksimova.1688@mail.ru</t>
  </si>
  <si>
    <t>4/4-08/462</t>
  </si>
  <si>
    <t>Каримов Рузиль Рамильевич</t>
  </si>
  <si>
    <t>79379849442</t>
  </si>
  <si>
    <t>ruzik700@gmail.com</t>
  </si>
  <si>
    <t>3/1-18/149</t>
  </si>
  <si>
    <t>Рамазанов Ильдар Рахимжанович</t>
  </si>
  <si>
    <t>79998082266</t>
  </si>
  <si>
    <t>ildarramazanov22008@yandex.ru</t>
  </si>
  <si>
    <t>4/3-07/280</t>
  </si>
  <si>
    <t>Шукалаков Руслан Бахатович</t>
  </si>
  <si>
    <t>79206667932</t>
  </si>
  <si>
    <t>ruslanshukalakov@mail.ru</t>
  </si>
  <si>
    <t>3/4-01/012</t>
  </si>
  <si>
    <t>Ковалев Евгений Олегович</t>
  </si>
  <si>
    <t>79270078464</t>
  </si>
  <si>
    <t>kovalyov85@mail.ru</t>
  </si>
  <si>
    <t>3/1-01/001</t>
  </si>
  <si>
    <t>Попова Людмила Викторовна</t>
  </si>
  <si>
    <t>79270122532</t>
  </si>
  <si>
    <t>89270122532@mail.ru</t>
  </si>
  <si>
    <t>4/2-02/124</t>
  </si>
  <si>
    <t>Штефан Валерия Владимировна</t>
  </si>
  <si>
    <t>79141682601</t>
  </si>
  <si>
    <t>Ler4ik-1.92@mail.ru</t>
  </si>
  <si>
    <t>3/1-13/103</t>
  </si>
  <si>
    <t>Изотов Роман Олегович</t>
  </si>
  <si>
    <t>79277065573</t>
  </si>
  <si>
    <t>izotovroman30041997@mail.ru</t>
  </si>
  <si>
    <t>4/2-10/187</t>
  </si>
  <si>
    <t>Бочкарева Марина Анатольевна</t>
  </si>
  <si>
    <t>79370691950</t>
  </si>
  <si>
    <t>Yesragdoll@gmail.com</t>
  </si>
  <si>
    <t>4/4-07/450</t>
  </si>
  <si>
    <t>Копылов Николай Александрович</t>
  </si>
  <si>
    <t>79276866397</t>
  </si>
  <si>
    <t>4/3-24/401</t>
  </si>
  <si>
    <t>Бобров Дмитрий Степанович</t>
  </si>
  <si>
    <t>79608130003</t>
  </si>
  <si>
    <t>4/3-02/247</t>
  </si>
  <si>
    <t>Филатова Анастасия Васильевна</t>
  </si>
  <si>
    <t>79874580008</t>
  </si>
  <si>
    <t>nastena.filatova.19@mail.ru</t>
  </si>
  <si>
    <t>3/6-06/875</t>
  </si>
  <si>
    <t>Лукьянов Виталий Евгеньевич</t>
  </si>
  <si>
    <t>79874261309</t>
  </si>
  <si>
    <t>vitaliylukianov66@gmail.com</t>
  </si>
  <si>
    <t>4/3-18/357</t>
  </si>
  <si>
    <t>Макина Мария Степановна</t>
  </si>
  <si>
    <t>79171218501</t>
  </si>
  <si>
    <t>Masha0makina@yandex.ru</t>
  </si>
  <si>
    <t>4/3-09/292</t>
  </si>
  <si>
    <t>Филиппов Виталий Валерьевич</t>
  </si>
  <si>
    <t>79272014497</t>
  </si>
  <si>
    <t>vita.vitalya@mail.ru</t>
  </si>
  <si>
    <t>4/2-04/140</t>
  </si>
  <si>
    <t>Седов Михаил Юрьевич</t>
  </si>
  <si>
    <t>79379861084</t>
  </si>
  <si>
    <t>sedovaolv4@yandex.ru</t>
  </si>
  <si>
    <t>3/1-16/131</t>
  </si>
  <si>
    <t>Шафиков Ришат Рашитович</t>
  </si>
  <si>
    <t>79869041428</t>
  </si>
  <si>
    <t>shr08091979@mail.ru</t>
  </si>
  <si>
    <t>4/1-06/037</t>
  </si>
  <si>
    <t>Леднев Алексей Сергеевич</t>
  </si>
  <si>
    <t>79370669733</t>
  </si>
  <si>
    <t>mari.lednewa.93@mail.ru</t>
  </si>
  <si>
    <t>4/2-03/131</t>
  </si>
  <si>
    <t>Лысова Юлия Владимировна</t>
  </si>
  <si>
    <t>79277328001</t>
  </si>
  <si>
    <t>Zubnaya_feia@mail.ru</t>
  </si>
  <si>
    <t>4/1-07/044</t>
  </si>
  <si>
    <t>Назаргалеева Алина Азатовна</t>
  </si>
  <si>
    <t>79276560405</t>
  </si>
  <si>
    <t>alina030488@mail.ru</t>
  </si>
  <si>
    <t>4/3-17/346</t>
  </si>
  <si>
    <t>Титова Любовь Михайловна</t>
  </si>
  <si>
    <t>79377937369</t>
  </si>
  <si>
    <t>anastasiay2595@gmail.com</t>
  </si>
  <si>
    <t>4/3-04/259</t>
  </si>
  <si>
    <t>Сафонова Светлана Владимировна</t>
  </si>
  <si>
    <t>79276161309</t>
  </si>
  <si>
    <t>Sveta.tolstova.16@bk.ru</t>
  </si>
  <si>
    <t>4/4-15/523</t>
  </si>
  <si>
    <t>Пономарев Андрей Александрович</t>
  </si>
  <si>
    <t>79053037058</t>
  </si>
  <si>
    <t>kcvladimirovna@yandex.ru</t>
  </si>
  <si>
    <t>4/1-13/091</t>
  </si>
  <si>
    <t>Ивлева Юлия Викторовна</t>
  </si>
  <si>
    <t>79376624226</t>
  </si>
  <si>
    <t>alex.ivlev2012@gmail.com</t>
  </si>
  <si>
    <t>4/4-09/470</t>
  </si>
  <si>
    <t>Каткасов Александр Викторович</t>
  </si>
  <si>
    <t>79277055528</t>
  </si>
  <si>
    <t>katckasov@yandex.ru</t>
  </si>
  <si>
    <t>4/4-15/522</t>
  </si>
  <si>
    <t>3/1-23/193</t>
  </si>
  <si>
    <t>Петрова Галина Владимировна</t>
  </si>
  <si>
    <t>79276563563</t>
  </si>
  <si>
    <t>Linka_1970@mail.ru</t>
  </si>
  <si>
    <t>СЗ купил квартиру у собственника</t>
  </si>
  <si>
    <t>4/1-04/019</t>
  </si>
  <si>
    <t>Каштанова Юлия Сергеевна</t>
  </si>
  <si>
    <t>79879557435</t>
  </si>
  <si>
    <t>ms.julia251@mail.ru</t>
  </si>
  <si>
    <t>4/2-06/153</t>
  </si>
  <si>
    <t>Арбузова Елена Александровна</t>
  </si>
  <si>
    <t>71111152336</t>
  </si>
  <si>
    <t>Arbuzova.lenka@mail.ru</t>
  </si>
  <si>
    <t>4/4-15/524</t>
  </si>
  <si>
    <t>Пересыпкина Светлана Юрьевна</t>
  </si>
  <si>
    <t>79879440622</t>
  </si>
  <si>
    <t>peresypkina.svitlana@yandex.ru</t>
  </si>
  <si>
    <t>4/1-15/107</t>
  </si>
  <si>
    <t>Небайкин Андрей Сергеевич</t>
  </si>
  <si>
    <t>79171616388</t>
  </si>
  <si>
    <t>Andrey.pegas20@bk.ru</t>
  </si>
  <si>
    <t>4/1-12/085</t>
  </si>
  <si>
    <t>Страхова Лариса Александровна</t>
  </si>
  <si>
    <t>79379970799</t>
  </si>
  <si>
    <t>Lara.st.7878@mail.ru</t>
  </si>
  <si>
    <t>4/1-10/069</t>
  </si>
  <si>
    <t>Доронина Наталья Евгеньевна</t>
  </si>
  <si>
    <t>79376461434</t>
  </si>
  <si>
    <t>doronina27@mail.ru</t>
  </si>
  <si>
    <t>4/3-04/261</t>
  </si>
  <si>
    <t>Акопян, Ольга Васильевна</t>
  </si>
  <si>
    <t>79879278138</t>
  </si>
  <si>
    <t>olga.sergeeva0309@gmail.com</t>
  </si>
  <si>
    <t>4/3-15/336</t>
  </si>
  <si>
    <t>Жильцов Александр Юрьевич</t>
  </si>
  <si>
    <t>79277034930</t>
  </si>
  <si>
    <t>a.zhiltsoff@yandex.ru</t>
  </si>
  <si>
    <t>4/3-03/253</t>
  </si>
  <si>
    <t>Яздонов Мухаммадюсуф Бахтиёрович</t>
  </si>
  <si>
    <t>79371813333</t>
  </si>
  <si>
    <t>yazdonov95@bk.ru</t>
  </si>
  <si>
    <t>3/2-19/348</t>
  </si>
  <si>
    <t>Гулий Владислав Александрович</t>
  </si>
  <si>
    <t>79871397848</t>
  </si>
  <si>
    <t>gelik_99@bk.ru</t>
  </si>
  <si>
    <t>4/3-10/301</t>
  </si>
  <si>
    <t>Курносов Павел Павлович</t>
  </si>
  <si>
    <t>79063470168</t>
  </si>
  <si>
    <t>valentina06101998@yandex.ru</t>
  </si>
  <si>
    <t>3/1-15/121</t>
  </si>
  <si>
    <t>Меркушев Сергей Александрович</t>
  </si>
  <si>
    <t>79874385219</t>
  </si>
  <si>
    <t>merkusheva.88@mail.ru</t>
  </si>
  <si>
    <t>4/2-07/167</t>
  </si>
  <si>
    <t>Мачинский Николай Васильевич</t>
  </si>
  <si>
    <t>79121032762</t>
  </si>
  <si>
    <t>koliso1981@mail.ru</t>
  </si>
  <si>
    <t>3/2-01/005</t>
  </si>
  <si>
    <t>Стройкомфорт</t>
  </si>
  <si>
    <t>79276977603</t>
  </si>
  <si>
    <t>№ ДДУ в ЕГРН (и на договоре) 3/2-05/005</t>
  </si>
  <si>
    <t>3/4-01/015</t>
  </si>
  <si>
    <t>Зайцева Анастасия Олеговна</t>
  </si>
  <si>
    <t>79276901506</t>
  </si>
  <si>
    <t>Zaitev.a.m@gmail.com</t>
  </si>
  <si>
    <t>4/1-06/034</t>
  </si>
  <si>
    <t>Павлов Данил Владимирович</t>
  </si>
  <si>
    <t>79170338786</t>
  </si>
  <si>
    <t>yeezylumba@gmail.com</t>
  </si>
  <si>
    <t>4/4-09/469</t>
  </si>
  <si>
    <t>Сайдалиев Муслим Давляталиевич</t>
  </si>
  <si>
    <t>79198102806</t>
  </si>
  <si>
    <t>Kombiz_1997@bk.ru</t>
  </si>
  <si>
    <t>4/1-04/021</t>
  </si>
  <si>
    <t>Антонов Дмитрий Алексеевич</t>
  </si>
  <si>
    <t>79277635817</t>
  </si>
  <si>
    <t>alesya3alex@yandex.ru</t>
  </si>
  <si>
    <t>3/1-17/140</t>
  </si>
  <si>
    <t>Мальчевский Иван Юрьевич</t>
  </si>
  <si>
    <t>79270107062</t>
  </si>
  <si>
    <t>i.malchevskiy@mail.ru</t>
  </si>
  <si>
    <t>4/3-12/315</t>
  </si>
  <si>
    <t>Елин Василий Николаевич</t>
  </si>
  <si>
    <t>79270192236</t>
  </si>
  <si>
    <t>Vasigggg@yandex.ru</t>
  </si>
  <si>
    <t>4/4-13/503</t>
  </si>
  <si>
    <t>Борисов Александр Викторович</t>
  </si>
  <si>
    <t>79279090363</t>
  </si>
  <si>
    <t>Croshi4ka@mail.ru</t>
  </si>
  <si>
    <t>4/2-08/169</t>
  </si>
  <si>
    <t>Жилкин Виктор Владимирович</t>
  </si>
  <si>
    <t>79371891066</t>
  </si>
  <si>
    <t>viktor.zhilkin.1997@mail.ru</t>
  </si>
  <si>
    <t>4/4-04/422</t>
  </si>
  <si>
    <t>Язанов Алишер Рустамович</t>
  </si>
  <si>
    <t>79774858687</t>
  </si>
  <si>
    <t>vaxdat@mail.ru</t>
  </si>
  <si>
    <t>4/4-12/496</t>
  </si>
  <si>
    <t>Федосов Алексей Евгеньевич</t>
  </si>
  <si>
    <t>79171424400</t>
  </si>
  <si>
    <t>elenafedosova1977@bk.ru</t>
  </si>
  <si>
    <t>4/2-11/198</t>
  </si>
  <si>
    <t>Учватова Ирина Михайловна</t>
  </si>
  <si>
    <t>79372058198</t>
  </si>
  <si>
    <t>it-resource.pro@ya.ru</t>
  </si>
  <si>
    <t>4/2-16/237</t>
  </si>
  <si>
    <t>Привалов Денис Николаевич</t>
  </si>
  <si>
    <t>79874348566</t>
  </si>
  <si>
    <t>4/1-08/053</t>
  </si>
  <si>
    <t>Шилов Владислав Вадимович</t>
  </si>
  <si>
    <t>79276583765</t>
  </si>
  <si>
    <t>vlad.motionup@gmail.com</t>
  </si>
  <si>
    <t>4/3-18/356</t>
  </si>
  <si>
    <t>Карасев Юрий Алексеевич</t>
  </si>
  <si>
    <t>79225368435</t>
  </si>
  <si>
    <t>Karasev.56@yandex.ru</t>
  </si>
  <si>
    <t>4/3-14/328</t>
  </si>
  <si>
    <t>Комендантов Алексей Викторович</t>
  </si>
  <si>
    <t>79228289333</t>
  </si>
  <si>
    <t>Lexa-kom-333@yandex.ru</t>
  </si>
  <si>
    <t>4/1-10/067</t>
  </si>
  <si>
    <t>Шибаков Александр Владимирович</t>
  </si>
  <si>
    <t>79372373997</t>
  </si>
  <si>
    <t>mariyashirobokova@rambler.ru</t>
  </si>
  <si>
    <t>4/1-02/005</t>
  </si>
  <si>
    <t>Суфиев Зафар Ахмадович</t>
  </si>
  <si>
    <t>79295884542</t>
  </si>
  <si>
    <t>rmavdzhuda@mail.ru</t>
  </si>
  <si>
    <t>Пресса - СМИ online Прогород.ру</t>
  </si>
  <si>
    <t>4/4-07/449</t>
  </si>
  <si>
    <t>Богатенкова Екатерина Владимировна</t>
  </si>
  <si>
    <t>katya19021979@mail.ru</t>
  </si>
  <si>
    <t>4/3-08/283</t>
  </si>
  <si>
    <t>Поляков Антон Григорьевич</t>
  </si>
  <si>
    <t>79885820992</t>
  </si>
  <si>
    <t>sviatoj2707@gmail.com</t>
  </si>
  <si>
    <t>4/3-20/373</t>
  </si>
  <si>
    <t>Гринкевич Алеся Андреевна</t>
  </si>
  <si>
    <t>79179411171</t>
  </si>
  <si>
    <t>grinkevich2000@mail.ru</t>
  </si>
  <si>
    <t>Весна</t>
  </si>
  <si>
    <t>3/1-18/148</t>
  </si>
  <si>
    <t>Назин Александр Сергеевич</t>
  </si>
  <si>
    <t>79277198944</t>
  </si>
  <si>
    <t>nazin1986@mail.ru</t>
  </si>
  <si>
    <t>3/2-21/362</t>
  </si>
  <si>
    <t>Журавлев Николай Геннадьевич</t>
  </si>
  <si>
    <t>79272006519</t>
  </si>
  <si>
    <t>Bep901@yandex.ru</t>
  </si>
  <si>
    <t>4/4-03/413</t>
  </si>
  <si>
    <t>Кочоян Амаяк Агасович</t>
  </si>
  <si>
    <t>79649822299</t>
  </si>
  <si>
    <t>amayak.kochoyan@mail.ru</t>
  </si>
  <si>
    <t>4/2-03/133</t>
  </si>
  <si>
    <t>Черепкова Наталия Валериевна</t>
  </si>
  <si>
    <t>79270047325</t>
  </si>
  <si>
    <t>Cherepkova.1977@mail.ru</t>
  </si>
  <si>
    <t>3/1-20/167</t>
  </si>
  <si>
    <t>Саяпин Евгений Анатольевич</t>
  </si>
  <si>
    <t>79879543771</t>
  </si>
  <si>
    <t>John_78@inbox.ru</t>
  </si>
  <si>
    <t>3/1-23/197</t>
  </si>
  <si>
    <t>Кочарова Татьяна Гарриевна</t>
  </si>
  <si>
    <t>79093293292</t>
  </si>
  <si>
    <t>kocharova89@mail.ru</t>
  </si>
  <si>
    <t>4/1-13/092</t>
  </si>
  <si>
    <t>Магасова Ольга Ивановна</t>
  </si>
  <si>
    <t>79674832302</t>
  </si>
  <si>
    <t>ol.yudina.ol@gmail.com</t>
  </si>
  <si>
    <t>3/2-24/388</t>
  </si>
  <si>
    <t>Улитина Екатерина Сергеевна</t>
  </si>
  <si>
    <t>79276935720</t>
  </si>
  <si>
    <t>eulitina8@mail.ru</t>
  </si>
  <si>
    <t>4/1-08/052</t>
  </si>
  <si>
    <t>Баев Василий Викторович</t>
  </si>
  <si>
    <t>79277347088</t>
  </si>
  <si>
    <t>Vasilisk.1205baev1968@gmail.com</t>
  </si>
  <si>
    <t>4/4-04/421</t>
  </si>
  <si>
    <t>Слепнева Альфия Ришатовна</t>
  </si>
  <si>
    <t>79879156406</t>
  </si>
  <si>
    <t>imamova163@yandex.ru</t>
  </si>
  <si>
    <t>4/3-04/258</t>
  </si>
  <si>
    <t>Карпеченко Ирина Александровна</t>
  </si>
  <si>
    <t>79145726532</t>
  </si>
  <si>
    <t>klub_belogorsk2@mail.ru</t>
  </si>
  <si>
    <t>4/4-04/426</t>
  </si>
  <si>
    <t>Золотцева Евгения Игоревна</t>
  </si>
  <si>
    <t>79371769503</t>
  </si>
  <si>
    <t>tyz_84@mail.ru</t>
  </si>
  <si>
    <t>4/4-05/431</t>
  </si>
  <si>
    <t>Костюченко Николай Юрьевич</t>
  </si>
  <si>
    <t>79995812805</t>
  </si>
  <si>
    <t>nick.kost.63@gmail.com</t>
  </si>
  <si>
    <t>4/2-16/235</t>
  </si>
  <si>
    <t>Тихонова Марина Юрьевна</t>
  </si>
  <si>
    <t>79370651640</t>
  </si>
  <si>
    <t>tihonova.angelcatp@gmail.com</t>
  </si>
  <si>
    <t>3/2-01/007</t>
  </si>
  <si>
    <t>Альянс</t>
  </si>
  <si>
    <t>79967205000</t>
  </si>
  <si>
    <t>4/3-04/255</t>
  </si>
  <si>
    <t>Хачатурян Марина Рамановна</t>
  </si>
  <si>
    <t>79879502197</t>
  </si>
  <si>
    <t>khachaturyan.83@internet.ru</t>
  </si>
  <si>
    <t>4/4-05/432</t>
  </si>
  <si>
    <t>Галиулин Владимир Михайлович</t>
  </si>
  <si>
    <t>79879178227</t>
  </si>
  <si>
    <t>Vladimir.sam63@yandex.ru</t>
  </si>
  <si>
    <t>4/1-15/105</t>
  </si>
  <si>
    <t>Мелькина Алена Юрьевна</t>
  </si>
  <si>
    <t>79372451626</t>
  </si>
  <si>
    <t>alencik888@mail.ru</t>
  </si>
  <si>
    <t>4/2-10/186</t>
  </si>
  <si>
    <t>Соболев Дмитрий Александрович</t>
  </si>
  <si>
    <t>79125154208</t>
  </si>
  <si>
    <t>soboiev86rus@mail.ru</t>
  </si>
  <si>
    <t>4/2-09/181</t>
  </si>
  <si>
    <t>Гаврилова Ольга Владимировна</t>
  </si>
  <si>
    <t>79377949089</t>
  </si>
  <si>
    <t>gavrilova.olga81@yandex.ru</t>
  </si>
  <si>
    <t>3/1-21/176</t>
  </si>
  <si>
    <t>Гранкина Дарья Владимировна</t>
  </si>
  <si>
    <t>79277240092</t>
  </si>
  <si>
    <t>Grankinadv@yandex.ru</t>
  </si>
  <si>
    <t>4/4-05/434</t>
  </si>
  <si>
    <t>Ибоян Садо Гагикович</t>
  </si>
  <si>
    <t>79370780075</t>
  </si>
  <si>
    <t>grisha.iboyan@mail.ru</t>
  </si>
  <si>
    <t>4/4-07/452</t>
  </si>
  <si>
    <t>Ибоян Джако Гагикович</t>
  </si>
  <si>
    <t>79370780073</t>
  </si>
  <si>
    <t>vip.djako@mail.ru</t>
  </si>
  <si>
    <t>3/1-24/203</t>
  </si>
  <si>
    <t>Хусаинова Зарина Маратовна</t>
  </si>
  <si>
    <t>79276535256</t>
  </si>
  <si>
    <t>zar-00@mail.ru</t>
  </si>
  <si>
    <t>4/2-10/188</t>
  </si>
  <si>
    <t xml:space="preserve"> Ключников Евгений Владимирович</t>
  </si>
  <si>
    <t>79871553394</t>
  </si>
  <si>
    <t>rem.dvi@yandex.ru</t>
  </si>
  <si>
    <t>3/1-23/194</t>
  </si>
  <si>
    <t>Курганова Клавдия Сергеевна</t>
  </si>
  <si>
    <t>79272634063</t>
  </si>
  <si>
    <t>Klava_boikova@mail.ru</t>
  </si>
  <si>
    <t>3/6-10/910</t>
  </si>
  <si>
    <t>Николаев Денис Викторович</t>
  </si>
  <si>
    <t>79171465209</t>
  </si>
  <si>
    <t>denisfarh1982@gmail.com</t>
  </si>
  <si>
    <t>3/2-20/354</t>
  </si>
  <si>
    <t>Кондратьева Мария Валериевна</t>
  </si>
  <si>
    <t>79277476122</t>
  </si>
  <si>
    <t>MariaZemskova21@yandex.ru</t>
  </si>
  <si>
    <t>4/2-06/159</t>
  </si>
  <si>
    <t>Атнагулов Сергей Вячеславович</t>
  </si>
  <si>
    <t>79874319562</t>
  </si>
  <si>
    <t>kristina.atnagulova@mail.ru</t>
  </si>
  <si>
    <t>Рассылка Рощинский</t>
  </si>
  <si>
    <t>4/2-04/144</t>
  </si>
  <si>
    <t>Паутов Максим Николаевич</t>
  </si>
  <si>
    <t>79871532388</t>
  </si>
  <si>
    <t>maks.pautov23@mail.ru</t>
  </si>
  <si>
    <t>4/4-06/442</t>
  </si>
  <si>
    <t>Галкин Даниил Сергеевич</t>
  </si>
  <si>
    <t>79372152321</t>
  </si>
  <si>
    <t>lfybk13@gmail.com</t>
  </si>
  <si>
    <t>4/2-12/205</t>
  </si>
  <si>
    <t>Зарипова Вероника Андреевна</t>
  </si>
  <si>
    <t>79879614575</t>
  </si>
  <si>
    <t>Veronika25sva@mail.ru</t>
  </si>
  <si>
    <t>4/2-12/207</t>
  </si>
  <si>
    <t>Уварова Дина Есмухамбетовна</t>
  </si>
  <si>
    <t>79397585856</t>
  </si>
  <si>
    <t>dina.uvarova.1984@mail.ru</t>
  </si>
  <si>
    <t>3/3-01/008</t>
  </si>
  <si>
    <t>79277493499</t>
  </si>
  <si>
    <t>4/1-05/031</t>
  </si>
  <si>
    <t>Царев Владимир Сергеевич</t>
  </si>
  <si>
    <t>79272092064</t>
  </si>
  <si>
    <t>v.s.tsaryov@mail.ru</t>
  </si>
  <si>
    <t>4/4-02/406</t>
  </si>
  <si>
    <t>Исмаилов Тимурбек Мухмадович</t>
  </si>
  <si>
    <t>79995389624</t>
  </si>
  <si>
    <t>ismailov95959595@icloud.com</t>
  </si>
  <si>
    <t>Инвестор</t>
  </si>
  <si>
    <t>4/3-21/378</t>
  </si>
  <si>
    <t>4/3-05/264</t>
  </si>
  <si>
    <t>Просвиркин Константин Владимирович</t>
  </si>
  <si>
    <t>79851410391</t>
  </si>
  <si>
    <t>konstantin.prosvirkin@gmail.com</t>
  </si>
  <si>
    <t>4/3-20/367</t>
  </si>
  <si>
    <t>Хусанова Сабина Садыковна</t>
  </si>
  <si>
    <t>79277514523</t>
  </si>
  <si>
    <t>mishashykshin@mail.ru</t>
  </si>
  <si>
    <t>4/4-10/474</t>
  </si>
  <si>
    <t>Ярисова Марина Васильевна</t>
  </si>
  <si>
    <t>79377911845</t>
  </si>
  <si>
    <t>jrisova@mail.ru</t>
  </si>
  <si>
    <t>4/2-07/163</t>
  </si>
  <si>
    <t>Антонян Марина Эдуардовна</t>
  </si>
  <si>
    <t>79379965400</t>
  </si>
  <si>
    <t>antonaushka@yandex.ru</t>
  </si>
  <si>
    <t>4/2-14/217</t>
  </si>
  <si>
    <t>Ниденс Максим Дмитриевич</t>
  </si>
  <si>
    <t>79270156747</t>
  </si>
  <si>
    <t>xlsc6wzz@gmail.com</t>
  </si>
  <si>
    <t>4/1-11/078</t>
  </si>
  <si>
    <t>Абдуназаров Бунёджон</t>
  </si>
  <si>
    <t>79825199869</t>
  </si>
  <si>
    <t>bunedzonabdunazarov@gmail.com</t>
  </si>
  <si>
    <t>4/4-10/476</t>
  </si>
  <si>
    <t>Алямовская Ольга Владимировна</t>
  </si>
  <si>
    <t>79279117808</t>
  </si>
  <si>
    <t>alamovskaaolga@gmail.com</t>
  </si>
  <si>
    <t>4/3-11/304</t>
  </si>
  <si>
    <t>Ахматова Анастасия Александровна</t>
  </si>
  <si>
    <t>79370703798</t>
  </si>
  <si>
    <t>29121919@rambler.ru</t>
  </si>
  <si>
    <t>4/1-03/012</t>
  </si>
  <si>
    <t>Прокаева Елена Александровна</t>
  </si>
  <si>
    <t>79198005781</t>
  </si>
  <si>
    <t>PROKAEVA.EL@YANDEX.RU</t>
  </si>
  <si>
    <t>4/2-10/190</t>
  </si>
  <si>
    <t>Хвостов Николай Евгеньевич</t>
  </si>
  <si>
    <t>79277231030</t>
  </si>
  <si>
    <t>tuman-63@yandex.ru</t>
  </si>
  <si>
    <t>4/4-10/478</t>
  </si>
  <si>
    <t>Анисова Ольга Юрьевна</t>
  </si>
  <si>
    <t>79277011709</t>
  </si>
  <si>
    <t>oanatan127@gmail.com</t>
  </si>
  <si>
    <t>4/3-07/279</t>
  </si>
  <si>
    <t>Ибоян Зорба Гагикович</t>
  </si>
  <si>
    <t>79370780074</t>
  </si>
  <si>
    <t>iboyan.88@mail.ru</t>
  </si>
  <si>
    <t>4/1-07/043</t>
  </si>
  <si>
    <t>77775634617</t>
  </si>
  <si>
    <t>turin56@mail.ru</t>
  </si>
  <si>
    <t>4/3-08/286</t>
  </si>
  <si>
    <t>Бурбыга Василий Анатольевич</t>
  </si>
  <si>
    <t>79225550172</t>
  </si>
  <si>
    <t>Vasya-96.97@mail.ru</t>
  </si>
  <si>
    <t>4/3-23/388</t>
  </si>
  <si>
    <t>Фокин Сергей Александрович</t>
  </si>
  <si>
    <t>79170191797</t>
  </si>
  <si>
    <t>9170191797S@gmail.com</t>
  </si>
  <si>
    <t>4/2-07/165</t>
  </si>
  <si>
    <t>Куликов Александр Иванович</t>
  </si>
  <si>
    <t>79276506459</t>
  </si>
  <si>
    <t>anna.kulikova83@mail.ru</t>
  </si>
  <si>
    <t>4/4-15/527</t>
  </si>
  <si>
    <t>Самошенкова Елизавета Васильевна</t>
  </si>
  <si>
    <t>79276154364</t>
  </si>
  <si>
    <t>samoshenkowa@mail.ru</t>
  </si>
  <si>
    <t>3/1-21/175</t>
  </si>
  <si>
    <t>Маукенова Улбулсын Тлеубаевна</t>
  </si>
  <si>
    <t>79277671712</t>
  </si>
  <si>
    <t>g.maukenova@yandex.ru</t>
  </si>
  <si>
    <t>4/4-16/532</t>
  </si>
  <si>
    <t>Жиляев Михаил Юрьевич</t>
  </si>
  <si>
    <t>79372193510</t>
  </si>
  <si>
    <t>mikhailzhilyaev8@gmail.com</t>
  </si>
  <si>
    <t>4/4-09/473</t>
  </si>
  <si>
    <t>Лазарева Анна Юрьевна</t>
  </si>
  <si>
    <t>79272056477</t>
  </si>
  <si>
    <t>Sladost144@yandex.ru</t>
  </si>
  <si>
    <t>3/3-16/508</t>
  </si>
  <si>
    <t>Иванова Елена Викторовна</t>
  </si>
  <si>
    <t>79272639110</t>
  </si>
  <si>
    <t>kaketka73eiv@gmail.com</t>
  </si>
  <si>
    <t>4/4-05/433</t>
  </si>
  <si>
    <t>Джамалова Фируза Мансуровна</t>
  </si>
  <si>
    <t>79171030186</t>
  </si>
  <si>
    <t>firuza.dzhamalova.94@mail.ru</t>
  </si>
  <si>
    <t>4/3-13/318</t>
  </si>
  <si>
    <t>Вишневская, Наталья Юрьевна</t>
  </si>
  <si>
    <t>79370709773</t>
  </si>
  <si>
    <t>besianka@mail.ru</t>
  </si>
  <si>
    <t>4/3-02/245</t>
  </si>
  <si>
    <t>Хвостов Юрий Евгеньевич</t>
  </si>
  <si>
    <t>79371810722</t>
  </si>
  <si>
    <t>khvostowa.anna@yandex.ru</t>
  </si>
  <si>
    <t>4/4-15/521</t>
  </si>
  <si>
    <t>Михелев Никита Петрович</t>
  </si>
  <si>
    <t>79967437023</t>
  </si>
  <si>
    <t>mihelev.n@yandex.ru</t>
  </si>
  <si>
    <t>3/1-24/202</t>
  </si>
  <si>
    <t>Приступа Роман Евгеньевич</t>
  </si>
  <si>
    <t>79277703148</t>
  </si>
  <si>
    <t>romapristupa@yandex.ru</t>
  </si>
  <si>
    <t>4/2-02/123</t>
  </si>
  <si>
    <t>Митина Мария Геннадьевна</t>
  </si>
  <si>
    <t>79879101775</t>
  </si>
  <si>
    <t>mondeooptima@mail.ru</t>
  </si>
  <si>
    <t>4/4-16/531</t>
  </si>
  <si>
    <t>Печкурова Елена Николаевна</t>
  </si>
  <si>
    <t>79277335659</t>
  </si>
  <si>
    <t>pechkurovir@gmail.co446101</t>
  </si>
  <si>
    <t>4/3-17/351</t>
  </si>
  <si>
    <t>Форафонов Валерий Андреевич</t>
  </si>
  <si>
    <t>79083911845</t>
  </si>
  <si>
    <t>forafonovva007@gmail.com</t>
  </si>
  <si>
    <t>4/1-11/076</t>
  </si>
  <si>
    <t>Матвеев Борис Исаевич</t>
  </si>
  <si>
    <t>79171576066</t>
  </si>
  <si>
    <t>lisinaaa1985@gmail.com</t>
  </si>
  <si>
    <t>4/2-15/230</t>
  </si>
  <si>
    <t>Бабаян Георгий Артурович</t>
  </si>
  <si>
    <t>79376576777</t>
  </si>
  <si>
    <t>elenab17548@gmail.com</t>
  </si>
  <si>
    <t>4/2-03/130</t>
  </si>
  <si>
    <t>Ефимов Владимир Юрьевич</t>
  </si>
  <si>
    <t>79373338933</t>
  </si>
  <si>
    <t>efimov_vladimir93@rambler.ru</t>
  </si>
  <si>
    <t>4/2-10/191</t>
  </si>
  <si>
    <t>Скорикова Анна Олеговна</t>
  </si>
  <si>
    <t>79171536502</t>
  </si>
  <si>
    <t>Master-fyd@yandex.ru</t>
  </si>
  <si>
    <t>2/1-05/024</t>
  </si>
  <si>
    <t>Максимов Еммануил Борисович</t>
  </si>
  <si>
    <t>79198034045</t>
  </si>
  <si>
    <t>manylka9439@gmail.com</t>
  </si>
  <si>
    <t>4/1-15/106</t>
  </si>
  <si>
    <t>Медведев Иван Владимирович</t>
  </si>
  <si>
    <t>79033028019</t>
  </si>
  <si>
    <t>lenin194522@yandex.ru</t>
  </si>
  <si>
    <t>4/4-03/411</t>
  </si>
  <si>
    <t>Завьялова Лидия Анатольевна</t>
  </si>
  <si>
    <t>79094624182</t>
  </si>
  <si>
    <t>lidiyanatolevna5@gmail.com</t>
  </si>
  <si>
    <t>4/4-02/410</t>
  </si>
  <si>
    <t>Генералова Екатерина Сергеевна</t>
  </si>
  <si>
    <t>79370757414</t>
  </si>
  <si>
    <t>Generalovaes08@gmail.com</t>
  </si>
  <si>
    <t>4/3-11/306</t>
  </si>
  <si>
    <t>Итяксова Снежана Александровна</t>
  </si>
  <si>
    <t>79874412331</t>
  </si>
  <si>
    <t>ityaksova01@inbox.ru</t>
  </si>
  <si>
    <t>4/4-13/505</t>
  </si>
  <si>
    <t>Мищенкова Елена Владимировна</t>
  </si>
  <si>
    <t>79171143333</t>
  </si>
  <si>
    <t>astra163@mail.ru</t>
  </si>
  <si>
    <t>4/3-20/369</t>
  </si>
  <si>
    <t>Сенатов Виктор Тихонович</t>
  </si>
  <si>
    <t>79272059491</t>
  </si>
  <si>
    <t>Elena.A.Senatova@yandex.ru</t>
  </si>
  <si>
    <t>4/3-04/260</t>
  </si>
  <si>
    <t>Шеломенцев Владимир Александрович</t>
  </si>
  <si>
    <t>79272052070</t>
  </si>
  <si>
    <t>vladimir_nsk_89@mail.ru</t>
  </si>
  <si>
    <t>4/2-15/228</t>
  </si>
  <si>
    <t>Орехова Светлана Николаевна</t>
  </si>
  <si>
    <t>79276014774</t>
  </si>
  <si>
    <t>swetl.orehova2017@yandex.ru</t>
  </si>
  <si>
    <t>4/3-03/254</t>
  </si>
  <si>
    <t>Новиков Евгений Анатольевич</t>
  </si>
  <si>
    <t>79277244244</t>
  </si>
  <si>
    <t>evgen_novikov@bk.ru</t>
  </si>
  <si>
    <t>4/2-08/175</t>
  </si>
  <si>
    <t>Карякина Анна Павловна</t>
  </si>
  <si>
    <t>79050185672</t>
  </si>
  <si>
    <t>brianna-set@mail.ru</t>
  </si>
  <si>
    <t>4/3-12/314</t>
  </si>
  <si>
    <t>Дорофеев Константин Дмитриевич</t>
  </si>
  <si>
    <t>79370635053</t>
  </si>
  <si>
    <t>nv.d0rofeeva@yandex.ru</t>
  </si>
  <si>
    <t>4/1-14/100</t>
  </si>
  <si>
    <t>Дьяконова Ина Сергеевна</t>
  </si>
  <si>
    <t>79272975098</t>
  </si>
  <si>
    <t>Lucky969@mail.ru</t>
  </si>
  <si>
    <t>4/2-03/132</t>
  </si>
  <si>
    <t>Даньшов Дмитрий Анатольевич</t>
  </si>
  <si>
    <t>79084106963</t>
  </si>
  <si>
    <t>anna.danshova@mail.ru</t>
  </si>
  <si>
    <t>4/2-15/229</t>
  </si>
  <si>
    <t>Землянкин Роман Юрьевич</t>
  </si>
  <si>
    <t>79025802060</t>
  </si>
  <si>
    <t>zemlyankina.nelli@yandex.ru</t>
  </si>
  <si>
    <t>4/3-08/288</t>
  </si>
  <si>
    <t>Рабаева Нургуль Сериковна</t>
  </si>
  <si>
    <t>79874338197</t>
  </si>
  <si>
    <t>rabaeva06@mail.ru</t>
  </si>
  <si>
    <t>4/3-09/295</t>
  </si>
  <si>
    <t>Оганова Дианна Григорьевна</t>
  </si>
  <si>
    <t>79613848888</t>
  </si>
  <si>
    <t>oganova.diana@yandex.ru</t>
  </si>
  <si>
    <t>4/4-04/424</t>
  </si>
  <si>
    <t>Силаева Ольга Валерьевна</t>
  </si>
  <si>
    <t>79677257544</t>
  </si>
  <si>
    <t>silaevaolga88@mail.ru</t>
  </si>
  <si>
    <t>4/4-14/518</t>
  </si>
  <si>
    <t>Максимов Сергей Анатольевич</t>
  </si>
  <si>
    <t>79226061950</t>
  </si>
  <si>
    <t>xse-star@mail.ru</t>
  </si>
  <si>
    <t>4/1-09/060</t>
  </si>
  <si>
    <t>Биктагиров Дмитрий Альбертович</t>
  </si>
  <si>
    <t>79878919691</t>
  </si>
  <si>
    <t>biktagirovda@mail.ru</t>
  </si>
  <si>
    <t>4/4-16/536</t>
  </si>
  <si>
    <t>Тихонова Анастасия Алексеевна</t>
  </si>
  <si>
    <t>79626125241</t>
  </si>
  <si>
    <t>nastya.tihonova@internet.ru</t>
  </si>
  <si>
    <t>4/4-11/490</t>
  </si>
  <si>
    <t>Чебакова Марина Павловна</t>
  </si>
  <si>
    <t>79272199005</t>
  </si>
  <si>
    <t>Chebakova.m1@mail.ru</t>
  </si>
  <si>
    <t>4/1-16/114</t>
  </si>
  <si>
    <t>Абрамкина Наталья Алексеевна</t>
  </si>
  <si>
    <t>79371703000</t>
  </si>
  <si>
    <t>natali-abramkina@yandex.ru</t>
  </si>
  <si>
    <t>Новостройка</t>
  </si>
  <si>
    <t>4/4-07/451</t>
  </si>
  <si>
    <t>ТрансКапиталБанк</t>
  </si>
  <si>
    <t>Сайдалиев Санжар Улжабоевич</t>
  </si>
  <si>
    <t>79879113138</t>
  </si>
  <si>
    <t>yjugign89@gmail.com</t>
  </si>
  <si>
    <t>4/3-15/334</t>
  </si>
  <si>
    <t>Солдатова Галина Владимировна</t>
  </si>
  <si>
    <t>79170561558</t>
  </si>
  <si>
    <t>gsmadlen@gmail.com</t>
  </si>
  <si>
    <t>4/4-03/416</t>
  </si>
  <si>
    <t>Боярская Арина Ивановна</t>
  </si>
  <si>
    <t>79613934202</t>
  </si>
  <si>
    <t>arinagorb88@gmail.com</t>
  </si>
  <si>
    <t>4/2-10/185</t>
  </si>
  <si>
    <t>Богданова Елена Сергеевна</t>
  </si>
  <si>
    <t>79277359287</t>
  </si>
  <si>
    <t>bogdanovaelena63@mail.ru</t>
  </si>
  <si>
    <t>4/2-11/197</t>
  </si>
  <si>
    <t>Сенчева Виктория Геннадьевна</t>
  </si>
  <si>
    <t>79376551677</t>
  </si>
  <si>
    <t>sencheva.vg@yandex.ru</t>
  </si>
  <si>
    <t>4/2-14/223</t>
  </si>
  <si>
    <t>Грабилин Андрей Витальевич</t>
  </si>
  <si>
    <t>79619298123</t>
  </si>
  <si>
    <t>Grandrvit@yandex.ru</t>
  </si>
  <si>
    <t>1/1-01/005</t>
  </si>
  <si>
    <t>4/1-10/071</t>
  </si>
  <si>
    <t>Антипова Анфиса Геронтьевна</t>
  </si>
  <si>
    <t>79372312009</t>
  </si>
  <si>
    <t>anfiska.antipova@mail.ru</t>
  </si>
  <si>
    <t>4/4-03/418</t>
  </si>
  <si>
    <t>Иванушкин Николай Олегович</t>
  </si>
  <si>
    <t>79524249009</t>
  </si>
  <si>
    <t>ira.ivanuh2010@yandex.ru</t>
  </si>
  <si>
    <t>4/1-16/117</t>
  </si>
  <si>
    <t>Артюшевский Дмитрий Евгеньевич</t>
  </si>
  <si>
    <t>79879879388</t>
  </si>
  <si>
    <t>Katerin.a.bel@yandex.ru</t>
  </si>
  <si>
    <t>4/4-16/528</t>
  </si>
  <si>
    <t>Жирельева Анна Юрьевна</t>
  </si>
  <si>
    <t>79225329793</t>
  </si>
  <si>
    <t>annayurevna2804@mail.ru</t>
  </si>
  <si>
    <t>4/3-24/400</t>
  </si>
  <si>
    <t>Висков Дмитрий Владимирович</t>
  </si>
  <si>
    <t>79271035571</t>
  </si>
  <si>
    <t>Ltvnvnstj@rambler.ru</t>
  </si>
  <si>
    <t>4/1-11/075</t>
  </si>
  <si>
    <t>Бурлакова Ольга Владимировна</t>
  </si>
  <si>
    <t>79279043909</t>
  </si>
  <si>
    <t>O_cityvision@mail.ru</t>
  </si>
  <si>
    <t>4/1-13/093</t>
  </si>
  <si>
    <t>Селезнёва Ангелина Владимировна</t>
  </si>
  <si>
    <t>79371841840</t>
  </si>
  <si>
    <t>angelselezniowa@yandex.ru</t>
  </si>
  <si>
    <t>4/4-12/492</t>
  </si>
  <si>
    <t>Лазарев Валерий Викторович</t>
  </si>
  <si>
    <t>79871557576</t>
  </si>
  <si>
    <t>lazarev.valera1979@yandex.ru</t>
  </si>
  <si>
    <t>4/4-08/460</t>
  </si>
  <si>
    <t>Рауш Александра Сергеевна</t>
  </si>
  <si>
    <t>79171647003</t>
  </si>
  <si>
    <t>alya.raush.92@mail.ru</t>
  </si>
  <si>
    <t>4/1-05/025</t>
  </si>
  <si>
    <t>Шайдулин Ильнур Хайдарович</t>
  </si>
  <si>
    <t>79225300201</t>
  </si>
  <si>
    <t>ilnurik123@mail.ru</t>
  </si>
  <si>
    <t>4/3-10/298</t>
  </si>
  <si>
    <t>Староверов Дмитрий Викторович</t>
  </si>
  <si>
    <t>79276897574</t>
  </si>
  <si>
    <t>Golubova7@mail.ru</t>
  </si>
  <si>
    <t>4/2-12/201</t>
  </si>
  <si>
    <t>Гончаров Валерий Васильевич</t>
  </si>
  <si>
    <t>79278288462</t>
  </si>
  <si>
    <t>dfkthf1949@mail.ru</t>
  </si>
  <si>
    <t>4/3-08/285</t>
  </si>
  <si>
    <t>Калинников Александр Аркадьевич</t>
  </si>
  <si>
    <t>79053482502</t>
  </si>
  <si>
    <t>sasha.kalinnikov.65@mail.ru</t>
  </si>
  <si>
    <t>4/1-11/073</t>
  </si>
  <si>
    <t>Шмырёва Юлия Юрьевна</t>
  </si>
  <si>
    <t>79179584385</t>
  </si>
  <si>
    <t>yulya.shmyryova.88@bk.ru</t>
  </si>
  <si>
    <t>4/1-15/108</t>
  </si>
  <si>
    <t>Антонов Владимир Олегович</t>
  </si>
  <si>
    <t>79171114094</t>
  </si>
  <si>
    <t>nastya.styapkina@gmail.com</t>
  </si>
  <si>
    <t>4/3-11/307</t>
  </si>
  <si>
    <t>Крюков Николай Александрович</t>
  </si>
  <si>
    <t>79608418603</t>
  </si>
  <si>
    <t>n.a.kryukov@mail.ru</t>
  </si>
  <si>
    <t>4/3-23/393</t>
  </si>
  <si>
    <t>Артемеев Евгений Васильевич</t>
  </si>
  <si>
    <t>79272478082</t>
  </si>
  <si>
    <t>artemeev.russia@gmail.com</t>
  </si>
  <si>
    <t>4/3-23/394</t>
  </si>
  <si>
    <t>4/2-02/125</t>
  </si>
  <si>
    <t>Бирюкова Инна Андреевна</t>
  </si>
  <si>
    <t>79170147274</t>
  </si>
  <si>
    <t>innacow@mail.ru</t>
  </si>
  <si>
    <t>4/1-04/020</t>
  </si>
  <si>
    <t>Лебедев Александр Сергеевич</t>
  </si>
  <si>
    <t>79277730030</t>
  </si>
  <si>
    <t>Lebedeff.aleksandr2012@yandex.ru</t>
  </si>
  <si>
    <t>4/4-11/488</t>
  </si>
  <si>
    <t>Беляев Александр Владимирович</t>
  </si>
  <si>
    <t>79277073288</t>
  </si>
  <si>
    <t>sanbel.1987.63@gmail.com</t>
  </si>
  <si>
    <t>4/3-22/387</t>
  </si>
  <si>
    <t>Кредышев Роман Дмитриевич</t>
  </si>
  <si>
    <t>79171478663</t>
  </si>
  <si>
    <t>roman.kredyshev.99@bk.ru</t>
  </si>
  <si>
    <t>4/2-04/142</t>
  </si>
  <si>
    <t>Матосова Светлана Николаевна</t>
  </si>
  <si>
    <t>79022910402</t>
  </si>
  <si>
    <t>Matosova_82@mail.ru</t>
  </si>
  <si>
    <t>4/2-14/221</t>
  </si>
  <si>
    <t>Таласов Нурман Жарлыкапович</t>
  </si>
  <si>
    <t>79272673777</t>
  </si>
  <si>
    <t>n.talasoff@mail.ru</t>
  </si>
  <si>
    <t>4/3-17/350</t>
  </si>
  <si>
    <t>Соковых Елена Владимировна</t>
  </si>
  <si>
    <t>79869546865</t>
  </si>
  <si>
    <t>bykova138@inbox.ru</t>
  </si>
  <si>
    <t>4/1-12/087</t>
  </si>
  <si>
    <t>Юзькива Зухра Андржановна</t>
  </si>
  <si>
    <t>79083673712</t>
  </si>
  <si>
    <t>Zuhra1984@yandex.ru</t>
  </si>
  <si>
    <t>4/3-03/251</t>
  </si>
  <si>
    <t>Кирина Ирина Юрьевна</t>
  </si>
  <si>
    <t>79198086941</t>
  </si>
  <si>
    <t>4/1-09/059</t>
  </si>
  <si>
    <t>Елизарова Екатерина Викторовна</t>
  </si>
  <si>
    <t>79272626012</t>
  </si>
  <si>
    <t>Ekaterina.swelam@mail.ru</t>
  </si>
  <si>
    <t>4/1-05/032</t>
  </si>
  <si>
    <t>Калинина Ольга Анатольевна</t>
  </si>
  <si>
    <t>79179530658</t>
  </si>
  <si>
    <t>olgak4linina@yandex.ru</t>
  </si>
  <si>
    <t>4/4-09/472</t>
  </si>
  <si>
    <t>Ховрычева Алёна Сергеевна</t>
  </si>
  <si>
    <t>79379994425</t>
  </si>
  <si>
    <t>01wo12@rambler.ru</t>
  </si>
  <si>
    <t>4/1-08/056</t>
  </si>
  <si>
    <t>Биишева Татьяна Викторовна</t>
  </si>
  <si>
    <t>79058492054</t>
  </si>
  <si>
    <t>masv.01@mail.ru</t>
  </si>
  <si>
    <t>4/4-07/448</t>
  </si>
  <si>
    <t>Рудик Сергей Андреевич</t>
  </si>
  <si>
    <t>79171033222</t>
  </si>
  <si>
    <t>Serjik.Rudik@yandex.ru</t>
  </si>
  <si>
    <t>4/3-21/379</t>
  </si>
  <si>
    <t>Егоров Алексей Юрьевич</t>
  </si>
  <si>
    <t>79179437417</t>
  </si>
  <si>
    <t>Ninjabalu.ae@gmail.com</t>
  </si>
  <si>
    <t>4/4-03/414</t>
  </si>
  <si>
    <t>Вавилина Лилия Ростямовна</t>
  </si>
  <si>
    <t>79270501308</t>
  </si>
  <si>
    <t>lilya-zhenya2012@mail.ru</t>
  </si>
  <si>
    <t>4/3-11/309</t>
  </si>
  <si>
    <t>Синицин Виталий Вячеславович</t>
  </si>
  <si>
    <t>79688233876</t>
  </si>
  <si>
    <t>siniy1993@yandex.ru</t>
  </si>
  <si>
    <t>3/6-01/020</t>
  </si>
  <si>
    <t>Гришкова Ольга Исаковна</t>
  </si>
  <si>
    <t>79272604169</t>
  </si>
  <si>
    <t>rogozhina_kristi@mail.ru</t>
  </si>
  <si>
    <t>4/3-07/276</t>
  </si>
  <si>
    <t>Халимдарова Марлэна Каюмовна</t>
  </si>
  <si>
    <t>79023768807</t>
  </si>
  <si>
    <t>Murlena-halimdarova@mail.ru</t>
  </si>
  <si>
    <t>Рассылка - e-mail</t>
  </si>
  <si>
    <t>4/3-16/340</t>
  </si>
  <si>
    <t>Валиахметов Алмаз Филюсович</t>
  </si>
  <si>
    <t>79174633820</t>
  </si>
  <si>
    <t>Valialmaz@mail.ru</t>
  </si>
  <si>
    <t>4/1-05/029</t>
  </si>
  <si>
    <t>Мингазова Римма Римовна</t>
  </si>
  <si>
    <t>79328616078</t>
  </si>
  <si>
    <t>rimma.mingazova2019@mail.ru</t>
  </si>
  <si>
    <t>4/3-22/383</t>
  </si>
  <si>
    <t>Храмова Наталья Владимировна</t>
  </si>
  <si>
    <t>79171438403</t>
  </si>
  <si>
    <t>n.hramova@mail.ru</t>
  </si>
  <si>
    <t>4/3-16/339</t>
  </si>
  <si>
    <t>Припиченко Любовь Витальевна</t>
  </si>
  <si>
    <t>79376557747</t>
  </si>
  <si>
    <t>Lybov.pripichenko@icloud.com</t>
  </si>
  <si>
    <t>4/3-02/241</t>
  </si>
  <si>
    <t>Вечканова Анна Германовна</t>
  </si>
  <si>
    <t>79911941526</t>
  </si>
  <si>
    <t>Anyasok1994@mail.ru</t>
  </si>
  <si>
    <t>4/3-21/375</t>
  </si>
  <si>
    <t>4/4-01/018</t>
  </si>
  <si>
    <t>4/2-08/174</t>
  </si>
  <si>
    <t>Нехаев Вадим Владимирович</t>
  </si>
  <si>
    <t>79674852821</t>
  </si>
  <si>
    <t>vadik.nehaev@yandex.ru</t>
  </si>
  <si>
    <t>4/4-07/447</t>
  </si>
  <si>
    <t>Милентьева Анастасия Сергеевна</t>
  </si>
  <si>
    <t>79179538830</t>
  </si>
  <si>
    <t>milentieva.a@yandex.</t>
  </si>
  <si>
    <t>4/4-01/014</t>
  </si>
  <si>
    <t>4/1-06/033</t>
  </si>
  <si>
    <t>79874465582</t>
  </si>
  <si>
    <t>4/3-09/290</t>
  </si>
  <si>
    <t>Виноходов Евгений Алексеевич</t>
  </si>
  <si>
    <t>79228999828</t>
  </si>
  <si>
    <t>Eavinokhodov5@gmail.com</t>
  </si>
  <si>
    <t>4/4-14/511</t>
  </si>
  <si>
    <t>Хасанова Альбина Сакитовна</t>
  </si>
  <si>
    <t>79277866678</t>
  </si>
  <si>
    <t>tatarkaxas@iCloud.com</t>
  </si>
  <si>
    <t>4/1-05/030</t>
  </si>
  <si>
    <t>Русяева Ирина Александровна</t>
  </si>
  <si>
    <t>79991706596</t>
  </si>
  <si>
    <t>ria-9@mail.ru</t>
  </si>
  <si>
    <t>4/4-01/013</t>
  </si>
  <si>
    <t>4/4-01/016</t>
  </si>
  <si>
    <t>Ковалева Екатерина Михайловна</t>
  </si>
  <si>
    <t>79277984593</t>
  </si>
  <si>
    <t>katrinzetrin@mail.ru</t>
  </si>
  <si>
    <t>4/1-14/102</t>
  </si>
  <si>
    <t>Романов Игорь Владимирович</t>
  </si>
  <si>
    <t>79228466052</t>
  </si>
  <si>
    <t>romanovboss1975@mail.ru</t>
  </si>
  <si>
    <t>4/4-01/015</t>
  </si>
  <si>
    <t>79277550707</t>
  </si>
  <si>
    <t>Kozhevnikov.s.a@mail.ru</t>
  </si>
  <si>
    <t>3/5-01/017</t>
  </si>
  <si>
    <t>Волкова Мария Олеговна</t>
  </si>
  <si>
    <t>79379995431</t>
  </si>
  <si>
    <t>yavolkovamariya@gmail.com</t>
  </si>
  <si>
    <t>4/2-02/126</t>
  </si>
  <si>
    <t>Курова Валентина Валентиновна</t>
  </si>
  <si>
    <t>79297032388</t>
  </si>
  <si>
    <t>4/1-14/104</t>
  </si>
  <si>
    <t>Давыденко Иван Иванович</t>
  </si>
  <si>
    <t>79047116662</t>
  </si>
  <si>
    <t>dawydenkoiv@yandex.ru</t>
  </si>
  <si>
    <t>4/4-12/500</t>
  </si>
  <si>
    <t>Чижиков Дмитрий Валерьевич</t>
  </si>
  <si>
    <t>79372062250</t>
  </si>
  <si>
    <t>chigikof@mail.ru</t>
  </si>
  <si>
    <t>4/2-10/192</t>
  </si>
  <si>
    <t>Шатковский Юрий Сергеевич</t>
  </si>
  <si>
    <t>79272626704</t>
  </si>
  <si>
    <t>Granta.yura@mail.ru</t>
  </si>
  <si>
    <t>4/2-03/135</t>
  </si>
  <si>
    <t>Акименко Сергей Николаевич</t>
  </si>
  <si>
    <t>79997018182</t>
  </si>
  <si>
    <t>Chester36@mail.ru</t>
  </si>
  <si>
    <t>4/3-22/384</t>
  </si>
  <si>
    <t>Курлаганов Максим Владимирович</t>
  </si>
  <si>
    <t>79270021552</t>
  </si>
  <si>
    <t>Mv.kyrlaganov@gmail.com</t>
  </si>
  <si>
    <t>4/1-07/046</t>
  </si>
  <si>
    <t>Челеев Вячеслав Александрович</t>
  </si>
  <si>
    <t>cheleyeva@gmail.com</t>
  </si>
  <si>
    <t>4/4-15/525</t>
  </si>
  <si>
    <t>Пасечников Никита Александрович</t>
  </si>
  <si>
    <t>79277358548</t>
  </si>
  <si>
    <t>nikita.pasechnikov@yandex.ru</t>
  </si>
  <si>
    <t>4/4-12/494</t>
  </si>
  <si>
    <t>Михедько Виталий Александрович</t>
  </si>
  <si>
    <t>79272098731</t>
  </si>
  <si>
    <t>V.mihedko@gmail.com</t>
  </si>
  <si>
    <t>4/3-17/352</t>
  </si>
  <si>
    <t>Тарасов Максим Владимирович</t>
  </si>
  <si>
    <t>79277928133</t>
  </si>
  <si>
    <t>tarasovmaximvladimirovich@gmail.com</t>
  </si>
  <si>
    <t>4/3-22/381</t>
  </si>
  <si>
    <t>Павлов Алексей Александрович</t>
  </si>
  <si>
    <t>79397599101</t>
  </si>
  <si>
    <t>alexeypavlov163@gmail.com</t>
  </si>
  <si>
    <t>4/4-06/443</t>
  </si>
  <si>
    <t>Мендалиев Нурсултан Сансызбаевич</t>
  </si>
  <si>
    <t>79276988072</t>
  </si>
  <si>
    <t>nursultan.erkanaliev@yandex.ru</t>
  </si>
  <si>
    <t>3/6-01/021</t>
  </si>
  <si>
    <t>Косенко, Дмитрий Александрович</t>
  </si>
  <si>
    <t>79278991897</t>
  </si>
  <si>
    <t>89278991897@mail.ru</t>
  </si>
  <si>
    <t>4/4-02/402</t>
  </si>
  <si>
    <t>Сабитова Анастасия Павловна</t>
  </si>
  <si>
    <t>79053503841</t>
  </si>
  <si>
    <t>Kumertau@list.ru</t>
  </si>
  <si>
    <t>4/1-10/065</t>
  </si>
  <si>
    <t>Дельвиг Алиса Юрьевна</t>
  </si>
  <si>
    <t>79874318984</t>
  </si>
  <si>
    <t>alice.delvig@yandex.ru</t>
  </si>
  <si>
    <t>4/2-08/170</t>
  </si>
  <si>
    <t>Рахманкулова Александра Рустамовна</t>
  </si>
  <si>
    <t>79376526418</t>
  </si>
  <si>
    <t>Alexrahman1010@gmail.com</t>
  </si>
  <si>
    <t>4/3-12/312</t>
  </si>
  <si>
    <t>Ухлова Елена Николаевна</t>
  </si>
  <si>
    <t>79271942572</t>
  </si>
  <si>
    <t>elena.uhlova@mail.ru</t>
  </si>
  <si>
    <t>4/3-04/257</t>
  </si>
  <si>
    <t>Хохлов Сергей Михайлович</t>
  </si>
  <si>
    <t>79272071635</t>
  </si>
  <si>
    <t>hgns@mail.ru</t>
  </si>
  <si>
    <t>4/2-08/173</t>
  </si>
  <si>
    <t>Байцони Алексей Владимирович</t>
  </si>
  <si>
    <t>79677204552</t>
  </si>
  <si>
    <t>baiconi.aleksei@mail.ru</t>
  </si>
  <si>
    <t>4/4-13/508</t>
  </si>
  <si>
    <t>Арестанова Сагадат Куанышкалиевна</t>
  </si>
  <si>
    <t>79270140646</t>
  </si>
  <si>
    <t>sagadat-aytasova@mail.ru</t>
  </si>
  <si>
    <t>4/1-14/099</t>
  </si>
  <si>
    <t>Круглова Ирина Сергеевна</t>
  </si>
  <si>
    <t>79171057811</t>
  </si>
  <si>
    <t>kis40sb@yandex.ru</t>
  </si>
  <si>
    <t>4/4-05/429</t>
  </si>
  <si>
    <t>Тишаков Максим Павлович</t>
  </si>
  <si>
    <t>79276879440</t>
  </si>
  <si>
    <t>Garrett911@mail.ru</t>
  </si>
  <si>
    <t>4/4-08/456</t>
  </si>
  <si>
    <t>Маслов Руслан Евгеньевич</t>
  </si>
  <si>
    <t>79088554790</t>
  </si>
  <si>
    <t>maslovruslan77@rambler.ru</t>
  </si>
  <si>
    <t>4/3-22/386</t>
  </si>
  <si>
    <t>Тарасенко Роман Олегович</t>
  </si>
  <si>
    <t>79118323061</t>
  </si>
  <si>
    <t>romanolegovich.t@gmail.com</t>
  </si>
  <si>
    <t>4/4-10/480</t>
  </si>
  <si>
    <t>Плахова Анна Владимировна</t>
  </si>
  <si>
    <t>79262140200</t>
  </si>
  <si>
    <t>stn-rf@yandex.ru</t>
  </si>
  <si>
    <t>4/3-18/358</t>
  </si>
  <si>
    <t>Медведев Вадим Геннадьевич</t>
  </si>
  <si>
    <t>79179471301</t>
  </si>
  <si>
    <t>medva13@yandex.ru</t>
  </si>
  <si>
    <t>4/2-06/157</t>
  </si>
  <si>
    <t>Шульпин Михаил Анатольевич</t>
  </si>
  <si>
    <t>79871591939</t>
  </si>
  <si>
    <t>panina22@mail.ru</t>
  </si>
  <si>
    <t>4/2-01/009</t>
  </si>
  <si>
    <t>Абзибаров Валерий Фарыхович</t>
  </si>
  <si>
    <t>79371705902</t>
  </si>
  <si>
    <t>Vashparikmaher@rambler.ru</t>
  </si>
  <si>
    <t>4/1-08/049</t>
  </si>
  <si>
    <t>Афанасьева Елена Александровна</t>
  </si>
  <si>
    <t>79379804925</t>
  </si>
  <si>
    <t>e.a.afanaseva05@gmail.com</t>
  </si>
  <si>
    <t>4/2-11/200</t>
  </si>
  <si>
    <t>Крашенинникова Евгения Валерьевна</t>
  </si>
  <si>
    <t>79967473853</t>
  </si>
  <si>
    <t>evgeshka2582@mail.ru</t>
  </si>
  <si>
    <t>4/1-16/119</t>
  </si>
  <si>
    <t>Агаев Ульви Акьбер Оглы</t>
  </si>
  <si>
    <t>79613804633</t>
  </si>
  <si>
    <t>agaevulvi@yandex.ru</t>
  </si>
  <si>
    <t>4/3-03/250</t>
  </si>
  <si>
    <t>Муталимова Анна Сергеевна</t>
  </si>
  <si>
    <t>79227642511</t>
  </si>
  <si>
    <t>anna.koltun@bk.ru</t>
  </si>
  <si>
    <t>4/3-07/278</t>
  </si>
  <si>
    <t>Гончаренко Диана Валерьевна</t>
  </si>
  <si>
    <t>79276068511</t>
  </si>
  <si>
    <t>Aers5@yandex.ru</t>
  </si>
  <si>
    <t>4/1-09/063</t>
  </si>
  <si>
    <t>Таскаева Юлия Андреевна</t>
  </si>
  <si>
    <t>79371798035</t>
  </si>
  <si>
    <t>bilinaya@bk.ru</t>
  </si>
  <si>
    <t>4/1-08/050</t>
  </si>
  <si>
    <t>Куракин Роман Олегович</t>
  </si>
  <si>
    <t>79829926253</t>
  </si>
  <si>
    <t>Defragmentos@yandex.ru</t>
  </si>
  <si>
    <t>3/3-01/010</t>
  </si>
  <si>
    <t>4/3-15/332</t>
  </si>
  <si>
    <t>Мелконян Элен Артуровна</t>
  </si>
  <si>
    <t>79879714099</t>
  </si>
  <si>
    <t>Melkonyanelen@bk.ru</t>
  </si>
  <si>
    <t>4/3-06/272</t>
  </si>
  <si>
    <t>Евсеев Сергей Сергеевич</t>
  </si>
  <si>
    <t>79277789115</t>
  </si>
  <si>
    <t>evseev85@icloud.com</t>
  </si>
  <si>
    <t>4/3-20/372</t>
  </si>
  <si>
    <t>Багиров Мирзафар Мирджафар Оглы</t>
  </si>
  <si>
    <t>79879235965</t>
  </si>
  <si>
    <t>bagirchik007@icloud.com</t>
  </si>
  <si>
    <t>4/2-04/138</t>
  </si>
  <si>
    <t>Зайнетдинова Анна Эдуардовна</t>
  </si>
  <si>
    <t>79277820265</t>
  </si>
  <si>
    <t>anna-e1988@yandex.ru</t>
  </si>
  <si>
    <t>4/4-01/017</t>
  </si>
  <si>
    <t>Хурчак Елена Вячеславовна</t>
  </si>
  <si>
    <t>79081361571</t>
  </si>
  <si>
    <t>kh_alena@mail.ru</t>
  </si>
  <si>
    <t>4/1-02/003</t>
  </si>
  <si>
    <t>Щербакова Ольга Сергеевна</t>
  </si>
  <si>
    <t>79228103807</t>
  </si>
  <si>
    <t>scherbakov-oleg@mail.ru</t>
  </si>
  <si>
    <t>4/2-14/224</t>
  </si>
  <si>
    <t>4/3-10/300</t>
  </si>
  <si>
    <t>Скуратова Екатерина Валериевна</t>
  </si>
  <si>
    <t>79171468575</t>
  </si>
  <si>
    <t>skuratoffa1978@mail.ru</t>
  </si>
  <si>
    <t>4/3-21/376</t>
  </si>
  <si>
    <t>Краснова Полина Александровна</t>
  </si>
  <si>
    <t>79991712344</t>
  </si>
  <si>
    <t>P.bannova@yandex.ru</t>
  </si>
  <si>
    <t>4/4-15/519</t>
  </si>
  <si>
    <t>Ерофеев Илья Евгеньевич</t>
  </si>
  <si>
    <t>79033349532</t>
  </si>
  <si>
    <t>rsc.smr@yandex.ru</t>
  </si>
  <si>
    <t>4/3-24/399</t>
  </si>
  <si>
    <t>Козлов Александр Михайлович</t>
  </si>
  <si>
    <t>79272101156</t>
  </si>
  <si>
    <t>mr.soier@yandex.ru</t>
  </si>
  <si>
    <t>4/3-19/360</t>
  </si>
  <si>
    <t>Инчакова Анастасия Александровна</t>
  </si>
  <si>
    <t>79170172496</t>
  </si>
  <si>
    <t>Nasya.flota@yandex.ru</t>
  </si>
  <si>
    <t>4/2-05/150</t>
  </si>
  <si>
    <t>Хашимов Рустам Бахромджонович</t>
  </si>
  <si>
    <t>79966207801</t>
  </si>
  <si>
    <t>Krot890934@mail.ru</t>
  </si>
  <si>
    <t>4/4-04/420</t>
  </si>
  <si>
    <t>Казакул Елена Ивановна</t>
  </si>
  <si>
    <t>79052665037</t>
  </si>
  <si>
    <t>helepers@yandex.ru</t>
  </si>
  <si>
    <t>4/4-04/425</t>
  </si>
  <si>
    <t>Батраева Лилия Владимировна</t>
  </si>
  <si>
    <t>79139893857</t>
  </si>
  <si>
    <t>Liliabatraeva@gmail.com</t>
  </si>
  <si>
    <t>4/3-12/311</t>
  </si>
  <si>
    <t>Гришин Владислав Олегович</t>
  </si>
  <si>
    <t>79277755659</t>
  </si>
  <si>
    <t>kristina_trifonova@rambler.ru</t>
  </si>
  <si>
    <t>4/3-19/365</t>
  </si>
  <si>
    <t>Тихонов Иван Юрьевич</t>
  </si>
  <si>
    <t>79171561384</t>
  </si>
  <si>
    <t>Lucky_person5@mail.ru</t>
  </si>
  <si>
    <t>4/4-06/439</t>
  </si>
  <si>
    <t>Карапетян Гразолета Гарегиновна</t>
  </si>
  <si>
    <t>79216870981</t>
  </si>
  <si>
    <t>Lori.kgg@mail.ru</t>
  </si>
  <si>
    <t>4/4-02/409</t>
  </si>
  <si>
    <t>Шагинян Армине Нельсоновна</t>
  </si>
  <si>
    <t>79178151855</t>
  </si>
  <si>
    <t>karapetyan.arminka9889@gmail.com</t>
  </si>
  <si>
    <t>4/1-03/013</t>
  </si>
  <si>
    <t>Мекле Юлия Геннадьевна</t>
  </si>
  <si>
    <t>79828839645</t>
  </si>
  <si>
    <t>mekleulia50463@mail.ru</t>
  </si>
  <si>
    <t>4/4-02/407</t>
  </si>
  <si>
    <t>Водякова Наталья Михайловна</t>
  </si>
  <si>
    <t>79171494549</t>
  </si>
  <si>
    <t>Vodyakovanat@yandex.ru</t>
  </si>
  <si>
    <t>Сотрудник сбера</t>
  </si>
  <si>
    <t>4/2-13/214</t>
  </si>
  <si>
    <t>Буранов Егор Александрович</t>
  </si>
  <si>
    <t>79370666422</t>
  </si>
  <si>
    <t>rusih.6@mail.ru</t>
  </si>
  <si>
    <t>4/4-12/497</t>
  </si>
  <si>
    <t>Домнина Татьяна Анатольевна</t>
  </si>
  <si>
    <t>79270112793</t>
  </si>
  <si>
    <t>Domninata_745@list.ru</t>
  </si>
  <si>
    <t>4/3-13/320</t>
  </si>
  <si>
    <t>Швырина Галина Владимировна</t>
  </si>
  <si>
    <t>79319689910</t>
  </si>
  <si>
    <t>madam.irinavladi@yandex.ru</t>
  </si>
  <si>
    <t>4/2-11/199</t>
  </si>
  <si>
    <t>Волкова Екатерина Андреевна</t>
  </si>
  <si>
    <t>79176331581</t>
  </si>
  <si>
    <t>Sokolovaketrin6973@gmail.com</t>
  </si>
  <si>
    <t>4/4-02/403</t>
  </si>
  <si>
    <t>Казарян Анна Сейрановна</t>
  </si>
  <si>
    <t>79277049004</t>
  </si>
  <si>
    <t>megaanna1@yandex.ru</t>
  </si>
  <si>
    <t>4/1-10/072</t>
  </si>
  <si>
    <t>Усенков Денис Владимирович</t>
  </si>
  <si>
    <t>79272071150</t>
  </si>
  <si>
    <t>Airklubb@gmail.com</t>
  </si>
  <si>
    <t>4/1-10/070</t>
  </si>
  <si>
    <t>Дубченок Андрей Михайлович</t>
  </si>
  <si>
    <t>79991581391</t>
  </si>
  <si>
    <t>efremova2507@mail.ru</t>
  </si>
  <si>
    <t>4/2-15/231</t>
  </si>
  <si>
    <t>Куненков Алексей Романович</t>
  </si>
  <si>
    <t>79198052171</t>
  </si>
  <si>
    <t>Alekseikunenkov@mail.ru</t>
  </si>
  <si>
    <t>4/4-11/483</t>
  </si>
  <si>
    <t>Кожухова Галина Александровна</t>
  </si>
  <si>
    <t>79874466761</t>
  </si>
  <si>
    <t>glanina@bk.ru</t>
  </si>
  <si>
    <t>4/3-05/267</t>
  </si>
  <si>
    <t>Насрединова Фарангез Амирхоновна</t>
  </si>
  <si>
    <t>79171062844</t>
  </si>
  <si>
    <t>rushona25ali@gmail.com</t>
  </si>
  <si>
    <t>SOVA</t>
  </si>
  <si>
    <t>Траншевая ипотека</t>
  </si>
  <si>
    <t>4/4-14/513</t>
  </si>
  <si>
    <t>Хритин Евгений Александрович</t>
  </si>
  <si>
    <t>79171077001</t>
  </si>
  <si>
    <t>jeka-tech@mail.ru</t>
  </si>
  <si>
    <t>4/4-10/475</t>
  </si>
  <si>
    <t>Сергеев Вячеслав Сергеевич</t>
  </si>
  <si>
    <t>79277505505</t>
  </si>
  <si>
    <t>katya2702@yandex.ru</t>
  </si>
  <si>
    <t>4/4-08/457</t>
  </si>
  <si>
    <t>Сальникова Олеся Юрьевна</t>
  </si>
  <si>
    <t>79179556345</t>
  </si>
  <si>
    <t>Salnikovaolesa33@yandex.ru</t>
  </si>
  <si>
    <t>4/1-12/081</t>
  </si>
  <si>
    <t>Васнёва Динара Расимовна</t>
  </si>
  <si>
    <t>79228391983</t>
  </si>
  <si>
    <t>aysi.92@mail.ru</t>
  </si>
  <si>
    <t>4/2-13/212</t>
  </si>
  <si>
    <t>Яндакова Анастасия Витальевна</t>
  </si>
  <si>
    <t>79879290966</t>
  </si>
  <si>
    <t>anastasia_bikova93@mail.ru</t>
  </si>
  <si>
    <t>4/4-13/501</t>
  </si>
  <si>
    <t>Кильдишов Даниил Алексеевич</t>
  </si>
  <si>
    <t>79377940334</t>
  </si>
  <si>
    <t>kildishov99@gmail.com</t>
  </si>
  <si>
    <t>4/2-06/156</t>
  </si>
  <si>
    <t>Джалилова Эльнара Рустямовна</t>
  </si>
  <si>
    <t>79879394113</t>
  </si>
  <si>
    <t>elnara-dzhali@yandex.ru</t>
  </si>
  <si>
    <t>4/4-07/454</t>
  </si>
  <si>
    <t>Шагинян Анастасия Васильевна</t>
  </si>
  <si>
    <t>79272942575</t>
  </si>
  <si>
    <t>shaginyan-1991@bk.ru</t>
  </si>
  <si>
    <t>4/3-24/395</t>
  </si>
  <si>
    <t>Ходорожия Елена Александровна</t>
  </si>
  <si>
    <t>79379886897</t>
  </si>
  <si>
    <t>hodoroghija@mail.ru</t>
  </si>
  <si>
    <t>4/4-16/529</t>
  </si>
  <si>
    <t>Сидоров Родион Романович</t>
  </si>
  <si>
    <t>79272062168</t>
  </si>
  <si>
    <t>sidorofff2010@ya.ru</t>
  </si>
  <si>
    <t>4/3-14/330</t>
  </si>
  <si>
    <t>Ризаханов Марат Ризаханович</t>
  </si>
  <si>
    <t>79170399442</t>
  </si>
  <si>
    <t>marat.rizakhanov@gmail.com</t>
  </si>
  <si>
    <t>4/4-05/436</t>
  </si>
  <si>
    <t>Сергеева Лилит Нельсоновна</t>
  </si>
  <si>
    <t>79879289874</t>
  </si>
  <si>
    <t>karapetyan.lilit.1312@mail.ru</t>
  </si>
  <si>
    <t>4/2-02/127</t>
  </si>
  <si>
    <t>Калашникова Тамара Ивановна</t>
  </si>
  <si>
    <t>79050170637</t>
  </si>
  <si>
    <t>kalasholeg@39gmail.com</t>
  </si>
  <si>
    <t>4/3-06/270</t>
  </si>
  <si>
    <t>Соседов Александр Олегович</t>
  </si>
  <si>
    <t>79825890600</t>
  </si>
  <si>
    <t>sosedov_ao@mail.ru</t>
  </si>
  <si>
    <t>4/1-06/038</t>
  </si>
  <si>
    <t>Дульский Максим Сергеевич</t>
  </si>
  <si>
    <t>79279052066</t>
  </si>
  <si>
    <t>dulskaya69@mail.ru</t>
  </si>
  <si>
    <t>4/2-15/232</t>
  </si>
  <si>
    <t>Блохин Роман Сергеевич</t>
  </si>
  <si>
    <t>79639143095</t>
  </si>
  <si>
    <t>roman063rus@gmail.com</t>
  </si>
  <si>
    <t>4/3-18/355</t>
  </si>
  <si>
    <t>Игнатьева Ирина Юрьевна</t>
  </si>
  <si>
    <t>79277559997</t>
  </si>
  <si>
    <t>irinaignatyeva55@gmail.com</t>
  </si>
  <si>
    <t>4/4-13/502</t>
  </si>
  <si>
    <t>SumIrinaV75@yandex.ru</t>
  </si>
  <si>
    <t>05-028</t>
  </si>
  <si>
    <t>Министерство строительства Самарской области</t>
  </si>
  <si>
    <t>07-002</t>
  </si>
  <si>
    <t>5/2-02/124</t>
  </si>
  <si>
    <t>Есаян Мария Ширазовна</t>
  </si>
  <si>
    <t>79277264634</t>
  </si>
  <si>
    <t>mari.yeremyan.96@mail.ru</t>
  </si>
  <si>
    <t>5/2-03/131</t>
  </si>
  <si>
    <t>Еремян Анжелика Ширазовна</t>
  </si>
  <si>
    <t>79377951535</t>
  </si>
  <si>
    <t>anjelikaeremyan@mail.ru</t>
  </si>
  <si>
    <t>5/2-10/178</t>
  </si>
  <si>
    <t>4/4-11/487</t>
  </si>
  <si>
    <t>Гусейнова Агида Ариф Кызы</t>
  </si>
  <si>
    <t>79179536363</t>
  </si>
  <si>
    <t>ag.bagirova@yandex.ru</t>
  </si>
  <si>
    <t>5/2-14/206</t>
  </si>
  <si>
    <t>Шалунова Ольга Александровна</t>
  </si>
  <si>
    <t>79110042883</t>
  </si>
  <si>
    <t>simsim-a@yandex.ru</t>
  </si>
  <si>
    <t>5/4-08/449</t>
  </si>
  <si>
    <t>Татаров Антон Дмитриевич</t>
  </si>
  <si>
    <t>79967376050</t>
  </si>
  <si>
    <t>anthony10@mail.ru</t>
  </si>
  <si>
    <t>5/1-14/093</t>
  </si>
  <si>
    <t>Елистратова Олеся Сергеевна</t>
  </si>
  <si>
    <t>79379892542</t>
  </si>
  <si>
    <t>ip.o.elistratova@gmail.com</t>
  </si>
  <si>
    <t>5/1-04/025</t>
  </si>
  <si>
    <t>Беляцкий Виталий Николаевич</t>
  </si>
  <si>
    <t>79272975663</t>
  </si>
  <si>
    <t>vental.1@mail.ru</t>
  </si>
  <si>
    <t>5/2-14/204</t>
  </si>
  <si>
    <t>Левушкин Сергей Николаевич</t>
  </si>
  <si>
    <t>79276051723</t>
  </si>
  <si>
    <t>levushkin_sergey@mail.ru</t>
  </si>
  <si>
    <t>5/3-13/312</t>
  </si>
  <si>
    <t>Солдатов Николай Юрьевич</t>
  </si>
  <si>
    <t>79170323817</t>
  </si>
  <si>
    <t>marinaereman328@gmail.com</t>
  </si>
  <si>
    <t>5/4-10/467</t>
  </si>
  <si>
    <t>Гафаров Искандер Нилович</t>
  </si>
  <si>
    <t>79173970433</t>
  </si>
  <si>
    <t>iskandergafaroff@gmail.com</t>
  </si>
  <si>
    <t>4/1-14/097</t>
  </si>
  <si>
    <t>Косырев Сергей Сергеевич</t>
  </si>
  <si>
    <t>79277046938</t>
  </si>
  <si>
    <t>svetlana_kosyrev@mail.ru</t>
  </si>
  <si>
    <t>5/2-07/155</t>
  </si>
  <si>
    <t>Саймукова Елена Владимировна</t>
  </si>
  <si>
    <t>79063411094</t>
  </si>
  <si>
    <t>kidkidkid15@mail.ru</t>
  </si>
  <si>
    <t>5/2-05/140</t>
  </si>
  <si>
    <t>Первый ДДУ дом 5</t>
  </si>
  <si>
    <t>5/4-06/429</t>
  </si>
  <si>
    <t>5/4-11/471</t>
  </si>
  <si>
    <t>Вострикова Виктория Олеговна</t>
  </si>
  <si>
    <t>79171553439</t>
  </si>
  <si>
    <t>Mamasik@list.ru</t>
  </si>
  <si>
    <t>5/4-04/417</t>
  </si>
  <si>
    <t>Карпова Наталья Викторовна</t>
  </si>
  <si>
    <t>79619331162</t>
  </si>
  <si>
    <t>nKarpova2008@yandex.ru</t>
  </si>
  <si>
    <t>5/1-05/031</t>
  </si>
  <si>
    <t>Фоменко Илья Владимирович</t>
  </si>
  <si>
    <t>79963428584</t>
  </si>
  <si>
    <t>foma-ilya@mail.ru</t>
  </si>
  <si>
    <t>5/4-02/399</t>
  </si>
  <si>
    <t>Ильдюганова Елена Александровна</t>
  </si>
  <si>
    <t>79279052323</t>
  </si>
  <si>
    <t>Ildyuganova.good@gmail.com</t>
  </si>
  <si>
    <t>4/3-09/291</t>
  </si>
  <si>
    <t>Герасимов Денис Викторович</t>
  </si>
  <si>
    <t>79084825886</t>
  </si>
  <si>
    <t>Skaael@mail.ru</t>
  </si>
  <si>
    <t>5/4-06/434</t>
  </si>
  <si>
    <t>Толмачев Дмитрий Валерьевич</t>
  </si>
  <si>
    <t>79024138845</t>
  </si>
  <si>
    <t>tolmachevdima22324@gmail.com</t>
  </si>
  <si>
    <t>5/3-13/308</t>
  </si>
  <si>
    <t>Емуранов Игорь Александрович</t>
  </si>
  <si>
    <t>79277024862</t>
  </si>
  <si>
    <t>idelieve3000@gmail.com</t>
  </si>
  <si>
    <t>5/1-01/001</t>
  </si>
  <si>
    <t>Гололобов Олег Валерьевич</t>
  </si>
  <si>
    <t>79225563332</t>
  </si>
  <si>
    <t>gololobov.15@mail.ru</t>
  </si>
  <si>
    <t>4/3-21/374</t>
  </si>
  <si>
    <t>Рязанцева Ксения Викторовна</t>
  </si>
  <si>
    <t>79372460876</t>
  </si>
  <si>
    <t>ryazantseva.99@gmail.com</t>
  </si>
  <si>
    <t>4/4-11/491</t>
  </si>
  <si>
    <t>Уколова Алина Валерьевна</t>
  </si>
  <si>
    <t>79279091110</t>
  </si>
  <si>
    <t>a.vyatleva@yandex.ru</t>
  </si>
  <si>
    <t>4/4-10/481</t>
  </si>
  <si>
    <t>Воробьев Дмитрий Александрович</t>
  </si>
  <si>
    <t>79272248338</t>
  </si>
  <si>
    <t>Skorpion.979@yandex.ru</t>
  </si>
  <si>
    <t>5/2-06/147</t>
  </si>
  <si>
    <t>Крепчук Сергей Николаевич</t>
  </si>
  <si>
    <t>79371850387</t>
  </si>
  <si>
    <t>krephuk@yandex.ru</t>
  </si>
  <si>
    <t>4/1-10/068</t>
  </si>
  <si>
    <t>Королева Карина Алексеевна</t>
  </si>
  <si>
    <t>79090622034</t>
  </si>
  <si>
    <t>k.koroleva1994@icloud.com</t>
  </si>
  <si>
    <t>5/1-06/037</t>
  </si>
  <si>
    <t>Буров, Кирилл Алексеевич</t>
  </si>
  <si>
    <t>79277187525</t>
  </si>
  <si>
    <t>burov.kirill2017@yandex.ru</t>
  </si>
  <si>
    <t>5/4-03/407</t>
  </si>
  <si>
    <t>Зубков Дмитрий Геннадьевич</t>
  </si>
  <si>
    <t>79397076877</t>
  </si>
  <si>
    <t>zubkovdg1967@mail.ru</t>
  </si>
  <si>
    <t>5/2-07/157</t>
  </si>
  <si>
    <t>Кроневальд Тамара Алексеевна</t>
  </si>
  <si>
    <t>79187060946</t>
  </si>
  <si>
    <t>adanadelina@yandex.ru</t>
  </si>
  <si>
    <t>5/2-03/129</t>
  </si>
  <si>
    <t>5/4-03/406</t>
  </si>
  <si>
    <t>Холюнова Дарья Владимировна</t>
  </si>
  <si>
    <t>79274157339</t>
  </si>
  <si>
    <t>dusiynchik@rambler.ru</t>
  </si>
  <si>
    <t>5/2-10/176</t>
  </si>
  <si>
    <t>5/3-08/275</t>
  </si>
  <si>
    <t>Егоров Максим Сергеевич</t>
  </si>
  <si>
    <t>5/4-02/397</t>
  </si>
  <si>
    <t>Лучинина Надежда Владимировна</t>
  </si>
  <si>
    <t>79276099802</t>
  </si>
  <si>
    <t>nlucinina630mail.com@mail.ru</t>
  </si>
  <si>
    <t>5/2-12/189</t>
  </si>
  <si>
    <t>Таганов Андрей Александрович</t>
  </si>
  <si>
    <t>79279090163</t>
  </si>
  <si>
    <t>bk_kb_@bk.ru</t>
  </si>
  <si>
    <t>5/4-04/413</t>
  </si>
  <si>
    <t>Земсков Александр Анатольевич</t>
  </si>
  <si>
    <t>79129123003</t>
  </si>
  <si>
    <t>aazemskov@yandex.ru</t>
  </si>
  <si>
    <t>5/1-03/016</t>
  </si>
  <si>
    <t>Идельбаева Алина Сайфитдиновна</t>
  </si>
  <si>
    <t>79068482568</t>
  </si>
  <si>
    <t>adelbush@yandex.ru</t>
  </si>
  <si>
    <t>5/1-01/005</t>
  </si>
  <si>
    <t>Вострышев Сергей Геннадьевич</t>
  </si>
  <si>
    <t>79371748015</t>
  </si>
  <si>
    <t>natalia.ismagilova.84@mail.ru</t>
  </si>
  <si>
    <t>5/4-13/485</t>
  </si>
  <si>
    <t>Волкова Елена Андреевна</t>
  </si>
  <si>
    <t>79058929431</t>
  </si>
  <si>
    <t>karpova.lenaa@yandex.ru</t>
  </si>
  <si>
    <t>5/2-04/133</t>
  </si>
  <si>
    <t>Хорунов Александр Николаевич</t>
  </si>
  <si>
    <t>79171458842</t>
  </si>
  <si>
    <t>Ankhor80@gmail.com</t>
  </si>
  <si>
    <t>5/3-01/224</t>
  </si>
  <si>
    <t>5/3-02/230</t>
  </si>
  <si>
    <t>Алимбекова Наталья Сергеевна</t>
  </si>
  <si>
    <t>79272968641</t>
  </si>
  <si>
    <t>nsshitova@yandex.ru</t>
  </si>
  <si>
    <t>5/2-01/113</t>
  </si>
  <si>
    <t>Половинкина Наталья Сергеевна</t>
  </si>
  <si>
    <t>79867768580</t>
  </si>
  <si>
    <t>niista@list.ru</t>
  </si>
  <si>
    <t>5/4-08/448</t>
  </si>
  <si>
    <t>Бутусова Полина Владимировна</t>
  </si>
  <si>
    <t>79277499450</t>
  </si>
  <si>
    <t>polinabutusova@yandex.ru</t>
  </si>
  <si>
    <t>5/3-03/237</t>
  </si>
  <si>
    <t>Александров Александр Александрович</t>
  </si>
  <si>
    <t>aleksandrov87x@mail.ru</t>
  </si>
  <si>
    <t>5/1-03/014</t>
  </si>
  <si>
    <t>Шеркунов Михаил Михайлович</t>
  </si>
  <si>
    <t>79879553555</t>
  </si>
  <si>
    <t>Metall.samara@mail.ru</t>
  </si>
  <si>
    <t>5/4-10/463</t>
  </si>
  <si>
    <t>Гукалова Валентина Николаевна</t>
  </si>
  <si>
    <t>79874595046</t>
  </si>
  <si>
    <t>a.gukalov@yandex.ru</t>
  </si>
  <si>
    <t>5/4-10/466</t>
  </si>
  <si>
    <t>Подольхова Ильмира Ильдусовна</t>
  </si>
  <si>
    <t>79277071157</t>
  </si>
  <si>
    <t>ilmiratv@list.ru</t>
  </si>
  <si>
    <t>5/2-04/136</t>
  </si>
  <si>
    <t>5/4-03/412</t>
  </si>
  <si>
    <t>Мирзоева Наргиза Насриддиновна</t>
  </si>
  <si>
    <t>79022390581</t>
  </si>
  <si>
    <t>mirzoeva_nargiza@inbox.ru</t>
  </si>
  <si>
    <t>5/4-01/392</t>
  </si>
  <si>
    <t>Савина Оксана Сергеевна</t>
  </si>
  <si>
    <t>79063409125</t>
  </si>
  <si>
    <t>waseliok@mail.ru</t>
  </si>
  <si>
    <t>5/4-04/418</t>
  </si>
  <si>
    <t>Гордиенко Александр Викторович</t>
  </si>
  <si>
    <t>79379988999</t>
  </si>
  <si>
    <t>isewgordi@mail.ru</t>
  </si>
  <si>
    <t>5/3-03/240</t>
  </si>
  <si>
    <t>Гордиенко Елена Олеговна</t>
  </si>
  <si>
    <t>5/4-15/508</t>
  </si>
  <si>
    <t>Бурнаева Алёна Викторовна</t>
  </si>
  <si>
    <t>79272019698</t>
  </si>
  <si>
    <t>burnaewa.al@yandex.ru</t>
  </si>
  <si>
    <t>5/2-04/137</t>
  </si>
  <si>
    <t>Галанина Ольга Сергеевна</t>
  </si>
  <si>
    <t>79379810172</t>
  </si>
  <si>
    <t>Helga2011gal@yandex.ru</t>
  </si>
  <si>
    <t>5/4-04/414</t>
  </si>
  <si>
    <t>79228111049</t>
  </si>
  <si>
    <t>Levon08052014@mail.ru</t>
  </si>
  <si>
    <t>5/4-09/454</t>
  </si>
  <si>
    <t>5/3-01/228</t>
  </si>
  <si>
    <t>Подмарев Руслан Хафизович</t>
  </si>
  <si>
    <t>79649910007</t>
  </si>
  <si>
    <t>rus.podmarev@mail.ru</t>
  </si>
  <si>
    <t>5/4-23/565</t>
  </si>
  <si>
    <t>Шумилкина Елизавета Васильевна</t>
  </si>
  <si>
    <t>79370662805</t>
  </si>
  <si>
    <t>liza9713@mail.ru</t>
  </si>
  <si>
    <t>5/1-16/107</t>
  </si>
  <si>
    <t>5/3-16/332</t>
  </si>
  <si>
    <t>Савельев Евгений Вячеславович</t>
  </si>
  <si>
    <t>79129576567</t>
  </si>
  <si>
    <t>F-genii@rambler.ru</t>
  </si>
  <si>
    <t>4/1-12/086</t>
  </si>
  <si>
    <t>Альдебенев Михаил Леонидович</t>
  </si>
  <si>
    <t>79131613935</t>
  </si>
  <si>
    <t>mihailaldebenev35801@gmail.com</t>
  </si>
  <si>
    <t>5/1-10/063</t>
  </si>
  <si>
    <t>Ельмеев Тимофей Павлович</t>
  </si>
  <si>
    <t>79879692465</t>
  </si>
  <si>
    <t>Elmeev_88@mail.ru</t>
  </si>
  <si>
    <t>5/3-05/251</t>
  </si>
  <si>
    <t>Коротеева Евгения Олеговна</t>
  </si>
  <si>
    <t>79376507686</t>
  </si>
  <si>
    <t>koroteeva.ev@yandex.ru</t>
  </si>
  <si>
    <t>5/3-03/238</t>
  </si>
  <si>
    <t>Карев Владислав Вадимович</t>
  </si>
  <si>
    <t>79608334111</t>
  </si>
  <si>
    <t>vladKarev911@gmail.com</t>
  </si>
  <si>
    <t>4/3-24/397</t>
  </si>
  <si>
    <t>Валитова Надия Зинятулловна</t>
  </si>
  <si>
    <t>79279020361</t>
  </si>
  <si>
    <t>guzel.rahimova@mail.ru</t>
  </si>
  <si>
    <t>4/3-01/011</t>
  </si>
  <si>
    <t>Ступников Николай Валериевич</t>
  </si>
  <si>
    <t>79370630633</t>
  </si>
  <si>
    <t>rino20@yandex.ru</t>
  </si>
  <si>
    <t>5/3-12/300</t>
  </si>
  <si>
    <t>Букарева Ольга Витальевна</t>
  </si>
  <si>
    <t>79608083310</t>
  </si>
  <si>
    <t>klimenko.vera.v@yandex.ru</t>
  </si>
  <si>
    <t>5/1-02/007</t>
  </si>
  <si>
    <t>Подарочный сертификат</t>
  </si>
  <si>
    <t>5/4-06/431</t>
  </si>
  <si>
    <t>Белькина Галина Васильевна</t>
  </si>
  <si>
    <t>79277573211</t>
  </si>
  <si>
    <t>galya.belkina.45@mail.ru</t>
  </si>
  <si>
    <t>4/2-07/166</t>
  </si>
  <si>
    <t>Челнокова Елена Михайловна</t>
  </si>
  <si>
    <t>79377974881</t>
  </si>
  <si>
    <t>E.chelnockova@yandex.ru</t>
  </si>
  <si>
    <t>5/2-14/208</t>
  </si>
  <si>
    <t>Троценко Никита Вадимович</t>
  </si>
  <si>
    <t>79871578824</t>
  </si>
  <si>
    <t>n1kita92@yandex.ru</t>
  </si>
  <si>
    <t>5/4-20/547</t>
  </si>
  <si>
    <t>Халиуллина Юлия Талгатовна</t>
  </si>
  <si>
    <t>79270008736</t>
  </si>
  <si>
    <t>Yuliaruae@gmail.com</t>
  </si>
  <si>
    <t>5/3-07/270</t>
  </si>
  <si>
    <t>Солодилова Татьяна Владимировна</t>
  </si>
  <si>
    <t>79277915880</t>
  </si>
  <si>
    <t>SolodilovaTV@mail.ru</t>
  </si>
  <si>
    <t>5/2-02/119</t>
  </si>
  <si>
    <t>Шишкова Светлана Михайловна</t>
  </si>
  <si>
    <t>79171321800</t>
  </si>
  <si>
    <t>shishkova_s_m@mail.ru</t>
  </si>
  <si>
    <t>5/3-24/384</t>
  </si>
  <si>
    <t>5/4-09/453</t>
  </si>
  <si>
    <t>Арефьева Галина Андреевна</t>
  </si>
  <si>
    <t>79270214200</t>
  </si>
  <si>
    <t>shura.arefev.85@bk.ru</t>
  </si>
  <si>
    <t>5/4-17/524</t>
  </si>
  <si>
    <t>Ягудина Юлия Султановна</t>
  </si>
  <si>
    <t>79277681441</t>
  </si>
  <si>
    <t>njulias@mail.ru</t>
  </si>
  <si>
    <t>5/3-03/242</t>
  </si>
  <si>
    <t>Манахова Наталья Александровна</t>
  </si>
  <si>
    <t>79277417133</t>
  </si>
  <si>
    <t>Dmanakhov@mail.ru</t>
  </si>
  <si>
    <t>5/4-15/504</t>
  </si>
  <si>
    <t>Любаков Сергей Михайлович</t>
  </si>
  <si>
    <t>79277140071</t>
  </si>
  <si>
    <t>lenok527217@yandex.ru</t>
  </si>
  <si>
    <t>5/2-06/152</t>
  </si>
  <si>
    <t>Нестеренко Александр Владимирович</t>
  </si>
  <si>
    <t>79276856802</t>
  </si>
  <si>
    <t>Belchik272@mail.ru</t>
  </si>
  <si>
    <t>4/3-21/380</t>
  </si>
  <si>
    <t>Семенова Виктория Олеговна</t>
  </si>
  <si>
    <t>79277359528</t>
  </si>
  <si>
    <t>avetory21@gmail.com</t>
  </si>
  <si>
    <t>5/4-08/450</t>
  </si>
  <si>
    <t>5/4-01/394</t>
  </si>
  <si>
    <t>Марьина Татьяна Николаевна</t>
  </si>
  <si>
    <t>79871529927</t>
  </si>
  <si>
    <t>Ttbol@mail.ru</t>
  </si>
  <si>
    <t>4/3-01/010</t>
  </si>
  <si>
    <t>Агапов Артём Вячеславович</t>
  </si>
  <si>
    <t>79023785868</t>
  </si>
  <si>
    <t>ip.agapov.av@mail.ru</t>
  </si>
  <si>
    <t>3/3-01/009</t>
  </si>
  <si>
    <t>Агапов Егор Артемович</t>
  </si>
  <si>
    <t>79270203232</t>
  </si>
  <si>
    <t>agapovea@mail.ru</t>
  </si>
  <si>
    <t>4/3-18/354</t>
  </si>
  <si>
    <t>Капкова Юлия Дмитриевна</t>
  </si>
  <si>
    <t>79297067779</t>
  </si>
  <si>
    <t>capckova@yandex.ru</t>
  </si>
  <si>
    <t>5/3-24/385</t>
  </si>
  <si>
    <t>Хуснуллина Гульфия Рафаиловна</t>
  </si>
  <si>
    <t>79276096056</t>
  </si>
  <si>
    <t>samaraguf@mail.ru</t>
  </si>
  <si>
    <t>5/3-02/232</t>
  </si>
  <si>
    <t>79370640505</t>
  </si>
  <si>
    <t>Le.farid@ya.ru</t>
  </si>
  <si>
    <t>5/3-12/304</t>
  </si>
  <si>
    <t>Мамышева Лилия Рашидовна</t>
  </si>
  <si>
    <t>79370781728</t>
  </si>
  <si>
    <t>lublumamu@yandex.ru</t>
  </si>
  <si>
    <t>4/1-01/004</t>
  </si>
  <si>
    <t>Власов Михаил Геннадьевич</t>
  </si>
  <si>
    <t>79879872027</t>
  </si>
  <si>
    <t>logform@inbox.ru</t>
  </si>
  <si>
    <t>5/3-23/382</t>
  </si>
  <si>
    <t>Степаненко Виктория Николаевна</t>
  </si>
  <si>
    <t>79170340514</t>
  </si>
  <si>
    <t>v9170340514@gmail.com</t>
  </si>
  <si>
    <t>4/1-01/001</t>
  </si>
  <si>
    <t>Агапова Татьяна Олеговна</t>
  </si>
  <si>
    <t>79022914045</t>
  </si>
  <si>
    <t>a22.agapova@yandex.ru</t>
  </si>
  <si>
    <t>4/1-01/002</t>
  </si>
  <si>
    <t>4/1-01/003</t>
  </si>
  <si>
    <t>Морятова Ольга Витальевна</t>
  </si>
  <si>
    <t>79371778746</t>
  </si>
  <si>
    <t>m.tolia@mail.ru</t>
  </si>
  <si>
    <t>4/4-09/468</t>
  </si>
  <si>
    <t>Лещенко Юлия Андреевна</t>
  </si>
  <si>
    <t>79277514871</t>
  </si>
  <si>
    <t>yuliya.leshchenko.14@mail.ru</t>
  </si>
  <si>
    <t>5/3-17/337</t>
  </si>
  <si>
    <t>Новопольский Роман Алексеевич</t>
  </si>
  <si>
    <t>79604672471</t>
  </si>
  <si>
    <t>nowopolsky@yandex.ru</t>
  </si>
  <si>
    <t>5/1-01/006</t>
  </si>
  <si>
    <t>Хайбулатов Диас Космович</t>
  </si>
  <si>
    <t>79063400013</t>
  </si>
  <si>
    <t>haidias693@icloud.com</t>
  </si>
  <si>
    <t>4/4-07/455</t>
  </si>
  <si>
    <t>Свешникова Марина Сергеевна</t>
  </si>
  <si>
    <t>79270207257</t>
  </si>
  <si>
    <t>Promarina13@mail.ru</t>
  </si>
  <si>
    <t>5/1-15/104</t>
  </si>
  <si>
    <t>Азимова Надежда Анатольевна</t>
  </si>
  <si>
    <t>79967219177</t>
  </si>
  <si>
    <t>nadezhda-vasileva-84@Mail.ru</t>
  </si>
  <si>
    <t>5/1-14/095</t>
  </si>
  <si>
    <t>Ивасенко Анна Сергеевна</t>
  </si>
  <si>
    <t>79171621781</t>
  </si>
  <si>
    <t>antonvshtml@gmail.com</t>
  </si>
  <si>
    <t>4/2-05/148</t>
  </si>
  <si>
    <t>Ивахова Алена Михайловна</t>
  </si>
  <si>
    <t>79279827171</t>
  </si>
  <si>
    <t>alyona_ivakhova@mail.ru</t>
  </si>
  <si>
    <t>4/2-12/206</t>
  </si>
  <si>
    <t>Чечёткин Александр Сергеевич</t>
  </si>
  <si>
    <t>79372652669</t>
  </si>
  <si>
    <t>Chechetkin.as@mail.ru</t>
  </si>
  <si>
    <t>4/3-09/293</t>
  </si>
  <si>
    <t>Артемьев Александр Евгеньевич</t>
  </si>
  <si>
    <t>79376508124</t>
  </si>
  <si>
    <t>Dir@artemev-1.ru</t>
  </si>
  <si>
    <t>4/4-03/417</t>
  </si>
  <si>
    <t>Капанжа Андрей Иванович</t>
  </si>
  <si>
    <t>79228796470</t>
  </si>
  <si>
    <t>Kapanzha21@yandex.ru</t>
  </si>
  <si>
    <t>5/4-13/491</t>
  </si>
  <si>
    <t>Дмитриев Денис Николаевич</t>
  </si>
  <si>
    <t>79129028634</t>
  </si>
  <si>
    <t>Verbohka14@gmail.com</t>
  </si>
  <si>
    <t>4/4-12/499</t>
  </si>
  <si>
    <t>Алексеев Александр Александрович</t>
  </si>
  <si>
    <t>79277779389</t>
  </si>
  <si>
    <t>Aleksarmia2017@icloud.com</t>
  </si>
  <si>
    <t>4/4-06/445</t>
  </si>
  <si>
    <t>Алексеев Андрей Дмитриевич</t>
  </si>
  <si>
    <t>79093230858</t>
  </si>
  <si>
    <t>Andreyd.alexeev@gmail.com</t>
  </si>
  <si>
    <t>4/4-05/430</t>
  </si>
  <si>
    <t>Сметанин Сергей Михайлович</t>
  </si>
  <si>
    <t>79272059905</t>
  </si>
  <si>
    <t>ressika@yandex.ru</t>
  </si>
  <si>
    <t>5/4-18/529</t>
  </si>
  <si>
    <t>Кармышев Иван Алексеевич</t>
  </si>
  <si>
    <t>79371818899</t>
  </si>
  <si>
    <t>mag983@yandex.ru</t>
  </si>
  <si>
    <t>5/4-13/489</t>
  </si>
  <si>
    <t>Зеленская Ханум Варужановна</t>
  </si>
  <si>
    <t>79603605225</t>
  </si>
  <si>
    <t>9603605225xv@gmail.com</t>
  </si>
  <si>
    <t>5/4-11/472</t>
  </si>
  <si>
    <t>Антонов Иван Дмитриевич</t>
  </si>
  <si>
    <t>79370780901</t>
  </si>
  <si>
    <t>desantivan28@mail.ru</t>
  </si>
  <si>
    <t>5/1-04/027</t>
  </si>
  <si>
    <t>Абузярова Виктория Владимировна</t>
  </si>
  <si>
    <t>79277582658</t>
  </si>
  <si>
    <t>kalinina-87@bk.ru</t>
  </si>
  <si>
    <t>5/2-04/135</t>
  </si>
  <si>
    <t>Кузнецова Людмила Васильевна</t>
  </si>
  <si>
    <t>79172370001</t>
  </si>
  <si>
    <t>kuznezov.a.n@mail.ru</t>
  </si>
  <si>
    <t>4/3-20/371</t>
  </si>
  <si>
    <t>Мошков Сергей Валерьевич</t>
  </si>
  <si>
    <t>79608092070</t>
  </si>
  <si>
    <t>Moshkov.1364@mail.ru</t>
  </si>
  <si>
    <t>5/2-11/187</t>
  </si>
  <si>
    <t>Пазельский Максим Вячеславович</t>
  </si>
  <si>
    <t>79198074299</t>
  </si>
  <si>
    <t>pazelsky@mail.ru</t>
  </si>
  <si>
    <t>Лоджия в подарок</t>
  </si>
  <si>
    <t>4/3-11/305</t>
  </si>
  <si>
    <t>Сандальнова Анастасия Александровна</t>
  </si>
  <si>
    <t>79171063608</t>
  </si>
  <si>
    <t>dixikom@yandex.ru</t>
  </si>
  <si>
    <t>ТЕРМЫ</t>
  </si>
  <si>
    <t>5/2-07/154</t>
  </si>
  <si>
    <t>5/4-12/484</t>
  </si>
  <si>
    <t>Терехов Егор Романович</t>
  </si>
  <si>
    <t>79033308908</t>
  </si>
  <si>
    <t>web-quant@mail.ru</t>
  </si>
  <si>
    <t>Техсбой в банке, направление в Росреестр в ноябре</t>
  </si>
  <si>
    <t>4/3-22/385</t>
  </si>
  <si>
    <t>Хайруллина Светлана Владимировна</t>
  </si>
  <si>
    <t>79128630490</t>
  </si>
  <si>
    <t>svhkomi@mail.ru</t>
  </si>
  <si>
    <t>5/4-14/497</t>
  </si>
  <si>
    <t>Колесникова Ольга Владимировна</t>
  </si>
  <si>
    <t>79825008666</t>
  </si>
  <si>
    <t>Zausalina666@mail.ru</t>
  </si>
  <si>
    <t>5/3-02/235</t>
  </si>
  <si>
    <t>Лысов Александр Геннадьевич</t>
  </si>
  <si>
    <t>79371818028</t>
  </si>
  <si>
    <t>korneliyatanya@gmail.com</t>
  </si>
  <si>
    <t>4/1-07/048</t>
  </si>
  <si>
    <t>Глазунов Леонид Юрьевич</t>
  </si>
  <si>
    <t>79376522890</t>
  </si>
  <si>
    <t>Zavolsheleonid@gmail.com</t>
  </si>
  <si>
    <t>5/4-08/451</t>
  </si>
  <si>
    <t>79991720658</t>
  </si>
  <si>
    <t>Kristy.kit@mail.ru</t>
  </si>
  <si>
    <t>4/2-06/160</t>
  </si>
  <si>
    <t>Титов Александр Константинович</t>
  </si>
  <si>
    <t>79276023025</t>
  </si>
  <si>
    <t>ssaasshhaa222.titov@mail.ru</t>
  </si>
  <si>
    <t>5/1-12/082</t>
  </si>
  <si>
    <t>Чмелева Анастасия Анатольевна</t>
  </si>
  <si>
    <t>79967450356</t>
  </si>
  <si>
    <t>nesteamsd@mail.ru</t>
  </si>
  <si>
    <t>5/3-05/255</t>
  </si>
  <si>
    <t>Анферов Николай Павлович</t>
  </si>
  <si>
    <t>79297013588</t>
  </si>
  <si>
    <t>marina_anferova_@mail.ru</t>
  </si>
  <si>
    <t>4/4-16/533</t>
  </si>
  <si>
    <t>Давлатназаров Давлатназар Бойназарович</t>
  </si>
  <si>
    <t>79879266239</t>
  </si>
  <si>
    <t>farangezalinazarova229@gmail.com</t>
  </si>
  <si>
    <t>Андрейкин Николай Владимирович</t>
  </si>
  <si>
    <t>79277066026</t>
  </si>
  <si>
    <t>kolaaaa196@gmail.com</t>
  </si>
  <si>
    <t>5/1-13/086</t>
  </si>
  <si>
    <t>Быкова Екатерина Семеновна</t>
  </si>
  <si>
    <t>79277450211</t>
  </si>
  <si>
    <t>bikova2405@gmail.com</t>
  </si>
  <si>
    <t>5/3-05/254</t>
  </si>
  <si>
    <t>Костякова Анастасия Алексеевна</t>
  </si>
  <si>
    <t>79171619461</t>
  </si>
  <si>
    <t>pechkina4@gmail.com</t>
  </si>
  <si>
    <t>4/4-13/509</t>
  </si>
  <si>
    <t>Дорш Полина Эдуардовна</t>
  </si>
  <si>
    <t>79179623675</t>
  </si>
  <si>
    <t>polina.dorsh@mail.ru</t>
  </si>
  <si>
    <t>4/2-12/202</t>
  </si>
  <si>
    <t>Улисов Александр Андреевич</t>
  </si>
  <si>
    <t>79279833524</t>
  </si>
  <si>
    <t>brendik2222@list.ru</t>
  </si>
  <si>
    <t>4/3-04/256</t>
  </si>
  <si>
    <t>Чебодаев Ахбай Станиславович</t>
  </si>
  <si>
    <t>79171061504</t>
  </si>
  <si>
    <t>chebodaev30@gmail.com</t>
  </si>
  <si>
    <t>4/3-02/242</t>
  </si>
  <si>
    <t>Юсупова Альфия Ахатовна</t>
  </si>
  <si>
    <t>79276040286</t>
  </si>
  <si>
    <t>alfiya.shaykhieva@mail.ru</t>
  </si>
  <si>
    <t>5/3-11/295</t>
  </si>
  <si>
    <t>Швед Сергей Евгеньевич</t>
  </si>
  <si>
    <t>79290084756</t>
  </si>
  <si>
    <t>shvedserega28051996@gmail.com</t>
  </si>
  <si>
    <t>5/1-02/012</t>
  </si>
  <si>
    <t>Карий Дарья Андреевна</t>
  </si>
  <si>
    <t>79871532045</t>
  </si>
  <si>
    <t>dashakarij16@gmail.com</t>
  </si>
  <si>
    <t>4/1-12/084</t>
  </si>
  <si>
    <t>Гладков Павел Алексеевич</t>
  </si>
  <si>
    <t>79879536327</t>
  </si>
  <si>
    <t>Pavel.gladkoff@gmail.com</t>
  </si>
  <si>
    <t>4/2-16/234</t>
  </si>
  <si>
    <t>Бабаева Туркел Заманали Кызы</t>
  </si>
  <si>
    <t>79279025045</t>
  </si>
  <si>
    <t>tuti-91@mail.ru</t>
  </si>
  <si>
    <t>5/2-15/212</t>
  </si>
  <si>
    <t>Ахинян Артур Ашотович</t>
  </si>
  <si>
    <t>79228341333</t>
  </si>
  <si>
    <t>artur_ashotovich96@mail.ru</t>
  </si>
  <si>
    <t>5/2-09/170</t>
  </si>
  <si>
    <t>Ивасенко Антон Валериевич</t>
  </si>
  <si>
    <t>79818872256</t>
  </si>
  <si>
    <t>5/4-23/570</t>
  </si>
  <si>
    <t>4/1-11/074</t>
  </si>
  <si>
    <t>Тугушев Рамиль Рушанович</t>
  </si>
  <si>
    <t>79277799281</t>
  </si>
  <si>
    <t>ramil.tugushev.88@bk.ru</t>
  </si>
  <si>
    <t>EVENT - Событие</t>
  </si>
  <si>
    <t>5/1-11/076</t>
  </si>
  <si>
    <t>Кузнецова Людмила Александровна</t>
  </si>
  <si>
    <t>79277431853</t>
  </si>
  <si>
    <t>Luda05061961@yandex.ru</t>
  </si>
  <si>
    <t>4/1-13/094</t>
  </si>
  <si>
    <t>Дрогунов Дмитрий Григорьевич</t>
  </si>
  <si>
    <t>79276879336</t>
  </si>
  <si>
    <t>badgertail115@gmail.com</t>
  </si>
  <si>
    <t>4/4-15/520</t>
  </si>
  <si>
    <t>Дербиш Артур Александрович</t>
  </si>
  <si>
    <t>79171164584</t>
  </si>
  <si>
    <t>Artd2204@mail.ru</t>
  </si>
  <si>
    <t>4/3-12/313</t>
  </si>
  <si>
    <t>Соколов Андрей Владимирович</t>
  </si>
  <si>
    <t>79063131552</t>
  </si>
  <si>
    <t>TwinkieSAV8@yandex.ru</t>
  </si>
  <si>
    <t>5/4-15/505</t>
  </si>
  <si>
    <t>Амонов Адхамжон Ахмаджонович</t>
  </si>
  <si>
    <t>79879890855</t>
  </si>
  <si>
    <t>adham_24@mail.ru</t>
  </si>
  <si>
    <t>5/4-12/477</t>
  </si>
  <si>
    <t>Кудряшов Павел Александрович</t>
  </si>
  <si>
    <t>79170308827</t>
  </si>
  <si>
    <t>Pavel260482@mail.ru</t>
  </si>
  <si>
    <t>АН - Новая жизнь</t>
  </si>
  <si>
    <t>5/3-04/245</t>
  </si>
  <si>
    <t>5/2-08/162</t>
  </si>
  <si>
    <t>Целых Сергей Александрович</t>
  </si>
  <si>
    <t>79378011098</t>
  </si>
  <si>
    <t>sergei-i1984@mail.ru</t>
  </si>
  <si>
    <t>5/3-09/280</t>
  </si>
  <si>
    <t>Елисеева Екатерина Николаевна</t>
  </si>
  <si>
    <t>79273620665</t>
  </si>
  <si>
    <t>katena.ekat.belova@mail.ru</t>
  </si>
  <si>
    <t>4/3-16/343</t>
  </si>
  <si>
    <t>Раджабов Эльяр Бахтиярович</t>
  </si>
  <si>
    <t>79093713456</t>
  </si>
  <si>
    <t>tatyinbox@mail.ru</t>
  </si>
  <si>
    <t>4/1-07/042</t>
  </si>
  <si>
    <t>Окунева Лидия Николаевна</t>
  </si>
  <si>
    <t>79879281447</t>
  </si>
  <si>
    <t>Okuneva-lida@mail.ru</t>
  </si>
  <si>
    <t>4/1-15/110</t>
  </si>
  <si>
    <t>Махамадиев Сарваржон Сайридинович</t>
  </si>
  <si>
    <t>79372090013</t>
  </si>
  <si>
    <t>sarvar4ik.m@inbox.ru</t>
  </si>
  <si>
    <t>4/4-04/428</t>
  </si>
  <si>
    <t>Алмардонов Абдужаббор Абдугапорович</t>
  </si>
  <si>
    <t>79270103876</t>
  </si>
  <si>
    <t>almardonovam9@gmail.com</t>
  </si>
  <si>
    <t>4/4-06/446</t>
  </si>
  <si>
    <t>Гордюшкина Мария Викторовна</t>
  </si>
  <si>
    <t>79170315666</t>
  </si>
  <si>
    <t>Gsv510@yandex.ru</t>
  </si>
  <si>
    <t>4/3-02/243</t>
  </si>
  <si>
    <t>Ошуркова Марина Михайловна</t>
  </si>
  <si>
    <t>79272672637</t>
  </si>
  <si>
    <t>oshmm@mail.ru</t>
  </si>
  <si>
    <t>4/2-14/218</t>
  </si>
  <si>
    <t>Мухаева Ольга Александровна</t>
  </si>
  <si>
    <t>79276545280</t>
  </si>
  <si>
    <t>Lelechka161990@mail.ru</t>
  </si>
  <si>
    <t>4/4-11/489</t>
  </si>
  <si>
    <t>Искрина Виктория Алексеевна</t>
  </si>
  <si>
    <t>79277848826</t>
  </si>
  <si>
    <t>avg2003vva@gmail.com</t>
  </si>
  <si>
    <t>5/2-01/116</t>
  </si>
  <si>
    <t>Байбеков Айся Шавкятович</t>
  </si>
  <si>
    <t>79042690304</t>
  </si>
  <si>
    <t>nasimya.baybekova@bk.ru</t>
  </si>
  <si>
    <t>Рассылка - SMS</t>
  </si>
  <si>
    <t>4/2-11/196</t>
  </si>
  <si>
    <t>Чиркова Алина Сергеевна</t>
  </si>
  <si>
    <t>79279021505</t>
  </si>
  <si>
    <t>msjames@mail.ru</t>
  </si>
  <si>
    <t>4/1-08/054</t>
  </si>
  <si>
    <t>Дяконенко Сергей Николаевич</t>
  </si>
  <si>
    <t>79963413577</t>
  </si>
  <si>
    <t>alex.sportbox@yandex.ru</t>
  </si>
  <si>
    <t>5/4-06/433</t>
  </si>
  <si>
    <t>Афанасьева Елизавета Викентьева</t>
  </si>
  <si>
    <t>79370639444</t>
  </si>
  <si>
    <t>here.and.now-1@yandex.ru</t>
  </si>
  <si>
    <t>5/1-01/004</t>
  </si>
  <si>
    <t>Марталог Светлана Петровна</t>
  </si>
  <si>
    <t>79900447908</t>
  </si>
  <si>
    <t>svetlanamartalog@yandex.ru</t>
  </si>
  <si>
    <t>5/4-07/438</t>
  </si>
  <si>
    <t>Давлетьянова Лилия Робертовна</t>
  </si>
  <si>
    <t>79277254603</t>
  </si>
  <si>
    <t>d_liliy@mail.ru</t>
  </si>
  <si>
    <t>4/2-15/227</t>
  </si>
  <si>
    <t>Иванова Галина Юрьевна</t>
  </si>
  <si>
    <t>79372506134</t>
  </si>
  <si>
    <t>igalina614@mail.ru</t>
  </si>
  <si>
    <t>5/4-22/558</t>
  </si>
  <si>
    <t>Малых Полина Ивановна</t>
  </si>
  <si>
    <t>79964630100</t>
  </si>
  <si>
    <t>polinashepitsyna@yandex.ru</t>
  </si>
  <si>
    <t>5/4-05/424</t>
  </si>
  <si>
    <t>Купряев Павел Алексеевич</t>
  </si>
  <si>
    <t>79674805559</t>
  </si>
  <si>
    <t>kupryaev_pavel@mail.ru</t>
  </si>
  <si>
    <t>4/3-17/348</t>
  </si>
  <si>
    <t>Митрощенко Светлана Викторовна</t>
  </si>
  <si>
    <t>79782361324</t>
  </si>
  <si>
    <t>svetlana.mitroshenko@mail.ru</t>
  </si>
  <si>
    <t>4/3-10/297</t>
  </si>
  <si>
    <t>Курбангалеева, Алеся Михайловна</t>
  </si>
  <si>
    <t>79277551658</t>
  </si>
  <si>
    <t>alesya1502@mail.ru</t>
  </si>
  <si>
    <t>5/3-12/299</t>
  </si>
  <si>
    <t>Сафронов Андрей Васильевич</t>
  </si>
  <si>
    <t>79608146339</t>
  </si>
  <si>
    <t>ksu2904@mail.ru</t>
  </si>
  <si>
    <t>5/4-16/511</t>
  </si>
  <si>
    <t>Ермольчева Александра Алексеевна</t>
  </si>
  <si>
    <t>79171130501</t>
  </si>
  <si>
    <t>alexandraermolcheva@mail.ru</t>
  </si>
  <si>
    <t>4/4-03/419</t>
  </si>
  <si>
    <t>Сулейманова Сакина Паша Кызы</t>
  </si>
  <si>
    <t>79198188608</t>
  </si>
  <si>
    <t>valieva.sakina@mail.ru</t>
  </si>
  <si>
    <t>Н - Волжский квартал</t>
  </si>
  <si>
    <t>4/3-13/319</t>
  </si>
  <si>
    <t>Царев Владимир Николаевич</t>
  </si>
  <si>
    <t>79171482956</t>
  </si>
  <si>
    <t>olgunka_80@vk.com</t>
  </si>
  <si>
    <t>Скидка с елки</t>
  </si>
  <si>
    <t>5/1-07/046</t>
  </si>
  <si>
    <t>Кучерявый Иван Викторович</t>
  </si>
  <si>
    <t>79376417383</t>
  </si>
  <si>
    <t>nxt@nextmail.ru</t>
  </si>
  <si>
    <t>4/2-11/194</t>
  </si>
  <si>
    <t>Жижко Владислав Игоревич</t>
  </si>
  <si>
    <t>79277117462</t>
  </si>
  <si>
    <t>vladzizko35@gmail.com</t>
  </si>
  <si>
    <t>4/3-14/326</t>
  </si>
  <si>
    <t>Вечканова Полина Владимировна</t>
  </si>
  <si>
    <t>79171135993</t>
  </si>
  <si>
    <t>veckanovapolina928@gmail.com</t>
  </si>
  <si>
    <t>5/3-11/294</t>
  </si>
  <si>
    <t>Терехова Светлана Анатольевна</t>
  </si>
  <si>
    <t>79370769970</t>
  </si>
  <si>
    <t>amelkinaswetlana@rambler.ru</t>
  </si>
  <si>
    <t>5/1-15/103</t>
  </si>
  <si>
    <t>Ильина Алина Александровна</t>
  </si>
  <si>
    <t>79871693102</t>
  </si>
  <si>
    <t>Alinvavilova@yandex.ru</t>
  </si>
  <si>
    <t>5/1-09/059</t>
  </si>
  <si>
    <t>Азизова Хадисахон</t>
  </si>
  <si>
    <t>79277972164</t>
  </si>
  <si>
    <t>5/3-10/290</t>
  </si>
  <si>
    <t>Григорьев Василий Анатольевич</t>
  </si>
  <si>
    <t>79323151066</t>
  </si>
  <si>
    <t>bratka.gva@mail.ru</t>
  </si>
  <si>
    <t>5/1-12/080</t>
  </si>
  <si>
    <t>Федрушкова Зоя Васильевна</t>
  </si>
  <si>
    <t>79277088232</t>
  </si>
  <si>
    <t>zoyafedrushkova@gmail.com</t>
  </si>
  <si>
    <t>5/4-17/522</t>
  </si>
  <si>
    <t>Левина Надежда Вячеславовна</t>
  </si>
  <si>
    <t>79270028490</t>
  </si>
  <si>
    <t>nadinlevina@mail.ru</t>
  </si>
  <si>
    <t>5/1-02/013</t>
  </si>
  <si>
    <t>Тутова Светлана Юрьевна</t>
  </si>
  <si>
    <t>79967450709</t>
  </si>
  <si>
    <t>tutovas@list.ru</t>
  </si>
  <si>
    <t>5/3-16/327</t>
  </si>
  <si>
    <t>Воронина Наталья Павловна</t>
  </si>
  <si>
    <t>79276927529</t>
  </si>
  <si>
    <t>voronina.1980dd@mail.ru</t>
  </si>
  <si>
    <t>5/2-14/205</t>
  </si>
  <si>
    <t>Пашкевич Ольга Владимировна</t>
  </si>
  <si>
    <t>79171191415</t>
  </si>
  <si>
    <t>olga11021983@yandex.ru</t>
  </si>
  <si>
    <t>4/4-10/482</t>
  </si>
  <si>
    <t>Кузерова Маргарита Анатольевна</t>
  </si>
  <si>
    <t>79619276411</t>
  </si>
  <si>
    <t>ritaKuz2610@mail.ru</t>
  </si>
  <si>
    <t>4/4-14/516</t>
  </si>
  <si>
    <t>Саяпин Максим Петрович</t>
  </si>
  <si>
    <t>79276263212</t>
  </si>
  <si>
    <t>maksisay@ya.ru</t>
  </si>
  <si>
    <t>4/3-15/337</t>
  </si>
  <si>
    <t>Муратов Роман Олегович</t>
  </si>
  <si>
    <t>79278999942</t>
  </si>
  <si>
    <t>Asdmuv24@gmail.com</t>
  </si>
  <si>
    <t>4/3-19/361</t>
  </si>
  <si>
    <t>Бутаев Охунжон Одилжонович</t>
  </si>
  <si>
    <t>79879828807</t>
  </si>
  <si>
    <t>muazzam.amonova@mail.ru</t>
  </si>
  <si>
    <t>5/2-07/159</t>
  </si>
  <si>
    <t>Тужилова Светлана Александровна</t>
  </si>
  <si>
    <t>79277636554</t>
  </si>
  <si>
    <t>Svetlanatza@gmail.com</t>
  </si>
  <si>
    <t>4/4-09/471</t>
  </si>
  <si>
    <t>Рамазанова Светлана Борисовна</t>
  </si>
  <si>
    <t>79228248461</t>
  </si>
  <si>
    <t>kam.ramazanow@yandex.ru</t>
  </si>
  <si>
    <t>5/2-05/141</t>
  </si>
  <si>
    <t>Петросян Алла Владимировна</t>
  </si>
  <si>
    <t>79264537075</t>
  </si>
  <si>
    <t>akopyan_d_a@inbox.ru</t>
  </si>
  <si>
    <t>Наличный расчет</t>
  </si>
  <si>
    <t>5/4-14/494</t>
  </si>
  <si>
    <t>Черных Екатерина Геннадьевна</t>
  </si>
  <si>
    <t>79270522212</t>
  </si>
  <si>
    <t>sharya_ekaterina@mail.ru</t>
  </si>
  <si>
    <t>5/4-03/410</t>
  </si>
  <si>
    <t>Михайлова Марина Валерьевна</t>
  </si>
  <si>
    <t>79379994288</t>
  </si>
  <si>
    <t>mar88mih@mail.ru</t>
  </si>
  <si>
    <t>5/2-08/165</t>
  </si>
  <si>
    <t>Румянцев Никита Юрьевич</t>
  </si>
  <si>
    <t>79270951999</t>
  </si>
  <si>
    <t>dobryinikita@gmail.com</t>
  </si>
  <si>
    <t>5/4-23/568</t>
  </si>
  <si>
    <t>Рознюк Анастасия Андреевна</t>
  </si>
  <si>
    <t>79991726421</t>
  </si>
  <si>
    <t>Gruzoperevozwk@gmail.com</t>
  </si>
  <si>
    <t>Н - Юпитер</t>
  </si>
  <si>
    <t>Саликова Алина Наильевна</t>
  </si>
  <si>
    <t>79279022629</t>
  </si>
  <si>
    <t>Salikova2012@list.ru</t>
  </si>
  <si>
    <t>5/3-09/284</t>
  </si>
  <si>
    <t>Архипова Евгения Ильинична</t>
  </si>
  <si>
    <t>79277604024</t>
  </si>
  <si>
    <t>5/1-08/054</t>
  </si>
  <si>
    <t>Лузгина Светлана Александровна</t>
  </si>
  <si>
    <t>79272472343</t>
  </si>
  <si>
    <t>luzgina84sa@mail.ru</t>
  </si>
  <si>
    <t>5/3-06/257</t>
  </si>
  <si>
    <t>Пеньков Сергей Сергеевич</t>
  </si>
  <si>
    <t>79121244044</t>
  </si>
  <si>
    <t>wu-tang13@yandex.ru</t>
  </si>
  <si>
    <t>4/4-04/427</t>
  </si>
  <si>
    <t>Абрамова Олеся Геннадьевна</t>
  </si>
  <si>
    <t>79874420063</t>
  </si>
  <si>
    <t>balabanovaolesya5@mail.ru</t>
  </si>
  <si>
    <t>4/4-02/405</t>
  </si>
  <si>
    <t>Горбунов Вадим Васильевич</t>
  </si>
  <si>
    <t>79871507832</t>
  </si>
  <si>
    <t>lenchik_63@bk.ru</t>
  </si>
  <si>
    <t>5/3-22/375</t>
  </si>
  <si>
    <t>bobrisheva@bk.ru</t>
  </si>
  <si>
    <t>5/3-13/307</t>
  </si>
  <si>
    <t>4/2-05/146</t>
  </si>
  <si>
    <t>Милютин Виталий Юрьевич</t>
  </si>
  <si>
    <t>79270148612</t>
  </si>
  <si>
    <t>Katya1984.ru@yandex.ru</t>
  </si>
  <si>
    <t>4/1-15/109</t>
  </si>
  <si>
    <t>Исоян Серго Шотаевич</t>
  </si>
  <si>
    <t>4/4-10/477</t>
  </si>
  <si>
    <t>Сотаев Камалдин Сираджинович</t>
  </si>
  <si>
    <t>79272169595</t>
  </si>
  <si>
    <t>kamalsotaev95@mail.ru</t>
  </si>
  <si>
    <t>5/4-11/474</t>
  </si>
  <si>
    <t>Зинина Юлия Александровна</t>
  </si>
  <si>
    <t>79171635049</t>
  </si>
  <si>
    <t>zinina05041987@mail.ru</t>
  </si>
  <si>
    <t>5/2-11/185</t>
  </si>
  <si>
    <t>Тимербулатов Тимур Алиевич</t>
  </si>
  <si>
    <t>79033330944</t>
  </si>
  <si>
    <t>ttim2011@yandex.ru</t>
  </si>
  <si>
    <t>5/2-12/193</t>
  </si>
  <si>
    <t>Утешкалиев Зурканай Амантаевич</t>
  </si>
  <si>
    <t>79378083435</t>
  </si>
  <si>
    <t>Zurkanay.uteshkaliev@mail.ru</t>
  </si>
  <si>
    <t>5/1-03/018</t>
  </si>
  <si>
    <t>Нестерова Анастасия Викторовна</t>
  </si>
  <si>
    <t>79966205972</t>
  </si>
  <si>
    <t>anactaciadeviatkina777@gmail.com</t>
  </si>
  <si>
    <t>4/2-14/220</t>
  </si>
  <si>
    <t>Нувильев Роман Владимирович</t>
  </si>
  <si>
    <t>79179552103</t>
  </si>
  <si>
    <t>nuvilevroman10@gmail.com</t>
  </si>
  <si>
    <t>4/4-14/510</t>
  </si>
  <si>
    <t>Османова Рамиля Шихкеримовна</t>
  </si>
  <si>
    <t>79879147210</t>
  </si>
  <si>
    <t>osmanova01.07@bk.ru</t>
  </si>
  <si>
    <t>4/4-12/498</t>
  </si>
  <si>
    <t>Шахматов Глеб Владимирович</t>
  </si>
  <si>
    <t>79879476496</t>
  </si>
  <si>
    <t>glebalfa@mail.ru</t>
  </si>
  <si>
    <t>5/4-09/460</t>
  </si>
  <si>
    <t>Каримов Руслан Фуркатович</t>
  </si>
  <si>
    <t>79879223624</t>
  </si>
  <si>
    <t>1703notorious@gmail.com</t>
  </si>
  <si>
    <t>5/3-19/352</t>
  </si>
  <si>
    <t>Тюфутина Анна Алексеевна</t>
  </si>
  <si>
    <t>79397010028</t>
  </si>
  <si>
    <t>tyfutina01@gmail.ru</t>
  </si>
  <si>
    <t>5/4-06/432</t>
  </si>
  <si>
    <t>Сидоров Иван Валерьевич</t>
  </si>
  <si>
    <t>79270214133</t>
  </si>
  <si>
    <t>tatiana.oii.1246@gmail.com</t>
  </si>
  <si>
    <t>4/2-09/179</t>
  </si>
  <si>
    <t>Шабашов Виктор Сергеевич</t>
  </si>
  <si>
    <t>79171454622</t>
  </si>
  <si>
    <t>Shabashov.95@inbox.ru</t>
  </si>
  <si>
    <t>Скидка за наличные</t>
  </si>
  <si>
    <t>4/4-03/415</t>
  </si>
  <si>
    <t>Абрамова Татьяна Петровна</t>
  </si>
  <si>
    <t>79047324131</t>
  </si>
  <si>
    <t>tatyabramova@mail.ru</t>
  </si>
  <si>
    <t>4/3-14/327</t>
  </si>
  <si>
    <t>Гержан Никита Викторович</t>
  </si>
  <si>
    <t>79882823682</t>
  </si>
  <si>
    <t>ngerzhan@list.ru</t>
  </si>
  <si>
    <t>4/2-12/204</t>
  </si>
  <si>
    <t>Яхина Джамиля Ринатовна</t>
  </si>
  <si>
    <t>79093443105</t>
  </si>
  <si>
    <t>yakhina.d@list.ru</t>
  </si>
  <si>
    <t>4/2-16/239</t>
  </si>
  <si>
    <t>Маковский Дмитрий Васильевич</t>
  </si>
  <si>
    <t>79330164874</t>
  </si>
  <si>
    <t>63VDV63@bk.ru</t>
  </si>
  <si>
    <t>5/4-18/531</t>
  </si>
  <si>
    <t>Хамроева Нозанин Таджиддиновна</t>
  </si>
  <si>
    <t>79871575647</t>
  </si>
  <si>
    <t>hamroeva2222@mail.ru</t>
  </si>
  <si>
    <t>5/2-06/151</t>
  </si>
  <si>
    <t>Махмудов Хурсанд Абдугафарович</t>
  </si>
  <si>
    <t>79879156329</t>
  </si>
  <si>
    <t>khursand.makhmudov@mail.ru</t>
  </si>
  <si>
    <t>4/3-03/249</t>
  </si>
  <si>
    <t>Грунвальд Нина Альфридовна</t>
  </si>
  <si>
    <t>79241604230</t>
  </si>
  <si>
    <t>grunvalold62@mail.ru</t>
  </si>
  <si>
    <t>4/2-02/122</t>
  </si>
  <si>
    <t>Каюмова Сарвиноз Маъруфовна</t>
  </si>
  <si>
    <t>79018037400</t>
  </si>
  <si>
    <t>kaumodmv1111@gmail.com</t>
  </si>
  <si>
    <t>4/2-09/182</t>
  </si>
  <si>
    <t>Фролова Владелина Анатольевна</t>
  </si>
  <si>
    <t>79370755705</t>
  </si>
  <si>
    <t>frolovavlada2002@gmail.com</t>
  </si>
  <si>
    <t>4/4-05/435</t>
  </si>
  <si>
    <t>Симонов Александр Александрович</t>
  </si>
  <si>
    <t>79276950175</t>
  </si>
  <si>
    <t>simonov_alexandr2014@mail.ru</t>
  </si>
  <si>
    <t>4/2-07/164</t>
  </si>
  <si>
    <t>Бахтеева Гульфия Ильгизаровна</t>
  </si>
  <si>
    <t>79991723665</t>
  </si>
  <si>
    <t>zarina.andreeva.94@mail.ru</t>
  </si>
  <si>
    <t>5/3-04/244</t>
  </si>
  <si>
    <t>Заряева Ольга Сергеевна</t>
  </si>
  <si>
    <t>79225592762</t>
  </si>
  <si>
    <t>Zaryayeva87@bk.ru</t>
  </si>
  <si>
    <t>5/3-16/328</t>
  </si>
  <si>
    <t>Волков Станислав Александрович</t>
  </si>
  <si>
    <t>79297009984</t>
  </si>
  <si>
    <t>Volkov29011984@mail.ru</t>
  </si>
  <si>
    <t>5/4-01/391</t>
  </si>
  <si>
    <t>Кочетков Павел Александрович</t>
  </si>
  <si>
    <t>79061292192</t>
  </si>
  <si>
    <t>pavel.141287@gmail.com</t>
  </si>
  <si>
    <t>1/1-01/001</t>
  </si>
  <si>
    <t>Богомолов Сергей Петрович</t>
  </si>
  <si>
    <t>79171624070</t>
  </si>
  <si>
    <t>aulkin@mail.ru</t>
  </si>
  <si>
    <t>4/1-08/055</t>
  </si>
  <si>
    <t>Гвоздев Юрий Алексеевич</t>
  </si>
  <si>
    <t>79033038653</t>
  </si>
  <si>
    <t>ylen@mail.ru</t>
  </si>
  <si>
    <t>4/4-09/466</t>
  </si>
  <si>
    <t>Слукина Юлия Владимировна</t>
  </si>
  <si>
    <t>79171507143</t>
  </si>
  <si>
    <t>slukina1983@gmail.com</t>
  </si>
  <si>
    <t>5/4-11/473</t>
  </si>
  <si>
    <t>Шмакова Людмила Владимировна</t>
  </si>
  <si>
    <t>79228754406</t>
  </si>
  <si>
    <t>Lyudmila.shmackova@yandex.ru</t>
  </si>
  <si>
    <t>4/4-08/464</t>
  </si>
  <si>
    <t>5/2-04/132</t>
  </si>
  <si>
    <t>Кабиева Гульнара Раскалиевна</t>
  </si>
  <si>
    <t>79277755296</t>
  </si>
  <si>
    <t>katy.parry2010@yandex.ru</t>
  </si>
  <si>
    <t>5/4-17/519</t>
  </si>
  <si>
    <t>Ример Валерий Викторович</t>
  </si>
  <si>
    <t>79277146203</t>
  </si>
  <si>
    <t>rimvv@mail.ru</t>
  </si>
  <si>
    <t>4/1-14/098</t>
  </si>
  <si>
    <t>Ашуров Хуршед Шавкатович</t>
  </si>
  <si>
    <t>79967339947</t>
  </si>
  <si>
    <t>next_9100@mail.ru</t>
  </si>
  <si>
    <t>4/4-15/526</t>
  </si>
  <si>
    <t>Лисенкова Анастасия Михайловна</t>
  </si>
  <si>
    <t>79270268740</t>
  </si>
  <si>
    <t>anastasialisenkova96@gmail.com</t>
  </si>
  <si>
    <t>4/2-09/180</t>
  </si>
  <si>
    <t>Хлыстун Арина Тарасовна</t>
  </si>
  <si>
    <t>79228984493</t>
  </si>
  <si>
    <t>Ledi_arinakiss@mail.ru</t>
  </si>
  <si>
    <t>5/4-14/499</t>
  </si>
  <si>
    <t>Баротов Голибджон Зафарович</t>
  </si>
  <si>
    <t>79370647824</t>
  </si>
  <si>
    <t>galib_hi_tech@mail.ru</t>
  </si>
  <si>
    <t>5/2-13/195</t>
  </si>
  <si>
    <t>Котлярова Мария Михайловна</t>
  </si>
  <si>
    <t>5/1-07/042</t>
  </si>
  <si>
    <t>Хаустова Татьяна Павловна</t>
  </si>
  <si>
    <t>79122010467</t>
  </si>
  <si>
    <t>Xmc85@mail.ru</t>
  </si>
  <si>
    <t>Коммерческая ипотека</t>
  </si>
  <si>
    <t>1/2-01/009</t>
  </si>
  <si>
    <t>Зайцев Александр Максимович</t>
  </si>
  <si>
    <t>1/2-01/010</t>
  </si>
  <si>
    <t>4/2-13/210</t>
  </si>
  <si>
    <t>Демычев Антон Валерьевич</t>
  </si>
  <si>
    <t>79874447696</t>
  </si>
  <si>
    <t>demych.27@mail.ru</t>
  </si>
  <si>
    <t>5/2-07/153</t>
  </si>
  <si>
    <t>Синяева Альбина Евгеньевна</t>
  </si>
  <si>
    <t>79277660549</t>
  </si>
  <si>
    <t>a.derevskova@mail.ru</t>
  </si>
  <si>
    <t>5/4-07/442</t>
  </si>
  <si>
    <t>Булавин Иван Игоревич</t>
  </si>
  <si>
    <t>79879436750</t>
  </si>
  <si>
    <t>Bulavinii@rambler.ru</t>
  </si>
  <si>
    <t>5/2-16/216</t>
  </si>
  <si>
    <t>Митянин Николай Александрович</t>
  </si>
  <si>
    <t>79969132460</t>
  </si>
  <si>
    <t>Kolyan.mityanin98@mail.ru</t>
  </si>
  <si>
    <t>5/4-19/534</t>
  </si>
  <si>
    <t>Горбашов Сергей Владимирович</t>
  </si>
  <si>
    <t>79277285444</t>
  </si>
  <si>
    <t>SergeyVG84@mail.ru.</t>
  </si>
  <si>
    <t>5/2-10/174</t>
  </si>
  <si>
    <t>Михеева Анна Михайловна</t>
  </si>
  <si>
    <t>79371755575</t>
  </si>
  <si>
    <t>annmixeev@rambler.ru</t>
  </si>
  <si>
    <t>4/2-09/178</t>
  </si>
  <si>
    <t>Савельева Екатерина Сергеевна</t>
  </si>
  <si>
    <t>79372063875</t>
  </si>
  <si>
    <t>savelevaekaterina185@gmail.com</t>
  </si>
  <si>
    <t>4/3-16/341</t>
  </si>
  <si>
    <t>5/2-10/177</t>
  </si>
  <si>
    <t>Кежаева София Юрьевна</t>
  </si>
  <si>
    <t>79991719345</t>
  </si>
  <si>
    <t>sofiasincova93@mail.ru</t>
  </si>
  <si>
    <t>4/3-21/377</t>
  </si>
  <si>
    <t>Ионов Алексей Владимирович</t>
  </si>
  <si>
    <t>79171443555</t>
  </si>
  <si>
    <t>svetaionova1974@yandex.ru</t>
  </si>
  <si>
    <t>5/3-08/274</t>
  </si>
  <si>
    <t>Карпенко Сергей Александрович</t>
  </si>
  <si>
    <t>79276973695</t>
  </si>
  <si>
    <t>karpenkoekater1na@yandex.ru</t>
  </si>
  <si>
    <t>4/2-13/216</t>
  </si>
  <si>
    <t>Боровик Егор Михайлович</t>
  </si>
  <si>
    <t>79376560123</t>
  </si>
  <si>
    <t>egorborovik63@gmail.com</t>
  </si>
  <si>
    <t>5/3-07/268</t>
  </si>
  <si>
    <t>Катаева Ирина Михайловна</t>
  </si>
  <si>
    <t>79222840055</t>
  </si>
  <si>
    <t>Lazurnaya69@mail.ru</t>
  </si>
  <si>
    <t>4/1-09/058</t>
  </si>
  <si>
    <t>Белякова Наталья Викторовна</t>
  </si>
  <si>
    <t>79277880706</t>
  </si>
  <si>
    <t>n.belykova@yandex.ru</t>
  </si>
  <si>
    <t>4/4-08/463</t>
  </si>
  <si>
    <t>Хужамова Хабиба Садуллоевна</t>
  </si>
  <si>
    <t>79277741200</t>
  </si>
  <si>
    <t>hudjamovahabiba@gmail.com</t>
  </si>
  <si>
    <t>Н - Этажи</t>
  </si>
  <si>
    <t>4/1-11/079</t>
  </si>
  <si>
    <t>Ращенко Ирина Алексеевна</t>
  </si>
  <si>
    <t>79022484522</t>
  </si>
  <si>
    <t>starikovai894@gmail.com</t>
  </si>
  <si>
    <t>4/1-12/082</t>
  </si>
  <si>
    <t>Румянцев Денис Сергеевич</t>
  </si>
  <si>
    <t>79022898896</t>
  </si>
  <si>
    <t>trepova2021@mail.ru</t>
  </si>
  <si>
    <t>5/1-07/044</t>
  </si>
  <si>
    <t>Никулов Андрей Владимирович</t>
  </si>
  <si>
    <t>79272033329</t>
  </si>
  <si>
    <t>Nik.cool2007@mail.ru</t>
  </si>
  <si>
    <t>4/4-07/453</t>
  </si>
  <si>
    <t>Меновщиков Алексей Петрович</t>
  </si>
  <si>
    <t>79171620706</t>
  </si>
  <si>
    <t>a.menovschikov@yandex.ru</t>
  </si>
  <si>
    <t>4/1-03/010</t>
  </si>
  <si>
    <t>Данилова Евгения Владимировна</t>
  </si>
  <si>
    <t>79276003140</t>
  </si>
  <si>
    <t>ZhenyaBizer89@mail.ru</t>
  </si>
  <si>
    <t>4/4-06/444</t>
  </si>
  <si>
    <t>Есина Юлия Олеговна</t>
  </si>
  <si>
    <t>79277344401</t>
  </si>
  <si>
    <t>jsunitsa@gmail.com</t>
  </si>
  <si>
    <t>5/3-10/285</t>
  </si>
  <si>
    <t>Чустиль Виктория Сергеевна</t>
  </si>
  <si>
    <t>Vkistaubaeva@gmail.com</t>
  </si>
  <si>
    <t>5/4-12/478</t>
  </si>
  <si>
    <t>Семёнов Александр Юриевич</t>
  </si>
  <si>
    <t>79033340500</t>
  </si>
  <si>
    <t>djfan@bk.ru</t>
  </si>
  <si>
    <t>4/1-02/002</t>
  </si>
  <si>
    <t>Головченко Людмила Александровна</t>
  </si>
  <si>
    <t>79276504003</t>
  </si>
  <si>
    <t>ludmila.qol@gmail.com</t>
  </si>
  <si>
    <t>4/3-03/252</t>
  </si>
  <si>
    <t>Мусаев Артур Адамович</t>
  </si>
  <si>
    <t>79879050595</t>
  </si>
  <si>
    <t>El_is@icloud.com</t>
  </si>
  <si>
    <t>5/4-10/462</t>
  </si>
  <si>
    <t>Леванова Яна Александровна</t>
  </si>
  <si>
    <t>79371727094</t>
  </si>
  <si>
    <t>levanova-0107@mail.ru</t>
  </si>
  <si>
    <t>4/2-14/222</t>
  </si>
  <si>
    <t>Павлов Анатолий Михайлович</t>
  </si>
  <si>
    <t>79277875123</t>
  </si>
  <si>
    <t>tolya.pavlov.123@mail.ru</t>
  </si>
  <si>
    <t>5/4-15/502</t>
  </si>
  <si>
    <t>Семёнова Азиза Ролановна</t>
  </si>
  <si>
    <t>zi.r.semenova@gmail.com</t>
  </si>
  <si>
    <t>5/3-14/317</t>
  </si>
  <si>
    <t>Шердяев Артем Николаевич</t>
  </si>
  <si>
    <t>79370717973</t>
  </si>
  <si>
    <t>Sherd_97@mail.rru</t>
  </si>
  <si>
    <t>5/2-09/169</t>
  </si>
  <si>
    <t>Рашевский Валерий Сергеевич</t>
  </si>
  <si>
    <t>79874496211</t>
  </si>
  <si>
    <t>rush168@mail.ru</t>
  </si>
  <si>
    <t>5/2-03/128</t>
  </si>
  <si>
    <t>Банько Елена Николаевна</t>
  </si>
  <si>
    <t>79068586069</t>
  </si>
  <si>
    <t>1980banko@gmail.com</t>
  </si>
  <si>
    <t>5/3-21/366</t>
  </si>
  <si>
    <t>Шаронов Алексей Юрьевич</t>
  </si>
  <si>
    <t>79277244284</t>
  </si>
  <si>
    <t>Sharonov_a_yu@mail.ru</t>
  </si>
  <si>
    <t>4/2-10/189</t>
  </si>
  <si>
    <t>Липняков Артём Владимирович</t>
  </si>
  <si>
    <t>79677665576</t>
  </si>
  <si>
    <t>LIDON1921@ya.ru</t>
  </si>
  <si>
    <t>4/4-05/437</t>
  </si>
  <si>
    <t>Павлуткин Андрей Федорович</t>
  </si>
  <si>
    <t>79021834084</t>
  </si>
  <si>
    <t>andrey.andrey.titov.1984.titov@mail.ru</t>
  </si>
  <si>
    <t>5/2-15/214</t>
  </si>
  <si>
    <t>Медведев Вадим Андреевич</t>
  </si>
  <si>
    <t>79874341505</t>
  </si>
  <si>
    <t>vadim19972811@mail.ru</t>
  </si>
  <si>
    <t>5/1-07/045</t>
  </si>
  <si>
    <t>Полуянов Анатолий Игоревич</t>
  </si>
  <si>
    <t>79521094044</t>
  </si>
  <si>
    <t>poluyanov.tolya@list.ru</t>
  </si>
  <si>
    <t>5/4-20/548</t>
  </si>
  <si>
    <t>Виноградова Татьяна Витальевна</t>
  </si>
  <si>
    <t>79276080036</t>
  </si>
  <si>
    <t>levkov-84@mail.ru</t>
  </si>
  <si>
    <t>5/1-11/070</t>
  </si>
  <si>
    <t>Ткач Татьяна Ивановна</t>
  </si>
  <si>
    <t>79279071128</t>
  </si>
  <si>
    <t>tanyatkachivan@gmail.com</t>
  </si>
  <si>
    <t>4/1-04/018</t>
  </si>
  <si>
    <t>Каримова Мадина Содировна</t>
  </si>
  <si>
    <t>79871522254</t>
  </si>
  <si>
    <t>MadinaKar01@yandex.ru</t>
  </si>
  <si>
    <t>4/3-18/353</t>
  </si>
  <si>
    <t>Петров Данила Сергеевич</t>
  </si>
  <si>
    <t>79276856054</t>
  </si>
  <si>
    <t>Unclever@mail.ru</t>
  </si>
  <si>
    <t>5/3-19/353</t>
  </si>
  <si>
    <t>Колдакова Надежда Александровна</t>
  </si>
  <si>
    <t>79995827465</t>
  </si>
  <si>
    <t>nkoldakova1978@mail.ru</t>
  </si>
  <si>
    <t>4/3-05/263</t>
  </si>
  <si>
    <t>Антипов Владимир Сергеевич</t>
  </si>
  <si>
    <t>79270125118</t>
  </si>
  <si>
    <t>Antipovvladimir95@mail.ru</t>
  </si>
  <si>
    <t>4/4-13/504</t>
  </si>
  <si>
    <t>Романова Юлия Николаевна</t>
  </si>
  <si>
    <t>79021307573</t>
  </si>
  <si>
    <t>5/4-18/526</t>
  </si>
  <si>
    <t>Щербакова Елена Александровна</t>
  </si>
  <si>
    <t>79270060306</t>
  </si>
  <si>
    <t>elena07630@gmail.com</t>
  </si>
  <si>
    <t>5/4-05/426</t>
  </si>
  <si>
    <t>Сланин Дмитрий Николаевич</t>
  </si>
  <si>
    <t>79276436802</t>
  </si>
  <si>
    <t>dima-0602@bk.ru</t>
  </si>
  <si>
    <t>Поехали в Амград</t>
  </si>
  <si>
    <t>4/3-07/277</t>
  </si>
  <si>
    <t>Малыгина Севил Тельмановна</t>
  </si>
  <si>
    <t>79270010326</t>
  </si>
  <si>
    <t>sevil.malygina@mail.ru</t>
  </si>
  <si>
    <t>5/3-10/287</t>
  </si>
  <si>
    <t>Григоров Евгений Сергеевич</t>
  </si>
  <si>
    <t>79170566266</t>
  </si>
  <si>
    <t>egrigorov5@gmail.com</t>
  </si>
  <si>
    <t>5/1-11/073</t>
  </si>
  <si>
    <t>Пампуров Алексей Алексеевич</t>
  </si>
  <si>
    <t>79179788482</t>
  </si>
  <si>
    <t>Didited@inbox.ru</t>
  </si>
  <si>
    <t>5/3-15/322</t>
  </si>
  <si>
    <t>Плахотников Илья Алексеевич</t>
  </si>
  <si>
    <t>79371779019</t>
  </si>
  <si>
    <t>udinaelenanik@mail.ru</t>
  </si>
  <si>
    <t>5/4-04/416</t>
  </si>
  <si>
    <t>Овсянников Александр Васильевич</t>
  </si>
  <si>
    <t>79171070374</t>
  </si>
  <si>
    <t>RS-MX@mail.ru</t>
  </si>
  <si>
    <t>5/2-08/164</t>
  </si>
  <si>
    <t>Поступайло Алексей Юрьевич</t>
  </si>
  <si>
    <t>79279055424</t>
  </si>
  <si>
    <t>alexey_063@mail.ru</t>
  </si>
  <si>
    <t>4/3-23/390</t>
  </si>
  <si>
    <t>Бузланов Михаил Дмитриевич</t>
  </si>
  <si>
    <t>79171127499</t>
  </si>
  <si>
    <t>buzlanov.misha@mail.ru</t>
  </si>
  <si>
    <t>5/3-01/227</t>
  </si>
  <si>
    <t>Константинов Андрей Георгиевич</t>
  </si>
  <si>
    <t>79966247101</t>
  </si>
  <si>
    <t>anutka1991@inbox.ru</t>
  </si>
  <si>
    <t>Н - ИП Филимонова</t>
  </si>
  <si>
    <t>5/2-07/156</t>
  </si>
  <si>
    <t>Девяткин Илья Сергеевич</t>
  </si>
  <si>
    <t>79053016388</t>
  </si>
  <si>
    <t>pro86@mail.ru</t>
  </si>
  <si>
    <t>5/4-04/419</t>
  </si>
  <si>
    <t>Аветисян Бабкен Гагикович</t>
  </si>
  <si>
    <t>79228131115</t>
  </si>
  <si>
    <t>Babken-09@mail.ru</t>
  </si>
  <si>
    <t>5/3-01/226</t>
  </si>
  <si>
    <t>79171694722</t>
  </si>
  <si>
    <t>5/1-13/088</t>
  </si>
  <si>
    <t>Гайнуллин Марат Нягимович</t>
  </si>
  <si>
    <t>79179529157</t>
  </si>
  <si>
    <t>gainyllin1992@yandex.ru</t>
  </si>
  <si>
    <t>4/4-06/438</t>
  </si>
  <si>
    <t>Чеснокова Полина Владимировна</t>
  </si>
  <si>
    <t>79297024441</t>
  </si>
  <si>
    <t>Polina.chesnokova.vl@gmail.com</t>
  </si>
  <si>
    <t>4/4-04/423</t>
  </si>
  <si>
    <t>Куприянова Анастасия Мансуржоновна</t>
  </si>
  <si>
    <t>79179529159</t>
  </si>
  <si>
    <t>ZhuraevaA@yandex.ru</t>
  </si>
  <si>
    <t>5/4-08/447</t>
  </si>
  <si>
    <t>Коноплева Светлана Александровна</t>
  </si>
  <si>
    <t>79228585399</t>
  </si>
  <si>
    <t>bobysvetlana@yandex.ru</t>
  </si>
  <si>
    <t>4/2-06/154</t>
  </si>
  <si>
    <t>Бартновский Леонид Борисович</t>
  </si>
  <si>
    <t>79874398037</t>
  </si>
  <si>
    <t>lenya.bart@gmail.com</t>
  </si>
  <si>
    <t>5/4-13/488</t>
  </si>
  <si>
    <t>Брель Екатерина Алексеевна</t>
  </si>
  <si>
    <t>79871602748</t>
  </si>
  <si>
    <t>brelkatya@mail.ru</t>
  </si>
  <si>
    <t>5/3-24/388</t>
  </si>
  <si>
    <t>Одинцов Андрей Дмитриевич</t>
  </si>
  <si>
    <t>79967447157</t>
  </si>
  <si>
    <t>odinandrey163@gmail.com</t>
  </si>
  <si>
    <t>4/3-18/359</t>
  </si>
  <si>
    <t>Захаров Руслан Ахмарович</t>
  </si>
  <si>
    <t>79874357071</t>
  </si>
  <si>
    <t>orrriole@yandex.ru</t>
  </si>
  <si>
    <t>5/4-12/483</t>
  </si>
  <si>
    <t>Смирнова Наталья Сергеевна</t>
  </si>
  <si>
    <t>79379942526</t>
  </si>
  <si>
    <t>denis242409@mail.ru</t>
  </si>
  <si>
    <t>5/4-16/515</t>
  </si>
  <si>
    <t>Шуругин Петр Юрьевич</t>
  </si>
  <si>
    <t>79276197344</t>
  </si>
  <si>
    <t>shuruginpetr@mail.ru</t>
  </si>
  <si>
    <t>5/1-09/062</t>
  </si>
  <si>
    <t>Пелин Артем Александрович</t>
  </si>
  <si>
    <t>79016853637</t>
  </si>
  <si>
    <t>PelinVUC@yandex.ru</t>
  </si>
  <si>
    <t>5/1-05/033</t>
  </si>
  <si>
    <t>Алиева Ирина Владимировна</t>
  </si>
  <si>
    <t>79878894893</t>
  </si>
  <si>
    <t>Boricenko221097@mail.ru</t>
  </si>
  <si>
    <t>5/3-14/319</t>
  </si>
  <si>
    <t>Савлук Егор Владимирович</t>
  </si>
  <si>
    <t>79372115551</t>
  </si>
  <si>
    <t>Wgew02@mail.ru</t>
  </si>
  <si>
    <t>5/3-15/325</t>
  </si>
  <si>
    <t>Сысоев Николай Владимирович</t>
  </si>
  <si>
    <t>79276046820</t>
  </si>
  <si>
    <t>sisoev.lil1989@mail.ru</t>
  </si>
  <si>
    <t>5/4-14/498</t>
  </si>
  <si>
    <t>Дедюлина Екатерина Дмитриевна</t>
  </si>
  <si>
    <t>79170328454</t>
  </si>
  <si>
    <t>dka1703@mail.ru</t>
  </si>
  <si>
    <t>4/1-13/096</t>
  </si>
  <si>
    <t>Егорова Анна Игоревна</t>
  </si>
  <si>
    <t>79061256180</t>
  </si>
  <si>
    <t>anna_egorova0287@mail.ru</t>
  </si>
  <si>
    <t>5/2-10/179</t>
  </si>
  <si>
    <t>Якимов Александр Алексеевич</t>
  </si>
  <si>
    <t>79276093195</t>
  </si>
  <si>
    <t>63xalex@gmail.com</t>
  </si>
  <si>
    <t>5/4-16/509</t>
  </si>
  <si>
    <t>Шесткова Юлия Сергеевна</t>
  </si>
  <si>
    <t>79874406383</t>
  </si>
  <si>
    <t>ju.shestkova@mail.ru</t>
  </si>
  <si>
    <t>4/3-17/347</t>
  </si>
  <si>
    <t>Баранов Константин Анатольевич</t>
  </si>
  <si>
    <t>79185082371</t>
  </si>
  <si>
    <t>kot2oper365@mail.ru</t>
  </si>
  <si>
    <t>4/1-09/062</t>
  </si>
  <si>
    <t>Токмило Тамара Матвеевна</t>
  </si>
  <si>
    <t>79184526115</t>
  </si>
  <si>
    <t>iristokmilo79@mail.ru</t>
  </si>
  <si>
    <t>5/3-22/371</t>
  </si>
  <si>
    <t>Быкова Анна Викторовна</t>
  </si>
  <si>
    <t>79025174529</t>
  </si>
  <si>
    <t>bykoff86@inbox.ru</t>
  </si>
  <si>
    <t>5/4-07/443</t>
  </si>
  <si>
    <t>Литвиненко Александр Сергеевич</t>
  </si>
  <si>
    <t>79371767198</t>
  </si>
  <si>
    <t>meekanec.al@gmail.com</t>
  </si>
  <si>
    <t>5/2-12/188</t>
  </si>
  <si>
    <t>Ильдюганов Андрей Александрович</t>
  </si>
  <si>
    <t>79376552780</t>
  </si>
  <si>
    <t>bezen163region@mail.ru</t>
  </si>
  <si>
    <t>5/1-04/023</t>
  </si>
  <si>
    <t>Миронова Мария Викторовна</t>
  </si>
  <si>
    <t>79262398498</t>
  </si>
  <si>
    <t>mariymir@inbox.ru</t>
  </si>
  <si>
    <t>4/2-15/226</t>
  </si>
  <si>
    <t>Сулейманов Станислав Асанович</t>
  </si>
  <si>
    <t>79677677534</t>
  </si>
  <si>
    <t>ktnj210590@inbox.ru</t>
  </si>
  <si>
    <t>5/1-15/100</t>
  </si>
  <si>
    <t>Прокопчук Ирина Александровна</t>
  </si>
  <si>
    <t>79271400561</t>
  </si>
  <si>
    <t>prokop4ukirina@mail.ru</t>
  </si>
  <si>
    <t>4/3-06/274</t>
  </si>
  <si>
    <t>Самиев Суханоро Содикович</t>
  </si>
  <si>
    <t>79963416097</t>
  </si>
  <si>
    <t>durdonasamieva502@gmail.com</t>
  </si>
  <si>
    <t>4/3-13/323</t>
  </si>
  <si>
    <t>Мухаметьянов Радим Корбангалиевич</t>
  </si>
  <si>
    <t>79061046954</t>
  </si>
  <si>
    <t>nataliazenina882809@mail.ru</t>
  </si>
  <si>
    <t>5/1-05/034</t>
  </si>
  <si>
    <t>Виноградов Илья Владимирович</t>
  </si>
  <si>
    <t>79297023939</t>
  </si>
  <si>
    <t>Il.vinogradov2010@yandex.ru</t>
  </si>
  <si>
    <t>5/4-21/549</t>
  </si>
  <si>
    <t>4/1-15/112</t>
  </si>
  <si>
    <t>Никудимова Ольга Александровна</t>
  </si>
  <si>
    <t>79276991561</t>
  </si>
  <si>
    <t>vovkapopov@yandex.ru</t>
  </si>
  <si>
    <t>5/3-07/266</t>
  </si>
  <si>
    <t>Маслов Евгений Юрьевич</t>
  </si>
  <si>
    <t>79279099096</t>
  </si>
  <si>
    <t>evgmasl6@yandex.ru</t>
  </si>
  <si>
    <t>Н - ГК Самолет</t>
  </si>
  <si>
    <t>АН - ГК Самолет</t>
  </si>
  <si>
    <t>4/3-07/281</t>
  </si>
  <si>
    <t>Сапожников Дмитрий Александрович</t>
  </si>
  <si>
    <t>79050186286</t>
  </si>
  <si>
    <t>Vezunhik14@mail.ru</t>
  </si>
  <si>
    <t>5/1-06/041</t>
  </si>
  <si>
    <t>Оленич Олег Александрович</t>
  </si>
  <si>
    <t>79276574297</t>
  </si>
  <si>
    <t>Chornyi.almaz@mail.ru</t>
  </si>
  <si>
    <t>5/3-08/273</t>
  </si>
  <si>
    <t>Саломатина Марина Владимировна</t>
  </si>
  <si>
    <t>79272663164</t>
  </si>
  <si>
    <t>gaginamarina@mail.ru</t>
  </si>
  <si>
    <t>5/4-09/455</t>
  </si>
  <si>
    <t>79682770721</t>
  </si>
  <si>
    <t>vezunchik1101@mail.ru</t>
  </si>
  <si>
    <t>5/2-15/211</t>
  </si>
  <si>
    <t>Гиндус Марк Всеволодович</t>
  </si>
  <si>
    <t>79276520852</t>
  </si>
  <si>
    <t>markzm@mail.ru</t>
  </si>
  <si>
    <t>5/3-12/303</t>
  </si>
  <si>
    <t>Горбунова Елена Викторовна</t>
  </si>
  <si>
    <t>79376575120</t>
  </si>
  <si>
    <t>heleng1990@mail.ru</t>
  </si>
  <si>
    <t>5/4-07/444</t>
  </si>
  <si>
    <t>Репченко Анна Владимировна</t>
  </si>
  <si>
    <t>79939452257</t>
  </si>
  <si>
    <t>chaban.anna@mail.ru</t>
  </si>
  <si>
    <t>5/3-06/258</t>
  </si>
  <si>
    <t>Фильченко Ольга Владимировна</t>
  </si>
  <si>
    <t>79969249255</t>
  </si>
  <si>
    <t>filchenkoovv@mail.ru</t>
  </si>
  <si>
    <t>5/4-10/461</t>
  </si>
  <si>
    <t>Горячев Михаил Александрович</t>
  </si>
  <si>
    <t>79276013557</t>
  </si>
  <si>
    <t>mikhailgoryachev1@gmail.com</t>
  </si>
  <si>
    <t>5/2-13/198</t>
  </si>
  <si>
    <t>Атнагулова Кристина Николаевна</t>
  </si>
  <si>
    <t>5/1-08/051</t>
  </si>
  <si>
    <t>Смирнова Юлия Михайловна</t>
  </si>
  <si>
    <t>79370771080</t>
  </si>
  <si>
    <t>Julia250486@rambler.ru</t>
  </si>
  <si>
    <t>4/1-14/103</t>
  </si>
  <si>
    <t>Форкунова Елизавета Владимировна</t>
  </si>
  <si>
    <t>79277892025</t>
  </si>
  <si>
    <t>forkunova.liza@gmail.com</t>
  </si>
  <si>
    <t>4/3-10/302</t>
  </si>
  <si>
    <t>Дрофа Анастасия Андреевна</t>
  </si>
  <si>
    <t>79063441084</t>
  </si>
  <si>
    <t>maratpolush@gmail.com</t>
  </si>
  <si>
    <t>4/3-15/333</t>
  </si>
  <si>
    <t>Учина Екатерина Сергеевна</t>
  </si>
  <si>
    <t>79033006237</t>
  </si>
  <si>
    <t>Uchinaes@gmail.com</t>
  </si>
  <si>
    <t>Евсеев Владимир Александрович</t>
  </si>
  <si>
    <t>79871919256</t>
  </si>
  <si>
    <t>evseeva.galina056@mail.ru</t>
  </si>
  <si>
    <t>5/4-01/393</t>
  </si>
  <si>
    <t>Кеняйкин Илья Сергеевич</t>
  </si>
  <si>
    <t>79277024053</t>
  </si>
  <si>
    <t>visota_163@mail.ru</t>
  </si>
  <si>
    <t>5/4-03/405</t>
  </si>
  <si>
    <t>Кишонкова Лариса Геннадьевна</t>
  </si>
  <si>
    <t>79277106246</t>
  </si>
  <si>
    <t>larisa26081968@mail.ru</t>
  </si>
  <si>
    <t>5/1-09/058</t>
  </si>
  <si>
    <t>Филатова Екатерина Сергеевна</t>
  </si>
  <si>
    <t>79397162575</t>
  </si>
  <si>
    <t>Filatovavn2008@mail.ru</t>
  </si>
  <si>
    <t xml:space="preserve">Акция для IT-специалистов </t>
  </si>
  <si>
    <t>4/4-13/507</t>
  </si>
  <si>
    <t>Луканов Алексей Вячеславович</t>
  </si>
  <si>
    <t>79379928599</t>
  </si>
  <si>
    <t>rezedakh2012@mail.ru</t>
  </si>
  <si>
    <t>5/1-10/068</t>
  </si>
  <si>
    <t>Гараева Надежда Анатольевна</t>
  </si>
  <si>
    <t>79871514619</t>
  </si>
  <si>
    <t>Garaeva_1977@mail.ru</t>
  </si>
  <si>
    <t>5/4-06/430</t>
  </si>
  <si>
    <t>Бронский Игорь Сергеевич</t>
  </si>
  <si>
    <t>79227741146</t>
  </si>
  <si>
    <t>larisaa68.68@mail.ru</t>
  </si>
  <si>
    <t>5/3-13/311</t>
  </si>
  <si>
    <t>Назин Дмитрий Сергеевич</t>
  </si>
  <si>
    <t>79370608072</t>
  </si>
  <si>
    <t>Nazind@mail.ru</t>
  </si>
  <si>
    <t>5/4-09/459</t>
  </si>
  <si>
    <t>Куликова Юлия Михайловна</t>
  </si>
  <si>
    <t>79272031365</t>
  </si>
  <si>
    <t>Kulikova.y82@icloud.com</t>
  </si>
  <si>
    <t>5/4-02/404</t>
  </si>
  <si>
    <t>Чёпов Сергей Викторович</t>
  </si>
  <si>
    <t>79276534882</t>
  </si>
  <si>
    <t>sergei.v.chepov@gmail.com</t>
  </si>
  <si>
    <t>5/1-14/092</t>
  </si>
  <si>
    <t>79608190805</t>
  </si>
  <si>
    <t>p2y19830303@gmail.com</t>
  </si>
  <si>
    <t>5/4-23/567</t>
  </si>
  <si>
    <t>Семина Александра Андреевна</t>
  </si>
  <si>
    <t>79276090607</t>
  </si>
  <si>
    <t>Semina_aleksandra@mail.ru</t>
  </si>
  <si>
    <t>5/4-09/458</t>
  </si>
  <si>
    <t>Сордия Ульяна Анатольевна</t>
  </si>
  <si>
    <t>79171020410</t>
  </si>
  <si>
    <t>usordiya@mail.ru</t>
  </si>
  <si>
    <t>5/2-06/150</t>
  </si>
  <si>
    <t>Панова Светлана Владимировна</t>
  </si>
  <si>
    <t>79026922075</t>
  </si>
  <si>
    <t>Vell.84@mail.ru</t>
  </si>
  <si>
    <t>5/4-04/415</t>
  </si>
  <si>
    <t>Якупова Гульфия Минахметовна</t>
  </si>
  <si>
    <t>79171071608</t>
  </si>
  <si>
    <t>gylfina1993@mail.ru</t>
  </si>
  <si>
    <t>5/1-16/109</t>
  </si>
  <si>
    <t>Корхалев Денис Константинович</t>
  </si>
  <si>
    <t>79871575046</t>
  </si>
  <si>
    <t>d.korhalev.dodo@gmail.com</t>
  </si>
  <si>
    <t>4/1-02/006</t>
  </si>
  <si>
    <t>Пешкова Анастасия Евгеньевна</t>
  </si>
  <si>
    <t>79279070233</t>
  </si>
  <si>
    <t>peshkova_60@mail.ru</t>
  </si>
  <si>
    <t>5/2-04/138</t>
  </si>
  <si>
    <t>Гвоздев Владислав Игоревич</t>
  </si>
  <si>
    <t>79608163300</t>
  </si>
  <si>
    <t>Thebestguf2004@mail.ru</t>
  </si>
  <si>
    <t>5/1-13/084</t>
  </si>
  <si>
    <t>Шарафутдинов Денис Рашитович</t>
  </si>
  <si>
    <t>79292707865</t>
  </si>
  <si>
    <t>89292707865@list.ru</t>
  </si>
  <si>
    <t>5/3-08/271</t>
  </si>
  <si>
    <t>Курмашов Аскар Сагитович</t>
  </si>
  <si>
    <t>79276024747</t>
  </si>
  <si>
    <t>askar.curmashov@yandex.ru</t>
  </si>
  <si>
    <t>5/1-04/021</t>
  </si>
  <si>
    <t>Ященко Алексей Михайлович</t>
  </si>
  <si>
    <t>79873268477</t>
  </si>
  <si>
    <t>yashenko_leha@mail.ru</t>
  </si>
  <si>
    <t>5/4-05/423</t>
  </si>
  <si>
    <t>Мурзаева Ирина Петровна</t>
  </si>
  <si>
    <t>79276066820</t>
  </si>
  <si>
    <t>murzaewa.irina2012@yandex.ru</t>
  </si>
  <si>
    <t>4/4-14/517</t>
  </si>
  <si>
    <t>Карабаненко Мадина Леонидовна</t>
  </si>
  <si>
    <t>79649777726</t>
  </si>
  <si>
    <t>danilpokoritel@gmail.com</t>
  </si>
  <si>
    <t>5/1-12/079</t>
  </si>
  <si>
    <t>Сельсков Александр Александрович</t>
  </si>
  <si>
    <t>79966200740</t>
  </si>
  <si>
    <t>selskov.99@mail.ru</t>
  </si>
  <si>
    <t>5/1-15/098</t>
  </si>
  <si>
    <t>Махинько Семён Алексеевич</t>
  </si>
  <si>
    <t>79279065319</t>
  </si>
  <si>
    <t>mahinkosemen91@gmail.com</t>
  </si>
  <si>
    <t>4/1-04/022</t>
  </si>
  <si>
    <t>Мякишева Алёна Вячеславовна</t>
  </si>
  <si>
    <t>79270167776</t>
  </si>
  <si>
    <t>info@krost63.ru</t>
  </si>
  <si>
    <t>5/2-11/183</t>
  </si>
  <si>
    <t>Преснякова Оксана Сергеевна</t>
  </si>
  <si>
    <t>79228229564</t>
  </si>
  <si>
    <t>oksana.presnyakova@mail.ru</t>
  </si>
  <si>
    <t xml:space="preserve">Мед работник </t>
  </si>
  <si>
    <t>5/1-10/064</t>
  </si>
  <si>
    <t>Лямина Ирина Владимировна</t>
  </si>
  <si>
    <t>79379966364</t>
  </si>
  <si>
    <t>Lyaminaiv@mail.ru</t>
  </si>
  <si>
    <t>5/3-21/367</t>
  </si>
  <si>
    <t>Эрназарова Юлдузой Хамзалиевна</t>
  </si>
  <si>
    <t>79879404380</t>
  </si>
  <si>
    <t>akmal.mail.kom@gmail.com</t>
  </si>
  <si>
    <t>5/1-13/087</t>
  </si>
  <si>
    <t>Баев Дмитрий Олегович</t>
  </si>
  <si>
    <t>79371823545</t>
  </si>
  <si>
    <t>zheksenova91@inbox.ru</t>
  </si>
  <si>
    <t>5/3-08/277</t>
  </si>
  <si>
    <t>Ашмарин Дмитрий Евгеньевич</t>
  </si>
  <si>
    <t>79871535680</t>
  </si>
  <si>
    <t>Ashmarindima228@yandex.ru</t>
  </si>
  <si>
    <t>5/3-10/289</t>
  </si>
  <si>
    <t>Муругова Екатерина Александровна</t>
  </si>
  <si>
    <t>79171041781</t>
  </si>
  <si>
    <t>Myrygova_Ekateri@mail.ru</t>
  </si>
  <si>
    <t>5/4-06/436</t>
  </si>
  <si>
    <t>Курбанаева, Гульфия Гарифулловна</t>
  </si>
  <si>
    <t>79276064300</t>
  </si>
  <si>
    <t>kurbanaeva.gulfiya@mail.ru</t>
  </si>
  <si>
    <t>5/4-20/546</t>
  </si>
  <si>
    <t>Коткова Елена Петровна</t>
  </si>
  <si>
    <t>79061265716</t>
  </si>
  <si>
    <t>kotkovaelena@mail.ru</t>
  </si>
  <si>
    <t>5/1-15/099</t>
  </si>
  <si>
    <t>Хиль Ирина Михайловна</t>
  </si>
  <si>
    <t>79171360808</t>
  </si>
  <si>
    <t>Hilira1909@gmail.com</t>
  </si>
  <si>
    <t>4/1-03/014</t>
  </si>
  <si>
    <t>Назарова Юлия Игоревна</t>
  </si>
  <si>
    <t>79397006866</t>
  </si>
  <si>
    <t>uliyanazarova1977@mail.ru</t>
  </si>
  <si>
    <t>4/4-08/459</t>
  </si>
  <si>
    <t>Андреева Ирина Витальевна</t>
  </si>
  <si>
    <t>79277914202</t>
  </si>
  <si>
    <t>yuraadreev@gmail.com</t>
  </si>
  <si>
    <t>5/2-09/173</t>
  </si>
  <si>
    <t>Калюжин Константин Михайлович</t>
  </si>
  <si>
    <t>79501138206</t>
  </si>
  <si>
    <t>Kaluga9719@gmail.com</t>
  </si>
  <si>
    <t>5/2-16/222</t>
  </si>
  <si>
    <t>Чибидин Александр Андреевич</t>
  </si>
  <si>
    <t>79879270179</t>
  </si>
  <si>
    <t>canec077@yandex.ru</t>
  </si>
  <si>
    <t>5/2-04/134</t>
  </si>
  <si>
    <t>Радина Марина Михайловна</t>
  </si>
  <si>
    <t>79270133858</t>
  </si>
  <si>
    <t>morskaya5759@mail.ru</t>
  </si>
  <si>
    <t>1</t>
  </si>
  <si>
    <t>401/2-13/090</t>
  </si>
  <si>
    <t>Юнусов Руслан Ринатович</t>
  </si>
  <si>
    <t>79247835170</t>
  </si>
  <si>
    <t>rus.yunus@yandex.ru</t>
  </si>
  <si>
    <t>Первый ДДУ 4 квартал дом 1, регистрация 02.07.</t>
  </si>
  <si>
    <t>5/4-03/408</t>
  </si>
  <si>
    <t>Дошимов Самат Омирзакович</t>
  </si>
  <si>
    <t>79276042725</t>
  </si>
  <si>
    <t>dosimov415@gmail.com</t>
  </si>
  <si>
    <t>5/2-16/218</t>
  </si>
  <si>
    <t>79623298042</t>
  </si>
  <si>
    <t>ele5792@yandex.ru</t>
  </si>
  <si>
    <t>5/4-01/395</t>
  </si>
  <si>
    <t>Сейидли Мирмагомед Мирмехман Оглы</t>
  </si>
  <si>
    <t>79276090898</t>
  </si>
  <si>
    <t>miri.azer@mail.ru</t>
  </si>
  <si>
    <t>5/4-15/506</t>
  </si>
  <si>
    <t>Дворникова Екатерина Александровна</t>
  </si>
  <si>
    <t>79967446630</t>
  </si>
  <si>
    <t>6991dea@mail.ru</t>
  </si>
  <si>
    <t>5/2-12/194</t>
  </si>
  <si>
    <t>Беликов Сергей Алексеевич</t>
  </si>
  <si>
    <t>79270011828</t>
  </si>
  <si>
    <t>amsterdam1991.AA@gmail.com</t>
  </si>
  <si>
    <t>5/3-17/336</t>
  </si>
  <si>
    <t xml:space="preserve">Мостовщикова Татьяна </t>
  </si>
  <si>
    <t>77477353964</t>
  </si>
  <si>
    <t>yagotka_8686@mail.ru</t>
  </si>
  <si>
    <t>5/3-14/315</t>
  </si>
  <si>
    <t>Рогозянский Иван Сергеевич</t>
  </si>
  <si>
    <t>79996836594</t>
  </si>
  <si>
    <t>rogozyanskyivan@mail.ru</t>
  </si>
  <si>
    <t>5/1-04/026</t>
  </si>
  <si>
    <t>Халиков Бахтиёр Мансурович</t>
  </si>
  <si>
    <t>79330144607</t>
  </si>
  <si>
    <t>bahahalikov2@mail.ru</t>
  </si>
  <si>
    <t>5/2-15/209</t>
  </si>
  <si>
    <t>Ширяева Наталья Сергеевна</t>
  </si>
  <si>
    <t>79272661973</t>
  </si>
  <si>
    <t>x600et@ya.ru</t>
  </si>
  <si>
    <t xml:space="preserve">Акция для партнеров </t>
  </si>
  <si>
    <t>4/3-16/344</t>
  </si>
  <si>
    <t>Солдатова Юлия Викторовна</t>
  </si>
  <si>
    <t>79277144145</t>
  </si>
  <si>
    <t>kinza199@yandex.ru</t>
  </si>
  <si>
    <t>5/3-04/249</t>
  </si>
  <si>
    <t>Толмачева Татьяна Сергеевна</t>
  </si>
  <si>
    <t>79228306585</t>
  </si>
  <si>
    <t>Tolmacheva_TS@akelon.com</t>
  </si>
  <si>
    <t>5/1-06/035</t>
  </si>
  <si>
    <t>Филимонова Юлия Сергеевна</t>
  </si>
  <si>
    <t>79370761898</t>
  </si>
  <si>
    <t>artem.panfilov.13@mail.ru</t>
  </si>
  <si>
    <t>5/3-02/233</t>
  </si>
  <si>
    <t>Коба Мария Васильевна</t>
  </si>
  <si>
    <t>79371835386</t>
  </si>
  <si>
    <t>koba_mari84@mail.ru</t>
  </si>
  <si>
    <t>5/1-16/108</t>
  </si>
  <si>
    <t>Корнеев Илья Николаевич</t>
  </si>
  <si>
    <t>79276566500</t>
  </si>
  <si>
    <t>ilyakorneev@mail.ru</t>
  </si>
  <si>
    <t>5/3-11/297</t>
  </si>
  <si>
    <t>Ронжина Наталья Александровна</t>
  </si>
  <si>
    <t>79225330988</t>
  </si>
  <si>
    <t>Fomina.natasha@list.ru</t>
  </si>
  <si>
    <t>5/2-03/127</t>
  </si>
  <si>
    <t>Краснослободцева Татьяна Александровна</t>
  </si>
  <si>
    <t>79276980204</t>
  </si>
  <si>
    <t>tatyana-buzykina@yandex.ru</t>
  </si>
  <si>
    <t>5/4-09/456</t>
  </si>
  <si>
    <t>Оганнисян Феликс Камоевич</t>
  </si>
  <si>
    <t>79879292643</t>
  </si>
  <si>
    <t>anahitfrangulyan@mail.ru</t>
  </si>
  <si>
    <t>5/4-17/521</t>
  </si>
  <si>
    <t>Шевченко Екатерина Вадимовна</t>
  </si>
  <si>
    <t>79244112114</t>
  </si>
  <si>
    <t>k_sobolenko96@mail.ru</t>
  </si>
  <si>
    <t>4/2-07/162</t>
  </si>
  <si>
    <t>Колпакова Дарья Андреевна</t>
  </si>
  <si>
    <t>79874315945</t>
  </si>
  <si>
    <t>daryakolpakova@mail.ru</t>
  </si>
  <si>
    <t>5/3-18/345</t>
  </si>
  <si>
    <t>79270254476</t>
  </si>
  <si>
    <t>5/2-14/207</t>
  </si>
  <si>
    <t>Джумаева Зайнура Комилджоновна</t>
  </si>
  <si>
    <t>79171426823</t>
  </si>
  <si>
    <t>galiushechka86@mail.ru</t>
  </si>
  <si>
    <t>5/1-08/050</t>
  </si>
  <si>
    <t>Елин Вячеслав Юрьевич</t>
  </si>
  <si>
    <t>79878197739</t>
  </si>
  <si>
    <t>slava.613@yandex.ru</t>
  </si>
  <si>
    <t>5/2-11/182</t>
  </si>
  <si>
    <t>Валов Анатолий Петрович</t>
  </si>
  <si>
    <t>79272985949</t>
  </si>
  <si>
    <t>4/4-02/404</t>
  </si>
  <si>
    <t>Сатдаров Рауф Харрасович</t>
  </si>
  <si>
    <t>79961220979</t>
  </si>
  <si>
    <t>Satd19@mail.ru</t>
  </si>
  <si>
    <t>5/1-03/020</t>
  </si>
  <si>
    <t>Филиппов Алексей Николаевич</t>
  </si>
  <si>
    <t>79279842544</t>
  </si>
  <si>
    <t>Gabbasova_yelena@mail.ru</t>
  </si>
  <si>
    <t>4/4-16/535</t>
  </si>
  <si>
    <t>Зотова Екатерина Александровна</t>
  </si>
  <si>
    <t>79277325889</t>
  </si>
  <si>
    <t>ekaterinasipovskih@gmail.com</t>
  </si>
  <si>
    <t>5/3-05/252</t>
  </si>
  <si>
    <t>Юрченко Евгения Олеговна</t>
  </si>
  <si>
    <t>79179500666</t>
  </si>
  <si>
    <t>yur4encko.evge@yandex.ru</t>
  </si>
  <si>
    <t>5/2-05/139</t>
  </si>
  <si>
    <t>Бабенков Андрей Андреевич</t>
  </si>
  <si>
    <t>79272613163</t>
  </si>
  <si>
    <t>andreybabenkov56@yandex.ru</t>
  </si>
  <si>
    <t>5/4-12/481</t>
  </si>
  <si>
    <t>Юлтыева Регина Зигануровна</t>
  </si>
  <si>
    <t>79966213628</t>
  </si>
  <si>
    <t>Bahteeyarova.r@gmail.com</t>
  </si>
  <si>
    <t>5/4-16/516</t>
  </si>
  <si>
    <t>Рашидова Дилрабо Туракуловна</t>
  </si>
  <si>
    <t>79277440385</t>
  </si>
  <si>
    <t>dilyarashidova545@gmail.com</t>
  </si>
  <si>
    <t>5/1-16/106</t>
  </si>
  <si>
    <t>Ведькалов Дмитрий Александрович</t>
  </si>
  <si>
    <t>79878979018</t>
  </si>
  <si>
    <t>dvcasper1@mail.ru</t>
  </si>
  <si>
    <t>5/3-06/262</t>
  </si>
  <si>
    <t>Немчинов Иван Юрьевич</t>
  </si>
  <si>
    <t>79022368527</t>
  </si>
  <si>
    <t>waanneek@mail.ru</t>
  </si>
  <si>
    <t>5/1-07/047</t>
  </si>
  <si>
    <t>Краснова Анастасия Аркадьевна</t>
  </si>
  <si>
    <t>79626053460</t>
  </si>
  <si>
    <t>krasnovaanastasia07@gmail.com</t>
  </si>
  <si>
    <t>5/4-07/441</t>
  </si>
  <si>
    <t>Вильданова Гелия Равилевна</t>
  </si>
  <si>
    <t>79874339520</t>
  </si>
  <si>
    <t>iagr73-63@mail.ru</t>
  </si>
  <si>
    <t>5/1-12/083</t>
  </si>
  <si>
    <t>Мечова Марина Викторовна</t>
  </si>
  <si>
    <t>79277654036</t>
  </si>
  <si>
    <t>marinabezsanova@gmail.com</t>
  </si>
  <si>
    <t>Коммерческое помещение</t>
  </si>
  <si>
    <t>4/3-01/012</t>
  </si>
  <si>
    <t>5/4-11/475</t>
  </si>
  <si>
    <t>Меделяева Марина Викторовна</t>
  </si>
  <si>
    <t>79277778380</t>
  </si>
  <si>
    <t>Marinamedelaeva@gmail.com</t>
  </si>
  <si>
    <t>5/2-15/210</t>
  </si>
  <si>
    <t>Циунель Мария Олеговна</t>
  </si>
  <si>
    <t>79371721333</t>
  </si>
  <si>
    <t>msoloma@internet.ru</t>
  </si>
  <si>
    <t>5/4-05/428</t>
  </si>
  <si>
    <t>Клянин Евгений Витальевич</t>
  </si>
  <si>
    <t>79216088927</t>
  </si>
  <si>
    <t>klyanin6@gmail.com</t>
  </si>
  <si>
    <t>5/3-10/286</t>
  </si>
  <si>
    <t>Левагина Екатерина Максимовна</t>
  </si>
  <si>
    <t>79967374701</t>
  </si>
  <si>
    <t>struna.14sd@mail.ru</t>
  </si>
  <si>
    <t>5/4-13/487</t>
  </si>
  <si>
    <t>79171537524</t>
  </si>
  <si>
    <t>2</t>
  </si>
  <si>
    <t>Белая</t>
  </si>
  <si>
    <t>401/1-03/063</t>
  </si>
  <si>
    <t>Сочивко Светлана</t>
  </si>
  <si>
    <t>79277216139</t>
  </si>
  <si>
    <t>s-sochivko@mail.ru</t>
  </si>
  <si>
    <t>5/4-18/532</t>
  </si>
  <si>
    <t>79297036342</t>
  </si>
  <si>
    <t>vikatkach2002@mail.ru</t>
  </si>
  <si>
    <t>Н - Тими</t>
  </si>
  <si>
    <t>4/2-13/213</t>
  </si>
  <si>
    <t>Баркова Галина Евгеньевна</t>
  </si>
  <si>
    <t>79279004718</t>
  </si>
  <si>
    <t>galya.barkova.77@mail.ru</t>
  </si>
  <si>
    <t>5/4-03/409</t>
  </si>
  <si>
    <t>Туйзюкова Ольга Петровна</t>
  </si>
  <si>
    <t>79277898274</t>
  </si>
  <si>
    <t>ат-бот</t>
  </si>
  <si>
    <t>Донорская</t>
  </si>
  <si>
    <t>5/4-05/425</t>
  </si>
  <si>
    <t>Пантелеева Ирина Сергеевна</t>
  </si>
  <si>
    <t>79179502279</t>
  </si>
  <si>
    <t>iriska7787@mail.ru</t>
  </si>
  <si>
    <t>5/1-06/036</t>
  </si>
  <si>
    <t>79272074787</t>
  </si>
  <si>
    <t>wm2486@yandex.ru</t>
  </si>
  <si>
    <t>5/4-05/421</t>
  </si>
  <si>
    <t>Савельев Владимир Владимирович</t>
  </si>
  <si>
    <t>79277739709</t>
  </si>
  <si>
    <t>vladsava84@mail.ru</t>
  </si>
  <si>
    <t>4/3-19/366</t>
  </si>
  <si>
    <t>Хачатурян Армине Робиковна</t>
  </si>
  <si>
    <t>79270212342</t>
  </si>
  <si>
    <t>Arminka.khachaturyan.94@mail.ru</t>
  </si>
  <si>
    <t>Рузиев Абдурашид Джуракулович</t>
  </si>
  <si>
    <t>79954719611</t>
  </si>
  <si>
    <t>Adu_9595@inbox.ru</t>
  </si>
  <si>
    <t>4/3-22/382</t>
  </si>
  <si>
    <t>79789022045</t>
  </si>
  <si>
    <t>Feride92b@yandex.ru</t>
  </si>
  <si>
    <t>5/3-16/333</t>
  </si>
  <si>
    <t>Чистякова Ольга Анатольевна</t>
  </si>
  <si>
    <t>79277266359</t>
  </si>
  <si>
    <t>e-thistykow@yandex.ru</t>
  </si>
  <si>
    <t>5/3-15/321</t>
  </si>
  <si>
    <t>Мордашова Елена Викторовна</t>
  </si>
  <si>
    <t>79277137475</t>
  </si>
  <si>
    <t>fedorchevalenochka84@gmail.com</t>
  </si>
  <si>
    <t>5/4-08/446</t>
  </si>
  <si>
    <t>Землянова Елена Валерьевна</t>
  </si>
  <si>
    <t>77775650142</t>
  </si>
  <si>
    <t>lenadima1806@gmail.com</t>
  </si>
  <si>
    <t>5/3-07/267</t>
  </si>
  <si>
    <t>Шалунова Ольга Борисовна</t>
  </si>
  <si>
    <t>79934640401</t>
  </si>
  <si>
    <t>olenka-lite@mail.ru</t>
  </si>
  <si>
    <t>5/4-15/507</t>
  </si>
  <si>
    <t>Очеретенко Дмитрий Петрович</t>
  </si>
  <si>
    <t>79128677518</t>
  </si>
  <si>
    <t>ocheretenkod@yandex.ru</t>
  </si>
  <si>
    <t>7,9% на 12 месяцев, далее 19,9</t>
  </si>
  <si>
    <t>5/3-18/346</t>
  </si>
  <si>
    <t>Акопян Даниил Гарушович</t>
  </si>
  <si>
    <t>79170142604</t>
  </si>
  <si>
    <t>2018dany1998@gmail.com</t>
  </si>
  <si>
    <t>4/3-20/368</t>
  </si>
  <si>
    <t>Лымарева Елена Владимировна</t>
  </si>
  <si>
    <t>79154658730</t>
  </si>
  <si>
    <t>mrstaraz@mail.ru</t>
  </si>
  <si>
    <t>4/3-23/389</t>
  </si>
  <si>
    <t>79879540058</t>
  </si>
  <si>
    <t>nikolai_9@mail.ru</t>
  </si>
  <si>
    <t>5/3-23/377</t>
  </si>
  <si>
    <t>79178168278</t>
  </si>
  <si>
    <t>stepan.rybakin@mal.ru</t>
  </si>
  <si>
    <t>Новоселье близко</t>
  </si>
  <si>
    <t>4/3-12/316</t>
  </si>
  <si>
    <t>Грамзина Екатерина Константиновна</t>
  </si>
  <si>
    <t>79991586808</t>
  </si>
  <si>
    <t>gramzin2015@yandex.ru</t>
  </si>
  <si>
    <t>5/4-10/464</t>
  </si>
  <si>
    <t>Милохов Никита Максимович</t>
  </si>
  <si>
    <t>79270002351</t>
  </si>
  <si>
    <t>Farikbuharik@mail.ru</t>
  </si>
  <si>
    <t>4/3-19/363</t>
  </si>
  <si>
    <t>79270914848</t>
  </si>
  <si>
    <t>vthebast1990@mail.ru</t>
  </si>
  <si>
    <t>5/4-02/401</t>
  </si>
  <si>
    <t>Иглин Дмитрий Олегович</t>
  </si>
  <si>
    <t>79879808981</t>
  </si>
  <si>
    <t>d89879808981@ya.ru</t>
  </si>
  <si>
    <t>5/2-08/160</t>
  </si>
  <si>
    <t>Козяев Роман Иванович</t>
  </si>
  <si>
    <t>79171591303</t>
  </si>
  <si>
    <t>roman.kozyaev2017@yandex.ru</t>
  </si>
  <si>
    <t>5/4-16/512</t>
  </si>
  <si>
    <t>chugunov7575@bk.ru</t>
  </si>
  <si>
    <t>5/2-06/148</t>
  </si>
  <si>
    <t>Набиева Мукаддасхон Нозимджоновна</t>
  </si>
  <si>
    <t>79277000265</t>
  </si>
  <si>
    <t>mukaddaskhon79@bk.ru</t>
  </si>
  <si>
    <t>5/3-06/263</t>
  </si>
  <si>
    <t>Арефьев Михаил Олегович</t>
  </si>
  <si>
    <t>79270004304</t>
  </si>
  <si>
    <t>nievazhno2012@mail.ru</t>
  </si>
  <si>
    <t>5/1-08/049</t>
  </si>
  <si>
    <t>Глазунов Игорь Юрьевич</t>
  </si>
  <si>
    <t>79871652548</t>
  </si>
  <si>
    <t>igorglazunov93@gmail.com</t>
  </si>
  <si>
    <t>5/3-05/253</t>
  </si>
  <si>
    <t>Гаврилов Павел Сергеевич</t>
  </si>
  <si>
    <t>79626133700</t>
  </si>
  <si>
    <t>PavelGavrilov163@yandex.ru</t>
  </si>
  <si>
    <t>5/3-15/324</t>
  </si>
  <si>
    <t>Сынкова Елена Сергеевна</t>
  </si>
  <si>
    <t>79228412493</t>
  </si>
  <si>
    <t>bannikova.lenochka11@yandex.ru</t>
  </si>
  <si>
    <t>5/3-02/234</t>
  </si>
  <si>
    <t>Алексеева Екатерина Александровна</t>
  </si>
  <si>
    <t>79122772452</t>
  </si>
  <si>
    <t>79122772452@yandex.ru</t>
  </si>
  <si>
    <t>5/1-05/032</t>
  </si>
  <si>
    <t>Киреев Алексей Александрович</t>
  </si>
  <si>
    <t>79879084101</t>
  </si>
  <si>
    <t>alexs.kireev@gmail.com</t>
  </si>
  <si>
    <t>идогенерация</t>
  </si>
  <si>
    <t>Лидогенерация</t>
  </si>
  <si>
    <t>4/4-14/512</t>
  </si>
  <si>
    <t>Якимов Василий Игоревич</t>
  </si>
  <si>
    <t>79879218216</t>
  </si>
  <si>
    <t>ericvicemusic@gmail.com</t>
  </si>
  <si>
    <t>4/3-02/246</t>
  </si>
  <si>
    <t>Косимов Ахрор Исломович</t>
  </si>
  <si>
    <t>79619285988</t>
  </si>
  <si>
    <t>kosimovahror08@gmail.com</t>
  </si>
  <si>
    <t>4/3-20/370</t>
  </si>
  <si>
    <t>Буланов Артём Витальевич</t>
  </si>
  <si>
    <t>79276540912</t>
  </si>
  <si>
    <t>mariag0rb@yandex.ru</t>
  </si>
  <si>
    <t>5/4-24/573</t>
  </si>
  <si>
    <t>Горбачева Наталья Евгеньевна</t>
  </si>
  <si>
    <t>79270002723</t>
  </si>
  <si>
    <t>natali.e.r@mail.ru</t>
  </si>
  <si>
    <t>5/4-20/541</t>
  </si>
  <si>
    <t>Лайкова Екатерина Алексеевна</t>
  </si>
  <si>
    <t>79171603160</t>
  </si>
  <si>
    <t>katya_laykova@mail.ru</t>
  </si>
  <si>
    <t>5/4-19/540</t>
  </si>
  <si>
    <t>Ланьшова Юлия Сергеевна</t>
  </si>
  <si>
    <t>79273848898</t>
  </si>
  <si>
    <t>inkar-mebel@yandex.ru</t>
  </si>
  <si>
    <t>5/3-03/241</t>
  </si>
  <si>
    <t>ВБРР</t>
  </si>
  <si>
    <t>Померанцев Денис Михайлович</t>
  </si>
  <si>
    <t>79171534094</t>
  </si>
  <si>
    <t>samara163pomer@yandex.ru</t>
  </si>
  <si>
    <t>5/1-15/102</t>
  </si>
  <si>
    <t>Гусейнов Магомед Курбанович</t>
  </si>
  <si>
    <t>79090777701</t>
  </si>
  <si>
    <t>aida.rashkueva@bk.ru</t>
  </si>
  <si>
    <t>5/2-02/122</t>
  </si>
  <si>
    <t>Аюев Александр Владимирович</t>
  </si>
  <si>
    <t>79276967303</t>
  </si>
  <si>
    <t>89276967303@yandex.ru</t>
  </si>
  <si>
    <t>401/1-06/079</t>
  </si>
  <si>
    <t>79618183205</t>
  </si>
  <si>
    <t>5/4-17/520</t>
  </si>
  <si>
    <t>Архипов Роман Сергеевич</t>
  </si>
  <si>
    <t>79879067263</t>
  </si>
  <si>
    <t>romahram.yr@mail.ru</t>
  </si>
  <si>
    <t>5/1-05/028</t>
  </si>
  <si>
    <t>Панарина Ирина Владимировна</t>
  </si>
  <si>
    <t>79272911615</t>
  </si>
  <si>
    <t>Panarinai@yandex.ru</t>
  </si>
  <si>
    <t>Индивидуальная скидка партнеру (Абсолют банк)</t>
  </si>
  <si>
    <t>5/3-14/316</t>
  </si>
  <si>
    <t>Саханова Анастасия Владиславовна</t>
  </si>
  <si>
    <t>79991714337</t>
  </si>
  <si>
    <t>Ereminaav@dalimo.ru</t>
  </si>
  <si>
    <t>5/1-13/090</t>
  </si>
  <si>
    <t>79270213554</t>
  </si>
  <si>
    <t>shik_akchik@mail.ru</t>
  </si>
  <si>
    <t>5/4-21/550</t>
  </si>
  <si>
    <t>Власик Дилором Алижоновна</t>
  </si>
  <si>
    <t>79277251202</t>
  </si>
  <si>
    <t>diloromvlasik20@yandex.ru</t>
  </si>
  <si>
    <t>5/1-16/111</t>
  </si>
  <si>
    <t>Сафиулина Анжела Сергеевна</t>
  </si>
  <si>
    <t>79033091957</t>
  </si>
  <si>
    <t>lvovalova79@mail.ru</t>
  </si>
  <si>
    <t>5/1-14/096</t>
  </si>
  <si>
    <t>5/3-18/347</t>
  </si>
  <si>
    <t>Петрова Ксения Олеговна</t>
  </si>
  <si>
    <t>79997010990</t>
  </si>
  <si>
    <t>ksenia.tkachenko6@gmail.com</t>
  </si>
  <si>
    <t>5/2-03/126</t>
  </si>
  <si>
    <t>Гизатулин Тимур Русланович</t>
  </si>
  <si>
    <t>79991584000</t>
  </si>
  <si>
    <t>shot.977@yandex.ru</t>
  </si>
  <si>
    <t>5/3-08/276</t>
  </si>
  <si>
    <t>Кодиров Бобур Акмалович</t>
  </si>
  <si>
    <t>79033033336</t>
  </si>
  <si>
    <t>boburkodirov19@gmail.com</t>
  </si>
  <si>
    <t>5/1-10/066</t>
  </si>
  <si>
    <t>79608256860</t>
  </si>
  <si>
    <t>egorvas2003@gmail.com</t>
  </si>
  <si>
    <t>5/1-12/077</t>
  </si>
  <si>
    <t>Акбулатова Айнагуль Наурызбаевна</t>
  </si>
  <si>
    <t>79379834176</t>
  </si>
  <si>
    <t>akbulatova.di@icloud.com</t>
  </si>
  <si>
    <t>5/1-02/009</t>
  </si>
  <si>
    <t>Черепова Оксана Викторовна</t>
  </si>
  <si>
    <t>79372001140</t>
  </si>
  <si>
    <t>burdyganova.o@sgspu.ru</t>
  </si>
  <si>
    <t>5/2-10/175</t>
  </si>
  <si>
    <t>Сергеев Дмитрий Владимирович</t>
  </si>
  <si>
    <t>79061579658</t>
  </si>
  <si>
    <t>ds44sergeev@ya.ru</t>
  </si>
  <si>
    <t>Н - ДомКлик</t>
  </si>
  <si>
    <t>5/3-14/313</t>
  </si>
  <si>
    <t>Филатова Екатерина Алексеевна</t>
  </si>
  <si>
    <t>79372005740</t>
  </si>
  <si>
    <t>Katerina110295@rambler.ru</t>
  </si>
  <si>
    <t>5/3-17/338</t>
  </si>
  <si>
    <t>Кожевникова Татьяна Борисовна</t>
  </si>
  <si>
    <t>79226285445</t>
  </si>
  <si>
    <t>Tatka_b81@mail.ru</t>
  </si>
  <si>
    <t>5/1-07/048</t>
  </si>
  <si>
    <t>Петров Дмитрий Николаевич</t>
  </si>
  <si>
    <t>79228571888</t>
  </si>
  <si>
    <t>dimapetrov888@yandex.ru</t>
  </si>
  <si>
    <t>5/3-12/302</t>
  </si>
  <si>
    <t>Сарханова Альфия Рифхатовна</t>
  </si>
  <si>
    <t>79277855710</t>
  </si>
  <si>
    <t>alfiya.sarkhanova.92@mail.ru</t>
  </si>
  <si>
    <t>5/3-07/269</t>
  </si>
  <si>
    <t>Блажева Татьяна Ивановна</t>
  </si>
  <si>
    <t>79260706169</t>
  </si>
  <si>
    <t>irene.lukich.l7@mail.ru</t>
  </si>
  <si>
    <t>5/3-16/330</t>
  </si>
  <si>
    <t>Тарасевич Алексей Сергеевич</t>
  </si>
  <si>
    <t>79879019958</t>
  </si>
  <si>
    <t>Tarasevich97@internet.ru</t>
  </si>
  <si>
    <t>5/4-02/402</t>
  </si>
  <si>
    <t>Морозова Марина Геннадьевна</t>
  </si>
  <si>
    <t>79270053360</t>
  </si>
  <si>
    <t>ivanmorozov77@inbox.ru</t>
  </si>
  <si>
    <t>5/3-22/370</t>
  </si>
  <si>
    <t>Ли Евгений Александрович</t>
  </si>
  <si>
    <t>79613835070</t>
  </si>
  <si>
    <t>lievgenij111@gmail.com</t>
  </si>
  <si>
    <t>5/2-09/171</t>
  </si>
  <si>
    <t>Данилина Наталья Александровна</t>
  </si>
  <si>
    <t>79372086897</t>
  </si>
  <si>
    <t>danilinaleksa@yandex.ru</t>
  </si>
  <si>
    <t>5/3-07/265</t>
  </si>
  <si>
    <t>Маркова Анастасия Владимировна</t>
  </si>
  <si>
    <t>79277360735</t>
  </si>
  <si>
    <t>etna4ka@gmail.com</t>
  </si>
  <si>
    <t>5/2-05/142</t>
  </si>
  <si>
    <t>Иванченко Ирина Ивановна</t>
  </si>
  <si>
    <t>79376676066</t>
  </si>
  <si>
    <t>irishka9580@mail.ru</t>
  </si>
  <si>
    <t>5/4-08/445</t>
  </si>
  <si>
    <t>Макарова Елена Николаевна</t>
  </si>
  <si>
    <t>79379979837</t>
  </si>
  <si>
    <t>En.makarowa@yandex.ru</t>
  </si>
  <si>
    <t>5/4-14/500</t>
  </si>
  <si>
    <t>Дуспулов Канат Сакиевич</t>
  </si>
  <si>
    <t>79379854144</t>
  </si>
  <si>
    <t>Duspulov@gmail.com</t>
  </si>
  <si>
    <t>5/3-09/283</t>
  </si>
  <si>
    <t>Курбанов Нурилислам Алилович</t>
  </si>
  <si>
    <t>79224277733</t>
  </si>
  <si>
    <t>Nurik.dag1990@gmail.com</t>
  </si>
  <si>
    <t>5/3-23/376</t>
  </si>
  <si>
    <t>79000605545</t>
  </si>
  <si>
    <t>arzu.mirzayeva.20@bk.ru</t>
  </si>
  <si>
    <t>5/4-15/501</t>
  </si>
  <si>
    <t>Коновалова Лариса Леонидовна</t>
  </si>
  <si>
    <t>79276989816</t>
  </si>
  <si>
    <t>dr.L.L.Konovalova@yandex.ru</t>
  </si>
  <si>
    <t>5/4-23/571</t>
  </si>
  <si>
    <t>Оруджев Маил Малик Оглы</t>
  </si>
  <si>
    <t>79288802258</t>
  </si>
  <si>
    <t>mail.orucov@mail.ru</t>
  </si>
  <si>
    <t>5/3-20/355</t>
  </si>
  <si>
    <t>Теплов Артем Александрович</t>
  </si>
  <si>
    <t>Teplov527@gmail.com</t>
  </si>
  <si>
    <t>5/3-18/341</t>
  </si>
  <si>
    <t>Абдурахмонов Файзулло Умаркосимович</t>
  </si>
  <si>
    <t>79277618796</t>
  </si>
  <si>
    <t>fayzulloabduraxmonov8751@gmail.com</t>
  </si>
  <si>
    <t>5/4-04/420</t>
  </si>
  <si>
    <t>Черникова Елена Константиновна</t>
  </si>
  <si>
    <t>79170337100</t>
  </si>
  <si>
    <t>ecernikova518@gmail.com</t>
  </si>
  <si>
    <t>5/3-09/281</t>
  </si>
  <si>
    <t>Чернова Елена Михайловна</t>
  </si>
  <si>
    <t>79277503251</t>
  </si>
  <si>
    <t>cherri880@bk.ru</t>
  </si>
  <si>
    <t>401/1-07/083</t>
  </si>
  <si>
    <t>Насибов Ровшан Эльчин Оглы</t>
  </si>
  <si>
    <t>79276543553</t>
  </si>
  <si>
    <t>nasibov07@yandex.ru</t>
  </si>
  <si>
    <t>5/3-13/306</t>
  </si>
  <si>
    <t>Богомолова Татьяна Васильевна</t>
  </si>
  <si>
    <t>79228444868</t>
  </si>
  <si>
    <t>tbogoolova@mail.ru</t>
  </si>
  <si>
    <t>5/4-12/480</t>
  </si>
  <si>
    <t>Яздонов Баходурджон Бахтиёрович</t>
  </si>
  <si>
    <t>79272151028</t>
  </si>
  <si>
    <t>yazdanov.bahodur94@gmail.com</t>
  </si>
  <si>
    <t>5/4-14/495</t>
  </si>
  <si>
    <t>Заика Алина Владимировна</t>
  </si>
  <si>
    <t>79226292574</t>
  </si>
  <si>
    <t>alinazaika55007@gmail.com</t>
  </si>
  <si>
    <t>5/2-11/184</t>
  </si>
  <si>
    <t>Маркушин Сергей Андреевич</t>
  </si>
  <si>
    <t>79171676916</t>
  </si>
  <si>
    <t>sergeimarkushin2022@mail.ru</t>
  </si>
  <si>
    <t>5/4-07/440</t>
  </si>
  <si>
    <t>Жумагалиева Диана Максудовна</t>
  </si>
  <si>
    <t>79179433977</t>
  </si>
  <si>
    <t>diana_56.90@mail.ru</t>
  </si>
  <si>
    <t>5/2-05/145</t>
  </si>
  <si>
    <t>Шигирданов Сергей Геннадьевич</t>
  </si>
  <si>
    <t>79608254792</t>
  </si>
  <si>
    <t>sergeev.mf2013@mail.ru</t>
  </si>
  <si>
    <t>401/2-14/051</t>
  </si>
  <si>
    <t>Мусаева Полина Владимировна</t>
  </si>
  <si>
    <t>79879218087</t>
  </si>
  <si>
    <t>pol.musaewa@yandex.ru</t>
  </si>
  <si>
    <t>5/2-16/217</t>
  </si>
  <si>
    <t>Разумова Анастасия Рафаэльевна</t>
  </si>
  <si>
    <t>79874404400</t>
  </si>
  <si>
    <t>Usypova90@mail.ru</t>
  </si>
  <si>
    <t>Черная пятница</t>
  </si>
  <si>
    <t>401/2-05/015</t>
  </si>
  <si>
    <t>Юлдашева Тахмина Тахировна</t>
  </si>
  <si>
    <t>79869545562</t>
  </si>
  <si>
    <t>tahmina9796@mail.ru</t>
  </si>
  <si>
    <t>5/4-17/518</t>
  </si>
  <si>
    <t>Мороз Владимир Сергеевич</t>
  </si>
  <si>
    <t>79096083863</t>
  </si>
  <si>
    <t>Vovamoroz13@mail.ru</t>
  </si>
  <si>
    <t>5/2-14/202</t>
  </si>
  <si>
    <t>Курбангалеев Евгений Федорович</t>
  </si>
  <si>
    <t>79277475000</t>
  </si>
  <si>
    <t>reconsmr@yandex.ru</t>
  </si>
  <si>
    <t>5/4-24/575</t>
  </si>
  <si>
    <t>Трифонова Дарья Евгеньевна</t>
  </si>
  <si>
    <t>79869519237</t>
  </si>
  <si>
    <t>daratrifonova591@mail.ru</t>
  </si>
  <si>
    <t>5/3-05/250</t>
  </si>
  <si>
    <t>Вахобов Жасурбек Зафарчонович</t>
  </si>
  <si>
    <t>79179489694</t>
  </si>
  <si>
    <t>vahobovjasur9798@gmail.com</t>
  </si>
  <si>
    <t>5/3-15/326</t>
  </si>
  <si>
    <t>Уваров Дмитрий Борисович</t>
  </si>
  <si>
    <t>79198442469</t>
  </si>
  <si>
    <t>dbuvarov@gmail.com</t>
  </si>
  <si>
    <t>5/3-17/335</t>
  </si>
  <si>
    <t>Демина Эльвира Рашитовна</t>
  </si>
  <si>
    <t>79397356244</t>
  </si>
  <si>
    <t>elvira.gizatulina94@gmail.com</t>
  </si>
  <si>
    <t>5/1-06/040</t>
  </si>
  <si>
    <t>Русскин Андрей Алексеевич</t>
  </si>
  <si>
    <t>79228887773</t>
  </si>
  <si>
    <t>e.yu.kislinskaya@reaviz.online</t>
  </si>
  <si>
    <t>5/4-17/523</t>
  </si>
  <si>
    <t>Пронин Александр Андреевич</t>
  </si>
  <si>
    <t>79951314851</t>
  </si>
  <si>
    <t>aleksandr.pronin.2001@gmail.com</t>
  </si>
  <si>
    <t>3/1-01/003</t>
  </si>
  <si>
    <t>СПЕЦУНИВЕРСАЛ</t>
  </si>
  <si>
    <t>79178165999</t>
  </si>
  <si>
    <t>3</t>
  </si>
  <si>
    <t>402/3-17/272</t>
  </si>
  <si>
    <t>79495857658</t>
  </si>
  <si>
    <t>4/2-01/005</t>
  </si>
  <si>
    <t>5/1-09/057</t>
  </si>
  <si>
    <t>Соколов Илья Константинович</t>
  </si>
  <si>
    <t>79371000099</t>
  </si>
  <si>
    <t>aleksa-survizova2011@yandex.ru</t>
  </si>
  <si>
    <t>401/1-09/096</t>
  </si>
  <si>
    <t>Неясова Марина Константиновна</t>
  </si>
  <si>
    <t>79272688065</t>
  </si>
  <si>
    <t>petrowaolga2010@yandex.ru</t>
  </si>
  <si>
    <t>402/3-17/271</t>
  </si>
  <si>
    <t>Богатова Ольга Александровна</t>
  </si>
  <si>
    <t>79171434343</t>
  </si>
  <si>
    <t>rex_samara@mail.ru</t>
  </si>
  <si>
    <t>5/4-16/513</t>
  </si>
  <si>
    <t>Самойлов Андрей Игоревич</t>
  </si>
  <si>
    <t>79613877277</t>
  </si>
  <si>
    <t>sert@aliansexpert.ru</t>
  </si>
  <si>
    <t>5/4-11/476</t>
  </si>
  <si>
    <t>Куанышева Талшын Зиноллаевна</t>
  </si>
  <si>
    <t>79376485390</t>
  </si>
  <si>
    <t>talsyn093@gmail.com</t>
  </si>
  <si>
    <t>401/2-14/050</t>
  </si>
  <si>
    <t>Германова Мария Сергеевна</t>
  </si>
  <si>
    <t>79376432255</t>
  </si>
  <si>
    <t>manuna9393@mail.ru</t>
  </si>
  <si>
    <t>5/2-02/120</t>
  </si>
  <si>
    <t>Саблукова Юлия Валерьевна</t>
  </si>
  <si>
    <t>79379931884</t>
  </si>
  <si>
    <t>yulya.sablukova@internet.ru</t>
  </si>
  <si>
    <t>402/3-14/255</t>
  </si>
  <si>
    <t>Каргина Виктория Игоревна</t>
  </si>
  <si>
    <t>79279027267</t>
  </si>
  <si>
    <t>vsb125240@gmail.com</t>
  </si>
  <si>
    <t>5/4-11/469</t>
  </si>
  <si>
    <t>Гукасян Лилит Грантовна</t>
  </si>
  <si>
    <t>79226208666</t>
  </si>
  <si>
    <t>lilit13111993@mail.ru</t>
  </si>
  <si>
    <t>402/1-06/029</t>
  </si>
  <si>
    <t>Санталова Ольга Олеговна</t>
  </si>
  <si>
    <t>77772022533</t>
  </si>
  <si>
    <t>olya_sant@mail.ru</t>
  </si>
  <si>
    <t>5/3-06/259</t>
  </si>
  <si>
    <t>Тошмадов Халимжон Рахимович</t>
  </si>
  <si>
    <t>79063429497</t>
  </si>
  <si>
    <t>halimzontosmadov509@gmail.com</t>
  </si>
  <si>
    <t>5/4-14/493</t>
  </si>
  <si>
    <t>Дурандин Евгений Геннадьевич</t>
  </si>
  <si>
    <t>79228855099</t>
  </si>
  <si>
    <t>5/4-13/486</t>
  </si>
  <si>
    <t>Леднев Самуил Дмитриевич</t>
  </si>
  <si>
    <t>79963420335</t>
  </si>
  <si>
    <t>Samuillednev7@xmail.ru</t>
  </si>
  <si>
    <t>5/1-02/008</t>
  </si>
  <si>
    <t>Комарова Екатерина Феликсовна</t>
  </si>
  <si>
    <t>79100573147</t>
  </si>
  <si>
    <t>sara_6989@mail.ru</t>
  </si>
  <si>
    <t>401/2-04/010</t>
  </si>
  <si>
    <t>Усманов Айрат Сафиуллович</t>
  </si>
  <si>
    <t>79272977026</t>
  </si>
  <si>
    <t>nemesia55@mail.ru</t>
  </si>
  <si>
    <t>5/1-06/038</t>
  </si>
  <si>
    <t>Шустикова Лилия Ринатовна</t>
  </si>
  <si>
    <t>79033308999</t>
  </si>
  <si>
    <t>Shustikovda@yandex.ru</t>
  </si>
  <si>
    <t>Кладовка</t>
  </si>
  <si>
    <t>4-1/1-03/009</t>
  </si>
  <si>
    <t>77773971618</t>
  </si>
  <si>
    <t>5/1-05/029</t>
  </si>
  <si>
    <t>Моисеев Алексей Евгеньевич</t>
  </si>
  <si>
    <t>79277039659</t>
  </si>
  <si>
    <t>moiseev_97@mail.ru</t>
  </si>
  <si>
    <t>5/4-15/503</t>
  </si>
  <si>
    <t>Явкаева Варианна Сергеевна</t>
  </si>
  <si>
    <t>79379871387</t>
  </si>
  <si>
    <t>varianna63@mail.ru</t>
  </si>
  <si>
    <t>4/2-01/006</t>
  </si>
  <si>
    <t>402/1-09/047</t>
  </si>
  <si>
    <t>79276061879</t>
  </si>
  <si>
    <t>kotovich.i163@gmail.com</t>
  </si>
  <si>
    <t>5/3-19/350</t>
  </si>
  <si>
    <t>Исайчева Евгения Юрьевна</t>
  </si>
  <si>
    <t>79677064826</t>
  </si>
  <si>
    <t>isaicheva.zhenia@yandex.ru</t>
  </si>
  <si>
    <t>5/3-11/296</t>
  </si>
  <si>
    <t>Шнякин Кирилл Вячеславович</t>
  </si>
  <si>
    <t>79277018313</t>
  </si>
  <si>
    <t>shnyakin_kv@mail.ru</t>
  </si>
  <si>
    <t>402/3-10/230</t>
  </si>
  <si>
    <t>Смеловская Елена Сергеевна</t>
  </si>
  <si>
    <t>79272020139</t>
  </si>
  <si>
    <t>SmelovskyaES@aoekza.ru</t>
  </si>
  <si>
    <t>402/1-11/055</t>
  </si>
  <si>
    <t>Цой Сергей Александрович</t>
  </si>
  <si>
    <t>79370746521</t>
  </si>
  <si>
    <t>sergalets@gmail.com</t>
  </si>
  <si>
    <t>402/3-04/194</t>
  </si>
  <si>
    <t>79297062616</t>
  </si>
  <si>
    <t>roman0va.al3na@yandex.ru</t>
  </si>
  <si>
    <t>402/3-07/213</t>
  </si>
  <si>
    <t>Циммерман Алена Викторовна</t>
  </si>
  <si>
    <t>79619198086</t>
  </si>
  <si>
    <t>c_alena@list.ru</t>
  </si>
  <si>
    <t>5/4-05/422</t>
  </si>
  <si>
    <t>Ястребова Елена Александровна</t>
  </si>
  <si>
    <t>79276511070</t>
  </si>
  <si>
    <t>elenka1987@bk.ru</t>
  </si>
  <si>
    <t>402/1-13/071</t>
  </si>
  <si>
    <t>Семенова Евгения Павловна</t>
  </si>
  <si>
    <t>89869518680</t>
  </si>
  <si>
    <t>Kungurtcevaevgenya@gmail.com</t>
  </si>
  <si>
    <t>402/3-09/223</t>
  </si>
  <si>
    <t>Халитов Ленар Искендерович</t>
  </si>
  <si>
    <t>79171447745</t>
  </si>
  <si>
    <t>Lenarkhalitov116@mail.ru</t>
  </si>
  <si>
    <t>5/2-03/125</t>
  </si>
  <si>
    <t>Шуругина Кристина Валерьевна</t>
  </si>
  <si>
    <t>77078492624</t>
  </si>
  <si>
    <t>Tinac2360@gmail.com</t>
  </si>
  <si>
    <t>401/2-12/041</t>
  </si>
  <si>
    <t>Владимиров Иван Владимирович</t>
  </si>
  <si>
    <t>79608480577</t>
  </si>
  <si>
    <t>legioneer163@gmail.com</t>
  </si>
  <si>
    <t>402/1-11/059</t>
  </si>
  <si>
    <t>Пешкина Юлия Константиновна</t>
  </si>
  <si>
    <t>79277517200</t>
  </si>
  <si>
    <t>kovaleva.yuk@yandex.ru</t>
  </si>
  <si>
    <t>Н - ПГР</t>
  </si>
  <si>
    <t>5/1-11/072</t>
  </si>
  <si>
    <t>Банк России</t>
  </si>
  <si>
    <t>Долбин Дмитрий Сергеевич</t>
  </si>
  <si>
    <t>79967471918</t>
  </si>
  <si>
    <t>liam161@inbox.ru</t>
  </si>
  <si>
    <t>402/2-06/138</t>
  </si>
  <si>
    <t>79879009078</t>
  </si>
  <si>
    <t>a88karaganda@mail.ru</t>
  </si>
  <si>
    <t>5/3-12/301</t>
  </si>
  <si>
    <t>Макарова Марина Владимировна</t>
  </si>
  <si>
    <t>79967409846</t>
  </si>
  <si>
    <t>korovkina084@gmail.com</t>
  </si>
  <si>
    <t>402/3-12/242</t>
  </si>
  <si>
    <t>Протопопова Полина Алексеевна</t>
  </si>
  <si>
    <t>79277403430</t>
  </si>
  <si>
    <t>Polya.protopopova@yandex.ru</t>
  </si>
  <si>
    <t>5/3-18/343</t>
  </si>
  <si>
    <t>Алижонова Фатима Абдулазизовна</t>
  </si>
  <si>
    <t>79522606120</t>
  </si>
  <si>
    <t>Fatima.3.03.2003@gmail.com</t>
  </si>
  <si>
    <t>402/3-11/235</t>
  </si>
  <si>
    <t>402/3-06/206</t>
  </si>
  <si>
    <t>Климов Евгений Евгеньевич</t>
  </si>
  <si>
    <t>79277787464</t>
  </si>
  <si>
    <t>evgeniy_klimov_1952@mail.ru</t>
  </si>
  <si>
    <t>402/1-10/053</t>
  </si>
  <si>
    <t>Усеинов Руслан Рустемович</t>
  </si>
  <si>
    <t>79277355304</t>
  </si>
  <si>
    <t>useinova16@yandex.ru</t>
  </si>
  <si>
    <t>5/4-07/437</t>
  </si>
  <si>
    <t>Тухфатуллина Регина Михайловна</t>
  </si>
  <si>
    <t>79228049666</t>
  </si>
  <si>
    <t>reginatuhfatullina2211@gmail.com</t>
  </si>
  <si>
    <t>402/3-15/261</t>
  </si>
  <si>
    <t>Леонгард Таисия Алексеевна</t>
  </si>
  <si>
    <t>79029705382</t>
  </si>
  <si>
    <t>tayssh@mail.ru</t>
  </si>
  <si>
    <t>402/1-15/079</t>
  </si>
  <si>
    <t>Латыпова Ольга Алексеевна</t>
  </si>
  <si>
    <t>79379815552</t>
  </si>
  <si>
    <t>Ollatypova@yandex.ru</t>
  </si>
  <si>
    <t>401/2-11/038</t>
  </si>
  <si>
    <t>Бабушкина Марина Владимировна</t>
  </si>
  <si>
    <t>79372147794</t>
  </si>
  <si>
    <t>babushkina867@gmail.ru</t>
  </si>
  <si>
    <t>Лазарев Виталий Николаевич</t>
  </si>
  <si>
    <t>79372088200</t>
  </si>
  <si>
    <t>vitaliy.lazarev.89@bk.ru</t>
  </si>
  <si>
    <t>402/2-10/157</t>
  </si>
  <si>
    <t>Вилков Кирилл Александрович</t>
  </si>
  <si>
    <t>79879854722</t>
  </si>
  <si>
    <t>Rom369@mail.ru</t>
  </si>
  <si>
    <t>402/2-10/158</t>
  </si>
  <si>
    <t>401/1-03/066</t>
  </si>
  <si>
    <t>Абдуллаева Курманжан Арстановна</t>
  </si>
  <si>
    <t>79677250230</t>
  </si>
  <si>
    <t>abdullaevakurmanzan@gmail.com</t>
  </si>
  <si>
    <t>402/3-07/211</t>
  </si>
  <si>
    <t>Шевчук Татьяна Алексеевна</t>
  </si>
  <si>
    <t>79277050405</t>
  </si>
  <si>
    <t>Tatyana.gorchkova@mail.ru</t>
  </si>
  <si>
    <t xml:space="preserve">Готовое </t>
  </si>
  <si>
    <t>Люкова Любовь Тихонова</t>
  </si>
  <si>
    <t>79967467059</t>
  </si>
  <si>
    <t>Lukova_lubov@mail.ru</t>
  </si>
  <si>
    <t>93 644 ,00</t>
  </si>
  <si>
    <t>402/1-07/035</t>
  </si>
  <si>
    <t>Колчина Светлана Алексеевна</t>
  </si>
  <si>
    <t>79271686168</t>
  </si>
  <si>
    <t>s.kolchina@yandex.ru</t>
  </si>
  <si>
    <t>402/3-14/254</t>
  </si>
  <si>
    <t>Жлуктов Андрей Владимирович</t>
  </si>
  <si>
    <t>79277312880</t>
  </si>
  <si>
    <t>b4d63rus@gmail.com</t>
  </si>
  <si>
    <t>402/3-17/273</t>
  </si>
  <si>
    <t>Соколов Александр Викторович</t>
  </si>
  <si>
    <t>79879455571</t>
  </si>
  <si>
    <t>Sokolov077@yandex.ru</t>
  </si>
  <si>
    <t>401/1-03/065</t>
  </si>
  <si>
    <t>Каменко Вячеслав Владиславович</t>
  </si>
  <si>
    <t>79967254845</t>
  </si>
  <si>
    <t>kamenko1974@gmail.com</t>
  </si>
  <si>
    <t>402/1-14/077</t>
  </si>
  <si>
    <t>Маркова Марина Евгеньевна</t>
  </si>
  <si>
    <t>79171373555</t>
  </si>
  <si>
    <t>ypmarkova@mail.ru</t>
  </si>
  <si>
    <t>402/1-08/041</t>
  </si>
  <si>
    <t>Петрова Надежда Викторовна</t>
  </si>
  <si>
    <t>79835269969</t>
  </si>
  <si>
    <t>witch_sn@mail.ru</t>
  </si>
  <si>
    <t>5/2-14/203</t>
  </si>
  <si>
    <t>Беликов Александр Андреевич</t>
  </si>
  <si>
    <t>79276024055</t>
  </si>
  <si>
    <t>Nazarova_tatyana2102@yandex.ru</t>
  </si>
  <si>
    <t>5/4-02/400</t>
  </si>
  <si>
    <t>Абдуллоева Махина Бахтиёровна</t>
  </si>
  <si>
    <t>79379929199</t>
  </si>
  <si>
    <t>milana.milaeva.12.12.mail.com@mail.ru</t>
  </si>
  <si>
    <t>5/3-12/305</t>
  </si>
  <si>
    <t>Новосельская Яна Сергеевна</t>
  </si>
  <si>
    <t>79874306557</t>
  </si>
  <si>
    <t>nov0306@mail.ru</t>
  </si>
  <si>
    <t>402/3-03/187</t>
  </si>
  <si>
    <t>Гоцуляк Татьяна Анатольевна</t>
  </si>
  <si>
    <t>79397570123</t>
  </si>
  <si>
    <t>sanya.gotsulyak@inbox.ru</t>
  </si>
  <si>
    <t>402/3-13/247</t>
  </si>
  <si>
    <t>Дубошина Надежда Юрьевна</t>
  </si>
  <si>
    <t>79171106202</t>
  </si>
  <si>
    <t>nadezhdasahvan@yandex.ru</t>
  </si>
  <si>
    <t>401/1-06/081</t>
  </si>
  <si>
    <t>Валиева Гулираъно Наимовна</t>
  </si>
  <si>
    <t>79171669993</t>
  </si>
  <si>
    <t>vgulirano@mail.ru</t>
  </si>
  <si>
    <t>402/3-11/237</t>
  </si>
  <si>
    <t>Коржов Иван Михайлович</t>
  </si>
  <si>
    <t>i23893179@gmail.com</t>
  </si>
  <si>
    <t>402/3-05/199</t>
  </si>
  <si>
    <t>Рослякова Алёна Владимировна</t>
  </si>
  <si>
    <t>79276069628</t>
  </si>
  <si>
    <t>alenkakyzj@mail.ru</t>
  </si>
  <si>
    <t>402/2-02/109</t>
  </si>
  <si>
    <t>Головченко Сергей Александрович</t>
  </si>
  <si>
    <t>sergeigolovchenko1977@gmail.com</t>
  </si>
  <si>
    <t>402/3-08/219</t>
  </si>
  <si>
    <t>Ахмедова Гулбахор Дадожоновна</t>
  </si>
  <si>
    <t>79377240322</t>
  </si>
  <si>
    <t>gulbahorahmedova25@gmail.com</t>
  </si>
  <si>
    <t>402/1-17/091</t>
  </si>
  <si>
    <t>Михальченко Алла Адильевна</t>
  </si>
  <si>
    <t>79276588277</t>
  </si>
  <si>
    <t>Allamihalchenko@yandex.ru</t>
  </si>
  <si>
    <t>401/1-10/101</t>
  </si>
  <si>
    <t>Денисов Владимир Егорович</t>
  </si>
  <si>
    <t>79171479199</t>
  </si>
  <si>
    <t>Larkovasveta93@gmail.com</t>
  </si>
  <si>
    <t>402/3-19/283</t>
  </si>
  <si>
    <t>Оруджова Нарындж Гусейнбала Кызы</t>
  </si>
  <si>
    <t>79370707310</t>
  </si>
  <si>
    <t>nelyaorudzhova@gmail.com</t>
  </si>
  <si>
    <t>402/3-15/259</t>
  </si>
  <si>
    <t>Оруджев Осман Маил Оглы</t>
  </si>
  <si>
    <t>79874392447</t>
  </si>
  <si>
    <t>emilorudzhev@bk.ru</t>
  </si>
  <si>
    <t>402/1-17/095</t>
  </si>
  <si>
    <t>Волков Дмитрий Анатольевич</t>
  </si>
  <si>
    <t>79879333398</t>
  </si>
  <si>
    <t>TaisaV4740@yandex.ru</t>
  </si>
  <si>
    <t>402/3-11/236</t>
  </si>
  <si>
    <t>Уварова Алена Алексеевна</t>
  </si>
  <si>
    <t>79179676211</t>
  </si>
  <si>
    <t>Lalyona87@yandex.ru</t>
  </si>
  <si>
    <t>402/3-08/218</t>
  </si>
  <si>
    <t>5/3-05/256</t>
  </si>
  <si>
    <t>Герасимова Елизавета Андреевна</t>
  </si>
  <si>
    <t>79871560595</t>
  </si>
  <si>
    <t>berloginaliza@mail.ru</t>
  </si>
  <si>
    <t>Ветеран боевых действий/Время действовать</t>
  </si>
  <si>
    <t>5/4-18/528</t>
  </si>
  <si>
    <t>Каратаева Ирина Адольфовна</t>
  </si>
  <si>
    <t>79038205784</t>
  </si>
  <si>
    <t>karataevairina315@gmail.com</t>
  </si>
  <si>
    <t>Доп соглашение на смену отделки с черновой на чистовую</t>
  </si>
  <si>
    <t>3/2-01/006</t>
  </si>
  <si>
    <t>Дмитриева Лилия Мирасовна</t>
  </si>
  <si>
    <t>79276004200</t>
  </si>
  <si>
    <t>dmitrieva@ab63.ru</t>
  </si>
  <si>
    <t>402/3-15/260</t>
  </si>
  <si>
    <t>Бекетов Евгений Викторович</t>
  </si>
  <si>
    <t>79297002507</t>
  </si>
  <si>
    <t>Mr.beket001@mail.ru</t>
  </si>
  <si>
    <t>402/1-15/083</t>
  </si>
  <si>
    <t>Кирдяшева Кристина Алексеевна</t>
  </si>
  <si>
    <t>79228939646</t>
  </si>
  <si>
    <t>kirdyasheva01@bk.ru</t>
  </si>
  <si>
    <t>402/3-06/207</t>
  </si>
  <si>
    <t>Зражевская Илона Шамильевна</t>
  </si>
  <si>
    <t>79276192977</t>
  </si>
  <si>
    <t>402/3-13/249</t>
  </si>
  <si>
    <t>Дикая Юлия Сергеевна</t>
  </si>
  <si>
    <t>79370702031</t>
  </si>
  <si>
    <t>Dikaya-yuliya@mail.ru</t>
  </si>
  <si>
    <t>5/4-18/530</t>
  </si>
  <si>
    <t>Дьячкова, Оксана Вячеславовна</t>
  </si>
  <si>
    <t>79179402370</t>
  </si>
  <si>
    <t>wenok777@bk.ru</t>
  </si>
  <si>
    <t>5/3-13/309</t>
  </si>
  <si>
    <t>Шерин Виталий Сергеевич</t>
  </si>
  <si>
    <t>79529194679</t>
  </si>
  <si>
    <t>Ooosibstandart@gmail.com</t>
  </si>
  <si>
    <t>5/4-07/439</t>
  </si>
  <si>
    <t>Гергерт Светлана Юрьевна</t>
  </si>
  <si>
    <t>79276935555</t>
  </si>
  <si>
    <t>teksservice@yandex.ru</t>
  </si>
  <si>
    <t>402/3-18/279</t>
  </si>
  <si>
    <t>Соколова Дарья Сергеевна</t>
  </si>
  <si>
    <t>79272000276</t>
  </si>
  <si>
    <t>mashenka.sokolova_2019@list.ru</t>
  </si>
  <si>
    <t>Индивидуальная скидка/Ветеран боевых действий</t>
  </si>
  <si>
    <t>402/3-18/278</t>
  </si>
  <si>
    <t>Довыденко Лариса Павловна</t>
  </si>
  <si>
    <t>79198528250</t>
  </si>
  <si>
    <t>lardov@yandex.ru</t>
  </si>
  <si>
    <t>402/3-09/225</t>
  </si>
  <si>
    <t>Лысюк Наталья Сергеевна</t>
  </si>
  <si>
    <t>79276028405</t>
  </si>
  <si>
    <t>Natali.Moiseenko78@yandex.ru</t>
  </si>
  <si>
    <t>Будько Алексей Александрович</t>
  </si>
  <si>
    <t>79179540753</t>
  </si>
  <si>
    <t>Lexurr325@gmail.com</t>
  </si>
  <si>
    <t>402/3-19/285</t>
  </si>
  <si>
    <t>Корабельников Иван Васильевич</t>
  </si>
  <si>
    <t>79277452550</t>
  </si>
  <si>
    <t>Likart87@mail.ru</t>
  </si>
  <si>
    <t>402/3-16/266</t>
  </si>
  <si>
    <t>Лазарева Татьяна Анатольевна</t>
  </si>
  <si>
    <t>79277987001</t>
  </si>
  <si>
    <t>tltlazareva@gmail.com</t>
  </si>
  <si>
    <t>402/3-04/193</t>
  </si>
  <si>
    <t>Пелипенко Иван Петрович</t>
  </si>
  <si>
    <t>79093634449</t>
  </si>
  <si>
    <t>xoposh91@mail.ru</t>
  </si>
  <si>
    <t>Многодетная семья/Время действовать</t>
  </si>
  <si>
    <t>5/2-09/172</t>
  </si>
  <si>
    <t>Муротова Зарнигора Сулхоназаровна</t>
  </si>
  <si>
    <t>79871529873</t>
  </si>
  <si>
    <t>z9159238@gmail.com</t>
  </si>
  <si>
    <t>5/3-22/374</t>
  </si>
  <si>
    <t>Германов Дмитрий Валерьевич</t>
  </si>
  <si>
    <t>79253060111</t>
  </si>
  <si>
    <t>Dmitriygermanov@mail.ru</t>
  </si>
  <si>
    <t>402/3-14/256</t>
  </si>
  <si>
    <t>Жерновой Артем Викторович</t>
  </si>
  <si>
    <t>79277448809</t>
  </si>
  <si>
    <t>402/1-05/023</t>
  </si>
  <si>
    <t>Зенин Александр Иванович</t>
  </si>
  <si>
    <t>79225347557</t>
  </si>
  <si>
    <t>aizenin@mail.ru</t>
  </si>
  <si>
    <t>5/1-09/061</t>
  </si>
  <si>
    <t>Сарибекян Сурен Грачяевич</t>
  </si>
  <si>
    <t>79996246195</t>
  </si>
  <si>
    <t>Большие скидки на маленькие квартиры</t>
  </si>
  <si>
    <t>5/3-09/282</t>
  </si>
  <si>
    <t>Шестернин Денис Александрович</t>
  </si>
  <si>
    <t>79228780909</t>
  </si>
  <si>
    <t>Buguruslan_007@mail.ru</t>
  </si>
  <si>
    <t>402/3-07/212</t>
  </si>
  <si>
    <t>Толмачева Елена Александровна</t>
  </si>
  <si>
    <t>5/4-12/479</t>
  </si>
  <si>
    <t>Карпушкин Виталий Андреевич</t>
  </si>
  <si>
    <t>79171446619</t>
  </si>
  <si>
    <t>Vitalykarpushkin@gmail.com</t>
  </si>
  <si>
    <t>Время действовать</t>
  </si>
  <si>
    <t>5/3-03/239</t>
  </si>
  <si>
    <t>Икромов Азизбек Акмалович</t>
  </si>
  <si>
    <t>79171290202</t>
  </si>
  <si>
    <t>iazizjon1995.21@gmail.com</t>
  </si>
  <si>
    <t>5/3-00/005</t>
  </si>
  <si>
    <t>5/1-00/002</t>
  </si>
  <si>
    <t>Кучерявая Анна Сергеевна</t>
  </si>
  <si>
    <t>Ветеран боевых действий/Новоселье близко/Индивидуальная скидка</t>
  </si>
  <si>
    <t>Люкшина Дарья Сергеевна</t>
  </si>
  <si>
    <t>79170178987</t>
  </si>
  <si>
    <t>zajarriina@mail.ru</t>
  </si>
  <si>
    <t>5/3-16/331</t>
  </si>
  <si>
    <t>Новиков Иван Алексеевич</t>
  </si>
  <si>
    <t>79053209777</t>
  </si>
  <si>
    <t>novikovvanya.1@gmail.com</t>
  </si>
  <si>
    <t>402/3-10/229</t>
  </si>
  <si>
    <t>Щербаков Клим Александрович</t>
  </si>
  <si>
    <t>5/3-16/329</t>
  </si>
  <si>
    <t>Хайдаров Даврон Кодирович</t>
  </si>
  <si>
    <t>79313058500</t>
  </si>
  <si>
    <t>davronjon1988154@gmail.com</t>
  </si>
  <si>
    <t>SEO Google</t>
  </si>
  <si>
    <t>5/1-09/060</t>
  </si>
  <si>
    <t>Миронцева Евгения Александровна</t>
  </si>
  <si>
    <t>79277661176</t>
  </si>
  <si>
    <t>Акция для врачей</t>
  </si>
  <si>
    <t>402/1-18/101</t>
  </si>
  <si>
    <t>79276181040</t>
  </si>
  <si>
    <t>n.pyzhikova@yandex.ru</t>
  </si>
  <si>
    <t>401/2-09/029</t>
  </si>
  <si>
    <t>Шипиш Анастасия Анатольевна</t>
  </si>
  <si>
    <t>79619124738</t>
  </si>
  <si>
    <t>nastasja20111@mail.ru</t>
  </si>
  <si>
    <t>402/3-14/253</t>
  </si>
  <si>
    <t>Никитина Евгения Андреевна</t>
  </si>
  <si>
    <t>79127569016</t>
  </si>
  <si>
    <t>nickitina.evgenia2012@yandex.ru</t>
  </si>
  <si>
    <t>5/2-00/003</t>
  </si>
  <si>
    <t>79179464580</t>
  </si>
  <si>
    <t>5/4-06/435</t>
  </si>
  <si>
    <t>Звонов Александр Александрович</t>
  </si>
  <si>
    <t>79053022979</t>
  </si>
  <si>
    <t>zvonichfx@mail.ru</t>
  </si>
  <si>
    <t>5/2-00/004</t>
  </si>
  <si>
    <t>402/3-09/227</t>
  </si>
  <si>
    <t>Турченко Михаил Андреевич</t>
  </si>
  <si>
    <t>79879845963</t>
  </si>
  <si>
    <t>turchengjob09@gmail.com</t>
  </si>
  <si>
    <t>401/2-08/026</t>
  </si>
  <si>
    <t>5/3-15/323</t>
  </si>
  <si>
    <t>Ишханян Ани Мкртичевна</t>
  </si>
  <si>
    <t>79879068735</t>
  </si>
  <si>
    <t>ani-begoyan@mail.ru</t>
  </si>
  <si>
    <t>Незабудкина Светлана Сергеевна</t>
  </si>
  <si>
    <t>79170189093</t>
  </si>
  <si>
    <t>tranceva1988@mail.ru</t>
  </si>
  <si>
    <t>5/4-10/468</t>
  </si>
  <si>
    <t>Захаров Валерий Николаевич</t>
  </si>
  <si>
    <t>79170537946</t>
  </si>
  <si>
    <t>dfrffkvf2010@yandex.ru</t>
  </si>
  <si>
    <t>-</t>
  </si>
  <si>
    <t>18-2024</t>
  </si>
  <si>
    <t xml:space="preserve">ДЕПАРТАМЕНТ УПРАВЛЕНИЯ ИМУЩЕСТВОМ ГОРОДСКОГО ОКРУГА САМАРА         </t>
  </si>
  <si>
    <t>Опорный пункт полиции</t>
  </si>
  <si>
    <t>5/3-00/006</t>
  </si>
  <si>
    <t>5/2-13/200</t>
  </si>
  <si>
    <t>Годованик Наталья Михайловна</t>
  </si>
  <si>
    <t>79825061555</t>
  </si>
  <si>
    <t>nataxa09061983@mail.ru</t>
  </si>
  <si>
    <t>5/1-00/001</t>
  </si>
  <si>
    <t>402/1-16/089</t>
  </si>
  <si>
    <t>Парубочий Вячеслав Дмитриевич</t>
  </si>
  <si>
    <t>79171604365</t>
  </si>
  <si>
    <t>neft11@bk.ru</t>
  </si>
  <si>
    <t xml:space="preserve">Время действовать </t>
  </si>
  <si>
    <t>5/1-02/010</t>
  </si>
  <si>
    <t>Ахвердян Шогик Славиковна</t>
  </si>
  <si>
    <t>79170348020</t>
  </si>
  <si>
    <t>akhverdyan.shogik@mail.ru</t>
  </si>
  <si>
    <t>Индивидуальная скидка/Сотрудник</t>
  </si>
  <si>
    <t>401/2-11/037</t>
  </si>
  <si>
    <t>Петрова Татьяна Викторовна</t>
  </si>
  <si>
    <t>79379859680</t>
  </si>
  <si>
    <t>tanyapetrova1202@icloud.com</t>
  </si>
  <si>
    <t>402/2-09/155</t>
  </si>
  <si>
    <t>Благодарева Любовь Александровна</t>
  </si>
  <si>
    <t>79379974073</t>
  </si>
  <si>
    <t>5/1-02/011</t>
  </si>
  <si>
    <t>Азизова Зебо Исроиловна</t>
  </si>
  <si>
    <t>79178129993</t>
  </si>
  <si>
    <t>zebo93sam@gmail.com</t>
  </si>
  <si>
    <t>Большие скидки на маленькие квартиры/Многодетная семья</t>
  </si>
  <si>
    <t>5/4-02/398</t>
  </si>
  <si>
    <t>Исомаддинова Фируза Фахриддиновна</t>
  </si>
  <si>
    <t>79874468701</t>
  </si>
  <si>
    <t>firuza.isomaddinova@mail.ru</t>
  </si>
  <si>
    <t xml:space="preserve">Ветеран боевых действий </t>
  </si>
  <si>
    <t>402/2-12/174</t>
  </si>
  <si>
    <t>Толмачева Елена Фёдоровна</t>
  </si>
  <si>
    <t>79171602130</t>
  </si>
  <si>
    <t>5/3-06/260</t>
  </si>
  <si>
    <t>Мурадян Артак Манвелович</t>
  </si>
  <si>
    <t>79170111078</t>
  </si>
  <si>
    <t>Asmik1987@inbox.ru</t>
  </si>
  <si>
    <t>5/2-02/123</t>
  </si>
  <si>
    <t>Чернова Алиса Дмитриевна</t>
  </si>
  <si>
    <t>79869549938</t>
  </si>
  <si>
    <t>mochernov1988@yandex.ru</t>
  </si>
  <si>
    <t xml:space="preserve">Скидка иногородним </t>
  </si>
  <si>
    <t>402/3-09/224</t>
  </si>
  <si>
    <t>Железникова Ольга Александровна</t>
  </si>
  <si>
    <t>79272049694</t>
  </si>
  <si>
    <t>olga163rus42@gmail.com</t>
  </si>
  <si>
    <t>4-1/1-01/001</t>
  </si>
  <si>
    <t>Атласов Андрей Андреевич</t>
  </si>
  <si>
    <t>79879133718</t>
  </si>
  <si>
    <t>atlasov1980@mail.ru</t>
  </si>
  <si>
    <t>4-1/1-01/002</t>
  </si>
  <si>
    <t>4-1/2-01/006</t>
  </si>
  <si>
    <t>5/4-09/457</t>
  </si>
  <si>
    <t>Ишков Алексей Александрович</t>
  </si>
  <si>
    <t>79379817707</t>
  </si>
  <si>
    <t>yakupova.nastia@mail.ru</t>
  </si>
  <si>
    <t>Акция для учителей</t>
  </si>
  <si>
    <t>402/3-06/205</t>
  </si>
  <si>
    <t>Савченко Сергей Анатольевич</t>
  </si>
  <si>
    <t>79277176926</t>
  </si>
  <si>
    <t>savsam1311@mail.ru</t>
  </si>
  <si>
    <t>5/2-13/197</t>
  </si>
  <si>
    <t>Жилина Ольга Владимировна</t>
  </si>
  <si>
    <t>79178238471</t>
  </si>
  <si>
    <t>zhilina_olga91@mail.ru</t>
  </si>
  <si>
    <t>Время действовать/Многодетная семья</t>
  </si>
  <si>
    <t>5/4-05/427</t>
  </si>
  <si>
    <t>Николаев Фёдор Владимирович</t>
  </si>
  <si>
    <t>79277250232</t>
  </si>
  <si>
    <t>Соцсети - Telegram</t>
  </si>
  <si>
    <t>402/3-08/217</t>
  </si>
  <si>
    <t>Андреев Михаил Владимирович</t>
  </si>
  <si>
    <t>79171381430</t>
  </si>
  <si>
    <t>Инидивидуальная скидка</t>
  </si>
  <si>
    <t>401/2-01/005</t>
  </si>
  <si>
    <t xml:space="preserve">Нет </t>
  </si>
  <si>
    <t>Время действовать / Многодетная семья</t>
  </si>
  <si>
    <t>5/4-10/465</t>
  </si>
  <si>
    <t>Малышева Светлана Александровна</t>
  </si>
  <si>
    <t>79370238923</t>
  </si>
  <si>
    <t>malysevasvetlana1194@gmail.com</t>
  </si>
  <si>
    <t>5/4-20/542</t>
  </si>
  <si>
    <t>Джамолов Джахонгир Бахтиярович</t>
  </si>
  <si>
    <t>79867223733</t>
  </si>
  <si>
    <t>3 Квартал</t>
  </si>
  <si>
    <t>4 квартал 2023</t>
  </si>
  <si>
    <t xml:space="preserve">Мартынов Артем </t>
  </si>
  <si>
    <t>Telegramm</t>
  </si>
  <si>
    <t xml:space="preserve">Индивидуальная скидка </t>
  </si>
  <si>
    <t>402/1-12/065</t>
  </si>
  <si>
    <t>Иванова Юлия Николаевна</t>
  </si>
  <si>
    <t>79270230328</t>
  </si>
  <si>
    <t>Jiji10@yandex.ru</t>
  </si>
  <si>
    <t>5/1-08/055</t>
  </si>
  <si>
    <t>Купцова Наталья Львовна</t>
  </si>
  <si>
    <t>79371752845</t>
  </si>
  <si>
    <t>Kuptsovanatascha@yandex.ru</t>
  </si>
  <si>
    <t xml:space="preserve">Большие скидки на маленькие квартиры </t>
  </si>
  <si>
    <t>5/2-13/199</t>
  </si>
  <si>
    <t>Казакова Олеся Юрьевна</t>
  </si>
  <si>
    <t>79276921331</t>
  </si>
  <si>
    <t>olesya13@mail.ru</t>
  </si>
  <si>
    <t>401/1-01/004</t>
  </si>
  <si>
    <t>79376414617</t>
  </si>
  <si>
    <t>402/2-04/126</t>
  </si>
  <si>
    <t>Зобнина Анна Николаевна</t>
  </si>
  <si>
    <t>77058112103</t>
  </si>
  <si>
    <t>anechka_xx@mail.ru</t>
  </si>
  <si>
    <t>402/2-10/162</t>
  </si>
  <si>
    <t>Зотова Наталья Александровна</t>
  </si>
  <si>
    <t>79179557070</t>
  </si>
  <si>
    <t>Zotova05121983@mail.ru</t>
  </si>
  <si>
    <t>Скидка новосёлам</t>
  </si>
  <si>
    <t>5/1-16/105</t>
  </si>
  <si>
    <t>Филиппов Сергей Николаевич</t>
  </si>
  <si>
    <t>79290448822</t>
  </si>
  <si>
    <t>snfpp@mail.ru</t>
  </si>
  <si>
    <t>Рекомендации - Мои соседи</t>
  </si>
  <si>
    <t>Умбетов Серик Викторович</t>
  </si>
  <si>
    <t>79228099493</t>
  </si>
  <si>
    <t>Рыбаков Максим Сергеевич</t>
  </si>
  <si>
    <t>Сделка по П-ДКП</t>
  </si>
  <si>
    <t>5/3-17/340</t>
  </si>
  <si>
    <t>Кувачева Юлия Олеговна</t>
  </si>
  <si>
    <t>79297012757</t>
  </si>
  <si>
    <t>juliakoroleva93@icloud.com</t>
  </si>
  <si>
    <t>5/2-08/166</t>
  </si>
  <si>
    <t>Хайитбоева Нелли Александровна</t>
  </si>
  <si>
    <t>79372038730</t>
  </si>
  <si>
    <t>nelkaja@mail.ru</t>
  </si>
  <si>
    <t>5/1-10/069</t>
  </si>
  <si>
    <t>Боязитова Алина Алексеевна</t>
  </si>
  <si>
    <t>79282658880</t>
  </si>
  <si>
    <t>Kabanova.alina.95@mail.ru</t>
  </si>
  <si>
    <t xml:space="preserve">Время действовать/Дети с ограниченными возможностями </t>
  </si>
  <si>
    <t>5/1-03/019</t>
  </si>
  <si>
    <t>Качаев Александр Владимирович</t>
  </si>
  <si>
    <t>79276537068</t>
  </si>
  <si>
    <t>Kachaeva-olga@mail.ru</t>
  </si>
  <si>
    <t>5/3-04/248</t>
  </si>
  <si>
    <t>Таран Валерия Дмитриевна</t>
  </si>
  <si>
    <t>79021546942</t>
  </si>
  <si>
    <t>5/1-11/074</t>
  </si>
  <si>
    <t>Темерралеев Бакыт-гали Сиргаллиевич</t>
  </si>
  <si>
    <t>79270056162</t>
  </si>
  <si>
    <t>temeraaleeva04@mail.ru</t>
  </si>
  <si>
    <t>Слоян Элмира</t>
  </si>
  <si>
    <t>Парпиев Бахтиер</t>
  </si>
  <si>
    <t>5/1-15/101</t>
  </si>
  <si>
    <t>Икромов Фируз Тоджидинович</t>
  </si>
  <si>
    <t>79171416787</t>
  </si>
  <si>
    <t>Мельникова Екатерина</t>
  </si>
  <si>
    <t>Созданина Наталия</t>
  </si>
  <si>
    <t>Гуров Сергей</t>
  </si>
  <si>
    <t>5/1-04/024</t>
  </si>
  <si>
    <t>Шляхов Валентин Владимирович</t>
  </si>
  <si>
    <t>79370743976</t>
  </si>
  <si>
    <t>Nastyona-99x@yandex.ru</t>
  </si>
  <si>
    <t>235 200,00</t>
  </si>
  <si>
    <t>5/4-18/525</t>
  </si>
  <si>
    <t>Мельникова Екатерина Михайловна</t>
  </si>
  <si>
    <t>79277826061</t>
  </si>
  <si>
    <t>melnikova33ekaterina@mail.ru</t>
  </si>
  <si>
    <t>Время действовать/ Индивидуальная скидка</t>
  </si>
  <si>
    <t>5/1-13/089</t>
  </si>
  <si>
    <t>Шулепов Александр Александрович</t>
  </si>
  <si>
    <t>79171646162</t>
  </si>
  <si>
    <t>Alexsandrshulepov@mail.ru</t>
  </si>
  <si>
    <t>Индивидуальные условия</t>
  </si>
  <si>
    <t>5/2-06/149</t>
  </si>
  <si>
    <t>Слоян Элмира Омаровна</t>
  </si>
  <si>
    <t>79171606575</t>
  </si>
  <si>
    <t>5/1-14/097</t>
  </si>
  <si>
    <t>Губайдуллов Алексей Борисович</t>
  </si>
  <si>
    <t>79278147153</t>
  </si>
  <si>
    <t>5/3-21/363</t>
  </si>
  <si>
    <t>Мартынов Артем Николаевич</t>
  </si>
  <si>
    <t>79179559585</t>
  </si>
  <si>
    <t>artemmrt@gmail.com</t>
  </si>
  <si>
    <t>507 550,00</t>
  </si>
  <si>
    <t>5/1-03/017</t>
  </si>
  <si>
    <t>Валиева Райхона Наимовна</t>
  </si>
  <si>
    <t>79879144814</t>
  </si>
  <si>
    <t>raykhonav@mail.ru</t>
  </si>
  <si>
    <t>5/1-14/094</t>
  </si>
  <si>
    <t>Гуров Сергей Александрович</t>
  </si>
  <si>
    <t>79370605692</t>
  </si>
  <si>
    <t>segogurov@mail.ru</t>
  </si>
  <si>
    <t>4 квартал Дом 3</t>
  </si>
  <si>
    <t>4 квартал Дом 4</t>
  </si>
  <si>
    <t>4 Квартал Дом 3</t>
  </si>
  <si>
    <t>4 Квартал Дом 4</t>
  </si>
  <si>
    <t>2 квартал 2024</t>
  </si>
  <si>
    <t>Прогноз</t>
  </si>
  <si>
    <t>Стоимость</t>
  </si>
  <si>
    <t>ШТ</t>
  </si>
  <si>
    <t xml:space="preserve">% выполнения м2 </t>
  </si>
  <si>
    <t>% выполнения по сумме</t>
  </si>
  <si>
    <t>402/2-08/146</t>
  </si>
  <si>
    <t>79179411292</t>
  </si>
  <si>
    <t>5/2-11/186</t>
  </si>
  <si>
    <t>Парпиев Бахтиёр Умурзокович</t>
  </si>
  <si>
    <t>79991700670</t>
  </si>
  <si>
    <t>5/3-09/279</t>
  </si>
  <si>
    <t>Созданина Наталия Владимировна</t>
  </si>
  <si>
    <t>79276012551</t>
  </si>
  <si>
    <t>smirnova-nataliya-1990@mail.ru</t>
  </si>
  <si>
    <t xml:space="preserve"> Халитов Ленар Искендерович</t>
  </si>
  <si>
    <t>402/1-15/084</t>
  </si>
  <si>
    <t>Измалкин Н.Н.</t>
  </si>
  <si>
    <t xml:space="preserve">Шувалов Алексей </t>
  </si>
  <si>
    <t>Эркаева Гузал</t>
  </si>
  <si>
    <t>Лейсан</t>
  </si>
  <si>
    <t>Рябцева Олеся</t>
  </si>
  <si>
    <t>Кузьмин Александр</t>
  </si>
  <si>
    <t>Маткаримова Юлия</t>
  </si>
  <si>
    <t>Коновалова Ольга</t>
  </si>
  <si>
    <t>Ломов Михаил</t>
  </si>
  <si>
    <t>Солдатов Александр</t>
  </si>
  <si>
    <t>Баранов Алексей Сергеевич</t>
  </si>
  <si>
    <t>79171018060</t>
  </si>
  <si>
    <t>as.baranov@gmail.com</t>
  </si>
  <si>
    <t>ValovAP25@gmail.com</t>
  </si>
  <si>
    <t>401/1-01/003</t>
  </si>
  <si>
    <t>Рябцева Олеся Алексеевна</t>
  </si>
  <si>
    <t>79272051786</t>
  </si>
  <si>
    <t>ocean1543@yandex.ru</t>
  </si>
  <si>
    <t>402/1-07/036</t>
  </si>
  <si>
    <t>Шувалов Алексей Вячеславович</t>
  </si>
  <si>
    <t>79834621825</t>
  </si>
  <si>
    <t>aleksejsuvalov0@gmail.com</t>
  </si>
  <si>
    <t xml:space="preserve">Многодетная семья </t>
  </si>
  <si>
    <t>401/2-06/019</t>
  </si>
  <si>
    <t>Эркаева Гузал Бахтиёровна</t>
  </si>
  <si>
    <t>79879496117</t>
  </si>
  <si>
    <t>guzalerkaeva@yandex.ru</t>
  </si>
  <si>
    <t>Измалкин Николай Николаевич</t>
  </si>
  <si>
    <t>79278309376</t>
  </si>
  <si>
    <t>izmalkin.nikolai@yandex.ru</t>
  </si>
  <si>
    <t>402/3-13/248</t>
  </si>
  <si>
    <t>Маткаримова Юлия Юрьевна</t>
  </si>
  <si>
    <t>79639158682</t>
  </si>
  <si>
    <t>matkarimova2014@yandex.ru</t>
  </si>
  <si>
    <t>Скидка для врачей</t>
  </si>
  <si>
    <t>402/2-09/152</t>
  </si>
  <si>
    <t>Кошелева Елена Ивановна</t>
  </si>
  <si>
    <t>79588407026</t>
  </si>
  <si>
    <t>Koshelena88@gmail.com</t>
  </si>
  <si>
    <t>401/2-07/023</t>
  </si>
  <si>
    <t>Солдатов Александр Васильевич</t>
  </si>
  <si>
    <t>79296149363</t>
  </si>
  <si>
    <t>orofinor@yandex.ru</t>
  </si>
  <si>
    <t>офис 2</t>
  </si>
  <si>
    <t>Вахтина Анастасия</t>
  </si>
  <si>
    <t>Исмоилов Карим</t>
  </si>
  <si>
    <t>Черноиванов Станислав</t>
  </si>
  <si>
    <t>Еранова Ирина Николаевна</t>
  </si>
  <si>
    <t>79874471718</t>
  </si>
  <si>
    <t>eranovain@mail.ru</t>
  </si>
  <si>
    <t xml:space="preserve">Безвозмездная уступка прав требования/ выделели доли детям </t>
  </si>
  <si>
    <t>Доп соглашение на смену отделки</t>
  </si>
  <si>
    <t xml:space="preserve">Время действовать/Ветеран боевых действий </t>
  </si>
  <si>
    <t>5/1-12/078</t>
  </si>
  <si>
    <t>Ломов Михаил Владимирович</t>
  </si>
  <si>
    <t>79372440164</t>
  </si>
  <si>
    <t>mihalomov091@gmail.com</t>
  </si>
  <si>
    <t>5/3-19/349</t>
  </si>
  <si>
    <t>Гильмутдинова Лейсан Асхатовна</t>
  </si>
  <si>
    <t>79093230440</t>
  </si>
  <si>
    <t>leisan79.79@mail.ru</t>
  </si>
  <si>
    <t>АН - ИП Филомонова</t>
  </si>
  <si>
    <t>Ермолаев В.В.</t>
  </si>
  <si>
    <t>402/3-07/214</t>
  </si>
  <si>
    <t>Коновалова Ольга Геннадьевна</t>
  </si>
  <si>
    <t>79814383428</t>
  </si>
  <si>
    <t>olya_163_8@mail.ru</t>
  </si>
  <si>
    <t>Коммерческая</t>
  </si>
  <si>
    <t>1/1-01/002</t>
  </si>
  <si>
    <t>Вахтина Анастасия Вячеславовна</t>
  </si>
  <si>
    <t>79371703680</t>
  </si>
  <si>
    <t>nancyshampoo@gmail.com</t>
  </si>
  <si>
    <t>Большие скидки на маленькие квартиры/ Акция для IT-специалистов</t>
  </si>
  <si>
    <t>5/4-13/492</t>
  </si>
  <si>
    <t>Черноиванов Станислав Александрович</t>
  </si>
  <si>
    <t>79277402655</t>
  </si>
  <si>
    <t>stanislavchernoivanov@yandex.ru</t>
  </si>
  <si>
    <t>402/1-10/052</t>
  </si>
  <si>
    <t>Ермолаев Виктор Вячеславович</t>
  </si>
  <si>
    <t>79170137595</t>
  </si>
  <si>
    <t>d1ckoi1337@gmail.com</t>
  </si>
  <si>
    <t>Яценко В.В.</t>
  </si>
  <si>
    <t>Козлов Дмитрий</t>
  </si>
  <si>
    <t>5/1-10/067</t>
  </si>
  <si>
    <t>Исмоилов Карим Рахмонович</t>
  </si>
  <si>
    <t>79179487672</t>
  </si>
  <si>
    <t>karimismoilov42@gmail.com</t>
  </si>
  <si>
    <t>5/1-13/085</t>
  </si>
  <si>
    <t>Яценко Владислав Вячеславович</t>
  </si>
  <si>
    <t>79966210040</t>
  </si>
  <si>
    <t>yatcenko.vlad1997@yandex.ru</t>
  </si>
  <si>
    <t>Стаканов Алексей</t>
  </si>
  <si>
    <t>Сундеева Ольга</t>
  </si>
  <si>
    <t>Федоров Олег</t>
  </si>
  <si>
    <t>Мамонова/Краснов</t>
  </si>
  <si>
    <t>Левшин И.Л.</t>
  </si>
  <si>
    <t>16.1 .</t>
  </si>
  <si>
    <t>Мещерякова Ольга</t>
  </si>
  <si>
    <t>Самышев Антон</t>
  </si>
  <si>
    <t>Варламова Наталья</t>
  </si>
  <si>
    <t>Аникушина Ольга</t>
  </si>
  <si>
    <t>Н -Тими</t>
  </si>
  <si>
    <t>401/1-07/085</t>
  </si>
  <si>
    <t>Козлов Дмитрий Сергеевич</t>
  </si>
  <si>
    <t>79376452072</t>
  </si>
  <si>
    <t>chubakabra@yandex.ru</t>
  </si>
  <si>
    <t>5/3-10/288</t>
  </si>
  <si>
    <t>Сергеевич Алексей Стаканов</t>
  </si>
  <si>
    <t>79379900706</t>
  </si>
  <si>
    <t>stakanovaleksey@mail.ru</t>
  </si>
  <si>
    <t xml:space="preserve">402/3-01/007 </t>
  </si>
  <si>
    <t xml:space="preserve">Самышев Антон Александрович </t>
  </si>
  <si>
    <t>79272078515</t>
  </si>
  <si>
    <t>asamyshev@yandex.ru</t>
  </si>
  <si>
    <t>Скидка для иногородних</t>
  </si>
  <si>
    <t>401/2-07/086</t>
  </si>
  <si>
    <t>Варламова Наталья Александровна</t>
  </si>
  <si>
    <t>natasha.varlamova25@mail.ru</t>
  </si>
  <si>
    <t>5/2-15/215</t>
  </si>
  <si>
    <t>Левшин Илья Львович</t>
  </si>
  <si>
    <t>ilyalevshin@mail.ru</t>
  </si>
  <si>
    <t>Скидка новоселам</t>
  </si>
  <si>
    <t>5/3-18/344</t>
  </si>
  <si>
    <t>Сундеева Ольга Сергеевна</t>
  </si>
  <si>
    <t>o-revina@mail.ru</t>
  </si>
  <si>
    <t>Метр Квадратный</t>
  </si>
  <si>
    <t xml:space="preserve">офис </t>
  </si>
  <si>
    <t>Зураб</t>
  </si>
  <si>
    <t>Щукин Е.Е.</t>
  </si>
  <si>
    <t>Полутина Юлия А.</t>
  </si>
  <si>
    <t>Матюхина</t>
  </si>
  <si>
    <t>Бычкова Ирина</t>
  </si>
  <si>
    <t>Иванченков</t>
  </si>
  <si>
    <t>Киреева С.В.</t>
  </si>
  <si>
    <t>and223961@gmail.ru</t>
  </si>
  <si>
    <t xml:space="preserve"> Светлый</t>
  </si>
  <si>
    <t>79174985629</t>
  </si>
  <si>
    <t>79043032397</t>
  </si>
  <si>
    <t>79279029859</t>
  </si>
  <si>
    <t>514</t>
  </si>
  <si>
    <t>Большие скидки на маленькие квартиры/Индивидуальная скидка</t>
  </si>
  <si>
    <t>5/4-16/514</t>
  </si>
  <si>
    <t xml:space="preserve">Мамонова Екатерина Андреевна
</t>
  </si>
  <si>
    <t xml:space="preserve">79272650516
</t>
  </si>
  <si>
    <t>katamamonowa@mail.ru</t>
  </si>
  <si>
    <t xml:space="preserve"> 4 квартал Дом 2</t>
  </si>
  <si>
    <t>402/1-01/002</t>
  </si>
  <si>
    <t>Гусейнов Зохраб Рамис Оглы</t>
  </si>
  <si>
    <t>79198048348</t>
  </si>
  <si>
    <t>zohrab010594@gmail.com</t>
  </si>
  <si>
    <t xml:space="preserve">Нуждина </t>
  </si>
  <si>
    <t>5/1-16/110</t>
  </si>
  <si>
    <t>Щукин Евгений Евгеньевич</t>
  </si>
  <si>
    <t>79277580005</t>
  </si>
  <si>
    <t>shcukin163@mail.ru</t>
  </si>
  <si>
    <t>Время действовать/Индивидуальная скидка</t>
  </si>
  <si>
    <t>5/2-11/181</t>
  </si>
  <si>
    <t>Иваченков Алексей Андреевич</t>
  </si>
  <si>
    <t>79198089697</t>
  </si>
  <si>
    <t>Alenazykova938@gmail.com</t>
  </si>
  <si>
    <t>Большие скидки на маленикие квартиры</t>
  </si>
  <si>
    <t>5/4-17/517</t>
  </si>
  <si>
    <t>Киреева Светлана Владимировна</t>
  </si>
  <si>
    <t>93744396162</t>
  </si>
  <si>
    <t>xrey175@gmail.com</t>
  </si>
  <si>
    <t xml:space="preserve">Агрегаторы - Яндекс.Недвижимость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</si>
</sst>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4" formatCode="_-* #\ ##0.00_-;\-* #\ ##0.00_-;_-* &quot;-&quot;??_-;_-@_-"/>
    <numFmt numFmtId="165" formatCode="_-* #\ ##0.00\ _₽_-;\-* #\ ##0.00\ _₽_-;_-* &quot;-&quot;??\ _₽_-;_-@_-"/>
    <numFmt numFmtId="166" formatCode="#\ ##0"/>
    <numFmt numFmtId="167" formatCode="[$-419]mmmm\ yyyy;@"/>
    <numFmt numFmtId="168" formatCode="_-* #\ ##0_-;\-* #\ ##0_-;_-* &quot;-&quot;??_-;_-@_-"/>
    <numFmt numFmtId="169" formatCode="#\ ##0.00\ &quot;₽&quot;"/>
    <numFmt numFmtId="170" formatCode="#\ ##0.00"/>
    <numFmt numFmtId="171" formatCode="mmm\.yy"/>
    <numFmt numFmtId="172" formatCode="#\ ##0_ ;\-#\ ##0\ "/>
    <numFmt numFmtId="173" formatCode="dd\.mm\.yyyy"/>
    <numFmt numFmtId="174" formatCode="dd/mm/yy;@"/>
    <numFmt numFmtId="175" formatCode="dd\.mmm"/>
    <numFmt numFmtId="176" formatCode="&quot;Студия&quot;"/>
    <numFmt numFmtId="177" formatCode="#&quot; комн.&quot;"/>
    <numFmt numFmtId="178" formatCode="&quot;Дом &quot;General"/>
    <numFmt numFmtId="179" formatCode="#\ ##0.0"/>
    <numFmt numFmtId="180" formatCode="General&quot; Комнатная&quot;"/>
    <numFmt numFmtId="181" formatCode="#\ ##0.00\ _₽"/>
    <numFmt numFmtId="182" formatCode="#\ ##0\ _₽"/>
    <numFmt numFmtId="183" formatCode="#,##0.00\ &quot;₽&quot;"/>
  </numFmts>
  <fonts count="46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i/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9"/>
      <color rgb="FF000000"/>
      <name val="Segoe UI"/>
      <family val="2"/>
      <charset val="204"/>
    </font>
    <font>
      <b/>
      <sz val="12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9"/>
      <name val="Segoe UI"/>
      <family val="2"/>
      <charset val="204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sz val="10"/>
      <name val="Times New Roman"/>
      <family val="1"/>
      <charset val="204"/>
    </font>
    <font>
      <b/>
      <sz val="9"/>
      <color rgb="FF000000"/>
      <name val="Segoe UI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i/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</font>
    <font>
      <b/>
      <sz val="11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10"/>
      <color rgb="FF000000"/>
      <name val="Calibri "/>
      <charset val="204"/>
    </font>
    <font>
      <sz val="10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2"/>
      <color theme="2" tint="-9.9978637043366805E-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9"/>
      <name val="Tahoma"/>
      <family val="2"/>
      <charset val="204"/>
    </font>
    <font>
      <sz val="9"/>
      <name val="Tahoma"/>
      <family val="2"/>
      <charset val="204"/>
    </font>
  </fonts>
  <fills count="38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theme="4" tint="0.79995117038483843"/>
      </patternFill>
    </fill>
    <fill>
      <patternFill patternType="solid">
        <fgColor theme="9"/>
        <bgColor theme="4" tint="0.79995117038483843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DCE5F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8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164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24" borderId="74" applyNumberFormat="0" applyFont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</cellStyleXfs>
  <cellXfs count="242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166" fontId="2" fillId="0" borderId="0" xfId="0" applyNumberFormat="1" applyFont="1"/>
    <xf numFmtId="0" fontId="3" fillId="0" borderId="0" xfId="0" applyFont="1" applyAlignment="1" applyProtection="1">
      <alignment horizontal="center" vertical="center"/>
      <protection locked="0" hidden="1"/>
    </xf>
    <xf numFmtId="168" fontId="3" fillId="0" borderId="0" xfId="1" applyNumberFormat="1" applyFont="1" applyFill="1" applyBorder="1" applyAlignment="1" applyProtection="1">
      <alignment horizontal="center" vertical="center"/>
      <protection locked="0" hidden="1"/>
    </xf>
    <xf numFmtId="166" fontId="3" fillId="0" borderId="0" xfId="1" applyNumberFormat="1" applyFont="1" applyFill="1" applyBorder="1" applyAlignment="1" applyProtection="1">
      <alignment horizontal="center" vertical="center"/>
      <protection locked="0" hidden="1"/>
    </xf>
    <xf numFmtId="0" fontId="3" fillId="0" borderId="0" xfId="0" applyFont="1" applyAlignment="1" applyProtection="1">
      <alignment horizontal="center"/>
      <protection hidden="1"/>
    </xf>
    <xf numFmtId="168" fontId="3" fillId="0" borderId="0" xfId="1" applyNumberFormat="1" applyFont="1" applyFill="1" applyBorder="1" applyAlignment="1" applyProtection="1">
      <alignment horizontal="center" vertical="center"/>
      <protection hidden="1"/>
    </xf>
    <xf numFmtId="0" fontId="3" fillId="4" borderId="4" xfId="0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Alignment="1" applyProtection="1">
      <alignment horizontal="left"/>
      <protection hidden="1"/>
    </xf>
    <xf numFmtId="0" fontId="3" fillId="3" borderId="3" xfId="0" applyFont="1" applyFill="1" applyBorder="1" applyAlignment="1" applyProtection="1">
      <alignment horizontal="left"/>
      <protection hidden="1"/>
    </xf>
    <xf numFmtId="0" fontId="3" fillId="5" borderId="4" xfId="0" applyFont="1" applyFill="1" applyBorder="1" applyAlignment="1" applyProtection="1">
      <alignment horizontal="center" vertical="center" wrapText="1"/>
      <protection hidden="1"/>
    </xf>
    <xf numFmtId="169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4" xfId="0" applyFont="1" applyBorder="1" applyAlignment="1" applyProtection="1">
      <alignment horizontal="center"/>
      <protection hidden="1"/>
    </xf>
    <xf numFmtId="170" fontId="4" fillId="0" borderId="4" xfId="1" applyNumberFormat="1" applyFont="1" applyBorder="1" applyAlignment="1" applyProtection="1">
      <alignment horizontal="center" vertical="center"/>
      <protection hidden="1"/>
    </xf>
    <xf numFmtId="168" fontId="3" fillId="0" borderId="4" xfId="1" applyNumberFormat="1" applyFont="1" applyBorder="1" applyAlignment="1" applyProtection="1">
      <alignment horizontal="center" vertical="center"/>
      <protection hidden="1"/>
    </xf>
    <xf numFmtId="171" fontId="2" fillId="0" borderId="0" xfId="0" applyNumberFormat="1" applyFont="1"/>
    <xf numFmtId="166" fontId="3" fillId="4" borderId="4" xfId="0" applyNumberFormat="1" applyFont="1" applyFill="1" applyBorder="1" applyAlignment="1" applyProtection="1">
      <alignment horizontal="center" vertical="center"/>
      <protection hidden="1"/>
    </xf>
    <xf numFmtId="166" fontId="3" fillId="4" borderId="4" xfId="1" applyNumberFormat="1" applyFont="1" applyFill="1" applyBorder="1" applyAlignment="1" applyProtection="1">
      <alignment horizontal="center" vertical="center"/>
      <protection hidden="1"/>
    </xf>
    <xf numFmtId="0" fontId="3" fillId="5" borderId="4" xfId="0" applyFont="1" applyFill="1" applyBorder="1" applyAlignment="1" applyProtection="1">
      <alignment horizontal="center" vertical="center"/>
      <protection hidden="1"/>
    </xf>
    <xf numFmtId="168" fontId="3" fillId="5" borderId="4" xfId="1" applyNumberFormat="1" applyFont="1" applyFill="1" applyBorder="1" applyAlignment="1" applyProtection="1">
      <alignment horizontal="center" vertical="center" wrapText="1"/>
      <protection hidden="1"/>
    </xf>
    <xf numFmtId="170" fontId="3" fillId="0" borderId="4" xfId="0" applyNumberFormat="1" applyFont="1" applyBorder="1" applyAlignment="1" applyProtection="1">
      <alignment horizontal="center"/>
      <protection hidden="1"/>
    </xf>
    <xf numFmtId="170" fontId="3" fillId="4" borderId="4" xfId="1" applyNumberFormat="1" applyFont="1" applyFill="1" applyBorder="1" applyAlignment="1" applyProtection="1">
      <alignment horizontal="center" vertic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5" borderId="5" xfId="0" applyFont="1" applyFill="1" applyBorder="1" applyAlignment="1" applyProtection="1">
      <alignment horizontal="center" vertical="center" wrapText="1"/>
      <protection hidden="1"/>
    </xf>
    <xf numFmtId="169" fontId="3" fillId="5" borderId="5" xfId="0" applyNumberFormat="1" applyFont="1" applyFill="1" applyBorder="1" applyAlignment="1" applyProtection="1">
      <alignment horizontal="center" vertical="center" wrapText="1"/>
      <protection hidden="1"/>
    </xf>
    <xf numFmtId="166" fontId="3" fillId="4" borderId="4" xfId="0" applyNumberFormat="1" applyFont="1" applyFill="1" applyBorder="1" applyAlignment="1" applyProtection="1">
      <alignment horizontal="center"/>
      <protection hidden="1"/>
    </xf>
    <xf numFmtId="170" fontId="3" fillId="4" borderId="4" xfId="0" applyNumberFormat="1" applyFont="1" applyFill="1" applyBorder="1" applyAlignment="1" applyProtection="1">
      <alignment horizontal="center" vertical="center"/>
      <protection hidden="1"/>
    </xf>
    <xf numFmtId="0" fontId="3" fillId="0" borderId="0" xfId="0" applyFont="1" applyProtection="1">
      <protection hidden="1"/>
    </xf>
    <xf numFmtId="166" fontId="3" fillId="0" borderId="0" xfId="0" applyNumberFormat="1" applyFont="1" applyAlignment="1" applyProtection="1">
      <alignment horizontal="center" vertical="center"/>
      <protection hidden="1"/>
    </xf>
    <xf numFmtId="0" fontId="3" fillId="0" borderId="6" xfId="0" applyFont="1" applyBorder="1" applyAlignment="1" applyProtection="1">
      <alignment horizontal="center"/>
      <protection hidden="1"/>
    </xf>
    <xf numFmtId="168" fontId="3" fillId="0" borderId="6" xfId="1" applyNumberFormat="1" applyFont="1" applyBorder="1" applyAlignment="1" applyProtection="1">
      <alignment horizontal="center" vertical="center"/>
      <protection hidden="1"/>
    </xf>
    <xf numFmtId="166" fontId="3" fillId="0" borderId="4" xfId="1" applyNumberFormat="1" applyFont="1" applyBorder="1" applyAlignment="1" applyProtection="1">
      <alignment horizontal="center" vertical="center"/>
      <protection hidden="1"/>
    </xf>
    <xf numFmtId="0" fontId="3" fillId="0" borderId="4" xfId="0" applyFont="1" applyBorder="1" applyAlignment="1" applyProtection="1">
      <alignment horizontal="center" vertical="center" wrapText="1"/>
      <protection hidden="1"/>
    </xf>
    <xf numFmtId="169" fontId="3" fillId="0" borderId="4" xfId="0" applyNumberFormat="1" applyFont="1" applyBorder="1" applyAlignment="1" applyProtection="1">
      <alignment horizontal="center" vertical="center" wrapText="1"/>
      <protection hidden="1"/>
    </xf>
    <xf numFmtId="170" fontId="4" fillId="0" borderId="0" xfId="1" applyNumberFormat="1" applyFont="1" applyFill="1" applyBorder="1" applyAlignment="1" applyProtection="1">
      <alignment horizontal="center" vertical="center"/>
      <protection hidden="1"/>
    </xf>
    <xf numFmtId="166" fontId="3" fillId="0" borderId="4" xfId="1" applyNumberFormat="1" applyFont="1" applyFill="1" applyBorder="1" applyAlignment="1" applyProtection="1">
      <alignment horizontal="center" vertical="center"/>
      <protection hidden="1"/>
    </xf>
    <xf numFmtId="0" fontId="3" fillId="0" borderId="4" xfId="0" applyFont="1" applyBorder="1" applyAlignment="1" applyProtection="1">
      <alignment horizontal="center" vertical="center"/>
      <protection hidden="1"/>
    </xf>
    <xf numFmtId="166" fontId="3" fillId="0" borderId="4" xfId="0" applyNumberFormat="1" applyFont="1" applyBorder="1" applyAlignment="1" applyProtection="1">
      <alignment horizontal="center" vertical="center"/>
      <protection hidden="1"/>
    </xf>
    <xf numFmtId="166" fontId="3" fillId="0" borderId="4" xfId="0" applyNumberFormat="1" applyFont="1" applyBorder="1" applyAlignment="1" applyProtection="1">
      <alignment horizontal="center"/>
      <protection hidden="1"/>
    </xf>
    <xf numFmtId="172" fontId="3" fillId="0" borderId="4" xfId="1" applyNumberFormat="1" applyFont="1" applyBorder="1" applyAlignment="1" applyProtection="1">
      <alignment horizontal="center" vertical="center"/>
      <protection hidden="1"/>
    </xf>
    <xf numFmtId="170" fontId="3" fillId="0" borderId="0" xfId="0" applyNumberFormat="1" applyFont="1" applyAlignment="1" applyProtection="1">
      <alignment horizontal="center"/>
      <protection hidden="1"/>
    </xf>
    <xf numFmtId="0" fontId="4" fillId="0" borderId="0" xfId="0" applyFont="1" applyProtection="1">
      <protection hidden="1"/>
    </xf>
    <xf numFmtId="170" fontId="3" fillId="0" borderId="0" xfId="0" applyNumberFormat="1" applyFont="1" applyAlignment="1" applyProtection="1">
      <alignment horizontal="center" vertical="center"/>
      <protection hidden="1"/>
    </xf>
    <xf numFmtId="170" fontId="3" fillId="0" borderId="0" xfId="0" applyNumberFormat="1" applyFont="1" applyAlignment="1" applyProtection="1">
      <alignment horizontal="center" vertical="center" wrapText="1"/>
      <protection hidden="1"/>
    </xf>
    <xf numFmtId="170" fontId="3" fillId="0" borderId="0" xfId="1" applyNumberFormat="1" applyFont="1" applyFill="1" applyBorder="1" applyAlignment="1" applyProtection="1">
      <alignment horizontal="center" vertical="center" wrapText="1"/>
      <protection hidden="1"/>
    </xf>
    <xf numFmtId="167" fontId="3" fillId="0" borderId="0" xfId="0" applyNumberFormat="1" applyFont="1" applyAlignment="1" applyProtection="1">
      <alignment horizontal="center" vertical="center"/>
      <protection locked="0" hidden="1"/>
    </xf>
    <xf numFmtId="170" fontId="4" fillId="6" borderId="4" xfId="1" applyNumberFormat="1" applyFont="1" applyFill="1" applyBorder="1" applyAlignment="1" applyProtection="1">
      <alignment horizontal="center" vertical="center"/>
      <protection hidden="1"/>
    </xf>
    <xf numFmtId="170" fontId="3" fillId="6" borderId="4" xfId="0" applyNumberFormat="1" applyFont="1" applyFill="1" applyBorder="1" applyAlignment="1" applyProtection="1">
      <alignment horizontal="center" vertical="center" wrapText="1"/>
      <protection hidden="1"/>
    </xf>
    <xf numFmtId="167" fontId="3" fillId="0" borderId="0" xfId="0" applyNumberFormat="1" applyFont="1" applyAlignment="1" applyProtection="1">
      <alignment vertical="center"/>
      <protection locked="0" hidden="1"/>
    </xf>
    <xf numFmtId="166" fontId="3" fillId="6" borderId="0" xfId="0" applyNumberFormat="1" applyFont="1" applyFill="1" applyAlignment="1" applyProtection="1">
      <alignment horizontal="center" vertical="center"/>
      <protection hidden="1"/>
    </xf>
    <xf numFmtId="170" fontId="4" fillId="0" borderId="4" xfId="1" applyNumberFormat="1" applyFont="1" applyFill="1" applyBorder="1" applyAlignment="1" applyProtection="1">
      <alignment horizontal="center" vertical="center"/>
      <protection hidden="1"/>
    </xf>
    <xf numFmtId="170" fontId="3" fillId="0" borderId="4" xfId="0" applyNumberFormat="1" applyFont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locked="0" hidden="1"/>
    </xf>
    <xf numFmtId="0" fontId="0" fillId="6" borderId="0" xfId="0" applyFill="1"/>
    <xf numFmtId="170" fontId="0" fillId="0" borderId="0" xfId="0" applyNumberFormat="1"/>
    <xf numFmtId="173" fontId="0" fillId="0" borderId="0" xfId="0" applyNumberFormat="1"/>
    <xf numFmtId="174" fontId="0" fillId="0" borderId="0" xfId="0" applyNumberFormat="1"/>
    <xf numFmtId="166" fontId="2" fillId="0" borderId="0" xfId="0" applyNumberFormat="1" applyFont="1" applyAlignment="1">
      <alignment horizontal="center" vertical="center"/>
    </xf>
    <xf numFmtId="0" fontId="5" fillId="0" borderId="0" xfId="0" applyFont="1" applyAlignment="1" applyProtection="1">
      <alignment vertical="center"/>
      <protection locked="0"/>
    </xf>
    <xf numFmtId="0" fontId="4" fillId="7" borderId="0" xfId="0" applyFont="1" applyFill="1" applyAlignment="1" applyProtection="1">
      <alignment vertical="center"/>
      <protection locked="0"/>
    </xf>
    <xf numFmtId="0" fontId="4" fillId="7" borderId="0" xfId="0" applyFont="1" applyFill="1" applyAlignment="1" applyProtection="1">
      <alignment horizontal="center" vertical="center"/>
      <protection locked="0"/>
    </xf>
    <xf numFmtId="0" fontId="6" fillId="7" borderId="0" xfId="0" applyFont="1" applyFill="1" applyAlignment="1" applyProtection="1">
      <alignment vertical="center"/>
      <protection locked="0"/>
    </xf>
    <xf numFmtId="0" fontId="7" fillId="7" borderId="0" xfId="0" applyFont="1" applyFill="1" applyAlignment="1" applyProtection="1">
      <alignment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vertical="center"/>
      <protection locked="0"/>
    </xf>
    <xf numFmtId="167" fontId="5" fillId="0" borderId="0" xfId="0" applyNumberFormat="1" applyFont="1" applyAlignment="1" applyProtection="1">
      <alignment horizontal="center" vertical="center"/>
      <protection locked="0"/>
    </xf>
    <xf numFmtId="166" fontId="5" fillId="0" borderId="8" xfId="0" applyNumberFormat="1" applyFont="1" applyBorder="1" applyAlignment="1">
      <alignment horizontal="center" vertical="center"/>
    </xf>
    <xf numFmtId="170" fontId="5" fillId="0" borderId="8" xfId="0" applyNumberFormat="1" applyFont="1" applyBorder="1" applyAlignment="1">
      <alignment horizontal="center" vertical="center"/>
    </xf>
    <xf numFmtId="0" fontId="3" fillId="0" borderId="0" xfId="0" applyFont="1" applyAlignment="1" applyProtection="1">
      <alignment horizontal="center" vertical="center" wrapText="1"/>
      <protection locked="0"/>
    </xf>
    <xf numFmtId="0" fontId="8" fillId="8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 wrapText="1"/>
      <protection locked="0"/>
    </xf>
    <xf numFmtId="166" fontId="4" fillId="7" borderId="0" xfId="1" applyNumberFormat="1" applyFont="1" applyFill="1" applyBorder="1" applyAlignment="1" applyProtection="1">
      <alignment horizontal="center" vertical="center"/>
      <protection locked="0"/>
    </xf>
    <xf numFmtId="0" fontId="4" fillId="7" borderId="0" xfId="1" applyNumberFormat="1" applyFont="1" applyFill="1" applyBorder="1" applyAlignment="1" applyProtection="1">
      <alignment horizontal="center" vertical="center"/>
      <protection locked="0"/>
    </xf>
    <xf numFmtId="0" fontId="4" fillId="7" borderId="0" xfId="0" applyFont="1" applyFill="1" applyAlignment="1" applyProtection="1">
      <alignment horizontal="center" vertical="center" wrapText="1"/>
      <protection locked="0"/>
    </xf>
    <xf numFmtId="166" fontId="4" fillId="0" borderId="0" xfId="0" applyNumberFormat="1" applyFont="1" applyAlignment="1" applyProtection="1">
      <alignment horizontal="center" vertical="center"/>
      <protection locked="0"/>
    </xf>
    <xf numFmtId="166" fontId="4" fillId="0" borderId="0" xfId="1" applyNumberFormat="1" applyFont="1" applyFill="1" applyBorder="1" applyAlignment="1" applyProtection="1">
      <alignment horizontal="center" vertical="center"/>
      <protection locked="0"/>
    </xf>
    <xf numFmtId="0" fontId="4" fillId="0" borderId="0" xfId="1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166" fontId="4" fillId="7" borderId="0" xfId="0" applyNumberFormat="1" applyFont="1" applyFill="1" applyAlignment="1" applyProtection="1">
      <alignment horizontal="center" vertical="center"/>
      <protection locked="0"/>
    </xf>
    <xf numFmtId="0" fontId="6" fillId="7" borderId="0" xfId="0" applyFont="1" applyFill="1" applyAlignment="1" applyProtection="1">
      <alignment horizontal="center" vertical="center"/>
      <protection locked="0"/>
    </xf>
    <xf numFmtId="0" fontId="6" fillId="7" borderId="0" xfId="1" applyNumberFormat="1" applyFont="1" applyFill="1" applyBorder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7" fillId="0" borderId="0" xfId="1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1" applyNumberFormat="1" applyFont="1" applyFill="1" applyAlignment="1" applyProtection="1">
      <alignment horizontal="center" vertical="center"/>
      <protection locked="0"/>
    </xf>
    <xf numFmtId="166" fontId="4" fillId="0" borderId="0" xfId="1" applyNumberFormat="1" applyFont="1" applyFill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12" fillId="8" borderId="0" xfId="0" applyFont="1" applyFill="1" applyAlignment="1" applyProtection="1">
      <alignment horizontal="center" vertical="center" wrapText="1"/>
      <protection locked="0"/>
    </xf>
    <xf numFmtId="170" fontId="4" fillId="7" borderId="0" xfId="0" applyNumberFormat="1" applyFont="1" applyFill="1" applyAlignment="1" applyProtection="1">
      <alignment horizontal="center" vertical="center" wrapText="1"/>
      <protection locked="0"/>
    </xf>
    <xf numFmtId="174" fontId="4" fillId="7" borderId="0" xfId="0" applyNumberFormat="1" applyFont="1" applyFill="1" applyAlignment="1" applyProtection="1">
      <alignment horizontal="center" vertical="center"/>
      <protection locked="0"/>
    </xf>
    <xf numFmtId="170" fontId="4" fillId="0" borderId="0" xfId="0" applyNumberFormat="1" applyFont="1" applyAlignment="1" applyProtection="1">
      <alignment horizontal="center" vertical="center"/>
      <protection locked="0"/>
    </xf>
    <xf numFmtId="173" fontId="4" fillId="0" borderId="0" xfId="0" applyNumberFormat="1" applyFont="1" applyAlignment="1" applyProtection="1">
      <alignment horizontal="center" vertical="center"/>
      <protection locked="0"/>
    </xf>
    <xf numFmtId="170" fontId="4" fillId="7" borderId="0" xfId="0" applyNumberFormat="1" applyFont="1" applyFill="1" applyAlignment="1" applyProtection="1">
      <alignment horizontal="center" vertical="center"/>
      <protection locked="0"/>
    </xf>
    <xf numFmtId="173" fontId="4" fillId="7" borderId="0" xfId="0" applyNumberFormat="1" applyFont="1" applyFill="1" applyAlignment="1" applyProtection="1">
      <alignment horizontal="center" vertical="center"/>
      <protection locked="0"/>
    </xf>
    <xf numFmtId="0" fontId="4" fillId="0" borderId="8" xfId="0" applyFont="1" applyBorder="1" applyAlignment="1" applyProtection="1">
      <alignment horizontal="center" vertical="center"/>
      <protection locked="0"/>
    </xf>
    <xf numFmtId="174" fontId="4" fillId="0" borderId="0" xfId="0" applyNumberFormat="1" applyFont="1" applyAlignment="1" applyProtection="1">
      <alignment horizontal="center" vertical="center"/>
      <protection locked="0"/>
    </xf>
    <xf numFmtId="166" fontId="6" fillId="7" borderId="0" xfId="0" applyNumberFormat="1" applyFont="1" applyFill="1" applyAlignment="1" applyProtection="1">
      <alignment horizontal="center" vertical="center"/>
      <protection locked="0"/>
    </xf>
    <xf numFmtId="170" fontId="6" fillId="7" borderId="0" xfId="0" applyNumberFormat="1" applyFont="1" applyFill="1" applyAlignment="1" applyProtection="1">
      <alignment horizontal="center" vertical="center"/>
      <protection locked="0"/>
    </xf>
    <xf numFmtId="174" fontId="6" fillId="7" borderId="0" xfId="0" applyNumberFormat="1" applyFont="1" applyFill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alignment horizontal="center" vertical="center"/>
      <protection locked="0"/>
    </xf>
    <xf numFmtId="0" fontId="4" fillId="6" borderId="0" xfId="0" applyFont="1" applyFill="1" applyAlignment="1" applyProtection="1">
      <alignment horizontal="center" vertical="center"/>
      <protection locked="0"/>
    </xf>
    <xf numFmtId="170" fontId="4" fillId="0" borderId="0" xfId="0" applyNumberFormat="1" applyFont="1" applyAlignment="1" applyProtection="1">
      <alignment horizontal="center" vertical="center" wrapText="1"/>
      <protection locked="0"/>
    </xf>
    <xf numFmtId="170" fontId="3" fillId="0" borderId="0" xfId="0" applyNumberFormat="1" applyFont="1" applyAlignment="1" applyProtection="1">
      <alignment horizontal="center" vertical="center"/>
      <protection locked="0"/>
    </xf>
    <xf numFmtId="170" fontId="13" fillId="0" borderId="0" xfId="0" applyNumberFormat="1" applyFont="1" applyAlignment="1" applyProtection="1">
      <alignment horizontal="center"/>
      <protection locked="0"/>
    </xf>
    <xf numFmtId="9" fontId="4" fillId="0" borderId="0" xfId="0" applyNumberFormat="1" applyFont="1" applyAlignment="1" applyProtection="1">
      <alignment horizontal="center" vertical="center"/>
      <protection locked="0"/>
    </xf>
    <xf numFmtId="0" fontId="4" fillId="0" borderId="0" xfId="2" applyNumberFormat="1" applyFont="1" applyFill="1" applyBorder="1" applyAlignment="1" applyProtection="1">
      <alignment horizontal="center" vertical="center"/>
      <protection locked="0"/>
    </xf>
    <xf numFmtId="174" fontId="4" fillId="0" borderId="0" xfId="0" applyNumberFormat="1" applyFont="1" applyAlignment="1" applyProtection="1">
      <alignment horizontal="center" vertical="center" wrapText="1"/>
      <protection locked="0"/>
    </xf>
    <xf numFmtId="174" fontId="3" fillId="0" borderId="0" xfId="0" applyNumberFormat="1" applyFont="1" applyAlignment="1" applyProtection="1">
      <alignment horizontal="center" vertical="center"/>
      <protection locked="0"/>
    </xf>
    <xf numFmtId="0" fontId="8" fillId="9" borderId="0" xfId="0" applyFont="1" applyFill="1" applyAlignment="1" applyProtection="1">
      <alignment horizontal="center" vertical="center" wrapText="1"/>
      <protection locked="0"/>
    </xf>
    <xf numFmtId="0" fontId="7" fillId="7" borderId="0" xfId="0" applyFont="1" applyFill="1" applyAlignment="1" applyProtection="1">
      <alignment horizontal="center" vertical="center" wrapText="1"/>
      <protection locked="0"/>
    </xf>
    <xf numFmtId="173" fontId="4" fillId="7" borderId="0" xfId="0" applyNumberFormat="1" applyFont="1" applyFill="1" applyAlignment="1" applyProtection="1">
      <alignment horizontal="center" vertical="center" wrapText="1"/>
      <protection locked="0"/>
    </xf>
    <xf numFmtId="170" fontId="4" fillId="7" borderId="0" xfId="0" applyNumberFormat="1" applyFont="1" applyFill="1" applyAlignment="1" applyProtection="1">
      <alignment horizontal="center" vertical="center"/>
      <protection hidden="1"/>
    </xf>
    <xf numFmtId="170" fontId="4" fillId="0" borderId="0" xfId="0" applyNumberFormat="1" applyFont="1" applyAlignment="1" applyProtection="1">
      <alignment horizontal="center" vertical="center"/>
      <protection hidden="1"/>
    </xf>
    <xf numFmtId="170" fontId="4" fillId="7" borderId="0" xfId="0" applyNumberFormat="1" applyFont="1" applyFill="1" applyAlignment="1">
      <alignment horizontal="center" vertical="center"/>
    </xf>
    <xf numFmtId="0" fontId="10" fillId="7" borderId="0" xfId="0" applyFont="1" applyFill="1" applyAlignment="1" applyProtection="1">
      <alignment horizontal="center" vertical="center"/>
      <protection locked="0"/>
    </xf>
    <xf numFmtId="173" fontId="4" fillId="0" borderId="0" xfId="0" applyNumberFormat="1" applyFont="1" applyAlignment="1" applyProtection="1">
      <alignment horizontal="center" vertical="center" wrapText="1"/>
      <protection locked="0"/>
    </xf>
    <xf numFmtId="0" fontId="10" fillId="0" borderId="8" xfId="0" applyFont="1" applyBorder="1" applyAlignment="1" applyProtection="1">
      <alignment horizontal="center" vertical="center"/>
      <protection locked="0"/>
    </xf>
    <xf numFmtId="0" fontId="7" fillId="7" borderId="0" xfId="0" applyFont="1" applyFill="1" applyAlignment="1" applyProtection="1">
      <alignment horizontal="center" vertical="center"/>
      <protection locked="0"/>
    </xf>
    <xf numFmtId="0" fontId="6" fillId="7" borderId="0" xfId="0" applyFont="1" applyFill="1" applyAlignment="1" applyProtection="1">
      <alignment horizontal="center" vertical="center" wrapText="1"/>
      <protection locked="0"/>
    </xf>
    <xf numFmtId="173" fontId="6" fillId="7" borderId="0" xfId="0" applyNumberFormat="1" applyFont="1" applyFill="1" applyAlignment="1" applyProtection="1">
      <alignment horizontal="center" vertical="center" wrapText="1"/>
      <protection locked="0"/>
    </xf>
    <xf numFmtId="173" fontId="6" fillId="7" borderId="8" xfId="0" applyNumberFormat="1" applyFont="1" applyFill="1" applyBorder="1" applyAlignment="1" applyProtection="1">
      <alignment horizontal="center" vertical="center" wrapText="1"/>
      <protection locked="0"/>
    </xf>
    <xf numFmtId="170" fontId="6" fillId="7" borderId="0" xfId="0" applyNumberFormat="1" applyFont="1" applyFill="1" applyAlignment="1" applyProtection="1">
      <alignment horizontal="center" vertical="center"/>
      <protection hidden="1"/>
    </xf>
    <xf numFmtId="173" fontId="7" fillId="0" borderId="0" xfId="0" applyNumberFormat="1" applyFont="1" applyAlignment="1" applyProtection="1">
      <alignment horizontal="center" vertical="center" wrapText="1"/>
      <protection locked="0"/>
    </xf>
    <xf numFmtId="170" fontId="7" fillId="0" borderId="0" xfId="0" applyNumberFormat="1" applyFont="1" applyAlignment="1" applyProtection="1">
      <alignment horizontal="center" vertical="center"/>
      <protection hidden="1"/>
    </xf>
    <xf numFmtId="0" fontId="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/>
    </xf>
    <xf numFmtId="0" fontId="6" fillId="0" borderId="0" xfId="0" applyFont="1" applyAlignment="1" applyProtection="1">
      <alignment horizontal="center" vertical="center"/>
      <protection locked="0"/>
    </xf>
    <xf numFmtId="0" fontId="16" fillId="0" borderId="0" xfId="0" applyFont="1" applyAlignment="1">
      <alignment horizontal="center"/>
    </xf>
    <xf numFmtId="175" fontId="4" fillId="0" borderId="0" xfId="0" applyNumberFormat="1" applyFont="1" applyAlignment="1" applyProtection="1">
      <alignment horizontal="center" vertical="center" wrapText="1"/>
      <protection locked="0"/>
    </xf>
    <xf numFmtId="174" fontId="4" fillId="7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0" fontId="3" fillId="10" borderId="12" xfId="0" applyFont="1" applyFill="1" applyBorder="1" applyAlignment="1" applyProtection="1">
      <alignment horizontal="center" vertical="center"/>
      <protection hidden="1"/>
    </xf>
    <xf numFmtId="0" fontId="3" fillId="10" borderId="13" xfId="0" applyFont="1" applyFill="1" applyBorder="1" applyAlignment="1" applyProtection="1">
      <alignment horizontal="center" vertical="center"/>
      <protection hidden="1"/>
    </xf>
    <xf numFmtId="0" fontId="3" fillId="5" borderId="12" xfId="0" applyFont="1" applyFill="1" applyBorder="1" applyAlignment="1" applyProtection="1">
      <alignment horizontal="center" vertical="center"/>
      <protection hidden="1"/>
    </xf>
    <xf numFmtId="0" fontId="3" fillId="5" borderId="14" xfId="0" applyFont="1" applyFill="1" applyBorder="1" applyAlignment="1" applyProtection="1">
      <alignment horizontal="center" vertical="center" wrapText="1"/>
      <protection hidden="1"/>
    </xf>
    <xf numFmtId="0" fontId="3" fillId="5" borderId="13" xfId="0" applyFont="1" applyFill="1" applyBorder="1" applyAlignment="1" applyProtection="1">
      <alignment horizontal="center" vertical="center" wrapText="1"/>
      <protection hidden="1"/>
    </xf>
    <xf numFmtId="0" fontId="3" fillId="4" borderId="12" xfId="0" applyFont="1" applyFill="1" applyBorder="1" applyAlignment="1" applyProtection="1">
      <alignment horizontal="center" vertical="center" wrapText="1"/>
      <protection hidden="1"/>
    </xf>
    <xf numFmtId="0" fontId="3" fillId="4" borderId="14" xfId="0" applyFont="1" applyFill="1" applyBorder="1" applyAlignment="1" applyProtection="1">
      <alignment horizontal="center" vertical="center" wrapText="1"/>
      <protection hidden="1"/>
    </xf>
    <xf numFmtId="0" fontId="3" fillId="0" borderId="15" xfId="0" applyFont="1" applyBorder="1" applyAlignment="1" applyProtection="1">
      <alignment horizontal="center" vertical="center"/>
      <protection hidden="1"/>
    </xf>
    <xf numFmtId="166" fontId="4" fillId="0" borderId="16" xfId="1" applyNumberFormat="1" applyFont="1" applyFill="1" applyBorder="1" applyAlignment="1" applyProtection="1">
      <alignment horizontal="center" vertical="center"/>
      <protection hidden="1"/>
    </xf>
    <xf numFmtId="166" fontId="4" fillId="0" borderId="6" xfId="1" applyNumberFormat="1" applyFont="1" applyFill="1" applyBorder="1" applyAlignment="1" applyProtection="1">
      <alignment horizontal="center" vertical="center"/>
      <protection hidden="1"/>
    </xf>
    <xf numFmtId="0" fontId="4" fillId="0" borderId="17" xfId="0" applyFont="1" applyBorder="1" applyAlignment="1" applyProtection="1">
      <alignment horizontal="center" vertical="center"/>
      <protection hidden="1"/>
    </xf>
    <xf numFmtId="170" fontId="4" fillId="0" borderId="6" xfId="1" applyNumberFormat="1" applyFont="1" applyFill="1" applyBorder="1" applyAlignment="1" applyProtection="1">
      <alignment horizontal="center" vertical="center"/>
      <protection hidden="1"/>
    </xf>
    <xf numFmtId="0" fontId="4" fillId="0" borderId="18" xfId="0" applyFont="1" applyBorder="1" applyAlignment="1" applyProtection="1">
      <alignment horizontal="center" vertical="center"/>
      <protection hidden="1"/>
    </xf>
    <xf numFmtId="0" fontId="4" fillId="0" borderId="16" xfId="0" applyFont="1" applyBorder="1" applyAlignment="1" applyProtection="1">
      <alignment horizontal="center" vertical="center"/>
      <protection hidden="1"/>
    </xf>
    <xf numFmtId="170" fontId="4" fillId="0" borderId="6" xfId="0" applyNumberFormat="1" applyFont="1" applyBorder="1" applyAlignment="1" applyProtection="1">
      <alignment horizontal="center" vertical="center"/>
      <protection hidden="1"/>
    </xf>
    <xf numFmtId="0" fontId="3" fillId="0" borderId="19" xfId="0" applyFont="1" applyBorder="1" applyAlignment="1" applyProtection="1">
      <alignment horizontal="center" vertical="center"/>
      <protection hidden="1"/>
    </xf>
    <xf numFmtId="166" fontId="4" fillId="0" borderId="17" xfId="0" applyNumberFormat="1" applyFont="1" applyBorder="1" applyAlignment="1" applyProtection="1">
      <alignment horizontal="center" vertical="center"/>
      <protection hidden="1"/>
    </xf>
    <xf numFmtId="166" fontId="4" fillId="0" borderId="18" xfId="0" applyNumberFormat="1" applyFont="1" applyBorder="1" applyAlignment="1" applyProtection="1">
      <alignment horizontal="center" vertical="center"/>
      <protection hidden="1"/>
    </xf>
    <xf numFmtId="0" fontId="3" fillId="0" borderId="20" xfId="0" applyFont="1" applyBorder="1" applyAlignment="1" applyProtection="1">
      <alignment horizontal="center" vertical="center"/>
      <protection hidden="1"/>
    </xf>
    <xf numFmtId="0" fontId="3" fillId="11" borderId="21" xfId="0" applyFont="1" applyFill="1" applyBorder="1" applyAlignment="1" applyProtection="1">
      <alignment horizontal="center" vertical="center"/>
      <protection hidden="1"/>
    </xf>
    <xf numFmtId="166" fontId="4" fillId="11" borderId="22" xfId="1" applyNumberFormat="1" applyFont="1" applyFill="1" applyBorder="1" applyAlignment="1" applyProtection="1">
      <alignment horizontal="center" vertical="center"/>
      <protection hidden="1"/>
    </xf>
    <xf numFmtId="166" fontId="4" fillId="11" borderId="23" xfId="1" applyNumberFormat="1" applyFont="1" applyFill="1" applyBorder="1" applyAlignment="1" applyProtection="1">
      <alignment horizontal="center" vertical="center"/>
      <protection hidden="1"/>
    </xf>
    <xf numFmtId="166" fontId="4" fillId="11" borderId="24" xfId="0" applyNumberFormat="1" applyFont="1" applyFill="1" applyBorder="1" applyAlignment="1" applyProtection="1">
      <alignment horizontal="center" vertical="center"/>
      <protection hidden="1"/>
    </xf>
    <xf numFmtId="166" fontId="4" fillId="11" borderId="25" xfId="0" applyNumberFormat="1" applyFont="1" applyFill="1" applyBorder="1" applyAlignment="1" applyProtection="1">
      <alignment horizontal="center" vertical="center"/>
      <protection hidden="1"/>
    </xf>
    <xf numFmtId="0" fontId="4" fillId="11" borderId="22" xfId="0" applyFont="1" applyFill="1" applyBorder="1" applyAlignment="1" applyProtection="1">
      <alignment horizontal="center" vertical="center"/>
      <protection hidden="1"/>
    </xf>
    <xf numFmtId="170" fontId="4" fillId="11" borderId="23" xfId="0" applyNumberFormat="1" applyFont="1" applyFill="1" applyBorder="1" applyAlignment="1" applyProtection="1">
      <alignment horizontal="center" vertical="center"/>
      <protection hidden="1"/>
    </xf>
    <xf numFmtId="0" fontId="3" fillId="11" borderId="26" xfId="0" applyFont="1" applyFill="1" applyBorder="1" applyAlignment="1" applyProtection="1">
      <alignment horizontal="center" vertical="center"/>
      <protection hidden="1"/>
    </xf>
    <xf numFmtId="166" fontId="4" fillId="11" borderId="27" xfId="1" applyNumberFormat="1" applyFont="1" applyFill="1" applyBorder="1" applyAlignment="1" applyProtection="1">
      <alignment horizontal="center" vertical="center"/>
      <protection hidden="1"/>
    </xf>
    <xf numFmtId="166" fontId="4" fillId="11" borderId="28" xfId="1" applyNumberFormat="1" applyFont="1" applyFill="1" applyBorder="1" applyAlignment="1" applyProtection="1">
      <alignment horizontal="center" vertical="center"/>
      <protection hidden="1"/>
    </xf>
    <xf numFmtId="166" fontId="4" fillId="11" borderId="29" xfId="0" applyNumberFormat="1" applyFont="1" applyFill="1" applyBorder="1" applyAlignment="1" applyProtection="1">
      <alignment horizontal="center" vertical="center"/>
      <protection hidden="1"/>
    </xf>
    <xf numFmtId="166" fontId="4" fillId="11" borderId="30" xfId="0" applyNumberFormat="1" applyFont="1" applyFill="1" applyBorder="1" applyAlignment="1" applyProtection="1">
      <alignment horizontal="center" vertical="center"/>
      <protection hidden="1"/>
    </xf>
    <xf numFmtId="0" fontId="4" fillId="11" borderId="27" xfId="0" applyFont="1" applyFill="1" applyBorder="1" applyAlignment="1" applyProtection="1">
      <alignment horizontal="center" vertical="center"/>
      <protection hidden="1"/>
    </xf>
    <xf numFmtId="170" fontId="4" fillId="11" borderId="28" xfId="0" applyNumberFormat="1" applyFont="1" applyFill="1" applyBorder="1" applyAlignment="1" applyProtection="1">
      <alignment horizontal="center" vertical="center"/>
      <protection hidden="1"/>
    </xf>
    <xf numFmtId="0" fontId="3" fillId="12" borderId="31" xfId="0" applyFont="1" applyFill="1" applyBorder="1" applyAlignment="1" applyProtection="1">
      <alignment horizontal="center" vertical="center"/>
      <protection hidden="1"/>
    </xf>
    <xf numFmtId="166" fontId="3" fillId="12" borderId="32" xfId="1" applyNumberFormat="1" applyFont="1" applyFill="1" applyBorder="1" applyAlignment="1" applyProtection="1">
      <alignment horizontal="center" vertical="center"/>
      <protection hidden="1"/>
    </xf>
    <xf numFmtId="166" fontId="3" fillId="12" borderId="33" xfId="1" applyNumberFormat="1" applyFont="1" applyFill="1" applyBorder="1" applyAlignment="1" applyProtection="1">
      <alignment horizontal="center" vertical="center"/>
      <protection hidden="1"/>
    </xf>
    <xf numFmtId="166" fontId="3" fillId="12" borderId="34" xfId="1" applyNumberFormat="1" applyFont="1" applyFill="1" applyBorder="1" applyAlignment="1" applyProtection="1">
      <alignment horizontal="center" vertical="center"/>
      <protection hidden="1"/>
    </xf>
    <xf numFmtId="170" fontId="3" fillId="12" borderId="32" xfId="1" applyNumberFormat="1" applyFont="1" applyFill="1" applyBorder="1" applyAlignment="1" applyProtection="1">
      <alignment horizontal="center" vertical="center"/>
      <protection hidden="1"/>
    </xf>
    <xf numFmtId="170" fontId="3" fillId="12" borderId="33" xfId="1" applyNumberFormat="1" applyFont="1" applyFill="1" applyBorder="1" applyAlignment="1" applyProtection="1">
      <alignment horizontal="center" vertical="center"/>
      <protection hidden="1"/>
    </xf>
    <xf numFmtId="166" fontId="3" fillId="5" borderId="12" xfId="0" applyNumberFormat="1" applyFont="1" applyFill="1" applyBorder="1" applyAlignment="1" applyProtection="1">
      <alignment horizontal="center" vertical="center"/>
      <protection hidden="1"/>
    </xf>
    <xf numFmtId="166" fontId="3" fillId="5" borderId="14" xfId="0" applyNumberFormat="1" applyFont="1" applyFill="1" applyBorder="1" applyAlignment="1" applyProtection="1">
      <alignment horizontal="center" vertical="center" wrapText="1"/>
      <protection hidden="1"/>
    </xf>
    <xf numFmtId="166" fontId="3" fillId="5" borderId="13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21" xfId="0" applyFont="1" applyBorder="1" applyAlignment="1" applyProtection="1">
      <alignment horizontal="center" vertical="center"/>
      <protection hidden="1"/>
    </xf>
    <xf numFmtId="166" fontId="4" fillId="0" borderId="22" xfId="1" applyNumberFormat="1" applyFont="1" applyFill="1" applyBorder="1" applyAlignment="1" applyProtection="1">
      <alignment horizontal="center" vertical="center"/>
      <protection hidden="1"/>
    </xf>
    <xf numFmtId="166" fontId="4" fillId="0" borderId="23" xfId="1" applyNumberFormat="1" applyFont="1" applyFill="1" applyBorder="1" applyAlignment="1" applyProtection="1">
      <alignment horizontal="center" vertical="center"/>
      <protection hidden="1"/>
    </xf>
    <xf numFmtId="166" fontId="4" fillId="0" borderId="24" xfId="0" applyNumberFormat="1" applyFont="1" applyBorder="1" applyAlignment="1" applyProtection="1">
      <alignment horizontal="center" vertical="center"/>
      <protection hidden="1"/>
    </xf>
    <xf numFmtId="166" fontId="4" fillId="0" borderId="23" xfId="0" applyNumberFormat="1" applyFont="1" applyBorder="1" applyAlignment="1" applyProtection="1">
      <alignment horizontal="center" vertical="center"/>
      <protection hidden="1"/>
    </xf>
    <xf numFmtId="166" fontId="4" fillId="0" borderId="35" xfId="0" applyNumberFormat="1" applyFont="1" applyBorder="1" applyAlignment="1" applyProtection="1">
      <alignment horizontal="center" vertical="center"/>
      <protection hidden="1"/>
    </xf>
    <xf numFmtId="0" fontId="4" fillId="0" borderId="22" xfId="0" applyFont="1" applyBorder="1" applyAlignment="1" applyProtection="1">
      <alignment horizontal="center" vertical="center"/>
      <protection hidden="1"/>
    </xf>
    <xf numFmtId="170" fontId="4" fillId="0" borderId="23" xfId="0" applyNumberFormat="1" applyFont="1" applyBorder="1" applyAlignment="1" applyProtection="1">
      <alignment horizontal="center" vertical="center"/>
      <protection hidden="1"/>
    </xf>
    <xf numFmtId="166" fontId="4" fillId="0" borderId="6" xfId="0" applyNumberFormat="1" applyFont="1" applyBorder="1" applyAlignment="1" applyProtection="1">
      <alignment horizontal="center" vertical="center"/>
      <protection hidden="1"/>
    </xf>
    <xf numFmtId="166" fontId="4" fillId="0" borderId="36" xfId="0" applyNumberFormat="1" applyFont="1" applyBorder="1" applyAlignment="1" applyProtection="1">
      <alignment horizontal="center" vertical="center"/>
      <protection hidden="1"/>
    </xf>
    <xf numFmtId="0" fontId="4" fillId="0" borderId="37" xfId="0" applyFont="1" applyBorder="1" applyAlignment="1" applyProtection="1">
      <alignment horizontal="center" vertical="center"/>
      <protection hidden="1"/>
    </xf>
    <xf numFmtId="170" fontId="4" fillId="0" borderId="38" xfId="0" applyNumberFormat="1" applyFont="1" applyBorder="1" applyAlignment="1" applyProtection="1">
      <alignment horizontal="center" vertical="center"/>
      <protection hidden="1"/>
    </xf>
    <xf numFmtId="0" fontId="3" fillId="0" borderId="26" xfId="0" applyFont="1" applyBorder="1" applyAlignment="1" applyProtection="1">
      <alignment horizontal="center" vertical="center"/>
      <protection hidden="1"/>
    </xf>
    <xf numFmtId="166" fontId="4" fillId="0" borderId="32" xfId="1" applyNumberFormat="1" applyFont="1" applyFill="1" applyBorder="1" applyAlignment="1" applyProtection="1">
      <alignment horizontal="center" vertical="center"/>
      <protection hidden="1"/>
    </xf>
    <xf numFmtId="166" fontId="4" fillId="0" borderId="39" xfId="1" applyNumberFormat="1" applyFont="1" applyFill="1" applyBorder="1" applyAlignment="1" applyProtection="1">
      <alignment horizontal="center" vertical="center"/>
      <protection hidden="1"/>
    </xf>
    <xf numFmtId="166" fontId="4" fillId="0" borderId="33" xfId="0" applyNumberFormat="1" applyFont="1" applyBorder="1" applyAlignment="1" applyProtection="1">
      <alignment horizontal="center" vertical="center"/>
      <protection hidden="1"/>
    </xf>
    <xf numFmtId="166" fontId="4" fillId="0" borderId="39" xfId="0" applyNumberFormat="1" applyFont="1" applyBorder="1" applyAlignment="1" applyProtection="1">
      <alignment horizontal="center" vertical="center"/>
      <protection hidden="1"/>
    </xf>
    <xf numFmtId="166" fontId="4" fillId="0" borderId="40" xfId="0" applyNumberFormat="1" applyFont="1" applyBorder="1" applyAlignment="1" applyProtection="1">
      <alignment horizontal="center" vertical="center"/>
      <protection hidden="1"/>
    </xf>
    <xf numFmtId="0" fontId="4" fillId="0" borderId="27" xfId="0" applyFont="1" applyBorder="1" applyAlignment="1" applyProtection="1">
      <alignment horizontal="center" vertical="center"/>
      <protection hidden="1"/>
    </xf>
    <xf numFmtId="170" fontId="4" fillId="0" borderId="28" xfId="0" applyNumberFormat="1" applyFont="1" applyBorder="1" applyAlignment="1" applyProtection="1">
      <alignment horizontal="center" vertical="center"/>
      <protection hidden="1"/>
    </xf>
    <xf numFmtId="170" fontId="3" fillId="0" borderId="0" xfId="1" applyNumberFormat="1" applyFont="1" applyFill="1" applyBorder="1" applyAlignment="1" applyProtection="1">
      <alignment horizontal="center" vertical="center"/>
      <protection hidden="1"/>
    </xf>
    <xf numFmtId="1" fontId="3" fillId="0" borderId="0" xfId="0" applyNumberFormat="1" applyFont="1" applyAlignment="1" applyProtection="1">
      <alignment horizontal="center" vertical="center"/>
      <protection hidden="1"/>
    </xf>
    <xf numFmtId="166" fontId="4" fillId="0" borderId="3" xfId="0" applyNumberFormat="1" applyFont="1" applyBorder="1" applyAlignment="1" applyProtection="1">
      <alignment horizontal="center" vertical="center"/>
      <protection hidden="1"/>
    </xf>
    <xf numFmtId="166" fontId="4" fillId="0" borderId="4" xfId="1" applyNumberFormat="1" applyFont="1" applyFill="1" applyBorder="1" applyAlignment="1" applyProtection="1">
      <alignment horizontal="center" vertical="center"/>
      <protection hidden="1"/>
    </xf>
    <xf numFmtId="166" fontId="4" fillId="0" borderId="1" xfId="0" applyNumberFormat="1" applyFont="1" applyBorder="1" applyAlignment="1" applyProtection="1">
      <alignment horizontal="center" vertical="center"/>
      <protection hidden="1"/>
    </xf>
    <xf numFmtId="0" fontId="4" fillId="0" borderId="41" xfId="0" applyFont="1" applyBorder="1" applyAlignment="1" applyProtection="1">
      <alignment horizontal="center" vertical="center"/>
      <protection hidden="1"/>
    </xf>
    <xf numFmtId="170" fontId="4" fillId="0" borderId="4" xfId="0" applyNumberFormat="1" applyFont="1" applyBorder="1" applyAlignment="1" applyProtection="1">
      <alignment horizontal="center" vertical="center"/>
      <protection hidden="1"/>
    </xf>
    <xf numFmtId="166" fontId="4" fillId="0" borderId="25" xfId="0" applyNumberFormat="1" applyFont="1" applyBorder="1" applyAlignment="1" applyProtection="1">
      <alignment horizontal="center" vertical="center"/>
      <protection hidden="1"/>
    </xf>
    <xf numFmtId="166" fontId="4" fillId="0" borderId="42" xfId="0" applyNumberFormat="1" applyFont="1" applyBorder="1" applyAlignment="1" applyProtection="1">
      <alignment horizontal="center" vertical="center"/>
      <protection hidden="1"/>
    </xf>
    <xf numFmtId="166" fontId="4" fillId="0" borderId="38" xfId="0" applyNumberFormat="1" applyFont="1" applyBorder="1" applyAlignment="1" applyProtection="1">
      <alignment horizontal="center" vertical="center"/>
      <protection hidden="1"/>
    </xf>
    <xf numFmtId="166" fontId="4" fillId="0" borderId="7" xfId="0" applyNumberFormat="1" applyFont="1" applyBorder="1" applyAlignment="1" applyProtection="1">
      <alignment horizontal="center" vertical="center"/>
      <protection hidden="1"/>
    </xf>
    <xf numFmtId="166" fontId="4" fillId="0" borderId="29" xfId="0" applyNumberFormat="1" applyFont="1" applyBorder="1" applyAlignment="1" applyProtection="1">
      <alignment horizontal="center" vertical="center"/>
      <protection hidden="1"/>
    </xf>
    <xf numFmtId="166" fontId="4" fillId="0" borderId="28" xfId="0" applyNumberFormat="1" applyFont="1" applyBorder="1" applyAlignment="1" applyProtection="1">
      <alignment horizontal="center" vertical="center"/>
      <protection hidden="1"/>
    </xf>
    <xf numFmtId="166" fontId="4" fillId="0" borderId="30" xfId="0" applyNumberFormat="1" applyFont="1" applyBorder="1" applyAlignment="1" applyProtection="1">
      <alignment horizontal="center" vertical="center"/>
      <protection hidden="1"/>
    </xf>
    <xf numFmtId="0" fontId="3" fillId="0" borderId="0" xfId="1" applyNumberFormat="1" applyFont="1" applyFill="1" applyBorder="1" applyAlignment="1" applyProtection="1">
      <alignment horizontal="center" vertical="center"/>
      <protection hidden="1"/>
    </xf>
    <xf numFmtId="0" fontId="3" fillId="0" borderId="0" xfId="2" applyNumberFormat="1" applyFont="1" applyFill="1" applyBorder="1" applyAlignment="1" applyProtection="1">
      <alignment horizontal="center" vertical="center"/>
      <protection hidden="1"/>
    </xf>
    <xf numFmtId="166" fontId="3" fillId="10" borderId="12" xfId="0" applyNumberFormat="1" applyFont="1" applyFill="1" applyBorder="1" applyAlignment="1" applyProtection="1">
      <alignment horizontal="center" vertical="center"/>
      <protection hidden="1"/>
    </xf>
    <xf numFmtId="166" fontId="3" fillId="10" borderId="13" xfId="0" applyNumberFormat="1" applyFont="1" applyFill="1" applyBorder="1" applyAlignment="1" applyProtection="1">
      <alignment horizontal="center" vertical="center"/>
      <protection hidden="1"/>
    </xf>
    <xf numFmtId="166" fontId="3" fillId="0" borderId="0" xfId="1" applyNumberFormat="1" applyFont="1" applyFill="1" applyBorder="1" applyAlignment="1" applyProtection="1">
      <alignment horizontal="center" vertical="center"/>
      <protection hidden="1"/>
    </xf>
    <xf numFmtId="0" fontId="3" fillId="4" borderId="13" xfId="0" applyFont="1" applyFill="1" applyBorder="1" applyAlignment="1" applyProtection="1">
      <alignment horizontal="center" vertical="center"/>
      <protection hidden="1"/>
    </xf>
    <xf numFmtId="176" fontId="3" fillId="5" borderId="12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14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1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6" xfId="0" applyFont="1" applyBorder="1" applyAlignment="1" applyProtection="1">
      <alignment horizontal="center" vertical="center"/>
      <protection hidden="1"/>
    </xf>
    <xf numFmtId="9" fontId="4" fillId="0" borderId="6" xfId="2" applyFont="1" applyFill="1" applyBorder="1" applyAlignment="1" applyProtection="1">
      <alignment horizontal="center" vertical="center"/>
      <protection hidden="1"/>
    </xf>
    <xf numFmtId="9" fontId="4" fillId="0" borderId="36" xfId="2" applyFont="1" applyFill="1" applyBorder="1" applyAlignment="1" applyProtection="1">
      <alignment horizontal="center" vertical="center"/>
      <protection hidden="1"/>
    </xf>
    <xf numFmtId="0" fontId="4" fillId="0" borderId="36" xfId="0" applyFont="1" applyBorder="1" applyAlignment="1" applyProtection="1">
      <alignment horizontal="center" vertical="center"/>
      <protection hidden="1"/>
    </xf>
    <xf numFmtId="9" fontId="4" fillId="0" borderId="4" xfId="2" applyFont="1" applyFill="1" applyBorder="1" applyAlignment="1" applyProtection="1">
      <alignment horizontal="center" vertical="center"/>
      <protection hidden="1"/>
    </xf>
    <xf numFmtId="9" fontId="4" fillId="0" borderId="43" xfId="2" applyFont="1" applyFill="1" applyBorder="1" applyAlignment="1" applyProtection="1">
      <alignment horizontal="center" vertical="center"/>
      <protection hidden="1"/>
    </xf>
    <xf numFmtId="0" fontId="4" fillId="0" borderId="4" xfId="0" applyFont="1" applyBorder="1" applyAlignment="1" applyProtection="1">
      <alignment horizontal="center" vertical="center"/>
      <protection hidden="1"/>
    </xf>
    <xf numFmtId="0" fontId="4" fillId="0" borderId="43" xfId="0" applyFont="1" applyBorder="1" applyAlignment="1" applyProtection="1">
      <alignment horizontal="center" vertical="center"/>
      <protection hidden="1"/>
    </xf>
    <xf numFmtId="0" fontId="4" fillId="11" borderId="23" xfId="0" applyFont="1" applyFill="1" applyBorder="1" applyAlignment="1" applyProtection="1">
      <alignment horizontal="center" vertical="center"/>
      <protection hidden="1"/>
    </xf>
    <xf numFmtId="9" fontId="4" fillId="11" borderId="23" xfId="2" applyFont="1" applyFill="1" applyBorder="1" applyAlignment="1" applyProtection="1">
      <alignment horizontal="center" vertical="center"/>
      <protection hidden="1"/>
    </xf>
    <xf numFmtId="9" fontId="4" fillId="11" borderId="35" xfId="2" applyFont="1" applyFill="1" applyBorder="1" applyAlignment="1" applyProtection="1">
      <alignment horizontal="center" vertical="center"/>
      <protection hidden="1"/>
    </xf>
    <xf numFmtId="0" fontId="4" fillId="11" borderId="35" xfId="0" applyFont="1" applyFill="1" applyBorder="1" applyAlignment="1" applyProtection="1">
      <alignment horizontal="center" vertical="center"/>
      <protection hidden="1"/>
    </xf>
    <xf numFmtId="0" fontId="4" fillId="11" borderId="28" xfId="0" applyFont="1" applyFill="1" applyBorder="1" applyAlignment="1" applyProtection="1">
      <alignment horizontal="center" vertical="center"/>
      <protection hidden="1"/>
    </xf>
    <xf numFmtId="9" fontId="4" fillId="11" borderId="28" xfId="2" applyFont="1" applyFill="1" applyBorder="1" applyAlignment="1" applyProtection="1">
      <alignment horizontal="center" vertical="center"/>
      <protection hidden="1"/>
    </xf>
    <xf numFmtId="9" fontId="4" fillId="11" borderId="44" xfId="2" applyFont="1" applyFill="1" applyBorder="1" applyAlignment="1" applyProtection="1">
      <alignment horizontal="center" vertical="center"/>
      <protection hidden="1"/>
    </xf>
    <xf numFmtId="0" fontId="4" fillId="11" borderId="45" xfId="0" applyFont="1" applyFill="1" applyBorder="1" applyAlignment="1" applyProtection="1">
      <alignment horizontal="center" vertical="center"/>
      <protection hidden="1"/>
    </xf>
    <xf numFmtId="0" fontId="4" fillId="11" borderId="5" xfId="0" applyFont="1" applyFill="1" applyBorder="1" applyAlignment="1" applyProtection="1">
      <alignment horizontal="center" vertical="center"/>
      <protection hidden="1"/>
    </xf>
    <xf numFmtId="0" fontId="4" fillId="11" borderId="46" xfId="0" applyFont="1" applyFill="1" applyBorder="1" applyAlignment="1" applyProtection="1">
      <alignment horizontal="center" vertical="center"/>
      <protection hidden="1"/>
    </xf>
    <xf numFmtId="9" fontId="3" fillId="12" borderId="39" xfId="2" applyFont="1" applyFill="1" applyBorder="1" applyAlignment="1" applyProtection="1">
      <alignment horizontal="center" vertical="center"/>
      <protection hidden="1"/>
    </xf>
    <xf numFmtId="9" fontId="4" fillId="12" borderId="47" xfId="2" applyFont="1" applyFill="1" applyBorder="1" applyAlignment="1" applyProtection="1">
      <alignment horizontal="center" vertical="center"/>
      <protection hidden="1"/>
    </xf>
    <xf numFmtId="166" fontId="3" fillId="12" borderId="12" xfId="1" applyNumberFormat="1" applyFont="1" applyFill="1" applyBorder="1" applyAlignment="1" applyProtection="1">
      <alignment horizontal="center" vertical="center"/>
      <protection hidden="1"/>
    </xf>
    <xf numFmtId="166" fontId="3" fillId="12" borderId="14" xfId="1" applyNumberFormat="1" applyFont="1" applyFill="1" applyBorder="1" applyAlignment="1" applyProtection="1">
      <alignment horizontal="center" vertical="center"/>
      <protection hidden="1"/>
    </xf>
    <xf numFmtId="166" fontId="3" fillId="12" borderId="13" xfId="1" applyNumberFormat="1" applyFont="1" applyFill="1" applyBorder="1" applyAlignment="1" applyProtection="1">
      <alignment horizontal="center" vertical="center"/>
      <protection hidden="1"/>
    </xf>
    <xf numFmtId="0" fontId="4" fillId="0" borderId="23" xfId="0" applyFont="1" applyBorder="1" applyAlignment="1" applyProtection="1">
      <alignment horizontal="center" vertical="center"/>
      <protection hidden="1"/>
    </xf>
    <xf numFmtId="9" fontId="4" fillId="0" borderId="23" xfId="2" applyFont="1" applyFill="1" applyBorder="1" applyAlignment="1" applyProtection="1">
      <alignment horizontal="center" vertical="center"/>
      <protection hidden="1"/>
    </xf>
    <xf numFmtId="9" fontId="4" fillId="0" borderId="25" xfId="2" applyFont="1" applyFill="1" applyBorder="1" applyAlignment="1" applyProtection="1">
      <alignment horizontal="center" vertical="center"/>
      <protection hidden="1"/>
    </xf>
    <xf numFmtId="0" fontId="4" fillId="0" borderId="35" xfId="0" applyFont="1" applyBorder="1" applyAlignment="1" applyProtection="1">
      <alignment horizontal="center" vertical="center"/>
      <protection hidden="1"/>
    </xf>
    <xf numFmtId="0" fontId="4" fillId="0" borderId="38" xfId="0" applyFont="1" applyBorder="1" applyAlignment="1" applyProtection="1">
      <alignment horizontal="center" vertical="center"/>
      <protection hidden="1"/>
    </xf>
    <xf numFmtId="9" fontId="4" fillId="0" borderId="38" xfId="2" applyFont="1" applyFill="1" applyBorder="1" applyAlignment="1" applyProtection="1">
      <alignment horizontal="center" vertical="center"/>
      <protection hidden="1"/>
    </xf>
    <xf numFmtId="9" fontId="4" fillId="0" borderId="7" xfId="2" applyFont="1" applyFill="1" applyBorder="1" applyAlignment="1" applyProtection="1">
      <alignment horizontal="center" vertical="center"/>
      <protection hidden="1"/>
    </xf>
    <xf numFmtId="0" fontId="4" fillId="0" borderId="48" xfId="0" applyFont="1" applyBorder="1" applyAlignment="1" applyProtection="1">
      <alignment horizontal="center" vertical="center"/>
      <protection hidden="1"/>
    </xf>
    <xf numFmtId="0" fontId="4" fillId="0" borderId="28" xfId="0" applyFont="1" applyBorder="1" applyAlignment="1" applyProtection="1">
      <alignment horizontal="center" vertical="center"/>
      <protection hidden="1"/>
    </xf>
    <xf numFmtId="9" fontId="4" fillId="0" borderId="28" xfId="2" applyFont="1" applyFill="1" applyBorder="1" applyAlignment="1" applyProtection="1">
      <alignment horizontal="center" vertical="center"/>
      <protection hidden="1"/>
    </xf>
    <xf numFmtId="9" fontId="4" fillId="0" borderId="30" xfId="2" applyFont="1" applyFill="1" applyBorder="1" applyAlignment="1" applyProtection="1">
      <alignment horizontal="center" vertical="center"/>
      <protection hidden="1"/>
    </xf>
    <xf numFmtId="0" fontId="4" fillId="0" borderId="44" xfId="0" applyFont="1" applyBorder="1" applyAlignment="1" applyProtection="1">
      <alignment horizontal="center" vertical="center"/>
      <protection hidden="1"/>
    </xf>
    <xf numFmtId="9" fontId="3" fillId="0" borderId="0" xfId="2" applyFont="1" applyFill="1" applyBorder="1" applyAlignment="1" applyProtection="1">
      <alignment horizontal="center" vertical="center"/>
      <protection hidden="1"/>
    </xf>
    <xf numFmtId="9" fontId="4" fillId="0" borderId="0" xfId="2" applyFont="1" applyFill="1" applyBorder="1" applyAlignment="1" applyProtection="1">
      <alignment horizontal="center" vertical="center"/>
      <protection hidden="1"/>
    </xf>
    <xf numFmtId="0" fontId="4" fillId="0" borderId="3" xfId="0" applyFont="1" applyBorder="1" applyAlignment="1" applyProtection="1">
      <alignment horizontal="center" vertical="center"/>
      <protection hidden="1"/>
    </xf>
    <xf numFmtId="9" fontId="4" fillId="0" borderId="35" xfId="2" applyFont="1" applyFill="1" applyBorder="1" applyAlignment="1" applyProtection="1">
      <alignment horizontal="center" vertical="center"/>
      <protection hidden="1"/>
    </xf>
    <xf numFmtId="9" fontId="4" fillId="0" borderId="48" xfId="2" applyFont="1" applyFill="1" applyBorder="1" applyAlignment="1" applyProtection="1">
      <alignment horizontal="center" vertical="center"/>
      <protection hidden="1"/>
    </xf>
    <xf numFmtId="9" fontId="4" fillId="0" borderId="44" xfId="2" applyFont="1" applyFill="1" applyBorder="1" applyAlignment="1" applyProtection="1">
      <alignment horizontal="center" vertical="center"/>
      <protection hidden="1"/>
    </xf>
    <xf numFmtId="0" fontId="4" fillId="0" borderId="0" xfId="2" applyNumberFormat="1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applyFont="1" applyAlignment="1">
      <alignment horizontal="center" vertical="center"/>
    </xf>
    <xf numFmtId="0" fontId="3" fillId="5" borderId="33" xfId="0" applyFont="1" applyFill="1" applyBorder="1" applyAlignment="1" applyProtection="1">
      <alignment horizontal="center" vertical="center"/>
      <protection hidden="1"/>
    </xf>
    <xf numFmtId="0" fontId="3" fillId="5" borderId="39" xfId="0" applyFont="1" applyFill="1" applyBorder="1" applyAlignment="1" applyProtection="1">
      <alignment horizontal="center" vertical="center" wrapText="1"/>
      <protection hidden="1"/>
    </xf>
    <xf numFmtId="1" fontId="3" fillId="5" borderId="47" xfId="0" applyNumberFormat="1" applyFont="1" applyFill="1" applyBorder="1" applyAlignment="1" applyProtection="1">
      <alignment horizontal="center" vertical="center" wrapText="1"/>
      <protection hidden="1"/>
    </xf>
    <xf numFmtId="170" fontId="4" fillId="0" borderId="16" xfId="1" applyNumberFormat="1" applyFont="1" applyFill="1" applyBorder="1" applyAlignment="1" applyProtection="1">
      <alignment horizontal="center" vertical="center"/>
      <protection hidden="1"/>
    </xf>
    <xf numFmtId="170" fontId="4" fillId="0" borderId="36" xfId="1" applyNumberFormat="1" applyFont="1" applyFill="1" applyBorder="1" applyAlignment="1" applyProtection="1">
      <alignment horizontal="center" vertical="center"/>
      <protection hidden="1"/>
    </xf>
    <xf numFmtId="166" fontId="4" fillId="0" borderId="3" xfId="1" applyNumberFormat="1" applyFont="1" applyFill="1" applyBorder="1" applyAlignment="1" applyProtection="1">
      <alignment horizontal="center" vertical="center"/>
      <protection hidden="1"/>
    </xf>
    <xf numFmtId="166" fontId="4" fillId="0" borderId="18" xfId="1" applyNumberFormat="1" applyFont="1" applyFill="1" applyBorder="1" applyAlignment="1" applyProtection="1">
      <alignment horizontal="center" vertical="center"/>
      <protection hidden="1"/>
    </xf>
    <xf numFmtId="170" fontId="4" fillId="0" borderId="41" xfId="1" applyNumberFormat="1" applyFont="1" applyFill="1" applyBorder="1" applyAlignment="1" applyProtection="1">
      <alignment horizontal="center" vertical="center"/>
      <protection hidden="1"/>
    </xf>
    <xf numFmtId="170" fontId="4" fillId="0" borderId="43" xfId="1" applyNumberFormat="1" applyFont="1" applyFill="1" applyBorder="1" applyAlignment="1" applyProtection="1">
      <alignment horizontal="center" vertical="center"/>
      <protection hidden="1"/>
    </xf>
    <xf numFmtId="166" fontId="4" fillId="0" borderId="1" xfId="1" applyNumberFormat="1" applyFont="1" applyFill="1" applyBorder="1" applyAlignment="1" applyProtection="1">
      <alignment horizontal="center" vertical="center"/>
      <protection hidden="1"/>
    </xf>
    <xf numFmtId="170" fontId="4" fillId="11" borderId="22" xfId="1" applyNumberFormat="1" applyFont="1" applyFill="1" applyBorder="1" applyAlignment="1" applyProtection="1">
      <alignment horizontal="center" vertical="center"/>
      <protection hidden="1"/>
    </xf>
    <xf numFmtId="170" fontId="4" fillId="11" borderId="35" xfId="1" applyNumberFormat="1" applyFont="1" applyFill="1" applyBorder="1" applyAlignment="1" applyProtection="1">
      <alignment horizontal="center" vertical="center"/>
      <protection hidden="1"/>
    </xf>
    <xf numFmtId="166" fontId="4" fillId="11" borderId="24" xfId="1" applyNumberFormat="1" applyFont="1" applyFill="1" applyBorder="1" applyAlignment="1" applyProtection="1">
      <alignment horizontal="center" vertical="center"/>
      <protection hidden="1"/>
    </xf>
    <xf numFmtId="170" fontId="4" fillId="11" borderId="23" xfId="1" applyNumberFormat="1" applyFont="1" applyFill="1" applyBorder="1" applyAlignment="1" applyProtection="1">
      <alignment horizontal="center" vertical="center"/>
      <protection hidden="1"/>
    </xf>
    <xf numFmtId="170" fontId="4" fillId="11" borderId="27" xfId="1" applyNumberFormat="1" applyFont="1" applyFill="1" applyBorder="1" applyAlignment="1" applyProtection="1">
      <alignment horizontal="center" vertical="center"/>
      <protection hidden="1"/>
    </xf>
    <xf numFmtId="170" fontId="4" fillId="11" borderId="44" xfId="1" applyNumberFormat="1" applyFont="1" applyFill="1" applyBorder="1" applyAlignment="1" applyProtection="1">
      <alignment horizontal="center" vertical="center"/>
      <protection hidden="1"/>
    </xf>
    <xf numFmtId="166" fontId="4" fillId="11" borderId="29" xfId="1" applyNumberFormat="1" applyFont="1" applyFill="1" applyBorder="1" applyAlignment="1" applyProtection="1">
      <alignment horizontal="center" vertical="center"/>
      <protection hidden="1"/>
    </xf>
    <xf numFmtId="170" fontId="4" fillId="11" borderId="28" xfId="1" applyNumberFormat="1" applyFont="1" applyFill="1" applyBorder="1" applyAlignment="1" applyProtection="1">
      <alignment horizontal="center" vertical="center"/>
      <protection hidden="1"/>
    </xf>
    <xf numFmtId="170" fontId="3" fillId="12" borderId="32" xfId="0" applyNumberFormat="1" applyFont="1" applyFill="1" applyBorder="1" applyAlignment="1" applyProtection="1">
      <alignment horizontal="center" vertical="center"/>
      <protection hidden="1"/>
    </xf>
    <xf numFmtId="170" fontId="3" fillId="12" borderId="40" xfId="0" applyNumberFormat="1" applyFont="1" applyFill="1" applyBorder="1" applyAlignment="1" applyProtection="1">
      <alignment horizontal="center" vertical="center"/>
      <protection hidden="1"/>
    </xf>
    <xf numFmtId="166" fontId="3" fillId="12" borderId="33" xfId="0" applyNumberFormat="1" applyFont="1" applyFill="1" applyBorder="1" applyAlignment="1" applyProtection="1">
      <alignment horizontal="center" vertical="center"/>
      <protection hidden="1"/>
    </xf>
    <xf numFmtId="166" fontId="3" fillId="12" borderId="39" xfId="0" applyNumberFormat="1" applyFont="1" applyFill="1" applyBorder="1" applyAlignment="1" applyProtection="1">
      <alignment horizontal="center" vertical="center"/>
      <protection hidden="1"/>
    </xf>
    <xf numFmtId="166" fontId="3" fillId="12" borderId="47" xfId="0" applyNumberFormat="1" applyFont="1" applyFill="1" applyBorder="1" applyAlignment="1" applyProtection="1">
      <alignment horizontal="center" vertical="center"/>
      <protection hidden="1"/>
    </xf>
    <xf numFmtId="170" fontId="3" fillId="12" borderId="39" xfId="0" applyNumberFormat="1" applyFont="1" applyFill="1" applyBorder="1" applyAlignment="1" applyProtection="1">
      <alignment horizontal="center" vertical="center"/>
      <protection hidden="1"/>
    </xf>
    <xf numFmtId="166" fontId="3" fillId="5" borderId="33" xfId="0" applyNumberFormat="1" applyFont="1" applyFill="1" applyBorder="1" applyAlignment="1" applyProtection="1">
      <alignment horizontal="center" vertical="center"/>
      <protection hidden="1"/>
    </xf>
    <xf numFmtId="166" fontId="3" fillId="5" borderId="39" xfId="0" applyNumberFormat="1" applyFont="1" applyFill="1" applyBorder="1" applyAlignment="1" applyProtection="1">
      <alignment horizontal="center" vertical="center" wrapText="1"/>
      <protection hidden="1"/>
    </xf>
    <xf numFmtId="166" fontId="3" fillId="5" borderId="47" xfId="0" applyNumberFormat="1" applyFont="1" applyFill="1" applyBorder="1" applyAlignment="1" applyProtection="1">
      <alignment horizontal="center" vertical="center" wrapText="1"/>
      <protection hidden="1"/>
    </xf>
    <xf numFmtId="170" fontId="4" fillId="0" borderId="22" xfId="1" applyNumberFormat="1" applyFont="1" applyFill="1" applyBorder="1" applyAlignment="1" applyProtection="1">
      <alignment horizontal="center" vertical="center"/>
      <protection hidden="1"/>
    </xf>
    <xf numFmtId="170" fontId="4" fillId="0" borderId="23" xfId="1" applyNumberFormat="1" applyFont="1" applyFill="1" applyBorder="1" applyAlignment="1" applyProtection="1">
      <alignment horizontal="center" vertical="center"/>
      <protection hidden="1"/>
    </xf>
    <xf numFmtId="170" fontId="4" fillId="0" borderId="32" xfId="1" applyNumberFormat="1" applyFont="1" applyFill="1" applyBorder="1" applyAlignment="1" applyProtection="1">
      <alignment horizontal="center" vertical="center"/>
      <protection hidden="1"/>
    </xf>
    <xf numFmtId="170" fontId="4" fillId="0" borderId="39" xfId="1" applyNumberFormat="1" applyFont="1" applyFill="1" applyBorder="1" applyAlignment="1" applyProtection="1">
      <alignment horizontal="center" vertical="center"/>
      <protection hidden="1"/>
    </xf>
    <xf numFmtId="0" fontId="3" fillId="5" borderId="49" xfId="0" applyFont="1" applyFill="1" applyBorder="1" applyAlignment="1" applyProtection="1">
      <alignment horizontal="center" vertical="center"/>
      <protection hidden="1"/>
    </xf>
    <xf numFmtId="1" fontId="3" fillId="5" borderId="50" xfId="0" applyNumberFormat="1" applyFont="1" applyFill="1" applyBorder="1" applyAlignment="1" applyProtection="1">
      <alignment horizontal="center" vertical="center" wrapText="1"/>
      <protection hidden="1"/>
    </xf>
    <xf numFmtId="166" fontId="4" fillId="0" borderId="41" xfId="1" applyNumberFormat="1" applyFont="1" applyFill="1" applyBorder="1" applyAlignment="1" applyProtection="1">
      <alignment horizontal="center" vertical="center"/>
      <protection hidden="1"/>
    </xf>
    <xf numFmtId="166" fontId="4" fillId="0" borderId="43" xfId="1" applyNumberFormat="1" applyFont="1" applyFill="1" applyBorder="1" applyAlignment="1" applyProtection="1">
      <alignment horizontal="center" vertical="center"/>
      <protection hidden="1"/>
    </xf>
    <xf numFmtId="166" fontId="4" fillId="0" borderId="51" xfId="0" applyNumberFormat="1" applyFont="1" applyBorder="1" applyAlignment="1" applyProtection="1">
      <alignment horizontal="center" vertical="center"/>
      <protection hidden="1"/>
    </xf>
    <xf numFmtId="166" fontId="4" fillId="0" borderId="5" xfId="1" applyNumberFormat="1" applyFont="1" applyFill="1" applyBorder="1" applyAlignment="1" applyProtection="1">
      <alignment horizontal="center" vertical="center"/>
      <protection hidden="1"/>
    </xf>
    <xf numFmtId="166" fontId="4" fillId="0" borderId="52" xfId="0" applyNumberFormat="1" applyFont="1" applyBorder="1" applyAlignment="1" applyProtection="1">
      <alignment horizontal="center" vertical="center"/>
      <protection hidden="1"/>
    </xf>
    <xf numFmtId="0" fontId="3" fillId="11" borderId="53" xfId="0" applyFont="1" applyFill="1" applyBorder="1" applyAlignment="1" applyProtection="1">
      <alignment horizontal="center" vertical="center"/>
      <protection hidden="1"/>
    </xf>
    <xf numFmtId="166" fontId="4" fillId="11" borderId="35" xfId="1" applyNumberFormat="1" applyFont="1" applyFill="1" applyBorder="1" applyAlignment="1" applyProtection="1">
      <alignment horizontal="center" vertical="center"/>
      <protection hidden="1"/>
    </xf>
    <xf numFmtId="0" fontId="3" fillId="12" borderId="54" xfId="0" applyFont="1" applyFill="1" applyBorder="1" applyAlignment="1" applyProtection="1">
      <alignment horizontal="center" vertical="center"/>
      <protection hidden="1"/>
    </xf>
    <xf numFmtId="166" fontId="3" fillId="12" borderId="40" xfId="0" applyNumberFormat="1" applyFont="1" applyFill="1" applyBorder="1" applyAlignment="1" applyProtection="1">
      <alignment horizontal="center" vertical="center"/>
      <protection hidden="1"/>
    </xf>
    <xf numFmtId="0" fontId="3" fillId="10" borderId="32" xfId="0" applyFont="1" applyFill="1" applyBorder="1" applyAlignment="1" applyProtection="1">
      <alignment horizontal="center" vertical="center"/>
      <protection hidden="1"/>
    </xf>
    <xf numFmtId="166" fontId="3" fillId="10" borderId="32" xfId="0" applyNumberFormat="1" applyFont="1" applyFill="1" applyBorder="1" applyAlignment="1" applyProtection="1">
      <alignment horizontal="center" vertical="center"/>
      <protection hidden="1"/>
    </xf>
    <xf numFmtId="166" fontId="3" fillId="10" borderId="40" xfId="0" applyNumberFormat="1" applyFont="1" applyFill="1" applyBorder="1" applyAlignment="1" applyProtection="1">
      <alignment horizontal="center" vertical="center"/>
      <protection hidden="1"/>
    </xf>
    <xf numFmtId="0" fontId="3" fillId="4" borderId="32" xfId="0" applyFont="1" applyFill="1" applyBorder="1" applyAlignment="1" applyProtection="1">
      <alignment horizontal="center" vertical="center" wrapText="1"/>
      <protection hidden="1"/>
    </xf>
    <xf numFmtId="0" fontId="3" fillId="4" borderId="39" xfId="0" applyFont="1" applyFill="1" applyBorder="1" applyAlignment="1" applyProtection="1">
      <alignment horizontal="center" vertical="center" wrapText="1"/>
      <protection hidden="1"/>
    </xf>
    <xf numFmtId="166" fontId="4" fillId="0" borderId="35" xfId="1" applyNumberFormat="1" applyFont="1" applyFill="1" applyBorder="1" applyAlignment="1" applyProtection="1">
      <alignment horizontal="center" vertical="center"/>
      <protection hidden="1"/>
    </xf>
    <xf numFmtId="170" fontId="4" fillId="0" borderId="35" xfId="1" applyNumberFormat="1" applyFont="1" applyFill="1" applyBorder="1" applyAlignment="1" applyProtection="1">
      <alignment horizontal="center" vertical="center"/>
      <protection hidden="1"/>
    </xf>
    <xf numFmtId="166" fontId="4" fillId="0" borderId="45" xfId="1" applyNumberFormat="1" applyFont="1" applyFill="1" applyBorder="1" applyAlignment="1" applyProtection="1">
      <alignment horizontal="center" vertical="center"/>
      <protection hidden="1"/>
    </xf>
    <xf numFmtId="166" fontId="4" fillId="0" borderId="46" xfId="1" applyNumberFormat="1" applyFont="1" applyFill="1" applyBorder="1" applyAlignment="1" applyProtection="1">
      <alignment horizontal="center" vertical="center"/>
      <protection hidden="1"/>
    </xf>
    <xf numFmtId="170" fontId="4" fillId="0" borderId="45" xfId="1" applyNumberFormat="1" applyFont="1" applyFill="1" applyBorder="1" applyAlignment="1" applyProtection="1">
      <alignment horizontal="center" vertical="center"/>
      <protection hidden="1"/>
    </xf>
    <xf numFmtId="170" fontId="4" fillId="0" borderId="46" xfId="1" applyNumberFormat="1" applyFont="1" applyFill="1" applyBorder="1" applyAlignment="1" applyProtection="1">
      <alignment horizontal="center" vertical="center"/>
      <protection hidden="1"/>
    </xf>
    <xf numFmtId="0" fontId="3" fillId="12" borderId="9" xfId="0" applyFont="1" applyFill="1" applyBorder="1" applyAlignment="1" applyProtection="1">
      <alignment horizontal="center" vertical="center"/>
      <protection hidden="1"/>
    </xf>
    <xf numFmtId="166" fontId="3" fillId="12" borderId="12" xfId="0" applyNumberFormat="1" applyFont="1" applyFill="1" applyBorder="1" applyAlignment="1" applyProtection="1">
      <alignment horizontal="center" vertical="center"/>
      <protection hidden="1"/>
    </xf>
    <xf numFmtId="166" fontId="3" fillId="12" borderId="13" xfId="0" applyNumberFormat="1" applyFont="1" applyFill="1" applyBorder="1" applyAlignment="1" applyProtection="1">
      <alignment horizontal="center" vertical="center"/>
      <protection hidden="1"/>
    </xf>
    <xf numFmtId="166" fontId="3" fillId="12" borderId="49" xfId="0" applyNumberFormat="1" applyFont="1" applyFill="1" applyBorder="1" applyAlignment="1" applyProtection="1">
      <alignment horizontal="center" vertical="center"/>
      <protection hidden="1"/>
    </xf>
    <xf numFmtId="166" fontId="3" fillId="12" borderId="14" xfId="0" applyNumberFormat="1" applyFont="1" applyFill="1" applyBorder="1" applyAlignment="1" applyProtection="1">
      <alignment horizontal="center" vertical="center"/>
      <protection hidden="1"/>
    </xf>
    <xf numFmtId="166" fontId="3" fillId="12" borderId="50" xfId="0" applyNumberFormat="1" applyFont="1" applyFill="1" applyBorder="1" applyAlignment="1" applyProtection="1">
      <alignment horizontal="center" vertical="center"/>
      <protection hidden="1"/>
    </xf>
    <xf numFmtId="170" fontId="3" fillId="12" borderId="12" xfId="0" applyNumberFormat="1" applyFont="1" applyFill="1" applyBorder="1" applyAlignment="1" applyProtection="1">
      <alignment horizontal="center" vertical="center"/>
      <protection hidden="1"/>
    </xf>
    <xf numFmtId="170" fontId="3" fillId="12" borderId="13" xfId="0" applyNumberFormat="1" applyFont="1" applyFill="1" applyBorder="1" applyAlignment="1" applyProtection="1">
      <alignment horizontal="center" vertical="center"/>
      <protection hidden="1"/>
    </xf>
    <xf numFmtId="0" fontId="4" fillId="0" borderId="3" xfId="1" applyNumberFormat="1" applyFont="1" applyFill="1" applyBorder="1" applyAlignment="1" applyProtection="1">
      <alignment horizontal="center" vertical="center"/>
      <protection hidden="1"/>
    </xf>
    <xf numFmtId="0" fontId="4" fillId="0" borderId="4" xfId="1" applyNumberFormat="1" applyFont="1" applyFill="1" applyBorder="1" applyAlignment="1" applyProtection="1">
      <alignment horizontal="center" vertical="center"/>
      <protection hidden="1"/>
    </xf>
    <xf numFmtId="0" fontId="4" fillId="0" borderId="43" xfId="1" applyNumberFormat="1" applyFont="1" applyFill="1" applyBorder="1" applyAlignment="1" applyProtection="1">
      <alignment horizontal="center" vertical="center"/>
      <protection hidden="1"/>
    </xf>
    <xf numFmtId="0" fontId="4" fillId="0" borderId="42" xfId="0" applyFont="1" applyBorder="1" applyAlignment="1" applyProtection="1">
      <alignment horizontal="center" vertical="center"/>
      <protection hidden="1"/>
    </xf>
    <xf numFmtId="0" fontId="4" fillId="0" borderId="51" xfId="0" applyFont="1" applyBorder="1" applyAlignment="1" applyProtection="1">
      <alignment horizontal="center" vertical="center"/>
      <protection hidden="1"/>
    </xf>
    <xf numFmtId="0" fontId="4" fillId="0" borderId="5" xfId="0" applyFont="1" applyBorder="1" applyAlignment="1" applyProtection="1">
      <alignment horizontal="center" vertical="center"/>
      <protection hidden="1"/>
    </xf>
    <xf numFmtId="0" fontId="4" fillId="0" borderId="46" xfId="0" applyFont="1" applyBorder="1" applyAlignment="1" applyProtection="1">
      <alignment horizontal="center" vertical="center"/>
      <protection hidden="1"/>
    </xf>
    <xf numFmtId="177" fontId="3" fillId="5" borderId="12" xfId="0" applyNumberFormat="1" applyFont="1" applyFill="1" applyBorder="1" applyAlignment="1" applyProtection="1">
      <alignment horizontal="center" vertical="center" wrapText="1"/>
      <protection hidden="1"/>
    </xf>
    <xf numFmtId="9" fontId="4" fillId="0" borderId="18" xfId="2" applyFont="1" applyFill="1" applyBorder="1" applyAlignment="1" applyProtection="1">
      <alignment horizontal="center" vertical="center"/>
      <protection hidden="1"/>
    </xf>
    <xf numFmtId="9" fontId="4" fillId="0" borderId="1" xfId="2" applyFont="1" applyFill="1" applyBorder="1" applyAlignment="1" applyProtection="1">
      <alignment horizontal="center" vertical="center"/>
      <protection hidden="1"/>
    </xf>
    <xf numFmtId="9" fontId="4" fillId="11" borderId="25" xfId="2" applyFont="1" applyFill="1" applyBorder="1" applyAlignment="1" applyProtection="1">
      <alignment horizontal="center" vertical="center"/>
      <protection hidden="1"/>
    </xf>
    <xf numFmtId="9" fontId="4" fillId="11" borderId="30" xfId="2" applyFont="1" applyFill="1" applyBorder="1" applyAlignment="1" applyProtection="1">
      <alignment horizontal="center" vertical="center"/>
      <protection hidden="1"/>
    </xf>
    <xf numFmtId="0" fontId="4" fillId="11" borderId="44" xfId="0" applyFont="1" applyFill="1" applyBorder="1" applyAlignment="1" applyProtection="1">
      <alignment horizontal="center" vertical="center"/>
      <protection hidden="1"/>
    </xf>
    <xf numFmtId="9" fontId="3" fillId="12" borderId="47" xfId="2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177" fontId="3" fillId="5" borderId="14" xfId="0" applyNumberFormat="1" applyFont="1" applyFill="1" applyBorder="1" applyAlignment="1" applyProtection="1">
      <alignment horizontal="center" vertical="center"/>
      <protection hidden="1"/>
    </xf>
    <xf numFmtId="0" fontId="4" fillId="11" borderId="24" xfId="0" applyFont="1" applyFill="1" applyBorder="1" applyAlignment="1" applyProtection="1">
      <alignment horizontal="center" vertical="center"/>
      <protection hidden="1"/>
    </xf>
    <xf numFmtId="176" fontId="3" fillId="5" borderId="32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39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39" xfId="0" applyNumberFormat="1" applyFont="1" applyFill="1" applyBorder="1" applyAlignment="1" applyProtection="1">
      <alignment horizontal="center" vertical="center"/>
      <protection hidden="1"/>
    </xf>
    <xf numFmtId="177" fontId="3" fillId="5" borderId="40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24" xfId="0" applyFont="1" applyBorder="1" applyAlignment="1" applyProtection="1">
      <alignment horizontal="center" vertical="center"/>
      <protection hidden="1"/>
    </xf>
    <xf numFmtId="0" fontId="7" fillId="7" borderId="0" xfId="1" applyNumberFormat="1" applyFont="1" applyFill="1" applyBorder="1" applyAlignment="1" applyProtection="1">
      <alignment horizontal="center" vertical="center"/>
      <protection locked="0"/>
    </xf>
    <xf numFmtId="0" fontId="3" fillId="7" borderId="0" xfId="0" applyFont="1" applyFill="1" applyAlignment="1" applyProtection="1">
      <alignment horizontal="center" vertical="center"/>
      <protection locked="0"/>
    </xf>
    <xf numFmtId="0" fontId="4" fillId="7" borderId="0" xfId="1" applyNumberFormat="1" applyFont="1" applyFill="1" applyAlignment="1" applyProtection="1">
      <alignment horizontal="center" vertical="center"/>
      <protection locked="0"/>
    </xf>
    <xf numFmtId="166" fontId="4" fillId="7" borderId="0" xfId="1" applyNumberFormat="1" applyFont="1" applyFill="1" applyAlignment="1" applyProtection="1">
      <alignment horizontal="center" vertical="center"/>
      <protection locked="0"/>
    </xf>
    <xf numFmtId="170" fontId="13" fillId="7" borderId="0" xfId="0" applyNumberFormat="1" applyFont="1" applyFill="1" applyAlignment="1" applyProtection="1">
      <alignment horizontal="center"/>
      <protection locked="0"/>
    </xf>
    <xf numFmtId="170" fontId="3" fillId="7" borderId="0" xfId="0" applyNumberFormat="1" applyFont="1" applyFill="1" applyAlignment="1" applyProtection="1">
      <alignment horizontal="center" vertical="center"/>
      <protection locked="0"/>
    </xf>
    <xf numFmtId="0" fontId="14" fillId="7" borderId="0" xfId="0" applyFont="1" applyFill="1" applyAlignment="1" applyProtection="1">
      <alignment horizontal="center" vertical="center"/>
      <protection locked="0"/>
    </xf>
    <xf numFmtId="0" fontId="10" fillId="7" borderId="8" xfId="0" applyFont="1" applyFill="1" applyBorder="1" applyAlignment="1" applyProtection="1">
      <alignment horizontal="center" vertical="center"/>
      <protection locked="0"/>
    </xf>
    <xf numFmtId="173" fontId="7" fillId="7" borderId="0" xfId="0" applyNumberFormat="1" applyFont="1" applyFill="1" applyAlignment="1" applyProtection="1">
      <alignment horizontal="center" vertical="center" wrapText="1"/>
      <protection locked="0"/>
    </xf>
    <xf numFmtId="170" fontId="7" fillId="7" borderId="0" xfId="0" applyNumberFormat="1" applyFont="1" applyFill="1" applyAlignment="1" applyProtection="1">
      <alignment horizontal="center" vertical="center"/>
      <protection hidden="1"/>
    </xf>
    <xf numFmtId="166" fontId="4" fillId="0" borderId="38" xfId="1" applyNumberFormat="1" applyFont="1" applyFill="1" applyBorder="1" applyAlignment="1" applyProtection="1">
      <alignment horizontal="center" vertical="center"/>
      <protection hidden="1"/>
    </xf>
    <xf numFmtId="0" fontId="4" fillId="0" borderId="45" xfId="0" applyFont="1" applyBorder="1" applyAlignment="1" applyProtection="1">
      <alignment horizontal="center" vertical="center"/>
      <protection hidden="1"/>
    </xf>
    <xf numFmtId="170" fontId="4" fillId="0" borderId="5" xfId="0" applyNumberFormat="1" applyFont="1" applyBorder="1" applyAlignment="1" applyProtection="1">
      <alignment horizontal="center" vertical="center"/>
      <protection hidden="1"/>
    </xf>
    <xf numFmtId="9" fontId="4" fillId="0" borderId="5" xfId="2" applyFont="1" applyFill="1" applyBorder="1" applyAlignment="1" applyProtection="1">
      <alignment horizontal="center" vertical="center"/>
      <protection hidden="1"/>
    </xf>
    <xf numFmtId="9" fontId="4" fillId="0" borderId="46" xfId="2" applyFont="1" applyFill="1" applyBorder="1" applyAlignment="1" applyProtection="1">
      <alignment horizontal="center" vertical="center"/>
      <protection hidden="1"/>
    </xf>
    <xf numFmtId="166" fontId="4" fillId="0" borderId="51" xfId="1" applyNumberFormat="1" applyFont="1" applyFill="1" applyBorder="1" applyAlignment="1" applyProtection="1">
      <alignment horizontal="center" vertical="center"/>
      <protection hidden="1"/>
    </xf>
    <xf numFmtId="170" fontId="4" fillId="0" borderId="5" xfId="1" applyNumberFormat="1" applyFont="1" applyFill="1" applyBorder="1" applyAlignment="1" applyProtection="1">
      <alignment horizontal="center" vertical="center"/>
      <protection hidden="1"/>
    </xf>
    <xf numFmtId="0" fontId="4" fillId="0" borderId="51" xfId="1" applyNumberFormat="1" applyFont="1" applyFill="1" applyBorder="1" applyAlignment="1" applyProtection="1">
      <alignment horizontal="center" vertical="center"/>
      <protection hidden="1"/>
    </xf>
    <xf numFmtId="0" fontId="4" fillId="0" borderId="5" xfId="1" applyNumberFormat="1" applyFont="1" applyFill="1" applyBorder="1" applyAlignment="1" applyProtection="1">
      <alignment horizontal="center" vertical="center"/>
      <protection hidden="1"/>
    </xf>
    <xf numFmtId="0" fontId="4" fillId="0" borderId="46" xfId="1" applyNumberFormat="1" applyFont="1" applyFill="1" applyBorder="1" applyAlignment="1" applyProtection="1">
      <alignment horizontal="center" vertical="center"/>
      <protection hidden="1"/>
    </xf>
    <xf numFmtId="9" fontId="4" fillId="0" borderId="52" xfId="2" applyFont="1" applyFill="1" applyBorder="1" applyAlignment="1" applyProtection="1">
      <alignment horizontal="center" vertical="center"/>
      <protection hidden="1"/>
    </xf>
    <xf numFmtId="0" fontId="4" fillId="14" borderId="0" xfId="0" applyFont="1" applyFill="1" applyAlignment="1" applyProtection="1">
      <alignment vertical="center"/>
      <protection locked="0"/>
    </xf>
    <xf numFmtId="0" fontId="4" fillId="14" borderId="0" xfId="0" applyFont="1" applyFill="1" applyAlignment="1" applyProtection="1">
      <alignment horizontal="center" vertical="center"/>
      <protection locked="0"/>
    </xf>
    <xf numFmtId="174" fontId="7" fillId="7" borderId="0" xfId="0" applyNumberFormat="1" applyFont="1" applyFill="1" applyAlignment="1" applyProtection="1">
      <alignment horizontal="center" vertical="center"/>
      <protection locked="0"/>
    </xf>
    <xf numFmtId="9" fontId="4" fillId="7" borderId="0" xfId="0" applyNumberFormat="1" applyFont="1" applyFill="1" applyAlignment="1" applyProtection="1">
      <alignment horizontal="center" vertical="center"/>
      <protection locked="0"/>
    </xf>
    <xf numFmtId="173" fontId="4" fillId="14" borderId="0" xfId="0" applyNumberFormat="1" applyFont="1" applyFill="1" applyAlignment="1" applyProtection="1">
      <alignment horizontal="center" vertical="center" wrapText="1"/>
      <protection locked="0"/>
    </xf>
    <xf numFmtId="170" fontId="4" fillId="14" borderId="0" xfId="0" applyNumberFormat="1" applyFont="1" applyFill="1" applyAlignment="1" applyProtection="1">
      <alignment horizontal="center" vertical="center"/>
      <protection hidden="1"/>
    </xf>
    <xf numFmtId="170" fontId="4" fillId="14" borderId="0" xfId="0" applyNumberFormat="1" applyFont="1" applyFill="1" applyAlignment="1">
      <alignment horizontal="center" vertical="center"/>
    </xf>
    <xf numFmtId="0" fontId="15" fillId="7" borderId="0" xfId="0" applyFont="1" applyFill="1" applyAlignment="1">
      <alignment horizontal="center"/>
    </xf>
    <xf numFmtId="0" fontId="16" fillId="7" borderId="0" xfId="0" applyFont="1" applyFill="1" applyAlignment="1">
      <alignment horizontal="center"/>
    </xf>
    <xf numFmtId="175" fontId="4" fillId="7" borderId="0" xfId="0" applyNumberFormat="1" applyFont="1" applyFill="1" applyAlignment="1" applyProtection="1">
      <alignment horizontal="center" vertical="center" wrapText="1"/>
      <protection locked="0"/>
    </xf>
    <xf numFmtId="2" fontId="17" fillId="7" borderId="0" xfId="0" applyNumberFormat="1" applyFont="1" applyFill="1" applyAlignment="1" applyProtection="1">
      <alignment horizontal="center"/>
      <protection locked="0"/>
    </xf>
    <xf numFmtId="166" fontId="17" fillId="7" borderId="0" xfId="0" applyNumberFormat="1" applyFont="1" applyFill="1" applyAlignment="1" applyProtection="1">
      <alignment horizontal="center"/>
      <protection locked="0"/>
    </xf>
    <xf numFmtId="0" fontId="11" fillId="7" borderId="0" xfId="0" applyFont="1" applyFill="1" applyAlignment="1" applyProtection="1">
      <alignment horizontal="center"/>
      <protection locked="0"/>
    </xf>
    <xf numFmtId="170" fontId="18" fillId="7" borderId="0" xfId="0" applyNumberFormat="1" applyFont="1" applyFill="1" applyAlignment="1" applyProtection="1">
      <alignment horizontal="center" vertical="center"/>
      <protection locked="0"/>
    </xf>
    <xf numFmtId="173" fontId="4" fillId="7" borderId="8" xfId="0" applyNumberFormat="1" applyFont="1" applyFill="1" applyBorder="1" applyAlignment="1" applyProtection="1">
      <alignment horizontal="center" vertical="center" wrapText="1"/>
      <protection locked="0"/>
    </xf>
    <xf numFmtId="166" fontId="4" fillId="7" borderId="8" xfId="0" applyNumberFormat="1" applyFont="1" applyFill="1" applyBorder="1" applyAlignment="1" applyProtection="1">
      <alignment horizontal="center" vertical="center"/>
      <protection locked="0"/>
    </xf>
    <xf numFmtId="170" fontId="4" fillId="7" borderId="8" xfId="0" applyNumberFormat="1" applyFont="1" applyFill="1" applyBorder="1" applyAlignment="1" applyProtection="1">
      <alignment horizontal="center" vertical="center"/>
      <protection locked="0"/>
    </xf>
    <xf numFmtId="174" fontId="4" fillId="7" borderId="8" xfId="0" applyNumberFormat="1" applyFont="1" applyFill="1" applyBorder="1" applyAlignment="1" applyProtection="1">
      <alignment horizontal="center" vertical="center"/>
      <protection locked="0"/>
    </xf>
    <xf numFmtId="174" fontId="7" fillId="0" borderId="0" xfId="0" applyNumberFormat="1" applyFont="1" applyAlignment="1" applyProtection="1">
      <alignment horizontal="center" vertical="center"/>
      <protection locked="0"/>
    </xf>
    <xf numFmtId="170" fontId="18" fillId="0" borderId="0" xfId="0" applyNumberFormat="1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10" fillId="0" borderId="0" xfId="0" applyNumberFormat="1" applyFont="1" applyAlignment="1" applyProtection="1">
      <alignment horizontal="center" vertical="center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alignment horizontal="center" vertical="center" wrapText="1"/>
      <protection locked="0"/>
    </xf>
    <xf numFmtId="0" fontId="11" fillId="7" borderId="0" xfId="0" applyFont="1" applyFill="1" applyAlignment="1" applyProtection="1">
      <alignment horizontal="center" vertical="center"/>
      <protection locked="0"/>
    </xf>
    <xf numFmtId="173" fontId="4" fillId="0" borderId="8" xfId="0" applyNumberFormat="1" applyFont="1" applyBorder="1" applyAlignment="1" applyProtection="1">
      <alignment horizontal="center" vertical="center" wrapText="1"/>
      <protection locked="0"/>
    </xf>
    <xf numFmtId="0" fontId="15" fillId="0" borderId="0" xfId="0" applyFont="1" applyAlignment="1" applyProtection="1">
      <alignment horizontal="center"/>
      <protection locked="0"/>
    </xf>
    <xf numFmtId="0" fontId="11" fillId="0" borderId="0" xfId="0" applyFont="1" applyAlignment="1" applyProtection="1">
      <alignment horizontal="center"/>
      <protection locked="0"/>
    </xf>
    <xf numFmtId="0" fontId="19" fillId="7" borderId="0" xfId="0" applyFont="1" applyFill="1" applyAlignment="1" applyProtection="1">
      <alignment horizontal="center" vertical="center"/>
      <protection locked="0"/>
    </xf>
    <xf numFmtId="0" fontId="15" fillId="7" borderId="0" xfId="0" applyFont="1" applyFill="1" applyAlignment="1" applyProtection="1">
      <alignment horizontal="center"/>
      <protection locked="0"/>
    </xf>
    <xf numFmtId="0" fontId="3" fillId="0" borderId="55" xfId="0" applyFont="1" applyBorder="1" applyAlignment="1" applyProtection="1">
      <alignment horizontal="center" vertical="center"/>
      <protection hidden="1"/>
    </xf>
    <xf numFmtId="0" fontId="17" fillId="7" borderId="0" xfId="0" applyFont="1" applyFill="1" applyAlignment="1" applyProtection="1">
      <alignment horizontal="center" vertical="center"/>
      <protection locked="0"/>
    </xf>
    <xf numFmtId="166" fontId="3" fillId="7" borderId="0" xfId="0" applyNumberFormat="1" applyFont="1" applyFill="1" applyAlignment="1" applyProtection="1">
      <alignment horizontal="center" vertical="center"/>
      <protection locked="0"/>
    </xf>
    <xf numFmtId="166" fontId="4" fillId="7" borderId="0" xfId="0" applyNumberFormat="1" applyFont="1" applyFill="1" applyAlignment="1" applyProtection="1">
      <alignment horizontal="center" vertical="center" wrapText="1"/>
      <protection locked="0"/>
    </xf>
    <xf numFmtId="170" fontId="20" fillId="7" borderId="0" xfId="0" applyNumberFormat="1" applyFont="1" applyFill="1" applyAlignment="1" applyProtection="1">
      <alignment horizontal="center" vertical="center"/>
      <protection locked="0"/>
    </xf>
    <xf numFmtId="170" fontId="4" fillId="0" borderId="38" xfId="1" applyNumberFormat="1" applyFont="1" applyFill="1" applyBorder="1" applyAlignment="1" applyProtection="1">
      <alignment horizontal="center" vertical="center"/>
      <protection hidden="1"/>
    </xf>
    <xf numFmtId="0" fontId="4" fillId="0" borderId="7" xfId="0" applyFont="1" applyBorder="1" applyAlignment="1" applyProtection="1">
      <alignment horizontal="center" vertical="center"/>
      <protection hidden="1"/>
    </xf>
    <xf numFmtId="0" fontId="4" fillId="11" borderId="25" xfId="0" applyFont="1" applyFill="1" applyBorder="1" applyAlignment="1" applyProtection="1">
      <alignment horizontal="center" vertical="center"/>
      <protection hidden="1"/>
    </xf>
    <xf numFmtId="0" fontId="4" fillId="11" borderId="29" xfId="0" applyFont="1" applyFill="1" applyBorder="1" applyAlignment="1" applyProtection="1">
      <alignment horizontal="center" vertical="center"/>
      <protection hidden="1"/>
    </xf>
    <xf numFmtId="0" fontId="4" fillId="11" borderId="30" xfId="0" applyFont="1" applyFill="1" applyBorder="1" applyAlignment="1" applyProtection="1">
      <alignment horizontal="center" vertical="center"/>
      <protection hidden="1"/>
    </xf>
    <xf numFmtId="170" fontId="4" fillId="0" borderId="37" xfId="1" applyNumberFormat="1" applyFont="1" applyFill="1" applyBorder="1" applyAlignment="1" applyProtection="1">
      <alignment horizontal="center" vertical="center"/>
      <protection hidden="1"/>
    </xf>
    <xf numFmtId="0" fontId="3" fillId="12" borderId="56" xfId="0" applyFont="1" applyFill="1" applyBorder="1" applyAlignment="1" applyProtection="1">
      <alignment horizontal="center" vertical="center"/>
      <protection hidden="1"/>
    </xf>
    <xf numFmtId="170" fontId="3" fillId="12" borderId="12" xfId="1" applyNumberFormat="1" applyFont="1" applyFill="1" applyBorder="1" applyAlignment="1" applyProtection="1">
      <alignment horizontal="center" vertical="center"/>
      <protection hidden="1"/>
    </xf>
    <xf numFmtId="170" fontId="3" fillId="12" borderId="49" xfId="1" applyNumberFormat="1" applyFont="1" applyFill="1" applyBorder="1" applyAlignment="1" applyProtection="1">
      <alignment horizontal="center" vertical="center"/>
      <protection hidden="1"/>
    </xf>
    <xf numFmtId="166" fontId="3" fillId="12" borderId="10" xfId="1" applyNumberFormat="1" applyFont="1" applyFill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4" fillId="0" borderId="52" xfId="0" applyFont="1" applyBorder="1" applyAlignment="1" applyProtection="1">
      <alignment horizontal="center" vertical="center"/>
      <protection hidden="1"/>
    </xf>
    <xf numFmtId="0" fontId="4" fillId="0" borderId="25" xfId="0" applyFont="1" applyBorder="1" applyAlignment="1" applyProtection="1">
      <alignment horizontal="center" vertical="center"/>
      <protection hidden="1"/>
    </xf>
    <xf numFmtId="170" fontId="4" fillId="0" borderId="3" xfId="1" applyNumberFormat="1" applyFont="1" applyFill="1" applyBorder="1" applyAlignment="1" applyProtection="1">
      <alignment horizontal="center" vertical="center"/>
      <protection hidden="1"/>
    </xf>
    <xf numFmtId="1" fontId="4" fillId="0" borderId="18" xfId="1" applyNumberFormat="1" applyFont="1" applyFill="1" applyBorder="1" applyAlignment="1" applyProtection="1">
      <alignment horizontal="center" vertical="center"/>
      <protection hidden="1"/>
    </xf>
    <xf numFmtId="166" fontId="3" fillId="12" borderId="49" xfId="1" applyNumberFormat="1" applyFont="1" applyFill="1" applyBorder="1" applyAlignment="1" applyProtection="1">
      <alignment horizontal="center" vertical="center"/>
      <protection hidden="1"/>
    </xf>
    <xf numFmtId="9" fontId="3" fillId="12" borderId="14" xfId="2" applyFont="1" applyFill="1" applyBorder="1" applyAlignment="1" applyProtection="1">
      <alignment horizontal="center" vertical="center"/>
      <protection hidden="1"/>
    </xf>
    <xf numFmtId="9" fontId="4" fillId="12" borderId="50" xfId="2" applyFont="1" applyFill="1" applyBorder="1" applyAlignment="1" applyProtection="1">
      <alignment horizontal="center" vertical="center"/>
      <protection hidden="1"/>
    </xf>
    <xf numFmtId="1" fontId="4" fillId="0" borderId="1" xfId="1" applyNumberFormat="1" applyFont="1" applyFill="1" applyBorder="1" applyAlignment="1" applyProtection="1">
      <alignment horizontal="center" vertical="center"/>
      <protection hidden="1"/>
    </xf>
    <xf numFmtId="170" fontId="4" fillId="0" borderId="51" xfId="1" applyNumberFormat="1" applyFont="1" applyFill="1" applyBorder="1" applyAlignment="1" applyProtection="1">
      <alignment horizontal="center" vertical="center"/>
      <protection hidden="1"/>
    </xf>
    <xf numFmtId="170" fontId="4" fillId="11" borderId="24" xfId="1" applyNumberFormat="1" applyFont="1" applyFill="1" applyBorder="1" applyAlignment="1" applyProtection="1">
      <alignment horizontal="center" vertical="center"/>
      <protection hidden="1"/>
    </xf>
    <xf numFmtId="170" fontId="4" fillId="11" borderId="29" xfId="1" applyNumberFormat="1" applyFont="1" applyFill="1" applyBorder="1" applyAlignment="1" applyProtection="1">
      <alignment horizontal="center" vertical="center"/>
      <protection hidden="1"/>
    </xf>
    <xf numFmtId="170" fontId="3" fillId="12" borderId="33" xfId="0" applyNumberFormat="1" applyFont="1" applyFill="1" applyBorder="1" applyAlignment="1" applyProtection="1">
      <alignment horizontal="center" vertical="center"/>
      <protection hidden="1"/>
    </xf>
    <xf numFmtId="0" fontId="4" fillId="0" borderId="29" xfId="0" applyFont="1" applyBorder="1" applyAlignment="1" applyProtection="1">
      <alignment horizontal="center" vertical="center"/>
      <protection hidden="1"/>
    </xf>
    <xf numFmtId="0" fontId="4" fillId="0" borderId="30" xfId="0" applyFont="1" applyBorder="1" applyAlignment="1" applyProtection="1">
      <alignment horizontal="center" vertical="center"/>
      <protection hidden="1"/>
    </xf>
    <xf numFmtId="170" fontId="3" fillId="12" borderId="49" xfId="0" applyNumberFormat="1" applyFont="1" applyFill="1" applyBorder="1" applyAlignment="1" applyProtection="1">
      <alignment horizontal="center" vertical="center"/>
      <protection hidden="1"/>
    </xf>
    <xf numFmtId="170" fontId="3" fillId="12" borderId="14" xfId="0" applyNumberFormat="1" applyFont="1" applyFill="1" applyBorder="1" applyAlignment="1" applyProtection="1">
      <alignment horizontal="center" vertical="center"/>
      <protection hidden="1"/>
    </xf>
    <xf numFmtId="170" fontId="3" fillId="12" borderId="50" xfId="0" applyNumberFormat="1" applyFont="1" applyFill="1" applyBorder="1" applyAlignment="1" applyProtection="1">
      <alignment horizontal="center" vertical="center"/>
      <protection hidden="1"/>
    </xf>
    <xf numFmtId="0" fontId="4" fillId="7" borderId="0" xfId="2" applyNumberFormat="1" applyFont="1" applyFill="1" applyBorder="1" applyAlignment="1" applyProtection="1">
      <alignment horizontal="center" vertical="center"/>
      <protection locked="0"/>
    </xf>
    <xf numFmtId="0" fontId="4" fillId="0" borderId="33" xfId="0" applyFont="1" applyBorder="1" applyAlignment="1" applyProtection="1">
      <alignment horizontal="center" vertical="center"/>
      <protection hidden="1"/>
    </xf>
    <xf numFmtId="170" fontId="4" fillId="0" borderId="39" xfId="0" applyNumberFormat="1" applyFont="1" applyBorder="1" applyAlignment="1" applyProtection="1">
      <alignment horizontal="center" vertical="center"/>
      <protection hidden="1"/>
    </xf>
    <xf numFmtId="0" fontId="4" fillId="0" borderId="40" xfId="0" applyFont="1" applyBorder="1" applyAlignment="1" applyProtection="1">
      <alignment horizontal="center" vertical="center"/>
      <protection hidden="1"/>
    </xf>
    <xf numFmtId="170" fontId="21" fillId="0" borderId="0" xfId="0" applyNumberFormat="1" applyFont="1" applyAlignment="1" applyProtection="1">
      <alignment horizontal="center" vertical="center"/>
      <protection locked="0"/>
    </xf>
    <xf numFmtId="170" fontId="21" fillId="7" borderId="0" xfId="0" applyNumberFormat="1" applyFont="1" applyFill="1" applyAlignment="1" applyProtection="1">
      <alignment horizontal="center" vertical="center"/>
      <protection locked="0"/>
    </xf>
    <xf numFmtId="0" fontId="7" fillId="14" borderId="0" xfId="0" applyFont="1" applyFill="1" applyAlignment="1" applyProtection="1">
      <alignment vertical="center"/>
      <protection locked="0"/>
    </xf>
    <xf numFmtId="0" fontId="4" fillId="15" borderId="0" xfId="0" applyFont="1" applyFill="1" applyAlignment="1" applyProtection="1">
      <alignment vertical="center"/>
      <protection locked="0"/>
    </xf>
    <xf numFmtId="0" fontId="9" fillId="9" borderId="0" xfId="0" applyFont="1" applyFill="1" applyAlignment="1" applyProtection="1">
      <alignment horizontal="center" vertical="center" wrapText="1"/>
      <protection locked="0"/>
    </xf>
    <xf numFmtId="0" fontId="4" fillId="14" borderId="0" xfId="1" applyNumberFormat="1" applyFont="1" applyFill="1" applyBorder="1" applyAlignment="1" applyProtection="1">
      <alignment horizontal="center" vertical="center"/>
      <protection locked="0"/>
    </xf>
    <xf numFmtId="0" fontId="4" fillId="16" borderId="8" xfId="1" applyNumberFormat="1" applyFont="1" applyFill="1" applyBorder="1" applyAlignment="1" applyProtection="1">
      <alignment horizontal="center" vertical="center"/>
      <protection locked="0"/>
    </xf>
    <xf numFmtId="0" fontId="4" fillId="16" borderId="8" xfId="0" applyFont="1" applyFill="1" applyBorder="1" applyAlignment="1" applyProtection="1">
      <alignment horizontal="center" vertical="center"/>
      <protection locked="0"/>
    </xf>
    <xf numFmtId="0" fontId="4" fillId="0" borderId="8" xfId="1" applyNumberFormat="1" applyFont="1" applyBorder="1" applyAlignment="1" applyProtection="1">
      <alignment horizontal="center" vertical="center"/>
      <protection locked="0"/>
    </xf>
    <xf numFmtId="166" fontId="4" fillId="0" borderId="8" xfId="0" applyNumberFormat="1" applyFont="1" applyBorder="1" applyAlignment="1" applyProtection="1">
      <alignment horizontal="center" vertical="center"/>
      <protection locked="0"/>
    </xf>
    <xf numFmtId="166" fontId="4" fillId="14" borderId="0" xfId="1" applyNumberFormat="1" applyFont="1" applyFill="1" applyBorder="1" applyAlignment="1" applyProtection="1">
      <alignment horizontal="center" vertical="center"/>
      <protection locked="0"/>
    </xf>
    <xf numFmtId="0" fontId="4" fillId="14" borderId="0" xfId="0" applyFont="1" applyFill="1" applyAlignment="1" applyProtection="1">
      <alignment horizontal="center" vertical="center" wrapText="1"/>
      <protection locked="0"/>
    </xf>
    <xf numFmtId="0" fontId="7" fillId="14" borderId="0" xfId="0" applyFont="1" applyFill="1" applyAlignment="1" applyProtection="1">
      <alignment horizontal="center" vertical="center"/>
      <protection locked="0"/>
    </xf>
    <xf numFmtId="0" fontId="7" fillId="14" borderId="0" xfId="1" applyNumberFormat="1" applyFont="1" applyFill="1" applyBorder="1" applyAlignment="1" applyProtection="1">
      <alignment horizontal="center" vertical="center"/>
      <protection locked="0"/>
    </xf>
    <xf numFmtId="0" fontId="4" fillId="14" borderId="0" xfId="1" applyNumberFormat="1" applyFont="1" applyFill="1" applyAlignment="1" applyProtection="1">
      <alignment horizontal="center" vertical="center"/>
      <protection locked="0"/>
    </xf>
    <xf numFmtId="170" fontId="4" fillId="14" borderId="0" xfId="0" applyNumberFormat="1" applyFont="1" applyFill="1" applyAlignment="1" applyProtection="1">
      <alignment horizontal="center" vertical="center"/>
      <protection locked="0"/>
    </xf>
    <xf numFmtId="174" fontId="4" fillId="14" borderId="0" xfId="0" applyNumberFormat="1" applyFont="1" applyFill="1" applyAlignment="1" applyProtection="1">
      <alignment horizontal="center" vertical="center"/>
      <protection locked="0"/>
    </xf>
    <xf numFmtId="170" fontId="4" fillId="16" borderId="8" xfId="0" applyNumberFormat="1" applyFont="1" applyFill="1" applyBorder="1" applyAlignment="1" applyProtection="1">
      <alignment horizontal="center" vertical="center"/>
      <protection locked="0"/>
    </xf>
    <xf numFmtId="174" fontId="4" fillId="16" borderId="8" xfId="0" applyNumberFormat="1" applyFont="1" applyFill="1" applyBorder="1" applyAlignment="1" applyProtection="1">
      <alignment horizontal="center" vertical="center"/>
      <protection locked="0"/>
    </xf>
    <xf numFmtId="170" fontId="4" fillId="0" borderId="8" xfId="0" applyNumberFormat="1" applyFont="1" applyBorder="1" applyAlignment="1" applyProtection="1">
      <alignment horizontal="center" vertical="center"/>
      <protection locked="0"/>
    </xf>
    <xf numFmtId="174" fontId="4" fillId="0" borderId="8" xfId="0" applyNumberFormat="1" applyFont="1" applyBorder="1" applyAlignment="1" applyProtection="1">
      <alignment horizontal="center" vertical="center"/>
      <protection locked="0"/>
    </xf>
    <xf numFmtId="0" fontId="10" fillId="14" borderId="0" xfId="0" applyFont="1" applyFill="1" applyAlignment="1" applyProtection="1">
      <alignment horizontal="center" vertical="center"/>
      <protection locked="0"/>
    </xf>
    <xf numFmtId="170" fontId="4" fillId="14" borderId="0" xfId="0" applyNumberFormat="1" applyFont="1" applyFill="1" applyAlignment="1" applyProtection="1">
      <alignment horizontal="center" vertical="center" wrapText="1"/>
      <protection locked="0"/>
    </xf>
    <xf numFmtId="170" fontId="21" fillId="14" borderId="0" xfId="0" applyNumberFormat="1" applyFont="1" applyFill="1" applyAlignment="1" applyProtection="1">
      <alignment horizontal="center" vertical="center"/>
      <protection locked="0"/>
    </xf>
    <xf numFmtId="174" fontId="7" fillId="14" borderId="0" xfId="0" applyNumberFormat="1" applyFont="1" applyFill="1" applyAlignment="1" applyProtection="1">
      <alignment horizontal="center" vertical="center"/>
      <protection locked="0"/>
    </xf>
    <xf numFmtId="0" fontId="3" fillId="14" borderId="0" xfId="0" applyFont="1" applyFill="1" applyAlignment="1" applyProtection="1">
      <alignment horizontal="center" vertical="center"/>
      <protection locked="0"/>
    </xf>
    <xf numFmtId="170" fontId="3" fillId="14" borderId="0" xfId="0" applyNumberFormat="1" applyFont="1" applyFill="1" applyAlignment="1" applyProtection="1">
      <alignment horizontal="center" vertical="center"/>
      <protection locked="0"/>
    </xf>
    <xf numFmtId="0" fontId="8" fillId="17" borderId="0" xfId="0" applyFont="1" applyFill="1" applyAlignment="1" applyProtection="1">
      <alignment horizontal="center" vertical="center" wrapText="1"/>
      <protection locked="0"/>
    </xf>
    <xf numFmtId="0" fontId="4" fillId="16" borderId="8" xfId="0" applyFont="1" applyFill="1" applyBorder="1" applyAlignment="1" applyProtection="1">
      <alignment horizontal="center" vertical="center" wrapText="1"/>
      <protection locked="0"/>
    </xf>
    <xf numFmtId="173" fontId="4" fillId="16" borderId="8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8" xfId="0" applyFont="1" applyBorder="1" applyAlignment="1" applyProtection="1">
      <alignment horizontal="center" vertical="center" wrapText="1"/>
      <protection locked="0"/>
    </xf>
    <xf numFmtId="173" fontId="7" fillId="14" borderId="0" xfId="0" applyNumberFormat="1" applyFont="1" applyFill="1" applyAlignment="1" applyProtection="1">
      <alignment horizontal="center" vertical="center" wrapText="1"/>
      <protection locked="0"/>
    </xf>
    <xf numFmtId="170" fontId="7" fillId="14" borderId="0" xfId="0" applyNumberFormat="1" applyFont="1" applyFill="1" applyAlignment="1" applyProtection="1">
      <alignment horizontal="center" vertical="center"/>
      <protection hidden="1"/>
    </xf>
    <xf numFmtId="175" fontId="4" fillId="14" borderId="0" xfId="0" applyNumberFormat="1" applyFont="1" applyFill="1" applyAlignment="1" applyProtection="1">
      <alignment horizontal="center" vertical="center" wrapText="1"/>
      <protection locked="0"/>
    </xf>
    <xf numFmtId="174" fontId="4" fillId="18" borderId="8" xfId="0" applyNumberFormat="1" applyFont="1" applyFill="1" applyBorder="1" applyAlignment="1">
      <alignment horizontal="center" vertical="center"/>
    </xf>
    <xf numFmtId="0" fontId="3" fillId="5" borderId="50" xfId="0" applyFont="1" applyFill="1" applyBorder="1" applyAlignment="1" applyProtection="1">
      <alignment horizontal="center" vertical="center" wrapText="1"/>
      <protection hidden="1"/>
    </xf>
    <xf numFmtId="0" fontId="3" fillId="12" borderId="33" xfId="0" applyFont="1" applyFill="1" applyBorder="1" applyAlignment="1" applyProtection="1">
      <alignment horizontal="center" vertical="center"/>
      <protection hidden="1"/>
    </xf>
    <xf numFmtId="0" fontId="3" fillId="12" borderId="47" xfId="0" applyFont="1" applyFill="1" applyBorder="1" applyAlignment="1" applyProtection="1">
      <alignment horizontal="center" vertical="center"/>
      <protection hidden="1"/>
    </xf>
    <xf numFmtId="0" fontId="3" fillId="12" borderId="12" xfId="0" applyFont="1" applyFill="1" applyBorder="1" applyAlignment="1" applyProtection="1">
      <alignment horizontal="center" vertical="center"/>
      <protection hidden="1"/>
    </xf>
    <xf numFmtId="0" fontId="3" fillId="4" borderId="59" xfId="0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vertical="center"/>
      <protection hidden="1"/>
    </xf>
    <xf numFmtId="0" fontId="3" fillId="0" borderId="34" xfId="0" applyFont="1" applyBorder="1" applyAlignment="1" applyProtection="1">
      <alignment vertical="center"/>
      <protection hidden="1"/>
    </xf>
    <xf numFmtId="0" fontId="3" fillId="5" borderId="14" xfId="0" applyFont="1" applyFill="1" applyBorder="1" applyAlignment="1" applyProtection="1">
      <alignment horizontal="center" vertical="center"/>
      <protection hidden="1"/>
    </xf>
    <xf numFmtId="0" fontId="3" fillId="5" borderId="13" xfId="0" applyFont="1" applyFill="1" applyBorder="1" applyAlignment="1" applyProtection="1">
      <alignment horizontal="center" vertical="center"/>
      <protection hidden="1"/>
    </xf>
    <xf numFmtId="0" fontId="3" fillId="4" borderId="10" xfId="0" applyFont="1" applyFill="1" applyBorder="1" applyAlignment="1" applyProtection="1">
      <alignment horizontal="center" vertical="center"/>
      <protection hidden="1"/>
    </xf>
    <xf numFmtId="170" fontId="3" fillId="12" borderId="60" xfId="1" applyNumberFormat="1" applyFont="1" applyFill="1" applyBorder="1" applyAlignment="1" applyProtection="1">
      <alignment horizontal="center" vertical="center"/>
      <protection hidden="1"/>
    </xf>
    <xf numFmtId="0" fontId="3" fillId="4" borderId="57" xfId="0" applyFont="1" applyFill="1" applyBorder="1" applyAlignment="1" applyProtection="1">
      <alignment horizontal="center" vertical="center" wrapText="1"/>
      <protection hidden="1"/>
    </xf>
    <xf numFmtId="0" fontId="3" fillId="4" borderId="58" xfId="0" applyFont="1" applyFill="1" applyBorder="1" applyAlignment="1" applyProtection="1">
      <alignment horizontal="center" vertical="center" wrapText="1"/>
      <protection hidden="1"/>
    </xf>
    <xf numFmtId="170" fontId="3" fillId="12" borderId="11" xfId="1" applyNumberFormat="1" applyFont="1" applyFill="1" applyBorder="1" applyAlignment="1" applyProtection="1">
      <alignment horizontal="center" vertical="center"/>
      <protection hidden="1"/>
    </xf>
    <xf numFmtId="0" fontId="3" fillId="12" borderId="49" xfId="0" applyFont="1" applyFill="1" applyBorder="1" applyAlignment="1" applyProtection="1">
      <alignment horizontal="center" vertical="center"/>
      <protection hidden="1"/>
    </xf>
    <xf numFmtId="0" fontId="3" fillId="12" borderId="50" xfId="0" applyFont="1" applyFill="1" applyBorder="1" applyAlignment="1" applyProtection="1">
      <alignment horizontal="center" vertical="center"/>
      <protection hidden="1"/>
    </xf>
    <xf numFmtId="0" fontId="3" fillId="5" borderId="61" xfId="0" applyFont="1" applyFill="1" applyBorder="1" applyAlignment="1" applyProtection="1">
      <alignment horizontal="center" vertical="center"/>
      <protection hidden="1"/>
    </xf>
    <xf numFmtId="0" fontId="3" fillId="5" borderId="62" xfId="0" applyFont="1" applyFill="1" applyBorder="1" applyAlignment="1" applyProtection="1">
      <alignment horizontal="center" vertical="center" wrapText="1"/>
      <protection hidden="1"/>
    </xf>
    <xf numFmtId="0" fontId="3" fillId="5" borderId="63" xfId="0" applyFont="1" applyFill="1" applyBorder="1" applyAlignment="1" applyProtection="1">
      <alignment horizontal="center" vertical="center" wrapText="1"/>
      <protection hidden="1"/>
    </xf>
    <xf numFmtId="0" fontId="3" fillId="4" borderId="64" xfId="0" applyFont="1" applyFill="1" applyBorder="1" applyAlignment="1" applyProtection="1">
      <alignment horizontal="center" vertical="center" wrapText="1"/>
      <protection hidden="1"/>
    </xf>
    <xf numFmtId="0" fontId="3" fillId="4" borderId="62" xfId="0" applyFont="1" applyFill="1" applyBorder="1" applyAlignment="1" applyProtection="1">
      <alignment horizontal="center" vertical="center" wrapText="1"/>
      <protection hidden="1"/>
    </xf>
    <xf numFmtId="170" fontId="3" fillId="12" borderId="65" xfId="1" applyNumberFormat="1" applyFont="1" applyFill="1" applyBorder="1" applyAlignment="1" applyProtection="1">
      <alignment horizontal="center" vertical="center"/>
      <protection hidden="1"/>
    </xf>
    <xf numFmtId="170" fontId="3" fillId="12" borderId="39" xfId="1" applyNumberFormat="1" applyFont="1" applyFill="1" applyBorder="1" applyAlignment="1" applyProtection="1">
      <alignment horizontal="center" vertical="center"/>
      <protection hidden="1"/>
    </xf>
    <xf numFmtId="0" fontId="3" fillId="12" borderId="47" xfId="1" applyNumberFormat="1" applyFont="1" applyFill="1" applyBorder="1" applyAlignment="1" applyProtection="1">
      <alignment horizontal="center" vertical="center"/>
      <protection hidden="1"/>
    </xf>
    <xf numFmtId="0" fontId="3" fillId="12" borderId="14" xfId="0" applyFont="1" applyFill="1" applyBorder="1" applyAlignment="1" applyProtection="1">
      <alignment horizontal="center" vertical="center"/>
      <protection hidden="1"/>
    </xf>
    <xf numFmtId="9" fontId="3" fillId="4" borderId="14" xfId="0" applyNumberFormat="1" applyFont="1" applyFill="1" applyBorder="1" applyAlignment="1" applyProtection="1">
      <alignment horizontal="center" vertical="center" wrapText="1"/>
      <protection hidden="1"/>
    </xf>
    <xf numFmtId="9" fontId="3" fillId="4" borderId="50" xfId="0" applyNumberFormat="1" applyFont="1" applyFill="1" applyBorder="1" applyAlignment="1" applyProtection="1">
      <alignment horizontal="center" vertical="center"/>
      <protection hidden="1"/>
    </xf>
    <xf numFmtId="0" fontId="3" fillId="12" borderId="13" xfId="0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176" fontId="3" fillId="5" borderId="12" xfId="0" applyNumberFormat="1" applyFont="1" applyFill="1" applyBorder="1" applyAlignment="1" applyProtection="1">
      <alignment horizontal="center" vertical="center"/>
      <protection hidden="1"/>
    </xf>
    <xf numFmtId="177" fontId="3" fillId="5" borderId="13" xfId="0" applyNumberFormat="1" applyFont="1" applyFill="1" applyBorder="1" applyAlignment="1" applyProtection="1">
      <alignment horizontal="center" vertical="center"/>
      <protection hidden="1"/>
    </xf>
    <xf numFmtId="9" fontId="4" fillId="12" borderId="40" xfId="2" applyFont="1" applyFill="1" applyBorder="1" applyAlignment="1" applyProtection="1">
      <alignment horizontal="center" vertical="center"/>
      <protection hidden="1"/>
    </xf>
    <xf numFmtId="9" fontId="3" fillId="4" borderId="58" xfId="0" applyNumberFormat="1" applyFont="1" applyFill="1" applyBorder="1" applyAlignment="1" applyProtection="1">
      <alignment horizontal="center" vertical="center" wrapText="1"/>
      <protection hidden="1"/>
    </xf>
    <xf numFmtId="9" fontId="3" fillId="4" borderId="59" xfId="0" applyNumberFormat="1" applyFont="1" applyFill="1" applyBorder="1" applyAlignment="1" applyProtection="1">
      <alignment horizontal="center" vertical="center"/>
      <protection hidden="1"/>
    </xf>
    <xf numFmtId="176" fontId="3" fillId="5" borderId="61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62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66" xfId="0" applyNumberFormat="1" applyFont="1" applyFill="1" applyBorder="1" applyAlignment="1" applyProtection="1">
      <alignment horizontal="center" vertical="center" wrapText="1"/>
      <protection hidden="1"/>
    </xf>
    <xf numFmtId="9" fontId="4" fillId="12" borderId="13" xfId="2" applyFont="1" applyFill="1" applyBorder="1" applyAlignment="1" applyProtection="1">
      <alignment horizontal="center" vertical="center"/>
      <protection hidden="1"/>
    </xf>
    <xf numFmtId="0" fontId="3" fillId="4" borderId="66" xfId="0" applyFont="1" applyFill="1" applyBorder="1" applyAlignment="1" applyProtection="1">
      <alignment horizontal="center" vertical="center"/>
      <protection hidden="1"/>
    </xf>
    <xf numFmtId="0" fontId="4" fillId="11" borderId="29" xfId="1" applyNumberFormat="1" applyFont="1" applyFill="1" applyBorder="1" applyAlignment="1" applyProtection="1">
      <alignment horizontal="center" vertical="center"/>
      <protection hidden="1"/>
    </xf>
    <xf numFmtId="0" fontId="4" fillId="11" borderId="28" xfId="1" applyNumberFormat="1" applyFont="1" applyFill="1" applyBorder="1" applyAlignment="1" applyProtection="1">
      <alignment horizontal="center" vertical="center"/>
      <protection hidden="1"/>
    </xf>
    <xf numFmtId="0" fontId="4" fillId="11" borderId="44" xfId="1" applyNumberFormat="1" applyFont="1" applyFill="1" applyBorder="1" applyAlignment="1" applyProtection="1">
      <alignment horizontal="center" vertical="center"/>
      <protection hidden="1"/>
    </xf>
    <xf numFmtId="176" fontId="3" fillId="5" borderId="49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31" xfId="0" applyFont="1" applyBorder="1" applyAlignment="1" applyProtection="1">
      <alignment horizontal="center" vertical="center"/>
      <protection hidden="1"/>
    </xf>
    <xf numFmtId="170" fontId="4" fillId="0" borderId="17" xfId="1" applyNumberFormat="1" applyFont="1" applyFill="1" applyBorder="1" applyAlignment="1" applyProtection="1">
      <alignment horizontal="center" vertical="center"/>
      <protection hidden="1"/>
    </xf>
    <xf numFmtId="170" fontId="4" fillId="0" borderId="48" xfId="1" applyNumberFormat="1" applyFont="1" applyFill="1" applyBorder="1" applyAlignment="1" applyProtection="1">
      <alignment horizontal="center" vertical="center"/>
      <protection hidden="1"/>
    </xf>
    <xf numFmtId="170" fontId="4" fillId="0" borderId="27" xfId="1" applyNumberFormat="1" applyFont="1" applyFill="1" applyBorder="1" applyAlignment="1" applyProtection="1">
      <alignment horizontal="center" vertical="center"/>
      <protection hidden="1"/>
    </xf>
    <xf numFmtId="170" fontId="4" fillId="0" borderId="44" xfId="1" applyNumberFormat="1" applyFont="1" applyFill="1" applyBorder="1" applyAlignment="1" applyProtection="1">
      <alignment horizontal="center" vertical="center"/>
      <protection hidden="1"/>
    </xf>
    <xf numFmtId="1" fontId="4" fillId="0" borderId="52" xfId="1" applyNumberFormat="1" applyFont="1" applyFill="1" applyBorder="1" applyAlignment="1" applyProtection="1">
      <alignment horizontal="center" vertical="center"/>
      <protection hidden="1"/>
    </xf>
    <xf numFmtId="0" fontId="2" fillId="17" borderId="9" xfId="0" applyFont="1" applyFill="1" applyBorder="1" applyAlignment="1" applyProtection="1">
      <alignment horizontal="center" vertical="center"/>
      <protection hidden="1"/>
    </xf>
    <xf numFmtId="0" fontId="2" fillId="17" borderId="10" xfId="0" applyFont="1" applyFill="1" applyBorder="1" applyAlignment="1" applyProtection="1">
      <alignment horizontal="center" vertical="center"/>
      <protection hidden="1"/>
    </xf>
    <xf numFmtId="0" fontId="3" fillId="10" borderId="57" xfId="0" applyFont="1" applyFill="1" applyBorder="1" applyAlignment="1" applyProtection="1">
      <alignment horizontal="center" vertical="center"/>
      <protection hidden="1"/>
    </xf>
    <xf numFmtId="0" fontId="3" fillId="10" borderId="64" xfId="0" applyFont="1" applyFill="1" applyBorder="1" applyAlignment="1" applyProtection="1">
      <alignment horizontal="center" vertical="center"/>
      <protection hidden="1"/>
    </xf>
    <xf numFmtId="0" fontId="3" fillId="10" borderId="66" xfId="0" applyFont="1" applyFill="1" applyBorder="1" applyAlignment="1" applyProtection="1">
      <alignment horizontal="center" vertical="center"/>
      <protection hidden="1"/>
    </xf>
    <xf numFmtId="1" fontId="3" fillId="5" borderId="63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66" xfId="0" applyFont="1" applyFill="1" applyBorder="1" applyAlignment="1" applyProtection="1">
      <alignment horizontal="center" vertical="center" wrapText="1"/>
      <protection hidden="1"/>
    </xf>
    <xf numFmtId="0" fontId="3" fillId="4" borderId="50" xfId="0" applyFont="1" applyFill="1" applyBorder="1" applyAlignment="1" applyProtection="1">
      <alignment horizontal="center" vertical="center"/>
      <protection hidden="1"/>
    </xf>
    <xf numFmtId="9" fontId="3" fillId="12" borderId="50" xfId="2" applyFont="1" applyFill="1" applyBorder="1" applyAlignment="1" applyProtection="1">
      <alignment horizontal="center" vertical="center"/>
      <protection hidden="1"/>
    </xf>
    <xf numFmtId="177" fontId="3" fillId="5" borderId="62" xfId="0" applyNumberFormat="1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Alignment="1" applyProtection="1">
      <alignment vertical="center"/>
      <protection locked="0"/>
    </xf>
    <xf numFmtId="0" fontId="4" fillId="15" borderId="0" xfId="0" applyFont="1" applyFill="1" applyAlignment="1" applyProtection="1">
      <alignment horizontal="center" vertical="center"/>
      <protection locked="0"/>
    </xf>
    <xf numFmtId="0" fontId="4" fillId="15" borderId="0" xfId="1" applyNumberFormat="1" applyFont="1" applyFill="1" applyBorder="1" applyAlignment="1" applyProtection="1">
      <alignment horizontal="center" vertical="center"/>
      <protection locked="0"/>
    </xf>
    <xf numFmtId="0" fontId="11" fillId="14" borderId="0" xfId="0" applyFont="1" applyFill="1" applyAlignment="1" applyProtection="1">
      <alignment horizontal="center" vertical="center"/>
      <protection locked="0"/>
    </xf>
    <xf numFmtId="170" fontId="4" fillId="15" borderId="0" xfId="0" applyNumberFormat="1" applyFont="1" applyFill="1" applyAlignment="1" applyProtection="1">
      <alignment horizontal="center" vertical="center"/>
      <protection locked="0"/>
    </xf>
    <xf numFmtId="174" fontId="4" fillId="15" borderId="0" xfId="0" applyNumberFormat="1" applyFont="1" applyFill="1" applyAlignment="1" applyProtection="1">
      <alignment horizontal="center" vertical="center"/>
      <protection locked="0"/>
    </xf>
    <xf numFmtId="0" fontId="10" fillId="15" borderId="0" xfId="0" applyFont="1" applyFill="1" applyAlignment="1" applyProtection="1">
      <alignment horizontal="center" vertical="center"/>
      <protection locked="0"/>
    </xf>
    <xf numFmtId="0" fontId="4" fillId="15" borderId="0" xfId="0" applyFont="1" applyFill="1" applyAlignment="1" applyProtection="1">
      <alignment horizontal="center" vertical="center" wrapText="1"/>
      <protection locked="0"/>
    </xf>
    <xf numFmtId="174" fontId="4" fillId="7" borderId="0" xfId="0" applyNumberFormat="1" applyFont="1" applyFill="1" applyAlignment="1" applyProtection="1">
      <alignment horizontal="center" vertical="center" wrapText="1"/>
      <protection locked="0"/>
    </xf>
    <xf numFmtId="174" fontId="4" fillId="14" borderId="0" xfId="0" applyNumberFormat="1" applyFont="1" applyFill="1" applyAlignment="1" applyProtection="1">
      <alignment horizontal="center" vertical="center" wrapText="1"/>
      <protection locked="0"/>
    </xf>
    <xf numFmtId="174" fontId="3" fillId="7" borderId="0" xfId="0" applyNumberFormat="1" applyFont="1" applyFill="1" applyAlignment="1" applyProtection="1">
      <alignment horizontal="center" vertical="center"/>
      <protection locked="0"/>
    </xf>
    <xf numFmtId="174" fontId="3" fillId="14" borderId="0" xfId="0" applyNumberFormat="1" applyFont="1" applyFill="1" applyAlignment="1" applyProtection="1">
      <alignment horizontal="center" vertical="center"/>
      <protection locked="0"/>
    </xf>
    <xf numFmtId="173" fontId="4" fillId="15" borderId="0" xfId="0" applyNumberFormat="1" applyFont="1" applyFill="1" applyAlignment="1" applyProtection="1">
      <alignment horizontal="center" vertical="center" wrapText="1"/>
      <protection locked="0"/>
    </xf>
    <xf numFmtId="170" fontId="4" fillId="15" borderId="0" xfId="0" applyNumberFormat="1" applyFont="1" applyFill="1" applyAlignment="1" applyProtection="1">
      <alignment horizontal="center" vertical="center"/>
      <protection hidden="1"/>
    </xf>
    <xf numFmtId="174" fontId="4" fillId="19" borderId="8" xfId="0" applyNumberFormat="1" applyFont="1" applyFill="1" applyBorder="1" applyAlignment="1">
      <alignment horizontal="center" vertical="center"/>
    </xf>
    <xf numFmtId="170" fontId="3" fillId="0" borderId="0" xfId="0" applyNumberFormat="1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vertical="center"/>
      <protection hidden="1"/>
    </xf>
    <xf numFmtId="170" fontId="4" fillId="0" borderId="1" xfId="1" applyNumberFormat="1" applyFont="1" applyFill="1" applyBorder="1" applyAlignment="1" applyProtection="1">
      <alignment horizontal="center" vertical="center"/>
      <protection hidden="1"/>
    </xf>
    <xf numFmtId="0" fontId="0" fillId="7" borderId="0" xfId="0" applyFill="1" applyAlignment="1" applyProtection="1">
      <alignment horizontal="center" vertical="center"/>
      <protection locked="0"/>
    </xf>
    <xf numFmtId="0" fontId="22" fillId="0" borderId="0" xfId="0" applyFont="1"/>
    <xf numFmtId="170" fontId="4" fillId="0" borderId="18" xfId="1" applyNumberFormat="1" applyFont="1" applyFill="1" applyBorder="1" applyAlignment="1" applyProtection="1">
      <alignment horizontal="center" vertical="center"/>
      <protection hidden="1"/>
    </xf>
    <xf numFmtId="170" fontId="4" fillId="0" borderId="52" xfId="1" applyNumberFormat="1" applyFont="1" applyFill="1" applyBorder="1" applyAlignment="1" applyProtection="1">
      <alignment horizontal="center" vertical="center"/>
      <protection hidden="1"/>
    </xf>
    <xf numFmtId="0" fontId="4" fillId="0" borderId="24" xfId="1" applyNumberFormat="1" applyFont="1" applyFill="1" applyBorder="1" applyAlignment="1" applyProtection="1">
      <alignment horizontal="center" vertical="center"/>
      <protection hidden="1"/>
    </xf>
    <xf numFmtId="0" fontId="4" fillId="0" borderId="25" xfId="1" applyNumberFormat="1" applyFont="1" applyFill="1" applyBorder="1" applyAlignment="1" applyProtection="1">
      <alignment horizontal="center" vertical="center"/>
      <protection hidden="1"/>
    </xf>
    <xf numFmtId="0" fontId="4" fillId="0" borderId="29" xfId="1" applyNumberFormat="1" applyFont="1" applyFill="1" applyBorder="1" applyAlignment="1" applyProtection="1">
      <alignment horizontal="center" vertical="center"/>
      <protection hidden="1"/>
    </xf>
    <xf numFmtId="170" fontId="4" fillId="0" borderId="28" xfId="1" applyNumberFormat="1" applyFont="1" applyFill="1" applyBorder="1" applyAlignment="1" applyProtection="1">
      <alignment horizontal="center" vertical="center"/>
      <protection hidden="1"/>
    </xf>
    <xf numFmtId="0" fontId="4" fillId="0" borderId="30" xfId="1" applyNumberFormat="1" applyFont="1" applyFill="1" applyBorder="1" applyAlignment="1" applyProtection="1">
      <alignment horizontal="center" vertical="center"/>
      <protection hidden="1"/>
    </xf>
    <xf numFmtId="170" fontId="4" fillId="0" borderId="40" xfId="1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25" fillId="12" borderId="27" xfId="0" applyFont="1" applyFill="1" applyBorder="1" applyAlignment="1" applyProtection="1">
      <alignment horizontal="center" vertical="center"/>
      <protection hidden="1"/>
    </xf>
    <xf numFmtId="0" fontId="2" fillId="12" borderId="28" xfId="0" applyFont="1" applyFill="1" applyBorder="1" applyAlignment="1" applyProtection="1">
      <alignment horizontal="center" vertical="center"/>
      <protection hidden="1"/>
    </xf>
    <xf numFmtId="0" fontId="2" fillId="12" borderId="44" xfId="0" applyFont="1" applyFill="1" applyBorder="1" applyAlignment="1" applyProtection="1">
      <alignment horizontal="center" vertical="center"/>
      <protection hidden="1"/>
    </xf>
    <xf numFmtId="0" fontId="24" fillId="12" borderId="29" xfId="0" applyFont="1" applyFill="1" applyBorder="1" applyAlignment="1" applyProtection="1">
      <alignment horizontal="center" vertical="center"/>
      <protection hidden="1"/>
    </xf>
    <xf numFmtId="0" fontId="24" fillId="12" borderId="28" xfId="0" applyFont="1" applyFill="1" applyBorder="1" applyAlignment="1" applyProtection="1">
      <alignment horizontal="center" vertical="center"/>
      <protection hidden="1"/>
    </xf>
    <xf numFmtId="0" fontId="26" fillId="22" borderId="53" xfId="0" applyFont="1" applyFill="1" applyBorder="1" applyAlignment="1" applyProtection="1">
      <alignment horizontal="center" vertical="center"/>
      <protection hidden="1"/>
    </xf>
    <xf numFmtId="0" fontId="27" fillId="0" borderId="22" xfId="0" applyFont="1" applyBorder="1" applyAlignment="1" applyProtection="1">
      <alignment horizontal="center" vertical="center"/>
      <protection hidden="1"/>
    </xf>
    <xf numFmtId="9" fontId="0" fillId="0" borderId="35" xfId="2" applyFont="1" applyBorder="1" applyAlignment="1" applyProtection="1">
      <alignment horizontal="center" vertical="center"/>
      <protection hidden="1"/>
    </xf>
    <xf numFmtId="166" fontId="0" fillId="0" borderId="24" xfId="0" applyNumberFormat="1" applyBorder="1" applyAlignment="1" applyProtection="1">
      <alignment horizontal="center" vertical="center"/>
      <protection hidden="1"/>
    </xf>
    <xf numFmtId="166" fontId="0" fillId="0" borderId="23" xfId="0" applyNumberFormat="1" applyBorder="1" applyAlignment="1" applyProtection="1">
      <alignment horizontal="center" vertical="center"/>
      <protection hidden="1"/>
    </xf>
    <xf numFmtId="0" fontId="26" fillId="22" borderId="69" xfId="0" applyFont="1" applyFill="1" applyBorder="1" applyAlignment="1" applyProtection="1">
      <alignment horizontal="center" vertical="center"/>
      <protection hidden="1"/>
    </xf>
    <xf numFmtId="0" fontId="27" fillId="0" borderId="17" xfId="0" applyFont="1" applyBorder="1" applyAlignment="1" applyProtection="1">
      <alignment horizontal="center" vertical="center"/>
      <protection hidden="1"/>
    </xf>
    <xf numFmtId="9" fontId="0" fillId="0" borderId="36" xfId="2" applyFont="1" applyBorder="1" applyAlignment="1" applyProtection="1">
      <alignment horizontal="center" vertical="center"/>
      <protection hidden="1"/>
    </xf>
    <xf numFmtId="166" fontId="0" fillId="0" borderId="17" xfId="0" applyNumberFormat="1" applyBorder="1" applyAlignment="1" applyProtection="1">
      <alignment horizontal="center" vertical="center"/>
      <protection hidden="1"/>
    </xf>
    <xf numFmtId="166" fontId="0" fillId="0" borderId="6" xfId="0" applyNumberFormat="1" applyBorder="1" applyAlignment="1" applyProtection="1">
      <alignment horizontal="center" vertical="center"/>
      <protection hidden="1"/>
    </xf>
    <xf numFmtId="0" fontId="27" fillId="0" borderId="3" xfId="0" applyFont="1" applyBorder="1" applyAlignment="1" applyProtection="1">
      <alignment horizontal="center" vertical="center"/>
      <protection hidden="1"/>
    </xf>
    <xf numFmtId="9" fontId="0" fillId="0" borderId="43" xfId="2" applyFont="1" applyBorder="1" applyAlignment="1" applyProtection="1">
      <alignment horizontal="center" vertical="center"/>
      <protection hidden="1"/>
    </xf>
    <xf numFmtId="0" fontId="26" fillId="22" borderId="70" xfId="0" applyFont="1" applyFill="1" applyBorder="1" applyAlignment="1" applyProtection="1">
      <alignment horizontal="center" vertical="center"/>
      <protection hidden="1"/>
    </xf>
    <xf numFmtId="0" fontId="27" fillId="0" borderId="51" xfId="0" applyFont="1" applyBorder="1" applyAlignment="1" applyProtection="1">
      <alignment horizontal="center" vertical="center"/>
      <protection hidden="1"/>
    </xf>
    <xf numFmtId="9" fontId="0" fillId="0" borderId="46" xfId="2" applyFont="1" applyBorder="1" applyAlignment="1" applyProtection="1">
      <alignment horizontal="center" vertical="center"/>
      <protection hidden="1"/>
    </xf>
    <xf numFmtId="166" fontId="0" fillId="0" borderId="42" xfId="0" applyNumberFormat="1" applyBorder="1" applyAlignment="1" applyProtection="1">
      <alignment horizontal="center" vertical="center"/>
      <protection hidden="1"/>
    </xf>
    <xf numFmtId="166" fontId="0" fillId="0" borderId="38" xfId="0" applyNumberFormat="1" applyBorder="1" applyAlignment="1" applyProtection="1">
      <alignment horizontal="center" vertical="center"/>
      <protection hidden="1"/>
    </xf>
    <xf numFmtId="0" fontId="2" fillId="20" borderId="56" xfId="0" applyFont="1" applyFill="1" applyBorder="1" applyAlignment="1" applyProtection="1">
      <alignment horizontal="center" vertical="center"/>
      <protection hidden="1"/>
    </xf>
    <xf numFmtId="166" fontId="2" fillId="20" borderId="49" xfId="0" applyNumberFormat="1" applyFont="1" applyFill="1" applyBorder="1" applyAlignment="1" applyProtection="1">
      <alignment horizontal="center" vertical="center"/>
      <protection hidden="1"/>
    </xf>
    <xf numFmtId="9" fontId="2" fillId="20" borderId="13" xfId="2" applyFont="1" applyFill="1" applyBorder="1" applyAlignment="1" applyProtection="1">
      <alignment horizontal="center" vertical="center"/>
      <protection hidden="1"/>
    </xf>
    <xf numFmtId="166" fontId="2" fillId="20" borderId="14" xfId="0" applyNumberFormat="1" applyFont="1" applyFill="1" applyBorder="1" applyAlignment="1" applyProtection="1">
      <alignment horizontal="center" vertical="center"/>
      <protection hidden="1"/>
    </xf>
    <xf numFmtId="0" fontId="25" fillId="12" borderId="12" xfId="0" applyFont="1" applyFill="1" applyBorder="1" applyAlignment="1" applyProtection="1">
      <alignment horizontal="center" vertical="center"/>
      <protection hidden="1"/>
    </xf>
    <xf numFmtId="0" fontId="2" fillId="12" borderId="14" xfId="0" applyFont="1" applyFill="1" applyBorder="1" applyAlignment="1" applyProtection="1">
      <alignment horizontal="center" vertical="center"/>
      <protection hidden="1"/>
    </xf>
    <xf numFmtId="0" fontId="2" fillId="12" borderId="13" xfId="0" applyFont="1" applyFill="1" applyBorder="1" applyAlignment="1" applyProtection="1">
      <alignment horizontal="center" vertical="center"/>
      <protection hidden="1"/>
    </xf>
    <xf numFmtId="9" fontId="0" fillId="0" borderId="36" xfId="2" applyFont="1" applyFill="1" applyBorder="1" applyAlignment="1" applyProtection="1">
      <alignment horizontal="center" vertical="center"/>
      <protection hidden="1"/>
    </xf>
    <xf numFmtId="166" fontId="0" fillId="0" borderId="51" xfId="0" applyNumberFormat="1" applyBorder="1" applyAlignment="1" applyProtection="1">
      <alignment horizontal="center" vertical="center"/>
      <protection hidden="1"/>
    </xf>
    <xf numFmtId="166" fontId="0" fillId="0" borderId="5" xfId="0" applyNumberFormat="1" applyBorder="1" applyAlignment="1" applyProtection="1">
      <alignment horizontal="center" vertical="center"/>
      <protection hidden="1"/>
    </xf>
    <xf numFmtId="0" fontId="2" fillId="12" borderId="5" xfId="0" applyFont="1" applyFill="1" applyBorder="1" applyAlignment="1" applyProtection="1">
      <alignment horizontal="center" vertical="center"/>
      <protection hidden="1"/>
    </xf>
    <xf numFmtId="0" fontId="2" fillId="12" borderId="46" xfId="0" applyFont="1" applyFill="1" applyBorder="1" applyAlignment="1" applyProtection="1">
      <alignment horizontal="center" vertical="center"/>
      <protection hidden="1"/>
    </xf>
    <xf numFmtId="0" fontId="26" fillId="22" borderId="55" xfId="0" applyFont="1" applyFill="1" applyBorder="1" applyAlignment="1" applyProtection="1">
      <alignment horizontal="center" vertical="center"/>
      <protection hidden="1"/>
    </xf>
    <xf numFmtId="166" fontId="0" fillId="0" borderId="22" xfId="0" applyNumberFormat="1" applyBorder="1" applyAlignment="1" applyProtection="1">
      <alignment horizontal="center" vertical="center"/>
      <protection hidden="1"/>
    </xf>
    <xf numFmtId="0" fontId="27" fillId="0" borderId="41" xfId="0" applyFont="1" applyBorder="1" applyAlignment="1" applyProtection="1">
      <alignment horizontal="center" vertical="center"/>
      <protection hidden="1"/>
    </xf>
    <xf numFmtId="166" fontId="0" fillId="0" borderId="41" xfId="0" applyNumberFormat="1" applyBorder="1" applyAlignment="1" applyProtection="1">
      <alignment horizontal="center" vertical="center"/>
      <protection hidden="1"/>
    </xf>
    <xf numFmtId="166" fontId="0" fillId="0" borderId="4" xfId="0" applyNumberFormat="1" applyBorder="1" applyAlignment="1" applyProtection="1">
      <alignment horizontal="center" vertical="center"/>
      <protection hidden="1"/>
    </xf>
    <xf numFmtId="0" fontId="26" fillId="22" borderId="20" xfId="0" applyFont="1" applyFill="1" applyBorder="1" applyAlignment="1" applyProtection="1">
      <alignment horizontal="center" vertical="center"/>
      <protection hidden="1"/>
    </xf>
    <xf numFmtId="0" fontId="27" fillId="0" borderId="27" xfId="0" applyFont="1" applyBorder="1" applyAlignment="1" applyProtection="1">
      <alignment horizontal="center" vertical="center"/>
      <protection hidden="1"/>
    </xf>
    <xf numFmtId="9" fontId="0" fillId="0" borderId="44" xfId="2" applyFont="1" applyBorder="1" applyAlignment="1" applyProtection="1">
      <alignment horizontal="center" vertical="center"/>
      <protection hidden="1"/>
    </xf>
    <xf numFmtId="166" fontId="0" fillId="0" borderId="27" xfId="0" applyNumberFormat="1" applyBorder="1" applyAlignment="1" applyProtection="1">
      <alignment horizontal="center" vertical="center"/>
      <protection hidden="1"/>
    </xf>
    <xf numFmtId="166" fontId="0" fillId="0" borderId="28" xfId="0" applyNumberFormat="1" applyBorder="1" applyAlignment="1" applyProtection="1">
      <alignment horizontal="center" vertical="center"/>
      <protection hidden="1"/>
    </xf>
    <xf numFmtId="166" fontId="2" fillId="20" borderId="33" xfId="0" applyNumberFormat="1" applyFont="1" applyFill="1" applyBorder="1" applyAlignment="1" applyProtection="1">
      <alignment horizontal="center" vertical="center"/>
      <protection hidden="1"/>
    </xf>
    <xf numFmtId="9" fontId="2" fillId="20" borderId="40" xfId="2" applyFont="1" applyFill="1" applyBorder="1" applyAlignment="1" applyProtection="1">
      <alignment horizontal="center" vertical="center"/>
      <protection hidden="1"/>
    </xf>
    <xf numFmtId="166" fontId="2" fillId="20" borderId="39" xfId="0" applyNumberFormat="1" applyFont="1" applyFill="1" applyBorder="1" applyAlignment="1" applyProtection="1">
      <alignment horizontal="center" vertical="center"/>
      <protection hidden="1"/>
    </xf>
    <xf numFmtId="166" fontId="0" fillId="0" borderId="3" xfId="0" applyNumberFormat="1" applyBorder="1" applyAlignment="1" applyProtection="1">
      <alignment horizontal="center" vertical="center"/>
      <protection hidden="1"/>
    </xf>
    <xf numFmtId="166" fontId="0" fillId="0" borderId="29" xfId="0" applyNumberFormat="1" applyBorder="1" applyAlignment="1" applyProtection="1">
      <alignment horizontal="center" vertical="center"/>
      <protection hidden="1"/>
    </xf>
    <xf numFmtId="9" fontId="0" fillId="0" borderId="48" xfId="2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 applyProtection="1">
      <alignment horizontal="center" vertical="center"/>
      <protection hidden="1"/>
    </xf>
    <xf numFmtId="0" fontId="24" fillId="12" borderId="27" xfId="0" applyFont="1" applyFill="1" applyBorder="1" applyAlignment="1" applyProtection="1">
      <alignment horizontal="center" vertical="center"/>
      <protection hidden="1"/>
    </xf>
    <xf numFmtId="0" fontId="27" fillId="0" borderId="45" xfId="0" applyFont="1" applyBorder="1" applyAlignment="1" applyProtection="1">
      <alignment horizontal="center" vertical="center"/>
      <protection hidden="1"/>
    </xf>
    <xf numFmtId="166" fontId="2" fillId="20" borderId="12" xfId="0" applyNumberFormat="1" applyFont="1" applyFill="1" applyBorder="1" applyAlignment="1" applyProtection="1">
      <alignment horizontal="center" vertical="center"/>
      <protection hidden="1"/>
    </xf>
    <xf numFmtId="0" fontId="25" fillId="23" borderId="45" xfId="0" applyFont="1" applyFill="1" applyBorder="1" applyAlignment="1" applyProtection="1">
      <alignment horizontal="center" vertical="center"/>
      <protection hidden="1"/>
    </xf>
    <xf numFmtId="0" fontId="2" fillId="23" borderId="5" xfId="0" applyFont="1" applyFill="1" applyBorder="1" applyAlignment="1" applyProtection="1">
      <alignment horizontal="center" vertical="center"/>
      <protection hidden="1"/>
    </xf>
    <xf numFmtId="0" fontId="2" fillId="23" borderId="46" xfId="0" applyFont="1" applyFill="1" applyBorder="1" applyAlignment="1" applyProtection="1">
      <alignment horizontal="center" vertical="center"/>
      <protection hidden="1"/>
    </xf>
    <xf numFmtId="9" fontId="0" fillId="0" borderId="35" xfId="2" applyFont="1" applyFill="1" applyBorder="1" applyAlignment="1" applyProtection="1">
      <alignment horizontal="center" vertical="center"/>
      <protection hidden="1"/>
    </xf>
    <xf numFmtId="9" fontId="0" fillId="0" borderId="43" xfId="2" applyFont="1" applyFill="1" applyBorder="1" applyAlignment="1" applyProtection="1">
      <alignment horizontal="center" vertical="center"/>
      <protection hidden="1"/>
    </xf>
    <xf numFmtId="0" fontId="26" fillId="22" borderId="54" xfId="0" applyFont="1" applyFill="1" applyBorder="1" applyAlignment="1" applyProtection="1">
      <alignment horizontal="center" vertical="center"/>
      <protection hidden="1"/>
    </xf>
    <xf numFmtId="9" fontId="0" fillId="0" borderId="44" xfId="2" applyFont="1" applyFill="1" applyBorder="1" applyAlignment="1" applyProtection="1">
      <alignment horizontal="center" vertical="center"/>
      <protection hidden="1"/>
    </xf>
    <xf numFmtId="0" fontId="2" fillId="20" borderId="60" xfId="0" applyFont="1" applyFill="1" applyBorder="1" applyAlignment="1" applyProtection="1">
      <alignment horizontal="center" vertical="center"/>
      <protection hidden="1"/>
    </xf>
    <xf numFmtId="167" fontId="24" fillId="0" borderId="0" xfId="0" applyNumberFormat="1" applyFont="1" applyAlignment="1" applyProtection="1">
      <alignment horizontal="center" vertical="center"/>
      <protection hidden="1"/>
    </xf>
    <xf numFmtId="0" fontId="24" fillId="0" borderId="0" xfId="0" applyFont="1" applyAlignment="1" applyProtection="1">
      <alignment horizontal="center" vertical="center"/>
      <protection hidden="1"/>
    </xf>
    <xf numFmtId="0" fontId="24" fillId="12" borderId="30" xfId="0" applyFont="1" applyFill="1" applyBorder="1" applyAlignment="1" applyProtection="1">
      <alignment horizontal="center" vertical="center"/>
      <protection hidden="1"/>
    </xf>
    <xf numFmtId="0" fontId="24" fillId="12" borderId="44" xfId="0" applyFont="1" applyFill="1" applyBorder="1" applyAlignment="1" applyProtection="1">
      <alignment horizontal="center" vertical="center"/>
      <protection hidden="1"/>
    </xf>
    <xf numFmtId="166" fontId="0" fillId="0" borderId="25" xfId="0" applyNumberFormat="1" applyBorder="1" applyAlignment="1" applyProtection="1">
      <alignment horizontal="center" vertical="center"/>
      <protection hidden="1"/>
    </xf>
    <xf numFmtId="166" fontId="0" fillId="0" borderId="43" xfId="0" applyNumberFormat="1" applyBorder="1" applyAlignment="1" applyProtection="1">
      <alignment horizontal="center" vertical="center"/>
      <protection hidden="1"/>
    </xf>
    <xf numFmtId="0" fontId="26" fillId="22" borderId="72" xfId="0" applyFont="1" applyFill="1" applyBorder="1" applyAlignment="1" applyProtection="1">
      <alignment horizontal="center" vertical="center"/>
      <protection hidden="1"/>
    </xf>
    <xf numFmtId="166" fontId="0" fillId="0" borderId="18" xfId="0" applyNumberFormat="1" applyBorder="1" applyAlignment="1" applyProtection="1">
      <alignment horizontal="center" vertical="center"/>
      <protection hidden="1"/>
    </xf>
    <xf numFmtId="166" fontId="2" fillId="20" borderId="50" xfId="0" applyNumberFormat="1" applyFont="1" applyFill="1" applyBorder="1" applyAlignment="1" applyProtection="1">
      <alignment horizontal="center" vertical="center"/>
      <protection hidden="1"/>
    </xf>
    <xf numFmtId="166" fontId="2" fillId="20" borderId="13" xfId="0" applyNumberFormat="1" applyFont="1" applyFill="1" applyBorder="1" applyAlignment="1" applyProtection="1">
      <alignment horizontal="center" vertical="center"/>
      <protection hidden="1"/>
    </xf>
    <xf numFmtId="166" fontId="2" fillId="0" borderId="0" xfId="0" applyNumberFormat="1" applyFont="1" applyAlignment="1" applyProtection="1">
      <alignment horizontal="center" vertical="center"/>
      <protection hidden="1"/>
    </xf>
    <xf numFmtId="166" fontId="0" fillId="0" borderId="1" xfId="0" applyNumberFormat="1" applyBorder="1" applyAlignment="1" applyProtection="1">
      <alignment horizontal="center" vertical="center"/>
      <protection hidden="1"/>
    </xf>
    <xf numFmtId="166" fontId="0" fillId="0" borderId="30" xfId="0" applyNumberFormat="1" applyBorder="1" applyAlignment="1" applyProtection="1">
      <alignment horizontal="center" vertical="center"/>
      <protection hidden="1"/>
    </xf>
    <xf numFmtId="166" fontId="2" fillId="20" borderId="47" xfId="0" applyNumberFormat="1" applyFont="1" applyFill="1" applyBorder="1" applyAlignment="1" applyProtection="1">
      <alignment horizontal="center" vertical="center"/>
      <protection hidden="1"/>
    </xf>
    <xf numFmtId="166" fontId="0" fillId="0" borderId="52" xfId="0" applyNumberFormat="1" applyBorder="1" applyAlignment="1" applyProtection="1">
      <alignment horizontal="center" vertical="center"/>
      <protection hidden="1"/>
    </xf>
    <xf numFmtId="166" fontId="0" fillId="0" borderId="16" xfId="0" applyNumberFormat="1" applyBorder="1" applyAlignment="1" applyProtection="1">
      <alignment horizontal="center" vertical="center"/>
      <protection hidden="1"/>
    </xf>
    <xf numFmtId="9" fontId="0" fillId="0" borderId="23" xfId="2" applyFont="1" applyFill="1" applyBorder="1" applyAlignment="1" applyProtection="1">
      <alignment horizontal="center" vertical="center"/>
      <protection hidden="1"/>
    </xf>
    <xf numFmtId="9" fontId="0" fillId="0" borderId="4" xfId="2" applyFont="1" applyFill="1" applyBorder="1" applyAlignment="1" applyProtection="1">
      <alignment horizontal="center" vertical="center"/>
      <protection hidden="1"/>
    </xf>
    <xf numFmtId="9" fontId="0" fillId="0" borderId="5" xfId="2" applyFont="1" applyFill="1" applyBorder="1" applyAlignment="1" applyProtection="1">
      <alignment horizontal="center" vertical="center"/>
      <protection hidden="1"/>
    </xf>
    <xf numFmtId="9" fontId="0" fillId="0" borderId="46" xfId="2" applyFont="1" applyFill="1" applyBorder="1" applyAlignment="1" applyProtection="1">
      <alignment horizontal="center" vertical="center"/>
      <protection hidden="1"/>
    </xf>
    <xf numFmtId="9" fontId="2" fillId="20" borderId="14" xfId="2" applyFont="1" applyFill="1" applyBorder="1" applyAlignment="1" applyProtection="1">
      <alignment horizontal="center" vertical="center"/>
      <protection hidden="1"/>
    </xf>
    <xf numFmtId="0" fontId="2" fillId="20" borderId="71" xfId="0" applyFont="1" applyFill="1" applyBorder="1" applyAlignment="1" applyProtection="1">
      <alignment horizontal="center" vertical="center"/>
      <protection hidden="1"/>
    </xf>
    <xf numFmtId="166" fontId="2" fillId="20" borderId="61" xfId="0" applyNumberFormat="1" applyFont="1" applyFill="1" applyBorder="1" applyAlignment="1" applyProtection="1">
      <alignment horizontal="center" vertical="center"/>
      <protection hidden="1"/>
    </xf>
    <xf numFmtId="166" fontId="2" fillId="20" borderId="62" xfId="0" applyNumberFormat="1" applyFont="1" applyFill="1" applyBorder="1" applyAlignment="1" applyProtection="1">
      <alignment horizontal="center" vertical="center"/>
      <protection hidden="1"/>
    </xf>
    <xf numFmtId="9" fontId="0" fillId="0" borderId="6" xfId="2" applyFont="1" applyFill="1" applyBorder="1" applyAlignment="1" applyProtection="1">
      <alignment horizontal="center" vertical="center"/>
      <protection hidden="1"/>
    </xf>
    <xf numFmtId="166" fontId="0" fillId="0" borderId="45" xfId="0" applyNumberFormat="1" applyBorder="1" applyAlignment="1" applyProtection="1">
      <alignment horizontal="center" vertical="center"/>
      <protection hidden="1"/>
    </xf>
    <xf numFmtId="9" fontId="0" fillId="0" borderId="28" xfId="2" applyFont="1" applyFill="1" applyBorder="1" applyAlignment="1" applyProtection="1">
      <alignment horizontal="center" vertical="center"/>
      <protection hidden="1"/>
    </xf>
    <xf numFmtId="166" fontId="2" fillId="20" borderId="32" xfId="0" applyNumberFormat="1" applyFont="1" applyFill="1" applyBorder="1" applyAlignment="1" applyProtection="1">
      <alignment horizontal="center" vertical="center"/>
      <protection hidden="1"/>
    </xf>
    <xf numFmtId="9" fontId="2" fillId="20" borderId="39" xfId="2" applyFont="1" applyFill="1" applyBorder="1" applyAlignment="1" applyProtection="1">
      <alignment horizontal="center" vertical="center"/>
      <protection hidden="1"/>
    </xf>
    <xf numFmtId="0" fontId="9" fillId="25" borderId="4" xfId="0" applyFont="1" applyFill="1" applyBorder="1" applyAlignment="1" applyProtection="1">
      <alignment horizontal="center" vertical="center"/>
      <protection hidden="1"/>
    </xf>
    <xf numFmtId="167" fontId="0" fillId="0" borderId="4" xfId="0" applyNumberFormat="1" applyBorder="1" applyAlignment="1" applyProtection="1">
      <alignment horizontal="center"/>
      <protection hidden="1"/>
    </xf>
    <xf numFmtId="166" fontId="0" fillId="0" borderId="36" xfId="0" applyNumberFormat="1" applyBorder="1" applyAlignment="1" applyProtection="1">
      <alignment horizontal="center" vertical="center"/>
      <protection hidden="1"/>
    </xf>
    <xf numFmtId="166" fontId="0" fillId="0" borderId="46" xfId="0" applyNumberFormat="1" applyBorder="1" applyAlignment="1" applyProtection="1">
      <alignment horizontal="center" vertical="center"/>
      <protection hidden="1"/>
    </xf>
    <xf numFmtId="166" fontId="2" fillId="20" borderId="63" xfId="0" applyNumberFormat="1" applyFont="1" applyFill="1" applyBorder="1" applyAlignment="1" applyProtection="1">
      <alignment horizontal="center" vertical="center"/>
      <protection hidden="1"/>
    </xf>
    <xf numFmtId="166" fontId="2" fillId="20" borderId="64" xfId="0" applyNumberFormat="1" applyFont="1" applyFill="1" applyBorder="1" applyAlignment="1" applyProtection="1">
      <alignment horizontal="center" vertical="center"/>
      <protection hidden="1"/>
    </xf>
    <xf numFmtId="166" fontId="2" fillId="20" borderId="66" xfId="0" applyNumberFormat="1" applyFont="1" applyFill="1" applyBorder="1" applyAlignment="1" applyProtection="1">
      <alignment horizontal="center" vertical="center"/>
      <protection hidden="1"/>
    </xf>
    <xf numFmtId="167" fontId="0" fillId="10" borderId="4" xfId="0" applyNumberFormat="1" applyFill="1" applyBorder="1" applyAlignment="1" applyProtection="1">
      <alignment horizontal="center"/>
      <protection hidden="1"/>
    </xf>
    <xf numFmtId="166" fontId="0" fillId="0" borderId="44" xfId="0" applyNumberFormat="1" applyBorder="1" applyAlignment="1" applyProtection="1">
      <alignment horizontal="center" vertical="center"/>
      <protection hidden="1"/>
    </xf>
    <xf numFmtId="166" fontId="2" fillId="20" borderId="40" xfId="0" applyNumberFormat="1" applyFont="1" applyFill="1" applyBorder="1" applyAlignment="1" applyProtection="1">
      <alignment horizontal="center" vertical="center"/>
      <protection hidden="1"/>
    </xf>
    <xf numFmtId="171" fontId="2" fillId="25" borderId="4" xfId="0" applyNumberFormat="1" applyFont="1" applyFill="1" applyBorder="1" applyAlignment="1" applyProtection="1">
      <alignment horizontal="center" vertical="center"/>
      <protection hidden="1"/>
    </xf>
    <xf numFmtId="166" fontId="0" fillId="0" borderId="76" xfId="0" applyNumberFormat="1" applyBorder="1" applyAlignment="1" applyProtection="1">
      <alignment horizontal="center" vertical="center"/>
      <protection hidden="1"/>
    </xf>
    <xf numFmtId="166" fontId="0" fillId="0" borderId="7" xfId="0" applyNumberFormat="1" applyBorder="1" applyAlignment="1" applyProtection="1">
      <alignment horizontal="center" vertical="center"/>
      <protection hidden="1"/>
    </xf>
    <xf numFmtId="179" fontId="9" fillId="25" borderId="4" xfId="1" applyNumberFormat="1" applyFont="1" applyFill="1" applyBorder="1" applyAlignment="1" applyProtection="1">
      <alignment horizontal="center" vertical="center" wrapText="1"/>
      <protection hidden="1"/>
    </xf>
    <xf numFmtId="168" fontId="9" fillId="25" borderId="4" xfId="1" applyNumberFormat="1" applyFont="1" applyFill="1" applyBorder="1" applyAlignment="1" applyProtection="1">
      <alignment horizontal="center" vertical="center" wrapText="1"/>
      <protection hidden="1"/>
    </xf>
    <xf numFmtId="166" fontId="0" fillId="6" borderId="4" xfId="1" applyNumberFormat="1" applyFont="1" applyFill="1" applyBorder="1" applyAlignment="1" applyProtection="1">
      <alignment horizontal="center"/>
      <protection hidden="1"/>
    </xf>
    <xf numFmtId="166" fontId="29" fillId="6" borderId="4" xfId="2" applyNumberFormat="1" applyFont="1" applyFill="1" applyBorder="1" applyAlignment="1" applyProtection="1">
      <alignment horizontal="center"/>
      <protection hidden="1"/>
    </xf>
    <xf numFmtId="166" fontId="0" fillId="0" borderId="4" xfId="1" applyNumberFormat="1" applyFont="1" applyFill="1" applyBorder="1" applyAlignment="1" applyProtection="1">
      <alignment horizontal="center"/>
      <protection hidden="1"/>
    </xf>
    <xf numFmtId="166" fontId="29" fillId="0" borderId="4" xfId="2" applyNumberFormat="1" applyFont="1" applyFill="1" applyBorder="1" applyAlignment="1" applyProtection="1">
      <alignment horizontal="center"/>
      <protection hidden="1"/>
    </xf>
    <xf numFmtId="166" fontId="0" fillId="10" borderId="4" xfId="1" applyNumberFormat="1" applyFont="1" applyFill="1" applyBorder="1" applyAlignment="1" applyProtection="1">
      <alignment horizontal="center"/>
      <protection hidden="1"/>
    </xf>
    <xf numFmtId="166" fontId="29" fillId="10" borderId="4" xfId="2" applyNumberFormat="1" applyFont="1" applyFill="1" applyBorder="1" applyAlignment="1" applyProtection="1">
      <alignment horizontal="center"/>
      <protection hidden="1"/>
    </xf>
    <xf numFmtId="166" fontId="2" fillId="25" borderId="4" xfId="0" applyNumberFormat="1" applyFont="1" applyFill="1" applyBorder="1" applyAlignment="1" applyProtection="1">
      <alignment horizontal="center" vertical="center"/>
      <protection hidden="1"/>
    </xf>
    <xf numFmtId="0" fontId="0" fillId="6" borderId="4" xfId="1" applyNumberFormat="1" applyFont="1" applyFill="1" applyBorder="1" applyAlignment="1" applyProtection="1">
      <alignment horizontal="center"/>
      <protection hidden="1"/>
    </xf>
    <xf numFmtId="166" fontId="0" fillId="0" borderId="0" xfId="0" applyNumberFormat="1" applyProtection="1">
      <protection hidden="1"/>
    </xf>
    <xf numFmtId="0" fontId="0" fillId="0" borderId="0" xfId="0" applyAlignment="1" applyProtection="1">
      <alignment horizontal="center" vertical="center"/>
      <protection locked="0"/>
    </xf>
    <xf numFmtId="166" fontId="4" fillId="7" borderId="0" xfId="0" applyNumberFormat="1" applyFont="1" applyFill="1" applyAlignment="1" applyProtection="1">
      <alignment horizontal="center"/>
      <protection locked="0"/>
    </xf>
    <xf numFmtId="0" fontId="4" fillId="6" borderId="0" xfId="1" applyNumberFormat="1" applyFont="1" applyFill="1" applyBorder="1" applyAlignment="1" applyProtection="1">
      <alignment horizontal="center" vertical="center"/>
      <protection locked="0"/>
    </xf>
    <xf numFmtId="170" fontId="4" fillId="7" borderId="0" xfId="0" applyNumberFormat="1" applyFont="1" applyFill="1" applyAlignment="1" applyProtection="1">
      <alignment vertical="center"/>
      <protection locked="0"/>
    </xf>
    <xf numFmtId="170" fontId="4" fillId="6" borderId="0" xfId="0" applyNumberFormat="1" applyFont="1" applyFill="1" applyAlignment="1" applyProtection="1">
      <alignment horizontal="center" vertical="center"/>
      <protection locked="0"/>
    </xf>
    <xf numFmtId="0" fontId="10" fillId="6" borderId="0" xfId="0" applyFont="1" applyFill="1" applyAlignment="1" applyProtection="1">
      <alignment horizontal="center" vertical="center"/>
      <protection locked="0"/>
    </xf>
    <xf numFmtId="174" fontId="4" fillId="6" borderId="0" xfId="0" applyNumberFormat="1" applyFont="1" applyFill="1" applyAlignment="1" applyProtection="1">
      <alignment horizontal="center" vertical="center"/>
      <protection locked="0"/>
    </xf>
    <xf numFmtId="0" fontId="4" fillId="6" borderId="0" xfId="0" applyFont="1" applyFill="1" applyAlignment="1" applyProtection="1">
      <alignment horizontal="center" vertical="center" wrapText="1"/>
      <protection locked="0"/>
    </xf>
    <xf numFmtId="0" fontId="15" fillId="7" borderId="0" xfId="0" applyFont="1" applyFill="1" applyAlignment="1" applyProtection="1">
      <alignment horizontal="center" vertical="center"/>
      <protection locked="0"/>
    </xf>
    <xf numFmtId="173" fontId="4" fillId="6" borderId="0" xfId="0" applyNumberFormat="1" applyFont="1" applyFill="1" applyAlignment="1" applyProtection="1">
      <alignment horizontal="center" vertical="center" wrapText="1"/>
      <protection locked="0"/>
    </xf>
    <xf numFmtId="170" fontId="4" fillId="6" borderId="0" xfId="0" applyNumberFormat="1" applyFont="1" applyFill="1" applyAlignment="1" applyProtection="1">
      <alignment horizontal="center" vertical="center"/>
      <protection hidden="1"/>
    </xf>
    <xf numFmtId="0" fontId="3" fillId="0" borderId="56" xfId="0" applyFont="1" applyBorder="1" applyAlignment="1" applyProtection="1">
      <alignment horizontal="center" vertical="center" wrapText="1"/>
      <protection hidden="1"/>
    </xf>
    <xf numFmtId="0" fontId="3" fillId="10" borderId="12" xfId="0" applyFont="1" applyFill="1" applyBorder="1" applyAlignment="1" applyProtection="1">
      <alignment horizontal="center" vertical="center" wrapText="1"/>
      <protection hidden="1"/>
    </xf>
    <xf numFmtId="0" fontId="3" fillId="10" borderId="14" xfId="0" applyFont="1" applyFill="1" applyBorder="1" applyAlignment="1" applyProtection="1">
      <alignment horizontal="center" vertical="center" wrapText="1"/>
      <protection hidden="1"/>
    </xf>
    <xf numFmtId="0" fontId="3" fillId="10" borderId="13" xfId="0" applyFont="1" applyFill="1" applyBorder="1" applyAlignment="1" applyProtection="1">
      <alignment horizontal="center" vertical="center" wrapText="1"/>
      <protection hidden="1"/>
    </xf>
    <xf numFmtId="0" fontId="4" fillId="0" borderId="36" xfId="1" applyNumberFormat="1" applyFont="1" applyFill="1" applyBorder="1" applyAlignment="1" applyProtection="1">
      <alignment horizontal="center" vertical="center"/>
      <protection hidden="1"/>
    </xf>
    <xf numFmtId="0" fontId="4" fillId="11" borderId="35" xfId="1" applyNumberFormat="1" applyFont="1" applyFill="1" applyBorder="1" applyAlignment="1" applyProtection="1">
      <alignment horizontal="center" vertical="center"/>
      <protection hidden="1"/>
    </xf>
    <xf numFmtId="166" fontId="3" fillId="12" borderId="65" xfId="1" applyNumberFormat="1" applyFont="1" applyFill="1" applyBorder="1" applyAlignment="1" applyProtection="1">
      <alignment horizontal="center" vertical="center"/>
      <protection hidden="1"/>
    </xf>
    <xf numFmtId="0" fontId="3" fillId="0" borderId="9" xfId="0" applyFont="1" applyBorder="1" applyAlignment="1" applyProtection="1">
      <alignment horizontal="center" vertical="center" wrapText="1"/>
      <protection hidden="1"/>
    </xf>
    <xf numFmtId="0" fontId="3" fillId="10" borderId="14" xfId="1" applyNumberFormat="1" applyFont="1" applyFill="1" applyBorder="1" applyAlignment="1" applyProtection="1">
      <alignment horizontal="center" vertical="center" wrapText="1"/>
      <protection hidden="1"/>
    </xf>
    <xf numFmtId="1" fontId="4" fillId="0" borderId="35" xfId="1" applyNumberFormat="1" applyFont="1" applyFill="1" applyBorder="1" applyAlignment="1" applyProtection="1">
      <alignment horizontal="center" vertical="center"/>
      <protection hidden="1"/>
    </xf>
    <xf numFmtId="1" fontId="4" fillId="0" borderId="44" xfId="1" applyNumberFormat="1" applyFont="1" applyFill="1" applyBorder="1" applyAlignment="1" applyProtection="1">
      <alignment horizontal="center" vertical="center"/>
      <protection hidden="1"/>
    </xf>
    <xf numFmtId="1" fontId="3" fillId="12" borderId="40" xfId="0" applyNumberFormat="1" applyFont="1" applyFill="1" applyBorder="1" applyAlignment="1" applyProtection="1">
      <alignment horizontal="center" vertical="center"/>
      <protection hidden="1"/>
    </xf>
    <xf numFmtId="0" fontId="3" fillId="0" borderId="19" xfId="0" applyFont="1" applyBorder="1" applyAlignment="1" applyProtection="1">
      <alignment vertical="center"/>
      <protection hidden="1"/>
    </xf>
    <xf numFmtId="0" fontId="3" fillId="0" borderId="71" xfId="0" applyFont="1" applyBorder="1" applyAlignment="1" applyProtection="1">
      <alignment horizontal="center" vertical="center"/>
      <protection hidden="1"/>
    </xf>
    <xf numFmtId="0" fontId="3" fillId="10" borderId="61" xfId="0" applyFont="1" applyFill="1" applyBorder="1" applyAlignment="1" applyProtection="1">
      <alignment horizontal="center" vertical="center"/>
      <protection hidden="1"/>
    </xf>
    <xf numFmtId="0" fontId="3" fillId="10" borderId="62" xfId="0" applyFont="1" applyFill="1" applyBorder="1" applyAlignment="1" applyProtection="1">
      <alignment horizontal="center" vertical="center"/>
      <protection hidden="1"/>
    </xf>
    <xf numFmtId="0" fontId="3" fillId="10" borderId="63" xfId="0" applyFont="1" applyFill="1" applyBorder="1" applyAlignment="1" applyProtection="1">
      <alignment horizontal="center" vertical="center"/>
      <protection hidden="1"/>
    </xf>
    <xf numFmtId="1" fontId="4" fillId="0" borderId="36" xfId="1" applyNumberFormat="1" applyFont="1" applyFill="1" applyBorder="1" applyAlignment="1" applyProtection="1">
      <alignment horizontal="center" vertical="center"/>
      <protection hidden="1"/>
    </xf>
    <xf numFmtId="1" fontId="4" fillId="0" borderId="46" xfId="1" applyNumberFormat="1" applyFont="1" applyFill="1" applyBorder="1" applyAlignment="1" applyProtection="1">
      <alignment horizontal="center" vertical="center"/>
      <protection hidden="1"/>
    </xf>
    <xf numFmtId="0" fontId="3" fillId="0" borderId="31" xfId="0" applyFont="1" applyBorder="1" applyAlignment="1" applyProtection="1">
      <alignment vertical="center"/>
      <protection hidden="1"/>
    </xf>
    <xf numFmtId="0" fontId="3" fillId="0" borderId="57" xfId="0" applyFont="1" applyBorder="1" applyAlignment="1" applyProtection="1">
      <alignment horizontal="center" vertical="center" wrapText="1"/>
      <protection hidden="1"/>
    </xf>
    <xf numFmtId="0" fontId="3" fillId="10" borderId="64" xfId="0" applyFont="1" applyFill="1" applyBorder="1" applyAlignment="1" applyProtection="1">
      <alignment horizontal="center" vertical="center" wrapText="1"/>
      <protection hidden="1"/>
    </xf>
    <xf numFmtId="0" fontId="3" fillId="10" borderId="62" xfId="0" applyFont="1" applyFill="1" applyBorder="1" applyAlignment="1" applyProtection="1">
      <alignment horizontal="center" vertical="center" wrapText="1"/>
      <protection hidden="1"/>
    </xf>
    <xf numFmtId="0" fontId="3" fillId="10" borderId="66" xfId="0" applyFont="1" applyFill="1" applyBorder="1" applyAlignment="1" applyProtection="1">
      <alignment horizontal="center" vertical="center" wrapText="1"/>
      <protection hidden="1"/>
    </xf>
    <xf numFmtId="0" fontId="3" fillId="12" borderId="40" xfId="1" applyNumberFormat="1" applyFont="1" applyFill="1" applyBorder="1" applyAlignment="1" applyProtection="1">
      <alignment horizontal="center" vertical="center"/>
      <protection hidden="1"/>
    </xf>
    <xf numFmtId="0" fontId="3" fillId="10" borderId="62" xfId="1" applyNumberFormat="1" applyFont="1" applyFill="1" applyBorder="1" applyAlignment="1" applyProtection="1">
      <alignment horizontal="center" vertical="center" wrapText="1"/>
      <protection hidden="1"/>
    </xf>
    <xf numFmtId="0" fontId="3" fillId="12" borderId="40" xfId="0" applyFont="1" applyFill="1" applyBorder="1" applyAlignment="1" applyProtection="1">
      <alignment horizontal="center" vertical="center"/>
      <protection hidden="1"/>
    </xf>
    <xf numFmtId="0" fontId="3" fillId="0" borderId="60" xfId="0" applyFont="1" applyBorder="1" applyAlignment="1" applyProtection="1">
      <alignment horizontal="center" vertical="center" wrapText="1"/>
      <protection hidden="1"/>
    </xf>
    <xf numFmtId="0" fontId="3" fillId="10" borderId="33" xfId="0" applyFont="1" applyFill="1" applyBorder="1" applyAlignment="1" applyProtection="1">
      <alignment horizontal="center" vertical="center" wrapText="1"/>
      <protection hidden="1"/>
    </xf>
    <xf numFmtId="0" fontId="3" fillId="10" borderId="47" xfId="0" applyFont="1" applyFill="1" applyBorder="1" applyAlignment="1" applyProtection="1">
      <alignment horizontal="center" vertical="center" wrapText="1"/>
      <protection hidden="1"/>
    </xf>
    <xf numFmtId="0" fontId="3" fillId="10" borderId="40" xfId="0" applyFont="1" applyFill="1" applyBorder="1" applyAlignment="1" applyProtection="1">
      <alignment horizontal="center" vertical="center" wrapText="1"/>
      <protection hidden="1"/>
    </xf>
    <xf numFmtId="0" fontId="3" fillId="5" borderId="32" xfId="0" applyFont="1" applyFill="1" applyBorder="1" applyAlignment="1" applyProtection="1">
      <alignment horizontal="center" vertical="center"/>
      <protection hidden="1"/>
    </xf>
    <xf numFmtId="1" fontId="4" fillId="0" borderId="43" xfId="1" applyNumberFormat="1" applyFont="1" applyFill="1" applyBorder="1" applyAlignment="1" applyProtection="1">
      <alignment horizontal="center" vertical="center"/>
      <protection hidden="1"/>
    </xf>
    <xf numFmtId="1" fontId="4" fillId="11" borderId="35" xfId="1" applyNumberFormat="1" applyFont="1" applyFill="1" applyBorder="1" applyAlignment="1" applyProtection="1">
      <alignment horizontal="center" vertical="center"/>
      <protection hidden="1"/>
    </xf>
    <xf numFmtId="1" fontId="4" fillId="11" borderId="44" xfId="1" applyNumberFormat="1" applyFont="1" applyFill="1" applyBorder="1" applyAlignment="1" applyProtection="1">
      <alignment horizontal="center" vertical="center"/>
      <protection hidden="1"/>
    </xf>
    <xf numFmtId="1" fontId="4" fillId="0" borderId="25" xfId="1" applyNumberFormat="1" applyFont="1" applyFill="1" applyBorder="1" applyAlignment="1" applyProtection="1">
      <alignment horizontal="center" vertical="center"/>
      <protection hidden="1"/>
    </xf>
    <xf numFmtId="1" fontId="4" fillId="0" borderId="30" xfId="1" applyNumberFormat="1" applyFont="1" applyFill="1" applyBorder="1" applyAlignment="1" applyProtection="1">
      <alignment horizontal="center" vertical="center"/>
      <protection hidden="1"/>
    </xf>
    <xf numFmtId="0" fontId="2" fillId="17" borderId="58" xfId="0" applyFont="1" applyFill="1" applyBorder="1" applyAlignment="1" applyProtection="1">
      <alignment horizontal="center" vertical="center"/>
      <protection hidden="1"/>
    </xf>
    <xf numFmtId="0" fontId="3" fillId="10" borderId="49" xfId="0" applyFont="1" applyFill="1" applyBorder="1" applyAlignment="1" applyProtection="1">
      <alignment horizontal="center" vertical="center" wrapText="1"/>
      <protection hidden="1"/>
    </xf>
    <xf numFmtId="0" fontId="3" fillId="10" borderId="50" xfId="0" applyFont="1" applyFill="1" applyBorder="1" applyAlignment="1" applyProtection="1">
      <alignment horizontal="center" vertical="center" wrapText="1"/>
      <protection hidden="1"/>
    </xf>
    <xf numFmtId="0" fontId="3" fillId="0" borderId="19" xfId="0" applyFont="1" applyBorder="1" applyAlignment="1" applyProtection="1">
      <alignment horizontal="center" vertical="center" wrapText="1"/>
      <protection hidden="1"/>
    </xf>
    <xf numFmtId="0" fontId="3" fillId="10" borderId="63" xfId="0" applyFont="1" applyFill="1" applyBorder="1" applyAlignment="1" applyProtection="1">
      <alignment horizontal="center" vertical="center" wrapText="1"/>
      <protection hidden="1"/>
    </xf>
    <xf numFmtId="0" fontId="2" fillId="17" borderId="59" xfId="0" applyFont="1" applyFill="1" applyBorder="1" applyAlignment="1" applyProtection="1">
      <alignment horizontal="center" vertical="center"/>
      <protection hidden="1"/>
    </xf>
    <xf numFmtId="0" fontId="25" fillId="22" borderId="4" xfId="0" applyFont="1" applyFill="1" applyBorder="1" applyAlignment="1">
      <alignment horizontal="center" vertical="center"/>
    </xf>
    <xf numFmtId="0" fontId="2" fillId="20" borderId="4" xfId="0" applyFont="1" applyFill="1" applyBorder="1" applyAlignment="1">
      <alignment horizontal="center" vertical="center"/>
    </xf>
    <xf numFmtId="0" fontId="24" fillId="20" borderId="4" xfId="0" applyFont="1" applyFill="1" applyBorder="1" applyAlignment="1">
      <alignment horizontal="center" vertical="center"/>
    </xf>
    <xf numFmtId="0" fontId="26" fillId="22" borderId="4" xfId="0" applyFont="1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9" fontId="0" fillId="0" borderId="4" xfId="2" applyFon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2" fillId="20" borderId="4" xfId="0" applyNumberFormat="1" applyFont="1" applyFill="1" applyBorder="1" applyAlignment="1">
      <alignment horizontal="center" vertical="center"/>
    </xf>
    <xf numFmtId="9" fontId="2" fillId="20" borderId="4" xfId="2" applyFont="1" applyFill="1" applyBorder="1" applyAlignment="1">
      <alignment horizontal="center" vertical="center"/>
    </xf>
    <xf numFmtId="9" fontId="0" fillId="0" borderId="4" xfId="2" applyFont="1" applyFill="1" applyBorder="1" applyAlignment="1">
      <alignment horizontal="center" vertical="center"/>
    </xf>
    <xf numFmtId="166" fontId="27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2" fillId="17" borderId="0" xfId="0" applyNumberFormat="1" applyFont="1" applyFill="1" applyAlignment="1">
      <alignment horizontal="center" vertical="center"/>
    </xf>
    <xf numFmtId="173" fontId="30" fillId="0" borderId="0" xfId="0" applyNumberFormat="1" applyFont="1" applyAlignment="1">
      <alignment horizontal="center" vertical="center"/>
    </xf>
    <xf numFmtId="0" fontId="9" fillId="25" borderId="4" xfId="0" applyFont="1" applyFill="1" applyBorder="1" applyAlignment="1">
      <alignment horizontal="center" vertical="center"/>
    </xf>
    <xf numFmtId="176" fontId="9" fillId="25" borderId="4" xfId="0" applyNumberFormat="1" applyFont="1" applyFill="1" applyBorder="1" applyAlignment="1">
      <alignment horizontal="center" vertical="center" wrapText="1"/>
    </xf>
    <xf numFmtId="180" fontId="9" fillId="2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52" xfId="0" applyFill="1" applyBorder="1" applyAlignment="1">
      <alignment horizontal="center"/>
    </xf>
    <xf numFmtId="171" fontId="2" fillId="25" borderId="1" xfId="0" applyNumberFormat="1" applyFont="1" applyFill="1" applyBorder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2" fillId="25" borderId="4" xfId="0" applyFont="1" applyFill="1" applyBorder="1" applyAlignment="1">
      <alignment horizontal="center" vertical="center"/>
    </xf>
    <xf numFmtId="168" fontId="0" fillId="0" borderId="0" xfId="1" applyNumberFormat="1" applyFont="1" applyAlignment="1">
      <alignment horizontal="center" vertical="center"/>
    </xf>
    <xf numFmtId="0" fontId="9" fillId="25" borderId="4" xfId="0" applyFont="1" applyFill="1" applyBorder="1" applyAlignment="1">
      <alignment horizontal="center" vertical="center" wrapText="1"/>
    </xf>
    <xf numFmtId="179" fontId="9" fillId="25" borderId="4" xfId="1" applyNumberFormat="1" applyFont="1" applyFill="1" applyBorder="1" applyAlignment="1">
      <alignment horizontal="center" vertical="center" wrapText="1"/>
    </xf>
    <xf numFmtId="168" fontId="9" fillId="25" borderId="4" xfId="1" applyNumberFormat="1" applyFont="1" applyFill="1" applyBorder="1" applyAlignment="1">
      <alignment horizontal="center" vertical="center" wrapText="1"/>
    </xf>
    <xf numFmtId="166" fontId="0" fillId="6" borderId="52" xfId="0" applyNumberFormat="1" applyFill="1" applyBorder="1" applyAlignment="1">
      <alignment horizontal="center"/>
    </xf>
    <xf numFmtId="166" fontId="0" fillId="6" borderId="52" xfId="1" applyNumberFormat="1" applyFont="1" applyFill="1" applyBorder="1" applyAlignment="1">
      <alignment horizontal="center"/>
    </xf>
    <xf numFmtId="166" fontId="29" fillId="6" borderId="52" xfId="2" applyNumberFormat="1" applyFont="1" applyFill="1" applyBorder="1" applyAlignment="1">
      <alignment horizontal="center"/>
    </xf>
    <xf numFmtId="166" fontId="0" fillId="0" borderId="4" xfId="1" applyNumberFormat="1" applyFont="1" applyFill="1" applyBorder="1" applyAlignment="1">
      <alignment horizontal="center"/>
    </xf>
    <xf numFmtId="166" fontId="0" fillId="11" borderId="52" xfId="0" applyNumberFormat="1" applyFill="1" applyBorder="1" applyAlignment="1">
      <alignment horizontal="center"/>
    </xf>
    <xf numFmtId="166" fontId="0" fillId="11" borderId="52" xfId="1" applyNumberFormat="1" applyFont="1" applyFill="1" applyBorder="1" applyAlignment="1">
      <alignment horizontal="center"/>
    </xf>
    <xf numFmtId="166" fontId="29" fillId="11" borderId="52" xfId="2" applyNumberFormat="1" applyFont="1" applyFill="1" applyBorder="1" applyAlignment="1">
      <alignment horizontal="center"/>
    </xf>
    <xf numFmtId="166" fontId="2" fillId="25" borderId="1" xfId="0" applyNumberFormat="1" applyFont="1" applyFill="1" applyBorder="1" applyAlignment="1">
      <alignment horizontal="center" vertical="center"/>
    </xf>
    <xf numFmtId="166" fontId="2" fillId="25" borderId="4" xfId="1" applyNumberFormat="1" applyFont="1" applyFill="1" applyBorder="1" applyAlignment="1">
      <alignment horizontal="center" vertical="center"/>
    </xf>
    <xf numFmtId="168" fontId="0" fillId="0" borderId="0" xfId="1" applyNumberFormat="1" applyFont="1"/>
    <xf numFmtId="0" fontId="0" fillId="6" borderId="4" xfId="1" applyNumberFormat="1" applyFont="1" applyFill="1" applyBorder="1" applyAlignment="1">
      <alignment horizontal="center"/>
    </xf>
    <xf numFmtId="166" fontId="29" fillId="6" borderId="4" xfId="2" applyNumberFormat="1" applyFont="1" applyFill="1" applyBorder="1" applyAlignment="1">
      <alignment horizontal="center"/>
    </xf>
    <xf numFmtId="166" fontId="0" fillId="6" borderId="4" xfId="1" applyNumberFormat="1" applyFont="1" applyFill="1" applyBorder="1" applyAlignment="1">
      <alignment horizontal="center"/>
    </xf>
    <xf numFmtId="166" fontId="2" fillId="25" borderId="4" xfId="0" applyNumberFormat="1" applyFont="1" applyFill="1" applyBorder="1" applyAlignment="1">
      <alignment horizontal="center" vertical="center"/>
    </xf>
    <xf numFmtId="0" fontId="4" fillId="27" borderId="0" xfId="0" applyFont="1" applyFill="1" applyAlignment="1" applyProtection="1">
      <alignment vertical="center"/>
      <protection locked="0"/>
    </xf>
    <xf numFmtId="166" fontId="27" fillId="0" borderId="4" xfId="0" applyNumberFormat="1" applyFont="1" applyBorder="1" applyAlignment="1" applyProtection="1">
      <alignment horizontal="center" vertical="center"/>
      <protection hidden="1"/>
    </xf>
    <xf numFmtId="166" fontId="27" fillId="0" borderId="5" xfId="0" applyNumberFormat="1" applyFont="1" applyBorder="1" applyAlignment="1" applyProtection="1">
      <alignment horizontal="center" vertical="center"/>
      <protection hidden="1"/>
    </xf>
    <xf numFmtId="166" fontId="27" fillId="0" borderId="24" xfId="0" applyNumberFormat="1" applyFont="1" applyBorder="1" applyAlignment="1" applyProtection="1">
      <alignment horizontal="center" vertical="center"/>
      <protection hidden="1"/>
    </xf>
    <xf numFmtId="166" fontId="27" fillId="0" borderId="23" xfId="0" applyNumberFormat="1" applyFont="1" applyBorder="1" applyAlignment="1" applyProtection="1">
      <alignment horizontal="center" vertical="center"/>
      <protection hidden="1"/>
    </xf>
    <xf numFmtId="166" fontId="27" fillId="0" borderId="3" xfId="0" applyNumberFormat="1" applyFont="1" applyBorder="1" applyAlignment="1" applyProtection="1">
      <alignment horizontal="center" vertical="center"/>
      <protection hidden="1"/>
    </xf>
    <xf numFmtId="166" fontId="27" fillId="0" borderId="29" xfId="0" applyNumberFormat="1" applyFont="1" applyBorder="1" applyAlignment="1" applyProtection="1">
      <alignment horizontal="center" vertical="center"/>
      <protection hidden="1"/>
    </xf>
    <xf numFmtId="166" fontId="27" fillId="0" borderId="28" xfId="0" applyNumberFormat="1" applyFont="1" applyBorder="1" applyAlignment="1" applyProtection="1">
      <alignment horizontal="center" vertical="center"/>
      <protection hidden="1"/>
    </xf>
    <xf numFmtId="166" fontId="27" fillId="0" borderId="1" xfId="0" applyNumberFormat="1" applyFont="1" applyBorder="1" applyAlignment="1" applyProtection="1">
      <alignment horizontal="center" vertical="center"/>
      <protection hidden="1"/>
    </xf>
    <xf numFmtId="166" fontId="27" fillId="0" borderId="25" xfId="0" applyNumberFormat="1" applyFont="1" applyBorder="1" applyAlignment="1" applyProtection="1">
      <alignment horizontal="center" vertical="center"/>
      <protection hidden="1"/>
    </xf>
    <xf numFmtId="166" fontId="27" fillId="0" borderId="30" xfId="0" applyNumberFormat="1" applyFont="1" applyBorder="1" applyAlignment="1" applyProtection="1">
      <alignment horizontal="center" vertical="center"/>
      <protection hidden="1"/>
    </xf>
    <xf numFmtId="167" fontId="0" fillId="23" borderId="4" xfId="0" applyNumberFormat="1" applyFill="1" applyBorder="1" applyAlignment="1" applyProtection="1">
      <alignment horizontal="center"/>
      <protection hidden="1"/>
    </xf>
    <xf numFmtId="166" fontId="0" fillId="23" borderId="4" xfId="1" applyNumberFormat="1" applyFont="1" applyFill="1" applyBorder="1" applyAlignment="1" applyProtection="1">
      <alignment horizontal="center"/>
      <protection hidden="1"/>
    </xf>
    <xf numFmtId="166" fontId="29" fillId="23" borderId="4" xfId="2" applyNumberFormat="1" applyFont="1" applyFill="1" applyBorder="1" applyAlignment="1" applyProtection="1">
      <alignment horizontal="center"/>
      <protection hidden="1"/>
    </xf>
    <xf numFmtId="9" fontId="0" fillId="0" borderId="6" xfId="2" applyFont="1" applyBorder="1" applyAlignment="1" applyProtection="1">
      <alignment horizontal="center" vertical="center"/>
      <protection hidden="1"/>
    </xf>
    <xf numFmtId="9" fontId="0" fillId="0" borderId="4" xfId="2" applyFont="1" applyBorder="1" applyAlignment="1" applyProtection="1">
      <alignment horizontal="center" vertical="center"/>
      <protection hidden="1"/>
    </xf>
    <xf numFmtId="9" fontId="0" fillId="0" borderId="5" xfId="2" applyFont="1" applyBorder="1" applyAlignment="1" applyProtection="1">
      <alignment horizontal="center" vertical="center"/>
      <protection hidden="1"/>
    </xf>
    <xf numFmtId="0" fontId="27" fillId="0" borderId="42" xfId="0" applyFont="1" applyBorder="1" applyAlignment="1" applyProtection="1">
      <alignment horizontal="center" vertical="center"/>
      <protection hidden="1"/>
    </xf>
    <xf numFmtId="9" fontId="0" fillId="0" borderId="38" xfId="2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 vertical="center"/>
      <protection hidden="1"/>
    </xf>
    <xf numFmtId="0" fontId="24" fillId="20" borderId="28" xfId="0" applyFont="1" applyFill="1" applyBorder="1" applyAlignment="1" applyProtection="1">
      <alignment horizontal="center" vertical="center"/>
      <protection hidden="1"/>
    </xf>
    <xf numFmtId="0" fontId="26" fillId="22" borderId="16" xfId="0" applyFont="1" applyFill="1" applyBorder="1" applyAlignment="1" applyProtection="1">
      <alignment horizontal="center" vertical="center"/>
      <protection hidden="1"/>
    </xf>
    <xf numFmtId="0" fontId="26" fillId="22" borderId="41" xfId="0" applyFont="1" applyFill="1" applyBorder="1" applyAlignment="1" applyProtection="1">
      <alignment horizontal="center" vertical="center"/>
      <protection hidden="1"/>
    </xf>
    <xf numFmtId="0" fontId="2" fillId="20" borderId="41" xfId="0" applyFont="1" applyFill="1" applyBorder="1" applyAlignment="1" applyProtection="1">
      <alignment horizontal="center" vertical="center"/>
      <protection hidden="1"/>
    </xf>
    <xf numFmtId="166" fontId="2" fillId="20" borderId="4" xfId="0" applyNumberFormat="1" applyFont="1" applyFill="1" applyBorder="1" applyAlignment="1" applyProtection="1">
      <alignment horizontal="center" vertical="center"/>
      <protection hidden="1"/>
    </xf>
    <xf numFmtId="166" fontId="2" fillId="20" borderId="43" xfId="0" applyNumberFormat="1" applyFont="1" applyFill="1" applyBorder="1" applyAlignment="1" applyProtection="1">
      <alignment horizontal="center" vertical="center"/>
      <protection hidden="1"/>
    </xf>
    <xf numFmtId="0" fontId="2" fillId="20" borderId="27" xfId="0" applyFont="1" applyFill="1" applyBorder="1" applyAlignment="1" applyProtection="1">
      <alignment horizontal="center" vertical="center"/>
      <protection hidden="1"/>
    </xf>
    <xf numFmtId="166" fontId="2" fillId="20" borderId="28" xfId="0" applyNumberFormat="1" applyFont="1" applyFill="1" applyBorder="1" applyAlignment="1" applyProtection="1">
      <alignment horizontal="center" vertical="center"/>
      <protection hidden="1"/>
    </xf>
    <xf numFmtId="166" fontId="2" fillId="20" borderId="44" xfId="0" applyNumberFormat="1" applyFont="1" applyFill="1" applyBorder="1" applyAlignment="1" applyProtection="1">
      <alignment horizontal="center" vertical="center"/>
      <protection hidden="1"/>
    </xf>
    <xf numFmtId="0" fontId="31" fillId="28" borderId="32" xfId="0" applyFont="1" applyFill="1" applyBorder="1" applyAlignment="1" applyProtection="1">
      <alignment horizontal="center" vertical="center"/>
      <protection hidden="1"/>
    </xf>
    <xf numFmtId="166" fontId="23" fillId="28" borderId="39" xfId="0" applyNumberFormat="1" applyFont="1" applyFill="1" applyBorder="1" applyAlignment="1" applyProtection="1">
      <alignment horizontal="center" vertical="center"/>
      <protection hidden="1"/>
    </xf>
    <xf numFmtId="166" fontId="23" fillId="28" borderId="40" xfId="0" applyNumberFormat="1" applyFont="1" applyFill="1" applyBorder="1" applyAlignment="1" applyProtection="1">
      <alignment horizontal="center" vertical="center"/>
      <protection hidden="1"/>
    </xf>
    <xf numFmtId="0" fontId="26" fillId="22" borderId="27" xfId="0" applyFont="1" applyFill="1" applyBorder="1" applyAlignment="1" applyProtection="1">
      <alignment horizontal="center" vertical="center"/>
      <protection hidden="1"/>
    </xf>
    <xf numFmtId="0" fontId="2" fillId="20" borderId="22" xfId="0" applyFont="1" applyFill="1" applyBorder="1" applyAlignment="1" applyProtection="1">
      <alignment horizontal="center" vertical="center"/>
      <protection hidden="1"/>
    </xf>
    <xf numFmtId="166" fontId="2" fillId="20" borderId="23" xfId="0" applyNumberFormat="1" applyFont="1" applyFill="1" applyBorder="1" applyAlignment="1" applyProtection="1">
      <alignment horizontal="center" vertical="center"/>
      <protection hidden="1"/>
    </xf>
    <xf numFmtId="166" fontId="2" fillId="20" borderId="35" xfId="0" applyNumberFormat="1" applyFont="1" applyFill="1" applyBorder="1" applyAlignment="1" applyProtection="1">
      <alignment horizontal="center" vertical="center"/>
      <protection hidden="1"/>
    </xf>
    <xf numFmtId="0" fontId="26" fillId="22" borderId="22" xfId="0" applyFont="1" applyFill="1" applyBorder="1" applyAlignment="1" applyProtection="1">
      <alignment horizontal="center" vertical="center"/>
      <protection hidden="1"/>
    </xf>
    <xf numFmtId="166" fontId="0" fillId="0" borderId="35" xfId="0" applyNumberFormat="1" applyBorder="1" applyAlignment="1" applyProtection="1">
      <alignment horizontal="center" vertical="center"/>
      <protection hidden="1"/>
    </xf>
    <xf numFmtId="0" fontId="26" fillId="22" borderId="45" xfId="0" applyFont="1" applyFill="1" applyBorder="1" applyAlignment="1" applyProtection="1">
      <alignment horizontal="center" vertical="center"/>
      <protection hidden="1"/>
    </xf>
    <xf numFmtId="173" fontId="0" fillId="0" borderId="0" xfId="0" applyNumberFormat="1" applyAlignment="1" applyProtection="1">
      <alignment horizontal="center" vertical="center"/>
      <protection hidden="1"/>
    </xf>
    <xf numFmtId="166" fontId="27" fillId="0" borderId="0" xfId="0" applyNumberFormat="1" applyFont="1" applyAlignment="1" applyProtection="1">
      <alignment horizontal="center" vertical="center"/>
      <protection hidden="1"/>
    </xf>
    <xf numFmtId="0" fontId="24" fillId="29" borderId="28" xfId="0" applyFont="1" applyFill="1" applyBorder="1" applyAlignment="1" applyProtection="1">
      <alignment horizontal="center" vertical="center"/>
      <protection hidden="1"/>
    </xf>
    <xf numFmtId="0" fontId="24" fillId="29" borderId="44" xfId="0" applyFont="1" applyFill="1" applyBorder="1" applyAlignment="1" applyProtection="1">
      <alignment horizontal="center" vertical="center"/>
      <protection hidden="1"/>
    </xf>
    <xf numFmtId="166" fontId="2" fillId="20" borderId="41" xfId="0" applyNumberFormat="1" applyFont="1" applyFill="1" applyBorder="1" applyAlignment="1" applyProtection="1">
      <alignment horizontal="center" vertical="center"/>
      <protection hidden="1"/>
    </xf>
    <xf numFmtId="166" fontId="2" fillId="20" borderId="27" xfId="0" applyNumberFormat="1" applyFont="1" applyFill="1" applyBorder="1" applyAlignment="1" applyProtection="1">
      <alignment horizontal="center" vertical="center"/>
      <protection hidden="1"/>
    </xf>
    <xf numFmtId="0" fontId="24" fillId="29" borderId="41" xfId="0" applyFont="1" applyFill="1" applyBorder="1" applyAlignment="1" applyProtection="1">
      <alignment horizontal="center" vertical="center"/>
      <protection hidden="1"/>
    </xf>
    <xf numFmtId="0" fontId="24" fillId="29" borderId="4" xfId="0" applyFont="1" applyFill="1" applyBorder="1" applyAlignment="1" applyProtection="1">
      <alignment horizontal="center" vertical="center"/>
      <protection hidden="1"/>
    </xf>
    <xf numFmtId="0" fontId="24" fillId="29" borderId="43" xfId="0" applyFont="1" applyFill="1" applyBorder="1" applyAlignment="1" applyProtection="1">
      <alignment horizontal="center" vertical="center"/>
      <protection hidden="1"/>
    </xf>
    <xf numFmtId="166" fontId="2" fillId="20" borderId="22" xfId="0" applyNumberFormat="1" applyFont="1" applyFill="1" applyBorder="1" applyAlignment="1" applyProtection="1">
      <alignment horizontal="center" vertical="center"/>
      <protection hidden="1"/>
    </xf>
    <xf numFmtId="166" fontId="2" fillId="20" borderId="24" xfId="0" applyNumberFormat="1" applyFont="1" applyFill="1" applyBorder="1" applyAlignment="1" applyProtection="1">
      <alignment horizontal="center" vertical="center"/>
      <protection hidden="1"/>
    </xf>
    <xf numFmtId="166" fontId="2" fillId="20" borderId="29" xfId="0" applyNumberFormat="1" applyFont="1" applyFill="1" applyBorder="1" applyAlignment="1" applyProtection="1">
      <alignment horizontal="center" vertical="center"/>
      <protection hidden="1"/>
    </xf>
    <xf numFmtId="166" fontId="0" fillId="11" borderId="4" xfId="1" applyNumberFormat="1" applyFont="1" applyFill="1" applyBorder="1" applyAlignment="1" applyProtection="1">
      <alignment horizontal="center"/>
      <protection hidden="1"/>
    </xf>
    <xf numFmtId="166" fontId="29" fillId="11" borderId="4" xfId="2" applyNumberFormat="1" applyFont="1" applyFill="1" applyBorder="1" applyAlignment="1" applyProtection="1">
      <alignment horizontal="center"/>
      <protection hidden="1"/>
    </xf>
    <xf numFmtId="0" fontId="24" fillId="23" borderId="5" xfId="0" applyFont="1" applyFill="1" applyBorder="1" applyAlignment="1" applyProtection="1">
      <alignment horizontal="center" vertical="center"/>
      <protection hidden="1"/>
    </xf>
    <xf numFmtId="0" fontId="24" fillId="12" borderId="5" xfId="0" applyFont="1" applyFill="1" applyBorder="1" applyAlignment="1" applyProtection="1">
      <alignment horizontal="center" vertical="center"/>
      <protection hidden="1"/>
    </xf>
    <xf numFmtId="0" fontId="24" fillId="12" borderId="46" xfId="0" applyFont="1" applyFill="1" applyBorder="1" applyAlignment="1" applyProtection="1">
      <alignment horizontal="center" vertical="center"/>
      <protection hidden="1"/>
    </xf>
    <xf numFmtId="166" fontId="27" fillId="0" borderId="35" xfId="0" applyNumberFormat="1" applyFont="1" applyBorder="1" applyAlignment="1" applyProtection="1">
      <alignment horizontal="center" vertical="center"/>
      <protection hidden="1"/>
    </xf>
    <xf numFmtId="166" fontId="27" fillId="0" borderId="43" xfId="0" applyNumberFormat="1" applyFont="1" applyBorder="1" applyAlignment="1" applyProtection="1">
      <alignment horizontal="center" vertical="center"/>
      <protection hidden="1"/>
    </xf>
    <xf numFmtId="166" fontId="27" fillId="0" borderId="44" xfId="0" applyNumberFormat="1" applyFont="1" applyBorder="1" applyAlignment="1" applyProtection="1">
      <alignment horizontal="center" vertical="center"/>
      <protection hidden="1"/>
    </xf>
    <xf numFmtId="0" fontId="27" fillId="0" borderId="24" xfId="0" applyFont="1" applyBorder="1" applyAlignment="1" applyProtection="1">
      <alignment horizontal="center" vertical="center"/>
      <protection hidden="1"/>
    </xf>
    <xf numFmtId="9" fontId="0" fillId="17" borderId="0" xfId="0" applyNumberFormat="1" applyFill="1" applyAlignment="1" applyProtection="1">
      <alignment horizontal="center" vertical="center"/>
      <protection hidden="1"/>
    </xf>
    <xf numFmtId="0" fontId="27" fillId="0" borderId="16" xfId="0" applyFont="1" applyBorder="1" applyAlignment="1" applyProtection="1">
      <alignment horizontal="center" vertical="center"/>
      <protection hidden="1"/>
    </xf>
    <xf numFmtId="0" fontId="24" fillId="12" borderId="45" xfId="0" applyFont="1" applyFill="1" applyBorder="1" applyAlignment="1" applyProtection="1">
      <alignment horizontal="center" vertical="center"/>
      <protection hidden="1"/>
    </xf>
    <xf numFmtId="166" fontId="0" fillId="0" borderId="32" xfId="0" applyNumberFormat="1" applyBorder="1" applyAlignment="1" applyProtection="1">
      <alignment horizontal="center" vertical="center"/>
      <protection hidden="1"/>
    </xf>
    <xf numFmtId="166" fontId="0" fillId="0" borderId="39" xfId="0" applyNumberFormat="1" applyBorder="1" applyAlignment="1" applyProtection="1">
      <alignment horizontal="center" vertical="center"/>
      <protection hidden="1"/>
    </xf>
    <xf numFmtId="166" fontId="2" fillId="20" borderId="42" xfId="0" applyNumberFormat="1" applyFont="1" applyFill="1" applyBorder="1" applyAlignment="1" applyProtection="1">
      <alignment horizontal="center" vertical="center"/>
      <protection hidden="1"/>
    </xf>
    <xf numFmtId="166" fontId="2" fillId="20" borderId="38" xfId="0" applyNumberFormat="1" applyFont="1" applyFill="1" applyBorder="1" applyAlignment="1" applyProtection="1">
      <alignment horizontal="center" vertical="center"/>
      <protection hidden="1"/>
    </xf>
    <xf numFmtId="0" fontId="24" fillId="12" borderId="51" xfId="0" applyFont="1" applyFill="1" applyBorder="1" applyAlignment="1" applyProtection="1">
      <alignment horizontal="center" vertical="center"/>
      <protection hidden="1"/>
    </xf>
    <xf numFmtId="166" fontId="0" fillId="0" borderId="47" xfId="0" applyNumberFormat="1" applyBorder="1" applyAlignment="1" applyProtection="1">
      <alignment horizontal="center" vertical="center"/>
      <protection hidden="1"/>
    </xf>
    <xf numFmtId="166" fontId="0" fillId="0" borderId="40" xfId="0" applyNumberFormat="1" applyBorder="1" applyAlignment="1" applyProtection="1">
      <alignment horizontal="center" vertical="center"/>
      <protection hidden="1"/>
    </xf>
    <xf numFmtId="166" fontId="2" fillId="20" borderId="7" xfId="0" applyNumberFormat="1" applyFont="1" applyFill="1" applyBorder="1" applyAlignment="1" applyProtection="1">
      <alignment horizontal="center" vertical="center"/>
      <protection hidden="1"/>
    </xf>
    <xf numFmtId="0" fontId="24" fillId="12" borderId="52" xfId="0" applyFont="1" applyFill="1" applyBorder="1" applyAlignment="1" applyProtection="1">
      <alignment horizontal="center" vertical="center"/>
      <protection hidden="1"/>
    </xf>
    <xf numFmtId="166" fontId="0" fillId="0" borderId="68" xfId="0" applyNumberFormat="1" applyBorder="1" applyAlignment="1" applyProtection="1">
      <alignment horizontal="center" vertical="center"/>
      <protection hidden="1"/>
    </xf>
    <xf numFmtId="166" fontId="0" fillId="0" borderId="77" xfId="0" applyNumberFormat="1" applyBorder="1" applyAlignment="1" applyProtection="1">
      <alignment horizontal="center" vertical="center"/>
      <protection hidden="1"/>
    </xf>
    <xf numFmtId="166" fontId="0" fillId="0" borderId="78" xfId="0" applyNumberFormat="1" applyBorder="1" applyAlignment="1" applyProtection="1">
      <alignment horizontal="center" vertical="center"/>
      <protection hidden="1"/>
    </xf>
    <xf numFmtId="166" fontId="0" fillId="0" borderId="4" xfId="0" applyNumberFormat="1" applyBorder="1" applyAlignment="1" applyProtection="1">
      <alignment horizontal="center"/>
      <protection hidden="1"/>
    </xf>
    <xf numFmtId="166" fontId="0" fillId="0" borderId="33" xfId="0" applyNumberFormat="1" applyBorder="1" applyAlignment="1" applyProtection="1">
      <alignment horizontal="center" vertical="center"/>
      <protection hidden="1"/>
    </xf>
    <xf numFmtId="166" fontId="0" fillId="0" borderId="65" xfId="0" applyNumberFormat="1" applyBorder="1" applyAlignment="1" applyProtection="1">
      <alignment horizontal="center" vertical="center"/>
      <protection hidden="1"/>
    </xf>
    <xf numFmtId="0" fontId="4" fillId="27" borderId="0" xfId="0" applyFont="1" applyFill="1" applyAlignment="1" applyProtection="1">
      <alignment horizontal="center" vertical="center"/>
      <protection locked="0"/>
    </xf>
    <xf numFmtId="0" fontId="4" fillId="27" borderId="0" xfId="1" applyNumberFormat="1" applyFont="1" applyFill="1" applyBorder="1" applyAlignment="1" applyProtection="1">
      <alignment horizontal="center" vertical="center"/>
      <protection locked="0"/>
    </xf>
    <xf numFmtId="0" fontId="4" fillId="27" borderId="0" xfId="1" applyNumberFormat="1" applyFont="1" applyFill="1" applyAlignment="1" applyProtection="1">
      <alignment horizontal="center" vertical="center"/>
      <protection locked="0"/>
    </xf>
    <xf numFmtId="0" fontId="3" fillId="27" borderId="0" xfId="0" applyFont="1" applyFill="1" applyAlignment="1" applyProtection="1">
      <alignment horizontal="center" vertical="center"/>
      <protection locked="0"/>
    </xf>
    <xf numFmtId="170" fontId="3" fillId="27" borderId="0" xfId="0" applyNumberFormat="1" applyFont="1" applyFill="1" applyAlignment="1" applyProtection="1">
      <alignment horizontal="center" vertical="center"/>
      <protection locked="0"/>
    </xf>
    <xf numFmtId="0" fontId="10" fillId="27" borderId="0" xfId="0" applyFont="1" applyFill="1" applyAlignment="1" applyProtection="1">
      <alignment horizontal="center" vertical="center"/>
      <protection locked="0"/>
    </xf>
    <xf numFmtId="174" fontId="4" fillId="27" borderId="0" xfId="0" applyNumberFormat="1" applyFont="1" applyFill="1" applyAlignment="1" applyProtection="1">
      <alignment horizontal="center" vertical="center"/>
      <protection locked="0"/>
    </xf>
    <xf numFmtId="175" fontId="4" fillId="27" borderId="0" xfId="0" applyNumberFormat="1" applyFont="1" applyFill="1" applyAlignment="1" applyProtection="1">
      <alignment horizontal="center" vertical="center" wrapText="1"/>
      <protection locked="0"/>
    </xf>
    <xf numFmtId="0" fontId="4" fillId="27" borderId="0" xfId="0" applyFont="1" applyFill="1" applyAlignment="1" applyProtection="1">
      <alignment horizontal="center" vertical="center" wrapText="1"/>
      <protection locked="0"/>
    </xf>
    <xf numFmtId="170" fontId="4" fillId="27" borderId="0" xfId="0" applyNumberFormat="1" applyFont="1" applyFill="1" applyAlignment="1" applyProtection="1">
      <alignment horizontal="center" vertical="center"/>
      <protection hidden="1"/>
    </xf>
    <xf numFmtId="0" fontId="3" fillId="10" borderId="61" xfId="0" applyFont="1" applyFill="1" applyBorder="1" applyAlignment="1" applyProtection="1">
      <alignment horizontal="center" vertical="center" wrapText="1"/>
      <protection hidden="1"/>
    </xf>
    <xf numFmtId="0" fontId="4" fillId="0" borderId="44" xfId="1" applyNumberFormat="1" applyFont="1" applyFill="1" applyBorder="1" applyAlignment="1" applyProtection="1">
      <alignment horizontal="center" vertical="center"/>
      <protection hidden="1"/>
    </xf>
    <xf numFmtId="170" fontId="4" fillId="11" borderId="16" xfId="1" applyNumberFormat="1" applyFont="1" applyFill="1" applyBorder="1" applyAlignment="1" applyProtection="1">
      <alignment horizontal="center" vertical="center"/>
      <protection hidden="1"/>
    </xf>
    <xf numFmtId="170" fontId="4" fillId="11" borderId="6" xfId="1" applyNumberFormat="1" applyFont="1" applyFill="1" applyBorder="1" applyAlignment="1" applyProtection="1">
      <alignment horizontal="center" vertical="center"/>
      <protection hidden="1"/>
    </xf>
    <xf numFmtId="0" fontId="4" fillId="11" borderId="36" xfId="1" applyNumberFormat="1" applyFont="1" applyFill="1" applyBorder="1" applyAlignment="1" applyProtection="1">
      <alignment horizontal="center" vertical="center"/>
      <protection hidden="1"/>
    </xf>
    <xf numFmtId="9" fontId="4" fillId="14" borderId="0" xfId="0" applyNumberFormat="1" applyFont="1" applyFill="1" applyAlignment="1" applyProtection="1">
      <alignment horizontal="center" vertical="center"/>
      <protection locked="0"/>
    </xf>
    <xf numFmtId="170" fontId="13" fillId="14" borderId="0" xfId="0" applyNumberFormat="1" applyFont="1" applyFill="1" applyAlignment="1" applyProtection="1">
      <alignment horizontal="center"/>
      <protection locked="0"/>
    </xf>
    <xf numFmtId="0" fontId="3" fillId="7" borderId="0" xfId="0" applyFont="1" applyFill="1" applyAlignment="1" applyProtection="1">
      <alignment horizontal="center" vertical="center" wrapText="1"/>
      <protection locked="0"/>
    </xf>
    <xf numFmtId="166" fontId="4" fillId="15" borderId="0" xfId="1" applyNumberFormat="1" applyFont="1" applyFill="1" applyBorder="1" applyAlignment="1" applyProtection="1">
      <alignment horizontal="center" vertical="center"/>
      <protection locked="0"/>
    </xf>
    <xf numFmtId="0" fontId="4" fillId="15" borderId="0" xfId="1" applyNumberFormat="1" applyFont="1" applyFill="1" applyAlignment="1" applyProtection="1">
      <alignment horizontal="center" vertical="center"/>
      <protection locked="0"/>
    </xf>
    <xf numFmtId="0" fontId="3" fillId="15" borderId="0" xfId="0" applyFont="1" applyFill="1" applyAlignment="1" applyProtection="1">
      <alignment horizontal="center" vertical="center"/>
      <protection locked="0"/>
    </xf>
    <xf numFmtId="166" fontId="4" fillId="15" borderId="0" xfId="0" applyNumberFormat="1" applyFont="1" applyFill="1" applyAlignment="1" applyProtection="1">
      <alignment horizontal="center" vertical="center"/>
      <protection locked="0"/>
    </xf>
    <xf numFmtId="0" fontId="11" fillId="15" borderId="0" xfId="0" applyFont="1" applyFill="1" applyAlignment="1" applyProtection="1">
      <alignment horizontal="center" vertical="center"/>
      <protection locked="0"/>
    </xf>
    <xf numFmtId="170" fontId="3" fillId="15" borderId="0" xfId="0" applyNumberFormat="1" applyFont="1" applyFill="1" applyAlignment="1" applyProtection="1">
      <alignment horizontal="center" vertical="center"/>
      <protection locked="0"/>
    </xf>
    <xf numFmtId="170" fontId="4" fillId="15" borderId="0" xfId="0" applyNumberFormat="1" applyFont="1" applyFill="1" applyAlignment="1" applyProtection="1">
      <alignment horizontal="center" vertical="center" wrapText="1"/>
      <protection locked="0"/>
    </xf>
    <xf numFmtId="0" fontId="0" fillId="15" borderId="0" xfId="0" applyFill="1" applyAlignment="1" applyProtection="1">
      <alignment horizontal="center" vertical="center"/>
      <protection locked="0"/>
    </xf>
    <xf numFmtId="0" fontId="4" fillId="15" borderId="0" xfId="2" applyNumberFormat="1" applyFont="1" applyFill="1" applyBorder="1" applyAlignment="1" applyProtection="1">
      <alignment horizontal="center" vertical="center"/>
      <protection locked="0"/>
    </xf>
    <xf numFmtId="0" fontId="4" fillId="0" borderId="35" xfId="1" applyNumberFormat="1" applyFont="1" applyFill="1" applyBorder="1" applyAlignment="1" applyProtection="1">
      <alignment horizontal="center" vertical="center"/>
      <protection hidden="1"/>
    </xf>
    <xf numFmtId="0" fontId="4" fillId="0" borderId="17" xfId="1" applyNumberFormat="1" applyFont="1" applyFill="1" applyBorder="1" applyAlignment="1" applyProtection="1">
      <alignment horizontal="center" vertical="center"/>
      <protection hidden="1"/>
    </xf>
    <xf numFmtId="0" fontId="4" fillId="0" borderId="6" xfId="1" applyNumberFormat="1" applyFont="1" applyFill="1" applyBorder="1" applyAlignment="1" applyProtection="1">
      <alignment horizontal="center" vertical="center"/>
      <protection hidden="1"/>
    </xf>
    <xf numFmtId="170" fontId="4" fillId="0" borderId="25" xfId="1" applyNumberFormat="1" applyFont="1" applyFill="1" applyBorder="1" applyAlignment="1" applyProtection="1">
      <alignment horizontal="center" vertical="center"/>
      <protection hidden="1"/>
    </xf>
    <xf numFmtId="0" fontId="4" fillId="8" borderId="0" xfId="0" applyFont="1" applyFill="1" applyAlignment="1" applyProtection="1">
      <alignment vertical="center"/>
      <protection locked="0"/>
    </xf>
    <xf numFmtId="170" fontId="3" fillId="7" borderId="0" xfId="0" applyNumberFormat="1" applyFont="1" applyFill="1" applyAlignment="1" applyProtection="1">
      <alignment horizontal="center" vertical="center" wrapText="1"/>
      <protection locked="0"/>
    </xf>
    <xf numFmtId="0" fontId="4" fillId="8" borderId="0" xfId="0" applyFont="1" applyFill="1" applyAlignment="1" applyProtection="1">
      <alignment horizontal="center" vertical="center"/>
      <protection locked="0"/>
    </xf>
    <xf numFmtId="0" fontId="4" fillId="8" borderId="0" xfId="1" applyNumberFormat="1" applyFont="1" applyFill="1" applyBorder="1" applyAlignment="1" applyProtection="1">
      <alignment horizontal="center" vertical="center"/>
      <protection locked="0"/>
    </xf>
    <xf numFmtId="0" fontId="10" fillId="8" borderId="0" xfId="0" applyFont="1" applyFill="1" applyAlignment="1" applyProtection="1">
      <alignment horizontal="center" vertical="center"/>
      <protection locked="0"/>
    </xf>
    <xf numFmtId="0" fontId="4" fillId="8" borderId="0" xfId="0" applyFont="1" applyFill="1" applyAlignment="1" applyProtection="1">
      <alignment horizontal="center" vertical="center" wrapText="1"/>
      <protection locked="0"/>
    </xf>
    <xf numFmtId="170" fontId="4" fillId="8" borderId="0" xfId="0" applyNumberFormat="1" applyFont="1" applyFill="1" applyAlignment="1" applyProtection="1">
      <alignment horizontal="center" vertical="center"/>
      <protection locked="0"/>
    </xf>
    <xf numFmtId="174" fontId="4" fillId="8" borderId="0" xfId="0" applyNumberFormat="1" applyFont="1" applyFill="1" applyAlignment="1" applyProtection="1">
      <alignment horizontal="center" vertical="center"/>
      <protection locked="0"/>
    </xf>
    <xf numFmtId="170" fontId="4" fillId="8" borderId="0" xfId="0" applyNumberFormat="1" applyFont="1" applyFill="1" applyAlignment="1" applyProtection="1">
      <alignment horizontal="center" vertical="center" wrapText="1"/>
      <protection locked="0"/>
    </xf>
    <xf numFmtId="0" fontId="8" fillId="17" borderId="0" xfId="0" applyFont="1" applyFill="1" applyAlignment="1" applyProtection="1">
      <alignment horizontal="center" vertical="center" wrapText="1"/>
      <protection hidden="1"/>
    </xf>
    <xf numFmtId="170" fontId="4" fillId="8" borderId="0" xfId="0" applyNumberFormat="1" applyFont="1" applyFill="1" applyAlignment="1" applyProtection="1">
      <alignment horizontal="center" vertical="center"/>
      <protection hidden="1"/>
    </xf>
    <xf numFmtId="173" fontId="4" fillId="8" borderId="0" xfId="0" applyNumberFormat="1" applyFont="1" applyFill="1" applyAlignment="1" applyProtection="1">
      <alignment horizontal="center" vertical="center" wrapText="1"/>
      <protection locked="0"/>
    </xf>
    <xf numFmtId="0" fontId="10" fillId="7" borderId="0" xfId="0" applyFont="1" applyFill="1" applyAlignment="1" applyProtection="1">
      <alignment horizontal="center" vertical="center" wrapText="1"/>
      <protection locked="0"/>
    </xf>
    <xf numFmtId="0" fontId="4" fillId="8" borderId="0" xfId="1" applyNumberFormat="1" applyFont="1" applyFill="1" applyAlignment="1" applyProtection="1">
      <alignment horizontal="center" vertical="center"/>
      <protection locked="0"/>
    </xf>
    <xf numFmtId="0" fontId="3" fillId="8" borderId="0" xfId="0" applyFont="1" applyFill="1" applyAlignment="1" applyProtection="1">
      <alignment horizontal="center" vertical="center"/>
      <protection locked="0"/>
    </xf>
    <xf numFmtId="170" fontId="3" fillId="8" borderId="0" xfId="0" applyNumberFormat="1" applyFont="1" applyFill="1" applyAlignment="1" applyProtection="1">
      <alignment horizontal="center" vertical="center"/>
      <protection locked="0"/>
    </xf>
    <xf numFmtId="9" fontId="3" fillId="4" borderId="13" xfId="0" applyNumberFormat="1" applyFont="1" applyFill="1" applyBorder="1" applyAlignment="1" applyProtection="1">
      <alignment horizontal="center" vertical="center"/>
      <protection hidden="1"/>
    </xf>
    <xf numFmtId="0" fontId="3" fillId="12" borderId="34" xfId="0" applyFont="1" applyFill="1" applyBorder="1" applyAlignment="1" applyProtection="1">
      <alignment horizontal="center" vertical="center"/>
      <protection hidden="1"/>
    </xf>
    <xf numFmtId="0" fontId="3" fillId="12" borderId="65" xfId="0" applyFont="1" applyFill="1" applyBorder="1" applyAlignment="1" applyProtection="1">
      <alignment horizontal="center" vertical="center"/>
      <protection hidden="1"/>
    </xf>
    <xf numFmtId="170" fontId="4" fillId="11" borderId="45" xfId="1" applyNumberFormat="1" applyFont="1" applyFill="1" applyBorder="1" applyAlignment="1" applyProtection="1">
      <alignment horizontal="center" vertical="center"/>
      <protection hidden="1"/>
    </xf>
    <xf numFmtId="170" fontId="4" fillId="11" borderId="5" xfId="1" applyNumberFormat="1" applyFont="1" applyFill="1" applyBorder="1" applyAlignment="1" applyProtection="1">
      <alignment horizontal="center" vertical="center"/>
      <protection hidden="1"/>
    </xf>
    <xf numFmtId="1" fontId="4" fillId="11" borderId="46" xfId="1" applyNumberFormat="1" applyFont="1" applyFill="1" applyBorder="1" applyAlignment="1" applyProtection="1">
      <alignment horizontal="center" vertical="center"/>
      <protection hidden="1"/>
    </xf>
    <xf numFmtId="170" fontId="4" fillId="11" borderId="51" xfId="1" applyNumberFormat="1" applyFont="1" applyFill="1" applyBorder="1" applyAlignment="1" applyProtection="1">
      <alignment horizontal="center" vertical="center"/>
      <protection hidden="1"/>
    </xf>
    <xf numFmtId="0" fontId="4" fillId="11" borderId="52" xfId="0" applyFont="1" applyFill="1" applyBorder="1" applyAlignment="1" applyProtection="1">
      <alignment horizontal="center" vertical="center"/>
      <protection hidden="1"/>
    </xf>
    <xf numFmtId="0" fontId="3" fillId="11" borderId="20" xfId="0" applyFont="1" applyFill="1" applyBorder="1" applyAlignment="1" applyProtection="1">
      <alignment horizontal="center" vertical="center"/>
      <protection hidden="1"/>
    </xf>
    <xf numFmtId="0" fontId="4" fillId="11" borderId="51" xfId="0" applyFont="1" applyFill="1" applyBorder="1" applyAlignment="1" applyProtection="1">
      <alignment horizontal="center" vertical="center"/>
      <protection hidden="1"/>
    </xf>
    <xf numFmtId="0" fontId="3" fillId="0" borderId="9" xfId="0" applyFont="1" applyBorder="1" applyAlignment="1" applyProtection="1">
      <alignment horizontal="center" vertical="center"/>
      <protection hidden="1"/>
    </xf>
    <xf numFmtId="0" fontId="3" fillId="10" borderId="37" xfId="0" applyFont="1" applyFill="1" applyBorder="1" applyAlignment="1" applyProtection="1">
      <alignment horizontal="center" vertical="center" wrapText="1"/>
      <protection hidden="1"/>
    </xf>
    <xf numFmtId="0" fontId="3" fillId="10" borderId="7" xfId="0" applyFont="1" applyFill="1" applyBorder="1" applyAlignment="1" applyProtection="1">
      <alignment horizontal="center" vertical="center" wrapText="1"/>
      <protection hidden="1"/>
    </xf>
    <xf numFmtId="0" fontId="3" fillId="10" borderId="48" xfId="0" applyFont="1" applyFill="1" applyBorder="1" applyAlignment="1" applyProtection="1">
      <alignment horizontal="center" vertical="center" wrapText="1"/>
      <protection hidden="1"/>
    </xf>
    <xf numFmtId="0" fontId="3" fillId="5" borderId="42" xfId="0" applyFont="1" applyFill="1" applyBorder="1" applyAlignment="1" applyProtection="1">
      <alignment horizontal="center" vertical="center"/>
      <protection hidden="1"/>
    </xf>
    <xf numFmtId="0" fontId="3" fillId="5" borderId="38" xfId="0" applyFont="1" applyFill="1" applyBorder="1" applyAlignment="1" applyProtection="1">
      <alignment horizontal="center" vertical="center" wrapText="1"/>
      <protection hidden="1"/>
    </xf>
    <xf numFmtId="1" fontId="3" fillId="5" borderId="7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37" xfId="0" applyFont="1" applyFill="1" applyBorder="1" applyAlignment="1" applyProtection="1">
      <alignment horizontal="center" vertical="center" wrapText="1"/>
      <protection hidden="1"/>
    </xf>
    <xf numFmtId="0" fontId="4" fillId="0" borderId="64" xfId="0" applyFont="1" applyBorder="1" applyAlignment="1" applyProtection="1">
      <alignment horizontal="center" vertical="center"/>
      <protection hidden="1"/>
    </xf>
    <xf numFmtId="170" fontId="4" fillId="0" borderId="62" xfId="1" applyNumberFormat="1" applyFont="1" applyFill="1" applyBorder="1" applyAlignment="1" applyProtection="1">
      <alignment horizontal="center" vertical="center"/>
      <protection hidden="1"/>
    </xf>
    <xf numFmtId="0" fontId="4" fillId="0" borderId="66" xfId="0" applyFont="1" applyBorder="1" applyAlignment="1" applyProtection="1">
      <alignment horizontal="center" vertical="center"/>
      <protection hidden="1"/>
    </xf>
    <xf numFmtId="0" fontId="3" fillId="12" borderId="10" xfId="0" applyFont="1" applyFill="1" applyBorder="1" applyAlignment="1" applyProtection="1">
      <alignment horizontal="center" vertical="center"/>
      <protection hidden="1"/>
    </xf>
    <xf numFmtId="9" fontId="4" fillId="11" borderId="5" xfId="2" applyFont="1" applyFill="1" applyBorder="1" applyAlignment="1" applyProtection="1">
      <alignment horizontal="center" vertical="center"/>
      <protection hidden="1"/>
    </xf>
    <xf numFmtId="9" fontId="4" fillId="11" borderId="46" xfId="2" applyFont="1" applyFill="1" applyBorder="1" applyAlignment="1" applyProtection="1">
      <alignment horizontal="center" vertical="center"/>
      <protection hidden="1"/>
    </xf>
    <xf numFmtId="0" fontId="3" fillId="4" borderId="40" xfId="0" applyFont="1" applyFill="1" applyBorder="1" applyAlignment="1" applyProtection="1">
      <alignment horizontal="center" vertical="center"/>
      <protection hidden="1"/>
    </xf>
    <xf numFmtId="177" fontId="3" fillId="5" borderId="37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38" xfId="0" applyNumberFormat="1" applyFont="1" applyFill="1" applyBorder="1" applyAlignment="1" applyProtection="1">
      <alignment horizontal="center" vertical="center" wrapText="1"/>
      <protection hidden="1"/>
    </xf>
    <xf numFmtId="177" fontId="3" fillId="5" borderId="48" xfId="0" applyNumberFormat="1" applyFont="1" applyFill="1" applyBorder="1" applyAlignment="1" applyProtection="1">
      <alignment horizontal="center" vertical="center" wrapText="1"/>
      <protection hidden="1"/>
    </xf>
    <xf numFmtId="9" fontId="3" fillId="12" borderId="13" xfId="2" applyFont="1" applyFill="1" applyBorder="1" applyAlignment="1" applyProtection="1">
      <alignment horizontal="center" vertical="center"/>
      <protection hidden="1"/>
    </xf>
    <xf numFmtId="166" fontId="3" fillId="12" borderId="32" xfId="0" applyNumberFormat="1" applyFont="1" applyFill="1" applyBorder="1" applyAlignment="1" applyProtection="1">
      <alignment horizontal="center" vertical="center"/>
      <protection hidden="1"/>
    </xf>
    <xf numFmtId="170" fontId="4" fillId="11" borderId="46" xfId="1" applyNumberFormat="1" applyFont="1" applyFill="1" applyBorder="1" applyAlignment="1" applyProtection="1">
      <alignment horizontal="center" vertical="center"/>
      <protection hidden="1"/>
    </xf>
    <xf numFmtId="0" fontId="3" fillId="4" borderId="48" xfId="0" applyFont="1" applyFill="1" applyBorder="1" applyAlignment="1" applyProtection="1">
      <alignment horizontal="center" vertical="center" wrapText="1"/>
      <protection hidden="1"/>
    </xf>
    <xf numFmtId="0" fontId="3" fillId="12" borderId="11" xfId="0" applyFont="1" applyFill="1" applyBorder="1" applyAlignment="1" applyProtection="1">
      <alignment horizontal="center" vertical="center"/>
      <protection hidden="1"/>
    </xf>
    <xf numFmtId="0" fontId="4" fillId="7" borderId="0" xfId="0" applyFont="1" applyFill="1" applyProtection="1">
      <protection locked="0"/>
    </xf>
    <xf numFmtId="0" fontId="4" fillId="0" borderId="0" xfId="0" applyFont="1" applyAlignment="1" applyProtection="1">
      <alignment horizontal="center"/>
      <protection hidden="1"/>
    </xf>
    <xf numFmtId="0" fontId="4" fillId="0" borderId="0" xfId="0" applyFont="1" applyProtection="1">
      <protection locked="0"/>
    </xf>
    <xf numFmtId="0" fontId="3" fillId="31" borderId="0" xfId="0" applyFont="1" applyFill="1" applyAlignment="1" applyProtection="1">
      <alignment horizontal="center" vertical="center" wrapText="1"/>
      <protection locked="0"/>
    </xf>
    <xf numFmtId="0" fontId="13" fillId="7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4" borderId="11" xfId="0" applyFont="1" applyFill="1" applyBorder="1" applyAlignment="1" applyProtection="1">
      <alignment horizontal="center"/>
      <protection hidden="1"/>
    </xf>
    <xf numFmtId="0" fontId="3" fillId="0" borderId="72" xfId="0" applyFont="1" applyBorder="1" applyAlignment="1" applyProtection="1">
      <alignment horizontal="center"/>
      <protection hidden="1"/>
    </xf>
    <xf numFmtId="170" fontId="4" fillId="0" borderId="17" xfId="1" applyNumberFormat="1" applyFont="1" applyFill="1" applyBorder="1" applyAlignment="1" applyProtection="1">
      <alignment horizontal="center"/>
      <protection hidden="1"/>
    </xf>
    <xf numFmtId="0" fontId="4" fillId="0" borderId="18" xfId="1" applyNumberFormat="1" applyFont="1" applyFill="1" applyBorder="1" applyAlignment="1" applyProtection="1">
      <alignment horizontal="center"/>
      <protection hidden="1"/>
    </xf>
    <xf numFmtId="170" fontId="4" fillId="0" borderId="6" xfId="1" applyNumberFormat="1" applyFont="1" applyFill="1" applyBorder="1" applyAlignment="1" applyProtection="1">
      <alignment horizontal="center"/>
      <protection hidden="1"/>
    </xf>
    <xf numFmtId="0" fontId="4" fillId="0" borderId="36" xfId="0" applyFont="1" applyBorder="1" applyAlignment="1" applyProtection="1">
      <alignment horizontal="center"/>
      <protection hidden="1"/>
    </xf>
    <xf numFmtId="0" fontId="4" fillId="7" borderId="0" xfId="0" applyFont="1" applyFill="1" applyAlignment="1" applyProtection="1">
      <alignment horizontal="center"/>
      <protection locked="0"/>
    </xf>
    <xf numFmtId="174" fontId="4" fillId="7" borderId="0" xfId="0" applyNumberFormat="1" applyFont="1" applyFill="1" applyAlignment="1" applyProtection="1">
      <alignment horizontal="center"/>
      <protection locked="0"/>
    </xf>
    <xf numFmtId="9" fontId="4" fillId="0" borderId="6" xfId="2" applyFont="1" applyFill="1" applyBorder="1" applyAlignment="1" applyProtection="1">
      <alignment horizontal="center"/>
      <protection hidden="1"/>
    </xf>
    <xf numFmtId="9" fontId="4" fillId="0" borderId="18" xfId="2" applyFont="1" applyFill="1" applyBorder="1" applyAlignment="1" applyProtection="1">
      <alignment horizontal="center"/>
      <protection hidden="1"/>
    </xf>
    <xf numFmtId="0" fontId="10" fillId="7" borderId="0" xfId="0" applyFont="1" applyFill="1" applyAlignment="1" applyProtection="1">
      <alignment horizontal="center"/>
      <protection locked="0"/>
    </xf>
    <xf numFmtId="170" fontId="4" fillId="7" borderId="0" xfId="0" applyNumberFormat="1" applyFont="1" applyFill="1" applyAlignment="1" applyProtection="1">
      <alignment horizontal="center"/>
      <protection hidden="1"/>
    </xf>
    <xf numFmtId="0" fontId="10" fillId="0" borderId="0" xfId="0" applyFont="1" applyAlignment="1" applyProtection="1">
      <alignment horizontal="center"/>
      <protection locked="0"/>
    </xf>
    <xf numFmtId="170" fontId="4" fillId="0" borderId="0" xfId="0" applyNumberFormat="1" applyFont="1" applyAlignment="1" applyProtection="1">
      <alignment horizontal="center"/>
      <protection hidden="1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wrapText="1"/>
      <protection locked="0"/>
    </xf>
    <xf numFmtId="0" fontId="4" fillId="0" borderId="0" xfId="0" applyFont="1" applyAlignment="1" applyProtection="1">
      <alignment horizontal="center" wrapText="1"/>
      <protection hidden="1"/>
    </xf>
    <xf numFmtId="0" fontId="3" fillId="0" borderId="69" xfId="0" applyFont="1" applyBorder="1" applyAlignment="1" applyProtection="1">
      <alignment horizontal="center"/>
      <protection hidden="1"/>
    </xf>
    <xf numFmtId="0" fontId="4" fillId="0" borderId="1" xfId="1" applyNumberFormat="1" applyFont="1" applyFill="1" applyBorder="1" applyAlignment="1" applyProtection="1">
      <alignment horizontal="center"/>
      <protection hidden="1"/>
    </xf>
    <xf numFmtId="170" fontId="4" fillId="0" borderId="4" xfId="1" applyNumberFormat="1" applyFont="1" applyFill="1" applyBorder="1" applyAlignment="1" applyProtection="1">
      <alignment horizontal="center"/>
      <protection hidden="1"/>
    </xf>
    <xf numFmtId="0" fontId="4" fillId="0" borderId="43" xfId="0" applyFont="1" applyBorder="1" applyAlignment="1" applyProtection="1">
      <alignment horizontal="center"/>
      <protection hidden="1"/>
    </xf>
    <xf numFmtId="0" fontId="3" fillId="0" borderId="70" xfId="0" applyFont="1" applyBorder="1" applyAlignment="1" applyProtection="1">
      <alignment horizontal="center"/>
      <protection hidden="1"/>
    </xf>
    <xf numFmtId="0" fontId="4" fillId="0" borderId="52" xfId="1" applyNumberFormat="1" applyFont="1" applyFill="1" applyBorder="1" applyAlignment="1" applyProtection="1">
      <alignment horizontal="center"/>
      <protection hidden="1"/>
    </xf>
    <xf numFmtId="170" fontId="4" fillId="0" borderId="5" xfId="1" applyNumberFormat="1" applyFont="1" applyFill="1" applyBorder="1" applyAlignment="1" applyProtection="1">
      <alignment horizontal="center"/>
      <protection hidden="1"/>
    </xf>
    <xf numFmtId="0" fontId="4" fillId="0" borderId="46" xfId="0" applyFont="1" applyBorder="1" applyAlignment="1" applyProtection="1">
      <alignment horizontal="center"/>
      <protection hidden="1"/>
    </xf>
    <xf numFmtId="0" fontId="3" fillId="12" borderId="56" xfId="0" applyFont="1" applyFill="1" applyBorder="1" applyAlignment="1" applyProtection="1">
      <alignment horizontal="center"/>
      <protection hidden="1"/>
    </xf>
    <xf numFmtId="170" fontId="3" fillId="12" borderId="49" xfId="1" applyNumberFormat="1" applyFont="1" applyFill="1" applyBorder="1" applyAlignment="1" applyProtection="1">
      <alignment horizontal="center"/>
      <protection hidden="1"/>
    </xf>
    <xf numFmtId="0" fontId="3" fillId="12" borderId="50" xfId="1" applyNumberFormat="1" applyFont="1" applyFill="1" applyBorder="1" applyAlignment="1" applyProtection="1">
      <alignment horizontal="center"/>
      <protection hidden="1"/>
    </xf>
    <xf numFmtId="170" fontId="3" fillId="12" borderId="12" xfId="1" applyNumberFormat="1" applyFont="1" applyFill="1" applyBorder="1" applyAlignment="1" applyProtection="1">
      <alignment horizontal="center"/>
      <protection hidden="1"/>
    </xf>
    <xf numFmtId="170" fontId="3" fillId="12" borderId="14" xfId="1" applyNumberFormat="1" applyFont="1" applyFill="1" applyBorder="1" applyAlignment="1" applyProtection="1">
      <alignment horizontal="center"/>
      <protection hidden="1"/>
    </xf>
    <xf numFmtId="0" fontId="3" fillId="12" borderId="13" xfId="1" applyNumberFormat="1" applyFont="1" applyFill="1" applyBorder="1" applyAlignment="1" applyProtection="1">
      <alignment horizontal="center"/>
      <protection hidden="1"/>
    </xf>
    <xf numFmtId="0" fontId="4" fillId="0" borderId="16" xfId="0" applyFont="1" applyBorder="1" applyAlignment="1" applyProtection="1">
      <alignment horizontal="center"/>
      <protection hidden="1"/>
    </xf>
    <xf numFmtId="0" fontId="4" fillId="0" borderId="45" xfId="0" applyFont="1" applyBorder="1" applyAlignment="1" applyProtection="1">
      <alignment horizontal="center"/>
      <protection hidden="1"/>
    </xf>
    <xf numFmtId="0" fontId="3" fillId="0" borderId="0" xfId="1" applyNumberFormat="1" applyFont="1" applyFill="1" applyBorder="1" applyAlignment="1" applyProtection="1">
      <alignment horizontal="center"/>
      <protection hidden="1"/>
    </xf>
    <xf numFmtId="0" fontId="3" fillId="0" borderId="0" xfId="2" applyNumberFormat="1" applyFont="1" applyFill="1" applyBorder="1" applyAlignment="1" applyProtection="1">
      <alignment horizontal="center"/>
      <protection hidden="1"/>
    </xf>
    <xf numFmtId="1" fontId="3" fillId="12" borderId="50" xfId="0" applyNumberFormat="1" applyFont="1" applyFill="1" applyBorder="1" applyAlignment="1" applyProtection="1">
      <alignment horizontal="center" vertical="center"/>
      <protection hidden="1"/>
    </xf>
    <xf numFmtId="170" fontId="3" fillId="0" borderId="0" xfId="1" applyNumberFormat="1" applyFont="1" applyFill="1" applyBorder="1" applyAlignment="1" applyProtection="1">
      <alignment horizontal="center"/>
      <protection hidden="1"/>
    </xf>
    <xf numFmtId="0" fontId="3" fillId="4" borderId="59" xfId="0" applyFont="1" applyFill="1" applyBorder="1" applyAlignment="1" applyProtection="1">
      <alignment horizontal="center"/>
      <protection hidden="1"/>
    </xf>
    <xf numFmtId="0" fontId="3" fillId="0" borderId="19" xfId="0" applyFont="1" applyBorder="1" applyProtection="1">
      <protection hidden="1"/>
    </xf>
    <xf numFmtId="0" fontId="3" fillId="0" borderId="34" xfId="0" applyFont="1" applyBorder="1" applyProtection="1">
      <protection hidden="1"/>
    </xf>
    <xf numFmtId="0" fontId="3" fillId="0" borderId="56" xfId="0" applyFont="1" applyBorder="1" applyAlignment="1" applyProtection="1">
      <alignment horizontal="center" vertical="center"/>
      <protection hidden="1"/>
    </xf>
    <xf numFmtId="0" fontId="3" fillId="10" borderId="49" xfId="0" applyFont="1" applyFill="1" applyBorder="1" applyAlignment="1" applyProtection="1">
      <alignment horizontal="center" vertical="center"/>
      <protection hidden="1"/>
    </xf>
    <xf numFmtId="0" fontId="3" fillId="10" borderId="14" xfId="0" applyFont="1" applyFill="1" applyBorder="1" applyAlignment="1" applyProtection="1">
      <alignment horizontal="center" vertical="center"/>
      <protection hidden="1"/>
    </xf>
    <xf numFmtId="0" fontId="3" fillId="10" borderId="50" xfId="0" applyFont="1" applyFill="1" applyBorder="1" applyAlignment="1" applyProtection="1">
      <alignment horizontal="center" vertical="center"/>
      <protection hidden="1"/>
    </xf>
    <xf numFmtId="0" fontId="3" fillId="0" borderId="31" xfId="0" applyFont="1" applyBorder="1" applyProtection="1">
      <protection hidden="1"/>
    </xf>
    <xf numFmtId="0" fontId="3" fillId="4" borderId="49" xfId="0" applyFont="1" applyFill="1" applyBorder="1" applyAlignment="1" applyProtection="1">
      <alignment horizontal="center" vertical="center" wrapText="1"/>
      <protection hidden="1"/>
    </xf>
    <xf numFmtId="0" fontId="3" fillId="0" borderId="55" xfId="0" applyFont="1" applyBorder="1" applyAlignment="1" applyProtection="1">
      <alignment horizontal="center"/>
      <protection hidden="1"/>
    </xf>
    <xf numFmtId="0" fontId="3" fillId="0" borderId="26" xfId="0" applyFont="1" applyBorder="1" applyAlignment="1" applyProtection="1">
      <alignment horizontal="center"/>
      <protection hidden="1"/>
    </xf>
    <xf numFmtId="0" fontId="4" fillId="0" borderId="52" xfId="0" applyFont="1" applyBorder="1" applyAlignment="1" applyProtection="1">
      <alignment horizontal="center"/>
      <protection hidden="1"/>
    </xf>
    <xf numFmtId="0" fontId="3" fillId="0" borderId="9" xfId="0" applyFont="1" applyBorder="1" applyAlignment="1" applyProtection="1">
      <alignment horizontal="center"/>
      <protection hidden="1"/>
    </xf>
    <xf numFmtId="0" fontId="3" fillId="0" borderId="21" xfId="0" applyFont="1" applyBorder="1" applyAlignment="1" applyProtection="1">
      <alignment horizontal="center"/>
      <protection hidden="1"/>
    </xf>
    <xf numFmtId="0" fontId="3" fillId="0" borderId="31" xfId="0" applyFont="1" applyBorder="1" applyAlignment="1" applyProtection="1">
      <alignment horizontal="center"/>
      <protection hidden="1"/>
    </xf>
    <xf numFmtId="9" fontId="4" fillId="0" borderId="4" xfId="2" applyFont="1" applyFill="1" applyBorder="1" applyAlignment="1" applyProtection="1">
      <alignment horizontal="center"/>
      <protection hidden="1"/>
    </xf>
    <xf numFmtId="9" fontId="4" fillId="0" borderId="1" xfId="2" applyFont="1" applyFill="1" applyBorder="1" applyAlignment="1" applyProtection="1">
      <alignment horizontal="center"/>
      <protection hidden="1"/>
    </xf>
    <xf numFmtId="0" fontId="3" fillId="12" borderId="14" xfId="0" applyFont="1" applyFill="1" applyBorder="1" applyAlignment="1" applyProtection="1">
      <alignment horizontal="center" vertical="center" wrapText="1"/>
      <protection hidden="1"/>
    </xf>
    <xf numFmtId="9" fontId="4" fillId="0" borderId="23" xfId="2" applyFont="1" applyFill="1" applyBorder="1" applyAlignment="1" applyProtection="1">
      <alignment horizontal="center"/>
      <protection hidden="1"/>
    </xf>
    <xf numFmtId="9" fontId="4" fillId="0" borderId="25" xfId="2" applyFont="1" applyFill="1" applyBorder="1" applyAlignment="1" applyProtection="1">
      <alignment horizontal="center"/>
      <protection hidden="1"/>
    </xf>
    <xf numFmtId="9" fontId="4" fillId="0" borderId="28" xfId="2" applyFont="1" applyFill="1" applyBorder="1" applyAlignment="1" applyProtection="1">
      <alignment horizontal="center"/>
      <protection hidden="1"/>
    </xf>
    <xf numFmtId="9" fontId="4" fillId="0" borderId="30" xfId="2" applyFont="1" applyFill="1" applyBorder="1" applyAlignment="1" applyProtection="1">
      <alignment horizontal="center"/>
      <protection hidden="1"/>
    </xf>
    <xf numFmtId="0" fontId="4" fillId="0" borderId="0" xfId="2" applyNumberFormat="1" applyFont="1" applyFill="1" applyBorder="1" applyAlignment="1" applyProtection="1">
      <alignment horizontal="center"/>
      <protection hidden="1"/>
    </xf>
    <xf numFmtId="0" fontId="3" fillId="5" borderId="31" xfId="0" applyFont="1" applyFill="1" applyBorder="1" applyAlignment="1" applyProtection="1">
      <alignment horizontal="center" vertical="center" wrapText="1"/>
      <protection hidden="1"/>
    </xf>
    <xf numFmtId="0" fontId="3" fillId="5" borderId="34" xfId="0" applyFont="1" applyFill="1" applyBorder="1" applyAlignment="1" applyProtection="1">
      <alignment horizontal="center" vertical="center" wrapText="1"/>
      <protection hidden="1"/>
    </xf>
    <xf numFmtId="0" fontId="4" fillId="0" borderId="16" xfId="1" applyNumberFormat="1" applyFont="1" applyFill="1" applyBorder="1" applyAlignment="1" applyProtection="1">
      <alignment horizontal="center" vertical="center"/>
      <protection hidden="1"/>
    </xf>
    <xf numFmtId="0" fontId="4" fillId="0" borderId="41" xfId="1" applyNumberFormat="1" applyFont="1" applyFill="1" applyBorder="1" applyAlignment="1" applyProtection="1">
      <alignment horizontal="center" vertical="center"/>
      <protection hidden="1"/>
    </xf>
    <xf numFmtId="0" fontId="4" fillId="0" borderId="45" xfId="1" applyNumberFormat="1" applyFont="1" applyFill="1" applyBorder="1" applyAlignment="1" applyProtection="1">
      <alignment horizontal="center" vertical="center"/>
      <protection hidden="1"/>
    </xf>
    <xf numFmtId="177" fontId="3" fillId="5" borderId="64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39" xfId="0" applyFont="1" applyBorder="1" applyAlignment="1" applyProtection="1">
      <alignment horizontal="center" vertical="center"/>
      <protection hidden="1"/>
    </xf>
    <xf numFmtId="170" fontId="4" fillId="0" borderId="30" xfId="1" applyNumberFormat="1" applyFont="1" applyFill="1" applyBorder="1" applyAlignment="1" applyProtection="1">
      <alignment horizontal="center" vertical="center"/>
      <protection hidden="1"/>
    </xf>
    <xf numFmtId="0" fontId="13" fillId="7" borderId="0" xfId="0" applyFont="1" applyFill="1" applyAlignment="1">
      <alignment horizontal="center" vertical="center"/>
    </xf>
    <xf numFmtId="174" fontId="4" fillId="0" borderId="0" xfId="0" applyNumberFormat="1" applyFont="1" applyAlignment="1" applyProtection="1">
      <alignment horizontal="center"/>
      <protection locked="0"/>
    </xf>
    <xf numFmtId="0" fontId="4" fillId="19" borderId="8" xfId="0" applyFont="1" applyFill="1" applyBorder="1" applyAlignment="1" applyProtection="1">
      <alignment horizontal="center" vertical="center"/>
      <protection locked="0"/>
    </xf>
    <xf numFmtId="0" fontId="4" fillId="14" borderId="0" xfId="0" applyFont="1" applyFill="1" applyProtection="1">
      <protection locked="0"/>
    </xf>
    <xf numFmtId="0" fontId="3" fillId="7" borderId="0" xfId="0" applyFont="1" applyFill="1" applyAlignment="1" applyProtection="1">
      <alignment horizontal="center"/>
      <protection locked="0"/>
    </xf>
    <xf numFmtId="0" fontId="4" fillId="0" borderId="0" xfId="1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74" fontId="3" fillId="0" borderId="0" xfId="0" applyNumberFormat="1" applyFont="1" applyAlignment="1" applyProtection="1">
      <alignment horizontal="center" vertical="center"/>
      <protection hidden="1"/>
    </xf>
    <xf numFmtId="0" fontId="4" fillId="0" borderId="22" xfId="1" applyNumberFormat="1" applyFont="1" applyFill="1" applyBorder="1" applyAlignment="1" applyProtection="1">
      <alignment horizontal="center" vertical="center"/>
      <protection hidden="1"/>
    </xf>
    <xf numFmtId="0" fontId="4" fillId="0" borderId="23" xfId="1" applyNumberFormat="1" applyFont="1" applyFill="1" applyBorder="1" applyAlignment="1" applyProtection="1">
      <alignment horizontal="center" vertical="center"/>
      <protection hidden="1"/>
    </xf>
    <xf numFmtId="170" fontId="4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 applyProtection="1">
      <alignment horizontal="center"/>
      <protection hidden="1"/>
    </xf>
    <xf numFmtId="170" fontId="4" fillId="0" borderId="24" xfId="1" applyNumberFormat="1" applyFont="1" applyFill="1" applyBorder="1" applyAlignment="1" applyProtection="1">
      <alignment horizontal="center" vertical="center"/>
      <protection hidden="1"/>
    </xf>
    <xf numFmtId="174" fontId="10" fillId="7" borderId="0" xfId="0" applyNumberFormat="1" applyFont="1" applyFill="1" applyAlignment="1" applyProtection="1">
      <alignment horizontal="center" vertical="center"/>
      <protection locked="0"/>
    </xf>
    <xf numFmtId="0" fontId="33" fillId="7" borderId="0" xfId="0" applyFont="1" applyFill="1" applyAlignment="1" applyProtection="1">
      <alignment horizontal="center" vertical="center"/>
      <protection locked="0"/>
    </xf>
    <xf numFmtId="170" fontId="4" fillId="0" borderId="3" xfId="1" applyNumberFormat="1" applyFont="1" applyFill="1" applyBorder="1" applyAlignment="1" applyProtection="1">
      <alignment horizontal="center"/>
      <protection hidden="1"/>
    </xf>
    <xf numFmtId="170" fontId="13" fillId="7" borderId="0" xfId="0" applyNumberFormat="1" applyFont="1" applyFill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horizontal="center"/>
      <protection hidden="1"/>
    </xf>
    <xf numFmtId="170" fontId="34" fillId="7" borderId="0" xfId="0" applyNumberFormat="1" applyFont="1" applyFill="1" applyAlignment="1" applyProtection="1">
      <alignment horizontal="center" vertical="center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hidden="1"/>
    </xf>
    <xf numFmtId="0" fontId="3" fillId="4" borderId="10" xfId="0" applyFont="1" applyFill="1" applyBorder="1" applyAlignment="1" applyProtection="1">
      <alignment horizontal="center" vertical="center" wrapText="1"/>
      <protection hidden="1"/>
    </xf>
    <xf numFmtId="0" fontId="3" fillId="5" borderId="61" xfId="0" applyFont="1" applyFill="1" applyBorder="1" applyAlignment="1" applyProtection="1">
      <alignment horizontal="center" vertical="center" wrapText="1"/>
      <protection hidden="1"/>
    </xf>
    <xf numFmtId="9" fontId="3" fillId="4" borderId="59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13" xfId="0" applyFont="1" applyFill="1" applyBorder="1" applyAlignment="1" applyProtection="1">
      <alignment horizontal="center" vertical="center" wrapText="1"/>
      <protection hidden="1"/>
    </xf>
    <xf numFmtId="9" fontId="3" fillId="4" borderId="13" xfId="0" applyNumberFormat="1" applyFont="1" applyFill="1" applyBorder="1" applyAlignment="1" applyProtection="1">
      <alignment horizontal="center" vertical="center" wrapText="1"/>
      <protection hidden="1"/>
    </xf>
    <xf numFmtId="0" fontId="3" fillId="5" borderId="65" xfId="0" applyFont="1" applyFill="1" applyBorder="1" applyAlignment="1" applyProtection="1">
      <alignment horizontal="center" vertical="center" wrapText="1"/>
      <protection hidden="1"/>
    </xf>
    <xf numFmtId="0" fontId="13" fillId="7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170" fontId="13" fillId="7" borderId="0" xfId="0" applyNumberFormat="1" applyFont="1" applyFill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0" fontId="3" fillId="5" borderId="10" xfId="0" applyFont="1" applyFill="1" applyBorder="1" applyAlignment="1" applyProtection="1">
      <alignment horizontal="center" vertical="center" wrapText="1"/>
      <protection hidden="1"/>
    </xf>
    <xf numFmtId="0" fontId="3" fillId="4" borderId="9" xfId="0" applyFont="1" applyFill="1" applyBorder="1" applyAlignment="1" applyProtection="1">
      <alignment horizontal="center" vertical="center" wrapText="1"/>
      <protection hidden="1"/>
    </xf>
    <xf numFmtId="0" fontId="3" fillId="0" borderId="18" xfId="0" applyFont="1" applyBorder="1" applyAlignment="1" applyProtection="1">
      <alignment horizontal="center"/>
      <protection hidden="1"/>
    </xf>
    <xf numFmtId="170" fontId="4" fillId="0" borderId="16" xfId="1" applyNumberFormat="1" applyFont="1" applyFill="1" applyBorder="1" applyAlignment="1" applyProtection="1">
      <alignment horizontal="center"/>
      <protection hidden="1"/>
    </xf>
    <xf numFmtId="0" fontId="4" fillId="0" borderId="36" xfId="2" applyNumberFormat="1" applyFont="1" applyFill="1" applyBorder="1" applyAlignment="1" applyProtection="1">
      <alignment horizontal="center"/>
      <protection hidden="1"/>
    </xf>
    <xf numFmtId="0" fontId="4" fillId="0" borderId="18" xfId="0" applyFont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170" fontId="4" fillId="0" borderId="41" xfId="1" applyNumberFormat="1" applyFont="1" applyFill="1" applyBorder="1" applyAlignment="1" applyProtection="1">
      <alignment horizontal="center"/>
      <protection hidden="1"/>
    </xf>
    <xf numFmtId="0" fontId="4" fillId="0" borderId="43" xfId="1" applyNumberFormat="1" applyFont="1" applyFill="1" applyBorder="1" applyAlignment="1" applyProtection="1">
      <alignment horizontal="center"/>
      <protection hidden="1"/>
    </xf>
    <xf numFmtId="0" fontId="3" fillId="0" borderId="20" xfId="0" applyFont="1" applyBorder="1" applyAlignment="1" applyProtection="1">
      <alignment horizontal="center"/>
      <protection hidden="1"/>
    </xf>
    <xf numFmtId="0" fontId="3" fillId="12" borderId="9" xfId="0" applyFont="1" applyFill="1" applyBorder="1" applyAlignment="1" applyProtection="1">
      <alignment horizontal="center"/>
      <protection hidden="1"/>
    </xf>
    <xf numFmtId="0" fontId="3" fillId="5" borderId="58" xfId="0" applyFont="1" applyFill="1" applyBorder="1" applyAlignment="1" applyProtection="1">
      <alignment horizontal="center" vertical="center" wrapText="1"/>
      <protection hidden="1"/>
    </xf>
    <xf numFmtId="0" fontId="3" fillId="5" borderId="59" xfId="0" applyFont="1" applyFill="1" applyBorder="1" applyAlignment="1" applyProtection="1">
      <alignment horizontal="center" vertical="center" wrapText="1"/>
      <protection hidden="1"/>
    </xf>
    <xf numFmtId="0" fontId="4" fillId="0" borderId="22" xfId="0" applyFont="1" applyBorder="1" applyAlignment="1" applyProtection="1">
      <alignment horizontal="center"/>
      <protection hidden="1"/>
    </xf>
    <xf numFmtId="0" fontId="4" fillId="0" borderId="35" xfId="0" applyFont="1" applyBorder="1" applyAlignment="1" applyProtection="1">
      <alignment horizontal="center"/>
      <protection hidden="1"/>
    </xf>
    <xf numFmtId="0" fontId="4" fillId="0" borderId="27" xfId="0" applyFont="1" applyBorder="1" applyAlignment="1" applyProtection="1">
      <alignment horizontal="center"/>
      <protection hidden="1"/>
    </xf>
    <xf numFmtId="0" fontId="4" fillId="0" borderId="44" xfId="0" applyFont="1" applyBorder="1" applyAlignment="1" applyProtection="1">
      <alignment horizontal="center"/>
      <protection hidden="1"/>
    </xf>
    <xf numFmtId="170" fontId="3" fillId="12" borderId="34" xfId="0" applyNumberFormat="1" applyFont="1" applyFill="1" applyBorder="1" applyAlignment="1" applyProtection="1">
      <alignment horizontal="center" vertical="center"/>
      <protection hidden="1"/>
    </xf>
    <xf numFmtId="0" fontId="3" fillId="5" borderId="49" xfId="0" applyFont="1" applyFill="1" applyBorder="1" applyAlignment="1" applyProtection="1">
      <alignment horizontal="center" vertical="center" wrapText="1"/>
      <protection hidden="1"/>
    </xf>
    <xf numFmtId="0" fontId="4" fillId="0" borderId="24" xfId="0" applyFont="1" applyBorder="1" applyAlignment="1" applyProtection="1">
      <alignment horizontal="center"/>
      <protection hidden="1"/>
    </xf>
    <xf numFmtId="0" fontId="4" fillId="0" borderId="29" xfId="0" applyFont="1" applyBorder="1" applyAlignment="1" applyProtection="1">
      <alignment horizontal="center"/>
      <protection hidden="1"/>
    </xf>
    <xf numFmtId="0" fontId="4" fillId="0" borderId="46" xfId="1" applyNumberFormat="1" applyFont="1" applyFill="1" applyBorder="1" applyAlignment="1" applyProtection="1">
      <alignment horizontal="center"/>
      <protection hidden="1"/>
    </xf>
    <xf numFmtId="170" fontId="4" fillId="0" borderId="38" xfId="1" applyNumberFormat="1" applyFont="1" applyFill="1" applyBorder="1" applyAlignment="1" applyProtection="1">
      <alignment horizontal="center"/>
      <protection hidden="1"/>
    </xf>
    <xf numFmtId="0" fontId="4" fillId="0" borderId="48" xfId="0" applyFont="1" applyBorder="1" applyAlignment="1" applyProtection="1">
      <alignment horizontal="center"/>
      <protection hidden="1"/>
    </xf>
    <xf numFmtId="0" fontId="3" fillId="5" borderId="64" xfId="0" applyFont="1" applyFill="1" applyBorder="1" applyAlignment="1" applyProtection="1">
      <alignment horizontal="center" vertical="center" wrapText="1"/>
      <protection hidden="1"/>
    </xf>
    <xf numFmtId="1" fontId="3" fillId="5" borderId="66" xfId="0" applyNumberFormat="1" applyFont="1" applyFill="1" applyBorder="1" applyAlignment="1" applyProtection="1">
      <alignment horizontal="center" vertical="center" wrapText="1"/>
      <protection hidden="1"/>
    </xf>
    <xf numFmtId="170" fontId="4" fillId="0" borderId="23" xfId="1" applyNumberFormat="1" applyFont="1" applyFill="1" applyBorder="1" applyAlignment="1" applyProtection="1">
      <alignment horizontal="center"/>
      <protection hidden="1"/>
    </xf>
    <xf numFmtId="0" fontId="3" fillId="4" borderId="11" xfId="0" applyFont="1" applyFill="1" applyBorder="1" applyAlignment="1" applyProtection="1">
      <alignment horizontal="center" vertical="center" wrapText="1"/>
      <protection hidden="1"/>
    </xf>
    <xf numFmtId="9" fontId="4" fillId="0" borderId="36" xfId="2" applyFont="1" applyFill="1" applyBorder="1" applyAlignment="1" applyProtection="1">
      <alignment horizontal="center"/>
      <protection hidden="1"/>
    </xf>
    <xf numFmtId="9" fontId="4" fillId="0" borderId="43" xfId="2" applyFont="1" applyFill="1" applyBorder="1" applyAlignment="1" applyProtection="1">
      <alignment horizontal="center"/>
      <protection hidden="1"/>
    </xf>
    <xf numFmtId="9" fontId="4" fillId="0" borderId="5" xfId="2" applyFont="1" applyFill="1" applyBorder="1" applyAlignment="1" applyProtection="1">
      <alignment horizontal="center"/>
      <protection hidden="1"/>
    </xf>
    <xf numFmtId="9" fontId="4" fillId="0" borderId="46" xfId="2" applyFont="1" applyFill="1" applyBorder="1" applyAlignment="1" applyProtection="1">
      <alignment horizontal="center"/>
      <protection hidden="1"/>
    </xf>
    <xf numFmtId="9" fontId="4" fillId="0" borderId="52" xfId="2" applyFont="1" applyFill="1" applyBorder="1" applyAlignment="1" applyProtection="1">
      <alignment horizontal="center"/>
      <protection hidden="1"/>
    </xf>
    <xf numFmtId="170" fontId="3" fillId="12" borderId="10" xfId="0" applyNumberFormat="1" applyFont="1" applyFill="1" applyBorder="1" applyAlignment="1" applyProtection="1">
      <alignment horizontal="center" vertical="center"/>
      <protection hidden="1"/>
    </xf>
    <xf numFmtId="176" fontId="3" fillId="5" borderId="64" xfId="0" applyNumberFormat="1" applyFont="1" applyFill="1" applyBorder="1" applyAlignment="1" applyProtection="1">
      <alignment horizontal="center" vertical="center" wrapText="1"/>
      <protection hidden="1"/>
    </xf>
    <xf numFmtId="0" fontId="11" fillId="8" borderId="0" xfId="0" applyFont="1" applyFill="1" applyAlignment="1">
      <alignment horizontal="center"/>
    </xf>
    <xf numFmtId="0" fontId="4" fillId="0" borderId="36" xfId="1" applyNumberFormat="1" applyFont="1" applyFill="1" applyBorder="1" applyAlignment="1" applyProtection="1">
      <alignment horizontal="center"/>
      <protection hidden="1"/>
    </xf>
    <xf numFmtId="170" fontId="3" fillId="12" borderId="10" xfId="0" applyNumberFormat="1" applyFont="1" applyFill="1" applyBorder="1" applyAlignment="1" applyProtection="1">
      <alignment horizontal="center"/>
      <protection hidden="1"/>
    </xf>
    <xf numFmtId="0" fontId="3" fillId="12" borderId="10" xfId="0" applyFont="1" applyFill="1" applyBorder="1" applyAlignment="1" applyProtection="1">
      <alignment horizontal="center"/>
      <protection hidden="1"/>
    </xf>
    <xf numFmtId="0" fontId="3" fillId="0" borderId="53" xfId="0" applyFont="1" applyBorder="1" applyAlignment="1" applyProtection="1">
      <alignment horizontal="center"/>
      <protection hidden="1"/>
    </xf>
    <xf numFmtId="0" fontId="3" fillId="0" borderId="54" xfId="0" applyFont="1" applyBorder="1" applyAlignment="1" applyProtection="1">
      <alignment horizontal="center"/>
      <protection hidden="1"/>
    </xf>
    <xf numFmtId="0" fontId="4" fillId="0" borderId="35" xfId="2" applyNumberFormat="1" applyFont="1" applyFill="1" applyBorder="1" applyAlignment="1" applyProtection="1">
      <alignment horizontal="center"/>
      <protection hidden="1"/>
    </xf>
    <xf numFmtId="166" fontId="3" fillId="12" borderId="12" xfId="1" applyNumberFormat="1" applyFont="1" applyFill="1" applyBorder="1" applyAlignment="1" applyProtection="1">
      <alignment horizontal="center"/>
      <protection hidden="1"/>
    </xf>
    <xf numFmtId="0" fontId="3" fillId="12" borderId="49" xfId="0" applyFont="1" applyFill="1" applyBorder="1" applyAlignment="1" applyProtection="1">
      <alignment horizontal="center"/>
      <protection hidden="1"/>
    </xf>
    <xf numFmtId="170" fontId="3" fillId="12" borderId="14" xfId="0" applyNumberFormat="1" applyFont="1" applyFill="1" applyBorder="1" applyAlignment="1" applyProtection="1">
      <alignment horizontal="center"/>
      <protection hidden="1"/>
    </xf>
    <xf numFmtId="0" fontId="3" fillId="12" borderId="13" xfId="0" applyFont="1" applyFill="1" applyBorder="1" applyAlignment="1" applyProtection="1">
      <alignment horizontal="center"/>
      <protection hidden="1"/>
    </xf>
    <xf numFmtId="0" fontId="3" fillId="10" borderId="32" xfId="0" applyFont="1" applyFill="1" applyBorder="1" applyAlignment="1" applyProtection="1">
      <alignment horizontal="center" vertical="center" wrapText="1"/>
      <protection hidden="1"/>
    </xf>
    <xf numFmtId="0" fontId="3" fillId="10" borderId="39" xfId="1" applyNumberFormat="1" applyFont="1" applyFill="1" applyBorder="1" applyAlignment="1" applyProtection="1">
      <alignment horizontal="center" vertical="center" wrapText="1"/>
      <protection hidden="1"/>
    </xf>
    <xf numFmtId="0" fontId="3" fillId="0" borderId="71" xfId="0" applyFont="1" applyBorder="1" applyAlignment="1" applyProtection="1">
      <alignment horizontal="center" vertical="center" wrapText="1"/>
      <protection hidden="1"/>
    </xf>
    <xf numFmtId="1" fontId="3" fillId="5" borderId="13" xfId="0" applyNumberFormat="1" applyFont="1" applyFill="1" applyBorder="1" applyAlignment="1" applyProtection="1">
      <alignment horizontal="center" vertical="center" wrapText="1"/>
      <protection hidden="1"/>
    </xf>
    <xf numFmtId="170" fontId="4" fillId="0" borderId="22" xfId="1" applyNumberFormat="1" applyFont="1" applyFill="1" applyBorder="1" applyAlignment="1" applyProtection="1">
      <alignment horizontal="center"/>
      <protection hidden="1"/>
    </xf>
    <xf numFmtId="0" fontId="3" fillId="12" borderId="60" xfId="0" applyFont="1" applyFill="1" applyBorder="1" applyAlignment="1" applyProtection="1">
      <alignment horizontal="center"/>
      <protection hidden="1"/>
    </xf>
    <xf numFmtId="1" fontId="3" fillId="12" borderId="40" xfId="1" applyNumberFormat="1" applyFont="1" applyFill="1" applyBorder="1" applyAlignment="1" applyProtection="1">
      <alignment horizontal="center"/>
      <protection hidden="1"/>
    </xf>
    <xf numFmtId="0" fontId="3" fillId="10" borderId="50" xfId="1" applyNumberFormat="1" applyFont="1" applyFill="1" applyBorder="1" applyAlignment="1" applyProtection="1">
      <alignment horizontal="center" vertical="center" wrapText="1"/>
      <protection hidden="1"/>
    </xf>
    <xf numFmtId="0" fontId="3" fillId="5" borderId="9" xfId="0" applyFont="1" applyFill="1" applyBorder="1" applyAlignment="1" applyProtection="1">
      <alignment horizontal="center" vertical="center" wrapText="1"/>
      <protection hidden="1"/>
    </xf>
    <xf numFmtId="0" fontId="4" fillId="0" borderId="57" xfId="0" applyFont="1" applyBorder="1" applyAlignment="1" applyProtection="1">
      <alignment horizontal="center" vertical="center"/>
      <protection hidden="1"/>
    </xf>
    <xf numFmtId="0" fontId="4" fillId="0" borderId="58" xfId="0" applyFont="1" applyBorder="1" applyAlignment="1" applyProtection="1">
      <alignment horizontal="center" vertical="center"/>
      <protection hidden="1"/>
    </xf>
    <xf numFmtId="0" fontId="4" fillId="0" borderId="19" xfId="0" applyFont="1" applyBorder="1" applyAlignment="1" applyProtection="1">
      <alignment horizontal="center" vertical="center"/>
      <protection hidden="1"/>
    </xf>
    <xf numFmtId="0" fontId="3" fillId="12" borderId="10" xfId="0" applyFont="1" applyFill="1" applyBorder="1" applyAlignment="1" applyProtection="1">
      <alignment horizontal="center" vertical="center" wrapText="1"/>
      <protection hidden="1"/>
    </xf>
    <xf numFmtId="0" fontId="3" fillId="5" borderId="57" xfId="0" applyFont="1" applyFill="1" applyBorder="1" applyAlignment="1" applyProtection="1">
      <alignment horizontal="center" vertical="center" wrapText="1"/>
      <protection hidden="1"/>
    </xf>
    <xf numFmtId="0" fontId="3" fillId="12" borderId="34" xfId="0" applyFont="1" applyFill="1" applyBorder="1" applyAlignment="1" applyProtection="1">
      <alignment horizontal="center" vertical="center" wrapText="1"/>
      <protection hidden="1"/>
    </xf>
    <xf numFmtId="0" fontId="4" fillId="0" borderId="58" xfId="1" applyNumberFormat="1" applyFont="1" applyFill="1" applyBorder="1" applyAlignment="1" applyProtection="1">
      <alignment horizontal="center" vertical="center"/>
      <protection hidden="1"/>
    </xf>
    <xf numFmtId="1" fontId="3" fillId="12" borderId="39" xfId="0" applyNumberFormat="1" applyFont="1" applyFill="1" applyBorder="1" applyAlignment="1" applyProtection="1">
      <alignment horizontal="center" vertical="center"/>
      <protection hidden="1"/>
    </xf>
    <xf numFmtId="0" fontId="3" fillId="32" borderId="62" xfId="0" applyFont="1" applyFill="1" applyBorder="1" applyAlignment="1" applyProtection="1">
      <alignment horizontal="center" vertical="center" wrapText="1"/>
      <protection hidden="1"/>
    </xf>
    <xf numFmtId="0" fontId="3" fillId="32" borderId="66" xfId="0" applyFont="1" applyFill="1" applyBorder="1" applyAlignment="1" applyProtection="1">
      <alignment horizontal="center" vertical="center" wrapText="1"/>
      <protection hidden="1"/>
    </xf>
    <xf numFmtId="0" fontId="4" fillId="0" borderId="59" xfId="0" applyFont="1" applyBorder="1" applyAlignment="1" applyProtection="1">
      <alignment horizontal="center" vertical="center"/>
      <protection hidden="1"/>
    </xf>
    <xf numFmtId="0" fontId="4" fillId="0" borderId="79" xfId="0" applyFont="1" applyBorder="1" applyAlignment="1" applyProtection="1">
      <alignment horizontal="center" vertical="center"/>
      <protection hidden="1"/>
    </xf>
    <xf numFmtId="0" fontId="4" fillId="0" borderId="31" xfId="0" applyFont="1" applyBorder="1" applyAlignment="1" applyProtection="1">
      <alignment horizontal="center" vertical="center"/>
      <protection hidden="1"/>
    </xf>
    <xf numFmtId="0" fontId="4" fillId="0" borderId="34" xfId="0" applyFont="1" applyBorder="1" applyAlignment="1" applyProtection="1">
      <alignment horizontal="center" vertical="center"/>
      <protection hidden="1"/>
    </xf>
    <xf numFmtId="0" fontId="4" fillId="0" borderId="65" xfId="0" applyFont="1" applyBorder="1" applyAlignment="1" applyProtection="1">
      <alignment horizontal="center" vertical="center"/>
      <protection hidden="1"/>
    </xf>
    <xf numFmtId="0" fontId="3" fillId="32" borderId="61" xfId="0" applyFont="1" applyFill="1" applyBorder="1" applyAlignment="1" applyProtection="1">
      <alignment horizontal="center" vertical="center" wrapText="1"/>
      <protection hidden="1"/>
    </xf>
    <xf numFmtId="0" fontId="3" fillId="5" borderId="11" xfId="0" applyFont="1" applyFill="1" applyBorder="1" applyAlignment="1" applyProtection="1">
      <alignment horizontal="center" vertical="center" wrapText="1"/>
      <protection hidden="1"/>
    </xf>
    <xf numFmtId="0" fontId="4" fillId="0" borderId="59" xfId="1" applyNumberFormat="1" applyFont="1" applyFill="1" applyBorder="1" applyAlignment="1" applyProtection="1">
      <alignment horizontal="center" vertical="center"/>
      <protection hidden="1"/>
    </xf>
    <xf numFmtId="0" fontId="4" fillId="0" borderId="79" xfId="1" applyNumberFormat="1" applyFont="1" applyFill="1" applyBorder="1" applyAlignment="1" applyProtection="1">
      <alignment horizontal="center" vertical="center"/>
      <protection hidden="1"/>
    </xf>
    <xf numFmtId="0" fontId="11" fillId="7" borderId="0" xfId="0" applyFont="1" applyFill="1" applyAlignment="1">
      <alignment horizontal="center"/>
    </xf>
    <xf numFmtId="0" fontId="10" fillId="8" borderId="0" xfId="0" applyFont="1" applyFill="1" applyAlignment="1" applyProtection="1">
      <alignment horizontal="center"/>
      <protection locked="0"/>
    </xf>
    <xf numFmtId="0" fontId="4" fillId="0" borderId="16" xfId="1" applyNumberFormat="1" applyFont="1" applyFill="1" applyBorder="1" applyAlignment="1" applyProtection="1">
      <alignment horizontal="center"/>
      <protection hidden="1"/>
    </xf>
    <xf numFmtId="0" fontId="3" fillId="0" borderId="52" xfId="0" applyFont="1" applyBorder="1" applyAlignment="1" applyProtection="1">
      <alignment horizontal="center"/>
      <protection hidden="1"/>
    </xf>
    <xf numFmtId="0" fontId="3" fillId="12" borderId="12" xfId="1" applyNumberFormat="1" applyFont="1" applyFill="1" applyBorder="1" applyAlignment="1" applyProtection="1">
      <alignment horizontal="center"/>
      <protection hidden="1"/>
    </xf>
    <xf numFmtId="170" fontId="4" fillId="0" borderId="37" xfId="1" applyNumberFormat="1" applyFont="1" applyFill="1" applyBorder="1" applyAlignment="1" applyProtection="1">
      <alignment horizontal="center"/>
      <protection hidden="1"/>
    </xf>
    <xf numFmtId="170" fontId="4" fillId="0" borderId="29" xfId="1" applyNumberFormat="1" applyFont="1" applyFill="1" applyBorder="1" applyAlignment="1" applyProtection="1">
      <alignment horizontal="center" vertical="center"/>
      <protection hidden="1"/>
    </xf>
    <xf numFmtId="170" fontId="3" fillId="12" borderId="47" xfId="0" applyNumberFormat="1" applyFont="1" applyFill="1" applyBorder="1" applyAlignment="1" applyProtection="1">
      <alignment horizontal="center" vertical="center"/>
      <protection hidden="1"/>
    </xf>
    <xf numFmtId="9" fontId="4" fillId="0" borderId="44" xfId="2" applyFont="1" applyFill="1" applyBorder="1" applyAlignment="1" applyProtection="1">
      <alignment horizontal="center"/>
      <protection hidden="1"/>
    </xf>
    <xf numFmtId="0" fontId="4" fillId="0" borderId="34" xfId="1" applyNumberFormat="1" applyFont="1" applyFill="1" applyBorder="1" applyAlignment="1" applyProtection="1">
      <alignment horizontal="center" vertical="center"/>
      <protection hidden="1"/>
    </xf>
    <xf numFmtId="0" fontId="4" fillId="0" borderId="65" xfId="1" applyNumberFormat="1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Protection="1">
      <protection locked="0"/>
    </xf>
    <xf numFmtId="170" fontId="20" fillId="7" borderId="0" xfId="0" applyNumberFormat="1" applyFont="1" applyFill="1" applyAlignment="1" applyProtection="1">
      <alignment horizontal="center"/>
      <protection locked="0"/>
    </xf>
    <xf numFmtId="170" fontId="4" fillId="0" borderId="9" xfId="1" applyNumberFormat="1" applyFont="1" applyFill="1" applyBorder="1" applyAlignment="1" applyProtection="1">
      <alignment horizontal="center"/>
      <protection hidden="1"/>
    </xf>
    <xf numFmtId="170" fontId="4" fillId="0" borderId="10" xfId="1" applyNumberFormat="1" applyFont="1" applyFill="1" applyBorder="1" applyAlignment="1" applyProtection="1">
      <alignment horizontal="center"/>
      <protection hidden="1"/>
    </xf>
    <xf numFmtId="0" fontId="4" fillId="0" borderId="10" xfId="1" applyNumberFormat="1" applyFont="1" applyFill="1" applyBorder="1" applyAlignment="1" applyProtection="1">
      <alignment horizontal="center"/>
      <protection hidden="1"/>
    </xf>
    <xf numFmtId="0" fontId="3" fillId="0" borderId="10" xfId="0" applyFont="1" applyBorder="1" applyAlignment="1" applyProtection="1">
      <alignment horizontal="center" vertical="center"/>
      <protection hidden="1"/>
    </xf>
    <xf numFmtId="170" fontId="3" fillId="0" borderId="10" xfId="0" applyNumberFormat="1" applyFont="1" applyBorder="1" applyAlignment="1" applyProtection="1">
      <alignment horizontal="center" vertical="center"/>
      <protection hidden="1"/>
    </xf>
    <xf numFmtId="170" fontId="3" fillId="12" borderId="31" xfId="1" applyNumberFormat="1" applyFont="1" applyFill="1" applyBorder="1" applyAlignment="1" applyProtection="1">
      <alignment horizontal="center"/>
      <protection hidden="1"/>
    </xf>
    <xf numFmtId="0" fontId="4" fillId="0" borderId="22" xfId="1" applyNumberFormat="1" applyFont="1" applyFill="1" applyBorder="1" applyAlignment="1" applyProtection="1">
      <alignment horizontal="center"/>
      <protection hidden="1"/>
    </xf>
    <xf numFmtId="0" fontId="4" fillId="0" borderId="41" xfId="1" applyNumberFormat="1" applyFont="1" applyFill="1" applyBorder="1" applyAlignment="1" applyProtection="1">
      <alignment horizontal="center"/>
      <protection hidden="1"/>
    </xf>
    <xf numFmtId="0" fontId="4" fillId="0" borderId="45" xfId="1" applyNumberFormat="1" applyFont="1" applyFill="1" applyBorder="1" applyAlignment="1" applyProtection="1">
      <alignment horizontal="center"/>
      <protection hidden="1"/>
    </xf>
    <xf numFmtId="0" fontId="4" fillId="0" borderId="17" xfId="0" applyFont="1" applyBorder="1" applyAlignment="1" applyProtection="1">
      <alignment horizontal="center"/>
      <protection hidden="1"/>
    </xf>
    <xf numFmtId="170" fontId="4" fillId="0" borderId="45" xfId="1" applyNumberFormat="1" applyFont="1" applyFill="1" applyBorder="1" applyAlignment="1" applyProtection="1">
      <alignment horizontal="center"/>
      <protection hidden="1"/>
    </xf>
    <xf numFmtId="0" fontId="3" fillId="4" borderId="61" xfId="0" applyFont="1" applyFill="1" applyBorder="1" applyAlignment="1" applyProtection="1">
      <alignment horizontal="center" vertical="center" wrapText="1"/>
      <protection hidden="1"/>
    </xf>
    <xf numFmtId="166" fontId="4" fillId="0" borderId="17" xfId="1" applyNumberFormat="1" applyFont="1" applyFill="1" applyBorder="1" applyAlignment="1" applyProtection="1">
      <alignment horizontal="center" vertical="center"/>
      <protection hidden="1"/>
    </xf>
    <xf numFmtId="170" fontId="4" fillId="0" borderId="50" xfId="0" applyNumberFormat="1" applyFont="1" applyBorder="1" applyAlignment="1" applyProtection="1">
      <alignment horizontal="center" vertical="center"/>
      <protection hidden="1"/>
    </xf>
    <xf numFmtId="0" fontId="4" fillId="0" borderId="18" xfId="1" applyNumberFormat="1" applyFont="1" applyFill="1" applyBorder="1" applyAlignment="1" applyProtection="1">
      <alignment horizontal="center" vertical="center"/>
      <protection hidden="1"/>
    </xf>
    <xf numFmtId="170" fontId="3" fillId="12" borderId="27" xfId="0" applyNumberFormat="1" applyFont="1" applyFill="1" applyBorder="1" applyAlignment="1" applyProtection="1">
      <alignment horizontal="center" vertical="center"/>
      <protection hidden="1"/>
    </xf>
    <xf numFmtId="170" fontId="3" fillId="12" borderId="28" xfId="0" applyNumberFormat="1" applyFont="1" applyFill="1" applyBorder="1" applyAlignment="1" applyProtection="1">
      <alignment horizontal="center" vertical="center"/>
      <protection hidden="1"/>
    </xf>
    <xf numFmtId="166" fontId="3" fillId="12" borderId="44" xfId="0" applyNumberFormat="1" applyFont="1" applyFill="1" applyBorder="1" applyAlignment="1" applyProtection="1">
      <alignment horizontal="center" vertical="center"/>
      <protection hidden="1"/>
    </xf>
    <xf numFmtId="170" fontId="3" fillId="12" borderId="29" xfId="0" applyNumberFormat="1" applyFont="1" applyFill="1" applyBorder="1" applyAlignment="1" applyProtection="1">
      <alignment horizontal="center" vertical="center"/>
      <protection hidden="1"/>
    </xf>
    <xf numFmtId="166" fontId="3" fillId="12" borderId="30" xfId="0" applyNumberFormat="1" applyFont="1" applyFill="1" applyBorder="1" applyAlignment="1" applyProtection="1">
      <alignment horizontal="center" vertical="center"/>
      <protection hidden="1"/>
    </xf>
    <xf numFmtId="9" fontId="4" fillId="0" borderId="10" xfId="2" applyFont="1" applyFill="1" applyBorder="1" applyAlignment="1" applyProtection="1">
      <alignment horizontal="center"/>
      <protection hidden="1"/>
    </xf>
    <xf numFmtId="9" fontId="4" fillId="0" borderId="11" xfId="2" applyFont="1" applyFill="1" applyBorder="1" applyAlignment="1" applyProtection="1">
      <alignment horizontal="center"/>
      <protection hidden="1"/>
    </xf>
    <xf numFmtId="9" fontId="3" fillId="12" borderId="34" xfId="2" applyFont="1" applyFill="1" applyBorder="1" applyAlignment="1" applyProtection="1">
      <alignment horizontal="center" vertical="center"/>
      <protection hidden="1"/>
    </xf>
    <xf numFmtId="9" fontId="4" fillId="12" borderId="65" xfId="2" applyFont="1" applyFill="1" applyBorder="1" applyAlignment="1" applyProtection="1">
      <alignment horizontal="center" vertical="center"/>
      <protection hidden="1"/>
    </xf>
    <xf numFmtId="1" fontId="4" fillId="0" borderId="23" xfId="1" applyNumberFormat="1" applyFont="1" applyFill="1" applyBorder="1" applyAlignment="1" applyProtection="1">
      <alignment horizontal="center" vertical="center"/>
      <protection hidden="1"/>
    </xf>
    <xf numFmtId="9" fontId="4" fillId="0" borderId="35" xfId="2" applyFont="1" applyFill="1" applyBorder="1" applyAlignment="1" applyProtection="1">
      <alignment horizontal="center"/>
      <protection hidden="1"/>
    </xf>
    <xf numFmtId="1" fontId="4" fillId="0" borderId="4" xfId="1" applyNumberFormat="1" applyFont="1" applyFill="1" applyBorder="1" applyAlignment="1" applyProtection="1">
      <alignment horizontal="center" vertical="center"/>
      <protection hidden="1"/>
    </xf>
    <xf numFmtId="1" fontId="4" fillId="0" borderId="28" xfId="1" applyNumberFormat="1" applyFont="1" applyFill="1" applyBorder="1" applyAlignment="1" applyProtection="1">
      <alignment horizontal="center" vertical="center"/>
      <protection hidden="1"/>
    </xf>
    <xf numFmtId="0" fontId="4" fillId="0" borderId="19" xfId="1" applyNumberFormat="1" applyFont="1" applyFill="1" applyBorder="1" applyAlignment="1" applyProtection="1">
      <alignment horizontal="center" vertical="center"/>
      <protection hidden="1"/>
    </xf>
    <xf numFmtId="0" fontId="3" fillId="32" borderId="49" xfId="0" applyFont="1" applyFill="1" applyBorder="1" applyAlignment="1" applyProtection="1">
      <alignment horizontal="center" vertical="center" wrapText="1"/>
      <protection hidden="1"/>
    </xf>
    <xf numFmtId="0" fontId="3" fillId="32" borderId="14" xfId="0" applyFont="1" applyFill="1" applyBorder="1" applyAlignment="1" applyProtection="1">
      <alignment horizontal="center" vertical="center" wrapText="1"/>
      <protection hidden="1"/>
    </xf>
    <xf numFmtId="0" fontId="3" fillId="32" borderId="13" xfId="0" applyFont="1" applyFill="1" applyBorder="1" applyAlignment="1" applyProtection="1">
      <alignment horizontal="center" vertical="center" wrapText="1"/>
      <protection hidden="1"/>
    </xf>
    <xf numFmtId="170" fontId="3" fillId="12" borderId="44" xfId="0" applyNumberFormat="1" applyFont="1" applyFill="1" applyBorder="1" applyAlignment="1" applyProtection="1">
      <alignment horizontal="center" vertical="center"/>
      <protection hidden="1"/>
    </xf>
    <xf numFmtId="166" fontId="3" fillId="12" borderId="29" xfId="0" applyNumberFormat="1" applyFont="1" applyFill="1" applyBorder="1" applyAlignment="1" applyProtection="1">
      <alignment horizontal="center" vertical="center"/>
      <protection hidden="1"/>
    </xf>
    <xf numFmtId="166" fontId="3" fillId="12" borderId="28" xfId="0" applyNumberFormat="1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170" fontId="34" fillId="0" borderId="0" xfId="0" applyNumberFormat="1" applyFont="1" applyAlignment="1" applyProtection="1">
      <alignment horizontal="center" vertical="center"/>
      <protection locked="0"/>
    </xf>
    <xf numFmtId="174" fontId="3" fillId="0" borderId="0" xfId="0" applyNumberFormat="1" applyFont="1" applyAlignment="1" applyProtection="1">
      <alignment horizontal="center" vertical="center" wrapText="1"/>
      <protection locked="0"/>
    </xf>
    <xf numFmtId="174" fontId="3" fillId="0" borderId="0" xfId="0" applyNumberFormat="1" applyFont="1" applyAlignment="1" applyProtection="1">
      <alignment horizontal="center"/>
      <protection locked="0"/>
    </xf>
    <xf numFmtId="2" fontId="4" fillId="0" borderId="16" xfId="1" applyNumberFormat="1" applyFont="1" applyFill="1" applyBorder="1" applyAlignment="1" applyProtection="1">
      <alignment horizontal="center"/>
      <protection hidden="1"/>
    </xf>
    <xf numFmtId="170" fontId="3" fillId="0" borderId="12" xfId="1" applyNumberFormat="1" applyFont="1" applyFill="1" applyBorder="1" applyAlignment="1" applyProtection="1">
      <alignment horizontal="center"/>
      <protection hidden="1"/>
    </xf>
    <xf numFmtId="0" fontId="3" fillId="0" borderId="13" xfId="1" applyNumberFormat="1" applyFont="1" applyFill="1" applyBorder="1" applyAlignment="1" applyProtection="1">
      <alignment horizontal="center"/>
      <protection hidden="1"/>
    </xf>
    <xf numFmtId="170" fontId="3" fillId="0" borderId="10" xfId="0" applyNumberFormat="1" applyFont="1" applyBorder="1" applyAlignment="1" applyProtection="1">
      <alignment horizontal="center"/>
      <protection hidden="1"/>
    </xf>
    <xf numFmtId="0" fontId="3" fillId="0" borderId="10" xfId="0" applyFont="1" applyBorder="1" applyAlignment="1" applyProtection="1">
      <alignment horizontal="center"/>
      <protection hidden="1"/>
    </xf>
    <xf numFmtId="170" fontId="3" fillId="0" borderId="14" xfId="0" applyNumberFormat="1" applyFont="1" applyBorder="1" applyAlignment="1" applyProtection="1">
      <alignment horizontal="center" vertical="center"/>
      <protection hidden="1"/>
    </xf>
    <xf numFmtId="0" fontId="3" fillId="0" borderId="13" xfId="0" applyFont="1" applyBorder="1" applyAlignment="1" applyProtection="1">
      <alignment horizontal="center" vertical="center"/>
      <protection hidden="1"/>
    </xf>
    <xf numFmtId="0" fontId="3" fillId="0" borderId="11" xfId="0" applyFont="1" applyBorder="1" applyAlignment="1" applyProtection="1">
      <alignment horizontal="center" vertical="center"/>
      <protection hidden="1"/>
    </xf>
    <xf numFmtId="0" fontId="3" fillId="0" borderId="49" xfId="0" applyFont="1" applyBorder="1" applyAlignment="1" applyProtection="1">
      <alignment horizontal="center"/>
      <protection hidden="1"/>
    </xf>
    <xf numFmtId="170" fontId="3" fillId="0" borderId="14" xfId="0" applyNumberFormat="1" applyFont="1" applyBorder="1" applyAlignment="1" applyProtection="1">
      <alignment horizontal="center"/>
      <protection hidden="1"/>
    </xf>
    <xf numFmtId="0" fontId="3" fillId="0" borderId="13" xfId="0" applyFont="1" applyBorder="1" applyAlignment="1" applyProtection="1">
      <alignment horizontal="center"/>
      <protection hidden="1"/>
    </xf>
    <xf numFmtId="0" fontId="3" fillId="0" borderId="12" xfId="0" applyFont="1" applyBorder="1" applyAlignment="1" applyProtection="1">
      <alignment horizontal="center" vertical="center"/>
      <protection hidden="1"/>
    </xf>
    <xf numFmtId="170" fontId="3" fillId="0" borderId="12" xfId="0" applyNumberFormat="1" applyFont="1" applyBorder="1" applyAlignment="1" applyProtection="1">
      <alignment horizontal="center" vertical="center"/>
      <protection hidden="1"/>
    </xf>
    <xf numFmtId="0" fontId="3" fillId="0" borderId="49" xfId="0" applyFont="1" applyBorder="1" applyAlignment="1" applyProtection="1">
      <alignment horizontal="center" vertical="center"/>
      <protection hidden="1"/>
    </xf>
    <xf numFmtId="1" fontId="4" fillId="0" borderId="75" xfId="1" applyNumberFormat="1" applyFont="1" applyFill="1" applyBorder="1" applyAlignment="1" applyProtection="1">
      <alignment horizontal="center" vertical="center"/>
      <protection hidden="1"/>
    </xf>
    <xf numFmtId="170" fontId="4" fillId="0" borderId="42" xfId="1" applyNumberFormat="1" applyFont="1" applyFill="1" applyBorder="1" applyAlignment="1" applyProtection="1">
      <alignment horizontal="center" vertical="center"/>
      <protection hidden="1"/>
    </xf>
    <xf numFmtId="0" fontId="3" fillId="0" borderId="56" xfId="0" applyFont="1" applyBorder="1" applyAlignment="1" applyProtection="1">
      <alignment horizontal="center"/>
      <protection hidden="1"/>
    </xf>
    <xf numFmtId="170" fontId="3" fillId="0" borderId="49" xfId="0" applyNumberFormat="1" applyFont="1" applyBorder="1" applyAlignment="1" applyProtection="1">
      <alignment horizontal="center" vertical="center"/>
      <protection hidden="1"/>
    </xf>
    <xf numFmtId="170" fontId="3" fillId="0" borderId="50" xfId="0" applyNumberFormat="1" applyFont="1" applyBorder="1" applyAlignment="1" applyProtection="1">
      <alignment horizontal="center" vertical="center"/>
      <protection hidden="1"/>
    </xf>
    <xf numFmtId="1" fontId="3" fillId="0" borderId="13" xfId="1" applyNumberFormat="1" applyFont="1" applyFill="1" applyBorder="1" applyAlignment="1" applyProtection="1">
      <alignment horizontal="center"/>
      <protection hidden="1"/>
    </xf>
    <xf numFmtId="1" fontId="3" fillId="0" borderId="13" xfId="0" applyNumberFormat="1" applyFont="1" applyBorder="1" applyAlignment="1" applyProtection="1">
      <alignment horizontal="center" vertical="center"/>
      <protection hidden="1"/>
    </xf>
    <xf numFmtId="0" fontId="4" fillId="0" borderId="75" xfId="1" applyNumberFormat="1" applyFont="1" applyFill="1" applyBorder="1" applyAlignment="1" applyProtection="1">
      <alignment horizontal="center" vertical="center"/>
      <protection hidden="1"/>
    </xf>
    <xf numFmtId="0" fontId="3" fillId="0" borderId="14" xfId="0" applyFont="1" applyBorder="1" applyAlignment="1" applyProtection="1">
      <alignment horizontal="center" vertical="center"/>
      <protection hidden="1"/>
    </xf>
    <xf numFmtId="9" fontId="3" fillId="0" borderId="14" xfId="2" applyFont="1" applyFill="1" applyBorder="1" applyAlignment="1" applyProtection="1">
      <alignment horizontal="center" vertical="center"/>
      <protection hidden="1"/>
    </xf>
    <xf numFmtId="9" fontId="4" fillId="0" borderId="13" xfId="2" applyFont="1" applyFill="1" applyBorder="1" applyAlignment="1" applyProtection="1">
      <alignment horizontal="center" vertical="center"/>
      <protection hidden="1"/>
    </xf>
    <xf numFmtId="0" fontId="3" fillId="0" borderId="10" xfId="0" applyFont="1" applyBorder="1" applyAlignment="1" applyProtection="1">
      <alignment horizontal="center" vertical="center" wrapText="1"/>
      <protection hidden="1"/>
    </xf>
    <xf numFmtId="9" fontId="3" fillId="4" borderId="10" xfId="0" applyNumberFormat="1" applyFont="1" applyFill="1" applyBorder="1" applyAlignment="1" applyProtection="1">
      <alignment horizontal="center" vertical="center" wrapText="1"/>
      <protection hidden="1"/>
    </xf>
    <xf numFmtId="9" fontId="3" fillId="4" borderId="11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34" xfId="0" applyFont="1" applyBorder="1" applyAlignment="1" applyProtection="1">
      <alignment horizontal="center" vertical="center"/>
      <protection hidden="1"/>
    </xf>
    <xf numFmtId="0" fontId="3" fillId="0" borderId="34" xfId="0" applyFont="1" applyBorder="1" applyAlignment="1" applyProtection="1">
      <alignment horizontal="center" vertical="center" wrapText="1"/>
      <protection hidden="1"/>
    </xf>
    <xf numFmtId="1" fontId="4" fillId="0" borderId="6" xfId="1" applyNumberFormat="1" applyFont="1" applyFill="1" applyBorder="1" applyAlignment="1" applyProtection="1">
      <alignment horizontal="center" vertical="center"/>
      <protection hidden="1"/>
    </xf>
    <xf numFmtId="1" fontId="4" fillId="0" borderId="38" xfId="1" applyNumberFormat="1" applyFont="1" applyFill="1" applyBorder="1" applyAlignment="1" applyProtection="1">
      <alignment horizontal="center" vertical="center"/>
      <protection hidden="1"/>
    </xf>
    <xf numFmtId="9" fontId="4" fillId="0" borderId="38" xfId="2" applyFont="1" applyFill="1" applyBorder="1" applyAlignment="1" applyProtection="1">
      <alignment horizontal="center"/>
      <protection hidden="1"/>
    </xf>
    <xf numFmtId="1" fontId="3" fillId="0" borderId="14" xfId="0" applyNumberFormat="1" applyFont="1" applyBorder="1" applyAlignment="1" applyProtection="1">
      <alignment horizontal="center" vertical="center"/>
      <protection hidden="1"/>
    </xf>
    <xf numFmtId="0" fontId="3" fillId="0" borderId="65" xfId="0" applyFont="1" applyBorder="1" applyAlignment="1" applyProtection="1">
      <alignment horizontal="center" vertical="center"/>
      <protection hidden="1"/>
    </xf>
    <xf numFmtId="0" fontId="3" fillId="0" borderId="12" xfId="1" applyNumberFormat="1" applyFont="1" applyFill="1" applyBorder="1" applyAlignment="1" applyProtection="1">
      <alignment horizontal="center"/>
      <protection hidden="1"/>
    </xf>
    <xf numFmtId="170" fontId="3" fillId="0" borderId="14" xfId="1" applyNumberFormat="1" applyFont="1" applyFill="1" applyBorder="1" applyAlignment="1" applyProtection="1">
      <alignment horizontal="center"/>
      <protection hidden="1"/>
    </xf>
    <xf numFmtId="166" fontId="4" fillId="0" borderId="16" xfId="1" applyNumberFormat="1" applyFont="1" applyFill="1" applyBorder="1" applyAlignment="1" applyProtection="1">
      <alignment horizontal="center"/>
      <protection hidden="1"/>
    </xf>
    <xf numFmtId="166" fontId="3" fillId="0" borderId="12" xfId="1" applyNumberFormat="1" applyFont="1" applyFill="1" applyBorder="1" applyAlignment="1" applyProtection="1">
      <alignment horizontal="center"/>
      <protection hidden="1"/>
    </xf>
    <xf numFmtId="9" fontId="3" fillId="0" borderId="10" xfId="2" applyFont="1" applyFill="1" applyBorder="1" applyAlignment="1" applyProtection="1">
      <alignment horizontal="center" vertical="center"/>
      <protection hidden="1"/>
    </xf>
    <xf numFmtId="9" fontId="4" fillId="0" borderId="11" xfId="2" applyFont="1" applyFill="1" applyBorder="1" applyAlignment="1" applyProtection="1">
      <alignment horizontal="center" vertical="center"/>
      <protection hidden="1"/>
    </xf>
    <xf numFmtId="9" fontId="4" fillId="0" borderId="14" xfId="2" applyFont="1" applyFill="1" applyBorder="1" applyAlignment="1" applyProtection="1">
      <alignment horizontal="center"/>
      <protection hidden="1"/>
    </xf>
    <xf numFmtId="9" fontId="4" fillId="0" borderId="13" xfId="2" applyFont="1" applyFill="1" applyBorder="1" applyAlignment="1" applyProtection="1">
      <alignment horizontal="center"/>
      <protection hidden="1"/>
    </xf>
    <xf numFmtId="0" fontId="4" fillId="7" borderId="4" xfId="0" applyFont="1" applyFill="1" applyBorder="1" applyAlignment="1" applyProtection="1">
      <alignment horizontal="center" vertical="center"/>
      <protection locked="0"/>
    </xf>
    <xf numFmtId="0" fontId="10" fillId="7" borderId="4" xfId="0" applyFont="1" applyFill="1" applyBorder="1" applyAlignment="1" applyProtection="1">
      <alignment horizontal="center" vertical="center"/>
      <protection locked="0"/>
    </xf>
    <xf numFmtId="0" fontId="22" fillId="7" borderId="4" xfId="0" applyFont="1" applyFill="1" applyBorder="1"/>
    <xf numFmtId="174" fontId="4" fillId="7" borderId="4" xfId="0" applyNumberFormat="1" applyFont="1" applyFill="1" applyBorder="1" applyAlignment="1" applyProtection="1">
      <alignment horizontal="center" vertical="center"/>
      <protection locked="0"/>
    </xf>
    <xf numFmtId="0" fontId="22" fillId="7" borderId="0" xfId="0" applyFont="1" applyFill="1"/>
    <xf numFmtId="0" fontId="4" fillId="7" borderId="4" xfId="0" applyFont="1" applyFill="1" applyBorder="1" applyAlignment="1" applyProtection="1">
      <alignment horizontal="center" vertical="center" wrapText="1"/>
      <protection locked="0"/>
    </xf>
    <xf numFmtId="174" fontId="10" fillId="0" borderId="0" xfId="0" applyNumberFormat="1" applyFont="1" applyAlignment="1" applyProtection="1">
      <alignment horizontal="center" vertical="center"/>
      <protection locked="0"/>
    </xf>
    <xf numFmtId="170" fontId="13" fillId="0" borderId="0" xfId="0" applyNumberFormat="1" applyFont="1" applyAlignment="1" applyProtection="1">
      <alignment horizontal="center" vertical="center"/>
      <protection locked="0"/>
    </xf>
    <xf numFmtId="170" fontId="4" fillId="7" borderId="0" xfId="0" applyNumberFormat="1" applyFont="1" applyFill="1" applyAlignment="1" applyProtection="1">
      <alignment vertical="center"/>
      <protection locked="0" hidden="1"/>
    </xf>
    <xf numFmtId="170" fontId="4" fillId="0" borderId="0" xfId="0" applyNumberFormat="1" applyFont="1" applyAlignment="1" applyProtection="1">
      <alignment vertical="center"/>
      <protection hidden="1"/>
    </xf>
    <xf numFmtId="0" fontId="10" fillId="7" borderId="0" xfId="0" applyFont="1" applyFill="1" applyProtection="1">
      <protection locked="0"/>
    </xf>
    <xf numFmtId="0" fontId="4" fillId="0" borderId="0" xfId="0" applyFont="1" applyAlignment="1" applyProtection="1">
      <alignment wrapText="1"/>
      <protection locked="0"/>
    </xf>
    <xf numFmtId="0" fontId="4" fillId="14" borderId="0" xfId="0" applyFont="1" applyFill="1" applyAlignment="1" applyProtection="1">
      <alignment horizontal="center"/>
      <protection locked="0"/>
    </xf>
    <xf numFmtId="174" fontId="4" fillId="14" borderId="0" xfId="0" applyNumberFormat="1" applyFont="1" applyFill="1" applyAlignment="1" applyProtection="1">
      <alignment horizontal="center"/>
      <protection locked="0"/>
    </xf>
    <xf numFmtId="170" fontId="4" fillId="7" borderId="0" xfId="0" applyNumberFormat="1" applyFont="1" applyFill="1" applyAlignment="1" applyProtection="1">
      <alignment vertical="center"/>
      <protection hidden="1"/>
    </xf>
    <xf numFmtId="0" fontId="10" fillId="14" borderId="0" xfId="0" applyFont="1" applyFill="1" applyAlignment="1" applyProtection="1">
      <alignment horizontal="center" vertical="center" wrapText="1"/>
      <protection locked="0"/>
    </xf>
    <xf numFmtId="0" fontId="10" fillId="14" borderId="0" xfId="0" applyFont="1" applyFill="1" applyAlignment="1" applyProtection="1">
      <alignment horizontal="center"/>
      <protection locked="0"/>
    </xf>
    <xf numFmtId="170" fontId="4" fillId="14" borderId="0" xfId="0" applyNumberFormat="1" applyFont="1" applyFill="1" applyAlignment="1" applyProtection="1">
      <alignment horizontal="center"/>
      <protection hidden="1"/>
    </xf>
    <xf numFmtId="0" fontId="35" fillId="0" borderId="0" xfId="0" applyFont="1" applyProtection="1">
      <protection locked="0"/>
    </xf>
    <xf numFmtId="0" fontId="4" fillId="0" borderId="51" xfId="0" applyFont="1" applyBorder="1" applyAlignment="1" applyProtection="1">
      <alignment horizontal="center"/>
      <protection hidden="1"/>
    </xf>
    <xf numFmtId="0" fontId="4" fillId="0" borderId="5" xfId="0" applyFont="1" applyBorder="1" applyAlignment="1" applyProtection="1">
      <alignment horizontal="center"/>
      <protection hidden="1"/>
    </xf>
    <xf numFmtId="170" fontId="4" fillId="0" borderId="5" xfId="0" applyNumberFormat="1" applyFont="1" applyBorder="1" applyAlignment="1" applyProtection="1">
      <alignment horizontal="center"/>
      <protection hidden="1"/>
    </xf>
    <xf numFmtId="0" fontId="4" fillId="0" borderId="19" xfId="0" applyFont="1" applyBorder="1" applyAlignment="1" applyProtection="1">
      <alignment horizontal="center"/>
      <protection hidden="1"/>
    </xf>
    <xf numFmtId="0" fontId="4" fillId="0" borderId="79" xfId="0" applyFont="1" applyBorder="1" applyAlignment="1" applyProtection="1">
      <alignment horizontal="center"/>
      <protection hidden="1"/>
    </xf>
    <xf numFmtId="0" fontId="4" fillId="0" borderId="1" xfId="1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Protection="1">
      <protection locked="0"/>
    </xf>
    <xf numFmtId="0" fontId="4" fillId="7" borderId="0" xfId="0" applyFont="1" applyFill="1" applyAlignment="1" applyProtection="1">
      <alignment wrapText="1"/>
      <protection locked="0"/>
    </xf>
    <xf numFmtId="0" fontId="19" fillId="7" borderId="0" xfId="0" applyFont="1" applyFill="1" applyAlignment="1" applyProtection="1">
      <alignment horizontal="center" vertical="center" wrapText="1"/>
      <protection locked="0"/>
    </xf>
    <xf numFmtId="174" fontId="3" fillId="7" borderId="0" xfId="0" applyNumberFormat="1" applyFont="1" applyFill="1" applyAlignment="1" applyProtection="1">
      <alignment horizontal="center" vertical="center" wrapText="1"/>
      <protection locked="0"/>
    </xf>
    <xf numFmtId="174" fontId="3" fillId="7" borderId="0" xfId="0" applyNumberFormat="1" applyFont="1" applyFill="1" applyAlignment="1" applyProtection="1">
      <alignment horizontal="center"/>
      <protection locked="0"/>
    </xf>
    <xf numFmtId="0" fontId="35" fillId="7" borderId="0" xfId="0" applyFont="1" applyFill="1" applyProtection="1">
      <protection locked="0"/>
    </xf>
    <xf numFmtId="0" fontId="4" fillId="0" borderId="1" xfId="0" applyFont="1" applyBorder="1" applyAlignment="1" applyProtection="1">
      <alignment horizontal="center"/>
      <protection hidden="1"/>
    </xf>
    <xf numFmtId="0" fontId="4" fillId="0" borderId="0" xfId="0" applyFont="1" applyAlignment="1" applyProtection="1">
      <alignment horizontal="center"/>
      <protection locked="0" hidden="1"/>
    </xf>
    <xf numFmtId="0" fontId="10" fillId="0" borderId="0" xfId="0" applyFont="1" applyProtection="1">
      <protection locked="0" hidden="1"/>
    </xf>
    <xf numFmtId="166" fontId="4" fillId="0" borderId="0" xfId="0" applyNumberFormat="1" applyFont="1" applyProtection="1">
      <protection hidden="1"/>
    </xf>
    <xf numFmtId="170" fontId="4" fillId="0" borderId="0" xfId="0" applyNumberFormat="1" applyFont="1" applyProtection="1">
      <protection hidden="1"/>
    </xf>
    <xf numFmtId="166" fontId="4" fillId="0" borderId="0" xfId="0" applyNumberFormat="1" applyFont="1" applyAlignment="1" applyProtection="1">
      <alignment horizontal="center" vertical="center"/>
      <protection hidden="1"/>
    </xf>
    <xf numFmtId="0" fontId="4" fillId="0" borderId="0" xfId="0" applyFont="1" applyProtection="1">
      <protection locked="0" hidden="1"/>
    </xf>
    <xf numFmtId="0" fontId="3" fillId="0" borderId="0" xfId="0" applyFont="1" applyAlignment="1" applyProtection="1">
      <alignment horizontal="center" vertical="center" wrapText="1"/>
      <protection locked="0" hidden="1"/>
    </xf>
    <xf numFmtId="2" fontId="4" fillId="0" borderId="0" xfId="0" applyNumberFormat="1" applyFont="1" applyAlignment="1" applyProtection="1">
      <alignment horizontal="center" vertical="center"/>
      <protection locked="0" hidden="1"/>
    </xf>
    <xf numFmtId="0" fontId="10" fillId="0" borderId="0" xfId="0" applyFont="1" applyAlignment="1" applyProtection="1">
      <alignment horizontal="center" vertical="center"/>
      <protection locked="0" hidden="1"/>
    </xf>
    <xf numFmtId="2" fontId="10" fillId="0" borderId="0" xfId="0" applyNumberFormat="1" applyFont="1" applyAlignment="1" applyProtection="1">
      <alignment horizontal="center" vertical="center"/>
      <protection locked="0" hidden="1"/>
    </xf>
    <xf numFmtId="181" fontId="4" fillId="0" borderId="0" xfId="0" applyNumberFormat="1" applyFont="1" applyAlignment="1" applyProtection="1">
      <alignment horizontal="center" vertical="center"/>
      <protection locked="0" hidden="1"/>
    </xf>
    <xf numFmtId="0" fontId="10" fillId="0" borderId="0" xfId="0" applyFont="1" applyAlignment="1" applyProtection="1">
      <alignment horizontal="center"/>
      <protection locked="0" hidden="1"/>
    </xf>
    <xf numFmtId="166" fontId="4" fillId="0" borderId="0" xfId="0" applyNumberFormat="1" applyFont="1" applyAlignment="1" applyProtection="1">
      <alignment horizontal="center" vertical="center"/>
      <protection locked="0" hidden="1"/>
    </xf>
    <xf numFmtId="0" fontId="3" fillId="0" borderId="0" xfId="0" applyFont="1" applyAlignment="1" applyProtection="1">
      <alignment horizontal="center"/>
      <protection locked="0" hidden="1"/>
    </xf>
    <xf numFmtId="169" fontId="4" fillId="0" borderId="0" xfId="0" applyNumberFormat="1" applyFont="1" applyAlignment="1" applyProtection="1">
      <alignment horizontal="center" vertical="center"/>
      <protection locked="0" hidden="1"/>
    </xf>
    <xf numFmtId="9" fontId="4" fillId="0" borderId="0" xfId="0" applyNumberFormat="1" applyFont="1" applyAlignment="1" applyProtection="1">
      <alignment horizontal="center" vertical="center"/>
      <protection locked="0" hidden="1"/>
    </xf>
    <xf numFmtId="168" fontId="4" fillId="0" borderId="0" xfId="1" applyNumberFormat="1" applyFont="1" applyFill="1" applyBorder="1" applyAlignment="1" applyProtection="1">
      <alignment horizontal="center" vertical="center"/>
      <protection locked="0" hidden="1"/>
    </xf>
    <xf numFmtId="182" fontId="4" fillId="0" borderId="0" xfId="0" applyNumberFormat="1" applyFont="1" applyAlignment="1" applyProtection="1">
      <alignment horizontal="center"/>
      <protection locked="0" hidden="1"/>
    </xf>
    <xf numFmtId="1" fontId="4" fillId="0" borderId="0" xfId="0" applyNumberFormat="1" applyFont="1" applyAlignment="1" applyProtection="1">
      <alignment horizontal="center" vertical="center"/>
      <protection locked="0" hidden="1"/>
    </xf>
    <xf numFmtId="182" fontId="3" fillId="0" borderId="0" xfId="0" applyNumberFormat="1" applyFont="1" applyAlignment="1" applyProtection="1">
      <alignment horizontal="center"/>
      <protection locked="0" hidden="1"/>
    </xf>
    <xf numFmtId="166" fontId="4" fillId="0" borderId="0" xfId="1" applyNumberFormat="1" applyFont="1" applyFill="1" applyBorder="1" applyAlignment="1" applyProtection="1">
      <alignment horizontal="center" vertical="center"/>
      <protection locked="0" hidden="1"/>
    </xf>
    <xf numFmtId="166" fontId="3" fillId="0" borderId="0" xfId="0" applyNumberFormat="1" applyFont="1" applyAlignment="1" applyProtection="1">
      <alignment horizontal="center"/>
      <protection locked="0" hidden="1"/>
    </xf>
    <xf numFmtId="181" fontId="3" fillId="0" borderId="0" xfId="0" applyNumberFormat="1" applyFont="1" applyAlignment="1" applyProtection="1">
      <alignment horizontal="center" vertical="center" wrapText="1"/>
      <protection locked="0" hidden="1"/>
    </xf>
    <xf numFmtId="10" fontId="3" fillId="0" borderId="0" xfId="0" applyNumberFormat="1" applyFont="1" applyAlignment="1" applyProtection="1">
      <alignment horizontal="center" vertical="center" wrapText="1"/>
      <protection locked="0" hidden="1"/>
    </xf>
    <xf numFmtId="170" fontId="4" fillId="0" borderId="0" xfId="0" applyNumberFormat="1" applyFont="1" applyAlignment="1" applyProtection="1">
      <alignment horizontal="center"/>
      <protection locked="0" hidden="1"/>
    </xf>
    <xf numFmtId="173" fontId="4" fillId="0" borderId="0" xfId="0" applyNumberFormat="1" applyFont="1" applyAlignment="1" applyProtection="1">
      <alignment horizontal="center" vertical="center"/>
      <protection locked="0" hidden="1"/>
    </xf>
    <xf numFmtId="0" fontId="4" fillId="0" borderId="0" xfId="0" applyFont="1" applyAlignment="1" applyProtection="1">
      <alignment horizontal="center" vertical="center" wrapText="1"/>
      <protection locked="0" hidden="1"/>
    </xf>
    <xf numFmtId="170" fontId="4" fillId="0" borderId="0" xfId="0" applyNumberFormat="1" applyFont="1" applyAlignment="1" applyProtection="1">
      <alignment horizontal="center" vertical="center"/>
      <protection locked="0" hidden="1"/>
    </xf>
    <xf numFmtId="173" fontId="10" fillId="0" borderId="0" xfId="0" applyNumberFormat="1" applyFont="1" applyAlignment="1" applyProtection="1">
      <alignment horizontal="center" vertical="center"/>
      <protection locked="0" hidden="1"/>
    </xf>
    <xf numFmtId="0" fontId="10" fillId="0" borderId="0" xfId="0" applyFont="1" applyAlignment="1" applyProtection="1">
      <alignment horizontal="center" vertical="center" wrapText="1"/>
      <protection locked="0" hidden="1"/>
    </xf>
    <xf numFmtId="173" fontId="4" fillId="0" borderId="0" xfId="0" applyNumberFormat="1" applyFont="1" applyAlignment="1" applyProtection="1">
      <alignment horizontal="center"/>
      <protection locked="0" hidden="1"/>
    </xf>
    <xf numFmtId="170" fontId="4" fillId="0" borderId="0" xfId="0" applyNumberFormat="1" applyFont="1" applyAlignment="1" applyProtection="1">
      <alignment horizontal="center" wrapText="1"/>
      <protection locked="0" hidden="1"/>
    </xf>
    <xf numFmtId="0" fontId="10" fillId="0" borderId="0" xfId="0" applyFont="1" applyAlignment="1" applyProtection="1">
      <alignment horizontal="center" wrapText="1"/>
      <protection locked="0" hidden="1"/>
    </xf>
    <xf numFmtId="0" fontId="22" fillId="0" borderId="0" xfId="0" applyFont="1" applyProtection="1">
      <protection locked="0"/>
    </xf>
    <xf numFmtId="170" fontId="3" fillId="0" borderId="0" xfId="0" applyNumberFormat="1" applyFont="1" applyAlignment="1" applyProtection="1">
      <alignment horizontal="center"/>
      <protection locked="0" hidden="1"/>
    </xf>
    <xf numFmtId="0" fontId="3" fillId="0" borderId="0" xfId="0" applyFont="1" applyAlignment="1" applyProtection="1">
      <alignment horizontal="center" wrapText="1"/>
      <protection locked="0" hidden="1"/>
    </xf>
    <xf numFmtId="170" fontId="3" fillId="0" borderId="0" xfId="0" applyNumberFormat="1" applyFont="1" applyAlignment="1" applyProtection="1">
      <alignment horizontal="center" vertical="center" wrapText="1"/>
      <protection locked="0" hidden="1"/>
    </xf>
    <xf numFmtId="10" fontId="4" fillId="0" borderId="0" xfId="0" applyNumberFormat="1" applyFont="1" applyAlignment="1" applyProtection="1">
      <alignment horizontal="center" vertical="center"/>
      <protection locked="0" hidden="1"/>
    </xf>
    <xf numFmtId="1" fontId="3" fillId="0" borderId="0" xfId="0" applyNumberFormat="1" applyFont="1" applyAlignment="1" applyProtection="1">
      <alignment horizontal="center" vertical="center"/>
      <protection locked="0" hidden="1"/>
    </xf>
    <xf numFmtId="1" fontId="3" fillId="0" borderId="0" xfId="0" applyNumberFormat="1" applyFont="1" applyAlignment="1" applyProtection="1">
      <alignment horizontal="center" vertical="center" wrapText="1"/>
      <protection locked="0" hidden="1"/>
    </xf>
    <xf numFmtId="174" fontId="4" fillId="0" borderId="0" xfId="0" applyNumberFormat="1" applyFont="1" applyAlignment="1" applyProtection="1">
      <alignment horizontal="center" vertical="center"/>
      <protection locked="0" hidden="1"/>
    </xf>
    <xf numFmtId="0" fontId="4" fillId="0" borderId="0" xfId="0" applyFont="1" applyAlignment="1" applyProtection="1">
      <alignment horizontal="center" wrapText="1"/>
      <protection locked="0" hidden="1"/>
    </xf>
    <xf numFmtId="1" fontId="4" fillId="0" borderId="0" xfId="0" applyNumberFormat="1" applyFont="1" applyAlignment="1" applyProtection="1">
      <alignment horizontal="center" vertical="center" wrapText="1"/>
      <protection locked="0" hidden="1"/>
    </xf>
    <xf numFmtId="0" fontId="3" fillId="4" borderId="4" xfId="0" applyFont="1" applyFill="1" applyBorder="1" applyAlignment="1" applyProtection="1">
      <alignment horizontal="center"/>
      <protection hidden="1"/>
    </xf>
    <xf numFmtId="0" fontId="3" fillId="3" borderId="4" xfId="0" applyFont="1" applyFill="1" applyBorder="1" applyAlignment="1" applyProtection="1">
      <alignment horizontal="center"/>
      <protection hidden="1"/>
    </xf>
    <xf numFmtId="10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168" fontId="4" fillId="0" borderId="4" xfId="1" applyNumberFormat="1" applyFont="1" applyBorder="1" applyAlignment="1" applyProtection="1">
      <alignment horizontal="center"/>
      <protection hidden="1"/>
    </xf>
    <xf numFmtId="166" fontId="4" fillId="0" borderId="4" xfId="0" applyNumberFormat="1" applyFont="1" applyBorder="1" applyAlignment="1" applyProtection="1">
      <alignment horizontal="center" vertical="center"/>
      <protection hidden="1"/>
    </xf>
    <xf numFmtId="166" fontId="4" fillId="0" borderId="4" xfId="1" applyNumberFormat="1" applyFont="1" applyBorder="1" applyAlignment="1" applyProtection="1">
      <alignment horizontal="center"/>
      <protection hidden="1"/>
    </xf>
    <xf numFmtId="166" fontId="4" fillId="0" borderId="4" xfId="0" applyNumberFormat="1" applyFont="1" applyBorder="1" applyAlignment="1" applyProtection="1">
      <alignment horizontal="center"/>
      <protection hidden="1"/>
    </xf>
    <xf numFmtId="1" fontId="4" fillId="6" borderId="4" xfId="0" applyNumberFormat="1" applyFont="1" applyFill="1" applyBorder="1" applyAlignment="1" applyProtection="1">
      <alignment horizontal="center" vertical="center"/>
      <protection hidden="1"/>
    </xf>
    <xf numFmtId="166" fontId="3" fillId="4" borderId="4" xfId="1" applyNumberFormat="1" applyFont="1" applyFill="1" applyBorder="1" applyAlignment="1" applyProtection="1">
      <alignment horizontal="center"/>
      <protection hidden="1"/>
    </xf>
    <xf numFmtId="166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166" fontId="4" fillId="6" borderId="4" xfId="0" applyNumberFormat="1" applyFont="1" applyFill="1" applyBorder="1" applyAlignment="1" applyProtection="1">
      <alignment horizontal="center" vertical="center"/>
      <protection hidden="1"/>
    </xf>
    <xf numFmtId="166" fontId="4" fillId="6" borderId="4" xfId="0" applyNumberFormat="1" applyFont="1" applyFill="1" applyBorder="1" applyAlignment="1" applyProtection="1">
      <alignment horizontal="center"/>
      <protection hidden="1"/>
    </xf>
    <xf numFmtId="168" fontId="3" fillId="0" borderId="0" xfId="1" applyNumberFormat="1" applyFont="1" applyFill="1" applyBorder="1" applyAlignment="1" applyProtection="1">
      <alignment horizontal="center"/>
      <protection hidden="1"/>
    </xf>
    <xf numFmtId="166" fontId="3" fillId="0" borderId="0" xfId="0" applyNumberFormat="1" applyFont="1" applyAlignment="1" applyProtection="1">
      <alignment horizontal="center"/>
      <protection hidden="1"/>
    </xf>
    <xf numFmtId="166" fontId="3" fillId="3" borderId="4" xfId="0" applyNumberFormat="1" applyFont="1" applyFill="1" applyBorder="1" applyAlignment="1" applyProtection="1">
      <alignment horizontal="center"/>
      <protection hidden="1"/>
    </xf>
    <xf numFmtId="166" fontId="4" fillId="0" borderId="4" xfId="1" applyNumberFormat="1" applyFont="1" applyBorder="1" applyAlignment="1" applyProtection="1">
      <alignment horizontal="center" vertical="center"/>
      <protection hidden="1"/>
    </xf>
    <xf numFmtId="0" fontId="3" fillId="3" borderId="4" xfId="0" applyFont="1" applyFill="1" applyBorder="1" applyAlignment="1" applyProtection="1">
      <alignment horizontal="center" wrapText="1"/>
      <protection hidden="1"/>
    </xf>
    <xf numFmtId="9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9" fontId="4" fillId="0" borderId="4" xfId="2" applyFont="1" applyBorder="1" applyAlignment="1" applyProtection="1">
      <alignment horizontal="center"/>
      <protection hidden="1"/>
    </xf>
    <xf numFmtId="9" fontId="4" fillId="4" borderId="4" xfId="2" applyFont="1" applyFill="1" applyBorder="1" applyAlignment="1" applyProtection="1">
      <alignment horizontal="center"/>
      <protection hidden="1"/>
    </xf>
    <xf numFmtId="166" fontId="3" fillId="4" borderId="4" xfId="0" applyNumberFormat="1" applyFont="1" applyFill="1" applyBorder="1" applyAlignment="1" applyProtection="1">
      <alignment horizontal="center" vertical="center" wrapText="1"/>
      <protection hidden="1"/>
    </xf>
    <xf numFmtId="9" fontId="3" fillId="4" borderId="4" xfId="0" applyNumberFormat="1" applyFont="1" applyFill="1" applyBorder="1" applyAlignment="1" applyProtection="1">
      <alignment horizontal="center"/>
      <protection hidden="1"/>
    </xf>
    <xf numFmtId="0" fontId="3" fillId="4" borderId="4" xfId="0" applyFont="1" applyFill="1" applyBorder="1" applyAlignment="1" applyProtection="1">
      <alignment horizontal="center" vertical="center" wrapText="1"/>
      <protection hidden="1"/>
    </xf>
    <xf numFmtId="9" fontId="3" fillId="0" borderId="0" xfId="0" applyNumberFormat="1" applyFont="1" applyAlignment="1" applyProtection="1">
      <alignment horizontal="center"/>
      <protection hidden="1"/>
    </xf>
    <xf numFmtId="9" fontId="4" fillId="0" borderId="0" xfId="2" applyFont="1" applyFill="1" applyBorder="1" applyAlignment="1" applyProtection="1">
      <alignment horizontal="center"/>
      <protection hidden="1"/>
    </xf>
    <xf numFmtId="9" fontId="3" fillId="4" borderId="4" xfId="2" applyFont="1" applyFill="1" applyBorder="1" applyAlignment="1" applyProtection="1">
      <alignment horizontal="center" vertical="center"/>
      <protection hidden="1"/>
    </xf>
    <xf numFmtId="9" fontId="4" fillId="4" borderId="4" xfId="2" applyFont="1" applyFill="1" applyBorder="1" applyAlignment="1" applyProtection="1">
      <alignment horizontal="center" vertical="center"/>
      <protection hidden="1"/>
    </xf>
    <xf numFmtId="9" fontId="4" fillId="0" borderId="4" xfId="2" applyFont="1" applyBorder="1" applyAlignment="1" applyProtection="1">
      <alignment horizontal="center" vertical="center"/>
      <protection hidden="1"/>
    </xf>
    <xf numFmtId="166" fontId="4" fillId="0" borderId="0" xfId="0" applyNumberFormat="1" applyFont="1" applyAlignment="1" applyProtection="1">
      <alignment horizontal="center"/>
      <protection hidden="1"/>
    </xf>
    <xf numFmtId="172" fontId="4" fillId="0" borderId="4" xfId="1" applyNumberFormat="1" applyFont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vertical="center"/>
      <protection locked="0"/>
    </xf>
    <xf numFmtId="0" fontId="4" fillId="7" borderId="8" xfId="0" applyFont="1" applyFill="1" applyBorder="1" applyAlignment="1" applyProtection="1">
      <alignment horizontal="center"/>
      <protection locked="0"/>
    </xf>
    <xf numFmtId="9" fontId="10" fillId="7" borderId="0" xfId="0" applyNumberFormat="1" applyFont="1" applyFill="1" applyAlignment="1" applyProtection="1">
      <alignment horizontal="center" vertical="center"/>
      <protection locked="0"/>
    </xf>
    <xf numFmtId="0" fontId="4" fillId="7" borderId="0" xfId="0" applyFont="1" applyFill="1" applyAlignment="1" applyProtection="1">
      <alignment horizontal="center" wrapText="1"/>
      <protection locked="0"/>
    </xf>
    <xf numFmtId="0" fontId="4" fillId="0" borderId="8" xfId="0" applyFont="1" applyBorder="1" applyAlignment="1" applyProtection="1">
      <alignment horizontal="center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hidden="1"/>
    </xf>
    <xf numFmtId="0" fontId="3" fillId="6" borderId="15" xfId="0" applyFont="1" applyFill="1" applyBorder="1" applyAlignment="1" applyProtection="1">
      <alignment horizontal="center"/>
      <protection hidden="1"/>
    </xf>
    <xf numFmtId="0" fontId="3" fillId="6" borderId="55" xfId="0" applyFont="1" applyFill="1" applyBorder="1" applyAlignment="1" applyProtection="1">
      <alignment horizontal="center"/>
      <protection hidden="1"/>
    </xf>
    <xf numFmtId="0" fontId="3" fillId="6" borderId="2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/>
      <protection hidden="1"/>
    </xf>
    <xf numFmtId="170" fontId="4" fillId="0" borderId="16" xfId="0" applyNumberFormat="1" applyFont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170" fontId="3" fillId="0" borderId="9" xfId="0" applyNumberFormat="1" applyFont="1" applyBorder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/>
      <protection hidden="1"/>
    </xf>
    <xf numFmtId="0" fontId="3" fillId="6" borderId="18" xfId="0" applyFont="1" applyFill="1" applyBorder="1" applyAlignment="1" applyProtection="1">
      <alignment horizontal="center"/>
      <protection hidden="1"/>
    </xf>
    <xf numFmtId="0" fontId="3" fillId="6" borderId="1" xfId="0" applyFont="1" applyFill="1" applyBorder="1" applyAlignment="1" applyProtection="1">
      <alignment horizontal="center"/>
      <protection hidden="1"/>
    </xf>
    <xf numFmtId="0" fontId="3" fillId="6" borderId="52" xfId="0" applyFont="1" applyFill="1" applyBorder="1" applyAlignment="1" applyProtection="1">
      <alignment horizont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0" fontId="3" fillId="6" borderId="56" xfId="0" applyFont="1" applyFill="1" applyBorder="1" applyAlignment="1" applyProtection="1">
      <alignment horizontal="center" vertical="center" wrapText="1"/>
      <protection hidden="1"/>
    </xf>
    <xf numFmtId="0" fontId="3" fillId="6" borderId="72" xfId="0" applyFont="1" applyFill="1" applyBorder="1" applyAlignment="1" applyProtection="1">
      <alignment horizontal="center"/>
      <protection hidden="1"/>
    </xf>
    <xf numFmtId="0" fontId="3" fillId="6" borderId="69" xfId="0" applyFont="1" applyFill="1" applyBorder="1" applyAlignment="1" applyProtection="1">
      <alignment horizontal="center"/>
      <protection hidden="1"/>
    </xf>
    <xf numFmtId="0" fontId="3" fillId="6" borderId="70" xfId="0" applyFont="1" applyFill="1" applyBorder="1" applyAlignment="1" applyProtection="1">
      <alignment horizontal="center"/>
      <protection hidden="1"/>
    </xf>
    <xf numFmtId="0" fontId="3" fillId="6" borderId="56" xfId="0" applyFont="1" applyFill="1" applyBorder="1" applyAlignment="1" applyProtection="1">
      <alignment horizontal="center"/>
      <protection hidden="1"/>
    </xf>
    <xf numFmtId="0" fontId="3" fillId="6" borderId="56" xfId="0" applyFont="1" applyFill="1" applyBorder="1" applyAlignment="1" applyProtection="1">
      <alignment horizontal="center" vertical="center"/>
      <protection hidden="1"/>
    </xf>
    <xf numFmtId="0" fontId="3" fillId="6" borderId="71" xfId="0" applyFont="1" applyFill="1" applyBorder="1" applyAlignment="1" applyProtection="1">
      <alignment horizontal="center" vertical="center" wrapText="1"/>
      <protection hidden="1"/>
    </xf>
    <xf numFmtId="0" fontId="3" fillId="6" borderId="21" xfId="0" applyFont="1" applyFill="1" applyBorder="1" applyAlignment="1" applyProtection="1">
      <alignment horizontal="center"/>
      <protection hidden="1"/>
    </xf>
    <xf numFmtId="0" fontId="3" fillId="6" borderId="26" xfId="0" applyFont="1" applyFill="1" applyBorder="1" applyAlignment="1" applyProtection="1">
      <alignment horizontal="center"/>
      <protection hidden="1"/>
    </xf>
    <xf numFmtId="170" fontId="3" fillId="0" borderId="27" xfId="0" applyNumberFormat="1" applyFont="1" applyBorder="1" applyAlignment="1" applyProtection="1">
      <alignment horizontal="center" vertical="center"/>
      <protection hidden="1"/>
    </xf>
    <xf numFmtId="170" fontId="3" fillId="0" borderId="28" xfId="0" applyNumberFormat="1" applyFont="1" applyBorder="1" applyAlignment="1" applyProtection="1">
      <alignment horizontal="center" vertical="center"/>
      <protection hidden="1"/>
    </xf>
    <xf numFmtId="1" fontId="3" fillId="0" borderId="44" xfId="1" applyNumberFormat="1" applyFont="1" applyFill="1" applyBorder="1" applyAlignment="1" applyProtection="1">
      <alignment horizontal="center"/>
      <protection hidden="1"/>
    </xf>
    <xf numFmtId="0" fontId="3" fillId="12" borderId="31" xfId="0" applyFont="1" applyFill="1" applyBorder="1" applyAlignment="1" applyProtection="1">
      <alignment horizontal="center"/>
      <protection hidden="1"/>
    </xf>
    <xf numFmtId="0" fontId="3" fillId="6" borderId="60" xfId="0" applyFont="1" applyFill="1" applyBorder="1" applyAlignment="1" applyProtection="1">
      <alignment horizontal="center" vertical="center" wrapText="1"/>
      <protection hidden="1"/>
    </xf>
    <xf numFmtId="0" fontId="3" fillId="10" borderId="47" xfId="1" applyNumberFormat="1" applyFont="1" applyFill="1" applyBorder="1" applyAlignment="1" applyProtection="1">
      <alignment horizontal="center" vertical="center" wrapText="1"/>
      <protection hidden="1"/>
    </xf>
    <xf numFmtId="0" fontId="3" fillId="5" borderId="32" xfId="0" applyFont="1" applyFill="1" applyBorder="1" applyAlignment="1" applyProtection="1">
      <alignment horizontal="center" vertical="center" wrapText="1"/>
      <protection hidden="1"/>
    </xf>
    <xf numFmtId="0" fontId="3" fillId="5" borderId="40" xfId="0" applyFont="1" applyFill="1" applyBorder="1" applyAlignment="1" applyProtection="1">
      <alignment horizontal="center" vertical="center" wrapText="1"/>
      <protection hidden="1"/>
    </xf>
    <xf numFmtId="0" fontId="3" fillId="4" borderId="40" xfId="0" applyFont="1" applyFill="1" applyBorder="1" applyAlignment="1" applyProtection="1">
      <alignment horizontal="center" vertical="center" wrapText="1"/>
      <protection hidden="1"/>
    </xf>
    <xf numFmtId="0" fontId="3" fillId="7" borderId="0" xfId="0" applyFont="1" applyFill="1" applyAlignment="1" applyProtection="1">
      <alignment horizontal="center"/>
      <protection hidden="1"/>
    </xf>
    <xf numFmtId="0" fontId="19" fillId="7" borderId="0" xfId="0" applyFont="1" applyFill="1" applyAlignment="1" applyProtection="1">
      <alignment horizontal="center"/>
      <protection locked="0"/>
    </xf>
    <xf numFmtId="0" fontId="10" fillId="7" borderId="0" xfId="2" applyNumberFormat="1" applyFont="1" applyFill="1" applyBorder="1" applyAlignment="1" applyProtection="1">
      <alignment horizontal="center" vertical="center"/>
      <protection locked="0"/>
    </xf>
    <xf numFmtId="0" fontId="33" fillId="7" borderId="0" xfId="0" applyFont="1" applyFill="1" applyAlignment="1" applyProtection="1">
      <alignment horizontal="center" vertical="center" wrapText="1"/>
      <protection locked="0"/>
    </xf>
    <xf numFmtId="0" fontId="4" fillId="6" borderId="0" xfId="0" applyFont="1" applyFill="1" applyAlignment="1" applyProtection="1">
      <alignment horizontal="center"/>
      <protection locked="0"/>
    </xf>
    <xf numFmtId="0" fontId="10" fillId="6" borderId="0" xfId="0" applyFont="1" applyFill="1" applyProtection="1">
      <protection locked="0"/>
    </xf>
    <xf numFmtId="0" fontId="4" fillId="6" borderId="0" xfId="0" applyFont="1" applyFill="1" applyAlignment="1" applyProtection="1">
      <alignment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hidden="1"/>
    </xf>
    <xf numFmtId="0" fontId="3" fillId="10" borderId="16" xfId="0" applyFont="1" applyFill="1" applyBorder="1" applyAlignment="1" applyProtection="1">
      <alignment horizontal="center" vertical="center" wrapText="1"/>
      <protection hidden="1"/>
    </xf>
    <xf numFmtId="0" fontId="3" fillId="10" borderId="6" xfId="0" applyFont="1" applyFill="1" applyBorder="1" applyAlignment="1" applyProtection="1">
      <alignment horizontal="center" vertical="center" wrapText="1"/>
      <protection hidden="1"/>
    </xf>
    <xf numFmtId="0" fontId="3" fillId="10" borderId="36" xfId="0" applyFont="1" applyFill="1" applyBorder="1" applyAlignment="1" applyProtection="1">
      <alignment horizontal="center" vertical="center" wrapText="1"/>
      <protection hidden="1"/>
    </xf>
    <xf numFmtId="0" fontId="3" fillId="5" borderId="17" xfId="0" applyFont="1" applyFill="1" applyBorder="1" applyAlignment="1" applyProtection="1">
      <alignment horizontal="center" vertical="center" wrapText="1"/>
      <protection hidden="1"/>
    </xf>
    <xf numFmtId="0" fontId="3" fillId="5" borderId="6" xfId="0" applyFont="1" applyFill="1" applyBorder="1" applyAlignment="1" applyProtection="1">
      <alignment horizontal="center" vertical="center" wrapText="1"/>
      <protection hidden="1"/>
    </xf>
    <xf numFmtId="1" fontId="3" fillId="5" borderId="18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16" xfId="0" applyFont="1" applyFill="1" applyBorder="1" applyAlignment="1" applyProtection="1">
      <alignment horizontal="center" vertical="center" wrapText="1"/>
      <protection hidden="1"/>
    </xf>
    <xf numFmtId="170" fontId="4" fillId="0" borderId="28" xfId="1" applyNumberFormat="1" applyFont="1" applyFill="1" applyBorder="1" applyAlignment="1" applyProtection="1">
      <alignment horizontal="center"/>
      <protection hidden="1"/>
    </xf>
    <xf numFmtId="0" fontId="4" fillId="0" borderId="30" xfId="0" applyFont="1" applyBorder="1" applyAlignment="1" applyProtection="1">
      <alignment horizontal="center"/>
      <protection hidden="1"/>
    </xf>
    <xf numFmtId="0" fontId="3" fillId="4" borderId="6" xfId="0" applyFont="1" applyFill="1" applyBorder="1" applyAlignment="1" applyProtection="1">
      <alignment horizontal="center" vertical="center" wrapText="1"/>
      <protection hidden="1"/>
    </xf>
    <xf numFmtId="0" fontId="3" fillId="4" borderId="36" xfId="0" applyFont="1" applyFill="1" applyBorder="1" applyAlignment="1" applyProtection="1">
      <alignment horizontal="center" vertical="center" wrapText="1"/>
      <protection hidden="1"/>
    </xf>
    <xf numFmtId="0" fontId="3" fillId="0" borderId="28" xfId="0" applyFont="1" applyBorder="1" applyAlignment="1" applyProtection="1">
      <alignment horizontal="center"/>
      <protection hidden="1"/>
    </xf>
    <xf numFmtId="0" fontId="4" fillId="0" borderId="44" xfId="2" applyNumberFormat="1" applyFont="1" applyFill="1" applyBorder="1" applyAlignment="1" applyProtection="1">
      <alignment horizontal="center"/>
      <protection hidden="1"/>
    </xf>
    <xf numFmtId="9" fontId="4" fillId="0" borderId="48" xfId="2" applyFont="1" applyFill="1" applyBorder="1" applyAlignment="1" applyProtection="1">
      <alignment horizontal="center"/>
      <protection hidden="1"/>
    </xf>
    <xf numFmtId="9" fontId="4" fillId="0" borderId="50" xfId="2" applyFont="1" applyFill="1" applyBorder="1" applyAlignment="1" applyProtection="1">
      <alignment horizontal="center"/>
      <protection hidden="1"/>
    </xf>
    <xf numFmtId="9" fontId="4" fillId="0" borderId="56" xfId="2" applyFont="1" applyFill="1" applyBorder="1" applyAlignment="1" applyProtection="1">
      <alignment horizontal="center"/>
      <protection hidden="1"/>
    </xf>
    <xf numFmtId="0" fontId="3" fillId="5" borderId="36" xfId="0" applyFont="1" applyFill="1" applyBorder="1" applyAlignment="1" applyProtection="1">
      <alignment horizontal="center" vertical="center" wrapText="1"/>
      <protection hidden="1"/>
    </xf>
    <xf numFmtId="0" fontId="35" fillId="6" borderId="0" xfId="0" applyFont="1" applyFill="1" applyProtection="1">
      <protection locked="0"/>
    </xf>
    <xf numFmtId="170" fontId="10" fillId="7" borderId="0" xfId="0" applyNumberFormat="1" applyFont="1" applyFill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wrapText="1"/>
      <protection locked="0"/>
    </xf>
    <xf numFmtId="0" fontId="4" fillId="7" borderId="0" xfId="0" applyFont="1" applyFill="1" applyAlignment="1" applyProtection="1">
      <alignment horizontal="center"/>
      <protection hidden="1"/>
    </xf>
    <xf numFmtId="0" fontId="3" fillId="0" borderId="9" xfId="1" applyNumberFormat="1" applyFont="1" applyFill="1" applyBorder="1" applyAlignment="1" applyProtection="1">
      <alignment horizontal="center"/>
      <protection hidden="1"/>
    </xf>
    <xf numFmtId="170" fontId="3" fillId="0" borderId="10" xfId="1" applyNumberFormat="1" applyFont="1" applyFill="1" applyBorder="1" applyAlignment="1" applyProtection="1">
      <alignment horizontal="center"/>
      <protection hidden="1"/>
    </xf>
    <xf numFmtId="0" fontId="3" fillId="0" borderId="11" xfId="1" applyNumberFormat="1" applyFont="1" applyFill="1" applyBorder="1" applyAlignment="1" applyProtection="1">
      <alignment horizontal="center"/>
      <protection hidden="1"/>
    </xf>
    <xf numFmtId="0" fontId="4" fillId="0" borderId="4" xfId="1" applyNumberFormat="1" applyFont="1" applyBorder="1" applyAlignment="1" applyProtection="1">
      <alignment horizontal="center" vertical="center"/>
      <protection hidden="1"/>
    </xf>
    <xf numFmtId="0" fontId="3" fillId="0" borderId="12" xfId="0" applyFont="1" applyBorder="1" applyAlignment="1" applyProtection="1">
      <alignment horizontal="center"/>
      <protection hidden="1"/>
    </xf>
    <xf numFmtId="0" fontId="4" fillId="0" borderId="42" xfId="1" applyNumberFormat="1" applyFont="1" applyFill="1" applyBorder="1" applyAlignment="1" applyProtection="1">
      <alignment horizontal="center" vertical="center"/>
      <protection hidden="1"/>
    </xf>
    <xf numFmtId="0" fontId="4" fillId="0" borderId="56" xfId="1" applyNumberFormat="1" applyFont="1" applyFill="1" applyBorder="1" applyAlignment="1" applyProtection="1">
      <alignment horizontal="center" vertical="center"/>
      <protection hidden="1"/>
    </xf>
    <xf numFmtId="9" fontId="3" fillId="0" borderId="10" xfId="0" applyNumberFormat="1" applyFont="1" applyBorder="1" applyAlignment="1" applyProtection="1">
      <alignment horizontal="center"/>
      <protection hidden="1"/>
    </xf>
    <xf numFmtId="166" fontId="4" fillId="0" borderId="0" xfId="0" applyNumberFormat="1" applyFont="1" applyProtection="1">
      <protection locked="0"/>
    </xf>
    <xf numFmtId="170" fontId="4" fillId="0" borderId="0" xfId="0" applyNumberFormat="1" applyFont="1" applyProtection="1">
      <protection locked="0"/>
    </xf>
    <xf numFmtId="168" fontId="4" fillId="7" borderId="0" xfId="1" applyNumberFormat="1" applyFont="1" applyFill="1" applyBorder="1" applyAlignment="1" applyProtection="1">
      <alignment horizontal="center" vertical="center"/>
      <protection locked="0"/>
    </xf>
    <xf numFmtId="2" fontId="4" fillId="7" borderId="0" xfId="0" applyNumberFormat="1" applyFont="1" applyFill="1" applyAlignment="1" applyProtection="1">
      <alignment horizontal="center" vertical="center"/>
      <protection locked="0"/>
    </xf>
    <xf numFmtId="182" fontId="4" fillId="7" borderId="0" xfId="0" applyNumberFormat="1" applyFont="1" applyFill="1" applyAlignment="1" applyProtection="1">
      <alignment horizontal="center"/>
      <protection locked="0"/>
    </xf>
    <xf numFmtId="1" fontId="4" fillId="7" borderId="0" xfId="0" applyNumberFormat="1" applyFont="1" applyFill="1" applyAlignment="1" applyProtection="1">
      <alignment horizontal="center" vertical="center"/>
      <protection locked="0"/>
    </xf>
    <xf numFmtId="2" fontId="10" fillId="7" borderId="0" xfId="0" applyNumberFormat="1" applyFont="1" applyFill="1" applyAlignment="1" applyProtection="1">
      <alignment horizontal="center" vertical="center"/>
      <protection locked="0"/>
    </xf>
    <xf numFmtId="181" fontId="4" fillId="7" borderId="0" xfId="0" applyNumberFormat="1" applyFont="1" applyFill="1" applyAlignment="1" applyProtection="1">
      <alignment horizontal="center" vertical="center"/>
      <protection locked="0"/>
    </xf>
    <xf numFmtId="168" fontId="7" fillId="7" borderId="0" xfId="1" applyNumberFormat="1" applyFont="1" applyFill="1" applyBorder="1" applyAlignment="1" applyProtection="1">
      <alignment horizontal="center" vertical="center"/>
      <protection locked="0"/>
    </xf>
    <xf numFmtId="2" fontId="7" fillId="7" borderId="0" xfId="0" applyNumberFormat="1" applyFont="1" applyFill="1" applyAlignment="1" applyProtection="1">
      <alignment horizontal="center" vertical="center"/>
      <protection locked="0"/>
    </xf>
    <xf numFmtId="182" fontId="7" fillId="7" borderId="0" xfId="0" applyNumberFormat="1" applyFont="1" applyFill="1" applyAlignment="1" applyProtection="1">
      <alignment horizontal="center"/>
      <protection locked="0"/>
    </xf>
    <xf numFmtId="1" fontId="7" fillId="7" borderId="0" xfId="0" applyNumberFormat="1" applyFont="1" applyFill="1" applyAlignment="1" applyProtection="1">
      <alignment horizontal="center" vertical="center"/>
      <protection locked="0"/>
    </xf>
    <xf numFmtId="9" fontId="7" fillId="7" borderId="0" xfId="0" applyNumberFormat="1" applyFont="1" applyFill="1" applyAlignment="1" applyProtection="1">
      <alignment horizontal="center" vertical="center"/>
      <protection locked="0"/>
    </xf>
    <xf numFmtId="168" fontId="4" fillId="0" borderId="0" xfId="1" applyNumberFormat="1" applyFont="1" applyFill="1" applyBorder="1" applyAlignment="1" applyProtection="1">
      <alignment horizontal="center" vertical="center"/>
      <protection locked="0"/>
    </xf>
    <xf numFmtId="182" fontId="4" fillId="0" borderId="0" xfId="0" applyNumberFormat="1" applyFont="1" applyAlignment="1" applyProtection="1">
      <alignment horizontal="center"/>
      <protection locked="0"/>
    </xf>
    <xf numFmtId="1" fontId="4" fillId="0" borderId="0" xfId="0" applyNumberFormat="1" applyFont="1" applyAlignment="1" applyProtection="1">
      <alignment horizontal="center" vertical="center"/>
      <protection locked="0"/>
    </xf>
    <xf numFmtId="166" fontId="3" fillId="0" borderId="0" xfId="0" applyNumberFormat="1" applyFont="1" applyAlignment="1" applyProtection="1">
      <alignment horizontal="center"/>
      <protection locked="0"/>
    </xf>
    <xf numFmtId="182" fontId="3" fillId="0" borderId="0" xfId="0" applyNumberFormat="1" applyFont="1" applyAlignment="1" applyProtection="1">
      <alignment horizontal="center"/>
      <protection locked="0"/>
    </xf>
    <xf numFmtId="181" fontId="3" fillId="0" borderId="0" xfId="0" applyNumberFormat="1" applyFont="1" applyAlignment="1" applyProtection="1">
      <alignment horizontal="center" vertical="center" wrapText="1"/>
      <protection locked="0"/>
    </xf>
    <xf numFmtId="10" fontId="3" fillId="0" borderId="0" xfId="0" applyNumberFormat="1" applyFont="1" applyAlignment="1" applyProtection="1">
      <alignment horizontal="center" vertical="center" wrapText="1"/>
      <protection locked="0"/>
    </xf>
    <xf numFmtId="0" fontId="7" fillId="7" borderId="0" xfId="0" applyFont="1" applyFill="1" applyAlignment="1" applyProtection="1">
      <alignment horizontal="center"/>
      <protection locked="0"/>
    </xf>
    <xf numFmtId="173" fontId="10" fillId="7" borderId="0" xfId="0" applyNumberFormat="1" applyFont="1" applyFill="1" applyAlignment="1" applyProtection="1">
      <alignment horizontal="center" vertical="center"/>
      <protection locked="0"/>
    </xf>
    <xf numFmtId="1" fontId="4" fillId="7" borderId="0" xfId="0" applyNumberFormat="1" applyFont="1" applyFill="1" applyAlignment="1" applyProtection="1">
      <alignment horizontal="center" vertical="center" wrapText="1"/>
      <protection locked="0"/>
    </xf>
    <xf numFmtId="173" fontId="4" fillId="7" borderId="0" xfId="0" applyNumberFormat="1" applyFont="1" applyFill="1" applyAlignment="1" applyProtection="1">
      <alignment horizontal="center"/>
      <protection locked="0"/>
    </xf>
    <xf numFmtId="170" fontId="7" fillId="7" borderId="0" xfId="0" applyNumberFormat="1" applyFont="1" applyFill="1" applyAlignment="1" applyProtection="1">
      <alignment horizontal="center" vertical="center"/>
      <protection locked="0"/>
    </xf>
    <xf numFmtId="173" fontId="7" fillId="7" borderId="0" xfId="0" applyNumberFormat="1" applyFont="1" applyFill="1" applyAlignment="1" applyProtection="1">
      <alignment horizontal="center" vertical="center"/>
      <protection locked="0"/>
    </xf>
    <xf numFmtId="10" fontId="4" fillId="0" borderId="0" xfId="0" applyNumberFormat="1" applyFont="1" applyAlignment="1" applyProtection="1">
      <alignment horizontal="center" vertical="center"/>
      <protection locked="0"/>
    </xf>
    <xf numFmtId="1" fontId="3" fillId="0" borderId="0" xfId="0" applyNumberFormat="1" applyFont="1" applyAlignment="1" applyProtection="1">
      <alignment horizontal="center" vertical="center"/>
      <protection locked="0"/>
    </xf>
    <xf numFmtId="1" fontId="3" fillId="0" borderId="0" xfId="0" applyNumberFormat="1" applyFont="1" applyAlignment="1" applyProtection="1">
      <alignment horizontal="center" vertical="center" wrapText="1"/>
      <protection locked="0"/>
    </xf>
    <xf numFmtId="170" fontId="4" fillId="7" borderId="0" xfId="0" applyNumberFormat="1" applyFont="1" applyFill="1" applyAlignment="1" applyProtection="1">
      <alignment horizontal="center"/>
      <protection locked="0"/>
    </xf>
    <xf numFmtId="170" fontId="10" fillId="7" borderId="0" xfId="0" applyNumberFormat="1" applyFont="1" applyFill="1" applyAlignment="1" applyProtection="1">
      <alignment horizontal="center"/>
      <protection locked="0"/>
    </xf>
    <xf numFmtId="1" fontId="4" fillId="0" borderId="0" xfId="0" applyNumberFormat="1" applyFont="1" applyAlignment="1" applyProtection="1">
      <alignment horizontal="center" vertical="center" wrapText="1"/>
      <protection locked="0"/>
    </xf>
    <xf numFmtId="166" fontId="3" fillId="4" borderId="59" xfId="0" applyNumberFormat="1" applyFont="1" applyFill="1" applyBorder="1" applyAlignment="1" applyProtection="1">
      <alignment horizontal="center"/>
      <protection hidden="1"/>
    </xf>
    <xf numFmtId="0" fontId="3" fillId="2" borderId="9" xfId="0" applyFont="1" applyFill="1" applyBorder="1" applyAlignment="1" applyProtection="1">
      <alignment horizontal="center" vertical="center" wrapText="1"/>
      <protection hidden="1"/>
    </xf>
    <xf numFmtId="169" fontId="3" fillId="10" borderId="12" xfId="0" applyNumberFormat="1" applyFont="1" applyFill="1" applyBorder="1" applyAlignment="1" applyProtection="1">
      <alignment horizontal="center" vertical="center" wrapText="1"/>
      <protection hidden="1"/>
    </xf>
    <xf numFmtId="166" fontId="3" fillId="10" borderId="14" xfId="0" applyNumberFormat="1" applyFont="1" applyFill="1" applyBorder="1" applyAlignment="1" applyProtection="1">
      <alignment horizontal="center" vertical="center" wrapText="1"/>
      <protection hidden="1"/>
    </xf>
    <xf numFmtId="166" fontId="3" fillId="10" borderId="13" xfId="0" applyNumberFormat="1" applyFont="1" applyFill="1" applyBorder="1" applyAlignment="1" applyProtection="1">
      <alignment horizontal="center" vertical="center" wrapText="1"/>
      <protection hidden="1"/>
    </xf>
    <xf numFmtId="10" fontId="3" fillId="5" borderId="10" xfId="0" applyNumberFormat="1" applyFont="1" applyFill="1" applyBorder="1" applyAlignment="1" applyProtection="1">
      <alignment horizontal="center" vertical="center" wrapText="1"/>
      <protection hidden="1"/>
    </xf>
    <xf numFmtId="10" fontId="3" fillId="4" borderId="9" xfId="0" applyNumberFormat="1" applyFont="1" applyFill="1" applyBorder="1" applyAlignment="1" applyProtection="1">
      <alignment horizontal="center" vertical="center" wrapText="1"/>
      <protection hidden="1"/>
    </xf>
    <xf numFmtId="166" fontId="4" fillId="0" borderId="6" xfId="1" applyNumberFormat="1" applyFont="1" applyFill="1" applyBorder="1" applyAlignment="1" applyProtection="1">
      <alignment horizontal="center"/>
      <protection hidden="1"/>
    </xf>
    <xf numFmtId="166" fontId="4" fillId="0" borderId="36" xfId="1" applyNumberFormat="1" applyFont="1" applyFill="1" applyBorder="1" applyAlignment="1" applyProtection="1">
      <alignment horizontal="center"/>
      <protection hidden="1"/>
    </xf>
    <xf numFmtId="166" fontId="4" fillId="0" borderId="18" xfId="0" applyNumberFormat="1" applyFont="1" applyBorder="1" applyAlignment="1" applyProtection="1">
      <alignment horizontal="center"/>
      <protection hidden="1"/>
    </xf>
    <xf numFmtId="1" fontId="4" fillId="0" borderId="16" xfId="0" applyNumberFormat="1" applyFont="1" applyBorder="1" applyAlignment="1" applyProtection="1">
      <alignment horizontal="center" vertical="center"/>
      <protection hidden="1"/>
    </xf>
    <xf numFmtId="166" fontId="4" fillId="0" borderId="41" xfId="1" applyNumberFormat="1" applyFont="1" applyFill="1" applyBorder="1" applyAlignment="1" applyProtection="1">
      <alignment horizontal="center"/>
      <protection hidden="1"/>
    </xf>
    <xf numFmtId="166" fontId="4" fillId="0" borderId="4" xfId="1" applyNumberFormat="1" applyFont="1" applyFill="1" applyBorder="1" applyAlignment="1" applyProtection="1">
      <alignment horizontal="center"/>
      <protection hidden="1"/>
    </xf>
    <xf numFmtId="166" fontId="4" fillId="0" borderId="43" xfId="1" applyNumberFormat="1" applyFont="1" applyFill="1" applyBorder="1" applyAlignment="1" applyProtection="1">
      <alignment horizontal="center"/>
      <protection hidden="1"/>
    </xf>
    <xf numFmtId="166" fontId="4" fillId="0" borderId="1" xfId="0" applyNumberFormat="1" applyFont="1" applyBorder="1" applyAlignment="1" applyProtection="1">
      <alignment horizontal="center"/>
      <protection hidden="1"/>
    </xf>
    <xf numFmtId="1" fontId="4" fillId="0" borderId="41" xfId="0" applyNumberFormat="1" applyFont="1" applyBorder="1" applyAlignment="1" applyProtection="1">
      <alignment horizontal="center" vertical="center"/>
      <protection hidden="1"/>
    </xf>
    <xf numFmtId="166" fontId="4" fillId="0" borderId="45" xfId="1" applyNumberFormat="1" applyFont="1" applyFill="1" applyBorder="1" applyAlignment="1" applyProtection="1">
      <alignment horizontal="center"/>
      <protection hidden="1"/>
    </xf>
    <xf numFmtId="166" fontId="4" fillId="0" borderId="5" xfId="1" applyNumberFormat="1" applyFont="1" applyFill="1" applyBorder="1" applyAlignment="1" applyProtection="1">
      <alignment horizontal="center"/>
      <protection hidden="1"/>
    </xf>
    <xf numFmtId="166" fontId="4" fillId="0" borderId="46" xfId="1" applyNumberFormat="1" applyFont="1" applyFill="1" applyBorder="1" applyAlignment="1" applyProtection="1">
      <alignment horizontal="center"/>
      <protection hidden="1"/>
    </xf>
    <xf numFmtId="166" fontId="4" fillId="0" borderId="52" xfId="0" applyNumberFormat="1" applyFont="1" applyBorder="1" applyAlignment="1" applyProtection="1">
      <alignment horizontal="center"/>
      <protection hidden="1"/>
    </xf>
    <xf numFmtId="1" fontId="4" fillId="0" borderId="45" xfId="0" applyNumberFormat="1" applyFont="1" applyBorder="1" applyAlignment="1" applyProtection="1">
      <alignment horizontal="center" vertical="center"/>
      <protection hidden="1"/>
    </xf>
    <xf numFmtId="166" fontId="3" fillId="0" borderId="9" xfId="0" applyNumberFormat="1" applyFont="1" applyBorder="1" applyAlignment="1" applyProtection="1">
      <alignment horizontal="center"/>
      <protection hidden="1"/>
    </xf>
    <xf numFmtId="166" fontId="3" fillId="0" borderId="14" xfId="1" applyNumberFormat="1" applyFont="1" applyFill="1" applyBorder="1" applyAlignment="1" applyProtection="1">
      <alignment horizontal="center" vertical="center"/>
      <protection hidden="1"/>
    </xf>
    <xf numFmtId="166" fontId="3" fillId="0" borderId="13" xfId="1" applyNumberFormat="1" applyFont="1" applyFill="1" applyBorder="1" applyAlignment="1" applyProtection="1">
      <alignment horizontal="center" vertical="center"/>
      <protection hidden="1"/>
    </xf>
    <xf numFmtId="166" fontId="3" fillId="0" borderId="10" xfId="0" applyNumberFormat="1" applyFont="1" applyBorder="1" applyAlignment="1" applyProtection="1">
      <alignment horizontal="center" vertical="center"/>
      <protection hidden="1"/>
    </xf>
    <xf numFmtId="166" fontId="3" fillId="0" borderId="10" xfId="0" applyNumberFormat="1" applyFont="1" applyBorder="1" applyAlignment="1" applyProtection="1">
      <alignment horizontal="center"/>
      <protection hidden="1"/>
    </xf>
    <xf numFmtId="166" fontId="3" fillId="0" borderId="9" xfId="0" applyNumberFormat="1" applyFont="1" applyBorder="1" applyAlignment="1" applyProtection="1">
      <alignment horizontal="center" vertical="center"/>
      <protection hidden="1"/>
    </xf>
    <xf numFmtId="166" fontId="3" fillId="10" borderId="14" xfId="1" applyNumberFormat="1" applyFont="1" applyFill="1" applyBorder="1" applyAlignment="1" applyProtection="1">
      <alignment horizontal="center" vertical="center" wrapText="1"/>
      <protection hidden="1"/>
    </xf>
    <xf numFmtId="166" fontId="3" fillId="5" borderId="10" xfId="0" applyNumberFormat="1" applyFont="1" applyFill="1" applyBorder="1" applyAlignment="1" applyProtection="1">
      <alignment horizontal="center" vertical="center" wrapText="1"/>
      <protection hidden="1"/>
    </xf>
    <xf numFmtId="170" fontId="3" fillId="0" borderId="18" xfId="0" applyNumberFormat="1" applyFont="1" applyBorder="1" applyAlignment="1" applyProtection="1">
      <alignment horizontal="center"/>
      <protection hidden="1"/>
    </xf>
    <xf numFmtId="166" fontId="4" fillId="0" borderId="17" xfId="0" applyNumberFormat="1" applyFont="1" applyBorder="1" applyAlignment="1" applyProtection="1">
      <alignment horizontal="center"/>
      <protection hidden="1"/>
    </xf>
    <xf numFmtId="166" fontId="4" fillId="0" borderId="16" xfId="0" applyNumberFormat="1" applyFont="1" applyBorder="1" applyAlignment="1" applyProtection="1">
      <alignment horizontal="center" vertical="center"/>
      <protection hidden="1"/>
    </xf>
    <xf numFmtId="170" fontId="3" fillId="0" borderId="52" xfId="0" applyNumberFormat="1" applyFont="1" applyBorder="1" applyAlignment="1" applyProtection="1">
      <alignment horizontal="center"/>
      <protection hidden="1"/>
    </xf>
    <xf numFmtId="166" fontId="4" fillId="0" borderId="51" xfId="0" applyNumberFormat="1" applyFont="1" applyBorder="1" applyAlignment="1" applyProtection="1">
      <alignment horizontal="center"/>
      <protection hidden="1"/>
    </xf>
    <xf numFmtId="166" fontId="4" fillId="0" borderId="5" xfId="0" applyNumberFormat="1" applyFont="1" applyBorder="1" applyAlignment="1" applyProtection="1">
      <alignment horizontal="center" vertical="center"/>
      <protection hidden="1"/>
    </xf>
    <xf numFmtId="166" fontId="4" fillId="0" borderId="45" xfId="0" applyNumberFormat="1" applyFont="1" applyBorder="1" applyAlignment="1" applyProtection="1">
      <alignment horizontal="center"/>
      <protection hidden="1"/>
    </xf>
    <xf numFmtId="166" fontId="3" fillId="0" borderId="12" xfId="0" applyNumberFormat="1" applyFont="1" applyBorder="1" applyAlignment="1" applyProtection="1">
      <alignment horizontal="center"/>
      <protection hidden="1"/>
    </xf>
    <xf numFmtId="166" fontId="3" fillId="0" borderId="14" xfId="0" applyNumberFormat="1" applyFont="1" applyBorder="1" applyAlignment="1" applyProtection="1">
      <alignment horizontal="center"/>
      <protection hidden="1"/>
    </xf>
    <xf numFmtId="166" fontId="3" fillId="0" borderId="13" xfId="0" applyNumberFormat="1" applyFont="1" applyBorder="1" applyAlignment="1" applyProtection="1">
      <alignment horizontal="center"/>
      <protection hidden="1"/>
    </xf>
    <xf numFmtId="166" fontId="3" fillId="0" borderId="0" xfId="1" applyNumberFormat="1" applyFont="1" applyFill="1" applyBorder="1" applyAlignment="1" applyProtection="1">
      <alignment horizontal="center"/>
      <protection hidden="1"/>
    </xf>
    <xf numFmtId="169" fontId="3" fillId="10" borderId="14" xfId="0" applyNumberFormat="1" applyFont="1" applyFill="1" applyBorder="1" applyAlignment="1" applyProtection="1">
      <alignment horizontal="center" vertical="center" wrapText="1"/>
      <protection hidden="1"/>
    </xf>
    <xf numFmtId="166" fontId="3" fillId="0" borderId="14" xfId="1" applyNumberFormat="1" applyFont="1" applyFill="1" applyBorder="1" applyAlignment="1" applyProtection="1">
      <alignment horizontal="center"/>
      <protection hidden="1"/>
    </xf>
    <xf numFmtId="166" fontId="3" fillId="0" borderId="13" xfId="1" applyNumberFormat="1" applyFont="1" applyFill="1" applyBorder="1" applyAlignment="1" applyProtection="1">
      <alignment horizontal="center"/>
      <protection hidden="1"/>
    </xf>
    <xf numFmtId="168" fontId="3" fillId="10" borderId="14" xfId="1" applyNumberFormat="1" applyFont="1" applyFill="1" applyBorder="1" applyAlignment="1" applyProtection="1">
      <alignment horizontal="center" vertical="center" wrapText="1"/>
      <protection hidden="1"/>
    </xf>
    <xf numFmtId="166" fontId="3" fillId="5" borderId="11" xfId="0" applyNumberFormat="1" applyFont="1" applyFill="1" applyBorder="1" applyAlignment="1" applyProtection="1">
      <alignment horizontal="center" vertical="center" wrapText="1"/>
      <protection hidden="1"/>
    </xf>
    <xf numFmtId="170" fontId="3" fillId="0" borderId="15" xfId="0" applyNumberFormat="1" applyFont="1" applyBorder="1" applyAlignment="1" applyProtection="1">
      <alignment horizontal="center"/>
      <protection hidden="1"/>
    </xf>
    <xf numFmtId="166" fontId="4" fillId="0" borderId="36" xfId="0" applyNumberFormat="1" applyFont="1" applyBorder="1" applyAlignment="1" applyProtection="1">
      <alignment horizontal="center"/>
      <protection hidden="1"/>
    </xf>
    <xf numFmtId="170" fontId="3" fillId="0" borderId="20" xfId="0" applyNumberFormat="1" applyFont="1" applyBorder="1" applyAlignment="1" applyProtection="1">
      <alignment horizontal="center"/>
      <protection hidden="1"/>
    </xf>
    <xf numFmtId="166" fontId="4" fillId="0" borderId="46" xfId="0" applyNumberFormat="1" applyFont="1" applyBorder="1" applyAlignment="1" applyProtection="1">
      <alignment horizontal="center"/>
      <protection hidden="1"/>
    </xf>
    <xf numFmtId="166" fontId="3" fillId="0" borderId="14" xfId="0" applyNumberFormat="1" applyFont="1" applyBorder="1" applyAlignment="1" applyProtection="1">
      <alignment horizontal="center" vertical="center"/>
      <protection hidden="1"/>
    </xf>
    <xf numFmtId="166" fontId="3" fillId="0" borderId="13" xfId="0" applyNumberFormat="1" applyFont="1" applyBorder="1" applyAlignment="1" applyProtection="1">
      <alignment horizontal="center" vertical="center"/>
      <protection hidden="1"/>
    </xf>
    <xf numFmtId="166" fontId="3" fillId="0" borderId="11" xfId="0" applyNumberFormat="1" applyFont="1" applyBorder="1" applyAlignment="1" applyProtection="1">
      <alignment horizontal="center" vertical="center"/>
      <protection hidden="1"/>
    </xf>
    <xf numFmtId="168" fontId="3" fillId="0" borderId="0" xfId="0" applyNumberFormat="1" applyFont="1" applyAlignment="1" applyProtection="1">
      <alignment horizontal="center"/>
      <protection hidden="1"/>
    </xf>
    <xf numFmtId="169" fontId="3" fillId="10" borderId="13" xfId="0" applyNumberFormat="1" applyFont="1" applyFill="1" applyBorder="1" applyAlignment="1" applyProtection="1">
      <alignment horizontal="center" vertical="center" wrapText="1"/>
      <protection hidden="1"/>
    </xf>
    <xf numFmtId="166" fontId="3" fillId="5" borderId="12" xfId="0" applyNumberFormat="1" applyFont="1" applyFill="1" applyBorder="1" applyAlignment="1" applyProtection="1">
      <alignment horizontal="center" vertical="center" wrapText="1"/>
      <protection hidden="1"/>
    </xf>
    <xf numFmtId="10" fontId="3" fillId="4" borderId="12" xfId="0" applyNumberFormat="1" applyFont="1" applyFill="1" applyBorder="1" applyAlignment="1" applyProtection="1">
      <alignment horizontal="center" vertical="center" wrapText="1"/>
      <protection hidden="1"/>
    </xf>
    <xf numFmtId="166" fontId="4" fillId="0" borderId="22" xfId="1" applyNumberFormat="1" applyFont="1" applyFill="1" applyBorder="1" applyAlignment="1" applyProtection="1">
      <alignment horizontal="center"/>
      <protection hidden="1"/>
    </xf>
    <xf numFmtId="166" fontId="4" fillId="0" borderId="23" xfId="1" applyNumberFormat="1" applyFont="1" applyFill="1" applyBorder="1" applyAlignment="1" applyProtection="1">
      <alignment horizontal="center"/>
      <protection hidden="1"/>
    </xf>
    <xf numFmtId="1" fontId="4" fillId="0" borderId="35" xfId="2" applyNumberFormat="1" applyFont="1" applyFill="1" applyBorder="1" applyAlignment="1" applyProtection="1">
      <alignment horizontal="center"/>
      <protection hidden="1"/>
    </xf>
    <xf numFmtId="166" fontId="4" fillId="0" borderId="43" xfId="0" applyNumberFormat="1" applyFont="1" applyBorder="1" applyAlignment="1" applyProtection="1">
      <alignment horizontal="center"/>
      <protection hidden="1"/>
    </xf>
    <xf numFmtId="166" fontId="3" fillId="0" borderId="49" xfId="0" applyNumberFormat="1" applyFont="1" applyBorder="1" applyAlignment="1" applyProtection="1">
      <alignment horizontal="center"/>
      <protection hidden="1"/>
    </xf>
    <xf numFmtId="166" fontId="3" fillId="0" borderId="12" xfId="0" applyNumberFormat="1" applyFont="1" applyBorder="1" applyAlignment="1" applyProtection="1">
      <alignment horizontal="center" vertical="center"/>
      <protection hidden="1"/>
    </xf>
    <xf numFmtId="166" fontId="3" fillId="5" borderId="49" xfId="0" applyNumberFormat="1" applyFont="1" applyFill="1" applyBorder="1" applyAlignment="1" applyProtection="1">
      <alignment horizontal="center" vertical="center" wrapText="1"/>
      <protection hidden="1"/>
    </xf>
    <xf numFmtId="166" fontId="3" fillId="0" borderId="49" xfId="0" applyNumberFormat="1" applyFont="1" applyBorder="1" applyAlignment="1" applyProtection="1">
      <alignment horizontal="center" vertical="center"/>
      <protection hidden="1"/>
    </xf>
    <xf numFmtId="9" fontId="3" fillId="0" borderId="0" xfId="2" applyFont="1" applyFill="1" applyBorder="1" applyAlignment="1" applyProtection="1">
      <alignment horizontal="center"/>
      <protection hidden="1"/>
    </xf>
    <xf numFmtId="0" fontId="3" fillId="2" borderId="56" xfId="0" applyFont="1" applyFill="1" applyBorder="1" applyAlignment="1" applyProtection="1">
      <alignment horizontal="center" vertical="center" wrapText="1"/>
      <protection hidden="1"/>
    </xf>
    <xf numFmtId="169" fontId="3" fillId="10" borderId="49" xfId="0" applyNumberFormat="1" applyFont="1" applyFill="1" applyBorder="1" applyAlignment="1" applyProtection="1">
      <alignment horizontal="center" vertical="center" wrapText="1"/>
      <protection hidden="1"/>
    </xf>
    <xf numFmtId="169" fontId="3" fillId="10" borderId="50" xfId="0" applyNumberFormat="1" applyFont="1" applyFill="1" applyBorder="1" applyAlignment="1" applyProtection="1">
      <alignment horizontal="center" vertical="center" wrapText="1"/>
      <protection hidden="1"/>
    </xf>
    <xf numFmtId="10" fontId="3" fillId="4" borderId="49" xfId="0" applyNumberFormat="1" applyFont="1" applyFill="1" applyBorder="1" applyAlignment="1" applyProtection="1">
      <alignment horizontal="center" vertical="center" wrapText="1"/>
      <protection hidden="1"/>
    </xf>
    <xf numFmtId="166" fontId="3" fillId="0" borderId="72" xfId="0" applyNumberFormat="1" applyFont="1" applyBorder="1" applyAlignment="1" applyProtection="1">
      <alignment horizontal="center"/>
      <protection hidden="1"/>
    </xf>
    <xf numFmtId="166" fontId="4" fillId="0" borderId="75" xfId="1" applyNumberFormat="1" applyFont="1" applyFill="1" applyBorder="1" applyAlignment="1" applyProtection="1">
      <alignment horizontal="center" vertical="center"/>
      <protection hidden="1"/>
    </xf>
    <xf numFmtId="166" fontId="4" fillId="0" borderId="36" xfId="1" applyNumberFormat="1" applyFont="1" applyFill="1" applyBorder="1" applyAlignment="1" applyProtection="1">
      <alignment horizontal="center" vertical="center"/>
      <protection hidden="1"/>
    </xf>
    <xf numFmtId="166" fontId="3" fillId="0" borderId="69" xfId="0" applyNumberFormat="1" applyFont="1" applyBorder="1" applyAlignment="1" applyProtection="1">
      <alignment horizontal="center"/>
      <protection hidden="1"/>
    </xf>
    <xf numFmtId="166" fontId="3" fillId="0" borderId="70" xfId="0" applyNumberFormat="1" applyFont="1" applyBorder="1" applyAlignment="1" applyProtection="1">
      <alignment horizontal="center"/>
      <protection hidden="1"/>
    </xf>
    <xf numFmtId="166" fontId="4" fillId="0" borderId="52" xfId="1" applyNumberFormat="1" applyFont="1" applyFill="1" applyBorder="1" applyAlignment="1" applyProtection="1">
      <alignment horizontal="center" vertical="center"/>
      <protection hidden="1"/>
    </xf>
    <xf numFmtId="166" fontId="3" fillId="0" borderId="56" xfId="0" applyNumberFormat="1" applyFont="1" applyBorder="1" applyAlignment="1" applyProtection="1">
      <alignment horizontal="center"/>
      <protection hidden="1"/>
    </xf>
    <xf numFmtId="166" fontId="3" fillId="0" borderId="50" xfId="0" applyNumberFormat="1" applyFont="1" applyBorder="1" applyAlignment="1" applyProtection="1">
      <alignment horizontal="center" vertical="center"/>
      <protection hidden="1"/>
    </xf>
    <xf numFmtId="168" fontId="3" fillId="10" borderId="50" xfId="1" applyNumberFormat="1" applyFont="1" applyFill="1" applyBorder="1" applyAlignment="1" applyProtection="1">
      <alignment horizontal="center" vertical="center" wrapText="1"/>
      <protection hidden="1"/>
    </xf>
    <xf numFmtId="170" fontId="3" fillId="0" borderId="72" xfId="0" applyNumberFormat="1" applyFont="1" applyBorder="1" applyAlignment="1" applyProtection="1">
      <alignment horizontal="center"/>
      <protection hidden="1"/>
    </xf>
    <xf numFmtId="172" fontId="4" fillId="0" borderId="17" xfId="1" applyNumberFormat="1" applyFont="1" applyFill="1" applyBorder="1" applyAlignment="1" applyProtection="1">
      <alignment horizontal="center" vertical="center"/>
      <protection hidden="1"/>
    </xf>
    <xf numFmtId="172" fontId="4" fillId="0" borderId="18" xfId="1" applyNumberFormat="1" applyFont="1" applyFill="1" applyBorder="1" applyAlignment="1" applyProtection="1">
      <alignment horizontal="center" vertical="center"/>
      <protection hidden="1"/>
    </xf>
    <xf numFmtId="170" fontId="3" fillId="0" borderId="70" xfId="0" applyNumberFormat="1" applyFont="1" applyBorder="1" applyAlignment="1" applyProtection="1">
      <alignment horizontal="center"/>
      <protection hidden="1"/>
    </xf>
    <xf numFmtId="172" fontId="4" fillId="0" borderId="51" xfId="1" applyNumberFormat="1" applyFont="1" applyFill="1" applyBorder="1" applyAlignment="1" applyProtection="1">
      <alignment horizontal="center" vertical="center"/>
      <protection hidden="1"/>
    </xf>
    <xf numFmtId="172" fontId="4" fillId="0" borderId="52" xfId="1" applyNumberFormat="1" applyFont="1" applyFill="1" applyBorder="1" applyAlignment="1" applyProtection="1">
      <alignment horizontal="center" vertical="center"/>
      <protection hidden="1"/>
    </xf>
    <xf numFmtId="166" fontId="3" fillId="0" borderId="56" xfId="0" applyNumberFormat="1" applyFont="1" applyBorder="1" applyAlignment="1" applyProtection="1">
      <alignment horizontal="center" vertical="center"/>
      <protection hidden="1"/>
    </xf>
    <xf numFmtId="170" fontId="3" fillId="0" borderId="0" xfId="0" applyNumberFormat="1" applyFont="1" applyAlignment="1" applyProtection="1">
      <alignment horizontal="center"/>
      <protection locked="0"/>
    </xf>
    <xf numFmtId="1" fontId="4" fillId="0" borderId="6" xfId="0" applyNumberFormat="1" applyFont="1" applyBorder="1" applyAlignment="1" applyProtection="1">
      <alignment horizontal="center" vertical="center"/>
      <protection hidden="1"/>
    </xf>
    <xf numFmtId="1" fontId="4" fillId="0" borderId="0" xfId="0" applyNumberFormat="1" applyFont="1" applyAlignment="1" applyProtection="1">
      <alignment horizontal="center" vertical="center"/>
      <protection hidden="1"/>
    </xf>
    <xf numFmtId="1" fontId="4" fillId="0" borderId="4" xfId="0" applyNumberFormat="1" applyFont="1" applyBorder="1" applyAlignment="1" applyProtection="1">
      <alignment horizontal="center" vertical="center"/>
      <protection hidden="1"/>
    </xf>
    <xf numFmtId="1" fontId="4" fillId="0" borderId="5" xfId="0" applyNumberFormat="1" applyFont="1" applyBorder="1" applyAlignment="1" applyProtection="1">
      <alignment horizontal="center" vertical="center"/>
      <protection hidden="1"/>
    </xf>
    <xf numFmtId="166" fontId="3" fillId="0" borderId="10" xfId="0" applyNumberFormat="1" applyFont="1" applyBorder="1" applyAlignment="1" applyProtection="1">
      <alignment horizontal="center" vertical="center" wrapText="1"/>
      <protection hidden="1"/>
    </xf>
    <xf numFmtId="166" fontId="4" fillId="0" borderId="5" xfId="0" applyNumberFormat="1" applyFont="1" applyBorder="1" applyAlignment="1" applyProtection="1">
      <alignment horizontal="center"/>
      <protection hidden="1"/>
    </xf>
    <xf numFmtId="1" fontId="4" fillId="0" borderId="19" xfId="0" applyNumberFormat="1" applyFont="1" applyBorder="1" applyAlignment="1" applyProtection="1">
      <alignment horizontal="center" vertical="center"/>
      <protection hidden="1"/>
    </xf>
    <xf numFmtId="166" fontId="4" fillId="0" borderId="19" xfId="0" applyNumberFormat="1" applyFont="1" applyBorder="1" applyAlignment="1" applyProtection="1">
      <alignment horizontal="center" vertical="center"/>
      <protection hidden="1"/>
    </xf>
    <xf numFmtId="166" fontId="4" fillId="0" borderId="19" xfId="0" applyNumberFormat="1" applyFont="1" applyBorder="1" applyAlignment="1" applyProtection="1">
      <alignment horizontal="center"/>
      <protection hidden="1"/>
    </xf>
    <xf numFmtId="166" fontId="4" fillId="0" borderId="19" xfId="1" applyNumberFormat="1" applyFont="1" applyFill="1" applyBorder="1" applyAlignment="1" applyProtection="1">
      <alignment horizontal="center" vertical="center"/>
      <protection hidden="1"/>
    </xf>
    <xf numFmtId="166" fontId="4" fillId="0" borderId="0" xfId="1" applyNumberFormat="1" applyFont="1" applyFill="1" applyBorder="1" applyAlignment="1" applyProtection="1">
      <alignment horizontal="center" vertical="center"/>
      <protection hidden="1"/>
    </xf>
    <xf numFmtId="9" fontId="4" fillId="0" borderId="14" xfId="2" applyFont="1" applyFill="1" applyBorder="1" applyAlignment="1" applyProtection="1">
      <alignment horizontal="center" vertical="center"/>
      <protection hidden="1"/>
    </xf>
    <xf numFmtId="172" fontId="4" fillId="0" borderId="6" xfId="1" applyNumberFormat="1" applyFont="1" applyFill="1" applyBorder="1" applyAlignment="1" applyProtection="1">
      <alignment horizontal="center" vertical="center"/>
      <protection hidden="1"/>
    </xf>
    <xf numFmtId="172" fontId="4" fillId="0" borderId="19" xfId="1" applyNumberFormat="1" applyFont="1" applyFill="1" applyBorder="1" applyAlignment="1" applyProtection="1">
      <alignment horizontal="center" vertical="center"/>
      <protection hidden="1"/>
    </xf>
    <xf numFmtId="172" fontId="4" fillId="0" borderId="0" xfId="1" applyNumberFormat="1" applyFont="1" applyFill="1" applyBorder="1" applyAlignment="1" applyProtection="1">
      <alignment horizontal="center" vertical="center"/>
      <protection hidden="1"/>
    </xf>
    <xf numFmtId="172" fontId="4" fillId="0" borderId="5" xfId="1" applyNumberFormat="1" applyFont="1" applyFill="1" applyBorder="1" applyAlignment="1" applyProtection="1">
      <alignment horizontal="center" vertical="center"/>
      <protection hidden="1"/>
    </xf>
    <xf numFmtId="170" fontId="4" fillId="0" borderId="0" xfId="0" applyNumberFormat="1" applyFont="1" applyAlignment="1" applyProtection="1">
      <alignment horizontal="center" wrapText="1"/>
      <protection locked="0"/>
    </xf>
    <xf numFmtId="1" fontId="4" fillId="0" borderId="79" xfId="0" applyNumberFormat="1" applyFont="1" applyBorder="1" applyAlignment="1" applyProtection="1">
      <alignment horizontal="center" vertical="center"/>
      <protection hidden="1"/>
    </xf>
    <xf numFmtId="166" fontId="4" fillId="0" borderId="0" xfId="0" applyNumberFormat="1" applyFont="1" applyAlignment="1" applyProtection="1">
      <alignment horizontal="center"/>
      <protection locked="0"/>
    </xf>
    <xf numFmtId="166" fontId="4" fillId="0" borderId="79" xfId="0" applyNumberFormat="1" applyFont="1" applyBorder="1" applyAlignment="1" applyProtection="1">
      <alignment horizontal="center" vertical="center"/>
      <protection hidden="1"/>
    </xf>
    <xf numFmtId="166" fontId="4" fillId="0" borderId="79" xfId="0" applyNumberFormat="1" applyFont="1" applyBorder="1" applyAlignment="1" applyProtection="1">
      <alignment horizontal="center"/>
      <protection hidden="1"/>
    </xf>
    <xf numFmtId="166" fontId="4" fillId="0" borderId="79" xfId="1" applyNumberFormat="1" applyFont="1" applyFill="1" applyBorder="1" applyAlignment="1" applyProtection="1">
      <alignment horizontal="center" vertical="center"/>
      <protection hidden="1"/>
    </xf>
    <xf numFmtId="172" fontId="4" fillId="0" borderId="79" xfId="1" applyNumberFormat="1" applyFont="1" applyFill="1" applyBorder="1" applyAlignment="1" applyProtection="1">
      <alignment horizontal="center" vertical="center"/>
      <protection hidden="1"/>
    </xf>
    <xf numFmtId="0" fontId="4" fillId="7" borderId="0" xfId="0" applyFont="1" applyFill="1" applyProtection="1">
      <protection hidden="1"/>
    </xf>
    <xf numFmtId="0" fontId="4" fillId="6" borderId="0" xfId="0" applyFont="1" applyFill="1" applyProtection="1">
      <protection hidden="1"/>
    </xf>
    <xf numFmtId="0" fontId="4" fillId="7" borderId="0" xfId="0" applyFont="1" applyFill="1" applyAlignment="1" applyProtection="1">
      <alignment horizontal="center" vertical="center"/>
      <protection hidden="1"/>
    </xf>
    <xf numFmtId="0" fontId="10" fillId="0" borderId="0" xfId="0" applyFont="1" applyProtection="1">
      <protection hidden="1"/>
    </xf>
    <xf numFmtId="0" fontId="3" fillId="0" borderId="17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3" fillId="32" borderId="6" xfId="0" applyFont="1" applyFill="1" applyBorder="1" applyAlignment="1" applyProtection="1">
      <alignment horizontal="center" vertical="center" wrapText="1"/>
      <protection locked="0"/>
    </xf>
    <xf numFmtId="2" fontId="4" fillId="7" borderId="4" xfId="0" applyNumberFormat="1" applyFont="1" applyFill="1" applyBorder="1" applyAlignment="1" applyProtection="1">
      <alignment horizontal="center" vertical="center"/>
      <protection locked="0"/>
    </xf>
    <xf numFmtId="0" fontId="4" fillId="7" borderId="3" xfId="0" applyFont="1" applyFill="1" applyBorder="1" applyAlignment="1" applyProtection="1">
      <alignment horizontal="center" vertical="center"/>
      <protection locked="0"/>
    </xf>
    <xf numFmtId="2" fontId="10" fillId="7" borderId="4" xfId="0" applyNumberFormat="1" applyFont="1" applyFill="1" applyBorder="1" applyAlignment="1" applyProtection="1">
      <alignment horizontal="center" vertical="center"/>
      <protection locked="0"/>
    </xf>
    <xf numFmtId="0" fontId="4" fillId="7" borderId="4" xfId="0" applyFont="1" applyFill="1" applyBorder="1" applyAlignment="1" applyProtection="1">
      <alignment horizontal="center"/>
      <protection locked="0"/>
    </xf>
    <xf numFmtId="170" fontId="4" fillId="7" borderId="4" xfId="0" applyNumberFormat="1" applyFont="1" applyFill="1" applyBorder="1" applyAlignment="1" applyProtection="1">
      <alignment horizontal="center"/>
      <protection locked="0"/>
    </xf>
    <xf numFmtId="0" fontId="4" fillId="7" borderId="5" xfId="0" applyFont="1" applyFill="1" applyBorder="1" applyAlignment="1" applyProtection="1">
      <alignment horizontal="center" vertical="center"/>
      <protection locked="0"/>
    </xf>
    <xf numFmtId="2" fontId="4" fillId="7" borderId="5" xfId="0" applyNumberFormat="1" applyFont="1" applyFill="1" applyBorder="1" applyAlignment="1" applyProtection="1">
      <alignment horizontal="center" vertical="center"/>
      <protection locked="0"/>
    </xf>
    <xf numFmtId="0" fontId="4" fillId="7" borderId="5" xfId="0" applyFont="1" applyFill="1" applyBorder="1" applyAlignment="1" applyProtection="1">
      <alignment horizontal="center"/>
      <protection locked="0"/>
    </xf>
    <xf numFmtId="0" fontId="10" fillId="7" borderId="5" xfId="0" applyFont="1" applyFill="1" applyBorder="1" applyAlignment="1" applyProtection="1">
      <alignment horizontal="center" vertical="center"/>
      <protection locked="0"/>
    </xf>
    <xf numFmtId="0" fontId="10" fillId="7" borderId="5" xfId="0" applyFont="1" applyFill="1" applyBorder="1" applyAlignment="1" applyProtection="1">
      <alignment horizontal="center"/>
      <protection locked="0"/>
    </xf>
    <xf numFmtId="166" fontId="4" fillId="7" borderId="5" xfId="0" applyNumberFormat="1" applyFont="1" applyFill="1" applyBorder="1" applyAlignment="1" applyProtection="1">
      <alignment horizontal="center" vertical="center"/>
      <protection locked="0"/>
    </xf>
    <xf numFmtId="166" fontId="4" fillId="7" borderId="4" xfId="0" applyNumberFormat="1" applyFont="1" applyFill="1" applyBorder="1" applyAlignment="1" applyProtection="1">
      <alignment horizontal="center" vertical="center"/>
      <protection locked="0"/>
    </xf>
    <xf numFmtId="0" fontId="4" fillId="6" borderId="3" xfId="0" applyFont="1" applyFill="1" applyBorder="1" applyAlignment="1" applyProtection="1">
      <alignment horizontal="center" vertical="center"/>
      <protection locked="0"/>
    </xf>
    <xf numFmtId="0" fontId="4" fillId="6" borderId="4" xfId="0" applyFont="1" applyFill="1" applyBorder="1" applyAlignment="1" applyProtection="1">
      <alignment horizontal="center" vertical="center"/>
      <protection locked="0"/>
    </xf>
    <xf numFmtId="2" fontId="4" fillId="6" borderId="4" xfId="0" applyNumberFormat="1" applyFont="1" applyFill="1" applyBorder="1" applyAlignment="1" applyProtection="1">
      <alignment horizontal="center" vertical="center"/>
      <protection locked="0"/>
    </xf>
    <xf numFmtId="0" fontId="4" fillId="6" borderId="5" xfId="0" applyFont="1" applyFill="1" applyBorder="1" applyAlignment="1" applyProtection="1">
      <alignment horizontal="center"/>
      <protection locked="0"/>
    </xf>
    <xf numFmtId="181" fontId="3" fillId="0" borderId="6" xfId="0" applyNumberFormat="1" applyFont="1" applyBorder="1" applyAlignment="1" applyProtection="1">
      <alignment horizontal="center" vertical="center" wrapText="1"/>
      <protection locked="0"/>
    </xf>
    <xf numFmtId="10" fontId="3" fillId="0" borderId="6" xfId="0" applyNumberFormat="1" applyFont="1" applyBorder="1" applyAlignment="1" applyProtection="1">
      <alignment horizontal="center" vertical="center" wrapText="1"/>
      <protection locked="0"/>
    </xf>
    <xf numFmtId="0" fontId="3" fillId="0" borderId="18" xfId="0" applyFont="1" applyBorder="1" applyAlignment="1" applyProtection="1">
      <alignment horizontal="center" vertical="center" wrapText="1"/>
      <protection locked="0"/>
    </xf>
    <xf numFmtId="173" fontId="4" fillId="7" borderId="4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173" fontId="10" fillId="7" borderId="4" xfId="0" applyNumberFormat="1" applyFont="1" applyFill="1" applyBorder="1" applyAlignment="1" applyProtection="1">
      <alignment horizontal="center" vertical="center"/>
      <protection locked="0"/>
    </xf>
    <xf numFmtId="0" fontId="10" fillId="7" borderId="1" xfId="0" applyFont="1" applyFill="1" applyBorder="1" applyAlignment="1" applyProtection="1">
      <alignment horizontal="center" vertical="center"/>
      <protection locked="0"/>
    </xf>
    <xf numFmtId="170" fontId="4" fillId="7" borderId="4" xfId="0" applyNumberFormat="1" applyFont="1" applyFill="1" applyBorder="1" applyAlignment="1" applyProtection="1">
      <alignment horizontal="center" vertical="center"/>
      <protection locked="0"/>
    </xf>
    <xf numFmtId="173" fontId="4" fillId="7" borderId="4" xfId="0" applyNumberFormat="1" applyFont="1" applyFill="1" applyBorder="1" applyAlignment="1" applyProtection="1">
      <alignment horizontal="center"/>
      <protection locked="0"/>
    </xf>
    <xf numFmtId="181" fontId="4" fillId="7" borderId="4" xfId="0" applyNumberFormat="1" applyFont="1" applyFill="1" applyBorder="1" applyAlignment="1" applyProtection="1">
      <alignment vertical="center"/>
      <protection locked="0"/>
    </xf>
    <xf numFmtId="175" fontId="4" fillId="7" borderId="4" xfId="0" applyNumberFormat="1" applyFont="1" applyFill="1" applyBorder="1" applyAlignment="1" applyProtection="1">
      <alignment horizontal="center" vertical="center"/>
      <protection locked="0"/>
    </xf>
    <xf numFmtId="170" fontId="4" fillId="7" borderId="5" xfId="0" applyNumberFormat="1" applyFont="1" applyFill="1" applyBorder="1" applyAlignment="1" applyProtection="1">
      <alignment horizontal="center"/>
      <protection locked="0"/>
    </xf>
    <xf numFmtId="175" fontId="4" fillId="7" borderId="5" xfId="0" applyNumberFormat="1" applyFont="1" applyFill="1" applyBorder="1" applyAlignment="1" applyProtection="1">
      <alignment horizontal="center" vertical="center"/>
      <protection locked="0"/>
    </xf>
    <xf numFmtId="173" fontId="4" fillId="7" borderId="5" xfId="0" applyNumberFormat="1" applyFont="1" applyFill="1" applyBorder="1" applyAlignment="1" applyProtection="1">
      <alignment horizontal="center" vertical="center"/>
      <protection locked="0"/>
    </xf>
    <xf numFmtId="9" fontId="4" fillId="7" borderId="5" xfId="0" applyNumberFormat="1" applyFont="1" applyFill="1" applyBorder="1" applyAlignment="1" applyProtection="1">
      <alignment horizontal="center" vertical="center"/>
      <protection locked="0"/>
    </xf>
    <xf numFmtId="173" fontId="10" fillId="7" borderId="5" xfId="0" applyNumberFormat="1" applyFont="1" applyFill="1" applyBorder="1" applyAlignment="1" applyProtection="1">
      <alignment horizontal="center" vertical="center"/>
      <protection locked="0"/>
    </xf>
    <xf numFmtId="173" fontId="4" fillId="7" borderId="4" xfId="0" applyNumberFormat="1" applyFont="1" applyFill="1" applyBorder="1" applyAlignment="1" applyProtection="1">
      <alignment horizontal="center" vertical="center" wrapText="1"/>
      <protection locked="0"/>
    </xf>
    <xf numFmtId="170" fontId="4" fillId="6" borderId="4" xfId="0" applyNumberFormat="1" applyFont="1" applyFill="1" applyBorder="1" applyAlignment="1" applyProtection="1">
      <alignment horizontal="center"/>
      <protection locked="0"/>
    </xf>
    <xf numFmtId="166" fontId="4" fillId="6" borderId="4" xfId="0" applyNumberFormat="1" applyFont="1" applyFill="1" applyBorder="1" applyAlignment="1" applyProtection="1">
      <alignment horizontal="center" vertical="center"/>
      <protection locked="0"/>
    </xf>
    <xf numFmtId="173" fontId="4" fillId="6" borderId="4" xfId="0" applyNumberFormat="1" applyFont="1" applyFill="1" applyBorder="1" applyAlignment="1" applyProtection="1">
      <alignment horizontal="center" vertical="center"/>
      <protection locked="0"/>
    </xf>
    <xf numFmtId="173" fontId="4" fillId="6" borderId="5" xfId="0" applyNumberFormat="1" applyFont="1" applyFill="1" applyBorder="1" applyAlignment="1" applyProtection="1">
      <alignment horizontal="center" vertical="center"/>
      <protection locked="0"/>
    </xf>
    <xf numFmtId="0" fontId="4" fillId="6" borderId="4" xfId="0" applyFont="1" applyFill="1" applyBorder="1" applyAlignment="1" applyProtection="1">
      <alignment horizontal="center"/>
      <protection locked="0"/>
    </xf>
    <xf numFmtId="0" fontId="3" fillId="0" borderId="7" xfId="0" applyFont="1" applyBorder="1" applyAlignment="1" applyProtection="1">
      <alignment horizontal="center" vertical="center" wrapText="1"/>
      <protection locked="0"/>
    </xf>
    <xf numFmtId="0" fontId="3" fillId="0" borderId="38" xfId="0" applyFont="1" applyBorder="1" applyAlignment="1" applyProtection="1">
      <alignment horizontal="center" vertical="center" wrapText="1"/>
      <protection locked="0"/>
    </xf>
    <xf numFmtId="181" fontId="3" fillId="11" borderId="6" xfId="0" applyNumberFormat="1" applyFont="1" applyFill="1" applyBorder="1" applyAlignment="1" applyProtection="1">
      <alignment horizontal="center" vertical="center" wrapText="1"/>
      <protection locked="0"/>
    </xf>
    <xf numFmtId="170" fontId="4" fillId="7" borderId="5" xfId="0" applyNumberFormat="1" applyFont="1" applyFill="1" applyBorder="1" applyAlignment="1" applyProtection="1">
      <alignment horizontal="center"/>
      <protection hidden="1"/>
    </xf>
    <xf numFmtId="0" fontId="10" fillId="7" borderId="1" xfId="0" applyFont="1" applyFill="1" applyBorder="1" applyAlignment="1" applyProtection="1">
      <alignment horizontal="center"/>
      <protection locked="0"/>
    </xf>
    <xf numFmtId="0" fontId="10" fillId="7" borderId="4" xfId="0" applyFont="1" applyFill="1" applyBorder="1" applyAlignment="1" applyProtection="1">
      <alignment horizontal="center"/>
      <protection locked="0"/>
    </xf>
    <xf numFmtId="0" fontId="4" fillId="7" borderId="1" xfId="0" applyFont="1" applyFill="1" applyBorder="1" applyAlignment="1" applyProtection="1">
      <alignment horizontal="center"/>
      <protection locked="0"/>
    </xf>
    <xf numFmtId="0" fontId="10" fillId="7" borderId="52" xfId="0" applyFont="1" applyFill="1" applyBorder="1" applyAlignment="1" applyProtection="1">
      <alignment horizontal="center"/>
      <protection locked="0"/>
    </xf>
    <xf numFmtId="0" fontId="4" fillId="7" borderId="5" xfId="0" applyFont="1" applyFill="1" applyBorder="1" applyAlignment="1" applyProtection="1">
      <alignment horizontal="center" vertical="center" wrapText="1"/>
      <protection locked="0"/>
    </xf>
    <xf numFmtId="0" fontId="4" fillId="7" borderId="4" xfId="0" applyFont="1" applyFill="1" applyBorder="1" applyAlignment="1" applyProtection="1">
      <alignment horizontal="center" wrapText="1"/>
      <protection locked="0"/>
    </xf>
    <xf numFmtId="0" fontId="4" fillId="7" borderId="80" xfId="0" applyFont="1" applyFill="1" applyBorder="1" applyAlignment="1" applyProtection="1">
      <alignment horizontal="center"/>
      <protection locked="0"/>
    </xf>
    <xf numFmtId="170" fontId="4" fillId="7" borderId="4" xfId="0" applyNumberFormat="1" applyFont="1" applyFill="1" applyBorder="1" applyAlignment="1" applyProtection="1">
      <alignment horizontal="center"/>
      <protection hidden="1"/>
    </xf>
    <xf numFmtId="170" fontId="10" fillId="7" borderId="4" xfId="0" applyNumberFormat="1" applyFont="1" applyFill="1" applyBorder="1" applyAlignment="1" applyProtection="1">
      <alignment horizontal="center"/>
      <protection hidden="1"/>
    </xf>
    <xf numFmtId="170" fontId="4" fillId="7" borderId="4" xfId="0" applyNumberFormat="1" applyFont="1" applyFill="1" applyBorder="1" applyAlignment="1" applyProtection="1">
      <alignment horizontal="center" vertical="center"/>
      <protection hidden="1"/>
    </xf>
    <xf numFmtId="0" fontId="10" fillId="7" borderId="5" xfId="0" applyFont="1" applyFill="1" applyBorder="1" applyAlignment="1" applyProtection="1">
      <alignment horizontal="center" vertical="center" wrapText="1"/>
      <protection locked="0"/>
    </xf>
    <xf numFmtId="170" fontId="4" fillId="7" borderId="5" xfId="0" applyNumberFormat="1" applyFont="1" applyFill="1" applyBorder="1" applyAlignment="1" applyProtection="1">
      <alignment horizontal="center" vertical="center"/>
      <protection hidden="1"/>
    </xf>
    <xf numFmtId="0" fontId="10" fillId="7" borderId="4" xfId="0" applyFont="1" applyFill="1" applyBorder="1" applyAlignment="1" applyProtection="1">
      <alignment horizontal="center" vertical="center" wrapText="1"/>
      <protection locked="0"/>
    </xf>
    <xf numFmtId="0" fontId="4" fillId="6" borderId="4" xfId="0" applyFont="1" applyFill="1" applyBorder="1" applyAlignment="1" applyProtection="1">
      <alignment horizontal="center" vertical="center" wrapText="1"/>
      <protection locked="0"/>
    </xf>
    <xf numFmtId="0" fontId="4" fillId="6" borderId="5" xfId="0" applyFont="1" applyFill="1" applyBorder="1" applyAlignment="1" applyProtection="1">
      <alignment horizontal="center" vertical="center" wrapText="1"/>
      <protection locked="0"/>
    </xf>
    <xf numFmtId="170" fontId="4" fillId="6" borderId="5" xfId="0" applyNumberFormat="1" applyFont="1" applyFill="1" applyBorder="1" applyAlignment="1" applyProtection="1">
      <alignment horizontal="center"/>
      <protection hidden="1"/>
    </xf>
    <xf numFmtId="0" fontId="4" fillId="0" borderId="4" xfId="0" applyFont="1" applyBorder="1" applyAlignment="1" applyProtection="1">
      <alignment horizontal="center" vertical="center"/>
      <protection locked="0"/>
    </xf>
    <xf numFmtId="182" fontId="4" fillId="0" borderId="4" xfId="0" applyNumberFormat="1" applyFont="1" applyBorder="1" applyAlignment="1" applyProtection="1">
      <alignment horizontal="center" vertical="center"/>
      <protection hidden="1"/>
    </xf>
    <xf numFmtId="1" fontId="4" fillId="0" borderId="4" xfId="0" applyNumberFormat="1" applyFont="1" applyBorder="1" applyAlignment="1" applyProtection="1">
      <alignment horizontal="center"/>
      <protection hidden="1"/>
    </xf>
    <xf numFmtId="168" fontId="3" fillId="4" borderId="4" xfId="1" applyNumberFormat="1" applyFont="1" applyFill="1" applyBorder="1" applyAlignment="1" applyProtection="1">
      <alignment horizontal="center"/>
      <protection hidden="1"/>
    </xf>
    <xf numFmtId="182" fontId="3" fillId="4" borderId="4" xfId="0" applyNumberFormat="1" applyFont="1" applyFill="1" applyBorder="1" applyAlignment="1" applyProtection="1">
      <alignment horizontal="center" vertical="center"/>
      <protection hidden="1"/>
    </xf>
    <xf numFmtId="182" fontId="3" fillId="4" borderId="4" xfId="0" applyNumberFormat="1" applyFont="1" applyFill="1" applyBorder="1" applyAlignment="1" applyProtection="1">
      <alignment horizontal="center"/>
      <protection hidden="1"/>
    </xf>
    <xf numFmtId="1" fontId="3" fillId="4" borderId="4" xfId="0" applyNumberFormat="1" applyFont="1" applyFill="1" applyBorder="1" applyAlignment="1" applyProtection="1">
      <alignment horizontal="center"/>
      <protection hidden="1"/>
    </xf>
    <xf numFmtId="1" fontId="3" fillId="4" borderId="4" xfId="0" applyNumberFormat="1" applyFont="1" applyFill="1" applyBorder="1" applyAlignment="1" applyProtection="1">
      <alignment horizontal="center" vertical="center"/>
      <protection hidden="1"/>
    </xf>
    <xf numFmtId="182" fontId="4" fillId="0" borderId="4" xfId="0" applyNumberFormat="1" applyFont="1" applyBorder="1" applyAlignment="1" applyProtection="1">
      <alignment horizontal="center"/>
      <protection hidden="1"/>
    </xf>
    <xf numFmtId="0" fontId="4" fillId="0" borderId="4" xfId="0" applyFont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vertical="center"/>
      <protection hidden="1"/>
    </xf>
    <xf numFmtId="168" fontId="3" fillId="0" borderId="0" xfId="1" applyNumberFormat="1" applyFont="1" applyAlignment="1" applyProtection="1">
      <alignment horizontal="center"/>
      <protection hidden="1"/>
    </xf>
    <xf numFmtId="182" fontId="3" fillId="0" borderId="0" xfId="0" applyNumberFormat="1" applyFont="1" applyAlignment="1" applyProtection="1">
      <alignment horizontal="center"/>
      <protection hidden="1"/>
    </xf>
    <xf numFmtId="182" fontId="3" fillId="3" borderId="4" xfId="0" applyNumberFormat="1" applyFont="1" applyFill="1" applyBorder="1" applyAlignment="1" applyProtection="1">
      <alignment horizontal="center"/>
      <protection hidden="1"/>
    </xf>
    <xf numFmtId="168" fontId="4" fillId="0" borderId="4" xfId="1" applyNumberFormat="1" applyFont="1" applyBorder="1" applyAlignment="1" applyProtection="1">
      <protection hidden="1"/>
    </xf>
    <xf numFmtId="1" fontId="3" fillId="0" borderId="4" xfId="0" applyNumberFormat="1" applyFont="1" applyBorder="1" applyAlignment="1" applyProtection="1">
      <alignment horizontal="center"/>
      <protection hidden="1"/>
    </xf>
    <xf numFmtId="168" fontId="4" fillId="0" borderId="0" xfId="1" applyNumberFormat="1" applyFont="1" applyAlignment="1" applyProtection="1">
      <alignment horizontal="center"/>
      <protection hidden="1"/>
    </xf>
    <xf numFmtId="182" fontId="4" fillId="0" borderId="0" xfId="0" applyNumberFormat="1" applyFont="1" applyAlignment="1" applyProtection="1">
      <alignment horizontal="center"/>
      <protection hidden="1"/>
    </xf>
    <xf numFmtId="182" fontId="4" fillId="0" borderId="0" xfId="0" applyNumberFormat="1" applyFont="1" applyProtection="1">
      <protection hidden="1"/>
    </xf>
    <xf numFmtId="182" fontId="3" fillId="0" borderId="4" xfId="0" applyNumberFormat="1" applyFont="1" applyBorder="1" applyAlignment="1" applyProtection="1">
      <alignment horizontal="center"/>
      <protection hidden="1"/>
    </xf>
    <xf numFmtId="0" fontId="3" fillId="5" borderId="4" xfId="0" applyFont="1" applyFill="1" applyBorder="1" applyAlignment="1" applyProtection="1">
      <alignment horizontal="center" wrapText="1"/>
      <protection hidden="1"/>
    </xf>
    <xf numFmtId="172" fontId="4" fillId="0" borderId="4" xfId="1" applyNumberFormat="1" applyFont="1" applyBorder="1" applyAlignment="1" applyProtection="1">
      <alignment horizontal="center"/>
      <protection hidden="1"/>
    </xf>
    <xf numFmtId="172" fontId="3" fillId="4" borderId="4" xfId="0" applyNumberFormat="1" applyFont="1" applyFill="1" applyBorder="1" applyAlignment="1" applyProtection="1">
      <alignment horizontal="center"/>
      <protection hidden="1"/>
    </xf>
    <xf numFmtId="170" fontId="4" fillId="0" borderId="4" xfId="0" applyNumberFormat="1" applyFont="1" applyBorder="1" applyAlignment="1" applyProtection="1">
      <alignment horizontal="center" vertical="center"/>
      <protection locked="0"/>
    </xf>
    <xf numFmtId="173" fontId="4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1" fontId="3" fillId="4" borderId="4" xfId="0" applyNumberFormat="1" applyFont="1" applyFill="1" applyBorder="1" applyAlignment="1" applyProtection="1">
      <alignment horizontal="center" vertical="center" wrapText="1"/>
      <protection hidden="1"/>
    </xf>
    <xf numFmtId="174" fontId="4" fillId="6" borderId="4" xfId="0" applyNumberFormat="1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wrapText="1"/>
      <protection hidden="1"/>
    </xf>
    <xf numFmtId="0" fontId="4" fillId="0" borderId="4" xfId="2" applyNumberFormat="1" applyFont="1" applyBorder="1" applyAlignment="1" applyProtection="1">
      <alignment horizontal="center"/>
      <protection hidden="1"/>
    </xf>
    <xf numFmtId="0" fontId="4" fillId="0" borderId="0" xfId="0" applyFont="1" applyAlignment="1" applyProtection="1">
      <alignment wrapText="1"/>
      <protection hidden="1"/>
    </xf>
    <xf numFmtId="9" fontId="3" fillId="3" borderId="4" xfId="0" applyNumberFormat="1" applyFont="1" applyFill="1" applyBorder="1" applyAlignment="1" applyProtection="1">
      <alignment horizontal="center"/>
      <protection hidden="1"/>
    </xf>
    <xf numFmtId="170" fontId="4" fillId="6" borderId="4" xfId="0" applyNumberFormat="1" applyFont="1" applyFill="1" applyBorder="1" applyAlignment="1" applyProtection="1">
      <alignment horizontal="center" vertical="center"/>
      <protection hidden="1"/>
    </xf>
    <xf numFmtId="170" fontId="3" fillId="5" borderId="4" xfId="0" applyNumberFormat="1" applyFont="1" applyFill="1" applyBorder="1" applyAlignment="1" applyProtection="1">
      <alignment horizontal="center" vertical="center" wrapText="1"/>
      <protection hidden="1"/>
    </xf>
    <xf numFmtId="9" fontId="4" fillId="0" borderId="0" xfId="0" applyNumberFormat="1" applyFont="1" applyProtection="1">
      <protection hidden="1"/>
    </xf>
    <xf numFmtId="0" fontId="4" fillId="0" borderId="4" xfId="0" applyFont="1" applyBorder="1" applyProtection="1">
      <protection hidden="1"/>
    </xf>
    <xf numFmtId="1" fontId="4" fillId="6" borderId="4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5" xfId="0" applyFont="1" applyBorder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left"/>
      <protection hidden="1"/>
    </xf>
    <xf numFmtId="0" fontId="2" fillId="3" borderId="4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 vertical="center" wrapText="1"/>
    </xf>
    <xf numFmtId="169" fontId="2" fillId="5" borderId="4" xfId="0" applyNumberFormat="1" applyFont="1" applyFill="1" applyBorder="1" applyAlignment="1">
      <alignment horizontal="center" vertical="center" wrapText="1"/>
    </xf>
    <xf numFmtId="9" fontId="3" fillId="5" borderId="4" xfId="0" applyNumberFormat="1" applyFont="1" applyFill="1" applyBorder="1" applyAlignment="1">
      <alignment horizontal="center" vertical="center" wrapText="1"/>
    </xf>
    <xf numFmtId="168" fontId="0" fillId="0" borderId="4" xfId="1" applyNumberFormat="1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168" fontId="2" fillId="4" borderId="4" xfId="1" applyNumberFormat="1" applyFont="1" applyFill="1" applyBorder="1" applyAlignment="1">
      <alignment horizontal="center"/>
    </xf>
    <xf numFmtId="9" fontId="2" fillId="4" borderId="4" xfId="2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 vertical="center"/>
    </xf>
    <xf numFmtId="168" fontId="2" fillId="5" borderId="4" xfId="1" applyNumberFormat="1" applyFont="1" applyFill="1" applyBorder="1" applyAlignment="1">
      <alignment horizontal="center" vertical="center" wrapText="1"/>
    </xf>
    <xf numFmtId="182" fontId="2" fillId="5" borderId="4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182" fontId="0" fillId="0" borderId="4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168" fontId="2" fillId="0" borderId="0" xfId="1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168" fontId="2" fillId="3" borderId="4" xfId="1" applyNumberFormat="1" applyFont="1" applyFill="1" applyBorder="1" applyAlignment="1">
      <alignment horizontal="center"/>
    </xf>
    <xf numFmtId="182" fontId="2" fillId="3" borderId="4" xfId="0" applyNumberFormat="1" applyFont="1" applyFill="1" applyBorder="1" applyAlignment="1">
      <alignment horizontal="center"/>
    </xf>
    <xf numFmtId="9" fontId="2" fillId="3" borderId="4" xfId="0" applyNumberFormat="1" applyFont="1" applyFill="1" applyBorder="1" applyAlignment="1">
      <alignment horizontal="center"/>
    </xf>
    <xf numFmtId="9" fontId="2" fillId="4" borderId="4" xfId="0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8" fontId="0" fillId="0" borderId="0" xfId="1" applyNumberFormat="1" applyFont="1" applyProtection="1">
      <protection locked="0"/>
    </xf>
    <xf numFmtId="182" fontId="0" fillId="0" borderId="0" xfId="0" applyNumberFormat="1" applyProtection="1">
      <protection locked="0"/>
    </xf>
    <xf numFmtId="9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0" fillId="6" borderId="0" xfId="0" applyFill="1" applyProtection="1">
      <protection locked="0"/>
    </xf>
    <xf numFmtId="0" fontId="29" fillId="0" borderId="0" xfId="0" applyFont="1" applyProtection="1">
      <protection hidden="1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wrapText="1"/>
      <protection locked="0"/>
    </xf>
    <xf numFmtId="171" fontId="2" fillId="2" borderId="18" xfId="0" applyNumberFormat="1" applyFont="1" applyFill="1" applyBorder="1" applyAlignment="1" applyProtection="1">
      <alignment vertical="center"/>
      <protection locked="0"/>
    </xf>
    <xf numFmtId="0" fontId="2" fillId="2" borderId="75" xfId="0" applyFont="1" applyFill="1" applyBorder="1" applyAlignment="1" applyProtection="1">
      <alignment vertical="center"/>
      <protection locked="0"/>
    </xf>
    <xf numFmtId="167" fontId="2" fillId="2" borderId="75" xfId="0" applyNumberFormat="1" applyFont="1" applyFill="1" applyBorder="1" applyAlignment="1" applyProtection="1">
      <alignment horizontal="center" vertical="center"/>
      <protection locked="0"/>
    </xf>
    <xf numFmtId="0" fontId="2" fillId="2" borderId="17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181" fontId="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29" fillId="6" borderId="3" xfId="0" applyFont="1" applyFill="1" applyBorder="1" applyAlignment="1" applyProtection="1">
      <alignment horizontal="center" vertical="center"/>
      <protection locked="0"/>
    </xf>
    <xf numFmtId="0" fontId="0" fillId="7" borderId="5" xfId="0" applyFill="1" applyBorder="1" applyAlignment="1" applyProtection="1">
      <alignment horizontal="center" vertical="center"/>
      <protection locked="0"/>
    </xf>
    <xf numFmtId="2" fontId="0" fillId="7" borderId="5" xfId="0" applyNumberFormat="1" applyFill="1" applyBorder="1" applyAlignment="1" applyProtection="1">
      <alignment horizontal="center" vertical="center"/>
      <protection locked="0"/>
    </xf>
    <xf numFmtId="0" fontId="0" fillId="7" borderId="4" xfId="0" applyFill="1" applyBorder="1" applyAlignment="1" applyProtection="1">
      <alignment horizontal="center" vertical="center"/>
      <protection locked="0"/>
    </xf>
    <xf numFmtId="181" fontId="0" fillId="7" borderId="5" xfId="0" applyNumberFormat="1" applyFill="1" applyBorder="1" applyAlignment="1" applyProtection="1">
      <alignment horizontal="center" vertical="center"/>
      <protection locked="0"/>
    </xf>
    <xf numFmtId="0" fontId="29" fillId="6" borderId="4" xfId="0" applyFont="1" applyFill="1" applyBorder="1" applyAlignment="1" applyProtection="1">
      <alignment horizontal="center" vertical="center"/>
      <protection locked="0"/>
    </xf>
    <xf numFmtId="2" fontId="0" fillId="7" borderId="4" xfId="0" applyNumberFormat="1" applyFill="1" applyBorder="1" applyAlignment="1" applyProtection="1">
      <alignment horizontal="center" vertical="center"/>
      <protection locked="0"/>
    </xf>
    <xf numFmtId="181" fontId="0" fillId="7" borderId="4" xfId="0" applyNumberFormat="1" applyFill="1" applyBorder="1" applyAlignment="1" applyProtection="1">
      <alignment horizontal="center" vertical="center"/>
      <protection locked="0"/>
    </xf>
    <xf numFmtId="166" fontId="0" fillId="7" borderId="4" xfId="0" applyNumberFormat="1" applyFill="1" applyBorder="1" applyAlignment="1" applyProtection="1">
      <alignment horizontal="center" vertical="center"/>
      <protection locked="0"/>
    </xf>
    <xf numFmtId="0" fontId="29" fillId="7" borderId="4" xfId="0" applyFont="1" applyFill="1" applyBorder="1" applyAlignment="1" applyProtection="1">
      <alignment horizontal="center" vertical="center"/>
      <protection locked="0"/>
    </xf>
    <xf numFmtId="2" fontId="29" fillId="7" borderId="4" xfId="0" applyNumberFormat="1" applyFont="1" applyFill="1" applyBorder="1" applyAlignment="1" applyProtection="1">
      <alignment horizontal="center" vertical="center"/>
      <protection locked="0"/>
    </xf>
    <xf numFmtId="0" fontId="29" fillId="7" borderId="4" xfId="0" applyFont="1" applyFill="1" applyBorder="1" applyAlignment="1" applyProtection="1">
      <alignment horizontal="center"/>
      <protection locked="0"/>
    </xf>
    <xf numFmtId="170" fontId="29" fillId="7" borderId="4" xfId="0" applyNumberFormat="1" applyFont="1" applyFill="1" applyBorder="1" applyAlignment="1" applyProtection="1">
      <alignment horizontal="center"/>
      <protection locked="0"/>
    </xf>
    <xf numFmtId="2" fontId="9" fillId="33" borderId="31" xfId="0" applyNumberFormat="1" applyFont="1" applyFill="1" applyBorder="1" applyAlignment="1">
      <alignment horizontal="center"/>
    </xf>
    <xf numFmtId="182" fontId="9" fillId="33" borderId="31" xfId="0" applyNumberFormat="1" applyFont="1" applyFill="1" applyBorder="1" applyAlignment="1">
      <alignment horizontal="right" vertical="center"/>
    </xf>
    <xf numFmtId="182" fontId="9" fillId="6" borderId="6" xfId="0" applyNumberFormat="1" applyFont="1" applyFill="1" applyBorder="1" applyAlignment="1">
      <alignment horizontal="right" vertical="center"/>
    </xf>
    <xf numFmtId="0" fontId="0" fillId="6" borderId="0" xfId="0" applyFill="1" applyAlignment="1" applyProtection="1">
      <alignment horizontal="center"/>
      <protection locked="0"/>
    </xf>
    <xf numFmtId="181" fontId="0" fillId="0" borderId="0" xfId="0" applyNumberFormat="1" applyAlignment="1" applyProtection="1">
      <alignment horizontal="right" vertical="center"/>
      <protection locked="0"/>
    </xf>
    <xf numFmtId="168" fontId="0" fillId="0" borderId="0" xfId="0" applyNumberFormat="1" applyAlignment="1" applyProtection="1">
      <alignment horizontal="center"/>
      <protection locked="0"/>
    </xf>
    <xf numFmtId="0" fontId="2" fillId="4" borderId="4" xfId="0" applyFont="1" applyFill="1" applyBorder="1" applyAlignment="1" applyProtection="1">
      <alignment horizontal="center"/>
      <protection hidden="1"/>
    </xf>
    <xf numFmtId="0" fontId="2" fillId="3" borderId="4" xfId="0" applyFont="1" applyFill="1" applyBorder="1" applyAlignment="1" applyProtection="1">
      <alignment horizontal="center"/>
      <protection hidden="1"/>
    </xf>
    <xf numFmtId="0" fontId="2" fillId="5" borderId="4" xfId="0" applyFont="1" applyFill="1" applyBorder="1" applyAlignment="1" applyProtection="1">
      <alignment horizontal="center" vertical="center" wrapText="1"/>
      <protection hidden="1"/>
    </xf>
    <xf numFmtId="169" fontId="2" fillId="5" borderId="4" xfId="0" applyNumberFormat="1" applyFont="1" applyFill="1" applyBorder="1" applyAlignment="1" applyProtection="1">
      <alignment horizontal="center" vertical="center" wrapText="1"/>
      <protection hidden="1"/>
    </xf>
    <xf numFmtId="10" fontId="2" fillId="5" borderId="4" xfId="0" applyNumberFormat="1" applyFont="1" applyFill="1" applyBorder="1" applyAlignment="1" applyProtection="1">
      <alignment horizontal="center" vertical="center" wrapText="1"/>
      <protection hidden="1"/>
    </xf>
    <xf numFmtId="0" fontId="2" fillId="0" borderId="4" xfId="0" applyFont="1" applyBorder="1" applyAlignment="1" applyProtection="1">
      <alignment horizontal="center"/>
      <protection locked="0"/>
    </xf>
    <xf numFmtId="168" fontId="0" fillId="0" borderId="4" xfId="1" applyNumberFormat="1" applyFont="1" applyBorder="1" applyAlignment="1" applyProtection="1">
      <alignment horizontal="center"/>
      <protection hidden="1"/>
    </xf>
    <xf numFmtId="182" fontId="0" fillId="0" borderId="4" xfId="0" applyNumberFormat="1" applyBorder="1" applyAlignment="1" applyProtection="1">
      <alignment horizontal="right" vertical="center"/>
      <protection hidden="1"/>
    </xf>
    <xf numFmtId="182" fontId="0" fillId="0" borderId="4" xfId="0" applyNumberFormat="1" applyBorder="1" applyAlignment="1" applyProtection="1">
      <alignment horizontal="center"/>
      <protection hidden="1"/>
    </xf>
    <xf numFmtId="1" fontId="0" fillId="0" borderId="4" xfId="0" applyNumberFormat="1" applyBorder="1" applyAlignment="1" applyProtection="1">
      <alignment horizontal="center"/>
      <protection hidden="1"/>
    </xf>
    <xf numFmtId="9" fontId="0" fillId="0" borderId="4" xfId="0" applyNumberFormat="1" applyBorder="1" applyAlignment="1" applyProtection="1">
      <alignment horizontal="center"/>
      <protection hidden="1"/>
    </xf>
    <xf numFmtId="168" fontId="2" fillId="4" borderId="4" xfId="1" applyNumberFormat="1" applyFont="1" applyFill="1" applyBorder="1" applyAlignment="1" applyProtection="1">
      <alignment horizontal="center"/>
      <protection locked="0"/>
    </xf>
    <xf numFmtId="182" fontId="2" fillId="4" borderId="4" xfId="0" applyNumberFormat="1" applyFont="1" applyFill="1" applyBorder="1" applyAlignment="1" applyProtection="1">
      <alignment horizontal="right" vertical="center"/>
      <protection hidden="1"/>
    </xf>
    <xf numFmtId="182" fontId="2" fillId="4" borderId="4" xfId="0" applyNumberFormat="1" applyFont="1" applyFill="1" applyBorder="1" applyAlignment="1" applyProtection="1">
      <alignment horizontal="center"/>
      <protection hidden="1"/>
    </xf>
    <xf numFmtId="1" fontId="2" fillId="4" borderId="4" xfId="0" applyNumberFormat="1" applyFont="1" applyFill="1" applyBorder="1" applyAlignment="1" applyProtection="1">
      <alignment horizontal="center"/>
      <protection hidden="1"/>
    </xf>
    <xf numFmtId="9" fontId="0" fillId="4" borderId="4" xfId="0" applyNumberFormat="1" applyFill="1" applyBorder="1" applyAlignment="1" applyProtection="1">
      <alignment horizontal="center"/>
      <protection hidden="1"/>
    </xf>
    <xf numFmtId="0" fontId="2" fillId="5" borderId="4" xfId="0" applyFont="1" applyFill="1" applyBorder="1" applyAlignment="1" applyProtection="1">
      <alignment horizontal="center" vertical="center"/>
      <protection hidden="1"/>
    </xf>
    <xf numFmtId="168" fontId="2" fillId="5" borderId="4" xfId="1" applyNumberFormat="1" applyFont="1" applyFill="1" applyBorder="1" applyAlignment="1" applyProtection="1">
      <alignment horizontal="center" vertical="center" wrapText="1"/>
      <protection hidden="1"/>
    </xf>
    <xf numFmtId="0" fontId="2" fillId="0" borderId="4" xfId="0" applyFont="1" applyBorder="1" applyAlignment="1" applyProtection="1">
      <alignment horizontal="center"/>
      <protection hidden="1"/>
    </xf>
    <xf numFmtId="0" fontId="0" fillId="0" borderId="4" xfId="0" applyBorder="1" applyAlignment="1" applyProtection="1">
      <alignment horizontal="center"/>
      <protection hidden="1"/>
    </xf>
    <xf numFmtId="0" fontId="2" fillId="2" borderId="75" xfId="0" applyFont="1" applyFill="1" applyBorder="1" applyAlignment="1" applyProtection="1">
      <alignment horizontal="center" vertical="center"/>
      <protection locked="0"/>
    </xf>
    <xf numFmtId="10" fontId="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8" xfId="0" applyFont="1" applyFill="1" applyBorder="1" applyAlignment="1" applyProtection="1">
      <alignment horizontal="center" vertical="center" wrapText="1"/>
      <protection locked="0"/>
    </xf>
    <xf numFmtId="173" fontId="0" fillId="7" borderId="5" xfId="0" applyNumberFormat="1" applyFill="1" applyBorder="1" applyAlignment="1" applyProtection="1">
      <alignment horizontal="center" vertical="center"/>
      <protection locked="0"/>
    </xf>
    <xf numFmtId="173" fontId="0" fillId="7" borderId="4" xfId="0" applyNumberFormat="1" applyFill="1" applyBorder="1" applyAlignment="1" applyProtection="1">
      <alignment horizontal="center" vertical="center"/>
      <protection locked="0"/>
    </xf>
    <xf numFmtId="0" fontId="0" fillId="7" borderId="52" xfId="0" applyFill="1" applyBorder="1" applyAlignment="1" applyProtection="1">
      <alignment horizontal="center" vertical="center"/>
      <protection locked="0"/>
    </xf>
    <xf numFmtId="0" fontId="0" fillId="7" borderId="4" xfId="0" applyFill="1" applyBorder="1" applyAlignment="1" applyProtection="1">
      <alignment horizontal="center"/>
      <protection locked="0"/>
    </xf>
    <xf numFmtId="0" fontId="0" fillId="7" borderId="5" xfId="0" applyFill="1" applyBorder="1" applyAlignment="1" applyProtection="1">
      <alignment horizontal="center" vertical="center" wrapText="1"/>
      <protection locked="0"/>
    </xf>
    <xf numFmtId="0" fontId="0" fillId="7" borderId="1" xfId="0" applyFill="1" applyBorder="1" applyAlignment="1" applyProtection="1">
      <alignment horizontal="center" vertical="center"/>
      <protection locked="0"/>
    </xf>
    <xf numFmtId="0" fontId="0" fillId="7" borderId="4" xfId="0" applyFill="1" applyBorder="1" applyAlignment="1" applyProtection="1">
      <alignment horizontal="center" vertical="center" wrapText="1"/>
      <protection locked="0"/>
    </xf>
    <xf numFmtId="0" fontId="0" fillId="7" borderId="1" xfId="0" applyFill="1" applyBorder="1" applyAlignment="1" applyProtection="1">
      <alignment horizontal="center" vertical="center" wrapText="1"/>
      <protection locked="0"/>
    </xf>
    <xf numFmtId="0" fontId="0" fillId="7" borderId="0" xfId="0" applyFill="1" applyAlignment="1" applyProtection="1">
      <alignment horizontal="center"/>
      <protection locked="0"/>
    </xf>
    <xf numFmtId="175" fontId="0" fillId="7" borderId="4" xfId="0" applyNumberFormat="1" applyFill="1" applyBorder="1" applyAlignment="1" applyProtection="1">
      <alignment horizontal="center" vertical="center" wrapText="1"/>
      <protection locked="0"/>
    </xf>
    <xf numFmtId="0" fontId="0" fillId="7" borderId="3" xfId="0" applyFill="1" applyBorder="1" applyAlignment="1" applyProtection="1">
      <alignment horizontal="center" vertical="center" wrapText="1"/>
      <protection locked="0"/>
    </xf>
    <xf numFmtId="173" fontId="29" fillId="7" borderId="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/>
      <protection locked="0"/>
    </xf>
    <xf numFmtId="174" fontId="0" fillId="0" borderId="0" xfId="0" applyNumberFormat="1" applyProtection="1">
      <protection locked="0"/>
    </xf>
    <xf numFmtId="0" fontId="2" fillId="3" borderId="4" xfId="0" applyFont="1" applyFill="1" applyBorder="1" applyAlignment="1" applyProtection="1">
      <alignment horizontal="center" wrapText="1"/>
      <protection hidden="1"/>
    </xf>
    <xf numFmtId="9" fontId="2" fillId="0" borderId="4" xfId="0" applyNumberFormat="1" applyFont="1" applyBorder="1" applyAlignment="1" applyProtection="1">
      <alignment horizontal="center"/>
      <protection hidden="1"/>
    </xf>
    <xf numFmtId="1" fontId="0" fillId="6" borderId="4" xfId="0" applyNumberFormat="1" applyFill="1" applyBorder="1" applyAlignment="1" applyProtection="1">
      <alignment horizontal="center" vertical="center"/>
      <protection hidden="1"/>
    </xf>
    <xf numFmtId="1" fontId="0" fillId="6" borderId="4" xfId="0" applyNumberFormat="1" applyFill="1" applyBorder="1" applyAlignment="1" applyProtection="1">
      <alignment horizontal="center" vertical="center" wrapText="1"/>
      <protection hidden="1"/>
    </xf>
    <xf numFmtId="9" fontId="2" fillId="4" borderId="4" xfId="0" applyNumberFormat="1" applyFont="1" applyFill="1" applyBorder="1" applyAlignment="1" applyProtection="1">
      <alignment horizontal="center"/>
      <protection hidden="1"/>
    </xf>
    <xf numFmtId="1" fontId="2" fillId="4" borderId="4" xfId="0" applyNumberFormat="1" applyFont="1" applyFill="1" applyBorder="1" applyAlignment="1" applyProtection="1">
      <alignment horizontal="center" vertical="center"/>
      <protection hidden="1"/>
    </xf>
    <xf numFmtId="1" fontId="2" fillId="4" borderId="4" xfId="0" applyNumberFormat="1" applyFont="1" applyFill="1" applyBorder="1" applyAlignment="1" applyProtection="1">
      <alignment horizontal="center" vertical="center" wrapText="1"/>
      <protection hidden="1"/>
    </xf>
    <xf numFmtId="0" fontId="0" fillId="6" borderId="4" xfId="0" applyFill="1" applyBorder="1" applyAlignment="1" applyProtection="1">
      <alignment horizontal="center"/>
      <protection hidden="1"/>
    </xf>
    <xf numFmtId="174" fontId="0" fillId="6" borderId="4" xfId="0" applyNumberFormat="1" applyFill="1" applyBorder="1" applyAlignment="1" applyProtection="1">
      <alignment horizontal="center"/>
      <protection hidden="1"/>
    </xf>
    <xf numFmtId="0" fontId="0" fillId="6" borderId="4" xfId="0" applyFill="1" applyBorder="1" applyAlignment="1" applyProtection="1">
      <alignment horizontal="center" wrapText="1"/>
      <protection hidden="1"/>
    </xf>
    <xf numFmtId="9" fontId="2" fillId="0" borderId="0" xfId="0" applyNumberFormat="1" applyFont="1" applyProtection="1"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2" borderId="38" xfId="0" applyFont="1" applyFill="1" applyBorder="1" applyAlignment="1" applyProtection="1">
      <alignment horizontal="center" vertical="center" wrapText="1"/>
      <protection locked="0"/>
    </xf>
    <xf numFmtId="0" fontId="29" fillId="0" borderId="4" xfId="0" applyFont="1" applyBorder="1" applyAlignment="1" applyProtection="1">
      <alignment horizontal="center" wrapText="1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center" wrapText="1"/>
      <protection locked="0"/>
    </xf>
    <xf numFmtId="0" fontId="0" fillId="6" borderId="4" xfId="0" applyFill="1" applyBorder="1" applyAlignment="1" applyProtection="1">
      <alignment horizontal="center" vertical="center"/>
      <protection locked="0"/>
    </xf>
    <xf numFmtId="0" fontId="0" fillId="21" borderId="4" xfId="0" applyFill="1" applyBorder="1" applyAlignment="1" applyProtection="1">
      <alignment horizontal="center" vertical="center"/>
      <protection locked="0"/>
    </xf>
    <xf numFmtId="0" fontId="0" fillId="21" borderId="4" xfId="0" applyFill="1" applyBorder="1" applyAlignment="1" applyProtection="1">
      <alignment horizontal="center"/>
      <protection locked="0"/>
    </xf>
    <xf numFmtId="0" fontId="29" fillId="21" borderId="4" xfId="0" applyFont="1" applyFill="1" applyBorder="1" applyAlignment="1" applyProtection="1">
      <alignment horizontal="center" vertical="center"/>
      <protection locked="0"/>
    </xf>
    <xf numFmtId="0" fontId="0" fillId="6" borderId="4" xfId="0" applyFill="1" applyBorder="1" applyAlignment="1" applyProtection="1">
      <alignment horizontal="center"/>
      <protection locked="0"/>
    </xf>
    <xf numFmtId="0" fontId="29" fillId="6" borderId="4" xfId="0" applyFont="1" applyFill="1" applyBorder="1" applyAlignment="1" applyProtection="1">
      <alignment horizontal="center" vertical="center" wrapText="1"/>
      <protection locked="0"/>
    </xf>
    <xf numFmtId="0" fontId="29" fillId="6" borderId="4" xfId="0" applyFont="1" applyFill="1" applyBorder="1" applyProtection="1">
      <protection locked="0"/>
    </xf>
    <xf numFmtId="170" fontId="29" fillId="6" borderId="4" xfId="0" applyNumberFormat="1" applyFont="1" applyFill="1" applyBorder="1" applyAlignment="1" applyProtection="1">
      <alignment horizontal="center"/>
      <protection hidden="1"/>
    </xf>
    <xf numFmtId="168" fontId="2" fillId="4" borderId="4" xfId="1" applyNumberFormat="1" applyFont="1" applyFill="1" applyBorder="1" applyAlignment="1" applyProtection="1">
      <alignment horizontal="center"/>
      <protection hidden="1"/>
    </xf>
    <xf numFmtId="0" fontId="2" fillId="0" borderId="0" xfId="0" applyFont="1" applyAlignment="1" applyProtection="1">
      <alignment horizontal="center"/>
      <protection locked="0"/>
    </xf>
    <xf numFmtId="168" fontId="2" fillId="0" borderId="0" xfId="1" applyNumberFormat="1" applyFont="1" applyAlignment="1" applyProtection="1">
      <alignment horizontal="center"/>
      <protection locked="0"/>
    </xf>
    <xf numFmtId="182" fontId="2" fillId="0" borderId="0" xfId="0" applyNumberFormat="1" applyFont="1" applyAlignment="1" applyProtection="1">
      <alignment horizontal="center"/>
      <protection locked="0"/>
    </xf>
    <xf numFmtId="9" fontId="2" fillId="0" borderId="0" xfId="0" applyNumberFormat="1" applyFont="1" applyAlignment="1" applyProtection="1">
      <alignment horizontal="center"/>
      <protection locked="0"/>
    </xf>
    <xf numFmtId="182" fontId="2" fillId="3" borderId="4" xfId="0" applyNumberFormat="1" applyFont="1" applyFill="1" applyBorder="1" applyAlignment="1" applyProtection="1">
      <alignment horizontal="center"/>
      <protection hidden="1"/>
    </xf>
    <xf numFmtId="9" fontId="2" fillId="3" borderId="4" xfId="0" applyNumberFormat="1" applyFont="1" applyFill="1" applyBorder="1" applyAlignment="1" applyProtection="1">
      <alignment horizontal="center"/>
      <protection hidden="1"/>
    </xf>
    <xf numFmtId="1" fontId="2" fillId="0" borderId="4" xfId="0" applyNumberFormat="1" applyFont="1" applyBorder="1" applyAlignment="1" applyProtection="1">
      <alignment horizontal="center"/>
      <protection locked="0"/>
    </xf>
    <xf numFmtId="168" fontId="2" fillId="0" borderId="0" xfId="1" applyNumberFormat="1" applyFont="1" applyFill="1" applyBorder="1" applyAlignment="1" applyProtection="1">
      <alignment horizontal="center"/>
      <protection locked="0"/>
    </xf>
    <xf numFmtId="2" fontId="2" fillId="4" borderId="4" xfId="0" applyNumberFormat="1" applyFont="1" applyFill="1" applyBorder="1" applyAlignment="1" applyProtection="1">
      <alignment horizontal="center"/>
      <protection hidden="1"/>
    </xf>
    <xf numFmtId="182" fontId="2" fillId="0" borderId="4" xfId="0" applyNumberFormat="1" applyFont="1" applyBorder="1" applyAlignment="1" applyProtection="1">
      <alignment horizontal="center"/>
      <protection hidden="1"/>
    </xf>
    <xf numFmtId="1" fontId="2" fillId="0" borderId="4" xfId="0" applyNumberFormat="1" applyFont="1" applyBorder="1" applyAlignment="1" applyProtection="1">
      <alignment horizontal="center"/>
      <protection hidden="1"/>
    </xf>
    <xf numFmtId="0" fontId="2" fillId="5" borderId="4" xfId="0" applyFont="1" applyFill="1" applyBorder="1" applyAlignment="1" applyProtection="1">
      <alignment horizontal="center" wrapText="1"/>
      <protection hidden="1"/>
    </xf>
    <xf numFmtId="168" fontId="0" fillId="0" borderId="4" xfId="1" applyNumberFormat="1" applyFont="1" applyBorder="1" applyAlignment="1" applyProtection="1">
      <protection hidden="1"/>
    </xf>
    <xf numFmtId="168" fontId="0" fillId="0" borderId="4" xfId="1" applyNumberFormat="1" applyFont="1" applyBorder="1" applyAlignment="1" applyProtection="1">
      <alignment vertical="center"/>
      <protection hidden="1"/>
    </xf>
    <xf numFmtId="9" fontId="0" fillId="0" borderId="4" xfId="0" applyNumberFormat="1" applyBorder="1" applyProtection="1">
      <protection hidden="1"/>
    </xf>
    <xf numFmtId="168" fontId="2" fillId="4" borderId="4" xfId="1" applyNumberFormat="1" applyFont="1" applyFill="1" applyBorder="1" applyAlignment="1" applyProtection="1">
      <protection hidden="1"/>
    </xf>
    <xf numFmtId="0" fontId="2" fillId="4" borderId="4" xfId="0" applyFont="1" applyFill="1" applyBorder="1" applyProtection="1">
      <protection hidden="1"/>
    </xf>
    <xf numFmtId="182" fontId="2" fillId="4" borderId="4" xfId="0" applyNumberFormat="1" applyFont="1" applyFill="1" applyBorder="1" applyProtection="1">
      <protection hidden="1"/>
    </xf>
    <xf numFmtId="9" fontId="2" fillId="4" borderId="4" xfId="0" applyNumberFormat="1" applyFont="1" applyFill="1" applyBorder="1" applyProtection="1">
      <protection hidden="1"/>
    </xf>
    <xf numFmtId="0" fontId="37" fillId="0" borderId="0" xfId="0" applyFont="1" applyProtection="1">
      <protection locked="0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0" fillId="0" borderId="4" xfId="0" applyBorder="1" applyProtection="1">
      <protection locked="0"/>
    </xf>
    <xf numFmtId="9" fontId="2" fillId="0" borderId="4" xfId="0" applyNumberFormat="1" applyFont="1" applyBorder="1" applyProtection="1">
      <protection hidden="1"/>
    </xf>
    <xf numFmtId="0" fontId="38" fillId="2" borderId="17" xfId="0" applyFont="1" applyFill="1" applyBorder="1" applyAlignment="1" applyProtection="1">
      <alignment horizontal="center" vertical="center" wrapText="1"/>
      <protection locked="0"/>
    </xf>
    <xf numFmtId="0" fontId="38" fillId="2" borderId="6" xfId="0" applyFont="1" applyFill="1" applyBorder="1" applyAlignment="1" applyProtection="1">
      <alignment horizontal="center" vertical="center" wrapText="1"/>
      <protection locked="0"/>
    </xf>
    <xf numFmtId="181" fontId="38" fillId="2" borderId="6" xfId="0" applyNumberFormat="1" applyFont="1" applyFill="1" applyBorder="1" applyAlignment="1" applyProtection="1">
      <alignment horizontal="center" vertical="center" wrapText="1"/>
      <protection locked="0"/>
    </xf>
    <xf numFmtId="181" fontId="0" fillId="7" borderId="4" xfId="0" applyNumberFormat="1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181" fontId="0" fillId="7" borderId="5" xfId="0" applyNumberFormat="1" applyFill="1" applyBorder="1" applyAlignment="1">
      <alignment horizontal="center"/>
    </xf>
    <xf numFmtId="0" fontId="29" fillId="7" borderId="5" xfId="0" applyFont="1" applyFill="1" applyBorder="1" applyAlignment="1" applyProtection="1">
      <alignment horizontal="center" vertical="center"/>
      <protection locked="0"/>
    </xf>
    <xf numFmtId="0" fontId="0" fillId="6" borderId="5" xfId="0" applyFill="1" applyBorder="1" applyAlignment="1">
      <alignment horizontal="center" vertical="center"/>
    </xf>
    <xf numFmtId="181" fontId="0" fillId="6" borderId="5" xfId="0" applyNumberFormat="1" applyFill="1" applyBorder="1" applyAlignment="1">
      <alignment horizontal="center" vertical="center"/>
    </xf>
    <xf numFmtId="2" fontId="0" fillId="6" borderId="4" xfId="0" applyNumberFormat="1" applyFill="1" applyBorder="1" applyAlignment="1" applyProtection="1">
      <alignment horizontal="center" vertical="center"/>
      <protection locked="0"/>
    </xf>
    <xf numFmtId="181" fontId="0" fillId="6" borderId="4" xfId="0" applyNumberForma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181" fontId="0" fillId="0" borderId="0" xfId="0" applyNumberFormat="1" applyAlignment="1">
      <alignment horizontal="right" vertical="center"/>
    </xf>
    <xf numFmtId="10" fontId="2" fillId="5" borderId="4" xfId="0" applyNumberFormat="1" applyFont="1" applyFill="1" applyBorder="1" applyAlignment="1">
      <alignment horizontal="center" vertical="center" wrapText="1"/>
    </xf>
    <xf numFmtId="182" fontId="0" fillId="0" borderId="4" xfId="0" applyNumberFormat="1" applyBorder="1" applyAlignment="1">
      <alignment horizontal="right" vertical="center"/>
    </xf>
    <xf numFmtId="1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182" fontId="2" fillId="4" borderId="4" xfId="0" applyNumberFormat="1" applyFont="1" applyFill="1" applyBorder="1" applyAlignment="1">
      <alignment horizontal="right" vertical="center"/>
    </xf>
    <xf numFmtId="182" fontId="2" fillId="4" borderId="4" xfId="0" applyNumberFormat="1" applyFont="1" applyFill="1" applyBorder="1" applyAlignment="1">
      <alignment horizontal="center"/>
    </xf>
    <xf numFmtId="1" fontId="2" fillId="4" borderId="4" xfId="0" applyNumberFormat="1" applyFont="1" applyFill="1" applyBorder="1" applyAlignment="1">
      <alignment horizontal="center"/>
    </xf>
    <xf numFmtId="9" fontId="0" fillId="4" borderId="4" xfId="0" applyNumberFormat="1" applyFill="1" applyBorder="1" applyAlignment="1">
      <alignment horizontal="center"/>
    </xf>
    <xf numFmtId="0" fontId="2" fillId="2" borderId="75" xfId="0" applyFont="1" applyFill="1" applyBorder="1" applyAlignment="1" applyProtection="1">
      <alignment vertical="center" wrapText="1"/>
      <protection locked="0"/>
    </xf>
    <xf numFmtId="10" fontId="3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18" xfId="0" applyFont="1" applyFill="1" applyBorder="1" applyAlignment="1" applyProtection="1">
      <alignment horizontal="center" vertical="center" wrapText="1"/>
      <protection locked="0"/>
    </xf>
    <xf numFmtId="173" fontId="0" fillId="7" borderId="1" xfId="0" applyNumberFormat="1" applyFill="1" applyBorder="1" applyAlignment="1" applyProtection="1">
      <alignment horizontal="center" vertical="center"/>
      <protection locked="0"/>
    </xf>
    <xf numFmtId="173" fontId="0" fillId="7" borderId="4" xfId="0" applyNumberFormat="1" applyFill="1" applyBorder="1" applyAlignment="1">
      <alignment horizontal="center" vertical="center"/>
    </xf>
    <xf numFmtId="173" fontId="0" fillId="7" borderId="1" xfId="0" applyNumberForma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/>
    </xf>
    <xf numFmtId="173" fontId="0" fillId="7" borderId="4" xfId="0" applyNumberFormat="1" applyFill="1" applyBorder="1" applyAlignment="1">
      <alignment horizontal="center" vertical="center" wrapText="1"/>
    </xf>
    <xf numFmtId="9" fontId="29" fillId="7" borderId="4" xfId="0" applyNumberFormat="1" applyFont="1" applyFill="1" applyBorder="1" applyAlignment="1" applyProtection="1">
      <alignment horizontal="center" vertical="center"/>
      <protection locked="0"/>
    </xf>
    <xf numFmtId="0" fontId="0" fillId="7" borderId="1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 wrapText="1"/>
    </xf>
    <xf numFmtId="0" fontId="29" fillId="7" borderId="1" xfId="0" applyFont="1" applyFill="1" applyBorder="1" applyAlignment="1" applyProtection="1">
      <alignment horizontal="center" vertical="center"/>
      <protection locked="0"/>
    </xf>
    <xf numFmtId="0" fontId="29" fillId="7" borderId="4" xfId="0" applyFont="1" applyFill="1" applyBorder="1" applyAlignment="1" applyProtection="1">
      <alignment horizontal="center" vertical="center" wrapText="1"/>
      <protection locked="0"/>
    </xf>
    <xf numFmtId="0" fontId="29" fillId="7" borderId="1" xfId="0" applyFont="1" applyFill="1" applyBorder="1" applyAlignment="1">
      <alignment horizontal="center" vertical="center"/>
    </xf>
    <xf numFmtId="173" fontId="0" fillId="6" borderId="5" xfId="0" applyNumberFormat="1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29" fillId="6" borderId="5" xfId="0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 wrapText="1"/>
    </xf>
    <xf numFmtId="173" fontId="0" fillId="6" borderId="4" xfId="0" applyNumberFormat="1" applyFill="1" applyBorder="1" applyAlignment="1" applyProtection="1">
      <alignment horizontal="center" vertical="center"/>
      <protection locked="0"/>
    </xf>
    <xf numFmtId="0" fontId="0" fillId="6" borderId="1" xfId="0" applyFill="1" applyBorder="1" applyAlignment="1" applyProtection="1">
      <alignment horizontal="center" vertical="center"/>
      <protection locked="0"/>
    </xf>
    <xf numFmtId="0" fontId="0" fillId="6" borderId="4" xfId="0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2" fillId="3" borderId="4" xfId="0" applyFont="1" applyFill="1" applyBorder="1" applyAlignment="1">
      <alignment horizontal="center" wrapText="1"/>
    </xf>
    <xf numFmtId="1" fontId="0" fillId="6" borderId="4" xfId="0" applyNumberFormat="1" applyFill="1" applyBorder="1" applyAlignment="1">
      <alignment horizontal="center" vertical="center"/>
    </xf>
    <xf numFmtId="1" fontId="0" fillId="6" borderId="4" xfId="0" applyNumberFormat="1" applyFill="1" applyBorder="1" applyAlignment="1">
      <alignment horizontal="center" vertical="center" wrapText="1"/>
    </xf>
    <xf numFmtId="1" fontId="2" fillId="4" borderId="4" xfId="0" applyNumberFormat="1" applyFont="1" applyFill="1" applyBorder="1" applyAlignment="1">
      <alignment horizontal="center" vertical="center"/>
    </xf>
    <xf numFmtId="1" fontId="2" fillId="4" borderId="4" xfId="0" applyNumberFormat="1" applyFont="1" applyFill="1" applyBorder="1" applyAlignment="1">
      <alignment horizontal="center" vertical="center" wrapText="1"/>
    </xf>
    <xf numFmtId="0" fontId="39" fillId="2" borderId="6" xfId="0" applyFont="1" applyFill="1" applyBorder="1" applyAlignment="1" applyProtection="1">
      <alignment horizontal="center" vertical="center" wrapText="1"/>
      <protection locked="0"/>
    </xf>
    <xf numFmtId="0" fontId="29" fillId="0" borderId="4" xfId="0" applyFont="1" applyBorder="1" applyAlignment="1">
      <alignment horizontal="center" wrapText="1"/>
    </xf>
    <xf numFmtId="1" fontId="2" fillId="0" borderId="4" xfId="0" applyNumberFormat="1" applyFont="1" applyBorder="1" applyAlignment="1">
      <alignment horizontal="center"/>
    </xf>
    <xf numFmtId="182" fontId="2" fillId="0" borderId="4" xfId="0" applyNumberFormat="1" applyFont="1" applyBorder="1" applyAlignment="1">
      <alignment horizontal="center"/>
    </xf>
    <xf numFmtId="168" fontId="0" fillId="0" borderId="4" xfId="1" applyNumberFormat="1" applyFont="1" applyBorder="1" applyAlignment="1">
      <alignment horizontal="center" vertical="center"/>
    </xf>
    <xf numFmtId="174" fontId="0" fillId="6" borderId="4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wrapText="1"/>
    </xf>
    <xf numFmtId="0" fontId="2" fillId="4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7" borderId="0" xfId="0" applyFill="1"/>
    <xf numFmtId="0" fontId="29" fillId="0" borderId="0" xfId="0" applyFont="1" applyProtection="1">
      <protection locked="0"/>
    </xf>
    <xf numFmtId="181" fontId="0" fillId="7" borderId="4" xfId="0" applyNumberFormat="1" applyFill="1" applyBorder="1" applyAlignment="1" applyProtection="1">
      <alignment horizontal="right" vertical="center"/>
      <protection locked="0"/>
    </xf>
    <xf numFmtId="0" fontId="0" fillId="7" borderId="4" xfId="0" applyFill="1" applyBorder="1" applyAlignment="1">
      <alignment horizontal="center"/>
    </xf>
    <xf numFmtId="181" fontId="0" fillId="7" borderId="4" xfId="0" applyNumberFormat="1" applyFill="1" applyBorder="1" applyAlignment="1">
      <alignment horizontal="right" vertical="center"/>
    </xf>
    <xf numFmtId="170" fontId="0" fillId="7" borderId="4" xfId="0" applyNumberFormat="1" applyFill="1" applyBorder="1" applyAlignment="1">
      <alignment horizontal="center" vertical="center"/>
    </xf>
    <xf numFmtId="169" fontId="0" fillId="7" borderId="4" xfId="0" applyNumberFormat="1" applyFill="1" applyBorder="1" applyAlignment="1" applyProtection="1">
      <alignment horizontal="right" vertical="center"/>
      <protection locked="0"/>
    </xf>
    <xf numFmtId="169" fontId="0" fillId="7" borderId="4" xfId="0" applyNumberFormat="1" applyFill="1" applyBorder="1" applyAlignment="1">
      <alignment horizontal="right" vertical="center"/>
    </xf>
    <xf numFmtId="0" fontId="0" fillId="6" borderId="4" xfId="0" applyFill="1" applyBorder="1" applyAlignment="1">
      <alignment horizontal="center" vertical="center"/>
    </xf>
    <xf numFmtId="169" fontId="0" fillId="6" borderId="4" xfId="0" applyNumberFormat="1" applyFill="1" applyBorder="1" applyAlignment="1">
      <alignment horizontal="right" vertical="center"/>
    </xf>
    <xf numFmtId="169" fontId="0" fillId="6" borderId="5" xfId="0" applyNumberFormat="1" applyFill="1" applyBorder="1" applyAlignment="1">
      <alignment horizontal="right" vertical="center"/>
    </xf>
    <xf numFmtId="182" fontId="40" fillId="6" borderId="6" xfId="0" applyNumberFormat="1" applyFont="1" applyFill="1" applyBorder="1" applyAlignment="1">
      <alignment horizontal="right" vertical="center"/>
    </xf>
    <xf numFmtId="0" fontId="29" fillId="2" borderId="75" xfId="0" applyFont="1" applyFill="1" applyBorder="1" applyAlignment="1" applyProtection="1">
      <alignment vertical="center"/>
      <protection locked="0"/>
    </xf>
    <xf numFmtId="0" fontId="29" fillId="2" borderId="18" xfId="0" applyFont="1" applyFill="1" applyBorder="1" applyAlignment="1" applyProtection="1">
      <alignment horizontal="center" vertical="center" wrapText="1"/>
      <protection locked="0"/>
    </xf>
    <xf numFmtId="0" fontId="41" fillId="7" borderId="4" xfId="0" applyFont="1" applyFill="1" applyBorder="1" applyAlignment="1" applyProtection="1">
      <alignment horizontal="center" vertical="center" wrapText="1"/>
      <protection locked="0"/>
    </xf>
    <xf numFmtId="0" fontId="36" fillId="7" borderId="4" xfId="0" applyFont="1" applyFill="1" applyBorder="1" applyAlignment="1" applyProtection="1">
      <alignment horizontal="center" vertical="center" wrapText="1"/>
      <protection locked="0"/>
    </xf>
    <xf numFmtId="173" fontId="36" fillId="7" borderId="4" xfId="0" applyNumberFormat="1" applyFont="1" applyFill="1" applyBorder="1" applyAlignment="1" applyProtection="1">
      <alignment horizontal="center" vertical="center"/>
      <protection locked="0"/>
    </xf>
    <xf numFmtId="175" fontId="36" fillId="7" borderId="4" xfId="0" applyNumberFormat="1" applyFont="1" applyFill="1" applyBorder="1" applyAlignment="1" applyProtection="1">
      <alignment horizontal="center" vertical="center" wrapText="1"/>
      <protection locked="0"/>
    </xf>
    <xf numFmtId="173" fontId="0" fillId="6" borderId="4" xfId="0" applyNumberForma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5" xfId="0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horizontal="left"/>
    </xf>
    <xf numFmtId="0" fontId="29" fillId="3" borderId="4" xfId="0" applyFont="1" applyFill="1" applyBorder="1" applyAlignment="1">
      <alignment horizontal="center"/>
    </xf>
    <xf numFmtId="0" fontId="0" fillId="6" borderId="52" xfId="0" applyFill="1" applyBorder="1" applyAlignment="1" applyProtection="1">
      <alignment horizontal="center" vertical="center"/>
      <protection locked="0"/>
    </xf>
    <xf numFmtId="0" fontId="2" fillId="3" borderId="56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/>
    </xf>
    <xf numFmtId="0" fontId="29" fillId="5" borderId="4" xfId="0" applyFont="1" applyFill="1" applyBorder="1" applyAlignment="1">
      <alignment horizontal="center" vertical="center" wrapText="1"/>
    </xf>
    <xf numFmtId="1" fontId="29" fillId="6" borderId="4" xfId="0" applyNumberFormat="1" applyFont="1" applyFill="1" applyBorder="1" applyAlignment="1">
      <alignment horizontal="center" vertical="center"/>
    </xf>
    <xf numFmtId="170" fontId="0" fillId="0" borderId="0" xfId="0" applyNumberFormat="1" applyAlignment="1">
      <alignment horizontal="center"/>
    </xf>
    <xf numFmtId="1" fontId="29" fillId="4" borderId="4" xfId="0" applyNumberFormat="1" applyFon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/>
    </xf>
    <xf numFmtId="0" fontId="29" fillId="4" borderId="4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73" xfId="0" applyBorder="1"/>
    <xf numFmtId="0" fontId="2" fillId="5" borderId="73" xfId="0" applyFont="1" applyFill="1" applyBorder="1" applyAlignment="1">
      <alignment horizontal="center"/>
    </xf>
    <xf numFmtId="0" fontId="0" fillId="0" borderId="54" xfId="0" applyBorder="1"/>
    <xf numFmtId="0" fontId="0" fillId="0" borderId="69" xfId="0" applyBorder="1"/>
    <xf numFmtId="0" fontId="2" fillId="3" borderId="53" xfId="0" applyFont="1" applyFill="1" applyBorder="1" applyAlignment="1">
      <alignment horizontal="center"/>
    </xf>
    <xf numFmtId="0" fontId="2" fillId="5" borderId="69" xfId="0" applyFont="1" applyFill="1" applyBorder="1" applyAlignment="1">
      <alignment horizontal="center"/>
    </xf>
    <xf numFmtId="0" fontId="2" fillId="5" borderId="53" xfId="0" applyFont="1" applyFill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181" fontId="2" fillId="2" borderId="4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9" xfId="0" applyFont="1" applyFill="1" applyBorder="1" applyAlignment="1">
      <alignment horizontal="left"/>
    </xf>
    <xf numFmtId="0" fontId="2" fillId="3" borderId="10" xfId="0" applyFont="1" applyFill="1" applyBorder="1" applyAlignment="1">
      <alignment horizontal="center"/>
    </xf>
    <xf numFmtId="0" fontId="2" fillId="5" borderId="32" xfId="0" applyFont="1" applyFill="1" applyBorder="1" applyAlignment="1">
      <alignment horizontal="center" vertical="center" wrapText="1"/>
    </xf>
    <xf numFmtId="169" fontId="2" fillId="5" borderId="39" xfId="0" applyNumberFormat="1" applyFont="1" applyFill="1" applyBorder="1" applyAlignment="1">
      <alignment horizontal="center" vertical="center" wrapText="1"/>
    </xf>
    <xf numFmtId="0" fontId="2" fillId="5" borderId="39" xfId="0" applyFont="1" applyFill="1" applyBorder="1" applyAlignment="1">
      <alignment horizontal="center" vertical="center" wrapText="1"/>
    </xf>
    <xf numFmtId="10" fontId="2" fillId="5" borderId="39" xfId="0" applyNumberFormat="1" applyFont="1" applyFill="1" applyBorder="1" applyAlignment="1">
      <alignment horizontal="center" vertical="center" wrapText="1"/>
    </xf>
    <xf numFmtId="0" fontId="3" fillId="5" borderId="39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horizontal="center"/>
    </xf>
    <xf numFmtId="1" fontId="0" fillId="0" borderId="62" xfId="0" applyNumberFormat="1" applyBorder="1" applyAlignment="1">
      <alignment horizontal="center"/>
    </xf>
    <xf numFmtId="181" fontId="0" fillId="0" borderId="23" xfId="0" applyNumberFormat="1" applyBorder="1" applyAlignment="1">
      <alignment horizontal="center"/>
    </xf>
    <xf numFmtId="0" fontId="2" fillId="0" borderId="23" xfId="0" applyFont="1" applyBorder="1" applyAlignment="1">
      <alignment horizontal="center"/>
    </xf>
    <xf numFmtId="181" fontId="0" fillId="0" borderId="23" xfId="0" applyNumberFormat="1" applyBorder="1" applyAlignment="1">
      <alignment horizontal="right" vertical="center"/>
    </xf>
    <xf numFmtId="1" fontId="0" fillId="0" borderId="23" xfId="0" applyNumberFormat="1" applyBorder="1" applyAlignment="1">
      <alignment horizontal="center"/>
    </xf>
    <xf numFmtId="10" fontId="0" fillId="0" borderId="23" xfId="0" applyNumberFormat="1" applyBorder="1" applyAlignment="1">
      <alignment horizontal="center"/>
    </xf>
    <xf numFmtId="0" fontId="2" fillId="0" borderId="41" xfId="0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81" fontId="0" fillId="0" borderId="6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181" fontId="0" fillId="0" borderId="6" xfId="0" applyNumberFormat="1" applyBorder="1" applyAlignment="1">
      <alignment horizontal="right" vertical="center"/>
    </xf>
    <xf numFmtId="1" fontId="0" fillId="0" borderId="6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34" borderId="27" xfId="0" applyFont="1" applyFill="1" applyBorder="1" applyAlignment="1">
      <alignment horizontal="center"/>
    </xf>
    <xf numFmtId="1" fontId="2" fillId="34" borderId="28" xfId="0" applyNumberFormat="1" applyFont="1" applyFill="1" applyBorder="1" applyAlignment="1">
      <alignment horizontal="center"/>
    </xf>
    <xf numFmtId="181" fontId="2" fillId="34" borderId="28" xfId="0" applyNumberFormat="1" applyFont="1" applyFill="1" applyBorder="1" applyAlignment="1">
      <alignment horizontal="center"/>
    </xf>
    <xf numFmtId="0" fontId="2" fillId="34" borderId="28" xfId="0" applyFont="1" applyFill="1" applyBorder="1" applyAlignment="1">
      <alignment horizontal="center"/>
    </xf>
    <xf numFmtId="181" fontId="2" fillId="34" borderId="28" xfId="0" applyNumberFormat="1" applyFont="1" applyFill="1" applyBorder="1" applyAlignment="1">
      <alignment horizontal="right" vertical="center"/>
    </xf>
    <xf numFmtId="10" fontId="0" fillId="34" borderId="28" xfId="0" applyNumberFormat="1" applyFill="1" applyBorder="1" applyAlignment="1">
      <alignment horizontal="center"/>
    </xf>
    <xf numFmtId="0" fontId="2" fillId="5" borderId="12" xfId="0" applyFont="1" applyFill="1" applyBorder="1" applyAlignment="1">
      <alignment horizontal="center" vertical="center"/>
    </xf>
    <xf numFmtId="169" fontId="2" fillId="5" borderId="14" xfId="0" applyNumberFormat="1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10" fontId="2" fillId="5" borderId="14" xfId="0" applyNumberFormat="1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6" xfId="0" applyNumberFormat="1" applyBorder="1" applyAlignment="1">
      <alignment horizontal="center"/>
    </xf>
    <xf numFmtId="181" fontId="0" fillId="0" borderId="5" xfId="0" applyNumberFormat="1" applyBorder="1" applyAlignment="1">
      <alignment horizontal="center"/>
    </xf>
    <xf numFmtId="0" fontId="2" fillId="0" borderId="5" xfId="0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38" xfId="0" applyNumberFormat="1" applyBorder="1" applyAlignment="1">
      <alignment horizontal="center"/>
    </xf>
    <xf numFmtId="0" fontId="2" fillId="34" borderId="12" xfId="0" applyFont="1" applyFill="1" applyBorder="1" applyAlignment="1">
      <alignment horizontal="center"/>
    </xf>
    <xf numFmtId="1" fontId="2" fillId="34" borderId="14" xfId="0" applyNumberFormat="1" applyFont="1" applyFill="1" applyBorder="1" applyAlignment="1">
      <alignment horizontal="center"/>
    </xf>
    <xf numFmtId="181" fontId="2" fillId="34" borderId="14" xfId="0" applyNumberFormat="1" applyFont="1" applyFill="1" applyBorder="1" applyAlignment="1">
      <alignment horizontal="center"/>
    </xf>
    <xf numFmtId="0" fontId="2" fillId="34" borderId="14" xfId="0" applyFont="1" applyFill="1" applyBorder="1" applyAlignment="1">
      <alignment horizontal="center"/>
    </xf>
    <xf numFmtId="10" fontId="2" fillId="34" borderId="14" xfId="0" applyNumberFormat="1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181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5" borderId="12" xfId="0" applyFont="1" applyFill="1" applyBorder="1" applyAlignment="1">
      <alignment horizontal="center" vertical="center" wrapText="1"/>
    </xf>
    <xf numFmtId="182" fontId="0" fillId="0" borderId="6" xfId="0" applyNumberFormat="1" applyBorder="1" applyAlignment="1">
      <alignment horizontal="center"/>
    </xf>
    <xf numFmtId="182" fontId="0" fillId="0" borderId="6" xfId="0" applyNumberFormat="1" applyBorder="1" applyAlignment="1">
      <alignment horizontal="right" vertical="center"/>
    </xf>
    <xf numFmtId="0" fontId="2" fillId="34" borderId="45" xfId="0" applyFont="1" applyFill="1" applyBorder="1" applyAlignment="1">
      <alignment horizontal="center"/>
    </xf>
    <xf numFmtId="1" fontId="2" fillId="34" borderId="5" xfId="0" applyNumberFormat="1" applyFont="1" applyFill="1" applyBorder="1" applyAlignment="1">
      <alignment horizontal="center"/>
    </xf>
    <xf numFmtId="182" fontId="2" fillId="34" borderId="5" xfId="0" applyNumberFormat="1" applyFont="1" applyFill="1" applyBorder="1" applyAlignment="1">
      <alignment horizontal="center"/>
    </xf>
    <xf numFmtId="0" fontId="2" fillId="34" borderId="5" xfId="0" applyFont="1" applyFill="1" applyBorder="1" applyAlignment="1">
      <alignment horizontal="center"/>
    </xf>
    <xf numFmtId="182" fontId="2" fillId="34" borderId="5" xfId="0" applyNumberFormat="1" applyFont="1" applyFill="1" applyBorder="1" applyAlignment="1">
      <alignment horizontal="right" vertical="center"/>
    </xf>
    <xf numFmtId="10" fontId="0" fillId="34" borderId="5" xfId="0" applyNumberFormat="1" applyFill="1" applyBorder="1" applyAlignment="1">
      <alignment horizontal="center"/>
    </xf>
    <xf numFmtId="0" fontId="2" fillId="34" borderId="32" xfId="0" applyFont="1" applyFill="1" applyBorder="1" applyAlignment="1">
      <alignment horizontal="center"/>
    </xf>
    <xf numFmtId="1" fontId="2" fillId="34" borderId="39" xfId="0" applyNumberFormat="1" applyFont="1" applyFill="1" applyBorder="1" applyAlignment="1">
      <alignment horizontal="center"/>
    </xf>
    <xf numFmtId="181" fontId="2" fillId="34" borderId="39" xfId="0" applyNumberFormat="1" applyFont="1" applyFill="1" applyBorder="1" applyAlignment="1">
      <alignment horizontal="center"/>
    </xf>
    <xf numFmtId="0" fontId="2" fillId="34" borderId="39" xfId="0" applyFont="1" applyFill="1" applyBorder="1" applyAlignment="1">
      <alignment horizontal="center"/>
    </xf>
    <xf numFmtId="168" fontId="2" fillId="34" borderId="39" xfId="1" applyNumberFormat="1" applyFont="1" applyFill="1" applyBorder="1" applyAlignment="1">
      <alignment horizontal="center"/>
    </xf>
    <xf numFmtId="10" fontId="2" fillId="34" borderId="39" xfId="0" applyNumberFormat="1" applyFont="1" applyFill="1" applyBorder="1" applyAlignment="1">
      <alignment horizontal="center"/>
    </xf>
    <xf numFmtId="181" fontId="2" fillId="2" borderId="2" xfId="0" applyNumberFormat="1" applyFont="1" applyFill="1" applyBorder="1" applyAlignment="1" applyProtection="1">
      <alignment horizontal="center" vertical="center"/>
      <protection locked="0"/>
    </xf>
    <xf numFmtId="169" fontId="2" fillId="2" borderId="2" xfId="0" applyNumberFormat="1" applyFont="1" applyFill="1" applyBorder="1" applyAlignment="1" applyProtection="1">
      <alignment horizontal="center" vertical="center"/>
      <protection locked="0"/>
    </xf>
    <xf numFmtId="10" fontId="2" fillId="2" borderId="2" xfId="0" applyNumberFormat="1" applyFont="1" applyFill="1" applyBorder="1" applyAlignment="1" applyProtection="1">
      <alignment horizontal="center" vertical="center"/>
      <protection locked="0"/>
    </xf>
    <xf numFmtId="10" fontId="2" fillId="2" borderId="4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0" fillId="7" borderId="4" xfId="0" applyFill="1" applyBorder="1" applyAlignment="1" applyProtection="1">
      <alignment horizontal="center" wrapText="1"/>
      <protection locked="0"/>
    </xf>
    <xf numFmtId="0" fontId="41" fillId="7" borderId="4" xfId="0" applyFont="1" applyFill="1" applyBorder="1" applyAlignment="1" applyProtection="1">
      <alignment horizontal="center" vertical="center"/>
      <protection locked="0"/>
    </xf>
    <xf numFmtId="9" fontId="29" fillId="6" borderId="4" xfId="0" applyNumberFormat="1" applyFont="1" applyFill="1" applyBorder="1" applyAlignment="1" applyProtection="1">
      <alignment horizontal="center" vertical="center"/>
      <protection locked="0"/>
    </xf>
    <xf numFmtId="173" fontId="29" fillId="6" borderId="4" xfId="0" applyNumberFormat="1" applyFont="1" applyFill="1" applyBorder="1" applyAlignment="1" applyProtection="1">
      <alignment horizontal="center" vertical="center"/>
      <protection locked="0"/>
    </xf>
    <xf numFmtId="0" fontId="2" fillId="3" borderId="11" xfId="0" applyFont="1" applyFill="1" applyBorder="1" applyAlignment="1">
      <alignment horizontal="center"/>
    </xf>
    <xf numFmtId="0" fontId="2" fillId="6" borderId="39" xfId="0" applyFont="1" applyFill="1" applyBorder="1" applyAlignment="1">
      <alignment horizontal="center" vertical="center" wrapText="1"/>
    </xf>
    <xf numFmtId="0" fontId="2" fillId="6" borderId="40" xfId="0" applyFont="1" applyFill="1" applyBorder="1" applyAlignment="1">
      <alignment horizontal="center" vertical="center" wrapText="1"/>
    </xf>
    <xf numFmtId="10" fontId="2" fillId="0" borderId="23" xfId="0" applyNumberFormat="1" applyFont="1" applyBorder="1" applyAlignment="1">
      <alignment horizontal="center"/>
    </xf>
    <xf numFmtId="1" fontId="0" fillId="6" borderId="23" xfId="0" applyNumberFormat="1" applyFill="1" applyBorder="1" applyAlignment="1">
      <alignment horizontal="center" vertical="center"/>
    </xf>
    <xf numFmtId="1" fontId="0" fillId="6" borderId="35" xfId="0" applyNumberFormat="1" applyFill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/>
    </xf>
    <xf numFmtId="1" fontId="0" fillId="6" borderId="6" xfId="0" applyNumberFormat="1" applyFill="1" applyBorder="1" applyAlignment="1">
      <alignment horizontal="center" vertical="center"/>
    </xf>
    <xf numFmtId="1" fontId="0" fillId="6" borderId="36" xfId="0" applyNumberFormat="1" applyFill="1" applyBorder="1" applyAlignment="1">
      <alignment horizontal="center" vertical="center"/>
    </xf>
    <xf numFmtId="10" fontId="2" fillId="34" borderId="28" xfId="0" applyNumberFormat="1" applyFont="1" applyFill="1" applyBorder="1" applyAlignment="1">
      <alignment horizontal="center"/>
    </xf>
    <xf numFmtId="1" fontId="2" fillId="6" borderId="28" xfId="0" applyNumberFormat="1" applyFont="1" applyFill="1" applyBorder="1" applyAlignment="1">
      <alignment horizontal="center" vertical="center"/>
    </xf>
    <xf numFmtId="1" fontId="2" fillId="6" borderId="44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horizontal="center" vertical="center" wrapText="1"/>
    </xf>
    <xf numFmtId="10" fontId="2" fillId="0" borderId="6" xfId="0" applyNumberFormat="1" applyFont="1" applyBorder="1" applyAlignment="1">
      <alignment horizontal="center"/>
    </xf>
    <xf numFmtId="0" fontId="0" fillId="6" borderId="6" xfId="0" applyFill="1" applyBorder="1" applyAlignment="1">
      <alignment horizontal="center"/>
    </xf>
    <xf numFmtId="174" fontId="0" fillId="6" borderId="6" xfId="0" applyNumberFormat="1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10" fontId="2" fillId="0" borderId="5" xfId="0" applyNumberFormat="1" applyFont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6" xfId="0" applyFill="1" applyBorder="1" applyAlignment="1">
      <alignment horizontal="center"/>
    </xf>
    <xf numFmtId="0" fontId="2" fillId="6" borderId="14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10" fontId="2" fillId="34" borderId="5" xfId="0" applyNumberFormat="1" applyFont="1" applyFill="1" applyBorder="1" applyAlignment="1">
      <alignment horizontal="center"/>
    </xf>
    <xf numFmtId="1" fontId="2" fillId="6" borderId="5" xfId="0" applyNumberFormat="1" applyFont="1" applyFill="1" applyBorder="1" applyAlignment="1">
      <alignment horizontal="center" vertical="center"/>
    </xf>
    <xf numFmtId="0" fontId="0" fillId="6" borderId="43" xfId="0" applyFill="1" applyBorder="1" applyAlignment="1">
      <alignment horizontal="center"/>
    </xf>
    <xf numFmtId="0" fontId="2" fillId="6" borderId="28" xfId="0" applyFont="1" applyFill="1" applyBorder="1" applyAlignment="1">
      <alignment horizontal="center" vertical="center"/>
    </xf>
    <xf numFmtId="0" fontId="2" fillId="6" borderId="44" xfId="0" applyFont="1" applyFill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2" fillId="34" borderId="4" xfId="0" applyFont="1" applyFill="1" applyBorder="1" applyAlignment="1">
      <alignment horizontal="center"/>
    </xf>
    <xf numFmtId="1" fontId="2" fillId="34" borderId="4" xfId="0" applyNumberFormat="1" applyFont="1" applyFill="1" applyBorder="1" applyAlignment="1">
      <alignment horizontal="center"/>
    </xf>
    <xf numFmtId="181" fontId="2" fillId="34" borderId="4" xfId="0" applyNumberFormat="1" applyFont="1" applyFill="1" applyBorder="1" applyAlignment="1">
      <alignment horizontal="center"/>
    </xf>
    <xf numFmtId="10" fontId="2" fillId="34" borderId="4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0" fontId="29" fillId="0" borderId="0" xfId="0" applyFont="1" applyAlignment="1">
      <alignment horizontal="right" vertical="center" wrapText="1"/>
    </xf>
    <xf numFmtId="0" fontId="29" fillId="0" borderId="0" xfId="0" applyFont="1" applyAlignment="1">
      <alignment horizontal="right"/>
    </xf>
    <xf numFmtId="0" fontId="2" fillId="6" borderId="4" xfId="0" applyFont="1" applyFill="1" applyBorder="1" applyAlignment="1">
      <alignment horizontal="center" vertical="center"/>
    </xf>
    <xf numFmtId="0" fontId="0" fillId="20" borderId="0" xfId="0" applyFill="1" applyProtection="1">
      <protection locked="0"/>
    </xf>
    <xf numFmtId="0" fontId="0" fillId="7" borderId="0" xfId="0" applyFill="1" applyProtection="1">
      <protection locked="0"/>
    </xf>
    <xf numFmtId="181" fontId="29" fillId="7" borderId="4" xfId="0" applyNumberFormat="1" applyFont="1" applyFill="1" applyBorder="1" applyAlignment="1" applyProtection="1">
      <alignment horizontal="right" vertical="center"/>
      <protection locked="0"/>
    </xf>
    <xf numFmtId="9" fontId="0" fillId="7" borderId="4" xfId="0" applyNumberFormat="1" applyFill="1" applyBorder="1" applyAlignment="1" applyProtection="1">
      <alignment horizontal="center" vertical="center"/>
      <protection locked="0"/>
    </xf>
    <xf numFmtId="0" fontId="0" fillId="7" borderId="4" xfId="0" applyFill="1" applyBorder="1" applyAlignment="1" applyProtection="1">
      <alignment wrapText="1"/>
      <protection locked="0"/>
    </xf>
    <xf numFmtId="0" fontId="2" fillId="7" borderId="4" xfId="0" applyFont="1" applyFill="1" applyBorder="1" applyAlignment="1" applyProtection="1">
      <alignment horizontal="center" vertical="center" wrapText="1"/>
      <protection locked="0"/>
    </xf>
    <xf numFmtId="0" fontId="0" fillId="7" borderId="4" xfId="0" applyFill="1" applyBorder="1" applyProtection="1">
      <protection locked="0"/>
    </xf>
    <xf numFmtId="0" fontId="0" fillId="20" borderId="4" xfId="0" applyFill="1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181" fontId="0" fillId="0" borderId="4" xfId="0" applyNumberFormat="1" applyBorder="1" applyAlignment="1" applyProtection="1">
      <alignment horizontal="right" vertical="center"/>
      <protection locked="0"/>
    </xf>
    <xf numFmtId="181" fontId="2" fillId="34" borderId="5" xfId="0" applyNumberFormat="1" applyFont="1" applyFill="1" applyBorder="1" applyAlignment="1">
      <alignment horizontal="center"/>
    </xf>
    <xf numFmtId="181" fontId="2" fillId="34" borderId="5" xfId="0" applyNumberFormat="1" applyFont="1" applyFill="1" applyBorder="1" applyAlignment="1">
      <alignment horizontal="right" vertical="center"/>
    </xf>
    <xf numFmtId="0" fontId="29" fillId="0" borderId="4" xfId="0" applyFont="1" applyBorder="1" applyAlignment="1" applyProtection="1">
      <alignment horizontal="center" vertical="center"/>
      <protection locked="0"/>
    </xf>
    <xf numFmtId="173" fontId="29" fillId="0" borderId="4" xfId="0" applyNumberFormat="1" applyFont="1" applyBorder="1" applyAlignment="1" applyProtection="1">
      <alignment horizontal="center" vertical="center"/>
      <protection locked="0"/>
    </xf>
    <xf numFmtId="173" fontId="0" fillId="0" borderId="4" xfId="0" applyNumberFormat="1" applyBorder="1" applyAlignment="1" applyProtection="1">
      <alignment horizontal="center" vertical="center"/>
      <protection locked="0"/>
    </xf>
    <xf numFmtId="0" fontId="29" fillId="6" borderId="1" xfId="0" applyFont="1" applyFill="1" applyBorder="1" applyAlignment="1" applyProtection="1">
      <alignment horizontal="center" vertical="center"/>
      <protection locked="0"/>
    </xf>
    <xf numFmtId="0" fontId="0" fillId="6" borderId="1" xfId="0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2" borderId="4" xfId="0" applyFont="1" applyFill="1" applyBorder="1" applyAlignment="1" applyProtection="1">
      <alignment horizontal="center" wrapText="1"/>
      <protection locked="0"/>
    </xf>
    <xf numFmtId="0" fontId="2" fillId="2" borderId="2" xfId="0" applyFont="1" applyFill="1" applyBorder="1" applyAlignment="1" applyProtection="1">
      <alignment vertical="center"/>
      <protection locked="0"/>
    </xf>
    <xf numFmtId="0" fontId="29" fillId="0" borderId="4" xfId="0" applyFont="1" applyBorder="1" applyAlignment="1" applyProtection="1">
      <alignment horizontal="center"/>
      <protection locked="0"/>
    </xf>
    <xf numFmtId="0" fontId="0" fillId="20" borderId="4" xfId="0" applyFill="1" applyBorder="1" applyAlignment="1" applyProtection="1">
      <alignment horizontal="center"/>
      <protection locked="0"/>
    </xf>
    <xf numFmtId="2" fontId="0" fillId="20" borderId="4" xfId="0" applyNumberFormat="1" applyFill="1" applyBorder="1" applyAlignment="1" applyProtection="1">
      <alignment horizontal="center"/>
      <protection locked="0"/>
    </xf>
    <xf numFmtId="0" fontId="29" fillId="6" borderId="4" xfId="0" applyFont="1" applyFill="1" applyBorder="1" applyAlignment="1" applyProtection="1">
      <alignment horizontal="center"/>
      <protection locked="0"/>
    </xf>
    <xf numFmtId="181" fontId="9" fillId="33" borderId="31" xfId="0" applyNumberFormat="1" applyFont="1" applyFill="1" applyBorder="1" applyAlignment="1">
      <alignment horizontal="right" vertical="center"/>
    </xf>
    <xf numFmtId="181" fontId="9" fillId="6" borderId="6" xfId="0" applyNumberFormat="1" applyFont="1" applyFill="1" applyBorder="1" applyAlignment="1">
      <alignment horizontal="right" vertical="center"/>
    </xf>
    <xf numFmtId="168" fontId="0" fillId="0" borderId="6" xfId="1" applyNumberFormat="1" applyFont="1" applyBorder="1" applyAlignment="1" applyProtection="1">
      <alignment horizontal="center"/>
    </xf>
    <xf numFmtId="168" fontId="2" fillId="34" borderId="5" xfId="1" applyNumberFormat="1" applyFont="1" applyFill="1" applyBorder="1" applyAlignment="1" applyProtection="1">
      <alignment horizontal="center"/>
    </xf>
    <xf numFmtId="182" fontId="42" fillId="0" borderId="5" xfId="0" applyNumberFormat="1" applyFont="1" applyBorder="1" applyAlignment="1">
      <alignment horizontal="center" vertical="center"/>
    </xf>
    <xf numFmtId="181" fontId="2" fillId="2" borderId="2" xfId="0" applyNumberFormat="1" applyFont="1" applyFill="1" applyBorder="1" applyAlignment="1" applyProtection="1">
      <alignment horizontal="right" vertical="center"/>
      <protection locked="0"/>
    </xf>
    <xf numFmtId="0" fontId="2" fillId="2" borderId="2" xfId="0" applyFont="1" applyFill="1" applyBorder="1" applyAlignment="1" applyProtection="1">
      <alignment horizontal="left" vertical="center"/>
      <protection locked="0"/>
    </xf>
    <xf numFmtId="181" fontId="2" fillId="2" borderId="4" xfId="0" applyNumberFormat="1" applyFont="1" applyFill="1" applyBorder="1" applyAlignment="1" applyProtection="1">
      <alignment horizontal="center" wrapText="1"/>
      <protection locked="0"/>
    </xf>
    <xf numFmtId="10" fontId="2" fillId="2" borderId="4" xfId="0" applyNumberFormat="1" applyFont="1" applyFill="1" applyBorder="1" applyAlignment="1" applyProtection="1">
      <alignment horizontal="center" wrapText="1"/>
      <protection locked="0"/>
    </xf>
    <xf numFmtId="181" fontId="0" fillId="20" borderId="4" xfId="0" applyNumberFormat="1" applyFill="1" applyBorder="1" applyAlignment="1" applyProtection="1">
      <alignment horizontal="center"/>
      <protection locked="0"/>
    </xf>
    <xf numFmtId="173" fontId="0" fillId="20" borderId="4" xfId="0" applyNumberFormat="1" applyFill="1" applyBorder="1" applyAlignment="1" applyProtection="1">
      <alignment horizontal="center"/>
      <protection locked="0"/>
    </xf>
    <xf numFmtId="0" fontId="29" fillId="20" borderId="1" xfId="0" applyFont="1" applyFill="1" applyBorder="1" applyAlignment="1" applyProtection="1">
      <alignment horizontal="left"/>
      <protection locked="0"/>
    </xf>
    <xf numFmtId="0" fontId="29" fillId="20" borderId="3" xfId="0" applyFont="1" applyFill="1" applyBorder="1" applyAlignment="1" applyProtection="1">
      <alignment horizontal="left"/>
      <protection locked="0"/>
    </xf>
    <xf numFmtId="0" fontId="0" fillId="20" borderId="4" xfId="0" applyFill="1" applyBorder="1" applyAlignment="1" applyProtection="1">
      <alignment wrapText="1"/>
      <protection locked="0"/>
    </xf>
    <xf numFmtId="173" fontId="0" fillId="20" borderId="4" xfId="0" applyNumberFormat="1" applyFill="1" applyBorder="1" applyAlignment="1" applyProtection="1">
      <alignment horizontal="center" vertical="center"/>
      <protection locked="0"/>
    </xf>
    <xf numFmtId="0" fontId="0" fillId="20" borderId="1" xfId="0" applyFill="1" applyBorder="1" applyAlignment="1" applyProtection="1">
      <alignment horizontal="left"/>
      <protection locked="0"/>
    </xf>
    <xf numFmtId="0" fontId="0" fillId="20" borderId="3" xfId="0" applyFill="1" applyBorder="1" applyAlignment="1" applyProtection="1">
      <alignment horizontal="left"/>
      <protection locked="0"/>
    </xf>
    <xf numFmtId="1" fontId="0" fillId="0" borderId="0" xfId="0" applyNumberFormat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0" fontId="2" fillId="2" borderId="4" xfId="0" applyFont="1" applyFill="1" applyBorder="1" applyAlignment="1" applyProtection="1">
      <alignment horizontal="left" wrapText="1"/>
      <protection locked="0"/>
    </xf>
    <xf numFmtId="0" fontId="2" fillId="20" borderId="4" xfId="0" applyFont="1" applyFill="1" applyBorder="1" applyAlignment="1" applyProtection="1">
      <alignment horizontal="left" wrapText="1"/>
      <protection locked="0"/>
    </xf>
    <xf numFmtId="0" fontId="0" fillId="20" borderId="4" xfId="0" applyFill="1" applyBorder="1" applyProtection="1">
      <protection locked="0"/>
    </xf>
    <xf numFmtId="0" fontId="0" fillId="20" borderId="4" xfId="0" applyFill="1" applyBorder="1" applyAlignment="1" applyProtection="1">
      <alignment horizontal="left"/>
      <protection locked="0"/>
    </xf>
    <xf numFmtId="0" fontId="0" fillId="20" borderId="4" xfId="0" applyFill="1" applyBorder="1" applyAlignment="1" applyProtection="1">
      <alignment horizontal="left" wrapText="1"/>
      <protection locked="0"/>
    </xf>
    <xf numFmtId="0" fontId="0" fillId="20" borderId="5" xfId="0" applyFill="1" applyBorder="1" applyAlignment="1" applyProtection="1">
      <alignment horizontal="left"/>
      <protection locked="0"/>
    </xf>
    <xf numFmtId="0" fontId="0" fillId="20" borderId="5" xfId="0" applyFill="1" applyBorder="1" applyProtection="1">
      <protection locked="0"/>
    </xf>
    <xf numFmtId="0" fontId="4" fillId="35" borderId="0" xfId="0" applyFont="1" applyFill="1" applyAlignment="1" applyProtection="1">
      <alignment horizontal="center" vertical="center"/>
      <protection locked="0"/>
    </xf>
    <xf numFmtId="0" fontId="4" fillId="35" borderId="0" xfId="1" applyNumberFormat="1" applyFont="1" applyFill="1" applyAlignment="1" applyProtection="1">
      <alignment horizontal="center" vertical="center"/>
      <protection locked="0"/>
    </xf>
    <xf numFmtId="0" fontId="4" fillId="35" borderId="0" xfId="0" applyFont="1" applyFill="1" applyAlignment="1" applyProtection="1">
      <alignment horizontal="center" vertical="center" wrapText="1"/>
      <protection locked="0"/>
    </xf>
    <xf numFmtId="174" fontId="4" fillId="35" borderId="0" xfId="0" applyNumberFormat="1" applyFont="1" applyFill="1" applyAlignment="1" applyProtection="1">
      <alignment horizontal="center" vertical="center"/>
      <protection locked="0"/>
    </xf>
    <xf numFmtId="0" fontId="6" fillId="35" borderId="0" xfId="0" applyFont="1" applyFill="1" applyAlignment="1" applyProtection="1">
      <alignment horizontal="center" vertical="center"/>
      <protection locked="0"/>
    </xf>
    <xf numFmtId="173" fontId="4" fillId="35" borderId="0" xfId="0" applyNumberFormat="1" applyFont="1" applyFill="1" applyAlignment="1" applyProtection="1">
      <alignment horizontal="center" vertical="center" wrapText="1"/>
      <protection locked="0"/>
    </xf>
    <xf numFmtId="170" fontId="4" fillId="35" borderId="0" xfId="0" applyNumberFormat="1" applyFont="1" applyFill="1" applyAlignment="1" applyProtection="1">
      <alignment horizontal="center" vertical="center"/>
      <protection hidden="1"/>
    </xf>
    <xf numFmtId="0" fontId="4" fillId="35" borderId="0" xfId="0" applyFont="1" applyFill="1" applyAlignment="1" applyProtection="1">
      <alignment vertical="center"/>
      <protection locked="0"/>
    </xf>
    <xf numFmtId="166" fontId="4" fillId="35" borderId="0" xfId="1" applyNumberFormat="1" applyFont="1" applyFill="1" applyBorder="1" applyAlignment="1" applyProtection="1">
      <alignment horizontal="center" vertical="center"/>
      <protection locked="0"/>
    </xf>
    <xf numFmtId="0" fontId="4" fillId="35" borderId="0" xfId="1" applyNumberFormat="1" applyFont="1" applyFill="1" applyBorder="1" applyAlignment="1" applyProtection="1">
      <alignment horizontal="center" vertical="center"/>
      <protection locked="0"/>
    </xf>
    <xf numFmtId="166" fontId="4" fillId="35" borderId="0" xfId="0" applyNumberFormat="1" applyFont="1" applyFill="1" applyAlignment="1" applyProtection="1">
      <alignment horizontal="center" vertical="center"/>
      <protection locked="0"/>
    </xf>
    <xf numFmtId="0" fontId="7" fillId="35" borderId="0" xfId="0" applyFont="1" applyFill="1" applyAlignment="1" applyProtection="1">
      <alignment horizontal="center" vertical="center" wrapText="1"/>
      <protection locked="0"/>
    </xf>
    <xf numFmtId="3" fontId="3" fillId="0" borderId="0" xfId="0" applyNumberFormat="1" applyFont="1" applyAlignment="1" applyProtection="1">
      <alignment horizontal="center" vertical="center"/>
      <protection locked="0"/>
    </xf>
    <xf numFmtId="0" fontId="10" fillId="35" borderId="0" xfId="0" applyFont="1" applyFill="1" applyAlignment="1" applyProtection="1">
      <alignment horizontal="center" vertical="center"/>
      <protection locked="0"/>
    </xf>
    <xf numFmtId="183" fontId="5" fillId="0" borderId="8" xfId="0" applyNumberFormat="1" applyFont="1" applyBorder="1" applyAlignment="1">
      <alignment horizontal="center" vertical="center"/>
    </xf>
    <xf numFmtId="183" fontId="3" fillId="0" borderId="0" xfId="0" applyNumberFormat="1" applyFont="1" applyAlignment="1" applyProtection="1">
      <alignment horizontal="center" vertical="center" wrapText="1"/>
      <protection locked="0"/>
    </xf>
    <xf numFmtId="183" fontId="4" fillId="7" borderId="0" xfId="0" applyNumberFormat="1" applyFont="1" applyFill="1" applyAlignment="1" applyProtection="1">
      <alignment horizontal="center" vertical="center" wrapText="1"/>
      <protection locked="0"/>
    </xf>
    <xf numFmtId="183" fontId="4" fillId="0" borderId="0" xfId="0" applyNumberFormat="1" applyFont="1" applyAlignment="1" applyProtection="1">
      <alignment horizontal="center" vertical="center"/>
      <protection locked="0"/>
    </xf>
    <xf numFmtId="183" fontId="4" fillId="7" borderId="0" xfId="0" applyNumberFormat="1" applyFont="1" applyFill="1" applyAlignment="1" applyProtection="1">
      <alignment horizontal="center" vertical="center"/>
      <protection locked="0"/>
    </xf>
    <xf numFmtId="183" fontId="6" fillId="7" borderId="0" xfId="0" applyNumberFormat="1" applyFont="1" applyFill="1" applyAlignment="1" applyProtection="1">
      <alignment horizontal="center" vertical="center"/>
      <protection locked="0"/>
    </xf>
    <xf numFmtId="183" fontId="4" fillId="0" borderId="0" xfId="0" applyNumberFormat="1" applyFont="1" applyAlignment="1" applyProtection="1">
      <alignment horizontal="center" vertical="center" wrapText="1"/>
      <protection locked="0"/>
    </xf>
    <xf numFmtId="183" fontId="4" fillId="35" borderId="0" xfId="0" applyNumberFormat="1" applyFont="1" applyFill="1" applyAlignment="1" applyProtection="1">
      <alignment horizontal="center" vertical="center"/>
      <protection locked="0"/>
    </xf>
    <xf numFmtId="183" fontId="4" fillId="35" borderId="0" xfId="0" applyNumberFormat="1" applyFont="1" applyFill="1" applyAlignment="1" applyProtection="1">
      <alignment horizontal="center" vertical="center" wrapText="1"/>
      <protection locked="0"/>
    </xf>
    <xf numFmtId="183" fontId="3" fillId="0" borderId="0" xfId="0" applyNumberFormat="1" applyFont="1" applyAlignment="1" applyProtection="1">
      <alignment horizontal="center" vertical="center"/>
      <protection locked="0"/>
    </xf>
    <xf numFmtId="183" fontId="13" fillId="0" borderId="0" xfId="0" applyNumberFormat="1" applyFont="1" applyAlignment="1" applyProtection="1">
      <alignment horizontal="center"/>
      <protection locked="0"/>
    </xf>
    <xf numFmtId="183" fontId="4" fillId="0" borderId="0" xfId="0" applyNumberFormat="1" applyFont="1" applyAlignment="1" applyProtection="1">
      <alignment vertical="center"/>
      <protection locked="0"/>
    </xf>
    <xf numFmtId="183" fontId="3" fillId="0" borderId="0" xfId="0" applyNumberFormat="1" applyFont="1" applyAlignment="1" applyProtection="1">
      <alignment horizontal="center" vertical="center"/>
      <protection hidden="1"/>
    </xf>
    <xf numFmtId="183" fontId="3" fillId="4" borderId="14" xfId="0" applyNumberFormat="1" applyFont="1" applyFill="1" applyBorder="1" applyAlignment="1" applyProtection="1">
      <alignment horizontal="center" vertical="center" wrapText="1"/>
      <protection hidden="1"/>
    </xf>
    <xf numFmtId="183" fontId="4" fillId="0" borderId="6" xfId="2" applyNumberFormat="1" applyFont="1" applyFill="1" applyBorder="1" applyAlignment="1" applyProtection="1">
      <alignment horizontal="center" vertical="center"/>
      <protection hidden="1"/>
    </xf>
    <xf numFmtId="183" fontId="4" fillId="0" borderId="4" xfId="2" applyNumberFormat="1" applyFont="1" applyFill="1" applyBorder="1" applyAlignment="1" applyProtection="1">
      <alignment horizontal="center" vertical="center"/>
      <protection hidden="1"/>
    </xf>
    <xf numFmtId="183" fontId="4" fillId="11" borderId="23" xfId="2" applyNumberFormat="1" applyFont="1" applyFill="1" applyBorder="1" applyAlignment="1" applyProtection="1">
      <alignment horizontal="center" vertical="center"/>
      <protection hidden="1"/>
    </xf>
    <xf numFmtId="183" fontId="4" fillId="11" borderId="28" xfId="2" applyNumberFormat="1" applyFont="1" applyFill="1" applyBorder="1" applyAlignment="1" applyProtection="1">
      <alignment horizontal="center" vertical="center"/>
      <protection hidden="1"/>
    </xf>
    <xf numFmtId="183" fontId="3" fillId="12" borderId="39" xfId="2" applyNumberFormat="1" applyFont="1" applyFill="1" applyBorder="1" applyAlignment="1" applyProtection="1">
      <alignment horizontal="center" vertical="center"/>
      <protection hidden="1"/>
    </xf>
    <xf numFmtId="183" fontId="4" fillId="0" borderId="23" xfId="2" applyNumberFormat="1" applyFont="1" applyFill="1" applyBorder="1" applyAlignment="1" applyProtection="1">
      <alignment horizontal="center" vertical="center"/>
      <protection hidden="1"/>
    </xf>
    <xf numFmtId="183" fontId="4" fillId="0" borderId="38" xfId="2" applyNumberFormat="1" applyFont="1" applyFill="1" applyBorder="1" applyAlignment="1" applyProtection="1">
      <alignment horizontal="center" vertical="center"/>
      <protection hidden="1"/>
    </xf>
    <xf numFmtId="183" fontId="4" fillId="0" borderId="28" xfId="2" applyNumberFormat="1" applyFont="1" applyFill="1" applyBorder="1" applyAlignment="1" applyProtection="1">
      <alignment horizontal="center" vertical="center"/>
      <protection hidden="1"/>
    </xf>
    <xf numFmtId="183" fontId="3" fillId="0" borderId="0" xfId="2" applyNumberFormat="1" applyFont="1" applyFill="1" applyBorder="1" applyAlignment="1" applyProtection="1">
      <alignment horizontal="center" vertical="center"/>
      <protection hidden="1"/>
    </xf>
    <xf numFmtId="183" fontId="3" fillId="5" borderId="14" xfId="0" applyNumberFormat="1" applyFont="1" applyFill="1" applyBorder="1" applyAlignment="1" applyProtection="1">
      <alignment horizontal="center" vertical="center" wrapText="1"/>
      <protection hidden="1"/>
    </xf>
    <xf numFmtId="183" fontId="4" fillId="0" borderId="4" xfId="0" applyNumberFormat="1" applyFont="1" applyBorder="1" applyAlignment="1" applyProtection="1">
      <alignment horizontal="center" vertical="center"/>
      <protection hidden="1"/>
    </xf>
    <xf numFmtId="183" fontId="4" fillId="11" borderId="23" xfId="0" applyNumberFormat="1" applyFont="1" applyFill="1" applyBorder="1" applyAlignment="1" applyProtection="1">
      <alignment horizontal="center" vertical="center"/>
      <protection hidden="1"/>
    </xf>
    <xf numFmtId="183" fontId="3" fillId="12" borderId="39" xfId="0" applyNumberFormat="1" applyFont="1" applyFill="1" applyBorder="1" applyAlignment="1" applyProtection="1">
      <alignment horizontal="center" vertical="center"/>
      <protection hidden="1"/>
    </xf>
    <xf numFmtId="183" fontId="3" fillId="5" borderId="39" xfId="0" applyNumberFormat="1" applyFont="1" applyFill="1" applyBorder="1" applyAlignment="1" applyProtection="1">
      <alignment horizontal="center" vertical="center" wrapText="1"/>
      <protection hidden="1"/>
    </xf>
    <xf numFmtId="183" fontId="4" fillId="0" borderId="23" xfId="0" applyNumberFormat="1" applyFont="1" applyBorder="1" applyAlignment="1" applyProtection="1">
      <alignment horizontal="center" vertical="center"/>
      <protection hidden="1"/>
    </xf>
    <xf numFmtId="183" fontId="4" fillId="0" borderId="5" xfId="0" applyNumberFormat="1" applyFont="1" applyBorder="1" applyAlignment="1" applyProtection="1">
      <alignment horizontal="center" vertical="center"/>
      <protection hidden="1"/>
    </xf>
    <xf numFmtId="183" fontId="3" fillId="12" borderId="14" xfId="0" applyNumberFormat="1" applyFont="1" applyFill="1" applyBorder="1" applyAlignment="1" applyProtection="1">
      <alignment horizontal="center" vertical="center"/>
      <protection hidden="1"/>
    </xf>
    <xf numFmtId="3" fontId="4" fillId="0" borderId="0" xfId="0" applyNumberFormat="1" applyFont="1" applyAlignment="1" applyProtection="1">
      <alignment horizontal="center" vertical="center"/>
      <protection locked="0"/>
    </xf>
    <xf numFmtId="3" fontId="4" fillId="35" borderId="0" xfId="0" applyNumberFormat="1" applyFont="1" applyFill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166" fontId="3" fillId="0" borderId="0" xfId="0" applyNumberFormat="1" applyFont="1" applyAlignment="1" applyProtection="1">
      <alignment horizontal="center" vertical="center"/>
      <protection locked="0"/>
    </xf>
    <xf numFmtId="3" fontId="4" fillId="0" borderId="0" xfId="1" applyNumberFormat="1" applyFont="1" applyFill="1" applyBorder="1" applyAlignment="1" applyProtection="1">
      <alignment horizontal="center" vertical="center"/>
      <protection locked="0"/>
    </xf>
    <xf numFmtId="4" fontId="4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>
      <alignment horizontal="center"/>
    </xf>
    <xf numFmtId="3" fontId="0" fillId="0" borderId="6" xfId="0" applyNumberFormat="1" applyBorder="1" applyAlignment="1" applyProtection="1">
      <alignment horizontal="center" vertical="center"/>
      <protection hidden="1"/>
    </xf>
    <xf numFmtId="3" fontId="0" fillId="0" borderId="18" xfId="0" applyNumberFormat="1" applyBorder="1" applyAlignment="1" applyProtection="1">
      <alignment horizontal="center" vertical="center"/>
      <protection hidden="1"/>
    </xf>
    <xf numFmtId="3" fontId="0" fillId="0" borderId="1" xfId="0" applyNumberFormat="1" applyBorder="1" applyAlignment="1" applyProtection="1">
      <alignment horizontal="center" vertical="center"/>
      <protection hidden="1"/>
    </xf>
    <xf numFmtId="3" fontId="0" fillId="0" borderId="43" xfId="0" applyNumberFormat="1" applyBorder="1" applyAlignment="1" applyProtection="1">
      <alignment horizontal="center" vertical="center"/>
      <protection hidden="1"/>
    </xf>
    <xf numFmtId="3" fontId="2" fillId="20" borderId="13" xfId="0" applyNumberFormat="1" applyFont="1" applyFill="1" applyBorder="1" applyAlignment="1" applyProtection="1">
      <alignment horizontal="center" vertical="center"/>
      <protection hidden="1"/>
    </xf>
    <xf numFmtId="3" fontId="2" fillId="20" borderId="50" xfId="0" applyNumberFormat="1" applyFont="1" applyFill="1" applyBorder="1" applyAlignment="1" applyProtection="1">
      <alignment horizontal="center" vertical="center"/>
      <protection hidden="1"/>
    </xf>
    <xf numFmtId="3" fontId="2" fillId="20" borderId="14" xfId="0" applyNumberFormat="1" applyFont="1" applyFill="1" applyBorder="1" applyAlignment="1" applyProtection="1">
      <alignment horizontal="center" vertical="center"/>
      <protection hidden="1"/>
    </xf>
    <xf numFmtId="3" fontId="0" fillId="0" borderId="0" xfId="0" applyNumberFormat="1" applyAlignment="1" applyProtection="1">
      <alignment horizontal="center" vertical="center"/>
      <protection hidden="1"/>
    </xf>
    <xf numFmtId="3" fontId="0" fillId="0" borderId="4" xfId="0" applyNumberFormat="1" applyBorder="1" applyAlignment="1" applyProtection="1">
      <alignment horizontal="center"/>
      <protection hidden="1"/>
    </xf>
    <xf numFmtId="3" fontId="2" fillId="25" borderId="4" xfId="0" applyNumberFormat="1" applyFont="1" applyFill="1" applyBorder="1" applyAlignment="1" applyProtection="1">
      <alignment horizontal="center" vertical="center"/>
      <protection hidden="1"/>
    </xf>
    <xf numFmtId="0" fontId="2" fillId="12" borderId="30" xfId="0" applyFont="1" applyFill="1" applyBorder="1" applyAlignment="1" applyProtection="1">
      <alignment horizontal="center" vertical="center"/>
      <protection hidden="1"/>
    </xf>
    <xf numFmtId="0" fontId="2" fillId="12" borderId="50" xfId="0" applyFont="1" applyFill="1" applyBorder="1" applyAlignment="1" applyProtection="1">
      <alignment horizontal="center" vertical="center"/>
      <protection hidden="1"/>
    </xf>
    <xf numFmtId="3" fontId="2" fillId="20" borderId="62" xfId="0" applyNumberFormat="1" applyFont="1" applyFill="1" applyBorder="1" applyAlignment="1" applyProtection="1">
      <alignment horizontal="center" vertical="center"/>
      <protection hidden="1"/>
    </xf>
    <xf numFmtId="3" fontId="2" fillId="20" borderId="63" xfId="0" applyNumberFormat="1" applyFont="1" applyFill="1" applyBorder="1" applyAlignment="1" applyProtection="1">
      <alignment horizontal="center" vertical="center"/>
      <protection hidden="1"/>
    </xf>
    <xf numFmtId="0" fontId="2" fillId="12" borderId="52" xfId="0" applyFont="1" applyFill="1" applyBorder="1" applyAlignment="1" applyProtection="1">
      <alignment horizontal="center" vertical="center"/>
      <protection hidden="1"/>
    </xf>
    <xf numFmtId="3" fontId="2" fillId="20" borderId="12" xfId="0" applyNumberFormat="1" applyFont="1" applyFill="1" applyBorder="1" applyAlignment="1" applyProtection="1">
      <alignment horizontal="center" vertical="center"/>
      <protection hidden="1"/>
    </xf>
    <xf numFmtId="3" fontId="0" fillId="0" borderId="46" xfId="0" applyNumberFormat="1" applyBorder="1" applyAlignment="1" applyProtection="1">
      <alignment horizontal="center" vertical="center"/>
      <protection hidden="1"/>
    </xf>
    <xf numFmtId="3" fontId="0" fillId="0" borderId="17" xfId="0" applyNumberFormat="1" applyBorder="1" applyAlignment="1" applyProtection="1">
      <alignment horizontal="center" vertical="center"/>
      <protection hidden="1"/>
    </xf>
    <xf numFmtId="3" fontId="0" fillId="0" borderId="41" xfId="0" applyNumberFormat="1" applyBorder="1" applyAlignment="1" applyProtection="1">
      <alignment horizontal="center" vertical="center"/>
      <protection hidden="1"/>
    </xf>
    <xf numFmtId="3" fontId="0" fillId="0" borderId="4" xfId="0" applyNumberFormat="1" applyBorder="1" applyAlignment="1" applyProtection="1">
      <alignment horizontal="center" vertical="center"/>
      <protection hidden="1"/>
    </xf>
    <xf numFmtId="3" fontId="0" fillId="0" borderId="45" xfId="0" applyNumberFormat="1" applyBorder="1" applyAlignment="1" applyProtection="1">
      <alignment horizontal="center" vertical="center"/>
      <protection hidden="1"/>
    </xf>
    <xf numFmtId="3" fontId="2" fillId="20" borderId="61" xfId="0" applyNumberFormat="1" applyFont="1" applyFill="1" applyBorder="1" applyAlignment="1" applyProtection="1">
      <alignment horizontal="center" vertical="center"/>
      <protection hidden="1"/>
    </xf>
    <xf numFmtId="3" fontId="24" fillId="12" borderId="27" xfId="0" applyNumberFormat="1" applyFont="1" applyFill="1" applyBorder="1" applyAlignment="1" applyProtection="1">
      <alignment horizontal="center" vertical="center"/>
      <protection hidden="1"/>
    </xf>
    <xf numFmtId="3" fontId="24" fillId="12" borderId="28" xfId="0" applyNumberFormat="1" applyFont="1" applyFill="1" applyBorder="1" applyAlignment="1" applyProtection="1">
      <alignment horizontal="center" vertical="center"/>
      <protection hidden="1"/>
    </xf>
    <xf numFmtId="3" fontId="24" fillId="12" borderId="44" xfId="0" applyNumberFormat="1" applyFont="1" applyFill="1" applyBorder="1" applyAlignment="1" applyProtection="1">
      <alignment horizontal="center" vertical="center"/>
      <protection hidden="1"/>
    </xf>
    <xf numFmtId="3" fontId="2" fillId="20" borderId="49" xfId="0" applyNumberFormat="1" applyFont="1" applyFill="1" applyBorder="1" applyAlignment="1" applyProtection="1">
      <alignment horizontal="center" vertical="center"/>
      <protection hidden="1"/>
    </xf>
    <xf numFmtId="3" fontId="3" fillId="4" borderId="11" xfId="0" applyNumberFormat="1" applyFont="1" applyFill="1" applyBorder="1" applyAlignment="1" applyProtection="1">
      <alignment horizontal="center" vertical="center"/>
      <protection hidden="1"/>
    </xf>
    <xf numFmtId="3" fontId="3" fillId="0" borderId="0" xfId="0" applyNumberFormat="1" applyFont="1" applyAlignment="1" applyProtection="1">
      <alignment horizontal="center" vertical="center"/>
      <protection hidden="1"/>
    </xf>
    <xf numFmtId="3" fontId="3" fillId="10" borderId="12" xfId="0" applyNumberFormat="1" applyFont="1" applyFill="1" applyBorder="1" applyAlignment="1" applyProtection="1">
      <alignment horizontal="center" vertical="center"/>
      <protection hidden="1"/>
    </xf>
    <xf numFmtId="3" fontId="3" fillId="10" borderId="13" xfId="0" applyNumberFormat="1" applyFont="1" applyFill="1" applyBorder="1" applyAlignment="1" applyProtection="1">
      <alignment horizontal="center" vertical="center"/>
      <protection hidden="1"/>
    </xf>
    <xf numFmtId="3" fontId="3" fillId="5" borderId="12" xfId="0" applyNumberFormat="1" applyFont="1" applyFill="1" applyBorder="1" applyAlignment="1" applyProtection="1">
      <alignment horizontal="center" vertical="center"/>
      <protection hidden="1"/>
    </xf>
    <xf numFmtId="3" fontId="3" fillId="5" borderId="14" xfId="0" applyNumberFormat="1" applyFont="1" applyFill="1" applyBorder="1" applyAlignment="1" applyProtection="1">
      <alignment horizontal="center" vertical="center" wrapText="1"/>
      <protection hidden="1"/>
    </xf>
    <xf numFmtId="3" fontId="3" fillId="5" borderId="13" xfId="0" applyNumberFormat="1" applyFont="1" applyFill="1" applyBorder="1" applyAlignment="1" applyProtection="1">
      <alignment horizontal="center" vertical="center" wrapText="1"/>
      <protection hidden="1"/>
    </xf>
    <xf numFmtId="3" fontId="3" fillId="0" borderId="15" xfId="0" applyNumberFormat="1" applyFont="1" applyBorder="1" applyAlignment="1" applyProtection="1">
      <alignment horizontal="center" vertical="center"/>
      <protection hidden="1"/>
    </xf>
    <xf numFmtId="3" fontId="4" fillId="0" borderId="16" xfId="1" applyNumberFormat="1" applyFont="1" applyFill="1" applyBorder="1" applyAlignment="1" applyProtection="1">
      <alignment horizontal="center" vertical="center"/>
      <protection hidden="1"/>
    </xf>
    <xf numFmtId="3" fontId="4" fillId="0" borderId="6" xfId="1" applyNumberFormat="1" applyFont="1" applyFill="1" applyBorder="1" applyAlignment="1" applyProtection="1">
      <alignment horizontal="center" vertical="center"/>
      <protection hidden="1"/>
    </xf>
    <xf numFmtId="3" fontId="4" fillId="0" borderId="17" xfId="0" applyNumberFormat="1" applyFont="1" applyBorder="1" applyAlignment="1" applyProtection="1">
      <alignment horizontal="center" vertical="center"/>
      <protection hidden="1"/>
    </xf>
    <xf numFmtId="3" fontId="4" fillId="0" borderId="18" xfId="0" applyNumberFormat="1" applyFont="1" applyBorder="1" applyAlignment="1" applyProtection="1">
      <alignment horizontal="center" vertical="center"/>
      <protection hidden="1"/>
    </xf>
    <xf numFmtId="3" fontId="3" fillId="0" borderId="19" xfId="0" applyNumberFormat="1" applyFont="1" applyBorder="1" applyAlignment="1" applyProtection="1">
      <alignment horizontal="center" vertical="center"/>
      <protection hidden="1"/>
    </xf>
    <xf numFmtId="3" fontId="3" fillId="0" borderId="20" xfId="0" applyNumberFormat="1" applyFont="1" applyBorder="1" applyAlignment="1" applyProtection="1">
      <alignment horizontal="center" vertical="center"/>
      <protection hidden="1"/>
    </xf>
    <xf numFmtId="3" fontId="3" fillId="11" borderId="21" xfId="0" applyNumberFormat="1" applyFont="1" applyFill="1" applyBorder="1" applyAlignment="1" applyProtection="1">
      <alignment horizontal="center" vertical="center"/>
      <protection hidden="1"/>
    </xf>
    <xf numFmtId="3" fontId="4" fillId="11" borderId="22" xfId="1" applyNumberFormat="1" applyFont="1" applyFill="1" applyBorder="1" applyAlignment="1" applyProtection="1">
      <alignment horizontal="center" vertical="center"/>
      <protection hidden="1"/>
    </xf>
    <xf numFmtId="3" fontId="4" fillId="11" borderId="23" xfId="1" applyNumberFormat="1" applyFont="1" applyFill="1" applyBorder="1" applyAlignment="1" applyProtection="1">
      <alignment horizontal="center" vertical="center"/>
      <protection hidden="1"/>
    </xf>
    <xf numFmtId="3" fontId="4" fillId="11" borderId="24" xfId="0" applyNumberFormat="1" applyFont="1" applyFill="1" applyBorder="1" applyAlignment="1" applyProtection="1">
      <alignment horizontal="center" vertical="center"/>
      <protection hidden="1"/>
    </xf>
    <xf numFmtId="3" fontId="4" fillId="11" borderId="25" xfId="0" applyNumberFormat="1" applyFont="1" applyFill="1" applyBorder="1" applyAlignment="1" applyProtection="1">
      <alignment horizontal="center" vertical="center"/>
      <protection hidden="1"/>
    </xf>
    <xf numFmtId="3" fontId="3" fillId="11" borderId="26" xfId="0" applyNumberFormat="1" applyFont="1" applyFill="1" applyBorder="1" applyAlignment="1" applyProtection="1">
      <alignment horizontal="center" vertical="center"/>
      <protection hidden="1"/>
    </xf>
    <xf numFmtId="3" fontId="4" fillId="11" borderId="27" xfId="1" applyNumberFormat="1" applyFont="1" applyFill="1" applyBorder="1" applyAlignment="1" applyProtection="1">
      <alignment horizontal="center" vertical="center"/>
      <protection hidden="1"/>
    </xf>
    <xf numFmtId="3" fontId="4" fillId="11" borderId="28" xfId="1" applyNumberFormat="1" applyFont="1" applyFill="1" applyBorder="1" applyAlignment="1" applyProtection="1">
      <alignment horizontal="center" vertical="center"/>
      <protection hidden="1"/>
    </xf>
    <xf numFmtId="3" fontId="4" fillId="11" borderId="29" xfId="0" applyNumberFormat="1" applyFont="1" applyFill="1" applyBorder="1" applyAlignment="1" applyProtection="1">
      <alignment horizontal="center" vertical="center"/>
      <protection hidden="1"/>
    </xf>
    <xf numFmtId="3" fontId="4" fillId="11" borderId="30" xfId="0" applyNumberFormat="1" applyFont="1" applyFill="1" applyBorder="1" applyAlignment="1" applyProtection="1">
      <alignment horizontal="center" vertical="center"/>
      <protection hidden="1"/>
    </xf>
    <xf numFmtId="3" fontId="3" fillId="12" borderId="31" xfId="0" applyNumberFormat="1" applyFont="1" applyFill="1" applyBorder="1" applyAlignment="1" applyProtection="1">
      <alignment horizontal="center" vertical="center"/>
      <protection hidden="1"/>
    </xf>
    <xf numFmtId="3" fontId="3" fillId="12" borderId="32" xfId="1" applyNumberFormat="1" applyFont="1" applyFill="1" applyBorder="1" applyAlignment="1" applyProtection="1">
      <alignment horizontal="center" vertical="center"/>
      <protection hidden="1"/>
    </xf>
    <xf numFmtId="3" fontId="3" fillId="12" borderId="33" xfId="1" applyNumberFormat="1" applyFont="1" applyFill="1" applyBorder="1" applyAlignment="1" applyProtection="1">
      <alignment horizontal="center" vertical="center"/>
      <protection hidden="1"/>
    </xf>
    <xf numFmtId="3" fontId="3" fillId="12" borderId="34" xfId="1" applyNumberFormat="1" applyFont="1" applyFill="1" applyBorder="1" applyAlignment="1" applyProtection="1">
      <alignment horizontal="center" vertical="center"/>
      <protection hidden="1"/>
    </xf>
    <xf numFmtId="3" fontId="3" fillId="0" borderId="21" xfId="0" applyNumberFormat="1" applyFont="1" applyBorder="1" applyAlignment="1" applyProtection="1">
      <alignment horizontal="center" vertical="center"/>
      <protection hidden="1"/>
    </xf>
    <xf numFmtId="3" fontId="4" fillId="0" borderId="22" xfId="1" applyNumberFormat="1" applyFont="1" applyFill="1" applyBorder="1" applyAlignment="1" applyProtection="1">
      <alignment horizontal="center" vertical="center"/>
      <protection hidden="1"/>
    </xf>
    <xf numFmtId="3" fontId="4" fillId="0" borderId="23" xfId="1" applyNumberFormat="1" applyFont="1" applyFill="1" applyBorder="1" applyAlignment="1" applyProtection="1">
      <alignment horizontal="center" vertical="center"/>
      <protection hidden="1"/>
    </xf>
    <xf numFmtId="3" fontId="4" fillId="0" borderId="24" xfId="0" applyNumberFormat="1" applyFont="1" applyBorder="1" applyAlignment="1" applyProtection="1">
      <alignment horizontal="center" vertical="center"/>
      <protection hidden="1"/>
    </xf>
    <xf numFmtId="3" fontId="4" fillId="0" borderId="23" xfId="0" applyNumberFormat="1" applyFont="1" applyBorder="1" applyAlignment="1" applyProtection="1">
      <alignment horizontal="center" vertical="center"/>
      <protection hidden="1"/>
    </xf>
    <xf numFmtId="3" fontId="4" fillId="0" borderId="35" xfId="0" applyNumberFormat="1" applyFont="1" applyBorder="1" applyAlignment="1" applyProtection="1">
      <alignment horizontal="center" vertical="center"/>
      <protection hidden="1"/>
    </xf>
    <xf numFmtId="3" fontId="4" fillId="0" borderId="6" xfId="0" applyNumberFormat="1" applyFont="1" applyBorder="1" applyAlignment="1" applyProtection="1">
      <alignment horizontal="center" vertical="center"/>
      <protection hidden="1"/>
    </xf>
    <xf numFmtId="3" fontId="4" fillId="0" borderId="36" xfId="0" applyNumberFormat="1" applyFont="1" applyBorder="1" applyAlignment="1" applyProtection="1">
      <alignment horizontal="center" vertical="center"/>
      <protection hidden="1"/>
    </xf>
    <xf numFmtId="3" fontId="3" fillId="0" borderId="26" xfId="0" applyNumberFormat="1" applyFont="1" applyBorder="1" applyAlignment="1" applyProtection="1">
      <alignment horizontal="center" vertical="center"/>
      <protection hidden="1"/>
    </xf>
    <xf numFmtId="3" fontId="4" fillId="0" borderId="32" xfId="1" applyNumberFormat="1" applyFont="1" applyFill="1" applyBorder="1" applyAlignment="1" applyProtection="1">
      <alignment horizontal="center" vertical="center"/>
      <protection hidden="1"/>
    </xf>
    <xf numFmtId="3" fontId="4" fillId="0" borderId="39" xfId="1" applyNumberFormat="1" applyFont="1" applyFill="1" applyBorder="1" applyAlignment="1" applyProtection="1">
      <alignment horizontal="center" vertical="center"/>
      <protection hidden="1"/>
    </xf>
    <xf numFmtId="3" fontId="4" fillId="0" borderId="33" xfId="0" applyNumberFormat="1" applyFont="1" applyBorder="1" applyAlignment="1" applyProtection="1">
      <alignment horizontal="center" vertical="center"/>
      <protection hidden="1"/>
    </xf>
    <xf numFmtId="3" fontId="4" fillId="0" borderId="39" xfId="0" applyNumberFormat="1" applyFont="1" applyBorder="1" applyAlignment="1" applyProtection="1">
      <alignment horizontal="center" vertical="center"/>
      <protection hidden="1"/>
    </xf>
    <xf numFmtId="3" fontId="4" fillId="0" borderId="40" xfId="0" applyNumberFormat="1" applyFont="1" applyBorder="1" applyAlignment="1" applyProtection="1">
      <alignment horizontal="center" vertical="center"/>
      <protection hidden="1"/>
    </xf>
    <xf numFmtId="3" fontId="3" fillId="0" borderId="0" xfId="1" applyNumberFormat="1" applyFont="1" applyFill="1" applyBorder="1" applyAlignment="1" applyProtection="1">
      <alignment horizontal="center" vertical="center"/>
      <protection hidden="1"/>
    </xf>
    <xf numFmtId="3" fontId="4" fillId="0" borderId="3" xfId="0" applyNumberFormat="1" applyFont="1" applyBorder="1" applyAlignment="1" applyProtection="1">
      <alignment horizontal="center" vertical="center"/>
      <protection hidden="1"/>
    </xf>
    <xf numFmtId="3" fontId="4" fillId="0" borderId="4" xfId="1" applyNumberFormat="1" applyFont="1" applyFill="1" applyBorder="1" applyAlignment="1" applyProtection="1">
      <alignment horizontal="center" vertical="center"/>
      <protection hidden="1"/>
    </xf>
    <xf numFmtId="3" fontId="4" fillId="0" borderId="1" xfId="0" applyNumberFormat="1" applyFont="1" applyBorder="1" applyAlignment="1" applyProtection="1">
      <alignment horizontal="center" vertical="center"/>
      <protection hidden="1"/>
    </xf>
    <xf numFmtId="3" fontId="4" fillId="0" borderId="25" xfId="0" applyNumberFormat="1" applyFont="1" applyBorder="1" applyAlignment="1" applyProtection="1">
      <alignment horizontal="center" vertical="center"/>
      <protection hidden="1"/>
    </xf>
    <xf numFmtId="3" fontId="4" fillId="0" borderId="42" xfId="0" applyNumberFormat="1" applyFont="1" applyBorder="1" applyAlignment="1" applyProtection="1">
      <alignment horizontal="center" vertical="center"/>
      <protection hidden="1"/>
    </xf>
    <xf numFmtId="3" fontId="4" fillId="0" borderId="38" xfId="0" applyNumberFormat="1" applyFont="1" applyBorder="1" applyAlignment="1" applyProtection="1">
      <alignment horizontal="center" vertical="center"/>
      <protection hidden="1"/>
    </xf>
    <xf numFmtId="3" fontId="4" fillId="0" borderId="7" xfId="0" applyNumberFormat="1" applyFont="1" applyBorder="1" applyAlignment="1" applyProtection="1">
      <alignment horizontal="center" vertical="center"/>
      <protection hidden="1"/>
    </xf>
    <xf numFmtId="3" fontId="4" fillId="0" borderId="29" xfId="0" applyNumberFormat="1" applyFont="1" applyBorder="1" applyAlignment="1" applyProtection="1">
      <alignment horizontal="center" vertical="center"/>
      <protection hidden="1"/>
    </xf>
    <xf numFmtId="3" fontId="4" fillId="0" borderId="28" xfId="0" applyNumberFormat="1" applyFont="1" applyBorder="1" applyAlignment="1" applyProtection="1">
      <alignment horizontal="center" vertical="center"/>
      <protection hidden="1"/>
    </xf>
    <xf numFmtId="3" fontId="4" fillId="0" borderId="30" xfId="0" applyNumberFormat="1" applyFont="1" applyBorder="1" applyAlignment="1" applyProtection="1">
      <alignment horizontal="center" vertical="center"/>
      <protection hidden="1"/>
    </xf>
    <xf numFmtId="3" fontId="3" fillId="0" borderId="0" xfId="2" applyNumberFormat="1" applyFont="1" applyFill="1" applyBorder="1" applyAlignment="1" applyProtection="1">
      <alignment horizontal="center" vertical="center"/>
      <protection hidden="1"/>
    </xf>
    <xf numFmtId="166" fontId="4" fillId="0" borderId="46" xfId="0" applyNumberFormat="1" applyFont="1" applyBorder="1" applyAlignment="1" applyProtection="1">
      <alignment horizontal="center" vertical="center"/>
      <protection hidden="1"/>
    </xf>
    <xf numFmtId="166" fontId="4" fillId="0" borderId="43" xfId="0" applyNumberFormat="1" applyFont="1" applyBorder="1" applyAlignment="1" applyProtection="1">
      <alignment horizontal="center" vertical="center"/>
      <protection hidden="1"/>
    </xf>
    <xf numFmtId="3" fontId="4" fillId="0" borderId="4" xfId="0" applyNumberFormat="1" applyFont="1" applyBorder="1" applyAlignment="1" applyProtection="1">
      <alignment horizontal="center" vertical="center"/>
      <protection hidden="1"/>
    </xf>
    <xf numFmtId="3" fontId="3" fillId="0" borderId="41" xfId="0" applyNumberFormat="1" applyFont="1" applyBorder="1" applyAlignment="1" applyProtection="1">
      <alignment horizontal="center" vertical="center"/>
      <protection hidden="1"/>
    </xf>
    <xf numFmtId="3" fontId="3" fillId="12" borderId="27" xfId="0" applyNumberFormat="1" applyFont="1" applyFill="1" applyBorder="1" applyAlignment="1" applyProtection="1">
      <alignment horizontal="center" vertical="center"/>
      <protection hidden="1"/>
    </xf>
    <xf numFmtId="3" fontId="3" fillId="12" borderId="28" xfId="1" applyNumberFormat="1" applyFont="1" applyFill="1" applyBorder="1" applyAlignment="1" applyProtection="1">
      <alignment horizontal="center" vertical="center"/>
      <protection hidden="1"/>
    </xf>
    <xf numFmtId="170" fontId="3" fillId="12" borderId="28" xfId="1" applyNumberFormat="1" applyFont="1" applyFill="1" applyBorder="1" applyAlignment="1" applyProtection="1">
      <alignment horizontal="center" vertical="center"/>
      <protection hidden="1"/>
    </xf>
    <xf numFmtId="166" fontId="3" fillId="12" borderId="28" xfId="1" applyNumberFormat="1" applyFont="1" applyFill="1" applyBorder="1" applyAlignment="1" applyProtection="1">
      <alignment horizontal="center" vertical="center"/>
      <protection hidden="1"/>
    </xf>
    <xf numFmtId="9" fontId="4" fillId="12" borderId="44" xfId="2" applyFont="1" applyFill="1" applyBorder="1" applyAlignment="1" applyProtection="1">
      <alignment horizontal="center" vertical="center"/>
      <protection hidden="1"/>
    </xf>
    <xf numFmtId="3" fontId="3" fillId="10" borderId="16" xfId="0" applyNumberFormat="1" applyFont="1" applyFill="1" applyBorder="1" applyAlignment="1" applyProtection="1">
      <alignment horizontal="center" vertical="center"/>
      <protection hidden="1"/>
    </xf>
    <xf numFmtId="3" fontId="3" fillId="10" borderId="6" xfId="0" applyNumberFormat="1" applyFont="1" applyFill="1" applyBorder="1" applyAlignment="1" applyProtection="1">
      <alignment horizontal="center" vertical="center"/>
      <protection hidden="1"/>
    </xf>
    <xf numFmtId="3" fontId="3" fillId="5" borderId="6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36" xfId="0" applyFont="1" applyFill="1" applyBorder="1" applyAlignment="1" applyProtection="1">
      <alignment horizontal="center" vertical="center"/>
      <protection hidden="1"/>
    </xf>
    <xf numFmtId="3" fontId="3" fillId="10" borderId="22" xfId="0" applyNumberFormat="1" applyFont="1" applyFill="1" applyBorder="1" applyAlignment="1" applyProtection="1">
      <alignment horizontal="center" vertical="center"/>
      <protection hidden="1"/>
    </xf>
    <xf numFmtId="3" fontId="3" fillId="10" borderId="23" xfId="0" applyNumberFormat="1" applyFont="1" applyFill="1" applyBorder="1" applyAlignment="1" applyProtection="1">
      <alignment horizontal="center" vertical="center"/>
      <protection hidden="1"/>
    </xf>
    <xf numFmtId="3" fontId="3" fillId="5" borderId="23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23" xfId="0" applyFont="1" applyFill="1" applyBorder="1" applyAlignment="1" applyProtection="1">
      <alignment horizontal="center" vertical="center" wrapText="1"/>
      <protection hidden="1"/>
    </xf>
    <xf numFmtId="183" fontId="3" fillId="4" borderId="23" xfId="0" applyNumberFormat="1" applyFont="1" applyFill="1" applyBorder="1" applyAlignment="1" applyProtection="1">
      <alignment horizontal="center" vertical="center" wrapText="1"/>
      <protection hidden="1"/>
    </xf>
    <xf numFmtId="0" fontId="3" fillId="4" borderId="35" xfId="0" applyFont="1" applyFill="1" applyBorder="1" applyAlignment="1" applyProtection="1">
      <alignment horizontal="center" vertical="center"/>
      <protection hidden="1"/>
    </xf>
    <xf numFmtId="3" fontId="3" fillId="5" borderId="25" xfId="0" applyNumberFormat="1" applyFont="1" applyFill="1" applyBorder="1" applyAlignment="1" applyProtection="1">
      <alignment horizontal="center" vertical="center" wrapText="1"/>
      <protection hidden="1"/>
    </xf>
    <xf numFmtId="3" fontId="3" fillId="12" borderId="30" xfId="1" applyNumberFormat="1" applyFont="1" applyFill="1" applyBorder="1" applyAlignment="1" applyProtection="1">
      <alignment horizontal="center" vertical="center"/>
      <protection hidden="1"/>
    </xf>
    <xf numFmtId="3" fontId="3" fillId="5" borderId="18" xfId="0" applyNumberFormat="1" applyFont="1" applyFill="1" applyBorder="1" applyAlignment="1" applyProtection="1">
      <alignment horizontal="center" vertical="center" wrapText="1"/>
      <protection hidden="1"/>
    </xf>
    <xf numFmtId="3" fontId="3" fillId="5" borderId="24" xfId="0" applyNumberFormat="1" applyFont="1" applyFill="1" applyBorder="1" applyAlignment="1" applyProtection="1">
      <alignment horizontal="center" vertical="center"/>
      <protection hidden="1"/>
    </xf>
    <xf numFmtId="3" fontId="3" fillId="12" borderId="29" xfId="1" applyNumberFormat="1" applyFont="1" applyFill="1" applyBorder="1" applyAlignment="1" applyProtection="1">
      <alignment horizontal="center" vertical="center"/>
      <protection hidden="1"/>
    </xf>
    <xf numFmtId="3" fontId="3" fillId="5" borderId="17" xfId="0" applyNumberFormat="1" applyFont="1" applyFill="1" applyBorder="1" applyAlignment="1" applyProtection="1">
      <alignment horizontal="center" vertical="center"/>
      <protection hidden="1"/>
    </xf>
    <xf numFmtId="3" fontId="3" fillId="4" borderId="66" xfId="0" applyNumberFormat="1" applyFont="1" applyFill="1" applyBorder="1" applyAlignment="1" applyProtection="1">
      <alignment horizontal="center" vertical="center"/>
      <protection hidden="1"/>
    </xf>
    <xf numFmtId="3" fontId="3" fillId="10" borderId="35" xfId="0" applyNumberFormat="1" applyFont="1" applyFill="1" applyBorder="1" applyAlignment="1" applyProtection="1">
      <alignment horizontal="center" vertical="center"/>
      <protection hidden="1"/>
    </xf>
    <xf numFmtId="3" fontId="4" fillId="0" borderId="43" xfId="1" applyNumberFormat="1" applyFont="1" applyFill="1" applyBorder="1" applyAlignment="1" applyProtection="1">
      <alignment horizontal="center" vertical="center"/>
      <protection hidden="1"/>
    </xf>
    <xf numFmtId="3" fontId="3" fillId="12" borderId="44" xfId="1" applyNumberFormat="1" applyFont="1" applyFill="1" applyBorder="1" applyAlignment="1" applyProtection="1">
      <alignment horizontal="center" vertical="center"/>
      <protection hidden="1"/>
    </xf>
    <xf numFmtId="3" fontId="3" fillId="10" borderId="36" xfId="0" applyNumberFormat="1" applyFont="1" applyFill="1" applyBorder="1" applyAlignment="1" applyProtection="1">
      <alignment horizontal="center" vertical="center"/>
      <protection hidden="1"/>
    </xf>
    <xf numFmtId="0" fontId="3" fillId="4" borderId="22" xfId="0" applyFont="1" applyFill="1" applyBorder="1" applyAlignment="1" applyProtection="1">
      <alignment horizontal="center" vertical="center" wrapText="1"/>
      <protection hidden="1"/>
    </xf>
    <xf numFmtId="170" fontId="3" fillId="12" borderId="27" xfId="1" applyNumberFormat="1" applyFont="1" applyFill="1" applyBorder="1" applyAlignment="1" applyProtection="1">
      <alignment horizontal="center" vertical="center"/>
      <protection hidden="1"/>
    </xf>
    <xf numFmtId="0" fontId="3" fillId="10" borderId="22" xfId="0" applyFont="1" applyFill="1" applyBorder="1" applyAlignment="1" applyProtection="1">
      <alignment horizontal="center" vertical="center"/>
      <protection hidden="1"/>
    </xf>
    <xf numFmtId="3" fontId="3" fillId="5" borderId="35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41" xfId="0" applyFont="1" applyBorder="1" applyAlignment="1" applyProtection="1">
      <alignment horizontal="center" vertical="center"/>
      <protection hidden="1"/>
    </xf>
    <xf numFmtId="0" fontId="3" fillId="4" borderId="35" xfId="0" applyFont="1" applyFill="1" applyBorder="1" applyAlignment="1" applyProtection="1">
      <alignment horizontal="center" vertical="center" wrapText="1"/>
      <protection hidden="1"/>
    </xf>
    <xf numFmtId="0" fontId="3" fillId="0" borderId="45" xfId="0" applyFont="1" applyBorder="1" applyAlignment="1" applyProtection="1">
      <alignment horizontal="center" vertical="center"/>
      <protection hidden="1"/>
    </xf>
    <xf numFmtId="0" fontId="3" fillId="10" borderId="16" xfId="0" applyFont="1" applyFill="1" applyBorder="1" applyAlignment="1" applyProtection="1">
      <alignment horizontal="center" vertical="center"/>
      <protection hidden="1"/>
    </xf>
    <xf numFmtId="3" fontId="3" fillId="5" borderId="36" xfId="0" applyNumberFormat="1" applyFont="1" applyFill="1" applyBorder="1" applyAlignment="1" applyProtection="1">
      <alignment horizontal="center" vertical="center" wrapText="1"/>
      <protection hidden="1"/>
    </xf>
    <xf numFmtId="166" fontId="4" fillId="35" borderId="0" xfId="1" applyNumberFormat="1" applyFont="1" applyFill="1" applyAlignment="1" applyProtection="1">
      <alignment horizontal="center" vertical="center"/>
      <protection locked="0"/>
    </xf>
    <xf numFmtId="173" fontId="4" fillId="35" borderId="0" xfId="0" applyNumberFormat="1" applyFont="1" applyFill="1" applyAlignment="1" applyProtection="1">
      <alignment horizontal="center" vertical="center"/>
      <protection locked="0"/>
    </xf>
    <xf numFmtId="0" fontId="7" fillId="35" borderId="0" xfId="0" applyFont="1" applyFill="1" applyAlignment="1" applyProtection="1">
      <alignment horizontal="center" vertical="center"/>
      <protection locked="0"/>
    </xf>
    <xf numFmtId="170" fontId="4" fillId="35" borderId="0" xfId="0" applyNumberFormat="1" applyFont="1" applyFill="1" applyAlignment="1">
      <alignment horizontal="center" vertical="center"/>
    </xf>
    <xf numFmtId="0" fontId="15" fillId="35" borderId="0" xfId="0" applyFont="1" applyFill="1" applyAlignment="1">
      <alignment horizontal="center"/>
    </xf>
    <xf numFmtId="166" fontId="4" fillId="35" borderId="0" xfId="0" applyNumberFormat="1" applyFont="1" applyFill="1" applyAlignment="1" applyProtection="1">
      <alignment horizontal="center" vertical="center" wrapText="1"/>
      <protection locked="0"/>
    </xf>
    <xf numFmtId="0" fontId="3" fillId="35" borderId="0" xfId="0" applyFont="1" applyFill="1" applyAlignment="1" applyProtection="1">
      <alignment horizontal="center" vertical="center"/>
      <protection locked="0"/>
    </xf>
    <xf numFmtId="3" fontId="4" fillId="35" borderId="0" xfId="1" applyNumberFormat="1" applyFont="1" applyFill="1" applyBorder="1" applyAlignment="1" applyProtection="1">
      <alignment horizontal="center" vertical="center"/>
      <protection locked="0"/>
    </xf>
    <xf numFmtId="0" fontId="16" fillId="35" borderId="0" xfId="0" applyFont="1" applyFill="1" applyAlignment="1">
      <alignment horizontal="center"/>
    </xf>
    <xf numFmtId="0" fontId="6" fillId="35" borderId="0" xfId="0" applyFont="1" applyFill="1" applyAlignment="1" applyProtection="1">
      <alignment horizontal="center" vertical="center" wrapText="1"/>
      <protection locked="0"/>
    </xf>
    <xf numFmtId="4" fontId="4" fillId="35" borderId="0" xfId="0" applyNumberFormat="1" applyFont="1" applyFill="1" applyAlignment="1" applyProtection="1">
      <alignment horizontal="center" vertical="center"/>
      <protection hidden="1"/>
    </xf>
    <xf numFmtId="4" fontId="4" fillId="35" borderId="0" xfId="0" applyNumberFormat="1" applyFont="1" applyFill="1" applyAlignment="1">
      <alignment horizontal="center" vertical="center"/>
    </xf>
    <xf numFmtId="0" fontId="4" fillId="35" borderId="0" xfId="0" applyFont="1" applyFill="1" applyAlignment="1">
      <alignment horizontal="center" vertical="center" wrapText="1"/>
    </xf>
    <xf numFmtId="0" fontId="6" fillId="35" borderId="0" xfId="1" applyNumberFormat="1" applyFont="1" applyFill="1" applyBorder="1" applyAlignment="1" applyProtection="1">
      <alignment horizontal="center" vertical="center"/>
      <protection locked="0"/>
    </xf>
    <xf numFmtId="166" fontId="6" fillId="35" borderId="0" xfId="0" applyNumberFormat="1" applyFont="1" applyFill="1" applyAlignment="1" applyProtection="1">
      <alignment horizontal="center" vertical="center"/>
      <protection locked="0"/>
    </xf>
    <xf numFmtId="183" fontId="6" fillId="35" borderId="0" xfId="0" applyNumberFormat="1" applyFont="1" applyFill="1" applyAlignment="1" applyProtection="1">
      <alignment horizontal="center" vertical="center"/>
      <protection locked="0"/>
    </xf>
    <xf numFmtId="174" fontId="6" fillId="35" borderId="0" xfId="0" applyNumberFormat="1" applyFont="1" applyFill="1" applyAlignment="1" applyProtection="1">
      <alignment horizontal="center" vertical="center"/>
      <protection locked="0"/>
    </xf>
    <xf numFmtId="173" fontId="6" fillId="35" borderId="0" xfId="0" applyNumberFormat="1" applyFont="1" applyFill="1" applyAlignment="1" applyProtection="1">
      <alignment horizontal="center" vertical="center" wrapText="1"/>
      <protection locked="0"/>
    </xf>
    <xf numFmtId="173" fontId="6" fillId="35" borderId="8" xfId="0" applyNumberFormat="1" applyFont="1" applyFill="1" applyBorder="1" applyAlignment="1" applyProtection="1">
      <alignment horizontal="center" vertical="center" wrapText="1"/>
      <protection locked="0"/>
    </xf>
    <xf numFmtId="4" fontId="6" fillId="35" borderId="0" xfId="0" applyNumberFormat="1" applyFont="1" applyFill="1" applyAlignment="1" applyProtection="1">
      <alignment horizontal="center" vertical="center"/>
      <protection hidden="1"/>
    </xf>
    <xf numFmtId="0" fontId="6" fillId="35" borderId="0" xfId="0" applyFont="1" applyFill="1" applyAlignment="1" applyProtection="1">
      <alignment vertical="center"/>
      <protection locked="0"/>
    </xf>
    <xf numFmtId="167" fontId="0" fillId="8" borderId="4" xfId="0" applyNumberFormat="1" applyFill="1" applyBorder="1" applyAlignment="1" applyProtection="1">
      <alignment horizontal="center"/>
      <protection hidden="1"/>
    </xf>
    <xf numFmtId="166" fontId="0" fillId="8" borderId="4" xfId="1" applyNumberFormat="1" applyFont="1" applyFill="1" applyBorder="1" applyAlignment="1" applyProtection="1">
      <alignment horizontal="center"/>
      <protection hidden="1"/>
    </xf>
    <xf numFmtId="3" fontId="0" fillId="8" borderId="4" xfId="0" applyNumberFormat="1" applyFill="1" applyBorder="1" applyAlignment="1" applyProtection="1">
      <alignment horizontal="center"/>
      <protection hidden="1"/>
    </xf>
    <xf numFmtId="0" fontId="0" fillId="8" borderId="0" xfId="0" applyFill="1" applyProtection="1">
      <protection hidden="1"/>
    </xf>
    <xf numFmtId="0" fontId="4" fillId="35" borderId="8" xfId="0" applyFont="1" applyFill="1" applyBorder="1" applyAlignment="1" applyProtection="1">
      <alignment horizontal="center" vertical="center"/>
      <protection locked="0"/>
    </xf>
    <xf numFmtId="174" fontId="4" fillId="35" borderId="8" xfId="0" applyNumberFormat="1" applyFont="1" applyFill="1" applyBorder="1" applyAlignment="1">
      <alignment horizontal="center" vertical="center"/>
    </xf>
    <xf numFmtId="4" fontId="4" fillId="0" borderId="4" xfId="0" applyNumberFormat="1" applyFont="1" applyBorder="1" applyAlignment="1" applyProtection="1">
      <alignment horizontal="center" vertical="center"/>
      <protection hidden="1"/>
    </xf>
    <xf numFmtId="4" fontId="3" fillId="12" borderId="28" xfId="1" applyNumberFormat="1" applyFont="1" applyFill="1" applyBorder="1" applyAlignment="1" applyProtection="1">
      <alignment horizontal="center" vertical="center"/>
      <protection hidden="1"/>
    </xf>
    <xf numFmtId="4" fontId="3" fillId="4" borderId="6" xfId="0" applyNumberFormat="1" applyFont="1" applyFill="1" applyBorder="1" applyAlignment="1" applyProtection="1">
      <alignment horizontal="center" vertical="center" wrapText="1"/>
      <protection hidden="1"/>
    </xf>
    <xf numFmtId="10" fontId="4" fillId="0" borderId="4" xfId="2" applyNumberFormat="1" applyFont="1" applyFill="1" applyBorder="1" applyAlignment="1" applyProtection="1">
      <alignment horizontal="center" vertical="center"/>
      <protection hidden="1"/>
    </xf>
    <xf numFmtId="10" fontId="3" fillId="12" borderId="28" xfId="2" applyNumberFormat="1" applyFont="1" applyFill="1" applyBorder="1" applyAlignment="1" applyProtection="1">
      <alignment horizontal="center" vertical="center"/>
      <protection hidden="1"/>
    </xf>
    <xf numFmtId="10" fontId="3" fillId="4" borderId="23" xfId="2" applyNumberFormat="1" applyFont="1" applyFill="1" applyBorder="1" applyAlignment="1" applyProtection="1">
      <alignment horizontal="center" vertical="center" wrapText="1"/>
      <protection hidden="1"/>
    </xf>
    <xf numFmtId="4" fontId="4" fillId="0" borderId="43" xfId="1" applyNumberFormat="1" applyFont="1" applyFill="1" applyBorder="1" applyAlignment="1" applyProtection="1">
      <alignment horizontal="center" vertical="center"/>
      <protection hidden="1"/>
    </xf>
    <xf numFmtId="4" fontId="4" fillId="0" borderId="46" xfId="1" applyNumberFormat="1" applyFont="1" applyFill="1" applyBorder="1" applyAlignment="1" applyProtection="1">
      <alignment horizontal="center" vertical="center"/>
      <protection hidden="1"/>
    </xf>
    <xf numFmtId="4" fontId="3" fillId="12" borderId="13" xfId="0" applyNumberFormat="1" applyFont="1" applyFill="1" applyBorder="1" applyAlignment="1" applyProtection="1">
      <alignment horizontal="center" vertical="center"/>
      <protection hidden="1"/>
    </xf>
    <xf numFmtId="4" fontId="3" fillId="4" borderId="36" xfId="0" applyNumberFormat="1" applyFont="1" applyFill="1" applyBorder="1" applyAlignment="1" applyProtection="1">
      <alignment horizontal="center" vertical="center" wrapText="1"/>
      <protection hidden="1"/>
    </xf>
    <xf numFmtId="4" fontId="4" fillId="0" borderId="4" xfId="1" applyNumberFormat="1" applyFont="1" applyFill="1" applyBorder="1" applyAlignment="1" applyProtection="1">
      <alignment horizontal="center" vertical="center"/>
      <protection hidden="1"/>
    </xf>
    <xf numFmtId="4" fontId="4" fillId="0" borderId="5" xfId="1" applyNumberFormat="1" applyFont="1" applyFill="1" applyBorder="1" applyAlignment="1" applyProtection="1">
      <alignment horizontal="center" vertical="center"/>
      <protection hidden="1"/>
    </xf>
    <xf numFmtId="4" fontId="3" fillId="12" borderId="14" xfId="0" applyNumberFormat="1" applyFont="1" applyFill="1" applyBorder="1" applyAlignment="1" applyProtection="1">
      <alignment horizontal="center" vertical="center"/>
      <protection hidden="1"/>
    </xf>
    <xf numFmtId="4" fontId="3" fillId="5" borderId="6" xfId="0" applyNumberFormat="1" applyFont="1" applyFill="1" applyBorder="1" applyAlignment="1" applyProtection="1">
      <alignment horizontal="center" vertical="center" wrapText="1"/>
      <protection hidden="1"/>
    </xf>
    <xf numFmtId="0" fontId="6" fillId="0" borderId="0" xfId="1" applyNumberFormat="1" applyFont="1" applyFill="1" applyBorder="1" applyAlignment="1" applyProtection="1">
      <alignment horizontal="center" vertical="center"/>
      <protection locked="0"/>
    </xf>
    <xf numFmtId="166" fontId="6" fillId="0" borderId="0" xfId="0" applyNumberFormat="1" applyFont="1" applyAlignment="1" applyProtection="1">
      <alignment horizontal="center" vertical="center"/>
      <protection locked="0"/>
    </xf>
    <xf numFmtId="183" fontId="6" fillId="0" borderId="0" xfId="0" applyNumberFormat="1" applyFont="1" applyAlignment="1" applyProtection="1">
      <alignment horizontal="center" vertical="center"/>
      <protection locked="0"/>
    </xf>
    <xf numFmtId="174" fontId="6" fillId="0" borderId="0" xfId="0" applyNumberFormat="1" applyFont="1" applyAlignment="1" applyProtection="1">
      <alignment horizontal="center" vertical="center"/>
      <protection locked="0"/>
    </xf>
    <xf numFmtId="173" fontId="6" fillId="0" borderId="0" xfId="0" applyNumberFormat="1" applyFont="1" applyAlignment="1" applyProtection="1">
      <alignment horizontal="center" vertical="center" wrapText="1"/>
      <protection locked="0"/>
    </xf>
    <xf numFmtId="173" fontId="6" fillId="0" borderId="8" xfId="0" applyNumberFormat="1" applyFont="1" applyBorder="1" applyAlignment="1" applyProtection="1">
      <alignment horizontal="center" vertical="center" wrapText="1"/>
      <protection locked="0"/>
    </xf>
    <xf numFmtId="4" fontId="6" fillId="0" borderId="0" xfId="0" applyNumberFormat="1" applyFont="1" applyAlignment="1" applyProtection="1">
      <alignment horizontal="center" vertical="center"/>
      <protection hidden="1"/>
    </xf>
    <xf numFmtId="166" fontId="3" fillId="35" borderId="0" xfId="0" applyNumberFormat="1" applyFont="1" applyFill="1" applyAlignment="1" applyProtection="1">
      <alignment horizontal="center" vertical="center"/>
      <protection locked="0"/>
    </xf>
    <xf numFmtId="4" fontId="4" fillId="35" borderId="0" xfId="0" applyNumberFormat="1" applyFont="1" applyFill="1" applyAlignment="1" applyProtection="1">
      <alignment horizontal="center" vertical="center" wrapText="1"/>
      <protection locked="0"/>
    </xf>
    <xf numFmtId="14" fontId="4" fillId="35" borderId="0" xfId="0" applyNumberFormat="1" applyFont="1" applyFill="1" applyAlignment="1" applyProtection="1">
      <alignment horizontal="center" vertical="center" wrapText="1"/>
      <protection locked="0"/>
    </xf>
    <xf numFmtId="0" fontId="15" fillId="35" borderId="0" xfId="0" applyFont="1" applyFill="1" applyAlignment="1" applyProtection="1">
      <alignment horizontal="center"/>
      <protection locked="0"/>
    </xf>
    <xf numFmtId="16" fontId="4" fillId="0" borderId="0" xfId="1" applyNumberFormat="1" applyFont="1" applyFill="1" applyBorder="1" applyAlignment="1" applyProtection="1">
      <alignment horizontal="center" vertical="center"/>
      <protection locked="0"/>
    </xf>
    <xf numFmtId="14" fontId="4" fillId="35" borderId="0" xfId="0" applyNumberFormat="1" applyFont="1" applyFill="1" applyAlignment="1" applyProtection="1">
      <alignment horizontal="center" vertical="center"/>
      <protection locked="0"/>
    </xf>
    <xf numFmtId="3" fontId="3" fillId="35" borderId="0" xfId="0" applyNumberFormat="1" applyFont="1" applyFill="1" applyAlignment="1" applyProtection="1">
      <alignment horizontal="center" vertical="center"/>
      <protection locked="0"/>
    </xf>
    <xf numFmtId="183" fontId="3" fillId="35" borderId="0" xfId="0" applyNumberFormat="1" applyFont="1" applyFill="1" applyAlignment="1" applyProtection="1">
      <alignment horizontal="center" vertical="center"/>
      <protection locked="0"/>
    </xf>
    <xf numFmtId="0" fontId="29" fillId="20" borderId="1" xfId="0" applyFont="1" applyFill="1" applyBorder="1" applyAlignment="1" applyProtection="1">
      <alignment horizontal="left"/>
      <protection locked="0"/>
    </xf>
    <xf numFmtId="0" fontId="29" fillId="20" borderId="3" xfId="0" applyFont="1" applyFill="1" applyBorder="1" applyAlignment="1" applyProtection="1">
      <alignment horizontal="left"/>
      <protection locked="0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9" fillId="20" borderId="4" xfId="0" applyFont="1" applyFill="1" applyBorder="1" applyAlignment="1" applyProtection="1">
      <alignment horizontal="left"/>
      <protection locked="0"/>
    </xf>
    <xf numFmtId="0" fontId="29" fillId="20" borderId="1" xfId="0" applyFont="1" applyFill="1" applyBorder="1" applyAlignment="1" applyProtection="1">
      <alignment horizontal="left" wrapText="1"/>
      <protection locked="0"/>
    </xf>
    <xf numFmtId="0" fontId="29" fillId="20" borderId="3" xfId="0" applyFont="1" applyFill="1" applyBorder="1" applyAlignment="1" applyProtection="1">
      <alignment horizontal="left" wrapText="1"/>
      <protection locked="0"/>
    </xf>
    <xf numFmtId="0" fontId="2" fillId="2" borderId="1" xfId="0" applyFont="1" applyFill="1" applyBorder="1" applyAlignment="1" applyProtection="1">
      <alignment horizontal="left" wrapText="1"/>
      <protection locked="0"/>
    </xf>
    <xf numFmtId="0" fontId="2" fillId="2" borderId="3" xfId="0" applyFont="1" applyFill="1" applyBorder="1" applyAlignment="1" applyProtection="1">
      <alignment horizontal="left" wrapText="1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/>
      <protection hidden="1"/>
    </xf>
    <xf numFmtId="0" fontId="2" fillId="3" borderId="3" xfId="0" applyFont="1" applyFill="1" applyBorder="1" applyAlignment="1" applyProtection="1">
      <alignment horizontal="center"/>
      <protection hidden="1"/>
    </xf>
    <xf numFmtId="167" fontId="3" fillId="2" borderId="7" xfId="0" applyNumberFormat="1" applyFont="1" applyFill="1" applyBorder="1" applyAlignment="1" applyProtection="1">
      <alignment horizontal="center" vertical="center"/>
      <protection hidden="1"/>
    </xf>
    <xf numFmtId="167" fontId="3" fillId="2" borderId="0" xfId="0" applyNumberFormat="1" applyFont="1" applyFill="1" applyAlignment="1" applyProtection="1">
      <alignment horizontal="center" vertical="center"/>
      <protection hidden="1"/>
    </xf>
    <xf numFmtId="0" fontId="3" fillId="3" borderId="1" xfId="0" applyFont="1" applyFill="1" applyBorder="1" applyAlignment="1" applyProtection="1">
      <alignment horizontal="center"/>
      <protection hidden="1"/>
    </xf>
    <xf numFmtId="0" fontId="3" fillId="3" borderId="3" xfId="0" applyFont="1" applyFill="1" applyBorder="1" applyAlignment="1" applyProtection="1">
      <alignment horizontal="center"/>
      <protection hidden="1"/>
    </xf>
    <xf numFmtId="0" fontId="3" fillId="2" borderId="9" xfId="0" applyFont="1" applyFill="1" applyBorder="1" applyAlignment="1" applyProtection="1">
      <alignment horizontal="left"/>
      <protection hidden="1"/>
    </xf>
    <xf numFmtId="0" fontId="3" fillId="2" borderId="10" xfId="0" applyFont="1" applyFill="1" applyBorder="1" applyAlignment="1" applyProtection="1">
      <alignment horizontal="left"/>
      <protection hidden="1"/>
    </xf>
    <xf numFmtId="0" fontId="3" fillId="0" borderId="0" xfId="0" applyFont="1" applyAlignment="1" applyProtection="1">
      <alignment horizontal="center"/>
      <protection hidden="1"/>
    </xf>
    <xf numFmtId="0" fontId="3" fillId="2" borderId="57" xfId="0" applyFont="1" applyFill="1" applyBorder="1" applyAlignment="1" applyProtection="1">
      <alignment horizontal="left"/>
      <protection hidden="1"/>
    </xf>
    <xf numFmtId="0" fontId="3" fillId="2" borderId="58" xfId="0" applyFont="1" applyFill="1" applyBorder="1" applyAlignment="1" applyProtection="1">
      <alignment horizontal="left"/>
      <protection hidden="1"/>
    </xf>
    <xf numFmtId="0" fontId="3" fillId="0" borderId="31" xfId="0" applyFont="1" applyBorder="1" applyAlignment="1" applyProtection="1">
      <alignment horizontal="center"/>
      <protection hidden="1"/>
    </xf>
    <xf numFmtId="0" fontId="3" fillId="0" borderId="34" xfId="0" applyFont="1" applyBorder="1" applyAlignment="1" applyProtection="1">
      <alignment horizontal="center"/>
      <protection hidden="1"/>
    </xf>
    <xf numFmtId="167" fontId="3" fillId="2" borderId="7" xfId="0" applyNumberFormat="1" applyFont="1" applyFill="1" applyBorder="1" applyAlignment="1" applyProtection="1">
      <alignment horizontal="center" vertical="center"/>
      <protection locked="0"/>
    </xf>
    <xf numFmtId="167" fontId="3" fillId="2" borderId="0" xfId="0" applyNumberFormat="1" applyFont="1" applyFill="1" applyAlignment="1" applyProtection="1">
      <alignment horizontal="center" vertical="center"/>
      <protection locked="0"/>
    </xf>
    <xf numFmtId="166" fontId="3" fillId="0" borderId="0" xfId="0" applyNumberFormat="1" applyFont="1" applyAlignment="1" applyProtection="1">
      <alignment horizontal="center"/>
      <protection hidden="1"/>
    </xf>
    <xf numFmtId="0" fontId="3" fillId="21" borderId="4" xfId="0" applyFont="1" applyFill="1" applyBorder="1" applyAlignment="1" applyProtection="1">
      <alignment horizontal="center"/>
      <protection hidden="1"/>
    </xf>
    <xf numFmtId="0" fontId="3" fillId="21" borderId="9" xfId="0" applyFont="1" applyFill="1" applyBorder="1" applyAlignment="1" applyProtection="1">
      <alignment horizontal="center"/>
      <protection hidden="1"/>
    </xf>
    <xf numFmtId="0" fontId="3" fillId="21" borderId="10" xfId="0" applyFont="1" applyFill="1" applyBorder="1" applyAlignment="1" applyProtection="1">
      <alignment horizontal="center"/>
      <protection hidden="1"/>
    </xf>
    <xf numFmtId="0" fontId="3" fillId="21" borderId="58" xfId="0" applyFont="1" applyFill="1" applyBorder="1" applyAlignment="1" applyProtection="1">
      <alignment horizontal="center"/>
      <protection hidden="1"/>
    </xf>
    <xf numFmtId="0" fontId="3" fillId="21" borderId="59" xfId="0" applyFont="1" applyFill="1" applyBorder="1" applyAlignment="1" applyProtection="1">
      <alignment horizontal="center"/>
      <protection hidden="1"/>
    </xf>
    <xf numFmtId="167" fontId="3" fillId="0" borderId="7" xfId="0" applyNumberFormat="1" applyFont="1" applyBorder="1" applyAlignment="1" applyProtection="1">
      <alignment horizontal="center" vertical="center"/>
      <protection locked="0" hidden="1"/>
    </xf>
    <xf numFmtId="167" fontId="3" fillId="0" borderId="0" xfId="0" applyNumberFormat="1" applyFont="1" applyAlignment="1" applyProtection="1">
      <alignment horizontal="center" vertical="center"/>
      <protection locked="0" hidden="1"/>
    </xf>
    <xf numFmtId="0" fontId="3" fillId="3" borderId="1" xfId="0" applyFont="1" applyFill="1" applyBorder="1" applyAlignment="1" applyProtection="1">
      <alignment horizontal="left"/>
      <protection hidden="1"/>
    </xf>
    <xf numFmtId="0" fontId="3" fillId="3" borderId="3" xfId="0" applyFont="1" applyFill="1" applyBorder="1" applyAlignment="1" applyProtection="1">
      <alignment horizontal="left"/>
      <protection hidden="1"/>
    </xf>
    <xf numFmtId="0" fontId="4" fillId="0" borderId="0" xfId="0" applyFont="1" applyAlignment="1" applyProtection="1">
      <alignment horizontal="center"/>
      <protection locked="0"/>
    </xf>
    <xf numFmtId="0" fontId="3" fillId="0" borderId="19" xfId="0" applyFont="1" applyBorder="1" applyAlignment="1" applyProtection="1">
      <alignment horizontal="center"/>
      <protection hidden="1"/>
    </xf>
    <xf numFmtId="0" fontId="3" fillId="13" borderId="9" xfId="0" applyFont="1" applyFill="1" applyBorder="1" applyAlignment="1" applyProtection="1">
      <alignment horizontal="center" vertical="center"/>
      <protection hidden="1"/>
    </xf>
    <xf numFmtId="0" fontId="3" fillId="13" borderId="10" xfId="0" applyFont="1" applyFill="1" applyBorder="1" applyAlignment="1" applyProtection="1">
      <alignment horizontal="center" vertical="center"/>
      <protection hidden="1"/>
    </xf>
    <xf numFmtId="0" fontId="3" fillId="13" borderId="11" xfId="0" applyFont="1" applyFill="1" applyBorder="1" applyAlignment="1" applyProtection="1">
      <alignment horizontal="center" vertical="center"/>
      <protection hidden="1"/>
    </xf>
    <xf numFmtId="0" fontId="2" fillId="13" borderId="9" xfId="0" applyFont="1" applyFill="1" applyBorder="1" applyAlignment="1" applyProtection="1">
      <alignment horizontal="center" vertical="center"/>
      <protection hidden="1"/>
    </xf>
    <xf numFmtId="0" fontId="2" fillId="13" borderId="10" xfId="0" applyFont="1" applyFill="1" applyBorder="1" applyAlignment="1" applyProtection="1">
      <alignment horizontal="center" vertical="center"/>
      <protection hidden="1"/>
    </xf>
    <xf numFmtId="0" fontId="2" fillId="13" borderId="11" xfId="0" applyFont="1" applyFill="1" applyBorder="1" applyAlignment="1" applyProtection="1">
      <alignment horizontal="center" vertical="center"/>
      <protection hidden="1"/>
    </xf>
    <xf numFmtId="0" fontId="2" fillId="17" borderId="9" xfId="0" applyFont="1" applyFill="1" applyBorder="1" applyAlignment="1" applyProtection="1">
      <alignment horizontal="center"/>
      <protection hidden="1"/>
    </xf>
    <xf numFmtId="0" fontId="2" fillId="17" borderId="10" xfId="0" applyFont="1" applyFill="1" applyBorder="1" applyAlignment="1" applyProtection="1">
      <alignment horizontal="center"/>
      <protection hidden="1"/>
    </xf>
    <xf numFmtId="0" fontId="2" fillId="17" borderId="58" xfId="0" applyFont="1" applyFill="1" applyBorder="1" applyAlignment="1" applyProtection="1">
      <alignment horizontal="center"/>
      <protection hidden="1"/>
    </xf>
    <xf numFmtId="0" fontId="2" fillId="17" borderId="59" xfId="0" applyFont="1" applyFill="1" applyBorder="1" applyAlignment="1" applyProtection="1">
      <alignment horizontal="center"/>
      <protection hidden="1"/>
    </xf>
    <xf numFmtId="0" fontId="2" fillId="17" borderId="9" xfId="0" applyFont="1" applyFill="1" applyBorder="1" applyAlignment="1" applyProtection="1">
      <alignment horizontal="center" vertical="center"/>
      <protection hidden="1"/>
    </xf>
    <xf numFmtId="0" fontId="2" fillId="17" borderId="10" xfId="0" applyFont="1" applyFill="1" applyBorder="1" applyAlignment="1" applyProtection="1">
      <alignment horizontal="center" vertical="center"/>
      <protection hidden="1"/>
    </xf>
    <xf numFmtId="0" fontId="2" fillId="17" borderId="58" xfId="0" applyFont="1" applyFill="1" applyBorder="1" applyAlignment="1" applyProtection="1">
      <alignment horizontal="center" vertical="center"/>
      <protection hidden="1"/>
    </xf>
    <xf numFmtId="0" fontId="2" fillId="17" borderId="59" xfId="0" applyFont="1" applyFill="1" applyBorder="1" applyAlignment="1" applyProtection="1">
      <alignment horizontal="center" vertical="center"/>
      <protection hidden="1"/>
    </xf>
    <xf numFmtId="0" fontId="3" fillId="2" borderId="9" xfId="0" applyFont="1" applyFill="1" applyBorder="1" applyAlignment="1" applyProtection="1">
      <alignment horizontal="center" vertical="center"/>
      <protection hidden="1"/>
    </xf>
    <xf numFmtId="0" fontId="3" fillId="2" borderId="10" xfId="0" applyFont="1" applyFill="1" applyBorder="1" applyAlignment="1" applyProtection="1">
      <alignment horizontal="center" vertical="center"/>
      <protection hidden="1"/>
    </xf>
    <xf numFmtId="0" fontId="3" fillId="2" borderId="57" xfId="0" applyFont="1" applyFill="1" applyBorder="1" applyAlignment="1" applyProtection="1">
      <alignment horizontal="left" vertical="center"/>
      <protection hidden="1"/>
    </xf>
    <xf numFmtId="0" fontId="3" fillId="2" borderId="58" xfId="0" applyFont="1" applyFill="1" applyBorder="1" applyAlignment="1" applyProtection="1">
      <alignment horizontal="left" vertical="center"/>
      <protection hidden="1"/>
    </xf>
    <xf numFmtId="167" fontId="24" fillId="21" borderId="64" xfId="0" applyNumberFormat="1" applyFont="1" applyFill="1" applyBorder="1" applyAlignment="1" applyProtection="1">
      <alignment horizontal="center" vertical="center"/>
      <protection hidden="1"/>
    </xf>
    <xf numFmtId="167" fontId="24" fillId="21" borderId="62" xfId="0" applyNumberFormat="1" applyFont="1" applyFill="1" applyBorder="1" applyAlignment="1" applyProtection="1">
      <alignment horizontal="center" vertical="center"/>
      <protection hidden="1"/>
    </xf>
    <xf numFmtId="167" fontId="24" fillId="21" borderId="66" xfId="0" applyNumberFormat="1" applyFont="1" applyFill="1" applyBorder="1" applyAlignment="1" applyProtection="1">
      <alignment horizontal="center" vertical="center"/>
      <protection hidden="1"/>
    </xf>
    <xf numFmtId="0" fontId="25" fillId="13" borderId="22" xfId="0" applyFont="1" applyFill="1" applyBorder="1" applyAlignment="1" applyProtection="1">
      <alignment horizontal="center" vertical="center"/>
      <protection hidden="1"/>
    </xf>
    <xf numFmtId="0" fontId="25" fillId="13" borderId="23" xfId="0" applyFont="1" applyFill="1" applyBorder="1" applyAlignment="1" applyProtection="1">
      <alignment horizontal="center" vertical="center"/>
      <protection hidden="1"/>
    </xf>
    <xf numFmtId="0" fontId="25" fillId="13" borderId="35" xfId="0" applyFont="1" applyFill="1" applyBorder="1" applyAlignment="1" applyProtection="1">
      <alignment horizontal="center" vertical="center"/>
      <protection hidden="1"/>
    </xf>
    <xf numFmtId="0" fontId="25" fillId="13" borderId="21" xfId="0" applyFont="1" applyFill="1" applyBorder="1" applyAlignment="1" applyProtection="1">
      <alignment horizontal="center" vertical="center"/>
      <protection hidden="1"/>
    </xf>
    <xf numFmtId="0" fontId="25" fillId="13" borderId="68" xfId="0" applyFont="1" applyFill="1" applyBorder="1" applyAlignment="1" applyProtection="1">
      <alignment horizontal="center" vertical="center"/>
      <protection hidden="1"/>
    </xf>
    <xf numFmtId="178" fontId="2" fillId="17" borderId="6" xfId="0" applyNumberFormat="1" applyFont="1" applyFill="1" applyBorder="1" applyAlignment="1" applyProtection="1">
      <alignment horizontal="center" vertical="center"/>
      <protection hidden="1"/>
    </xf>
    <xf numFmtId="3" fontId="25" fillId="13" borderId="23" xfId="0" applyNumberFormat="1" applyFont="1" applyFill="1" applyBorder="1" applyAlignment="1" applyProtection="1">
      <alignment horizontal="center" vertical="center"/>
      <protection hidden="1"/>
    </xf>
    <xf numFmtId="3" fontId="25" fillId="13" borderId="35" xfId="0" applyNumberFormat="1" applyFont="1" applyFill="1" applyBorder="1" applyAlignment="1" applyProtection="1">
      <alignment horizontal="center" vertical="center"/>
      <protection hidden="1"/>
    </xf>
    <xf numFmtId="3" fontId="25" fillId="13" borderId="22" xfId="0" applyNumberFormat="1" applyFont="1" applyFill="1" applyBorder="1" applyAlignment="1" applyProtection="1">
      <alignment horizontal="center" vertical="center"/>
      <protection hidden="1"/>
    </xf>
    <xf numFmtId="3" fontId="25" fillId="13" borderId="21" xfId="0" applyNumberFormat="1" applyFont="1" applyFill="1" applyBorder="1" applyAlignment="1" applyProtection="1">
      <alignment horizontal="center" vertical="center"/>
      <protection hidden="1"/>
    </xf>
    <xf numFmtId="3" fontId="25" fillId="13" borderId="68" xfId="0" applyNumberFormat="1" applyFont="1" applyFill="1" applyBorder="1" applyAlignment="1" applyProtection="1">
      <alignment horizontal="center" vertical="center"/>
      <protection hidden="1"/>
    </xf>
    <xf numFmtId="0" fontId="25" fillId="13" borderId="67" xfId="0" applyFont="1" applyFill="1" applyBorder="1" applyAlignment="1" applyProtection="1">
      <alignment horizontal="center" vertical="center"/>
      <protection hidden="1"/>
    </xf>
    <xf numFmtId="0" fontId="25" fillId="13" borderId="15" xfId="0" applyFont="1" applyFill="1" applyBorder="1" applyAlignment="1" applyProtection="1">
      <alignment horizontal="center" vertical="center"/>
      <protection hidden="1"/>
    </xf>
    <xf numFmtId="0" fontId="0" fillId="0" borderId="75" xfId="0" applyBorder="1" applyAlignment="1" applyProtection="1">
      <alignment horizontal="center"/>
      <protection hidden="1"/>
    </xf>
    <xf numFmtId="178" fontId="2" fillId="17" borderId="4" xfId="0" applyNumberFormat="1" applyFont="1" applyFill="1" applyBorder="1" applyAlignment="1" applyProtection="1">
      <alignment horizontal="center" vertical="center"/>
      <protection hidden="1"/>
    </xf>
    <xf numFmtId="0" fontId="25" fillId="13" borderId="75" xfId="0" applyFont="1" applyFill="1" applyBorder="1" applyAlignment="1" applyProtection="1">
      <alignment horizontal="center" vertical="center"/>
      <protection hidden="1"/>
    </xf>
    <xf numFmtId="0" fontId="25" fillId="13" borderId="76" xfId="0" applyFont="1" applyFill="1" applyBorder="1" applyAlignment="1" applyProtection="1">
      <alignment horizontal="center" vertical="center"/>
      <protection hidden="1"/>
    </xf>
    <xf numFmtId="0" fontId="23" fillId="20" borderId="0" xfId="0" applyFont="1" applyFill="1" applyAlignment="1" applyProtection="1">
      <alignment horizontal="center" vertical="center"/>
      <protection hidden="1"/>
    </xf>
    <xf numFmtId="0" fontId="25" fillId="13" borderId="57" xfId="0" applyFont="1" applyFill="1" applyBorder="1" applyAlignment="1" applyProtection="1">
      <alignment horizontal="center" vertical="center"/>
      <protection hidden="1"/>
    </xf>
    <xf numFmtId="0" fontId="25" fillId="13" borderId="58" xfId="0" applyFont="1" applyFill="1" applyBorder="1" applyAlignment="1" applyProtection="1">
      <alignment horizontal="center" vertical="center"/>
      <protection hidden="1"/>
    </xf>
    <xf numFmtId="0" fontId="25" fillId="13" borderId="25" xfId="0" applyFont="1" applyFill="1" applyBorder="1" applyAlignment="1" applyProtection="1">
      <alignment horizontal="center" vertical="center"/>
      <protection hidden="1"/>
    </xf>
    <xf numFmtId="0" fontId="25" fillId="13" borderId="71" xfId="0" applyFont="1" applyFill="1" applyBorder="1" applyAlignment="1" applyProtection="1">
      <alignment horizontal="center" vertical="center"/>
      <protection hidden="1"/>
    </xf>
    <xf numFmtId="0" fontId="25" fillId="13" borderId="60" xfId="0" applyFont="1" applyFill="1" applyBorder="1" applyAlignment="1" applyProtection="1">
      <alignment horizontal="center" vertical="center"/>
      <protection hidden="1"/>
    </xf>
    <xf numFmtId="0" fontId="25" fillId="13" borderId="73" xfId="0" applyFont="1" applyFill="1" applyBorder="1" applyAlignment="1" applyProtection="1">
      <alignment horizontal="center" vertical="center"/>
      <protection hidden="1"/>
    </xf>
    <xf numFmtId="0" fontId="25" fillId="13" borderId="53" xfId="0" applyFont="1" applyFill="1" applyBorder="1" applyAlignment="1" applyProtection="1">
      <alignment horizontal="center" vertical="center"/>
      <protection hidden="1"/>
    </xf>
    <xf numFmtId="0" fontId="25" fillId="13" borderId="54" xfId="0" applyFont="1" applyFill="1" applyBorder="1" applyAlignment="1" applyProtection="1">
      <alignment horizontal="center" vertical="center"/>
      <protection hidden="1"/>
    </xf>
    <xf numFmtId="0" fontId="25" fillId="13" borderId="19" xfId="0" applyFont="1" applyFill="1" applyBorder="1" applyAlignment="1" applyProtection="1">
      <alignment horizontal="center" vertical="center"/>
      <protection hidden="1"/>
    </xf>
    <xf numFmtId="0" fontId="25" fillId="13" borderId="31" xfId="0" applyFont="1" applyFill="1" applyBorder="1" applyAlignment="1" applyProtection="1">
      <alignment horizontal="center" vertical="center"/>
      <protection hidden="1"/>
    </xf>
    <xf numFmtId="0" fontId="25" fillId="13" borderId="24" xfId="0" applyFont="1" applyFill="1" applyBorder="1" applyAlignment="1" applyProtection="1">
      <alignment horizontal="center" vertical="center"/>
      <protection hidden="1"/>
    </xf>
    <xf numFmtId="167" fontId="24" fillId="21" borderId="57" xfId="0" applyNumberFormat="1" applyFont="1" applyFill="1" applyBorder="1" applyAlignment="1" applyProtection="1">
      <alignment horizontal="center" vertical="center"/>
      <protection hidden="1"/>
    </xf>
    <xf numFmtId="167" fontId="24" fillId="21" borderId="58" xfId="0" applyNumberFormat="1" applyFont="1" applyFill="1" applyBorder="1" applyAlignment="1" applyProtection="1">
      <alignment horizontal="center" vertical="center"/>
      <protection hidden="1"/>
    </xf>
    <xf numFmtId="167" fontId="24" fillId="21" borderId="59" xfId="0" applyNumberFormat="1" applyFont="1" applyFill="1" applyBorder="1" applyAlignment="1" applyProtection="1">
      <alignment horizontal="center" vertical="center"/>
      <protection hidden="1"/>
    </xf>
    <xf numFmtId="0" fontId="25" fillId="13" borderId="59" xfId="0" applyFont="1" applyFill="1" applyBorder="1" applyAlignment="1" applyProtection="1">
      <alignment horizontal="center" vertical="center"/>
      <protection hidden="1"/>
    </xf>
    <xf numFmtId="0" fontId="25" fillId="13" borderId="61" xfId="0" applyFont="1" applyFill="1" applyBorder="1" applyAlignment="1" applyProtection="1">
      <alignment horizontal="center" vertical="center"/>
      <protection hidden="1"/>
    </xf>
    <xf numFmtId="0" fontId="25" fillId="13" borderId="63" xfId="0" applyFont="1" applyFill="1" applyBorder="1" applyAlignment="1" applyProtection="1">
      <alignment horizontal="center" vertical="center"/>
      <protection hidden="1"/>
    </xf>
    <xf numFmtId="0" fontId="23" fillId="17" borderId="0" xfId="0" applyFont="1" applyFill="1" applyAlignment="1" applyProtection="1">
      <alignment horizontal="center" vertical="center"/>
      <protection hidden="1"/>
    </xf>
    <xf numFmtId="0" fontId="28" fillId="24" borderId="74" xfId="3" applyFont="1" applyAlignment="1" applyProtection="1">
      <alignment horizontal="center" vertical="center"/>
      <protection hidden="1"/>
    </xf>
    <xf numFmtId="167" fontId="24" fillId="21" borderId="9" xfId="0" applyNumberFormat="1" applyFont="1" applyFill="1" applyBorder="1" applyAlignment="1" applyProtection="1">
      <alignment horizontal="center" vertical="center"/>
      <protection hidden="1"/>
    </xf>
    <xf numFmtId="167" fontId="24" fillId="21" borderId="10" xfId="0" applyNumberFormat="1" applyFont="1" applyFill="1" applyBorder="1" applyAlignment="1" applyProtection="1">
      <alignment horizontal="center" vertical="center"/>
      <protection hidden="1"/>
    </xf>
    <xf numFmtId="167" fontId="24" fillId="21" borderId="11" xfId="0" applyNumberFormat="1" applyFont="1" applyFill="1" applyBorder="1" applyAlignment="1" applyProtection="1">
      <alignment horizontal="center" vertical="center"/>
      <protection hidden="1"/>
    </xf>
    <xf numFmtId="0" fontId="24" fillId="12" borderId="66" xfId="0" applyFont="1" applyFill="1" applyBorder="1" applyAlignment="1" applyProtection="1">
      <alignment horizontal="center" vertical="center"/>
      <protection hidden="1"/>
    </xf>
    <xf numFmtId="0" fontId="24" fillId="12" borderId="40" xfId="0" applyFont="1" applyFill="1" applyBorder="1" applyAlignment="1" applyProtection="1">
      <alignment horizontal="center" vertical="center"/>
      <protection hidden="1"/>
    </xf>
    <xf numFmtId="0" fontId="24" fillId="12" borderId="35" xfId="0" applyFont="1" applyFill="1" applyBorder="1" applyAlignment="1" applyProtection="1">
      <alignment horizontal="center" vertical="center"/>
      <protection hidden="1"/>
    </xf>
    <xf numFmtId="0" fontId="24" fillId="12" borderId="44" xfId="0" applyFont="1" applyFill="1" applyBorder="1" applyAlignment="1" applyProtection="1">
      <alignment horizontal="center" vertical="center"/>
      <protection hidden="1"/>
    </xf>
    <xf numFmtId="0" fontId="24" fillId="12" borderId="46" xfId="0" applyFont="1" applyFill="1" applyBorder="1" applyAlignment="1" applyProtection="1">
      <alignment horizontal="center" vertical="center"/>
      <protection hidden="1"/>
    </xf>
    <xf numFmtId="0" fontId="24" fillId="12" borderId="23" xfId="0" applyFont="1" applyFill="1" applyBorder="1" applyAlignment="1" applyProtection="1">
      <alignment horizontal="center" vertical="center"/>
      <protection hidden="1"/>
    </xf>
    <xf numFmtId="0" fontId="24" fillId="12" borderId="28" xfId="0" applyFont="1" applyFill="1" applyBorder="1" applyAlignment="1" applyProtection="1">
      <alignment horizontal="center" vertical="center"/>
      <protection hidden="1"/>
    </xf>
    <xf numFmtId="0" fontId="24" fillId="12" borderId="5" xfId="0" applyFont="1" applyFill="1" applyBorder="1" applyAlignment="1" applyProtection="1">
      <alignment horizontal="center" vertical="center"/>
      <protection hidden="1"/>
    </xf>
    <xf numFmtId="0" fontId="2" fillId="30" borderId="57" xfId="0" applyFont="1" applyFill="1" applyBorder="1" applyAlignment="1" applyProtection="1">
      <alignment horizontal="center" vertical="center"/>
      <protection hidden="1"/>
    </xf>
    <xf numFmtId="0" fontId="2" fillId="30" borderId="58" xfId="0" applyFont="1" applyFill="1" applyBorder="1" applyAlignment="1" applyProtection="1">
      <alignment horizontal="center" vertical="center"/>
      <protection hidden="1"/>
    </xf>
    <xf numFmtId="0" fontId="2" fillId="30" borderId="59" xfId="0" applyFont="1" applyFill="1" applyBorder="1" applyAlignment="1" applyProtection="1">
      <alignment horizontal="center" vertical="center"/>
      <protection hidden="1"/>
    </xf>
    <xf numFmtId="0" fontId="25" fillId="22" borderId="41" xfId="0" applyFont="1" applyFill="1" applyBorder="1" applyAlignment="1" applyProtection="1">
      <alignment horizontal="center" vertical="center"/>
      <protection hidden="1"/>
    </xf>
    <xf numFmtId="0" fontId="25" fillId="22" borderId="4" xfId="0" applyFont="1" applyFill="1" applyBorder="1" applyAlignment="1" applyProtection="1">
      <alignment horizontal="center" vertical="center"/>
      <protection hidden="1"/>
    </xf>
    <xf numFmtId="0" fontId="25" fillId="22" borderId="43" xfId="0" applyFont="1" applyFill="1" applyBorder="1" applyAlignment="1" applyProtection="1">
      <alignment horizontal="center" vertical="center"/>
      <protection hidden="1"/>
    </xf>
    <xf numFmtId="0" fontId="24" fillId="12" borderId="62" xfId="0" applyFont="1" applyFill="1" applyBorder="1" applyAlignment="1" applyProtection="1">
      <alignment horizontal="center" vertical="center"/>
      <protection hidden="1"/>
    </xf>
    <xf numFmtId="0" fontId="24" fillId="12" borderId="39" xfId="0" applyFont="1" applyFill="1" applyBorder="1" applyAlignment="1" applyProtection="1">
      <alignment horizontal="center" vertical="center"/>
      <protection hidden="1"/>
    </xf>
    <xf numFmtId="0" fontId="25" fillId="22" borderId="22" xfId="0" applyFont="1" applyFill="1" applyBorder="1" applyAlignment="1" applyProtection="1">
      <alignment horizontal="center" vertical="center"/>
      <protection hidden="1"/>
    </xf>
    <xf numFmtId="0" fontId="25" fillId="22" borderId="27" xfId="0" applyFont="1" applyFill="1" applyBorder="1" applyAlignment="1" applyProtection="1">
      <alignment horizontal="center" vertical="center"/>
      <protection hidden="1"/>
    </xf>
    <xf numFmtId="167" fontId="25" fillId="21" borderId="64" xfId="0" applyNumberFormat="1" applyFont="1" applyFill="1" applyBorder="1" applyAlignment="1" applyProtection="1">
      <alignment horizontal="center" vertical="center"/>
      <protection hidden="1"/>
    </xf>
    <xf numFmtId="167" fontId="25" fillId="21" borderId="62" xfId="0" applyNumberFormat="1" applyFont="1" applyFill="1" applyBorder="1" applyAlignment="1" applyProtection="1">
      <alignment horizontal="center" vertical="center"/>
      <protection hidden="1"/>
    </xf>
    <xf numFmtId="167" fontId="25" fillId="21" borderId="66" xfId="0" applyNumberFormat="1" applyFont="1" applyFill="1" applyBorder="1" applyAlignment="1" applyProtection="1">
      <alignment horizontal="center" vertical="center"/>
      <protection hidden="1"/>
    </xf>
    <xf numFmtId="173" fontId="24" fillId="14" borderId="23" xfId="0" applyNumberFormat="1" applyFont="1" applyFill="1" applyBorder="1" applyAlignment="1" applyProtection="1">
      <alignment horizontal="center" vertical="center"/>
      <protection hidden="1"/>
    </xf>
    <xf numFmtId="0" fontId="32" fillId="29" borderId="23" xfId="0" applyFont="1" applyFill="1" applyBorder="1" applyAlignment="1" applyProtection="1">
      <alignment horizontal="center" vertical="center"/>
      <protection hidden="1"/>
    </xf>
    <xf numFmtId="0" fontId="32" fillId="29" borderId="35" xfId="0" applyFont="1" applyFill="1" applyBorder="1" applyAlignment="1" applyProtection="1">
      <alignment horizontal="center" vertical="center"/>
      <protection hidden="1"/>
    </xf>
    <xf numFmtId="178" fontId="2" fillId="17" borderId="75" xfId="0" applyNumberFormat="1" applyFont="1" applyFill="1" applyBorder="1" applyAlignment="1" applyProtection="1">
      <alignment horizontal="center" vertical="center"/>
      <protection hidden="1"/>
    </xf>
    <xf numFmtId="0" fontId="25" fillId="22" borderId="4" xfId="0" applyFont="1" applyFill="1" applyBorder="1" applyAlignment="1">
      <alignment horizontal="center" vertical="center"/>
    </xf>
    <xf numFmtId="0" fontId="24" fillId="26" borderId="4" xfId="0" applyFont="1" applyFill="1" applyBorder="1" applyAlignment="1">
      <alignment horizontal="center" vertical="center"/>
    </xf>
    <xf numFmtId="0" fontId="2" fillId="17" borderId="11" xfId="0" applyFont="1" applyFill="1" applyBorder="1" applyAlignment="1" applyProtection="1">
      <alignment horizontal="center" vertical="center"/>
      <protection hidden="1"/>
    </xf>
    <xf numFmtId="0" fontId="2" fillId="13" borderId="31" xfId="0" applyFont="1" applyFill="1" applyBorder="1" applyAlignment="1" applyProtection="1">
      <alignment horizontal="center" vertical="center"/>
      <protection hidden="1"/>
    </xf>
    <xf numFmtId="0" fontId="2" fillId="13" borderId="34" xfId="0" applyFont="1" applyFill="1" applyBorder="1" applyAlignment="1" applyProtection="1">
      <alignment horizontal="center" vertical="center"/>
      <protection hidden="1"/>
    </xf>
    <xf numFmtId="0" fontId="2" fillId="0" borderId="9" xfId="0" applyFont="1" applyBorder="1" applyAlignment="1" applyProtection="1">
      <alignment horizontal="center" vertical="center"/>
      <protection hidden="1"/>
    </xf>
    <xf numFmtId="0" fontId="2" fillId="0" borderId="10" xfId="0" applyFont="1" applyBorder="1" applyAlignment="1" applyProtection="1">
      <alignment horizontal="center" vertical="center"/>
      <protection hidden="1"/>
    </xf>
    <xf numFmtId="0" fontId="2" fillId="0" borderId="11" xfId="0" applyFont="1" applyBorder="1" applyAlignment="1" applyProtection="1">
      <alignment horizontal="center" vertical="center"/>
      <protection hidden="1"/>
    </xf>
    <xf numFmtId="167" fontId="3" fillId="0" borderId="7" xfId="0" applyNumberFormat="1" applyFont="1" applyBorder="1" applyAlignment="1" applyProtection="1">
      <alignment horizontal="center" vertical="center"/>
      <protection locked="0"/>
    </xf>
    <xf numFmtId="167" fontId="3" fillId="0" borderId="0" xfId="0" applyNumberFormat="1" applyFont="1" applyAlignment="1" applyProtection="1">
      <alignment horizontal="center" vertical="center"/>
      <protection locked="0"/>
    </xf>
    <xf numFmtId="3" fontId="3" fillId="2" borderId="9" xfId="0" applyNumberFormat="1" applyFont="1" applyFill="1" applyBorder="1" applyAlignment="1" applyProtection="1">
      <alignment horizontal="center" vertical="center"/>
      <protection hidden="1"/>
    </xf>
    <xf numFmtId="3" fontId="3" fillId="2" borderId="10" xfId="0" applyNumberFormat="1" applyFont="1" applyFill="1" applyBorder="1" applyAlignment="1" applyProtection="1">
      <alignment horizontal="center" vertical="center"/>
      <protection hidden="1"/>
    </xf>
    <xf numFmtId="0" fontId="2" fillId="0" borderId="57" xfId="0" applyFont="1" applyBorder="1" applyAlignment="1" applyProtection="1">
      <alignment horizontal="center" vertical="center"/>
      <protection hidden="1"/>
    </xf>
    <xf numFmtId="0" fontId="2" fillId="0" borderId="58" xfId="0" applyFont="1" applyBorder="1" applyAlignment="1" applyProtection="1">
      <alignment horizontal="center" vertical="center"/>
      <protection hidden="1"/>
    </xf>
    <xf numFmtId="0" fontId="2" fillId="0" borderId="59" xfId="0" applyFont="1" applyBorder="1" applyAlignment="1" applyProtection="1">
      <alignment horizontal="center" vertical="center"/>
      <protection hidden="1"/>
    </xf>
    <xf numFmtId="0" fontId="3" fillId="37" borderId="64" xfId="0" applyFont="1" applyFill="1" applyBorder="1" applyAlignment="1" applyProtection="1">
      <alignment horizontal="center" vertical="center"/>
      <protection hidden="1"/>
    </xf>
    <xf numFmtId="0" fontId="3" fillId="37" borderId="62" xfId="0" applyFont="1" applyFill="1" applyBorder="1" applyAlignment="1" applyProtection="1">
      <alignment horizontal="center" vertical="center"/>
      <protection hidden="1"/>
    </xf>
    <xf numFmtId="0" fontId="3" fillId="37" borderId="66" xfId="0" applyFont="1" applyFill="1" applyBorder="1" applyAlignment="1" applyProtection="1">
      <alignment horizontal="center" vertical="center"/>
      <protection hidden="1"/>
    </xf>
    <xf numFmtId="3" fontId="3" fillId="36" borderId="61" xfId="0" applyNumberFormat="1" applyFont="1" applyFill="1" applyBorder="1" applyAlignment="1" applyProtection="1">
      <alignment horizontal="center" vertical="center"/>
      <protection hidden="1"/>
    </xf>
    <xf numFmtId="3" fontId="3" fillId="36" borderId="62" xfId="0" applyNumberFormat="1" applyFont="1" applyFill="1" applyBorder="1" applyAlignment="1" applyProtection="1">
      <alignment horizontal="center" vertical="center"/>
      <protection hidden="1"/>
    </xf>
    <xf numFmtId="3" fontId="3" fillId="36" borderId="63" xfId="0" applyNumberFormat="1" applyFont="1" applyFill="1" applyBorder="1" applyAlignment="1" applyProtection="1">
      <alignment horizontal="center" vertical="center"/>
      <protection hidden="1"/>
    </xf>
    <xf numFmtId="3" fontId="3" fillId="2" borderId="64" xfId="0" applyNumberFormat="1" applyFont="1" applyFill="1" applyBorder="1" applyAlignment="1" applyProtection="1">
      <alignment horizontal="center" vertical="center"/>
      <protection hidden="1"/>
    </xf>
    <xf numFmtId="3" fontId="3" fillId="2" borderId="62" xfId="0" applyNumberFormat="1" applyFont="1" applyFill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left"/>
      <protection hidden="1"/>
    </xf>
    <xf numFmtId="0" fontId="3" fillId="0" borderId="3" xfId="0" applyFont="1" applyBorder="1" applyAlignment="1" applyProtection="1">
      <alignment horizontal="left"/>
      <protection hidden="1"/>
    </xf>
    <xf numFmtId="0" fontId="3" fillId="3" borderId="4" xfId="0" applyFont="1" applyFill="1" applyBorder="1" applyAlignment="1" applyProtection="1">
      <alignment horizontal="left"/>
      <protection hidden="1"/>
    </xf>
    <xf numFmtId="167" fontId="3" fillId="2" borderId="4" xfId="0" applyNumberFormat="1" applyFont="1" applyFill="1" applyBorder="1" applyAlignment="1" applyProtection="1">
      <alignment horizontal="center" vertical="center"/>
      <protection locked="0" hidden="1"/>
    </xf>
    <xf numFmtId="167" fontId="3" fillId="2" borderId="1" xfId="0" applyNumberFormat="1" applyFont="1" applyFill="1" applyBorder="1" applyAlignment="1" applyProtection="1">
      <alignment horizontal="center" vertical="center"/>
      <protection locked="0" hidden="1"/>
    </xf>
    <xf numFmtId="167" fontId="3" fillId="2" borderId="2" xfId="0" applyNumberFormat="1" applyFont="1" applyFill="1" applyBorder="1" applyAlignment="1" applyProtection="1">
      <alignment horizontal="center" vertical="center"/>
      <protection locked="0" hidden="1"/>
    </xf>
    <xf numFmtId="167" fontId="3" fillId="2" borderId="3" xfId="0" applyNumberFormat="1" applyFont="1" applyFill="1" applyBorder="1" applyAlignment="1" applyProtection="1">
      <alignment horizontal="center" vertical="center"/>
      <protection locked="0" hidden="1"/>
    </xf>
  </cellXfs>
  <cellStyles count="8">
    <cellStyle name="Обычный" xfId="0" builtinId="0"/>
    <cellStyle name="Примечание" xfId="3" builtinId="10"/>
    <cellStyle name="Процентный" xfId="2" builtinId="5"/>
    <cellStyle name="Финансовый" xfId="1" builtinId="3"/>
    <cellStyle name="Финансовый 2" xfId="4" xr:uid="{00000000-0005-0000-0000-000004000000}"/>
    <cellStyle name="Финансовый 2 2" xfId="5" xr:uid="{00000000-0005-0000-0000-000005000000}"/>
    <cellStyle name="Финансовый 3" xfId="6" xr:uid="{00000000-0005-0000-0000-000006000000}"/>
    <cellStyle name="Финансовый 4" xfId="7" xr:uid="{00000000-0005-0000-0000-000007000000}"/>
  </cellStyles>
  <dxfs count="11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4" formatCode="dd/mm/yy;@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strike val="0"/>
        <u val="none"/>
        <sz val="10"/>
        <color theme="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83" formatCode="#,##0.00\ &quot;₽&quot;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ill>
        <patternFill patternType="none">
          <fgColor indexed="64"/>
          <bgColor auto="1"/>
        </patternFill>
      </fill>
    </dxf>
    <dxf>
      <font>
        <strike val="0"/>
        <u val="none"/>
        <sz val="10"/>
        <color theme="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83" formatCode="#,##0.00\ &quot;₽&quot;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/>
      <protection locked="0"/>
    </dxf>
    <dxf>
      <fill>
        <patternFill patternType="none">
          <fgColor indexed="64"/>
          <bgColor auto="1"/>
        </patternFill>
      </fill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83" formatCode="#,##0.00\ &quot;₽&quot;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/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/>
        <i val="0"/>
        <strike val="0"/>
        <u val="none"/>
        <sz val="10"/>
        <color theme="1"/>
        <name val="Calibri"/>
        <scheme val="none"/>
      </font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 wrapText="1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numFmt numFmtId="19" formatCode="dd/mm/yyyy"/>
      <fill>
        <patternFill patternType="none"/>
      </fill>
      <alignment horizontal="center" vertic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numFmt numFmtId="2" formatCode="0.00"/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 hidden="1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solid">
          <bgColor theme="0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solid">
          <bgColor theme="0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solid">
          <bgColor theme="0"/>
        </patternFill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hidden="1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4" formatCode="dd/mm/yy;@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0" formatCode="General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 wrapText="1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19" formatCode="dd/mm/yyyy"/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2" formatCode="0.00"/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none"/>
      </fill>
      <alignment horizontal="center" vertical="center"/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/>
      </border>
      <protection hidden="1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strike val="0"/>
        <u val="none"/>
        <sz val="10"/>
        <color theme="1"/>
        <name val="Calibri"/>
        <scheme val="none"/>
      </font>
      <numFmt numFmtId="170" formatCode="#\ ##0.00"/>
      <fill>
        <patternFill patternType="solid">
          <bgColor theme="0"/>
        </patternFill>
      </fill>
      <alignment horizontal="center"/>
      <border>
        <right style="thin">
          <color auto="1"/>
        </right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/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numFmt numFmtId="2" formatCode="0.00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0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/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181" formatCode="#\ ##0.00\ _₽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2" formatCode="0.00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/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181" formatCode="#\ ##0.00\ _₽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numFmt numFmtId="2" formatCode="0.00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/>
    </dxf>
    <dxf>
      <fill>
        <patternFill patternType="solid">
          <bgColor theme="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numFmt numFmtId="19" formatCode="dd/mm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9" formatCode="#\ ##0.00\ &quot;₽&quot;"/>
      <fill>
        <patternFill patternType="solid">
          <bgColor theme="0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9644"/>
      <color rgb="FFFFCCFF"/>
      <color rgb="FFFF99FF"/>
      <color rgb="FFCC66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microsoft.com/office/2007/relationships/slicerCache" Target="slicerCaches/slicerCach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79" Type="http://www.wps.cn/officeDocument/2023/relationships/customStorage" Target="customStorage/customStorage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microsoft.com/office/2007/relationships/slicerCache" Target="slicerCaches/slicerCache2.xml"/><Relationship Id="rId77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07/relationships/slicerCache" Target="slicerCaches/slicerCache3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onnections" Target="connections.xml"/><Relationship Id="rId78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microsoft.com/office/2007/relationships/slicerCache" Target="slicerCaches/slicerCache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0</xdr:colOff>
      <xdr:row>7</xdr:row>
      <xdr:rowOff>0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29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0</xdr:colOff>
      <xdr:row>8</xdr:row>
      <xdr:rowOff>0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143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0</xdr:colOff>
      <xdr:row>4</xdr:row>
      <xdr:rowOff>0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54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91275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91275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0</xdr:colOff>
      <xdr:row>8</xdr:row>
      <xdr:rowOff>0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91275" y="16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918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754725" y="54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1250" y="161925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356907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9185" y="161925"/>
          <a:ext cx="9525" cy="356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88175" y="16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169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836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</xdr:row>
      <xdr:rowOff>0</xdr:rowOff>
    </xdr:from>
    <xdr:ext cx="9525" cy="9525"/>
    <xdr:pic>
      <xdr:nvPicPr>
        <xdr:cNvPr id="9" name="Рисунок 8" descr="https://inxrm.ru/_imgs/imagestrips/transparent_spacer.gif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83675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550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55000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602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602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3960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97392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97392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6693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669375" y="73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456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456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41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220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788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78800" y="73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770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770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25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1695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1695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770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770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258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265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265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9305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9305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0850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0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928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928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166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166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0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00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00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0691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0691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9525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190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29375" y="53784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928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92875" y="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8981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8981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21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612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584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584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016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89797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89797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67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67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9866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930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930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67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67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9866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930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930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774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774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818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691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691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6533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121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121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29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2992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2992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469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46935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075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075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35517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35517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790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790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25175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79000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876300</xdr:colOff>
      <xdr:row>1</xdr:row>
      <xdr:rowOff>371475</xdr:rowOff>
    </xdr:from>
    <xdr:ext cx="9525" cy="9525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69475" y="53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447676</xdr:colOff>
      <xdr:row>1</xdr:row>
      <xdr:rowOff>228600</xdr:rowOff>
    </xdr:from>
    <xdr:ext cx="247650" cy="247650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2050375" y="3905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0</xdr:colOff>
      <xdr:row>1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1619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1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50927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56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447676</xdr:colOff>
      <xdr:row>1</xdr:row>
      <xdr:rowOff>228600</xdr:rowOff>
    </xdr:from>
    <xdr:ext cx="247650" cy="247650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2050375" y="3905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67119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447676</xdr:colOff>
      <xdr:row>2</xdr:row>
      <xdr:rowOff>228600</xdr:rowOff>
    </xdr:from>
    <xdr:ext cx="247650" cy="247650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2050375" y="552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67119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447676</xdr:colOff>
      <xdr:row>2</xdr:row>
      <xdr:rowOff>228600</xdr:rowOff>
    </xdr:from>
    <xdr:ext cx="247650" cy="247650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2050375" y="552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67119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447676</xdr:colOff>
      <xdr:row>2</xdr:row>
      <xdr:rowOff>228600</xdr:rowOff>
    </xdr:from>
    <xdr:ext cx="247650" cy="247650"/>
    <xdr:pic>
      <xdr:nvPicPr>
        <xdr:cNvPr id="6" name="Рисунок 5" descr="https://inxrm.ru/_imgs/imagestrips/transparent_spacer.gif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2050375" y="552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67119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</xdr:row>
      <xdr:rowOff>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88525" y="72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67119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857250</xdr:colOff>
      <xdr:row>2</xdr:row>
      <xdr:rowOff>381000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59950" y="70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36C75278-798F-4FF3-95FC-FB8C0ADF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75EBC759-3C5A-4868-8003-CEF27CE3A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4700" y="3238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F8404839-B22E-407A-B554-B7F6688B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32459" y="671232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857250</xdr:colOff>
      <xdr:row>2</xdr:row>
      <xdr:rowOff>381000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B1C6A568-5290-455E-87D0-CA0C943E3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59950" y="70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2" name="Рисунок 1" descr="https://inxrm.ru/_imgs/imagestrips/transparent_spacer.gif">
          <a:extLst>
            <a:ext uri="{FF2B5EF4-FFF2-40B4-BE49-F238E27FC236}">
              <a16:creationId xmlns:a16="http://schemas.microsoft.com/office/drawing/2014/main" id="{8193C5E4-4CD9-4AE9-A409-62F6696DA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87125" y="3143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0</xdr:colOff>
      <xdr:row>2</xdr:row>
      <xdr:rowOff>0</xdr:rowOff>
    </xdr:to>
    <xdr:pic>
      <xdr:nvPicPr>
        <xdr:cNvPr id="3" name="Рисунок 2" descr="https://inxrm.ru/_imgs/imagestrips/transparent_spacer.gif">
          <a:extLst>
            <a:ext uri="{FF2B5EF4-FFF2-40B4-BE49-F238E27FC236}">
              <a16:creationId xmlns:a16="http://schemas.microsoft.com/office/drawing/2014/main" id="{993BA83B-A275-4E7C-A914-FC4B3401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87125" y="31432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874059</xdr:colOff>
      <xdr:row>2</xdr:row>
      <xdr:rowOff>347382</xdr:rowOff>
    </xdr:from>
    <xdr:ext cx="9525" cy="9525"/>
    <xdr:pic>
      <xdr:nvPicPr>
        <xdr:cNvPr id="4" name="Рисунок 3" descr="https://inxrm.ru/_imgs/imagestrips/transparent_spacer.gif">
          <a:extLst>
            <a:ext uri="{FF2B5EF4-FFF2-40B4-BE49-F238E27FC236}">
              <a16:creationId xmlns:a16="http://schemas.microsoft.com/office/drawing/2014/main" id="{DB3BAFC3-BC64-4301-B1E1-D84969783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84884" y="661707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857250</xdr:colOff>
      <xdr:row>2</xdr:row>
      <xdr:rowOff>381000</xdr:rowOff>
    </xdr:from>
    <xdr:ext cx="9525" cy="9525"/>
    <xdr:pic>
      <xdr:nvPicPr>
        <xdr:cNvPr id="5" name="Рисунок 4" descr="https://inxrm.ru/_imgs/imagestrips/transparent_spacer.gif">
          <a:extLst>
            <a:ext uri="{FF2B5EF4-FFF2-40B4-BE49-F238E27FC236}">
              <a16:creationId xmlns:a16="http://schemas.microsoft.com/office/drawing/2014/main" id="{9806AD06-7EA9-439B-810A-C1FE3EA2A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812375" y="69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33</xdr:col>
      <xdr:colOff>813435</xdr:colOff>
      <xdr:row>2745</xdr:row>
      <xdr:rowOff>9525</xdr:rowOff>
    </xdr:from>
    <xdr:to>
      <xdr:col>34</xdr:col>
      <xdr:colOff>1021080</xdr:colOff>
      <xdr:row>2758</xdr:row>
      <xdr:rowOff>57150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Дом">
              <a:extLst>
                <a:ext uri="{FF2B5EF4-FFF2-40B4-BE49-F238E27FC236}">
                  <a16:creationId xmlns:a16="http://schemas.microsoft.com/office/drawing/2014/main" id="{00000000-0008-0000-3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м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90835" y="4581525"/>
              <a:ext cx="183642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absolute">
    <xdr:from>
      <xdr:col>34</xdr:col>
      <xdr:colOff>1383030</xdr:colOff>
      <xdr:row>2743</xdr:row>
      <xdr:rowOff>0</xdr:rowOff>
    </xdr:from>
    <xdr:to>
      <xdr:col>34</xdr:col>
      <xdr:colOff>3219450</xdr:colOff>
      <xdr:row>2756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МОП">
              <a:extLst>
                <a:ext uri="{FF2B5EF4-FFF2-40B4-BE49-F238E27FC236}">
                  <a16:creationId xmlns:a16="http://schemas.microsoft.com/office/drawing/2014/main" id="{00000000-0008-0000-3E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ОП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9205" y="4191000"/>
              <a:ext cx="183642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absolute">
    <xdr:from>
      <xdr:col>34</xdr:col>
      <xdr:colOff>3219450</xdr:colOff>
      <xdr:row>2743</xdr:row>
      <xdr:rowOff>0</xdr:rowOff>
    </xdr:from>
    <xdr:to>
      <xdr:col>37</xdr:col>
      <xdr:colOff>782955</xdr:colOff>
      <xdr:row>2756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ИМ">
              <a:extLst>
                <a:ext uri="{FF2B5EF4-FFF2-40B4-BE49-F238E27FC236}">
                  <a16:creationId xmlns:a16="http://schemas.microsoft.com/office/drawing/2014/main" id="{00000000-0008-0000-3E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ИМ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25625" y="4191000"/>
              <a:ext cx="184023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1021080</xdr:colOff>
      <xdr:row>2745</xdr:row>
      <xdr:rowOff>0</xdr:rowOff>
    </xdr:from>
    <xdr:to>
      <xdr:col>33</xdr:col>
      <xdr:colOff>784860</xdr:colOff>
      <xdr:row>2758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Вариант оплаты">
              <a:extLst>
                <a:ext uri="{FF2B5EF4-FFF2-40B4-BE49-F238E27FC236}">
                  <a16:creationId xmlns:a16="http://schemas.microsoft.com/office/drawing/2014/main" id="{00000000-0008-0000-3E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Вариант оплаты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1555" y="4572000"/>
              <a:ext cx="183070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00000000-0016-0000-4100-000000000000}" autoFormatId="16" applyNumberFormats="0" applyBorderFormats="0" applyFontFormats="1" applyPatternFormats="1" applyAlignmentFormats="0" applyWidthHeightFormats="0">
  <queryTableRefresh nextId="41">
    <queryTableFields count="40">
      <queryTableField id="1" name="№" tableColumnId="1"/>
      <queryTableField id="2" name="за месяц" tableColumnId="2"/>
      <queryTableField id="3" name="Дата подачи на регистрацию" tableColumnId="3"/>
      <queryTableField id="4" name="Дом" tableColumnId="4"/>
      <queryTableField id="5" name="Секция" tableColumnId="5"/>
      <queryTableField id="6" name="№ на этаже" tableColumnId="39"/>
      <queryTableField id="7" name="Этаж" tableColumnId="6"/>
      <queryTableField id="8" name="№ кв" tableColumnId="7"/>
      <queryTableField id="9" name="Тип кв" tableColumnId="8"/>
      <queryTableField id="10" name="S" tableColumnId="9"/>
      <queryTableField id="11" name="Отделка " tableColumnId="10"/>
      <queryTableField id="12" name="Сумма договора" tableColumnId="11"/>
      <queryTableField id="13" name="Пл. бронь" tableColumnId="12"/>
      <queryTableField id="14" name="Стоимость с отделкой итог" tableColumnId="13"/>
      <queryTableField id="15" name="Цена м2 с отделкой итог" tableColumnId="14"/>
      <queryTableField id="16" name="Стоимость отделки" tableColumnId="15"/>
      <queryTableField id="17" name="Стоимость без отделки итог" tableColumnId="16"/>
      <queryTableField id="18" name="Цена м2 без отделки итог" tableColumnId="17"/>
      <queryTableField id="19" name="Вариант оплаты" tableColumnId="18"/>
      <queryTableField id="20" name="Название акции" tableColumnId="19"/>
      <queryTableField id="21" name="Сумма скидки" tableColumnId="20"/>
      <queryTableField id="22" name="Программа кредитования" tableColumnId="38"/>
      <queryTableField id="23" name="Дата договора" tableColumnId="21"/>
      <queryTableField id="24" name="№ договора" tableColumnId="22"/>
      <queryTableField id="25" name="Состояние" tableColumnId="23"/>
      <queryTableField id="26" name="Электронная регистрация" tableColumnId="24"/>
      <queryTableField id="27" name="Способ регистрации" tableColumnId="37"/>
      <queryTableField id="28" name="Тип покупки" tableColumnId="25"/>
      <queryTableField id="29" name="Банк" tableColumnId="26"/>
      <queryTableField id="30" name="Дата расторжения" tableColumnId="27"/>
      <queryTableField id="31" name="Основной клиент" tableColumnId="28"/>
      <queryTableField id="32" name="Мобильный телефон" tableColumnId="29"/>
      <queryTableField id="33" name="Электронная почта" tableColumnId="30"/>
      <queryTableField id="34" name="Источник обращения" tableColumnId="31"/>
      <queryTableField id="35" name="Источник рекламы" tableColumnId="32"/>
      <queryTableField id="36" name="Источник маркетинга" tableColumnId="33"/>
      <queryTableField id="37" name="МОП" tableColumnId="34"/>
      <queryTableField id="38" name="ИМ" tableColumnId="35"/>
      <queryTableField id="39" name="Фикс за АН" tableColumnId="40"/>
      <queryTableField id="40" name="Комментарий" tableColumnId="3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Вариант_оплаты" xr10:uid="{00000000-0013-0000-FFFF-FFFF01000000}" sourceName="Вариант оплаты">
  <extLst>
    <x:ext xmlns:x15="http://schemas.microsoft.com/office/spreadsheetml/2010/11/main" uri="{2F2917AC-EB37-4324-AD4E-5DD8C200BD13}">
      <x15:tableSlicerCache tableId="34" column="18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ИМ" xr10:uid="{00000000-0013-0000-FFFF-FFFF02000000}" sourceName="ИМ">
  <extLst>
    <x:ext xmlns:x15="http://schemas.microsoft.com/office/spreadsheetml/2010/11/main" uri="{2F2917AC-EB37-4324-AD4E-5DD8C200BD13}">
      <x15:tableSlicerCache tableId="34" column="35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ОП" xr10:uid="{00000000-0013-0000-FFFF-FFFF03000000}" sourceName="МОП">
  <extLst>
    <x:ext xmlns:x15="http://schemas.microsoft.com/office/spreadsheetml/2010/11/main" uri="{2F2917AC-EB37-4324-AD4E-5DD8C200BD13}">
      <x15:tableSlicerCache tableId="34" column="34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м" xr10:uid="{00000000-0013-0000-FFFF-FFFF04000000}" sourceName="Дом">
  <extLst>
    <x:ext xmlns:x15="http://schemas.microsoft.com/office/spreadsheetml/2010/11/main" uri="{2F2917AC-EB37-4324-AD4E-5DD8C200BD13}">
      <x15:tableSlicerCache tableId="34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Вариант оплаты" xr10:uid="{00000000-0014-0000-FFFF-FFFF01000000}" cache="Срез_Вариант_оплаты" caption="Вариант оплаты" rowHeight="241300"/>
  <slicer name="ИМ" xr10:uid="{00000000-0014-0000-FFFF-FFFF02000000}" cache="Срез_ИМ" caption="ИМ" rowHeight="241300"/>
  <slicer name="МОП" xr10:uid="{00000000-0014-0000-FFFF-FFFF03000000}" cache="Срез_МОП" caption="МОП" rowHeight="241300"/>
  <slicer name="Дом" xr10:uid="{00000000-0014-0000-FFFF-FFFF04000000}" cache="Срез_Дом" caption="Дом" rowHeight="241300"/>
</slicer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0000000}" name="Таблица24" displayName="Таблица24" ref="B1:H29" totalsRowShown="0">
  <autoFilter ref="B1:H29" xr:uid="{00000000-0009-0000-0100-000018000000}"/>
  <tableColumns count="7">
    <tableColumn id="1" xr3:uid="{00000000-0010-0000-0000-000001000000}" name="Дом" dataDxfId="1141"/>
    <tableColumn id="2" xr3:uid="{00000000-0010-0000-0000-000002000000}" name="МОП" dataDxfId="1140"/>
    <tableColumn id="3" xr3:uid="{00000000-0010-0000-0000-000003000000}" name="отделка" dataDxfId="1139"/>
    <tableColumn id="4" xr3:uid="{00000000-0010-0000-0000-000004000000}" name="ИМ" dataDxfId="1138"/>
    <tableColumn id="5" xr3:uid="{00000000-0010-0000-0000-000005000000}" name="регистрация" dataDxfId="1137"/>
    <tableColumn id="6" xr3:uid="{00000000-0010-0000-0000-000006000000}" name="Бронь" dataDxfId="1136"/>
    <tableColumn id="7" xr3:uid="{00000000-0010-0000-0000-000007000000}" name="Продажа" dataDxfId="11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Таблица1" displayName="Таблица1" ref="A2:Q61" totalsRowShown="0">
  <autoFilter ref="A2:Q61" xr:uid="{00000000-0009-0000-0100-000001000000}"/>
  <sortState xmlns:xlrd2="http://schemas.microsoft.com/office/spreadsheetml/2017/richdata2" ref="A2:Q61">
    <sortCondition ref="L2:L61"/>
  </sortState>
  <tableColumns count="17">
    <tableColumn id="1" xr3:uid="{00000000-0010-0000-0100-000001000000}" name="№" dataDxfId="1134"/>
    <tableColumn id="2" xr3:uid="{00000000-0010-0000-0100-000002000000}" name="квартира " dataDxfId="1133"/>
    <tableColumn id="3" xr3:uid="{00000000-0010-0000-0100-000003000000}" name="заявка №" dataDxfId="1132"/>
    <tableColumn id="4" xr3:uid="{00000000-0010-0000-0100-000004000000}" name="МОП" dataDxfId="1131"/>
    <tableColumn id="5" xr3:uid="{00000000-0010-0000-0100-000005000000}" name="м2" dataDxfId="1130"/>
    <tableColumn id="6" xr3:uid="{00000000-0010-0000-0100-000006000000}" name="№ дома" dataDxfId="1129"/>
    <tableColumn id="7" xr3:uid="{00000000-0010-0000-0100-000007000000}" name="ИМ" dataDxfId="1128"/>
    <tableColumn id="8" xr3:uid="{00000000-0010-0000-0100-000008000000}" name="сумма" dataDxfId="1127"/>
    <tableColumn id="9" xr3:uid="{00000000-0010-0000-0100-000009000000}" name="Ком" dataDxfId="1126"/>
    <tableColumn id="10" xr3:uid="{00000000-0010-0000-0100-00000A000000}" name="форма опл" dataDxfId="1125"/>
    <tableColumn id="11" xr3:uid="{00000000-0010-0000-0100-00000B000000}" name="Тип брони" dataDxfId="1124"/>
    <tableColumn id="12" xr3:uid="{00000000-0010-0000-0100-00000C000000}" name="дата регистрации " dataDxfId="1123"/>
    <tableColumn id="13" xr3:uid="{00000000-0010-0000-0100-00000D000000}" name="форма сдачи" dataDxfId="1122"/>
    <tableColumn id="14" xr3:uid="{00000000-0010-0000-0100-00000E000000}" name="ФИО клиента" dataDxfId="1121"/>
    <tableColumn id="15" xr3:uid="{00000000-0010-0000-0100-00000F000000}" name="комментарий ИМ" dataDxfId="1120"/>
    <tableColumn id="16" xr3:uid="{00000000-0010-0000-0100-000010000000}" name="Подробный комментарий МОП" dataDxfId="1119"/>
    <tableColumn id="17" xr3:uid="{00000000-0010-0000-0100-000011000000}" name="КТУ" dataDxfId="11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Июль" displayName="Июль" ref="A2:S52">
  <autoFilter ref="A2:S52" xr:uid="{00000000-0009-0000-0100-000002000000}"/>
  <sortState xmlns:xlrd2="http://schemas.microsoft.com/office/spreadsheetml/2017/richdata2" ref="A2:S52">
    <sortCondition ref="B2:B52"/>
  </sortState>
  <tableColumns count="19">
    <tableColumn id="1" xr3:uid="{00000000-0010-0000-0200-000001000000}" name="№" totalsRowLabel="Итог" dataDxfId="1117"/>
    <tableColumn id="2" xr3:uid="{00000000-0010-0000-0200-000002000000}" name="квартира " dataDxfId="1116"/>
    <tableColumn id="3" xr3:uid="{00000000-0010-0000-0200-000003000000}" name="заявка №" dataDxfId="1115"/>
    <tableColumn id="4" xr3:uid="{00000000-0010-0000-0200-000004000000}" name="МОП" dataDxfId="1114"/>
    <tableColumn id="5" xr3:uid="{00000000-0010-0000-0200-000005000000}" name="м2" dataDxfId="1113"/>
    <tableColumn id="6" xr3:uid="{00000000-0010-0000-0200-000006000000}" name="№ дома" dataDxfId="1112"/>
    <tableColumn id="7" xr3:uid="{00000000-0010-0000-0200-000007000000}" name="ИМ" dataDxfId="1111"/>
    <tableColumn id="8" xr3:uid="{00000000-0010-0000-0200-000008000000}" name="сумма" dataDxfId="1110"/>
    <tableColumn id="9" xr3:uid="{00000000-0010-0000-0200-000009000000}" name="Ком" dataDxfId="1109"/>
    <tableColumn id="10" xr3:uid="{00000000-0010-0000-0200-00000A000000}" name="форма опл" dataDxfId="1108"/>
    <tableColumn id="11" xr3:uid="{00000000-0010-0000-0200-00000B000000}" name="Тип брони" dataDxfId="1107"/>
    <tableColumn id="12" xr3:uid="{00000000-0010-0000-0200-00000C000000}" name="дата регистрации " dataDxfId="1106"/>
    <tableColumn id="13" xr3:uid="{00000000-0010-0000-0200-00000D000000}" name="форма сдачи" dataDxfId="1105"/>
    <tableColumn id="14" xr3:uid="{00000000-0010-0000-0200-00000E000000}" name="ФИО клиента" dataDxfId="1104"/>
    <tableColumn id="15" xr3:uid="{00000000-0010-0000-0200-00000F000000}" name="комментарий ИМ" dataDxfId="1103"/>
    <tableColumn id="16" xr3:uid="{00000000-0010-0000-0200-000010000000}" name="Подробный комментарий МОП" dataDxfId="1102"/>
    <tableColumn id="17" xr3:uid="{00000000-0010-0000-0200-000011000000}" name="Хозяин сделки / заявки 45%" totalsRowFunction="count" dataDxfId="1101"/>
    <tableColumn id="18" xr3:uid="{00000000-0010-0000-0200-000012000000}" name="Встреча 45%" dataDxfId="1100"/>
    <tableColumn id="19" xr3:uid="{00000000-0010-0000-0200-000013000000}" name="Подготовка ДДУ 10%" dataDxfId="109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3000000}" name="Июль10" displayName="Июль10" ref="A2:S50">
  <autoFilter ref="A2:S50" xr:uid="{00000000-0009-0000-0100-000009000000}"/>
  <tableColumns count="19">
    <tableColumn id="1" xr3:uid="{00000000-0010-0000-0300-000001000000}" name="№" totalsRowLabel="Итог" dataDxfId="1098"/>
    <tableColumn id="2" xr3:uid="{00000000-0010-0000-0300-000002000000}" name="квартира " dataDxfId="1097"/>
    <tableColumn id="3" xr3:uid="{00000000-0010-0000-0300-000003000000}" name="заявка №" dataDxfId="1096"/>
    <tableColumn id="4" xr3:uid="{00000000-0010-0000-0300-000004000000}" name="МОП" dataDxfId="1095"/>
    <tableColumn id="5" xr3:uid="{00000000-0010-0000-0300-000005000000}" name="м2" dataDxfId="1094"/>
    <tableColumn id="6" xr3:uid="{00000000-0010-0000-0300-000006000000}" name="№ дома" dataDxfId="1093"/>
    <tableColumn id="7" xr3:uid="{00000000-0010-0000-0300-000007000000}" name="ИМ" dataDxfId="1092"/>
    <tableColumn id="8" xr3:uid="{00000000-0010-0000-0300-000008000000}" name="сумма" dataDxfId="1091"/>
    <tableColumn id="9" xr3:uid="{00000000-0010-0000-0300-000009000000}" name="Ком" dataDxfId="1090"/>
    <tableColumn id="10" xr3:uid="{00000000-0010-0000-0300-00000A000000}" name="форма опл" dataDxfId="1089"/>
    <tableColumn id="11" xr3:uid="{00000000-0010-0000-0300-00000B000000}" name="Тип брони" dataDxfId="1088"/>
    <tableColumn id="12" xr3:uid="{00000000-0010-0000-0300-00000C000000}" name="дата регистрации " dataDxfId="1087"/>
    <tableColumn id="13" xr3:uid="{00000000-0010-0000-0300-00000D000000}" name="форма сдачи" dataDxfId="1086"/>
    <tableColumn id="14" xr3:uid="{00000000-0010-0000-0300-00000E000000}" name="ФИО клиента" dataDxfId="1085"/>
    <tableColumn id="15" xr3:uid="{00000000-0010-0000-0300-00000F000000}" name="комментарий ИМ" dataDxfId="1084"/>
    <tableColumn id="16" xr3:uid="{00000000-0010-0000-0300-000010000000}" name="Подробный комментарий МОП" dataDxfId="1083"/>
    <tableColumn id="17" xr3:uid="{00000000-0010-0000-0300-000011000000}" name="КТУ" totalsRowFunction="count" dataDxfId="1082"/>
    <tableColumn id="18" xr3:uid="{00000000-0010-0000-0300-000012000000}" name="Столбец1" dataDxfId="1081"/>
    <tableColumn id="19" xr3:uid="{00000000-0010-0000-0300-000013000000}" name="Столбец2" dataDxfId="108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сентябрь4" displayName="сентябрь4" ref="A2:U66" totalsRowShown="0">
  <autoFilter ref="A2:U66" xr:uid="{00000000-0009-0000-0100-000003000000}">
    <filterColumn colId="10">
      <filters>
        <filter val="Ипотека"/>
      </filters>
    </filterColumn>
  </autoFilter>
  <tableColumns count="21">
    <tableColumn id="1" xr3:uid="{00000000-0010-0000-0400-000001000000}" name="№" dataDxfId="1079"/>
    <tableColumn id="2" xr3:uid="{00000000-0010-0000-0400-000002000000}" name="квартира " dataDxfId="1078"/>
    <tableColumn id="3" xr3:uid="{00000000-0010-0000-0400-000003000000}" name="заявка №" dataDxfId="1077"/>
    <tableColumn id="4" xr3:uid="{00000000-0010-0000-0400-000004000000}" name="МОП" dataDxfId="1076"/>
    <tableColumn id="5" xr3:uid="{00000000-0010-0000-0400-000005000000}" name="м2" dataDxfId="1075"/>
    <tableColumn id="20" xr3:uid="{00000000-0010-0000-0400-000014000000}" name="Отделка" dataDxfId="1074"/>
    <tableColumn id="6" xr3:uid="{00000000-0010-0000-0400-000006000000}" name="№ дома" dataDxfId="1073"/>
    <tableColumn id="7" xr3:uid="{00000000-0010-0000-0400-000007000000}" name="ИМ" dataDxfId="1072"/>
    <tableColumn id="8" xr3:uid="{00000000-0010-0000-0400-000008000000}" name="сумма" dataDxfId="1071"/>
    <tableColumn id="9" xr3:uid="{00000000-0010-0000-0400-000009000000}" name="Ком" dataDxfId="1070"/>
    <tableColumn id="10" xr3:uid="{00000000-0010-0000-0400-00000A000000}" name="форма опл" dataDxfId="1069"/>
    <tableColumn id="11" xr3:uid="{00000000-0010-0000-0400-00000B000000}" name="Тип брони" dataDxfId="1068"/>
    <tableColumn id="12" xr3:uid="{00000000-0010-0000-0400-00000C000000}" name="дата регистрации " dataDxfId="1067"/>
    <tableColumn id="13" xr3:uid="{00000000-0010-0000-0400-00000D000000}" name="форма сдачи" dataDxfId="1066"/>
    <tableColumn id="14" xr3:uid="{00000000-0010-0000-0400-00000E000000}" name="ФИО клиента" dataDxfId="1065"/>
    <tableColumn id="15" xr3:uid="{00000000-0010-0000-0400-00000F000000}" name="Столбец3" dataDxfId="1064"/>
    <tableColumn id="16" xr3:uid="{00000000-0010-0000-0400-000010000000}" name="Подробный комментарий МОП" dataDxfId="1063"/>
    <tableColumn id="17" xr3:uid="{00000000-0010-0000-0400-000011000000}" name="КТУ" dataDxfId="1062"/>
    <tableColumn id="18" xr3:uid="{00000000-0010-0000-0400-000012000000}" name="Столбец1" dataDxfId="1061"/>
    <tableColumn id="19" xr3:uid="{00000000-0010-0000-0400-000013000000}" name="Столбец2" dataDxfId="1060"/>
    <tableColumn id="22" xr3:uid="{00000000-0010-0000-0400-000016000000}" name="сумма без отделки" dataDxfId="1059">
      <calculatedColumnFormula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5000000}" name="Октябрь21" displayName="Октябрь21" ref="A2:U70" totalsRowShown="0">
  <autoFilter ref="A2:U70" xr:uid="{00000000-0009-0000-0100-00000E000000}"/>
  <sortState xmlns:xlrd2="http://schemas.microsoft.com/office/spreadsheetml/2017/richdata2" ref="A2:U70">
    <sortCondition ref="J2:J70"/>
  </sortState>
  <tableColumns count="21">
    <tableColumn id="1" xr3:uid="{00000000-0010-0000-0500-000001000000}" name="№" dataDxfId="1058"/>
    <tableColumn id="2" xr3:uid="{00000000-0010-0000-0500-000002000000}" name="квартира " dataDxfId="1057"/>
    <tableColumn id="3" xr3:uid="{00000000-0010-0000-0500-000003000000}" name="заявка №" dataDxfId="1056"/>
    <tableColumn id="4" xr3:uid="{00000000-0010-0000-0500-000004000000}" name="МОП" dataDxfId="1055"/>
    <tableColumn id="5" xr3:uid="{00000000-0010-0000-0500-000005000000}" name="м2" dataDxfId="1054"/>
    <tableColumn id="20" xr3:uid="{00000000-0010-0000-0500-000014000000}" name="Отделка" dataDxfId="1053"/>
    <tableColumn id="6" xr3:uid="{00000000-0010-0000-0500-000006000000}" name="№ дома" dataDxfId="1052"/>
    <tableColumn id="7" xr3:uid="{00000000-0010-0000-0500-000007000000}" name="ИМ" dataDxfId="1051"/>
    <tableColumn id="8" xr3:uid="{00000000-0010-0000-0500-000008000000}" name="сумма" dataDxfId="1050"/>
    <tableColumn id="9" xr3:uid="{00000000-0010-0000-0500-000009000000}" name="Ком" dataDxfId="1049"/>
    <tableColumn id="10" xr3:uid="{00000000-0010-0000-0500-00000A000000}" name="форма опл" dataDxfId="1048"/>
    <tableColumn id="11" xr3:uid="{00000000-0010-0000-0500-00000B000000}" name="Тип брони" dataDxfId="1047"/>
    <tableColumn id="12" xr3:uid="{00000000-0010-0000-0500-00000C000000}" name="дата регистрации " dataDxfId="1046"/>
    <tableColumn id="13" xr3:uid="{00000000-0010-0000-0500-00000D000000}" name="форма сдачи" dataDxfId="1045"/>
    <tableColumn id="14" xr3:uid="{00000000-0010-0000-0500-00000E000000}" name="ФИО клиента" dataDxfId="1044"/>
    <tableColumn id="15" xr3:uid="{00000000-0010-0000-0500-00000F000000}" name="комментарий ИМ" dataDxfId="1043"/>
    <tableColumn id="16" xr3:uid="{00000000-0010-0000-0500-000010000000}" name="Подробный комментарий МОП" dataDxfId="1042"/>
    <tableColumn id="17" xr3:uid="{00000000-0010-0000-0500-000011000000}" name="КТУ" dataDxfId="1041"/>
    <tableColumn id="18" xr3:uid="{00000000-0010-0000-0500-000012000000}" name="Столбец1" dataDxfId="1040"/>
    <tableColumn id="19" xr3:uid="{00000000-0010-0000-0500-000013000000}" name="Столбец2" dataDxfId="1039"/>
    <tableColumn id="22" xr3:uid="{00000000-0010-0000-0500-000016000000}" name="сумма без отделки" dataDxfId="1038">
      <calculatedColumnFormula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6000000}" name="Октябрь2126" displayName="Октябрь2126" ref="A2:U62" totalsRowShown="0">
  <autoFilter ref="A2:U62" xr:uid="{00000000-0009-0000-0100-000019000000}"/>
  <tableColumns count="21">
    <tableColumn id="1" xr3:uid="{00000000-0010-0000-0600-000001000000}" name="№п/п" dataDxfId="1037"/>
    <tableColumn id="2" xr3:uid="{00000000-0010-0000-0600-000002000000}" name="квартира " dataDxfId="1036"/>
    <tableColumn id="3" xr3:uid="{00000000-0010-0000-0600-000003000000}" name="заявка №" dataDxfId="1035"/>
    <tableColumn id="4" xr3:uid="{00000000-0010-0000-0600-000004000000}" name="МОП" dataDxfId="1034"/>
    <tableColumn id="5" xr3:uid="{00000000-0010-0000-0600-000005000000}" name="м2" dataDxfId="1033"/>
    <tableColumn id="20" xr3:uid="{00000000-0010-0000-0600-000014000000}" name="Отделка" dataDxfId="1032"/>
    <tableColumn id="6" xr3:uid="{00000000-0010-0000-0600-000006000000}" name="№ дома" dataDxfId="1031"/>
    <tableColumn id="7" xr3:uid="{00000000-0010-0000-0600-000007000000}" name="ИМ" dataDxfId="1030"/>
    <tableColumn id="8" xr3:uid="{00000000-0010-0000-0600-000008000000}" name="сумма" dataDxfId="1029"/>
    <tableColumn id="9" xr3:uid="{00000000-0010-0000-0600-000009000000}" name="Ком" dataDxfId="1028"/>
    <tableColumn id="10" xr3:uid="{00000000-0010-0000-0600-00000A000000}" name="форма опл" dataDxfId="1027"/>
    <tableColumn id="11" xr3:uid="{00000000-0010-0000-0600-00000B000000}" name="Тип брони" dataDxfId="1026"/>
    <tableColumn id="12" xr3:uid="{00000000-0010-0000-0600-00000C000000}" name="дата регистрации " dataDxfId="1025"/>
    <tableColumn id="13" xr3:uid="{00000000-0010-0000-0600-00000D000000}" name="форма сдачи" dataDxfId="1024"/>
    <tableColumn id="14" xr3:uid="{00000000-0010-0000-0600-00000E000000}" name="ФИО клиента" dataDxfId="1023"/>
    <tableColumn id="15" xr3:uid="{00000000-0010-0000-0600-00000F000000}" name="комментарий ИМ" dataDxfId="1022"/>
    <tableColumn id="16" xr3:uid="{00000000-0010-0000-0600-000010000000}" name="Подробный комментарий МОП" dataDxfId="1021"/>
    <tableColumn id="17" xr3:uid="{00000000-0010-0000-0600-000011000000}" name="КТУ" dataDxfId="1020"/>
    <tableColumn id="18" xr3:uid="{00000000-0010-0000-0600-000012000000}" name="Столбец1" dataDxfId="1019"/>
    <tableColumn id="19" xr3:uid="{00000000-0010-0000-0600-000013000000}" name="Столбец2" dataDxfId="1018"/>
    <tableColumn id="22" xr3:uid="{00000000-0010-0000-0600-000016000000}" name="сумма без отделки" dataDxfId="1017">
      <calculatedColumnFormula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7000000}" name="декабрь21" displayName="декабрь21" ref="A2:U65" totalsRowShown="0">
  <autoFilter ref="A2:U65" xr:uid="{00000000-0009-0000-0100-00001A000000}"/>
  <tableColumns count="21">
    <tableColumn id="1" xr3:uid="{00000000-0010-0000-0700-000001000000}" name="№п/п" dataDxfId="1016"/>
    <tableColumn id="2" xr3:uid="{00000000-0010-0000-0700-000002000000}" name="квартира " dataDxfId="1015"/>
    <tableColumn id="3" xr3:uid="{00000000-0010-0000-0700-000003000000}" name="заявка №" dataDxfId="1014"/>
    <tableColumn id="4" xr3:uid="{00000000-0010-0000-0700-000004000000}" name="МОП" dataDxfId="1013"/>
    <tableColumn id="5" xr3:uid="{00000000-0010-0000-0700-000005000000}" name="м2" dataDxfId="1012"/>
    <tableColumn id="20" xr3:uid="{00000000-0010-0000-0700-000014000000}" name="Отделка" dataDxfId="1011"/>
    <tableColumn id="6" xr3:uid="{00000000-0010-0000-0700-000006000000}" name="№ дома" dataDxfId="1010"/>
    <tableColumn id="7" xr3:uid="{00000000-0010-0000-0700-000007000000}" name="ИМ" dataDxfId="1009"/>
    <tableColumn id="8" xr3:uid="{00000000-0010-0000-0700-000008000000}" name="сумма" dataDxfId="1008"/>
    <tableColumn id="9" xr3:uid="{00000000-0010-0000-0700-000009000000}" name="Ком" dataDxfId="1007"/>
    <tableColumn id="10" xr3:uid="{00000000-0010-0000-0700-00000A000000}" name="форма опл" dataDxfId="1006"/>
    <tableColumn id="11" xr3:uid="{00000000-0010-0000-0700-00000B000000}" name="Тип брони" dataDxfId="1005"/>
    <tableColumn id="12" xr3:uid="{00000000-0010-0000-0700-00000C000000}" name="дата регистрации " dataDxfId="1004"/>
    <tableColumn id="13" xr3:uid="{00000000-0010-0000-0700-00000D000000}" name="форма сдачи" dataDxfId="1003"/>
    <tableColumn id="14" xr3:uid="{00000000-0010-0000-0700-00000E000000}" name="ФИО клиента" dataDxfId="1002"/>
    <tableColumn id="15" xr3:uid="{00000000-0010-0000-0700-00000F000000}" name="комментарий ИМ" dataDxfId="1001"/>
    <tableColumn id="16" xr3:uid="{00000000-0010-0000-0700-000010000000}" name="Подробный комментарий МОП" dataDxfId="1000"/>
    <tableColumn id="17" xr3:uid="{00000000-0010-0000-0700-000011000000}" name="КТУ" dataDxfId="999"/>
    <tableColumn id="18" xr3:uid="{00000000-0010-0000-0700-000012000000}" name="Столбец1" dataDxfId="998"/>
    <tableColumn id="19" xr3:uid="{00000000-0010-0000-0700-000013000000}" name="Столбец2" dataDxfId="997"/>
    <tableColumn id="22" xr3:uid="{00000000-0010-0000-0700-000016000000}" name="сумма без отделки" dataDxfId="996">
      <calculatedColumnFormula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8000000}" name="декабрь2128" displayName="декабрь2128" ref="A2:U52" totalsRowShown="0">
  <autoFilter ref="A2:U52" xr:uid="{00000000-0009-0000-0100-00001B000000}"/>
  <tableColumns count="21">
    <tableColumn id="1" xr3:uid="{00000000-0010-0000-0800-000001000000}" name="№п/п" dataDxfId="995"/>
    <tableColumn id="2" xr3:uid="{00000000-0010-0000-0800-000002000000}" name="квартира " dataDxfId="994"/>
    <tableColumn id="3" xr3:uid="{00000000-0010-0000-0800-000003000000}" name="заявка №" dataDxfId="993"/>
    <tableColumn id="4" xr3:uid="{00000000-0010-0000-0800-000004000000}" name="МОП" dataDxfId="992"/>
    <tableColumn id="5" xr3:uid="{00000000-0010-0000-0800-000005000000}" name="м2" dataDxfId="991"/>
    <tableColumn id="20" xr3:uid="{00000000-0010-0000-0800-000014000000}" name="Отделка" dataDxfId="990"/>
    <tableColumn id="6" xr3:uid="{00000000-0010-0000-0800-000006000000}" name="№ дома" dataDxfId="989"/>
    <tableColumn id="7" xr3:uid="{00000000-0010-0000-0800-000007000000}" name="ИМ" dataDxfId="988"/>
    <tableColumn id="8" xr3:uid="{00000000-0010-0000-0800-000008000000}" name="сумма" dataDxfId="987"/>
    <tableColumn id="9" xr3:uid="{00000000-0010-0000-0800-000009000000}" name="Ком" dataDxfId="986"/>
    <tableColumn id="10" xr3:uid="{00000000-0010-0000-0800-00000A000000}" name="форма опл" dataDxfId="985"/>
    <tableColumn id="11" xr3:uid="{00000000-0010-0000-0800-00000B000000}" name="Тип брони" dataDxfId="984"/>
    <tableColumn id="12" xr3:uid="{00000000-0010-0000-0800-00000C000000}" name="дата регистрации " dataDxfId="983"/>
    <tableColumn id="13" xr3:uid="{00000000-0010-0000-0800-00000D000000}" name="форма сдачи" dataDxfId="982"/>
    <tableColumn id="14" xr3:uid="{00000000-0010-0000-0800-00000E000000}" name="ФИО клиента" dataDxfId="981"/>
    <tableColumn id="15" xr3:uid="{00000000-0010-0000-0800-00000F000000}" name="комментарий ИМ" dataDxfId="980"/>
    <tableColumn id="16" xr3:uid="{00000000-0010-0000-0800-000010000000}" name="Подробный комментарий МОП" dataDxfId="979"/>
    <tableColumn id="17" xr3:uid="{00000000-0010-0000-0800-000011000000}" name="КТУ" dataDxfId="978"/>
    <tableColumn id="18" xr3:uid="{00000000-0010-0000-0800-000012000000}" name="Столбец1" dataDxfId="977"/>
    <tableColumn id="19" xr3:uid="{00000000-0010-0000-0800-000013000000}" name="Столбец2" dataDxfId="976"/>
    <tableColumn id="22" xr3:uid="{00000000-0010-0000-0800-000016000000}" name="сумма без отделки" dataDxfId="975">
      <calculatedColumnFormula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9000000}" name="Февраль2022" displayName="Февраль2022" ref="A2:U64" totalsRowShown="0">
  <autoFilter ref="A2:U64" xr:uid="{00000000-0009-0000-0100-00001C000000}"/>
  <tableColumns count="21">
    <tableColumn id="1" xr3:uid="{00000000-0010-0000-0900-000001000000}" name="№п/п" dataDxfId="974"/>
    <tableColumn id="2" xr3:uid="{00000000-0010-0000-0900-000002000000}" name="квартира " dataDxfId="973"/>
    <tableColumn id="3" xr3:uid="{00000000-0010-0000-0900-000003000000}" name="заявка №" dataDxfId="972"/>
    <tableColumn id="4" xr3:uid="{00000000-0010-0000-0900-000004000000}" name="МОП" dataDxfId="971"/>
    <tableColumn id="5" xr3:uid="{00000000-0010-0000-0900-000005000000}" name="м2" dataDxfId="970"/>
    <tableColumn id="20" xr3:uid="{00000000-0010-0000-0900-000014000000}" name="Отделка" dataDxfId="969"/>
    <tableColumn id="6" xr3:uid="{00000000-0010-0000-0900-000006000000}" name="№ дома" dataDxfId="968"/>
    <tableColumn id="7" xr3:uid="{00000000-0010-0000-0900-000007000000}" name="ИМ" dataDxfId="967"/>
    <tableColumn id="8" xr3:uid="{00000000-0010-0000-0900-000008000000}" name="сумма" dataDxfId="966"/>
    <tableColumn id="9" xr3:uid="{00000000-0010-0000-0900-000009000000}" name="Ком" dataDxfId="965"/>
    <tableColumn id="10" xr3:uid="{00000000-0010-0000-0900-00000A000000}" name="форма опл" dataDxfId="964"/>
    <tableColumn id="11" xr3:uid="{00000000-0010-0000-0900-00000B000000}" name="Тип брони" dataDxfId="963"/>
    <tableColumn id="12" xr3:uid="{00000000-0010-0000-0900-00000C000000}" name="дата регистрации " dataDxfId="962"/>
    <tableColumn id="13" xr3:uid="{00000000-0010-0000-0900-00000D000000}" name="форма сдачи" dataDxfId="961"/>
    <tableColumn id="14" xr3:uid="{00000000-0010-0000-0900-00000E000000}" name="ФИО клиента" dataDxfId="960"/>
    <tableColumn id="15" xr3:uid="{00000000-0010-0000-0900-00000F000000}" name="комментарий ИМ" dataDxfId="959"/>
    <tableColumn id="16" xr3:uid="{00000000-0010-0000-0900-000010000000}" name="Подробный комментарий МОП" dataDxfId="958"/>
    <tableColumn id="17" xr3:uid="{00000000-0010-0000-0900-000011000000}" name="КТУ" dataDxfId="957"/>
    <tableColumn id="18" xr3:uid="{00000000-0010-0000-0900-000012000000}" name="Столбец1" dataDxfId="956"/>
    <tableColumn id="19" xr3:uid="{00000000-0010-0000-0900-000013000000}" name="Столбец2" dataDxfId="955"/>
    <tableColumn id="22" xr3:uid="{00000000-0010-0000-0900-000016000000}" name="сумма без отделки" dataDxfId="954">
      <calculatedColumnFormula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A000000}" name="Октябрь2124" displayName="Октябрь2124" ref="A2:U80" totalsRowShown="0">
  <autoFilter ref="A2:U80" xr:uid="{00000000-0009-0000-0100-000017000000}"/>
  <tableColumns count="21">
    <tableColumn id="1" xr3:uid="{00000000-0010-0000-0A00-000001000000}" name="№" dataDxfId="953"/>
    <tableColumn id="2" xr3:uid="{00000000-0010-0000-0A00-000002000000}" name="квартира " dataDxfId="952"/>
    <tableColumn id="3" xr3:uid="{00000000-0010-0000-0A00-000003000000}" name="заявка №" dataDxfId="951"/>
    <tableColumn id="4" xr3:uid="{00000000-0010-0000-0A00-000004000000}" name="МОП" dataDxfId="950"/>
    <tableColumn id="5" xr3:uid="{00000000-0010-0000-0A00-000005000000}" name="м2" dataDxfId="949"/>
    <tableColumn id="20" xr3:uid="{00000000-0010-0000-0A00-000014000000}" name="Отделка" dataDxfId="948"/>
    <tableColumn id="6" xr3:uid="{00000000-0010-0000-0A00-000006000000}" name="№ дома" dataDxfId="947"/>
    <tableColumn id="7" xr3:uid="{00000000-0010-0000-0A00-000007000000}" name="ИМ" dataDxfId="946"/>
    <tableColumn id="8" xr3:uid="{00000000-0010-0000-0A00-000008000000}" name="сумма" dataDxfId="945"/>
    <tableColumn id="9" xr3:uid="{00000000-0010-0000-0A00-000009000000}" name="Ком" dataDxfId="944"/>
    <tableColumn id="10" xr3:uid="{00000000-0010-0000-0A00-00000A000000}" name="форма опл" dataDxfId="943"/>
    <tableColumn id="11" xr3:uid="{00000000-0010-0000-0A00-00000B000000}" name="Тип брони" dataDxfId="942"/>
    <tableColumn id="12" xr3:uid="{00000000-0010-0000-0A00-00000C000000}" name="дата регистрации " dataDxfId="941"/>
    <tableColumn id="13" xr3:uid="{00000000-0010-0000-0A00-00000D000000}" name="форма сдачи" dataDxfId="940"/>
    <tableColumn id="14" xr3:uid="{00000000-0010-0000-0A00-00000E000000}" name="ФИО клиента" dataDxfId="939"/>
    <tableColumn id="15" xr3:uid="{00000000-0010-0000-0A00-00000F000000}" name="комментарий ИМ" dataDxfId="938"/>
    <tableColumn id="16" xr3:uid="{00000000-0010-0000-0A00-000010000000}" name="Подробный комментарий МОП" dataDxfId="937"/>
    <tableColumn id="17" xr3:uid="{00000000-0010-0000-0A00-000011000000}" name="КТУ" dataDxfId="936"/>
    <tableColumn id="18" xr3:uid="{00000000-0010-0000-0A00-000012000000}" name="Столбец1" dataDxfId="935"/>
    <tableColumn id="19" xr3:uid="{00000000-0010-0000-0A00-000013000000}" name="Столбец2" dataDxfId="934"/>
    <tableColumn id="22" xr3:uid="{00000000-0010-0000-0A00-000016000000}" name="сумма без отделки" dataDxfId="933">
      <calculatedColumnFormula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B000000}" name="Февраль202230" displayName="Февраль202230" ref="A2:U81" totalsRowShown="0">
  <autoFilter ref="A2:U81" xr:uid="{00000000-0009-0000-0100-00001D000000}"/>
  <tableColumns count="21">
    <tableColumn id="1" xr3:uid="{00000000-0010-0000-0B00-000001000000}" name="№п/п" dataDxfId="932"/>
    <tableColumn id="2" xr3:uid="{00000000-0010-0000-0B00-000002000000}" name="квартира " dataDxfId="931"/>
    <tableColumn id="3" xr3:uid="{00000000-0010-0000-0B00-000003000000}" name="заявка №" dataDxfId="930"/>
    <tableColumn id="4" xr3:uid="{00000000-0010-0000-0B00-000004000000}" name="МОП" dataDxfId="929"/>
    <tableColumn id="5" xr3:uid="{00000000-0010-0000-0B00-000005000000}" name="м2" dataDxfId="928"/>
    <tableColumn id="20" xr3:uid="{00000000-0010-0000-0B00-000014000000}" name="Отделка" dataDxfId="927"/>
    <tableColumn id="6" xr3:uid="{00000000-0010-0000-0B00-000006000000}" name="№ дома" dataDxfId="926"/>
    <tableColumn id="7" xr3:uid="{00000000-0010-0000-0B00-000007000000}" name="ИМ" dataDxfId="925"/>
    <tableColumn id="8" xr3:uid="{00000000-0010-0000-0B00-000008000000}" name="сумма" dataDxfId="924"/>
    <tableColumn id="9" xr3:uid="{00000000-0010-0000-0B00-000009000000}" name="Ком" dataDxfId="923"/>
    <tableColumn id="10" xr3:uid="{00000000-0010-0000-0B00-00000A000000}" name="форма опл" dataDxfId="922"/>
    <tableColumn id="11" xr3:uid="{00000000-0010-0000-0B00-00000B000000}" name="Тип брони" dataDxfId="921"/>
    <tableColumn id="12" xr3:uid="{00000000-0010-0000-0B00-00000C000000}" name="дата регистрации " dataDxfId="920"/>
    <tableColumn id="13" xr3:uid="{00000000-0010-0000-0B00-00000D000000}" name="форма сдачи" dataDxfId="919"/>
    <tableColumn id="14" xr3:uid="{00000000-0010-0000-0B00-00000E000000}" name="ФИО клиента" dataDxfId="918"/>
    <tableColumn id="15" xr3:uid="{00000000-0010-0000-0B00-00000F000000}" name="комментарий ИМ" dataDxfId="917"/>
    <tableColumn id="16" xr3:uid="{00000000-0010-0000-0B00-000010000000}" name="Подробный комментарий МОП" dataDxfId="916"/>
    <tableColumn id="17" xr3:uid="{00000000-0010-0000-0B00-000011000000}" name="КТУ" dataDxfId="915"/>
    <tableColumn id="18" xr3:uid="{00000000-0010-0000-0B00-000012000000}" name="Столбец1" dataDxfId="914"/>
    <tableColumn id="19" xr3:uid="{00000000-0010-0000-0B00-000013000000}" name="Столбец2" dataDxfId="913"/>
    <tableColumn id="22" xr3:uid="{00000000-0010-0000-0B00-000016000000}" name="сумма без отделки" dataDxfId="912">
      <calculatedColumnFormula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C000000}" name="Апрель2022" displayName="Апрель2022" ref="A2:U82" totalsRowShown="0">
  <autoFilter ref="A2:U82" xr:uid="{00000000-0009-0000-0100-00001F000000}"/>
  <tableColumns count="21">
    <tableColumn id="1" xr3:uid="{00000000-0010-0000-0C00-000001000000}" name="№п/п" dataDxfId="911"/>
    <tableColumn id="2" xr3:uid="{00000000-0010-0000-0C00-000002000000}" name="квартира " dataDxfId="910"/>
    <tableColumn id="3" xr3:uid="{00000000-0010-0000-0C00-000003000000}" name="заявка №" dataDxfId="909"/>
    <tableColumn id="4" xr3:uid="{00000000-0010-0000-0C00-000004000000}" name="МОП" dataDxfId="908"/>
    <tableColumn id="5" xr3:uid="{00000000-0010-0000-0C00-000005000000}" name="м2" dataDxfId="907"/>
    <tableColumn id="20" xr3:uid="{00000000-0010-0000-0C00-000014000000}" name="Отделка" dataDxfId="906"/>
    <tableColumn id="6" xr3:uid="{00000000-0010-0000-0C00-000006000000}" name="№ дома" dataDxfId="905"/>
    <tableColumn id="7" xr3:uid="{00000000-0010-0000-0C00-000007000000}" name="ИМ" dataDxfId="904"/>
    <tableColumn id="8" xr3:uid="{00000000-0010-0000-0C00-000008000000}" name="сумма" dataDxfId="903"/>
    <tableColumn id="9" xr3:uid="{00000000-0010-0000-0C00-000009000000}" name="Ком" dataDxfId="902"/>
    <tableColumn id="10" xr3:uid="{00000000-0010-0000-0C00-00000A000000}" name="форма опл" dataDxfId="901"/>
    <tableColumn id="11" xr3:uid="{00000000-0010-0000-0C00-00000B000000}" name="Тип брони" dataDxfId="900"/>
    <tableColumn id="12" xr3:uid="{00000000-0010-0000-0C00-00000C000000}" name="дата регистрации " dataDxfId="899"/>
    <tableColumn id="13" xr3:uid="{00000000-0010-0000-0C00-00000D000000}" name="форма сдачи" dataDxfId="898"/>
    <tableColumn id="14" xr3:uid="{00000000-0010-0000-0C00-00000E000000}" name="ФИО клиента" dataDxfId="897"/>
    <tableColumn id="15" xr3:uid="{00000000-0010-0000-0C00-00000F000000}" name="комментарий ИМ" dataDxfId="896"/>
    <tableColumn id="16" xr3:uid="{00000000-0010-0000-0C00-000010000000}" name="Подробный комментарий МОП" dataDxfId="895"/>
    <tableColumn id="17" xr3:uid="{00000000-0010-0000-0C00-000011000000}" name="КТУ" dataDxfId="894"/>
    <tableColumn id="18" xr3:uid="{00000000-0010-0000-0C00-000012000000}" name="Столбец1" dataDxfId="893"/>
    <tableColumn id="19" xr3:uid="{00000000-0010-0000-0C00-000013000000}" name="Столбец2" dataDxfId="892"/>
    <tableColumn id="22" xr3:uid="{00000000-0010-0000-0C00-000016000000}" name="сумма без отделки" dataDxfId="891">
      <calculatedColumnFormula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D000000}" name="Май2022" displayName="Май2022" ref="A2:U82" totalsRowShown="0">
  <autoFilter ref="A2:U82" xr:uid="{00000000-0009-0000-0100-000020000000}"/>
  <tableColumns count="21">
    <tableColumn id="1" xr3:uid="{00000000-0010-0000-0D00-000001000000}" name="№п/п" dataDxfId="890"/>
    <tableColumn id="2" xr3:uid="{00000000-0010-0000-0D00-000002000000}" name="квартира " dataDxfId="889"/>
    <tableColumn id="3" xr3:uid="{00000000-0010-0000-0D00-000003000000}" name="заявка №" dataDxfId="888"/>
    <tableColumn id="4" xr3:uid="{00000000-0010-0000-0D00-000004000000}" name="МОП" dataDxfId="887"/>
    <tableColumn id="5" xr3:uid="{00000000-0010-0000-0D00-000005000000}" name="м2" dataDxfId="886"/>
    <tableColumn id="20" xr3:uid="{00000000-0010-0000-0D00-000014000000}" name="Отделка" dataDxfId="885"/>
    <tableColumn id="6" xr3:uid="{00000000-0010-0000-0D00-000006000000}" name="№ дома" dataDxfId="884"/>
    <tableColumn id="7" xr3:uid="{00000000-0010-0000-0D00-000007000000}" name="ИМ" dataDxfId="883"/>
    <tableColumn id="8" xr3:uid="{00000000-0010-0000-0D00-000008000000}" name="сумма" dataDxfId="882"/>
    <tableColumn id="9" xr3:uid="{00000000-0010-0000-0D00-000009000000}" name="Ком" dataDxfId="881"/>
    <tableColumn id="10" xr3:uid="{00000000-0010-0000-0D00-00000A000000}" name="форма опл" dataDxfId="880"/>
    <tableColumn id="11" xr3:uid="{00000000-0010-0000-0D00-00000B000000}" name="Тип брони" dataDxfId="879"/>
    <tableColumn id="12" xr3:uid="{00000000-0010-0000-0D00-00000C000000}" name="дата регистрации " dataDxfId="878"/>
    <tableColumn id="13" xr3:uid="{00000000-0010-0000-0D00-00000D000000}" name="форма сдачи" dataDxfId="877"/>
    <tableColumn id="14" xr3:uid="{00000000-0010-0000-0D00-00000E000000}" name="ФИО клиента" dataDxfId="876"/>
    <tableColumn id="15" xr3:uid="{00000000-0010-0000-0D00-00000F000000}" name="комментарий ИМ" dataDxfId="875"/>
    <tableColumn id="16" xr3:uid="{00000000-0010-0000-0D00-000010000000}" name="Подробный комментарий МОП" dataDxfId="874"/>
    <tableColumn id="17" xr3:uid="{00000000-0010-0000-0D00-000011000000}" name="КТУ" dataDxfId="873"/>
    <tableColumn id="18" xr3:uid="{00000000-0010-0000-0D00-000012000000}" name="Столбец1" dataDxfId="872"/>
    <tableColumn id="19" xr3:uid="{00000000-0010-0000-0D00-000013000000}" name="Столбец2" dataDxfId="871"/>
    <tableColumn id="22" xr3:uid="{00000000-0010-0000-0D00-000016000000}" name="сумма без отделки" dataDxfId="870">
      <calculatedColumnFormula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E000000}" name="Май202234" displayName="Май202234" ref="A2:U77" totalsRowShown="0">
  <autoFilter ref="A2:U77" xr:uid="{00000000-0009-0000-0100-000021000000}">
    <filterColumn colId="9">
      <filters>
        <filter val="0"/>
        <filter val="1"/>
      </filters>
    </filterColumn>
  </autoFilter>
  <tableColumns count="21">
    <tableColumn id="1" xr3:uid="{00000000-0010-0000-0E00-000001000000}" name="№п/п" dataDxfId="869"/>
    <tableColumn id="2" xr3:uid="{00000000-0010-0000-0E00-000002000000}" name="квартира " dataDxfId="868"/>
    <tableColumn id="3" xr3:uid="{00000000-0010-0000-0E00-000003000000}" name="заявка №" dataDxfId="867"/>
    <tableColumn id="4" xr3:uid="{00000000-0010-0000-0E00-000004000000}" name="МОП" dataDxfId="866"/>
    <tableColumn id="5" xr3:uid="{00000000-0010-0000-0E00-000005000000}" name="м2" dataDxfId="865"/>
    <tableColumn id="20" xr3:uid="{00000000-0010-0000-0E00-000014000000}" name="Отделка" dataDxfId="864"/>
    <tableColumn id="6" xr3:uid="{00000000-0010-0000-0E00-000006000000}" name="№ дома" dataDxfId="863"/>
    <tableColumn id="7" xr3:uid="{00000000-0010-0000-0E00-000007000000}" name="ИМ" dataDxfId="862"/>
    <tableColumn id="8" xr3:uid="{00000000-0010-0000-0E00-000008000000}" name="сумма" dataDxfId="861"/>
    <tableColumn id="9" xr3:uid="{00000000-0010-0000-0E00-000009000000}" name="Ком" dataDxfId="860"/>
    <tableColumn id="10" xr3:uid="{00000000-0010-0000-0E00-00000A000000}" name="форма опл" dataDxfId="859"/>
    <tableColumn id="11" xr3:uid="{00000000-0010-0000-0E00-00000B000000}" name="Тип брони" dataDxfId="858"/>
    <tableColumn id="12" xr3:uid="{00000000-0010-0000-0E00-00000C000000}" name="дата регистрации " dataDxfId="857"/>
    <tableColumn id="13" xr3:uid="{00000000-0010-0000-0E00-00000D000000}" name="форма сдачи" dataDxfId="856"/>
    <tableColumn id="14" xr3:uid="{00000000-0010-0000-0E00-00000E000000}" name="ФИО клиента" dataDxfId="855"/>
    <tableColumn id="15" xr3:uid="{00000000-0010-0000-0E00-00000F000000}" name="комментарий ИМ" dataDxfId="854"/>
    <tableColumn id="16" xr3:uid="{00000000-0010-0000-0E00-000010000000}" name="Подробный комментарий МОП" dataDxfId="853"/>
    <tableColumn id="17" xr3:uid="{00000000-0010-0000-0E00-000011000000}" name="КТУ" dataDxfId="852"/>
    <tableColumn id="18" xr3:uid="{00000000-0010-0000-0E00-000012000000}" name="Столбец1" dataDxfId="851"/>
    <tableColumn id="19" xr3:uid="{00000000-0010-0000-0E00-000013000000}" name="Столбец2" dataDxfId="850"/>
    <tableColumn id="22" xr3:uid="{00000000-0010-0000-0E00-000016000000}" name="сумма без отделки" dataDxfId="849">
      <calculatedColumnFormula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F000000}" name="Май2022349" displayName="Май2022349" ref="A2:U76" totalsRowShown="0">
  <autoFilter ref="A2:U76" xr:uid="{00000000-0009-0000-0100-000008000000}"/>
  <tableColumns count="21">
    <tableColumn id="1" xr3:uid="{00000000-0010-0000-0F00-000001000000}" name="№п/п" dataDxfId="848"/>
    <tableColumn id="2" xr3:uid="{00000000-0010-0000-0F00-000002000000}" name="квартира " dataDxfId="847"/>
    <tableColumn id="3" xr3:uid="{00000000-0010-0000-0F00-000003000000}" name="заявка №" dataDxfId="846"/>
    <tableColumn id="4" xr3:uid="{00000000-0010-0000-0F00-000004000000}" name="МОП" dataDxfId="845"/>
    <tableColumn id="5" xr3:uid="{00000000-0010-0000-0F00-000005000000}" name="м2" dataDxfId="844"/>
    <tableColumn id="20" xr3:uid="{00000000-0010-0000-0F00-000014000000}" name="Отделка" dataDxfId="843"/>
    <tableColumn id="6" xr3:uid="{00000000-0010-0000-0F00-000006000000}" name="№ дома" dataDxfId="842"/>
    <tableColumn id="7" xr3:uid="{00000000-0010-0000-0F00-000007000000}" name="ИМ" dataDxfId="841"/>
    <tableColumn id="8" xr3:uid="{00000000-0010-0000-0F00-000008000000}" name="сумма" dataDxfId="840"/>
    <tableColumn id="9" xr3:uid="{00000000-0010-0000-0F00-000009000000}" name="Ком" dataDxfId="839"/>
    <tableColumn id="10" xr3:uid="{00000000-0010-0000-0F00-00000A000000}" name="форма опл" dataDxfId="838"/>
    <tableColumn id="11" xr3:uid="{00000000-0010-0000-0F00-00000B000000}" name="Тип брони" dataDxfId="837"/>
    <tableColumn id="12" xr3:uid="{00000000-0010-0000-0F00-00000C000000}" name="дата регистрации " dataDxfId="836"/>
    <tableColumn id="13" xr3:uid="{00000000-0010-0000-0F00-00000D000000}" name="форма сдачи" dataDxfId="835"/>
    <tableColumn id="14" xr3:uid="{00000000-0010-0000-0F00-00000E000000}" name="ФИО клиента" dataDxfId="834"/>
    <tableColumn id="15" xr3:uid="{00000000-0010-0000-0F00-00000F000000}" name="комментарий ИМ" dataDxfId="833"/>
    <tableColumn id="16" xr3:uid="{00000000-0010-0000-0F00-000010000000}" name="Подробный комментарий МОП" dataDxfId="832"/>
    <tableColumn id="17" xr3:uid="{00000000-0010-0000-0F00-000011000000}" name="КТУ" dataDxfId="831"/>
    <tableColumn id="18" xr3:uid="{00000000-0010-0000-0F00-000012000000}" name="Столбец1" dataDxfId="830"/>
    <tableColumn id="19" xr3:uid="{00000000-0010-0000-0F00-000013000000}" name="Столбец2" dataDxfId="829"/>
    <tableColumn id="22" xr3:uid="{00000000-0010-0000-0F00-000016000000}" name="сумма без отделки" dataDxfId="828">
      <calculatedColumnFormula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0000000}" name="Август2022" displayName="Август2022" ref="A2:U73" totalsRowShown="0">
  <autoFilter ref="A2:U73" xr:uid="{00000000-0009-0000-0100-00001E000000}">
    <filterColumn colId="3">
      <filters blank="1"/>
    </filterColumn>
  </autoFilter>
  <tableColumns count="21">
    <tableColumn id="1" xr3:uid="{00000000-0010-0000-1000-000001000000}" name="№п/п" dataDxfId="827"/>
    <tableColumn id="2" xr3:uid="{00000000-0010-0000-1000-000002000000}" name="квартира " dataDxfId="826"/>
    <tableColumn id="3" xr3:uid="{00000000-0010-0000-1000-000003000000}" name="заявка №" dataDxfId="825"/>
    <tableColumn id="4" xr3:uid="{00000000-0010-0000-1000-000004000000}" name="МОП" dataDxfId="824"/>
    <tableColumn id="5" xr3:uid="{00000000-0010-0000-1000-000005000000}" name="м2" dataDxfId="823"/>
    <tableColumn id="20" xr3:uid="{00000000-0010-0000-1000-000014000000}" name="Отделка" dataDxfId="822"/>
    <tableColumn id="6" xr3:uid="{00000000-0010-0000-1000-000006000000}" name="№ дома" dataDxfId="821"/>
    <tableColumn id="7" xr3:uid="{00000000-0010-0000-1000-000007000000}" name="ИМ" dataDxfId="820"/>
    <tableColumn id="8" xr3:uid="{00000000-0010-0000-1000-000008000000}" name="сумма" dataDxfId="819"/>
    <tableColumn id="9" xr3:uid="{00000000-0010-0000-1000-000009000000}" name="Ком" dataDxfId="818"/>
    <tableColumn id="10" xr3:uid="{00000000-0010-0000-1000-00000A000000}" name="форма опл" dataDxfId="817"/>
    <tableColumn id="11" xr3:uid="{00000000-0010-0000-1000-00000B000000}" name="Тип брони" dataDxfId="816"/>
    <tableColumn id="12" xr3:uid="{00000000-0010-0000-1000-00000C000000}" name="дата регистрации " dataDxfId="815"/>
    <tableColumn id="13" xr3:uid="{00000000-0010-0000-1000-00000D000000}" name="форма сдачи" dataDxfId="814"/>
    <tableColumn id="14" xr3:uid="{00000000-0010-0000-1000-00000E000000}" name="ФИО клиента" dataDxfId="813"/>
    <tableColumn id="15" xr3:uid="{00000000-0010-0000-1000-00000F000000}" name="комментарий ИМ" dataDxfId="812"/>
    <tableColumn id="16" xr3:uid="{00000000-0010-0000-1000-000010000000}" name="Подробный комментарий МОП" dataDxfId="811"/>
    <tableColumn id="17" xr3:uid="{00000000-0010-0000-1000-000011000000}" name="КТУ" dataDxfId="810"/>
    <tableColumn id="18" xr3:uid="{00000000-0010-0000-1000-000012000000}" name="Столбец1" dataDxfId="809"/>
    <tableColumn id="19" xr3:uid="{00000000-0010-0000-1000-000013000000}" name="Столбец2" dataDxfId="808"/>
    <tableColumn id="22" xr3:uid="{00000000-0010-0000-1000-000016000000}" name="сумма без отделки" dataDxfId="807">
      <calculatedColumnFormula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11000000}" name="Август202236" displayName="Август202236" ref="A2:U70" totalsRowShown="0">
  <autoFilter ref="A2:U70" xr:uid="{00000000-0009-0000-0100-000023000000}"/>
  <tableColumns count="21">
    <tableColumn id="1" xr3:uid="{00000000-0010-0000-1100-000001000000}" name="№п/п" dataDxfId="806"/>
    <tableColumn id="2" xr3:uid="{00000000-0010-0000-1100-000002000000}" name="квартира " dataDxfId="805"/>
    <tableColumn id="3" xr3:uid="{00000000-0010-0000-1100-000003000000}" name="заявка №" dataDxfId="804"/>
    <tableColumn id="4" xr3:uid="{00000000-0010-0000-1100-000004000000}" name="МОП" dataDxfId="803"/>
    <tableColumn id="5" xr3:uid="{00000000-0010-0000-1100-000005000000}" name="м2" dataDxfId="802"/>
    <tableColumn id="20" xr3:uid="{00000000-0010-0000-1100-000014000000}" name="Отделка" dataDxfId="801"/>
    <tableColumn id="6" xr3:uid="{00000000-0010-0000-1100-000006000000}" name="№ дома" dataDxfId="800"/>
    <tableColumn id="7" xr3:uid="{00000000-0010-0000-1100-000007000000}" name="ИМ" dataDxfId="799"/>
    <tableColumn id="8" xr3:uid="{00000000-0010-0000-1100-000008000000}" name="сумма" dataDxfId="798"/>
    <tableColumn id="9" xr3:uid="{00000000-0010-0000-1100-000009000000}" name="Ком" dataDxfId="797"/>
    <tableColumn id="10" xr3:uid="{00000000-0010-0000-1100-00000A000000}" name="форма опл" dataDxfId="796"/>
    <tableColumn id="11" xr3:uid="{00000000-0010-0000-1100-00000B000000}" name="Тип брони" dataDxfId="795"/>
    <tableColumn id="12" xr3:uid="{00000000-0010-0000-1100-00000C000000}" name="дата регистрации " dataDxfId="794"/>
    <tableColumn id="13" xr3:uid="{00000000-0010-0000-1100-00000D000000}" name="форма сдачи" dataDxfId="793"/>
    <tableColumn id="14" xr3:uid="{00000000-0010-0000-1100-00000E000000}" name="ФИО клиента" dataDxfId="792"/>
    <tableColumn id="15" xr3:uid="{00000000-0010-0000-1100-00000F000000}" name="комментарий ИМ" dataDxfId="791"/>
    <tableColumn id="16" xr3:uid="{00000000-0010-0000-1100-000010000000}" name="Подробный комментарий МОП" dataDxfId="790"/>
    <tableColumn id="17" xr3:uid="{00000000-0010-0000-1100-000011000000}" name="КТУ" dataDxfId="789"/>
    <tableColumn id="18" xr3:uid="{00000000-0010-0000-1100-000012000000}" name="Столбец1" dataDxfId="788"/>
    <tableColumn id="19" xr3:uid="{00000000-0010-0000-1100-000013000000}" name="Столбец2" dataDxfId="787"/>
    <tableColumn id="22" xr3:uid="{00000000-0010-0000-1100-000016000000}" name="сумма без отделки" dataDxfId="786">
      <calculatedColumnFormula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2000000}" name="Август2022365" displayName="Август2022365" ref="A2:U73" totalsRowShown="0">
  <autoFilter ref="A2:U73" xr:uid="{00000000-0009-0000-0100-000004000000}"/>
  <tableColumns count="21">
    <tableColumn id="1" xr3:uid="{00000000-0010-0000-1200-000001000000}" name="№п/п" dataDxfId="785"/>
    <tableColumn id="2" xr3:uid="{00000000-0010-0000-1200-000002000000}" name="квартира " dataDxfId="784"/>
    <tableColumn id="3" xr3:uid="{00000000-0010-0000-1200-000003000000}" name="заявка №" dataDxfId="783"/>
    <tableColumn id="4" xr3:uid="{00000000-0010-0000-1200-000004000000}" name="МОП" dataDxfId="782"/>
    <tableColumn id="5" xr3:uid="{00000000-0010-0000-1200-000005000000}" name="м2" dataDxfId="781"/>
    <tableColumn id="20" xr3:uid="{00000000-0010-0000-1200-000014000000}" name="Отделка" dataDxfId="780"/>
    <tableColumn id="6" xr3:uid="{00000000-0010-0000-1200-000006000000}" name="№ дома" dataDxfId="779"/>
    <tableColumn id="7" xr3:uid="{00000000-0010-0000-1200-000007000000}" name="ИМ" dataDxfId="778"/>
    <tableColumn id="8" xr3:uid="{00000000-0010-0000-1200-000008000000}" name="сумма" dataDxfId="777"/>
    <tableColumn id="9" xr3:uid="{00000000-0010-0000-1200-000009000000}" name="Ком" dataDxfId="776"/>
    <tableColumn id="10" xr3:uid="{00000000-0010-0000-1200-00000A000000}" name="форма опл" dataDxfId="775"/>
    <tableColumn id="11" xr3:uid="{00000000-0010-0000-1200-00000B000000}" name="Тип брони" dataDxfId="774"/>
    <tableColumn id="12" xr3:uid="{00000000-0010-0000-1200-00000C000000}" name="дата регистрации " dataDxfId="773"/>
    <tableColumn id="13" xr3:uid="{00000000-0010-0000-1200-00000D000000}" name="форма сдачи" dataDxfId="772"/>
    <tableColumn id="14" xr3:uid="{00000000-0010-0000-1200-00000E000000}" name="ФИО клиента" dataDxfId="771"/>
    <tableColumn id="15" xr3:uid="{00000000-0010-0000-1200-00000F000000}" name="комментарий ИМ" dataDxfId="770"/>
    <tableColumn id="16" xr3:uid="{00000000-0010-0000-1200-000010000000}" name="Подробный комментарий МОП" dataDxfId="769"/>
    <tableColumn id="17" xr3:uid="{00000000-0010-0000-1200-000011000000}" name="КТУ" dataDxfId="768"/>
    <tableColumn id="18" xr3:uid="{00000000-0010-0000-1200-000012000000}" name="Столбец1" dataDxfId="767"/>
    <tableColumn id="19" xr3:uid="{00000000-0010-0000-1200-000013000000}" name="Столбец2" dataDxfId="766"/>
    <tableColumn id="22" xr3:uid="{00000000-0010-0000-1200-000016000000}" name="сумма без отделки" dataDxfId="765">
      <calculatedColumnFormula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3000000}" name="Август20223656" displayName="Август20223656" ref="A2:U74" totalsRowShown="0">
  <autoFilter ref="A2:U74" xr:uid="{00000000-0009-0000-0100-000005000000}">
    <filterColumn colId="3">
      <filters>
        <filter val="Калачева"/>
      </filters>
    </filterColumn>
  </autoFilter>
  <tableColumns count="21">
    <tableColumn id="1" xr3:uid="{00000000-0010-0000-1300-000001000000}" name="№п/п" dataDxfId="764"/>
    <tableColumn id="2" xr3:uid="{00000000-0010-0000-1300-000002000000}" name="квартира " dataDxfId="763"/>
    <tableColumn id="3" xr3:uid="{00000000-0010-0000-1300-000003000000}" name="заявка №" dataDxfId="762"/>
    <tableColumn id="4" xr3:uid="{00000000-0010-0000-1300-000004000000}" name="МОП" dataDxfId="761"/>
    <tableColumn id="5" xr3:uid="{00000000-0010-0000-1300-000005000000}" name="м2" dataDxfId="760"/>
    <tableColumn id="20" xr3:uid="{00000000-0010-0000-1300-000014000000}" name="Отделка" dataDxfId="759"/>
    <tableColumn id="6" xr3:uid="{00000000-0010-0000-1300-000006000000}" name="№ дома" dataDxfId="758"/>
    <tableColumn id="7" xr3:uid="{00000000-0010-0000-1300-000007000000}" name="ИМ" dataDxfId="757"/>
    <tableColumn id="8" xr3:uid="{00000000-0010-0000-1300-000008000000}" name="сумма" dataDxfId="756"/>
    <tableColumn id="9" xr3:uid="{00000000-0010-0000-1300-000009000000}" name="Ком" dataDxfId="755"/>
    <tableColumn id="10" xr3:uid="{00000000-0010-0000-1300-00000A000000}" name="форма опл" dataDxfId="754"/>
    <tableColumn id="11" xr3:uid="{00000000-0010-0000-1300-00000B000000}" name="Тип брони" dataDxfId="753"/>
    <tableColumn id="12" xr3:uid="{00000000-0010-0000-1300-00000C000000}" name="дата регистрации " dataDxfId="752"/>
    <tableColumn id="13" xr3:uid="{00000000-0010-0000-1300-00000D000000}" name="форма сдачи" dataDxfId="751"/>
    <tableColumn id="14" xr3:uid="{00000000-0010-0000-1300-00000E000000}" name="ФИО клиента" dataDxfId="750"/>
    <tableColumn id="15" xr3:uid="{00000000-0010-0000-1300-00000F000000}" name="комментарий ИМ" dataDxfId="749"/>
    <tableColumn id="16" xr3:uid="{00000000-0010-0000-1300-000010000000}" name="Подробный комментарий МОП" dataDxfId="748"/>
    <tableColumn id="17" xr3:uid="{00000000-0010-0000-1300-000011000000}" name="КТУ" dataDxfId="747"/>
    <tableColumn id="18" xr3:uid="{00000000-0010-0000-1300-000012000000}" name="Столбец1" dataDxfId="746"/>
    <tableColumn id="19" xr3:uid="{00000000-0010-0000-1300-000013000000}" name="Столбец2" dataDxfId="745"/>
    <tableColumn id="22" xr3:uid="{00000000-0010-0000-1300-000016000000}" name="сумма без отделки" dataDxfId="744">
      <calculatedColumnFormula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4000000}" name="Август202236567" displayName="Август202236567" ref="A2:U73" totalsRowShown="0">
  <autoFilter ref="A2:U73" xr:uid="{00000000-0009-0000-0100-000006000000}"/>
  <tableColumns count="21">
    <tableColumn id="1" xr3:uid="{00000000-0010-0000-1400-000001000000}" name="№п/п" dataDxfId="743"/>
    <tableColumn id="2" xr3:uid="{00000000-0010-0000-1400-000002000000}" name="квартира " dataDxfId="742"/>
    <tableColumn id="3" xr3:uid="{00000000-0010-0000-1400-000003000000}" name="заявка №" dataDxfId="741"/>
    <tableColumn id="4" xr3:uid="{00000000-0010-0000-1400-000004000000}" name="МОП" dataDxfId="740"/>
    <tableColumn id="5" xr3:uid="{00000000-0010-0000-1400-000005000000}" name="м2" dataDxfId="739"/>
    <tableColumn id="20" xr3:uid="{00000000-0010-0000-1400-000014000000}" name="Отделка" dataDxfId="738"/>
    <tableColumn id="6" xr3:uid="{00000000-0010-0000-1400-000006000000}" name="№ дома" dataDxfId="737"/>
    <tableColumn id="7" xr3:uid="{00000000-0010-0000-1400-000007000000}" name="ИМ" dataDxfId="736"/>
    <tableColumn id="8" xr3:uid="{00000000-0010-0000-1400-000008000000}" name="сумма" dataDxfId="735"/>
    <tableColumn id="9" xr3:uid="{00000000-0010-0000-1400-000009000000}" name="Ком" dataDxfId="734"/>
    <tableColumn id="10" xr3:uid="{00000000-0010-0000-1400-00000A000000}" name="форма опл" dataDxfId="733"/>
    <tableColumn id="11" xr3:uid="{00000000-0010-0000-1400-00000B000000}" name="Тип брони" dataDxfId="732"/>
    <tableColumn id="12" xr3:uid="{00000000-0010-0000-1400-00000C000000}" name="дата регистрации " dataDxfId="731"/>
    <tableColumn id="13" xr3:uid="{00000000-0010-0000-1400-00000D000000}" name="форма сдачи" dataDxfId="730"/>
    <tableColumn id="14" xr3:uid="{00000000-0010-0000-1400-00000E000000}" name="ФИО клиента" dataDxfId="729"/>
    <tableColumn id="15" xr3:uid="{00000000-0010-0000-1400-00000F000000}" name="комментарий ИМ" dataDxfId="728"/>
    <tableColumn id="16" xr3:uid="{00000000-0010-0000-1400-000010000000}" name="Подробный комментарий МОП" dataDxfId="727"/>
    <tableColumn id="17" xr3:uid="{00000000-0010-0000-1400-000011000000}" name="КТУ" dataDxfId="726"/>
    <tableColumn id="18" xr3:uid="{00000000-0010-0000-1400-000012000000}" name="Столбец1" dataDxfId="725"/>
    <tableColumn id="19" xr3:uid="{00000000-0010-0000-1400-000013000000}" name="Столбец2" dataDxfId="724"/>
    <tableColumn id="22" xr3:uid="{00000000-0010-0000-1400-000016000000}" name="сумма без отделки" dataDxfId="723">
      <calculatedColumnFormula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Август2022365678" displayName="Август2022365678" ref="A2:U71" totalsRowShown="0">
  <autoFilter ref="A2:U71" xr:uid="{00000000-0009-0000-0100-000007000000}"/>
  <tableColumns count="21">
    <tableColumn id="1" xr3:uid="{00000000-0010-0000-1500-000001000000}" name="№п/п" dataDxfId="722"/>
    <tableColumn id="2" xr3:uid="{00000000-0010-0000-1500-000002000000}" name="квартира " dataDxfId="721"/>
    <tableColumn id="3" xr3:uid="{00000000-0010-0000-1500-000003000000}" name="заявка №" dataDxfId="720"/>
    <tableColumn id="4" xr3:uid="{00000000-0010-0000-1500-000004000000}" name="МОП" dataDxfId="719"/>
    <tableColumn id="5" xr3:uid="{00000000-0010-0000-1500-000005000000}" name="м2" dataDxfId="718"/>
    <tableColumn id="20" xr3:uid="{00000000-0010-0000-1500-000014000000}" name="Отделка" dataDxfId="717"/>
    <tableColumn id="6" xr3:uid="{00000000-0010-0000-1500-000006000000}" name="№ дома" dataDxfId="716"/>
    <tableColumn id="7" xr3:uid="{00000000-0010-0000-1500-000007000000}" name="ИМ" dataDxfId="715"/>
    <tableColumn id="8" xr3:uid="{00000000-0010-0000-1500-000008000000}" name="сумма" dataDxfId="714"/>
    <tableColumn id="9" xr3:uid="{00000000-0010-0000-1500-000009000000}" name="Ком" dataDxfId="713"/>
    <tableColumn id="10" xr3:uid="{00000000-0010-0000-1500-00000A000000}" name="форма опл" dataDxfId="712"/>
    <tableColumn id="11" xr3:uid="{00000000-0010-0000-1500-00000B000000}" name="Тип брони" dataDxfId="711"/>
    <tableColumn id="12" xr3:uid="{00000000-0010-0000-1500-00000C000000}" name="дата регистрации " dataDxfId="710"/>
    <tableColumn id="13" xr3:uid="{00000000-0010-0000-1500-00000D000000}" name="форма сдачи" dataDxfId="709"/>
    <tableColumn id="14" xr3:uid="{00000000-0010-0000-1500-00000E000000}" name="ФИО клиента" dataDxfId="708"/>
    <tableColumn id="15" xr3:uid="{00000000-0010-0000-1500-00000F000000}" name="комментарий ИМ" dataDxfId="707"/>
    <tableColumn id="16" xr3:uid="{00000000-0010-0000-1500-000010000000}" name="Подробный комментарий МОП" dataDxfId="706"/>
    <tableColumn id="17" xr3:uid="{00000000-0010-0000-1500-000011000000}" name="КТУ" dataDxfId="705"/>
    <tableColumn id="18" xr3:uid="{00000000-0010-0000-1500-000012000000}" name="Столбец1" dataDxfId="704"/>
    <tableColumn id="19" xr3:uid="{00000000-0010-0000-1500-000013000000}" name="Столбец2" dataDxfId="703"/>
    <tableColumn id="22" xr3:uid="{00000000-0010-0000-1500-000016000000}" name="сумма без отделки" dataDxfId="702">
      <calculatedColumnFormula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февр23" displayName="февр23" ref="A2:U49" totalsRowShown="0">
  <autoFilter ref="A2:U49" xr:uid="{00000000-0009-0000-0100-00000B000000}">
    <filterColumn colId="7">
      <filters>
        <filter val="Кагирова"/>
      </filters>
    </filterColumn>
  </autoFilter>
  <tableColumns count="21">
    <tableColumn id="1" xr3:uid="{00000000-0010-0000-1600-000001000000}" name="№п/п" dataDxfId="701"/>
    <tableColumn id="2" xr3:uid="{00000000-0010-0000-1600-000002000000}" name="квартира " dataDxfId="700"/>
    <tableColumn id="3" xr3:uid="{00000000-0010-0000-1600-000003000000}" name="заявка №" dataDxfId="699"/>
    <tableColumn id="4" xr3:uid="{00000000-0010-0000-1600-000004000000}" name="МОП" dataDxfId="698"/>
    <tableColumn id="5" xr3:uid="{00000000-0010-0000-1600-000005000000}" name="м2" dataDxfId="697"/>
    <tableColumn id="20" xr3:uid="{00000000-0010-0000-1600-000014000000}" name="Отделка" dataDxfId="696"/>
    <tableColumn id="6" xr3:uid="{00000000-0010-0000-1600-000006000000}" name="№ дома" dataDxfId="695"/>
    <tableColumn id="7" xr3:uid="{00000000-0010-0000-1600-000007000000}" name="ИМ" dataDxfId="694"/>
    <tableColumn id="8" xr3:uid="{00000000-0010-0000-1600-000008000000}" name="сумма" dataDxfId="693"/>
    <tableColumn id="9" xr3:uid="{00000000-0010-0000-1600-000009000000}" name="Ком" dataDxfId="692"/>
    <tableColumn id="10" xr3:uid="{00000000-0010-0000-1600-00000A000000}" name="форма опл" dataDxfId="691"/>
    <tableColumn id="11" xr3:uid="{00000000-0010-0000-1600-00000B000000}" name="Тип брони" dataDxfId="690"/>
    <tableColumn id="12" xr3:uid="{00000000-0010-0000-1600-00000C000000}" name="дата регистрации " dataDxfId="689"/>
    <tableColumn id="13" xr3:uid="{00000000-0010-0000-1600-00000D000000}" name="форма сдачи" dataDxfId="688"/>
    <tableColumn id="14" xr3:uid="{00000000-0010-0000-1600-00000E000000}" name="ФИО клиента" dataDxfId="687"/>
    <tableColumn id="15" xr3:uid="{00000000-0010-0000-1600-00000F000000}" name="комментарий ИМ" dataDxfId="686"/>
    <tableColumn id="16" xr3:uid="{00000000-0010-0000-1600-000010000000}" name="Подробный комментарий МОП" dataDxfId="685"/>
    <tableColumn id="17" xr3:uid="{00000000-0010-0000-1600-000011000000}" name="КТУ" dataDxfId="684"/>
    <tableColumn id="18" xr3:uid="{00000000-0010-0000-1600-000012000000}" name="Столбец1" dataDxfId="683"/>
    <tableColumn id="19" xr3:uid="{00000000-0010-0000-1600-000013000000}" name="Столбец2" dataDxfId="682"/>
    <tableColumn id="22" xr3:uid="{00000000-0010-0000-1600-000016000000}" name="сумма без отделки" dataDxfId="681">
      <calculatedColumnFormula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calculatedColumn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7000000}" name="февр2314" displayName="февр2314" ref="A2:T47" totalsRowShown="0">
  <autoFilter ref="A2:T47" xr:uid="{00000000-0009-0000-0100-00000D000000}"/>
  <tableColumns count="20">
    <tableColumn id="1" xr3:uid="{00000000-0010-0000-1700-000001000000}" name="№п/п" dataDxfId="680"/>
    <tableColumn id="2" xr3:uid="{00000000-0010-0000-1700-000002000000}" name="квартира " dataDxfId="679"/>
    <tableColumn id="3" xr3:uid="{00000000-0010-0000-1700-000003000000}" name="заявка №" dataDxfId="678"/>
    <tableColumn id="4" xr3:uid="{00000000-0010-0000-1700-000004000000}" name="МОП" dataDxfId="677"/>
    <tableColumn id="5" xr3:uid="{00000000-0010-0000-1700-000005000000}" name="м2" dataDxfId="676"/>
    <tableColumn id="20" xr3:uid="{00000000-0010-0000-1700-000014000000}" name="Отделка" dataDxfId="675"/>
    <tableColumn id="6" xr3:uid="{00000000-0010-0000-1700-000006000000}" name="№ дома" dataDxfId="674"/>
    <tableColumn id="7" xr3:uid="{00000000-0010-0000-1700-000007000000}" name="ИМ" dataDxfId="673"/>
    <tableColumn id="8" xr3:uid="{00000000-0010-0000-1700-000008000000}" name="сумма" dataDxfId="672"/>
    <tableColumn id="9" xr3:uid="{00000000-0010-0000-1700-000009000000}" name="Ком" dataDxfId="671"/>
    <tableColumn id="10" xr3:uid="{00000000-0010-0000-1700-00000A000000}" name="форма опл" dataDxfId="670"/>
    <tableColumn id="11" xr3:uid="{00000000-0010-0000-1700-00000B000000}" name="Тип брони" dataDxfId="669"/>
    <tableColumn id="12" xr3:uid="{00000000-0010-0000-1700-00000C000000}" name="дата регистрации " dataDxfId="668"/>
    <tableColumn id="13" xr3:uid="{00000000-0010-0000-1700-00000D000000}" name="форма сдачи" dataDxfId="667"/>
    <tableColumn id="14" xr3:uid="{00000000-0010-0000-1700-00000E000000}" name="ФИО клиента" dataDxfId="666"/>
    <tableColumn id="15" xr3:uid="{00000000-0010-0000-1700-00000F000000}" name="комментарий ИМ" dataDxfId="665"/>
    <tableColumn id="16" xr3:uid="{00000000-0010-0000-1700-000010000000}" name="Подробный комментарий МОП" dataDxfId="664"/>
    <tableColumn id="17" xr3:uid="{00000000-0010-0000-1700-000011000000}" name="КТУ" dataDxfId="663"/>
    <tableColumn id="18" xr3:uid="{00000000-0010-0000-1700-000012000000}" name="Столбец1" dataDxfId="662"/>
    <tableColumn id="22" xr3:uid="{00000000-0010-0000-1700-000016000000}" name="сумма без отделки" dataDxfId="661">
      <calculatedColumnFormula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8000000}" name="февр231411" displayName="февр231411" ref="A2:T66" totalsRowShown="0">
  <autoFilter ref="A2:T66" xr:uid="{00000000-0009-0000-0100-00000A000000}"/>
  <tableColumns count="20">
    <tableColumn id="1" xr3:uid="{00000000-0010-0000-1800-000001000000}" name="№п/п" dataDxfId="660"/>
    <tableColumn id="2" xr3:uid="{00000000-0010-0000-1800-000002000000}" name="квартира " dataDxfId="659"/>
    <tableColumn id="3" xr3:uid="{00000000-0010-0000-1800-000003000000}" name="заявка №" dataDxfId="658"/>
    <tableColumn id="4" xr3:uid="{00000000-0010-0000-1800-000004000000}" name="МОП" dataDxfId="657"/>
    <tableColumn id="5" xr3:uid="{00000000-0010-0000-1800-000005000000}" name="м2" dataDxfId="656"/>
    <tableColumn id="20" xr3:uid="{00000000-0010-0000-1800-000014000000}" name="Отделка" dataDxfId="655"/>
    <tableColumn id="6" xr3:uid="{00000000-0010-0000-1800-000006000000}" name="№ дома" dataDxfId="654"/>
    <tableColumn id="7" xr3:uid="{00000000-0010-0000-1800-000007000000}" name="ИМ" dataDxfId="653"/>
    <tableColumn id="8" xr3:uid="{00000000-0010-0000-1800-000008000000}" name="сумма" dataDxfId="652"/>
    <tableColumn id="9" xr3:uid="{00000000-0010-0000-1800-000009000000}" name="Ком" dataDxfId="651"/>
    <tableColumn id="10" xr3:uid="{00000000-0010-0000-1800-00000A000000}" name="форма опл" dataDxfId="650"/>
    <tableColumn id="11" xr3:uid="{00000000-0010-0000-1800-00000B000000}" name="Тип брони" dataDxfId="649"/>
    <tableColumn id="12" xr3:uid="{00000000-0010-0000-1800-00000C000000}" name="дата регистрации " dataDxfId="648"/>
    <tableColumn id="13" xr3:uid="{00000000-0010-0000-1800-00000D000000}" name="форма сдачи" dataDxfId="647"/>
    <tableColumn id="14" xr3:uid="{00000000-0010-0000-1800-00000E000000}" name="ФИО клиента" dataDxfId="646"/>
    <tableColumn id="15" xr3:uid="{00000000-0010-0000-1800-00000F000000}" name="комментарий ИМ" dataDxfId="645"/>
    <tableColumn id="16" xr3:uid="{00000000-0010-0000-1800-000010000000}" name="Подробный комментарий МОП" dataDxfId="644"/>
    <tableColumn id="17" xr3:uid="{00000000-0010-0000-1800-000011000000}" name="КТУ" dataDxfId="643"/>
    <tableColumn id="18" xr3:uid="{00000000-0010-0000-1800-000012000000}" name="Столбец1" dataDxfId="642"/>
    <tableColumn id="22" xr3:uid="{00000000-0010-0000-1800-000016000000}" name="сумма без отделки" dataDxfId="641">
      <calculatedColumnFormula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9000000}" name="февр23141113" displayName="февр23141113" ref="A2:T64" totalsRowShown="0">
  <autoFilter ref="A2:T64" xr:uid="{00000000-0009-0000-0100-00000C000000}"/>
  <tableColumns count="20">
    <tableColumn id="1" xr3:uid="{00000000-0010-0000-1900-000001000000}" name="№п/п" dataDxfId="640"/>
    <tableColumn id="2" xr3:uid="{00000000-0010-0000-1900-000002000000}" name="квартира " dataDxfId="639"/>
    <tableColumn id="3" xr3:uid="{00000000-0010-0000-1900-000003000000}" name="заявка №" dataDxfId="638"/>
    <tableColumn id="4" xr3:uid="{00000000-0010-0000-1900-000004000000}" name="МОП" dataDxfId="637"/>
    <tableColumn id="5" xr3:uid="{00000000-0010-0000-1900-000005000000}" name="м2" dataDxfId="636"/>
    <tableColumn id="20" xr3:uid="{00000000-0010-0000-1900-000014000000}" name="Отделка" dataDxfId="635"/>
    <tableColumn id="6" xr3:uid="{00000000-0010-0000-1900-000006000000}" name="№ дома" dataDxfId="634"/>
    <tableColumn id="7" xr3:uid="{00000000-0010-0000-1900-000007000000}" name="ИМ" dataDxfId="633"/>
    <tableColumn id="8" xr3:uid="{00000000-0010-0000-1900-000008000000}" name="сумма" dataDxfId="632"/>
    <tableColumn id="9" xr3:uid="{00000000-0010-0000-1900-000009000000}" name="Ком" dataDxfId="631"/>
    <tableColumn id="10" xr3:uid="{00000000-0010-0000-1900-00000A000000}" name="форма опл" dataDxfId="630"/>
    <tableColumn id="11" xr3:uid="{00000000-0010-0000-1900-00000B000000}" name="Тип брони" dataDxfId="629"/>
    <tableColumn id="12" xr3:uid="{00000000-0010-0000-1900-00000C000000}" name="дата регистрации " dataDxfId="628"/>
    <tableColumn id="13" xr3:uid="{00000000-0010-0000-1900-00000D000000}" name="форма сдачи" dataDxfId="627"/>
    <tableColumn id="14" xr3:uid="{00000000-0010-0000-1900-00000E000000}" name="ФИО клиента" dataDxfId="626"/>
    <tableColumn id="15" xr3:uid="{00000000-0010-0000-1900-00000F000000}" name="комментарий ИМ" dataDxfId="625"/>
    <tableColumn id="16" xr3:uid="{00000000-0010-0000-1900-000010000000}" name="Подробный комментарий МОП" dataDxfId="624"/>
    <tableColumn id="17" xr3:uid="{00000000-0010-0000-1900-000011000000}" name="КТУ" dataDxfId="623"/>
    <tableColumn id="18" xr3:uid="{00000000-0010-0000-1900-000012000000}" name="Столбец1" dataDxfId="622"/>
    <tableColumn id="22" xr3:uid="{00000000-0010-0000-1900-000016000000}" name="сумма без отделки" dataDxfId="621">
      <calculatedColumnFormula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A000000}" name="февр2314111316" displayName="февр2314111316" ref="A2:T47" totalsRowShown="0">
  <autoFilter ref="A2:T47" xr:uid="{00000000-0009-0000-0100-00000F000000}"/>
  <tableColumns count="20">
    <tableColumn id="1" xr3:uid="{00000000-0010-0000-1A00-000001000000}" name="№п/п" dataDxfId="620"/>
    <tableColumn id="2" xr3:uid="{00000000-0010-0000-1A00-000002000000}" name="квартира " dataDxfId="619"/>
    <tableColumn id="3" xr3:uid="{00000000-0010-0000-1A00-000003000000}" name="заявка №" dataDxfId="618"/>
    <tableColumn id="4" xr3:uid="{00000000-0010-0000-1A00-000004000000}" name="МОП" dataDxfId="617"/>
    <tableColumn id="5" xr3:uid="{00000000-0010-0000-1A00-000005000000}" name="м2" dataDxfId="616"/>
    <tableColumn id="20" xr3:uid="{00000000-0010-0000-1A00-000014000000}" name="Отделка" dataDxfId="615"/>
    <tableColumn id="6" xr3:uid="{00000000-0010-0000-1A00-000006000000}" name="№ дома" dataDxfId="614"/>
    <tableColumn id="7" xr3:uid="{00000000-0010-0000-1A00-000007000000}" name="ИМ" dataDxfId="613"/>
    <tableColumn id="8" xr3:uid="{00000000-0010-0000-1A00-000008000000}" name="сумма" dataDxfId="612"/>
    <tableColumn id="9" xr3:uid="{00000000-0010-0000-1A00-000009000000}" name="Ком" dataDxfId="611"/>
    <tableColumn id="10" xr3:uid="{00000000-0010-0000-1A00-00000A000000}" name="форма опл" dataDxfId="610"/>
    <tableColumn id="11" xr3:uid="{00000000-0010-0000-1A00-00000B000000}" name="Тип брони" dataDxfId="609"/>
    <tableColumn id="12" xr3:uid="{00000000-0010-0000-1A00-00000C000000}" name="дата регистрации " dataDxfId="608"/>
    <tableColumn id="13" xr3:uid="{00000000-0010-0000-1A00-00000D000000}" name="форма сдачи" dataDxfId="607"/>
    <tableColumn id="14" xr3:uid="{00000000-0010-0000-1A00-00000E000000}" name="ФИО клиента" dataDxfId="606"/>
    <tableColumn id="15" xr3:uid="{00000000-0010-0000-1A00-00000F000000}" name="комментарий ИМ" dataDxfId="605"/>
    <tableColumn id="16" xr3:uid="{00000000-0010-0000-1A00-000010000000}" name="Подробный комментарий МОП" dataDxfId="604"/>
    <tableColumn id="17" xr3:uid="{00000000-0010-0000-1A00-000011000000}" name="КТУ" dataDxfId="603"/>
    <tableColumn id="18" xr3:uid="{00000000-0010-0000-1A00-000012000000}" name="Столбец1" dataDxfId="602"/>
    <tableColumn id="22" xr3:uid="{00000000-0010-0000-1A00-000016000000}" name="сумма без отделки" dataDxfId="601">
      <calculatedColumnFormula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B000000}" name="февр231411131617" displayName="февр231411131617" ref="A2:T57" totalsRowShown="0">
  <autoFilter ref="A2:T57" xr:uid="{00000000-0009-0000-0100-000010000000}"/>
  <tableColumns count="20">
    <tableColumn id="1" xr3:uid="{00000000-0010-0000-1B00-000001000000}" name="№п/п" dataDxfId="600"/>
    <tableColumn id="2" xr3:uid="{00000000-0010-0000-1B00-000002000000}" name="квартира " dataDxfId="599"/>
    <tableColumn id="3" xr3:uid="{00000000-0010-0000-1B00-000003000000}" name="заявка №" dataDxfId="598"/>
    <tableColumn id="4" xr3:uid="{00000000-0010-0000-1B00-000004000000}" name="МОП" dataDxfId="597"/>
    <tableColumn id="5" xr3:uid="{00000000-0010-0000-1B00-000005000000}" name="м2" dataDxfId="596"/>
    <tableColumn id="20" xr3:uid="{00000000-0010-0000-1B00-000014000000}" name="Отделка" dataDxfId="595"/>
    <tableColumn id="6" xr3:uid="{00000000-0010-0000-1B00-000006000000}" name="№ дома" dataDxfId="594"/>
    <tableColumn id="7" xr3:uid="{00000000-0010-0000-1B00-000007000000}" name="ИМ" dataDxfId="593"/>
    <tableColumn id="8" xr3:uid="{00000000-0010-0000-1B00-000008000000}" name="сумма" dataDxfId="592"/>
    <tableColumn id="9" xr3:uid="{00000000-0010-0000-1B00-000009000000}" name="Ком" dataDxfId="591"/>
    <tableColumn id="10" xr3:uid="{00000000-0010-0000-1B00-00000A000000}" name="форма опл" dataDxfId="590"/>
    <tableColumn id="11" xr3:uid="{00000000-0010-0000-1B00-00000B000000}" name="Тип брони" dataDxfId="589"/>
    <tableColumn id="12" xr3:uid="{00000000-0010-0000-1B00-00000C000000}" name="дата регистрации " dataDxfId="588"/>
    <tableColumn id="13" xr3:uid="{00000000-0010-0000-1B00-00000D000000}" name="форма сдачи" dataDxfId="587"/>
    <tableColumn id="14" xr3:uid="{00000000-0010-0000-1B00-00000E000000}" name="ФИО клиента" dataDxfId="586"/>
    <tableColumn id="15" xr3:uid="{00000000-0010-0000-1B00-00000F000000}" name="комментарий ИМ" dataDxfId="585"/>
    <tableColumn id="16" xr3:uid="{00000000-0010-0000-1B00-000010000000}" name="Подробный комментарий МОП" dataDxfId="584"/>
    <tableColumn id="17" xr3:uid="{00000000-0010-0000-1B00-000011000000}" name="КТУ" dataDxfId="583"/>
    <tableColumn id="18" xr3:uid="{00000000-0010-0000-1B00-000012000000}" name="Столбец1" dataDxfId="582"/>
    <tableColumn id="22" xr3:uid="{00000000-0010-0000-1B00-000016000000}" name="сумма без отделки" dataDxfId="581">
      <calculatedColumnFormula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C000000}" name="февр23141113161718" displayName="февр23141113161718" ref="A2:U86" totalsRowShown="0">
  <autoFilter ref="A2:U86" xr:uid="{00000000-0009-0000-0100-000011000000}"/>
  <sortState xmlns:xlrd2="http://schemas.microsoft.com/office/spreadsheetml/2017/richdata2" ref="A2:U86">
    <sortCondition ref="A2:A50"/>
  </sortState>
  <tableColumns count="21">
    <tableColumn id="1" xr3:uid="{00000000-0010-0000-1C00-000001000000}" name="№п/п" dataDxfId="580"/>
    <tableColumn id="3" xr3:uid="{00000000-0010-0000-1C00-000003000000}" name="заявка №" dataDxfId="579"/>
    <tableColumn id="6" xr3:uid="{00000000-0010-0000-1C00-000006000000}" name="№ дома" dataDxfId="578"/>
    <tableColumn id="2" xr3:uid="{00000000-0010-0000-1C00-000002000000}" name="№ кв" dataDxfId="577"/>
    <tableColumn id="9" xr3:uid="{00000000-0010-0000-1C00-000009000000}" name="Комнатность" dataDxfId="576"/>
    <tableColumn id="5" xr3:uid="{00000000-0010-0000-1C00-000005000000}" name="м2" dataDxfId="575"/>
    <tableColumn id="20" xr3:uid="{00000000-0010-0000-1C00-000014000000}" name="Отделка" dataDxfId="574"/>
    <tableColumn id="19" xr3:uid="{00000000-0010-0000-1C00-000013000000}" name="Цема м2 отделки" dataDxfId="573"/>
    <tableColumn id="8" xr3:uid="{00000000-0010-0000-1C00-000008000000}" name="сумма" dataDxfId="572"/>
    <tableColumn id="4" xr3:uid="{00000000-0010-0000-1C00-000004000000}" name="МОП" dataDxfId="571"/>
    <tableColumn id="7" xr3:uid="{00000000-0010-0000-1C00-000007000000}" name="ИМ" dataDxfId="570"/>
    <tableColumn id="10" xr3:uid="{00000000-0010-0000-1C00-00000A000000}" name="форма опл" dataDxfId="569"/>
    <tableColumn id="11" xr3:uid="{00000000-0010-0000-1C00-00000B000000}" name="Тип брони" dataDxfId="568"/>
    <tableColumn id="12" xr3:uid="{00000000-0010-0000-1C00-00000C000000}" name="дата регистрации " dataDxfId="567"/>
    <tableColumn id="13" xr3:uid="{00000000-0010-0000-1C00-00000D000000}" name="форма сдачи" dataDxfId="566"/>
    <tableColumn id="14" xr3:uid="{00000000-0010-0000-1C00-00000E000000}" name="ФИО клиента" dataDxfId="565"/>
    <tableColumn id="15" xr3:uid="{00000000-0010-0000-1C00-00000F000000}" name="комментарий ИМ" dataDxfId="564"/>
    <tableColumn id="16" xr3:uid="{00000000-0010-0000-1C00-000010000000}" name="Подробный комментарий МОП" dataDxfId="563"/>
    <tableColumn id="17" xr3:uid="{00000000-0010-0000-1C00-000011000000}" name="КТУ" dataDxfId="562"/>
    <tableColumn id="18" xr3:uid="{00000000-0010-0000-1C00-000012000000}" name="КТУ2" dataDxfId="561"/>
    <tableColumn id="22" xr3:uid="{00000000-0010-0000-1C00-000016000000}" name="Сумма без отделки" dataDxfId="560">
      <calculatedColumnFormula>февр23141113161718[[#This Row],[сумма]]-февр23141113161718[[#This Row],[Цема м2 отделки]]*февр23141113161718[[#This Row],[м2]]</calculatedColumnFormula>
    </tableColumn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D000000}" name="sept" displayName="sept" ref="A2:U110" totalsRowShown="0">
  <autoFilter ref="A2:U110" xr:uid="{00000000-0009-0000-0100-000012000000}"/>
  <sortState xmlns:xlrd2="http://schemas.microsoft.com/office/spreadsheetml/2017/richdata2" ref="A2:U110">
    <sortCondition ref="A2:A69"/>
  </sortState>
  <tableColumns count="21">
    <tableColumn id="1" xr3:uid="{00000000-0010-0000-1D00-000001000000}" name="№п/п" dataDxfId="559"/>
    <tableColumn id="3" xr3:uid="{00000000-0010-0000-1D00-000003000000}" name="заявка №" dataDxfId="558"/>
    <tableColumn id="6" xr3:uid="{00000000-0010-0000-1D00-000006000000}" name="№ дома" dataDxfId="557"/>
    <tableColumn id="2" xr3:uid="{00000000-0010-0000-1D00-000002000000}" name="№ кв" dataDxfId="556"/>
    <tableColumn id="9" xr3:uid="{00000000-0010-0000-1D00-000009000000}" name="Комнатность" dataDxfId="555"/>
    <tableColumn id="5" xr3:uid="{00000000-0010-0000-1D00-000005000000}" name="м2" dataDxfId="554"/>
    <tableColumn id="20" xr3:uid="{00000000-0010-0000-1D00-000014000000}" name="Отделка" dataDxfId="553"/>
    <tableColumn id="19" xr3:uid="{00000000-0010-0000-1D00-000013000000}" name="Цема м2 отделки" dataDxfId="552"/>
    <tableColumn id="8" xr3:uid="{00000000-0010-0000-1D00-000008000000}" name="сумма" dataDxfId="551"/>
    <tableColumn id="4" xr3:uid="{00000000-0010-0000-1D00-000004000000}" name="МОП" dataDxfId="550"/>
    <tableColumn id="7" xr3:uid="{00000000-0010-0000-1D00-000007000000}" name="ИМ" dataDxfId="549"/>
    <tableColumn id="10" xr3:uid="{00000000-0010-0000-1D00-00000A000000}" name="форма опл" dataDxfId="548"/>
    <tableColumn id="11" xr3:uid="{00000000-0010-0000-1D00-00000B000000}" name="Тип брони" dataDxfId="547"/>
    <tableColumn id="12" xr3:uid="{00000000-0010-0000-1D00-00000C000000}" name="дата регистрации " dataDxfId="546"/>
    <tableColumn id="13" xr3:uid="{00000000-0010-0000-1D00-00000D000000}" name="форма сдачи" dataDxfId="545"/>
    <tableColumn id="14" xr3:uid="{00000000-0010-0000-1D00-00000E000000}" name="ФИО клиента" dataDxfId="544"/>
    <tableColumn id="15" xr3:uid="{00000000-0010-0000-1D00-00000F000000}" name="комментарий ИМ" dataDxfId="543"/>
    <tableColumn id="16" xr3:uid="{00000000-0010-0000-1D00-000010000000}" name="Подробный комментарий МОП" dataDxfId="542"/>
    <tableColumn id="17" xr3:uid="{00000000-0010-0000-1D00-000011000000}" name="КТУ" dataDxfId="541"/>
    <tableColumn id="18" xr3:uid="{00000000-0010-0000-1D00-000012000000}" name="Столбец1" dataDxfId="540"/>
    <tableColumn id="22" xr3:uid="{00000000-0010-0000-1D00-000016000000}" name="Сумма без отделки" dataDxfId="539">
      <calculatedColumnFormula>sept[[#This Row],[сумма]]-sept[[#This Row],[Цема м2 отделки]]*sept[[#This Row],[м2]]</calculatedColumn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E000000}" name="sept20" displayName="sept20" ref="A2:U110" totalsRowShown="0">
  <autoFilter ref="A2:U110" xr:uid="{00000000-0009-0000-0100-000013000000}">
    <filterColumn colId="20">
      <filters>
        <filter val="10 714 148,00"/>
        <filter val="10 985 835,00"/>
        <filter val="11 629 433,00"/>
        <filter val="12 165 563,00"/>
        <filter val="17 904 000,00"/>
        <filter val="3 337 695,21"/>
        <filter val="3 581 800,83"/>
        <filter val="3 591 569,53"/>
        <filter val="3 953 910,60"/>
        <filter val="3 995 175,50"/>
        <filter val="4 031 342,51"/>
        <filter val="4 036 678,16"/>
        <filter val="4 075 679,84"/>
        <filter val="4 106 833,20"/>
        <filter val="4 252 843,65"/>
        <filter val="4 759 194,50"/>
        <filter val="4 799 264,74"/>
        <filter val="4 810 603,02"/>
        <filter val="4 848 741,70"/>
        <filter val="4 977 178,16"/>
        <filter val="5 019 038,40"/>
        <filter val="5 053 258,57"/>
        <filter val="5 076 164,76"/>
        <filter val="5 089 902,38"/>
        <filter val="5 184 929,39"/>
        <filter val="5 291 654,94"/>
        <filter val="5 377 896,78"/>
        <filter val="5 432 296,01"/>
        <filter val="5 575 652,90"/>
        <filter val="5 655 100,00"/>
        <filter val="5 826 367,60"/>
        <filter val="6 480 614,91"/>
        <filter val="6 561 755,12"/>
        <filter val="6 832 389,40"/>
      </filters>
    </filterColumn>
  </autoFilter>
  <sortState xmlns:xlrd2="http://schemas.microsoft.com/office/spreadsheetml/2017/richdata2" ref="A2:U110">
    <sortCondition ref="A2:A69"/>
  </sortState>
  <tableColumns count="21">
    <tableColumn id="1" xr3:uid="{00000000-0010-0000-1E00-000001000000}" name="№п/п" dataDxfId="538"/>
    <tableColumn id="3" xr3:uid="{00000000-0010-0000-1E00-000003000000}" name="заявка №" dataDxfId="537"/>
    <tableColumn id="6" xr3:uid="{00000000-0010-0000-1E00-000006000000}" name="№ дома" dataDxfId="536"/>
    <tableColumn id="2" xr3:uid="{00000000-0010-0000-1E00-000002000000}" name="№ кв" dataDxfId="535"/>
    <tableColumn id="9" xr3:uid="{00000000-0010-0000-1E00-000009000000}" name="Комнатность" dataDxfId="534"/>
    <tableColumn id="5" xr3:uid="{00000000-0010-0000-1E00-000005000000}" name="м2" dataDxfId="533"/>
    <tableColumn id="20" xr3:uid="{00000000-0010-0000-1E00-000014000000}" name="Отделка" dataDxfId="532"/>
    <tableColumn id="19" xr3:uid="{00000000-0010-0000-1E00-000013000000}" name="Цема м2 отделки" dataDxfId="531"/>
    <tableColumn id="8" xr3:uid="{00000000-0010-0000-1E00-000008000000}" name="сумма" dataDxfId="530"/>
    <tableColumn id="4" xr3:uid="{00000000-0010-0000-1E00-000004000000}" name="МОП" dataDxfId="529"/>
    <tableColumn id="7" xr3:uid="{00000000-0010-0000-1E00-000007000000}" name="ИМ" dataDxfId="528"/>
    <tableColumn id="10" xr3:uid="{00000000-0010-0000-1E00-00000A000000}" name="форма опл" dataDxfId="527"/>
    <tableColumn id="11" xr3:uid="{00000000-0010-0000-1E00-00000B000000}" name="Тип брони" dataDxfId="526"/>
    <tableColumn id="12" xr3:uid="{00000000-0010-0000-1E00-00000C000000}" name="дата регистрации " dataDxfId="525"/>
    <tableColumn id="13" xr3:uid="{00000000-0010-0000-1E00-00000D000000}" name="форма сдачи" dataDxfId="524"/>
    <tableColumn id="14" xr3:uid="{00000000-0010-0000-1E00-00000E000000}" name="ФИО клиента" dataDxfId="523"/>
    <tableColumn id="15" xr3:uid="{00000000-0010-0000-1E00-00000F000000}" name="комментарий ИМ" dataDxfId="522"/>
    <tableColumn id="16" xr3:uid="{00000000-0010-0000-1E00-000010000000}" name="Подробный комментарий МОП" dataDxfId="521"/>
    <tableColumn id="17" xr3:uid="{00000000-0010-0000-1E00-000011000000}" name="КТУ" dataDxfId="520"/>
    <tableColumn id="18" xr3:uid="{00000000-0010-0000-1E00-000012000000}" name="Столбец1" dataDxfId="519"/>
    <tableColumn id="22" xr3:uid="{00000000-0010-0000-1E00-000016000000}" name="Сумма без отделки" dataDxfId="518">
      <calculatedColumnFormula>sept20[[#This Row],[сумма]]-sept20[[#This Row],[Цема м2 отделки]]*sept20[[#This Row],[м2]]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F000000}" name="sept2021" displayName="sept2021" ref="A2:U110" totalsRowShown="0">
  <autoFilter ref="A2:U110" xr:uid="{00000000-0009-0000-0100-000014000000}"/>
  <sortState xmlns:xlrd2="http://schemas.microsoft.com/office/spreadsheetml/2017/richdata2" ref="A2:U110">
    <sortCondition ref="A2:A69"/>
  </sortState>
  <tableColumns count="21">
    <tableColumn id="1" xr3:uid="{00000000-0010-0000-1F00-000001000000}" name="№п/п" dataDxfId="517"/>
    <tableColumn id="3" xr3:uid="{00000000-0010-0000-1F00-000003000000}" name="заявка №" dataDxfId="516"/>
    <tableColumn id="6" xr3:uid="{00000000-0010-0000-1F00-000006000000}" name="№ дома" dataDxfId="515"/>
    <tableColumn id="2" xr3:uid="{00000000-0010-0000-1F00-000002000000}" name="№ кв" dataDxfId="514"/>
    <tableColumn id="9" xr3:uid="{00000000-0010-0000-1F00-000009000000}" name="Комнатность" dataDxfId="513"/>
    <tableColumn id="5" xr3:uid="{00000000-0010-0000-1F00-000005000000}" name="м2" dataDxfId="512"/>
    <tableColumn id="20" xr3:uid="{00000000-0010-0000-1F00-000014000000}" name="Отделка" dataDxfId="511"/>
    <tableColumn id="19" xr3:uid="{00000000-0010-0000-1F00-000013000000}" name="Цема м2 отделки" dataDxfId="510"/>
    <tableColumn id="8" xr3:uid="{00000000-0010-0000-1F00-000008000000}" name="сумма" dataDxfId="509"/>
    <tableColumn id="4" xr3:uid="{00000000-0010-0000-1F00-000004000000}" name="МОП" dataDxfId="508"/>
    <tableColumn id="7" xr3:uid="{00000000-0010-0000-1F00-000007000000}" name="ИМ" dataDxfId="507"/>
    <tableColumn id="10" xr3:uid="{00000000-0010-0000-1F00-00000A000000}" name="форма опл" dataDxfId="506"/>
    <tableColumn id="11" xr3:uid="{00000000-0010-0000-1F00-00000B000000}" name="Тип брони" dataDxfId="505"/>
    <tableColumn id="12" xr3:uid="{00000000-0010-0000-1F00-00000C000000}" name="дата регистрации " dataDxfId="504"/>
    <tableColumn id="13" xr3:uid="{00000000-0010-0000-1F00-00000D000000}" name="форма сдачи" dataDxfId="503"/>
    <tableColumn id="14" xr3:uid="{00000000-0010-0000-1F00-00000E000000}" name="ФИО клиента" dataDxfId="502"/>
    <tableColumn id="15" xr3:uid="{00000000-0010-0000-1F00-00000F000000}" name="комментарий ИМ" dataDxfId="501"/>
    <tableColumn id="16" xr3:uid="{00000000-0010-0000-1F00-000010000000}" name="Подробный комментарий МОП" dataDxfId="500"/>
    <tableColumn id="17" xr3:uid="{00000000-0010-0000-1F00-000011000000}" name="КТУ" dataDxfId="499"/>
    <tableColumn id="18" xr3:uid="{00000000-0010-0000-1F00-000012000000}" name="Столбец1" dataDxfId="498"/>
    <tableColumn id="22" xr3:uid="{00000000-0010-0000-1F00-000016000000}" name="Сумма без отделки" dataDxfId="497">
      <calculatedColumnFormula>sept2021[[#This Row],[сумма]]-sept2021[[#This Row],[Цема м2 отделки]]*sept2021[[#This Row],[м2]]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sept202122" displayName="sept202122" ref="A2:U110" totalsRowShown="0">
  <autoFilter ref="A2:U110" xr:uid="{00000000-0009-0000-0100-000015000000}"/>
  <tableColumns count="21">
    <tableColumn id="1" xr3:uid="{00000000-0010-0000-2000-000001000000}" name="№п/п" dataDxfId="496"/>
    <tableColumn id="3" xr3:uid="{00000000-0010-0000-2000-000003000000}" name="заявка №" dataDxfId="495"/>
    <tableColumn id="6" xr3:uid="{00000000-0010-0000-2000-000006000000}" name="№ дома" dataDxfId="494"/>
    <tableColumn id="2" xr3:uid="{00000000-0010-0000-2000-000002000000}" name="№ кв" dataDxfId="493"/>
    <tableColumn id="9" xr3:uid="{00000000-0010-0000-2000-000009000000}" name="Комнатность" dataDxfId="492"/>
    <tableColumn id="5" xr3:uid="{00000000-0010-0000-2000-000005000000}" name="м2" dataDxfId="491"/>
    <tableColumn id="20" xr3:uid="{00000000-0010-0000-2000-000014000000}" name="Отделка" dataDxfId="490"/>
    <tableColumn id="19" xr3:uid="{00000000-0010-0000-2000-000013000000}" name="Цема м2 отделки" dataDxfId="489"/>
    <tableColumn id="8" xr3:uid="{00000000-0010-0000-2000-000008000000}" name="сумма" dataDxfId="488"/>
    <tableColumn id="4" xr3:uid="{00000000-0010-0000-2000-000004000000}" name="МОП" dataDxfId="487"/>
    <tableColumn id="7" xr3:uid="{00000000-0010-0000-2000-000007000000}" name="ИМ" dataDxfId="486"/>
    <tableColumn id="10" xr3:uid="{00000000-0010-0000-2000-00000A000000}" name="форма опл" dataDxfId="485"/>
    <tableColumn id="11" xr3:uid="{00000000-0010-0000-2000-00000B000000}" name="Тип брони" dataDxfId="484"/>
    <tableColumn id="12" xr3:uid="{00000000-0010-0000-2000-00000C000000}" name="дата регистрации " dataDxfId="483"/>
    <tableColumn id="13" xr3:uid="{00000000-0010-0000-2000-00000D000000}" name="форма сдачи" dataDxfId="482"/>
    <tableColumn id="14" xr3:uid="{00000000-0010-0000-2000-00000E000000}" name="ФИО клиента" dataDxfId="481"/>
    <tableColumn id="15" xr3:uid="{00000000-0010-0000-2000-00000F000000}" name="комментарий ИМ" dataDxfId="480"/>
    <tableColumn id="16" xr3:uid="{00000000-0010-0000-2000-000010000000}" name="Подробный комментарий МОП" dataDxfId="479"/>
    <tableColumn id="17" xr3:uid="{00000000-0010-0000-2000-000011000000}" name="КТУ" dataDxfId="478"/>
    <tableColumn id="18" xr3:uid="{00000000-0010-0000-2000-000012000000}" name="Столбец1" dataDxfId="477"/>
    <tableColumn id="22" xr3:uid="{00000000-0010-0000-2000-000016000000}" name="Сумма без отделки" dataDxfId="476">
      <calculatedColumnFormula>sept202122[[#This Row],[сумма]]-sept202122[[#This Row],[Цема м2 отделки]]*sept202122[[#This Row],[м2]]</calculatedColumn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21000000}" name="sept20212223" displayName="sept20212223" ref="A2:U110" totalsRowShown="0">
  <autoFilter ref="A2:U110" xr:uid="{00000000-0009-0000-0100-000016000000}"/>
  <tableColumns count="21">
    <tableColumn id="1" xr3:uid="{00000000-0010-0000-2100-000001000000}" name="№п/п" dataDxfId="472"/>
    <tableColumn id="3" xr3:uid="{00000000-0010-0000-2100-000003000000}" name="заявка №" dataDxfId="471"/>
    <tableColumn id="6" xr3:uid="{00000000-0010-0000-2100-000006000000}" name="№ дома" dataDxfId="470"/>
    <tableColumn id="2" xr3:uid="{00000000-0010-0000-2100-000002000000}" name="№ кв" dataDxfId="469"/>
    <tableColumn id="9" xr3:uid="{00000000-0010-0000-2100-000009000000}" name="Комнатность" dataDxfId="468"/>
    <tableColumn id="5" xr3:uid="{00000000-0010-0000-2100-000005000000}" name="м2" dataDxfId="467"/>
    <tableColumn id="20" xr3:uid="{00000000-0010-0000-2100-000014000000}" name="Отделка" dataDxfId="466"/>
    <tableColumn id="19" xr3:uid="{00000000-0010-0000-2100-000013000000}" name="Цема м2 отделки" dataDxfId="465"/>
    <tableColumn id="8" xr3:uid="{00000000-0010-0000-2100-000008000000}" name="сумма" dataDxfId="464"/>
    <tableColumn id="4" xr3:uid="{00000000-0010-0000-2100-000004000000}" name="МОП" dataDxfId="463"/>
    <tableColumn id="7" xr3:uid="{00000000-0010-0000-2100-000007000000}" name="ИМ" dataDxfId="462"/>
    <tableColumn id="10" xr3:uid="{00000000-0010-0000-2100-00000A000000}" name="форма опл" dataDxfId="461"/>
    <tableColumn id="11" xr3:uid="{00000000-0010-0000-2100-00000B000000}" name="Тип брони" dataDxfId="460"/>
    <tableColumn id="12" xr3:uid="{00000000-0010-0000-2100-00000C000000}" name="дата регистрации " dataDxfId="459"/>
    <tableColumn id="13" xr3:uid="{00000000-0010-0000-2100-00000D000000}" name="форма сдачи" dataDxfId="458"/>
    <tableColumn id="14" xr3:uid="{00000000-0010-0000-2100-00000E000000}" name="ФИО клиента" dataDxfId="457"/>
    <tableColumn id="15" xr3:uid="{00000000-0010-0000-2100-00000F000000}" name="комментарий ИМ" dataDxfId="456"/>
    <tableColumn id="16" xr3:uid="{00000000-0010-0000-2100-000010000000}" name="Подробный комментарий МОП" dataDxfId="455"/>
    <tableColumn id="17" xr3:uid="{00000000-0010-0000-2100-000011000000}" name="КТУ" dataDxfId="454"/>
    <tableColumn id="18" xr3:uid="{00000000-0010-0000-2100-000012000000}" name="Столбец1" dataDxfId="453"/>
    <tableColumn id="22" xr3:uid="{00000000-0010-0000-2100-000016000000}" name="Сумма без отделки" dataDxfId="452">
      <calculatedColumnFormula>sept20212223[[#This Row],[сумма]]-sept20212223[[#This Row],[Цема м2 отделки]]*sept20212223[[#This Row],[м2]]</calculatedColumnFormula>
    </tableColumn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2000000}" name="sept2021222337" displayName="sept2021222337" ref="A2:U110" totalsRowShown="0">
  <autoFilter ref="A2:U110" xr:uid="{00000000-0009-0000-0100-000024000000}"/>
  <tableColumns count="21">
    <tableColumn id="1" xr3:uid="{00000000-0010-0000-2200-000001000000}" name="№п/п" dataDxfId="451"/>
    <tableColumn id="3" xr3:uid="{00000000-0010-0000-2200-000003000000}" name="заявка №" dataDxfId="450"/>
    <tableColumn id="6" xr3:uid="{00000000-0010-0000-2200-000006000000}" name="№ дома" dataDxfId="449"/>
    <tableColumn id="2" xr3:uid="{00000000-0010-0000-2200-000002000000}" name="№ кв" dataDxfId="448"/>
    <tableColumn id="9" xr3:uid="{00000000-0010-0000-2200-000009000000}" name="Комнатность" dataDxfId="447"/>
    <tableColumn id="5" xr3:uid="{00000000-0010-0000-2200-000005000000}" name="м2" dataDxfId="446"/>
    <tableColumn id="20" xr3:uid="{00000000-0010-0000-2200-000014000000}" name="Отделка" dataDxfId="445"/>
    <tableColumn id="19" xr3:uid="{00000000-0010-0000-2200-000013000000}" name="Цема м2 отделки" dataDxfId="444"/>
    <tableColumn id="8" xr3:uid="{00000000-0010-0000-2200-000008000000}" name="сумма" dataDxfId="443"/>
    <tableColumn id="4" xr3:uid="{00000000-0010-0000-2200-000004000000}" name="МОП" dataDxfId="442"/>
    <tableColumn id="7" xr3:uid="{00000000-0010-0000-2200-000007000000}" name="ИМ" dataDxfId="441"/>
    <tableColumn id="10" xr3:uid="{00000000-0010-0000-2200-00000A000000}" name="форма опл" dataDxfId="440"/>
    <tableColumn id="11" xr3:uid="{00000000-0010-0000-2200-00000B000000}" name="Тип брони" dataDxfId="439"/>
    <tableColumn id="12" xr3:uid="{00000000-0010-0000-2200-00000C000000}" name="дата регистрации " dataDxfId="438"/>
    <tableColumn id="13" xr3:uid="{00000000-0010-0000-2200-00000D000000}" name="форма сдачи" dataDxfId="437"/>
    <tableColumn id="14" xr3:uid="{00000000-0010-0000-2200-00000E000000}" name="ФИО клиента" dataDxfId="436"/>
    <tableColumn id="15" xr3:uid="{00000000-0010-0000-2200-00000F000000}" name="комментарий ИМ" dataDxfId="435"/>
    <tableColumn id="16" xr3:uid="{00000000-0010-0000-2200-000010000000}" name="Подробный комментарий МОП" dataDxfId="434"/>
    <tableColumn id="17" xr3:uid="{00000000-0010-0000-2200-000011000000}" name="КТУ" dataDxfId="433"/>
    <tableColumn id="18" xr3:uid="{00000000-0010-0000-2200-000012000000}" name="Столбец1" dataDxfId="432"/>
    <tableColumn id="22" xr3:uid="{00000000-0010-0000-2200-000016000000}" name="Сумма без отделки" dataDxfId="431">
      <calculatedColumnFormula>sept2021222337[[#This Row],[сумма]]-sept2021222337[[#This Row],[Цема м2 отделки]]*sept2021222337[[#This Row],[м2]]</calculatedColumnFormula>
    </tableColumn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3000000}" name="sept202122233738" displayName="sept202122233738" ref="A2:U110" totalsRowShown="0">
  <autoFilter ref="A2:U110" xr:uid="{00000000-0009-0000-0100-000025000000}"/>
  <tableColumns count="21">
    <tableColumn id="1" xr3:uid="{00000000-0010-0000-2300-000001000000}" name="№п/п" dataDxfId="430"/>
    <tableColumn id="3" xr3:uid="{00000000-0010-0000-2300-000003000000}" name="заявка №" dataDxfId="429"/>
    <tableColumn id="6" xr3:uid="{00000000-0010-0000-2300-000006000000}" name="№ дома" dataDxfId="428"/>
    <tableColumn id="2" xr3:uid="{00000000-0010-0000-2300-000002000000}" name="№ кв" dataDxfId="427"/>
    <tableColumn id="9" xr3:uid="{00000000-0010-0000-2300-000009000000}" name="Комнатность" dataDxfId="426"/>
    <tableColumn id="5" xr3:uid="{00000000-0010-0000-2300-000005000000}" name="м2" dataDxfId="425"/>
    <tableColumn id="20" xr3:uid="{00000000-0010-0000-2300-000014000000}" name="Отделка" dataDxfId="424"/>
    <tableColumn id="19" xr3:uid="{00000000-0010-0000-2300-000013000000}" name="Цема м2 отделки" dataDxfId="423"/>
    <tableColumn id="8" xr3:uid="{00000000-0010-0000-2300-000008000000}" name="сумма" dataDxfId="422"/>
    <tableColumn id="4" xr3:uid="{00000000-0010-0000-2300-000004000000}" name="МОП" dataDxfId="421"/>
    <tableColumn id="7" xr3:uid="{00000000-0010-0000-2300-000007000000}" name="ИМ" dataDxfId="420"/>
    <tableColumn id="10" xr3:uid="{00000000-0010-0000-2300-00000A000000}" name="форма опл" dataDxfId="419"/>
    <tableColumn id="11" xr3:uid="{00000000-0010-0000-2300-00000B000000}" name="Тип брони" dataDxfId="418"/>
    <tableColumn id="12" xr3:uid="{00000000-0010-0000-2300-00000C000000}" name="дата регистрации " dataDxfId="417"/>
    <tableColumn id="13" xr3:uid="{00000000-0010-0000-2300-00000D000000}" name="форма сдачи" dataDxfId="416"/>
    <tableColumn id="14" xr3:uid="{00000000-0010-0000-2300-00000E000000}" name="ФИО клиента" dataDxfId="415"/>
    <tableColumn id="15" xr3:uid="{00000000-0010-0000-2300-00000F000000}" name="комментарий ИМ" dataDxfId="414"/>
    <tableColumn id="16" xr3:uid="{00000000-0010-0000-2300-000010000000}" name="Подробный комментарий МОП" dataDxfId="413"/>
    <tableColumn id="17" xr3:uid="{00000000-0010-0000-2300-000011000000}" name="КТУ" dataDxfId="412"/>
    <tableColumn id="18" xr3:uid="{00000000-0010-0000-2300-000012000000}" name="Столбец1" dataDxfId="411"/>
    <tableColumn id="22" xr3:uid="{00000000-0010-0000-2300-000016000000}" name="Сумма без отделки" dataDxfId="410">
      <calculatedColumnFormula>sept202122233738[[#This Row],[сумма]]-sept202122233738[[#This Row],[Цема м2 отделки]]*sept202122233738[[#This Row],[м2]]</calculatedColumn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4000000}" name="sept20212223373839" displayName="sept20212223373839" ref="A2:U110" totalsRowShown="0">
  <autoFilter ref="A2:U110" xr:uid="{00000000-0009-0000-0100-000026000000}"/>
  <tableColumns count="21">
    <tableColumn id="1" xr3:uid="{00000000-0010-0000-2400-000001000000}" name="№п/п" dataDxfId="409"/>
    <tableColumn id="3" xr3:uid="{00000000-0010-0000-2400-000003000000}" name="заявка №" dataDxfId="408"/>
    <tableColumn id="6" xr3:uid="{00000000-0010-0000-2400-000006000000}" name="№ дома" dataDxfId="407"/>
    <tableColumn id="2" xr3:uid="{00000000-0010-0000-2400-000002000000}" name="№ кв" dataDxfId="406"/>
    <tableColumn id="9" xr3:uid="{00000000-0010-0000-2400-000009000000}" name="Комнатность" dataDxfId="405"/>
    <tableColumn id="5" xr3:uid="{00000000-0010-0000-2400-000005000000}" name="м2" dataDxfId="404"/>
    <tableColumn id="20" xr3:uid="{00000000-0010-0000-2400-000014000000}" name="Отделка" dataDxfId="403"/>
    <tableColumn id="19" xr3:uid="{00000000-0010-0000-2400-000013000000}" name="Цема м2 отделки" dataDxfId="402"/>
    <tableColumn id="8" xr3:uid="{00000000-0010-0000-2400-000008000000}" name="сумма" dataDxfId="401"/>
    <tableColumn id="4" xr3:uid="{00000000-0010-0000-2400-000004000000}" name="МОП" dataDxfId="400"/>
    <tableColumn id="7" xr3:uid="{00000000-0010-0000-2400-000007000000}" name="ИМ" dataDxfId="399"/>
    <tableColumn id="10" xr3:uid="{00000000-0010-0000-2400-00000A000000}" name="форма опл" dataDxfId="398"/>
    <tableColumn id="11" xr3:uid="{00000000-0010-0000-2400-00000B000000}" name="Тип брони" dataDxfId="397"/>
    <tableColumn id="12" xr3:uid="{00000000-0010-0000-2400-00000C000000}" name="дата регистрации " dataDxfId="396"/>
    <tableColumn id="13" xr3:uid="{00000000-0010-0000-2400-00000D000000}" name="форма сдачи" dataDxfId="395"/>
    <tableColumn id="14" xr3:uid="{00000000-0010-0000-2400-00000E000000}" name="ФИО клиента" dataDxfId="394"/>
    <tableColumn id="15" xr3:uid="{00000000-0010-0000-2400-00000F000000}" name="комментарий ИМ" dataDxfId="393"/>
    <tableColumn id="16" xr3:uid="{00000000-0010-0000-2400-000010000000}" name="Подробный комментарий МОП" dataDxfId="392"/>
    <tableColumn id="17" xr3:uid="{00000000-0010-0000-2400-000011000000}" name="КТУ" dataDxfId="391"/>
    <tableColumn id="18" xr3:uid="{00000000-0010-0000-2400-000012000000}" name="Столбец1" dataDxfId="390"/>
    <tableColumn id="22" xr3:uid="{00000000-0010-0000-2400-000016000000}" name="Сумма без отделки" dataDxfId="389">
      <calculatedColumnFormula>sept20212223373839[[#This Row],[сумма]]-sept20212223373839[[#This Row],[Цема м2 отделки]]*sept20212223373839[[#This Row],[м2]]</calculatedColumn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5000000}" name="sept2021222337383940" displayName="sept2021222337383940" ref="A2:U110" totalsRowShown="0">
  <autoFilter ref="A2:U110" xr:uid="{00000000-0009-0000-0100-000027000000}"/>
  <tableColumns count="21">
    <tableColumn id="1" xr3:uid="{00000000-0010-0000-2500-000001000000}" name="№п/п" dataDxfId="388"/>
    <tableColumn id="3" xr3:uid="{00000000-0010-0000-2500-000003000000}" name="заявка №" dataDxfId="387"/>
    <tableColumn id="6" xr3:uid="{00000000-0010-0000-2500-000006000000}" name="№ дома" dataDxfId="386"/>
    <tableColumn id="2" xr3:uid="{00000000-0010-0000-2500-000002000000}" name="№ кв" dataDxfId="385"/>
    <tableColumn id="9" xr3:uid="{00000000-0010-0000-2500-000009000000}" name="Комнатность" dataDxfId="384"/>
    <tableColumn id="5" xr3:uid="{00000000-0010-0000-2500-000005000000}" name="м2" dataDxfId="383"/>
    <tableColumn id="20" xr3:uid="{00000000-0010-0000-2500-000014000000}" name="Отделка" dataDxfId="382"/>
    <tableColumn id="19" xr3:uid="{00000000-0010-0000-2500-000013000000}" name="Цена м2 отделки" dataDxfId="381"/>
    <tableColumn id="8" xr3:uid="{00000000-0010-0000-2500-000008000000}" name="сумма" dataDxfId="380"/>
    <tableColumn id="4" xr3:uid="{00000000-0010-0000-2500-000004000000}" name="МОП" dataDxfId="379"/>
    <tableColumn id="7" xr3:uid="{00000000-0010-0000-2500-000007000000}" name="ИМ" dataDxfId="378"/>
    <tableColumn id="10" xr3:uid="{00000000-0010-0000-2500-00000A000000}" name="форма опл" dataDxfId="377"/>
    <tableColumn id="11" xr3:uid="{00000000-0010-0000-2500-00000B000000}" name="Тип брони" dataDxfId="376"/>
    <tableColumn id="12" xr3:uid="{00000000-0010-0000-2500-00000C000000}" name="дата регистрации " dataDxfId="375"/>
    <tableColumn id="13" xr3:uid="{00000000-0010-0000-2500-00000D000000}" name="форма сдачи" dataDxfId="374"/>
    <tableColumn id="14" xr3:uid="{00000000-0010-0000-2500-00000E000000}" name="ФИО клиента" dataDxfId="373"/>
    <tableColumn id="15" xr3:uid="{00000000-0010-0000-2500-00000F000000}" name="комментарий ИМ" dataDxfId="372"/>
    <tableColumn id="16" xr3:uid="{00000000-0010-0000-2500-000010000000}" name="Подробный комментарий МОП" dataDxfId="371"/>
    <tableColumn id="17" xr3:uid="{00000000-0010-0000-2500-000011000000}" name="КТУ" dataDxfId="370"/>
    <tableColumn id="18" xr3:uid="{00000000-0010-0000-2500-000012000000}" name="Столбец1" dataDxfId="369"/>
    <tableColumn id="22" xr3:uid="{00000000-0010-0000-2500-000016000000}" name="Сумма без отделки" dataDxfId="368">
      <calculatedColumnFormula>sept2021222337383940[[#This Row],[сумма]]-sept2021222337383940[[#This Row],[Цена м2 отделки]]*sept2021222337383940[[#This Row],[м2]]</calculatedColumn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6000000}" name="июнь24" displayName="июнь24" ref="A2:U109" totalsRowShown="0">
  <autoFilter ref="A2:U109" xr:uid="{00000000-0009-0000-0100-000028000000}"/>
  <tableColumns count="21">
    <tableColumn id="1" xr3:uid="{00000000-0010-0000-2600-000001000000}" name="№п/п" dataDxfId="367"/>
    <tableColumn id="3" xr3:uid="{00000000-0010-0000-2600-000003000000}" name="заявка №" dataDxfId="366"/>
    <tableColumn id="6" xr3:uid="{00000000-0010-0000-2600-000006000000}" name="№ дома" dataDxfId="365"/>
    <tableColumn id="2" xr3:uid="{00000000-0010-0000-2600-000002000000}" name="№ кв" dataDxfId="364"/>
    <tableColumn id="9" xr3:uid="{00000000-0010-0000-2600-000009000000}" name="Комнатность" dataDxfId="363"/>
    <tableColumn id="5" xr3:uid="{00000000-0010-0000-2600-000005000000}" name="м2" dataDxfId="362"/>
    <tableColumn id="20" xr3:uid="{00000000-0010-0000-2600-000014000000}" name="Отделка" dataDxfId="361"/>
    <tableColumn id="19" xr3:uid="{00000000-0010-0000-2600-000013000000}" name="Цена м2 отделки" dataDxfId="360"/>
    <tableColumn id="8" xr3:uid="{00000000-0010-0000-2600-000008000000}" name="сумма" dataDxfId="359"/>
    <tableColumn id="4" xr3:uid="{00000000-0010-0000-2600-000004000000}" name="МОП" dataDxfId="358"/>
    <tableColumn id="7" xr3:uid="{00000000-0010-0000-2600-000007000000}" name="ИМ" dataDxfId="357"/>
    <tableColumn id="10" xr3:uid="{00000000-0010-0000-2600-00000A000000}" name="форма опл" dataDxfId="356"/>
    <tableColumn id="11" xr3:uid="{00000000-0010-0000-2600-00000B000000}" name="Тип брони" dataDxfId="355"/>
    <tableColumn id="12" xr3:uid="{00000000-0010-0000-2600-00000C000000}" name="дата регистрации " dataDxfId="354"/>
    <tableColumn id="13" xr3:uid="{00000000-0010-0000-2600-00000D000000}" name="форма сдачи" dataDxfId="353"/>
    <tableColumn id="14" xr3:uid="{00000000-0010-0000-2600-00000E000000}" name="ФИО клиента" dataDxfId="352"/>
    <tableColumn id="15" xr3:uid="{00000000-0010-0000-2600-00000F000000}" name="комментарий ИМ" dataDxfId="351"/>
    <tableColumn id="16" xr3:uid="{00000000-0010-0000-2600-000010000000}" name="Подробный комментарий МОП" dataDxfId="350"/>
    <tableColumn id="17" xr3:uid="{00000000-0010-0000-2600-000011000000}" name="КТУ" dataDxfId="349"/>
    <tableColumn id="18" xr3:uid="{00000000-0010-0000-2600-000012000000}" name="Столбец1" dataDxfId="348"/>
    <tableColumn id="22" xr3:uid="{00000000-0010-0000-2600-000016000000}" name="Сумма без отделки" dataDxfId="347">
      <calculatedColumnFormula>июнь24[[#This Row],[сумма]]-июнь24[[#This Row],[Цена м2 отделки]]*июнь24[[#This Row],[м2]]</calculatedColumn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7000000}" name="июнь2442" displayName="июнь2442" ref="A2:V64" totalsRowShown="0">
  <autoFilter ref="A2:V64" xr:uid="{00000000-0009-0000-0100-000029000000}"/>
  <tableColumns count="22">
    <tableColumn id="1" xr3:uid="{00000000-0010-0000-2700-000001000000}" name="№п/п" dataDxfId="346"/>
    <tableColumn id="21" xr3:uid="{00000000-0010-0000-2700-000015000000}" name="Продажа" dataDxfId="345"/>
    <tableColumn id="3" xr3:uid="{00000000-0010-0000-2700-000003000000}" name="заявка №" dataDxfId="344"/>
    <tableColumn id="6" xr3:uid="{00000000-0010-0000-2700-000006000000}" name="№ дома" dataDxfId="343"/>
    <tableColumn id="2" xr3:uid="{00000000-0010-0000-2700-000002000000}" name="№ кв" dataDxfId="342"/>
    <tableColumn id="9" xr3:uid="{00000000-0010-0000-2700-000009000000}" name="Комнатность" dataDxfId="341"/>
    <tableColumn id="5" xr3:uid="{00000000-0010-0000-2700-000005000000}" name="м2" dataDxfId="340"/>
    <tableColumn id="20" xr3:uid="{00000000-0010-0000-2700-000014000000}" name="Отделка" dataDxfId="339"/>
    <tableColumn id="19" xr3:uid="{00000000-0010-0000-2700-000013000000}" name="Цена м2 отделки" dataDxfId="338"/>
    <tableColumn id="8" xr3:uid="{00000000-0010-0000-2700-000008000000}" name="сумма" dataDxfId="337"/>
    <tableColumn id="4" xr3:uid="{00000000-0010-0000-2700-000004000000}" name="МОП" dataDxfId="336"/>
    <tableColumn id="7" xr3:uid="{00000000-0010-0000-2700-000007000000}" name="ИМ" dataDxfId="335"/>
    <tableColumn id="10" xr3:uid="{00000000-0010-0000-2700-00000A000000}" name="форма опл" dataDxfId="334"/>
    <tableColumn id="11" xr3:uid="{00000000-0010-0000-2700-00000B000000}" name="Тип брони" dataDxfId="333"/>
    <tableColumn id="12" xr3:uid="{00000000-0010-0000-2700-00000C000000}" name="дата регистрации " dataDxfId="332"/>
    <tableColumn id="13" xr3:uid="{00000000-0010-0000-2700-00000D000000}" name="форма сдачи" dataDxfId="331"/>
    <tableColumn id="14" xr3:uid="{00000000-0010-0000-2700-00000E000000}" name="ФИО клиента" dataDxfId="330"/>
    <tableColumn id="15" xr3:uid="{00000000-0010-0000-2700-00000F000000}" name="комментарий ИМ" dataDxfId="329"/>
    <tableColumn id="16" xr3:uid="{00000000-0010-0000-2700-000010000000}" name="Подробный комментарий МОП" dataDxfId="328"/>
    <tableColumn id="17" xr3:uid="{00000000-0010-0000-2700-000011000000}" name="КТУ" dataDxfId="327"/>
    <tableColumn id="18" xr3:uid="{00000000-0010-0000-2700-000012000000}" name="Столбец1" dataDxfId="326"/>
    <tableColumn id="22" xr3:uid="{00000000-0010-0000-2700-000016000000}" name="Сумма без отделки" dataDxfId="325">
      <calculatedColumnFormula>июнь2442[[#This Row],[сумма]]-июнь2442[[#This Row],[Цена м2 отделки]]*июнь2442[[#This Row],[м2]]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8000000}" name="июнь244243" displayName="июнь244243" ref="A2:V64" totalsRowShown="0">
  <autoFilter ref="A2:V64" xr:uid="{00000000-0009-0000-0100-00002A000000}"/>
  <tableColumns count="22">
    <tableColumn id="1" xr3:uid="{00000000-0010-0000-2800-000001000000}" name="№п/п" dataDxfId="324"/>
    <tableColumn id="21" xr3:uid="{00000000-0010-0000-2800-000015000000}" name="Продажа" dataDxfId="323"/>
    <tableColumn id="3" xr3:uid="{00000000-0010-0000-2800-000003000000}" name="заявка №" dataDxfId="322"/>
    <tableColumn id="6" xr3:uid="{00000000-0010-0000-2800-000006000000}" name="№ дома" dataDxfId="321"/>
    <tableColumn id="2" xr3:uid="{00000000-0010-0000-2800-000002000000}" name="№ кв" dataDxfId="320"/>
    <tableColumn id="9" xr3:uid="{00000000-0010-0000-2800-000009000000}" name="Комнатность" dataDxfId="319"/>
    <tableColumn id="5" xr3:uid="{00000000-0010-0000-2800-000005000000}" name="м2" dataDxfId="318"/>
    <tableColumn id="20" xr3:uid="{00000000-0010-0000-2800-000014000000}" name="Отделка" dataDxfId="317"/>
    <tableColumn id="19" xr3:uid="{00000000-0010-0000-2800-000013000000}" name="Цена м2 отделки" dataDxfId="316"/>
    <tableColumn id="8" xr3:uid="{00000000-0010-0000-2800-000008000000}" name="сумма" dataDxfId="315"/>
    <tableColumn id="4" xr3:uid="{00000000-0010-0000-2800-000004000000}" name="МОП" dataDxfId="314"/>
    <tableColumn id="7" xr3:uid="{00000000-0010-0000-2800-000007000000}" name="ИМ" dataDxfId="313"/>
    <tableColumn id="10" xr3:uid="{00000000-0010-0000-2800-00000A000000}" name="форма опл" dataDxfId="312"/>
    <tableColumn id="11" xr3:uid="{00000000-0010-0000-2800-00000B000000}" name="Тип брони" dataDxfId="311"/>
    <tableColumn id="12" xr3:uid="{00000000-0010-0000-2800-00000C000000}" name="дата регистрации " dataDxfId="310"/>
    <tableColumn id="13" xr3:uid="{00000000-0010-0000-2800-00000D000000}" name="форма сдачи" dataDxfId="309"/>
    <tableColumn id="14" xr3:uid="{00000000-0010-0000-2800-00000E000000}" name="ФИО клиента" dataDxfId="308"/>
    <tableColumn id="15" xr3:uid="{00000000-0010-0000-2800-00000F000000}" name="комментарий ИМ" dataDxfId="307"/>
    <tableColumn id="16" xr3:uid="{00000000-0010-0000-2800-000010000000}" name="Подробный комментарий МОП" dataDxfId="306"/>
    <tableColumn id="17" xr3:uid="{00000000-0010-0000-2800-000011000000}" name="КТУ" dataDxfId="305"/>
    <tableColumn id="18" xr3:uid="{00000000-0010-0000-2800-000012000000}" name="Столбец1" dataDxfId="304"/>
    <tableColumn id="22" xr3:uid="{00000000-0010-0000-2800-000016000000}" name="Сумма без отделки" dataDxfId="303">
      <calculatedColumnFormula>июнь244243[[#This Row],[сумма]]-июнь244243[[#This Row],[Цена м2 отделки]]*июнь244243[[#This Row],[м2]]</calculatedColumnFormula>
    </tableColumn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9000000}" name="сент24" displayName="сент24" ref="A2:V64" totalsRowShown="0">
  <autoFilter ref="A2:V64" xr:uid="{00000000-0009-0000-0100-00002B000000}"/>
  <tableColumns count="22">
    <tableColumn id="1" xr3:uid="{00000000-0010-0000-2900-000001000000}" name="№п/п" dataDxfId="302"/>
    <tableColumn id="21" xr3:uid="{00000000-0010-0000-2900-000015000000}" name="Продажа" dataDxfId="301"/>
    <tableColumn id="3" xr3:uid="{00000000-0010-0000-2900-000003000000}" name="заявка №" dataDxfId="300"/>
    <tableColumn id="6" xr3:uid="{00000000-0010-0000-2900-000006000000}" name="№ дома" dataDxfId="299"/>
    <tableColumn id="2" xr3:uid="{00000000-0010-0000-2900-000002000000}" name="№ кв" dataDxfId="298"/>
    <tableColumn id="9" xr3:uid="{00000000-0010-0000-2900-000009000000}" name="Комнатность" dataDxfId="297"/>
    <tableColumn id="5" xr3:uid="{00000000-0010-0000-2900-000005000000}" name="м2" dataDxfId="296"/>
    <tableColumn id="20" xr3:uid="{00000000-0010-0000-2900-000014000000}" name="Отделка" dataDxfId="295"/>
    <tableColumn id="19" xr3:uid="{00000000-0010-0000-2900-000013000000}" name="Цена м2 отделки" dataDxfId="294"/>
    <tableColumn id="8" xr3:uid="{00000000-0010-0000-2900-000008000000}" name="сумма" dataDxfId="293"/>
    <tableColumn id="4" xr3:uid="{00000000-0010-0000-2900-000004000000}" name="МОП" dataDxfId="292"/>
    <tableColumn id="7" xr3:uid="{00000000-0010-0000-2900-000007000000}" name="ИМ" dataDxfId="291"/>
    <tableColumn id="10" xr3:uid="{00000000-0010-0000-2900-00000A000000}" name="форма опл" dataDxfId="290"/>
    <tableColumn id="11" xr3:uid="{00000000-0010-0000-2900-00000B000000}" name="Тип брони" dataDxfId="289"/>
    <tableColumn id="12" xr3:uid="{00000000-0010-0000-2900-00000C000000}" name="дата регистрации " dataDxfId="288"/>
    <tableColumn id="13" xr3:uid="{00000000-0010-0000-2900-00000D000000}" name="форма сдачи" dataDxfId="287"/>
    <tableColumn id="14" xr3:uid="{00000000-0010-0000-2900-00000E000000}" name="ФИО клиента" dataDxfId="286"/>
    <tableColumn id="15" xr3:uid="{00000000-0010-0000-2900-00000F000000}" name="комментарий ИМ" dataDxfId="285"/>
    <tableColumn id="16" xr3:uid="{00000000-0010-0000-2900-000010000000}" name="Подробный комментарий МОП" dataDxfId="284"/>
    <tableColumn id="17" xr3:uid="{00000000-0010-0000-2900-000011000000}" name="КТУ" dataDxfId="283"/>
    <tableColumn id="18" xr3:uid="{00000000-0010-0000-2900-000012000000}" name="Встреча" dataDxfId="282"/>
    <tableColumn id="22" xr3:uid="{00000000-0010-0000-2900-000016000000}" name="Сумма без отделки" dataDxfId="281">
      <calculatedColumnFormula>сент24[[#This Row],[сумма]]-сент24[[#This Row],[Цена м2 отделки]]*сент24[[#This Row],[м2]]</calculatedColumn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A000000}" name="сент2445" displayName="сент2445" ref="A2:V64" totalsRowShown="0">
  <autoFilter ref="A2:V64" xr:uid="{00000000-0009-0000-0100-00002C000000}">
    <filterColumn colId="19">
      <filters>
        <filter val="АН - Все метры"/>
        <filter val="АН - ДомКлик"/>
        <filter val="АН - Новая Жизнь"/>
        <filter val="АН - Юпитер"/>
      </filters>
    </filterColumn>
    <filterColumn colId="20">
      <filters>
        <filter val="Дик"/>
      </filters>
    </filterColumn>
  </autoFilter>
  <tableColumns count="22">
    <tableColumn id="1" xr3:uid="{00000000-0010-0000-2A00-000001000000}" name="№п/п" dataDxfId="280"/>
    <tableColumn id="21" xr3:uid="{00000000-0010-0000-2A00-000015000000}" name="Продажа" dataDxfId="279"/>
    <tableColumn id="3" xr3:uid="{00000000-0010-0000-2A00-000003000000}" name="заявка №" dataDxfId="278"/>
    <tableColumn id="6" xr3:uid="{00000000-0010-0000-2A00-000006000000}" name="№ дома" dataDxfId="277"/>
    <tableColumn id="2" xr3:uid="{00000000-0010-0000-2A00-000002000000}" name="№ кв" dataDxfId="276"/>
    <tableColumn id="9" xr3:uid="{00000000-0010-0000-2A00-000009000000}" name="Комнатность" dataDxfId="275"/>
    <tableColumn id="5" xr3:uid="{00000000-0010-0000-2A00-000005000000}" name="м2" dataDxfId="274"/>
    <tableColumn id="20" xr3:uid="{00000000-0010-0000-2A00-000014000000}" name="Отделка" dataDxfId="273"/>
    <tableColumn id="19" xr3:uid="{00000000-0010-0000-2A00-000013000000}" name="Цена м2 отделки" dataDxfId="272"/>
    <tableColumn id="8" xr3:uid="{00000000-0010-0000-2A00-000008000000}" name="сумма" dataDxfId="271"/>
    <tableColumn id="4" xr3:uid="{00000000-0010-0000-2A00-000004000000}" name="МОП" dataDxfId="270"/>
    <tableColumn id="7" xr3:uid="{00000000-0010-0000-2A00-000007000000}" name="ИМ" dataDxfId="269"/>
    <tableColumn id="10" xr3:uid="{00000000-0010-0000-2A00-00000A000000}" name="форма опл" dataDxfId="268"/>
    <tableColumn id="11" xr3:uid="{00000000-0010-0000-2A00-00000B000000}" name="Тип брони" dataDxfId="267"/>
    <tableColumn id="12" xr3:uid="{00000000-0010-0000-2A00-00000C000000}" name="дата регистрации " dataDxfId="266"/>
    <tableColumn id="13" xr3:uid="{00000000-0010-0000-2A00-00000D000000}" name="форма сдачи" dataDxfId="265"/>
    <tableColumn id="14" xr3:uid="{00000000-0010-0000-2A00-00000E000000}" name="ФИО клиента" dataDxfId="264"/>
    <tableColumn id="15" xr3:uid="{00000000-0010-0000-2A00-00000F000000}" name="комментарий ИМ" dataDxfId="263"/>
    <tableColumn id="16" xr3:uid="{00000000-0010-0000-2A00-000010000000}" name="Подробный комментарий МОП" dataDxfId="262"/>
    <tableColumn id="17" xr3:uid="{00000000-0010-0000-2A00-000011000000}" name="КТУ" dataDxfId="261"/>
    <tableColumn id="18" xr3:uid="{00000000-0010-0000-2A00-000012000000}" name="Встреча" dataDxfId="260"/>
    <tableColumn id="22" xr3:uid="{00000000-0010-0000-2A00-000016000000}" name="Сумма без отделки" dataDxfId="259">
      <calculatedColumnFormula>сент2445[[#This Row],[сумма]]-сент2445[[#This Row],[Цена м2 отделки]]*сент2445[[#This Row],[м2]]</calculatedColumnFormula>
    </tableColumn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B000000}" name="сент244546" displayName="сент244546" ref="A2:V64" totalsRowShown="0">
  <autoFilter ref="A2:V64" xr:uid="{00000000-0009-0000-0100-00002D000000}">
    <filterColumn colId="20">
      <filters>
        <filter val="Дик"/>
      </filters>
    </filterColumn>
  </autoFilter>
  <tableColumns count="22">
    <tableColumn id="1" xr3:uid="{00000000-0010-0000-2B00-000001000000}" name="№п/п" dataDxfId="258"/>
    <tableColumn id="21" xr3:uid="{00000000-0010-0000-2B00-000015000000}" name="Продажа" dataDxfId="257"/>
    <tableColumn id="3" xr3:uid="{00000000-0010-0000-2B00-000003000000}" name="заявка №" dataDxfId="256"/>
    <tableColumn id="6" xr3:uid="{00000000-0010-0000-2B00-000006000000}" name="№ дома" dataDxfId="255"/>
    <tableColumn id="2" xr3:uid="{00000000-0010-0000-2B00-000002000000}" name="№ кв" dataDxfId="254"/>
    <tableColumn id="9" xr3:uid="{00000000-0010-0000-2B00-000009000000}" name="Комнатность" dataDxfId="253"/>
    <tableColumn id="5" xr3:uid="{00000000-0010-0000-2B00-000005000000}" name="м2" dataDxfId="252"/>
    <tableColumn id="20" xr3:uid="{00000000-0010-0000-2B00-000014000000}" name="Отделка" dataDxfId="251"/>
    <tableColumn id="19" xr3:uid="{00000000-0010-0000-2B00-000013000000}" name="Цена м2 отделки" dataDxfId="250"/>
    <tableColumn id="8" xr3:uid="{00000000-0010-0000-2B00-000008000000}" name="сумма" dataDxfId="249"/>
    <tableColumn id="4" xr3:uid="{00000000-0010-0000-2B00-000004000000}" name="МОП" dataDxfId="248"/>
    <tableColumn id="7" xr3:uid="{00000000-0010-0000-2B00-000007000000}" name="ИМ" dataDxfId="247"/>
    <tableColumn id="10" xr3:uid="{00000000-0010-0000-2B00-00000A000000}" name="форма опл" dataDxfId="246"/>
    <tableColumn id="11" xr3:uid="{00000000-0010-0000-2B00-00000B000000}" name="Тип брони" dataDxfId="245"/>
    <tableColumn id="12" xr3:uid="{00000000-0010-0000-2B00-00000C000000}" name="дата регистрации " dataDxfId="244"/>
    <tableColumn id="13" xr3:uid="{00000000-0010-0000-2B00-00000D000000}" name="форма сдачи" dataDxfId="243"/>
    <tableColumn id="14" xr3:uid="{00000000-0010-0000-2B00-00000E000000}" name="ФИО клиента" dataDxfId="242"/>
    <tableColumn id="15" xr3:uid="{00000000-0010-0000-2B00-00000F000000}" name="комментарий ИМ" dataDxfId="241"/>
    <tableColumn id="16" xr3:uid="{00000000-0010-0000-2B00-000010000000}" name="Подробный комментарий МОП" dataDxfId="240"/>
    <tableColumn id="17" xr3:uid="{00000000-0010-0000-2B00-000011000000}" name="КТУ" dataDxfId="239"/>
    <tableColumn id="18" xr3:uid="{00000000-0010-0000-2B00-000012000000}" name="Встреча" dataDxfId="238"/>
    <tableColumn id="22" xr3:uid="{00000000-0010-0000-2B00-000016000000}" name="Сумма без отделки" dataDxfId="237">
      <calculatedColumnFormula>сент244546[[#This Row],[сумма]]-сент244546[[#This Row],[Цена м2 отделки]]*сент244546[[#This Row],[м2]]</calculatedColumn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C000000}" name="Дек24" displayName="Дек24" ref="A2:V64" totalsRowShown="0">
  <autoFilter ref="A2:V64" xr:uid="{00000000-0009-0000-0100-00002E000000}"/>
  <tableColumns count="22">
    <tableColumn id="1" xr3:uid="{00000000-0010-0000-2C00-000001000000}" name="№п/п" dataDxfId="236"/>
    <tableColumn id="21" xr3:uid="{00000000-0010-0000-2C00-000015000000}" name="Продажа" dataDxfId="235"/>
    <tableColumn id="3" xr3:uid="{00000000-0010-0000-2C00-000003000000}" name="заявка №" dataDxfId="234"/>
    <tableColumn id="6" xr3:uid="{00000000-0010-0000-2C00-000006000000}" name="№ дома" dataDxfId="233"/>
    <tableColumn id="2" xr3:uid="{00000000-0010-0000-2C00-000002000000}" name="№ кв" dataDxfId="232"/>
    <tableColumn id="9" xr3:uid="{00000000-0010-0000-2C00-000009000000}" name="Комнатность" dataDxfId="231"/>
    <tableColumn id="5" xr3:uid="{00000000-0010-0000-2C00-000005000000}" name="м2" dataDxfId="230"/>
    <tableColumn id="20" xr3:uid="{00000000-0010-0000-2C00-000014000000}" name="Отделка" dataDxfId="229"/>
    <tableColumn id="19" xr3:uid="{00000000-0010-0000-2C00-000013000000}" name="Цена м2 отделки" dataDxfId="228"/>
    <tableColumn id="8" xr3:uid="{00000000-0010-0000-2C00-000008000000}" name="сумма" dataDxfId="227"/>
    <tableColumn id="4" xr3:uid="{00000000-0010-0000-2C00-000004000000}" name="МОП" dataDxfId="226"/>
    <tableColumn id="7" xr3:uid="{00000000-0010-0000-2C00-000007000000}" name="ИМ" dataDxfId="225"/>
    <tableColumn id="10" xr3:uid="{00000000-0010-0000-2C00-00000A000000}" name="форма опл" dataDxfId="224"/>
    <tableColumn id="11" xr3:uid="{00000000-0010-0000-2C00-00000B000000}" name="Тип брони" dataDxfId="223"/>
    <tableColumn id="12" xr3:uid="{00000000-0010-0000-2C00-00000C000000}" name="дата регистрации " dataDxfId="222"/>
    <tableColumn id="13" xr3:uid="{00000000-0010-0000-2C00-00000D000000}" name="форма сдачи" dataDxfId="221"/>
    <tableColumn id="14" xr3:uid="{00000000-0010-0000-2C00-00000E000000}" name="ФИО клиента" dataDxfId="220"/>
    <tableColumn id="15" xr3:uid="{00000000-0010-0000-2C00-00000F000000}" name="комментарий ИМ" dataDxfId="219"/>
    <tableColumn id="16" xr3:uid="{00000000-0010-0000-2C00-000010000000}" name="Подробный комментарий МОП" dataDxfId="218"/>
    <tableColumn id="17" xr3:uid="{00000000-0010-0000-2C00-000011000000}" name="КТУ" dataDxfId="217"/>
    <tableColumn id="18" xr3:uid="{00000000-0010-0000-2C00-000012000000}" name="Встреча" dataDxfId="216"/>
    <tableColumn id="22" xr3:uid="{00000000-0010-0000-2C00-000016000000}" name="Сумма без отделки" dataDxfId="215">
      <calculatedColumnFormula>Дек24[[#This Row],[сумма]]-Дек24[[#This Row],[Цена м2 отделки]]*Дек24[[#This Row],[м2]]</calculatedColumnFormula>
    </tableColumn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D000000}" name="Дек2448" displayName="Дек2448" ref="A2:V64" totalsRowShown="0">
  <autoFilter ref="A2:V64" xr:uid="{00000000-0009-0000-0100-00002F000000}"/>
  <tableColumns count="22">
    <tableColumn id="1" xr3:uid="{00000000-0010-0000-2D00-000001000000}" name="№п/п" dataDxfId="214"/>
    <tableColumn id="21" xr3:uid="{00000000-0010-0000-2D00-000015000000}" name="Продажа" dataDxfId="213"/>
    <tableColumn id="3" xr3:uid="{00000000-0010-0000-2D00-000003000000}" name="заявка №" dataDxfId="212"/>
    <tableColumn id="6" xr3:uid="{00000000-0010-0000-2D00-000006000000}" name="№ дома" dataDxfId="211"/>
    <tableColumn id="2" xr3:uid="{00000000-0010-0000-2D00-000002000000}" name="№ кв" dataDxfId="210"/>
    <tableColumn id="9" xr3:uid="{00000000-0010-0000-2D00-000009000000}" name="Комнатность" dataDxfId="209"/>
    <tableColumn id="5" xr3:uid="{00000000-0010-0000-2D00-000005000000}" name="м2" dataDxfId="208"/>
    <tableColumn id="20" xr3:uid="{00000000-0010-0000-2D00-000014000000}" name="Отделка" dataDxfId="207"/>
    <tableColumn id="19" xr3:uid="{00000000-0010-0000-2D00-000013000000}" name="Цена м2 отделки" dataDxfId="206"/>
    <tableColumn id="8" xr3:uid="{00000000-0010-0000-2D00-000008000000}" name="сумма" dataDxfId="205"/>
    <tableColumn id="4" xr3:uid="{00000000-0010-0000-2D00-000004000000}" name="МОП" dataDxfId="204"/>
    <tableColumn id="7" xr3:uid="{00000000-0010-0000-2D00-000007000000}" name="ИМ" dataDxfId="203"/>
    <tableColumn id="10" xr3:uid="{00000000-0010-0000-2D00-00000A000000}" name="форма опл" dataDxfId="202"/>
    <tableColumn id="11" xr3:uid="{00000000-0010-0000-2D00-00000B000000}" name="Тип брони" dataDxfId="201"/>
    <tableColumn id="12" xr3:uid="{00000000-0010-0000-2D00-00000C000000}" name="дата регистрации " dataDxfId="200"/>
    <tableColumn id="13" xr3:uid="{00000000-0010-0000-2D00-00000D000000}" name="форма сдачи" dataDxfId="199"/>
    <tableColumn id="14" xr3:uid="{00000000-0010-0000-2D00-00000E000000}" name="ФИО клиента" dataDxfId="198"/>
    <tableColumn id="15" xr3:uid="{00000000-0010-0000-2D00-00000F000000}" name="комментарий ИМ" dataDxfId="197"/>
    <tableColumn id="16" xr3:uid="{00000000-0010-0000-2D00-000010000000}" name="Подробный комментарий МОП" dataDxfId="196"/>
    <tableColumn id="17" xr3:uid="{00000000-0010-0000-2D00-000011000000}" name="КТУ" dataDxfId="195"/>
    <tableColumn id="18" xr3:uid="{00000000-0010-0000-2D00-000012000000}" name="Встреча" dataDxfId="194"/>
    <tableColumn id="22" xr3:uid="{00000000-0010-0000-2D00-000016000000}" name="Сумма без отделки" dataDxfId="193">
      <calculatedColumnFormula>Дек2448[[#This Row],[сумма]]-Дек2448[[#This Row],[Цена м2 отделки]]*Дек2448[[#This Row],[м2]]</calculatedColumn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Ф25" displayName="Ф25" ref="A3:V65" totalsRowShown="0">
  <autoFilter ref="A3:V65" xr:uid="{00000000-0009-0000-0100-000030000000}">
    <filterColumn colId="10">
      <filters>
        <filter val="Дик"/>
      </filters>
    </filterColumn>
  </autoFilter>
  <tableColumns count="22">
    <tableColumn id="1" xr3:uid="{00000000-0010-0000-2E00-000001000000}" name="№п/п" dataDxfId="192"/>
    <tableColumn id="21" xr3:uid="{00000000-0010-0000-2E00-000015000000}" name="Продажа" dataDxfId="191"/>
    <tableColumn id="3" xr3:uid="{00000000-0010-0000-2E00-000003000000}" name="заявка №" dataDxfId="190"/>
    <tableColumn id="6" xr3:uid="{00000000-0010-0000-2E00-000006000000}" name="№ дома" dataDxfId="189"/>
    <tableColumn id="2" xr3:uid="{00000000-0010-0000-2E00-000002000000}" name="№ кв" dataDxfId="188"/>
    <tableColumn id="9" xr3:uid="{00000000-0010-0000-2E00-000009000000}" name="Комнатность" dataDxfId="187"/>
    <tableColumn id="5" xr3:uid="{00000000-0010-0000-2E00-000005000000}" name="м2" dataDxfId="186"/>
    <tableColumn id="20" xr3:uid="{00000000-0010-0000-2E00-000014000000}" name="Отделка" dataDxfId="185"/>
    <tableColumn id="19" xr3:uid="{00000000-0010-0000-2E00-000013000000}" name="Цена м2 отделки" dataDxfId="184"/>
    <tableColumn id="8" xr3:uid="{00000000-0010-0000-2E00-000008000000}" name="сумма" dataDxfId="183"/>
    <tableColumn id="4" xr3:uid="{00000000-0010-0000-2E00-000004000000}" name="МОП" dataDxfId="182"/>
    <tableColumn id="7" xr3:uid="{00000000-0010-0000-2E00-000007000000}" name="ИМ" dataDxfId="181"/>
    <tableColumn id="10" xr3:uid="{00000000-0010-0000-2E00-00000A000000}" name="форма опл" dataDxfId="180"/>
    <tableColumn id="11" xr3:uid="{00000000-0010-0000-2E00-00000B000000}" name="Тип брони" dataDxfId="179"/>
    <tableColumn id="12" xr3:uid="{00000000-0010-0000-2E00-00000C000000}" name="дата регистрации " dataDxfId="178"/>
    <tableColumn id="13" xr3:uid="{00000000-0010-0000-2E00-00000D000000}" name="форма сдачи" dataDxfId="177"/>
    <tableColumn id="14" xr3:uid="{00000000-0010-0000-2E00-00000E000000}" name="ФИО клиента" dataDxfId="176"/>
    <tableColumn id="15" xr3:uid="{00000000-0010-0000-2E00-00000F000000}" name="комментарий ИМ" dataDxfId="175"/>
    <tableColumn id="16" xr3:uid="{00000000-0010-0000-2E00-000010000000}" name="Подробный комментарий МОП" dataDxfId="174"/>
    <tableColumn id="17" xr3:uid="{00000000-0010-0000-2E00-000011000000}" name="КТУ" dataDxfId="173"/>
    <tableColumn id="18" xr3:uid="{00000000-0010-0000-2E00-000012000000}" name="Встреча" dataDxfId="172"/>
    <tableColumn id="22" xr3:uid="{00000000-0010-0000-2E00-000016000000}" name="Сумма без отделки" dataDxfId="171">
      <calculatedColumnFormula>Ф25[[#This Row],[сумма]]-Ф25[[#This Row],[Цена м2 отделки]]*Ф25[[#This Row],[м2]]</calculatedColumnFormula>
    </tableColumn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Март25" displayName="Март25" ref="A3:V65" totalsRowShown="0">
  <autoFilter ref="A3:V65" xr:uid="{00000000-0009-0000-0100-000031000000}">
    <filterColumn colId="10">
      <filters>
        <filter val="Дик"/>
      </filters>
    </filterColumn>
  </autoFilter>
  <tableColumns count="22">
    <tableColumn id="1" xr3:uid="{00000000-0010-0000-2F00-000001000000}" name="№п/п" dataDxfId="170"/>
    <tableColumn id="21" xr3:uid="{00000000-0010-0000-2F00-000015000000}" name="Продажа" dataDxfId="169"/>
    <tableColumn id="3" xr3:uid="{00000000-0010-0000-2F00-000003000000}" name="заявка №" dataDxfId="168"/>
    <tableColumn id="6" xr3:uid="{00000000-0010-0000-2F00-000006000000}" name="№ дома" dataDxfId="167"/>
    <tableColumn id="2" xr3:uid="{00000000-0010-0000-2F00-000002000000}" name="№ кв" dataDxfId="166"/>
    <tableColumn id="9" xr3:uid="{00000000-0010-0000-2F00-000009000000}" name="Комнатность" dataDxfId="165"/>
    <tableColumn id="5" xr3:uid="{00000000-0010-0000-2F00-000005000000}" name="м2" dataDxfId="164"/>
    <tableColumn id="20" xr3:uid="{00000000-0010-0000-2F00-000014000000}" name="Отделка" dataDxfId="163"/>
    <tableColumn id="19" xr3:uid="{00000000-0010-0000-2F00-000013000000}" name="Цена м2 отделки" dataDxfId="162"/>
    <tableColumn id="8" xr3:uid="{00000000-0010-0000-2F00-000008000000}" name="сумма" dataDxfId="161"/>
    <tableColumn id="4" xr3:uid="{00000000-0010-0000-2F00-000004000000}" name="МОП" dataDxfId="160"/>
    <tableColumn id="7" xr3:uid="{00000000-0010-0000-2F00-000007000000}" name="ИМ" dataDxfId="159"/>
    <tableColumn id="10" xr3:uid="{00000000-0010-0000-2F00-00000A000000}" name="форма опл" dataDxfId="158"/>
    <tableColumn id="11" xr3:uid="{00000000-0010-0000-2F00-00000B000000}" name="Тип брони" dataDxfId="157"/>
    <tableColumn id="12" xr3:uid="{00000000-0010-0000-2F00-00000C000000}" name="дата регистрации " dataDxfId="156"/>
    <tableColumn id="13" xr3:uid="{00000000-0010-0000-2F00-00000D000000}" name="форма сдачи" dataDxfId="155"/>
    <tableColumn id="14" xr3:uid="{00000000-0010-0000-2F00-00000E000000}" name="ФИО клиента" dataDxfId="154"/>
    <tableColumn id="15" xr3:uid="{00000000-0010-0000-2F00-00000F000000}" name="комментарий ИМ" dataDxfId="153"/>
    <tableColumn id="16" xr3:uid="{00000000-0010-0000-2F00-000010000000}" name="Подробный комментарий МОП" dataDxfId="152"/>
    <tableColumn id="17" xr3:uid="{00000000-0010-0000-2F00-000011000000}" name="КТУ" dataDxfId="151"/>
    <tableColumn id="18" xr3:uid="{00000000-0010-0000-2F00-000012000000}" name="Встреча" dataDxfId="150"/>
    <tableColumn id="22" xr3:uid="{00000000-0010-0000-2F00-000016000000}" name="Сумма без отделки" dataDxfId="149">
      <calculatedColumnFormula>Март25[[#This Row],[сумма]]-Март25[[#This Row],[Цена м2 отделки]]*Март25[[#This Row],[м2]]</calculatedColumnFormula>
    </tableColumn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Март2551" displayName="Март2551" ref="A3:V64" totalsRowShown="0">
  <autoFilter ref="A3:V64" xr:uid="{00000000-0009-0000-0100-000032000000}">
    <filterColumn colId="3">
      <filters>
        <filter val="Дом 5"/>
      </filters>
    </filterColumn>
    <filterColumn colId="10">
      <filters>
        <filter val="Дик"/>
      </filters>
    </filterColumn>
  </autoFilter>
  <tableColumns count="22">
    <tableColumn id="1" xr3:uid="{00000000-0010-0000-3000-000001000000}" name="№п/п" dataDxfId="148"/>
    <tableColumn id="21" xr3:uid="{00000000-0010-0000-3000-000015000000}" name="Продажа" dataDxfId="147"/>
    <tableColumn id="3" xr3:uid="{00000000-0010-0000-3000-000003000000}" name="заявка №" dataDxfId="146"/>
    <tableColumn id="6" xr3:uid="{00000000-0010-0000-3000-000006000000}" name="№ дома" dataDxfId="145"/>
    <tableColumn id="2" xr3:uid="{00000000-0010-0000-3000-000002000000}" name="№ кв" dataDxfId="144"/>
    <tableColumn id="9" xr3:uid="{00000000-0010-0000-3000-000009000000}" name="Комнатность" dataDxfId="143"/>
    <tableColumn id="5" xr3:uid="{00000000-0010-0000-3000-000005000000}" name="м2" dataDxfId="142"/>
    <tableColumn id="20" xr3:uid="{00000000-0010-0000-3000-000014000000}" name="Отделка" dataDxfId="141"/>
    <tableColumn id="19" xr3:uid="{00000000-0010-0000-3000-000013000000}" name="Цена м2 отделки" dataDxfId="140"/>
    <tableColumn id="8" xr3:uid="{00000000-0010-0000-3000-000008000000}" name="сумма" dataDxfId="139"/>
    <tableColumn id="4" xr3:uid="{00000000-0010-0000-3000-000004000000}" name="МОП" dataDxfId="138"/>
    <tableColumn id="7" xr3:uid="{00000000-0010-0000-3000-000007000000}" name="ИМ" dataDxfId="137"/>
    <tableColumn id="10" xr3:uid="{00000000-0010-0000-3000-00000A000000}" name="форма опл" dataDxfId="136"/>
    <tableColumn id="11" xr3:uid="{00000000-0010-0000-3000-00000B000000}" name="Тип брони" dataDxfId="135"/>
    <tableColumn id="12" xr3:uid="{00000000-0010-0000-3000-00000C000000}" name="дата регистрации " dataDxfId="134"/>
    <tableColumn id="13" xr3:uid="{00000000-0010-0000-3000-00000D000000}" name="форма сдачи" dataDxfId="133"/>
    <tableColumn id="14" xr3:uid="{00000000-0010-0000-3000-00000E000000}" name="ФИО клиента" dataDxfId="132"/>
    <tableColumn id="15" xr3:uid="{00000000-0010-0000-3000-00000F000000}" name="комментарий ИМ" dataDxfId="131"/>
    <tableColumn id="16" xr3:uid="{00000000-0010-0000-3000-000010000000}" name="Подробный комментарий МОП" dataDxfId="130"/>
    <tableColumn id="17" xr3:uid="{00000000-0010-0000-3000-000011000000}" name="КТУ" dataDxfId="129"/>
    <tableColumn id="18" xr3:uid="{00000000-0010-0000-3000-000012000000}" name="Встреча" dataDxfId="128"/>
    <tableColumn id="22" xr3:uid="{00000000-0010-0000-3000-000016000000}" name="Сумма без отделки" dataDxfId="127">
      <calculatedColumnFormula>Март2551[[#This Row],[сумма]]-Март2551[[#This Row],[Цена м2 отделки]]*Март2551[[#This Row],[м2]]</calculatedColumn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Март255152" displayName="Март255152" ref="A3:V64" totalsRowShown="0">
  <autoFilter ref="A3:V64" xr:uid="{00000000-0009-0000-0100-000033000000}"/>
  <tableColumns count="22">
    <tableColumn id="1" xr3:uid="{00000000-0010-0000-3100-000001000000}" name="№п/п" dataDxfId="126"/>
    <tableColumn id="21" xr3:uid="{00000000-0010-0000-3100-000015000000}" name="Продажа" dataDxfId="125"/>
    <tableColumn id="3" xr3:uid="{00000000-0010-0000-3100-000003000000}" name="заявка №" dataDxfId="124"/>
    <tableColumn id="6" xr3:uid="{00000000-0010-0000-3100-000006000000}" name="№ дома" dataDxfId="123"/>
    <tableColumn id="2" xr3:uid="{00000000-0010-0000-3100-000002000000}" name="№ кв" dataDxfId="122"/>
    <tableColumn id="9" xr3:uid="{00000000-0010-0000-3100-000009000000}" name="Комнатность" dataDxfId="121"/>
    <tableColumn id="5" xr3:uid="{00000000-0010-0000-3100-000005000000}" name="м2" dataDxfId="120"/>
    <tableColumn id="20" xr3:uid="{00000000-0010-0000-3100-000014000000}" name="Отделка" dataDxfId="119"/>
    <tableColumn id="19" xr3:uid="{00000000-0010-0000-3100-000013000000}" name="Цена м2 отделки" dataDxfId="118"/>
    <tableColumn id="8" xr3:uid="{00000000-0010-0000-3100-000008000000}" name="сумма" dataDxfId="117"/>
    <tableColumn id="4" xr3:uid="{00000000-0010-0000-3100-000004000000}" name="МОП" dataDxfId="116"/>
    <tableColumn id="7" xr3:uid="{00000000-0010-0000-3100-000007000000}" name="ИМ" dataDxfId="115"/>
    <tableColumn id="10" xr3:uid="{00000000-0010-0000-3100-00000A000000}" name="форма опл" dataDxfId="114"/>
    <tableColumn id="11" xr3:uid="{00000000-0010-0000-3100-00000B000000}" name="Тип брони" dataDxfId="113"/>
    <tableColumn id="12" xr3:uid="{00000000-0010-0000-3100-00000C000000}" name="дата регистрации " dataDxfId="112"/>
    <tableColumn id="13" xr3:uid="{00000000-0010-0000-3100-00000D000000}" name="форма сдачи" dataDxfId="111"/>
    <tableColumn id="14" xr3:uid="{00000000-0010-0000-3100-00000E000000}" name="ФИО клиента" dataDxfId="110"/>
    <tableColumn id="15" xr3:uid="{00000000-0010-0000-3100-00000F000000}" name="комментарий ИМ" dataDxfId="109"/>
    <tableColumn id="16" xr3:uid="{00000000-0010-0000-3100-000010000000}" name="Подробный комментарий МОП" dataDxfId="108"/>
    <tableColumn id="17" xr3:uid="{00000000-0010-0000-3100-000011000000}" name="КТУ" dataDxfId="107"/>
    <tableColumn id="18" xr3:uid="{00000000-0010-0000-3100-000012000000}" name="Встреча" dataDxfId="106"/>
    <tableColumn id="22" xr3:uid="{00000000-0010-0000-3100-000016000000}" name="Сумма без отделки" dataDxfId="105">
      <calculatedColumnFormula>Март255152[[#This Row],[сумма]]-Март255152[[#This Row],[Цена м2 отделки]]*Март255152[[#This Row],[м2]]</calculatedColumn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Март25515253" displayName="Март25515253" ref="A3:V64" totalsRowShown="0">
  <autoFilter ref="A3:V64" xr:uid="{00000000-0009-0000-0100-000034000000}"/>
  <tableColumns count="22">
    <tableColumn id="1" xr3:uid="{00000000-0010-0000-3200-000001000000}" name="№п/п" dataDxfId="104"/>
    <tableColumn id="21" xr3:uid="{00000000-0010-0000-3200-000015000000}" name="Продажа" dataDxfId="103"/>
    <tableColumn id="3" xr3:uid="{00000000-0010-0000-3200-000003000000}" name="заявка №" dataDxfId="102"/>
    <tableColumn id="6" xr3:uid="{00000000-0010-0000-3200-000006000000}" name="№ дома" dataDxfId="101"/>
    <tableColumn id="2" xr3:uid="{00000000-0010-0000-3200-000002000000}" name="№ кв" dataDxfId="100"/>
    <tableColumn id="9" xr3:uid="{00000000-0010-0000-3200-000009000000}" name="Комнатность" dataDxfId="99"/>
    <tableColumn id="5" xr3:uid="{00000000-0010-0000-3200-000005000000}" name="м2" dataDxfId="98"/>
    <tableColumn id="20" xr3:uid="{00000000-0010-0000-3200-000014000000}" name="Отделка" dataDxfId="97"/>
    <tableColumn id="19" xr3:uid="{00000000-0010-0000-3200-000013000000}" name="Цена м2 отделки" dataDxfId="96"/>
    <tableColumn id="8" xr3:uid="{00000000-0010-0000-3200-000008000000}" name="сумма" dataDxfId="95"/>
    <tableColumn id="4" xr3:uid="{00000000-0010-0000-3200-000004000000}" name="МОП" dataDxfId="94"/>
    <tableColumn id="7" xr3:uid="{00000000-0010-0000-3200-000007000000}" name="ИМ" dataDxfId="93"/>
    <tableColumn id="10" xr3:uid="{00000000-0010-0000-3200-00000A000000}" name="форма опл" dataDxfId="92"/>
    <tableColumn id="11" xr3:uid="{00000000-0010-0000-3200-00000B000000}" name="Тип брони" dataDxfId="91"/>
    <tableColumn id="12" xr3:uid="{00000000-0010-0000-3200-00000C000000}" name="дата регистрации " dataDxfId="90"/>
    <tableColumn id="13" xr3:uid="{00000000-0010-0000-3200-00000D000000}" name="форма сдачи" dataDxfId="89"/>
    <tableColumn id="14" xr3:uid="{00000000-0010-0000-3200-00000E000000}" name="ФИО клиента" dataDxfId="88"/>
    <tableColumn id="15" xr3:uid="{00000000-0010-0000-3200-00000F000000}" name="комментарий ИМ" dataDxfId="87"/>
    <tableColumn id="16" xr3:uid="{00000000-0010-0000-3200-000010000000}" name="Подробный комментарий МОП" dataDxfId="86"/>
    <tableColumn id="17" xr3:uid="{00000000-0010-0000-3200-000011000000}" name="КТУ" dataDxfId="85"/>
    <tableColumn id="18" xr3:uid="{00000000-0010-0000-3200-000012000000}" name="Встреча" dataDxfId="84"/>
    <tableColumn id="22" xr3:uid="{00000000-0010-0000-3200-000016000000}" name="Сумма без отделки" dataDxfId="83">
      <calculatedColumnFormula>Март25515253[[#This Row],[сумма]]-Март25515253[[#This Row],[Цена м2 отделки]]*Март25515253[[#This Row],[м2]]</calculatedColumn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Июль25" displayName="Июль25" ref="A3:V63" totalsRowShown="0" dataDxfId="82">
  <autoFilter ref="A3:V63" xr:uid="{00000000-0009-0000-0100-000035000000}"/>
  <tableColumns count="22">
    <tableColumn id="1" xr3:uid="{00000000-0010-0000-3300-000001000000}" name="№п/п" dataDxfId="81"/>
    <tableColumn id="21" xr3:uid="{00000000-0010-0000-3300-000015000000}" name="Продажа" dataDxfId="80"/>
    <tableColumn id="3" xr3:uid="{00000000-0010-0000-3300-000003000000}" name="заявка №" dataDxfId="79"/>
    <tableColumn id="6" xr3:uid="{00000000-0010-0000-3300-000006000000}" name="№ дома" dataDxfId="78"/>
    <tableColumn id="2" xr3:uid="{00000000-0010-0000-3300-000002000000}" name="№ кв" dataDxfId="77"/>
    <tableColumn id="9" xr3:uid="{00000000-0010-0000-3300-000009000000}" name="Комнатность" dataDxfId="76"/>
    <tableColumn id="5" xr3:uid="{00000000-0010-0000-3300-000005000000}" name="м2" dataDxfId="75"/>
    <tableColumn id="20" xr3:uid="{00000000-0010-0000-3300-000014000000}" name="Отделка" dataDxfId="74"/>
    <tableColumn id="19" xr3:uid="{00000000-0010-0000-3300-000013000000}" name="Цена м2 отделки" dataDxfId="73"/>
    <tableColumn id="8" xr3:uid="{00000000-0010-0000-3300-000008000000}" name="сумма" dataDxfId="72"/>
    <tableColumn id="4" xr3:uid="{00000000-0010-0000-3300-000004000000}" name="МОП" dataDxfId="71"/>
    <tableColumn id="7" xr3:uid="{00000000-0010-0000-3300-000007000000}" name="ИМ" dataDxfId="70"/>
    <tableColumn id="10" xr3:uid="{00000000-0010-0000-3300-00000A000000}" name="форма опл" dataDxfId="69"/>
    <tableColumn id="11" xr3:uid="{00000000-0010-0000-3300-00000B000000}" name="Тип брони" dataDxfId="68"/>
    <tableColumn id="12" xr3:uid="{00000000-0010-0000-3300-00000C000000}" name="дата регистрации " dataDxfId="67"/>
    <tableColumn id="13" xr3:uid="{00000000-0010-0000-3300-00000D000000}" name="форма сдачи" dataDxfId="66"/>
    <tableColumn id="14" xr3:uid="{00000000-0010-0000-3300-00000E000000}" name="ФИО клиента" dataDxfId="65"/>
    <tableColumn id="15" xr3:uid="{00000000-0010-0000-3300-00000F000000}" name="комментарий ИМ" dataDxfId="64"/>
    <tableColumn id="16" xr3:uid="{00000000-0010-0000-3300-000010000000}" name="Подробный комментарий МОП" dataDxfId="63"/>
    <tableColumn id="17" xr3:uid="{00000000-0010-0000-3300-000011000000}" name="КТУ" dataDxfId="62"/>
    <tableColumn id="18" xr3:uid="{00000000-0010-0000-3300-000012000000}" name="Встреча" dataDxfId="61"/>
    <tableColumn id="22" xr3:uid="{00000000-0010-0000-3300-000016000000}" name="Сумма без отделки" dataDxfId="60">
      <calculatedColumnFormula>Июль25[[#This Row],[сумма]]-Июль25[[#This Row],[Цена м2 отделки]]*Июль25[[#This Row],[м2]]</calculatedColumnFormula>
    </tableColumn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Июль2555" displayName="Июль2555" ref="A3:V63" totalsRowShown="0" dataDxfId="59">
  <autoFilter ref="A3:V63" xr:uid="{00000000-0009-0000-0100-000036000000}">
    <filterColumn colId="3">
      <filters blank="1">
        <filter val="4 квартал Дом 1"/>
        <filter val="4 квартал Дом 2"/>
        <filter val="Дом 5"/>
      </filters>
    </filterColumn>
  </autoFilter>
  <tableColumns count="22">
    <tableColumn id="1" xr3:uid="{00000000-0010-0000-3400-000001000000}" name="№п/п" dataDxfId="58"/>
    <tableColumn id="21" xr3:uid="{00000000-0010-0000-3400-000015000000}" name="Продажа" dataDxfId="57"/>
    <tableColumn id="3" xr3:uid="{00000000-0010-0000-3400-000003000000}" name="заявка №" dataDxfId="56"/>
    <tableColumn id="6" xr3:uid="{00000000-0010-0000-3400-000006000000}" name="№ дома" dataDxfId="55"/>
    <tableColumn id="2" xr3:uid="{00000000-0010-0000-3400-000002000000}" name="№ кв" dataDxfId="54"/>
    <tableColumn id="9" xr3:uid="{00000000-0010-0000-3400-000009000000}" name="Комнатность" dataDxfId="53"/>
    <tableColumn id="5" xr3:uid="{00000000-0010-0000-3400-000005000000}" name="м2" dataDxfId="52"/>
    <tableColumn id="20" xr3:uid="{00000000-0010-0000-3400-000014000000}" name="Отделка" dataDxfId="51"/>
    <tableColumn id="19" xr3:uid="{00000000-0010-0000-3400-000013000000}" name="Цена м2 отделки" dataDxfId="50"/>
    <tableColumn id="8" xr3:uid="{00000000-0010-0000-3400-000008000000}" name="сумма" dataDxfId="49"/>
    <tableColumn id="4" xr3:uid="{00000000-0010-0000-3400-000004000000}" name="МОП" dataDxfId="48"/>
    <tableColumn id="7" xr3:uid="{00000000-0010-0000-3400-000007000000}" name="ИМ" dataDxfId="47"/>
    <tableColumn id="10" xr3:uid="{00000000-0010-0000-3400-00000A000000}" name="форма опл" dataDxfId="46"/>
    <tableColumn id="11" xr3:uid="{00000000-0010-0000-3400-00000B000000}" name="Тип брони" dataDxfId="45"/>
    <tableColumn id="12" xr3:uid="{00000000-0010-0000-3400-00000C000000}" name="дата регистрации " dataDxfId="44"/>
    <tableColumn id="13" xr3:uid="{00000000-0010-0000-3400-00000D000000}" name="форма сдачи" dataDxfId="43"/>
    <tableColumn id="14" xr3:uid="{00000000-0010-0000-3400-00000E000000}" name="ФИО клиента" dataDxfId="42"/>
    <tableColumn id="15" xr3:uid="{00000000-0010-0000-3400-00000F000000}" name="комментарий ИМ" dataDxfId="41"/>
    <tableColumn id="16" xr3:uid="{00000000-0010-0000-3400-000010000000}" name="Подробный комментарий МОП" dataDxfId="40"/>
    <tableColumn id="17" xr3:uid="{00000000-0010-0000-3400-000011000000}" name="КТУ" dataDxfId="39"/>
    <tableColumn id="18" xr3:uid="{00000000-0010-0000-3400-000012000000}" name="Встреча" dataDxfId="38"/>
    <tableColumn id="22" xr3:uid="{00000000-0010-0000-3400-000016000000}" name="Сумма без отделки" dataDxfId="37">
      <calculatedColumnFormula>Июль2555[[#This Row],[сумма]]-Июль2555[[#This Row],[Цена м2 отделки]]*Июль2555[[#This Row],[м2]]</calculatedColumn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35000000}" name="РД" displayName="РД" ref="A2:AN2740" tableType="queryTable" totalsRowShown="0">
  <autoFilter ref="A2:AN2740" xr:uid="{00000000-0009-0000-0100-000022000000}">
    <filterColumn colId="2">
      <filters>
        <dateGroupItem year="2024" month="9" dateTimeGrouping="month"/>
      </filters>
    </filterColumn>
    <filterColumn colId="24">
      <filters>
        <filter val="Продажа"/>
      </filters>
    </filterColumn>
  </autoFilter>
  <tableColumns count="40">
    <tableColumn id="1" xr3:uid="{00000000-0010-0000-3500-000001000000}" uniqueName="1" name="№" queryTableFieldId="1" dataDxfId="34"/>
    <tableColumn id="2" xr3:uid="{00000000-0010-0000-3500-000002000000}" uniqueName="2" name="за месяц" queryTableFieldId="2" dataDxfId="33"/>
    <tableColumn id="3" xr3:uid="{00000000-0010-0000-3500-000003000000}" uniqueName="3" name="Дата подачи на регистрацию" queryTableFieldId="3" dataDxfId="32"/>
    <tableColumn id="4" xr3:uid="{00000000-0010-0000-3500-000004000000}" uniqueName="4" name="Дом" queryTableFieldId="4" dataDxfId="31"/>
    <tableColumn id="5" xr3:uid="{00000000-0010-0000-3500-000005000000}" uniqueName="5" name="Секция" queryTableFieldId="5" dataDxfId="30"/>
    <tableColumn id="39" xr3:uid="{00000000-0010-0000-3500-000027000000}" uniqueName="39" name="№ на этаже" queryTableFieldId="6"/>
    <tableColumn id="6" xr3:uid="{00000000-0010-0000-3500-000006000000}" uniqueName="6" name="Этаж" queryTableFieldId="7" dataDxfId="29"/>
    <tableColumn id="7" xr3:uid="{00000000-0010-0000-3500-000007000000}" uniqueName="7" name="№ кв" queryTableFieldId="8" dataDxfId="28"/>
    <tableColumn id="8" xr3:uid="{00000000-0010-0000-3500-000008000000}" uniqueName="8" name="Тип кв" queryTableFieldId="9" dataDxfId="27"/>
    <tableColumn id="9" xr3:uid="{00000000-0010-0000-3500-000009000000}" uniqueName="9" name="S" queryTableFieldId="10" dataDxfId="26"/>
    <tableColumn id="10" xr3:uid="{00000000-0010-0000-3500-00000A000000}" uniqueName="10" name="Отделка " queryTableFieldId="11" dataDxfId="25"/>
    <tableColumn id="11" xr3:uid="{00000000-0010-0000-3500-00000B000000}" uniqueName="11" name="Сумма договора" queryTableFieldId="12" dataDxfId="24"/>
    <tableColumn id="12" xr3:uid="{00000000-0010-0000-3500-00000C000000}" uniqueName="12" name="Пл. бронь" queryTableFieldId="13" dataDxfId="23"/>
    <tableColumn id="13" xr3:uid="{00000000-0010-0000-3500-00000D000000}" uniqueName="13" name="Стоимость с отделкой итог" queryTableFieldId="14" dataDxfId="22"/>
    <tableColumn id="14" xr3:uid="{00000000-0010-0000-3500-00000E000000}" uniqueName="14" name="Цена м2 с отделкой итог" queryTableFieldId="15" dataDxfId="21"/>
    <tableColumn id="15" xr3:uid="{00000000-0010-0000-3500-00000F000000}" uniqueName="15" name="Стоимость отделки" queryTableFieldId="16" dataDxfId="20"/>
    <tableColumn id="16" xr3:uid="{00000000-0010-0000-3500-000010000000}" uniqueName="16" name="Стоимость без отделки итог" queryTableFieldId="17" dataDxfId="19"/>
    <tableColumn id="17" xr3:uid="{00000000-0010-0000-3500-000011000000}" uniqueName="17" name="Цена м2 без отделки итог" queryTableFieldId="18" dataDxfId="18"/>
    <tableColumn id="18" xr3:uid="{00000000-0010-0000-3500-000012000000}" uniqueName="18" name="Вариант оплаты" queryTableFieldId="19" dataDxfId="17"/>
    <tableColumn id="19" xr3:uid="{00000000-0010-0000-3500-000013000000}" uniqueName="19" name="Название акции" queryTableFieldId="20" dataDxfId="16"/>
    <tableColumn id="20" xr3:uid="{00000000-0010-0000-3500-000014000000}" uniqueName="20" name="Сумма скидки" queryTableFieldId="21" dataDxfId="15"/>
    <tableColumn id="38" xr3:uid="{00000000-0010-0000-3500-000026000000}" uniqueName="38" name="Программа кредитования" queryTableFieldId="22"/>
    <tableColumn id="21" xr3:uid="{00000000-0010-0000-3500-000015000000}" uniqueName="21" name="Дата договора" queryTableFieldId="23" dataDxfId="14"/>
    <tableColumn id="22" xr3:uid="{00000000-0010-0000-3500-000016000000}" uniqueName="22" name="№ договора" queryTableFieldId="24" dataDxfId="13"/>
    <tableColumn id="23" xr3:uid="{00000000-0010-0000-3500-000017000000}" uniqueName="23" name="Состояние" queryTableFieldId="25" dataDxfId="12"/>
    <tableColumn id="24" xr3:uid="{00000000-0010-0000-3500-000018000000}" uniqueName="24" name="Электронная регистрация" queryTableFieldId="26" dataDxfId="11"/>
    <tableColumn id="37" xr3:uid="{00000000-0010-0000-3500-000025000000}" uniqueName="37" name="Способ регистрации" queryTableFieldId="27"/>
    <tableColumn id="25" xr3:uid="{00000000-0010-0000-3500-000019000000}" uniqueName="25" name="Тип покупки" queryTableFieldId="28" dataDxfId="10"/>
    <tableColumn id="26" xr3:uid="{00000000-0010-0000-3500-00001A000000}" uniqueName="26" name="Банк" queryTableFieldId="29" dataDxfId="9"/>
    <tableColumn id="27" xr3:uid="{00000000-0010-0000-3500-00001B000000}" uniqueName="27" name="Дата расторжения" queryTableFieldId="30" dataDxfId="8"/>
    <tableColumn id="28" xr3:uid="{00000000-0010-0000-3500-00001C000000}" uniqueName="28" name="Основной клиент" queryTableFieldId="31" dataDxfId="7"/>
    <tableColumn id="29" xr3:uid="{00000000-0010-0000-3500-00001D000000}" uniqueName="29" name="Мобильный телефон" queryTableFieldId="32" dataDxfId="6"/>
    <tableColumn id="30" xr3:uid="{00000000-0010-0000-3500-00001E000000}" uniqueName="30" name="Электронная почта" queryTableFieldId="33" dataDxfId="5"/>
    <tableColumn id="31" xr3:uid="{00000000-0010-0000-3500-00001F000000}" uniqueName="31" name="Источник обращения" queryTableFieldId="34" dataDxfId="4"/>
    <tableColumn id="32" xr3:uid="{00000000-0010-0000-3500-000020000000}" uniqueName="32" name="Источник рекламы" queryTableFieldId="35" dataDxfId="3"/>
    <tableColumn id="33" xr3:uid="{00000000-0010-0000-3500-000021000000}" uniqueName="33" name="Источник маркетинга" queryTableFieldId="36" dataDxfId="2"/>
    <tableColumn id="34" xr3:uid="{00000000-0010-0000-3500-000022000000}" uniqueName="34" name="МОП" queryTableFieldId="37" dataDxfId="1"/>
    <tableColumn id="35" xr3:uid="{00000000-0010-0000-3500-000023000000}" uniqueName="35" name="ИМ" queryTableFieldId="38" dataDxfId="0"/>
    <tableColumn id="40" xr3:uid="{00000000-0010-0000-3500-000028000000}" uniqueName="40" name="Фикс за АН" queryTableFieldId="39"/>
    <tableColumn id="36" xr3:uid="{00000000-0010-0000-3500-000024000000}" uniqueName="36" name="Комментарий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Relationship Id="rId4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Relationship Id="rId4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Relationship Id="rId4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7.xml"/><Relationship Id="rId4" Type="http://schemas.openxmlformats.org/officeDocument/2006/relationships/comments" Target="../comments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Relationship Id="rId4" Type="http://schemas.openxmlformats.org/officeDocument/2006/relationships/comments" Target="../comments1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9.xml"/><Relationship Id="rId4" Type="http://schemas.openxmlformats.org/officeDocument/2006/relationships/comments" Target="../comments1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0.xml"/><Relationship Id="rId4" Type="http://schemas.openxmlformats.org/officeDocument/2006/relationships/comments" Target="../comments1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5.xml"/><Relationship Id="rId4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6.xml"/><Relationship Id="rId4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7.xml"/><Relationship Id="rId4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8.xml"/><Relationship Id="rId4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19.xml"/><Relationship Id="rId4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20.xml"/><Relationship Id="rId4" Type="http://schemas.openxmlformats.org/officeDocument/2006/relationships/table" Target="../tables/table2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21.xml"/><Relationship Id="rId4" Type="http://schemas.openxmlformats.org/officeDocument/2006/relationships/table" Target="../tables/table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22.xml"/><Relationship Id="rId4" Type="http://schemas.openxmlformats.org/officeDocument/2006/relationships/table" Target="../tables/table25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23.xml"/><Relationship Id="rId4" Type="http://schemas.openxmlformats.org/officeDocument/2006/relationships/table" Target="../tables/table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24.xml"/><Relationship Id="rId4" Type="http://schemas.openxmlformats.org/officeDocument/2006/relationships/table" Target="../tables/table27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5" Type="http://schemas.openxmlformats.org/officeDocument/2006/relationships/comments" Target="../comments25.xml"/><Relationship Id="rId4" Type="http://schemas.openxmlformats.org/officeDocument/2006/relationships/table" Target="../tables/table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26.xml"/><Relationship Id="rId4" Type="http://schemas.openxmlformats.org/officeDocument/2006/relationships/table" Target="../tables/table2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Relationship Id="rId5" Type="http://schemas.openxmlformats.org/officeDocument/2006/relationships/comments" Target="../comments27.xml"/><Relationship Id="rId4" Type="http://schemas.openxmlformats.org/officeDocument/2006/relationships/table" Target="../tables/table30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Relationship Id="rId5" Type="http://schemas.openxmlformats.org/officeDocument/2006/relationships/comments" Target="../comments28.xml"/><Relationship Id="rId4" Type="http://schemas.openxmlformats.org/officeDocument/2006/relationships/table" Target="../tables/table3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5.bin"/><Relationship Id="rId5" Type="http://schemas.openxmlformats.org/officeDocument/2006/relationships/comments" Target="../comments29.xml"/><Relationship Id="rId4" Type="http://schemas.openxmlformats.org/officeDocument/2006/relationships/table" Target="../tables/table32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6.bin"/><Relationship Id="rId5" Type="http://schemas.openxmlformats.org/officeDocument/2006/relationships/comments" Target="../comments30.xml"/><Relationship Id="rId4" Type="http://schemas.openxmlformats.org/officeDocument/2006/relationships/table" Target="../tables/table3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7.bin"/><Relationship Id="rId5" Type="http://schemas.openxmlformats.org/officeDocument/2006/relationships/comments" Target="../comments32.xml"/><Relationship Id="rId4" Type="http://schemas.openxmlformats.org/officeDocument/2006/relationships/table" Target="../tables/table3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Relationship Id="rId5" Type="http://schemas.openxmlformats.org/officeDocument/2006/relationships/comments" Target="../comments33.xml"/><Relationship Id="rId4" Type="http://schemas.openxmlformats.org/officeDocument/2006/relationships/table" Target="../tables/table3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Relationship Id="rId5" Type="http://schemas.openxmlformats.org/officeDocument/2006/relationships/comments" Target="../comments34.xml"/><Relationship Id="rId4" Type="http://schemas.openxmlformats.org/officeDocument/2006/relationships/table" Target="../tables/table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0.bin"/><Relationship Id="rId5" Type="http://schemas.openxmlformats.org/officeDocument/2006/relationships/comments" Target="../comments36.xml"/><Relationship Id="rId4" Type="http://schemas.openxmlformats.org/officeDocument/2006/relationships/table" Target="../tables/table3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1.bin"/><Relationship Id="rId5" Type="http://schemas.openxmlformats.org/officeDocument/2006/relationships/comments" Target="../comments37.xml"/><Relationship Id="rId4" Type="http://schemas.openxmlformats.org/officeDocument/2006/relationships/table" Target="../tables/table3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2.bin"/><Relationship Id="rId5" Type="http://schemas.openxmlformats.org/officeDocument/2006/relationships/comments" Target="../comments38.xml"/><Relationship Id="rId4" Type="http://schemas.openxmlformats.org/officeDocument/2006/relationships/table" Target="../tables/table3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39.xml"/><Relationship Id="rId4" Type="http://schemas.openxmlformats.org/officeDocument/2006/relationships/table" Target="../tables/table4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4.bin"/><Relationship Id="rId5" Type="http://schemas.openxmlformats.org/officeDocument/2006/relationships/comments" Target="../comments40.xml"/><Relationship Id="rId4" Type="http://schemas.openxmlformats.org/officeDocument/2006/relationships/table" Target="../tables/table4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5.bin"/><Relationship Id="rId5" Type="http://schemas.openxmlformats.org/officeDocument/2006/relationships/comments" Target="../comments41.xml"/><Relationship Id="rId4" Type="http://schemas.openxmlformats.org/officeDocument/2006/relationships/table" Target="../tables/table42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6.bin"/><Relationship Id="rId5" Type="http://schemas.openxmlformats.org/officeDocument/2006/relationships/comments" Target="../comments42.xml"/><Relationship Id="rId4" Type="http://schemas.openxmlformats.org/officeDocument/2006/relationships/table" Target="../tables/table43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7.bin"/><Relationship Id="rId5" Type="http://schemas.openxmlformats.org/officeDocument/2006/relationships/comments" Target="../comments43.xml"/><Relationship Id="rId4" Type="http://schemas.openxmlformats.org/officeDocument/2006/relationships/table" Target="../tables/table44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44.xml"/><Relationship Id="rId4" Type="http://schemas.openxmlformats.org/officeDocument/2006/relationships/table" Target="../tables/table45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9.bin"/><Relationship Id="rId5" Type="http://schemas.openxmlformats.org/officeDocument/2006/relationships/comments" Target="../comments45.xml"/><Relationship Id="rId4" Type="http://schemas.openxmlformats.org/officeDocument/2006/relationships/table" Target="../tables/table46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0.bin"/><Relationship Id="rId5" Type="http://schemas.openxmlformats.org/officeDocument/2006/relationships/comments" Target="../comments46.xml"/><Relationship Id="rId4" Type="http://schemas.openxmlformats.org/officeDocument/2006/relationships/table" Target="../tables/table47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1.bin"/><Relationship Id="rId5" Type="http://schemas.openxmlformats.org/officeDocument/2006/relationships/comments" Target="../comments47.xml"/><Relationship Id="rId4" Type="http://schemas.openxmlformats.org/officeDocument/2006/relationships/table" Target="../tables/table48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2.bin"/><Relationship Id="rId5" Type="http://schemas.openxmlformats.org/officeDocument/2006/relationships/comments" Target="../comments48.xml"/><Relationship Id="rId4" Type="http://schemas.openxmlformats.org/officeDocument/2006/relationships/table" Target="../tables/table49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Relationship Id="rId5" Type="http://schemas.openxmlformats.org/officeDocument/2006/relationships/comments" Target="../comments49.xml"/><Relationship Id="rId4" Type="http://schemas.openxmlformats.org/officeDocument/2006/relationships/table" Target="../tables/table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4.bin"/><Relationship Id="rId5" Type="http://schemas.openxmlformats.org/officeDocument/2006/relationships/comments" Target="../comments50.xml"/><Relationship Id="rId4" Type="http://schemas.openxmlformats.org/officeDocument/2006/relationships/table" Target="../tables/table51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5.bin"/><Relationship Id="rId5" Type="http://schemas.openxmlformats.org/officeDocument/2006/relationships/comments" Target="../comments51.xml"/><Relationship Id="rId4" Type="http://schemas.openxmlformats.org/officeDocument/2006/relationships/table" Target="../tables/table52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6.bin"/><Relationship Id="rId5" Type="http://schemas.openxmlformats.org/officeDocument/2006/relationships/comments" Target="../comments52.xml"/><Relationship Id="rId4" Type="http://schemas.openxmlformats.org/officeDocument/2006/relationships/table" Target="../tables/table53.xml"/></Relationships>
</file>

<file path=xl/worksheets/_rels/sheet6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54.xml"/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9"/>
  <dimension ref="B1:H29"/>
  <sheetViews>
    <sheetView workbookViewId="0">
      <selection activeCell="D6" sqref="D6"/>
    </sheetView>
  </sheetViews>
  <sheetFormatPr defaultColWidth="9" defaultRowHeight="15"/>
  <cols>
    <col min="2" max="2" width="15.5703125" customWidth="1"/>
    <col min="3" max="3" width="22.7109375" customWidth="1"/>
    <col min="4" max="4" width="15.140625" customWidth="1"/>
    <col min="5" max="5" width="13.85546875" customWidth="1"/>
    <col min="6" max="6" width="14.42578125" customWidth="1"/>
    <col min="7" max="7" width="11.140625" customWidth="1"/>
    <col min="8" max="8" width="14" customWidth="1"/>
  </cols>
  <sheetData>
    <row r="1" spans="2:8">
      <c r="B1" s="1785" t="s">
        <v>0</v>
      </c>
      <c r="C1" s="1785" t="s">
        <v>1</v>
      </c>
      <c r="D1" s="1785" t="s">
        <v>2</v>
      </c>
      <c r="E1" s="1785" t="s">
        <v>3</v>
      </c>
      <c r="F1" s="1785" t="s">
        <v>4</v>
      </c>
      <c r="G1" s="1785" t="s">
        <v>5</v>
      </c>
      <c r="H1" s="1785" t="s">
        <v>6</v>
      </c>
    </row>
    <row r="2" spans="2:8">
      <c r="B2" s="1785" t="s">
        <v>7</v>
      </c>
      <c r="C2" s="1785" t="s">
        <v>8</v>
      </c>
      <c r="D2" s="1785" t="s">
        <v>9</v>
      </c>
      <c r="E2" s="1785" t="s">
        <v>10</v>
      </c>
      <c r="F2" s="1785" t="s">
        <v>11</v>
      </c>
      <c r="G2" s="1785" t="s">
        <v>12</v>
      </c>
      <c r="H2" s="1785" t="s">
        <v>6</v>
      </c>
    </row>
    <row r="3" spans="2:8">
      <c r="B3" s="1785" t="s">
        <v>13</v>
      </c>
      <c r="C3" s="1785" t="s">
        <v>14</v>
      </c>
      <c r="D3" s="1785" t="s">
        <v>15</v>
      </c>
      <c r="E3" s="1785" t="s">
        <v>16</v>
      </c>
      <c r="F3" s="1785" t="s">
        <v>17</v>
      </c>
      <c r="G3" s="1785" t="s">
        <v>18</v>
      </c>
      <c r="H3" s="1785"/>
    </row>
    <row r="4" spans="2:8">
      <c r="B4" s="1785" t="s">
        <v>19</v>
      </c>
      <c r="C4" s="1785" t="s">
        <v>20</v>
      </c>
      <c r="D4" s="1785" t="s">
        <v>21</v>
      </c>
      <c r="E4" s="1785" t="s">
        <v>22</v>
      </c>
      <c r="F4" s="1785"/>
      <c r="G4" s="1785"/>
      <c r="H4" s="1785"/>
    </row>
    <row r="5" spans="2:8">
      <c r="B5" s="1785" t="s">
        <v>23</v>
      </c>
      <c r="C5" s="1785" t="s">
        <v>24</v>
      </c>
      <c r="D5" s="1785" t="s">
        <v>25</v>
      </c>
      <c r="E5" s="1785" t="s">
        <v>26</v>
      </c>
      <c r="F5" s="1785"/>
      <c r="G5" s="1785"/>
      <c r="H5" s="1785"/>
    </row>
    <row r="6" spans="2:8">
      <c r="B6" s="2097" t="s">
        <v>11473</v>
      </c>
      <c r="C6" s="1785" t="s">
        <v>28</v>
      </c>
      <c r="D6" s="2097" t="s">
        <v>10459</v>
      </c>
      <c r="E6" s="1785"/>
      <c r="F6" s="1785"/>
      <c r="G6" s="1785"/>
      <c r="H6" s="1785"/>
    </row>
    <row r="7" spans="2:8">
      <c r="B7" s="2097" t="s">
        <v>11474</v>
      </c>
      <c r="C7" s="2097" t="s">
        <v>1884</v>
      </c>
      <c r="D7" s="1785"/>
      <c r="E7" s="1785"/>
      <c r="F7" s="1785"/>
      <c r="G7" s="1785"/>
      <c r="H7" s="1785"/>
    </row>
    <row r="8" spans="2:8">
      <c r="B8" s="1785" t="s">
        <v>27</v>
      </c>
      <c r="C8" s="1785" t="s">
        <v>29</v>
      </c>
      <c r="D8" s="1785"/>
      <c r="E8" s="1785"/>
      <c r="F8" s="1785"/>
      <c r="G8" s="1785"/>
      <c r="H8" s="1785"/>
    </row>
    <row r="9" spans="2:8">
      <c r="B9" s="1785"/>
      <c r="C9" s="1785" t="s">
        <v>31</v>
      </c>
      <c r="D9" s="1785"/>
      <c r="E9" s="1785"/>
      <c r="F9" s="1785"/>
      <c r="G9" s="1785"/>
      <c r="H9" s="1785"/>
    </row>
    <row r="10" spans="2:8">
      <c r="B10" s="1785"/>
      <c r="C10" s="1785" t="s">
        <v>32</v>
      </c>
      <c r="D10" s="1785"/>
      <c r="E10" s="1785"/>
      <c r="F10" s="1785"/>
      <c r="G10" s="1785"/>
      <c r="H10" s="1785"/>
    </row>
    <row r="11" spans="2:8">
      <c r="B11" s="1785"/>
      <c r="C11" s="1785" t="s">
        <v>33</v>
      </c>
      <c r="D11" s="1785"/>
      <c r="E11" s="1785"/>
      <c r="F11" s="1785"/>
      <c r="G11" s="1785"/>
      <c r="H11" s="1785"/>
    </row>
    <row r="12" spans="2:8">
      <c r="B12" s="1785"/>
      <c r="C12" s="1785" t="s">
        <v>34</v>
      </c>
      <c r="D12" s="1785"/>
      <c r="E12" s="1785"/>
      <c r="F12" s="1785"/>
      <c r="G12" s="1785"/>
      <c r="H12" s="1785"/>
    </row>
    <row r="13" spans="2:8">
      <c r="B13" s="1785"/>
      <c r="C13" s="1785" t="s">
        <v>35</v>
      </c>
      <c r="D13" s="1785"/>
      <c r="E13" s="1785"/>
      <c r="F13" s="1785"/>
      <c r="G13" s="1785"/>
      <c r="H13" s="1785"/>
    </row>
    <row r="14" spans="2:8">
      <c r="B14" s="1785"/>
      <c r="C14" s="1785" t="s">
        <v>36</v>
      </c>
      <c r="D14" s="1785"/>
      <c r="E14" s="1785"/>
      <c r="F14" s="1785"/>
      <c r="G14" s="1785"/>
      <c r="H14" s="1785"/>
    </row>
    <row r="15" spans="2:8">
      <c r="B15" s="1785"/>
      <c r="C15" s="1785" t="s">
        <v>37</v>
      </c>
      <c r="D15" s="1785"/>
      <c r="E15" s="1785"/>
      <c r="F15" s="1785"/>
      <c r="G15" s="1785"/>
      <c r="H15" s="1785"/>
    </row>
    <row r="16" spans="2:8">
      <c r="B16" s="1785"/>
      <c r="C16" s="1785" t="s">
        <v>38</v>
      </c>
      <c r="D16" s="1785"/>
      <c r="E16" s="1785"/>
      <c r="F16" s="1785"/>
      <c r="G16" s="1785"/>
      <c r="H16" s="1785"/>
    </row>
    <row r="17" spans="2:8">
      <c r="B17" s="1785"/>
      <c r="C17" s="1785" t="s">
        <v>39</v>
      </c>
      <c r="D17" s="1785"/>
      <c r="E17" s="1785"/>
      <c r="F17" s="1785"/>
      <c r="G17" s="1785"/>
      <c r="H17" s="1785"/>
    </row>
    <row r="18" spans="2:8">
      <c r="B18" s="1785"/>
      <c r="C18" s="1785" t="s">
        <v>40</v>
      </c>
      <c r="D18" s="1785"/>
      <c r="E18" s="1785"/>
      <c r="F18" s="1785"/>
      <c r="G18" s="1785"/>
      <c r="H18" s="1785"/>
    </row>
    <row r="19" spans="2:8">
      <c r="B19" s="1785"/>
      <c r="C19" s="1785" t="s">
        <v>41</v>
      </c>
      <c r="D19" s="1785"/>
      <c r="E19" s="1785"/>
      <c r="F19" s="1785"/>
      <c r="G19" s="1785"/>
      <c r="H19" s="1785"/>
    </row>
    <row r="20" spans="2:8">
      <c r="B20" s="1785"/>
      <c r="C20" s="1785" t="s">
        <v>42</v>
      </c>
      <c r="D20" s="1785"/>
      <c r="E20" s="1785"/>
      <c r="F20" s="1785"/>
      <c r="G20" s="1785"/>
      <c r="H20" s="1785"/>
    </row>
    <row r="21" spans="2:8">
      <c r="B21" s="1785"/>
      <c r="C21" s="1785" t="s">
        <v>43</v>
      </c>
      <c r="D21" s="1785"/>
      <c r="E21" s="1785"/>
      <c r="F21" s="1785"/>
      <c r="G21" s="1785"/>
      <c r="H21" s="1785"/>
    </row>
    <row r="22" spans="2:8">
      <c r="B22" s="1785"/>
      <c r="C22" s="1785" t="s">
        <v>44</v>
      </c>
      <c r="D22" s="1785"/>
      <c r="E22" s="1785"/>
      <c r="F22" s="1785"/>
      <c r="G22" s="1785"/>
      <c r="H22" s="1785"/>
    </row>
    <row r="23" spans="2:8">
      <c r="B23" s="1785"/>
      <c r="C23" s="1785" t="s">
        <v>45</v>
      </c>
      <c r="D23" s="1785"/>
      <c r="E23" s="1785"/>
      <c r="F23" s="1785"/>
      <c r="G23" s="1785"/>
      <c r="H23" s="1785"/>
    </row>
    <row r="24" spans="2:8">
      <c r="B24" s="1785"/>
      <c r="C24" s="1785" t="s">
        <v>46</v>
      </c>
      <c r="D24" s="1785"/>
      <c r="E24" s="1785"/>
      <c r="F24" s="1785"/>
      <c r="G24" s="1785"/>
      <c r="H24" s="1785"/>
    </row>
    <row r="25" spans="2:8">
      <c r="B25" s="1785"/>
      <c r="C25" s="1785"/>
      <c r="D25" s="1785"/>
      <c r="E25" s="1785"/>
      <c r="F25" s="1785"/>
      <c r="G25" s="1785"/>
      <c r="H25" s="1785"/>
    </row>
    <row r="26" spans="2:8">
      <c r="B26" s="1785"/>
      <c r="C26" s="1785"/>
      <c r="D26" s="1785"/>
      <c r="E26" s="1785"/>
      <c r="F26" s="1785"/>
      <c r="G26" s="1785"/>
      <c r="H26" s="1785"/>
    </row>
    <row r="27" spans="2:8">
      <c r="B27" s="1785"/>
      <c r="C27" s="1785"/>
      <c r="D27" s="1785"/>
      <c r="E27" s="1785"/>
      <c r="F27" s="1785"/>
      <c r="G27" s="1785"/>
      <c r="H27" s="1785"/>
    </row>
    <row r="28" spans="2:8">
      <c r="B28" s="1785"/>
      <c r="C28" s="1785"/>
      <c r="D28" s="1785"/>
      <c r="E28" s="1785"/>
      <c r="F28" s="1785"/>
      <c r="G28" s="1785"/>
      <c r="H28" s="1785"/>
    </row>
    <row r="29" spans="2:8">
      <c r="B29" s="1785"/>
      <c r="C29" s="1785"/>
      <c r="D29" s="1785"/>
      <c r="E29" s="1785"/>
      <c r="F29" s="1785"/>
      <c r="G29" s="1785"/>
      <c r="H29" s="178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S57"/>
  <sheetViews>
    <sheetView topLeftCell="E1" workbookViewId="0">
      <selection activeCell="B22" sqref="B22"/>
    </sheetView>
  </sheetViews>
  <sheetFormatPr defaultColWidth="9.140625" defaultRowHeight="15"/>
  <cols>
    <col min="1" max="1" width="11.7109375" style="1652" customWidth="1"/>
    <col min="2" max="2" width="14.5703125" style="1652" customWidth="1"/>
    <col min="3" max="3" width="11.85546875" style="1652" customWidth="1"/>
    <col min="4" max="6" width="15.42578125" style="1652" customWidth="1"/>
    <col min="7" max="7" width="18.5703125" style="1652" customWidth="1"/>
    <col min="8" max="8" width="20.140625" style="1652" customWidth="1"/>
    <col min="9" max="9" width="19.42578125" style="1652" customWidth="1"/>
    <col min="10" max="10" width="13.140625" style="1652" customWidth="1"/>
    <col min="11" max="11" width="11.85546875" style="1652" customWidth="1"/>
    <col min="12" max="12" width="13" style="1652" customWidth="1"/>
    <col min="13" max="13" width="9.140625" style="1652"/>
    <col min="14" max="14" width="24.5703125" style="1721" customWidth="1"/>
    <col min="15" max="15" width="8.7109375" style="1721" customWidth="1"/>
    <col min="16" max="16" width="24.140625" style="1652" customWidth="1"/>
    <col min="17" max="17" width="34.42578125" style="1721" customWidth="1"/>
    <col min="18" max="18" width="34.5703125" style="1652" customWidth="1"/>
    <col min="19" max="16384" width="9.140625" style="1652"/>
  </cols>
  <sheetData>
    <row r="1" spans="1:19">
      <c r="A1" s="2014"/>
      <c r="B1" s="1881"/>
      <c r="C1" s="1881"/>
      <c r="D1" s="2015"/>
      <c r="E1" s="2015"/>
      <c r="F1" s="1881"/>
      <c r="G1" s="1881"/>
      <c r="H1" s="1881"/>
      <c r="I1" s="1881"/>
      <c r="J1" s="2025"/>
      <c r="K1" s="1950"/>
      <c r="L1" s="1951" t="s">
        <v>47</v>
      </c>
      <c r="M1" s="1881">
        <v>2021</v>
      </c>
      <c r="N1" s="2026"/>
      <c r="O1" s="2026"/>
      <c r="P1" s="1881"/>
      <c r="Q1" s="2026"/>
    </row>
    <row r="2" spans="1:19" ht="30">
      <c r="A2" s="2014" t="s">
        <v>48</v>
      </c>
      <c r="B2" s="2014" t="s">
        <v>1</v>
      </c>
      <c r="C2" s="2014" t="s">
        <v>3</v>
      </c>
      <c r="D2" s="2014" t="s">
        <v>49</v>
      </c>
      <c r="E2" s="2014" t="s">
        <v>50</v>
      </c>
      <c r="F2" s="2014" t="s">
        <v>51</v>
      </c>
      <c r="G2" s="2014" t="s">
        <v>52</v>
      </c>
      <c r="H2" s="2014" t="s">
        <v>53</v>
      </c>
      <c r="I2" s="2027" t="s">
        <v>54</v>
      </c>
      <c r="J2" s="2028" t="s">
        <v>55</v>
      </c>
      <c r="K2" s="2014" t="s">
        <v>56</v>
      </c>
      <c r="L2" s="2014" t="s">
        <v>57</v>
      </c>
      <c r="M2" s="2014" t="s">
        <v>58</v>
      </c>
      <c r="N2" s="2281" t="s">
        <v>59</v>
      </c>
      <c r="O2" s="2282"/>
      <c r="P2" s="2014" t="s">
        <v>60</v>
      </c>
      <c r="Q2" s="2039" t="s">
        <v>61</v>
      </c>
      <c r="R2" s="2014" t="s">
        <v>62</v>
      </c>
    </row>
    <row r="3" spans="1:19">
      <c r="A3" s="2016">
        <v>1</v>
      </c>
      <c r="B3" s="2017" t="s">
        <v>63</v>
      </c>
      <c r="C3" s="2017" t="s">
        <v>16</v>
      </c>
      <c r="D3" s="2017">
        <v>6941</v>
      </c>
      <c r="E3" s="2017" t="s">
        <v>64</v>
      </c>
      <c r="F3" s="2017">
        <v>1</v>
      </c>
      <c r="G3" s="2017">
        <v>181</v>
      </c>
      <c r="H3" s="2017">
        <v>42.8</v>
      </c>
      <c r="I3" s="2029">
        <v>2491473.6</v>
      </c>
      <c r="J3" s="2017" t="s">
        <v>65</v>
      </c>
      <c r="K3" s="2017" t="s">
        <v>12</v>
      </c>
      <c r="L3" s="2030">
        <v>44266</v>
      </c>
      <c r="M3" s="2030" t="s">
        <v>11</v>
      </c>
      <c r="N3" s="2273" t="s">
        <v>66</v>
      </c>
      <c r="O3" s="2274"/>
      <c r="P3" s="2033" t="s">
        <v>67</v>
      </c>
      <c r="Q3" s="2040" t="s">
        <v>68</v>
      </c>
      <c r="R3" s="2041" t="s">
        <v>69</v>
      </c>
    </row>
    <row r="4" spans="1:19">
      <c r="A4" s="2016">
        <v>2</v>
      </c>
      <c r="B4" s="2017" t="s">
        <v>63</v>
      </c>
      <c r="C4" s="2017" t="s">
        <v>16</v>
      </c>
      <c r="D4" s="2017">
        <v>9840</v>
      </c>
      <c r="E4" s="2017" t="s">
        <v>64</v>
      </c>
      <c r="F4" s="2017">
        <v>2</v>
      </c>
      <c r="G4" s="2017">
        <v>24</v>
      </c>
      <c r="H4" s="2017">
        <v>80.33</v>
      </c>
      <c r="I4" s="2029">
        <v>3374857.16</v>
      </c>
      <c r="J4" s="2017" t="s">
        <v>65</v>
      </c>
      <c r="K4" s="2017" t="s">
        <v>12</v>
      </c>
      <c r="L4" s="2034">
        <v>44275</v>
      </c>
      <c r="M4" s="2030" t="s">
        <v>17</v>
      </c>
      <c r="N4" s="2273" t="s">
        <v>70</v>
      </c>
      <c r="O4" s="2274"/>
      <c r="P4" s="2033" t="s">
        <v>71</v>
      </c>
      <c r="Q4" s="2042"/>
      <c r="R4" s="2041" t="s">
        <v>72</v>
      </c>
      <c r="S4" s="1657"/>
    </row>
    <row r="5" spans="1:19">
      <c r="A5" s="2016">
        <v>3</v>
      </c>
      <c r="B5" s="2017" t="s">
        <v>73</v>
      </c>
      <c r="C5" s="2017" t="s">
        <v>16</v>
      </c>
      <c r="D5" s="2017">
        <v>9723</v>
      </c>
      <c r="E5" s="2017" t="s">
        <v>74</v>
      </c>
      <c r="F5" s="2017">
        <v>2</v>
      </c>
      <c r="G5" s="2017">
        <v>359</v>
      </c>
      <c r="H5" s="2017">
        <v>60.25</v>
      </c>
      <c r="I5" s="2029">
        <v>3179272</v>
      </c>
      <c r="J5" s="2017" t="s">
        <v>65</v>
      </c>
      <c r="K5" s="2017" t="s">
        <v>18</v>
      </c>
      <c r="L5" s="2030">
        <v>44261</v>
      </c>
      <c r="M5" s="2030" t="s">
        <v>17</v>
      </c>
      <c r="N5" s="2278" t="s">
        <v>75</v>
      </c>
      <c r="O5" s="2278"/>
      <c r="P5" s="2033" t="s">
        <v>71</v>
      </c>
      <c r="Q5" s="2043"/>
      <c r="R5" s="2041" t="s">
        <v>76</v>
      </c>
    </row>
    <row r="6" spans="1:19">
      <c r="A6" s="2016">
        <v>4</v>
      </c>
      <c r="B6" s="2017" t="s">
        <v>77</v>
      </c>
      <c r="C6" s="2017" t="s">
        <v>16</v>
      </c>
      <c r="D6" s="2017">
        <v>9839</v>
      </c>
      <c r="E6" s="2017" t="s">
        <v>74</v>
      </c>
      <c r="F6" s="2017">
        <v>2</v>
      </c>
      <c r="G6" s="2017">
        <v>226</v>
      </c>
      <c r="H6" s="2018">
        <v>64.150000000000006</v>
      </c>
      <c r="I6" s="2029">
        <v>3223601.65</v>
      </c>
      <c r="J6" s="2017" t="s">
        <v>65</v>
      </c>
      <c r="K6" s="2017" t="s">
        <v>18</v>
      </c>
      <c r="L6" s="2030">
        <v>44259</v>
      </c>
      <c r="M6" s="2030" t="s">
        <v>17</v>
      </c>
      <c r="N6" s="2278" t="s">
        <v>78</v>
      </c>
      <c r="O6" s="2278"/>
      <c r="P6" s="2033" t="s">
        <v>71</v>
      </c>
      <c r="Q6" s="2042"/>
      <c r="R6" s="2041" t="s">
        <v>79</v>
      </c>
    </row>
    <row r="7" spans="1:19" s="1657" customFormat="1">
      <c r="A7" s="2019">
        <v>5</v>
      </c>
      <c r="B7" s="2017" t="s">
        <v>63</v>
      </c>
      <c r="C7" s="2017" t="s">
        <v>16</v>
      </c>
      <c r="D7" s="2017">
        <v>10270</v>
      </c>
      <c r="E7" s="2017" t="s">
        <v>74</v>
      </c>
      <c r="F7" s="2017">
        <v>2</v>
      </c>
      <c r="G7" s="2017">
        <v>255</v>
      </c>
      <c r="H7" s="2018">
        <v>63.74</v>
      </c>
      <c r="I7" s="2029">
        <v>3470706.74</v>
      </c>
      <c r="J7" s="2017" t="s">
        <v>65</v>
      </c>
      <c r="K7" s="2017" t="s">
        <v>18</v>
      </c>
      <c r="L7" s="2030">
        <v>44273</v>
      </c>
      <c r="M7" s="2030" t="s">
        <v>17</v>
      </c>
      <c r="N7" s="2273" t="s">
        <v>80</v>
      </c>
      <c r="O7" s="2274"/>
      <c r="P7" s="2033" t="s">
        <v>71</v>
      </c>
      <c r="Q7" s="2042"/>
      <c r="R7" s="2041" t="s">
        <v>72</v>
      </c>
    </row>
    <row r="8" spans="1:19" ht="14.25" customHeight="1">
      <c r="A8" s="2016">
        <v>6</v>
      </c>
      <c r="B8" s="2017" t="s">
        <v>63</v>
      </c>
      <c r="C8" s="2017" t="s">
        <v>16</v>
      </c>
      <c r="D8" s="2017">
        <v>9943</v>
      </c>
      <c r="E8" s="2017" t="s">
        <v>74</v>
      </c>
      <c r="F8" s="2017">
        <v>3</v>
      </c>
      <c r="G8" s="2017">
        <v>235</v>
      </c>
      <c r="H8" s="2018">
        <v>92.1</v>
      </c>
      <c r="I8" s="2029">
        <v>4820298.32</v>
      </c>
      <c r="J8" s="2017" t="s">
        <v>65</v>
      </c>
      <c r="K8" s="2017" t="s">
        <v>18</v>
      </c>
      <c r="L8" s="2030">
        <v>44271</v>
      </c>
      <c r="M8" s="2030" t="s">
        <v>17</v>
      </c>
      <c r="N8" s="2278" t="s">
        <v>81</v>
      </c>
      <c r="O8" s="2278"/>
      <c r="P8" s="2033" t="s">
        <v>71</v>
      </c>
      <c r="Q8" s="2044"/>
      <c r="R8" s="2045" t="s">
        <v>72</v>
      </c>
    </row>
    <row r="9" spans="1:19" ht="14.25" customHeight="1">
      <c r="A9" s="2016">
        <v>7</v>
      </c>
      <c r="B9" s="2017" t="s">
        <v>63</v>
      </c>
      <c r="C9" s="2017" t="s">
        <v>16</v>
      </c>
      <c r="D9" s="2017">
        <v>10263</v>
      </c>
      <c r="E9" s="2017" t="s">
        <v>74</v>
      </c>
      <c r="F9" s="2017">
        <v>2</v>
      </c>
      <c r="G9" s="2017">
        <v>23</v>
      </c>
      <c r="H9" s="2018">
        <v>67.16</v>
      </c>
      <c r="I9" s="2029">
        <v>3359857.16</v>
      </c>
      <c r="J9" s="2017" t="s">
        <v>65</v>
      </c>
      <c r="K9" s="2017" t="s">
        <v>12</v>
      </c>
      <c r="L9" s="2030">
        <v>44284</v>
      </c>
      <c r="M9" s="2030" t="s">
        <v>17</v>
      </c>
      <c r="N9" s="2273" t="s">
        <v>82</v>
      </c>
      <c r="O9" s="2274"/>
      <c r="P9" s="2033" t="s">
        <v>71</v>
      </c>
      <c r="Q9" s="2042"/>
      <c r="R9" s="2041" t="s">
        <v>72</v>
      </c>
    </row>
    <row r="10" spans="1:19">
      <c r="A10" s="2016">
        <v>8</v>
      </c>
      <c r="B10" s="2017" t="s">
        <v>63</v>
      </c>
      <c r="C10" s="2017" t="s">
        <v>16</v>
      </c>
      <c r="D10" s="2017">
        <v>10400</v>
      </c>
      <c r="E10" s="2017" t="s">
        <v>74</v>
      </c>
      <c r="F10" s="2017">
        <v>2</v>
      </c>
      <c r="G10" s="2017">
        <v>53</v>
      </c>
      <c r="H10" s="2018">
        <v>67.16</v>
      </c>
      <c r="I10" s="2029">
        <v>3374858.16</v>
      </c>
      <c r="J10" s="2017" t="s">
        <v>65</v>
      </c>
      <c r="K10" s="2017" t="s">
        <v>18</v>
      </c>
      <c r="L10" s="2030">
        <v>44274</v>
      </c>
      <c r="M10" s="2030" t="s">
        <v>17</v>
      </c>
      <c r="N10" s="2273" t="s">
        <v>83</v>
      </c>
      <c r="O10" s="2274"/>
      <c r="P10" s="2033" t="s">
        <v>71</v>
      </c>
      <c r="Q10" s="2042"/>
      <c r="R10" s="2041" t="s">
        <v>72</v>
      </c>
    </row>
    <row r="11" spans="1:19" ht="21" customHeight="1">
      <c r="A11" s="2016">
        <v>9</v>
      </c>
      <c r="B11" s="2017" t="s">
        <v>63</v>
      </c>
      <c r="C11" s="2017" t="s">
        <v>84</v>
      </c>
      <c r="D11" s="2017">
        <v>10333</v>
      </c>
      <c r="E11" s="2017" t="s">
        <v>74</v>
      </c>
      <c r="F11" s="2017">
        <v>2</v>
      </c>
      <c r="G11" s="2017">
        <v>40</v>
      </c>
      <c r="H11" s="2018">
        <v>65.540000000000006</v>
      </c>
      <c r="I11" s="2029">
        <v>3252225.88</v>
      </c>
      <c r="J11" s="2017" t="s">
        <v>85</v>
      </c>
      <c r="K11" s="2017" t="s">
        <v>18</v>
      </c>
      <c r="L11" s="2030">
        <v>44274</v>
      </c>
      <c r="M11" s="2030" t="s">
        <v>11</v>
      </c>
      <c r="N11" s="2031" t="s">
        <v>86</v>
      </c>
      <c r="O11" s="2032"/>
      <c r="P11" s="2033" t="s">
        <v>71</v>
      </c>
      <c r="Q11" s="2042"/>
      <c r="R11" s="2041" t="s">
        <v>72</v>
      </c>
    </row>
    <row r="12" spans="1:19" ht="16.5" customHeight="1">
      <c r="A12" s="2016">
        <v>10</v>
      </c>
      <c r="B12" s="2017" t="s">
        <v>73</v>
      </c>
      <c r="C12" s="2017" t="s">
        <v>16</v>
      </c>
      <c r="D12" s="2017">
        <v>10266</v>
      </c>
      <c r="E12" s="2017" t="s">
        <v>74</v>
      </c>
      <c r="F12" s="2017">
        <v>1</v>
      </c>
      <c r="G12" s="2017">
        <v>27</v>
      </c>
      <c r="H12" s="2018">
        <v>42.32</v>
      </c>
      <c r="I12" s="2029">
        <v>2488416</v>
      </c>
      <c r="J12" s="2017" t="s">
        <v>65</v>
      </c>
      <c r="K12" s="2017" t="s">
        <v>18</v>
      </c>
      <c r="L12" s="2030">
        <v>44279</v>
      </c>
      <c r="M12" s="2030" t="s">
        <v>17</v>
      </c>
      <c r="N12" s="2279" t="s">
        <v>87</v>
      </c>
      <c r="O12" s="2280"/>
      <c r="P12" s="2033" t="s">
        <v>71</v>
      </c>
      <c r="Q12" s="2042"/>
      <c r="R12" s="2041" t="s">
        <v>88</v>
      </c>
    </row>
    <row r="13" spans="1:19">
      <c r="A13" s="2016">
        <v>11</v>
      </c>
      <c r="B13" s="2017" t="s">
        <v>63</v>
      </c>
      <c r="C13" s="2017" t="s">
        <v>16</v>
      </c>
      <c r="D13" s="2017">
        <v>10319</v>
      </c>
      <c r="E13" s="2017" t="s">
        <v>74</v>
      </c>
      <c r="F13" s="2017">
        <v>0</v>
      </c>
      <c r="G13" s="2017">
        <v>91</v>
      </c>
      <c r="H13" s="2018">
        <v>32.03</v>
      </c>
      <c r="I13" s="2029">
        <v>2157636.89</v>
      </c>
      <c r="J13" s="2017" t="s">
        <v>65</v>
      </c>
      <c r="K13" s="2017" t="s">
        <v>12</v>
      </c>
      <c r="L13" s="2030">
        <v>44278</v>
      </c>
      <c r="M13" s="2030" t="s">
        <v>17</v>
      </c>
      <c r="N13" s="2273" t="s">
        <v>89</v>
      </c>
      <c r="O13" s="2274"/>
      <c r="P13" s="2033" t="s">
        <v>71</v>
      </c>
      <c r="Q13" s="2042"/>
      <c r="R13" s="2041" t="s">
        <v>72</v>
      </c>
    </row>
    <row r="14" spans="1:19" s="1657" customFormat="1">
      <c r="A14" s="2019">
        <v>12</v>
      </c>
      <c r="B14" s="2017" t="s">
        <v>63</v>
      </c>
      <c r="C14" s="2017" t="s">
        <v>16</v>
      </c>
      <c r="D14" s="2017">
        <v>10145</v>
      </c>
      <c r="E14" s="2017" t="s">
        <v>74</v>
      </c>
      <c r="F14" s="2017">
        <v>2</v>
      </c>
      <c r="G14" s="2017">
        <v>133</v>
      </c>
      <c r="H14" s="2018">
        <v>67.16</v>
      </c>
      <c r="I14" s="2029">
        <v>3374857.16</v>
      </c>
      <c r="J14" s="2017" t="s">
        <v>65</v>
      </c>
      <c r="K14" s="2017" t="s">
        <v>18</v>
      </c>
      <c r="L14" s="2030">
        <v>44286</v>
      </c>
      <c r="M14" s="2030" t="s">
        <v>17</v>
      </c>
      <c r="N14" s="2031" t="s">
        <v>90</v>
      </c>
      <c r="O14" s="2032"/>
      <c r="P14" s="2033" t="s">
        <v>71</v>
      </c>
      <c r="Q14" s="2042"/>
      <c r="R14" s="2041" t="s">
        <v>72</v>
      </c>
    </row>
    <row r="15" spans="1:19" s="1657" customFormat="1">
      <c r="A15" s="2019">
        <v>13</v>
      </c>
      <c r="B15" s="2017" t="s">
        <v>73</v>
      </c>
      <c r="C15" s="2017" t="s">
        <v>16</v>
      </c>
      <c r="D15" s="2017">
        <v>4732</v>
      </c>
      <c r="E15" s="2017" t="s">
        <v>74</v>
      </c>
      <c r="F15" s="2017">
        <v>2</v>
      </c>
      <c r="G15" s="2017">
        <v>191</v>
      </c>
      <c r="H15" s="2018">
        <v>64.150000000000006</v>
      </c>
      <c r="I15" s="2029">
        <v>4064736.45</v>
      </c>
      <c r="J15" s="2017" t="s">
        <v>65</v>
      </c>
      <c r="K15" s="2017" t="s">
        <v>91</v>
      </c>
      <c r="L15" s="2030">
        <v>44286</v>
      </c>
      <c r="M15" s="2030" t="s">
        <v>17</v>
      </c>
      <c r="N15" s="2035" t="s">
        <v>92</v>
      </c>
      <c r="O15" s="2036"/>
      <c r="P15" s="2033" t="s">
        <v>71</v>
      </c>
      <c r="Q15" s="2042"/>
      <c r="R15" s="2041" t="s">
        <v>88</v>
      </c>
    </row>
    <row r="16" spans="1:19" s="1657" customFormat="1">
      <c r="A16" s="2019">
        <v>14</v>
      </c>
      <c r="B16" s="2017" t="s">
        <v>63</v>
      </c>
      <c r="C16" s="2017" t="s">
        <v>16</v>
      </c>
      <c r="D16" s="2017">
        <v>10799</v>
      </c>
      <c r="E16" s="2017" t="s">
        <v>74</v>
      </c>
      <c r="F16" s="2017">
        <v>2</v>
      </c>
      <c r="G16" s="2017">
        <v>328</v>
      </c>
      <c r="H16" s="2018">
        <v>59.13</v>
      </c>
      <c r="I16" s="2029">
        <v>3082979.07</v>
      </c>
      <c r="J16" s="2017" t="s">
        <v>65</v>
      </c>
      <c r="K16" s="2017" t="s">
        <v>91</v>
      </c>
      <c r="L16" s="2030">
        <v>44286</v>
      </c>
      <c r="M16" s="2030" t="s">
        <v>17</v>
      </c>
      <c r="N16" s="2035" t="s">
        <v>93</v>
      </c>
      <c r="O16" s="2036"/>
      <c r="P16" s="2033" t="s">
        <v>71</v>
      </c>
      <c r="Q16" s="2042"/>
      <c r="R16" s="2041" t="s">
        <v>72</v>
      </c>
    </row>
    <row r="17" spans="1:17" customFormat="1" ht="15.75">
      <c r="A17" s="1785"/>
      <c r="B17" s="1785"/>
      <c r="C17" s="1786"/>
      <c r="D17" s="1785"/>
      <c r="E17" s="1785"/>
      <c r="F17" s="1680">
        <f>SUM(H3:H16)</f>
        <v>868.01999999999987</v>
      </c>
      <c r="G17" s="2020">
        <f>SUM(I3:I16)</f>
        <v>45715776.240000002</v>
      </c>
      <c r="H17" s="2021">
        <f>SUM(I3:I16)</f>
        <v>45715776.240000002</v>
      </c>
      <c r="K17" s="58"/>
      <c r="L17" s="1785"/>
      <c r="M17" s="1785"/>
      <c r="N17" s="1817"/>
      <c r="O17" s="1817"/>
      <c r="Q17" s="1817"/>
    </row>
    <row r="18" spans="1:17" customFormat="1">
      <c r="A18" s="1785"/>
      <c r="B18" s="1785"/>
      <c r="E18" s="1785"/>
      <c r="F18" s="1785"/>
      <c r="G18" s="1785"/>
      <c r="H18" s="1787"/>
      <c r="I18" s="1785"/>
      <c r="K18" s="58"/>
      <c r="L18" s="1785"/>
      <c r="M18" s="1785"/>
      <c r="N18" s="1817"/>
      <c r="O18" s="1817"/>
      <c r="Q18" s="1817"/>
    </row>
    <row r="19" spans="1:17" customFormat="1">
      <c r="A19" s="2275" t="s">
        <v>94</v>
      </c>
      <c r="B19" s="2276"/>
      <c r="C19" s="2276"/>
      <c r="D19" s="2276"/>
      <c r="E19" s="2276"/>
      <c r="F19" s="2276"/>
      <c r="G19" s="2276"/>
      <c r="H19" s="2276"/>
      <c r="I19" s="2276"/>
      <c r="J19" s="2276"/>
      <c r="K19" s="2276"/>
      <c r="L19" s="2276"/>
      <c r="M19" s="2277"/>
      <c r="N19" s="1817"/>
      <c r="O19" s="1817"/>
      <c r="Q19" s="1817"/>
    </row>
    <row r="20" spans="1:17" customFormat="1" ht="25.5">
      <c r="A20" s="1886" t="s">
        <v>1</v>
      </c>
      <c r="B20" s="1888" t="s">
        <v>95</v>
      </c>
      <c r="C20" s="1888" t="s">
        <v>96</v>
      </c>
      <c r="D20" s="1887" t="s">
        <v>97</v>
      </c>
      <c r="E20" s="1888" t="s">
        <v>98</v>
      </c>
      <c r="F20" s="1890" t="s">
        <v>99</v>
      </c>
      <c r="G20" s="1887" t="s">
        <v>100</v>
      </c>
      <c r="H20" s="1889" t="s">
        <v>101</v>
      </c>
      <c r="I20" s="1890" t="s">
        <v>102</v>
      </c>
      <c r="J20" s="1959" t="s">
        <v>103</v>
      </c>
      <c r="K20" s="1959" t="s">
        <v>104</v>
      </c>
      <c r="L20" s="1959" t="s">
        <v>105</v>
      </c>
      <c r="M20" s="1960" t="s">
        <v>106</v>
      </c>
      <c r="N20" s="1817" t="s">
        <v>107</v>
      </c>
      <c r="O20" s="2037">
        <f>COUNTIFS(E3:E16,"Дом 1",P3:P16,$P$20)</f>
        <v>13</v>
      </c>
      <c r="P20" t="s">
        <v>108</v>
      </c>
      <c r="Q20" s="1872"/>
    </row>
    <row r="21" spans="1:17" customFormat="1">
      <c r="A21" s="1918" t="s">
        <v>109</v>
      </c>
      <c r="B21" s="1901">
        <f>B34+B47</f>
        <v>4</v>
      </c>
      <c r="C21" s="1901">
        <f>C34+C47</f>
        <v>0</v>
      </c>
      <c r="D21" s="1900">
        <f>D34+D47</f>
        <v>13377901.052631579</v>
      </c>
      <c r="E21" s="1900">
        <f>E34+E47</f>
        <v>0</v>
      </c>
      <c r="F21" s="1972">
        <f t="shared" ref="F21:F26" si="0">E21/D21</f>
        <v>0</v>
      </c>
      <c r="G21" s="1903">
        <f>G34+G47</f>
        <v>284</v>
      </c>
      <c r="H21" s="1902">
        <f>H34+H47</f>
        <v>0</v>
      </c>
      <c r="I21" s="1920">
        <f t="shared" ref="I21:I26" si="1">H21/G21</f>
        <v>0</v>
      </c>
      <c r="J21" s="1965">
        <f>J34+J47</f>
        <v>0</v>
      </c>
      <c r="K21" s="1965">
        <f>K34+K47</f>
        <v>0</v>
      </c>
      <c r="L21" s="1965">
        <f>L34+L47</f>
        <v>0</v>
      </c>
      <c r="M21" s="1966">
        <f>M34+M47</f>
        <v>0</v>
      </c>
      <c r="N21" s="2038" t="s">
        <v>110</v>
      </c>
      <c r="O21" s="1872">
        <f>COUNTIFS(E3:E16,"Дом 1",P3:P16,$P$21)</f>
        <v>1</v>
      </c>
      <c r="P21" s="1872" t="s">
        <v>111</v>
      </c>
      <c r="Q21" s="1817"/>
    </row>
    <row r="22" spans="1:17" customFormat="1">
      <c r="A22" s="1898" t="s">
        <v>73</v>
      </c>
      <c r="B22" s="1901">
        <f t="shared" ref="B22:E25" si="2">B35+B48</f>
        <v>4</v>
      </c>
      <c r="C22" s="1901">
        <f t="shared" si="2"/>
        <v>3</v>
      </c>
      <c r="D22" s="1900">
        <f t="shared" si="2"/>
        <v>13377901.052631579</v>
      </c>
      <c r="E22" s="1900">
        <f t="shared" si="2"/>
        <v>9732424.4499999993</v>
      </c>
      <c r="F22" s="1964">
        <f t="shared" si="0"/>
        <v>0.72750010720744007</v>
      </c>
      <c r="G22" s="1903">
        <f t="shared" ref="G22:H25" si="3">G35+G48</f>
        <v>284</v>
      </c>
      <c r="H22" s="1902">
        <f t="shared" si="3"/>
        <v>166.72</v>
      </c>
      <c r="I22" s="1904">
        <f t="shared" si="1"/>
        <v>0.58704225352112671</v>
      </c>
      <c r="J22" s="1965">
        <f t="shared" ref="J22:M25" si="4">J35+J48</f>
        <v>0</v>
      </c>
      <c r="K22" s="1965">
        <f t="shared" si="4"/>
        <v>1</v>
      </c>
      <c r="L22" s="1965">
        <f t="shared" si="4"/>
        <v>2</v>
      </c>
      <c r="M22" s="1966">
        <f t="shared" si="4"/>
        <v>0</v>
      </c>
      <c r="N22" s="1817"/>
      <c r="O22" s="1817"/>
      <c r="Q22" s="1817"/>
    </row>
    <row r="23" spans="1:17" customFormat="1">
      <c r="A23" s="1898" t="s">
        <v>20</v>
      </c>
      <c r="B23" s="1901">
        <f t="shared" si="2"/>
        <v>4</v>
      </c>
      <c r="C23" s="1901">
        <f t="shared" si="2"/>
        <v>0</v>
      </c>
      <c r="D23" s="1900">
        <f t="shared" si="2"/>
        <v>13377901.052631579</v>
      </c>
      <c r="E23" s="1900">
        <f t="shared" si="2"/>
        <v>0</v>
      </c>
      <c r="F23" s="1964">
        <f t="shared" si="0"/>
        <v>0</v>
      </c>
      <c r="G23" s="1903">
        <f t="shared" si="3"/>
        <v>284</v>
      </c>
      <c r="H23" s="1902">
        <f t="shared" si="3"/>
        <v>0</v>
      </c>
      <c r="I23" s="1904">
        <f t="shared" si="1"/>
        <v>0</v>
      </c>
      <c r="J23" s="1965">
        <f t="shared" si="4"/>
        <v>0</v>
      </c>
      <c r="K23" s="1965">
        <f t="shared" si="4"/>
        <v>0</v>
      </c>
      <c r="L23" s="1965">
        <f t="shared" si="4"/>
        <v>0</v>
      </c>
      <c r="M23" s="1966">
        <f t="shared" si="4"/>
        <v>0</v>
      </c>
      <c r="N23" s="1817" t="s">
        <v>112</v>
      </c>
      <c r="O23" s="2037">
        <f>COUNTIFS(E3:E16,"Дом 2",P3:P16,$P$23)</f>
        <v>0</v>
      </c>
      <c r="P23" t="s">
        <v>108</v>
      </c>
      <c r="Q23" s="1817"/>
    </row>
    <row r="24" spans="1:17" customFormat="1">
      <c r="A24" s="1898" t="s">
        <v>63</v>
      </c>
      <c r="B24" s="1901">
        <f t="shared" si="2"/>
        <v>4</v>
      </c>
      <c r="C24" s="1901">
        <f t="shared" si="2"/>
        <v>10</v>
      </c>
      <c r="D24" s="1900">
        <f t="shared" si="2"/>
        <v>13377901.052631579</v>
      </c>
      <c r="E24" s="1900">
        <f t="shared" si="2"/>
        <v>32759750.140000001</v>
      </c>
      <c r="F24" s="1964">
        <f t="shared" si="0"/>
        <v>2.4487959666554566</v>
      </c>
      <c r="G24" s="1903">
        <f t="shared" si="3"/>
        <v>284</v>
      </c>
      <c r="H24" s="1902">
        <f t="shared" si="3"/>
        <v>637.15</v>
      </c>
      <c r="I24" s="1904">
        <f t="shared" si="1"/>
        <v>2.2434859154929576</v>
      </c>
      <c r="J24" s="1965">
        <f t="shared" si="4"/>
        <v>1</v>
      </c>
      <c r="K24" s="1965">
        <f t="shared" si="4"/>
        <v>1</v>
      </c>
      <c r="L24" s="1965">
        <f t="shared" si="4"/>
        <v>7</v>
      </c>
      <c r="M24" s="1966">
        <f t="shared" si="4"/>
        <v>1</v>
      </c>
      <c r="N24" s="1857" t="s">
        <v>113</v>
      </c>
      <c r="O24" s="2037">
        <f>COUNTIFS(E3:E16,"Дом 2",P3:P16,$P$24)</f>
        <v>0</v>
      </c>
      <c r="P24" t="s">
        <v>111</v>
      </c>
      <c r="Q24" s="1817"/>
    </row>
    <row r="25" spans="1:17" customFormat="1">
      <c r="A25" s="1905" t="s">
        <v>77</v>
      </c>
      <c r="B25" s="1901">
        <f t="shared" si="2"/>
        <v>3</v>
      </c>
      <c r="C25" s="1901">
        <f t="shared" si="2"/>
        <v>1</v>
      </c>
      <c r="D25" s="1900">
        <f t="shared" si="2"/>
        <v>10033425.789473685</v>
      </c>
      <c r="E25" s="1900">
        <f t="shared" si="2"/>
        <v>3223601.65</v>
      </c>
      <c r="F25" s="1964">
        <f t="shared" si="0"/>
        <v>0.32128624037683723</v>
      </c>
      <c r="G25" s="1903">
        <f t="shared" si="3"/>
        <v>213</v>
      </c>
      <c r="H25" s="1902">
        <f t="shared" si="3"/>
        <v>64.150000000000006</v>
      </c>
      <c r="I25" s="1904">
        <f t="shared" si="1"/>
        <v>0.3011737089201878</v>
      </c>
      <c r="J25" s="1965">
        <f t="shared" si="4"/>
        <v>0</v>
      </c>
      <c r="K25" s="1965">
        <f t="shared" si="4"/>
        <v>0</v>
      </c>
      <c r="L25" s="1965">
        <f t="shared" si="4"/>
        <v>1</v>
      </c>
      <c r="M25" s="1966">
        <f t="shared" si="4"/>
        <v>0</v>
      </c>
      <c r="N25" s="1817"/>
      <c r="O25" s="1817"/>
      <c r="Q25" s="1817"/>
    </row>
    <row r="26" spans="1:17" customFormat="1">
      <c r="A26" s="1907" t="s">
        <v>114</v>
      </c>
      <c r="B26" s="1910">
        <f>B39+B52</f>
        <v>19</v>
      </c>
      <c r="C26" s="1908">
        <f>C39+C52</f>
        <v>15</v>
      </c>
      <c r="D26" s="1909">
        <f>SUM(D21:D25)</f>
        <v>63545030</v>
      </c>
      <c r="E26" s="1909">
        <f>SUM(E21:E25)</f>
        <v>45715776.240000002</v>
      </c>
      <c r="F26" s="1967">
        <f t="shared" si="0"/>
        <v>0.71942331666221582</v>
      </c>
      <c r="G26" s="1908">
        <f>SUM(G21:G25)</f>
        <v>1349</v>
      </c>
      <c r="H26" s="1911">
        <f>SUM(H21:H25)</f>
        <v>868.02</v>
      </c>
      <c r="I26" s="1912">
        <f t="shared" si="1"/>
        <v>0.64345441067457376</v>
      </c>
      <c r="J26" s="1984">
        <f>SUM(J21:J25)</f>
        <v>1</v>
      </c>
      <c r="K26" s="1968">
        <f>SUM(K21:K25)</f>
        <v>2</v>
      </c>
      <c r="L26" s="1984">
        <f>SUM(L21:L25)</f>
        <v>10</v>
      </c>
      <c r="M26" s="1985">
        <f>SUM(M21:M25)</f>
        <v>1</v>
      </c>
      <c r="N26" s="1817"/>
      <c r="O26" s="1817"/>
      <c r="Q26" s="1817"/>
    </row>
    <row r="27" spans="1:17" customFormat="1" ht="25.5">
      <c r="A27" s="1913" t="s">
        <v>115</v>
      </c>
      <c r="B27" s="1915" t="s">
        <v>95</v>
      </c>
      <c r="C27" s="1915" t="s">
        <v>96</v>
      </c>
      <c r="D27" s="1914" t="s">
        <v>97</v>
      </c>
      <c r="E27" s="1915" t="s">
        <v>98</v>
      </c>
      <c r="F27" s="1917" t="s">
        <v>99</v>
      </c>
      <c r="G27" s="1914" t="s">
        <v>100</v>
      </c>
      <c r="H27" s="1916" t="s">
        <v>101</v>
      </c>
      <c r="I27" s="1917" t="s">
        <v>102</v>
      </c>
      <c r="J27" s="1970" t="s">
        <v>103</v>
      </c>
      <c r="K27" s="1970" t="s">
        <v>104</v>
      </c>
      <c r="L27" s="1970" t="s">
        <v>105</v>
      </c>
      <c r="M27" s="1971" t="s">
        <v>106</v>
      </c>
      <c r="N27" s="1817"/>
      <c r="O27" s="1817"/>
      <c r="Q27" s="1817"/>
    </row>
    <row r="28" spans="1:17" customFormat="1">
      <c r="A28" s="1901"/>
      <c r="B28" s="1901"/>
      <c r="C28" s="1919"/>
      <c r="D28" s="1900"/>
      <c r="E28" s="1900"/>
      <c r="F28" s="1972" t="e">
        <f>E28/D28</f>
        <v>#DIV/0!</v>
      </c>
      <c r="G28" s="1903"/>
      <c r="H28" s="1903"/>
      <c r="I28" s="1920" t="e">
        <f>H28/G28</f>
        <v>#DIV/0!</v>
      </c>
      <c r="J28" s="1973"/>
      <c r="K28" s="1974"/>
      <c r="L28" s="1973"/>
      <c r="M28" s="1973"/>
      <c r="N28" s="1817"/>
      <c r="O28" s="1817"/>
      <c r="Q28" s="1817"/>
    </row>
    <row r="29" spans="1:17" customFormat="1">
      <c r="A29" s="1641" t="s">
        <v>16</v>
      </c>
      <c r="B29" s="1641">
        <f>B42+B55</f>
        <v>17</v>
      </c>
      <c r="C29" s="1641">
        <f>C42+C55</f>
        <v>13</v>
      </c>
      <c r="D29" s="1900">
        <v>108966834</v>
      </c>
      <c r="E29" s="1987">
        <f>SUMIF($C$2:$C$16,A29,$I$2:$I$16)</f>
        <v>42463550.360000007</v>
      </c>
      <c r="F29" s="1964">
        <f>E29/D29</f>
        <v>0.38969243026736011</v>
      </c>
      <c r="G29" s="1903">
        <v>2267</v>
      </c>
      <c r="H29" s="1903" t="e">
        <f>H3+H4+#REF!+#REF!+H5+#REF!+#REF!+Апрель!E15+#REF!+#REF!+#REF!+#REF!+#REF!+#REF!+#REF!+H6+Апрель!#REF!+#REF!+#REF!+#REF!+H7+#REF!+H8</f>
        <v>#REF!</v>
      </c>
      <c r="I29" s="1920" t="e">
        <f>H29/G29</f>
        <v>#REF!</v>
      </c>
      <c r="J29" s="751">
        <f>J42+J55</f>
        <v>1</v>
      </c>
      <c r="K29" s="751">
        <f>K42+K55</f>
        <v>2</v>
      </c>
      <c r="L29" s="751">
        <f>L42+L55</f>
        <v>9</v>
      </c>
      <c r="M29" s="751">
        <f>M42+M55</f>
        <v>1</v>
      </c>
      <c r="N29" s="1817"/>
      <c r="O29" s="1817"/>
      <c r="Q29" s="1817"/>
    </row>
    <row r="30" spans="1:17" customFormat="1">
      <c r="A30" s="1988" t="s">
        <v>114</v>
      </c>
      <c r="B30" s="1988">
        <f>SUM(B28:B29)</f>
        <v>17</v>
      </c>
      <c r="C30" s="1988">
        <f>SUM(C28:C29)</f>
        <v>13</v>
      </c>
      <c r="D30" s="1990">
        <f>SUM(D28:D29)</f>
        <v>108966834</v>
      </c>
      <c r="E30" s="1990">
        <f>SUM(E28:E29)</f>
        <v>42463550.360000007</v>
      </c>
      <c r="F30" s="1991">
        <f>E30/D30</f>
        <v>0.38969243026736011</v>
      </c>
      <c r="G30" s="1989">
        <f>SUM(G28:G29)</f>
        <v>2267</v>
      </c>
      <c r="H30" s="1989" t="e">
        <f>SUM(H28:H29)</f>
        <v>#REF!</v>
      </c>
      <c r="I30" s="1991" t="e">
        <f>H30/G30</f>
        <v>#REF!</v>
      </c>
      <c r="J30" s="1995">
        <f>SUM(J28:J29)</f>
        <v>1</v>
      </c>
      <c r="K30" s="1995">
        <f>SUM(K28:K29)</f>
        <v>2</v>
      </c>
      <c r="L30" s="1995">
        <v>13</v>
      </c>
      <c r="M30" s="1995">
        <f>SUM(M28:M29)</f>
        <v>1</v>
      </c>
      <c r="N30" s="1817"/>
      <c r="O30" s="1817"/>
      <c r="Q30" s="1817"/>
    </row>
    <row r="31" spans="1:17" customFormat="1">
      <c r="N31" s="1817"/>
      <c r="O31" s="1817"/>
      <c r="Q31" s="1817"/>
    </row>
    <row r="32" spans="1:17" customFormat="1">
      <c r="A32" s="2275" t="s">
        <v>116</v>
      </c>
      <c r="B32" s="2276"/>
      <c r="C32" s="2276"/>
      <c r="D32" s="2276"/>
      <c r="E32" s="2276"/>
      <c r="F32" s="2276"/>
      <c r="G32" s="2276"/>
      <c r="H32" s="2276"/>
      <c r="I32" s="2276"/>
      <c r="J32" s="2276"/>
      <c r="K32" s="2276"/>
      <c r="L32" s="2276"/>
      <c r="M32" s="2277"/>
      <c r="N32" s="1817"/>
      <c r="O32" s="1817"/>
      <c r="Q32" s="1817"/>
    </row>
    <row r="33" spans="1:17" customFormat="1" ht="25.5">
      <c r="A33" s="1886" t="s">
        <v>1</v>
      </c>
      <c r="B33" s="1888" t="s">
        <v>95</v>
      </c>
      <c r="C33" s="1888" t="s">
        <v>96</v>
      </c>
      <c r="D33" s="1887" t="s">
        <v>97</v>
      </c>
      <c r="E33" s="1888" t="s">
        <v>98</v>
      </c>
      <c r="F33" s="1890" t="s">
        <v>99</v>
      </c>
      <c r="G33" s="1887" t="s">
        <v>100</v>
      </c>
      <c r="H33" s="1889" t="s">
        <v>101</v>
      </c>
      <c r="I33" s="1890" t="s">
        <v>102</v>
      </c>
      <c r="J33" s="1959" t="s">
        <v>103</v>
      </c>
      <c r="K33" s="1959" t="s">
        <v>104</v>
      </c>
      <c r="L33" s="1959" t="s">
        <v>105</v>
      </c>
      <c r="M33" s="1960" t="s">
        <v>106</v>
      </c>
      <c r="N33" s="1817"/>
      <c r="O33" s="1817"/>
      <c r="Q33" s="1817"/>
    </row>
    <row r="34" spans="1:17" customFormat="1">
      <c r="A34" s="1901" t="s">
        <v>109</v>
      </c>
      <c r="B34" s="1901">
        <v>4</v>
      </c>
      <c r="C34" s="1903">
        <f>COUNTIFS($B$2:$B$16,A34,$E$2:$E$16,"Дом 1")</f>
        <v>0</v>
      </c>
      <c r="D34" s="1935">
        <f>$D$39/$B$39*B34</f>
        <v>13377901.052631579</v>
      </c>
      <c r="E34" s="1900">
        <f>SUMIFS($I$3:$I$16,$B$3:$B$16,A34,$E$3:$E$16,"Дом 1")</f>
        <v>0</v>
      </c>
      <c r="F34" s="1972">
        <f t="shared" ref="F34:F39" si="5">E34/D34</f>
        <v>0</v>
      </c>
      <c r="G34" s="2022">
        <f>$G$39/$B$39*B34</f>
        <v>284</v>
      </c>
      <c r="H34" s="1902">
        <f>SUMIFS($H$3:$H$16,$B$3:$B$16,A34,$E$3:$E$16,"Дом 1")</f>
        <v>0</v>
      </c>
      <c r="I34" s="1920">
        <f t="shared" ref="I34:I39" si="6">H34/G34</f>
        <v>0</v>
      </c>
      <c r="J34" s="1965">
        <f>COUNTIFS($F$3:$F$16,0,$B$3:$B$16,A34,$E$3:$E$16,"Дом 1")</f>
        <v>0</v>
      </c>
      <c r="K34" s="1965">
        <f>COUNTIFS($F$3:$F$16,1,$B$3:$B$16,A34,$E$3:$E$16,"Дом 1")</f>
        <v>0</v>
      </c>
      <c r="L34" s="1965">
        <f>COUNTIFS($F$3:$F$16,2,$B$3:$B$16,A34,$E$3:$E$16,"Дом 1")</f>
        <v>0</v>
      </c>
      <c r="M34" s="1965">
        <f>COUNTIFS($F$3:$F$16,3,$B$3:$B$16,A34,$E$3:$E$16,"Дом 1")</f>
        <v>0</v>
      </c>
      <c r="N34" s="1817"/>
      <c r="O34" s="1817"/>
      <c r="Q34" s="1817"/>
    </row>
    <row r="35" spans="1:17" customFormat="1">
      <c r="A35" s="1641" t="s">
        <v>73</v>
      </c>
      <c r="B35" s="1901">
        <v>4</v>
      </c>
      <c r="C35" s="1903">
        <f>COUNTIFS($B$2:$B$16,A35,$E$2:$E$16,"Дом 1")</f>
        <v>3</v>
      </c>
      <c r="D35" s="1935">
        <f>$D$39/$B$39*B35</f>
        <v>13377901.052631579</v>
      </c>
      <c r="E35" s="1900">
        <f>SUMIFS($I$3:$I$16,$B$3:$B$16,A35,$E$3:$E$16,"Дом 1")</f>
        <v>9732424.4499999993</v>
      </c>
      <c r="F35" s="1964">
        <f t="shared" si="5"/>
        <v>0.72750010720744007</v>
      </c>
      <c r="G35" s="2022">
        <f>$G$39/$B$39*B35</f>
        <v>284</v>
      </c>
      <c r="H35" s="1902">
        <f>SUMIFS($H$3:$H$16,$B$3:$B$16,A35,$E$3:$E$16,"Дом 1")</f>
        <v>166.72</v>
      </c>
      <c r="I35" s="1904">
        <f t="shared" si="6"/>
        <v>0.58704225352112671</v>
      </c>
      <c r="J35" s="1965">
        <f>COUNTIFS($F$3:$F$16,0,$B$3:$B$16,A35,$E$3:$E$16,"Дом 1")</f>
        <v>0</v>
      </c>
      <c r="K35" s="1965">
        <f>COUNTIFS($F$3:$F$16,1,$B$3:$B$16,A35,$E$3:$E$16,"Дом 1")</f>
        <v>1</v>
      </c>
      <c r="L35" s="1965">
        <f>COUNTIFS($F$3:$F$16,2,$B$3:$B$16,A35,$E$3:$E$16,"Дом 1")</f>
        <v>2</v>
      </c>
      <c r="M35" s="1965">
        <f>COUNTIFS($F$3:$F$16,3,$B$3:$B$16,A35,$E$3:$E$16,"Дом 1")</f>
        <v>0</v>
      </c>
      <c r="N35" s="1817"/>
      <c r="O35" s="1817"/>
      <c r="Q35" s="1817"/>
    </row>
    <row r="36" spans="1:17" customFormat="1">
      <c r="A36" s="1641" t="s">
        <v>20</v>
      </c>
      <c r="B36" s="1901">
        <v>4</v>
      </c>
      <c r="C36" s="1903">
        <f>COUNTIFS($B$2:$B$16,A36,$E$2:$E$16,"Дом 1")</f>
        <v>0</v>
      </c>
      <c r="D36" s="1935">
        <f>$D$39/$B$39*B36</f>
        <v>13377901.052631579</v>
      </c>
      <c r="E36" s="1900">
        <f>SUMIFS($I$3:$I$16,$B$3:$B$16,A36,$E$3:$E$16,"Дом 1")</f>
        <v>0</v>
      </c>
      <c r="F36" s="1964">
        <f t="shared" si="5"/>
        <v>0</v>
      </c>
      <c r="G36" s="2022">
        <f>$G$39/$B$39*B36</f>
        <v>284</v>
      </c>
      <c r="H36" s="1902">
        <f>SUMIFS($H$3:$H$16,$B$3:$B$16,A36,$E$3:$E$16,"Дом 1")</f>
        <v>0</v>
      </c>
      <c r="I36" s="1904">
        <f t="shared" si="6"/>
        <v>0</v>
      </c>
      <c r="J36" s="1965">
        <f>COUNTIFS($F$3:$F$16,0,$B$3:$B$16,A36,$E$3:$E$16,"Дом 1")</f>
        <v>0</v>
      </c>
      <c r="K36" s="1965">
        <f>COUNTIFS($F$3:$F$16,1,$B$3:$B$16,A36,$E$3:$E$16,"Дом 1")</f>
        <v>0</v>
      </c>
      <c r="L36" s="1965">
        <f>COUNTIFS($F$3:$F$16,2,$B$3:$B$16,A36,$E$3:$E$16,"Дом 1")</f>
        <v>0</v>
      </c>
      <c r="M36" s="1965">
        <f>COUNTIFS($F$3:$F$16,3,$B$3:$B$16,A36,$E$3:$E$16,"Дом 1")</f>
        <v>0</v>
      </c>
      <c r="N36" s="1817"/>
      <c r="O36" s="1817"/>
      <c r="Q36" s="1817"/>
    </row>
    <row r="37" spans="1:17" customFormat="1">
      <c r="A37" s="1641" t="s">
        <v>63</v>
      </c>
      <c r="B37" s="1901">
        <v>4</v>
      </c>
      <c r="C37" s="1903">
        <f>COUNTIFS($B$2:$B$16,A37,$E$2:$E$16,"Дом 1")</f>
        <v>10</v>
      </c>
      <c r="D37" s="1935">
        <f>$D$39/$B$39*B37</f>
        <v>13377901.052631579</v>
      </c>
      <c r="E37" s="1900">
        <f>SUMIFS($I$3:$I$16,$B$3:$B$16,A37,$E$3:$E$16,"Дом 1")</f>
        <v>32759750.140000001</v>
      </c>
      <c r="F37" s="1964">
        <f t="shared" si="5"/>
        <v>2.4487959666554566</v>
      </c>
      <c r="G37" s="2022">
        <f>$G$39/$B$39*B37</f>
        <v>284</v>
      </c>
      <c r="H37" s="1902">
        <f>SUMIFS($H$3:$H$16,$B$3:$B$16,A37,$E$3:$E$16,"Дом 1")</f>
        <v>637.15</v>
      </c>
      <c r="I37" s="1904">
        <f t="shared" si="6"/>
        <v>2.2434859154929576</v>
      </c>
      <c r="J37" s="1965">
        <f>COUNTIFS($F$3:$F$16,0,$B$3:$B$16,A37,$E$3:$E$16,"Дом 1")</f>
        <v>1</v>
      </c>
      <c r="K37" s="1965">
        <f>COUNTIFS($F$3:$F$16,1,$B$3:$B$16,A37,$E$3:$E$16,"Дом 1")</f>
        <v>1</v>
      </c>
      <c r="L37" s="1965">
        <f>COUNTIFS($F$3:$F$16,2,$B$3:$B$16,A37,$E$3:$E$16,"Дом 1")</f>
        <v>7</v>
      </c>
      <c r="M37" s="1965">
        <f>COUNTIFS($F$3:$F$16,3,$B$3:$B$16,A37,$E$3:$E$16,"Дом 1")</f>
        <v>1</v>
      </c>
      <c r="N37" s="1817"/>
      <c r="O37" s="1817"/>
      <c r="Q37" s="1817"/>
    </row>
    <row r="38" spans="1:17" customFormat="1">
      <c r="A38" s="1922" t="s">
        <v>77</v>
      </c>
      <c r="B38" s="1906">
        <v>3</v>
      </c>
      <c r="C38" s="1903">
        <f>COUNTIFS($B$2:$B$16,A38,$E$2:$E$16,"Дом 1")</f>
        <v>1</v>
      </c>
      <c r="D38" s="1935">
        <f>$D$39/$B$39*B38</f>
        <v>10033425.789473685</v>
      </c>
      <c r="E38" s="1900">
        <f>SUMIFS($I$3:$I$16,$B$3:$B$16,A38,$E$3:$E$16,"Дом 1")</f>
        <v>3223601.65</v>
      </c>
      <c r="F38" s="1964">
        <f t="shared" si="5"/>
        <v>0.32128624037683723</v>
      </c>
      <c r="G38" s="2022">
        <f>$G$39/$B$39*B38</f>
        <v>213</v>
      </c>
      <c r="H38" s="1902">
        <f>SUMIFS($H$3:$H$16,$B$3:$B$16,A38,$E$3:$E$16,"Дом 1")</f>
        <v>64.150000000000006</v>
      </c>
      <c r="I38" s="1904">
        <f t="shared" si="6"/>
        <v>0.3011737089201878</v>
      </c>
      <c r="J38" s="1965">
        <f>COUNTIFS($F$3:$F$16,0,$B$3:$B$16,A38,$E$3:$E$16,"Дом 1")</f>
        <v>0</v>
      </c>
      <c r="K38" s="1965">
        <f>COUNTIFS($F$3:$F$16,1,$B$3:$B$16,A38,$E$3:$E$16,"Дом 1")</f>
        <v>0</v>
      </c>
      <c r="L38" s="1965">
        <f>COUNTIFS($F$3:$F$16,2,$B$3:$B$16,A38,$E$3:$E$16,"Дом 1")</f>
        <v>1</v>
      </c>
      <c r="M38" s="1965">
        <f>COUNTIFS($F$3:$F$16,3,$B$3:$B$16,A38,$E$3:$E$16,"Дом 1")</f>
        <v>0</v>
      </c>
      <c r="N38" s="1817"/>
      <c r="O38" s="1817"/>
      <c r="Q38" s="1817"/>
    </row>
    <row r="39" spans="1:17" customFormat="1">
      <c r="A39" s="1940" t="s">
        <v>114</v>
      </c>
      <c r="B39" s="1940">
        <f>SUM(B34:B38)</f>
        <v>19</v>
      </c>
      <c r="C39" s="1940">
        <f>SUM(C34:C38)</f>
        <v>14</v>
      </c>
      <c r="D39" s="1939">
        <v>63545030</v>
      </c>
      <c r="E39" s="2006">
        <f>SUM(E34:E38)</f>
        <v>45715776.240000002</v>
      </c>
      <c r="F39" s="1981">
        <f t="shared" si="5"/>
        <v>0.71942331666221582</v>
      </c>
      <c r="G39" s="2023">
        <v>1349</v>
      </c>
      <c r="H39" s="2007">
        <f>SUM(H34:H38)</f>
        <v>868.02</v>
      </c>
      <c r="I39" s="1942">
        <f t="shared" si="6"/>
        <v>0.64345441067457376</v>
      </c>
      <c r="J39" s="2013">
        <f>SUM(J34:J38)</f>
        <v>1</v>
      </c>
      <c r="K39" s="1982">
        <f>SUM(K34:K38)</f>
        <v>2</v>
      </c>
      <c r="L39" s="2013">
        <f>SUM(L34:L38)</f>
        <v>10</v>
      </c>
      <c r="M39" s="2013">
        <f>SUM(M34:M38)</f>
        <v>1</v>
      </c>
      <c r="N39" s="1817"/>
      <c r="O39" s="1817"/>
      <c r="Q39" s="1817"/>
    </row>
    <row r="40" spans="1:17" customFormat="1" ht="25.5">
      <c r="A40" s="1913" t="s">
        <v>115</v>
      </c>
      <c r="B40" s="1915" t="s">
        <v>95</v>
      </c>
      <c r="C40" s="1915" t="s">
        <v>96</v>
      </c>
      <c r="D40" s="1914" t="s">
        <v>97</v>
      </c>
      <c r="E40" s="1915" t="s">
        <v>98</v>
      </c>
      <c r="F40" s="1917" t="s">
        <v>99</v>
      </c>
      <c r="G40" s="1914" t="s">
        <v>100</v>
      </c>
      <c r="H40" s="1916" t="s">
        <v>101</v>
      </c>
      <c r="I40" s="1917" t="s">
        <v>102</v>
      </c>
      <c r="J40" s="1970" t="s">
        <v>103</v>
      </c>
      <c r="K40" s="1970" t="s">
        <v>104</v>
      </c>
      <c r="L40" s="1970" t="s">
        <v>105</v>
      </c>
      <c r="M40" s="1971" t="s">
        <v>106</v>
      </c>
      <c r="N40" s="1817"/>
      <c r="O40" s="1817"/>
      <c r="Q40" s="1817"/>
    </row>
    <row r="41" spans="1:17" customFormat="1">
      <c r="A41" s="1901"/>
      <c r="B41" s="1901"/>
      <c r="C41" s="1919"/>
      <c r="D41" s="1900"/>
      <c r="E41" s="1900"/>
      <c r="F41" s="1972" t="e">
        <f>E41/D41</f>
        <v>#DIV/0!</v>
      </c>
      <c r="G41" s="1903"/>
      <c r="H41" s="1903"/>
      <c r="I41" s="1920" t="e">
        <f>H41/G41</f>
        <v>#DIV/0!</v>
      </c>
      <c r="J41" s="1973"/>
      <c r="K41" s="1974"/>
      <c r="L41" s="1973"/>
      <c r="M41" s="1973"/>
      <c r="N41" s="1817"/>
      <c r="O41" s="1817"/>
      <c r="Q41" s="1817"/>
    </row>
    <row r="42" spans="1:17" customFormat="1">
      <c r="A42" s="1641" t="s">
        <v>16</v>
      </c>
      <c r="B42" s="1641">
        <v>17</v>
      </c>
      <c r="C42" s="745">
        <f>COUNTIFS($C$3:$C$16,A42,$E$3:$E$16,"Дом 1")</f>
        <v>13</v>
      </c>
      <c r="D42" s="1900">
        <f>D39/B39*B42</f>
        <v>56856079.473684214</v>
      </c>
      <c r="E42" s="1987">
        <f>SUMIFS($I$3:$I$16,$C$3:$C$16,A42,$E$3:$E$16,"Дом 1")</f>
        <v>42463550.360000007</v>
      </c>
      <c r="F42" s="1964">
        <f>E42/D42</f>
        <v>0.74686033143833319</v>
      </c>
      <c r="G42" s="1903">
        <f>G39/B39*B42</f>
        <v>1207</v>
      </c>
      <c r="H42" s="1903">
        <f>SUMIFS($H$3:$H$16,$C$3:$C$16,A42,$E$3:$E$16,"Дом 1")</f>
        <v>802.4799999999999</v>
      </c>
      <c r="I42" s="1920">
        <f>H42/G42</f>
        <v>0.66485501242750611</v>
      </c>
      <c r="J42" s="751">
        <f>COUNTIFS(F3:F16,0,C3:C16,A42,E3:E16,"Дом 1")</f>
        <v>1</v>
      </c>
      <c r="K42" s="1973">
        <f>COUNTIFS(F3:F16,1,C3:C16,A42,E3:E16,"Дом 1")</f>
        <v>2</v>
      </c>
      <c r="L42" s="751">
        <f>COUNTIFS(F3:F16,2,C3:C16,A42,E3:E16,"Дом 1")</f>
        <v>9</v>
      </c>
      <c r="M42" s="751">
        <f>COUNTIFS(F3:F16,3,C3:C16,A42,E3:E16,"Дом 1")</f>
        <v>1</v>
      </c>
      <c r="N42" s="1817"/>
      <c r="O42" s="1817"/>
      <c r="Q42" s="1817"/>
    </row>
    <row r="43" spans="1:17" customFormat="1">
      <c r="A43" s="1988" t="s">
        <v>114</v>
      </c>
      <c r="B43" s="1988">
        <f>SUM(B41:B42)</f>
        <v>17</v>
      </c>
      <c r="C43" s="1988">
        <f>SUM(C41:C42)</f>
        <v>13</v>
      </c>
      <c r="D43" s="1990">
        <f>SUM(D41:D42)</f>
        <v>56856079.473684214</v>
      </c>
      <c r="E43" s="1990">
        <f>SUM(E41:E42)</f>
        <v>42463550.360000007</v>
      </c>
      <c r="F43" s="1991">
        <f>E43/D43</f>
        <v>0.74686033143833319</v>
      </c>
      <c r="G43" s="1989">
        <f>SUM(G41:G42)</f>
        <v>1207</v>
      </c>
      <c r="H43" s="1989">
        <f>SUM(H41:H42)</f>
        <v>802.4799999999999</v>
      </c>
      <c r="I43" s="1991">
        <f>H43/G43</f>
        <v>0.66485501242750611</v>
      </c>
      <c r="J43" s="1995">
        <f>SUM(J41:J42)</f>
        <v>1</v>
      </c>
      <c r="K43" s="1995">
        <f>SUM(K41:K42)</f>
        <v>2</v>
      </c>
      <c r="L43" s="1995">
        <v>13</v>
      </c>
      <c r="M43" s="1995">
        <f>SUM(M41:M42)</f>
        <v>1</v>
      </c>
      <c r="N43" s="1817"/>
      <c r="O43" s="1817"/>
      <c r="Q43" s="1817"/>
    </row>
    <row r="44" spans="1:17" customFormat="1">
      <c r="A44" s="1643"/>
      <c r="B44" s="1643"/>
      <c r="C44" s="1643"/>
      <c r="D44" s="1932"/>
      <c r="E44" s="1932"/>
      <c r="F44" s="1933"/>
      <c r="G44" s="1931"/>
      <c r="H44" s="1931"/>
      <c r="I44" s="1933"/>
      <c r="J44" s="1833"/>
      <c r="K44" s="1833"/>
      <c r="L44" s="1833"/>
      <c r="M44" s="1833"/>
      <c r="N44" s="1817"/>
      <c r="O44" s="1817"/>
      <c r="Q44" s="1817"/>
    </row>
    <row r="45" spans="1:17" customFormat="1">
      <c r="A45" s="2275" t="s">
        <v>117</v>
      </c>
      <c r="B45" s="2276"/>
      <c r="C45" s="2276"/>
      <c r="D45" s="2276"/>
      <c r="E45" s="2276"/>
      <c r="F45" s="2276"/>
      <c r="G45" s="2276"/>
      <c r="H45" s="2276"/>
      <c r="I45" s="2276"/>
      <c r="J45" s="2276"/>
      <c r="K45" s="2276"/>
      <c r="L45" s="2276"/>
      <c r="M45" s="2277"/>
      <c r="N45" s="1817"/>
      <c r="O45" s="1817"/>
      <c r="Q45" s="1817"/>
    </row>
    <row r="46" spans="1:17" customFormat="1" ht="25.5">
      <c r="A46" s="1934" t="s">
        <v>1</v>
      </c>
      <c r="B46" s="1915" t="s">
        <v>95</v>
      </c>
      <c r="C46" s="1915" t="s">
        <v>96</v>
      </c>
      <c r="D46" s="1914" t="s">
        <v>97</v>
      </c>
      <c r="E46" s="1915" t="s">
        <v>98</v>
      </c>
      <c r="F46" s="1917" t="s">
        <v>99</v>
      </c>
      <c r="G46" s="1914" t="s">
        <v>100</v>
      </c>
      <c r="H46" s="1916" t="s">
        <v>101</v>
      </c>
      <c r="I46" s="1917" t="s">
        <v>102</v>
      </c>
      <c r="J46" s="1970" t="s">
        <v>103</v>
      </c>
      <c r="K46" s="1970" t="s">
        <v>104</v>
      </c>
      <c r="L46" s="1970" t="s">
        <v>105</v>
      </c>
      <c r="M46" s="1971" t="s">
        <v>106</v>
      </c>
      <c r="N46" s="1817"/>
      <c r="O46" s="1817"/>
      <c r="Q46" s="1817"/>
    </row>
    <row r="47" spans="1:17" customFormat="1">
      <c r="A47" s="1901" t="s">
        <v>109</v>
      </c>
      <c r="B47" s="1901"/>
      <c r="C47" s="1903">
        <f>COUNTIFS(B2:B16,"Виденева",E2:E16,"Дом 2")</f>
        <v>0</v>
      </c>
      <c r="D47" s="1900"/>
      <c r="E47" s="1900">
        <f>SUMIFS($I$3:$I$16,$B$3:$B$16,A47,$E$3:$E$16,"Дом 2")</f>
        <v>0</v>
      </c>
      <c r="F47" s="1972" t="e">
        <f t="shared" ref="F47:F52" si="7">E47/D47</f>
        <v>#DIV/0!</v>
      </c>
      <c r="G47" s="1903"/>
      <c r="H47" s="1902">
        <f>SUMIFS($H$3:$H$16,$B$3:$B$16,A34,$E$3:$E$16,"Дом 2")</f>
        <v>0</v>
      </c>
      <c r="I47" s="1920" t="e">
        <f t="shared" ref="I47:I52" si="8">H47/G47</f>
        <v>#DIV/0!</v>
      </c>
      <c r="J47" s="1965">
        <f>COUNTIFS($F$3:$F$16,0,$B$3:$B$16,A47,$E$3:$E$16,"Дом 2")</f>
        <v>0</v>
      </c>
      <c r="K47" s="1965">
        <f>COUNTIFS($F$3:$F$16,1,$B$3:$B$16,A47,$E$3:$E$16,"Дом 2")</f>
        <v>0</v>
      </c>
      <c r="L47" s="1965">
        <f>COUNTIFS($F$3:$F$16,2,$B$3:$B$16,A47,$E$3:$E$16,"Дом 2")</f>
        <v>0</v>
      </c>
      <c r="M47" s="1965">
        <f>COUNTIFS($F$3:$F$16,3,$B$3:$B$16,A47,$E$3:$E$16,"Дом 2")</f>
        <v>0</v>
      </c>
      <c r="N47" s="1817"/>
      <c r="O47" s="1817"/>
      <c r="Q47" s="1817"/>
    </row>
    <row r="48" spans="1:17" customFormat="1">
      <c r="A48" s="1641" t="s">
        <v>73</v>
      </c>
      <c r="B48" s="1901"/>
      <c r="C48" s="1790">
        <f>COUNTIFS(B2:B16,"Гайганова",E2:E16,"Дом 2")</f>
        <v>0</v>
      </c>
      <c r="D48" s="1900"/>
      <c r="E48" s="1900">
        <f>SUMIFS($I$3:$I$16,$B$3:$B$16,A48,$E$3:$E$16,"Дом 2")</f>
        <v>0</v>
      </c>
      <c r="F48" s="1964" t="e">
        <f t="shared" si="7"/>
        <v>#DIV/0!</v>
      </c>
      <c r="G48" s="1903"/>
      <c r="H48" s="1902">
        <f>SUMIFS($H$3:$H$16,$B$3:$B$16,A35,$E$3:$E$16,"Дом 2")</f>
        <v>0</v>
      </c>
      <c r="I48" s="1904" t="e">
        <f t="shared" si="8"/>
        <v>#DIV/0!</v>
      </c>
      <c r="J48" s="1965">
        <f>COUNTIFS($F$3:$F$16,0,$B$3:$B$16,A48,$E$3:$E$16,"Дом 2")</f>
        <v>0</v>
      </c>
      <c r="K48" s="1965">
        <f>COUNTIFS($F$3:$F$16,1,$B$3:$B$16,A48,$E$3:$E$16,"Дом 2")</f>
        <v>0</v>
      </c>
      <c r="L48" s="1965">
        <f>COUNTIFS($F$3:$F$16,2,$B$3:$B$16,A48,$E$3:$E$16,"Дом 2")</f>
        <v>0</v>
      </c>
      <c r="M48" s="1965">
        <f>COUNTIFS($F$3:$F$16,3,$B$3:$B$16,A48,$E$3:$E$16,"Дом 2")</f>
        <v>0</v>
      </c>
      <c r="N48" s="1817"/>
      <c r="O48" s="1817"/>
      <c r="Q48" s="1817"/>
    </row>
    <row r="49" spans="1:17" customFormat="1">
      <c r="A49" s="1641" t="s">
        <v>20</v>
      </c>
      <c r="B49" s="1901"/>
      <c r="C49" s="1790">
        <f>COUNTIFS(B2:B16,"Никишов",E2:E16,"Дом 2")</f>
        <v>0</v>
      </c>
      <c r="D49" s="1900"/>
      <c r="E49" s="1900">
        <f>SUMIFS($I$3:$I$16,$B$3:$B$16,A49,$E$3:$E$16,"Дом 2")</f>
        <v>0</v>
      </c>
      <c r="F49" s="1964" t="e">
        <f t="shared" si="7"/>
        <v>#DIV/0!</v>
      </c>
      <c r="G49" s="1903"/>
      <c r="H49" s="1902">
        <f>SUMIFS($H$3:$H$16,$B$3:$B$16,A36,$E$3:$E$16,"Дом 2")</f>
        <v>0</v>
      </c>
      <c r="I49" s="1904" t="e">
        <f t="shared" si="8"/>
        <v>#DIV/0!</v>
      </c>
      <c r="J49" s="1965">
        <f>COUNTIFS($F$3:$F$16,0,$B$3:$B$16,A49,$E$3:$E$16,"Дом 2")</f>
        <v>0</v>
      </c>
      <c r="K49" s="1965">
        <f>COUNTIFS($F$3:$F$16,1,$B$3:$B$16,A49,$E$3:$E$16,"Дом 2")</f>
        <v>0</v>
      </c>
      <c r="L49" s="1965">
        <f>COUNTIFS($F$3:$F$16,2,$B$3:$B$16,A49,$E$3:$E$16,"Дом 2")</f>
        <v>0</v>
      </c>
      <c r="M49" s="1965">
        <f>COUNTIFS($F$3:$F$16,3,$B$3:$B$16,A49,$E$3:$E$16,"Дом 2")</f>
        <v>0</v>
      </c>
      <c r="N49" s="1817"/>
      <c r="O49" s="1817"/>
      <c r="Q49" s="1817"/>
    </row>
    <row r="50" spans="1:17" customFormat="1">
      <c r="A50" s="1641" t="s">
        <v>63</v>
      </c>
      <c r="B50" s="1901"/>
      <c r="C50" s="1790">
        <f>COUNTIFS(B2:B16,"Окунев",E2:E16,"Дом 2")</f>
        <v>0</v>
      </c>
      <c r="D50" s="1900"/>
      <c r="E50" s="1900">
        <f>SUMIFS($I$3:$I$16,$B$3:$B$16,A50,$E$3:$E$16,"Дом 2")</f>
        <v>0</v>
      </c>
      <c r="F50" s="1964" t="e">
        <f t="shared" si="7"/>
        <v>#DIV/0!</v>
      </c>
      <c r="G50" s="1903"/>
      <c r="H50" s="1902">
        <f>SUMIFS($H$3:$H$16,$B$3:$B$16,A37,$E$3:$E$16,"Дом 2")</f>
        <v>0</v>
      </c>
      <c r="I50" s="1904" t="e">
        <f t="shared" si="8"/>
        <v>#DIV/0!</v>
      </c>
      <c r="J50" s="1965">
        <f>COUNTIFS($F$3:$F$16,0,$B$3:$B$16,A50,$E$3:$E$16,"Дом 2")</f>
        <v>0</v>
      </c>
      <c r="K50" s="1965">
        <f>COUNTIFS($F$3:$F$16,1,$B$3:$B$16,A50,$E$3:$E$16,"Дом 2")</f>
        <v>0</v>
      </c>
      <c r="L50" s="1965">
        <f>COUNTIFS($F$3:$F$16,2,$B$3:$B$16,A50,$E$3:$E$16,"Дом 2")</f>
        <v>0</v>
      </c>
      <c r="M50" s="1965">
        <f>COUNTIFS($F$3:$F$16,3,$B$3:$B$16,A50,$E$3:$E$16,"Дом 2")</f>
        <v>0</v>
      </c>
      <c r="N50" s="1817"/>
      <c r="O50" s="1817"/>
      <c r="Q50" s="1817"/>
    </row>
    <row r="51" spans="1:17" customFormat="1">
      <c r="A51" s="1922" t="s">
        <v>77</v>
      </c>
      <c r="B51" s="1906"/>
      <c r="C51" s="1899">
        <f>COUNTIFS(B2:B16,"Калачева",E2:E16,"Дом 2")</f>
        <v>0</v>
      </c>
      <c r="D51" s="2024"/>
      <c r="E51" s="1900">
        <f>SUMIFS($I$3:$I$16,$B$3:$B$16,A51,$E$3:$E$16,"Дом 2")</f>
        <v>0</v>
      </c>
      <c r="F51" s="1964" t="e">
        <f t="shared" si="7"/>
        <v>#DIV/0!</v>
      </c>
      <c r="G51" s="1899"/>
      <c r="H51" s="1902">
        <f>SUMIFS($H$3:$H$16,$B$3:$B$16,A38,$E$3:$E$16,"Дом 2")</f>
        <v>0</v>
      </c>
      <c r="I51" s="1904" t="e">
        <f t="shared" si="8"/>
        <v>#DIV/0!</v>
      </c>
      <c r="J51" s="1965">
        <f>COUNTIFS($F$3:$F$16,0,$B$3:$B$16,A51,$E$3:$E$16,"Дом 2")</f>
        <v>0</v>
      </c>
      <c r="K51" s="1965">
        <f>COUNTIFS($F$3:$F$16,1,$B$3:$B$16,A51,$E$3:$E$16,"Дом 2")</f>
        <v>0</v>
      </c>
      <c r="L51" s="1965">
        <f>COUNTIFS($F$3:$F$16,2,$B$3:$B$16,A51,$E$3:$E$16,"Дом 2")</f>
        <v>0</v>
      </c>
      <c r="M51" s="1965">
        <f>COUNTIFS($F$3:$F$16,3,$B$3:$B$16,A51,$E$3:$E$16,"Дом 2")</f>
        <v>0</v>
      </c>
      <c r="N51" s="1817"/>
      <c r="O51" s="1817"/>
      <c r="Q51" s="1817"/>
    </row>
    <row r="52" spans="1:17" customFormat="1">
      <c r="A52" s="1940" t="s">
        <v>114</v>
      </c>
      <c r="B52" s="1940"/>
      <c r="C52" s="1938">
        <f>SUM(C47:C51)+1</f>
        <v>1</v>
      </c>
      <c r="D52" s="2006">
        <f>SUM(D47:D51)</f>
        <v>0</v>
      </c>
      <c r="E52" s="2006">
        <f>SUM(E47:E51)</f>
        <v>0</v>
      </c>
      <c r="F52" s="1981" t="e">
        <f t="shared" si="7"/>
        <v>#DIV/0!</v>
      </c>
      <c r="G52" s="1938"/>
      <c r="H52" s="2007">
        <f>SUM(H47:H51)</f>
        <v>0</v>
      </c>
      <c r="I52" s="1942" t="e">
        <f t="shared" si="8"/>
        <v>#DIV/0!</v>
      </c>
      <c r="J52" s="2013">
        <f>SUM(J47:J51)</f>
        <v>0</v>
      </c>
      <c r="K52" s="1982">
        <f>SUM(K47:K51)</f>
        <v>0</v>
      </c>
      <c r="L52" s="2013">
        <f>SUM(L47:L51)</f>
        <v>0</v>
      </c>
      <c r="M52" s="2013">
        <f>SUM(M47:M51)</f>
        <v>0</v>
      </c>
      <c r="N52" s="1817"/>
      <c r="O52" s="1817"/>
      <c r="Q52" s="1817"/>
    </row>
    <row r="53" spans="1:17" customFormat="1" ht="25.5">
      <c r="A53" s="1913" t="s">
        <v>115</v>
      </c>
      <c r="B53" s="1915" t="s">
        <v>95</v>
      </c>
      <c r="C53" s="1915" t="s">
        <v>96</v>
      </c>
      <c r="D53" s="1914" t="s">
        <v>97</v>
      </c>
      <c r="E53" s="1915" t="s">
        <v>98</v>
      </c>
      <c r="F53" s="1917" t="s">
        <v>99</v>
      </c>
      <c r="G53" s="1914" t="s">
        <v>100</v>
      </c>
      <c r="H53" s="1916" t="s">
        <v>101</v>
      </c>
      <c r="I53" s="1917" t="s">
        <v>102</v>
      </c>
      <c r="J53" s="1970" t="s">
        <v>103</v>
      </c>
      <c r="K53" s="1970" t="s">
        <v>104</v>
      </c>
      <c r="L53" s="1970" t="s">
        <v>105</v>
      </c>
      <c r="M53" s="1971" t="s">
        <v>106</v>
      </c>
      <c r="N53" s="1817"/>
      <c r="O53" s="1817"/>
      <c r="Q53" s="1817"/>
    </row>
    <row r="54" spans="1:17" customFormat="1">
      <c r="A54" s="1901"/>
      <c r="B54" s="1901"/>
      <c r="C54" s="1919"/>
      <c r="D54" s="1900"/>
      <c r="E54" s="1900"/>
      <c r="F54" s="1972" t="e">
        <f>E54/D54</f>
        <v>#DIV/0!</v>
      </c>
      <c r="G54" s="1903"/>
      <c r="H54" s="1903"/>
      <c r="I54" s="1920" t="e">
        <f>H54/G54</f>
        <v>#DIV/0!</v>
      </c>
      <c r="J54" s="1973"/>
      <c r="K54" s="1974"/>
      <c r="L54" s="1973"/>
      <c r="M54" s="1973"/>
      <c r="N54" s="1817"/>
      <c r="O54" s="1817"/>
      <c r="Q54" s="1817"/>
    </row>
    <row r="55" spans="1:17" customFormat="1">
      <c r="A55" s="1641" t="s">
        <v>16</v>
      </c>
      <c r="B55" s="1641"/>
      <c r="C55" s="745">
        <f>COUNTIFS($C$3:$C$16,A42,$E$3:$E$16,"Дом 2")</f>
        <v>0</v>
      </c>
      <c r="D55" s="1900">
        <v>108966834</v>
      </c>
      <c r="E55" s="1987">
        <f>SUMIFS($I$3:$I$16,$C$3:$C$16,A42,$E$3:$E$16,"Дом 2")</f>
        <v>0</v>
      </c>
      <c r="F55" s="1964">
        <f>E55/D55</f>
        <v>0</v>
      </c>
      <c r="G55" s="1903"/>
      <c r="H55" s="1903">
        <f>SUMIFS($H$3:$H$16,$C$3:$C$16,A42,$E$3:$E$16,"Дом 2")</f>
        <v>0</v>
      </c>
      <c r="I55" s="1920" t="e">
        <f>H55/G55</f>
        <v>#DIV/0!</v>
      </c>
      <c r="J55" s="751">
        <f>COUNTIFS(F3:F16,0,C3:C16,A55,E3:E16,"Дом 2")</f>
        <v>0</v>
      </c>
      <c r="K55" s="1973">
        <f>COUNTIFS(F3:F16,1,C3:C16,A55,E3:E16,"Дом 2")</f>
        <v>0</v>
      </c>
      <c r="L55" s="751">
        <f>COUNTIFS(F3:F16,2,C3:C16,A55,E3:E16,"Дом 2")</f>
        <v>0</v>
      </c>
      <c r="M55" s="751">
        <f>COUNTIFS(F3:F16,3,C3:C16,A55,E3:E16,"Дом 2")</f>
        <v>0</v>
      </c>
      <c r="N55" s="1817"/>
      <c r="O55" s="1817"/>
      <c r="Q55" s="1817"/>
    </row>
    <row r="56" spans="1:17" customFormat="1">
      <c r="A56" s="1988" t="s">
        <v>114</v>
      </c>
      <c r="B56" s="1988">
        <f>SUM(B54:B55)</f>
        <v>0</v>
      </c>
      <c r="C56" s="1988">
        <f>SUM(C54:C55)</f>
        <v>0</v>
      </c>
      <c r="D56" s="1990">
        <f>SUM(D54:D55)</f>
        <v>108966834</v>
      </c>
      <c r="E56" s="1990">
        <f>SUM(E54:E55)</f>
        <v>0</v>
      </c>
      <c r="F56" s="1991">
        <f>E56/D56</f>
        <v>0</v>
      </c>
      <c r="G56" s="1989">
        <f>SUM(G54:G55)</f>
        <v>0</v>
      </c>
      <c r="H56" s="1989">
        <f>SUM(H54:H55)</f>
        <v>0</v>
      </c>
      <c r="I56" s="1991" t="e">
        <f>H56/G56</f>
        <v>#DIV/0!</v>
      </c>
      <c r="J56" s="1995">
        <f>SUM(J54:J55)</f>
        <v>0</v>
      </c>
      <c r="K56" s="1995">
        <f>SUM(K54:K55)</f>
        <v>0</v>
      </c>
      <c r="L56" s="1995">
        <v>13</v>
      </c>
      <c r="M56" s="1995">
        <f>SUM(M54:M55)</f>
        <v>0</v>
      </c>
      <c r="N56" s="1817"/>
      <c r="O56" s="1817"/>
      <c r="Q56" s="1817"/>
    </row>
    <row r="57" spans="1:17" customFormat="1">
      <c r="N57" s="1817"/>
      <c r="O57" s="1817"/>
      <c r="Q57" s="1817"/>
    </row>
  </sheetData>
  <mergeCells count="14">
    <mergeCell ref="N2:O2"/>
    <mergeCell ref="N3:O3"/>
    <mergeCell ref="N4:O4"/>
    <mergeCell ref="N5:O5"/>
    <mergeCell ref="N6:O6"/>
    <mergeCell ref="N13:O13"/>
    <mergeCell ref="A19:M19"/>
    <mergeCell ref="A32:M32"/>
    <mergeCell ref="A45:M45"/>
    <mergeCell ref="N7:O7"/>
    <mergeCell ref="N8:O8"/>
    <mergeCell ref="N9:O9"/>
    <mergeCell ref="N10:O10"/>
    <mergeCell ref="N12:O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>
    <pageSetUpPr fitToPage="1"/>
  </sheetPr>
  <dimension ref="A1:T137"/>
  <sheetViews>
    <sheetView topLeftCell="A110" zoomScale="80" zoomScaleNormal="80" workbookViewId="0">
      <selection activeCell="B22" sqref="B22"/>
    </sheetView>
  </sheetViews>
  <sheetFormatPr defaultColWidth="9.140625" defaultRowHeight="15"/>
  <cols>
    <col min="1" max="1" width="25.85546875" style="1652" customWidth="1"/>
    <col min="2" max="2" width="11" style="1652" customWidth="1"/>
    <col min="3" max="3" width="20" style="1652" customWidth="1"/>
    <col min="4" max="4" width="18.5703125" style="1652" customWidth="1"/>
    <col min="5" max="5" width="14.5703125" style="1652" hidden="1" customWidth="1"/>
    <col min="6" max="6" width="19.5703125" style="1652" hidden="1" customWidth="1"/>
    <col min="7" max="7" width="15.85546875" style="1652" hidden="1" customWidth="1"/>
    <col min="8" max="8" width="18.42578125" style="1652" hidden="1" customWidth="1"/>
    <col min="9" max="9" width="13" style="1652" hidden="1" customWidth="1"/>
    <col min="10" max="10" width="11.42578125" style="1652" hidden="1" customWidth="1"/>
    <col min="11" max="11" width="10.5703125" style="1652" hidden="1" customWidth="1"/>
    <col min="12" max="12" width="11.7109375" style="1652" hidden="1" customWidth="1"/>
    <col min="13" max="13" width="10.5703125" style="1652" hidden="1" customWidth="1"/>
    <col min="14" max="14" width="37.42578125" style="1652" hidden="1" customWidth="1"/>
    <col min="15" max="15" width="21.42578125" style="1659" customWidth="1"/>
    <col min="16" max="16" width="42.85546875" style="1652" customWidth="1"/>
    <col min="17" max="17" width="32.140625" style="1652" customWidth="1"/>
    <col min="18" max="18" width="21" style="1652" hidden="1" customWidth="1"/>
    <col min="19" max="19" width="2.7109375" style="1652" hidden="1" customWidth="1"/>
    <col min="20" max="20" width="9.140625" style="1652" hidden="1" customWidth="1"/>
    <col min="21" max="16384" width="9.140625" style="1652"/>
  </cols>
  <sheetData>
    <row r="1" spans="1:19" hidden="1">
      <c r="A1" s="1880" t="s">
        <v>118</v>
      </c>
      <c r="B1" s="1881"/>
      <c r="C1" s="1881"/>
      <c r="D1" s="1881"/>
      <c r="E1" s="1881"/>
      <c r="F1" s="1881"/>
      <c r="G1" s="1881"/>
      <c r="H1" s="1881"/>
      <c r="I1" s="1881"/>
      <c r="J1" s="1949"/>
      <c r="K1" s="1950"/>
      <c r="L1" s="1951" t="s">
        <v>119</v>
      </c>
      <c r="M1" s="1881">
        <v>2021</v>
      </c>
      <c r="N1" s="1881"/>
      <c r="O1" s="1881"/>
      <c r="P1" s="1881"/>
      <c r="Q1" s="1882"/>
    </row>
    <row r="2" spans="1:19" ht="27" hidden="1" customHeight="1">
      <c r="A2" s="1882" t="s">
        <v>48</v>
      </c>
      <c r="B2" s="1882" t="s">
        <v>52</v>
      </c>
      <c r="C2" s="1882" t="s">
        <v>49</v>
      </c>
      <c r="D2" s="1882" t="s">
        <v>1</v>
      </c>
      <c r="E2" s="1882" t="s">
        <v>53</v>
      </c>
      <c r="F2" s="1882" t="s">
        <v>120</v>
      </c>
      <c r="G2" s="1882" t="s">
        <v>3</v>
      </c>
      <c r="H2" s="1883" t="s">
        <v>54</v>
      </c>
      <c r="I2" s="1882" t="s">
        <v>51</v>
      </c>
      <c r="J2" s="1952" t="s">
        <v>55</v>
      </c>
      <c r="K2" s="1882" t="s">
        <v>56</v>
      </c>
      <c r="L2" s="1882" t="s">
        <v>57</v>
      </c>
      <c r="M2" s="1882" t="s">
        <v>58</v>
      </c>
      <c r="N2" s="1953" t="s">
        <v>59</v>
      </c>
      <c r="O2" s="1882" t="s">
        <v>60</v>
      </c>
      <c r="P2" s="1882" t="s">
        <v>61</v>
      </c>
      <c r="Q2" s="1882" t="s">
        <v>62</v>
      </c>
      <c r="R2" s="1739"/>
    </row>
    <row r="3" spans="1:19" hidden="1">
      <c r="A3" s="1676">
        <v>1</v>
      </c>
      <c r="B3" s="1670">
        <v>155</v>
      </c>
      <c r="C3" s="1670">
        <v>9811</v>
      </c>
      <c r="D3" s="1670" t="s">
        <v>63</v>
      </c>
      <c r="E3" s="1670">
        <v>59.52</v>
      </c>
      <c r="F3" s="1670" t="s">
        <v>121</v>
      </c>
      <c r="G3" s="1670" t="s">
        <v>16</v>
      </c>
      <c r="H3" s="1837">
        <v>3170688.96</v>
      </c>
      <c r="I3" s="1670">
        <v>2</v>
      </c>
      <c r="J3" s="1999" t="s">
        <v>65</v>
      </c>
      <c r="K3" s="1670" t="s">
        <v>12</v>
      </c>
      <c r="L3" s="1710">
        <v>44309</v>
      </c>
      <c r="M3" s="1710" t="s">
        <v>17</v>
      </c>
      <c r="N3" s="1714" t="s">
        <v>122</v>
      </c>
      <c r="O3" s="2000" t="s">
        <v>71</v>
      </c>
      <c r="P3" s="1715" t="s">
        <v>123</v>
      </c>
      <c r="Q3" s="1670" t="s">
        <v>72</v>
      </c>
      <c r="R3" s="2002" t="s">
        <v>124</v>
      </c>
    </row>
    <row r="4" spans="1:19" hidden="1">
      <c r="A4" s="1676">
        <v>2</v>
      </c>
      <c r="B4" s="1670">
        <v>162</v>
      </c>
      <c r="C4" s="1670" t="s">
        <v>125</v>
      </c>
      <c r="D4" s="1670" t="s">
        <v>73</v>
      </c>
      <c r="E4" s="1670">
        <v>38.83</v>
      </c>
      <c r="F4" s="1670" t="s">
        <v>121</v>
      </c>
      <c r="G4" s="1670" t="s">
        <v>16</v>
      </c>
      <c r="H4" s="1837">
        <v>1921580.21</v>
      </c>
      <c r="I4" s="1670">
        <v>1</v>
      </c>
      <c r="J4" s="1670" t="s">
        <v>65</v>
      </c>
      <c r="K4" s="1670" t="s">
        <v>18</v>
      </c>
      <c r="L4" s="1710">
        <v>44294</v>
      </c>
      <c r="M4" s="1710" t="s">
        <v>17</v>
      </c>
      <c r="N4" s="1714" t="s">
        <v>126</v>
      </c>
      <c r="O4" s="2000" t="s">
        <v>71</v>
      </c>
      <c r="P4" s="2001" t="s">
        <v>127</v>
      </c>
      <c r="Q4" s="1670" t="s">
        <v>88</v>
      </c>
      <c r="R4" s="1670"/>
    </row>
    <row r="5" spans="1:19" hidden="1">
      <c r="A5" s="1676">
        <v>3</v>
      </c>
      <c r="B5" s="1670">
        <v>33</v>
      </c>
      <c r="C5" s="1670">
        <v>3176</v>
      </c>
      <c r="D5" s="1670" t="s">
        <v>63</v>
      </c>
      <c r="E5" s="1673">
        <v>68.7</v>
      </c>
      <c r="F5" s="1670" t="s">
        <v>74</v>
      </c>
      <c r="G5" s="1670" t="s">
        <v>16</v>
      </c>
      <c r="H5" s="1837">
        <v>3359857.16</v>
      </c>
      <c r="I5" s="1670">
        <v>2</v>
      </c>
      <c r="J5" s="1999" t="s">
        <v>65</v>
      </c>
      <c r="K5" s="1670" t="s">
        <v>12</v>
      </c>
      <c r="L5" s="1710">
        <v>44294</v>
      </c>
      <c r="M5" s="1710" t="s">
        <v>11</v>
      </c>
      <c r="N5" s="1714" t="s">
        <v>128</v>
      </c>
      <c r="O5" s="2000" t="s">
        <v>71</v>
      </c>
      <c r="P5" s="1670" t="s">
        <v>129</v>
      </c>
      <c r="Q5" s="1670" t="s">
        <v>72</v>
      </c>
      <c r="R5" s="1670"/>
    </row>
    <row r="6" spans="1:19" hidden="1">
      <c r="A6" s="1676">
        <v>4</v>
      </c>
      <c r="B6" s="1670">
        <v>289</v>
      </c>
      <c r="C6" s="1670">
        <v>10668</v>
      </c>
      <c r="D6" s="1670" t="s">
        <v>77</v>
      </c>
      <c r="E6" s="1670">
        <v>24.23</v>
      </c>
      <c r="F6" s="1670" t="s">
        <v>121</v>
      </c>
      <c r="G6" s="1670" t="s">
        <v>84</v>
      </c>
      <c r="H6" s="1837">
        <v>1438607</v>
      </c>
      <c r="I6" s="1670">
        <v>0</v>
      </c>
      <c r="J6" s="1670" t="s">
        <v>130</v>
      </c>
      <c r="K6" s="1670" t="s">
        <v>18</v>
      </c>
      <c r="L6" s="1851">
        <v>44293</v>
      </c>
      <c r="M6" s="1710" t="s">
        <v>11</v>
      </c>
      <c r="N6" s="1714" t="s">
        <v>131</v>
      </c>
      <c r="O6" s="1670" t="s">
        <v>67</v>
      </c>
      <c r="P6" s="1670"/>
      <c r="Q6" s="1670" t="s">
        <v>79</v>
      </c>
      <c r="R6" s="1670" t="s">
        <v>132</v>
      </c>
    </row>
    <row r="7" spans="1:19" hidden="1">
      <c r="A7" s="1676">
        <v>5</v>
      </c>
      <c r="B7" s="1670">
        <v>1</v>
      </c>
      <c r="C7" s="1670">
        <v>10703</v>
      </c>
      <c r="D7" s="1670" t="s">
        <v>77</v>
      </c>
      <c r="E7" s="1670">
        <v>32.770000000000003</v>
      </c>
      <c r="F7" s="1670" t="s">
        <v>74</v>
      </c>
      <c r="G7" s="1670" t="s">
        <v>16</v>
      </c>
      <c r="H7" s="1837">
        <v>2069851.51</v>
      </c>
      <c r="I7" s="1670">
        <v>0</v>
      </c>
      <c r="J7" s="1999" t="s">
        <v>65</v>
      </c>
      <c r="K7" s="1670" t="s">
        <v>18</v>
      </c>
      <c r="L7" s="1851">
        <v>44294</v>
      </c>
      <c r="M7" s="1710" t="s">
        <v>17</v>
      </c>
      <c r="N7" s="1714" t="s">
        <v>133</v>
      </c>
      <c r="O7" s="2000" t="s">
        <v>71</v>
      </c>
      <c r="P7" s="1670"/>
      <c r="Q7" s="1670" t="s">
        <v>79</v>
      </c>
      <c r="R7" s="1670" t="s">
        <v>134</v>
      </c>
    </row>
    <row r="8" spans="1:19" hidden="1">
      <c r="A8" s="1676">
        <v>6</v>
      </c>
      <c r="B8" s="1670">
        <v>281</v>
      </c>
      <c r="C8" s="1670">
        <v>8671</v>
      </c>
      <c r="D8" s="1670" t="s">
        <v>63</v>
      </c>
      <c r="E8" s="1670">
        <v>78.03</v>
      </c>
      <c r="F8" s="1670" t="s">
        <v>74</v>
      </c>
      <c r="G8" s="1670" t="s">
        <v>16</v>
      </c>
      <c r="H8" s="1837">
        <v>3300000</v>
      </c>
      <c r="I8" s="1670">
        <v>3</v>
      </c>
      <c r="J8" s="1999" t="s">
        <v>65</v>
      </c>
      <c r="K8" s="1670" t="s">
        <v>18</v>
      </c>
      <c r="L8" s="1710">
        <v>44298</v>
      </c>
      <c r="M8" s="1710" t="s">
        <v>17</v>
      </c>
      <c r="N8" s="1714" t="s">
        <v>135</v>
      </c>
      <c r="O8" s="2000" t="s">
        <v>71</v>
      </c>
      <c r="P8" s="1670" t="s">
        <v>136</v>
      </c>
      <c r="Q8" s="1670" t="s">
        <v>72</v>
      </c>
      <c r="R8" s="1670"/>
    </row>
    <row r="9" spans="1:19" hidden="1">
      <c r="A9" s="1676">
        <v>7</v>
      </c>
      <c r="B9" s="1670">
        <v>147</v>
      </c>
      <c r="C9" s="1670">
        <v>9562</v>
      </c>
      <c r="D9" s="1670" t="s">
        <v>73</v>
      </c>
      <c r="E9" s="1670">
        <v>58.17</v>
      </c>
      <c r="F9" s="1670" t="s">
        <v>121</v>
      </c>
      <c r="G9" s="1670" t="s">
        <v>16</v>
      </c>
      <c r="H9" s="1837">
        <v>3113432.91</v>
      </c>
      <c r="I9" s="1670">
        <v>2</v>
      </c>
      <c r="J9" s="1670" t="s">
        <v>65</v>
      </c>
      <c r="K9" s="1670" t="s">
        <v>12</v>
      </c>
      <c r="L9" s="1851">
        <v>44306</v>
      </c>
      <c r="M9" s="1710" t="s">
        <v>17</v>
      </c>
      <c r="N9" s="1714" t="s">
        <v>137</v>
      </c>
      <c r="O9" s="2000" t="s">
        <v>71</v>
      </c>
      <c r="P9" s="1715"/>
      <c r="Q9" s="1670" t="s">
        <v>88</v>
      </c>
      <c r="R9" s="1670"/>
    </row>
    <row r="10" spans="1:19" ht="18" hidden="1" customHeight="1">
      <c r="A10" s="1676">
        <v>8</v>
      </c>
      <c r="B10" s="1670">
        <v>307</v>
      </c>
      <c r="C10" s="1668">
        <v>9849</v>
      </c>
      <c r="D10" s="1668" t="s">
        <v>77</v>
      </c>
      <c r="E10" s="1673">
        <v>86.58</v>
      </c>
      <c r="F10" s="1670" t="s">
        <v>121</v>
      </c>
      <c r="G10" s="1668" t="s">
        <v>16</v>
      </c>
      <c r="H10" s="1837">
        <v>4180060.74</v>
      </c>
      <c r="I10" s="1670">
        <v>3</v>
      </c>
      <c r="J10" s="1670" t="s">
        <v>65</v>
      </c>
      <c r="K10" s="1670" t="s">
        <v>12</v>
      </c>
      <c r="L10" s="1710">
        <v>44294</v>
      </c>
      <c r="M10" s="1710" t="s">
        <v>17</v>
      </c>
      <c r="N10" s="1714" t="s">
        <v>138</v>
      </c>
      <c r="O10" s="2000" t="s">
        <v>71</v>
      </c>
      <c r="P10" s="1670"/>
      <c r="Q10" s="1670" t="s">
        <v>79</v>
      </c>
      <c r="R10" s="1670" t="s">
        <v>134</v>
      </c>
    </row>
    <row r="11" spans="1:19" ht="18" hidden="1" customHeight="1">
      <c r="A11" s="1676">
        <v>9</v>
      </c>
      <c r="B11" s="1670">
        <v>294</v>
      </c>
      <c r="C11" s="1670">
        <v>10052</v>
      </c>
      <c r="D11" s="1670" t="s">
        <v>77</v>
      </c>
      <c r="E11" s="1673">
        <v>38.83</v>
      </c>
      <c r="F11" s="1670" t="s">
        <v>121</v>
      </c>
      <c r="G11" s="1670" t="s">
        <v>16</v>
      </c>
      <c r="H11" s="1837">
        <v>2568631.71</v>
      </c>
      <c r="I11" s="1670">
        <v>1</v>
      </c>
      <c r="J11" s="1670" t="s">
        <v>65</v>
      </c>
      <c r="K11" s="1670" t="s">
        <v>12</v>
      </c>
      <c r="L11" s="1710">
        <v>44295</v>
      </c>
      <c r="M11" s="1710" t="s">
        <v>17</v>
      </c>
      <c r="N11" s="1714" t="s">
        <v>139</v>
      </c>
      <c r="O11" s="2000" t="s">
        <v>71</v>
      </c>
      <c r="P11" s="1670"/>
      <c r="Q11" s="1670" t="s">
        <v>79</v>
      </c>
      <c r="R11" s="1670" t="s">
        <v>134</v>
      </c>
    </row>
    <row r="12" spans="1:19" hidden="1">
      <c r="A12" s="1676">
        <v>10</v>
      </c>
      <c r="B12" s="1670">
        <v>248</v>
      </c>
      <c r="C12" s="1670">
        <v>10158</v>
      </c>
      <c r="D12" s="1670" t="s">
        <v>77</v>
      </c>
      <c r="E12" s="1673">
        <v>25.91</v>
      </c>
      <c r="F12" s="1670" t="s">
        <v>121</v>
      </c>
      <c r="G12" s="1670" t="s">
        <v>84</v>
      </c>
      <c r="H12" s="1837">
        <v>1263112.5</v>
      </c>
      <c r="I12" s="1670">
        <v>0</v>
      </c>
      <c r="J12" s="1670" t="s">
        <v>130</v>
      </c>
      <c r="K12" s="1670" t="s">
        <v>18</v>
      </c>
      <c r="L12" s="1710">
        <v>44295</v>
      </c>
      <c r="M12" s="1710" t="s">
        <v>11</v>
      </c>
      <c r="N12" s="1807" t="s">
        <v>140</v>
      </c>
      <c r="O12" s="1670" t="s">
        <v>67</v>
      </c>
      <c r="P12" s="1670"/>
      <c r="Q12" s="1670" t="s">
        <v>79</v>
      </c>
      <c r="R12" s="1670" t="s">
        <v>141</v>
      </c>
    </row>
    <row r="13" spans="1:19" hidden="1">
      <c r="A13" s="1676">
        <v>11</v>
      </c>
      <c r="B13" s="1670">
        <v>290</v>
      </c>
      <c r="C13" s="1670">
        <v>9559</v>
      </c>
      <c r="D13" s="1670" t="s">
        <v>73</v>
      </c>
      <c r="E13" s="1670">
        <v>56.93</v>
      </c>
      <c r="F13" s="1670" t="s">
        <v>121</v>
      </c>
      <c r="G13" s="1670" t="s">
        <v>84</v>
      </c>
      <c r="H13" s="1837">
        <v>3091469.79</v>
      </c>
      <c r="I13" s="1670">
        <v>2</v>
      </c>
      <c r="J13" s="1670" t="s">
        <v>85</v>
      </c>
      <c r="K13" s="1670" t="s">
        <v>12</v>
      </c>
      <c r="L13" s="1710">
        <v>44295</v>
      </c>
      <c r="M13" s="1710" t="s">
        <v>17</v>
      </c>
      <c r="N13" s="1714" t="s">
        <v>142</v>
      </c>
      <c r="O13" s="1954" t="s">
        <v>71</v>
      </c>
      <c r="P13" s="1715"/>
      <c r="Q13" s="1670" t="s">
        <v>143</v>
      </c>
      <c r="R13" s="1670"/>
    </row>
    <row r="14" spans="1:19" s="1996" customFormat="1" hidden="1">
      <c r="A14" s="1676">
        <v>12</v>
      </c>
      <c r="B14" s="1670">
        <v>184</v>
      </c>
      <c r="C14" s="1670">
        <v>8906</v>
      </c>
      <c r="D14" s="1670" t="s">
        <v>73</v>
      </c>
      <c r="E14" s="1670">
        <v>38.83</v>
      </c>
      <c r="F14" s="1670" t="s">
        <v>121</v>
      </c>
      <c r="G14" s="1670" t="s">
        <v>84</v>
      </c>
      <c r="H14" s="1837">
        <v>1921580.21</v>
      </c>
      <c r="I14" s="1670">
        <v>1</v>
      </c>
      <c r="J14" s="1670" t="s">
        <v>130</v>
      </c>
      <c r="K14" s="1670" t="s">
        <v>18</v>
      </c>
      <c r="L14" s="1710">
        <v>44294</v>
      </c>
      <c r="M14" s="1710" t="s">
        <v>11</v>
      </c>
      <c r="N14" s="1714" t="s">
        <v>144</v>
      </c>
      <c r="O14" s="1670" t="s">
        <v>67</v>
      </c>
      <c r="P14" s="1715"/>
      <c r="Q14" s="1670" t="s">
        <v>88</v>
      </c>
      <c r="R14" s="2003"/>
      <c r="S14" s="1652"/>
    </row>
    <row r="15" spans="1:19" hidden="1">
      <c r="A15" s="1676">
        <v>13</v>
      </c>
      <c r="B15" s="1670">
        <v>247</v>
      </c>
      <c r="C15" s="1670">
        <v>269</v>
      </c>
      <c r="D15" s="1670" t="s">
        <v>73</v>
      </c>
      <c r="E15" s="1670">
        <v>60.3</v>
      </c>
      <c r="F15" s="1670" t="s">
        <v>121</v>
      </c>
      <c r="G15" s="1670" t="s">
        <v>84</v>
      </c>
      <c r="H15" s="1837">
        <v>2874681.9</v>
      </c>
      <c r="I15" s="1670">
        <v>2</v>
      </c>
      <c r="J15" s="1670" t="s">
        <v>130</v>
      </c>
      <c r="K15" s="1670" t="s">
        <v>12</v>
      </c>
      <c r="L15" s="1710">
        <v>44294</v>
      </c>
      <c r="M15" s="1710" t="s">
        <v>11</v>
      </c>
      <c r="N15" s="1714" t="s">
        <v>145</v>
      </c>
      <c r="O15" s="1715" t="s">
        <v>67</v>
      </c>
      <c r="P15" s="1715"/>
      <c r="Q15" s="1670" t="s">
        <v>88</v>
      </c>
      <c r="R15" s="1670"/>
    </row>
    <row r="16" spans="1:19" ht="17.25" hidden="1" customHeight="1">
      <c r="A16" s="1676">
        <v>14</v>
      </c>
      <c r="B16" s="1670">
        <v>228</v>
      </c>
      <c r="C16" s="1670">
        <v>4404</v>
      </c>
      <c r="D16" s="1670" t="s">
        <v>20</v>
      </c>
      <c r="E16" s="1673">
        <v>38.83</v>
      </c>
      <c r="F16" s="1670" t="s">
        <v>121</v>
      </c>
      <c r="G16" s="1670" t="s">
        <v>84</v>
      </c>
      <c r="H16" s="1837">
        <v>2175916.71</v>
      </c>
      <c r="I16" s="1670">
        <v>1</v>
      </c>
      <c r="J16" s="1670" t="s">
        <v>85</v>
      </c>
      <c r="K16" s="1670" t="s">
        <v>18</v>
      </c>
      <c r="L16" s="1710">
        <v>44300</v>
      </c>
      <c r="M16" s="1710" t="s">
        <v>11</v>
      </c>
      <c r="N16" s="1714" t="s">
        <v>146</v>
      </c>
      <c r="O16" s="1670" t="s">
        <v>67</v>
      </c>
      <c r="P16" s="1715"/>
      <c r="Q16" s="1670" t="s">
        <v>147</v>
      </c>
      <c r="R16" s="2002"/>
    </row>
    <row r="17" spans="1:19" ht="16.5" hidden="1" customHeight="1">
      <c r="A17" s="1676">
        <v>15</v>
      </c>
      <c r="B17" s="1670">
        <v>214</v>
      </c>
      <c r="C17" s="1670">
        <v>10160</v>
      </c>
      <c r="D17" s="1670" t="s">
        <v>20</v>
      </c>
      <c r="E17" s="1673">
        <v>89.56</v>
      </c>
      <c r="F17" s="1670" t="s">
        <v>74</v>
      </c>
      <c r="G17" s="1670" t="s">
        <v>16</v>
      </c>
      <c r="H17" s="1837">
        <v>4331390.28</v>
      </c>
      <c r="I17" s="1670">
        <v>3</v>
      </c>
      <c r="J17" s="1670" t="s">
        <v>65</v>
      </c>
      <c r="K17" s="1670" t="s">
        <v>18</v>
      </c>
      <c r="L17" s="1710">
        <v>44287</v>
      </c>
      <c r="M17" s="1710" t="s">
        <v>11</v>
      </c>
      <c r="N17" s="1714" t="s">
        <v>148</v>
      </c>
      <c r="O17" s="2000" t="s">
        <v>71</v>
      </c>
      <c r="P17" s="1715" t="s">
        <v>149</v>
      </c>
      <c r="Q17" s="1670" t="s">
        <v>147</v>
      </c>
      <c r="R17" s="2002"/>
    </row>
    <row r="18" spans="1:19" s="1997" customFormat="1" hidden="1">
      <c r="A18" s="1676">
        <v>16</v>
      </c>
      <c r="B18" s="1670">
        <v>134</v>
      </c>
      <c r="C18" s="1670">
        <v>9622</v>
      </c>
      <c r="D18" s="1670" t="s">
        <v>20</v>
      </c>
      <c r="E18" s="1673">
        <v>59.52</v>
      </c>
      <c r="F18" s="1670" t="s">
        <v>121</v>
      </c>
      <c r="G18" s="1670" t="s">
        <v>84</v>
      </c>
      <c r="H18" s="1837">
        <v>2837496.96</v>
      </c>
      <c r="I18" s="1670">
        <v>2</v>
      </c>
      <c r="J18" s="1670" t="s">
        <v>85</v>
      </c>
      <c r="K18" s="1670" t="s">
        <v>18</v>
      </c>
      <c r="L18" s="1710">
        <v>44306</v>
      </c>
      <c r="M18" s="1710" t="s">
        <v>11</v>
      </c>
      <c r="N18" s="1714" t="s">
        <v>150</v>
      </c>
      <c r="O18" s="1670" t="s">
        <v>67</v>
      </c>
      <c r="P18" s="1715"/>
      <c r="Q18" s="1670" t="s">
        <v>147</v>
      </c>
      <c r="R18" s="2002"/>
      <c r="S18" s="1652"/>
    </row>
    <row r="19" spans="1:19" hidden="1">
      <c r="A19" s="1676">
        <v>17</v>
      </c>
      <c r="B19" s="1670">
        <v>240</v>
      </c>
      <c r="C19" s="1670">
        <v>10943</v>
      </c>
      <c r="D19" s="1670" t="s">
        <v>20</v>
      </c>
      <c r="E19" s="1673">
        <v>38.83</v>
      </c>
      <c r="F19" s="1670" t="s">
        <v>121</v>
      </c>
      <c r="G19" s="1670" t="s">
        <v>16</v>
      </c>
      <c r="H19" s="1837">
        <v>2141734.14</v>
      </c>
      <c r="I19" s="1670">
        <v>1</v>
      </c>
      <c r="J19" s="1670" t="s">
        <v>65</v>
      </c>
      <c r="K19" s="1670" t="s">
        <v>18</v>
      </c>
      <c r="L19" s="1710">
        <v>44298</v>
      </c>
      <c r="M19" s="1710" t="s">
        <v>17</v>
      </c>
      <c r="N19" s="1714" t="s">
        <v>151</v>
      </c>
      <c r="O19" s="1670" t="s">
        <v>67</v>
      </c>
      <c r="P19" s="1715"/>
      <c r="Q19" s="1670" t="s">
        <v>147</v>
      </c>
      <c r="R19" s="2002"/>
    </row>
    <row r="20" spans="1:19" hidden="1">
      <c r="A20" s="1676">
        <v>18</v>
      </c>
      <c r="B20" s="1670">
        <v>75</v>
      </c>
      <c r="C20" s="1670">
        <v>9032</v>
      </c>
      <c r="D20" s="1670" t="s">
        <v>63</v>
      </c>
      <c r="E20" s="1670">
        <v>36.42</v>
      </c>
      <c r="F20" s="1670" t="s">
        <v>121</v>
      </c>
      <c r="G20" s="1670" t="s">
        <v>84</v>
      </c>
      <c r="H20" s="1837">
        <v>1802316.54</v>
      </c>
      <c r="I20" s="1670">
        <v>1</v>
      </c>
      <c r="J20" s="1670" t="s">
        <v>85</v>
      </c>
      <c r="K20" s="1670" t="s">
        <v>12</v>
      </c>
      <c r="L20" s="1710">
        <v>44308</v>
      </c>
      <c r="M20" s="1710" t="s">
        <v>11</v>
      </c>
      <c r="N20" s="1714" t="s">
        <v>152</v>
      </c>
      <c r="O20" s="1670" t="s">
        <v>67</v>
      </c>
      <c r="P20" s="1808"/>
      <c r="Q20" s="1670" t="s">
        <v>72</v>
      </c>
      <c r="R20" s="2002" t="s">
        <v>153</v>
      </c>
    </row>
    <row r="21" spans="1:19" hidden="1">
      <c r="A21" s="1676">
        <v>19</v>
      </c>
      <c r="B21" s="1670">
        <v>297</v>
      </c>
      <c r="C21" s="1670">
        <v>11120.11118</v>
      </c>
      <c r="D21" s="1670" t="s">
        <v>63</v>
      </c>
      <c r="E21" s="1673">
        <v>37.89</v>
      </c>
      <c r="F21" s="1670" t="s">
        <v>121</v>
      </c>
      <c r="G21" s="1670" t="s">
        <v>84</v>
      </c>
      <c r="H21" s="1837">
        <v>1991791.67</v>
      </c>
      <c r="I21" s="1670">
        <v>1</v>
      </c>
      <c r="J21" s="1670" t="s">
        <v>85</v>
      </c>
      <c r="K21" s="1670" t="s">
        <v>18</v>
      </c>
      <c r="L21" s="1710">
        <v>44307</v>
      </c>
      <c r="M21" s="1710" t="s">
        <v>11</v>
      </c>
      <c r="N21" s="1714" t="s">
        <v>154</v>
      </c>
      <c r="O21" s="2000" t="s">
        <v>71</v>
      </c>
      <c r="P21" s="1715"/>
      <c r="Q21" s="1670" t="s">
        <v>72</v>
      </c>
      <c r="R21" s="2002" t="s">
        <v>153</v>
      </c>
    </row>
    <row r="22" spans="1:19" s="1997" customFormat="1" ht="13.5" hidden="1" customHeight="1">
      <c r="A22" s="1676">
        <v>20</v>
      </c>
      <c r="B22" s="1670">
        <v>271</v>
      </c>
      <c r="C22" s="1670">
        <v>1410</v>
      </c>
      <c r="D22" s="1670" t="s">
        <v>73</v>
      </c>
      <c r="E22" s="1673">
        <v>25.85</v>
      </c>
      <c r="F22" s="1670" t="s">
        <v>121</v>
      </c>
      <c r="G22" s="1670" t="s">
        <v>84</v>
      </c>
      <c r="H22" s="1837">
        <v>1512735</v>
      </c>
      <c r="I22" s="1670">
        <v>0</v>
      </c>
      <c r="J22" s="1670" t="s">
        <v>85</v>
      </c>
      <c r="K22" s="1670" t="s">
        <v>12</v>
      </c>
      <c r="L22" s="1710">
        <v>44299</v>
      </c>
      <c r="M22" s="1710" t="s">
        <v>11</v>
      </c>
      <c r="N22" s="1714" t="s">
        <v>155</v>
      </c>
      <c r="O22" s="2000" t="s">
        <v>71</v>
      </c>
      <c r="P22" s="1715"/>
      <c r="Q22" s="1670" t="s">
        <v>88</v>
      </c>
      <c r="R22" s="2002"/>
    </row>
    <row r="23" spans="1:19" hidden="1">
      <c r="A23" s="1676">
        <v>21</v>
      </c>
      <c r="B23" s="1670">
        <v>125</v>
      </c>
      <c r="C23" s="1670">
        <v>9802</v>
      </c>
      <c r="D23" s="1670" t="s">
        <v>63</v>
      </c>
      <c r="E23" s="1673">
        <v>59.96</v>
      </c>
      <c r="F23" s="1670" t="s">
        <v>121</v>
      </c>
      <c r="G23" s="1670" t="s">
        <v>16</v>
      </c>
      <c r="H23" s="1837">
        <v>3209239.08</v>
      </c>
      <c r="I23" s="1670">
        <v>2</v>
      </c>
      <c r="J23" s="1999" t="s">
        <v>65</v>
      </c>
      <c r="K23" s="1670" t="s">
        <v>18</v>
      </c>
      <c r="L23" s="1710">
        <v>44277</v>
      </c>
      <c r="M23" s="1710" t="s">
        <v>17</v>
      </c>
      <c r="N23" s="1714" t="s">
        <v>156</v>
      </c>
      <c r="O23" s="2000" t="s">
        <v>71</v>
      </c>
      <c r="P23" s="1670" t="s">
        <v>157</v>
      </c>
      <c r="Q23" s="1670" t="s">
        <v>72</v>
      </c>
      <c r="R23" s="2002"/>
    </row>
    <row r="24" spans="1:19" hidden="1">
      <c r="A24" s="1676">
        <v>22</v>
      </c>
      <c r="B24" s="1670">
        <v>188</v>
      </c>
      <c r="C24" s="1670">
        <v>5836</v>
      </c>
      <c r="D24" s="1670" t="s">
        <v>63</v>
      </c>
      <c r="E24" s="1670">
        <v>60.19</v>
      </c>
      <c r="F24" s="1670" t="s">
        <v>121</v>
      </c>
      <c r="G24" s="1670" t="s">
        <v>16</v>
      </c>
      <c r="H24" s="1837">
        <v>2598582.87</v>
      </c>
      <c r="I24" s="1670">
        <v>2</v>
      </c>
      <c r="J24" s="1999" t="s">
        <v>65</v>
      </c>
      <c r="K24" s="1670" t="s">
        <v>18</v>
      </c>
      <c r="L24" s="1710">
        <v>44260</v>
      </c>
      <c r="M24" s="1710" t="s">
        <v>17</v>
      </c>
      <c r="N24" s="1714" t="s">
        <v>158</v>
      </c>
      <c r="O24" s="2000" t="s">
        <v>71</v>
      </c>
      <c r="P24" s="1715" t="s">
        <v>159</v>
      </c>
      <c r="Q24" s="1670" t="s">
        <v>72</v>
      </c>
      <c r="R24" s="2002"/>
    </row>
    <row r="25" spans="1:19" hidden="1">
      <c r="A25" s="1676">
        <v>23</v>
      </c>
      <c r="B25" s="1670">
        <v>252</v>
      </c>
      <c r="C25" s="1670">
        <v>9526</v>
      </c>
      <c r="D25" s="1670" t="s">
        <v>63</v>
      </c>
      <c r="E25" s="1670">
        <v>86.58</v>
      </c>
      <c r="F25" s="1670" t="s">
        <v>121</v>
      </c>
      <c r="G25" s="1670" t="s">
        <v>16</v>
      </c>
      <c r="H25" s="1837">
        <v>4195060.74</v>
      </c>
      <c r="I25" s="1670">
        <v>3</v>
      </c>
      <c r="J25" s="1999" t="s">
        <v>65</v>
      </c>
      <c r="K25" s="1670" t="s">
        <v>18</v>
      </c>
      <c r="L25" s="1710">
        <v>44274</v>
      </c>
      <c r="M25" s="1710" t="s">
        <v>17</v>
      </c>
      <c r="N25" s="1714" t="s">
        <v>160</v>
      </c>
      <c r="O25" s="2000" t="s">
        <v>71</v>
      </c>
      <c r="P25" s="1715" t="s">
        <v>159</v>
      </c>
      <c r="Q25" s="1670" t="s">
        <v>72</v>
      </c>
      <c r="R25" s="2002"/>
    </row>
    <row r="26" spans="1:19" hidden="1">
      <c r="A26" s="1676">
        <v>24</v>
      </c>
      <c r="B26" s="1670">
        <v>215</v>
      </c>
      <c r="C26" s="1670">
        <v>9374</v>
      </c>
      <c r="D26" s="1670" t="s">
        <v>63</v>
      </c>
      <c r="E26" s="1673">
        <v>25.91</v>
      </c>
      <c r="F26" s="1670" t="s">
        <v>121</v>
      </c>
      <c r="G26" s="1670" t="s">
        <v>84</v>
      </c>
      <c r="H26" s="1837">
        <v>1364707.5</v>
      </c>
      <c r="I26" s="1670">
        <v>0</v>
      </c>
      <c r="J26" s="1670" t="s">
        <v>85</v>
      </c>
      <c r="K26" s="1670" t="s">
        <v>12</v>
      </c>
      <c r="L26" s="1710">
        <v>44273</v>
      </c>
      <c r="M26" s="1710" t="s">
        <v>17</v>
      </c>
      <c r="N26" s="1714" t="s">
        <v>161</v>
      </c>
      <c r="O26" s="1670" t="s">
        <v>67</v>
      </c>
      <c r="P26" s="1670" t="s">
        <v>67</v>
      </c>
      <c r="Q26" s="1670" t="s">
        <v>72</v>
      </c>
      <c r="R26" s="2002" t="s">
        <v>162</v>
      </c>
    </row>
    <row r="27" spans="1:19" hidden="1">
      <c r="A27" s="1676">
        <v>25</v>
      </c>
      <c r="B27" s="1670">
        <v>272</v>
      </c>
      <c r="C27" s="1670">
        <v>2408</v>
      </c>
      <c r="D27" s="1670" t="s">
        <v>63</v>
      </c>
      <c r="E27" s="1673">
        <v>38.83</v>
      </c>
      <c r="F27" s="1670" t="s">
        <v>121</v>
      </c>
      <c r="G27" s="1670" t="s">
        <v>16</v>
      </c>
      <c r="H27" s="1837">
        <v>1921580.21</v>
      </c>
      <c r="I27" s="1670">
        <v>1</v>
      </c>
      <c r="J27" s="1670" t="s">
        <v>65</v>
      </c>
      <c r="K27" s="1670" t="s">
        <v>18</v>
      </c>
      <c r="L27" s="1710">
        <v>44273</v>
      </c>
      <c r="M27" s="1710" t="s">
        <v>17</v>
      </c>
      <c r="N27" s="1714" t="s">
        <v>163</v>
      </c>
      <c r="O27" s="2000" t="s">
        <v>71</v>
      </c>
      <c r="P27" s="1715"/>
      <c r="Q27" s="1670" t="s">
        <v>72</v>
      </c>
      <c r="R27" s="2002"/>
    </row>
    <row r="28" spans="1:19" hidden="1">
      <c r="A28" s="1676">
        <v>26</v>
      </c>
      <c r="B28" s="1670">
        <v>55</v>
      </c>
      <c r="C28" s="1670">
        <v>6357</v>
      </c>
      <c r="D28" s="1670" t="s">
        <v>63</v>
      </c>
      <c r="E28" s="1673">
        <v>59.96</v>
      </c>
      <c r="F28" s="1670" t="s">
        <v>121</v>
      </c>
      <c r="G28" s="1670" t="s">
        <v>16</v>
      </c>
      <c r="H28" s="1837">
        <v>2910246.14</v>
      </c>
      <c r="I28" s="1670">
        <v>2</v>
      </c>
      <c r="J28" s="1670" t="s">
        <v>65</v>
      </c>
      <c r="K28" s="1670" t="s">
        <v>18</v>
      </c>
      <c r="L28" s="1710">
        <v>44277</v>
      </c>
      <c r="M28" s="1710" t="s">
        <v>17</v>
      </c>
      <c r="N28" s="1714" t="s">
        <v>164</v>
      </c>
      <c r="O28" s="2000" t="s">
        <v>71</v>
      </c>
      <c r="P28" s="1715"/>
      <c r="Q28" s="1670" t="s">
        <v>72</v>
      </c>
      <c r="R28" s="2002"/>
    </row>
    <row r="29" spans="1:19" hidden="1">
      <c r="A29" s="1676">
        <v>27</v>
      </c>
      <c r="B29" s="1670">
        <v>293</v>
      </c>
      <c r="C29" s="1670">
        <v>8634</v>
      </c>
      <c r="D29" s="1670" t="s">
        <v>63</v>
      </c>
      <c r="E29" s="1673">
        <v>25.85</v>
      </c>
      <c r="F29" s="1670" t="s">
        <v>121</v>
      </c>
      <c r="G29" s="1670" t="s">
        <v>16</v>
      </c>
      <c r="H29" s="1837">
        <v>1527735</v>
      </c>
      <c r="I29" s="1670">
        <v>0</v>
      </c>
      <c r="J29" s="1670" t="s">
        <v>65</v>
      </c>
      <c r="K29" s="1670" t="s">
        <v>18</v>
      </c>
      <c r="L29" s="1710">
        <v>44284</v>
      </c>
      <c r="M29" s="1710" t="s">
        <v>17</v>
      </c>
      <c r="N29" s="1714" t="s">
        <v>165</v>
      </c>
      <c r="O29" s="2000" t="s">
        <v>71</v>
      </c>
      <c r="P29" s="1715"/>
      <c r="Q29" s="1670" t="s">
        <v>72</v>
      </c>
      <c r="R29" s="2002"/>
    </row>
    <row r="30" spans="1:19" hidden="1">
      <c r="A30" s="1676">
        <v>28</v>
      </c>
      <c r="B30" s="1670">
        <v>262</v>
      </c>
      <c r="C30" s="1670">
        <v>9755</v>
      </c>
      <c r="D30" s="1670" t="s">
        <v>73</v>
      </c>
      <c r="E30" s="1673">
        <v>38.22</v>
      </c>
      <c r="F30" s="1670" t="s">
        <v>121</v>
      </c>
      <c r="G30" s="1670" t="s">
        <v>16</v>
      </c>
      <c r="H30" s="1837">
        <v>2141734.14</v>
      </c>
      <c r="I30" s="1670">
        <v>1</v>
      </c>
      <c r="J30" s="1670" t="s">
        <v>65</v>
      </c>
      <c r="K30" s="1670" t="s">
        <v>18</v>
      </c>
      <c r="L30" s="1710">
        <v>44277</v>
      </c>
      <c r="M30" s="1710" t="s">
        <v>17</v>
      </c>
      <c r="N30" s="1714" t="s">
        <v>166</v>
      </c>
      <c r="O30" s="2000" t="s">
        <v>71</v>
      </c>
      <c r="P30" s="1670"/>
      <c r="Q30" s="1670" t="s">
        <v>88</v>
      </c>
      <c r="R30" s="1676"/>
    </row>
    <row r="31" spans="1:19" hidden="1">
      <c r="A31" s="1676">
        <v>29</v>
      </c>
      <c r="B31" s="1670">
        <v>285</v>
      </c>
      <c r="C31" s="1670">
        <v>9798</v>
      </c>
      <c r="D31" s="1670" t="s">
        <v>73</v>
      </c>
      <c r="E31" s="1673">
        <v>86.58</v>
      </c>
      <c r="F31" s="1670" t="s">
        <v>121</v>
      </c>
      <c r="G31" s="1670" t="s">
        <v>16</v>
      </c>
      <c r="H31" s="1837">
        <v>3805450.74</v>
      </c>
      <c r="I31" s="1670">
        <v>3</v>
      </c>
      <c r="J31" s="1670" t="s">
        <v>65</v>
      </c>
      <c r="K31" s="1670" t="s">
        <v>18</v>
      </c>
      <c r="L31" s="1710">
        <v>44271</v>
      </c>
      <c r="M31" s="1710" t="s">
        <v>17</v>
      </c>
      <c r="N31" s="1714" t="s">
        <v>167</v>
      </c>
      <c r="O31" s="2000" t="s">
        <v>71</v>
      </c>
      <c r="P31" s="1670"/>
      <c r="Q31" s="1670" t="s">
        <v>88</v>
      </c>
      <c r="R31" s="1676"/>
    </row>
    <row r="32" spans="1:19" hidden="1">
      <c r="A32" s="1676">
        <v>30</v>
      </c>
      <c r="B32" s="1670">
        <v>9</v>
      </c>
      <c r="C32" s="1670">
        <v>8248</v>
      </c>
      <c r="D32" s="1670" t="s">
        <v>73</v>
      </c>
      <c r="E32" s="1673">
        <v>58.99</v>
      </c>
      <c r="F32" s="1670" t="s">
        <v>121</v>
      </c>
      <c r="G32" s="1670" t="s">
        <v>16</v>
      </c>
      <c r="H32" s="1837">
        <v>2812230.27</v>
      </c>
      <c r="I32" s="1670">
        <v>2</v>
      </c>
      <c r="J32" s="1670" t="s">
        <v>65</v>
      </c>
      <c r="K32" s="1670" t="s">
        <v>18</v>
      </c>
      <c r="L32" s="1710">
        <v>44258</v>
      </c>
      <c r="M32" s="1710" t="s">
        <v>17</v>
      </c>
      <c r="N32" s="1714" t="s">
        <v>168</v>
      </c>
      <c r="O32" s="1954" t="s">
        <v>71</v>
      </c>
      <c r="P32" s="1670"/>
      <c r="Q32" s="1670" t="s">
        <v>88</v>
      </c>
      <c r="R32" s="1676"/>
    </row>
    <row r="33" spans="1:18" s="1836" customFormat="1" hidden="1">
      <c r="A33" s="1676">
        <v>31</v>
      </c>
      <c r="B33" s="1676">
        <v>303</v>
      </c>
      <c r="C33" s="1676">
        <v>2742</v>
      </c>
      <c r="D33" s="1676" t="s">
        <v>73</v>
      </c>
      <c r="E33" s="1677">
        <v>25.91</v>
      </c>
      <c r="F33" s="1676" t="s">
        <v>121</v>
      </c>
      <c r="G33" s="1676" t="s">
        <v>16</v>
      </c>
      <c r="H33" s="1998">
        <v>1531281</v>
      </c>
      <c r="I33" s="1676">
        <v>0</v>
      </c>
      <c r="J33" s="1676" t="s">
        <v>65</v>
      </c>
      <c r="K33" s="1676" t="s">
        <v>18</v>
      </c>
      <c r="L33" s="1720">
        <v>44265</v>
      </c>
      <c r="M33" s="1720" t="s">
        <v>17</v>
      </c>
      <c r="N33" s="1807" t="s">
        <v>169</v>
      </c>
      <c r="O33" s="1954" t="s">
        <v>71</v>
      </c>
      <c r="P33" s="1676"/>
      <c r="Q33" s="1670" t="s">
        <v>88</v>
      </c>
      <c r="R33" s="1676"/>
    </row>
    <row r="34" spans="1:18" hidden="1">
      <c r="A34" s="1676">
        <v>32</v>
      </c>
      <c r="B34" s="1670">
        <v>174</v>
      </c>
      <c r="C34" s="1670">
        <v>9939</v>
      </c>
      <c r="D34" s="1670" t="s">
        <v>73</v>
      </c>
      <c r="E34" s="1673">
        <v>38.22</v>
      </c>
      <c r="F34" s="1670" t="s">
        <v>121</v>
      </c>
      <c r="G34" s="1670" t="s">
        <v>16</v>
      </c>
      <c r="H34" s="1837">
        <v>2141734.14</v>
      </c>
      <c r="I34" s="1670">
        <v>1</v>
      </c>
      <c r="J34" s="1670" t="s">
        <v>65</v>
      </c>
      <c r="K34" s="1670" t="s">
        <v>18</v>
      </c>
      <c r="L34" s="1710">
        <v>44277</v>
      </c>
      <c r="M34" s="1710" t="s">
        <v>17</v>
      </c>
      <c r="N34" s="1714" t="s">
        <v>170</v>
      </c>
      <c r="O34" s="2000" t="s">
        <v>71</v>
      </c>
      <c r="P34" s="1670"/>
      <c r="Q34" s="1670" t="s">
        <v>88</v>
      </c>
      <c r="R34" s="1676"/>
    </row>
    <row r="35" spans="1:18" hidden="1">
      <c r="A35" s="1676">
        <v>33</v>
      </c>
      <c r="B35" s="1670">
        <v>186</v>
      </c>
      <c r="C35" s="1670">
        <v>3968</v>
      </c>
      <c r="D35" s="1670" t="s">
        <v>20</v>
      </c>
      <c r="E35" s="1673">
        <v>86.58</v>
      </c>
      <c r="F35" s="1670" t="s">
        <v>121</v>
      </c>
      <c r="G35" s="1670" t="s">
        <v>16</v>
      </c>
      <c r="H35" s="1837">
        <v>3805450.74</v>
      </c>
      <c r="I35" s="1670">
        <v>3</v>
      </c>
      <c r="J35" s="1670" t="s">
        <v>65</v>
      </c>
      <c r="K35" s="1670" t="s">
        <v>18</v>
      </c>
      <c r="L35" s="1710">
        <v>44284</v>
      </c>
      <c r="M35" s="1710" t="s">
        <v>17</v>
      </c>
      <c r="N35" s="1714" t="s">
        <v>171</v>
      </c>
      <c r="O35" s="2000" t="s">
        <v>71</v>
      </c>
      <c r="P35" s="1670"/>
      <c r="Q35" s="1670" t="s">
        <v>172</v>
      </c>
      <c r="R35" s="1676"/>
    </row>
    <row r="36" spans="1:18" hidden="1">
      <c r="A36" s="1676">
        <v>34</v>
      </c>
      <c r="B36" s="1670">
        <v>13</v>
      </c>
      <c r="C36" s="1670">
        <v>1800</v>
      </c>
      <c r="D36" s="1670" t="s">
        <v>20</v>
      </c>
      <c r="E36" s="1673">
        <v>59.96</v>
      </c>
      <c r="F36" s="1670" t="s">
        <v>121</v>
      </c>
      <c r="G36" s="1670" t="s">
        <v>16</v>
      </c>
      <c r="H36" s="1837">
        <v>2858473.08</v>
      </c>
      <c r="I36" s="1670">
        <v>2</v>
      </c>
      <c r="J36" s="1670" t="s">
        <v>65</v>
      </c>
      <c r="K36" s="1670" t="s">
        <v>18</v>
      </c>
      <c r="L36" s="1710">
        <v>44272</v>
      </c>
      <c r="M36" s="1710" t="s">
        <v>17</v>
      </c>
      <c r="N36" s="1714" t="s">
        <v>173</v>
      </c>
      <c r="O36" s="2000" t="s">
        <v>71</v>
      </c>
      <c r="P36" s="1670"/>
      <c r="Q36" s="1670" t="s">
        <v>147</v>
      </c>
      <c r="R36" s="1676"/>
    </row>
    <row r="37" spans="1:18" hidden="1">
      <c r="A37" s="1676">
        <v>35</v>
      </c>
      <c r="B37" s="1670">
        <v>14</v>
      </c>
      <c r="C37" s="1670" t="s">
        <v>174</v>
      </c>
      <c r="D37" s="1670" t="s">
        <v>20</v>
      </c>
      <c r="E37" s="1673">
        <v>58.17</v>
      </c>
      <c r="F37" s="1670" t="s">
        <v>121</v>
      </c>
      <c r="G37" s="1670" t="s">
        <v>16</v>
      </c>
      <c r="H37" s="1837">
        <v>2773138.41</v>
      </c>
      <c r="I37" s="1670">
        <v>2</v>
      </c>
      <c r="J37" s="1670" t="s">
        <v>65</v>
      </c>
      <c r="K37" s="1670" t="s">
        <v>18</v>
      </c>
      <c r="L37" s="1710">
        <v>44272</v>
      </c>
      <c r="M37" s="1710" t="s">
        <v>17</v>
      </c>
      <c r="N37" s="1714" t="s">
        <v>175</v>
      </c>
      <c r="O37" s="2000" t="s">
        <v>71</v>
      </c>
      <c r="P37" s="1670"/>
      <c r="Q37" s="1670" t="s">
        <v>147</v>
      </c>
      <c r="R37" s="1676"/>
    </row>
    <row r="38" spans="1:18" hidden="1">
      <c r="A38" s="1676">
        <v>36</v>
      </c>
      <c r="B38" s="1670">
        <v>246</v>
      </c>
      <c r="C38" s="1670">
        <v>9967</v>
      </c>
      <c r="D38" s="1670" t="s">
        <v>20</v>
      </c>
      <c r="E38" s="1673">
        <v>56.93</v>
      </c>
      <c r="F38" s="1670" t="s">
        <v>121</v>
      </c>
      <c r="G38" s="1670" t="s">
        <v>16</v>
      </c>
      <c r="H38" s="1837">
        <v>2758429.29</v>
      </c>
      <c r="I38" s="1670">
        <v>2</v>
      </c>
      <c r="J38" s="1670" t="s">
        <v>65</v>
      </c>
      <c r="K38" s="1670" t="s">
        <v>18</v>
      </c>
      <c r="L38" s="1710">
        <v>44282</v>
      </c>
      <c r="M38" s="1710" t="s">
        <v>17</v>
      </c>
      <c r="N38" s="1714" t="s">
        <v>176</v>
      </c>
      <c r="O38" s="2000" t="s">
        <v>71</v>
      </c>
      <c r="P38" s="1670"/>
      <c r="Q38" s="1670" t="s">
        <v>147</v>
      </c>
      <c r="R38" s="1676"/>
    </row>
    <row r="39" spans="1:18" hidden="1">
      <c r="A39" s="1676">
        <v>37</v>
      </c>
      <c r="B39" s="1670">
        <v>135</v>
      </c>
      <c r="C39" s="1670">
        <v>1950</v>
      </c>
      <c r="D39" s="1670" t="s">
        <v>20</v>
      </c>
      <c r="E39" s="1673">
        <v>58.99</v>
      </c>
      <c r="F39" s="1670" t="s">
        <v>121</v>
      </c>
      <c r="G39" s="1670" t="s">
        <v>84</v>
      </c>
      <c r="H39" s="1837">
        <v>2812230.27</v>
      </c>
      <c r="I39" s="1670">
        <v>2</v>
      </c>
      <c r="J39" s="1670" t="s">
        <v>85</v>
      </c>
      <c r="K39" s="1670" t="s">
        <v>18</v>
      </c>
      <c r="L39" s="1710">
        <v>44258</v>
      </c>
      <c r="M39" s="1710" t="s">
        <v>11</v>
      </c>
      <c r="N39" s="1714" t="s">
        <v>177</v>
      </c>
      <c r="O39" s="2000" t="s">
        <v>71</v>
      </c>
      <c r="P39" s="1670"/>
      <c r="Q39" s="1676" t="s">
        <v>178</v>
      </c>
      <c r="R39" s="1676"/>
    </row>
    <row r="40" spans="1:18" hidden="1">
      <c r="A40" s="1676">
        <v>38</v>
      </c>
      <c r="B40" s="1670">
        <v>171</v>
      </c>
      <c r="C40" s="1670">
        <v>10117</v>
      </c>
      <c r="D40" s="1670" t="s">
        <v>20</v>
      </c>
      <c r="E40" s="1673">
        <v>25.91</v>
      </c>
      <c r="F40" s="1670" t="s">
        <v>121</v>
      </c>
      <c r="G40" s="1670" t="s">
        <v>16</v>
      </c>
      <c r="H40" s="1837">
        <v>1531281</v>
      </c>
      <c r="I40" s="1670">
        <v>0</v>
      </c>
      <c r="J40" s="1670" t="s">
        <v>65</v>
      </c>
      <c r="K40" s="1670" t="s">
        <v>18</v>
      </c>
      <c r="L40" s="1710">
        <v>44270</v>
      </c>
      <c r="M40" s="1710" t="s">
        <v>17</v>
      </c>
      <c r="N40" s="1714" t="s">
        <v>179</v>
      </c>
      <c r="O40" s="2000" t="s">
        <v>71</v>
      </c>
      <c r="P40" s="1670"/>
      <c r="Q40" s="1670" t="s">
        <v>147</v>
      </c>
      <c r="R40" s="1676"/>
    </row>
    <row r="41" spans="1:18" hidden="1">
      <c r="A41" s="1676">
        <v>39</v>
      </c>
      <c r="B41" s="1670">
        <v>167</v>
      </c>
      <c r="C41" s="1670">
        <v>8979</v>
      </c>
      <c r="D41" s="1670" t="s">
        <v>20</v>
      </c>
      <c r="E41" s="1673">
        <v>60.24</v>
      </c>
      <c r="F41" s="1670" t="s">
        <v>121</v>
      </c>
      <c r="G41" s="1670" t="s">
        <v>16</v>
      </c>
      <c r="H41" s="1837">
        <v>2600741.52</v>
      </c>
      <c r="I41" s="1670">
        <v>2</v>
      </c>
      <c r="J41" s="1670" t="s">
        <v>65</v>
      </c>
      <c r="K41" s="1670" t="s">
        <v>18</v>
      </c>
      <c r="L41" s="1710">
        <v>44274</v>
      </c>
      <c r="M41" s="1710" t="s">
        <v>17</v>
      </c>
      <c r="N41" s="1714" t="s">
        <v>180</v>
      </c>
      <c r="O41" s="2000" t="s">
        <v>71</v>
      </c>
      <c r="P41" s="1670"/>
      <c r="Q41" s="1670" t="s">
        <v>147</v>
      </c>
      <c r="R41" s="1676"/>
    </row>
    <row r="42" spans="1:18" hidden="1">
      <c r="A42" s="1676">
        <v>40</v>
      </c>
      <c r="B42" s="1670">
        <v>180</v>
      </c>
      <c r="C42" s="1670">
        <v>10204</v>
      </c>
      <c r="D42" s="1670" t="s">
        <v>77</v>
      </c>
      <c r="E42" s="1673">
        <v>56.93</v>
      </c>
      <c r="F42" s="1670" t="s">
        <v>121</v>
      </c>
      <c r="G42" s="1670" t="s">
        <v>16</v>
      </c>
      <c r="H42" s="1837">
        <v>2758429.29</v>
      </c>
      <c r="I42" s="1670">
        <v>2</v>
      </c>
      <c r="J42" s="1670" t="s">
        <v>65</v>
      </c>
      <c r="K42" s="1670" t="s">
        <v>18</v>
      </c>
      <c r="L42" s="1710">
        <v>44279</v>
      </c>
      <c r="M42" s="1710" t="s">
        <v>17</v>
      </c>
      <c r="N42" s="1714" t="s">
        <v>181</v>
      </c>
      <c r="O42" s="2000" t="s">
        <v>71</v>
      </c>
      <c r="P42" s="1670"/>
      <c r="Q42" s="1670" t="s">
        <v>79</v>
      </c>
      <c r="R42" s="1676" t="s">
        <v>134</v>
      </c>
    </row>
    <row r="43" spans="1:18" hidden="1">
      <c r="A43" s="1676">
        <v>41</v>
      </c>
      <c r="B43" s="1670">
        <v>231</v>
      </c>
      <c r="C43" s="1670">
        <v>10371</v>
      </c>
      <c r="D43" s="1670" t="s">
        <v>77</v>
      </c>
      <c r="E43" s="1673">
        <v>37.89</v>
      </c>
      <c r="F43" s="1670" t="s">
        <v>121</v>
      </c>
      <c r="G43" s="1670" t="s">
        <v>16</v>
      </c>
      <c r="H43" s="1837">
        <v>2162296.67</v>
      </c>
      <c r="I43" s="1670">
        <v>1</v>
      </c>
      <c r="J43" s="1670" t="s">
        <v>65</v>
      </c>
      <c r="K43" s="1670" t="s">
        <v>18</v>
      </c>
      <c r="L43" s="1710">
        <v>44281</v>
      </c>
      <c r="M43" s="1710" t="s">
        <v>17</v>
      </c>
      <c r="N43" s="1714" t="s">
        <v>182</v>
      </c>
      <c r="O43" s="2000" t="s">
        <v>71</v>
      </c>
      <c r="P43" s="1670"/>
      <c r="Q43" s="1670" t="s">
        <v>79</v>
      </c>
      <c r="R43" s="1676"/>
    </row>
    <row r="44" spans="1:18" hidden="1">
      <c r="A44" s="1676">
        <v>42</v>
      </c>
      <c r="B44" s="1670">
        <v>253</v>
      </c>
      <c r="C44" s="1670">
        <v>10388</v>
      </c>
      <c r="D44" s="1670"/>
      <c r="E44" s="1673">
        <v>37.89</v>
      </c>
      <c r="F44" s="1670" t="s">
        <v>121</v>
      </c>
      <c r="G44" s="1670" t="s">
        <v>16</v>
      </c>
      <c r="H44" s="1837">
        <v>1673438.31</v>
      </c>
      <c r="I44" s="1670">
        <v>1</v>
      </c>
      <c r="J44" s="1670" t="s">
        <v>65</v>
      </c>
      <c r="K44" s="1670" t="s">
        <v>18</v>
      </c>
      <c r="L44" s="1710">
        <v>44277</v>
      </c>
      <c r="M44" s="1710" t="s">
        <v>17</v>
      </c>
      <c r="N44" s="1714" t="s">
        <v>183</v>
      </c>
      <c r="O44" s="2000" t="s">
        <v>71</v>
      </c>
      <c r="P44" s="1670"/>
      <c r="Q44" s="1676"/>
      <c r="R44" s="1676"/>
    </row>
    <row r="45" spans="1:18" hidden="1">
      <c r="A45" s="1676">
        <v>43</v>
      </c>
      <c r="B45" s="1670">
        <v>178</v>
      </c>
      <c r="C45" s="1670">
        <v>7968</v>
      </c>
      <c r="D45" s="1670" t="s">
        <v>73</v>
      </c>
      <c r="E45" s="1673">
        <v>60.24</v>
      </c>
      <c r="F45" s="1670" t="s">
        <v>121</v>
      </c>
      <c r="G45" s="1670" t="s">
        <v>16</v>
      </c>
      <c r="H45" s="1837">
        <v>3556356.35</v>
      </c>
      <c r="I45" s="1670">
        <v>2</v>
      </c>
      <c r="J45" s="1670" t="s">
        <v>65</v>
      </c>
      <c r="K45" s="1670" t="s">
        <v>18</v>
      </c>
      <c r="L45" s="1710">
        <v>44279</v>
      </c>
      <c r="M45" s="1710" t="s">
        <v>17</v>
      </c>
      <c r="N45" s="1714" t="s">
        <v>184</v>
      </c>
      <c r="O45" s="1954" t="s">
        <v>71</v>
      </c>
      <c r="P45" s="1670"/>
      <c r="Q45" s="1676" t="s">
        <v>185</v>
      </c>
      <c r="R45" s="1676"/>
    </row>
    <row r="46" spans="1:18" hidden="1">
      <c r="A46" s="1676">
        <v>44</v>
      </c>
      <c r="B46" s="1670">
        <v>63</v>
      </c>
      <c r="C46" s="1670">
        <v>10574</v>
      </c>
      <c r="D46" s="1670" t="s">
        <v>73</v>
      </c>
      <c r="E46" s="1673">
        <v>58.17</v>
      </c>
      <c r="F46" s="1670" t="s">
        <v>121</v>
      </c>
      <c r="G46" s="1670" t="s">
        <v>16</v>
      </c>
      <c r="H46" s="1837">
        <v>3113432.31</v>
      </c>
      <c r="I46" s="1670">
        <v>2</v>
      </c>
      <c r="J46" s="1670" t="s">
        <v>65</v>
      </c>
      <c r="K46" s="1670" t="s">
        <v>91</v>
      </c>
      <c r="L46" s="1710">
        <v>44286</v>
      </c>
      <c r="M46" s="1710" t="s">
        <v>17</v>
      </c>
      <c r="N46" s="1714" t="s">
        <v>186</v>
      </c>
      <c r="O46" s="1954" t="s">
        <v>71</v>
      </c>
      <c r="P46" s="1670"/>
      <c r="Q46" s="1670" t="s">
        <v>88</v>
      </c>
      <c r="R46" s="1676"/>
    </row>
    <row r="47" spans="1:18" hidden="1">
      <c r="A47" s="1676">
        <v>45</v>
      </c>
      <c r="B47" s="1670">
        <v>220</v>
      </c>
      <c r="C47" s="1670">
        <v>49964</v>
      </c>
      <c r="D47" s="1670" t="s">
        <v>20</v>
      </c>
      <c r="E47" s="1673">
        <v>37.89</v>
      </c>
      <c r="F47" s="1670" t="s">
        <v>121</v>
      </c>
      <c r="G47" s="1670" t="s">
        <v>16</v>
      </c>
      <c r="H47" s="1837">
        <v>2162296.67</v>
      </c>
      <c r="I47" s="1670">
        <v>1</v>
      </c>
      <c r="J47" s="1670" t="s">
        <v>65</v>
      </c>
      <c r="K47" s="1670" t="s">
        <v>91</v>
      </c>
      <c r="L47" s="1710">
        <v>44284</v>
      </c>
      <c r="M47" s="1710" t="s">
        <v>17</v>
      </c>
      <c r="N47" s="1714" t="s">
        <v>187</v>
      </c>
      <c r="O47" s="2000" t="s">
        <v>71</v>
      </c>
      <c r="P47" s="1670"/>
      <c r="Q47" s="1670" t="s">
        <v>147</v>
      </c>
      <c r="R47" s="1676"/>
    </row>
    <row r="48" spans="1:18" hidden="1">
      <c r="A48" s="1676">
        <v>46</v>
      </c>
      <c r="B48" s="1670">
        <v>96</v>
      </c>
      <c r="C48" s="1670">
        <v>10632</v>
      </c>
      <c r="D48" s="1670" t="s">
        <v>63</v>
      </c>
      <c r="E48" s="1670">
        <v>63.03</v>
      </c>
      <c r="F48" s="1670" t="s">
        <v>74</v>
      </c>
      <c r="G48" s="1670" t="s">
        <v>84</v>
      </c>
      <c r="H48" s="1841">
        <v>3127674.66</v>
      </c>
      <c r="I48" s="1670">
        <v>2</v>
      </c>
      <c r="J48" s="1670" t="s">
        <v>85</v>
      </c>
      <c r="K48" s="1670" t="s">
        <v>12</v>
      </c>
      <c r="L48" s="1710">
        <v>44299</v>
      </c>
      <c r="M48" s="1710" t="s">
        <v>17</v>
      </c>
      <c r="N48" s="1714" t="s">
        <v>188</v>
      </c>
      <c r="O48" s="1670" t="s">
        <v>67</v>
      </c>
      <c r="P48" s="1670"/>
      <c r="Q48" s="1670" t="s">
        <v>72</v>
      </c>
      <c r="R48" s="1676"/>
    </row>
    <row r="49" spans="1:19" hidden="1">
      <c r="A49" s="1676">
        <v>47</v>
      </c>
      <c r="B49" s="1670">
        <v>34</v>
      </c>
      <c r="C49" s="1670">
        <v>10544</v>
      </c>
      <c r="D49" s="1670" t="s">
        <v>63</v>
      </c>
      <c r="E49" s="1670">
        <v>59.96</v>
      </c>
      <c r="F49" s="1670" t="s">
        <v>121</v>
      </c>
      <c r="G49" s="1670" t="s">
        <v>16</v>
      </c>
      <c r="H49" s="1841">
        <v>3359826.14</v>
      </c>
      <c r="I49" s="1670">
        <v>2</v>
      </c>
      <c r="J49" s="1670" t="s">
        <v>65</v>
      </c>
      <c r="K49" s="1670" t="s">
        <v>18</v>
      </c>
      <c r="L49" s="1710">
        <v>44302</v>
      </c>
      <c r="M49" s="1710" t="s">
        <v>17</v>
      </c>
      <c r="N49" s="1714" t="s">
        <v>189</v>
      </c>
      <c r="O49" s="2000" t="s">
        <v>71</v>
      </c>
      <c r="P49" s="1670"/>
      <c r="Q49" s="1676" t="s">
        <v>190</v>
      </c>
      <c r="R49" s="1676" t="s">
        <v>191</v>
      </c>
    </row>
    <row r="50" spans="1:19" s="1997" customFormat="1" hidden="1">
      <c r="A50" s="1676">
        <v>48</v>
      </c>
      <c r="B50" s="1670">
        <v>284</v>
      </c>
      <c r="C50" s="1670">
        <v>10019</v>
      </c>
      <c r="D50" s="1670" t="s">
        <v>20</v>
      </c>
      <c r="E50" s="1673">
        <v>63.88</v>
      </c>
      <c r="F50" s="1670" t="s">
        <v>74</v>
      </c>
      <c r="G50" s="1670" t="s">
        <v>84</v>
      </c>
      <c r="H50" s="1837">
        <v>3308664.6</v>
      </c>
      <c r="I50" s="1670">
        <v>2</v>
      </c>
      <c r="J50" s="1670" t="s">
        <v>85</v>
      </c>
      <c r="K50" s="1670" t="s">
        <v>18</v>
      </c>
      <c r="L50" s="1710">
        <v>44301</v>
      </c>
      <c r="M50" s="1710" t="s">
        <v>11</v>
      </c>
      <c r="N50" s="1714" t="s">
        <v>192</v>
      </c>
      <c r="O50" s="2000" t="s">
        <v>71</v>
      </c>
      <c r="P50" s="1670"/>
      <c r="Q50" s="1670" t="s">
        <v>147</v>
      </c>
      <c r="R50" s="1676" t="s">
        <v>193</v>
      </c>
      <c r="S50" s="1652"/>
    </row>
    <row r="51" spans="1:19" hidden="1">
      <c r="A51" s="1676">
        <v>49</v>
      </c>
      <c r="B51" s="1670">
        <v>72</v>
      </c>
      <c r="C51" s="1670">
        <v>9837</v>
      </c>
      <c r="D51" s="1670" t="s">
        <v>20</v>
      </c>
      <c r="E51" s="1673">
        <v>58.99</v>
      </c>
      <c r="F51" s="1670" t="s">
        <v>121</v>
      </c>
      <c r="G51" s="1670" t="s">
        <v>16</v>
      </c>
      <c r="H51" s="1837">
        <v>2733280.24</v>
      </c>
      <c r="I51" s="1670">
        <v>2</v>
      </c>
      <c r="J51" s="1670" t="s">
        <v>65</v>
      </c>
      <c r="K51" s="1670" t="s">
        <v>18</v>
      </c>
      <c r="L51" s="1710">
        <v>44294</v>
      </c>
      <c r="M51" s="1710" t="s">
        <v>17</v>
      </c>
      <c r="N51" s="1714" t="s">
        <v>194</v>
      </c>
      <c r="O51" s="2000" t="s">
        <v>71</v>
      </c>
      <c r="P51" s="1670"/>
      <c r="Q51" s="1670" t="s">
        <v>147</v>
      </c>
      <c r="R51" s="1676"/>
    </row>
    <row r="52" spans="1:19" hidden="1">
      <c r="A52" s="1676">
        <v>50</v>
      </c>
      <c r="B52" s="1712">
        <v>237</v>
      </c>
      <c r="C52" s="1670">
        <v>8810</v>
      </c>
      <c r="D52" s="1670" t="s">
        <v>63</v>
      </c>
      <c r="E52" s="1673">
        <v>25.91</v>
      </c>
      <c r="F52" s="1712" t="s">
        <v>121</v>
      </c>
      <c r="G52" s="1670" t="s">
        <v>84</v>
      </c>
      <c r="H52" s="1837">
        <v>1531281</v>
      </c>
      <c r="I52" s="1670">
        <v>0</v>
      </c>
      <c r="J52" s="1670" t="s">
        <v>130</v>
      </c>
      <c r="K52" s="1670" t="s">
        <v>18</v>
      </c>
      <c r="L52" s="1710">
        <v>44309</v>
      </c>
      <c r="M52" s="1710" t="s">
        <v>11</v>
      </c>
      <c r="N52" s="1714" t="s">
        <v>195</v>
      </c>
      <c r="O52" s="1670" t="s">
        <v>67</v>
      </c>
      <c r="P52" s="1670"/>
      <c r="Q52" s="1676" t="s">
        <v>72</v>
      </c>
      <c r="R52" s="1676" t="s">
        <v>124</v>
      </c>
    </row>
    <row r="53" spans="1:19" hidden="1">
      <c r="A53" s="1676">
        <v>51</v>
      </c>
      <c r="B53" s="1670">
        <v>179</v>
      </c>
      <c r="C53" s="1670">
        <v>10916</v>
      </c>
      <c r="D53" s="1670" t="s">
        <v>77</v>
      </c>
      <c r="E53" s="1673">
        <v>24.23</v>
      </c>
      <c r="F53" s="1712" t="s">
        <v>121</v>
      </c>
      <c r="G53" s="1670" t="s">
        <v>84</v>
      </c>
      <c r="H53" s="1837">
        <v>1320618.8400000001</v>
      </c>
      <c r="I53" s="1670">
        <v>0</v>
      </c>
      <c r="J53" s="1670" t="s">
        <v>130</v>
      </c>
      <c r="K53" s="1670" t="s">
        <v>18</v>
      </c>
      <c r="L53" s="1710">
        <v>44294</v>
      </c>
      <c r="M53" s="1710" t="s">
        <v>11</v>
      </c>
      <c r="N53" s="1714" t="s">
        <v>196</v>
      </c>
      <c r="O53" s="1670" t="s">
        <v>67</v>
      </c>
      <c r="P53" s="1670"/>
      <c r="Q53" s="1670" t="s">
        <v>79</v>
      </c>
      <c r="R53" s="1676"/>
    </row>
    <row r="54" spans="1:19" hidden="1">
      <c r="A54" s="1676">
        <v>52</v>
      </c>
      <c r="B54" s="1670">
        <v>205</v>
      </c>
      <c r="C54" s="1670">
        <v>10482</v>
      </c>
      <c r="D54" s="1670" t="s">
        <v>77</v>
      </c>
      <c r="E54" s="1673">
        <v>25.85</v>
      </c>
      <c r="F54" s="1712" t="s">
        <v>121</v>
      </c>
      <c r="G54" s="1670" t="s">
        <v>84</v>
      </c>
      <c r="H54" s="1837">
        <v>1527735</v>
      </c>
      <c r="I54" s="1670">
        <v>0</v>
      </c>
      <c r="J54" s="1670" t="s">
        <v>130</v>
      </c>
      <c r="K54" s="1670" t="s">
        <v>18</v>
      </c>
      <c r="L54" s="1710">
        <v>44307</v>
      </c>
      <c r="M54" s="1710" t="s">
        <v>11</v>
      </c>
      <c r="N54" s="1714" t="s">
        <v>197</v>
      </c>
      <c r="O54" s="1670" t="s">
        <v>67</v>
      </c>
      <c r="P54" s="1670"/>
      <c r="Q54" s="1670" t="s">
        <v>79</v>
      </c>
      <c r="R54" s="1676" t="s">
        <v>198</v>
      </c>
    </row>
    <row r="55" spans="1:19" hidden="1">
      <c r="A55" s="1676">
        <v>53</v>
      </c>
      <c r="B55" s="1670">
        <v>77</v>
      </c>
      <c r="C55" s="1670">
        <v>10741</v>
      </c>
      <c r="D55" s="1670" t="s">
        <v>77</v>
      </c>
      <c r="E55" s="1673">
        <v>58.17</v>
      </c>
      <c r="F55" s="1712" t="s">
        <v>121</v>
      </c>
      <c r="G55" s="1670" t="s">
        <v>16</v>
      </c>
      <c r="H55" s="1837">
        <v>2561600.88</v>
      </c>
      <c r="I55" s="1670">
        <v>2</v>
      </c>
      <c r="J55" s="1670" t="s">
        <v>65</v>
      </c>
      <c r="K55" s="1670" t="s">
        <v>18</v>
      </c>
      <c r="L55" s="1710">
        <v>44298</v>
      </c>
      <c r="M55" s="1710" t="s">
        <v>17</v>
      </c>
      <c r="N55" s="1714" t="s">
        <v>199</v>
      </c>
      <c r="O55" s="1670" t="s">
        <v>67</v>
      </c>
      <c r="P55" s="1670"/>
      <c r="Q55" s="1670" t="s">
        <v>79</v>
      </c>
      <c r="R55" s="1676" t="s">
        <v>200</v>
      </c>
    </row>
    <row r="56" spans="1:19" hidden="1">
      <c r="A56" s="1676">
        <v>54</v>
      </c>
      <c r="B56" s="1670">
        <v>284</v>
      </c>
      <c r="C56" s="1670">
        <v>9378</v>
      </c>
      <c r="D56" s="1670" t="s">
        <v>77</v>
      </c>
      <c r="E56" s="1673">
        <v>38.22</v>
      </c>
      <c r="F56" s="1712" t="s">
        <v>121</v>
      </c>
      <c r="G56" s="1670" t="s">
        <v>16</v>
      </c>
      <c r="H56" s="1837">
        <v>2126734.14</v>
      </c>
      <c r="I56" s="1670">
        <v>1</v>
      </c>
      <c r="J56" s="1670" t="s">
        <v>65</v>
      </c>
      <c r="K56" s="1670" t="s">
        <v>12</v>
      </c>
      <c r="L56" s="1710">
        <v>44312</v>
      </c>
      <c r="M56" s="1710" t="s">
        <v>17</v>
      </c>
      <c r="N56" s="1714" t="s">
        <v>201</v>
      </c>
      <c r="O56" s="2000" t="s">
        <v>71</v>
      </c>
      <c r="P56" s="1670" t="s">
        <v>202</v>
      </c>
      <c r="Q56" s="1670" t="s">
        <v>79</v>
      </c>
      <c r="R56" s="1676" t="s">
        <v>203</v>
      </c>
    </row>
    <row r="57" spans="1:19" hidden="1">
      <c r="A57" s="1676">
        <v>55</v>
      </c>
      <c r="B57" s="1670">
        <v>259</v>
      </c>
      <c r="C57" s="1670">
        <v>10720</v>
      </c>
      <c r="D57" s="1670" t="s">
        <v>77</v>
      </c>
      <c r="E57" s="1673">
        <v>25.91</v>
      </c>
      <c r="F57" s="1712" t="s">
        <v>121</v>
      </c>
      <c r="G57" s="1670" t="s">
        <v>16</v>
      </c>
      <c r="H57" s="1837">
        <v>1516281</v>
      </c>
      <c r="I57" s="1670">
        <v>0</v>
      </c>
      <c r="J57" s="1670" t="s">
        <v>65</v>
      </c>
      <c r="K57" s="1670" t="s">
        <v>12</v>
      </c>
      <c r="L57" s="1710">
        <v>44309</v>
      </c>
      <c r="M57" s="1710" t="s">
        <v>17</v>
      </c>
      <c r="N57" s="1714" t="s">
        <v>204</v>
      </c>
      <c r="O57" s="2000" t="s">
        <v>71</v>
      </c>
      <c r="P57" s="1670" t="s">
        <v>205</v>
      </c>
      <c r="Q57" s="1670" t="s">
        <v>79</v>
      </c>
      <c r="R57" s="1676" t="s">
        <v>203</v>
      </c>
    </row>
    <row r="58" spans="1:19" hidden="1">
      <c r="A58" s="1676">
        <v>56</v>
      </c>
      <c r="B58" s="1670">
        <v>181</v>
      </c>
      <c r="C58" s="1670">
        <v>9060</v>
      </c>
      <c r="D58" s="1670" t="s">
        <v>77</v>
      </c>
      <c r="E58" s="1673">
        <v>60.3</v>
      </c>
      <c r="F58" s="1712" t="s">
        <v>121</v>
      </c>
      <c r="G58" s="1670" t="s">
        <v>84</v>
      </c>
      <c r="H58" s="1837">
        <v>2859681.9</v>
      </c>
      <c r="I58" s="1670">
        <v>2</v>
      </c>
      <c r="J58" s="1670" t="s">
        <v>85</v>
      </c>
      <c r="K58" s="1670" t="s">
        <v>12</v>
      </c>
      <c r="L58" s="1710">
        <v>44309</v>
      </c>
      <c r="M58" s="1710" t="s">
        <v>11</v>
      </c>
      <c r="N58" s="1714" t="s">
        <v>206</v>
      </c>
      <c r="O58" s="1670" t="s">
        <v>67</v>
      </c>
      <c r="P58" s="1670" t="s">
        <v>207</v>
      </c>
      <c r="Q58" s="1670" t="s">
        <v>79</v>
      </c>
      <c r="R58" s="1676" t="s">
        <v>208</v>
      </c>
    </row>
    <row r="59" spans="1:19" hidden="1">
      <c r="A59" s="1676">
        <v>57</v>
      </c>
      <c r="B59" s="1670">
        <v>187</v>
      </c>
      <c r="C59" s="1670">
        <v>9111</v>
      </c>
      <c r="D59" s="1670" t="s">
        <v>77</v>
      </c>
      <c r="E59" s="1673">
        <v>37.89</v>
      </c>
      <c r="F59" s="1712" t="s">
        <v>121</v>
      </c>
      <c r="G59" s="1670" t="s">
        <v>84</v>
      </c>
      <c r="H59" s="1837">
        <v>1937736.93</v>
      </c>
      <c r="I59" s="1670">
        <v>1</v>
      </c>
      <c r="J59" s="1670" t="s">
        <v>85</v>
      </c>
      <c r="K59" s="1670" t="s">
        <v>12</v>
      </c>
      <c r="L59" s="1710">
        <v>44299</v>
      </c>
      <c r="M59" s="1710" t="s">
        <v>11</v>
      </c>
      <c r="N59" s="1714" t="s">
        <v>209</v>
      </c>
      <c r="O59" s="1670" t="s">
        <v>67</v>
      </c>
      <c r="P59" s="1670"/>
      <c r="Q59" s="1670" t="s">
        <v>79</v>
      </c>
      <c r="R59" s="1676" t="s">
        <v>210</v>
      </c>
    </row>
    <row r="60" spans="1:19" hidden="1">
      <c r="A60" s="1676">
        <v>58</v>
      </c>
      <c r="B60" s="1670">
        <v>53</v>
      </c>
      <c r="C60" s="1670">
        <v>9223</v>
      </c>
      <c r="D60" s="1670" t="s">
        <v>73</v>
      </c>
      <c r="E60" s="1673">
        <v>36.86</v>
      </c>
      <c r="F60" s="1670" t="s">
        <v>121</v>
      </c>
      <c r="G60" s="1670" t="s">
        <v>84</v>
      </c>
      <c r="H60" s="1837">
        <v>2065523.82</v>
      </c>
      <c r="I60" s="1670">
        <v>1</v>
      </c>
      <c r="J60" s="1670" t="s">
        <v>85</v>
      </c>
      <c r="K60" s="1670" t="s">
        <v>12</v>
      </c>
      <c r="L60" s="1710">
        <v>44309</v>
      </c>
      <c r="M60" s="1710" t="s">
        <v>11</v>
      </c>
      <c r="N60" s="1714" t="s">
        <v>211</v>
      </c>
      <c r="O60" s="1670" t="s">
        <v>67</v>
      </c>
      <c r="P60" s="1670"/>
      <c r="Q60" s="1670" t="s">
        <v>88</v>
      </c>
      <c r="R60" s="1676"/>
    </row>
    <row r="61" spans="1:19" s="1997" customFormat="1" hidden="1">
      <c r="A61" s="1676">
        <v>59</v>
      </c>
      <c r="B61" s="1670">
        <v>35</v>
      </c>
      <c r="C61" s="1670">
        <v>10974</v>
      </c>
      <c r="D61" s="1670" t="s">
        <v>20</v>
      </c>
      <c r="E61" s="1673">
        <v>58.17</v>
      </c>
      <c r="F61" s="1670" t="s">
        <v>121</v>
      </c>
      <c r="G61" s="1670" t="s">
        <v>84</v>
      </c>
      <c r="H61" s="1837">
        <v>2561600.88</v>
      </c>
      <c r="I61" s="1670">
        <v>2</v>
      </c>
      <c r="J61" s="1670" t="s">
        <v>85</v>
      </c>
      <c r="K61" s="1670" t="s">
        <v>18</v>
      </c>
      <c r="L61" s="1710">
        <v>44306</v>
      </c>
      <c r="M61" s="1710" t="s">
        <v>11</v>
      </c>
      <c r="N61" s="1714" t="s">
        <v>212</v>
      </c>
      <c r="O61" s="1670" t="s">
        <v>67</v>
      </c>
      <c r="P61" s="1670"/>
      <c r="Q61" s="1670" t="s">
        <v>147</v>
      </c>
      <c r="R61" s="1676"/>
      <c r="S61" s="1652"/>
    </row>
    <row r="62" spans="1:19" s="1997" customFormat="1" hidden="1">
      <c r="A62" s="1676">
        <v>60</v>
      </c>
      <c r="B62" s="1670">
        <v>249</v>
      </c>
      <c r="C62" s="1670">
        <v>10810</v>
      </c>
      <c r="D62" s="1670" t="s">
        <v>20</v>
      </c>
      <c r="E62" s="1673">
        <v>25.85</v>
      </c>
      <c r="F62" s="1670" t="s">
        <v>121</v>
      </c>
      <c r="G62" s="1670" t="s">
        <v>84</v>
      </c>
      <c r="H62" s="1837">
        <v>1401716.25</v>
      </c>
      <c r="I62" s="1670">
        <v>0</v>
      </c>
      <c r="J62" s="1670" t="s">
        <v>85</v>
      </c>
      <c r="K62" s="1670" t="s">
        <v>18</v>
      </c>
      <c r="L62" s="1710">
        <v>44306</v>
      </c>
      <c r="M62" s="1710" t="s">
        <v>11</v>
      </c>
      <c r="N62" s="1714" t="s">
        <v>213</v>
      </c>
      <c r="O62" s="1670" t="s">
        <v>67</v>
      </c>
      <c r="P62" s="1670"/>
      <c r="Q62" s="1670" t="s">
        <v>147</v>
      </c>
      <c r="R62" s="1676"/>
      <c r="S62" s="1652"/>
    </row>
    <row r="63" spans="1:19" hidden="1">
      <c r="A63" s="1676">
        <v>61</v>
      </c>
      <c r="B63" s="1670">
        <v>130</v>
      </c>
      <c r="C63" s="1670">
        <v>11017</v>
      </c>
      <c r="D63" s="1670" t="s">
        <v>63</v>
      </c>
      <c r="E63" s="1673">
        <v>36.86</v>
      </c>
      <c r="F63" s="1670" t="s">
        <v>121</v>
      </c>
      <c r="G63" s="1670" t="s">
        <v>16</v>
      </c>
      <c r="H63" s="1837">
        <v>2292212.8199999998</v>
      </c>
      <c r="I63" s="1670">
        <v>1</v>
      </c>
      <c r="J63" s="1670" t="s">
        <v>65</v>
      </c>
      <c r="K63" s="1670" t="s">
        <v>18</v>
      </c>
      <c r="L63" s="1710">
        <v>44296</v>
      </c>
      <c r="M63" s="1710" t="s">
        <v>17</v>
      </c>
      <c r="N63" s="1714" t="s">
        <v>214</v>
      </c>
      <c r="O63" s="2000" t="s">
        <v>71</v>
      </c>
      <c r="P63" s="1670"/>
      <c r="Q63" s="1676" t="s">
        <v>72</v>
      </c>
      <c r="R63" s="1676"/>
    </row>
    <row r="64" spans="1:19" hidden="1">
      <c r="A64" s="1676">
        <v>62</v>
      </c>
      <c r="B64" s="1670">
        <v>206</v>
      </c>
      <c r="C64" s="1670">
        <v>10399</v>
      </c>
      <c r="D64" s="1670" t="s">
        <v>73</v>
      </c>
      <c r="E64" s="1673">
        <v>38.83</v>
      </c>
      <c r="F64" s="1670" t="s">
        <v>121</v>
      </c>
      <c r="G64" s="1670" t="s">
        <v>16</v>
      </c>
      <c r="H64" s="1837">
        <v>2623655.34</v>
      </c>
      <c r="I64" s="1670">
        <v>1</v>
      </c>
      <c r="J64" s="1670" t="s">
        <v>65</v>
      </c>
      <c r="K64" s="1670" t="s">
        <v>12</v>
      </c>
      <c r="L64" s="1710">
        <v>44300</v>
      </c>
      <c r="M64" s="1710" t="s">
        <v>17</v>
      </c>
      <c r="N64" s="1714" t="s">
        <v>215</v>
      </c>
      <c r="O64" s="2000" t="s">
        <v>71</v>
      </c>
      <c r="P64" s="1670"/>
      <c r="Q64" s="1670" t="s">
        <v>88</v>
      </c>
      <c r="R64" s="1676"/>
    </row>
    <row r="65" spans="1:18" hidden="1">
      <c r="A65" s="1676">
        <v>63</v>
      </c>
      <c r="B65" s="1670">
        <v>76</v>
      </c>
      <c r="C65" s="1670">
        <v>11094</v>
      </c>
      <c r="D65" s="1670" t="s">
        <v>63</v>
      </c>
      <c r="E65" s="1673">
        <v>59.96</v>
      </c>
      <c r="F65" s="1670" t="s">
        <v>121</v>
      </c>
      <c r="G65" s="1670" t="s">
        <v>84</v>
      </c>
      <c r="H65" s="1837">
        <v>2640426.14</v>
      </c>
      <c r="I65" s="1670">
        <v>2</v>
      </c>
      <c r="J65" s="1670" t="s">
        <v>130</v>
      </c>
      <c r="K65" s="1670" t="s">
        <v>18</v>
      </c>
      <c r="L65" s="1710">
        <v>44307</v>
      </c>
      <c r="M65" s="1710" t="s">
        <v>11</v>
      </c>
      <c r="N65" s="1714" t="s">
        <v>216</v>
      </c>
      <c r="O65" s="1670" t="s">
        <v>67</v>
      </c>
      <c r="P65" s="1670"/>
      <c r="Q65" s="1676" t="s">
        <v>72</v>
      </c>
      <c r="R65" s="1676" t="s">
        <v>153</v>
      </c>
    </row>
    <row r="66" spans="1:18" hidden="1">
      <c r="A66" s="1676">
        <v>64</v>
      </c>
      <c r="B66" s="1670">
        <v>71</v>
      </c>
      <c r="C66" s="1670">
        <v>11118</v>
      </c>
      <c r="D66" s="1670" t="s">
        <v>63</v>
      </c>
      <c r="E66" s="1673">
        <v>59.52</v>
      </c>
      <c r="F66" s="1670" t="s">
        <v>121</v>
      </c>
      <c r="G66" s="1670" t="s">
        <v>84</v>
      </c>
      <c r="H66" s="1837">
        <v>2621050.1</v>
      </c>
      <c r="I66" s="1670">
        <v>2</v>
      </c>
      <c r="J66" s="1670" t="s">
        <v>85</v>
      </c>
      <c r="K66" s="1670" t="s">
        <v>18</v>
      </c>
      <c r="L66" s="1710">
        <v>44307</v>
      </c>
      <c r="M66" s="1710" t="s">
        <v>11</v>
      </c>
      <c r="N66" s="1714" t="s">
        <v>154</v>
      </c>
      <c r="O66" s="1670" t="s">
        <v>67</v>
      </c>
      <c r="P66" s="1670"/>
      <c r="Q66" s="1676" t="s">
        <v>72</v>
      </c>
      <c r="R66" s="1676" t="s">
        <v>153</v>
      </c>
    </row>
    <row r="67" spans="1:18" hidden="1">
      <c r="A67" s="1676">
        <v>65</v>
      </c>
      <c r="B67" s="1670">
        <v>352</v>
      </c>
      <c r="C67" s="1670">
        <v>11091</v>
      </c>
      <c r="D67" s="1670" t="s">
        <v>77</v>
      </c>
      <c r="E67" s="1673">
        <v>59.13</v>
      </c>
      <c r="F67" s="1670" t="s">
        <v>74</v>
      </c>
      <c r="G67" s="1670" t="s">
        <v>84</v>
      </c>
      <c r="H67" s="1837">
        <v>3120171.84</v>
      </c>
      <c r="I67" s="1670">
        <v>2</v>
      </c>
      <c r="J67" s="1670" t="s">
        <v>85</v>
      </c>
      <c r="K67" s="1670" t="s">
        <v>18</v>
      </c>
      <c r="L67" s="1710">
        <v>44302</v>
      </c>
      <c r="M67" s="1710" t="s">
        <v>17</v>
      </c>
      <c r="N67" s="1714" t="s">
        <v>217</v>
      </c>
      <c r="O67" s="2000" t="s">
        <v>71</v>
      </c>
      <c r="P67" s="1670"/>
      <c r="Q67" s="1670" t="s">
        <v>79</v>
      </c>
      <c r="R67" s="1676"/>
    </row>
    <row r="68" spans="1:18" hidden="1">
      <c r="A68" s="1676">
        <v>66</v>
      </c>
      <c r="B68" s="1670">
        <v>279</v>
      </c>
      <c r="C68" s="1670">
        <v>11033</v>
      </c>
      <c r="D68" s="1670" t="s">
        <v>77</v>
      </c>
      <c r="E68" s="1673">
        <v>56.93</v>
      </c>
      <c r="F68" s="1670" t="s">
        <v>121</v>
      </c>
      <c r="G68" s="1670" t="s">
        <v>16</v>
      </c>
      <c r="H68" s="1837">
        <v>2752304</v>
      </c>
      <c r="I68" s="1670">
        <v>2</v>
      </c>
      <c r="J68" s="1670" t="s">
        <v>65</v>
      </c>
      <c r="K68" s="1670" t="s">
        <v>18</v>
      </c>
      <c r="L68" s="1710">
        <v>44305</v>
      </c>
      <c r="M68" s="1710" t="s">
        <v>17</v>
      </c>
      <c r="N68" s="1714" t="s">
        <v>218</v>
      </c>
      <c r="O68" s="2000" t="s">
        <v>71</v>
      </c>
      <c r="P68" s="1670"/>
      <c r="Q68" s="1676" t="s">
        <v>219</v>
      </c>
      <c r="R68" s="1676"/>
    </row>
    <row r="69" spans="1:18" hidden="1">
      <c r="A69" s="1676">
        <v>67</v>
      </c>
      <c r="B69" s="1670">
        <v>222</v>
      </c>
      <c r="C69" s="1670">
        <v>11125</v>
      </c>
      <c r="D69" s="1670" t="s">
        <v>63</v>
      </c>
      <c r="E69" s="1673">
        <v>60.24</v>
      </c>
      <c r="F69" s="1670" t="s">
        <v>121</v>
      </c>
      <c r="G69" s="1670" t="s">
        <v>16</v>
      </c>
      <c r="H69" s="1837">
        <v>2923836.35</v>
      </c>
      <c r="I69" s="1670">
        <v>2</v>
      </c>
      <c r="J69" s="1670" t="s">
        <v>65</v>
      </c>
      <c r="K69" s="1670" t="s">
        <v>18</v>
      </c>
      <c r="L69" s="1710">
        <v>44306</v>
      </c>
      <c r="M69" s="1710" t="s">
        <v>17</v>
      </c>
      <c r="N69" s="1714" t="s">
        <v>220</v>
      </c>
      <c r="O69" s="2000" t="s">
        <v>71</v>
      </c>
      <c r="P69" s="1670" t="e">
        <v>#NAME?</v>
      </c>
      <c r="Q69" s="1676" t="s">
        <v>72</v>
      </c>
      <c r="R69" s="1676" t="s">
        <v>221</v>
      </c>
    </row>
    <row r="70" spans="1:18" hidden="1">
      <c r="A70" s="1676">
        <v>68</v>
      </c>
      <c r="B70" s="1670">
        <v>172</v>
      </c>
      <c r="C70" s="1670">
        <v>1667</v>
      </c>
      <c r="D70" s="1670" t="s">
        <v>63</v>
      </c>
      <c r="E70" s="1673">
        <v>25.85</v>
      </c>
      <c r="F70" s="1670" t="s">
        <v>121</v>
      </c>
      <c r="G70" s="1670" t="s">
        <v>16</v>
      </c>
      <c r="H70" s="1837">
        <v>1527735</v>
      </c>
      <c r="I70" s="1670">
        <v>0</v>
      </c>
      <c r="J70" s="1670" t="s">
        <v>65</v>
      </c>
      <c r="K70" s="1670" t="s">
        <v>18</v>
      </c>
      <c r="L70" s="1710">
        <v>44300</v>
      </c>
      <c r="M70" s="1710" t="s">
        <v>17</v>
      </c>
      <c r="N70" s="1714" t="s">
        <v>222</v>
      </c>
      <c r="O70" s="2000" t="s">
        <v>71</v>
      </c>
      <c r="P70" s="1670"/>
      <c r="Q70" s="1676" t="s">
        <v>178</v>
      </c>
      <c r="R70" s="1676"/>
    </row>
    <row r="71" spans="1:18" hidden="1">
      <c r="A71" s="1676">
        <v>69</v>
      </c>
      <c r="B71" s="1670">
        <v>281</v>
      </c>
      <c r="C71" s="1670">
        <v>1318</v>
      </c>
      <c r="D71" s="1670" t="s">
        <v>63</v>
      </c>
      <c r="E71" s="1673">
        <v>25.91</v>
      </c>
      <c r="F71" s="1670" t="s">
        <v>121</v>
      </c>
      <c r="G71" s="1670" t="s">
        <v>84</v>
      </c>
      <c r="H71" s="1837">
        <v>1263112.5</v>
      </c>
      <c r="I71" s="1670">
        <v>0</v>
      </c>
      <c r="J71" s="1670" t="s">
        <v>130</v>
      </c>
      <c r="K71" s="1670" t="s">
        <v>12</v>
      </c>
      <c r="L71" s="1710">
        <v>44305</v>
      </c>
      <c r="M71" s="1710" t="s">
        <v>11</v>
      </c>
      <c r="N71" s="1714" t="s">
        <v>223</v>
      </c>
      <c r="O71" s="1670" t="s">
        <v>67</v>
      </c>
      <c r="P71" s="1670"/>
      <c r="Q71" s="1676" t="s">
        <v>72</v>
      </c>
      <c r="R71" s="1676" t="s">
        <v>193</v>
      </c>
    </row>
    <row r="72" spans="1:18" hidden="1">
      <c r="A72" s="1676">
        <v>70</v>
      </c>
      <c r="B72" s="1670">
        <v>149</v>
      </c>
      <c r="C72" s="1670">
        <v>7671</v>
      </c>
      <c r="D72" s="1670" t="s">
        <v>73</v>
      </c>
      <c r="E72" s="1673">
        <v>58.99</v>
      </c>
      <c r="F72" s="1670" t="s">
        <v>121</v>
      </c>
      <c r="G72" s="1670" t="s">
        <v>84</v>
      </c>
      <c r="H72" s="1837">
        <v>2891866.77</v>
      </c>
      <c r="I72" s="1670">
        <v>2</v>
      </c>
      <c r="J72" s="1670" t="s">
        <v>85</v>
      </c>
      <c r="K72" s="1670" t="s">
        <v>18</v>
      </c>
      <c r="L72" s="1710">
        <v>44307</v>
      </c>
      <c r="M72" s="1710" t="s">
        <v>11</v>
      </c>
      <c r="N72" s="1714" t="s">
        <v>224</v>
      </c>
      <c r="O72" s="1670" t="s">
        <v>67</v>
      </c>
      <c r="P72" s="1670"/>
      <c r="Q72" s="1670" t="s">
        <v>88</v>
      </c>
      <c r="R72" s="1676"/>
    </row>
    <row r="73" spans="1:18" hidden="1">
      <c r="A73" s="1676">
        <v>71</v>
      </c>
      <c r="B73" s="1670">
        <v>52</v>
      </c>
      <c r="C73" s="1670">
        <v>9865</v>
      </c>
      <c r="D73" s="1670" t="s">
        <v>73</v>
      </c>
      <c r="E73" s="1673">
        <v>76.56</v>
      </c>
      <c r="F73" s="1670" t="s">
        <v>121</v>
      </c>
      <c r="G73" s="1670" t="s">
        <v>16</v>
      </c>
      <c r="H73" s="1837">
        <v>4580742.51</v>
      </c>
      <c r="I73" s="1670">
        <v>3</v>
      </c>
      <c r="J73" s="1670" t="s">
        <v>65</v>
      </c>
      <c r="K73" s="1670" t="s">
        <v>18</v>
      </c>
      <c r="L73" s="1710">
        <v>44307</v>
      </c>
      <c r="M73" s="1710" t="s">
        <v>11</v>
      </c>
      <c r="N73" s="1714" t="s">
        <v>225</v>
      </c>
      <c r="O73" s="1670" t="s">
        <v>67</v>
      </c>
      <c r="P73" s="1670" t="s">
        <v>226</v>
      </c>
      <c r="Q73" s="1670" t="s">
        <v>88</v>
      </c>
      <c r="R73" s="1676"/>
    </row>
    <row r="74" spans="1:18" hidden="1">
      <c r="A74" s="1676">
        <v>72</v>
      </c>
      <c r="B74" s="1670">
        <v>298</v>
      </c>
      <c r="C74" s="1670">
        <v>11311</v>
      </c>
      <c r="D74" s="1670" t="s">
        <v>63</v>
      </c>
      <c r="E74" s="1673">
        <v>60.19</v>
      </c>
      <c r="F74" s="1670" t="s">
        <v>121</v>
      </c>
      <c r="G74" s="1670" t="s">
        <v>16</v>
      </c>
      <c r="H74" s="1837">
        <v>3553404.53</v>
      </c>
      <c r="I74" s="1670">
        <v>2</v>
      </c>
      <c r="J74" s="1670" t="s">
        <v>65</v>
      </c>
      <c r="K74" s="1670" t="s">
        <v>18</v>
      </c>
      <c r="L74" s="1710">
        <v>44303</v>
      </c>
      <c r="M74" s="1710" t="s">
        <v>17</v>
      </c>
      <c r="N74" s="1714" t="s">
        <v>227</v>
      </c>
      <c r="O74" s="2000" t="s">
        <v>71</v>
      </c>
      <c r="P74" s="1670"/>
      <c r="Q74" s="1676" t="s">
        <v>72</v>
      </c>
      <c r="R74" s="1676"/>
    </row>
    <row r="75" spans="1:18" hidden="1">
      <c r="A75" s="1676">
        <v>73</v>
      </c>
      <c r="B75" s="1670">
        <v>133</v>
      </c>
      <c r="C75" s="1670">
        <v>11258</v>
      </c>
      <c r="D75" s="1670" t="s">
        <v>77</v>
      </c>
      <c r="E75" s="1673">
        <v>58.17</v>
      </c>
      <c r="F75" s="1670" t="s">
        <v>121</v>
      </c>
      <c r="G75" s="1670" t="s">
        <v>16</v>
      </c>
      <c r="H75" s="1837">
        <v>2851667.91</v>
      </c>
      <c r="I75" s="1670">
        <v>2</v>
      </c>
      <c r="J75" s="1670" t="s">
        <v>65</v>
      </c>
      <c r="K75" s="1670" t="s">
        <v>18</v>
      </c>
      <c r="L75" s="1710">
        <v>44306</v>
      </c>
      <c r="M75" s="1710" t="s">
        <v>17</v>
      </c>
      <c r="N75" s="1714" t="s">
        <v>228</v>
      </c>
      <c r="O75" s="2000" t="s">
        <v>71</v>
      </c>
      <c r="P75" s="1670"/>
      <c r="Q75" s="1670" t="s">
        <v>79</v>
      </c>
      <c r="R75" s="1676"/>
    </row>
    <row r="76" spans="1:18" hidden="1">
      <c r="A76" s="1676">
        <v>74</v>
      </c>
      <c r="B76" s="1670">
        <v>148</v>
      </c>
      <c r="C76" s="1670">
        <v>10541</v>
      </c>
      <c r="D76" s="1670" t="s">
        <v>20</v>
      </c>
      <c r="E76" s="1673">
        <v>59.52</v>
      </c>
      <c r="F76" s="1670" t="s">
        <v>121</v>
      </c>
      <c r="G76" s="1670" t="s">
        <v>16</v>
      </c>
      <c r="H76" s="1837">
        <v>3185688.96</v>
      </c>
      <c r="I76" s="1670">
        <v>2</v>
      </c>
      <c r="J76" s="1670" t="s">
        <v>65</v>
      </c>
      <c r="K76" s="1670" t="s">
        <v>18</v>
      </c>
      <c r="L76" s="1710">
        <v>44308</v>
      </c>
      <c r="M76" s="1710" t="s">
        <v>17</v>
      </c>
      <c r="N76" s="1714" t="s">
        <v>229</v>
      </c>
      <c r="O76" s="2000" t="s">
        <v>71</v>
      </c>
      <c r="P76" s="1670"/>
      <c r="Q76" s="1670" t="s">
        <v>147</v>
      </c>
      <c r="R76" s="1676"/>
    </row>
    <row r="77" spans="1:18" hidden="1">
      <c r="A77" s="1676">
        <v>75</v>
      </c>
      <c r="B77" s="1670">
        <v>93</v>
      </c>
      <c r="C77" s="1670">
        <v>193</v>
      </c>
      <c r="D77" s="1670" t="s">
        <v>20</v>
      </c>
      <c r="E77" s="1673">
        <v>89.56</v>
      </c>
      <c r="F77" s="1670" t="s">
        <v>74</v>
      </c>
      <c r="G77" s="1670" t="s">
        <v>16</v>
      </c>
      <c r="H77" s="1837">
        <v>3981390.28</v>
      </c>
      <c r="I77" s="1670">
        <v>3</v>
      </c>
      <c r="J77" s="1670" t="s">
        <v>65</v>
      </c>
      <c r="K77" s="1670" t="s">
        <v>18</v>
      </c>
      <c r="L77" s="1710">
        <v>44308</v>
      </c>
      <c r="M77" s="1710" t="s">
        <v>17</v>
      </c>
      <c r="N77" s="1714" t="s">
        <v>230</v>
      </c>
      <c r="O77" s="2000" t="s">
        <v>71</v>
      </c>
      <c r="P77" s="1670"/>
      <c r="Q77" s="1670" t="s">
        <v>147</v>
      </c>
      <c r="R77" s="1676"/>
    </row>
    <row r="78" spans="1:18" hidden="1">
      <c r="A78" s="1676">
        <v>76</v>
      </c>
      <c r="B78" s="1670">
        <v>282</v>
      </c>
      <c r="C78" s="1670">
        <v>5509</v>
      </c>
      <c r="D78" s="1670" t="s">
        <v>77</v>
      </c>
      <c r="E78" s="1673">
        <v>25.85</v>
      </c>
      <c r="F78" s="1670" t="s">
        <v>121</v>
      </c>
      <c r="G78" s="1670" t="s">
        <v>16</v>
      </c>
      <c r="H78" s="1837">
        <v>1285391.25</v>
      </c>
      <c r="I78" s="1670">
        <v>0</v>
      </c>
      <c r="J78" s="1670" t="s">
        <v>65</v>
      </c>
      <c r="K78" s="1670" t="s">
        <v>18</v>
      </c>
      <c r="L78" s="1710">
        <v>44312</v>
      </c>
      <c r="M78" s="1710" t="s">
        <v>17</v>
      </c>
      <c r="N78" s="1714" t="s">
        <v>231</v>
      </c>
      <c r="O78" s="2000" t="s">
        <v>71</v>
      </c>
      <c r="P78" s="1670" t="s">
        <v>202</v>
      </c>
      <c r="Q78" s="1670" t="s">
        <v>79</v>
      </c>
      <c r="R78" s="1676"/>
    </row>
    <row r="79" spans="1:18" hidden="1">
      <c r="A79" s="1676">
        <v>77</v>
      </c>
      <c r="B79" s="1670">
        <v>239</v>
      </c>
      <c r="C79" s="1670">
        <v>11194</v>
      </c>
      <c r="D79" s="1670" t="s">
        <v>77</v>
      </c>
      <c r="E79" s="1673">
        <v>38.83</v>
      </c>
      <c r="F79" s="1670" t="s">
        <v>121</v>
      </c>
      <c r="G79" s="1670" t="s">
        <v>16</v>
      </c>
      <c r="H79" s="1837">
        <v>2026205.34</v>
      </c>
      <c r="I79" s="1670">
        <v>1</v>
      </c>
      <c r="J79" s="1670" t="s">
        <v>65</v>
      </c>
      <c r="K79" s="1670" t="s">
        <v>12</v>
      </c>
      <c r="L79" s="1710">
        <v>44314</v>
      </c>
      <c r="M79" s="1710" t="s">
        <v>17</v>
      </c>
      <c r="N79" s="1714" t="s">
        <v>232</v>
      </c>
      <c r="O79" s="2000" t="s">
        <v>71</v>
      </c>
      <c r="P79" s="1670"/>
      <c r="Q79" s="1670" t="s">
        <v>79</v>
      </c>
      <c r="R79" s="1676"/>
    </row>
    <row r="80" spans="1:18" hidden="1">
      <c r="A80" s="1676">
        <v>78</v>
      </c>
      <c r="B80" s="1670">
        <v>210</v>
      </c>
      <c r="C80" s="1670">
        <v>11107</v>
      </c>
      <c r="D80" s="1670" t="s">
        <v>77</v>
      </c>
      <c r="E80" s="1673">
        <v>60.19</v>
      </c>
      <c r="F80" s="1670" t="s">
        <v>121</v>
      </c>
      <c r="G80" s="1670" t="s">
        <v>84</v>
      </c>
      <c r="H80" s="1837">
        <v>2650555</v>
      </c>
      <c r="I80" s="1670">
        <v>2</v>
      </c>
      <c r="J80" s="1670" t="s">
        <v>130</v>
      </c>
      <c r="K80" s="1670" t="s">
        <v>18</v>
      </c>
      <c r="L80" s="1710">
        <v>44309</v>
      </c>
      <c r="M80" s="1710" t="s">
        <v>11</v>
      </c>
      <c r="N80" s="1714" t="s">
        <v>233</v>
      </c>
      <c r="O80" s="1670" t="s">
        <v>67</v>
      </c>
      <c r="P80" s="1670"/>
      <c r="Q80" s="1676" t="s">
        <v>234</v>
      </c>
      <c r="R80" s="1676"/>
    </row>
    <row r="81" spans="1:18" hidden="1">
      <c r="A81" s="1676">
        <v>79</v>
      </c>
      <c r="B81" s="1670">
        <v>166</v>
      </c>
      <c r="C81" s="1670">
        <v>11323</v>
      </c>
      <c r="D81" s="1670" t="s">
        <v>77</v>
      </c>
      <c r="E81" s="1673">
        <v>60.19</v>
      </c>
      <c r="F81" s="1670" t="s">
        <v>121</v>
      </c>
      <c r="G81" s="1670" t="s">
        <v>16</v>
      </c>
      <c r="H81" s="1837">
        <v>2650554.5299999998</v>
      </c>
      <c r="I81" s="1670">
        <v>2</v>
      </c>
      <c r="J81" s="1670" t="s">
        <v>65</v>
      </c>
      <c r="K81" s="1670" t="s">
        <v>18</v>
      </c>
      <c r="L81" s="1710">
        <v>44309</v>
      </c>
      <c r="M81" s="1710" t="s">
        <v>17</v>
      </c>
      <c r="N81" s="1714" t="s">
        <v>235</v>
      </c>
      <c r="O81" s="1670" t="s">
        <v>67</v>
      </c>
      <c r="P81" s="1670"/>
      <c r="Q81" s="1676" t="s">
        <v>234</v>
      </c>
      <c r="R81" s="1676"/>
    </row>
    <row r="82" spans="1:18" hidden="1">
      <c r="A82" s="1676">
        <v>80</v>
      </c>
      <c r="B82" s="1670">
        <v>74</v>
      </c>
      <c r="C82" s="1670">
        <v>11474</v>
      </c>
      <c r="D82" s="1670" t="s">
        <v>63</v>
      </c>
      <c r="E82" s="1673">
        <v>36.86</v>
      </c>
      <c r="F82" s="1670" t="s">
        <v>121</v>
      </c>
      <c r="G82" s="1670" t="s">
        <v>16</v>
      </c>
      <c r="H82" s="1837">
        <v>1860572.64</v>
      </c>
      <c r="I82" s="1670">
        <v>1</v>
      </c>
      <c r="J82" s="1670" t="s">
        <v>65</v>
      </c>
      <c r="K82" s="1670" t="s">
        <v>18</v>
      </c>
      <c r="L82" s="1710">
        <v>44309</v>
      </c>
      <c r="M82" s="1710" t="s">
        <v>17</v>
      </c>
      <c r="N82" s="1714" t="s">
        <v>236</v>
      </c>
      <c r="O82" s="2000" t="s">
        <v>71</v>
      </c>
      <c r="P82" s="1670"/>
      <c r="Q82" s="1676" t="s">
        <v>72</v>
      </c>
      <c r="R82" s="1676" t="s">
        <v>237</v>
      </c>
    </row>
    <row r="83" spans="1:18" hidden="1">
      <c r="A83" s="1676">
        <v>81</v>
      </c>
      <c r="B83" s="1670">
        <v>267</v>
      </c>
      <c r="C83" s="1670">
        <v>6373</v>
      </c>
      <c r="D83" s="1670" t="s">
        <v>63</v>
      </c>
      <c r="E83" s="1673">
        <v>24.23</v>
      </c>
      <c r="F83" s="1670" t="s">
        <v>121</v>
      </c>
      <c r="G83" s="1670" t="s">
        <v>16</v>
      </c>
      <c r="H83" s="1837">
        <v>1329572.79</v>
      </c>
      <c r="I83" s="1670">
        <v>0</v>
      </c>
      <c r="J83" s="1670" t="s">
        <v>65</v>
      </c>
      <c r="K83" s="1670" t="s">
        <v>18</v>
      </c>
      <c r="L83" s="1710">
        <v>44308</v>
      </c>
      <c r="M83" s="1710" t="s">
        <v>17</v>
      </c>
      <c r="N83" s="1714" t="s">
        <v>238</v>
      </c>
      <c r="O83" s="2000" t="s">
        <v>71</v>
      </c>
      <c r="P83" s="1670"/>
      <c r="Q83" s="1676" t="s">
        <v>239</v>
      </c>
      <c r="R83" s="1676" t="s">
        <v>240</v>
      </c>
    </row>
    <row r="84" spans="1:18" hidden="1">
      <c r="A84" s="1676">
        <v>82</v>
      </c>
      <c r="B84" s="1670">
        <v>105</v>
      </c>
      <c r="C84" s="1670">
        <v>11497</v>
      </c>
      <c r="D84" s="1670" t="s">
        <v>63</v>
      </c>
      <c r="E84" s="1673">
        <v>58.17</v>
      </c>
      <c r="F84" s="1670" t="s">
        <v>121</v>
      </c>
      <c r="G84" s="1670" t="s">
        <v>16</v>
      </c>
      <c r="H84" s="1837">
        <v>3113432.91</v>
      </c>
      <c r="I84" s="1670">
        <v>2</v>
      </c>
      <c r="J84" s="1670" t="s">
        <v>65</v>
      </c>
      <c r="K84" s="1670" t="s">
        <v>18</v>
      </c>
      <c r="L84" s="1710">
        <v>44309</v>
      </c>
      <c r="M84" s="1710" t="s">
        <v>17</v>
      </c>
      <c r="N84" s="1714" t="s">
        <v>241</v>
      </c>
      <c r="O84" s="2000" t="s">
        <v>71</v>
      </c>
      <c r="P84" s="1670"/>
      <c r="Q84" s="1676" t="s">
        <v>72</v>
      </c>
      <c r="R84" s="1676" t="s">
        <v>237</v>
      </c>
    </row>
    <row r="85" spans="1:18" hidden="1">
      <c r="A85" s="1676">
        <v>83</v>
      </c>
      <c r="B85" s="1670">
        <v>29</v>
      </c>
      <c r="C85" s="1670">
        <v>9456</v>
      </c>
      <c r="D85" s="1670" t="s">
        <v>73</v>
      </c>
      <c r="E85" s="1673">
        <v>59.52</v>
      </c>
      <c r="F85" s="1670" t="s">
        <v>121</v>
      </c>
      <c r="G85" s="1670" t="s">
        <v>16</v>
      </c>
      <c r="H85" s="1837">
        <v>2888890.1</v>
      </c>
      <c r="I85" s="1670">
        <v>2</v>
      </c>
      <c r="J85" s="1670" t="s">
        <v>65</v>
      </c>
      <c r="K85" s="1670" t="s">
        <v>18</v>
      </c>
      <c r="L85" s="1710">
        <v>44309</v>
      </c>
      <c r="M85" s="1710" t="s">
        <v>17</v>
      </c>
      <c r="N85" s="1714" t="s">
        <v>242</v>
      </c>
      <c r="O85" s="2000" t="s">
        <v>71</v>
      </c>
      <c r="P85" s="1670"/>
      <c r="Q85" s="1670" t="s">
        <v>88</v>
      </c>
      <c r="R85" s="1676" t="s">
        <v>237</v>
      </c>
    </row>
    <row r="86" spans="1:18" hidden="1">
      <c r="A86" s="1676">
        <v>84</v>
      </c>
      <c r="B86" s="1670">
        <v>113</v>
      </c>
      <c r="C86" s="1670">
        <v>10754</v>
      </c>
      <c r="D86" s="1670" t="s">
        <v>77</v>
      </c>
      <c r="E86" s="1673">
        <v>59.52</v>
      </c>
      <c r="F86" s="1670" t="s">
        <v>121</v>
      </c>
      <c r="G86" s="1670" t="s">
        <v>84</v>
      </c>
      <c r="H86" s="1837">
        <v>3185688.96</v>
      </c>
      <c r="I86" s="1670">
        <v>2</v>
      </c>
      <c r="J86" s="1670" t="s">
        <v>130</v>
      </c>
      <c r="K86" s="1670" t="s">
        <v>18</v>
      </c>
      <c r="L86" s="1710">
        <v>44313</v>
      </c>
      <c r="M86" s="1710" t="s">
        <v>11</v>
      </c>
      <c r="N86" s="1714" t="s">
        <v>243</v>
      </c>
      <c r="O86" s="1670" t="s">
        <v>67</v>
      </c>
      <c r="P86" s="1670"/>
      <c r="Q86" s="1670" t="s">
        <v>79</v>
      </c>
      <c r="R86" s="1676"/>
    </row>
    <row r="87" spans="1:18" hidden="1">
      <c r="A87" s="1676">
        <v>85</v>
      </c>
      <c r="B87" s="1670">
        <v>42</v>
      </c>
      <c r="C87" s="1670">
        <v>10605</v>
      </c>
      <c r="D87" s="1670" t="s">
        <v>20</v>
      </c>
      <c r="E87" s="1673">
        <v>58.17</v>
      </c>
      <c r="F87" s="1670" t="s">
        <v>121</v>
      </c>
      <c r="G87" s="1670" t="s">
        <v>84</v>
      </c>
      <c r="H87" s="1837">
        <v>3113432.91</v>
      </c>
      <c r="I87" s="1670">
        <v>2</v>
      </c>
      <c r="J87" s="1670" t="s">
        <v>130</v>
      </c>
      <c r="K87" s="1670" t="s">
        <v>12</v>
      </c>
      <c r="L87" s="1710">
        <v>44313</v>
      </c>
      <c r="M87" s="1710" t="s">
        <v>11</v>
      </c>
      <c r="N87" s="1714" t="s">
        <v>244</v>
      </c>
      <c r="O87" s="1670" t="s">
        <v>67</v>
      </c>
      <c r="P87" s="1670"/>
      <c r="Q87" s="1670" t="s">
        <v>147</v>
      </c>
      <c r="R87" s="1676"/>
    </row>
    <row r="88" spans="1:18" hidden="1">
      <c r="A88" s="1676">
        <v>86</v>
      </c>
      <c r="B88" s="1670">
        <v>128</v>
      </c>
      <c r="C88" s="1670">
        <v>11493</v>
      </c>
      <c r="D88" s="1670" t="s">
        <v>63</v>
      </c>
      <c r="E88" s="1673">
        <v>58.99</v>
      </c>
      <c r="F88" s="1670" t="s">
        <v>121</v>
      </c>
      <c r="G88" s="1670" t="s">
        <v>16</v>
      </c>
      <c r="H88" s="1837">
        <v>3157321.77</v>
      </c>
      <c r="I88" s="1670">
        <v>2</v>
      </c>
      <c r="J88" s="1670" t="s">
        <v>65</v>
      </c>
      <c r="K88" s="1670" t="s">
        <v>18</v>
      </c>
      <c r="L88" s="1710">
        <v>44316</v>
      </c>
      <c r="M88" s="1710" t="s">
        <v>17</v>
      </c>
      <c r="N88" s="1714" t="s">
        <v>245</v>
      </c>
      <c r="O88" s="2000" t="s">
        <v>71</v>
      </c>
      <c r="P88" s="1670"/>
      <c r="Q88" s="1676" t="s">
        <v>72</v>
      </c>
      <c r="R88" s="1676" t="s">
        <v>246</v>
      </c>
    </row>
    <row r="89" spans="1:18" hidden="1">
      <c r="A89" s="1676">
        <v>87</v>
      </c>
      <c r="B89" s="1676">
        <v>194</v>
      </c>
      <c r="C89" s="1676">
        <v>10877</v>
      </c>
      <c r="D89" s="1676" t="s">
        <v>73</v>
      </c>
      <c r="E89" s="1676">
        <v>25.91</v>
      </c>
      <c r="F89" s="1676" t="s">
        <v>121</v>
      </c>
      <c r="G89" s="1676" t="s">
        <v>84</v>
      </c>
      <c r="H89" s="1837">
        <v>1531281</v>
      </c>
      <c r="I89" s="1676">
        <v>0</v>
      </c>
      <c r="J89" s="1676" t="s">
        <v>130</v>
      </c>
      <c r="K89" s="1676" t="s">
        <v>12</v>
      </c>
      <c r="L89" s="1720">
        <v>44315</v>
      </c>
      <c r="M89" s="1720" t="s">
        <v>11</v>
      </c>
      <c r="N89" s="1807" t="s">
        <v>247</v>
      </c>
      <c r="O89" s="1670" t="s">
        <v>67</v>
      </c>
      <c r="P89" s="1676"/>
      <c r="Q89" s="1670" t="s">
        <v>248</v>
      </c>
      <c r="R89" s="1670"/>
    </row>
    <row r="90" spans="1:18" s="1997" customFormat="1" hidden="1">
      <c r="A90" s="1676">
        <v>88</v>
      </c>
      <c r="B90" s="1676">
        <v>73</v>
      </c>
      <c r="C90" s="1676">
        <v>5590</v>
      </c>
      <c r="D90" s="1676" t="s">
        <v>20</v>
      </c>
      <c r="E90" s="1676">
        <v>76.56</v>
      </c>
      <c r="F90" s="1676" t="s">
        <v>121</v>
      </c>
      <c r="G90" s="1676" t="s">
        <v>16</v>
      </c>
      <c r="H90" s="1837">
        <v>3776862.51</v>
      </c>
      <c r="I90" s="1676">
        <v>3</v>
      </c>
      <c r="J90" s="1676" t="s">
        <v>65</v>
      </c>
      <c r="K90" s="1676" t="s">
        <v>18</v>
      </c>
      <c r="L90" s="1720">
        <v>44315</v>
      </c>
      <c r="M90" s="1720" t="s">
        <v>17</v>
      </c>
      <c r="N90" s="1807" t="s">
        <v>249</v>
      </c>
      <c r="O90" s="2000" t="s">
        <v>71</v>
      </c>
      <c r="P90" s="1676"/>
      <c r="Q90" s="1670" t="s">
        <v>147</v>
      </c>
      <c r="R90" s="1670"/>
    </row>
    <row r="91" spans="1:18" s="1997" customFormat="1" hidden="1">
      <c r="A91" s="1676">
        <v>89</v>
      </c>
      <c r="B91" s="1676">
        <v>10</v>
      </c>
      <c r="C91" s="1676">
        <v>10835</v>
      </c>
      <c r="D91" s="1676" t="s">
        <v>20</v>
      </c>
      <c r="E91" s="1676">
        <v>76.56</v>
      </c>
      <c r="F91" s="1676" t="s">
        <v>121</v>
      </c>
      <c r="G91" s="1676" t="s">
        <v>16</v>
      </c>
      <c r="H91" s="1837">
        <v>3776862.51</v>
      </c>
      <c r="I91" s="1676">
        <v>3</v>
      </c>
      <c r="J91" s="1676" t="s">
        <v>65</v>
      </c>
      <c r="K91" s="1676" t="s">
        <v>18</v>
      </c>
      <c r="L91" s="1720">
        <v>44316</v>
      </c>
      <c r="M91" s="1720" t="s">
        <v>17</v>
      </c>
      <c r="N91" s="1807" t="s">
        <v>250</v>
      </c>
      <c r="O91" s="1954" t="s">
        <v>71</v>
      </c>
      <c r="P91" s="1676"/>
      <c r="Q91" s="1670" t="s">
        <v>147</v>
      </c>
      <c r="R91" s="1670"/>
    </row>
    <row r="92" spans="1:18" hidden="1">
      <c r="A92" s="1676">
        <v>90</v>
      </c>
      <c r="B92" s="1676">
        <v>299</v>
      </c>
      <c r="C92" s="1676">
        <v>11615</v>
      </c>
      <c r="D92" s="1676" t="s">
        <v>20</v>
      </c>
      <c r="E92" s="1676">
        <v>60.24</v>
      </c>
      <c r="F92" s="1676" t="s">
        <v>121</v>
      </c>
      <c r="G92" s="1676" t="s">
        <v>16</v>
      </c>
      <c r="H92" s="1837">
        <v>2652756.35</v>
      </c>
      <c r="I92" s="1676">
        <v>2</v>
      </c>
      <c r="J92" s="1676" t="s">
        <v>65</v>
      </c>
      <c r="K92" s="1676" t="s">
        <v>18</v>
      </c>
      <c r="L92" s="1720">
        <v>44316</v>
      </c>
      <c r="M92" s="1720" t="s">
        <v>17</v>
      </c>
      <c r="N92" s="1807" t="s">
        <v>251</v>
      </c>
      <c r="O92" s="2000" t="s">
        <v>71</v>
      </c>
      <c r="P92" s="1676"/>
      <c r="Q92" s="1670" t="s">
        <v>147</v>
      </c>
      <c r="R92" s="1670"/>
    </row>
    <row r="93" spans="1:18" hidden="1">
      <c r="A93" s="1676">
        <v>91</v>
      </c>
      <c r="B93" s="1676">
        <v>227</v>
      </c>
      <c r="C93" s="1676">
        <v>11576</v>
      </c>
      <c r="D93" s="1676" t="s">
        <v>77</v>
      </c>
      <c r="E93" s="1676">
        <v>25.85</v>
      </c>
      <c r="F93" s="1670" t="s">
        <v>121</v>
      </c>
      <c r="G93" s="1670" t="s">
        <v>16</v>
      </c>
      <c r="H93" s="1837">
        <v>1799160</v>
      </c>
      <c r="I93" s="1676">
        <v>0</v>
      </c>
      <c r="J93" s="1670" t="s">
        <v>65</v>
      </c>
      <c r="K93" s="1670" t="s">
        <v>18</v>
      </c>
      <c r="L93" s="1720">
        <v>44316</v>
      </c>
      <c r="M93" s="1710" t="s">
        <v>17</v>
      </c>
      <c r="N93" s="1807" t="s">
        <v>252</v>
      </c>
      <c r="O93" s="2000" t="s">
        <v>71</v>
      </c>
      <c r="P93" s="1676"/>
      <c r="Q93" s="1670" t="s">
        <v>79</v>
      </c>
      <c r="R93" s="1670"/>
    </row>
    <row r="94" spans="1:18" hidden="1">
      <c r="A94" s="1676">
        <v>92</v>
      </c>
      <c r="B94" s="1676">
        <v>221</v>
      </c>
      <c r="C94" s="1676">
        <v>10944</v>
      </c>
      <c r="D94" s="1676" t="s">
        <v>73</v>
      </c>
      <c r="E94" s="1676">
        <v>60.19</v>
      </c>
      <c r="F94" s="1670" t="s">
        <v>121</v>
      </c>
      <c r="G94" s="1670" t="s">
        <v>16</v>
      </c>
      <c r="H94" s="1837">
        <v>3051338.67</v>
      </c>
      <c r="I94" s="1676">
        <v>2</v>
      </c>
      <c r="J94" s="1670" t="s">
        <v>65</v>
      </c>
      <c r="K94" s="1670" t="s">
        <v>18</v>
      </c>
      <c r="L94" s="1720">
        <v>44316</v>
      </c>
      <c r="M94" s="1710" t="s">
        <v>17</v>
      </c>
      <c r="N94" s="1807" t="s">
        <v>253</v>
      </c>
      <c r="O94" s="2000" t="s">
        <v>71</v>
      </c>
      <c r="P94" s="1676"/>
      <c r="Q94" s="1670" t="s">
        <v>88</v>
      </c>
      <c r="R94" s="1670"/>
    </row>
    <row r="95" spans="1:18" hidden="1">
      <c r="A95" s="1672"/>
      <c r="B95" s="1672"/>
      <c r="C95" s="1672"/>
      <c r="D95" s="1672"/>
      <c r="E95" s="1672"/>
      <c r="F95" s="2004"/>
      <c r="G95" s="2004"/>
      <c r="H95" s="2005"/>
      <c r="I95" s="2008"/>
      <c r="J95" s="2004"/>
      <c r="K95" s="2004"/>
      <c r="L95" s="2009"/>
      <c r="M95" s="2010"/>
      <c r="N95" s="2011"/>
      <c r="O95" s="1816"/>
      <c r="P95" s="1672"/>
      <c r="Q95" s="1739"/>
      <c r="R95" s="1739"/>
    </row>
    <row r="96" spans="1:18" customFormat="1" hidden="1">
      <c r="A96" s="1854"/>
      <c r="B96" s="1843"/>
      <c r="C96" s="1843"/>
      <c r="D96" s="1843"/>
      <c r="E96" s="1843"/>
      <c r="F96" s="1843"/>
      <c r="G96" s="1843"/>
      <c r="H96" s="1844"/>
      <c r="I96" s="1843"/>
      <c r="J96" s="1843"/>
      <c r="K96" s="1843"/>
      <c r="L96" s="1853"/>
      <c r="M96" s="1853"/>
      <c r="N96" s="2012"/>
      <c r="O96" s="1854"/>
      <c r="P96" s="1843"/>
      <c r="Q96" s="1854"/>
      <c r="R96" s="1854"/>
    </row>
    <row r="97" spans="1:19" customFormat="1" ht="15.75" hidden="1">
      <c r="A97" s="1785"/>
      <c r="B97" s="1680">
        <f>SUM(E4:E96)</f>
        <v>4591.2699999999995</v>
      </c>
      <c r="C97" s="1681">
        <f>SUM(H4:H96)</f>
        <v>233220923.24999991</v>
      </c>
      <c r="D97" s="1682">
        <f>SUM(H4:H96)</f>
        <v>233220923.24999991</v>
      </c>
      <c r="F97" s="1785"/>
      <c r="G97" s="1786"/>
      <c r="N97" s="1817"/>
      <c r="O97" s="1817"/>
      <c r="Q97" s="1817"/>
    </row>
    <row r="98" spans="1:19" customFormat="1">
      <c r="A98" s="1785"/>
      <c r="B98" s="1785"/>
      <c r="D98" s="1785"/>
      <c r="E98" s="1787"/>
      <c r="F98" s="1785"/>
      <c r="H98" s="1785"/>
      <c r="I98" s="1785"/>
      <c r="K98" s="58"/>
      <c r="L98" s="1785"/>
      <c r="M98" s="1785"/>
      <c r="N98" s="1817"/>
      <c r="O98" s="1785"/>
      <c r="Q98" s="1817"/>
    </row>
    <row r="99" spans="1:19" customFormat="1">
      <c r="A99" s="1884" t="s">
        <v>254</v>
      </c>
      <c r="B99" s="1885"/>
      <c r="C99" s="1885"/>
      <c r="D99" s="1885"/>
      <c r="E99" s="1885"/>
      <c r="F99" s="1885"/>
      <c r="G99" s="1885"/>
      <c r="H99" s="1885"/>
      <c r="I99" s="1885"/>
      <c r="J99" s="1885"/>
      <c r="K99" s="1885"/>
      <c r="L99" s="1885"/>
      <c r="M99" s="1958"/>
      <c r="N99" s="1817"/>
      <c r="O99" s="1785"/>
      <c r="Q99" s="1817"/>
      <c r="S99" s="1860" t="s">
        <v>255</v>
      </c>
    </row>
    <row r="100" spans="1:19" customFormat="1" ht="27" customHeight="1">
      <c r="A100" s="1886" t="s">
        <v>1</v>
      </c>
      <c r="B100" s="1887" t="s">
        <v>100</v>
      </c>
      <c r="C100" s="1887" t="s">
        <v>97</v>
      </c>
      <c r="D100" s="1888" t="s">
        <v>95</v>
      </c>
      <c r="E100" s="1889" t="s">
        <v>101</v>
      </c>
      <c r="F100" s="1888" t="s">
        <v>98</v>
      </c>
      <c r="G100" s="1888" t="s">
        <v>96</v>
      </c>
      <c r="H100" s="1890" t="s">
        <v>102</v>
      </c>
      <c r="I100" s="1890" t="s">
        <v>99</v>
      </c>
      <c r="J100" s="1959" t="s">
        <v>103</v>
      </c>
      <c r="K100" s="1959" t="s">
        <v>104</v>
      </c>
      <c r="L100" s="1959" t="s">
        <v>105</v>
      </c>
      <c r="M100" s="1960" t="s">
        <v>106</v>
      </c>
      <c r="N100" s="1817"/>
      <c r="O100" s="1785"/>
      <c r="Q100" s="1817"/>
      <c r="S100" s="1861" t="s">
        <v>256</v>
      </c>
    </row>
    <row r="101" spans="1:19" customFormat="1" ht="15" hidden="1" customHeight="1">
      <c r="A101" s="1901" t="s">
        <v>109</v>
      </c>
      <c r="B101" s="1899">
        <f>$B$106/$D$106*D101</f>
        <v>0</v>
      </c>
      <c r="C101" s="1900">
        <f>$C$106/$D$106*D101</f>
        <v>0</v>
      </c>
      <c r="D101" s="1901"/>
      <c r="E101" s="1902">
        <f>SUMIFS($E$3:$E$52,$D$3:$D$52,A101,$F$3:$F$52,"Дом 1")</f>
        <v>0</v>
      </c>
      <c r="F101" s="1900">
        <f>SUMIFS($H$3:$H$52,$D$3:$D$52,A101,$F$3:$F$52,"Дом 1")</f>
        <v>0</v>
      </c>
      <c r="G101" s="1903">
        <f>COUNTIFS($D$2:$D$52,A101,$F$2:$F$52,"Дом 1")</f>
        <v>0</v>
      </c>
      <c r="H101" s="1920" t="e">
        <f t="shared" ref="H101:I106" si="0">E101/B101</f>
        <v>#DIV/0!</v>
      </c>
      <c r="I101" s="1972" t="e">
        <f t="shared" si="0"/>
        <v>#DIV/0!</v>
      </c>
      <c r="J101" s="1965">
        <f>COUNTIFS($I$3:$I$52,0,$D$3:$D$52,A101,$F$3:$F$52,"Дом 1")</f>
        <v>0</v>
      </c>
      <c r="K101" s="1965">
        <f>COUNTIFS($I$3:$I$52,1,$D$3:$D$52,A101,$F$3:$F$52,"Дом 1")</f>
        <v>0</v>
      </c>
      <c r="L101" s="1965">
        <f>COUNTIFS($I$3:$I$52,2,$D$3:$D$52,A101,$F$3:$F$52,"Дом 1")</f>
        <v>0</v>
      </c>
      <c r="M101" s="1965">
        <f>COUNTIFS($I$3:$I$52,3,$D$3:$D$52,A101,$F$3:$F$52,"Дом 1")</f>
        <v>0</v>
      </c>
      <c r="N101" s="1817"/>
      <c r="O101" s="1817"/>
      <c r="Q101" s="1817"/>
      <c r="S101" s="1873"/>
    </row>
    <row r="102" spans="1:19" customFormat="1" ht="24.75" customHeight="1">
      <c r="A102" s="1641" t="s">
        <v>73</v>
      </c>
      <c r="B102" s="1899">
        <f>$B$106/$D$106*D102</f>
        <v>124.28571428571429</v>
      </c>
      <c r="C102" s="1900">
        <f>$C$106/$D$106*D102</f>
        <v>6368273.5572507996</v>
      </c>
      <c r="D102" s="1901">
        <v>2</v>
      </c>
      <c r="E102" s="1902">
        <f>SUMIFS($E$3:$E$96,$D$3:$D$96,A102,$F$3:$F$96,"Дом 1")</f>
        <v>0</v>
      </c>
      <c r="F102" s="1900">
        <f>SUMIFS($H$3:$H$96,$D$3:$D$96,A102,$F$3:$F$96,"Дом 1")</f>
        <v>0</v>
      </c>
      <c r="G102" s="1903">
        <f>COUNTIFS($D$2:$D$96,A102,$F$2:$F$96,"Дом 1")</f>
        <v>0</v>
      </c>
      <c r="H102" s="1904">
        <f t="shared" si="0"/>
        <v>0</v>
      </c>
      <c r="I102" s="1964">
        <f t="shared" si="0"/>
        <v>0</v>
      </c>
      <c r="J102" s="1965">
        <f>COUNTIFS($I$3:$I$96,0,$D$3:$D$96,A102,$F$3:$F$96,"Дом 1")</f>
        <v>0</v>
      </c>
      <c r="K102" s="1965">
        <f>COUNTIFS($I$3:$I$96,1,$D$3:$D$96,A102,$F$3:$F$96,"Дом 1")</f>
        <v>0</v>
      </c>
      <c r="L102" s="1965">
        <f>COUNTIFS($I$3:$I$96,2,$D$3:$D$96,A102,$F$3:$F$96,"Дом 1")</f>
        <v>0</v>
      </c>
      <c r="M102" s="1965">
        <f>COUNTIFS($I$3:$I$96,3,$D$3:$D$96,A102,$F$3:$F$96,"Дом 1")</f>
        <v>0</v>
      </c>
      <c r="N102" s="1817"/>
      <c r="O102" s="1785"/>
      <c r="Q102" s="1817"/>
      <c r="S102" s="1876"/>
    </row>
    <row r="103" spans="1:19" customFormat="1">
      <c r="A103" s="1641" t="s">
        <v>20</v>
      </c>
      <c r="B103" s="1899">
        <f>$B$106/$D$106*D103</f>
        <v>124.28571428571429</v>
      </c>
      <c r="C103" s="1900">
        <f>$C$106/$D$106*D103</f>
        <v>6368273.5572507996</v>
      </c>
      <c r="D103" s="1901">
        <v>2</v>
      </c>
      <c r="E103" s="1902">
        <f>SUMIFS($E$3:$E$96,$D$3:$D$96,A103,$F$3:$F$96,"Дом 1")</f>
        <v>243</v>
      </c>
      <c r="F103" s="1900">
        <f>SUMIFS($H$3:$H$96,$D$3:$D$96,A103,$F$3:$F$96,"Дом 1")</f>
        <v>11621445.16</v>
      </c>
      <c r="G103" s="1903">
        <f>COUNTIFS($D$2:$D$96,A103,$F$2:$F$96,"Дом 1")</f>
        <v>3</v>
      </c>
      <c r="H103" s="1904">
        <f t="shared" si="0"/>
        <v>1.9551724137931032</v>
      </c>
      <c r="I103" s="1964">
        <f t="shared" si="0"/>
        <v>1.8248972905330103</v>
      </c>
      <c r="J103" s="1965">
        <f>COUNTIFS($I$3:$I$96,0,$D$3:$D$96,A103,$F$3:$F$96,"Дом 1")</f>
        <v>0</v>
      </c>
      <c r="K103" s="1965">
        <f>COUNTIFS($I$3:$I$96,1,$D$3:$D$96,A103,$F$3:$F$96,"Дом 1")</f>
        <v>0</v>
      </c>
      <c r="L103" s="1965">
        <f>COUNTIFS($I$3:$I$96,2,$D$3:$D$96,A103,$F$3:$F$96,"Дом 1")</f>
        <v>1</v>
      </c>
      <c r="M103" s="1965">
        <f>COUNTIFS($I$3:$I$96,3,$D$3:$D$96,A103,$F$3:$F$96,"Дом 1")</f>
        <v>2</v>
      </c>
      <c r="N103" s="1817"/>
      <c r="O103" s="1785"/>
      <c r="Q103" s="1817"/>
      <c r="S103" s="1874" t="s">
        <v>257</v>
      </c>
    </row>
    <row r="104" spans="1:19" customFormat="1" ht="21.75" customHeight="1">
      <c r="A104" s="1641" t="s">
        <v>63</v>
      </c>
      <c r="B104" s="1899">
        <f>$B$106/$D$106*D104</f>
        <v>124.28571428571429</v>
      </c>
      <c r="C104" s="1900">
        <f>$C$106/$D$106*D104</f>
        <v>6368273.5572507996</v>
      </c>
      <c r="D104" s="1901">
        <v>2</v>
      </c>
      <c r="E104" s="1902">
        <f>SUMIFS($E$3:$E$96,$D$3:$D$96,A104,$F$3:$F$96,"Дом 1")</f>
        <v>209.76000000000002</v>
      </c>
      <c r="F104" s="1900">
        <f>SUMIFS($H$3:$H$96,$D$3:$D$96,A104,$F$3:$F$96,"Дом 1")</f>
        <v>9787531.8200000003</v>
      </c>
      <c r="G104" s="1903">
        <f>COUNTIFS($D$2:$D$96,A104,$F$2:$F$96,"Дом 1")</f>
        <v>3</v>
      </c>
      <c r="H104" s="1904">
        <f t="shared" si="0"/>
        <v>1.6877241379310346</v>
      </c>
      <c r="I104" s="1964">
        <f t="shared" si="0"/>
        <v>1.5369207575664046</v>
      </c>
      <c r="J104" s="1965">
        <f>COUNTIFS($I$3:$I$96,0,$D$3:$D$96,A104,$F$3:$F$96,"Дом 1")</f>
        <v>0</v>
      </c>
      <c r="K104" s="1965">
        <f>COUNTIFS($I$3:$I$96,1,$D$3:$D$96,A104,$F$3:$F$96,"Дом 1")</f>
        <v>0</v>
      </c>
      <c r="L104" s="1965">
        <f>COUNTIFS($I$3:$I$96,2,$D$3:$D$96,A104,$F$3:$F$96,"Дом 1")</f>
        <v>2</v>
      </c>
      <c r="M104" s="1965">
        <f>COUNTIFS($I$3:$I$96,3,$D$3:$D$96,A104,$F$3:$F$96,"Дом 1")</f>
        <v>1</v>
      </c>
      <c r="N104" s="1817"/>
      <c r="O104" s="1785"/>
      <c r="Q104" s="1817"/>
      <c r="S104" s="1875"/>
    </row>
    <row r="105" spans="1:19" customFormat="1">
      <c r="A105" s="1922" t="s">
        <v>77</v>
      </c>
      <c r="B105" s="1899">
        <f>$B$106/$D$106*D105</f>
        <v>124.28571428571429</v>
      </c>
      <c r="C105" s="1900">
        <f>$C$106/$D$106*D105</f>
        <v>6368273.5572507996</v>
      </c>
      <c r="D105" s="1906">
        <v>2</v>
      </c>
      <c r="E105" s="1902">
        <f>SUMIFS($E$3:$E$96,$D$3:$D$96,A105,$F$3:$F$96,"Дом 1")</f>
        <v>91.9</v>
      </c>
      <c r="F105" s="1900">
        <f>SUMIFS($H$3:$H$96,$D$3:$D$96,A105,$F$3:$F$96,"Дом 1")</f>
        <v>5190023.3499999996</v>
      </c>
      <c r="G105" s="1903">
        <f>COUNTIFS($D$2:$D$96,A105,$F$2:$F$96,"Дом 1")</f>
        <v>2</v>
      </c>
      <c r="H105" s="1904">
        <f t="shared" si="0"/>
        <v>0.73942528735632185</v>
      </c>
      <c r="I105" s="1964">
        <f t="shared" si="0"/>
        <v>0.81498121953174174</v>
      </c>
      <c r="J105" s="1965">
        <f>COUNTIFS($I$3:$I$96,0,$D$3:$D$96,A105,$F$3:$F$96,"Дом 1")</f>
        <v>1</v>
      </c>
      <c r="K105" s="1965">
        <f>COUNTIFS($I$3:$I$96,1,$D$3:$D$96,A105,$F$3:$F$96,"Дом 1")</f>
        <v>0</v>
      </c>
      <c r="L105" s="1965">
        <f>COUNTIFS($I$3:$I$96,2,$D$3:$D$96,A105,$F$3:$F$96,"Дом 1")</f>
        <v>1</v>
      </c>
      <c r="M105" s="1965">
        <f>COUNTIFS($I$3:$I$96,3,$D$3:$D$96,A105,$F$3:$F$96,"Дом 1")</f>
        <v>0</v>
      </c>
      <c r="N105" s="1817"/>
      <c r="O105" s="1785"/>
      <c r="Q105" s="1817"/>
    </row>
    <row r="106" spans="1:19" customFormat="1">
      <c r="A106" s="1940" t="s">
        <v>114</v>
      </c>
      <c r="B106" s="1938">
        <f>435/7*8</f>
        <v>497.14285714285717</v>
      </c>
      <c r="C106" s="2006">
        <f>22288957.4503778/7*8</f>
        <v>25473094.229003198</v>
      </c>
      <c r="D106" s="1940">
        <f>SUM(D101:D105)</f>
        <v>8</v>
      </c>
      <c r="E106" s="2007">
        <f>SUM(E101:E105)</f>
        <v>544.66</v>
      </c>
      <c r="F106" s="2006">
        <f>SUM(F101:F105)</f>
        <v>26599000.329999998</v>
      </c>
      <c r="G106" s="1940">
        <f>SUM(G101:G105)</f>
        <v>8</v>
      </c>
      <c r="H106" s="1942">
        <f t="shared" si="0"/>
        <v>1.0955804597701149</v>
      </c>
      <c r="I106" s="1981">
        <f t="shared" si="0"/>
        <v>1.0441998169077891</v>
      </c>
      <c r="J106" s="1982">
        <f>SUM(J101:J105)</f>
        <v>1</v>
      </c>
      <c r="K106" s="1982">
        <f>SUM(K101:K105)</f>
        <v>0</v>
      </c>
      <c r="L106" s="2013">
        <f>SUM(L101:L105)</f>
        <v>4</v>
      </c>
      <c r="M106" s="2013">
        <f>SUM(M101:M105)</f>
        <v>3</v>
      </c>
      <c r="N106" s="1817"/>
      <c r="O106" s="1785"/>
      <c r="Q106" s="1817"/>
    </row>
    <row r="107" spans="1:19" customFormat="1" ht="36.75" customHeight="1">
      <c r="A107" s="1913" t="s">
        <v>115</v>
      </c>
      <c r="B107" s="1914" t="s">
        <v>100</v>
      </c>
      <c r="C107" s="1914" t="s">
        <v>97</v>
      </c>
      <c r="D107" s="1915" t="s">
        <v>95</v>
      </c>
      <c r="E107" s="1916" t="s">
        <v>101</v>
      </c>
      <c r="F107" s="1915" t="s">
        <v>98</v>
      </c>
      <c r="G107" s="1915" t="s">
        <v>96</v>
      </c>
      <c r="H107" s="1917" t="s">
        <v>102</v>
      </c>
      <c r="I107" s="1917" t="s">
        <v>99</v>
      </c>
      <c r="J107" s="1970" t="s">
        <v>103</v>
      </c>
      <c r="K107" s="1970" t="s">
        <v>104</v>
      </c>
      <c r="L107" s="1970" t="s">
        <v>105</v>
      </c>
      <c r="M107" s="1971" t="s">
        <v>106</v>
      </c>
      <c r="N107" s="1817"/>
      <c r="O107" s="1785"/>
      <c r="Q107" s="1817"/>
    </row>
    <row r="108" spans="1:19" customFormat="1" ht="3.75" hidden="1" customHeight="1">
      <c r="A108" s="1901"/>
      <c r="B108" s="1903"/>
      <c r="C108" s="1900"/>
      <c r="D108" s="1901"/>
      <c r="E108" s="1903"/>
      <c r="F108" s="1900"/>
      <c r="G108" s="1919"/>
      <c r="H108" s="1920" t="e">
        <f t="shared" ref="H108:I110" si="1">E108/B108</f>
        <v>#DIV/0!</v>
      </c>
      <c r="I108" s="1972" t="e">
        <f t="shared" si="1"/>
        <v>#DIV/0!</v>
      </c>
      <c r="J108" s="1973"/>
      <c r="K108" s="1974"/>
      <c r="L108" s="1973"/>
      <c r="M108" s="1973"/>
      <c r="N108" s="1817"/>
      <c r="O108" s="1817"/>
      <c r="Q108" s="1817"/>
    </row>
    <row r="109" spans="1:19" customFormat="1">
      <c r="A109" s="1641" t="s">
        <v>16</v>
      </c>
      <c r="B109" s="1903">
        <f>B106/D106*D109</f>
        <v>435</v>
      </c>
      <c r="C109" s="1900">
        <f>C106/D106*D109</f>
        <v>22288957.4503778</v>
      </c>
      <c r="D109" s="1641">
        <v>7</v>
      </c>
      <c r="E109" s="1903">
        <f>SUMIFS($E$3:$E$96,$G$3:$G$96,A109,$F$3:$F$96,"Дом 1")</f>
        <v>358.62</v>
      </c>
      <c r="F109" s="1987">
        <f>SUMIFS($H$3:$H$96,$G$3:$G$96,A109,$F$3:$F$96,"Дом 1")</f>
        <v>17042489.23</v>
      </c>
      <c r="G109" s="745">
        <f>COUNTIFS($G$3:$G$96,A109,$F$3:$F$96,"Дом 1")</f>
        <v>5</v>
      </c>
      <c r="H109" s="1920">
        <f t="shared" si="1"/>
        <v>0.82441379310344831</v>
      </c>
      <c r="I109" s="1964">
        <f t="shared" si="1"/>
        <v>0.76461580887943814</v>
      </c>
      <c r="J109" s="751">
        <f>COUNTIFS(I4:I96,0,G4:G96,A109,F4:F96,"Дом 1")</f>
        <v>1</v>
      </c>
      <c r="K109" s="1973">
        <f>COUNTIFS(I4:I96,1,G4:G96,A109,F4:F96,"Дом 1")</f>
        <v>0</v>
      </c>
      <c r="L109" s="751">
        <f>COUNTIFS(I4:I96,2,G4:G96,A109,F4:F96,"Дом 1")</f>
        <v>1</v>
      </c>
      <c r="M109" s="751">
        <f>COUNTIFS(I4:I96,3,G4:G96,A109,F4:F96,"Дом 1")</f>
        <v>3</v>
      </c>
      <c r="N109" s="1817"/>
      <c r="O109" s="1785"/>
      <c r="Q109" s="1817"/>
    </row>
    <row r="110" spans="1:19" customFormat="1">
      <c r="A110" s="1988" t="s">
        <v>114</v>
      </c>
      <c r="B110" s="1989">
        <f t="shared" ref="B110:G110" si="2">SUM(B108:B109)</f>
        <v>435</v>
      </c>
      <c r="C110" s="1990">
        <f t="shared" si="2"/>
        <v>22288957.4503778</v>
      </c>
      <c r="D110" s="1988">
        <f t="shared" si="2"/>
        <v>7</v>
      </c>
      <c r="E110" s="1989">
        <f t="shared" si="2"/>
        <v>358.62</v>
      </c>
      <c r="F110" s="1990">
        <f t="shared" si="2"/>
        <v>17042489.23</v>
      </c>
      <c r="G110" s="1988">
        <f t="shared" si="2"/>
        <v>5</v>
      </c>
      <c r="H110" s="1991">
        <f t="shared" si="1"/>
        <v>0.82441379310344831</v>
      </c>
      <c r="I110" s="1991">
        <f t="shared" si="1"/>
        <v>0.76461580887943814</v>
      </c>
      <c r="J110" s="1995">
        <f>SUM(J108:J109)</f>
        <v>1</v>
      </c>
      <c r="K110" s="1995">
        <f>SUM(K108:K109)</f>
        <v>0</v>
      </c>
      <c r="L110" s="1995">
        <v>13</v>
      </c>
      <c r="M110" s="1995">
        <f>SUM(M108:M109)</f>
        <v>3</v>
      </c>
      <c r="N110" s="1817"/>
      <c r="O110" s="1785"/>
      <c r="Q110" s="1817"/>
    </row>
    <row r="111" spans="1:19" customFormat="1">
      <c r="A111" s="1643"/>
      <c r="B111" s="1931"/>
      <c r="C111" s="1932"/>
      <c r="D111" s="1643"/>
      <c r="E111" s="1931"/>
      <c r="F111" s="1932"/>
      <c r="G111" s="1643"/>
      <c r="H111" s="1933"/>
      <c r="I111" s="1933"/>
      <c r="J111" s="1833"/>
      <c r="K111" s="1833"/>
      <c r="L111" s="1833"/>
      <c r="M111" s="1833"/>
      <c r="N111" s="1817"/>
      <c r="O111" s="1785"/>
      <c r="Q111" s="1817"/>
    </row>
    <row r="112" spans="1:19" customFormat="1">
      <c r="A112" s="1884" t="s">
        <v>258</v>
      </c>
      <c r="B112" s="1885"/>
      <c r="C112" s="1885"/>
      <c r="D112" s="1885"/>
      <c r="E112" s="1885"/>
      <c r="F112" s="1885"/>
      <c r="G112" s="1885"/>
      <c r="H112" s="1885"/>
      <c r="I112" s="1885"/>
      <c r="J112" s="1885"/>
      <c r="K112" s="1885"/>
      <c r="L112" s="1885"/>
      <c r="M112" s="1958"/>
      <c r="N112" s="1817"/>
      <c r="O112" s="1785"/>
      <c r="Q112" s="1817"/>
    </row>
    <row r="113" spans="1:19" customFormat="1" ht="29.25" customHeight="1">
      <c r="A113" s="1934" t="s">
        <v>1</v>
      </c>
      <c r="B113" s="1914" t="s">
        <v>100</v>
      </c>
      <c r="C113" s="1914" t="s">
        <v>97</v>
      </c>
      <c r="D113" s="1915" t="s">
        <v>95</v>
      </c>
      <c r="E113" s="1916" t="s">
        <v>101</v>
      </c>
      <c r="F113" s="1915" t="s">
        <v>98</v>
      </c>
      <c r="G113" s="1915" t="s">
        <v>96</v>
      </c>
      <c r="H113" s="1917" t="s">
        <v>102</v>
      </c>
      <c r="I113" s="1917" t="s">
        <v>99</v>
      </c>
      <c r="J113" s="1970" t="s">
        <v>103</v>
      </c>
      <c r="K113" s="1970" t="s">
        <v>104</v>
      </c>
      <c r="L113" s="1970" t="s">
        <v>105</v>
      </c>
      <c r="M113" s="1971" t="s">
        <v>106</v>
      </c>
      <c r="N113" s="1817"/>
      <c r="O113" s="1785"/>
      <c r="Q113" s="1817"/>
    </row>
    <row r="114" spans="1:19" customFormat="1" ht="15" hidden="1" customHeight="1">
      <c r="A114" s="1901" t="s">
        <v>109</v>
      </c>
      <c r="B114" s="1899">
        <f>$B$106/$D$119*D114</f>
        <v>0</v>
      </c>
      <c r="C114" s="1900">
        <f>$C$119/$D$119*D114</f>
        <v>0</v>
      </c>
      <c r="D114" s="1901"/>
      <c r="E114" s="1902">
        <f>SUMIFS($E$3:$E$52,$D$3:$D$52,A101,$F$3:$F$52,"Дом 2")</f>
        <v>0</v>
      </c>
      <c r="F114" s="1900">
        <f>SUMIFS($H$3:$H$52,$D$3:$D$52,A114,$F$3:$F$52,"Дом 2")</f>
        <v>0</v>
      </c>
      <c r="G114" s="1903">
        <f>COUNTIFS(D4:D96,"Виденева",F4:F96,"Дом 2")</f>
        <v>0</v>
      </c>
      <c r="H114" s="1920" t="e">
        <f t="shared" ref="H114:I119" si="3">E114/B114</f>
        <v>#DIV/0!</v>
      </c>
      <c r="I114" s="1972" t="e">
        <f t="shared" si="3"/>
        <v>#DIV/0!</v>
      </c>
      <c r="J114" s="1965">
        <f>COUNTIFS($I$3:$I$52,0,$D$3:$D$52,A114,$F$3:$F$52,"Дом 2")</f>
        <v>0</v>
      </c>
      <c r="K114" s="1965">
        <f>COUNTIFS($I$3:$I$52,1,$D$3:$D$52,A114,$F$3:$F$52,"Дом 2")</f>
        <v>0</v>
      </c>
      <c r="L114" s="1965">
        <f>COUNTIFS($I$3:$I$52,2,$D$3:$D$52,A114,$F$3:$F$52,"Дом 2")</f>
        <v>0</v>
      </c>
      <c r="M114" s="1965">
        <f>COUNTIFS($I$3:$I$52,3,$D$3:$D$52,A114,$F$3:$F$52,"Дом 2")</f>
        <v>0</v>
      </c>
      <c r="N114" s="1817"/>
      <c r="O114" s="1817"/>
      <c r="Q114" s="1817"/>
    </row>
    <row r="115" spans="1:19" customFormat="1">
      <c r="A115" s="1641" t="s">
        <v>73</v>
      </c>
      <c r="B115" s="1899">
        <f>$B$119/$D$119*D115</f>
        <v>611.44223894349</v>
      </c>
      <c r="C115" s="1900">
        <f>$C$119/$D$119*D115</f>
        <v>32064223.886328995</v>
      </c>
      <c r="D115" s="1901">
        <v>13</v>
      </c>
      <c r="E115" s="1902">
        <f>SUMIFS($E$3:$E$96,$D$3:$D$96,A102,$F$3:$F$96,"Дом 2")</f>
        <v>1002.0999999999999</v>
      </c>
      <c r="F115" s="1900">
        <f>SUMIFS($H$3:$H$96,$D$3:$D$96,A115,$F$3:$F$96,"Дом 2")</f>
        <v>53170997.18</v>
      </c>
      <c r="G115" s="1790">
        <f>COUNTIFS(D2:D96,"Гайганова",F2:F96,"Дом 2")</f>
        <v>20</v>
      </c>
      <c r="H115" s="1904">
        <f t="shared" si="3"/>
        <v>1.6389119628560938</v>
      </c>
      <c r="I115" s="1964">
        <f t="shared" si="3"/>
        <v>1.6582655288491219</v>
      </c>
      <c r="J115" s="1965">
        <f>COUNTIFS($I$3:$I$96,0,$D$3:$D$96,A115,$F$3:$F$96,"Дом 2")</f>
        <v>3</v>
      </c>
      <c r="K115" s="1965">
        <f>COUNTIFS($I$3:$I$96,1,$D$3:$D$96,A115,$F$3:$F$96,"Дом 2")</f>
        <v>6</v>
      </c>
      <c r="L115" s="1965">
        <f>COUNTIFS($I$3:$I$96,2,$D$3:$D$96,A115,$F$3:$F$96,"Дом 2")</f>
        <v>9</v>
      </c>
      <c r="M115" s="1965">
        <f>COUNTIFS($I$3:$I$96,3,$D$3:$D$96,A115,$F$3:$F$96,"Дом 2")</f>
        <v>2</v>
      </c>
      <c r="N115" s="1817"/>
      <c r="O115" s="1785"/>
      <c r="Q115" s="1817"/>
    </row>
    <row r="116" spans="1:19" customFormat="1">
      <c r="A116" s="1641" t="s">
        <v>20</v>
      </c>
      <c r="B116" s="1899">
        <f>$B$119/$D$119*D116</f>
        <v>611.44223894349</v>
      </c>
      <c r="C116" s="1900">
        <f>$C$119/$D$119*D116</f>
        <v>32064223.886328995</v>
      </c>
      <c r="D116" s="1901">
        <v>13</v>
      </c>
      <c r="E116" s="1902">
        <f>SUMIFS($E$3:$E$96,$D$3:$D$96,A103,$F$3:$F$96,"Дом 2")</f>
        <v>1055.9099999999999</v>
      </c>
      <c r="F116" s="1900">
        <f>SUMIFS($H$3:$H$96,$D$3:$D$96,A116,$F$3:$F$96,"Дом 2")</f>
        <v>51659389.399999999</v>
      </c>
      <c r="G116" s="1790">
        <f>COUNTIFS(D2:D96,"Никишов",F2:F96,"Дом 2")</f>
        <v>19</v>
      </c>
      <c r="H116" s="1904">
        <f t="shared" si="3"/>
        <v>1.7269170049889013</v>
      </c>
      <c r="I116" s="1964">
        <f t="shared" si="3"/>
        <v>1.6111224018126216</v>
      </c>
      <c r="J116" s="1965">
        <f>COUNTIFS($I$3:$I$96,0,$D$3:$D$96,A116,$F$3:$F$96,"Дом 2")</f>
        <v>2</v>
      </c>
      <c r="K116" s="1965">
        <f>COUNTIFS($I$3:$I$96,1,$D$3:$D$96,A116,$F$3:$F$96,"Дом 2")</f>
        <v>3</v>
      </c>
      <c r="L116" s="1965">
        <f>COUNTIFS($I$3:$I$96,2,$D$3:$D$96,A116,$F$3:$F$96,"Дом 2")</f>
        <v>11</v>
      </c>
      <c r="M116" s="1965">
        <f>COUNTIFS($I$3:$I$96,3,$D$3:$D$96,A116,$F$3:$F$96,"Дом 2")</f>
        <v>3</v>
      </c>
      <c r="N116" s="1817"/>
      <c r="O116" s="1785"/>
      <c r="Q116" s="1817"/>
    </row>
    <row r="117" spans="1:19" customFormat="1">
      <c r="A117" s="1641" t="s">
        <v>63</v>
      </c>
      <c r="B117" s="1899">
        <f>$B$119/$D$119*D117</f>
        <v>611.44223894349</v>
      </c>
      <c r="C117" s="1900">
        <f>$C$119/$D$119*D117</f>
        <v>32064223.886328995</v>
      </c>
      <c r="D117" s="1901">
        <v>13</v>
      </c>
      <c r="E117" s="1902">
        <f>SUMIFS($E$3:$E$96,$D$3:$D$96,A104,$F$3:$F$96,"Дом 2")</f>
        <v>1083.76</v>
      </c>
      <c r="F117" s="1900">
        <f>SUMIFS($H$3:$H$96,$D$3:$D$96,A117,$F$3:$F$96,"Дом 2")</f>
        <v>55865733.400000013</v>
      </c>
      <c r="G117" s="1790">
        <f>COUNTIFS(D2:D96,"Окунев",F2:F96,"Дом 2")</f>
        <v>23</v>
      </c>
      <c r="H117" s="1904">
        <f t="shared" si="3"/>
        <v>1.7724650522551846</v>
      </c>
      <c r="I117" s="1964">
        <f t="shared" si="3"/>
        <v>1.7423073640593905</v>
      </c>
      <c r="J117" s="1965">
        <f>COUNTIFS($I$3:$I$96,0,$D$3:$D$96,A117,$F$3:$F$96,"Дом 2")</f>
        <v>6</v>
      </c>
      <c r="K117" s="1965">
        <f>COUNTIFS($I$3:$I$96,1,$D$3:$D$96,A117,$F$3:$F$96,"Дом 2")</f>
        <v>5</v>
      </c>
      <c r="L117" s="1965">
        <f>COUNTIFS($I$3:$I$96,2,$D$3:$D$96,A117,$F$3:$F$96,"Дом 2")</f>
        <v>11</v>
      </c>
      <c r="M117" s="1965">
        <f>COUNTIFS($I$3:$I$96,3,$D$3:$D$96,A117,$F$3:$F$96,"Дом 2")</f>
        <v>1</v>
      </c>
      <c r="N117" s="1817"/>
      <c r="O117" s="1785"/>
      <c r="Q117" s="1817"/>
    </row>
    <row r="118" spans="1:19" customFormat="1">
      <c r="A118" s="1922" t="s">
        <v>77</v>
      </c>
      <c r="B118" s="1899">
        <f>$B$119/$D$119*D118</f>
        <v>611.44223894349</v>
      </c>
      <c r="C118" s="1900">
        <f>$C$119/$D$119*D118</f>
        <v>32064223.886328995</v>
      </c>
      <c r="D118" s="1906">
        <v>13</v>
      </c>
      <c r="E118" s="1902">
        <f>SUMIFS($E$3:$E$96,$D$3:$D$96,A105,$F$3:$F$96,"Дом 2")</f>
        <v>926.47000000000014</v>
      </c>
      <c r="F118" s="1900">
        <f>SUMIFS($H$3:$H$96,$D$3:$D$96,A118,$F$3:$F$96,"Дом 2")</f>
        <v>47423053.590000004</v>
      </c>
      <c r="G118" s="1899">
        <f>COUNTIFS(D2:D96,"Калачева",F2:F96,"Дом 2")</f>
        <v>21</v>
      </c>
      <c r="H118" s="1904">
        <f t="shared" si="3"/>
        <v>1.5152208025419476</v>
      </c>
      <c r="I118" s="1964">
        <f t="shared" si="3"/>
        <v>1.4790020727811675</v>
      </c>
      <c r="J118" s="1965">
        <f>COUNTIFS($I$3:$I$96,0,$D$3:$D$96,A118,$F$3:$F$96,"Дом 2")</f>
        <v>7</v>
      </c>
      <c r="K118" s="1965">
        <f>COUNTIFS($I$3:$I$96,1,$D$3:$D$96,A118,$F$3:$F$96,"Дом 2")</f>
        <v>5</v>
      </c>
      <c r="L118" s="1965">
        <f>COUNTIFS($I$3:$I$96,2,$D$3:$D$96,A118,$F$3:$F$96,"Дом 2")</f>
        <v>8</v>
      </c>
      <c r="M118" s="1965">
        <f>COUNTIFS($I$3:$I$96,3,$D$3:$D$96,A118,$F$3:$F$96,"Дом 2")</f>
        <v>1</v>
      </c>
      <c r="N118" s="1817"/>
      <c r="O118" s="1785"/>
      <c r="Q118" s="1817"/>
    </row>
    <row r="119" spans="1:19" customFormat="1">
      <c r="A119" s="1940" t="s">
        <v>114</v>
      </c>
      <c r="B119" s="1938">
        <v>2445.76895577396</v>
      </c>
      <c r="C119" s="2006">
        <v>128256895.545316</v>
      </c>
      <c r="D119" s="1940">
        <f>SUM(D114:D118)</f>
        <v>52</v>
      </c>
      <c r="E119" s="2007">
        <f>SUM(E114:E118)</f>
        <v>4068.24</v>
      </c>
      <c r="F119" s="2006">
        <f>SUM(F114:F118)</f>
        <v>208119173.57000002</v>
      </c>
      <c r="G119" s="1938">
        <f>SUM(G114:G118)+1</f>
        <v>84</v>
      </c>
      <c r="H119" s="1942">
        <f t="shared" si="3"/>
        <v>1.6633787056605318</v>
      </c>
      <c r="I119" s="1981">
        <f t="shared" si="3"/>
        <v>1.6226743418755751</v>
      </c>
      <c r="J119" s="1982">
        <f>SUM(J114:J118)</f>
        <v>18</v>
      </c>
      <c r="K119" s="1982">
        <f>SUM(K114:K118)</f>
        <v>19</v>
      </c>
      <c r="L119" s="1982">
        <f>SUM(L114:L118)</f>
        <v>39</v>
      </c>
      <c r="M119" s="2013">
        <f>SUM(M114:M118)</f>
        <v>7</v>
      </c>
      <c r="N119" s="1817"/>
      <c r="O119" s="1785"/>
      <c r="Q119" s="1817"/>
    </row>
    <row r="120" spans="1:19" customFormat="1" ht="31.5" customHeight="1">
      <c r="A120" s="1913" t="s">
        <v>115</v>
      </c>
      <c r="B120" s="1914" t="s">
        <v>100</v>
      </c>
      <c r="C120" s="1914" t="s">
        <v>97</v>
      </c>
      <c r="D120" s="1915" t="s">
        <v>95</v>
      </c>
      <c r="E120" s="1916" t="s">
        <v>101</v>
      </c>
      <c r="F120" s="1915" t="s">
        <v>98</v>
      </c>
      <c r="G120" s="1915" t="s">
        <v>96</v>
      </c>
      <c r="H120" s="1917" t="s">
        <v>102</v>
      </c>
      <c r="I120" s="1917" t="s">
        <v>99</v>
      </c>
      <c r="J120" s="1970" t="s">
        <v>103</v>
      </c>
      <c r="K120" s="1970" t="s">
        <v>104</v>
      </c>
      <c r="L120" s="1970" t="s">
        <v>105</v>
      </c>
      <c r="M120" s="1971" t="s">
        <v>106</v>
      </c>
      <c r="N120" s="1817"/>
      <c r="O120" s="1785"/>
      <c r="Q120" s="1817"/>
    </row>
    <row r="121" spans="1:19" customFormat="1" ht="15" hidden="1" customHeight="1">
      <c r="A121" s="1901"/>
      <c r="B121" s="1903"/>
      <c r="C121" s="1900"/>
      <c r="D121" s="1901"/>
      <c r="E121" s="1903"/>
      <c r="F121" s="1900"/>
      <c r="G121" s="1919"/>
      <c r="H121" s="1920" t="e">
        <f t="shared" ref="H121:I123" si="4">E121/B121</f>
        <v>#DIV/0!</v>
      </c>
      <c r="I121" s="1972" t="e">
        <f t="shared" si="4"/>
        <v>#DIV/0!</v>
      </c>
      <c r="J121" s="1973"/>
      <c r="K121" s="1974"/>
      <c r="L121" s="1973"/>
      <c r="M121" s="1973"/>
      <c r="N121" s="1817"/>
      <c r="O121" s="1817"/>
      <c r="Q121" s="1817"/>
    </row>
    <row r="122" spans="1:19" customFormat="1">
      <c r="A122" s="1641" t="s">
        <v>16</v>
      </c>
      <c r="B122" s="1903">
        <f>B119/D119*D122</f>
        <v>2069.4968087318125</v>
      </c>
      <c r="C122" s="1935">
        <f>C119/D119*D122</f>
        <v>108525065.46142122</v>
      </c>
      <c r="D122" s="1826">
        <v>44</v>
      </c>
      <c r="E122" s="1903">
        <f>SUMIFS($E$3:$E$96,$G$3:$G$96,A109,$F$3:$F$96,"Дом 2")</f>
        <v>2913.2900000000004</v>
      </c>
      <c r="F122" s="1987">
        <f>SUMIFS($H$3:$H$96,$G$3:$G$96,A109,$F$3:$F$96,"Дом 2")</f>
        <v>149602657.82999995</v>
      </c>
      <c r="G122" s="745">
        <f>COUNTIFS($G$3:$G$96,A109,$F$3:$F$96,"Дом 2")</f>
        <v>56</v>
      </c>
      <c r="H122" s="1920">
        <f t="shared" si="4"/>
        <v>1.4077286747715567</v>
      </c>
      <c r="I122" s="1964">
        <f t="shared" si="4"/>
        <v>1.3785078792067729</v>
      </c>
      <c r="J122" s="751">
        <f>COUNTIFS(I4:I96,0,G4:G96,A122,F4:F96,"Дом 2")</f>
        <v>8</v>
      </c>
      <c r="K122" s="1973">
        <f>COUNTIFS(I4:I96,1,G4:G96,A122,F4:F96,"Дом 2")</f>
        <v>14</v>
      </c>
      <c r="L122" s="751">
        <f>COUNTIFS(I4:I96,2,G4:G96,A122,F4:F96,"Дом 2")</f>
        <v>26</v>
      </c>
      <c r="M122" s="751">
        <f>COUNTIFS(I4:I96,3,G4:G96,A122,F4:F96,"Дом 2")</f>
        <v>7</v>
      </c>
      <c r="N122" s="1817"/>
      <c r="O122" s="1785"/>
      <c r="Q122" s="1817"/>
    </row>
    <row r="123" spans="1:19" customFormat="1">
      <c r="A123" s="1988" t="s">
        <v>114</v>
      </c>
      <c r="B123" s="1989">
        <f t="shared" ref="B123:G123" si="5">SUM(B121:B122)</f>
        <v>2069.4968087318125</v>
      </c>
      <c r="C123" s="1990">
        <f t="shared" si="5"/>
        <v>108525065.46142122</v>
      </c>
      <c r="D123" s="1988">
        <f t="shared" si="5"/>
        <v>44</v>
      </c>
      <c r="E123" s="1989">
        <f t="shared" si="5"/>
        <v>2913.2900000000004</v>
      </c>
      <c r="F123" s="1990">
        <f t="shared" si="5"/>
        <v>149602657.82999995</v>
      </c>
      <c r="G123" s="1988">
        <f t="shared" si="5"/>
        <v>56</v>
      </c>
      <c r="H123" s="1991">
        <f t="shared" si="4"/>
        <v>1.4077286747715567</v>
      </c>
      <c r="I123" s="1991">
        <f t="shared" si="4"/>
        <v>1.3785078792067729</v>
      </c>
      <c r="J123" s="1995">
        <f>SUM(J121:J122)</f>
        <v>8</v>
      </c>
      <c r="K123" s="1995">
        <f>SUM(K121:K122)</f>
        <v>14</v>
      </c>
      <c r="L123" s="1995">
        <f>SUM(L121:L122)</f>
        <v>26</v>
      </c>
      <c r="M123" s="1995">
        <f>SUM(M121:M122)</f>
        <v>7</v>
      </c>
      <c r="N123" s="1817"/>
      <c r="O123" s="1785"/>
      <c r="Q123" s="1817"/>
    </row>
    <row r="124" spans="1:19">
      <c r="N124" s="1721"/>
      <c r="Q124" s="1721"/>
    </row>
    <row r="125" spans="1:19" customFormat="1">
      <c r="A125" s="1884" t="s">
        <v>259</v>
      </c>
      <c r="B125" s="1885"/>
      <c r="C125" s="1885"/>
      <c r="D125" s="1885"/>
      <c r="E125" s="1885"/>
      <c r="F125" s="1885"/>
      <c r="G125" s="1885"/>
      <c r="H125" s="1885"/>
      <c r="I125" s="1885"/>
      <c r="J125" s="1885"/>
      <c r="K125" s="1885"/>
      <c r="L125" s="1885"/>
      <c r="M125" s="1958"/>
      <c r="N125" s="1817"/>
      <c r="O125" s="1785"/>
      <c r="Q125" s="1817"/>
      <c r="S125" s="1877" t="s">
        <v>260</v>
      </c>
    </row>
    <row r="126" spans="1:19" customFormat="1" ht="29.25" customHeight="1">
      <c r="A126" s="1886" t="s">
        <v>1</v>
      </c>
      <c r="B126" s="1887" t="s">
        <v>100</v>
      </c>
      <c r="C126" s="1887" t="s">
        <v>97</v>
      </c>
      <c r="D126" s="1888" t="s">
        <v>95</v>
      </c>
      <c r="E126" s="1889" t="s">
        <v>101</v>
      </c>
      <c r="F126" s="1888" t="s">
        <v>98</v>
      </c>
      <c r="G126" s="1888" t="s">
        <v>96</v>
      </c>
      <c r="H126" s="1890" t="s">
        <v>102</v>
      </c>
      <c r="I126" s="1890" t="s">
        <v>99</v>
      </c>
      <c r="J126" s="1959" t="s">
        <v>103</v>
      </c>
      <c r="K126" s="1959" t="s">
        <v>104</v>
      </c>
      <c r="L126" s="1959" t="s">
        <v>105</v>
      </c>
      <c r="M126" s="1960" t="s">
        <v>106</v>
      </c>
      <c r="N126" s="1992"/>
      <c r="O126" s="1870"/>
      <c r="Q126" s="1872"/>
      <c r="S126" s="1878" t="s">
        <v>261</v>
      </c>
    </row>
    <row r="127" spans="1:19" customFormat="1" ht="15" hidden="1" customHeight="1">
      <c r="A127" s="1918" t="s">
        <v>109</v>
      </c>
      <c r="B127" s="1903">
        <f t="shared" ref="B127:G131" si="6">B101+B114</f>
        <v>0</v>
      </c>
      <c r="C127" s="1900">
        <f t="shared" si="6"/>
        <v>0</v>
      </c>
      <c r="D127" s="1901">
        <f t="shared" si="6"/>
        <v>0</v>
      </c>
      <c r="E127" s="1902">
        <f t="shared" si="6"/>
        <v>0</v>
      </c>
      <c r="F127" s="1900">
        <f t="shared" si="6"/>
        <v>0</v>
      </c>
      <c r="G127" s="1901">
        <f t="shared" si="6"/>
        <v>0</v>
      </c>
      <c r="H127" s="1920" t="e">
        <f t="shared" ref="H127:I132" si="7">E127/B127</f>
        <v>#DIV/0!</v>
      </c>
      <c r="I127" s="1972" t="e">
        <f t="shared" si="7"/>
        <v>#DIV/0!</v>
      </c>
      <c r="J127" s="1965">
        <f t="shared" ref="J127:M131" si="8">J101+J114</f>
        <v>0</v>
      </c>
      <c r="K127" s="1965">
        <f t="shared" si="8"/>
        <v>0</v>
      </c>
      <c r="L127" s="1965">
        <f t="shared" si="8"/>
        <v>0</v>
      </c>
      <c r="M127" s="1966">
        <f t="shared" si="8"/>
        <v>0</v>
      </c>
      <c r="N127" s="1993"/>
      <c r="O127" s="1871"/>
      <c r="P127" s="1872"/>
      <c r="Q127" s="1817"/>
      <c r="S127" s="1876"/>
    </row>
    <row r="128" spans="1:19" customFormat="1" ht="21.75" customHeight="1">
      <c r="A128" s="1898" t="s">
        <v>73</v>
      </c>
      <c r="B128" s="1903">
        <f t="shared" si="6"/>
        <v>735.72795322920433</v>
      </c>
      <c r="C128" s="1900">
        <f t="shared" si="6"/>
        <v>38432497.443579793</v>
      </c>
      <c r="D128" s="1901">
        <f t="shared" si="6"/>
        <v>15</v>
      </c>
      <c r="E128" s="1902">
        <f t="shared" si="6"/>
        <v>1002.0999999999999</v>
      </c>
      <c r="F128" s="1900">
        <f t="shared" si="6"/>
        <v>53170997.18</v>
      </c>
      <c r="G128" s="1901">
        <f t="shared" si="6"/>
        <v>20</v>
      </c>
      <c r="H128" s="1904">
        <f t="shared" si="7"/>
        <v>1.3620523667772231</v>
      </c>
      <c r="I128" s="1964">
        <f t="shared" si="7"/>
        <v>1.3834905540046369</v>
      </c>
      <c r="J128" s="1965">
        <f t="shared" si="8"/>
        <v>3</v>
      </c>
      <c r="K128" s="1965">
        <f t="shared" si="8"/>
        <v>6</v>
      </c>
      <c r="L128" s="1965">
        <f t="shared" si="8"/>
        <v>9</v>
      </c>
      <c r="M128" s="1966">
        <f t="shared" si="8"/>
        <v>2</v>
      </c>
      <c r="N128" s="1992"/>
      <c r="O128" s="1785"/>
      <c r="Q128" s="1817"/>
      <c r="S128" s="1876"/>
    </row>
    <row r="129" spans="1:19" customFormat="1" ht="21" customHeight="1">
      <c r="A129" s="1898" t="s">
        <v>20</v>
      </c>
      <c r="B129" s="1903">
        <f t="shared" si="6"/>
        <v>735.72795322920433</v>
      </c>
      <c r="C129" s="1900">
        <f t="shared" si="6"/>
        <v>38432497.443579793</v>
      </c>
      <c r="D129" s="1901">
        <f t="shared" si="6"/>
        <v>15</v>
      </c>
      <c r="E129" s="1902">
        <f t="shared" si="6"/>
        <v>1298.9099999999999</v>
      </c>
      <c r="F129" s="1900">
        <f t="shared" si="6"/>
        <v>63280834.560000002</v>
      </c>
      <c r="G129" s="1901">
        <f t="shared" si="6"/>
        <v>22</v>
      </c>
      <c r="H129" s="1904">
        <f t="shared" si="7"/>
        <v>1.7654759402560651</v>
      </c>
      <c r="I129" s="1964">
        <f t="shared" si="7"/>
        <v>1.6465449494376057</v>
      </c>
      <c r="J129" s="1965">
        <f t="shared" si="8"/>
        <v>2</v>
      </c>
      <c r="K129" s="1965">
        <f t="shared" si="8"/>
        <v>3</v>
      </c>
      <c r="L129" s="1965">
        <f t="shared" si="8"/>
        <v>12</v>
      </c>
      <c r="M129" s="1966">
        <f t="shared" si="8"/>
        <v>5</v>
      </c>
      <c r="N129" s="1992"/>
      <c r="O129" s="1870"/>
      <c r="Q129" s="1817"/>
      <c r="S129" s="1876"/>
    </row>
    <row r="130" spans="1:19" customFormat="1" ht="23.25" customHeight="1">
      <c r="A130" s="1898" t="s">
        <v>63</v>
      </c>
      <c r="B130" s="1903">
        <f t="shared" si="6"/>
        <v>735.72795322920433</v>
      </c>
      <c r="C130" s="1900">
        <f t="shared" si="6"/>
        <v>38432497.443579793</v>
      </c>
      <c r="D130" s="1901">
        <f t="shared" si="6"/>
        <v>15</v>
      </c>
      <c r="E130" s="1902">
        <f t="shared" si="6"/>
        <v>1293.52</v>
      </c>
      <c r="F130" s="1900">
        <f t="shared" si="6"/>
        <v>65653265.220000014</v>
      </c>
      <c r="G130" s="1901">
        <f t="shared" si="6"/>
        <v>26</v>
      </c>
      <c r="H130" s="1904">
        <f t="shared" si="7"/>
        <v>1.7581498627618739</v>
      </c>
      <c r="I130" s="1964">
        <f t="shared" si="7"/>
        <v>1.7082747567050836</v>
      </c>
      <c r="J130" s="1965">
        <f t="shared" si="8"/>
        <v>6</v>
      </c>
      <c r="K130" s="1965">
        <f t="shared" si="8"/>
        <v>5</v>
      </c>
      <c r="L130" s="1965">
        <f t="shared" si="8"/>
        <v>13</v>
      </c>
      <c r="M130" s="1966">
        <f t="shared" si="8"/>
        <v>2</v>
      </c>
      <c r="N130" s="1994"/>
      <c r="O130" s="1870"/>
      <c r="Q130" s="1817"/>
      <c r="S130" s="1876"/>
    </row>
    <row r="131" spans="1:19" customFormat="1" ht="24" customHeight="1">
      <c r="A131" s="1905" t="s">
        <v>77</v>
      </c>
      <c r="B131" s="1903">
        <f t="shared" si="6"/>
        <v>735.72795322920433</v>
      </c>
      <c r="C131" s="1900">
        <f t="shared" si="6"/>
        <v>38432497.443579793</v>
      </c>
      <c r="D131" s="1901">
        <f t="shared" si="6"/>
        <v>15</v>
      </c>
      <c r="E131" s="1902">
        <f t="shared" si="6"/>
        <v>1018.3700000000001</v>
      </c>
      <c r="F131" s="1900">
        <f t="shared" si="6"/>
        <v>52613076.940000005</v>
      </c>
      <c r="G131" s="1901">
        <f t="shared" si="6"/>
        <v>23</v>
      </c>
      <c r="H131" s="1904">
        <f t="shared" si="7"/>
        <v>1.3841665190648849</v>
      </c>
      <c r="I131" s="1964">
        <f t="shared" si="7"/>
        <v>1.3689736665497156</v>
      </c>
      <c r="J131" s="1965">
        <f t="shared" si="8"/>
        <v>8</v>
      </c>
      <c r="K131" s="1965">
        <f t="shared" si="8"/>
        <v>5</v>
      </c>
      <c r="L131" s="1965">
        <f t="shared" si="8"/>
        <v>9</v>
      </c>
      <c r="M131" s="1966">
        <f t="shared" si="8"/>
        <v>1</v>
      </c>
      <c r="N131" s="1817"/>
      <c r="O131" s="1785"/>
      <c r="Q131" s="1817"/>
      <c r="S131" s="1875"/>
    </row>
    <row r="132" spans="1:19" customFormat="1">
      <c r="A132" s="1907" t="s">
        <v>114</v>
      </c>
      <c r="B132" s="1908">
        <f>SUM(B127:B131)</f>
        <v>2942.9118129168173</v>
      </c>
      <c r="C132" s="1909">
        <f>SUM(C127:C131)</f>
        <v>153729989.77431917</v>
      </c>
      <c r="D132" s="1910">
        <f>D106+D119</f>
        <v>60</v>
      </c>
      <c r="E132" s="1911">
        <f>SUM(E127:E131)</f>
        <v>4612.8999999999996</v>
      </c>
      <c r="F132" s="1909">
        <f>SUM(F127:F131)</f>
        <v>234718173.90000004</v>
      </c>
      <c r="G132" s="1908">
        <f>G106+G119</f>
        <v>92</v>
      </c>
      <c r="H132" s="1912">
        <f t="shared" si="7"/>
        <v>1.5674611722150116</v>
      </c>
      <c r="I132" s="1967">
        <f t="shared" si="7"/>
        <v>1.5268209816742606</v>
      </c>
      <c r="J132" s="1984">
        <f>SUM(J127:J131)</f>
        <v>19</v>
      </c>
      <c r="K132" s="1968">
        <f>SUM(K127:K131)</f>
        <v>19</v>
      </c>
      <c r="L132" s="1984">
        <f>SUM(L127:L131)</f>
        <v>43</v>
      </c>
      <c r="M132" s="1985">
        <f>SUM(M127:M131)</f>
        <v>10</v>
      </c>
      <c r="N132" s="1817"/>
      <c r="O132" s="1785"/>
      <c r="Q132" s="1817"/>
    </row>
    <row r="133" spans="1:19" customFormat="1" ht="31.5" customHeight="1">
      <c r="A133" s="1913" t="s">
        <v>115</v>
      </c>
      <c r="B133" s="1914" t="s">
        <v>100</v>
      </c>
      <c r="C133" s="1914" t="s">
        <v>97</v>
      </c>
      <c r="D133" s="1915" t="s">
        <v>95</v>
      </c>
      <c r="E133" s="1916" t="s">
        <v>101</v>
      </c>
      <c r="F133" s="1915" t="s">
        <v>98</v>
      </c>
      <c r="G133" s="1915" t="s">
        <v>96</v>
      </c>
      <c r="H133" s="1917" t="s">
        <v>102</v>
      </c>
      <c r="I133" s="1917" t="s">
        <v>99</v>
      </c>
      <c r="J133" s="1970" t="s">
        <v>103</v>
      </c>
      <c r="K133" s="1970" t="s">
        <v>104</v>
      </c>
      <c r="L133" s="1970" t="s">
        <v>105</v>
      </c>
      <c r="M133" s="1971" t="s">
        <v>106</v>
      </c>
      <c r="N133" s="1817"/>
      <c r="O133" s="1785"/>
      <c r="Q133" s="1817"/>
      <c r="S133" s="1879" t="s">
        <v>262</v>
      </c>
    </row>
    <row r="134" spans="1:19" customFormat="1" ht="15" hidden="1" customHeight="1">
      <c r="A134" s="1901"/>
      <c r="B134" s="1903"/>
      <c r="C134" s="1900"/>
      <c r="D134" s="1901"/>
      <c r="E134" s="1903"/>
      <c r="F134" s="1900"/>
      <c r="G134" s="1919"/>
      <c r="H134" s="1920" t="e">
        <f t="shared" ref="H134:I136" si="9">E134/B134</f>
        <v>#DIV/0!</v>
      </c>
      <c r="I134" s="1972" t="e">
        <f t="shared" si="9"/>
        <v>#DIV/0!</v>
      </c>
      <c r="J134" s="1973"/>
      <c r="K134" s="1974"/>
      <c r="L134" s="1973"/>
      <c r="M134" s="1973"/>
      <c r="N134" s="1817"/>
      <c r="O134" s="1817"/>
      <c r="Q134" s="1817"/>
      <c r="S134" s="1873"/>
    </row>
    <row r="135" spans="1:19" customFormat="1" ht="23.25" customHeight="1">
      <c r="A135" s="1641" t="s">
        <v>16</v>
      </c>
      <c r="B135" s="1903">
        <v>2267</v>
      </c>
      <c r="C135" s="1900">
        <f>C106+C122</f>
        <v>133998159.69042441</v>
      </c>
      <c r="D135" s="1641">
        <f>D109+D122</f>
        <v>51</v>
      </c>
      <c r="E135" s="1903">
        <f>E122+E109</f>
        <v>3271.9100000000003</v>
      </c>
      <c r="F135" s="1987">
        <f>F122+F109</f>
        <v>166645147.05999994</v>
      </c>
      <c r="G135" s="1641">
        <f>G109+G122</f>
        <v>61</v>
      </c>
      <c r="H135" s="1920">
        <f t="shared" si="9"/>
        <v>1.4432774591971771</v>
      </c>
      <c r="I135" s="1964">
        <f t="shared" si="9"/>
        <v>1.2436375801354271</v>
      </c>
      <c r="J135" s="751">
        <f>J109+J122</f>
        <v>9</v>
      </c>
      <c r="K135" s="751">
        <f>K109+K122</f>
        <v>14</v>
      </c>
      <c r="L135" s="751">
        <f>L109+L122</f>
        <v>27</v>
      </c>
      <c r="M135" s="751">
        <f>M109+M122</f>
        <v>10</v>
      </c>
      <c r="N135" s="1817"/>
      <c r="O135" s="1785"/>
      <c r="Q135" s="1817"/>
      <c r="S135" s="1875"/>
    </row>
    <row r="136" spans="1:19" customFormat="1">
      <c r="A136" s="1988" t="s">
        <v>114</v>
      </c>
      <c r="B136" s="1989">
        <f t="shared" ref="B136:G136" si="10">SUM(B134:B135)</f>
        <v>2267</v>
      </c>
      <c r="C136" s="1990">
        <f t="shared" si="10"/>
        <v>133998159.69042441</v>
      </c>
      <c r="D136" s="1988">
        <f t="shared" si="10"/>
        <v>51</v>
      </c>
      <c r="E136" s="1989">
        <f t="shared" si="10"/>
        <v>3271.9100000000003</v>
      </c>
      <c r="F136" s="1990">
        <f t="shared" si="10"/>
        <v>166645147.05999994</v>
      </c>
      <c r="G136" s="1988">
        <f t="shared" si="10"/>
        <v>61</v>
      </c>
      <c r="H136" s="1991">
        <f t="shared" si="9"/>
        <v>1.4432774591971771</v>
      </c>
      <c r="I136" s="1991">
        <f t="shared" si="9"/>
        <v>1.2436375801354271</v>
      </c>
      <c r="J136" s="1995">
        <f>SUM(J134:J135)</f>
        <v>9</v>
      </c>
      <c r="K136" s="1995">
        <f>SUM(K134:K135)</f>
        <v>14</v>
      </c>
      <c r="L136" s="1995">
        <f>SUM(L134:L135)</f>
        <v>27</v>
      </c>
      <c r="M136" s="1995">
        <f>SUM(M134:M135)</f>
        <v>10</v>
      </c>
      <c r="N136" s="1817"/>
      <c r="O136" s="1785"/>
      <c r="Q136" s="1817"/>
    </row>
    <row r="137" spans="1:19" customFormat="1">
      <c r="N137" s="1817"/>
      <c r="O137" s="1785"/>
      <c r="Q137" s="1817"/>
    </row>
  </sheetData>
  <sheetProtection formatCells="0" formatColumns="0" formatRows="0" insertColumns="0" insertRows="0" insertHyperlinks="0" deleteColumns="0" deleteRows="0" sort="0" autoFilter="0" pivotTables="0"/>
  <autoFilter ref="A2:S95" xr:uid="{00000000-0009-0000-0000-000002000000}">
    <sortState xmlns:xlrd2="http://schemas.microsoft.com/office/spreadsheetml/2017/richdata2" ref="A2:S95">
      <sortCondition ref="A2:A95"/>
    </sortState>
  </autoFilter>
  <dataValidations count="3">
    <dataValidation type="list" allowBlank="1" showInputMessage="1" showErrorMessage="1" sqref="O12 O6:O8" xr:uid="{00000000-0002-0000-0200-000000000000}">
      <formula1>$R$4:$R$5</formula1>
    </dataValidation>
    <dataValidation type="list" allowBlank="1" showInputMessage="1" showErrorMessage="1" sqref="G30:G47 O16:O29 O48:O67 O69:O96" xr:uid="{00000000-0002-0000-0200-000001000000}">
      <formula1>$Q$3:$Q$3</formula1>
    </dataValidation>
    <dataValidation type="list" allowBlank="1" showInputMessage="1" showErrorMessage="1" sqref="O13:O14" xr:uid="{00000000-0002-0000-0200-000002000000}">
      <formula1>$R$3:$R$3</formula1>
    </dataValidation>
  </dataValidations>
  <pageMargins left="0.25" right="0.25" top="0.75" bottom="0.75" header="0.3" footer="0.3"/>
  <pageSetup paperSize="9" scale="38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>
    <pageSetUpPr fitToPage="1"/>
  </sheetPr>
  <dimension ref="A1:R77"/>
  <sheetViews>
    <sheetView topLeftCell="A38" zoomScale="85" zoomScaleNormal="85" workbookViewId="0">
      <selection activeCell="B22" sqref="B22"/>
    </sheetView>
  </sheetViews>
  <sheetFormatPr defaultColWidth="9.140625" defaultRowHeight="15"/>
  <cols>
    <col min="1" max="1" width="26.140625" style="1652" customWidth="1"/>
    <col min="2" max="2" width="13" style="1652" customWidth="1"/>
    <col min="3" max="3" width="16.140625" style="1652" customWidth="1"/>
    <col min="4" max="4" width="18.5703125" style="1652" customWidth="1"/>
    <col min="5" max="5" width="14.5703125" style="1652" hidden="1" customWidth="1"/>
    <col min="6" max="6" width="16.42578125" style="1652" hidden="1" customWidth="1"/>
    <col min="7" max="7" width="12.42578125" style="1652" hidden="1" customWidth="1"/>
    <col min="8" max="8" width="15.85546875" style="1652" hidden="1" customWidth="1"/>
    <col min="9" max="9" width="12.140625" style="1652" hidden="1" customWidth="1"/>
    <col min="10" max="10" width="11.5703125" style="1652" hidden="1" customWidth="1"/>
    <col min="11" max="11" width="10.85546875" style="1652" hidden="1" customWidth="1"/>
    <col min="12" max="12" width="16.28515625" style="1652" hidden="1" customWidth="1"/>
    <col min="13" max="13" width="13.5703125" style="1652" hidden="1" customWidth="1"/>
    <col min="14" max="14" width="37.42578125" style="1652" hidden="1" customWidth="1"/>
    <col min="15" max="15" width="21.42578125" style="1659" customWidth="1"/>
    <col min="16" max="16" width="50.140625" style="1652" customWidth="1"/>
    <col min="17" max="17" width="32.140625" style="1652" customWidth="1"/>
    <col min="18" max="18" width="5" style="1652" hidden="1" customWidth="1"/>
    <col min="19" max="16384" width="9.140625" style="1652"/>
  </cols>
  <sheetData>
    <row r="1" spans="1:18" hidden="1">
      <c r="A1" s="1880" t="s">
        <v>118</v>
      </c>
      <c r="B1" s="1881"/>
      <c r="C1" s="1881"/>
      <c r="D1" s="1881"/>
      <c r="E1" s="1881"/>
      <c r="F1" s="1881"/>
      <c r="G1" s="1881"/>
      <c r="H1" s="1881"/>
      <c r="I1" s="1881"/>
      <c r="J1" s="1949"/>
      <c r="K1" s="1950"/>
      <c r="L1" s="1951" t="s">
        <v>263</v>
      </c>
      <c r="M1" s="1881">
        <v>2021</v>
      </c>
      <c r="N1" s="1881"/>
      <c r="O1" s="1881"/>
      <c r="P1" s="1881"/>
      <c r="Q1" s="1882"/>
    </row>
    <row r="2" spans="1:18" ht="27" hidden="1" customHeight="1">
      <c r="A2" s="1882" t="s">
        <v>48</v>
      </c>
      <c r="B2" s="1882" t="s">
        <v>52</v>
      </c>
      <c r="C2" s="1882" t="s">
        <v>49</v>
      </c>
      <c r="D2" s="1882" t="s">
        <v>1</v>
      </c>
      <c r="E2" s="1882" t="s">
        <v>53</v>
      </c>
      <c r="F2" s="1882" t="s">
        <v>120</v>
      </c>
      <c r="G2" s="1882" t="s">
        <v>3</v>
      </c>
      <c r="H2" s="1883" t="s">
        <v>54</v>
      </c>
      <c r="I2" s="1882" t="s">
        <v>51</v>
      </c>
      <c r="J2" s="1952" t="s">
        <v>55</v>
      </c>
      <c r="K2" s="1882" t="s">
        <v>56</v>
      </c>
      <c r="L2" s="1882" t="s">
        <v>264</v>
      </c>
      <c r="M2" s="1882" t="s">
        <v>58</v>
      </c>
      <c r="N2" s="1953" t="s">
        <v>59</v>
      </c>
      <c r="O2" s="1882" t="s">
        <v>60</v>
      </c>
      <c r="P2" s="1882" t="s">
        <v>265</v>
      </c>
      <c r="Q2" s="1882" t="s">
        <v>62</v>
      </c>
    </row>
    <row r="3" spans="1:18" ht="16.5" hidden="1" customHeight="1">
      <c r="A3" s="1676">
        <v>1</v>
      </c>
      <c r="B3" s="1670">
        <v>230</v>
      </c>
      <c r="C3" s="1670">
        <v>10273</v>
      </c>
      <c r="D3" s="1670" t="s">
        <v>73</v>
      </c>
      <c r="E3" s="1670">
        <v>86.58</v>
      </c>
      <c r="F3" s="1670" t="s">
        <v>121</v>
      </c>
      <c r="G3" s="1670" t="s">
        <v>84</v>
      </c>
      <c r="H3" s="1837">
        <v>4271169.75</v>
      </c>
      <c r="I3" s="1670">
        <v>3</v>
      </c>
      <c r="J3" s="1670" t="s">
        <v>85</v>
      </c>
      <c r="K3" s="1670" t="s">
        <v>12</v>
      </c>
      <c r="L3" s="1710">
        <v>44330</v>
      </c>
      <c r="M3" s="1710" t="s">
        <v>11</v>
      </c>
      <c r="N3" s="1714" t="s">
        <v>266</v>
      </c>
      <c r="O3" s="1670" t="s">
        <v>67</v>
      </c>
      <c r="P3" s="1670"/>
      <c r="Q3" s="1670" t="s">
        <v>267</v>
      </c>
    </row>
    <row r="4" spans="1:18" s="1657" customFormat="1" ht="17.25" hidden="1" customHeight="1">
      <c r="A4" s="1676">
        <v>2</v>
      </c>
      <c r="B4" s="1670">
        <v>223</v>
      </c>
      <c r="C4" s="1670">
        <v>11220</v>
      </c>
      <c r="D4" s="1670" t="s">
        <v>20</v>
      </c>
      <c r="E4" s="1673">
        <v>24.23</v>
      </c>
      <c r="F4" s="1670" t="s">
        <v>121</v>
      </c>
      <c r="G4" s="1670" t="s">
        <v>16</v>
      </c>
      <c r="H4" s="1837">
        <v>1438607.79</v>
      </c>
      <c r="I4" s="1670">
        <v>0</v>
      </c>
      <c r="J4" s="1670" t="s">
        <v>65</v>
      </c>
      <c r="K4" s="1670" t="s">
        <v>12</v>
      </c>
      <c r="L4" s="1710">
        <v>44341</v>
      </c>
      <c r="M4" s="1710" t="s">
        <v>17</v>
      </c>
      <c r="N4" s="1714" t="s">
        <v>268</v>
      </c>
      <c r="O4" s="1954" t="s">
        <v>71</v>
      </c>
      <c r="P4" s="1715" t="s">
        <v>269</v>
      </c>
      <c r="Q4" s="1670" t="s">
        <v>147</v>
      </c>
      <c r="R4" s="1652"/>
    </row>
    <row r="5" spans="1:18" hidden="1">
      <c r="A5" s="1676">
        <v>3</v>
      </c>
      <c r="B5" s="1670">
        <v>254</v>
      </c>
      <c r="C5" s="1670">
        <v>11381</v>
      </c>
      <c r="D5" s="1670" t="s">
        <v>63</v>
      </c>
      <c r="E5" s="1673">
        <v>60.19</v>
      </c>
      <c r="F5" s="1670" t="s">
        <v>121</v>
      </c>
      <c r="G5" s="1670" t="s">
        <v>16</v>
      </c>
      <c r="H5" s="1837">
        <v>2921409.53</v>
      </c>
      <c r="I5" s="1670">
        <v>2</v>
      </c>
      <c r="J5" s="1670" t="s">
        <v>65</v>
      </c>
      <c r="K5" s="1670" t="s">
        <v>12</v>
      </c>
      <c r="L5" s="1710">
        <v>44327</v>
      </c>
      <c r="M5" s="1710" t="s">
        <v>17</v>
      </c>
      <c r="N5" s="1714" t="s">
        <v>270</v>
      </c>
      <c r="O5" s="1954" t="s">
        <v>71</v>
      </c>
      <c r="P5" s="1670"/>
      <c r="Q5" s="1670" t="s">
        <v>72</v>
      </c>
    </row>
    <row r="6" spans="1:18" hidden="1">
      <c r="A6" s="1676">
        <v>4</v>
      </c>
      <c r="B6" s="1670">
        <v>104</v>
      </c>
      <c r="C6" s="1670">
        <v>2987</v>
      </c>
      <c r="D6" s="1670" t="s">
        <v>77</v>
      </c>
      <c r="E6" s="1673">
        <v>59.96</v>
      </c>
      <c r="F6" s="1670" t="s">
        <v>121</v>
      </c>
      <c r="G6" s="1670" t="s">
        <v>16</v>
      </c>
      <c r="H6" s="1837">
        <v>3194239.08</v>
      </c>
      <c r="I6" s="1670">
        <v>2</v>
      </c>
      <c r="J6" s="1670" t="s">
        <v>65</v>
      </c>
      <c r="K6" s="1670" t="s">
        <v>12</v>
      </c>
      <c r="L6" s="1710">
        <v>44343</v>
      </c>
      <c r="M6" s="1710" t="s">
        <v>17</v>
      </c>
      <c r="N6" s="1714" t="s">
        <v>271</v>
      </c>
      <c r="O6" s="1670" t="s">
        <v>67</v>
      </c>
      <c r="P6" s="1670" t="s">
        <v>272</v>
      </c>
      <c r="Q6" s="1670" t="s">
        <v>79</v>
      </c>
    </row>
    <row r="7" spans="1:18" hidden="1">
      <c r="A7" s="1676">
        <v>5</v>
      </c>
      <c r="B7" s="1670">
        <v>15</v>
      </c>
      <c r="C7" s="1670">
        <v>10708</v>
      </c>
      <c r="D7" s="1670" t="s">
        <v>77</v>
      </c>
      <c r="E7" s="1673">
        <v>59.52</v>
      </c>
      <c r="F7" s="1670" t="s">
        <v>121</v>
      </c>
      <c r="G7" s="1670" t="s">
        <v>16</v>
      </c>
      <c r="H7" s="1837">
        <v>2902848.96</v>
      </c>
      <c r="I7" s="1670">
        <v>2</v>
      </c>
      <c r="J7" s="1670" t="s">
        <v>65</v>
      </c>
      <c r="K7" s="1670" t="s">
        <v>12</v>
      </c>
      <c r="L7" s="1710">
        <v>44337</v>
      </c>
      <c r="M7" s="1710" t="s">
        <v>17</v>
      </c>
      <c r="N7" s="1714" t="s">
        <v>273</v>
      </c>
      <c r="O7" s="1954" t="s">
        <v>71</v>
      </c>
      <c r="P7" s="1670" t="s">
        <v>274</v>
      </c>
      <c r="Q7" s="1670" t="s">
        <v>79</v>
      </c>
    </row>
    <row r="8" spans="1:18" hidden="1">
      <c r="A8" s="1676">
        <v>6</v>
      </c>
      <c r="B8" s="1670">
        <v>85</v>
      </c>
      <c r="C8" s="1670">
        <v>547</v>
      </c>
      <c r="D8" s="1670" t="s">
        <v>73</v>
      </c>
      <c r="E8" s="1673">
        <v>59.52</v>
      </c>
      <c r="F8" s="1670" t="s">
        <v>121</v>
      </c>
      <c r="G8" s="1670" t="s">
        <v>16</v>
      </c>
      <c r="H8" s="1837">
        <v>3810648.96</v>
      </c>
      <c r="I8" s="1670">
        <v>2</v>
      </c>
      <c r="J8" s="1670" t="s">
        <v>65</v>
      </c>
      <c r="K8" s="1670" t="s">
        <v>12</v>
      </c>
      <c r="L8" s="1710">
        <v>44334</v>
      </c>
      <c r="M8" s="1710" t="s">
        <v>17</v>
      </c>
      <c r="N8" s="1714" t="s">
        <v>275</v>
      </c>
      <c r="O8" s="1954" t="s">
        <v>71</v>
      </c>
      <c r="P8" s="1676"/>
      <c r="Q8" s="1670" t="s">
        <v>88</v>
      </c>
    </row>
    <row r="9" spans="1:18" hidden="1">
      <c r="A9" s="1676">
        <v>7</v>
      </c>
      <c r="B9" s="1670">
        <v>211</v>
      </c>
      <c r="C9" s="1670">
        <v>8460</v>
      </c>
      <c r="D9" s="1670" t="s">
        <v>73</v>
      </c>
      <c r="E9" s="1673">
        <v>60.24</v>
      </c>
      <c r="F9" s="1670" t="s">
        <v>121</v>
      </c>
      <c r="G9" s="1670" t="s">
        <v>84</v>
      </c>
      <c r="H9" s="1837">
        <v>2652756.35</v>
      </c>
      <c r="I9" s="1670">
        <v>2</v>
      </c>
      <c r="J9" s="1670" t="s">
        <v>85</v>
      </c>
      <c r="K9" s="1670" t="s">
        <v>12</v>
      </c>
      <c r="L9" s="1710">
        <v>44327</v>
      </c>
      <c r="M9" s="1710" t="s">
        <v>11</v>
      </c>
      <c r="N9" s="1714" t="s">
        <v>276</v>
      </c>
      <c r="O9" s="1670" t="s">
        <v>67</v>
      </c>
      <c r="P9" s="1670"/>
      <c r="Q9" s="1670" t="s">
        <v>88</v>
      </c>
    </row>
    <row r="10" spans="1:18" hidden="1">
      <c r="A10" s="1676">
        <v>8</v>
      </c>
      <c r="B10" s="1670">
        <v>226</v>
      </c>
      <c r="C10" s="1670">
        <v>11057</v>
      </c>
      <c r="D10" s="1670" t="s">
        <v>73</v>
      </c>
      <c r="E10" s="1673">
        <v>25.91</v>
      </c>
      <c r="F10" s="1670" t="s">
        <v>121</v>
      </c>
      <c r="G10" s="1670" t="s">
        <v>84</v>
      </c>
      <c r="H10" s="1837">
        <v>1414686</v>
      </c>
      <c r="I10" s="1670">
        <v>0</v>
      </c>
      <c r="J10" s="1670" t="s">
        <v>85</v>
      </c>
      <c r="K10" s="1670" t="s">
        <v>12</v>
      </c>
      <c r="L10" s="1710">
        <v>44342</v>
      </c>
      <c r="M10" s="1710" t="s">
        <v>11</v>
      </c>
      <c r="N10" s="1714" t="s">
        <v>277</v>
      </c>
      <c r="O10" s="1670" t="s">
        <v>67</v>
      </c>
      <c r="P10" s="1670" t="s">
        <v>278</v>
      </c>
      <c r="Q10" s="1670" t="s">
        <v>88</v>
      </c>
    </row>
    <row r="11" spans="1:18" hidden="1">
      <c r="A11" s="1676">
        <v>9</v>
      </c>
      <c r="B11" s="1676">
        <v>183</v>
      </c>
      <c r="C11" s="1676">
        <v>9278</v>
      </c>
      <c r="D11" s="1676" t="s">
        <v>20</v>
      </c>
      <c r="E11" s="1676">
        <v>25.85</v>
      </c>
      <c r="F11" s="1676" t="s">
        <v>121</v>
      </c>
      <c r="G11" s="1676" t="s">
        <v>84</v>
      </c>
      <c r="H11" s="1837">
        <v>1376512.5</v>
      </c>
      <c r="I11" s="1676">
        <v>0</v>
      </c>
      <c r="J11" s="1676" t="s">
        <v>85</v>
      </c>
      <c r="K11" s="1676" t="s">
        <v>12</v>
      </c>
      <c r="L11" s="1720">
        <v>44333</v>
      </c>
      <c r="M11" s="1720" t="s">
        <v>11</v>
      </c>
      <c r="N11" s="1807" t="s">
        <v>279</v>
      </c>
      <c r="O11" s="1670" t="s">
        <v>67</v>
      </c>
      <c r="P11" s="1676"/>
      <c r="Q11" s="1670" t="s">
        <v>147</v>
      </c>
    </row>
    <row r="12" spans="1:18" customFormat="1" hidden="1">
      <c r="A12" s="1676">
        <v>10</v>
      </c>
      <c r="B12" s="1676">
        <v>51</v>
      </c>
      <c r="C12" s="1676" t="s">
        <v>280</v>
      </c>
      <c r="D12" s="1676" t="s">
        <v>20</v>
      </c>
      <c r="E12" s="1676">
        <v>58.99</v>
      </c>
      <c r="F12" s="1676" t="s">
        <v>121</v>
      </c>
      <c r="G12" s="1676" t="s">
        <v>16</v>
      </c>
      <c r="H12" s="1837">
        <v>2812230.27</v>
      </c>
      <c r="I12" s="1676">
        <v>2</v>
      </c>
      <c r="J12" s="1676" t="s">
        <v>65</v>
      </c>
      <c r="K12" s="1676" t="s">
        <v>12</v>
      </c>
      <c r="L12" s="1720">
        <v>44337</v>
      </c>
      <c r="M12" s="1720" t="s">
        <v>17</v>
      </c>
      <c r="N12" s="1807" t="s">
        <v>279</v>
      </c>
      <c r="O12" s="1954" t="s">
        <v>71</v>
      </c>
      <c r="P12" s="1676"/>
      <c r="Q12" s="1670" t="s">
        <v>147</v>
      </c>
    </row>
    <row r="13" spans="1:18" customFormat="1" hidden="1">
      <c r="A13" s="1676">
        <v>11</v>
      </c>
      <c r="B13" s="1676">
        <v>5</v>
      </c>
      <c r="C13" s="1676">
        <v>11327</v>
      </c>
      <c r="D13" s="1676" t="s">
        <v>77</v>
      </c>
      <c r="E13" s="1676">
        <v>36.42</v>
      </c>
      <c r="F13" s="1676" t="s">
        <v>121</v>
      </c>
      <c r="G13" s="1676" t="s">
        <v>16</v>
      </c>
      <c r="H13" s="1837">
        <v>2243840.9300000002</v>
      </c>
      <c r="I13" s="1676">
        <v>2</v>
      </c>
      <c r="J13" s="1676" t="s">
        <v>65</v>
      </c>
      <c r="K13" s="1676" t="s">
        <v>18</v>
      </c>
      <c r="L13" s="1720">
        <v>44329</v>
      </c>
      <c r="M13" s="1720" t="s">
        <v>17</v>
      </c>
      <c r="N13" s="1807" t="s">
        <v>281</v>
      </c>
      <c r="O13" s="1954" t="s">
        <v>71</v>
      </c>
      <c r="P13" s="1676"/>
      <c r="Q13" s="1670" t="s">
        <v>79</v>
      </c>
    </row>
    <row r="14" spans="1:18" customFormat="1" hidden="1">
      <c r="A14" s="1676">
        <v>12</v>
      </c>
      <c r="B14" s="1676">
        <v>1</v>
      </c>
      <c r="C14" s="1676">
        <v>11782</v>
      </c>
      <c r="D14" s="1676" t="s">
        <v>77</v>
      </c>
      <c r="E14" s="1676">
        <v>59.52</v>
      </c>
      <c r="F14" s="1676" t="s">
        <v>121</v>
      </c>
      <c r="G14" s="1676" t="s">
        <v>16</v>
      </c>
      <c r="H14" s="1837">
        <v>2917849</v>
      </c>
      <c r="I14" s="1676">
        <v>2</v>
      </c>
      <c r="J14" s="1676" t="s">
        <v>65</v>
      </c>
      <c r="K14" s="1676" t="s">
        <v>18</v>
      </c>
      <c r="L14" s="1720">
        <v>44320</v>
      </c>
      <c r="M14" s="1720" t="s">
        <v>17</v>
      </c>
      <c r="N14" s="1807" t="s">
        <v>282</v>
      </c>
      <c r="O14" s="1954" t="s">
        <v>71</v>
      </c>
      <c r="P14" s="1676"/>
      <c r="Q14" s="1670" t="s">
        <v>79</v>
      </c>
    </row>
    <row r="15" spans="1:18" customFormat="1" hidden="1">
      <c r="A15" s="1676">
        <v>13</v>
      </c>
      <c r="B15" s="1676">
        <v>182</v>
      </c>
      <c r="C15" s="1676">
        <v>11436</v>
      </c>
      <c r="D15" s="1676" t="s">
        <v>77</v>
      </c>
      <c r="E15" s="1676">
        <v>25.91</v>
      </c>
      <c r="F15" s="1676" t="s">
        <v>121</v>
      </c>
      <c r="G15" s="1676" t="s">
        <v>84</v>
      </c>
      <c r="H15" s="1837">
        <v>1288374.75</v>
      </c>
      <c r="I15" s="1676">
        <v>0</v>
      </c>
      <c r="J15" s="1804">
        <v>1</v>
      </c>
      <c r="K15" s="1676" t="s">
        <v>18</v>
      </c>
      <c r="L15" s="1720">
        <v>44328</v>
      </c>
      <c r="M15" s="1720" t="s">
        <v>11</v>
      </c>
      <c r="N15" s="1807" t="s">
        <v>283</v>
      </c>
      <c r="O15" s="1670" t="s">
        <v>67</v>
      </c>
      <c r="P15" s="1676" t="s">
        <v>284</v>
      </c>
      <c r="Q15" s="1670" t="s">
        <v>79</v>
      </c>
    </row>
    <row r="16" spans="1:18" customFormat="1" hidden="1">
      <c r="A16" s="1676">
        <v>14</v>
      </c>
      <c r="B16" s="1676">
        <v>260</v>
      </c>
      <c r="C16" s="1676">
        <v>11825</v>
      </c>
      <c r="D16" s="1676" t="s">
        <v>77</v>
      </c>
      <c r="E16" s="1676">
        <v>25.85</v>
      </c>
      <c r="F16" s="1676" t="s">
        <v>121</v>
      </c>
      <c r="G16" s="1676" t="s">
        <v>84</v>
      </c>
      <c r="H16" s="1837">
        <v>1453752.3</v>
      </c>
      <c r="I16" s="1676">
        <v>0</v>
      </c>
      <c r="J16" s="1804">
        <v>1</v>
      </c>
      <c r="K16" s="1670" t="s">
        <v>12</v>
      </c>
      <c r="L16" s="1720">
        <v>44327</v>
      </c>
      <c r="M16" s="1720" t="s">
        <v>11</v>
      </c>
      <c r="N16" s="1807" t="s">
        <v>285</v>
      </c>
      <c r="O16" s="1670" t="s">
        <v>67</v>
      </c>
      <c r="P16" s="1676"/>
      <c r="Q16" s="1670" t="s">
        <v>79</v>
      </c>
    </row>
    <row r="17" spans="1:17" customFormat="1" hidden="1">
      <c r="A17" s="1676">
        <v>15</v>
      </c>
      <c r="B17" s="1676">
        <v>265</v>
      </c>
      <c r="C17" s="1676">
        <v>10011</v>
      </c>
      <c r="D17" s="1676" t="s">
        <v>77</v>
      </c>
      <c r="E17" s="1676">
        <v>60.19</v>
      </c>
      <c r="F17" s="1676" t="s">
        <v>121</v>
      </c>
      <c r="G17" s="1676" t="s">
        <v>84</v>
      </c>
      <c r="H17" s="1837">
        <v>2921409.53</v>
      </c>
      <c r="I17" s="1676">
        <v>2</v>
      </c>
      <c r="J17" s="1804" t="s">
        <v>286</v>
      </c>
      <c r="K17" s="1670" t="s">
        <v>12</v>
      </c>
      <c r="L17" s="1720">
        <v>44329</v>
      </c>
      <c r="M17" s="1720" t="s">
        <v>11</v>
      </c>
      <c r="N17" s="1807" t="s">
        <v>287</v>
      </c>
      <c r="O17" s="1670" t="s">
        <v>67</v>
      </c>
      <c r="P17" s="1676" t="s">
        <v>288</v>
      </c>
      <c r="Q17" s="1670" t="s">
        <v>289</v>
      </c>
    </row>
    <row r="18" spans="1:17" customFormat="1" hidden="1">
      <c r="A18" s="1676">
        <v>16</v>
      </c>
      <c r="B18" s="1676">
        <v>277</v>
      </c>
      <c r="C18" s="1676">
        <v>9742</v>
      </c>
      <c r="D18" s="1676" t="s">
        <v>73</v>
      </c>
      <c r="E18" s="1676">
        <v>60.24</v>
      </c>
      <c r="F18" s="1676" t="s">
        <v>121</v>
      </c>
      <c r="G18" s="1676" t="s">
        <v>84</v>
      </c>
      <c r="H18" s="1837">
        <v>2730778.6</v>
      </c>
      <c r="I18" s="1676">
        <v>2</v>
      </c>
      <c r="J18" s="1804" t="s">
        <v>286</v>
      </c>
      <c r="K18" s="1670" t="s">
        <v>12</v>
      </c>
      <c r="L18" s="1720">
        <v>44336</v>
      </c>
      <c r="M18" s="1720" t="s">
        <v>11</v>
      </c>
      <c r="N18" s="1807" t="s">
        <v>290</v>
      </c>
      <c r="O18" s="1670" t="s">
        <v>67</v>
      </c>
      <c r="P18" s="1676" t="s">
        <v>291</v>
      </c>
      <c r="Q18" s="1670" t="s">
        <v>88</v>
      </c>
    </row>
    <row r="19" spans="1:17" customFormat="1" hidden="1">
      <c r="A19" s="1676">
        <v>17</v>
      </c>
      <c r="B19" s="1676">
        <v>106</v>
      </c>
      <c r="C19" s="1676">
        <v>12150</v>
      </c>
      <c r="D19" s="1676" t="s">
        <v>20</v>
      </c>
      <c r="E19" s="1676">
        <v>59.52</v>
      </c>
      <c r="F19" s="1676" t="s">
        <v>121</v>
      </c>
      <c r="G19" s="1676" t="s">
        <v>16</v>
      </c>
      <c r="H19" s="1837">
        <v>3453448.61</v>
      </c>
      <c r="I19" s="1676">
        <v>2</v>
      </c>
      <c r="J19" s="1804" t="s">
        <v>65</v>
      </c>
      <c r="K19" s="1670" t="s">
        <v>18</v>
      </c>
      <c r="L19" s="1720">
        <v>44341</v>
      </c>
      <c r="M19" s="1720" t="s">
        <v>17</v>
      </c>
      <c r="N19" s="1807" t="s">
        <v>292</v>
      </c>
      <c r="O19" s="1954" t="s">
        <v>71</v>
      </c>
      <c r="P19" s="1676" t="s">
        <v>293</v>
      </c>
      <c r="Q19" s="1670" t="s">
        <v>147</v>
      </c>
    </row>
    <row r="20" spans="1:17" customFormat="1" hidden="1">
      <c r="A20" s="1676">
        <v>18</v>
      </c>
      <c r="B20" s="1676">
        <v>245</v>
      </c>
      <c r="C20" s="1676">
        <v>11977</v>
      </c>
      <c r="D20" s="1676" t="s">
        <v>20</v>
      </c>
      <c r="E20" s="1676">
        <v>24.23</v>
      </c>
      <c r="F20" s="1676" t="s">
        <v>121</v>
      </c>
      <c r="G20" s="1676" t="s">
        <v>16</v>
      </c>
      <c r="H20" s="1837">
        <v>1669596.26</v>
      </c>
      <c r="I20" s="1676">
        <v>0</v>
      </c>
      <c r="J20" s="1804" t="s">
        <v>65</v>
      </c>
      <c r="K20" s="1670" t="s">
        <v>18</v>
      </c>
      <c r="L20" s="1720">
        <v>44347</v>
      </c>
      <c r="M20" s="1720" t="s">
        <v>17</v>
      </c>
      <c r="N20" s="1807" t="s">
        <v>294</v>
      </c>
      <c r="O20" s="1670" t="s">
        <v>67</v>
      </c>
      <c r="P20" s="1676"/>
      <c r="Q20" s="1670" t="s">
        <v>147</v>
      </c>
    </row>
    <row r="21" spans="1:17" s="55" customFormat="1" hidden="1">
      <c r="A21" s="1676">
        <v>19</v>
      </c>
      <c r="B21" s="1676">
        <v>7</v>
      </c>
      <c r="C21" s="1676">
        <v>12208</v>
      </c>
      <c r="D21" s="1676" t="s">
        <v>20</v>
      </c>
      <c r="E21" s="1676">
        <v>58.17</v>
      </c>
      <c r="F21" s="1676" t="s">
        <v>121</v>
      </c>
      <c r="G21" s="1676" t="s">
        <v>16</v>
      </c>
      <c r="H21" s="1837">
        <v>3256016.31</v>
      </c>
      <c r="I21" s="1676">
        <v>2</v>
      </c>
      <c r="J21" s="1804" t="s">
        <v>65</v>
      </c>
      <c r="K21" s="1670" t="s">
        <v>18</v>
      </c>
      <c r="L21" s="1720">
        <v>44347</v>
      </c>
      <c r="M21" s="1720" t="s">
        <v>17</v>
      </c>
      <c r="N21" s="1807" t="s">
        <v>295</v>
      </c>
      <c r="O21" s="1670" t="s">
        <v>67</v>
      </c>
      <c r="P21" s="1676"/>
      <c r="Q21" s="1670" t="s">
        <v>147</v>
      </c>
    </row>
    <row r="22" spans="1:17" s="55" customFormat="1" hidden="1">
      <c r="A22" s="1676">
        <v>20</v>
      </c>
      <c r="B22" s="1676">
        <v>21</v>
      </c>
      <c r="C22" s="1676">
        <v>6572</v>
      </c>
      <c r="D22" s="1676" t="s">
        <v>20</v>
      </c>
      <c r="E22" s="1676">
        <v>58.17</v>
      </c>
      <c r="F22" s="1676" t="s">
        <v>121</v>
      </c>
      <c r="G22" s="1676" t="s">
        <v>16</v>
      </c>
      <c r="H22" s="1837">
        <v>2994251.31</v>
      </c>
      <c r="I22" s="1676">
        <v>2</v>
      </c>
      <c r="J22" s="1804" t="s">
        <v>65</v>
      </c>
      <c r="K22" s="1670" t="s">
        <v>18</v>
      </c>
      <c r="L22" s="1720">
        <v>44334</v>
      </c>
      <c r="M22" s="1720" t="s">
        <v>11</v>
      </c>
      <c r="N22" s="1807" t="s">
        <v>296</v>
      </c>
      <c r="O22" s="1670" t="s">
        <v>67</v>
      </c>
      <c r="P22" s="1676"/>
      <c r="Q22" s="1670" t="s">
        <v>297</v>
      </c>
    </row>
    <row r="23" spans="1:17" customFormat="1" hidden="1">
      <c r="A23" s="1676">
        <v>21</v>
      </c>
      <c r="B23" s="1778">
        <v>214</v>
      </c>
      <c r="C23" s="1778">
        <v>12119</v>
      </c>
      <c r="D23" s="1676" t="s">
        <v>20</v>
      </c>
      <c r="E23" s="1778">
        <v>60.3</v>
      </c>
      <c r="F23" s="1676" t="s">
        <v>121</v>
      </c>
      <c r="G23" s="1676" t="s">
        <v>16</v>
      </c>
      <c r="H23" s="1837">
        <v>3163094.39</v>
      </c>
      <c r="I23" s="1778">
        <v>2</v>
      </c>
      <c r="J23" s="1804" t="s">
        <v>65</v>
      </c>
      <c r="K23" s="1670" t="s">
        <v>18</v>
      </c>
      <c r="L23" s="1800">
        <v>44336</v>
      </c>
      <c r="M23" s="1720" t="s">
        <v>17</v>
      </c>
      <c r="N23" s="1805" t="s">
        <v>298</v>
      </c>
      <c r="O23" s="1670" t="s">
        <v>67</v>
      </c>
      <c r="P23" s="1778"/>
      <c r="Q23" s="1802" t="s">
        <v>147</v>
      </c>
    </row>
    <row r="24" spans="1:17" customFormat="1" hidden="1">
      <c r="A24" s="1676">
        <v>22</v>
      </c>
      <c r="B24" s="1778">
        <v>81</v>
      </c>
      <c r="C24" s="1778">
        <v>12428</v>
      </c>
      <c r="D24" s="1670" t="s">
        <v>77</v>
      </c>
      <c r="E24" s="1778">
        <v>36.86</v>
      </c>
      <c r="F24" s="1676" t="s">
        <v>121</v>
      </c>
      <c r="G24" s="1676" t="s">
        <v>16</v>
      </c>
      <c r="H24" s="1837">
        <v>2441056.8199999998</v>
      </c>
      <c r="I24" s="1778">
        <v>1</v>
      </c>
      <c r="J24" s="1804" t="s">
        <v>65</v>
      </c>
      <c r="K24" s="1670" t="s">
        <v>18</v>
      </c>
      <c r="L24" s="1800">
        <v>44344</v>
      </c>
      <c r="M24" s="1720" t="s">
        <v>17</v>
      </c>
      <c r="N24" s="1778" t="s">
        <v>299</v>
      </c>
      <c r="O24" s="1670" t="s">
        <v>67</v>
      </c>
      <c r="P24" s="1778"/>
      <c r="Q24" s="1670" t="s">
        <v>79</v>
      </c>
    </row>
    <row r="25" spans="1:17" customFormat="1" hidden="1">
      <c r="A25" s="1676">
        <v>23</v>
      </c>
      <c r="B25" s="1778">
        <v>107</v>
      </c>
      <c r="C25" s="1778">
        <v>12279</v>
      </c>
      <c r="D25" s="1676" t="s">
        <v>63</v>
      </c>
      <c r="E25" s="1778">
        <v>58.99</v>
      </c>
      <c r="F25" s="1676" t="s">
        <v>121</v>
      </c>
      <c r="G25" s="1676" t="s">
        <v>16</v>
      </c>
      <c r="H25" s="1837">
        <v>3471009.94</v>
      </c>
      <c r="I25" s="1778">
        <v>2</v>
      </c>
      <c r="J25" s="1804" t="s">
        <v>65</v>
      </c>
      <c r="K25" s="1670" t="s">
        <v>12</v>
      </c>
      <c r="L25" s="1800">
        <v>44341</v>
      </c>
      <c r="M25" s="1720" t="s">
        <v>17</v>
      </c>
      <c r="N25" s="1778" t="s">
        <v>300</v>
      </c>
      <c r="O25" s="1954" t="s">
        <v>71</v>
      </c>
      <c r="P25" s="1778" t="s">
        <v>301</v>
      </c>
      <c r="Q25" s="1802" t="s">
        <v>72</v>
      </c>
    </row>
    <row r="26" spans="1:17" customFormat="1" hidden="1">
      <c r="A26" s="1676">
        <v>24</v>
      </c>
      <c r="B26" s="1778">
        <v>256</v>
      </c>
      <c r="C26" s="1778">
        <v>10303</v>
      </c>
      <c r="D26" s="1676" t="s">
        <v>63</v>
      </c>
      <c r="E26" s="1778">
        <v>24.23</v>
      </c>
      <c r="F26" s="1676" t="s">
        <v>121</v>
      </c>
      <c r="G26" s="1676" t="s">
        <v>84</v>
      </c>
      <c r="H26" s="1837">
        <v>1555600.16</v>
      </c>
      <c r="I26" s="1778">
        <v>0</v>
      </c>
      <c r="J26" s="1804" t="s">
        <v>286</v>
      </c>
      <c r="K26" s="1670" t="s">
        <v>18</v>
      </c>
      <c r="L26" s="1800">
        <v>44336</v>
      </c>
      <c r="M26" s="1720" t="s">
        <v>11</v>
      </c>
      <c r="N26" s="1778" t="s">
        <v>302</v>
      </c>
      <c r="O26" s="1670" t="s">
        <v>67</v>
      </c>
      <c r="P26" s="1778" t="s">
        <v>303</v>
      </c>
      <c r="Q26" s="1802" t="s">
        <v>72</v>
      </c>
    </row>
    <row r="27" spans="1:17" customFormat="1" hidden="1">
      <c r="A27" s="1676">
        <v>25</v>
      </c>
      <c r="B27" s="1778">
        <v>92</v>
      </c>
      <c r="C27" s="1778">
        <v>11959</v>
      </c>
      <c r="D27" s="1670" t="s">
        <v>77</v>
      </c>
      <c r="E27" s="1676">
        <v>59.52</v>
      </c>
      <c r="F27" s="1676" t="s">
        <v>121</v>
      </c>
      <c r="G27" s="1676" t="s">
        <v>16</v>
      </c>
      <c r="H27" s="1837">
        <v>3453448.61</v>
      </c>
      <c r="I27" s="1778">
        <v>2</v>
      </c>
      <c r="J27" s="1804" t="s">
        <v>65</v>
      </c>
      <c r="K27" s="1670" t="s">
        <v>18</v>
      </c>
      <c r="L27" s="1800">
        <v>44336</v>
      </c>
      <c r="M27" s="1720" t="s">
        <v>17</v>
      </c>
      <c r="N27" s="1778" t="s">
        <v>304</v>
      </c>
      <c r="O27" s="1670" t="s">
        <v>67</v>
      </c>
      <c r="P27" s="1778" t="s">
        <v>305</v>
      </c>
      <c r="Q27" s="1670" t="s">
        <v>79</v>
      </c>
    </row>
    <row r="28" spans="1:17" customFormat="1" hidden="1">
      <c r="A28" s="1676">
        <v>26</v>
      </c>
      <c r="B28" s="1778">
        <v>232</v>
      </c>
      <c r="C28" s="1778">
        <v>11942</v>
      </c>
      <c r="D28" s="1670" t="s">
        <v>63</v>
      </c>
      <c r="E28" s="1676">
        <v>60.19</v>
      </c>
      <c r="F28" s="1676" t="s">
        <v>121</v>
      </c>
      <c r="G28" s="1676" t="s">
        <v>16</v>
      </c>
      <c r="H28" s="1837">
        <v>2903722.7</v>
      </c>
      <c r="I28" s="1778">
        <v>2</v>
      </c>
      <c r="J28" s="1804" t="s">
        <v>65</v>
      </c>
      <c r="K28" s="1670" t="s">
        <v>18</v>
      </c>
      <c r="L28" s="1800">
        <v>44344</v>
      </c>
      <c r="M28" s="1720" t="s">
        <v>17</v>
      </c>
      <c r="N28" s="1778" t="s">
        <v>306</v>
      </c>
      <c r="O28" s="1955" t="s">
        <v>149</v>
      </c>
      <c r="P28" s="1778" t="s">
        <v>307</v>
      </c>
      <c r="Q28" s="1670" t="s">
        <v>72</v>
      </c>
    </row>
    <row r="29" spans="1:17" customFormat="1" hidden="1">
      <c r="A29" s="1676">
        <v>27</v>
      </c>
      <c r="B29" s="1778">
        <v>127</v>
      </c>
      <c r="C29" s="1778">
        <v>12482</v>
      </c>
      <c r="D29" s="1670" t="s">
        <v>63</v>
      </c>
      <c r="E29" s="1676">
        <v>59.52</v>
      </c>
      <c r="F29" s="1676" t="s">
        <v>121</v>
      </c>
      <c r="G29" s="1676" t="s">
        <v>84</v>
      </c>
      <c r="H29" s="1837">
        <v>4175902.37</v>
      </c>
      <c r="I29" s="1778">
        <v>2</v>
      </c>
      <c r="J29" s="1804" t="s">
        <v>286</v>
      </c>
      <c r="K29" s="1670" t="s">
        <v>18</v>
      </c>
      <c r="L29" s="1800"/>
      <c r="M29" s="1720" t="s">
        <v>11</v>
      </c>
      <c r="N29" s="1778" t="s">
        <v>308</v>
      </c>
      <c r="O29" s="1670" t="s">
        <v>67</v>
      </c>
      <c r="P29" s="1778" t="s">
        <v>309</v>
      </c>
      <c r="Q29" s="1670" t="s">
        <v>72</v>
      </c>
    </row>
    <row r="30" spans="1:17" customFormat="1" hidden="1">
      <c r="A30" s="1676">
        <v>28</v>
      </c>
      <c r="B30" s="1778">
        <v>86</v>
      </c>
      <c r="C30" s="1778">
        <v>12482.124830000001</v>
      </c>
      <c r="D30" s="1670" t="s">
        <v>63</v>
      </c>
      <c r="E30" s="1676">
        <v>58.99</v>
      </c>
      <c r="F30" s="1676" t="s">
        <v>121</v>
      </c>
      <c r="G30" s="1676" t="s">
        <v>84</v>
      </c>
      <c r="H30" s="1837">
        <v>4090404.94</v>
      </c>
      <c r="I30" s="1778">
        <v>2</v>
      </c>
      <c r="J30" s="1804" t="s">
        <v>286</v>
      </c>
      <c r="K30" s="1670" t="s">
        <v>18</v>
      </c>
      <c r="L30" s="1800"/>
      <c r="M30" s="1720" t="s">
        <v>11</v>
      </c>
      <c r="N30" s="1778" t="s">
        <v>308</v>
      </c>
      <c r="O30" s="1670" t="s">
        <v>67</v>
      </c>
      <c r="P30" s="1778" t="s">
        <v>309</v>
      </c>
      <c r="Q30" s="1670" t="s">
        <v>72</v>
      </c>
    </row>
    <row r="31" spans="1:17" customFormat="1" hidden="1">
      <c r="A31" s="1676">
        <v>29</v>
      </c>
      <c r="B31" s="1778">
        <v>190</v>
      </c>
      <c r="C31" s="1778">
        <v>12162</v>
      </c>
      <c r="D31" s="1670" t="s">
        <v>63</v>
      </c>
      <c r="E31" s="1676">
        <v>24.23</v>
      </c>
      <c r="F31" s="1676" t="s">
        <v>121</v>
      </c>
      <c r="G31" s="1676" t="s">
        <v>16</v>
      </c>
      <c r="H31" s="1837">
        <v>1656895.86</v>
      </c>
      <c r="I31" s="1778">
        <v>0</v>
      </c>
      <c r="J31" s="1804" t="s">
        <v>65</v>
      </c>
      <c r="K31" s="1670" t="s">
        <v>12</v>
      </c>
      <c r="L31" s="1800">
        <v>44344</v>
      </c>
      <c r="M31" s="1720" t="s">
        <v>17</v>
      </c>
      <c r="N31" s="1778" t="s">
        <v>310</v>
      </c>
      <c r="O31" s="1670" t="s">
        <v>67</v>
      </c>
      <c r="P31" s="1778" t="s">
        <v>307</v>
      </c>
      <c r="Q31" s="1670" t="s">
        <v>72</v>
      </c>
    </row>
    <row r="32" spans="1:17" customFormat="1" hidden="1">
      <c r="A32" s="1676">
        <v>30</v>
      </c>
      <c r="B32" s="1778">
        <v>44</v>
      </c>
      <c r="C32" s="1778">
        <v>12573</v>
      </c>
      <c r="D32" s="1670" t="s">
        <v>63</v>
      </c>
      <c r="E32" s="1676">
        <v>58.99</v>
      </c>
      <c r="F32" s="1676" t="s">
        <v>121</v>
      </c>
      <c r="G32" s="1676" t="s">
        <v>16</v>
      </c>
      <c r="H32" s="1837">
        <v>4026293.84</v>
      </c>
      <c r="I32" s="1778">
        <v>2</v>
      </c>
      <c r="J32" s="1804" t="s">
        <v>65</v>
      </c>
      <c r="K32" s="1670" t="s">
        <v>18</v>
      </c>
      <c r="L32" s="1800">
        <v>44347</v>
      </c>
      <c r="M32" s="1720" t="s">
        <v>17</v>
      </c>
      <c r="N32" s="1778" t="s">
        <v>311</v>
      </c>
      <c r="O32" s="1670" t="s">
        <v>67</v>
      </c>
      <c r="P32" s="1778"/>
      <c r="Q32" s="1670" t="s">
        <v>72</v>
      </c>
    </row>
    <row r="33" spans="1:18" customFormat="1" hidden="1">
      <c r="A33" s="1676">
        <v>31</v>
      </c>
      <c r="B33" s="1778">
        <v>23</v>
      </c>
      <c r="C33" s="1778">
        <v>9356</v>
      </c>
      <c r="D33" s="1676" t="s">
        <v>73</v>
      </c>
      <c r="E33" s="1778">
        <v>58.99</v>
      </c>
      <c r="F33" s="1676" t="s">
        <v>121</v>
      </c>
      <c r="G33" s="1676" t="s">
        <v>16</v>
      </c>
      <c r="H33" s="1837">
        <v>3471009.94</v>
      </c>
      <c r="I33" s="1778">
        <v>2</v>
      </c>
      <c r="J33" s="1804" t="s">
        <v>65</v>
      </c>
      <c r="K33" s="1670" t="s">
        <v>18</v>
      </c>
      <c r="L33" s="1800">
        <v>44345</v>
      </c>
      <c r="M33" s="1720" t="s">
        <v>17</v>
      </c>
      <c r="N33" s="1778" t="s">
        <v>312</v>
      </c>
      <c r="O33" s="1670" t="s">
        <v>67</v>
      </c>
      <c r="P33" s="1778"/>
      <c r="Q33" s="1670" t="s">
        <v>88</v>
      </c>
    </row>
    <row r="34" spans="1:18" customFormat="1" hidden="1">
      <c r="A34" s="1676">
        <v>32</v>
      </c>
      <c r="B34" s="1778">
        <v>238</v>
      </c>
      <c r="C34" s="1778">
        <v>11740</v>
      </c>
      <c r="D34" s="1676" t="s">
        <v>73</v>
      </c>
      <c r="E34" s="1778">
        <v>25.85</v>
      </c>
      <c r="F34" s="1676" t="s">
        <v>121</v>
      </c>
      <c r="G34" s="1676" t="s">
        <v>16</v>
      </c>
      <c r="H34" s="1837">
        <v>1453752.3</v>
      </c>
      <c r="I34" s="1778">
        <v>0</v>
      </c>
      <c r="J34" s="1804" t="s">
        <v>65</v>
      </c>
      <c r="K34" s="1670" t="s">
        <v>12</v>
      </c>
      <c r="L34" s="1800">
        <v>44347</v>
      </c>
      <c r="M34" s="1720" t="s">
        <v>17</v>
      </c>
      <c r="N34" s="1778" t="s">
        <v>313</v>
      </c>
      <c r="O34" s="1670" t="s">
        <v>67</v>
      </c>
      <c r="P34" s="1778"/>
      <c r="Q34" s="1670" t="s">
        <v>88</v>
      </c>
    </row>
    <row r="35" spans="1:18" hidden="1">
      <c r="A35" s="1676">
        <v>33</v>
      </c>
      <c r="B35" s="1676">
        <v>8</v>
      </c>
      <c r="C35" s="1676">
        <v>6563</v>
      </c>
      <c r="D35" s="1676" t="s">
        <v>73</v>
      </c>
      <c r="E35" s="1676">
        <v>59.52</v>
      </c>
      <c r="F35" s="1676" t="s">
        <v>121</v>
      </c>
      <c r="G35" s="1676" t="s">
        <v>16</v>
      </c>
      <c r="H35" s="1837">
        <v>3160635.85</v>
      </c>
      <c r="I35" s="1676">
        <v>2</v>
      </c>
      <c r="J35" s="1676" t="s">
        <v>65</v>
      </c>
      <c r="K35" s="1676" t="s">
        <v>18</v>
      </c>
      <c r="L35" s="1720">
        <v>44348</v>
      </c>
      <c r="M35" s="1720" t="s">
        <v>17</v>
      </c>
      <c r="N35" s="1807" t="s">
        <v>314</v>
      </c>
      <c r="O35" s="1670" t="s">
        <v>67</v>
      </c>
      <c r="P35" s="1676" t="s">
        <v>315</v>
      </c>
      <c r="Q35" s="1670" t="s">
        <v>88</v>
      </c>
    </row>
    <row r="36" spans="1:18" customFormat="1" hidden="1">
      <c r="A36" s="1854"/>
      <c r="B36" s="1843"/>
      <c r="C36" s="1843"/>
      <c r="D36" s="1672"/>
      <c r="E36" s="1843"/>
      <c r="F36" s="1672"/>
      <c r="G36" s="1672"/>
      <c r="H36" s="1844"/>
      <c r="I36" s="1843"/>
      <c r="J36" s="1956"/>
      <c r="K36" s="1739"/>
      <c r="L36" s="1853"/>
      <c r="M36" s="1957"/>
      <c r="N36" s="1843"/>
      <c r="O36" s="1854"/>
      <c r="P36" s="1843"/>
      <c r="Q36" s="1854"/>
    </row>
    <row r="37" spans="1:18" customFormat="1" ht="15.75" hidden="1">
      <c r="A37" s="1785"/>
      <c r="B37" s="1680">
        <f>SUM(E3:E36)</f>
        <v>1635.3899999999996</v>
      </c>
      <c r="C37" s="1681">
        <f>SUM(H3:H36)</f>
        <v>90747254.50999999</v>
      </c>
      <c r="D37" s="1682">
        <f>SUM(H3:H36)</f>
        <v>90747254.50999999</v>
      </c>
      <c r="F37" s="1785"/>
      <c r="G37" s="1786"/>
      <c r="N37" s="1817"/>
      <c r="O37" s="1785"/>
      <c r="Q37" s="1817"/>
    </row>
    <row r="38" spans="1:18" customFormat="1">
      <c r="A38" s="1785"/>
      <c r="B38" s="1785"/>
      <c r="D38" s="1785"/>
      <c r="E38" s="1787"/>
      <c r="F38" s="1785"/>
      <c r="H38" s="1785"/>
      <c r="I38" s="1785"/>
      <c r="K38" s="58"/>
      <c r="L38" s="1785"/>
      <c r="M38" s="1785"/>
      <c r="N38" s="1817"/>
      <c r="O38" s="1785"/>
      <c r="Q38" s="1817"/>
      <c r="R38" s="1860" t="s">
        <v>255</v>
      </c>
    </row>
    <row r="39" spans="1:18" customFormat="1" ht="18" customHeight="1">
      <c r="A39" s="1884" t="s">
        <v>316</v>
      </c>
      <c r="B39" s="1885"/>
      <c r="C39" s="1885"/>
      <c r="D39" s="1885"/>
      <c r="E39" s="1885"/>
      <c r="F39" s="1885"/>
      <c r="G39" s="1885"/>
      <c r="H39" s="1885"/>
      <c r="I39" s="1885"/>
      <c r="J39" s="1885"/>
      <c r="K39" s="1885"/>
      <c r="L39" s="1885"/>
      <c r="M39" s="1958"/>
      <c r="N39" s="1817"/>
      <c r="O39" s="1785"/>
      <c r="Q39" s="1817"/>
      <c r="R39" s="1861" t="s">
        <v>256</v>
      </c>
    </row>
    <row r="40" spans="1:18" customFormat="1" ht="23.25" customHeight="1">
      <c r="A40" s="1886" t="s">
        <v>1</v>
      </c>
      <c r="B40" s="1887" t="s">
        <v>100</v>
      </c>
      <c r="C40" s="1887" t="s">
        <v>97</v>
      </c>
      <c r="D40" s="1888" t="s">
        <v>95</v>
      </c>
      <c r="E40" s="1889" t="s">
        <v>101</v>
      </c>
      <c r="F40" s="1888" t="s">
        <v>98</v>
      </c>
      <c r="G40" s="1888" t="s">
        <v>96</v>
      </c>
      <c r="H40" s="1890" t="s">
        <v>102</v>
      </c>
      <c r="I40" s="1890" t="s">
        <v>99</v>
      </c>
      <c r="J40" s="1959">
        <v>0</v>
      </c>
      <c r="K40" s="1959">
        <v>1</v>
      </c>
      <c r="L40" s="1959">
        <v>2</v>
      </c>
      <c r="M40" s="1960">
        <v>3</v>
      </c>
      <c r="N40" s="1817">
        <v>4</v>
      </c>
      <c r="O40" s="1785"/>
      <c r="Q40" s="1817"/>
      <c r="R40" s="1873"/>
    </row>
    <row r="41" spans="1:18" customFormat="1" ht="13.5" hidden="1" customHeight="1">
      <c r="A41" s="1891" t="s">
        <v>109</v>
      </c>
      <c r="B41" s="1892" t="e">
        <f>$B$46/$D$46*D41</f>
        <v>#DIV/0!</v>
      </c>
      <c r="C41" s="1893" t="e">
        <f>$C$46/$D$46*D41</f>
        <v>#DIV/0!</v>
      </c>
      <c r="D41" s="1894"/>
      <c r="E41" s="1895">
        <f>SUMIFS($E$3:$E$17,$D$3:$D$17,A41,$F$3:$F$17,"Дом 1")</f>
        <v>0</v>
      </c>
      <c r="F41" s="1893">
        <f>SUMIFS($H$3:$H$36,$D$3:$D$36,A41,$F$3:$F$36,"Дом 1")</f>
        <v>0</v>
      </c>
      <c r="G41" s="1896">
        <f>COUNTIFS($D$2:$D$36,A41,$F$2:$F$36,"Дом 1")</f>
        <v>0</v>
      </c>
      <c r="H41" s="1897" t="e">
        <f t="shared" ref="H41:I46" si="0">E41/B41</f>
        <v>#DIV/0!</v>
      </c>
      <c r="I41" s="1961" t="e">
        <f t="shared" si="0"/>
        <v>#DIV/0!</v>
      </c>
      <c r="J41" s="1962">
        <f>COUNTIFS($I$3:$I$17,$J$21,$D$3:$D$17,A41,$F$3:$F$17,"Дом 1")</f>
        <v>0</v>
      </c>
      <c r="K41" s="1962">
        <f>COUNTIFS($I$3:$I$17,$K$21,$D$3:$D$17,A41,$F$3:$F$17,"Дом 1")</f>
        <v>0</v>
      </c>
      <c r="L41" s="1962">
        <f>COUNTIFS($I$3:$I$17,$L$21,$D$3:$D$17,A41,$F$3:$F$17,"Дом 1")</f>
        <v>0</v>
      </c>
      <c r="M41" s="1963">
        <f>COUNTIFS($I$3:$I$17,$M$21,$D$3:$D$17,A41,$F$3:$F$17,"Дом 1")</f>
        <v>0</v>
      </c>
      <c r="N41" s="1817">
        <f>COUNTIFS($I$3:$I$17,$N$21,$D$3:$D$17,B41,$F$3:$F$17,"Дом 1")</f>
        <v>0</v>
      </c>
      <c r="O41" s="1785"/>
      <c r="Q41" s="1817"/>
      <c r="R41" s="1876"/>
    </row>
    <row r="42" spans="1:18" customFormat="1">
      <c r="A42" s="1898" t="s">
        <v>73</v>
      </c>
      <c r="B42" s="1899">
        <v>0</v>
      </c>
      <c r="C42" s="1900">
        <v>0</v>
      </c>
      <c r="D42" s="1901"/>
      <c r="E42" s="1902">
        <f>SUMIFS($E$3:$E$36,$D$3:$D$36,A42,$F$3:$F$36,"Дом 1")</f>
        <v>0</v>
      </c>
      <c r="F42" s="1900">
        <f>SUMIFS($H$3:$H$36,$D$3:$D$36,A42,$F$3:$F$36,"Дом 1")</f>
        <v>0</v>
      </c>
      <c r="G42" s="1903">
        <f>COUNTIFS($D$2:$D$36,A42,$F$2:$F$36,"Дом 1")</f>
        <v>0</v>
      </c>
      <c r="H42" s="1904" t="e">
        <f t="shared" si="0"/>
        <v>#DIV/0!</v>
      </c>
      <c r="I42" s="1964" t="e">
        <f t="shared" si="0"/>
        <v>#DIV/0!</v>
      </c>
      <c r="J42" s="1965">
        <f>COUNTIFS($I$3:$I$36,$J$40,$D$3:$D$36,A42,$F$3:$F$36,"Дом 1")</f>
        <v>0</v>
      </c>
      <c r="K42" s="1965">
        <f>COUNTIFS($I$3:$I$36,$K$40,$D$3:$D$36,A42,$F$3:$F$36,"Дом 1")</f>
        <v>0</v>
      </c>
      <c r="L42" s="1965">
        <f>COUNTIFS($I$3:$I$36,$L$40,$D$3:$D$36,A42,$F$3:$F$36,"Дом 1")</f>
        <v>0</v>
      </c>
      <c r="M42" s="1966">
        <f>COUNTIFS($I$3:$I$36,$M$36,$D$3:$D$36,A42,$F$3:$F$36,"Дом 1")</f>
        <v>0</v>
      </c>
      <c r="N42" s="1817">
        <f>COUNTIFS($I$3:$I$17,$N$21,$D$3:$D$17,B42,$F$3:$F$17,"Дом 1")</f>
        <v>0</v>
      </c>
      <c r="O42" s="1785"/>
      <c r="Q42" s="1817"/>
      <c r="R42" s="1874" t="s">
        <v>257</v>
      </c>
    </row>
    <row r="43" spans="1:18" customFormat="1" ht="21.75" customHeight="1">
      <c r="A43" s="1898" t="s">
        <v>20</v>
      </c>
      <c r="B43" s="1899">
        <v>0</v>
      </c>
      <c r="C43" s="1900">
        <v>0</v>
      </c>
      <c r="D43" s="1901"/>
      <c r="E43" s="1902">
        <f>SUMIFS($E$3:$E$36,$D$3:$D$36,A43,$F$3:$F$36,"Дом 1")</f>
        <v>0</v>
      </c>
      <c r="F43" s="1900">
        <f>SUMIFS($H$3:$H$36,$D$3:$D$36,A43,$F$3:$F$36,"Дом 1")</f>
        <v>0</v>
      </c>
      <c r="G43" s="1903">
        <f>COUNTIFS($D$2:$D$36,A43,$F$2:$F$36,"Дом 1")</f>
        <v>0</v>
      </c>
      <c r="H43" s="1904" t="e">
        <f t="shared" si="0"/>
        <v>#DIV/0!</v>
      </c>
      <c r="I43" s="1964" t="e">
        <f t="shared" si="0"/>
        <v>#DIV/0!</v>
      </c>
      <c r="J43" s="1965">
        <f>COUNTIFS($I$3:$I$36,$J$40,$D$3:$D$36,A43,$F$3:$F$36,"Дом 1")</f>
        <v>0</v>
      </c>
      <c r="K43" s="1965">
        <f>COUNTIFS($I$3:$I$36,$K$40,$D$3:$D$36,A43,$F$3:$F$36,"Дом 1")</f>
        <v>0</v>
      </c>
      <c r="L43" s="1965">
        <f>COUNTIFS($I$3:$I$36,$L$40,$D$3:$D$36,A43,$F$3:$F$36,"Дом 1")</f>
        <v>0</v>
      </c>
      <c r="M43" s="1966">
        <f>COUNTIFS($I$3:$I$36,$M$36,$D$3:$D$36,A43,$F$3:$F$36,"Дом 1")</f>
        <v>0</v>
      </c>
      <c r="N43" s="1817">
        <f>COUNTIFS($I$3:$I$17,$N$21,$D$3:$D$17,B43,$F$3:$F$17,"Дом 1")</f>
        <v>0</v>
      </c>
      <c r="O43" s="1785"/>
      <c r="Q43" s="1817"/>
      <c r="R43" s="1875"/>
    </row>
    <row r="44" spans="1:18" customFormat="1">
      <c r="A44" s="1898" t="s">
        <v>63</v>
      </c>
      <c r="B44" s="1899">
        <v>0</v>
      </c>
      <c r="C44" s="1900">
        <v>0</v>
      </c>
      <c r="D44" s="1901"/>
      <c r="E44" s="1902">
        <f>SUMIFS($E$3:$E$36,$D$3:$D$36,A44,$F$3:$F$36,"Дом 1")</f>
        <v>0</v>
      </c>
      <c r="F44" s="1900">
        <f>SUMIFS($H$3:$H$36,$D$3:$D$36,A44,$F$3:$F$36,"Дом 1")</f>
        <v>0</v>
      </c>
      <c r="G44" s="1903">
        <f>COUNTIFS($D$2:$D$36,A44,$F$2:$F$36,"Дом 1")</f>
        <v>0</v>
      </c>
      <c r="H44" s="1904" t="e">
        <f t="shared" si="0"/>
        <v>#DIV/0!</v>
      </c>
      <c r="I44" s="1964" t="e">
        <f t="shared" si="0"/>
        <v>#DIV/0!</v>
      </c>
      <c r="J44" s="1965">
        <f>COUNTIFS($I$3:$I$36,$J$40,$D$3:$D$36,A44,$F$3:$F$36,"Дом 1")</f>
        <v>0</v>
      </c>
      <c r="K44" s="1965">
        <f>COUNTIFS($I$3:$I$36,$K$40,$D$3:$D$36,A44,$F$3:$F$36,"Дом 1")</f>
        <v>0</v>
      </c>
      <c r="L44" s="1965">
        <f>COUNTIFS($I$3:$I$36,$L$40,$D$3:$D$36,A44,$F$3:$F$36,"Дом 1")</f>
        <v>0</v>
      </c>
      <c r="M44" s="1966">
        <f>COUNTIFS($I$3:$I$36,$M$36,$D$3:$D$36,A44,$F$3:$F$36,"Дом 1")</f>
        <v>0</v>
      </c>
      <c r="N44" s="1817">
        <f>COUNTIFS($I$3:$I$17,$N$21,$D$3:$D$17,B44,$F$3:$F$17,"Дом 1")</f>
        <v>0</v>
      </c>
      <c r="O44" s="1785"/>
      <c r="Q44" s="1817"/>
    </row>
    <row r="45" spans="1:18" customFormat="1">
      <c r="A45" s="1905" t="s">
        <v>77</v>
      </c>
      <c r="B45" s="1899">
        <v>0</v>
      </c>
      <c r="C45" s="1900">
        <v>0</v>
      </c>
      <c r="D45" s="1906"/>
      <c r="E45" s="1902">
        <f>SUMIFS($E$3:$E$36,$D$3:$D$36,A45,$F$3:$F$36,"Дом 1")</f>
        <v>0</v>
      </c>
      <c r="F45" s="1900">
        <f>SUMIFS($H$3:$H$36,$D$3:$D$36,A45,$F$3:$F$36,"Дом 1")</f>
        <v>0</v>
      </c>
      <c r="G45" s="1903">
        <f>COUNTIFS($D$2:$D$36,A45,$F$2:$F$36,"Дом 1")</f>
        <v>0</v>
      </c>
      <c r="H45" s="1904" t="e">
        <f t="shared" si="0"/>
        <v>#DIV/0!</v>
      </c>
      <c r="I45" s="1964" t="e">
        <f t="shared" si="0"/>
        <v>#DIV/0!</v>
      </c>
      <c r="J45" s="1965">
        <f>COUNTIFS($I$3:$I$36,$J$40,$D$3:$D$36,A45,$F$3:$F$36,"Дом 1")</f>
        <v>0</v>
      </c>
      <c r="K45" s="1965">
        <f>COUNTIFS($I$3:$I$36,$K$40,$D$3:$D$36,A45,$F$3:$F$36,"Дом 1")</f>
        <v>0</v>
      </c>
      <c r="L45" s="1965">
        <f>COUNTIFS($I$3:$I$36,$L$40,$D$3:$D$36,A45,$F$3:$F$36,"Дом 1")</f>
        <v>0</v>
      </c>
      <c r="M45" s="1966">
        <f>COUNTIFS($I$3:$I$36,$M$36,$D$3:$D$36,A45,$F$3:$F$36,"Дом 1")</f>
        <v>0</v>
      </c>
      <c r="N45" s="1817">
        <f>COUNTIFS($I$3:$I$17,$N$21,$D$3:$D$17,B45,$F$3:$F$17,"Дом 1")</f>
        <v>0</v>
      </c>
      <c r="O45" s="1785"/>
      <c r="Q45" s="1817"/>
    </row>
    <row r="46" spans="1:18" customFormat="1" ht="30" customHeight="1">
      <c r="A46" s="1907" t="s">
        <v>114</v>
      </c>
      <c r="B46" s="1908"/>
      <c r="C46" s="1909"/>
      <c r="D46" s="1910">
        <f>SUM(D41:D45)</f>
        <v>0</v>
      </c>
      <c r="E46" s="1911">
        <f>SUM(E41:E45)</f>
        <v>0</v>
      </c>
      <c r="F46" s="1909">
        <f>SUM(F41:F45)</f>
        <v>0</v>
      </c>
      <c r="G46" s="1910">
        <f>SUM(G41:G45)</f>
        <v>0</v>
      </c>
      <c r="H46" s="1912" t="e">
        <f>E46/B46</f>
        <v>#DIV/0!</v>
      </c>
      <c r="I46" s="1967" t="e">
        <f t="shared" si="0"/>
        <v>#DIV/0!</v>
      </c>
      <c r="J46" s="1968">
        <f>SUM(J41:J44)</f>
        <v>0</v>
      </c>
      <c r="K46" s="1968">
        <f>SUM(K41:K44)</f>
        <v>0</v>
      </c>
      <c r="L46" s="1968">
        <f>SUM(L41:L44)</f>
        <v>0</v>
      </c>
      <c r="M46" s="1969">
        <f>SUM(M41:M44)</f>
        <v>0</v>
      </c>
      <c r="N46" s="1817">
        <f>COUNTIFS($I$3:$I$17,4,$D$3:$D$17,B46,$F$3:$F$17,"Дом 1")</f>
        <v>0</v>
      </c>
      <c r="O46" s="1785"/>
      <c r="Q46" s="1817"/>
    </row>
    <row r="47" spans="1:18" customFormat="1" ht="27" customHeight="1">
      <c r="A47" s="1913" t="s">
        <v>115</v>
      </c>
      <c r="B47" s="1914" t="s">
        <v>100</v>
      </c>
      <c r="C47" s="1914" t="s">
        <v>97</v>
      </c>
      <c r="D47" s="1915" t="s">
        <v>95</v>
      </c>
      <c r="E47" s="1916" t="s">
        <v>101</v>
      </c>
      <c r="F47" s="1915" t="s">
        <v>98</v>
      </c>
      <c r="G47" s="1915" t="s">
        <v>96</v>
      </c>
      <c r="H47" s="1917" t="s">
        <v>102</v>
      </c>
      <c r="I47" s="1917" t="s">
        <v>99</v>
      </c>
      <c r="J47" s="1970">
        <v>0</v>
      </c>
      <c r="K47" s="1970">
        <v>1</v>
      </c>
      <c r="L47" s="1970">
        <v>2</v>
      </c>
      <c r="M47" s="1971">
        <v>3</v>
      </c>
      <c r="N47" s="1817">
        <v>4</v>
      </c>
      <c r="O47" s="1785"/>
      <c r="Q47" s="1817"/>
    </row>
    <row r="48" spans="1:18" customFormat="1" hidden="1">
      <c r="A48" s="1918"/>
      <c r="B48" s="1903"/>
      <c r="C48" s="1900"/>
      <c r="D48" s="1901"/>
      <c r="E48" s="1903"/>
      <c r="F48" s="1900"/>
      <c r="G48" s="1919"/>
      <c r="H48" s="1920" t="e">
        <f t="shared" ref="H48:I50" si="1">E48/B48</f>
        <v>#DIV/0!</v>
      </c>
      <c r="I48" s="1972" t="e">
        <f t="shared" si="1"/>
        <v>#DIV/0!</v>
      </c>
      <c r="J48" s="1973"/>
      <c r="K48" s="1974"/>
      <c r="L48" s="1973"/>
      <c r="M48" s="1975"/>
      <c r="N48" s="1817"/>
      <c r="O48" s="1785"/>
      <c r="Q48" s="1817"/>
    </row>
    <row r="49" spans="1:18" customFormat="1">
      <c r="A49" s="1905" t="s">
        <v>16</v>
      </c>
      <c r="B49" s="1899" t="e">
        <f>B46/D46*D49</f>
        <v>#DIV/0!</v>
      </c>
      <c r="C49" s="1921" t="e">
        <f>C46/D46*D49</f>
        <v>#DIV/0!</v>
      </c>
      <c r="D49" s="1922">
        <v>0</v>
      </c>
      <c r="E49" s="1899">
        <f>SUMIFS($E$3:$E$36,$G$3:$G$36,A49,$F$3:$F$36,"Дом 1")</f>
        <v>0</v>
      </c>
      <c r="F49" s="1923">
        <f>SUMIFS($H$3:$H$36,$G$3:$G$36,A49,$F$3:$F$36,"Дом 1")</f>
        <v>0</v>
      </c>
      <c r="G49" s="1924">
        <f>COUNTIFS($G$3:$G$36,A49,$F$3:$F$36,"Дом 1")</f>
        <v>0</v>
      </c>
      <c r="H49" s="1925" t="e">
        <f t="shared" si="1"/>
        <v>#DIV/0!</v>
      </c>
      <c r="I49" s="1976" t="e">
        <f t="shared" si="1"/>
        <v>#DIV/0!</v>
      </c>
      <c r="J49" s="1977">
        <f>COUNTIFS($I$2:$I$36,J40,$G$2:$G$36,$A$49,$F$2:$F$36,"Дом 1")</f>
        <v>0</v>
      </c>
      <c r="K49" s="1977">
        <f>COUNTIFS($I$2:$I$36,K40,$G$2:$G$36,$A$49,$F$2:$F$36,"Дом 1")</f>
        <v>0</v>
      </c>
      <c r="L49" s="1977">
        <f>COUNTIFS($I$2:$I$36,L40,$G$2:$G$36,$A$49,$F$2:$F$36,"Дом 1")</f>
        <v>0</v>
      </c>
      <c r="M49" s="1978">
        <f>COUNTIFS($I$2:$I$36,M40,$G$2:$G$36,$A$49,$F$2:$F$36,"Дом 1")</f>
        <v>0</v>
      </c>
      <c r="N49" s="1817">
        <f>COUNTIFS($I$2:$I$17,N40,$G$2:$G$17,$A$30,$F$2:$F$17,"Дом 1")</f>
        <v>0</v>
      </c>
      <c r="O49" s="1785"/>
      <c r="Q49" s="1817"/>
    </row>
    <row r="50" spans="1:18" customFormat="1">
      <c r="A50" s="1926" t="s">
        <v>114</v>
      </c>
      <c r="B50" s="1927" t="e">
        <f t="shared" ref="B50:G50" si="2">SUM(B48:B49)</f>
        <v>#DIV/0!</v>
      </c>
      <c r="C50" s="1928" t="e">
        <f t="shared" si="2"/>
        <v>#DIV/0!</v>
      </c>
      <c r="D50" s="1929">
        <f t="shared" si="2"/>
        <v>0</v>
      </c>
      <c r="E50" s="1927">
        <f t="shared" si="2"/>
        <v>0</v>
      </c>
      <c r="F50" s="1928">
        <f t="shared" si="2"/>
        <v>0</v>
      </c>
      <c r="G50" s="1929">
        <f t="shared" si="2"/>
        <v>0</v>
      </c>
      <c r="H50" s="1930" t="e">
        <f t="shared" si="1"/>
        <v>#DIV/0!</v>
      </c>
      <c r="I50" s="1930" t="e">
        <f t="shared" si="1"/>
        <v>#DIV/0!</v>
      </c>
      <c r="J50" s="1979">
        <f>SUM(J48:J49)</f>
        <v>0</v>
      </c>
      <c r="K50" s="1979">
        <f>SUM(K48:K49)</f>
        <v>0</v>
      </c>
      <c r="L50" s="1979">
        <f>SUM(L48:L49)</f>
        <v>0</v>
      </c>
      <c r="M50" s="1980">
        <f>SUM(M48:M49)</f>
        <v>0</v>
      </c>
      <c r="N50" s="1817">
        <f>SUM(N48:N49)</f>
        <v>0</v>
      </c>
      <c r="O50" s="1785"/>
      <c r="Q50" s="1817"/>
    </row>
    <row r="51" spans="1:18" customFormat="1">
      <c r="A51" s="1643"/>
      <c r="B51" s="1931"/>
      <c r="C51" s="1932"/>
      <c r="D51" s="1643"/>
      <c r="E51" s="1931"/>
      <c r="F51" s="1932"/>
      <c r="G51" s="1643"/>
      <c r="H51" s="1933"/>
      <c r="I51" s="1933"/>
      <c r="J51" s="1833"/>
      <c r="K51" s="1833"/>
      <c r="L51" s="1833"/>
      <c r="M51" s="1833"/>
      <c r="N51" s="1817"/>
      <c r="O51" s="1785"/>
      <c r="Q51" s="1817"/>
    </row>
    <row r="52" spans="1:18" customFormat="1" ht="15" customHeight="1">
      <c r="A52" s="1884" t="s">
        <v>317</v>
      </c>
      <c r="B52" s="1885"/>
      <c r="C52" s="1885"/>
      <c r="D52" s="1885"/>
      <c r="E52" s="1885"/>
      <c r="F52" s="1885"/>
      <c r="G52" s="1885"/>
      <c r="H52" s="1885"/>
      <c r="I52" s="1885"/>
      <c r="J52" s="1885"/>
      <c r="K52" s="1885"/>
      <c r="L52" s="1885"/>
      <c r="M52" s="1958"/>
      <c r="N52" s="1817"/>
      <c r="O52" s="1785"/>
      <c r="Q52" s="1817"/>
    </row>
    <row r="53" spans="1:18" customFormat="1" ht="27" customHeight="1">
      <c r="A53" s="1934" t="s">
        <v>1</v>
      </c>
      <c r="B53" s="1914" t="s">
        <v>100</v>
      </c>
      <c r="C53" s="1914" t="s">
        <v>97</v>
      </c>
      <c r="D53" s="1915" t="s">
        <v>95</v>
      </c>
      <c r="E53" s="1916" t="s">
        <v>101</v>
      </c>
      <c r="F53" s="1915" t="s">
        <v>98</v>
      </c>
      <c r="G53" s="1915" t="s">
        <v>96</v>
      </c>
      <c r="H53" s="1917" t="s">
        <v>102</v>
      </c>
      <c r="I53" s="1917" t="s">
        <v>99</v>
      </c>
      <c r="J53" s="1970">
        <v>0</v>
      </c>
      <c r="K53" s="1970">
        <v>1</v>
      </c>
      <c r="L53" s="1970">
        <v>2</v>
      </c>
      <c r="M53" s="1971">
        <v>3</v>
      </c>
      <c r="N53" s="1817">
        <v>4</v>
      </c>
      <c r="O53" s="1785"/>
      <c r="Q53" s="1817"/>
    </row>
    <row r="54" spans="1:18" customFormat="1" ht="13.5" hidden="1" customHeight="1">
      <c r="A54" s="1918" t="s">
        <v>109</v>
      </c>
      <c r="B54" s="1899">
        <f>$B$46/$D$59*D54</f>
        <v>0</v>
      </c>
      <c r="C54" s="1900">
        <f>$C$59/$D$59*D54</f>
        <v>0</v>
      </c>
      <c r="D54" s="1901"/>
      <c r="E54" s="1902">
        <f>SUMIFS($E$3:$E$17,$D$3:$D$17,A41,$F$3:$F$17,"Дом 2")</f>
        <v>0</v>
      </c>
      <c r="F54" s="1900">
        <f>SUMIFS($H$3:$H$17,$D$3:$D$17,A54,$F$3:$F$17,"Дом 2")</f>
        <v>0</v>
      </c>
      <c r="G54" s="1903">
        <f>COUNTIFS(D3:D36,A54,F3:F36,"Дом 2")</f>
        <v>0</v>
      </c>
      <c r="H54" s="1920" t="e">
        <f t="shared" ref="H54:I59" si="3">E54/B54</f>
        <v>#DIV/0!</v>
      </c>
      <c r="I54" s="1972" t="e">
        <f t="shared" si="3"/>
        <v>#DIV/0!</v>
      </c>
      <c r="J54" s="1965">
        <f>COUNTIFS($I$3:$I$17,$J$21,$D$3:$D$17,A54,$F$3:$F$17,"дом 2")</f>
        <v>0</v>
      </c>
      <c r="K54" s="1965">
        <f>COUNTIFS($I$3:$I$17,$K$21,$D$3:$D$17,A54,$F$3:$F$17,"дом 2")</f>
        <v>0</v>
      </c>
      <c r="L54" s="1965">
        <f>COUNTIFS($I$3:$I$17,$L$21,$D$3:$D$17,A54,$F$3:$F$17,"дом 2")</f>
        <v>0</v>
      </c>
      <c r="M54" s="1966">
        <f>COUNTIFS($I$3:$I$17,$M$21,$D$3:$D$17,A54,$F$3:$F$17,"дом 2")</f>
        <v>0</v>
      </c>
      <c r="N54" s="1817">
        <f>COUNTIFS($I$3:$I$17,$N$21,$D$3:$D$17,B54,$F$3:$F$17,"дом 2")</f>
        <v>0</v>
      </c>
      <c r="O54" s="1785"/>
      <c r="Q54" s="1817"/>
    </row>
    <row r="55" spans="1:18" customFormat="1">
      <c r="A55" s="1898" t="s">
        <v>73</v>
      </c>
      <c r="B55" s="1899">
        <f>$B$59/$D$59*D55</f>
        <v>622.75</v>
      </c>
      <c r="C55" s="1935">
        <f>$C$59/$D$59*D55</f>
        <v>34669271</v>
      </c>
      <c r="D55" s="1901">
        <v>13</v>
      </c>
      <c r="E55" s="1936">
        <f>SUMIFS($E$3:$E$36,$D$3:$D$36,A42,$F$3:$F$36,"Дом 2")</f>
        <v>436.85</v>
      </c>
      <c r="F55" s="1935">
        <f>SUMIFS($H$3:$H$36,$D$3:$D$36,A55,$F$3:$F$36,"Дом 2")</f>
        <v>22965437.750000004</v>
      </c>
      <c r="G55" s="1790">
        <f>COUNTIFS(D3:D36,A55,F3:F36,"Дом 2")</f>
        <v>8</v>
      </c>
      <c r="H55" s="1904">
        <f t="shared" si="3"/>
        <v>0.70148534725010037</v>
      </c>
      <c r="I55" s="1964">
        <f t="shared" si="3"/>
        <v>0.66241478656992825</v>
      </c>
      <c r="J55" s="1965">
        <f>COUNTIFS($I$3:$I$36,$J$53,$D$3:$D$36,A55,$F$3:$F$36,"дом 2")</f>
        <v>2</v>
      </c>
      <c r="K55" s="1965">
        <f>COUNTIFS($I$3:$I$36,$K$53,$D$3:$D$36,A55,$F$3:$F$36,"дом 2")</f>
        <v>0</v>
      </c>
      <c r="L55" s="1965">
        <f>COUNTIFS($I$3:$I$36,$L$53,$D$3:$D$36,A55,$F$3:$F$36,"дом 2")</f>
        <v>5</v>
      </c>
      <c r="M55" s="1966">
        <f>COUNTIFS($I$3:$I$36,$M$53,$D$3:$D$36,A55,$F$3:$F$36,"дом 2")</f>
        <v>1</v>
      </c>
      <c r="N55" s="1817">
        <f>COUNTIFS($I$3:$I$17,$N$21,$D$3:$D$17,B55,$F$3:$F$17,"дом 2")</f>
        <v>0</v>
      </c>
      <c r="O55" s="1785"/>
      <c r="Q55" s="1817"/>
    </row>
    <row r="56" spans="1:18" customFormat="1">
      <c r="A56" s="1898" t="s">
        <v>20</v>
      </c>
      <c r="B56" s="1899">
        <f>$B$59/$D$59*D56</f>
        <v>622.75</v>
      </c>
      <c r="C56" s="1935">
        <f>$C$59/$D$59*D56</f>
        <v>34669271</v>
      </c>
      <c r="D56" s="1901">
        <v>13</v>
      </c>
      <c r="E56" s="1936">
        <f>SUMIFS($E$3:$E$36,$D$3:$D$36,A43,$F$3:$F$36,"Дом 2")</f>
        <v>369.46000000000004</v>
      </c>
      <c r="F56" s="1935">
        <f>SUMIFS($H$3:$H$36,$D$3:$D$36,A56,$F$3:$F$36,"Дом 2")</f>
        <v>20163757.440000001</v>
      </c>
      <c r="G56" s="1790">
        <f>COUNTIFS(D3:D36,A56,F3:F36,"Дом 2")</f>
        <v>8</v>
      </c>
      <c r="H56" s="1904">
        <f t="shared" si="3"/>
        <v>0.59327177840224821</v>
      </c>
      <c r="I56" s="1964">
        <f t="shared" si="3"/>
        <v>0.58160315629365267</v>
      </c>
      <c r="J56" s="1965">
        <f>COUNTIFS($I$3:$I$36,$J$53,$D$3:$D$36,A56,$F$3:$F$36,"дом 2")</f>
        <v>3</v>
      </c>
      <c r="K56" s="1965">
        <f>COUNTIFS($I$3:$I$36,$K$53,$D$3:$D$36,A56,$F$3:$F$36,"дом 2")</f>
        <v>0</v>
      </c>
      <c r="L56" s="1965">
        <f>COUNTIFS($I$3:$I$36,$L$53,$D$3:$D$36,A56,$F$3:$F$36,"дом 2")</f>
        <v>5</v>
      </c>
      <c r="M56" s="1966">
        <f>COUNTIFS($I$3:$I$36,$M$53,$D$3:$D$36,A56,$F$3:$F$36,"дом 2")</f>
        <v>0</v>
      </c>
      <c r="N56" s="1817">
        <f>COUNTIFS($I$3:$I$17,$N$21,$D$3:$D$17,B56,$F$3:$F$17,"дом 2")</f>
        <v>0</v>
      </c>
      <c r="O56" s="1785"/>
      <c r="Q56" s="1817"/>
    </row>
    <row r="57" spans="1:18" customFormat="1">
      <c r="A57" s="1898" t="s">
        <v>63</v>
      </c>
      <c r="B57" s="1899">
        <f>$B$59/$D$59*D57</f>
        <v>622.75</v>
      </c>
      <c r="C57" s="1935">
        <f>$C$59/$D$59*D57</f>
        <v>34669271</v>
      </c>
      <c r="D57" s="1901">
        <v>13</v>
      </c>
      <c r="E57" s="1936">
        <f>SUMIFS($E$3:$E$36,$D$3:$D$36,A44,$F$3:$F$36,"Дом 2")</f>
        <v>405.33000000000004</v>
      </c>
      <c r="F57" s="1935">
        <f>SUMIFS($H$3:$H$36,$D$3:$D$36,A57,$F$3:$F$36,"Дом 2")</f>
        <v>24801239.34</v>
      </c>
      <c r="G57" s="1790">
        <f>COUNTIFS(D3:D36,A57,F3:F36,"Дом 2")</f>
        <v>8</v>
      </c>
      <c r="H57" s="1904">
        <f>E57/B57</f>
        <v>0.65087113608992375</v>
      </c>
      <c r="I57" s="1964">
        <f>F57/C57</f>
        <v>0.71536662365932069</v>
      </c>
      <c r="J57" s="1965">
        <f>COUNTIFS($I$3:$I$36,$J$53,$D$3:$D$36,A57,$F$3:$F$36,"дом 2")</f>
        <v>2</v>
      </c>
      <c r="K57" s="1965">
        <f>COUNTIFS($I$3:$I$36,$K$53,$D$3:$D$36,A57,$F$3:$F$36,"дом 2")</f>
        <v>0</v>
      </c>
      <c r="L57" s="1965">
        <f>COUNTIFS($I$3:$I$36,$L$53,$D$3:$D$36,A57,$F$3:$F$36,"дом 2")</f>
        <v>6</v>
      </c>
      <c r="M57" s="1966">
        <f>COUNTIFS($I$3:$I$36,$M$53,$D$3:$D$36,A57,$F$3:$F$36,"дом 2")</f>
        <v>0</v>
      </c>
      <c r="N57" s="1817">
        <f>COUNTIFS($I$3:$I$17,$N$21,$D$3:$D$17,B57,$F$3:$F$17,"дом 2")</f>
        <v>0</v>
      </c>
      <c r="O57" s="1785"/>
      <c r="Q57" s="1817"/>
    </row>
    <row r="58" spans="1:18" customFormat="1">
      <c r="A58" s="1905" t="s">
        <v>77</v>
      </c>
      <c r="B58" s="1899">
        <f>$B$59/$D$59*D58</f>
        <v>622.75</v>
      </c>
      <c r="C58" s="1935">
        <f>$C$59/$D$59*D58</f>
        <v>34669271</v>
      </c>
      <c r="D58" s="1906">
        <v>13</v>
      </c>
      <c r="E58" s="1936">
        <f>SUMIFS($E$3:$E$36,$D$3:$D$36,A45,$F$3:$F$36,"Дом 2")</f>
        <v>423.75</v>
      </c>
      <c r="F58" s="1935">
        <f>SUMIFS($H$3:$H$36,$D$3:$D$36,A58,$F$3:$F$36,"Дом 2")</f>
        <v>22816819.98</v>
      </c>
      <c r="G58" s="1790">
        <f>COUNTIFS(D3:D36,A58,F3:F36,"Дом 2")</f>
        <v>9</v>
      </c>
      <c r="H58" s="1904">
        <f>E58/B58</f>
        <v>0.68044961862705744</v>
      </c>
      <c r="I58" s="1964">
        <f>F58/C58</f>
        <v>0.65812805755275328</v>
      </c>
      <c r="J58" s="1965">
        <f>COUNTIFS($I$3:$I$36,$J$53,$D$3:$D$36,A58,$F$3:$F$36,"дом 2")</f>
        <v>2</v>
      </c>
      <c r="K58" s="1965">
        <f>COUNTIFS($I$3:$I$36,$K$53,$D$3:$D$36,A58,$F$3:$F$36,"дом 2")</f>
        <v>1</v>
      </c>
      <c r="L58" s="1965">
        <f>COUNTIFS($I$3:$I$36,$L$53,$D$3:$D$36,A58,$F$3:$F$36,"дом 2")</f>
        <v>6</v>
      </c>
      <c r="M58" s="1966">
        <f>COUNTIFS($I$3:$I$36,$M$53,$D$3:$D$36,A58,$F$3:$F$36,"дом 2")</f>
        <v>0</v>
      </c>
      <c r="N58" s="1817">
        <f>COUNTIFS($I$3:$I$17,$N$21,$D$3:$D$17,B58,$F$3:$F$17,"дом 2")</f>
        <v>0</v>
      </c>
      <c r="O58" s="1785"/>
      <c r="Q58" s="1817"/>
    </row>
    <row r="59" spans="1:18" customFormat="1" ht="27" customHeight="1">
      <c r="A59" s="1937" t="s">
        <v>114</v>
      </c>
      <c r="B59" s="1938">
        <f>2491</f>
        <v>2491</v>
      </c>
      <c r="C59" s="1939">
        <f>133343350/50*52</f>
        <v>138677084</v>
      </c>
      <c r="D59" s="1940">
        <f>SUM(D54:D58)</f>
        <v>52</v>
      </c>
      <c r="E59" s="1941">
        <f>SUM(E54:E58)</f>
        <v>1635.39</v>
      </c>
      <c r="F59" s="1939">
        <f>SUM(F54:F58)</f>
        <v>90747254.510000005</v>
      </c>
      <c r="G59" s="1938">
        <f>SUM(G54:G58)</f>
        <v>33</v>
      </c>
      <c r="H59" s="1942">
        <f t="shared" si="3"/>
        <v>0.65651947009233247</v>
      </c>
      <c r="I59" s="1981">
        <f t="shared" si="3"/>
        <v>0.65437815601891369</v>
      </c>
      <c r="J59" s="1982">
        <f>SUM(J54:J58)</f>
        <v>9</v>
      </c>
      <c r="K59" s="1982">
        <f>SUM(K54:K58)</f>
        <v>1</v>
      </c>
      <c r="L59" s="1982">
        <f>SUM(L54:L58)</f>
        <v>22</v>
      </c>
      <c r="M59" s="1982">
        <f>SUM(M54:M58)</f>
        <v>1</v>
      </c>
      <c r="N59" s="1817">
        <f>SUM(N54:N57)</f>
        <v>0</v>
      </c>
      <c r="O59" s="1785"/>
      <c r="Q59" s="1817"/>
    </row>
    <row r="60" spans="1:18" customFormat="1" ht="30.75" customHeight="1">
      <c r="A60" s="1913" t="s">
        <v>115</v>
      </c>
      <c r="B60" s="1914" t="s">
        <v>100</v>
      </c>
      <c r="C60" s="1914" t="s">
        <v>97</v>
      </c>
      <c r="D60" s="1915" t="s">
        <v>95</v>
      </c>
      <c r="E60" s="1916" t="s">
        <v>101</v>
      </c>
      <c r="F60" s="1915" t="s">
        <v>98</v>
      </c>
      <c r="G60" s="1915" t="s">
        <v>96</v>
      </c>
      <c r="H60" s="1917" t="s">
        <v>102</v>
      </c>
      <c r="I60" s="1917" t="s">
        <v>99</v>
      </c>
      <c r="J60" s="1970">
        <v>0</v>
      </c>
      <c r="K60" s="1970">
        <v>1</v>
      </c>
      <c r="L60" s="1970">
        <v>2</v>
      </c>
      <c r="M60" s="1971">
        <v>3</v>
      </c>
      <c r="N60" s="1817">
        <v>4</v>
      </c>
      <c r="O60" s="1785"/>
      <c r="Q60" s="1817"/>
    </row>
    <row r="61" spans="1:18" customFormat="1" hidden="1">
      <c r="A61" s="1918"/>
      <c r="B61" s="1903"/>
      <c r="C61" s="1900"/>
      <c r="D61" s="1901"/>
      <c r="E61" s="1903"/>
      <c r="F61" s="1900"/>
      <c r="G61" s="1919"/>
      <c r="H61" s="1920" t="e">
        <f t="shared" ref="H61:I63" si="4">E61/B61</f>
        <v>#DIV/0!</v>
      </c>
      <c r="I61" s="1972" t="e">
        <f t="shared" si="4"/>
        <v>#DIV/0!</v>
      </c>
      <c r="J61" s="1973"/>
      <c r="K61" s="1974"/>
      <c r="L61" s="1973"/>
      <c r="M61" s="1975"/>
      <c r="N61" s="1817"/>
      <c r="O61" s="1785"/>
      <c r="Q61" s="1817"/>
    </row>
    <row r="62" spans="1:18" customFormat="1">
      <c r="A62" s="1898" t="s">
        <v>16</v>
      </c>
      <c r="B62" s="1790">
        <f>B59/D59*D62</f>
        <v>1485.0192307692307</v>
      </c>
      <c r="C62" s="1642">
        <f>C59/D59*D62</f>
        <v>82672877</v>
      </c>
      <c r="D62" s="1826">
        <v>31</v>
      </c>
      <c r="E62" s="1790">
        <f>SUMIFS($E$3:$E$36,$G$3:$G$36,A49,$F$3:$F$36,"Дом 2")</f>
        <v>1121.8799999999999</v>
      </c>
      <c r="F62" s="1634">
        <f>SUMIFS($H$3:$H$36,$G$3:$G$36,A49,$F$3:$F$36,"Дом 2")</f>
        <v>62815907.259999998</v>
      </c>
      <c r="G62" s="745">
        <f>COUNTIFS($G$3:$G$36,A49,$F$3:$F$36,"Дом 2")</f>
        <v>22</v>
      </c>
      <c r="H62" s="1904">
        <f t="shared" si="4"/>
        <v>0.75546496419367781</v>
      </c>
      <c r="I62" s="1964">
        <f t="shared" si="4"/>
        <v>0.75981276495312966</v>
      </c>
      <c r="J62" s="751">
        <f>COUNTIFS($I$2:$I$36,J53,$G$2:$G$36,$A$49,$F$2:$F$36,"Дом 2")</f>
        <v>4</v>
      </c>
      <c r="K62" s="751">
        <f>COUNTIFS($I$2:$I$36,K53,$G$2:$G$36,$A$49,$F$2:$F$36,"Дом 2")</f>
        <v>1</v>
      </c>
      <c r="L62" s="751">
        <f>COUNTIFS($I$2:$I$36,L53,$G$2:$G$36,$A$62,$F$2:$F$36,"Дом 2")</f>
        <v>17</v>
      </c>
      <c r="M62" s="1983">
        <f>COUNTIFS($I$2:$I$36,M53,$G$2:$G$36,$A$62,$F$2:$F$36,"Дом ")</f>
        <v>0</v>
      </c>
      <c r="N62" s="1817">
        <f>COUNTIFS($I$2:$I$17,N53,$G$2:$G$17,$A$30,$F$2:$F$17,"Дом 1")</f>
        <v>0</v>
      </c>
      <c r="O62" s="1785"/>
      <c r="Q62" s="1817"/>
    </row>
    <row r="63" spans="1:18">
      <c r="A63" s="1943" t="s">
        <v>114</v>
      </c>
      <c r="B63" s="1944">
        <f t="shared" ref="B63:G63" si="5">SUM(B61:B62)</f>
        <v>1485.0192307692307</v>
      </c>
      <c r="C63" s="1945">
        <f t="shared" si="5"/>
        <v>82672877</v>
      </c>
      <c r="D63" s="1946">
        <f t="shared" si="5"/>
        <v>31</v>
      </c>
      <c r="E63" s="1944">
        <f t="shared" si="5"/>
        <v>1121.8799999999999</v>
      </c>
      <c r="F63" s="1947">
        <f t="shared" si="5"/>
        <v>62815907.259999998</v>
      </c>
      <c r="G63" s="1946">
        <f t="shared" si="5"/>
        <v>22</v>
      </c>
      <c r="H63" s="1948">
        <f t="shared" si="4"/>
        <v>0.75546496419367781</v>
      </c>
      <c r="I63" s="1948">
        <f t="shared" si="4"/>
        <v>0.75981276495312966</v>
      </c>
      <c r="J63" s="1984">
        <f>SUM(J61:J62)</f>
        <v>4</v>
      </c>
      <c r="K63" s="1984">
        <f>SUM(K61:K62)</f>
        <v>1</v>
      </c>
      <c r="L63" s="1984">
        <f>SUM(L61:L62)</f>
        <v>17</v>
      </c>
      <c r="M63" s="1985">
        <f>SUM(M61:M62)</f>
        <v>0</v>
      </c>
      <c r="N63" s="1817">
        <f>SUM(N61:N62)</f>
        <v>0</v>
      </c>
      <c r="O63" s="1785"/>
      <c r="P63"/>
      <c r="Q63" s="1817"/>
    </row>
    <row r="64" spans="1:18" customFormat="1" ht="18.75" customHeight="1">
      <c r="A64" s="1652"/>
      <c r="B64" s="1652"/>
      <c r="C64" s="1652"/>
      <c r="D64" s="1652"/>
      <c r="E64" s="1652"/>
      <c r="F64" s="1652"/>
      <c r="G64" s="1652"/>
      <c r="H64" s="1652"/>
      <c r="I64" s="1652"/>
      <c r="J64" s="1652"/>
      <c r="K64" s="1652"/>
      <c r="L64" s="1652"/>
      <c r="M64" s="1652"/>
      <c r="N64" s="1721"/>
      <c r="O64" s="1659"/>
      <c r="P64" s="1652"/>
      <c r="Q64" s="1721"/>
      <c r="R64" s="1877"/>
    </row>
    <row r="65" spans="1:18" customFormat="1" ht="15.75" customHeight="1">
      <c r="A65" s="1884" t="s">
        <v>318</v>
      </c>
      <c r="B65" s="1885"/>
      <c r="C65" s="1885"/>
      <c r="D65" s="1885"/>
      <c r="E65" s="1885"/>
      <c r="F65" s="1885"/>
      <c r="G65" s="1885"/>
      <c r="H65" s="1885"/>
      <c r="I65" s="1885"/>
      <c r="J65" s="1885"/>
      <c r="K65" s="1885"/>
      <c r="L65" s="1885"/>
      <c r="M65" s="1958"/>
      <c r="N65" s="1817"/>
      <c r="O65" s="1785"/>
      <c r="Q65" s="1817"/>
      <c r="R65" s="1878" t="s">
        <v>261</v>
      </c>
    </row>
    <row r="66" spans="1:18" customFormat="1" ht="27.75" customHeight="1">
      <c r="A66" s="1886" t="s">
        <v>1</v>
      </c>
      <c r="B66" s="1887" t="s">
        <v>100</v>
      </c>
      <c r="C66" s="1887" t="s">
        <v>97</v>
      </c>
      <c r="D66" s="1888" t="s">
        <v>95</v>
      </c>
      <c r="E66" s="1889" t="s">
        <v>101</v>
      </c>
      <c r="F66" s="1888" t="s">
        <v>98</v>
      </c>
      <c r="G66" s="1888" t="s">
        <v>96</v>
      </c>
      <c r="H66" s="1890" t="s">
        <v>102</v>
      </c>
      <c r="I66" s="1890" t="s">
        <v>99</v>
      </c>
      <c r="J66" s="1959" t="s">
        <v>103</v>
      </c>
      <c r="K66" s="1959" t="s">
        <v>104</v>
      </c>
      <c r="L66" s="1959" t="s">
        <v>105</v>
      </c>
      <c r="M66" s="1960" t="s">
        <v>106</v>
      </c>
      <c r="N66" s="1992"/>
      <c r="O66" s="1870"/>
      <c r="Q66" s="1872"/>
      <c r="R66" s="1876"/>
    </row>
    <row r="67" spans="1:18" customFormat="1" ht="21" hidden="1" customHeight="1">
      <c r="A67" s="1918" t="s">
        <v>109</v>
      </c>
      <c r="B67" s="1903" t="e">
        <f t="shared" ref="B67:G71" si="6">B41+B54</f>
        <v>#DIV/0!</v>
      </c>
      <c r="C67" s="1900" t="e">
        <f t="shared" si="6"/>
        <v>#DIV/0!</v>
      </c>
      <c r="D67" s="1901">
        <f t="shared" si="6"/>
        <v>0</v>
      </c>
      <c r="E67" s="1902">
        <f t="shared" si="6"/>
        <v>0</v>
      </c>
      <c r="F67" s="1900">
        <f t="shared" si="6"/>
        <v>0</v>
      </c>
      <c r="G67" s="1901">
        <f t="shared" si="6"/>
        <v>0</v>
      </c>
      <c r="H67" s="1920" t="e">
        <f t="shared" ref="H67:I72" si="7">E67/B67</f>
        <v>#DIV/0!</v>
      </c>
      <c r="I67" s="1972" t="e">
        <f t="shared" si="7"/>
        <v>#DIV/0!</v>
      </c>
      <c r="J67" s="1965">
        <f t="shared" ref="J67:M71" si="8">J41+J54</f>
        <v>0</v>
      </c>
      <c r="K67" s="1965">
        <f t="shared" si="8"/>
        <v>0</v>
      </c>
      <c r="L67" s="1965">
        <f t="shared" si="8"/>
        <v>0</v>
      </c>
      <c r="M67" s="1966">
        <f t="shared" si="8"/>
        <v>0</v>
      </c>
      <c r="N67" s="1993"/>
      <c r="O67" s="1871"/>
      <c r="P67" s="1872"/>
      <c r="Q67" s="1817"/>
      <c r="R67" s="1876"/>
    </row>
    <row r="68" spans="1:18" customFormat="1" ht="21" customHeight="1">
      <c r="A68" s="1898" t="s">
        <v>73</v>
      </c>
      <c r="B68" s="1903">
        <f>B42+B55</f>
        <v>622.75</v>
      </c>
      <c r="C68" s="1900">
        <f t="shared" si="6"/>
        <v>34669271</v>
      </c>
      <c r="D68" s="1901">
        <f t="shared" si="6"/>
        <v>13</v>
      </c>
      <c r="E68" s="1902">
        <f t="shared" si="6"/>
        <v>436.85</v>
      </c>
      <c r="F68" s="1900">
        <f t="shared" si="6"/>
        <v>22965437.750000004</v>
      </c>
      <c r="G68" s="1986">
        <f t="shared" si="6"/>
        <v>8</v>
      </c>
      <c r="H68" s="1904">
        <f>E68/B68</f>
        <v>0.70148534725010037</v>
      </c>
      <c r="I68" s="1964">
        <f t="shared" si="7"/>
        <v>0.66241478656992825</v>
      </c>
      <c r="J68" s="1965">
        <f t="shared" si="8"/>
        <v>2</v>
      </c>
      <c r="K68" s="1965">
        <f t="shared" si="8"/>
        <v>0</v>
      </c>
      <c r="L68" s="1965">
        <f t="shared" si="8"/>
        <v>5</v>
      </c>
      <c r="M68" s="1966">
        <f t="shared" si="8"/>
        <v>1</v>
      </c>
      <c r="N68" s="1992"/>
      <c r="O68" s="1785"/>
      <c r="Q68" s="1817"/>
      <c r="R68" s="1876"/>
    </row>
    <row r="69" spans="1:18" customFormat="1" ht="23.25" customHeight="1">
      <c r="A69" s="1898" t="s">
        <v>20</v>
      </c>
      <c r="B69" s="1903">
        <f t="shared" si="6"/>
        <v>622.75</v>
      </c>
      <c r="C69" s="1900">
        <f t="shared" si="6"/>
        <v>34669271</v>
      </c>
      <c r="D69" s="1901">
        <f t="shared" si="6"/>
        <v>13</v>
      </c>
      <c r="E69" s="1902">
        <f t="shared" si="6"/>
        <v>369.46000000000004</v>
      </c>
      <c r="F69" s="1900">
        <f t="shared" si="6"/>
        <v>20163757.440000001</v>
      </c>
      <c r="G69" s="1901">
        <f t="shared" si="6"/>
        <v>8</v>
      </c>
      <c r="H69" s="1904">
        <f t="shared" si="7"/>
        <v>0.59327177840224821</v>
      </c>
      <c r="I69" s="1964">
        <f t="shared" si="7"/>
        <v>0.58160315629365267</v>
      </c>
      <c r="J69" s="1965">
        <f t="shared" si="8"/>
        <v>3</v>
      </c>
      <c r="K69" s="1965">
        <f t="shared" si="8"/>
        <v>0</v>
      </c>
      <c r="L69" s="1965">
        <f t="shared" si="8"/>
        <v>5</v>
      </c>
      <c r="M69" s="1966">
        <f t="shared" si="8"/>
        <v>0</v>
      </c>
      <c r="N69" s="1992"/>
      <c r="O69" s="1870"/>
      <c r="Q69" s="1817"/>
      <c r="R69" s="1876"/>
    </row>
    <row r="70" spans="1:18" customFormat="1" ht="24" customHeight="1">
      <c r="A70" s="1898" t="s">
        <v>63</v>
      </c>
      <c r="B70" s="1903">
        <f t="shared" si="6"/>
        <v>622.75</v>
      </c>
      <c r="C70" s="1900">
        <f t="shared" si="6"/>
        <v>34669271</v>
      </c>
      <c r="D70" s="1901">
        <f t="shared" si="6"/>
        <v>13</v>
      </c>
      <c r="E70" s="1902">
        <f t="shared" si="6"/>
        <v>405.33000000000004</v>
      </c>
      <c r="F70" s="1900">
        <f t="shared" si="6"/>
        <v>24801239.34</v>
      </c>
      <c r="G70" s="1901">
        <f t="shared" si="6"/>
        <v>8</v>
      </c>
      <c r="H70" s="1904">
        <f t="shared" si="7"/>
        <v>0.65087113608992375</v>
      </c>
      <c r="I70" s="1964">
        <f t="shared" si="7"/>
        <v>0.71536662365932069</v>
      </c>
      <c r="J70" s="1965">
        <f t="shared" si="8"/>
        <v>2</v>
      </c>
      <c r="K70" s="1965">
        <f t="shared" si="8"/>
        <v>0</v>
      </c>
      <c r="L70" s="1965">
        <f t="shared" si="8"/>
        <v>6</v>
      </c>
      <c r="M70" s="1966">
        <f t="shared" si="8"/>
        <v>0</v>
      </c>
      <c r="N70" s="1994"/>
      <c r="O70" s="1870"/>
      <c r="Q70" s="1817"/>
      <c r="R70" s="1875"/>
    </row>
    <row r="71" spans="1:18" customFormat="1">
      <c r="A71" s="1905" t="s">
        <v>77</v>
      </c>
      <c r="B71" s="1903">
        <f t="shared" si="6"/>
        <v>622.75</v>
      </c>
      <c r="C71" s="1900">
        <f t="shared" si="6"/>
        <v>34669271</v>
      </c>
      <c r="D71" s="1901">
        <f t="shared" si="6"/>
        <v>13</v>
      </c>
      <c r="E71" s="1902">
        <f t="shared" si="6"/>
        <v>423.75</v>
      </c>
      <c r="F71" s="1900">
        <f t="shared" si="6"/>
        <v>22816819.98</v>
      </c>
      <c r="G71" s="1901">
        <f t="shared" si="6"/>
        <v>9</v>
      </c>
      <c r="H71" s="1904">
        <f t="shared" si="7"/>
        <v>0.68044961862705744</v>
      </c>
      <c r="I71" s="1964">
        <f t="shared" si="7"/>
        <v>0.65812805755275328</v>
      </c>
      <c r="J71" s="1965">
        <f t="shared" si="8"/>
        <v>2</v>
      </c>
      <c r="K71" s="1965">
        <f t="shared" si="8"/>
        <v>1</v>
      </c>
      <c r="L71" s="1965">
        <f t="shared" si="8"/>
        <v>6</v>
      </c>
      <c r="M71" s="1966">
        <f t="shared" si="8"/>
        <v>0</v>
      </c>
      <c r="N71" s="1817"/>
      <c r="O71" s="1785"/>
      <c r="Q71" s="1817"/>
    </row>
    <row r="72" spans="1:18" customFormat="1" ht="25.5" customHeight="1">
      <c r="A72" s="1907" t="s">
        <v>114</v>
      </c>
      <c r="B72" s="1908">
        <f>SUM(B68:B71)</f>
        <v>2491</v>
      </c>
      <c r="C72" s="1909">
        <f>SUM(C68:C71)</f>
        <v>138677084</v>
      </c>
      <c r="D72" s="1910">
        <f>D46+D59</f>
        <v>52</v>
      </c>
      <c r="E72" s="1911">
        <f>SUM(E67:E71)</f>
        <v>1635.39</v>
      </c>
      <c r="F72" s="1909">
        <f>SUM(F67:F71)</f>
        <v>90747254.510000005</v>
      </c>
      <c r="G72" s="1908">
        <f>G46+G59</f>
        <v>33</v>
      </c>
      <c r="H72" s="1912">
        <f t="shared" si="7"/>
        <v>0.65651947009233247</v>
      </c>
      <c r="I72" s="1967">
        <f>F72/C72</f>
        <v>0.65437815601891369</v>
      </c>
      <c r="J72" s="1984">
        <f>SUM(J67:J71)</f>
        <v>9</v>
      </c>
      <c r="K72" s="1984">
        <f>SUM(K67:K71)</f>
        <v>1</v>
      </c>
      <c r="L72" s="1984">
        <f>SUM(L67:L71)</f>
        <v>22</v>
      </c>
      <c r="M72" s="1984">
        <f>SUM(M67:M71)</f>
        <v>1</v>
      </c>
      <c r="N72" s="1817"/>
      <c r="O72" s="1785"/>
      <c r="Q72" s="1817"/>
      <c r="R72" s="1879" t="s">
        <v>262</v>
      </c>
    </row>
    <row r="73" spans="1:18" customFormat="1" ht="29.25" customHeight="1">
      <c r="A73" s="1913" t="s">
        <v>115</v>
      </c>
      <c r="B73" s="1914" t="s">
        <v>100</v>
      </c>
      <c r="C73" s="1914" t="s">
        <v>97</v>
      </c>
      <c r="D73" s="1915" t="s">
        <v>95</v>
      </c>
      <c r="E73" s="1916" t="s">
        <v>101</v>
      </c>
      <c r="F73" s="1915" t="s">
        <v>98</v>
      </c>
      <c r="G73" s="1915" t="s">
        <v>96</v>
      </c>
      <c r="H73" s="1917" t="s">
        <v>102</v>
      </c>
      <c r="I73" s="1917" t="s">
        <v>99</v>
      </c>
      <c r="J73" s="1970" t="s">
        <v>103</v>
      </c>
      <c r="K73" s="1970" t="s">
        <v>104</v>
      </c>
      <c r="L73" s="1970" t="s">
        <v>105</v>
      </c>
      <c r="M73" s="1971" t="s">
        <v>106</v>
      </c>
      <c r="N73" s="1817"/>
      <c r="O73" s="1785"/>
      <c r="Q73" s="1817"/>
      <c r="R73" s="1873"/>
    </row>
    <row r="74" spans="1:18" customFormat="1" ht="23.25" hidden="1" customHeight="1">
      <c r="A74" s="1901"/>
      <c r="B74" s="1903"/>
      <c r="C74" s="1900"/>
      <c r="D74" s="1901"/>
      <c r="E74" s="1903"/>
      <c r="F74" s="1900"/>
      <c r="G74" s="1919"/>
      <c r="H74" s="1920" t="e">
        <f t="shared" ref="H74:I76" si="9">E74/B74</f>
        <v>#DIV/0!</v>
      </c>
      <c r="I74" s="1972" t="e">
        <f t="shared" si="9"/>
        <v>#DIV/0!</v>
      </c>
      <c r="J74" s="1973"/>
      <c r="K74" s="1974"/>
      <c r="L74" s="1973"/>
      <c r="M74" s="1973"/>
      <c r="N74" s="1817"/>
      <c r="O74" s="1785"/>
      <c r="Q74" s="1817"/>
      <c r="R74" s="1875"/>
    </row>
    <row r="75" spans="1:18" customFormat="1">
      <c r="A75" s="1641" t="s">
        <v>16</v>
      </c>
      <c r="B75" s="1903">
        <v>2267</v>
      </c>
      <c r="C75" s="1900">
        <f>C46+C62</f>
        <v>82672877</v>
      </c>
      <c r="D75" s="1641">
        <f>D49+D62</f>
        <v>31</v>
      </c>
      <c r="E75" s="1903">
        <f>E62+E49</f>
        <v>1121.8799999999999</v>
      </c>
      <c r="F75" s="1987">
        <f>F62+F49</f>
        <v>62815907.259999998</v>
      </c>
      <c r="G75" s="1641">
        <f>G49+G62</f>
        <v>22</v>
      </c>
      <c r="H75" s="1920">
        <f t="shared" si="9"/>
        <v>0.49487428319364796</v>
      </c>
      <c r="I75" s="1964">
        <f t="shared" si="9"/>
        <v>0.75981276495312966</v>
      </c>
      <c r="J75" s="751">
        <f>J49+J62</f>
        <v>4</v>
      </c>
      <c r="K75" s="751">
        <f>K49+K62</f>
        <v>1</v>
      </c>
      <c r="L75" s="751">
        <f>L49+L62</f>
        <v>17</v>
      </c>
      <c r="M75" s="751">
        <f>M49+M62</f>
        <v>0</v>
      </c>
      <c r="N75" s="1817"/>
      <c r="O75" s="1785"/>
      <c r="Q75" s="1817"/>
    </row>
    <row r="76" spans="1:18" customFormat="1">
      <c r="A76" s="1988" t="s">
        <v>114</v>
      </c>
      <c r="B76" s="1989">
        <f t="shared" ref="B76:G76" si="10">SUM(B74:B75)</f>
        <v>2267</v>
      </c>
      <c r="C76" s="1990">
        <f t="shared" si="10"/>
        <v>82672877</v>
      </c>
      <c r="D76" s="1988">
        <f t="shared" si="10"/>
        <v>31</v>
      </c>
      <c r="E76" s="1989">
        <f t="shared" si="10"/>
        <v>1121.8799999999999</v>
      </c>
      <c r="F76" s="1990">
        <f t="shared" si="10"/>
        <v>62815907.259999998</v>
      </c>
      <c r="G76" s="1988">
        <f t="shared" si="10"/>
        <v>22</v>
      </c>
      <c r="H76" s="1991">
        <f t="shared" si="9"/>
        <v>0.49487428319364796</v>
      </c>
      <c r="I76" s="1991">
        <f t="shared" si="9"/>
        <v>0.75981276495312966</v>
      </c>
      <c r="J76" s="1995">
        <f>SUM(J74:J75)</f>
        <v>4</v>
      </c>
      <c r="K76" s="1995">
        <f>SUM(K74:K75)</f>
        <v>1</v>
      </c>
      <c r="L76" s="1995">
        <f>SUM(L74:L75)</f>
        <v>17</v>
      </c>
      <c r="M76" s="1995">
        <f>SUM(M74:M75)</f>
        <v>0</v>
      </c>
      <c r="N76" s="1817"/>
      <c r="O76" s="1785"/>
      <c r="Q76" s="1817"/>
    </row>
    <row r="77" spans="1:18">
      <c r="A77"/>
      <c r="B77"/>
      <c r="C77"/>
      <c r="D77"/>
      <c r="E77"/>
      <c r="F77"/>
      <c r="G77"/>
      <c r="H77"/>
      <c r="I77"/>
      <c r="J77"/>
      <c r="K77"/>
      <c r="L77"/>
      <c r="M77"/>
      <c r="N77" s="1817"/>
      <c r="O77" s="1785"/>
      <c r="P77"/>
      <c r="Q77" s="1817"/>
    </row>
  </sheetData>
  <sheetProtection formatCells="0" formatColumns="0" formatRows="0" insertColumns="0" insertRows="0" insertHyperlinks="0" deleteColumns="0" deleteRows="0" sort="0" autoFilter="0" pivotTables="0"/>
  <autoFilter ref="A2:R35" xr:uid="{00000000-0009-0000-0000-000003000000}"/>
  <dataValidations count="1">
    <dataValidation type="list" allowBlank="1" showInputMessage="1" showErrorMessage="1" sqref="O19 O25 O28 O36 O4:O5 O7:O8 O12:O14" xr:uid="{00000000-0002-0000-0300-000000000000}">
      <formula1>#REF!</formula1>
    </dataValidation>
  </dataValidations>
  <pageMargins left="0.7" right="0.7" top="0.75" bottom="0.75" header="0.3" footer="0.3"/>
  <pageSetup paperSize="9" scale="3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>
    <pageSetUpPr fitToPage="1"/>
  </sheetPr>
  <dimension ref="A1:XFB115"/>
  <sheetViews>
    <sheetView topLeftCell="A72" zoomScale="80" zoomScaleNormal="80" workbookViewId="0">
      <selection activeCell="B22" sqref="B22"/>
    </sheetView>
  </sheetViews>
  <sheetFormatPr defaultColWidth="9.140625" defaultRowHeight="15"/>
  <cols>
    <col min="1" max="1" width="21.140625" style="1652" customWidth="1"/>
    <col min="2" max="2" width="11.42578125" style="1652" customWidth="1"/>
    <col min="3" max="3" width="17.5703125" style="1652" customWidth="1"/>
    <col min="4" max="13" width="22.140625" style="1652" customWidth="1"/>
    <col min="14" max="14" width="22.140625" style="1836" customWidth="1"/>
    <col min="15" max="15" width="22.140625" style="1659" customWidth="1"/>
    <col min="16" max="16" width="22.140625" style="1660" customWidth="1"/>
    <col min="17" max="20" width="22.140625" style="1652" customWidth="1"/>
    <col min="21" max="16384" width="9.140625" style="1652"/>
  </cols>
  <sheetData>
    <row r="1" spans="1:16382" hidden="1">
      <c r="A1" s="1661"/>
      <c r="B1" s="1662"/>
      <c r="C1" s="1662"/>
      <c r="D1" s="1662"/>
      <c r="E1" s="1662"/>
      <c r="F1" s="1662"/>
      <c r="G1" s="1662"/>
      <c r="H1" s="1662"/>
      <c r="I1" s="1706" t="s">
        <v>319</v>
      </c>
      <c r="J1" s="1706">
        <v>2021</v>
      </c>
      <c r="K1" s="1662"/>
      <c r="L1" s="1662"/>
      <c r="M1" s="1662"/>
      <c r="N1" s="1847"/>
      <c r="O1" s="1662"/>
      <c r="P1" s="1796"/>
      <c r="Q1" s="1662"/>
    </row>
    <row r="2" spans="1:16382" ht="12" hidden="1" customHeight="1">
      <c r="A2" s="1664" t="s">
        <v>48</v>
      </c>
      <c r="B2" s="1665" t="s">
        <v>52</v>
      </c>
      <c r="C2" s="1665" t="s">
        <v>49</v>
      </c>
      <c r="D2" s="1665" t="s">
        <v>1</v>
      </c>
      <c r="E2" s="1665" t="s">
        <v>53</v>
      </c>
      <c r="F2" s="1665" t="s">
        <v>120</v>
      </c>
      <c r="G2" s="1665" t="s">
        <v>3</v>
      </c>
      <c r="H2" s="1666" t="s">
        <v>54</v>
      </c>
      <c r="I2" s="1665" t="s">
        <v>51</v>
      </c>
      <c r="J2" s="1707" t="s">
        <v>55</v>
      </c>
      <c r="K2" s="1665" t="s">
        <v>56</v>
      </c>
      <c r="L2" s="1665" t="s">
        <v>57</v>
      </c>
      <c r="M2" s="1665" t="s">
        <v>58</v>
      </c>
      <c r="N2" s="1848" t="s">
        <v>59</v>
      </c>
      <c r="O2" s="1665" t="s">
        <v>60</v>
      </c>
      <c r="P2" s="1665" t="s">
        <v>265</v>
      </c>
      <c r="Q2" s="1708" t="s">
        <v>62</v>
      </c>
    </row>
    <row r="3" spans="1:16382" ht="30" hidden="1">
      <c r="A3" s="1672">
        <v>1</v>
      </c>
      <c r="B3" s="1676">
        <v>121</v>
      </c>
      <c r="C3" s="1676">
        <v>11836</v>
      </c>
      <c r="D3" s="1676" t="s">
        <v>77</v>
      </c>
      <c r="E3" s="1676">
        <v>58.99</v>
      </c>
      <c r="F3" s="1676" t="s">
        <v>121</v>
      </c>
      <c r="G3" s="1676" t="s">
        <v>16</v>
      </c>
      <c r="H3" s="1837">
        <v>3301915.11</v>
      </c>
      <c r="I3" s="1676">
        <v>2</v>
      </c>
      <c r="J3" s="1670" t="s">
        <v>65</v>
      </c>
      <c r="K3" s="1670" t="s">
        <v>12</v>
      </c>
      <c r="L3" s="1720">
        <v>44357</v>
      </c>
      <c r="M3" s="1720" t="s">
        <v>17</v>
      </c>
      <c r="N3" s="1807" t="s">
        <v>320</v>
      </c>
      <c r="O3" s="1670" t="s">
        <v>321</v>
      </c>
      <c r="P3" s="1808" t="s">
        <v>322</v>
      </c>
      <c r="Q3" s="1670" t="s">
        <v>79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spans="1:16382" ht="12" hidden="1" customHeight="1">
      <c r="A4" s="1672">
        <v>2</v>
      </c>
      <c r="B4" s="1670">
        <v>6</v>
      </c>
      <c r="C4" s="1670">
        <v>12758</v>
      </c>
      <c r="D4" s="1670" t="s">
        <v>73</v>
      </c>
      <c r="E4" s="1673">
        <v>59.44</v>
      </c>
      <c r="F4" s="1670" t="s">
        <v>121</v>
      </c>
      <c r="G4" s="1670" t="s">
        <v>84</v>
      </c>
      <c r="H4" s="1837">
        <v>3108304.84</v>
      </c>
      <c r="I4" s="1670">
        <v>2</v>
      </c>
      <c r="J4" s="1670" t="s">
        <v>85</v>
      </c>
      <c r="K4" s="1670" t="s">
        <v>18</v>
      </c>
      <c r="L4" s="1710">
        <v>44356</v>
      </c>
      <c r="M4" s="1710" t="s">
        <v>11</v>
      </c>
      <c r="N4" s="1807" t="s">
        <v>323</v>
      </c>
      <c r="O4" s="1670" t="s">
        <v>67</v>
      </c>
      <c r="P4" s="1715" t="s">
        <v>324</v>
      </c>
      <c r="Q4" s="1670" t="s">
        <v>88</v>
      </c>
    </row>
    <row r="5" spans="1:16382" hidden="1">
      <c r="A5" s="1672">
        <v>3</v>
      </c>
      <c r="B5" s="1676">
        <v>162</v>
      </c>
      <c r="C5" s="1676">
        <v>11871</v>
      </c>
      <c r="D5" s="1676" t="s">
        <v>73</v>
      </c>
      <c r="E5" s="1676">
        <v>78.03</v>
      </c>
      <c r="F5" s="1676" t="s">
        <v>74</v>
      </c>
      <c r="G5" s="1676" t="s">
        <v>16</v>
      </c>
      <c r="H5" s="1837">
        <v>4444805.95</v>
      </c>
      <c r="I5" s="1676">
        <v>3</v>
      </c>
      <c r="J5" s="1676" t="s">
        <v>65</v>
      </c>
      <c r="K5" s="1676" t="s">
        <v>18</v>
      </c>
      <c r="L5" s="1720">
        <v>44350</v>
      </c>
      <c r="M5" s="1720" t="s">
        <v>17</v>
      </c>
      <c r="N5" s="1807" t="s">
        <v>325</v>
      </c>
      <c r="O5" s="1670" t="s">
        <v>321</v>
      </c>
      <c r="P5" s="1808" t="s">
        <v>326</v>
      </c>
      <c r="Q5" s="1670" t="s">
        <v>88</v>
      </c>
    </row>
    <row r="6" spans="1:16382" customFormat="1" ht="45" hidden="1">
      <c r="A6" s="1672">
        <v>4</v>
      </c>
      <c r="B6" s="1670">
        <v>43</v>
      </c>
      <c r="C6" s="1714">
        <v>12053</v>
      </c>
      <c r="D6" s="1676" t="s">
        <v>77</v>
      </c>
      <c r="E6" s="1673">
        <v>59.52</v>
      </c>
      <c r="F6" s="1670" t="s">
        <v>121</v>
      </c>
      <c r="G6" s="1670" t="s">
        <v>16</v>
      </c>
      <c r="H6" s="1837">
        <v>3185608.61</v>
      </c>
      <c r="I6" s="1670">
        <v>2</v>
      </c>
      <c r="J6" s="1670" t="s">
        <v>65</v>
      </c>
      <c r="K6" s="1670" t="s">
        <v>12</v>
      </c>
      <c r="L6" s="1710">
        <v>44373</v>
      </c>
      <c r="M6" s="1710" t="s">
        <v>17</v>
      </c>
      <c r="N6" s="1676" t="s">
        <v>327</v>
      </c>
      <c r="O6" s="1670" t="s">
        <v>67</v>
      </c>
      <c r="P6" s="1715" t="s">
        <v>328</v>
      </c>
      <c r="Q6" s="1670" t="s">
        <v>79</v>
      </c>
    </row>
    <row r="7" spans="1:16382" hidden="1">
      <c r="A7" s="1672">
        <v>5</v>
      </c>
      <c r="B7" s="1670">
        <v>326</v>
      </c>
      <c r="C7" s="1670">
        <v>5256</v>
      </c>
      <c r="D7" s="1670" t="s">
        <v>63</v>
      </c>
      <c r="E7" s="1673">
        <v>65.5</v>
      </c>
      <c r="F7" s="1670" t="s">
        <v>74</v>
      </c>
      <c r="G7" s="1670" t="s">
        <v>16</v>
      </c>
      <c r="H7" s="1838">
        <v>3643686.8</v>
      </c>
      <c r="I7" s="1670">
        <v>2</v>
      </c>
      <c r="J7" s="1670" t="s">
        <v>65</v>
      </c>
      <c r="K7" s="1670" t="s">
        <v>12</v>
      </c>
      <c r="L7" s="1710">
        <v>44369</v>
      </c>
      <c r="M7" s="1710" t="s">
        <v>11</v>
      </c>
      <c r="N7" s="1807" t="s">
        <v>329</v>
      </c>
      <c r="O7" s="1670" t="s">
        <v>67</v>
      </c>
      <c r="P7" s="1715" t="s">
        <v>330</v>
      </c>
      <c r="Q7" s="1670" t="s">
        <v>72</v>
      </c>
    </row>
    <row r="8" spans="1:16382" hidden="1">
      <c r="A8" s="1672">
        <v>6</v>
      </c>
      <c r="B8" s="1778">
        <v>31</v>
      </c>
      <c r="C8" s="1778">
        <v>9945</v>
      </c>
      <c r="D8" s="1676" t="s">
        <v>63</v>
      </c>
      <c r="E8" s="1778">
        <v>76.56</v>
      </c>
      <c r="F8" s="1676" t="s">
        <v>121</v>
      </c>
      <c r="G8" s="1676" t="s">
        <v>16</v>
      </c>
      <c r="H8" s="1837">
        <v>3945114.6</v>
      </c>
      <c r="I8" s="1778">
        <v>3</v>
      </c>
      <c r="J8" s="1804" t="s">
        <v>65</v>
      </c>
      <c r="K8" s="1670" t="s">
        <v>12</v>
      </c>
      <c r="L8" s="1710">
        <v>44363</v>
      </c>
      <c r="M8" s="1720" t="s">
        <v>17</v>
      </c>
      <c r="N8" s="1802" t="s">
        <v>331</v>
      </c>
      <c r="O8" s="1670" t="s">
        <v>67</v>
      </c>
      <c r="P8" s="1806" t="s">
        <v>332</v>
      </c>
      <c r="Q8" s="1802" t="s">
        <v>72</v>
      </c>
    </row>
    <row r="9" spans="1:16382" hidden="1">
      <c r="A9" s="1672">
        <v>7</v>
      </c>
      <c r="B9" s="1670">
        <v>91</v>
      </c>
      <c r="C9" s="1714">
        <v>12061</v>
      </c>
      <c r="D9" s="1670" t="s">
        <v>20</v>
      </c>
      <c r="E9" s="1673">
        <v>58.17</v>
      </c>
      <c r="F9" s="1670" t="s">
        <v>121</v>
      </c>
      <c r="G9" s="1670" t="s">
        <v>16</v>
      </c>
      <c r="H9" s="1837">
        <v>3866801.31</v>
      </c>
      <c r="I9" s="1670">
        <v>2</v>
      </c>
      <c r="J9" s="1670" t="s">
        <v>65</v>
      </c>
      <c r="K9" s="1670" t="s">
        <v>18</v>
      </c>
      <c r="L9" s="1710" t="s">
        <v>333</v>
      </c>
      <c r="M9" s="1710" t="s">
        <v>17</v>
      </c>
      <c r="N9" s="1676" t="s">
        <v>334</v>
      </c>
      <c r="O9" s="1670" t="s">
        <v>67</v>
      </c>
      <c r="P9" s="1715" t="s">
        <v>335</v>
      </c>
      <c r="Q9" s="1670" t="s">
        <v>336</v>
      </c>
    </row>
    <row r="10" spans="1:16382" hidden="1">
      <c r="A10" s="1672">
        <v>8</v>
      </c>
      <c r="B10" s="1778">
        <v>20</v>
      </c>
      <c r="C10" s="1778">
        <v>12015</v>
      </c>
      <c r="D10" s="1676" t="s">
        <v>73</v>
      </c>
      <c r="E10" s="1778">
        <v>59.96</v>
      </c>
      <c r="F10" s="1676" t="s">
        <v>121</v>
      </c>
      <c r="G10" s="1676" t="s">
        <v>16</v>
      </c>
      <c r="H10" s="1837">
        <v>3142863.36</v>
      </c>
      <c r="I10" s="1778">
        <v>2</v>
      </c>
      <c r="J10" s="1804" t="s">
        <v>65</v>
      </c>
      <c r="K10" s="1670" t="s">
        <v>12</v>
      </c>
      <c r="L10" s="1800">
        <v>44350</v>
      </c>
      <c r="M10" s="1720" t="s">
        <v>17</v>
      </c>
      <c r="N10" s="1809" t="s">
        <v>337</v>
      </c>
      <c r="O10" s="1670" t="s">
        <v>321</v>
      </c>
      <c r="P10" s="1806"/>
      <c r="Q10" s="1670" t="s">
        <v>88</v>
      </c>
    </row>
    <row r="11" spans="1:16382" hidden="1">
      <c r="A11" s="1672">
        <v>9</v>
      </c>
      <c r="B11" s="1670">
        <v>99</v>
      </c>
      <c r="C11" s="1670">
        <v>12001</v>
      </c>
      <c r="D11" s="1670" t="s">
        <v>73</v>
      </c>
      <c r="E11" s="1673">
        <v>59.52</v>
      </c>
      <c r="F11" s="1670" t="s">
        <v>121</v>
      </c>
      <c r="G11" s="1670" t="s">
        <v>16</v>
      </c>
      <c r="H11" s="1837">
        <v>3453448.61</v>
      </c>
      <c r="I11" s="1670">
        <v>2</v>
      </c>
      <c r="J11" s="1670" t="s">
        <v>65</v>
      </c>
      <c r="K11" s="1670" t="s">
        <v>12</v>
      </c>
      <c r="L11" s="1710">
        <v>44363</v>
      </c>
      <c r="M11" s="1710" t="s">
        <v>17</v>
      </c>
      <c r="N11" s="1807" t="s">
        <v>338</v>
      </c>
      <c r="O11" s="1670" t="s">
        <v>321</v>
      </c>
      <c r="P11" s="1715" t="s">
        <v>202</v>
      </c>
      <c r="Q11" s="1670" t="s">
        <v>88</v>
      </c>
    </row>
    <row r="12" spans="1:16382" hidden="1">
      <c r="A12" s="1672">
        <v>10</v>
      </c>
      <c r="B12" s="1670">
        <v>274</v>
      </c>
      <c r="C12" s="1670">
        <v>148</v>
      </c>
      <c r="D12" s="1670" t="s">
        <v>73</v>
      </c>
      <c r="E12" s="1673">
        <v>86.58</v>
      </c>
      <c r="F12" s="1670" t="s">
        <v>121</v>
      </c>
      <c r="G12" s="1670" t="s">
        <v>16</v>
      </c>
      <c r="H12" s="1837">
        <v>4331875.67</v>
      </c>
      <c r="I12" s="1670">
        <v>3</v>
      </c>
      <c r="J12" s="1670" t="s">
        <v>65</v>
      </c>
      <c r="K12" s="1670" t="s">
        <v>18</v>
      </c>
      <c r="L12" s="1710">
        <v>44363</v>
      </c>
      <c r="M12" s="1710" t="s">
        <v>17</v>
      </c>
      <c r="N12" s="1676" t="s">
        <v>339</v>
      </c>
      <c r="O12" s="1670" t="s">
        <v>321</v>
      </c>
      <c r="P12" s="1715" t="s">
        <v>202</v>
      </c>
      <c r="Q12" s="1670" t="s">
        <v>88</v>
      </c>
    </row>
    <row r="13" spans="1:16382" hidden="1">
      <c r="A13" s="1672">
        <v>11</v>
      </c>
      <c r="B13" s="1670">
        <v>36</v>
      </c>
      <c r="C13" s="1670">
        <v>11613</v>
      </c>
      <c r="D13" s="1670" t="s">
        <v>73</v>
      </c>
      <c r="E13" s="1673">
        <v>63.03</v>
      </c>
      <c r="F13" s="1670" t="s">
        <v>74</v>
      </c>
      <c r="G13" s="1670" t="s">
        <v>16</v>
      </c>
      <c r="H13" s="1837">
        <v>3321136.5</v>
      </c>
      <c r="I13" s="1670">
        <v>2</v>
      </c>
      <c r="J13" s="1670" t="s">
        <v>65</v>
      </c>
      <c r="K13" s="1670" t="s">
        <v>12</v>
      </c>
      <c r="L13" s="1710">
        <v>44364</v>
      </c>
      <c r="M13" s="1710" t="s">
        <v>17</v>
      </c>
      <c r="N13" s="1807" t="s">
        <v>340</v>
      </c>
      <c r="O13" s="1670" t="s">
        <v>321</v>
      </c>
      <c r="P13" s="1715" t="s">
        <v>341</v>
      </c>
      <c r="Q13" s="1670" t="s">
        <v>88</v>
      </c>
    </row>
    <row r="14" spans="1:16382" ht="30" hidden="1">
      <c r="A14" s="1672">
        <v>12</v>
      </c>
      <c r="B14" s="1670">
        <v>345</v>
      </c>
      <c r="C14" s="1670">
        <v>12722</v>
      </c>
      <c r="D14" s="1670" t="s">
        <v>77</v>
      </c>
      <c r="E14" s="1673">
        <v>93.8</v>
      </c>
      <c r="F14" s="1670" t="s">
        <v>74</v>
      </c>
      <c r="G14" s="1670" t="s">
        <v>84</v>
      </c>
      <c r="H14" s="1837">
        <v>3500000.67</v>
      </c>
      <c r="I14" s="1670">
        <v>3</v>
      </c>
      <c r="J14" s="1670" t="s">
        <v>130</v>
      </c>
      <c r="K14" s="1670" t="s">
        <v>18</v>
      </c>
      <c r="L14" s="1710">
        <v>44355</v>
      </c>
      <c r="M14" s="1710" t="s">
        <v>11</v>
      </c>
      <c r="N14" s="1807" t="s">
        <v>342</v>
      </c>
      <c r="O14" s="1670" t="s">
        <v>67</v>
      </c>
      <c r="P14" s="1715" t="s">
        <v>343</v>
      </c>
      <c r="Q14" s="1670" t="s">
        <v>344</v>
      </c>
    </row>
    <row r="15" spans="1:16382" ht="30" hidden="1">
      <c r="A15" s="1672">
        <v>13</v>
      </c>
      <c r="B15" s="1670">
        <v>339</v>
      </c>
      <c r="C15" s="1670">
        <v>10891</v>
      </c>
      <c r="D15" s="1670" t="s">
        <v>73</v>
      </c>
      <c r="E15" s="1673">
        <v>60.38</v>
      </c>
      <c r="F15" s="1670" t="s">
        <v>74</v>
      </c>
      <c r="G15" s="1670" t="s">
        <v>84</v>
      </c>
      <c r="H15" s="1837">
        <v>3184045.28</v>
      </c>
      <c r="I15" s="1670">
        <v>2</v>
      </c>
      <c r="J15" s="1670" t="s">
        <v>85</v>
      </c>
      <c r="K15" s="1670" t="s">
        <v>12</v>
      </c>
      <c r="L15" s="1710">
        <v>44364</v>
      </c>
      <c r="M15" s="1710" t="s">
        <v>11</v>
      </c>
      <c r="N15" s="1807" t="s">
        <v>345</v>
      </c>
      <c r="O15" s="1670" t="s">
        <v>321</v>
      </c>
      <c r="P15" s="1715" t="s">
        <v>346</v>
      </c>
      <c r="Q15" s="1670" t="s">
        <v>88</v>
      </c>
    </row>
    <row r="16" spans="1:16382" hidden="1">
      <c r="A16" s="1672">
        <v>14</v>
      </c>
      <c r="B16" s="1670">
        <v>123</v>
      </c>
      <c r="C16" s="1670">
        <v>12940</v>
      </c>
      <c r="D16" s="1670" t="s">
        <v>73</v>
      </c>
      <c r="E16" s="1673">
        <v>36.86</v>
      </c>
      <c r="F16" s="1670" t="s">
        <v>121</v>
      </c>
      <c r="G16" s="1670" t="s">
        <v>16</v>
      </c>
      <c r="H16" s="1837">
        <v>2275186.8199999998</v>
      </c>
      <c r="I16" s="1670">
        <v>1</v>
      </c>
      <c r="J16" s="1670" t="s">
        <v>65</v>
      </c>
      <c r="K16" s="1670" t="s">
        <v>18</v>
      </c>
      <c r="L16" s="1710">
        <v>44364</v>
      </c>
      <c r="M16" s="1710" t="s">
        <v>17</v>
      </c>
      <c r="N16" s="1807" t="s">
        <v>347</v>
      </c>
      <c r="O16" s="1670" t="s">
        <v>321</v>
      </c>
      <c r="P16" s="1715" t="s">
        <v>159</v>
      </c>
      <c r="Q16" s="1670" t="s">
        <v>88</v>
      </c>
    </row>
    <row r="17" spans="1:17" s="1657" customFormat="1" hidden="1">
      <c r="A17" s="1672">
        <v>15</v>
      </c>
      <c r="B17" s="1670">
        <v>95</v>
      </c>
      <c r="C17" s="1670">
        <v>12865</v>
      </c>
      <c r="D17" s="1670" t="s">
        <v>63</v>
      </c>
      <c r="E17" s="1673">
        <v>36.86</v>
      </c>
      <c r="F17" s="1670" t="s">
        <v>121</v>
      </c>
      <c r="G17" s="1670" t="s">
        <v>16</v>
      </c>
      <c r="H17" s="1837">
        <v>2441056.8199999998</v>
      </c>
      <c r="I17" s="1670">
        <v>1</v>
      </c>
      <c r="J17" s="1670" t="s">
        <v>65</v>
      </c>
      <c r="K17" s="1670" t="s">
        <v>18</v>
      </c>
      <c r="L17" s="1710">
        <v>44357</v>
      </c>
      <c r="M17" s="1720" t="s">
        <v>17</v>
      </c>
      <c r="N17" s="1807" t="s">
        <v>348</v>
      </c>
      <c r="O17" s="1670" t="s">
        <v>321</v>
      </c>
      <c r="P17" s="1715" t="s">
        <v>349</v>
      </c>
      <c r="Q17" s="1670" t="s">
        <v>72</v>
      </c>
    </row>
    <row r="18" spans="1:17" hidden="1">
      <c r="A18" s="1672">
        <v>16</v>
      </c>
      <c r="B18" s="1670">
        <v>306</v>
      </c>
      <c r="C18" s="1670">
        <v>12904</v>
      </c>
      <c r="D18" s="1670" t="s">
        <v>20</v>
      </c>
      <c r="E18" s="1673">
        <v>38.22</v>
      </c>
      <c r="F18" s="1670" t="s">
        <v>121</v>
      </c>
      <c r="G18" s="1670" t="s">
        <v>16</v>
      </c>
      <c r="H18" s="1837">
        <v>1860003.05</v>
      </c>
      <c r="I18" s="1670">
        <v>1</v>
      </c>
      <c r="J18" s="1670" t="s">
        <v>130</v>
      </c>
      <c r="K18" s="1670" t="s">
        <v>18</v>
      </c>
      <c r="L18" s="1710">
        <v>44371</v>
      </c>
      <c r="M18" s="1710" t="s">
        <v>11</v>
      </c>
      <c r="N18" s="1807" t="s">
        <v>350</v>
      </c>
      <c r="O18" s="1670" t="s">
        <v>67</v>
      </c>
      <c r="P18" s="1715" t="s">
        <v>351</v>
      </c>
      <c r="Q18" s="1670" t="s">
        <v>147</v>
      </c>
    </row>
    <row r="19" spans="1:17" ht="30" hidden="1">
      <c r="A19" s="1672">
        <v>17</v>
      </c>
      <c r="B19" s="1778">
        <v>620</v>
      </c>
      <c r="C19" s="1778">
        <v>10715</v>
      </c>
      <c r="D19" s="1778" t="s">
        <v>73</v>
      </c>
      <c r="E19" s="1778">
        <v>23.63</v>
      </c>
      <c r="F19" s="1778" t="s">
        <v>27</v>
      </c>
      <c r="G19" s="1778" t="s">
        <v>16</v>
      </c>
      <c r="H19" s="1839">
        <v>1405985</v>
      </c>
      <c r="I19" s="1778">
        <v>0</v>
      </c>
      <c r="J19" s="1778" t="s">
        <v>65</v>
      </c>
      <c r="K19" s="1778" t="s">
        <v>18</v>
      </c>
      <c r="L19" s="1800">
        <v>44366</v>
      </c>
      <c r="M19" s="1800" t="s">
        <v>17</v>
      </c>
      <c r="N19" s="1809" t="s">
        <v>352</v>
      </c>
      <c r="O19" s="1670" t="s">
        <v>67</v>
      </c>
      <c r="P19" s="1806" t="s">
        <v>353</v>
      </c>
      <c r="Q19" s="1670" t="s">
        <v>88</v>
      </c>
    </row>
    <row r="20" spans="1:17" hidden="1">
      <c r="A20" s="1672">
        <v>18</v>
      </c>
      <c r="B20" s="1670">
        <v>312</v>
      </c>
      <c r="C20" s="1670">
        <v>10043</v>
      </c>
      <c r="D20" s="1670" t="s">
        <v>73</v>
      </c>
      <c r="E20" s="1673">
        <v>60.3</v>
      </c>
      <c r="F20" s="1670" t="s">
        <v>74</v>
      </c>
      <c r="G20" s="1670" t="s">
        <v>16</v>
      </c>
      <c r="H20" s="1837">
        <v>3301384.3</v>
      </c>
      <c r="I20" s="1670">
        <v>2</v>
      </c>
      <c r="J20" s="1670" t="s">
        <v>65</v>
      </c>
      <c r="K20" s="1670" t="s">
        <v>18</v>
      </c>
      <c r="L20" s="1710">
        <v>44368</v>
      </c>
      <c r="M20" s="1710" t="s">
        <v>17</v>
      </c>
      <c r="N20" s="1807" t="s">
        <v>354</v>
      </c>
      <c r="O20" s="1670" t="s">
        <v>67</v>
      </c>
      <c r="P20" s="1808" t="s">
        <v>355</v>
      </c>
      <c r="Q20" s="1670" t="s">
        <v>356</v>
      </c>
    </row>
    <row r="21" spans="1:17" hidden="1">
      <c r="A21" s="1672">
        <v>19</v>
      </c>
      <c r="B21" s="1670">
        <v>200</v>
      </c>
      <c r="C21" s="1670">
        <v>9255</v>
      </c>
      <c r="D21" s="1670" t="s">
        <v>73</v>
      </c>
      <c r="E21" s="1673">
        <v>60.24</v>
      </c>
      <c r="F21" s="1670" t="s">
        <v>121</v>
      </c>
      <c r="G21" s="1670" t="s">
        <v>84</v>
      </c>
      <c r="H21" s="1837">
        <v>3154513.25</v>
      </c>
      <c r="I21" s="1670">
        <v>2</v>
      </c>
      <c r="J21" s="1670" t="s">
        <v>85</v>
      </c>
      <c r="K21" s="1670" t="s">
        <v>18</v>
      </c>
      <c r="L21" s="1710">
        <v>44368</v>
      </c>
      <c r="M21" s="1710" t="s">
        <v>11</v>
      </c>
      <c r="N21" s="1807" t="s">
        <v>357</v>
      </c>
      <c r="O21" s="1670" t="s">
        <v>67</v>
      </c>
      <c r="P21" s="1715" t="s">
        <v>358</v>
      </c>
      <c r="Q21" s="1670" t="s">
        <v>88</v>
      </c>
    </row>
    <row r="22" spans="1:17" hidden="1">
      <c r="A22" s="1672">
        <v>20</v>
      </c>
      <c r="B22" s="1670">
        <v>22</v>
      </c>
      <c r="C22" s="1670">
        <v>12754</v>
      </c>
      <c r="D22" s="1670" t="s">
        <v>73</v>
      </c>
      <c r="E22" s="1673">
        <v>59.52</v>
      </c>
      <c r="F22" s="1670" t="s">
        <v>121</v>
      </c>
      <c r="G22" s="1670" t="s">
        <v>16</v>
      </c>
      <c r="H22" s="1837">
        <v>3489160.61</v>
      </c>
      <c r="I22" s="1670">
        <v>2</v>
      </c>
      <c r="J22" s="1670" t="s">
        <v>65</v>
      </c>
      <c r="K22" s="1670" t="s">
        <v>12</v>
      </c>
      <c r="L22" s="1710">
        <v>44369</v>
      </c>
      <c r="M22" s="1710" t="s">
        <v>17</v>
      </c>
      <c r="N22" s="1807" t="s">
        <v>359</v>
      </c>
      <c r="O22" s="1670" t="s">
        <v>67</v>
      </c>
      <c r="P22" s="1715" t="s">
        <v>360</v>
      </c>
      <c r="Q22" s="1670" t="s">
        <v>88</v>
      </c>
    </row>
    <row r="23" spans="1:17" hidden="1">
      <c r="A23" s="1672">
        <v>21</v>
      </c>
      <c r="B23" s="1670">
        <v>209</v>
      </c>
      <c r="C23" s="1670">
        <v>334</v>
      </c>
      <c r="D23" s="1670" t="s">
        <v>20</v>
      </c>
      <c r="E23" s="1673">
        <v>37.89</v>
      </c>
      <c r="F23" s="1670" t="s">
        <v>121</v>
      </c>
      <c r="G23" s="1670" t="s">
        <v>16</v>
      </c>
      <c r="H23" s="1837">
        <v>2162296.67</v>
      </c>
      <c r="I23" s="1670">
        <v>1</v>
      </c>
      <c r="J23" s="1670" t="s">
        <v>65</v>
      </c>
      <c r="K23" s="1670" t="s">
        <v>12</v>
      </c>
      <c r="L23" s="1710">
        <v>44369</v>
      </c>
      <c r="M23" s="1710" t="s">
        <v>17</v>
      </c>
      <c r="N23" s="1807" t="s">
        <v>361</v>
      </c>
      <c r="O23" s="1670" t="s">
        <v>67</v>
      </c>
      <c r="P23" s="1715" t="s">
        <v>362</v>
      </c>
      <c r="Q23" s="1670" t="s">
        <v>363</v>
      </c>
    </row>
    <row r="24" spans="1:17" ht="30" hidden="1">
      <c r="A24" s="1672">
        <v>22</v>
      </c>
      <c r="B24" s="1670">
        <v>301</v>
      </c>
      <c r="C24" s="1670">
        <v>12807</v>
      </c>
      <c r="D24" s="1670" t="s">
        <v>20</v>
      </c>
      <c r="E24" s="1673">
        <v>56.93</v>
      </c>
      <c r="F24" s="1670" t="s">
        <v>121</v>
      </c>
      <c r="G24" s="1670" t="s">
        <v>16</v>
      </c>
      <c r="H24" s="1837">
        <v>3828294.8</v>
      </c>
      <c r="I24" s="1670">
        <v>2</v>
      </c>
      <c r="J24" s="1670" t="s">
        <v>65</v>
      </c>
      <c r="K24" s="1670" t="s">
        <v>18</v>
      </c>
      <c r="L24" s="1710">
        <v>44368</v>
      </c>
      <c r="M24" s="1710" t="s">
        <v>17</v>
      </c>
      <c r="N24" s="1807" t="s">
        <v>364</v>
      </c>
      <c r="O24" s="1670" t="s">
        <v>67</v>
      </c>
      <c r="P24" s="1715" t="s">
        <v>365</v>
      </c>
      <c r="Q24" s="1670" t="s">
        <v>366</v>
      </c>
    </row>
    <row r="25" spans="1:17" s="1657" customFormat="1" ht="45" hidden="1">
      <c r="A25" s="1672">
        <v>23</v>
      </c>
      <c r="B25" s="1670">
        <v>136</v>
      </c>
      <c r="C25" s="1670">
        <v>1226</v>
      </c>
      <c r="D25" s="1670" t="s">
        <v>20</v>
      </c>
      <c r="E25" s="1673">
        <v>76.56</v>
      </c>
      <c r="F25" s="1670" t="s">
        <v>121</v>
      </c>
      <c r="G25" s="1670" t="s">
        <v>16</v>
      </c>
      <c r="H25" s="1837">
        <v>3811601.61</v>
      </c>
      <c r="I25" s="1670">
        <v>3</v>
      </c>
      <c r="J25" s="1670" t="s">
        <v>65</v>
      </c>
      <c r="K25" s="1670" t="s">
        <v>18</v>
      </c>
      <c r="L25" s="1710">
        <v>44372</v>
      </c>
      <c r="M25" s="1710" t="s">
        <v>17</v>
      </c>
      <c r="N25" s="1807" t="s">
        <v>367</v>
      </c>
      <c r="O25" s="1670" t="s">
        <v>67</v>
      </c>
      <c r="P25" s="1715" t="s">
        <v>368</v>
      </c>
      <c r="Q25" s="1670" t="s">
        <v>147</v>
      </c>
    </row>
    <row r="26" spans="1:17" hidden="1">
      <c r="A26" s="1672">
        <v>24</v>
      </c>
      <c r="B26" s="1670">
        <v>559</v>
      </c>
      <c r="C26" s="1670">
        <v>12908</v>
      </c>
      <c r="D26" s="1670" t="s">
        <v>77</v>
      </c>
      <c r="E26" s="1673">
        <v>55.8</v>
      </c>
      <c r="F26" s="1670" t="s">
        <v>27</v>
      </c>
      <c r="G26" s="1670" t="s">
        <v>16</v>
      </c>
      <c r="H26" s="1837">
        <v>2553408</v>
      </c>
      <c r="I26" s="1670">
        <v>2</v>
      </c>
      <c r="J26" s="1670" t="s">
        <v>65</v>
      </c>
      <c r="K26" s="1670" t="s">
        <v>18</v>
      </c>
      <c r="L26" s="1710">
        <v>44370</v>
      </c>
      <c r="M26" s="1710" t="s">
        <v>17</v>
      </c>
      <c r="N26" s="1807" t="s">
        <v>369</v>
      </c>
      <c r="O26" s="1670" t="s">
        <v>67</v>
      </c>
      <c r="P26" s="1715" t="s">
        <v>370</v>
      </c>
      <c r="Q26" s="1670" t="s">
        <v>79</v>
      </c>
    </row>
    <row r="27" spans="1:17" ht="12" hidden="1" customHeight="1">
      <c r="A27" s="1672">
        <v>25</v>
      </c>
      <c r="B27" s="1670">
        <v>37</v>
      </c>
      <c r="C27" s="1670">
        <v>12834</v>
      </c>
      <c r="D27" s="1670" t="s">
        <v>77</v>
      </c>
      <c r="E27" s="1673">
        <v>58.99</v>
      </c>
      <c r="F27" s="1670" t="s">
        <v>121</v>
      </c>
      <c r="G27" s="1670" t="s">
        <v>16</v>
      </c>
      <c r="H27" s="1837">
        <v>3506403.94</v>
      </c>
      <c r="I27" s="1670">
        <v>2</v>
      </c>
      <c r="J27" s="1670" t="s">
        <v>65</v>
      </c>
      <c r="K27" s="1670" t="s">
        <v>18</v>
      </c>
      <c r="L27" s="1710">
        <v>44376</v>
      </c>
      <c r="M27" s="1710" t="s">
        <v>11</v>
      </c>
      <c r="N27" s="1807" t="s">
        <v>371</v>
      </c>
      <c r="O27" s="1670" t="s">
        <v>67</v>
      </c>
      <c r="P27" s="1849" t="s">
        <v>372</v>
      </c>
      <c r="Q27" s="1670" t="s">
        <v>79</v>
      </c>
    </row>
    <row r="28" spans="1:17" hidden="1">
      <c r="A28" s="1672">
        <v>26</v>
      </c>
      <c r="B28" s="1670">
        <v>213</v>
      </c>
      <c r="C28" s="1670">
        <v>12405</v>
      </c>
      <c r="D28" s="1670" t="s">
        <v>77</v>
      </c>
      <c r="E28" s="1673">
        <v>56.93</v>
      </c>
      <c r="F28" s="1670" t="s">
        <v>121</v>
      </c>
      <c r="G28" s="1670" t="s">
        <v>16</v>
      </c>
      <c r="H28" s="1837">
        <v>2997510.24</v>
      </c>
      <c r="I28" s="1670">
        <v>2</v>
      </c>
      <c r="J28" s="1670" t="s">
        <v>65</v>
      </c>
      <c r="K28" s="1670" t="s">
        <v>18</v>
      </c>
      <c r="L28" s="1710">
        <v>44368</v>
      </c>
      <c r="M28" s="1710" t="s">
        <v>17</v>
      </c>
      <c r="N28" s="1807" t="s">
        <v>373</v>
      </c>
      <c r="O28" s="1670" t="s">
        <v>67</v>
      </c>
      <c r="P28" s="1850" t="s">
        <v>134</v>
      </c>
      <c r="Q28" s="1670" t="s">
        <v>79</v>
      </c>
    </row>
    <row r="29" spans="1:17" ht="30" hidden="1">
      <c r="A29" s="1672">
        <v>27</v>
      </c>
      <c r="B29" s="1670">
        <v>565</v>
      </c>
      <c r="C29" s="1675">
        <v>12375</v>
      </c>
      <c r="D29" s="1670" t="s">
        <v>77</v>
      </c>
      <c r="E29" s="1673">
        <v>37.11</v>
      </c>
      <c r="F29" s="1670" t="s">
        <v>27</v>
      </c>
      <c r="G29" s="1670" t="s">
        <v>84</v>
      </c>
      <c r="H29" s="1837">
        <v>2044761</v>
      </c>
      <c r="I29" s="1670">
        <v>1</v>
      </c>
      <c r="J29" s="1670" t="s">
        <v>85</v>
      </c>
      <c r="K29" s="1670" t="s">
        <v>18</v>
      </c>
      <c r="L29" s="1710">
        <v>44365</v>
      </c>
      <c r="M29" s="1851" t="s">
        <v>11</v>
      </c>
      <c r="N29" s="1807" t="s">
        <v>374</v>
      </c>
      <c r="O29" s="1670" t="s">
        <v>67</v>
      </c>
      <c r="P29" s="1852" t="s">
        <v>375</v>
      </c>
      <c r="Q29" s="1670" t="s">
        <v>376</v>
      </c>
    </row>
    <row r="30" spans="1:17" customFormat="1" hidden="1">
      <c r="A30" s="1672">
        <v>28</v>
      </c>
      <c r="B30" s="1676">
        <v>255</v>
      </c>
      <c r="C30" s="1676">
        <v>4049</v>
      </c>
      <c r="D30" s="1670" t="s">
        <v>77</v>
      </c>
      <c r="E30" s="1676">
        <v>60.24</v>
      </c>
      <c r="F30" s="1670" t="s">
        <v>121</v>
      </c>
      <c r="G30" s="1670" t="s">
        <v>16</v>
      </c>
      <c r="H30" s="1837">
        <v>3845878.83</v>
      </c>
      <c r="I30" s="1676">
        <v>2</v>
      </c>
      <c r="J30" s="1670" t="s">
        <v>65</v>
      </c>
      <c r="K30" s="1670" t="s">
        <v>18</v>
      </c>
      <c r="L30" s="1720">
        <v>44364</v>
      </c>
      <c r="M30" s="1851" t="s">
        <v>17</v>
      </c>
      <c r="N30" s="1807" t="s">
        <v>377</v>
      </c>
      <c r="O30" s="1670" t="s">
        <v>67</v>
      </c>
      <c r="P30" s="1850" t="s">
        <v>378</v>
      </c>
      <c r="Q30" s="1670" t="s">
        <v>79</v>
      </c>
    </row>
    <row r="31" spans="1:17" customFormat="1" hidden="1">
      <c r="A31" s="1672">
        <v>29</v>
      </c>
      <c r="B31" s="1676">
        <v>290</v>
      </c>
      <c r="C31" s="1676">
        <v>13072</v>
      </c>
      <c r="D31" s="1670" t="s">
        <v>77</v>
      </c>
      <c r="E31" s="1676">
        <v>23.54</v>
      </c>
      <c r="F31" s="1670" t="s">
        <v>27</v>
      </c>
      <c r="G31" s="1670" t="s">
        <v>16</v>
      </c>
      <c r="H31" s="1837">
        <v>1294700</v>
      </c>
      <c r="I31" s="1676">
        <v>0</v>
      </c>
      <c r="J31" s="1670" t="s">
        <v>65</v>
      </c>
      <c r="K31" s="1670" t="s">
        <v>12</v>
      </c>
      <c r="L31" s="1720">
        <v>44366</v>
      </c>
      <c r="M31" s="1851" t="s">
        <v>17</v>
      </c>
      <c r="N31" s="1807" t="s">
        <v>379</v>
      </c>
      <c r="O31" s="1670" t="s">
        <v>67</v>
      </c>
      <c r="P31" s="1850" t="s">
        <v>370</v>
      </c>
      <c r="Q31" s="1670" t="s">
        <v>79</v>
      </c>
    </row>
    <row r="32" spans="1:17" s="55" customFormat="1" hidden="1">
      <c r="A32" s="1672">
        <v>30</v>
      </c>
      <c r="B32" s="1676">
        <v>228</v>
      </c>
      <c r="C32" s="1676">
        <v>10187</v>
      </c>
      <c r="D32" s="1670" t="s">
        <v>77</v>
      </c>
      <c r="E32" s="1676">
        <v>23.63</v>
      </c>
      <c r="F32" s="1670" t="s">
        <v>27</v>
      </c>
      <c r="G32" s="1670" t="s">
        <v>84</v>
      </c>
      <c r="H32" s="1837">
        <v>1405985</v>
      </c>
      <c r="I32" s="1676">
        <v>0</v>
      </c>
      <c r="J32" s="1670" t="s">
        <v>85</v>
      </c>
      <c r="K32" s="1670" t="s">
        <v>18</v>
      </c>
      <c r="L32" s="1720">
        <v>44376</v>
      </c>
      <c r="M32" s="1851" t="s">
        <v>11</v>
      </c>
      <c r="N32" s="1807" t="s">
        <v>380</v>
      </c>
      <c r="O32" s="1670" t="s">
        <v>67</v>
      </c>
      <c r="P32" s="1850" t="s">
        <v>381</v>
      </c>
      <c r="Q32" s="1670" t="s">
        <v>79</v>
      </c>
    </row>
    <row r="33" spans="1:17" customFormat="1" hidden="1">
      <c r="A33" s="1672">
        <v>31</v>
      </c>
      <c r="B33" s="1676">
        <v>533</v>
      </c>
      <c r="C33" s="1676">
        <v>12942</v>
      </c>
      <c r="D33" s="1670" t="s">
        <v>63</v>
      </c>
      <c r="E33" s="1676">
        <v>37.11</v>
      </c>
      <c r="F33" s="1676" t="s">
        <v>27</v>
      </c>
      <c r="G33" s="1676" t="s">
        <v>16</v>
      </c>
      <c r="H33" s="1837">
        <v>2044761</v>
      </c>
      <c r="I33" s="1676">
        <v>1</v>
      </c>
      <c r="J33" s="1670" t="s">
        <v>65</v>
      </c>
      <c r="K33" s="1670" t="s">
        <v>18</v>
      </c>
      <c r="L33" s="1720">
        <v>44363</v>
      </c>
      <c r="M33" s="1851" t="s">
        <v>17</v>
      </c>
      <c r="N33" s="1807" t="s">
        <v>382</v>
      </c>
      <c r="O33" s="1670" t="s">
        <v>67</v>
      </c>
      <c r="P33" s="1850" t="s">
        <v>159</v>
      </c>
      <c r="Q33" s="1670" t="s">
        <v>72</v>
      </c>
    </row>
    <row r="34" spans="1:17" customFormat="1" ht="30" hidden="1">
      <c r="A34" s="1672">
        <v>32</v>
      </c>
      <c r="B34" s="1670">
        <v>599</v>
      </c>
      <c r="C34" s="1670">
        <v>12970</v>
      </c>
      <c r="D34" s="1670" t="s">
        <v>73</v>
      </c>
      <c r="E34" s="1673">
        <v>55.8</v>
      </c>
      <c r="F34" s="1670" t="s">
        <v>27</v>
      </c>
      <c r="G34" s="1670" t="s">
        <v>16</v>
      </c>
      <c r="H34" s="1837">
        <v>2804508</v>
      </c>
      <c r="I34" s="1670">
        <v>2</v>
      </c>
      <c r="J34" s="1670" t="s">
        <v>65</v>
      </c>
      <c r="K34" s="1670" t="s">
        <v>18</v>
      </c>
      <c r="L34" s="1710">
        <v>44370</v>
      </c>
      <c r="M34" s="1710" t="s">
        <v>17</v>
      </c>
      <c r="N34" s="1807" t="s">
        <v>383</v>
      </c>
      <c r="O34" s="1670" t="s">
        <v>67</v>
      </c>
      <c r="P34" s="1715" t="s">
        <v>353</v>
      </c>
      <c r="Q34" s="1670" t="s">
        <v>88</v>
      </c>
    </row>
    <row r="35" spans="1:17" customFormat="1" hidden="1">
      <c r="A35" s="1672">
        <v>33</v>
      </c>
      <c r="B35" s="1676">
        <v>199</v>
      </c>
      <c r="C35" s="1676">
        <v>12935</v>
      </c>
      <c r="D35" s="1670" t="s">
        <v>63</v>
      </c>
      <c r="E35" s="1676">
        <v>60.19</v>
      </c>
      <c r="F35" s="1676" t="s">
        <v>121</v>
      </c>
      <c r="G35" s="1676" t="s">
        <v>16</v>
      </c>
      <c r="H35" s="1837">
        <v>3151894.96</v>
      </c>
      <c r="I35" s="1676">
        <v>2</v>
      </c>
      <c r="J35" s="1670" t="s">
        <v>65</v>
      </c>
      <c r="K35" s="1670" t="s">
        <v>18</v>
      </c>
      <c r="L35" s="1720">
        <v>44365</v>
      </c>
      <c r="M35" s="1851" t="s">
        <v>17</v>
      </c>
      <c r="N35" s="1807" t="s">
        <v>384</v>
      </c>
      <c r="O35" s="1670" t="s">
        <v>67</v>
      </c>
      <c r="P35" s="1850"/>
      <c r="Q35" s="1670" t="s">
        <v>72</v>
      </c>
    </row>
    <row r="36" spans="1:17" customFormat="1" ht="12" hidden="1" customHeight="1">
      <c r="A36" s="1672">
        <v>34</v>
      </c>
      <c r="B36" s="1778">
        <v>266</v>
      </c>
      <c r="C36" s="1778">
        <v>13029</v>
      </c>
      <c r="D36" s="1778" t="s">
        <v>73</v>
      </c>
      <c r="E36" s="1778">
        <v>60.24</v>
      </c>
      <c r="F36" s="1778" t="s">
        <v>121</v>
      </c>
      <c r="G36" s="1778" t="s">
        <v>16</v>
      </c>
      <c r="H36" s="1839">
        <v>3882022.83</v>
      </c>
      <c r="I36" s="1778">
        <v>2</v>
      </c>
      <c r="J36" s="1778" t="s">
        <v>65</v>
      </c>
      <c r="K36" s="1778" t="s">
        <v>12</v>
      </c>
      <c r="L36" s="1800">
        <v>44371</v>
      </c>
      <c r="M36" s="1800" t="s">
        <v>17</v>
      </c>
      <c r="N36" s="1809" t="s">
        <v>385</v>
      </c>
      <c r="O36" s="1670" t="s">
        <v>67</v>
      </c>
      <c r="P36" s="1806" t="s">
        <v>386</v>
      </c>
      <c r="Q36" s="1670" t="s">
        <v>88</v>
      </c>
    </row>
    <row r="37" spans="1:17" customFormat="1" ht="12" hidden="1" customHeight="1">
      <c r="A37" s="1672">
        <v>35</v>
      </c>
      <c r="B37" s="1778">
        <v>244</v>
      </c>
      <c r="C37" s="1778">
        <v>13006</v>
      </c>
      <c r="D37" s="1778" t="s">
        <v>63</v>
      </c>
      <c r="E37" s="1778">
        <v>60.24</v>
      </c>
      <c r="F37" s="1778" t="s">
        <v>121</v>
      </c>
      <c r="G37" s="1778" t="s">
        <v>16</v>
      </c>
      <c r="H37" s="1839">
        <v>3213358.83</v>
      </c>
      <c r="I37" s="1778">
        <v>2</v>
      </c>
      <c r="J37" s="1778" t="s">
        <v>65</v>
      </c>
      <c r="K37" s="1778" t="s">
        <v>18</v>
      </c>
      <c r="L37" s="1800">
        <v>44369</v>
      </c>
      <c r="M37" s="1800" t="s">
        <v>17</v>
      </c>
      <c r="N37" s="1802" t="s">
        <v>387</v>
      </c>
      <c r="O37" s="1670" t="s">
        <v>67</v>
      </c>
      <c r="P37" s="1806" t="s">
        <v>388</v>
      </c>
      <c r="Q37" s="1670" t="s">
        <v>72</v>
      </c>
    </row>
    <row r="38" spans="1:17" customFormat="1" ht="12" hidden="1" customHeight="1">
      <c r="A38" s="1672">
        <v>36</v>
      </c>
      <c r="B38" s="1778">
        <v>271</v>
      </c>
      <c r="C38" s="1778">
        <v>2654</v>
      </c>
      <c r="D38" s="1670" t="s">
        <v>73</v>
      </c>
      <c r="E38" s="1778">
        <v>55.8</v>
      </c>
      <c r="F38" s="1778" t="s">
        <v>27</v>
      </c>
      <c r="G38" s="1778" t="s">
        <v>16</v>
      </c>
      <c r="H38" s="1839">
        <v>2700720</v>
      </c>
      <c r="I38" s="1778">
        <v>2</v>
      </c>
      <c r="J38" s="1778" t="s">
        <v>65</v>
      </c>
      <c r="K38" s="1778" t="s">
        <v>18</v>
      </c>
      <c r="L38" s="1800">
        <v>44371</v>
      </c>
      <c r="M38" s="1800" t="s">
        <v>17</v>
      </c>
      <c r="N38" s="1802" t="s">
        <v>389</v>
      </c>
      <c r="O38" s="1670" t="s">
        <v>67</v>
      </c>
      <c r="P38" s="1715" t="s">
        <v>159</v>
      </c>
      <c r="Q38" s="1670" t="s">
        <v>76</v>
      </c>
    </row>
    <row r="39" spans="1:17" s="1835" customFormat="1" ht="12" hidden="1" customHeight="1">
      <c r="A39" s="1672">
        <v>37</v>
      </c>
      <c r="B39" s="1778">
        <v>494</v>
      </c>
      <c r="C39" s="1778">
        <v>13280</v>
      </c>
      <c r="D39" s="1778" t="s">
        <v>20</v>
      </c>
      <c r="E39" s="1778">
        <v>59.93</v>
      </c>
      <c r="F39" s="1778" t="s">
        <v>27</v>
      </c>
      <c r="G39" s="1778" t="s">
        <v>16</v>
      </c>
      <c r="H39" s="1839">
        <v>3414811.4</v>
      </c>
      <c r="I39" s="1778">
        <v>2</v>
      </c>
      <c r="J39" s="1778" t="s">
        <v>65</v>
      </c>
      <c r="K39" s="1778" t="s">
        <v>18</v>
      </c>
      <c r="L39" s="1800">
        <v>44377</v>
      </c>
      <c r="M39" s="1800" t="s">
        <v>17</v>
      </c>
      <c r="N39" s="1802" t="s">
        <v>390</v>
      </c>
      <c r="O39" s="1670" t="s">
        <v>67</v>
      </c>
      <c r="P39" s="1803">
        <v>44375</v>
      </c>
      <c r="Q39" s="1670" t="s">
        <v>147</v>
      </c>
    </row>
    <row r="40" spans="1:17" customFormat="1" ht="12" hidden="1" customHeight="1">
      <c r="A40" s="1672">
        <v>38</v>
      </c>
      <c r="B40" s="1778">
        <v>11</v>
      </c>
      <c r="C40" s="1778">
        <v>7816</v>
      </c>
      <c r="D40" s="1778" t="s">
        <v>20</v>
      </c>
      <c r="E40" s="1778">
        <v>36.86</v>
      </c>
      <c r="F40" s="1778" t="s">
        <v>121</v>
      </c>
      <c r="G40" s="1778" t="s">
        <v>16</v>
      </c>
      <c r="H40" s="1839">
        <v>2273352.66</v>
      </c>
      <c r="I40" s="1778">
        <v>1</v>
      </c>
      <c r="J40" s="1778" t="s">
        <v>65</v>
      </c>
      <c r="K40" s="1778" t="s">
        <v>18</v>
      </c>
      <c r="L40" s="1800">
        <v>44368</v>
      </c>
      <c r="M40" s="1800" t="s">
        <v>17</v>
      </c>
      <c r="N40" s="1802" t="s">
        <v>391</v>
      </c>
      <c r="O40" s="1670" t="s">
        <v>67</v>
      </c>
      <c r="P40" s="1806"/>
      <c r="Q40" s="1670" t="s">
        <v>363</v>
      </c>
    </row>
    <row r="41" spans="1:17" customFormat="1" ht="12" hidden="1" customHeight="1">
      <c r="A41" s="1672">
        <v>39</v>
      </c>
      <c r="B41" s="1778">
        <v>202</v>
      </c>
      <c r="C41" s="1778">
        <v>13221</v>
      </c>
      <c r="D41" s="1670" t="s">
        <v>77</v>
      </c>
      <c r="E41" s="1778">
        <v>56.93</v>
      </c>
      <c r="F41" s="1778" t="s">
        <v>121</v>
      </c>
      <c r="G41" s="1778" t="s">
        <v>16</v>
      </c>
      <c r="H41" s="1839">
        <v>3033722.84</v>
      </c>
      <c r="I41" s="1778">
        <v>2</v>
      </c>
      <c r="J41" s="1778" t="s">
        <v>65</v>
      </c>
      <c r="K41" s="1778" t="s">
        <v>18</v>
      </c>
      <c r="L41" s="1800">
        <v>44371</v>
      </c>
      <c r="M41" s="1800" t="s">
        <v>17</v>
      </c>
      <c r="N41" s="1802" t="s">
        <v>392</v>
      </c>
      <c r="O41" s="1670" t="s">
        <v>67</v>
      </c>
      <c r="P41" s="1803">
        <v>44372</v>
      </c>
      <c r="Q41" s="1670" t="s">
        <v>79</v>
      </c>
    </row>
    <row r="42" spans="1:17" customFormat="1" ht="12" hidden="1" customHeight="1">
      <c r="A42" s="1672">
        <v>40</v>
      </c>
      <c r="B42" s="1778">
        <v>592</v>
      </c>
      <c r="C42" s="1778">
        <v>2714</v>
      </c>
      <c r="D42" s="1778" t="s">
        <v>63</v>
      </c>
      <c r="E42" s="1778">
        <v>82.27</v>
      </c>
      <c r="F42" s="1778" t="s">
        <v>27</v>
      </c>
      <c r="G42" s="1778" t="s">
        <v>16</v>
      </c>
      <c r="H42" s="1839">
        <v>3764675.2</v>
      </c>
      <c r="I42" s="1778">
        <v>3</v>
      </c>
      <c r="J42" s="1778" t="s">
        <v>65</v>
      </c>
      <c r="K42" s="1778" t="s">
        <v>18</v>
      </c>
      <c r="L42" s="1800">
        <v>44371</v>
      </c>
      <c r="M42" s="1800" t="s">
        <v>17</v>
      </c>
      <c r="N42" s="1802" t="s">
        <v>393</v>
      </c>
      <c r="O42" s="1670" t="s">
        <v>67</v>
      </c>
      <c r="P42" s="1803">
        <v>44372</v>
      </c>
      <c r="Q42" s="1670" t="s">
        <v>72</v>
      </c>
    </row>
    <row r="43" spans="1:17" customFormat="1" ht="12" hidden="1" customHeight="1">
      <c r="A43" s="1672">
        <v>41</v>
      </c>
      <c r="B43" s="1778">
        <v>561</v>
      </c>
      <c r="C43" s="1778">
        <v>13238</v>
      </c>
      <c r="D43" s="1778" t="s">
        <v>73</v>
      </c>
      <c r="E43" s="1778">
        <v>37.159999999999997</v>
      </c>
      <c r="F43" s="1778" t="s">
        <v>27</v>
      </c>
      <c r="G43" s="1778" t="s">
        <v>16</v>
      </c>
      <c r="H43" s="1839">
        <v>1880296</v>
      </c>
      <c r="I43" s="1778">
        <v>1</v>
      </c>
      <c r="J43" s="1778" t="s">
        <v>65</v>
      </c>
      <c r="K43" s="1778" t="s">
        <v>18</v>
      </c>
      <c r="L43" s="1800">
        <v>44371</v>
      </c>
      <c r="M43" s="1800" t="s">
        <v>17</v>
      </c>
      <c r="N43" s="1802" t="s">
        <v>394</v>
      </c>
      <c r="O43" s="1670" t="s">
        <v>67</v>
      </c>
      <c r="P43" s="1806" t="s">
        <v>395</v>
      </c>
      <c r="Q43" s="1670" t="s">
        <v>88</v>
      </c>
    </row>
    <row r="44" spans="1:17" customFormat="1" ht="12" hidden="1" customHeight="1">
      <c r="A44" s="1672">
        <v>42</v>
      </c>
      <c r="B44" s="1676">
        <v>236</v>
      </c>
      <c r="C44" s="1676">
        <v>13019</v>
      </c>
      <c r="D44" s="1670" t="s">
        <v>73</v>
      </c>
      <c r="E44" s="1676">
        <v>60.3</v>
      </c>
      <c r="F44" s="1676" t="s">
        <v>121</v>
      </c>
      <c r="G44" s="1676" t="s">
        <v>16</v>
      </c>
      <c r="H44" s="1837">
        <v>3411421.25</v>
      </c>
      <c r="I44" s="1676">
        <v>2</v>
      </c>
      <c r="J44" s="1670" t="s">
        <v>65</v>
      </c>
      <c r="K44" s="1670" t="s">
        <v>12</v>
      </c>
      <c r="L44" s="1720">
        <v>44372</v>
      </c>
      <c r="M44" s="1851" t="s">
        <v>17</v>
      </c>
      <c r="N44" s="1676" t="s">
        <v>396</v>
      </c>
      <c r="O44" s="1670" t="s">
        <v>67</v>
      </c>
      <c r="P44" s="1715" t="s">
        <v>159</v>
      </c>
      <c r="Q44" s="1670" t="s">
        <v>88</v>
      </c>
    </row>
    <row r="45" spans="1:17" customFormat="1" ht="12" hidden="1" customHeight="1">
      <c r="A45" s="1672">
        <v>43</v>
      </c>
      <c r="B45" s="1778">
        <v>82</v>
      </c>
      <c r="C45" s="1778">
        <v>13147</v>
      </c>
      <c r="D45" s="1778" t="s">
        <v>73</v>
      </c>
      <c r="E45" s="1778">
        <v>36.42</v>
      </c>
      <c r="F45" s="1778" t="s">
        <v>121</v>
      </c>
      <c r="G45" s="1778" t="s">
        <v>16</v>
      </c>
      <c r="H45" s="1839">
        <v>2448337.7799999998</v>
      </c>
      <c r="I45" s="1778">
        <v>1</v>
      </c>
      <c r="J45" s="1778" t="s">
        <v>65</v>
      </c>
      <c r="K45" s="1778" t="s">
        <v>18</v>
      </c>
      <c r="L45" s="1800">
        <v>44372</v>
      </c>
      <c r="M45" s="1800" t="s">
        <v>17</v>
      </c>
      <c r="N45" s="1802" t="s">
        <v>397</v>
      </c>
      <c r="O45" s="1670" t="s">
        <v>67</v>
      </c>
      <c r="P45" s="1715" t="s">
        <v>159</v>
      </c>
      <c r="Q45" s="1670" t="s">
        <v>88</v>
      </c>
    </row>
    <row r="46" spans="1:17" customFormat="1" ht="12" hidden="1" customHeight="1">
      <c r="A46" s="1672">
        <v>44</v>
      </c>
      <c r="B46" s="1778">
        <v>287</v>
      </c>
      <c r="C46" s="1778">
        <v>13055</v>
      </c>
      <c r="D46" s="1778" t="s">
        <v>73</v>
      </c>
      <c r="E46" s="1778">
        <v>60.19</v>
      </c>
      <c r="F46" s="1778" t="s">
        <v>121</v>
      </c>
      <c r="G46" s="1778" t="s">
        <v>16</v>
      </c>
      <c r="H46" s="1839">
        <v>3819281.68</v>
      </c>
      <c r="I46" s="1778">
        <v>2</v>
      </c>
      <c r="J46" s="1778" t="s">
        <v>65</v>
      </c>
      <c r="K46" s="1778" t="s">
        <v>18</v>
      </c>
      <c r="L46" s="1800">
        <v>44373</v>
      </c>
      <c r="M46" s="1800" t="s">
        <v>17</v>
      </c>
      <c r="N46" s="1802" t="s">
        <v>398</v>
      </c>
      <c r="O46" s="1670" t="s">
        <v>67</v>
      </c>
      <c r="P46" s="1715" t="s">
        <v>159</v>
      </c>
      <c r="Q46" s="1670" t="s">
        <v>88</v>
      </c>
    </row>
    <row r="47" spans="1:17" customFormat="1" ht="12" hidden="1" customHeight="1">
      <c r="A47" s="1672">
        <v>45</v>
      </c>
      <c r="B47" s="1778">
        <v>522</v>
      </c>
      <c r="C47" s="1778">
        <v>12975</v>
      </c>
      <c r="D47" s="1778" t="s">
        <v>73</v>
      </c>
      <c r="E47" s="1778">
        <v>23.54</v>
      </c>
      <c r="F47" s="1778" t="s">
        <v>27</v>
      </c>
      <c r="G47" s="1778" t="s">
        <v>84</v>
      </c>
      <c r="H47" s="1839">
        <v>1377560.8</v>
      </c>
      <c r="I47" s="1778">
        <v>0</v>
      </c>
      <c r="J47" s="1778" t="s">
        <v>130</v>
      </c>
      <c r="K47" s="1778" t="s">
        <v>18</v>
      </c>
      <c r="L47" s="1800">
        <v>44372</v>
      </c>
      <c r="M47" s="1800" t="s">
        <v>11</v>
      </c>
      <c r="N47" s="1802" t="s">
        <v>399</v>
      </c>
      <c r="O47" s="1806" t="s">
        <v>111</v>
      </c>
      <c r="P47" s="1806"/>
      <c r="Q47" s="1670" t="s">
        <v>88</v>
      </c>
    </row>
    <row r="48" spans="1:17" s="1835" customFormat="1" ht="12" hidden="1" customHeight="1">
      <c r="A48" s="1672">
        <v>46</v>
      </c>
      <c r="B48" s="1778">
        <v>285</v>
      </c>
      <c r="C48" s="1778">
        <v>11078</v>
      </c>
      <c r="D48" s="1778" t="s">
        <v>20</v>
      </c>
      <c r="E48" s="1778">
        <v>65.78</v>
      </c>
      <c r="F48" s="1778" t="s">
        <v>74</v>
      </c>
      <c r="G48" s="1778" t="s">
        <v>16</v>
      </c>
      <c r="H48" s="1840">
        <v>3651312.5</v>
      </c>
      <c r="I48" s="1778">
        <v>2</v>
      </c>
      <c r="J48" s="1778" t="s">
        <v>65</v>
      </c>
      <c r="K48" s="1778" t="s">
        <v>12</v>
      </c>
      <c r="L48" s="1800">
        <v>44376</v>
      </c>
      <c r="M48" s="1800" t="s">
        <v>17</v>
      </c>
      <c r="N48" s="1802" t="s">
        <v>400</v>
      </c>
      <c r="O48" s="1670" t="s">
        <v>149</v>
      </c>
      <c r="P48" s="1806" t="s">
        <v>401</v>
      </c>
      <c r="Q48" s="1670" t="s">
        <v>336</v>
      </c>
    </row>
    <row r="49" spans="1:18" customFormat="1" ht="12" hidden="1" customHeight="1">
      <c r="A49" s="1672">
        <v>47</v>
      </c>
      <c r="B49" s="1670">
        <v>523</v>
      </c>
      <c r="C49" s="1670">
        <v>13253</v>
      </c>
      <c r="D49" s="1670" t="s">
        <v>77</v>
      </c>
      <c r="E49" s="1670">
        <v>40</v>
      </c>
      <c r="F49" s="1778" t="s">
        <v>27</v>
      </c>
      <c r="G49" s="1778" t="s">
        <v>16</v>
      </c>
      <c r="H49" s="1841">
        <v>2024000</v>
      </c>
      <c r="I49" s="1670">
        <v>1</v>
      </c>
      <c r="J49" s="1778" t="s">
        <v>65</v>
      </c>
      <c r="K49" s="1778" t="s">
        <v>18</v>
      </c>
      <c r="L49" s="1800">
        <v>44376</v>
      </c>
      <c r="M49" s="1800" t="s">
        <v>17</v>
      </c>
      <c r="N49" s="1802" t="s">
        <v>402</v>
      </c>
      <c r="O49" s="1670" t="s">
        <v>67</v>
      </c>
      <c r="P49" s="1806" t="s">
        <v>403</v>
      </c>
      <c r="Q49" s="1714" t="s">
        <v>404</v>
      </c>
    </row>
    <row r="50" spans="1:18" customFormat="1" ht="12" hidden="1" customHeight="1">
      <c r="A50" s="1672">
        <v>48</v>
      </c>
      <c r="B50" s="1778">
        <v>32</v>
      </c>
      <c r="C50" s="1778">
        <v>13163</v>
      </c>
      <c r="D50" s="1778" t="s">
        <v>73</v>
      </c>
      <c r="E50" s="1778">
        <v>36.86</v>
      </c>
      <c r="F50" s="1778" t="s">
        <v>121</v>
      </c>
      <c r="G50" s="1778" t="s">
        <v>16</v>
      </c>
      <c r="H50" s="1840">
        <v>2623522.66</v>
      </c>
      <c r="I50" s="1778">
        <v>1</v>
      </c>
      <c r="J50" s="1778" t="s">
        <v>65</v>
      </c>
      <c r="K50" s="1778" t="s">
        <v>18</v>
      </c>
      <c r="L50" s="1800">
        <v>44376</v>
      </c>
      <c r="M50" s="1800" t="s">
        <v>17</v>
      </c>
      <c r="N50" s="1802" t="s">
        <v>405</v>
      </c>
      <c r="O50" s="1670" t="s">
        <v>67</v>
      </c>
      <c r="P50" s="1806" t="s">
        <v>406</v>
      </c>
      <c r="Q50" s="1670" t="s">
        <v>88</v>
      </c>
    </row>
    <row r="51" spans="1:18" customFormat="1" ht="12" hidden="1" customHeight="1">
      <c r="A51" s="1672">
        <v>49</v>
      </c>
      <c r="B51" s="1778">
        <v>293</v>
      </c>
      <c r="C51" s="1778">
        <v>13272</v>
      </c>
      <c r="D51" s="1778" t="s">
        <v>407</v>
      </c>
      <c r="E51" s="1778">
        <v>37.11</v>
      </c>
      <c r="F51" s="1778" t="s">
        <v>27</v>
      </c>
      <c r="G51" s="1778" t="s">
        <v>84</v>
      </c>
      <c r="H51" s="1842">
        <v>2090035.2</v>
      </c>
      <c r="I51" s="1778">
        <v>1</v>
      </c>
      <c r="J51" s="1778" t="s">
        <v>130</v>
      </c>
      <c r="K51" s="1778" t="s">
        <v>18</v>
      </c>
      <c r="L51" s="1800">
        <v>44377</v>
      </c>
      <c r="M51" s="1800" t="s">
        <v>11</v>
      </c>
      <c r="N51" s="1802" t="s">
        <v>211</v>
      </c>
      <c r="O51" s="1670" t="s">
        <v>67</v>
      </c>
      <c r="P51" s="1806"/>
      <c r="Q51" s="1714" t="s">
        <v>408</v>
      </c>
    </row>
    <row r="52" spans="1:18" customFormat="1" ht="12" hidden="1" customHeight="1">
      <c r="A52" s="1672">
        <v>50</v>
      </c>
      <c r="B52" s="1778">
        <v>5778</v>
      </c>
      <c r="C52" s="1778">
        <v>13329</v>
      </c>
      <c r="D52" s="1670" t="s">
        <v>77</v>
      </c>
      <c r="E52" s="1778">
        <v>23.54</v>
      </c>
      <c r="F52" s="1778" t="s">
        <v>27</v>
      </c>
      <c r="G52" s="1778" t="s">
        <v>84</v>
      </c>
      <c r="H52" s="1842">
        <v>1377560.8</v>
      </c>
      <c r="I52" s="1778">
        <v>0</v>
      </c>
      <c r="J52" s="1778" t="s">
        <v>130</v>
      </c>
      <c r="K52" s="1778" t="s">
        <v>18</v>
      </c>
      <c r="L52" s="1800">
        <v>44377</v>
      </c>
      <c r="M52" s="1800" t="s">
        <v>11</v>
      </c>
      <c r="N52" s="1802" t="s">
        <v>409</v>
      </c>
      <c r="O52" s="1670" t="s">
        <v>67</v>
      </c>
      <c r="P52" s="1806" t="s">
        <v>410</v>
      </c>
      <c r="Q52" s="1714" t="s">
        <v>79</v>
      </c>
    </row>
    <row r="53" spans="1:18" customFormat="1" ht="12" hidden="1" customHeight="1">
      <c r="A53" s="1672"/>
      <c r="B53" s="1843"/>
      <c r="C53" s="1843"/>
      <c r="D53" s="1843"/>
      <c r="E53" s="1843"/>
      <c r="F53" s="1843"/>
      <c r="G53" s="1843"/>
      <c r="H53" s="1844"/>
      <c r="I53" s="1843"/>
      <c r="J53" s="1843"/>
      <c r="K53" s="1843"/>
      <c r="L53" s="1853"/>
      <c r="M53" s="1853"/>
      <c r="N53" s="1854"/>
      <c r="O53" s="1739"/>
      <c r="P53" s="1855"/>
      <c r="Q53" s="1815"/>
    </row>
    <row r="54" spans="1:18" customFormat="1" ht="12" hidden="1" customHeight="1">
      <c r="A54" s="1672"/>
      <c r="B54" s="1843"/>
      <c r="C54" s="1843"/>
      <c r="D54" s="1843"/>
      <c r="E54" s="1843"/>
      <c r="F54" s="1843"/>
      <c r="G54" s="1843"/>
      <c r="H54" s="1844"/>
      <c r="I54" s="1843"/>
      <c r="J54" s="1843"/>
      <c r="K54" s="1843"/>
      <c r="L54" s="1853"/>
      <c r="M54" s="1853"/>
      <c r="N54" s="1854"/>
      <c r="O54" s="1739"/>
      <c r="P54" s="1855"/>
      <c r="Q54" s="1815"/>
    </row>
    <row r="55" spans="1:18" customFormat="1" ht="12" hidden="1" customHeight="1">
      <c r="A55" s="1672"/>
      <c r="B55" s="1843"/>
      <c r="C55" s="1843"/>
      <c r="D55" s="1843"/>
      <c r="E55" s="1843"/>
      <c r="F55" s="1843"/>
      <c r="G55" s="1843"/>
      <c r="H55" s="1844"/>
      <c r="I55" s="1843"/>
      <c r="J55" s="1843"/>
      <c r="K55" s="1843"/>
      <c r="L55" s="1853"/>
      <c r="M55" s="1853"/>
      <c r="N55" s="1854"/>
      <c r="O55" s="1739"/>
      <c r="P55" s="1855"/>
      <c r="Q55" s="1815"/>
    </row>
    <row r="56" spans="1:18" customFormat="1" ht="12" hidden="1" customHeight="1">
      <c r="A56" s="1672"/>
      <c r="B56" s="1843"/>
      <c r="C56" s="1843"/>
      <c r="D56" s="1843"/>
      <c r="E56" s="1843"/>
      <c r="F56" s="1843"/>
      <c r="G56" s="1843"/>
      <c r="H56" s="1844"/>
      <c r="I56" s="1843"/>
      <c r="J56" s="1843"/>
      <c r="K56" s="1843"/>
      <c r="L56" s="1853"/>
      <c r="M56" s="1853"/>
      <c r="N56" s="1854"/>
      <c r="O56" s="1739"/>
      <c r="P56" s="1855"/>
      <c r="Q56" s="1815"/>
    </row>
    <row r="57" spans="1:18" customFormat="1" ht="12" hidden="1" customHeight="1">
      <c r="A57" s="1672"/>
      <c r="B57" s="1843"/>
      <c r="C57" s="1843"/>
      <c r="D57" s="1843"/>
      <c r="E57" s="1843"/>
      <c r="F57" s="1843"/>
      <c r="G57" s="1843"/>
      <c r="H57" s="1844"/>
      <c r="I57" s="1843"/>
      <c r="J57" s="1843"/>
      <c r="K57" s="1843"/>
      <c r="L57" s="1853"/>
      <c r="M57" s="1853"/>
      <c r="N57" s="1854"/>
      <c r="O57" s="1739"/>
      <c r="P57" s="1855"/>
      <c r="Q57" s="1815"/>
    </row>
    <row r="58" spans="1:18" customFormat="1" ht="12" hidden="1" customHeight="1">
      <c r="A58" s="1672"/>
      <c r="B58" s="1843"/>
      <c r="C58" s="1843"/>
      <c r="D58" s="1843"/>
      <c r="E58" s="1843"/>
      <c r="F58" s="1843"/>
      <c r="G58" s="1843"/>
      <c r="H58" s="1844"/>
      <c r="I58" s="1843"/>
      <c r="J58" s="1843"/>
      <c r="K58" s="1843"/>
      <c r="L58" s="1853"/>
      <c r="M58" s="1853"/>
      <c r="N58" s="1854"/>
      <c r="O58" s="1739"/>
      <c r="P58" s="1855"/>
      <c r="Q58" s="1815"/>
    </row>
    <row r="59" spans="1:18" customFormat="1" ht="12" hidden="1" customHeight="1">
      <c r="A59" s="1672"/>
      <c r="B59" s="1843"/>
      <c r="C59" s="1843"/>
      <c r="D59" s="1843"/>
      <c r="E59" s="1843"/>
      <c r="F59" s="1843"/>
      <c r="G59" s="1843"/>
      <c r="H59" s="1844"/>
      <c r="I59" s="1843"/>
      <c r="J59" s="1843"/>
      <c r="K59" s="1843"/>
      <c r="L59" s="1853"/>
      <c r="M59" s="1853"/>
      <c r="N59" s="1854"/>
      <c r="O59" s="1739"/>
      <c r="P59" s="1855"/>
      <c r="Q59" s="1815"/>
    </row>
    <row r="60" spans="1:18" customFormat="1" ht="12" hidden="1" customHeight="1">
      <c r="A60" s="1672"/>
      <c r="B60" s="1843"/>
      <c r="C60" s="1843"/>
      <c r="D60" s="1843"/>
      <c r="E60" s="1843"/>
      <c r="F60" s="1843"/>
      <c r="G60" s="1843"/>
      <c r="H60" s="1844"/>
      <c r="I60" s="1843"/>
      <c r="J60" s="1843"/>
      <c r="K60" s="1843"/>
      <c r="L60" s="1853"/>
      <c r="M60" s="1853"/>
      <c r="N60" s="1854"/>
      <c r="O60" s="1739"/>
      <c r="P60" s="1855"/>
      <c r="Q60" s="1815"/>
    </row>
    <row r="61" spans="1:18" customFormat="1" ht="12" hidden="1" customHeight="1">
      <c r="A61" s="1672"/>
      <c r="B61" s="1781"/>
      <c r="C61" s="1781"/>
      <c r="D61" s="1781"/>
      <c r="E61" s="1781"/>
      <c r="F61" s="1781"/>
      <c r="G61" s="1781"/>
      <c r="H61" s="1845"/>
      <c r="I61" s="1781"/>
      <c r="J61" s="1781"/>
      <c r="K61" s="1781"/>
      <c r="L61" s="1810"/>
      <c r="M61" s="1810"/>
      <c r="N61" s="1812"/>
      <c r="O61" s="1856"/>
      <c r="P61" s="1813"/>
      <c r="Q61" s="1859"/>
    </row>
    <row r="62" spans="1:18" customFormat="1" ht="12" hidden="1" customHeight="1">
      <c r="A62" s="1785"/>
      <c r="B62" s="1680">
        <f>SUM(Таблица1[м2])</f>
        <v>2669.0000000000005</v>
      </c>
      <c r="C62" s="1681">
        <f>SUM(Таблица1[сумма])</f>
        <v>146794893.63999999</v>
      </c>
      <c r="D62" s="1846">
        <f>SUM(H3:H61)</f>
        <v>146794893.63999999</v>
      </c>
      <c r="F62" s="1785"/>
      <c r="G62" s="1786"/>
      <c r="N62" s="1857"/>
      <c r="O62" s="1817"/>
      <c r="P62" s="1818"/>
      <c r="Q62" s="1817"/>
    </row>
    <row r="63" spans="1:18" customFormat="1">
      <c r="A63" s="1785"/>
      <c r="B63" s="1785"/>
      <c r="D63" s="1785"/>
      <c r="E63" s="1787"/>
      <c r="F63" s="1785"/>
      <c r="H63" s="1785"/>
      <c r="I63" s="1785"/>
      <c r="K63" s="58"/>
      <c r="L63" s="1785"/>
      <c r="M63" s="1785"/>
      <c r="N63" s="1857"/>
      <c r="O63" s="1785"/>
      <c r="P63" s="1818"/>
      <c r="Q63" s="1817"/>
      <c r="R63" s="1860" t="s">
        <v>255</v>
      </c>
    </row>
    <row r="64" spans="1:18" customFormat="1" ht="18" customHeight="1">
      <c r="A64" s="1628" t="s">
        <v>411</v>
      </c>
      <c r="B64" s="1629"/>
      <c r="C64" s="1630" t="s">
        <v>74</v>
      </c>
      <c r="D64" s="1629"/>
      <c r="E64" s="1629"/>
      <c r="F64" s="1629"/>
      <c r="G64" s="1629"/>
      <c r="H64" s="1629"/>
      <c r="I64" s="1629"/>
      <c r="J64" s="1629"/>
      <c r="K64" s="1629"/>
      <c r="L64" s="1629"/>
      <c r="M64" s="1629"/>
      <c r="N64" s="1858"/>
      <c r="O64" s="1785"/>
      <c r="P64" s="1818"/>
      <c r="Q64" s="1817"/>
      <c r="R64" s="1861" t="s">
        <v>256</v>
      </c>
    </row>
    <row r="65" spans="1:18" customFormat="1" ht="23.25" customHeight="1">
      <c r="A65" s="1631" t="s">
        <v>1</v>
      </c>
      <c r="B65" s="1632" t="s">
        <v>100</v>
      </c>
      <c r="C65" s="1632" t="s">
        <v>97</v>
      </c>
      <c r="D65" s="1631" t="s">
        <v>95</v>
      </c>
      <c r="E65" s="1788" t="s">
        <v>101</v>
      </c>
      <c r="F65" s="1631" t="s">
        <v>98</v>
      </c>
      <c r="G65" s="1631" t="s">
        <v>96</v>
      </c>
      <c r="H65" s="1633" t="s">
        <v>102</v>
      </c>
      <c r="I65" s="1633" t="s">
        <v>99</v>
      </c>
      <c r="J65" s="1631">
        <v>0</v>
      </c>
      <c r="K65" s="1631">
        <v>1</v>
      </c>
      <c r="L65" s="1631">
        <v>2</v>
      </c>
      <c r="M65" s="1631">
        <v>3</v>
      </c>
      <c r="N65" s="1862">
        <v>4</v>
      </c>
      <c r="O65" s="1785"/>
      <c r="P65" s="1818"/>
      <c r="Q65" s="1817"/>
      <c r="R65" s="1873"/>
    </row>
    <row r="66" spans="1:18" customFormat="1">
      <c r="A66" s="1641" t="s">
        <v>73</v>
      </c>
      <c r="B66" s="1634">
        <f>$B$71/$D$71*D66</f>
        <v>194.66666666666666</v>
      </c>
      <c r="C66" s="1634">
        <f>$C$71/$D$71*D66</f>
        <v>9840425</v>
      </c>
      <c r="D66" s="1641">
        <v>3</v>
      </c>
      <c r="E66" s="1789">
        <f>SUMIFS(Таблица1[м2],Таблица1[МОП],A66,Таблица1[№ дома],"Дом 1")</f>
        <v>261.74</v>
      </c>
      <c r="F66" s="1642">
        <f>SUMIFS(Таблица1[сумма],Таблица1[МОП],A66,Таблица1[№ дома],"Дом 1")</f>
        <v>14251372.030000001</v>
      </c>
      <c r="G66" s="1790">
        <f>COUNTIFS(Таблица1[МОП],A66,Таблица1[№ дома],"Дом 1")</f>
        <v>4</v>
      </c>
      <c r="H66" s="1791">
        <f t="shared" ref="H66:I70" si="0">E66/B66</f>
        <v>1.344554794520548</v>
      </c>
      <c r="I66" s="1635">
        <f t="shared" si="0"/>
        <v>1.4482476143052765</v>
      </c>
      <c r="J66" s="1820">
        <f>COUNTIFS(Таблица1[Ком],$J$65,Таблица1[МОП],A66,Таблица1[№ дома],"Дом 1")</f>
        <v>0</v>
      </c>
      <c r="K66" s="1820">
        <f>COUNTIFS(Таблица1[Ком],$K$65,Таблица1[МОП],A66,Таблица1[№ дома],"Дом 1")</f>
        <v>0</v>
      </c>
      <c r="L66" s="1820">
        <f>COUNTIFS(Таблица1[Ком],L65,Таблица1[МОП],A66,Таблица1[№ дома],"Дом 1")</f>
        <v>3</v>
      </c>
      <c r="M66" s="1820">
        <f>COUNTIFS(Таблица1[Ком],$M$65,Таблица1[МОП],A66,Таблица1[№ дома],"Дом 1")</f>
        <v>1</v>
      </c>
      <c r="N66" s="1863">
        <f>COUNTIFS(Таблица1[Ком],$N$65,Таблица1[МОП],A66,Таблица1[№ дома],"Дом 1")</f>
        <v>0</v>
      </c>
      <c r="O66" s="1785"/>
      <c r="P66" s="1818"/>
      <c r="Q66" s="1817"/>
      <c r="R66" s="1874" t="s">
        <v>257</v>
      </c>
    </row>
    <row r="67" spans="1:18" customFormat="1" ht="18" customHeight="1">
      <c r="A67" s="1641" t="s">
        <v>20</v>
      </c>
      <c r="B67" s="1634">
        <f>$B$71/$D$71*D67</f>
        <v>64.888888888888886</v>
      </c>
      <c r="C67" s="1634">
        <f>$C$71/$D$71*D67</f>
        <v>3280141.6666666665</v>
      </c>
      <c r="D67" s="1641">
        <v>1</v>
      </c>
      <c r="E67" s="1789">
        <f>SUMIFS(Таблица1[м2],Таблица1[МОП],A67,Таблица1[№ дома],"Дом 1")</f>
        <v>65.78</v>
      </c>
      <c r="F67" s="1642">
        <f>SUMIFS(Таблица1[сумма],Таблица1[МОП],A67,Таблица1[№ дома],"Дом 1")</f>
        <v>3651312.5</v>
      </c>
      <c r="G67" s="1790">
        <f>COUNTIFS(Таблица1[МОП],A67,Таблица1[№ дома],"Дом 1")</f>
        <v>1</v>
      </c>
      <c r="H67" s="1791">
        <f t="shared" si="0"/>
        <v>1.0137328767123288</v>
      </c>
      <c r="I67" s="1635">
        <f t="shared" si="0"/>
        <v>1.113156952062538</v>
      </c>
      <c r="J67" s="1820">
        <f>COUNTIFS(Таблица1[Ком],$J$65,Таблица1[МОП],A67,Таблица1[№ дома],"Дом 1")</f>
        <v>0</v>
      </c>
      <c r="K67" s="1820">
        <f>COUNTIFS(Таблица1[Ком],$K$65,Таблица1[МОП],A67,Таблица1[№ дома],"Дом 1")</f>
        <v>0</v>
      </c>
      <c r="L67" s="1820">
        <f>COUNTIFS(Таблица1[Ком],$L$65,Таблица1[МОП],A67,Таблица1[№ дома],"Дом 1")</f>
        <v>1</v>
      </c>
      <c r="M67" s="1820">
        <f>COUNTIFS(Таблица1[Ком],$M$65,Таблица1[МОП],A67,Таблица1[№ дома],"Дом 1")</f>
        <v>0</v>
      </c>
      <c r="N67" s="1863">
        <f>COUNTIFS($I$3:$I$36,$N$65,$D$3:$D$36,B67,$F$3:$F$36,"Дом 1")</f>
        <v>0</v>
      </c>
      <c r="O67" s="1864"/>
      <c r="P67" s="1818"/>
      <c r="Q67" s="1817"/>
      <c r="R67" s="1875"/>
    </row>
    <row r="68" spans="1:18" customFormat="1">
      <c r="A68" s="1641" t="s">
        <v>63</v>
      </c>
      <c r="B68" s="1634">
        <f>$B$71/$D$71*D68</f>
        <v>129.77777777777777</v>
      </c>
      <c r="C68" s="1634">
        <f>$C$71/$D$71*D68</f>
        <v>6560283.333333333</v>
      </c>
      <c r="D68" s="1641">
        <v>2</v>
      </c>
      <c r="E68" s="1789">
        <f>SUMIFS(Таблица1[м2],Таблица1[МОП],A68,Таблица1[№ дома],"Дом 1")</f>
        <v>65.5</v>
      </c>
      <c r="F68" s="1642">
        <f>SUMIFS(Таблица1[сумма],Таблица1[МОП],A68,Таблица1[№ дома],"Дом 1")</f>
        <v>3643686.8</v>
      </c>
      <c r="G68" s="1790">
        <f>COUNTIFS(Таблица1[МОП],A68,Таблица1[№ дома],"Дом 1")</f>
        <v>1</v>
      </c>
      <c r="H68" s="1791">
        <f t="shared" si="0"/>
        <v>0.50470890410958902</v>
      </c>
      <c r="I68" s="1635">
        <f t="shared" si="0"/>
        <v>0.55541607196843634</v>
      </c>
      <c r="J68" s="1820">
        <f>COUNTIFS(Таблица1[Ком],$J$65,Таблица1[МОП],A68,Таблица1[№ дома],"Дом 1")</f>
        <v>0</v>
      </c>
      <c r="K68" s="1820">
        <f>COUNTIFS(Таблица1[Ком],$K$65,Таблица1[МОП],A68,Таблица1[№ дома],"Дом 1")</f>
        <v>0</v>
      </c>
      <c r="L68" s="1820">
        <f>COUNTIFS(Таблица1[Ком],$L$65,Таблица1[МОП],A68,Таблица1[№ дома],"Дом 1")</f>
        <v>1</v>
      </c>
      <c r="M68" s="1820">
        <f>COUNTIFS(Таблица1[Ком],$M$65,Таблица1[МОП],A68,Таблица1[№ дома],"Дом 1")</f>
        <v>0</v>
      </c>
      <c r="N68" s="1863">
        <f>COUNTIFS($I$3:$I$36,$N$65,$D$3:$D$36,B68,$F$3:$F$36,"Дом 1")</f>
        <v>0</v>
      </c>
      <c r="O68" s="1785"/>
      <c r="P68" s="1818"/>
      <c r="Q68" s="1817"/>
    </row>
    <row r="69" spans="1:18" customFormat="1">
      <c r="A69" s="1641" t="s">
        <v>77</v>
      </c>
      <c r="B69" s="1634">
        <f>$B$71/$D$71*D69</f>
        <v>129.77777777777777</v>
      </c>
      <c r="C69" s="1634">
        <f>$C$71/$D$71*D69</f>
        <v>6560283.333333333</v>
      </c>
      <c r="D69" s="1641">
        <v>2</v>
      </c>
      <c r="E69" s="1789">
        <f>SUMIFS(Таблица1[м2],Таблица1[МОП],A69,Таблица1[№ дома],"Дом 1")</f>
        <v>93.8</v>
      </c>
      <c r="F69" s="1642">
        <f>SUMIFS(Таблица1[сумма],Таблица1[МОП],A69,Таблица1[№ дома],"Дом 1")</f>
        <v>3500000.67</v>
      </c>
      <c r="G69" s="1790">
        <f>COUNTIFS(Таблица1[МОП],A69,Таблица1[№ дома],"Дом 1")</f>
        <v>1</v>
      </c>
      <c r="H69" s="1791">
        <f t="shared" si="0"/>
        <v>0.72277397260273979</v>
      </c>
      <c r="I69" s="1635">
        <f t="shared" si="0"/>
        <v>0.53351364448181859</v>
      </c>
      <c r="J69" s="1820">
        <f>COUNTIFS(Таблица1[Ком],$J$65,Таблица1[МОП],A69,Таблица1[№ дома],"Дом 1")</f>
        <v>0</v>
      </c>
      <c r="K69" s="1820">
        <f>COUNTIFS(Таблица1[Ком],$K$65,Таблица1[МОП],A69,Таблица1[№ дома],"Дом 1")</f>
        <v>0</v>
      </c>
      <c r="L69" s="1820">
        <f>COUNTIFS(Таблица1[Ком],$L$65,Таблица1[МОП],A69,Таблица1[№ дома],"Дом 1")</f>
        <v>0</v>
      </c>
      <c r="M69" s="1820">
        <f>COUNTIFS(Таблица1[Ком],$M$65,Таблица1[МОП],A69,Таблица1[№ дома],"Дом 1")</f>
        <v>1</v>
      </c>
      <c r="N69" s="1863">
        <f>COUNTIFS($I$3:$I$36,$N$65,$D$3:$D$36,B69,$F$3:$F$36,"Дом 1")</f>
        <v>0</v>
      </c>
      <c r="O69" s="1785"/>
      <c r="P69" s="1818"/>
      <c r="Q69" s="1817"/>
    </row>
    <row r="70" spans="1:18" customFormat="1" ht="18" customHeight="1">
      <c r="A70" s="1641" t="s">
        <v>407</v>
      </c>
      <c r="B70" s="1634">
        <f>$B$71/$D$71*D70</f>
        <v>64.888888888888886</v>
      </c>
      <c r="C70" s="1634">
        <f>$C$71/$D$71*D70</f>
        <v>3280141.6666666665</v>
      </c>
      <c r="D70" s="1641">
        <v>1</v>
      </c>
      <c r="E70" s="1789">
        <f>SUMIFS(Таблица1[м2],Таблица1[МОП],A70,Таблица1[№ дома],"Дом 1")</f>
        <v>0</v>
      </c>
      <c r="F70" s="1642">
        <f>SUMIFS(Таблица1[сумма],Таблица1[МОП],A70,Таблица1[№ дома],"Дом 1")</f>
        <v>0</v>
      </c>
      <c r="G70" s="1790">
        <f>COUNTIFS(Таблица1[МОП],A70,Таблица1[№ дома],"Дом 1")</f>
        <v>0</v>
      </c>
      <c r="H70" s="1791">
        <f t="shared" si="0"/>
        <v>0</v>
      </c>
      <c r="I70" s="1635">
        <f t="shared" si="0"/>
        <v>0</v>
      </c>
      <c r="J70" s="1820">
        <f>COUNTIFS(Таблица1[Ком],$J$65,Таблица1[МОП],A70,Таблица1[№ дома],"Дом 1")</f>
        <v>0</v>
      </c>
      <c r="K70" s="1820">
        <f>COUNTIFS(Таблица1[Ком],$K$65,Таблица1[МОП],A70,Таблица1[№ дома],"Дом 1")</f>
        <v>0</v>
      </c>
      <c r="L70" s="1820">
        <f>COUNTIFS(Таблица1[Ком],$L$65,Таблица1[МОП],A70,Таблица1[№ дома],"Дом 1")</f>
        <v>0</v>
      </c>
      <c r="M70" s="1820">
        <f>COUNTIFS(Таблица1[Ком],$M$65,Таблица1[МОП],A70,Таблица1[№ дома],"Дом 1")</f>
        <v>0</v>
      </c>
      <c r="N70" s="1863">
        <f>COUNTIFS($I$3:$I$36,$N$65,$D$3:$D$36,B70,$F$3:$F$36,"Дом 1")</f>
        <v>0</v>
      </c>
      <c r="O70" s="1817"/>
      <c r="P70" s="1818"/>
      <c r="Q70" s="1817"/>
      <c r="R70" s="1876"/>
    </row>
    <row r="71" spans="1:18" customFormat="1" ht="17.25" customHeight="1">
      <c r="A71" s="1630" t="s">
        <v>114</v>
      </c>
      <c r="B71" s="1636">
        <v>584</v>
      </c>
      <c r="C71" s="1636">
        <v>29521275</v>
      </c>
      <c r="D71" s="1630">
        <f>SUM(D66:D70)</f>
        <v>9</v>
      </c>
      <c r="E71" s="1792">
        <f>SUM(E66:E70)</f>
        <v>486.82</v>
      </c>
      <c r="F71" s="1793">
        <f>SUM(F66:F70)</f>
        <v>25046372</v>
      </c>
      <c r="G71" s="1794">
        <f>SUM(G66:G70)</f>
        <v>7</v>
      </c>
      <c r="H71" s="1795">
        <f>E71/B71</f>
        <v>0.83359589041095894</v>
      </c>
      <c r="I71" s="1650">
        <f>F71/C71</f>
        <v>0.84841769198654193</v>
      </c>
      <c r="J71" s="1822">
        <f>SUM(J66:J69)</f>
        <v>0</v>
      </c>
      <c r="K71" s="1822">
        <f>SUM(K66:K69)</f>
        <v>0</v>
      </c>
      <c r="L71" s="1831">
        <f>SUM(L66:L69)</f>
        <v>5</v>
      </c>
      <c r="M71" s="1831">
        <f>SUM(M66:M69)</f>
        <v>2</v>
      </c>
      <c r="N71" s="1865">
        <f>COUNTIFS($I$3:$I$36,4,$D$3:$D$36,B71,$F$3:$F$36,"Дом 1")</f>
        <v>0</v>
      </c>
      <c r="O71" s="1785"/>
      <c r="P71" s="1818"/>
      <c r="Q71" s="1817"/>
    </row>
    <row r="72" spans="1:18" customFormat="1" ht="27" customHeight="1">
      <c r="A72" s="1638" t="s">
        <v>115</v>
      </c>
      <c r="B72" s="1639" t="s">
        <v>100</v>
      </c>
      <c r="C72" s="1639" t="s">
        <v>97</v>
      </c>
      <c r="D72" s="1631" t="s">
        <v>95</v>
      </c>
      <c r="E72" s="1640" t="s">
        <v>101</v>
      </c>
      <c r="F72" s="1640" t="s">
        <v>98</v>
      </c>
      <c r="G72" s="1631" t="s">
        <v>96</v>
      </c>
      <c r="H72" s="1633" t="s">
        <v>102</v>
      </c>
      <c r="I72" s="1633" t="s">
        <v>99</v>
      </c>
      <c r="J72" s="1631">
        <v>0</v>
      </c>
      <c r="K72" s="1631">
        <v>1</v>
      </c>
      <c r="L72" s="1631">
        <v>2</v>
      </c>
      <c r="M72" s="1631">
        <v>3</v>
      </c>
      <c r="N72" s="1862">
        <v>4</v>
      </c>
      <c r="O72" s="1785"/>
      <c r="P72" s="1818"/>
      <c r="Q72" s="1817"/>
    </row>
    <row r="73" spans="1:18" customFormat="1">
      <c r="A73" s="1641"/>
      <c r="B73" s="1634"/>
      <c r="C73" s="1634"/>
      <c r="D73" s="1641"/>
      <c r="E73" s="1642"/>
      <c r="F73" s="1642"/>
      <c r="G73" s="745"/>
      <c r="H73" s="1791" t="e">
        <f t="shared" ref="H73:I75" si="1">E73/B73</f>
        <v>#DIV/0!</v>
      </c>
      <c r="I73" s="1635" t="e">
        <f t="shared" si="1"/>
        <v>#DIV/0!</v>
      </c>
      <c r="J73" s="751"/>
      <c r="K73" s="1829"/>
      <c r="L73" s="751"/>
      <c r="M73" s="751"/>
      <c r="N73" s="1866"/>
      <c r="O73" s="1817"/>
      <c r="P73" s="1818"/>
      <c r="Q73" s="1817"/>
    </row>
    <row r="74" spans="1:18" customFormat="1">
      <c r="A74" s="1641" t="s">
        <v>16</v>
      </c>
      <c r="B74" s="1634">
        <f>B71/D71*D74</f>
        <v>389.33333333333331</v>
      </c>
      <c r="C74" s="1634">
        <f>C71/D71*D74</f>
        <v>19680850</v>
      </c>
      <c r="D74" s="1641">
        <v>6</v>
      </c>
      <c r="E74" s="1642">
        <f>SUMIFS(Таблица1[м2],Таблица1[ИМ],A74,Таблица1[№ дома],"Дом 1")</f>
        <v>332.64</v>
      </c>
      <c r="F74" s="1642">
        <f>SUMIFS(Таблица1[сумма],Таблица1[ИМ],A74,Таблица1[№ дома],"Дом 1")</f>
        <v>18362326.050000001</v>
      </c>
      <c r="G74" s="745">
        <f>COUNTIFS(Таблица1[ИМ],A74,Таблица1[№ дома],"Дом 1")</f>
        <v>5</v>
      </c>
      <c r="H74" s="1791">
        <f t="shared" si="1"/>
        <v>0.85438356164383567</v>
      </c>
      <c r="I74" s="1635">
        <f t="shared" si="1"/>
        <v>0.93300472540566082</v>
      </c>
      <c r="J74" s="751">
        <f>COUNTIFS(Таблица1[Ком],J65,Таблица1[ИМ],$A$74,Таблица1[№ дома],"Дом 1")</f>
        <v>0</v>
      </c>
      <c r="K74" s="751">
        <f>COUNTIFS(Таблица1[Ком],K65,Таблица1[ИМ],$A$74,Таблица1[№ дома],"Дом 1")</f>
        <v>0</v>
      </c>
      <c r="L74" s="751">
        <f>COUNTIFS(Таблица1[Ком],L65,Таблица1[ИМ],$A$74,Таблица1[№ дома],"Дом 1")</f>
        <v>4</v>
      </c>
      <c r="M74" s="751">
        <f>COUNTIFS(Таблица1[Ком],M65,Таблица1[ИМ],$A$74,Таблица1[№ дома],"Дом 1")</f>
        <v>1</v>
      </c>
      <c r="N74" s="1866">
        <f>COUNTIFS(Таблица1[Ком],N65,Таблица1[ИМ],$A$74,Таблица1[№ дома],"Дом 1")</f>
        <v>0</v>
      </c>
      <c r="O74" s="1785"/>
      <c r="P74" s="1818"/>
      <c r="Q74" s="1817"/>
    </row>
    <row r="75" spans="1:18" customFormat="1">
      <c r="A75" s="1630" t="s">
        <v>114</v>
      </c>
      <c r="B75" s="1636">
        <f t="shared" ref="B75:G75" si="2">SUM(B73:B74)</f>
        <v>389.33333333333331</v>
      </c>
      <c r="C75" s="1636">
        <f t="shared" si="2"/>
        <v>19680850</v>
      </c>
      <c r="D75" s="1630">
        <f t="shared" si="2"/>
        <v>6</v>
      </c>
      <c r="E75" s="1793">
        <f t="shared" si="2"/>
        <v>332.64</v>
      </c>
      <c r="F75" s="1793">
        <f t="shared" si="2"/>
        <v>18362326.050000001</v>
      </c>
      <c r="G75" s="1630">
        <f t="shared" si="2"/>
        <v>5</v>
      </c>
      <c r="H75" s="1650">
        <f t="shared" si="1"/>
        <v>0.85438356164383567</v>
      </c>
      <c r="I75" s="1650">
        <f t="shared" si="1"/>
        <v>0.93300472540566082</v>
      </c>
      <c r="J75" s="1831">
        <f>SUM(J73:J74)</f>
        <v>0</v>
      </c>
      <c r="K75" s="1831">
        <f>SUM(K73:K74)</f>
        <v>0</v>
      </c>
      <c r="L75" s="1831">
        <f>SUM(L73:L74)</f>
        <v>4</v>
      </c>
      <c r="M75" s="1831">
        <f>SUM(M73:M74)</f>
        <v>1</v>
      </c>
      <c r="N75" s="1867">
        <f>SUM(N73:N74)</f>
        <v>0</v>
      </c>
      <c r="O75" s="1785"/>
      <c r="P75" s="1818"/>
      <c r="Q75" s="1817"/>
    </row>
    <row r="76" spans="1:18" customFormat="1">
      <c r="A76" s="1643"/>
      <c r="B76" s="1644"/>
      <c r="C76" s="1644"/>
      <c r="D76" s="1643"/>
      <c r="E76" s="1645"/>
      <c r="F76" s="1645"/>
      <c r="G76" s="1643"/>
      <c r="H76" s="1646"/>
      <c r="I76" s="1646"/>
      <c r="J76" s="1833"/>
      <c r="K76" s="1833"/>
      <c r="L76" s="1833"/>
      <c r="M76" s="1833"/>
      <c r="N76" s="1868"/>
      <c r="O76" s="1785"/>
      <c r="P76" s="1818"/>
      <c r="Q76" s="1817"/>
    </row>
    <row r="77" spans="1:18" customFormat="1" ht="15" customHeight="1">
      <c r="A77" s="1628" t="s">
        <v>411</v>
      </c>
      <c r="B77" s="1647"/>
      <c r="C77" s="1636" t="s">
        <v>121</v>
      </c>
      <c r="D77" s="1629"/>
      <c r="E77" s="1648"/>
      <c r="F77" s="1648"/>
      <c r="G77" s="1629"/>
      <c r="H77" s="1649"/>
      <c r="I77" s="1649"/>
      <c r="J77" s="1629"/>
      <c r="K77" s="1629"/>
      <c r="L77" s="1629"/>
      <c r="M77" s="1629"/>
      <c r="N77" s="1858"/>
      <c r="O77" s="1785"/>
      <c r="P77" s="1818"/>
      <c r="Q77" s="1817"/>
    </row>
    <row r="78" spans="1:18" customFormat="1" ht="27" customHeight="1">
      <c r="A78" s="1631" t="s">
        <v>1</v>
      </c>
      <c r="B78" s="1639" t="s">
        <v>100</v>
      </c>
      <c r="C78" s="1639" t="s">
        <v>97</v>
      </c>
      <c r="D78" s="1631" t="s">
        <v>95</v>
      </c>
      <c r="E78" s="1640" t="s">
        <v>101</v>
      </c>
      <c r="F78" s="1640" t="s">
        <v>98</v>
      </c>
      <c r="G78" s="1631" t="s">
        <v>96</v>
      </c>
      <c r="H78" s="1633" t="s">
        <v>102</v>
      </c>
      <c r="I78" s="1633" t="s">
        <v>99</v>
      </c>
      <c r="J78" s="1631">
        <v>0</v>
      </c>
      <c r="K78" s="1631">
        <v>1</v>
      </c>
      <c r="L78" s="1631">
        <v>2</v>
      </c>
      <c r="M78" s="1631">
        <v>3</v>
      </c>
      <c r="N78" s="1862">
        <v>4</v>
      </c>
      <c r="O78" s="1785"/>
      <c r="P78" s="1818"/>
      <c r="Q78" s="1817"/>
    </row>
    <row r="79" spans="1:18" customFormat="1">
      <c r="A79" s="1641" t="s">
        <v>73</v>
      </c>
      <c r="B79" s="1634">
        <f>$B$84/$D$84*D79</f>
        <v>902.11764705882354</v>
      </c>
      <c r="C79" s="1634">
        <f>$C$84/$D$84*D79</f>
        <v>46702433.911764711</v>
      </c>
      <c r="D79" s="1641">
        <v>18</v>
      </c>
      <c r="E79" s="1789">
        <f>SUMIFS(Таблица1[м2],Таблица1[МОП],A79,Таблица1[№ дома],"Дом 2")</f>
        <v>676.13</v>
      </c>
      <c r="F79" s="1642">
        <f>SUMIFS(Таблица1[сумма],Таблица1[МОП],A79,Таблица1[№ дома],"Дом 2")</f>
        <v>39139939.359999999</v>
      </c>
      <c r="G79" s="1790">
        <f>COUNTIFS(Таблица1[МОП],A79,Таблица1[№ дома],"Дом 2")</f>
        <v>12</v>
      </c>
      <c r="H79" s="1791">
        <f t="shared" ref="H79:I84" si="3">E79/B79</f>
        <v>0.74949204486176313</v>
      </c>
      <c r="I79" s="1635">
        <f t="shared" si="3"/>
        <v>0.83807065460329977</v>
      </c>
      <c r="J79" s="1820">
        <f>COUNTIFS(Таблица1[Ком],$J$65,Таблица1[МОП],A79,Таблица1[№ дома],"дом 2")</f>
        <v>0</v>
      </c>
      <c r="K79" s="1820">
        <f>COUNTIFS(Таблица1[Ком],$K$65,Таблица1[МОП],A79,Таблица1[№ дома],"дом 2")</f>
        <v>3</v>
      </c>
      <c r="L79" s="1820">
        <f>COUNTIFS(Таблица1[Ком],$L$65,Таблица1[МОП],A79,Таблица1[№ дома],"дом 2")</f>
        <v>8</v>
      </c>
      <c r="M79" s="1820">
        <f>COUNTIFS(Таблица1[Ком],$M$65,Таблица1[МОП],A79,Таблица1[№ дома],"дом 2")</f>
        <v>1</v>
      </c>
      <c r="N79" s="1863">
        <f>COUNTIFS(Таблица1[Ком],$N$65,Таблица1[МОП],A79,Таблица1[№ дома],"дом 2")</f>
        <v>0</v>
      </c>
      <c r="O79" s="1785"/>
      <c r="P79" s="1818"/>
      <c r="Q79" s="1817"/>
    </row>
    <row r="80" spans="1:18" customFormat="1">
      <c r="A80" s="1641" t="s">
        <v>20</v>
      </c>
      <c r="B80" s="1634">
        <f>$B$84/$D$84*D80</f>
        <v>501.1764705882353</v>
      </c>
      <c r="C80" s="1634">
        <f>$C$84/$D$84*D80</f>
        <v>25945796.617647059</v>
      </c>
      <c r="D80" s="1641">
        <v>10</v>
      </c>
      <c r="E80" s="1789">
        <f>SUMIFS(Таблица1[м2],Таблица1[МОП],A80,Таблица1[№ дома],"Дом 2")</f>
        <v>304.63</v>
      </c>
      <c r="F80" s="1642">
        <f>SUMIFS(Таблица1[сумма],Таблица1[МОП],A80,Таблица1[№ дома],"Дом 2")</f>
        <v>17802350.100000001</v>
      </c>
      <c r="G80" s="1790">
        <f>COUNTIFS(Таблица1[МОП],A80,Таблица1[№ дома],"Дом 2")</f>
        <v>6</v>
      </c>
      <c r="H80" s="1791">
        <f t="shared" si="3"/>
        <v>0.60782981220657273</v>
      </c>
      <c r="I80" s="1635">
        <f t="shared" si="3"/>
        <v>0.68613619239933898</v>
      </c>
      <c r="J80" s="1820">
        <f>COUNTIFS(Таблица1[Ком],$J$65,Таблица1[МОП],A80,Таблица1[№ дома],"дом 2")</f>
        <v>0</v>
      </c>
      <c r="K80" s="1820">
        <f>COUNTIFS(Таблица1[Ком],$K$65,Таблица1[МОП],A80,Таблица1[№ дома],"дом 2")</f>
        <v>3</v>
      </c>
      <c r="L80" s="1820">
        <f>COUNTIFS(Таблица1[Ком],$L$65,Таблица1[МОП],A80,Таблица1[№ дома],"дом 2")</f>
        <v>2</v>
      </c>
      <c r="M80" s="1820">
        <f>COUNTIFS(Таблица1[Ком],$M$65,Таблица1[МОП],A80,Таблица1[№ дома],"дом 2")</f>
        <v>1</v>
      </c>
      <c r="N80" s="1863">
        <f>COUNTIFS(Таблица1[Ком],$N$65,Таблица1[МОП],A80,Таблица1[№ дома],"дом 2")</f>
        <v>0</v>
      </c>
      <c r="O80" s="1869"/>
      <c r="P80" s="1818"/>
      <c r="Q80" s="1817"/>
    </row>
    <row r="81" spans="1:17" customFormat="1">
      <c r="A81" s="1641" t="s">
        <v>63</v>
      </c>
      <c r="B81" s="1634">
        <f>$B$84/$D$84*D81</f>
        <v>952.23529411764707</v>
      </c>
      <c r="C81" s="1634">
        <f>$C$84/$D$84*D81</f>
        <v>49297013.573529415</v>
      </c>
      <c r="D81" s="1641">
        <v>19</v>
      </c>
      <c r="E81" s="1789">
        <f>SUMIFS(Таблица1[м2],Таблица1[МОП],A81,Таблица1[№ дома],"Дом 2")</f>
        <v>233.85000000000002</v>
      </c>
      <c r="F81" s="1642">
        <f>SUMIFS(Таблица1[сумма],Таблица1[МОП],A81,Таблица1[№ дома],"Дом 2")</f>
        <v>12751425.209999999</v>
      </c>
      <c r="G81" s="1790">
        <f>COUNTIFS(Таблица1[МОП],A81,Таблица1[№ дома],"Дом 2")</f>
        <v>4</v>
      </c>
      <c r="H81" s="1791">
        <f t="shared" si="3"/>
        <v>0.24558005930318758</v>
      </c>
      <c r="I81" s="1635">
        <f t="shared" si="3"/>
        <v>0.25866526764304887</v>
      </c>
      <c r="J81" s="1820">
        <f>COUNTIFS(Таблица1[Ком],$J$65,Таблица1[МОП],A81,Таблица1[№ дома],"дом 2")</f>
        <v>0</v>
      </c>
      <c r="K81" s="1820">
        <f>COUNTIFS(Таблица1[Ком],$K$65,Таблица1[МОП],A81,Таблица1[№ дома],"дом 2")</f>
        <v>1</v>
      </c>
      <c r="L81" s="1820">
        <f>COUNTIFS(Таблица1[Ком],$L$65,Таблица1[МОП],A81,Таблица1[№ дома],"дом 2")</f>
        <v>2</v>
      </c>
      <c r="M81" s="1820">
        <f>COUNTIFS(Таблица1[Ком],$M$65,Таблица1[МОП],A81,Таблица1[№ дома],"дом 2")</f>
        <v>1</v>
      </c>
      <c r="N81" s="1863">
        <f>COUNTIFS(Таблица1[Ком],$N$65,Таблица1[МОП],A81,Таблица1[№ дома],"дом 2")</f>
        <v>0</v>
      </c>
      <c r="O81" s="1785"/>
      <c r="P81" s="1818"/>
      <c r="Q81" s="1817"/>
    </row>
    <row r="82" spans="1:17" customFormat="1">
      <c r="A82" s="1641" t="s">
        <v>77</v>
      </c>
      <c r="B82" s="1634">
        <f>$B$84/$D$84*D82</f>
        <v>952.23529411764707</v>
      </c>
      <c r="C82" s="1634">
        <f>$C$84/$D$84*D82</f>
        <v>49297013.573529415</v>
      </c>
      <c r="D82" s="1641">
        <v>19</v>
      </c>
      <c r="E82" s="1789">
        <f>SUMIFS(Таблица1[м2],Таблица1[МОП],A82,Таблица1[№ дома],"Дом 2")</f>
        <v>351.6</v>
      </c>
      <c r="F82" s="1642">
        <f>SUMIFS(Таблица1[сумма],Таблица1[МОП],A82,Таблица1[№ дома],"Дом 2")</f>
        <v>19871039.57</v>
      </c>
      <c r="G82" s="1790">
        <f>COUNTIFS(Таблица1[МОП],A82,Таблица1[№ дома],"Дом 2")</f>
        <v>6</v>
      </c>
      <c r="H82" s="1791">
        <f>E82/B82</f>
        <v>0.369236471460341</v>
      </c>
      <c r="I82" s="1635">
        <f>F82/C82</f>
        <v>0.4030881006688401</v>
      </c>
      <c r="J82" s="1820">
        <f>COUNTIFS(Таблица1[Ком],$J$65,Таблица1[МОП],A82,Таблица1[№ дома],"дом 2")</f>
        <v>0</v>
      </c>
      <c r="K82" s="1820">
        <f>COUNTIFS(Таблица1[Ком],$K$65,Таблица1[МОП],A82,Таблица1[№ дома],"дом 2")</f>
        <v>0</v>
      </c>
      <c r="L82" s="1820">
        <f>COUNTIFS(Таблица1[Ком],$L$65,Таблица1[МОП],A82,Таблица1[№ дома],"дом 2")</f>
        <v>6</v>
      </c>
      <c r="M82" s="1820">
        <f>COUNTIFS(Таблица1[Ком],$M$65,Таблица1[МОП],A82,Таблица1[№ дома],"дом 2")</f>
        <v>0</v>
      </c>
      <c r="N82" s="1863">
        <f>COUNTIFS(Таблица1[Ком],$N$65,Таблица1[МОП],A82,Таблица1[№ дома],"дом 2")</f>
        <v>0</v>
      </c>
      <c r="O82" s="1785"/>
      <c r="P82" s="1818"/>
      <c r="Q82" s="1817"/>
    </row>
    <row r="83" spans="1:17" customFormat="1" ht="17.25" customHeight="1">
      <c r="A83" s="1641" t="s">
        <v>407</v>
      </c>
      <c r="B83" s="1634">
        <f>$B$84/$D$84*D83</f>
        <v>100.23529411764706</v>
      </c>
      <c r="C83" s="1634">
        <f>$C$84/$D$84*D83</f>
        <v>5189159.323529412</v>
      </c>
      <c r="D83" s="1641">
        <v>2</v>
      </c>
      <c r="E83" s="1789">
        <f>SUMIFS(Таблица1[м2],Таблица1[МОП],A83,Таблица1[№ дома],"Дом 2")</f>
        <v>0</v>
      </c>
      <c r="F83" s="1642">
        <f>SUMIFS(Таблица1[сумма],Таблица1[МОП],A83,Таблица1[№ дома],"Дом 2")</f>
        <v>0</v>
      </c>
      <c r="G83" s="1790">
        <f>COUNTIFS(Таблица1[МОП],A83,Таблица1[№ дома],"Дом 2")</f>
        <v>0</v>
      </c>
      <c r="H83" s="1791">
        <f>E83/B83</f>
        <v>0</v>
      </c>
      <c r="I83" s="1635">
        <f>F83/C83</f>
        <v>0</v>
      </c>
      <c r="J83" s="1820">
        <f>COUNTIFS(Таблица1[Ком],$J$65,Таблица1[МОП],A83,Таблица1[№ дома],"дом 2")</f>
        <v>0</v>
      </c>
      <c r="K83" s="1820">
        <f>COUNTIFS(Таблица1[Ком],$K$65,Таблица1[МОП],A83,Таблица1[№ дома],"дом 2")</f>
        <v>0</v>
      </c>
      <c r="L83" s="1820">
        <f>COUNTIFS(Таблица1[Ком],$L$65,Таблица1[МОП],A83,Таблица1[№ дома],"дом 2")</f>
        <v>0</v>
      </c>
      <c r="M83" s="1820">
        <f>COUNTIFS(Таблица1[Ком],$M$65,Таблица1[МОП],A83,Таблица1[№ дома],"дом 2")</f>
        <v>0</v>
      </c>
      <c r="N83" s="1863">
        <f>COUNTIFS(Таблица1[Ком],$N$65,Таблица1[МОП],A83,Таблица1[№ дома],"дом 2")</f>
        <v>0</v>
      </c>
      <c r="O83" s="1817"/>
      <c r="P83" s="1818"/>
      <c r="Q83" s="1817"/>
    </row>
    <row r="84" spans="1:17" customFormat="1" ht="17.25" customHeight="1">
      <c r="A84" s="1630" t="s">
        <v>114</v>
      </c>
      <c r="B84" s="1636">
        <f>2491+2491-1574</f>
        <v>3408</v>
      </c>
      <c r="C84" s="1636">
        <f>133343350+130399973-87311906</f>
        <v>176431417</v>
      </c>
      <c r="D84" s="1630">
        <f>SUM(D79:D83)</f>
        <v>68</v>
      </c>
      <c r="E84" s="1793">
        <f>SUM(E79:E83)</f>
        <v>1566.21</v>
      </c>
      <c r="F84" s="1793">
        <f>SUM(F79:F83)</f>
        <v>89564754.24000001</v>
      </c>
      <c r="G84" s="1630">
        <f>SUM(G79:G83)</f>
        <v>28</v>
      </c>
      <c r="H84" s="1795">
        <f t="shared" si="3"/>
        <v>0.45956866197183099</v>
      </c>
      <c r="I84" s="1650">
        <f t="shared" si="3"/>
        <v>0.50764628977615711</v>
      </c>
      <c r="J84" s="1831">
        <f>SUM(J79:J82)</f>
        <v>0</v>
      </c>
      <c r="K84" s="1822">
        <f>SUM(K79:K82)</f>
        <v>7</v>
      </c>
      <c r="L84" s="1831">
        <f>SUM(L79:L82)</f>
        <v>18</v>
      </c>
      <c r="M84" s="1831">
        <f>SUM(M79:M82)</f>
        <v>3</v>
      </c>
      <c r="N84" s="1867">
        <f>SUM(N79:N82)</f>
        <v>0</v>
      </c>
      <c r="O84" s="1785"/>
      <c r="P84" s="1818"/>
      <c r="Q84" s="1817"/>
    </row>
    <row r="85" spans="1:17" customFormat="1" ht="30" customHeight="1">
      <c r="A85" s="1638" t="s">
        <v>115</v>
      </c>
      <c r="B85" s="1639" t="s">
        <v>100</v>
      </c>
      <c r="C85" s="1639" t="s">
        <v>97</v>
      </c>
      <c r="D85" s="1631" t="s">
        <v>95</v>
      </c>
      <c r="E85" s="1640" t="s">
        <v>101</v>
      </c>
      <c r="F85" s="1640" t="s">
        <v>98</v>
      </c>
      <c r="G85" s="1631" t="s">
        <v>96</v>
      </c>
      <c r="H85" s="1633" t="s">
        <v>102</v>
      </c>
      <c r="I85" s="1633" t="s">
        <v>99</v>
      </c>
      <c r="J85" s="1631">
        <v>0</v>
      </c>
      <c r="K85" s="1631">
        <v>1</v>
      </c>
      <c r="L85" s="1631">
        <v>2</v>
      </c>
      <c r="M85" s="1631">
        <v>3</v>
      </c>
      <c r="N85" s="1862">
        <v>4</v>
      </c>
      <c r="O85" s="1785"/>
      <c r="P85" s="1818"/>
      <c r="Q85" s="1817"/>
    </row>
    <row r="86" spans="1:17" customFormat="1" hidden="1">
      <c r="A86" s="1641"/>
      <c r="B86" s="1634"/>
      <c r="C86" s="1634"/>
      <c r="D86" s="1641"/>
      <c r="E86" s="1642"/>
      <c r="F86" s="1642"/>
      <c r="G86" s="745"/>
      <c r="H86" s="1791" t="e">
        <f t="shared" ref="H86:I88" si="4">E86/B86</f>
        <v>#DIV/0!</v>
      </c>
      <c r="I86" s="1635" t="e">
        <f t="shared" si="4"/>
        <v>#DIV/0!</v>
      </c>
      <c r="J86" s="751"/>
      <c r="K86" s="1829"/>
      <c r="L86" s="751"/>
      <c r="M86" s="751"/>
      <c r="N86" s="1866"/>
      <c r="O86" s="1817"/>
      <c r="P86" s="1818"/>
      <c r="Q86" s="1817"/>
    </row>
    <row r="87" spans="1:17" customFormat="1">
      <c r="A87" s="1641" t="s">
        <v>16</v>
      </c>
      <c r="B87" s="1634">
        <f>B84/D84*D87</f>
        <v>2004.7058823529412</v>
      </c>
      <c r="C87" s="1634">
        <f>C84/D84*D87</f>
        <v>103783186.47058824</v>
      </c>
      <c r="D87" s="1826">
        <v>40</v>
      </c>
      <c r="E87" s="1642">
        <f>SUMIFS(Таблица1[м2],Таблица1[ИМ],A74,Таблица1[№ дома],"Дом 2")</f>
        <v>1446.5299999999997</v>
      </c>
      <c r="F87" s="1642">
        <f>SUMIFS(Таблица1[сумма],Таблица1[ИМ],A74,Таблица1[№ дома],"Дом 2")</f>
        <v>83301936.150000006</v>
      </c>
      <c r="G87" s="745">
        <f>COUNTIFS(Таблица1[ИМ],A74,Таблица1[№ дома],"Дом 2")</f>
        <v>26</v>
      </c>
      <c r="H87" s="1791">
        <f t="shared" si="4"/>
        <v>0.72156719483568066</v>
      </c>
      <c r="I87" s="1635">
        <f t="shared" si="4"/>
        <v>0.80265348350628507</v>
      </c>
      <c r="J87" s="751">
        <f>COUNTIFS(Таблица1[Ком],J78,Таблица1[ИМ],$A$74,Таблица1[№ дома],"Дом 2")</f>
        <v>0</v>
      </c>
      <c r="K87" s="751">
        <f>COUNTIFS(Таблица1[Ком],K78,Таблица1[ИМ],$A$74,Таблица1[№ дома],"Дом 2")</f>
        <v>7</v>
      </c>
      <c r="L87" s="751">
        <f>COUNTIFS(Таблица1[Ком],L78,Таблица1[ИМ],$A$74,Таблица1[№ дома],"Дом 2")</f>
        <v>16</v>
      </c>
      <c r="M87" s="751">
        <f>COUNTIFS(Таблица1[Ком],M78,Таблица1[ИМ],$A$74,Таблица1[№ дома],"Дом 2")</f>
        <v>3</v>
      </c>
      <c r="N87" s="1866">
        <f>COUNTIFS(Таблица1[Ком],N78,Таблица1[ИМ],$A$74,Таблица1[№ дома],"Дом 2")</f>
        <v>0</v>
      </c>
      <c r="O87" s="1785"/>
      <c r="P87" s="1818"/>
      <c r="Q87" s="1817"/>
    </row>
    <row r="88" spans="1:17">
      <c r="A88" s="1630" t="s">
        <v>114</v>
      </c>
      <c r="B88" s="1636">
        <f t="shared" ref="B88:G88" si="5">SUM(B86:B87)</f>
        <v>2004.7058823529412</v>
      </c>
      <c r="C88" s="1636">
        <f t="shared" si="5"/>
        <v>103783186.47058824</v>
      </c>
      <c r="D88" s="1630">
        <f t="shared" si="5"/>
        <v>40</v>
      </c>
      <c r="E88" s="1793">
        <f t="shared" si="5"/>
        <v>1446.5299999999997</v>
      </c>
      <c r="F88" s="1793">
        <f t="shared" si="5"/>
        <v>83301936.150000006</v>
      </c>
      <c r="G88" s="1630">
        <f t="shared" si="5"/>
        <v>26</v>
      </c>
      <c r="H88" s="1650">
        <f t="shared" si="4"/>
        <v>0.72156719483568066</v>
      </c>
      <c r="I88" s="1650">
        <f t="shared" si="4"/>
        <v>0.80265348350628507</v>
      </c>
      <c r="J88" s="1831">
        <f>SUM(J86:J87)</f>
        <v>0</v>
      </c>
      <c r="K88" s="1831">
        <f>SUM(K86:K87)</f>
        <v>7</v>
      </c>
      <c r="L88" s="1831">
        <f>SUM(L86:L87)</f>
        <v>16</v>
      </c>
      <c r="M88" s="1831">
        <f>SUM(M86:M87)</f>
        <v>3</v>
      </c>
      <c r="N88" s="1867">
        <f>SUM(N86:N87)</f>
        <v>0</v>
      </c>
      <c r="O88" s="1785"/>
      <c r="P88" s="1818"/>
      <c r="Q88" s="1817"/>
    </row>
    <row r="89" spans="1:17">
      <c r="A89" s="1643"/>
      <c r="B89" s="1651"/>
      <c r="C89" s="1651"/>
      <c r="D89" s="1643"/>
      <c r="E89" s="1645"/>
      <c r="F89" s="1645"/>
      <c r="G89" s="1643"/>
      <c r="H89" s="1646"/>
      <c r="I89" s="1646"/>
      <c r="J89" s="1833"/>
      <c r="K89" s="1833"/>
      <c r="L89" s="1833"/>
      <c r="M89" s="1833"/>
      <c r="N89" s="1868"/>
      <c r="O89" s="1785"/>
      <c r="P89" s="1818"/>
      <c r="Q89" s="1817"/>
    </row>
    <row r="90" spans="1:17">
      <c r="A90" s="1628" t="s">
        <v>411</v>
      </c>
      <c r="B90" s="1647"/>
      <c r="C90" s="1636" t="s">
        <v>27</v>
      </c>
      <c r="D90" s="1629"/>
      <c r="E90" s="1648"/>
      <c r="F90" s="1648"/>
      <c r="G90" s="1629"/>
      <c r="H90" s="1649"/>
      <c r="I90" s="1649"/>
      <c r="J90" s="1629"/>
      <c r="K90" s="1629"/>
      <c r="L90" s="1629"/>
      <c r="M90" s="1629"/>
      <c r="N90" s="1858"/>
      <c r="O90" s="1785"/>
      <c r="P90" s="1818"/>
      <c r="Q90" s="1817"/>
    </row>
    <row r="91" spans="1:17">
      <c r="A91" s="1631" t="s">
        <v>1</v>
      </c>
      <c r="B91" s="1639" t="s">
        <v>100</v>
      </c>
      <c r="C91" s="1639" t="s">
        <v>97</v>
      </c>
      <c r="D91" s="1631" t="s">
        <v>95</v>
      </c>
      <c r="E91" s="1640" t="s">
        <v>101</v>
      </c>
      <c r="F91" s="1640" t="s">
        <v>98</v>
      </c>
      <c r="G91" s="1631" t="s">
        <v>96</v>
      </c>
      <c r="H91" s="1633" t="s">
        <v>102</v>
      </c>
      <c r="I91" s="1633" t="s">
        <v>99</v>
      </c>
      <c r="J91" s="1631">
        <v>0</v>
      </c>
      <c r="K91" s="1631">
        <v>1</v>
      </c>
      <c r="L91" s="1631">
        <v>2</v>
      </c>
      <c r="M91" s="1631">
        <v>3</v>
      </c>
      <c r="N91" s="1862">
        <v>4</v>
      </c>
      <c r="O91" s="1785"/>
      <c r="P91" s="1818"/>
      <c r="Q91" s="1817"/>
    </row>
    <row r="92" spans="1:17">
      <c r="A92" s="1641" t="s">
        <v>73</v>
      </c>
      <c r="B92" s="1634">
        <f>$B$97/$D$97*D92</f>
        <v>131.25</v>
      </c>
      <c r="C92" s="1634">
        <f>$C$84/$D$84*D92</f>
        <v>7783738.9852941185</v>
      </c>
      <c r="D92" s="1641">
        <v>3</v>
      </c>
      <c r="E92" s="1789">
        <f>SUMIFS(Таблица1[м2],Таблица1[МОП],A92,Таблица1[№ дома],"дом 3")</f>
        <v>195.92999999999998</v>
      </c>
      <c r="F92" s="1642">
        <f>SUMIFS(Таблица1[сумма],Таблица1[МОП],A92,Таблица1[№ дома],"дом 3")</f>
        <v>10169069.800000001</v>
      </c>
      <c r="G92" s="1790">
        <f>COUNTIFS(Таблица1[МОП],A92,Таблица1[№ дома],"дом 3")</f>
        <v>5</v>
      </c>
      <c r="H92" s="1791">
        <f t="shared" ref="H92:H97" si="6">E92/B92</f>
        <v>1.4927999999999999</v>
      </c>
      <c r="I92" s="1635">
        <f t="shared" ref="I92:I97" si="7">F92/C92</f>
        <v>1.3064505142339058</v>
      </c>
      <c r="J92" s="1820">
        <f>COUNTIFS(Таблица1[Ком],$J$91,Таблица1[МОП],A92,Таблица1[№ дома],"дом 3")</f>
        <v>2</v>
      </c>
      <c r="K92" s="1820">
        <f>COUNTIFS(Таблица1[Ком],$K$91,Таблица1[МОП],A92,Таблица1[№ дома],"дом 3")</f>
        <v>1</v>
      </c>
      <c r="L92" s="1820">
        <f>COUNTIFS(Таблица1[Ком],$L$91,Таблица1[МОП],A92,Таблица1[№ дома],"дом 3")</f>
        <v>2</v>
      </c>
      <c r="M92" s="1820">
        <f>COUNTIFS(Таблица1[Ком],$M$91,Таблица1[МОП],A92,Таблица1[№ дома],"дом 3")</f>
        <v>0</v>
      </c>
      <c r="N92" s="1863">
        <f>COUNTIFS(Таблица1[Ком],$N$91,Таблица1[МОП],A92,Таблица1[№ дома],"дом 3")</f>
        <v>0</v>
      </c>
      <c r="O92" s="1785"/>
      <c r="P92" s="1818"/>
      <c r="Q92" s="1817"/>
    </row>
    <row r="93" spans="1:17">
      <c r="A93" s="1641" t="s">
        <v>20</v>
      </c>
      <c r="B93" s="1634">
        <f>$B$97/$D$97*D93</f>
        <v>43.75</v>
      </c>
      <c r="C93" s="1634">
        <f>$C$84/$D$84*D93</f>
        <v>2594579.661764706</v>
      </c>
      <c r="D93" s="1641">
        <v>1</v>
      </c>
      <c r="E93" s="1789">
        <f>SUMIFS(Таблица1[м2],Таблица1[МОП],A93,Таблица1[№ дома],"дом 3")</f>
        <v>59.93</v>
      </c>
      <c r="F93" s="1642">
        <f>SUMIFS(Таблица1[сумма],Таблица1[МОП],A93,Таблица1[№ дома],"дом 3")</f>
        <v>3414811.4</v>
      </c>
      <c r="G93" s="1790">
        <f>COUNTIFS(Таблица1[МОП],A93,Таблица1[№ дома],"дом 3")</f>
        <v>1</v>
      </c>
      <c r="H93" s="1791">
        <f t="shared" si="6"/>
        <v>1.3698285714285714</v>
      </c>
      <c r="I93" s="1635">
        <f t="shared" si="7"/>
        <v>1.316132801903416</v>
      </c>
      <c r="J93" s="1820">
        <f>COUNTIFS(Таблица1[Ком],$J$91,Таблица1[МОП],A93,Таблица1[№ дома],"дом 3")</f>
        <v>0</v>
      </c>
      <c r="K93" s="1820">
        <f>COUNTIFS(Таблица1[Ком],$K$91,Таблица1[МОП],A93,Таблица1[№ дома],"дом 3")</f>
        <v>0</v>
      </c>
      <c r="L93" s="1820">
        <f>COUNTIFS(Таблица1[Ком],$L$91,Таблица1[МОП],A93,Таблица1[№ дома],"дом 3")</f>
        <v>1</v>
      </c>
      <c r="M93" s="1820">
        <f>COUNTIFS(Таблица1[Ком],$M$91,Таблица1[МОП],A93,Таблица1[№ дома],"дом 3")</f>
        <v>0</v>
      </c>
      <c r="N93" s="1863">
        <f>COUNTIFS(Таблица1[Ком],$N$91,Таблица1[МОП],A93,Таблица1[№ дома],"дом 3")</f>
        <v>0</v>
      </c>
      <c r="O93" s="1785"/>
      <c r="P93" s="1818"/>
      <c r="Q93" s="1817"/>
    </row>
    <row r="94" spans="1:17">
      <c r="A94" s="1641" t="s">
        <v>63</v>
      </c>
      <c r="B94" s="1634">
        <f>$B$97/$D$97*D94</f>
        <v>131.25</v>
      </c>
      <c r="C94" s="1634">
        <f>$C$84/$D$84*D94</f>
        <v>7783738.9852941185</v>
      </c>
      <c r="D94" s="1641">
        <v>3</v>
      </c>
      <c r="E94" s="1789">
        <f>SUMIFS(Таблица1[м2],Таблица1[МОП],A94,Таблица1[№ дома],"дом 3")</f>
        <v>119.38</v>
      </c>
      <c r="F94" s="1642">
        <f>SUMIFS(Таблица1[сумма],Таблица1[МОП],A94,Таблица1[№ дома],"дом 3")</f>
        <v>5809436.2000000002</v>
      </c>
      <c r="G94" s="1790">
        <f>COUNTIFS(Таблица1[МОП],A94,Таблица1[№ дома],"дом 3")</f>
        <v>2</v>
      </c>
      <c r="H94" s="1791">
        <f t="shared" si="6"/>
        <v>0.90956190476190468</v>
      </c>
      <c r="I94" s="1635">
        <f t="shared" si="7"/>
        <v>0.74635547401779723</v>
      </c>
      <c r="J94" s="1820">
        <f>COUNTIFS(Таблица1[Ком],$J$91,Таблица1[МОП],A94,Таблица1[№ дома],"дом 3")</f>
        <v>0</v>
      </c>
      <c r="K94" s="1820">
        <f>COUNTIFS(Таблица1[Ком],$K$91,Таблица1[МОП],A94,Таблица1[№ дома],"дом 3")</f>
        <v>1</v>
      </c>
      <c r="L94" s="1820">
        <f>COUNTIFS(Таблица1[Ком],$L$91,Таблица1[МОП],A94,Таблица1[№ дома],"дом 3")</f>
        <v>0</v>
      </c>
      <c r="M94" s="1820">
        <f>COUNTIFS(Таблица1[Ком],$M$91,Таблица1[МОП],A94,Таблица1[№ дома],"дом 3")</f>
        <v>1</v>
      </c>
      <c r="N94" s="1863">
        <f>COUNTIFS(Таблица1[Ком],$N$91,Таблица1[МОП],A94,Таблица1[№ дома],"дом 3")</f>
        <v>0</v>
      </c>
      <c r="O94" s="1785"/>
      <c r="P94" s="1818"/>
      <c r="Q94" s="1817"/>
    </row>
    <row r="95" spans="1:17">
      <c r="A95" s="1641" t="s">
        <v>77</v>
      </c>
      <c r="B95" s="1634">
        <f>$B$97/$D$97*D95</f>
        <v>131.25</v>
      </c>
      <c r="C95" s="1634">
        <f>$C$84/$D$84*D95</f>
        <v>7783738.9852941185</v>
      </c>
      <c r="D95" s="1641">
        <v>3</v>
      </c>
      <c r="E95" s="1789">
        <f>SUMIFS(Таблица1[м2],Таблица1[МОП],A95,Таблица1[№ дома],"дом 3")</f>
        <v>203.61999999999998</v>
      </c>
      <c r="F95" s="1642">
        <f>SUMIFS(Таблица1[сумма],Таблица1[МОП],A95,Таблица1[№ дома],"дом 3")</f>
        <v>10700414.800000001</v>
      </c>
      <c r="G95" s="1790">
        <f>COUNTIFS(Таблица1[МОП],A95,Таблица1[№ дома],"дом 3")</f>
        <v>6</v>
      </c>
      <c r="H95" s="1791">
        <f t="shared" si="6"/>
        <v>1.551390476190476</v>
      </c>
      <c r="I95" s="1635">
        <f t="shared" si="7"/>
        <v>1.3747139800314967</v>
      </c>
      <c r="J95" s="1820">
        <f>COUNTIFS(Таблица1[Ком],$J$91,Таблица1[МОП],A95,Таблица1[№ дома],"дом 3")</f>
        <v>3</v>
      </c>
      <c r="K95" s="1820">
        <f>COUNTIFS(Таблица1[Ком],$K$91,Таблица1[МОП],A95,Таблица1[№ дома],"дом 3")</f>
        <v>2</v>
      </c>
      <c r="L95" s="1820">
        <f>COUNTIFS(Таблица1[Ком],$L$91,Таблица1[МОП],A95,Таблица1[№ дома],"дом 3")</f>
        <v>1</v>
      </c>
      <c r="M95" s="1820">
        <f>COUNTIFS(Таблица1[Ком],$M$91,Таблица1[МОП],A95,Таблица1[№ дома],"дом 3")</f>
        <v>0</v>
      </c>
      <c r="N95" s="1863">
        <f>COUNTIFS(Таблица1[Ком],$N$91,Таблица1[МОП],A95,Таблица1[№ дома],"дом 3")</f>
        <v>0</v>
      </c>
      <c r="O95" s="1785"/>
      <c r="P95" s="1818"/>
      <c r="Q95" s="1817"/>
    </row>
    <row r="96" spans="1:17">
      <c r="A96" s="1641" t="s">
        <v>407</v>
      </c>
      <c r="B96" s="1634">
        <f>$B$97/$D$97*D96</f>
        <v>87.5</v>
      </c>
      <c r="C96" s="1634">
        <f>$C$84/$D$84*D96</f>
        <v>5189159.323529412</v>
      </c>
      <c r="D96" s="1641">
        <v>2</v>
      </c>
      <c r="E96" s="1789">
        <f>SUMIFS(Таблица1[м2],Таблица1[МОП],A96,Таблица1[№ дома],"дом 3")</f>
        <v>37.11</v>
      </c>
      <c r="F96" s="1642">
        <f>SUMIFS(Таблица1[сумма],Таблица1[МОП],A96,Таблица1[№ дома],"дом 3")</f>
        <v>2090035.2</v>
      </c>
      <c r="G96" s="1790">
        <f>COUNTIFS(Таблица1[МОП],A96,Таблица1[№ дома],"дом 3")</f>
        <v>1</v>
      </c>
      <c r="H96" s="1791">
        <f t="shared" si="6"/>
        <v>0.42411428571428572</v>
      </c>
      <c r="I96" s="1635">
        <f t="shared" si="7"/>
        <v>0.4027695180841856</v>
      </c>
      <c r="J96" s="1820">
        <f>COUNTIFS(Таблица1[Ком],$J$91,Таблица1[МОП],A96,Таблица1[№ дома],"дом 3")</f>
        <v>0</v>
      </c>
      <c r="K96" s="1820">
        <f>COUNTIFS(Таблица1[Ком],$K$91,Таблица1[МОП],A96,Таблица1[№ дома],"дом 3")</f>
        <v>1</v>
      </c>
      <c r="L96" s="1820">
        <f>COUNTIFS(Таблица1[Ком],$L$91,Таблица1[МОП],A96,Таблица1[№ дома],"дом 3")</f>
        <v>0</v>
      </c>
      <c r="M96" s="1820">
        <f>COUNTIFS(Таблица1[Ком],$M$91,Таблица1[МОП],A96,Таблица1[№ дома],"дом 3")</f>
        <v>0</v>
      </c>
      <c r="N96" s="1863">
        <f>COUNTIFS(Таблица1[Ком],$N$91,Таблица1[МОП],A96,Таблица1[№ дома],"дом 3")</f>
        <v>0</v>
      </c>
      <c r="O96" s="1785"/>
      <c r="P96" s="1818"/>
      <c r="Q96" s="1817"/>
    </row>
    <row r="97" spans="1:18">
      <c r="A97" s="1630" t="s">
        <v>114</v>
      </c>
      <c r="B97" s="1636">
        <f>525</f>
        <v>525</v>
      </c>
      <c r="C97" s="1636">
        <f>26847785</f>
        <v>26847785</v>
      </c>
      <c r="D97" s="1630">
        <f>SUM(D92:D96)</f>
        <v>12</v>
      </c>
      <c r="E97" s="1630">
        <f>SUM(E92:E96)</f>
        <v>615.97</v>
      </c>
      <c r="F97" s="1630">
        <f>SUM(F92:F96)</f>
        <v>32183767.400000002</v>
      </c>
      <c r="G97" s="1630">
        <f>SUM(G92:G96)</f>
        <v>15</v>
      </c>
      <c r="H97" s="1795">
        <f t="shared" si="6"/>
        <v>1.1732761904761906</v>
      </c>
      <c r="I97" s="1650">
        <f t="shared" si="7"/>
        <v>1.198749446183363</v>
      </c>
      <c r="J97" s="1831">
        <f>SUM(J92:J95)</f>
        <v>5</v>
      </c>
      <c r="K97" s="1822">
        <f>SUM(K92:K95)</f>
        <v>4</v>
      </c>
      <c r="L97" s="1831">
        <f>SUM(L92:L95)</f>
        <v>4</v>
      </c>
      <c r="M97" s="1831">
        <f>SUM(M92:M95)</f>
        <v>1</v>
      </c>
      <c r="N97" s="1867">
        <f>SUM(N92:N95)</f>
        <v>0</v>
      </c>
      <c r="O97" s="1785"/>
      <c r="P97" s="1818"/>
      <c r="Q97" s="1817"/>
    </row>
    <row r="98" spans="1:18">
      <c r="A98" s="1638" t="s">
        <v>115</v>
      </c>
      <c r="B98" s="1639" t="s">
        <v>100</v>
      </c>
      <c r="C98" s="1639" t="s">
        <v>97</v>
      </c>
      <c r="D98" s="1631" t="s">
        <v>95</v>
      </c>
      <c r="E98" s="1640" t="s">
        <v>101</v>
      </c>
      <c r="F98" s="1640" t="s">
        <v>98</v>
      </c>
      <c r="G98" s="1631" t="s">
        <v>96</v>
      </c>
      <c r="H98" s="1633" t="s">
        <v>102</v>
      </c>
      <c r="I98" s="1633" t="s">
        <v>99</v>
      </c>
      <c r="J98" s="1631">
        <v>0</v>
      </c>
      <c r="K98" s="1631">
        <v>1</v>
      </c>
      <c r="L98" s="1631">
        <v>2</v>
      </c>
      <c r="M98" s="1631">
        <v>3</v>
      </c>
      <c r="N98" s="1862">
        <v>4</v>
      </c>
      <c r="O98" s="1785"/>
      <c r="P98" s="1818"/>
      <c r="Q98" s="1817"/>
    </row>
    <row r="99" spans="1:18" hidden="1">
      <c r="A99" s="1641"/>
      <c r="B99" s="1634"/>
      <c r="C99" s="1634"/>
      <c r="D99" s="1641"/>
      <c r="E99" s="1642"/>
      <c r="F99" s="1642"/>
      <c r="G99" s="745"/>
      <c r="H99" s="1791" t="e">
        <f t="shared" ref="H99:I101" si="8">E99/B99</f>
        <v>#DIV/0!</v>
      </c>
      <c r="I99" s="1635" t="e">
        <f t="shared" si="8"/>
        <v>#DIV/0!</v>
      </c>
      <c r="J99" s="751"/>
      <c r="K99" s="1829"/>
      <c r="L99" s="751"/>
      <c r="M99" s="751"/>
      <c r="N99" s="1866"/>
      <c r="O99" s="1785"/>
      <c r="P99" s="1818"/>
      <c r="Q99" s="1817"/>
    </row>
    <row r="100" spans="1:18">
      <c r="A100" s="1641" t="s">
        <v>16</v>
      </c>
      <c r="B100" s="1634">
        <f>B97/D97*D100</f>
        <v>306.25</v>
      </c>
      <c r="C100" s="1634">
        <f>C97/D97*D100</f>
        <v>15661207.916666666</v>
      </c>
      <c r="D100" s="1826">
        <v>7</v>
      </c>
      <c r="E100" s="1642">
        <f>SUMIFS(Таблица1[м2],Таблица1[ИМ],A87,Таблица1[№ дома],"Дом 3")</f>
        <v>471.03999999999996</v>
      </c>
      <c r="F100" s="1642">
        <f>SUMIFS(Таблица1[сумма],Таблица1[ИМ],A87,Таблица1[№ дома],"Дом 3")</f>
        <v>23887864.600000001</v>
      </c>
      <c r="G100" s="745">
        <f>COUNTIFS(Таблица1[ИМ],A87,Таблица1[№ дома],"Дом 3")</f>
        <v>10</v>
      </c>
      <c r="H100" s="1791">
        <f t="shared" si="8"/>
        <v>1.5380897959183673</v>
      </c>
      <c r="I100" s="1635">
        <f t="shared" si="8"/>
        <v>1.5252887725587578</v>
      </c>
      <c r="J100" s="751">
        <f>COUNTIFS(Таблица1[Ком],J91,Таблица1[ИМ],$A$100,Таблица1[№ дома],"Дом 3")</f>
        <v>2</v>
      </c>
      <c r="K100" s="751">
        <f>COUNTIFS(Таблица1[Ком],K91,Таблица1[ИМ],$A$100,Таблица1[№ дома],"Дом 3")</f>
        <v>3</v>
      </c>
      <c r="L100" s="751">
        <f>COUNTIFS(Таблица1[Ком],L91,Таблица1[ИМ],$A$100,Таблица1[№ дома],"Дом 3")</f>
        <v>4</v>
      </c>
      <c r="M100" s="751">
        <f>COUNTIFS(Таблица1[Ком],M91,Таблица1[ИМ],$A$100,Таблица1[№ дома],"Дом 3")</f>
        <v>1</v>
      </c>
      <c r="N100" s="1866">
        <f>COUNTIFS(Таблица1[Ком],N91,Таблица1[ИМ],$A$100,Таблица1[№ дома],"Дом 3")</f>
        <v>0</v>
      </c>
      <c r="O100" s="1785"/>
      <c r="P100" s="1818"/>
      <c r="Q100" s="1817"/>
    </row>
    <row r="101" spans="1:18">
      <c r="A101" s="1630" t="s">
        <v>114</v>
      </c>
      <c r="B101" s="1636">
        <f t="shared" ref="B101:G101" si="9">SUM(B99:B100)</f>
        <v>306.25</v>
      </c>
      <c r="C101" s="1636">
        <f t="shared" si="9"/>
        <v>15661207.916666666</v>
      </c>
      <c r="D101" s="1630">
        <f t="shared" si="9"/>
        <v>7</v>
      </c>
      <c r="E101" s="1793">
        <f t="shared" si="9"/>
        <v>471.03999999999996</v>
      </c>
      <c r="F101" s="1793">
        <f t="shared" si="9"/>
        <v>23887864.600000001</v>
      </c>
      <c r="G101" s="1630">
        <f t="shared" si="9"/>
        <v>10</v>
      </c>
      <c r="H101" s="1650">
        <f t="shared" si="8"/>
        <v>1.5380897959183673</v>
      </c>
      <c r="I101" s="1650">
        <f t="shared" si="8"/>
        <v>1.5252887725587578</v>
      </c>
      <c r="J101" s="1831">
        <f>SUM(J99:J100)</f>
        <v>2</v>
      </c>
      <c r="K101" s="1831">
        <f>SUM(K99:K100)</f>
        <v>3</v>
      </c>
      <c r="L101" s="1831">
        <f>SUM(L99:L100)</f>
        <v>4</v>
      </c>
      <c r="M101" s="1831">
        <f>SUM(M99:M100)</f>
        <v>1</v>
      </c>
      <c r="N101" s="1867">
        <f>SUM(N99:N100)</f>
        <v>0</v>
      </c>
      <c r="O101" s="1785"/>
      <c r="P101" s="1818"/>
      <c r="Q101" s="1817"/>
    </row>
    <row r="102" spans="1:18" customFormat="1">
      <c r="A102" s="1652"/>
      <c r="B102" s="1653"/>
      <c r="C102" s="1653"/>
      <c r="D102" s="1652"/>
      <c r="E102" s="1654"/>
      <c r="F102" s="1654"/>
      <c r="G102" s="1652"/>
      <c r="H102" s="1655"/>
      <c r="I102" s="1655"/>
      <c r="J102" s="1652"/>
      <c r="K102" s="1652"/>
      <c r="L102" s="1652"/>
      <c r="M102" s="1652"/>
      <c r="N102" s="1836"/>
      <c r="O102" s="1659"/>
      <c r="P102" s="1660"/>
      <c r="Q102" s="1721"/>
      <c r="R102" s="1877" t="s">
        <v>260</v>
      </c>
    </row>
    <row r="103" spans="1:18" customFormat="1" ht="15.75" customHeight="1">
      <c r="A103" s="1628" t="s">
        <v>411</v>
      </c>
      <c r="B103" s="1647"/>
      <c r="C103" s="1636" t="s">
        <v>412</v>
      </c>
      <c r="D103" s="1629"/>
      <c r="E103" s="1648"/>
      <c r="F103" s="1648"/>
      <c r="G103" s="1629"/>
      <c r="H103" s="1649"/>
      <c r="I103" s="1649"/>
      <c r="J103" s="1629"/>
      <c r="K103" s="1629"/>
      <c r="L103" s="1629"/>
      <c r="M103" s="1629"/>
      <c r="N103" s="1858"/>
      <c r="O103" s="1785"/>
      <c r="P103" s="1818"/>
      <c r="Q103" s="1817"/>
      <c r="R103" s="1878" t="s">
        <v>261</v>
      </c>
    </row>
    <row r="104" spans="1:18" customFormat="1" ht="27.75" customHeight="1">
      <c r="A104" s="1631" t="s">
        <v>1</v>
      </c>
      <c r="B104" s="1639" t="s">
        <v>100</v>
      </c>
      <c r="C104" s="1639" t="s">
        <v>97</v>
      </c>
      <c r="D104" s="1631" t="s">
        <v>95</v>
      </c>
      <c r="E104" s="1640" t="s">
        <v>101</v>
      </c>
      <c r="F104" s="1640" t="s">
        <v>98</v>
      </c>
      <c r="G104" s="1631" t="s">
        <v>96</v>
      </c>
      <c r="H104" s="1633" t="s">
        <v>102</v>
      </c>
      <c r="I104" s="1633" t="s">
        <v>99</v>
      </c>
      <c r="J104" s="1631">
        <v>0</v>
      </c>
      <c r="K104" s="1631">
        <v>1</v>
      </c>
      <c r="L104" s="1631">
        <v>2</v>
      </c>
      <c r="M104" s="1631">
        <v>3</v>
      </c>
      <c r="N104" s="1862">
        <v>4</v>
      </c>
      <c r="O104" s="1870"/>
      <c r="P104" s="1818"/>
      <c r="Q104" s="1872"/>
      <c r="R104" s="1876"/>
    </row>
    <row r="105" spans="1:18" customFormat="1" ht="15.75" customHeight="1">
      <c r="A105" s="1641" t="s">
        <v>73</v>
      </c>
      <c r="B105" s="1634">
        <f t="shared" ref="B105:G109" si="10">B66+B79+B92</f>
        <v>1228.0343137254902</v>
      </c>
      <c r="C105" s="1634">
        <f t="shared" si="10"/>
        <v>64326597.89705883</v>
      </c>
      <c r="D105" s="1641">
        <f t="shared" si="10"/>
        <v>24</v>
      </c>
      <c r="E105" s="1827">
        <f t="shared" si="10"/>
        <v>1133.8</v>
      </c>
      <c r="F105" s="1827">
        <f>F66+F79+F92</f>
        <v>63560381.189999998</v>
      </c>
      <c r="G105" s="1641">
        <f t="shared" si="10"/>
        <v>21</v>
      </c>
      <c r="H105" s="1791">
        <f t="shared" ref="H105:I110" si="11">E105/B105</f>
        <v>0.92326410372067591</v>
      </c>
      <c r="I105" s="1635">
        <f t="shared" si="11"/>
        <v>0.9880886486755448</v>
      </c>
      <c r="J105" s="1820">
        <f t="shared" ref="J105:N109" si="12">J66+J79+J92</f>
        <v>2</v>
      </c>
      <c r="K105" s="1820">
        <f t="shared" si="12"/>
        <v>4</v>
      </c>
      <c r="L105" s="1820">
        <f t="shared" si="12"/>
        <v>13</v>
      </c>
      <c r="M105" s="1820">
        <f t="shared" si="12"/>
        <v>2</v>
      </c>
      <c r="N105" s="1863">
        <f t="shared" si="12"/>
        <v>0</v>
      </c>
      <c r="O105" s="1785"/>
      <c r="P105" s="1818"/>
      <c r="Q105" s="1817"/>
      <c r="R105" s="1876"/>
    </row>
    <row r="106" spans="1:18" customFormat="1" ht="15.75" customHeight="1">
      <c r="A106" s="1641" t="s">
        <v>20</v>
      </c>
      <c r="B106" s="1634">
        <f t="shared" si="10"/>
        <v>609.81535947712416</v>
      </c>
      <c r="C106" s="1634">
        <f t="shared" si="10"/>
        <v>31820517.946078435</v>
      </c>
      <c r="D106" s="1641">
        <f t="shared" si="10"/>
        <v>12</v>
      </c>
      <c r="E106" s="1827">
        <f t="shared" si="10"/>
        <v>430.34</v>
      </c>
      <c r="F106" s="1827">
        <f>F67+F80+F93</f>
        <v>24868474</v>
      </c>
      <c r="G106" s="1641">
        <f t="shared" si="10"/>
        <v>8</v>
      </c>
      <c r="H106" s="1791">
        <f t="shared" si="11"/>
        <v>0.70568901440755394</v>
      </c>
      <c r="I106" s="1635">
        <f t="shared" si="11"/>
        <v>0.78152323108445176</v>
      </c>
      <c r="J106" s="1820">
        <f t="shared" si="12"/>
        <v>0</v>
      </c>
      <c r="K106" s="1820">
        <f t="shared" si="12"/>
        <v>3</v>
      </c>
      <c r="L106" s="1820">
        <f t="shared" si="12"/>
        <v>4</v>
      </c>
      <c r="M106" s="1820">
        <f t="shared" si="12"/>
        <v>1</v>
      </c>
      <c r="N106" s="1863">
        <f t="shared" si="12"/>
        <v>0</v>
      </c>
      <c r="O106" s="1870"/>
      <c r="P106" s="1818"/>
      <c r="Q106" s="1817"/>
      <c r="R106" s="1876"/>
    </row>
    <row r="107" spans="1:18" customFormat="1" ht="13.5" customHeight="1">
      <c r="A107" s="1641" t="s">
        <v>63</v>
      </c>
      <c r="B107" s="1634">
        <f t="shared" si="10"/>
        <v>1213.2630718954249</v>
      </c>
      <c r="C107" s="1634">
        <f t="shared" si="10"/>
        <v>63641035.892156869</v>
      </c>
      <c r="D107" s="1641">
        <f t="shared" si="10"/>
        <v>24</v>
      </c>
      <c r="E107" s="1827">
        <f t="shared" si="10"/>
        <v>418.73</v>
      </c>
      <c r="F107" s="1827">
        <f>F68+F81+F94</f>
        <v>22204548.209999997</v>
      </c>
      <c r="G107" s="1641">
        <f t="shared" si="10"/>
        <v>7</v>
      </c>
      <c r="H107" s="1791">
        <f t="shared" si="11"/>
        <v>0.34512712840244736</v>
      </c>
      <c r="I107" s="1635">
        <f t="shared" si="11"/>
        <v>0.3489029978648806</v>
      </c>
      <c r="J107" s="1820">
        <f t="shared" si="12"/>
        <v>0</v>
      </c>
      <c r="K107" s="1820">
        <f t="shared" si="12"/>
        <v>2</v>
      </c>
      <c r="L107" s="1820">
        <f t="shared" si="12"/>
        <v>3</v>
      </c>
      <c r="M107" s="1820">
        <f t="shared" si="12"/>
        <v>2</v>
      </c>
      <c r="N107" s="1863">
        <f t="shared" si="12"/>
        <v>0</v>
      </c>
      <c r="O107" s="1870"/>
      <c r="P107" s="1818"/>
      <c r="Q107" s="1817"/>
      <c r="R107" s="1875"/>
    </row>
    <row r="108" spans="1:18" customFormat="1">
      <c r="A108" s="1641" t="s">
        <v>77</v>
      </c>
      <c r="B108" s="1634">
        <f t="shared" si="10"/>
        <v>1213.2630718954249</v>
      </c>
      <c r="C108" s="1634">
        <f t="shared" si="10"/>
        <v>63641035.892156869</v>
      </c>
      <c r="D108" s="1641">
        <f t="shared" si="10"/>
        <v>24</v>
      </c>
      <c r="E108" s="1827">
        <f t="shared" si="10"/>
        <v>649.02</v>
      </c>
      <c r="F108" s="1827">
        <f>F69+F82+F95</f>
        <v>34071455.040000007</v>
      </c>
      <c r="G108" s="1641">
        <f t="shared" si="10"/>
        <v>13</v>
      </c>
      <c r="H108" s="1791">
        <f>E108/B108</f>
        <v>0.53493757045293233</v>
      </c>
      <c r="I108" s="1635">
        <f>F108/C108</f>
        <v>0.53536927176571902</v>
      </c>
      <c r="J108" s="1820">
        <f t="shared" si="12"/>
        <v>3</v>
      </c>
      <c r="K108" s="1820">
        <f t="shared" si="12"/>
        <v>2</v>
      </c>
      <c r="L108" s="1820">
        <f t="shared" si="12"/>
        <v>7</v>
      </c>
      <c r="M108" s="1820">
        <f t="shared" si="12"/>
        <v>1</v>
      </c>
      <c r="N108" s="1863">
        <f t="shared" si="12"/>
        <v>0</v>
      </c>
      <c r="O108" s="1785"/>
      <c r="P108" s="1818"/>
      <c r="Q108" s="1817"/>
    </row>
    <row r="109" spans="1:18" customFormat="1" ht="15.75" customHeight="1">
      <c r="A109" s="1641" t="s">
        <v>407</v>
      </c>
      <c r="B109" s="1634">
        <f t="shared" si="10"/>
        <v>252.62418300653593</v>
      </c>
      <c r="C109" s="1634">
        <f>C70+C83+C96</f>
        <v>13658460.31372549</v>
      </c>
      <c r="D109" s="1641">
        <f t="shared" si="10"/>
        <v>5</v>
      </c>
      <c r="E109" s="1827">
        <f t="shared" si="10"/>
        <v>37.11</v>
      </c>
      <c r="F109" s="1827">
        <f t="shared" si="10"/>
        <v>2090035.2</v>
      </c>
      <c r="G109" s="1826">
        <f t="shared" si="10"/>
        <v>1</v>
      </c>
      <c r="H109" s="1791">
        <f>E109/B109</f>
        <v>0.14689805052844004</v>
      </c>
      <c r="I109" s="1635">
        <f>F109/C109</f>
        <v>0.15302128878316598</v>
      </c>
      <c r="J109" s="1820">
        <f t="shared" si="12"/>
        <v>0</v>
      </c>
      <c r="K109" s="1820">
        <f t="shared" si="12"/>
        <v>1</v>
      </c>
      <c r="L109" s="1820">
        <f t="shared" si="12"/>
        <v>0</v>
      </c>
      <c r="M109" s="1820">
        <f t="shared" si="12"/>
        <v>0</v>
      </c>
      <c r="N109" s="1863">
        <f t="shared" si="12"/>
        <v>0</v>
      </c>
      <c r="O109" s="1871"/>
      <c r="P109" s="1872"/>
      <c r="Q109" s="1817"/>
      <c r="R109" s="1876"/>
    </row>
    <row r="110" spans="1:18" customFormat="1" ht="25.5" customHeight="1">
      <c r="A110" s="1630" t="s">
        <v>114</v>
      </c>
      <c r="B110" s="1636">
        <f t="shared" ref="B110:G110" si="13">SUM(B105:B109)</f>
        <v>4517</v>
      </c>
      <c r="C110" s="1636">
        <f t="shared" si="13"/>
        <v>237087647.9411765</v>
      </c>
      <c r="D110" s="1793">
        <f t="shared" si="13"/>
        <v>89</v>
      </c>
      <c r="E110" s="1793">
        <f t="shared" si="13"/>
        <v>2669</v>
      </c>
      <c r="F110" s="1793">
        <f t="shared" si="13"/>
        <v>146794893.63999999</v>
      </c>
      <c r="G110" s="1793">
        <f t="shared" si="13"/>
        <v>50</v>
      </c>
      <c r="H110" s="1795">
        <f>E110/B110</f>
        <v>0.59087890192605708</v>
      </c>
      <c r="I110" s="1650">
        <f t="shared" si="11"/>
        <v>0.61915875801518372</v>
      </c>
      <c r="J110" s="1822">
        <f>SUM(J105:J108)</f>
        <v>5</v>
      </c>
      <c r="K110" s="1822">
        <f>SUM(K105:K108)</f>
        <v>11</v>
      </c>
      <c r="L110" s="1831">
        <f>SUM(L105:L108)</f>
        <v>27</v>
      </c>
      <c r="M110" s="1831">
        <f>SUM(M105:M108)</f>
        <v>6</v>
      </c>
      <c r="N110" s="1867">
        <f>SUM(N105:N108)</f>
        <v>0</v>
      </c>
      <c r="O110" s="1785"/>
      <c r="P110" s="1818"/>
      <c r="Q110" s="1817"/>
      <c r="R110" s="1879" t="s">
        <v>262</v>
      </c>
    </row>
    <row r="111" spans="1:18" customFormat="1" ht="27.75" customHeight="1">
      <c r="A111" s="1638" t="s">
        <v>115</v>
      </c>
      <c r="B111" s="1639" t="s">
        <v>100</v>
      </c>
      <c r="C111" s="1639" t="s">
        <v>97</v>
      </c>
      <c r="D111" s="1631" t="s">
        <v>95</v>
      </c>
      <c r="E111" s="1640" t="s">
        <v>101</v>
      </c>
      <c r="F111" s="1640" t="s">
        <v>98</v>
      </c>
      <c r="G111" s="1631" t="s">
        <v>96</v>
      </c>
      <c r="H111" s="1633" t="s">
        <v>102</v>
      </c>
      <c r="I111" s="1633" t="s">
        <v>99</v>
      </c>
      <c r="J111" s="1631">
        <v>0</v>
      </c>
      <c r="K111" s="1631">
        <v>1</v>
      </c>
      <c r="L111" s="1631">
        <v>2</v>
      </c>
      <c r="M111" s="1631">
        <v>3</v>
      </c>
      <c r="N111" s="1862">
        <v>4</v>
      </c>
      <c r="O111" s="1785"/>
      <c r="P111" s="1818"/>
      <c r="Q111" s="1817"/>
      <c r="R111" s="1873"/>
    </row>
    <row r="112" spans="1:18" customFormat="1" ht="23.25" hidden="1" customHeight="1">
      <c r="A112" s="1641"/>
      <c r="B112" s="1634"/>
      <c r="C112" s="1634"/>
      <c r="D112" s="1641"/>
      <c r="E112" s="1642"/>
      <c r="F112" s="1642"/>
      <c r="G112" s="745"/>
      <c r="H112" s="1791" t="e">
        <f t="shared" ref="H112:I114" si="14">E112/B112</f>
        <v>#DIV/0!</v>
      </c>
      <c r="I112" s="1635" t="e">
        <f t="shared" si="14"/>
        <v>#DIV/0!</v>
      </c>
      <c r="J112" s="751"/>
      <c r="K112" s="1829"/>
      <c r="L112" s="751"/>
      <c r="M112" s="751"/>
      <c r="N112" s="1866"/>
      <c r="O112" s="1817"/>
      <c r="P112" s="1818"/>
      <c r="Q112" s="1817"/>
      <c r="R112" s="1875"/>
    </row>
    <row r="113" spans="1:17" customFormat="1">
      <c r="A113" s="1641" t="s">
        <v>16</v>
      </c>
      <c r="B113" s="1634">
        <f t="shared" ref="B113:G113" si="15">B100+B87+B74</f>
        <v>2700.2892156862749</v>
      </c>
      <c r="C113" s="1634">
        <f t="shared" si="15"/>
        <v>139125244.38725489</v>
      </c>
      <c r="D113" s="1828">
        <f t="shared" si="15"/>
        <v>53</v>
      </c>
      <c r="E113" s="1828">
        <f t="shared" si="15"/>
        <v>2250.2099999999996</v>
      </c>
      <c r="F113" s="1634">
        <f t="shared" si="15"/>
        <v>125552126.8</v>
      </c>
      <c r="G113" s="1634">
        <f t="shared" si="15"/>
        <v>41</v>
      </c>
      <c r="H113" s="1791">
        <f>E113/B113</f>
        <v>0.83332184824065658</v>
      </c>
      <c r="I113" s="1635">
        <f t="shared" si="14"/>
        <v>0.90243957775575112</v>
      </c>
      <c r="J113" s="751">
        <f>J74+J87+J100</f>
        <v>2</v>
      </c>
      <c r="K113" s="751">
        <f>K74+K87+K100</f>
        <v>10</v>
      </c>
      <c r="L113" s="751">
        <f>L74+L87+L100</f>
        <v>24</v>
      </c>
      <c r="M113" s="751">
        <f>M74+M87+M100</f>
        <v>5</v>
      </c>
      <c r="N113" s="1866">
        <f>N74+N87+N100</f>
        <v>0</v>
      </c>
      <c r="O113" s="1785"/>
      <c r="P113" s="1818"/>
      <c r="Q113" s="1817"/>
    </row>
    <row r="114" spans="1:17" customFormat="1">
      <c r="A114" s="1630" t="s">
        <v>114</v>
      </c>
      <c r="B114" s="1636">
        <f t="shared" ref="B114:G114" si="16">SUM(B112:B113)</f>
        <v>2700.2892156862749</v>
      </c>
      <c r="C114" s="1636">
        <f t="shared" si="16"/>
        <v>139125244.38725489</v>
      </c>
      <c r="D114" s="1630">
        <f t="shared" si="16"/>
        <v>53</v>
      </c>
      <c r="E114" s="1793">
        <f t="shared" si="16"/>
        <v>2250.2099999999996</v>
      </c>
      <c r="F114" s="1793">
        <f t="shared" si="16"/>
        <v>125552126.8</v>
      </c>
      <c r="G114" s="1630">
        <f t="shared" si="16"/>
        <v>41</v>
      </c>
      <c r="H114" s="1650">
        <f t="shared" si="14"/>
        <v>0.83332184824065658</v>
      </c>
      <c r="I114" s="1650">
        <f t="shared" si="14"/>
        <v>0.90243957775575112</v>
      </c>
      <c r="J114" s="1831">
        <f>SUM(J112:J113)</f>
        <v>2</v>
      </c>
      <c r="K114" s="1831">
        <f>SUM(K112:K113)</f>
        <v>10</v>
      </c>
      <c r="L114" s="1831">
        <f>SUM(L112:L113)</f>
        <v>24</v>
      </c>
      <c r="M114" s="1831">
        <f>SUM(M112:M113)</f>
        <v>5</v>
      </c>
      <c r="N114" s="1867">
        <f>SUM(N112:N113)</f>
        <v>0</v>
      </c>
      <c r="O114" s="1785"/>
      <c r="P114" s="1818"/>
      <c r="Q114" s="1817"/>
    </row>
    <row r="115" spans="1:17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 s="1857"/>
      <c r="O115" s="1785"/>
      <c r="P115" s="1818"/>
      <c r="Q115" s="1817"/>
    </row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O48 O53:O61" xr:uid="{00000000-0002-0000-0400-000000000000}">
      <formula1>#REF!</formula1>
    </dataValidation>
  </dataValidations>
  <pageMargins left="1" right="1" top="1" bottom="1" header="0.5" footer="0.5"/>
  <pageSetup paperSize="9" scale="21" orientation="portrait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5"/>
  <dimension ref="B2:J60"/>
  <sheetViews>
    <sheetView zoomScale="85" zoomScaleNormal="85" workbookViewId="0">
      <selection activeCell="B22" sqref="B22"/>
    </sheetView>
  </sheetViews>
  <sheetFormatPr defaultColWidth="9" defaultRowHeight="15"/>
  <cols>
    <col min="1" max="1" width="4.140625" customWidth="1"/>
    <col min="2" max="2" width="21.42578125" customWidth="1"/>
    <col min="3" max="3" width="24.5703125" customWidth="1"/>
    <col min="4" max="4" width="22" customWidth="1"/>
    <col min="6" max="6" width="9" hidden="1" customWidth="1"/>
    <col min="7" max="7" width="17.7109375" customWidth="1"/>
    <col min="8" max="8" width="10.5703125" customWidth="1"/>
    <col min="9" max="9" width="14" customWidth="1"/>
    <col min="10" max="10" width="20.85546875" customWidth="1"/>
  </cols>
  <sheetData>
    <row r="2" spans="2:10">
      <c r="B2" s="1628" t="s">
        <v>411</v>
      </c>
      <c r="C2" s="1629"/>
      <c r="D2" s="1630" t="s">
        <v>74</v>
      </c>
      <c r="E2" s="1629"/>
      <c r="F2" s="1629"/>
      <c r="G2" s="1629"/>
      <c r="H2" s="1629"/>
      <c r="I2" s="1629"/>
      <c r="J2" s="1629"/>
    </row>
    <row r="3" spans="2:10" ht="25.5">
      <c r="B3" s="1631" t="s">
        <v>1</v>
      </c>
      <c r="C3" s="1632" t="s">
        <v>100</v>
      </c>
      <c r="D3" s="1632" t="s">
        <v>97</v>
      </c>
      <c r="E3" s="1631" t="s">
        <v>95</v>
      </c>
      <c r="F3" s="1788" t="s">
        <v>101</v>
      </c>
      <c r="G3" s="1631" t="s">
        <v>98</v>
      </c>
      <c r="H3" s="1631" t="s">
        <v>96</v>
      </c>
      <c r="I3" s="1633" t="s">
        <v>102</v>
      </c>
      <c r="J3" s="1633" t="s">
        <v>99</v>
      </c>
    </row>
    <row r="4" spans="2:10">
      <c r="B4" s="1641" t="s">
        <v>73</v>
      </c>
      <c r="C4" s="1634">
        <f>Апрель!B102+Май!B42+Июнь!B66</f>
        <v>318.95238095238096</v>
      </c>
      <c r="D4" s="1634">
        <f>Апрель!C102+Май!C42+Июнь!C66</f>
        <v>16208698.5572508</v>
      </c>
      <c r="E4" s="1634">
        <f>Апрель!D102+Май!D42+Июнь!D66</f>
        <v>5</v>
      </c>
      <c r="F4" s="1634">
        <f>Апрель!E102+Май!E42+Июнь!E66</f>
        <v>261.74</v>
      </c>
      <c r="G4" s="1634">
        <f>Апрель!F102+Май!F42+Июнь!F66</f>
        <v>14251372.030000001</v>
      </c>
      <c r="H4" s="1634">
        <f>Апрель!G102+Май!G42+Июнь!G66</f>
        <v>4</v>
      </c>
      <c r="I4" s="1791">
        <f t="shared" ref="I4:J10" si="0">F4/C4</f>
        <v>0.82062406688563749</v>
      </c>
      <c r="J4" s="1635">
        <f t="shared" si="0"/>
        <v>0.87924221550932558</v>
      </c>
    </row>
    <row r="5" spans="2:10">
      <c r="B5" s="1641" t="s">
        <v>20</v>
      </c>
      <c r="C5" s="1634">
        <f>Апрель!B103+Май!B43+Июнь!B67</f>
        <v>189.17460317460319</v>
      </c>
      <c r="D5" s="1634">
        <f>Апрель!C103+Май!C43+Июнь!C67</f>
        <v>9648415.2239174657</v>
      </c>
      <c r="E5" s="1634">
        <f>Апрель!D103+Май!D43+Июнь!D67</f>
        <v>3</v>
      </c>
      <c r="F5" s="1634">
        <f>Апрель!E103+Май!E43+Июнь!E67</f>
        <v>308.77999999999997</v>
      </c>
      <c r="G5" s="1634">
        <f>Апрель!F103+Май!F43+Июнь!F67</f>
        <v>15272757.66</v>
      </c>
      <c r="H5" s="1634">
        <f>Апрель!G103+Май!G43+Июнь!G67</f>
        <v>4</v>
      </c>
      <c r="I5" s="1791">
        <f t="shared" si="0"/>
        <v>1.6322486994462155</v>
      </c>
      <c r="J5" s="1635">
        <f t="shared" si="0"/>
        <v>1.5829291448962879</v>
      </c>
    </row>
    <row r="6" spans="2:10">
      <c r="B6" s="1641" t="s">
        <v>63</v>
      </c>
      <c r="C6" s="1634">
        <f>Апрель!B104+Май!B44+Июнь!B68</f>
        <v>254.06349206349205</v>
      </c>
      <c r="D6" s="1634">
        <f>Апрель!C104+Май!C44+Июнь!C68</f>
        <v>12928556.890584134</v>
      </c>
      <c r="E6" s="1634">
        <f>Апрель!D104+Май!D44+Июнь!D68</f>
        <v>4</v>
      </c>
      <c r="F6" s="1634">
        <f>Апрель!E104+Май!E44+Июнь!E68</f>
        <v>275.26</v>
      </c>
      <c r="G6" s="1634">
        <f>Апрель!F104+Май!F44+Июнь!F68</f>
        <v>13431218.620000001</v>
      </c>
      <c r="H6" s="1634">
        <f>Апрель!G104+Май!G44+Июнь!G68</f>
        <v>4</v>
      </c>
      <c r="I6" s="1791">
        <f t="shared" si="0"/>
        <v>1.0834299637635887</v>
      </c>
      <c r="J6" s="1635">
        <f t="shared" si="0"/>
        <v>1.0388799564924338</v>
      </c>
    </row>
    <row r="7" spans="2:10">
      <c r="B7" s="1641" t="s">
        <v>77</v>
      </c>
      <c r="C7" s="1634">
        <f>Апрель!B105+Май!B45+Июнь!B69</f>
        <v>254.06349206349205</v>
      </c>
      <c r="D7" s="1634">
        <f>Апрель!C105+Май!C45+Июнь!C69</f>
        <v>12928556.890584134</v>
      </c>
      <c r="E7" s="1634">
        <f>Апрель!D105+Май!D45+Июнь!D69</f>
        <v>4</v>
      </c>
      <c r="F7" s="1634">
        <f>Апрель!E105+Май!E45+Июнь!E69</f>
        <v>185.7</v>
      </c>
      <c r="G7" s="1634">
        <f>Апрель!F105+Май!F45+Июнь!F69</f>
        <v>8690024.0199999996</v>
      </c>
      <c r="H7" s="1634">
        <f>Апрель!G105+Май!G45+Июнь!G69</f>
        <v>3</v>
      </c>
      <c r="I7" s="1791">
        <f t="shared" si="0"/>
        <v>0.73091965512932655</v>
      </c>
      <c r="J7" s="1635">
        <f t="shared" si="0"/>
        <v>0.67215730986409961</v>
      </c>
    </row>
    <row r="8" spans="2:10">
      <c r="B8" s="1641" t="s">
        <v>407</v>
      </c>
      <c r="C8" s="1634">
        <f>Июнь!B70</f>
        <v>64.888888888888886</v>
      </c>
      <c r="D8" s="1634">
        <f>Июнь!C70</f>
        <v>3280141.6666666665</v>
      </c>
      <c r="E8" s="1634">
        <f>Июнь!D70</f>
        <v>1</v>
      </c>
      <c r="F8" s="1634">
        <f>Июнь!E70</f>
        <v>0</v>
      </c>
      <c r="G8" s="1634">
        <f>Июнь!F70</f>
        <v>0</v>
      </c>
      <c r="H8" s="1634">
        <f>Июнь!G70</f>
        <v>0</v>
      </c>
      <c r="I8" s="1791">
        <f t="shared" si="0"/>
        <v>0</v>
      </c>
      <c r="J8" s="1635">
        <f t="shared" si="0"/>
        <v>0</v>
      </c>
    </row>
    <row r="9" spans="2:10">
      <c r="B9" s="1641"/>
      <c r="C9" s="1634"/>
      <c r="D9" s="1634"/>
      <c r="E9" s="1634"/>
      <c r="F9" s="1634"/>
      <c r="G9" s="1634"/>
      <c r="H9" s="1634"/>
      <c r="I9" s="1791"/>
      <c r="J9" s="1635"/>
    </row>
    <row r="10" spans="2:10">
      <c r="B10" s="1630" t="s">
        <v>114</v>
      </c>
      <c r="C10" s="1636">
        <f t="shared" ref="C10:H10" si="1">SUM(C4:C8)</f>
        <v>1081.1428571428571</v>
      </c>
      <c r="D10" s="1636">
        <f t="shared" si="1"/>
        <v>54994369.229003198</v>
      </c>
      <c r="E10" s="1636">
        <f t="shared" si="1"/>
        <v>17</v>
      </c>
      <c r="F10" s="1636">
        <f t="shared" si="1"/>
        <v>1031.48</v>
      </c>
      <c r="G10" s="1636">
        <f t="shared" si="1"/>
        <v>51645372.329999998</v>
      </c>
      <c r="H10" s="1636">
        <f t="shared" si="1"/>
        <v>15</v>
      </c>
      <c r="I10" s="1795">
        <f>F10/C10</f>
        <v>0.95406448202959837</v>
      </c>
      <c r="J10" s="1650">
        <f t="shared" si="0"/>
        <v>0.93910291278989722</v>
      </c>
    </row>
    <row r="11" spans="2:10" ht="25.5">
      <c r="B11" s="1638" t="s">
        <v>115</v>
      </c>
      <c r="C11" s="1639" t="s">
        <v>100</v>
      </c>
      <c r="D11" s="1639" t="s">
        <v>97</v>
      </c>
      <c r="E11" s="1631" t="s">
        <v>95</v>
      </c>
      <c r="F11" s="1640" t="s">
        <v>101</v>
      </c>
      <c r="G11" s="1640" t="s">
        <v>98</v>
      </c>
      <c r="H11" s="1631" t="s">
        <v>96</v>
      </c>
      <c r="I11" s="1633" t="s">
        <v>102</v>
      </c>
      <c r="J11" s="1633" t="s">
        <v>99</v>
      </c>
    </row>
    <row r="12" spans="2:10" hidden="1">
      <c r="B12" s="1641"/>
      <c r="C12" s="1634"/>
      <c r="D12" s="1634"/>
      <c r="E12" s="1641"/>
      <c r="F12" s="1642"/>
      <c r="G12" s="1642"/>
      <c r="H12" s="745"/>
      <c r="I12" s="1791" t="e">
        <f>F12/C12</f>
        <v>#DIV/0!</v>
      </c>
      <c r="J12" s="1635" t="e">
        <f>G12/D12</f>
        <v>#DIV/0!</v>
      </c>
    </row>
    <row r="13" spans="2:10">
      <c r="B13" s="1641" t="s">
        <v>16</v>
      </c>
      <c r="C13" s="1634">
        <f>Апрель!B109+Июнь!B74</f>
        <v>824.33333333333326</v>
      </c>
      <c r="D13" s="1634">
        <f>Апрель!C109+Июнь!C74</f>
        <v>41969807.4503778</v>
      </c>
      <c r="E13" s="1634">
        <f>Апрель!D109+Июнь!D74</f>
        <v>13</v>
      </c>
      <c r="F13" s="1634">
        <f>Апрель!E109+Июнь!E74</f>
        <v>691.26</v>
      </c>
      <c r="G13" s="1634">
        <f>Апрель!F109+Июнь!F74</f>
        <v>35404815.280000001</v>
      </c>
      <c r="H13" s="1634">
        <f>Апрель!G109+Июнь!G74</f>
        <v>10</v>
      </c>
      <c r="I13" s="1791">
        <f>F13/C13</f>
        <v>0.83856854023453298</v>
      </c>
      <c r="J13" s="1635">
        <f t="shared" ref="I13:J15" si="2">G13/D13</f>
        <v>0.8435782156460977</v>
      </c>
    </row>
    <row r="14" spans="2:10">
      <c r="B14" s="1641"/>
      <c r="C14" s="1634"/>
      <c r="D14" s="1634"/>
      <c r="E14" s="1634"/>
      <c r="F14" s="1634"/>
      <c r="G14" s="1634"/>
      <c r="H14" s="1634"/>
      <c r="I14" s="1791"/>
      <c r="J14" s="1635"/>
    </row>
    <row r="15" spans="2:10">
      <c r="B15" s="1630" t="s">
        <v>114</v>
      </c>
      <c r="C15" s="1636">
        <f t="shared" ref="C15:H15" si="3">SUM(C12:C13)</f>
        <v>824.33333333333326</v>
      </c>
      <c r="D15" s="1636">
        <f t="shared" si="3"/>
        <v>41969807.4503778</v>
      </c>
      <c r="E15" s="1630">
        <f t="shared" si="3"/>
        <v>13</v>
      </c>
      <c r="F15" s="1793">
        <f t="shared" si="3"/>
        <v>691.26</v>
      </c>
      <c r="G15" s="1793">
        <f t="shared" si="3"/>
        <v>35404815.280000001</v>
      </c>
      <c r="H15" s="1630">
        <f t="shared" si="3"/>
        <v>10</v>
      </c>
      <c r="I15" s="1650">
        <f t="shared" si="2"/>
        <v>0.83856854023453298</v>
      </c>
      <c r="J15" s="1650">
        <f t="shared" si="2"/>
        <v>0.8435782156460977</v>
      </c>
    </row>
    <row r="16" spans="2:10">
      <c r="B16" s="1643"/>
      <c r="C16" s="1644"/>
      <c r="D16" s="1644"/>
      <c r="E16" s="1643"/>
      <c r="F16" s="1645"/>
      <c r="G16" s="1645"/>
      <c r="H16" s="1643"/>
      <c r="I16" s="1646"/>
      <c r="J16" s="1646"/>
    </row>
    <row r="17" spans="2:10">
      <c r="B17" s="1628" t="s">
        <v>411</v>
      </c>
      <c r="C17" s="1647"/>
      <c r="D17" s="1636" t="s">
        <v>121</v>
      </c>
      <c r="E17" s="1629"/>
      <c r="F17" s="1648"/>
      <c r="G17" s="1648"/>
      <c r="H17" s="1629"/>
      <c r="I17" s="1649"/>
      <c r="J17" s="1649"/>
    </row>
    <row r="18" spans="2:10" ht="25.5">
      <c r="B18" s="1631" t="s">
        <v>1</v>
      </c>
      <c r="C18" s="1639" t="s">
        <v>100</v>
      </c>
      <c r="D18" s="1639" t="s">
        <v>97</v>
      </c>
      <c r="E18" s="1631" t="s">
        <v>95</v>
      </c>
      <c r="F18" s="1640" t="s">
        <v>101</v>
      </c>
      <c r="G18" s="1640" t="s">
        <v>98</v>
      </c>
      <c r="H18" s="1631" t="s">
        <v>96</v>
      </c>
      <c r="I18" s="1633" t="s">
        <v>102</v>
      </c>
      <c r="J18" s="1633" t="s">
        <v>99</v>
      </c>
    </row>
    <row r="19" spans="2:10">
      <c r="B19" s="1641" t="s">
        <v>73</v>
      </c>
      <c r="C19" s="1634">
        <f>Апрель!B115+Май!B55+Июнь!B79</f>
        <v>2136.3098860023133</v>
      </c>
      <c r="D19" s="1634">
        <f>Апрель!C115+Май!C55+Июнь!C79</f>
        <v>113435928.79809371</v>
      </c>
      <c r="E19" s="1634">
        <f>Апрель!D115+Май!D55+Июнь!D79</f>
        <v>44</v>
      </c>
      <c r="F19" s="1634">
        <f>Апрель!E115+Май!E55+Июнь!E79</f>
        <v>2115.08</v>
      </c>
      <c r="G19" s="1634">
        <f>Апрель!F115+Май!F55+Июнь!F79</f>
        <v>115276374.29000001</v>
      </c>
      <c r="H19" s="1634">
        <f>Апрель!G115+Май!G55+Июнь!G79</f>
        <v>40</v>
      </c>
      <c r="I19" s="1791">
        <f t="shared" ref="I19:J25" si="4">F19/C19</f>
        <v>0.99006235652354679</v>
      </c>
      <c r="J19" s="1635">
        <f t="shared" si="4"/>
        <v>1.0162245375993892</v>
      </c>
    </row>
    <row r="20" spans="2:10">
      <c r="B20" s="1641" t="s">
        <v>20</v>
      </c>
      <c r="C20" s="1634">
        <f>Апрель!B116+Май!B56+Июнь!B80</f>
        <v>1735.3687095317252</v>
      </c>
      <c r="D20" s="1634">
        <f>Апрель!C116+Май!C56+Июнь!C80</f>
        <v>92679291.503976047</v>
      </c>
      <c r="E20" s="1634">
        <f>Апрель!D116+Май!D56+Июнь!D80</f>
        <v>36</v>
      </c>
      <c r="F20" s="1634">
        <f>Апрель!E116+Май!E56+Июнь!E80</f>
        <v>1730</v>
      </c>
      <c r="G20" s="1634">
        <f>Апрель!F116+Май!F56+Июнь!F80</f>
        <v>89625496.939999998</v>
      </c>
      <c r="H20" s="1634">
        <f>Апрель!G116+Май!G56+Июнь!G80</f>
        <v>33</v>
      </c>
      <c r="I20" s="1791">
        <f t="shared" si="4"/>
        <v>0.99690630037165184</v>
      </c>
      <c r="J20" s="1635">
        <f t="shared" si="4"/>
        <v>0.96704987150398058</v>
      </c>
    </row>
    <row r="21" spans="2:10">
      <c r="B21" s="1641" t="s">
        <v>63</v>
      </c>
      <c r="C21" s="1634">
        <f>Апрель!B117+Май!B57+Июнь!B81</f>
        <v>2186.4275330611372</v>
      </c>
      <c r="D21" s="1634">
        <f>Апрель!C117+Май!C57+Июнь!C81</f>
        <v>116030508.45985842</v>
      </c>
      <c r="E21" s="1634">
        <f>Апрель!D117+Май!D57+Июнь!D81</f>
        <v>45</v>
      </c>
      <c r="F21" s="1634">
        <f>Апрель!E117+Май!E57+Июнь!E81</f>
        <v>1722.94</v>
      </c>
      <c r="G21" s="1634">
        <f>Апрель!F117+Май!F57+Июнь!F81</f>
        <v>93418397.950000003</v>
      </c>
      <c r="H21" s="1634">
        <f>Апрель!G117+Май!G57+Июнь!G81</f>
        <v>35</v>
      </c>
      <c r="I21" s="1791">
        <f t="shared" si="4"/>
        <v>0.78801605539049113</v>
      </c>
      <c r="J21" s="1635">
        <f t="shared" si="4"/>
        <v>0.8051192672513261</v>
      </c>
    </row>
    <row r="22" spans="2:10">
      <c r="B22" s="1641" t="s">
        <v>77</v>
      </c>
      <c r="C22" s="1634">
        <f>Апрель!B118+Май!B58+Июнь!B82</f>
        <v>2186.4275330611372</v>
      </c>
      <c r="D22" s="1634">
        <f>Апрель!C118+Май!C58+Июнь!C82</f>
        <v>116030508.45985842</v>
      </c>
      <c r="E22" s="1634">
        <f>Апрель!D118+Май!D58+Июнь!D82</f>
        <v>45</v>
      </c>
      <c r="F22" s="1634">
        <f>Апрель!E118+Май!E58+Июнь!E82</f>
        <v>1701.8200000000002</v>
      </c>
      <c r="G22" s="1634">
        <f>Апрель!F118+Май!F58+Июнь!F82</f>
        <v>90110913.140000015</v>
      </c>
      <c r="H22" s="1634">
        <f>Апрель!G118+Май!G58+Июнь!G82</f>
        <v>36</v>
      </c>
      <c r="I22" s="1791">
        <f>F22/C22</f>
        <v>0.77835646243319312</v>
      </c>
      <c r="J22" s="1635">
        <f>G22/D22</f>
        <v>0.77661396417283246</v>
      </c>
    </row>
    <row r="23" spans="2:10">
      <c r="B23" s="1641" t="s">
        <v>407</v>
      </c>
      <c r="C23" s="1634">
        <f>Июнь!B83</f>
        <v>100.23529411764706</v>
      </c>
      <c r="D23" s="1634">
        <f>Июнь!C83</f>
        <v>5189159.323529412</v>
      </c>
      <c r="E23" s="1634">
        <f>Июнь!D83</f>
        <v>2</v>
      </c>
      <c r="F23" s="1634">
        <f>Июнь!E83</f>
        <v>0</v>
      </c>
      <c r="G23" s="1634">
        <f>Июнь!F83</f>
        <v>0</v>
      </c>
      <c r="H23" s="1634">
        <f>Июнь!G83</f>
        <v>0</v>
      </c>
      <c r="I23" s="1791">
        <f>F23/C23</f>
        <v>0</v>
      </c>
      <c r="J23" s="1635">
        <f>G23/D23</f>
        <v>0</v>
      </c>
    </row>
    <row r="24" spans="2:10">
      <c r="B24" s="1641"/>
      <c r="C24" s="1634"/>
      <c r="D24" s="1634"/>
      <c r="E24" s="1634"/>
      <c r="F24" s="1634"/>
      <c r="G24" s="1634"/>
      <c r="H24" s="1634"/>
      <c r="I24" s="1791"/>
      <c r="J24" s="1635"/>
    </row>
    <row r="25" spans="2:10">
      <c r="B25" s="1630" t="s">
        <v>114</v>
      </c>
      <c r="C25" s="1636">
        <f t="shared" ref="C25:H25" si="5">SUM(C19:C23)</f>
        <v>8344.7689557739595</v>
      </c>
      <c r="D25" s="1636">
        <f t="shared" si="5"/>
        <v>443365396.54531604</v>
      </c>
      <c r="E25" s="1636">
        <f t="shared" si="5"/>
        <v>172</v>
      </c>
      <c r="F25" s="1636">
        <f t="shared" si="5"/>
        <v>7269.84</v>
      </c>
      <c r="G25" s="1636">
        <f t="shared" si="5"/>
        <v>388431182.32000005</v>
      </c>
      <c r="H25" s="1636">
        <f t="shared" si="5"/>
        <v>144</v>
      </c>
      <c r="I25" s="1795">
        <f t="shared" si="4"/>
        <v>0.87118529446759718</v>
      </c>
      <c r="J25" s="1650">
        <f t="shared" si="4"/>
        <v>0.8760971996160255</v>
      </c>
    </row>
    <row r="26" spans="2:10" ht="25.5">
      <c r="B26" s="1638" t="s">
        <v>115</v>
      </c>
      <c r="C26" s="1639" t="s">
        <v>100</v>
      </c>
      <c r="D26" s="1639" t="s">
        <v>97</v>
      </c>
      <c r="E26" s="1631" t="s">
        <v>95</v>
      </c>
      <c r="F26" s="1640" t="s">
        <v>101</v>
      </c>
      <c r="G26" s="1640" t="s">
        <v>98</v>
      </c>
      <c r="H26" s="1631" t="s">
        <v>96</v>
      </c>
      <c r="I26" s="1633" t="s">
        <v>102</v>
      </c>
      <c r="J26" s="1633" t="s">
        <v>99</v>
      </c>
    </row>
    <row r="27" spans="2:10" hidden="1">
      <c r="B27" s="1641"/>
      <c r="C27" s="1634"/>
      <c r="D27" s="1634"/>
      <c r="E27" s="1641"/>
      <c r="F27" s="1642"/>
      <c r="G27" s="1642"/>
      <c r="H27" s="745"/>
      <c r="I27" s="1791" t="e">
        <f t="shared" ref="I27:J30" si="6">F27/C27</f>
        <v>#DIV/0!</v>
      </c>
      <c r="J27" s="1635" t="e">
        <f t="shared" si="6"/>
        <v>#DIV/0!</v>
      </c>
    </row>
    <row r="28" spans="2:10">
      <c r="B28" s="1641" t="s">
        <v>16</v>
      </c>
      <c r="C28" s="1634">
        <f>Апрель!B122+Май!B62+Июнь!B87</f>
        <v>5559.2219218539849</v>
      </c>
      <c r="D28" s="1634">
        <f>Апрель!C122+Май!C62+Июнь!C87</f>
        <v>294981128.93200946</v>
      </c>
      <c r="E28" s="1634">
        <f>Апрель!D122+Май!D62+Июнь!D87</f>
        <v>115</v>
      </c>
      <c r="F28" s="1634">
        <f>Апрель!E122+Май!E62+Июнь!E87</f>
        <v>5481.7</v>
      </c>
      <c r="G28" s="1634">
        <f>Апрель!F122+Май!F62+Июнь!F87</f>
        <v>295720501.23999995</v>
      </c>
      <c r="H28" s="1634">
        <f>Апрель!G122+Май!G62+Июнь!G87</f>
        <v>104</v>
      </c>
      <c r="I28" s="1791">
        <f t="shared" si="6"/>
        <v>0.98605525684282602</v>
      </c>
      <c r="J28" s="1635">
        <f t="shared" si="6"/>
        <v>1.0025065071473129</v>
      </c>
    </row>
    <row r="29" spans="2:10">
      <c r="B29" s="1641"/>
      <c r="C29" s="1634"/>
      <c r="D29" s="1634"/>
      <c r="E29" s="1634"/>
      <c r="F29" s="1634"/>
      <c r="G29" s="1634"/>
      <c r="H29" s="1634"/>
      <c r="I29" s="1791"/>
      <c r="J29" s="1635"/>
    </row>
    <row r="30" spans="2:10">
      <c r="B30" s="1630" t="s">
        <v>114</v>
      </c>
      <c r="C30" s="1636">
        <f t="shared" ref="C30:H30" si="7">SUM(C27:C28)</f>
        <v>5559.2219218539849</v>
      </c>
      <c r="D30" s="1636">
        <f t="shared" si="7"/>
        <v>294981128.93200946</v>
      </c>
      <c r="E30" s="1630">
        <f t="shared" si="7"/>
        <v>115</v>
      </c>
      <c r="F30" s="1793">
        <f t="shared" si="7"/>
        <v>5481.7</v>
      </c>
      <c r="G30" s="1793">
        <f t="shared" si="7"/>
        <v>295720501.23999995</v>
      </c>
      <c r="H30" s="1630">
        <f t="shared" si="7"/>
        <v>104</v>
      </c>
      <c r="I30" s="1650">
        <f t="shared" si="6"/>
        <v>0.98605525684282602</v>
      </c>
      <c r="J30" s="1650">
        <f t="shared" si="6"/>
        <v>1.0025065071473129</v>
      </c>
    </row>
    <row r="31" spans="2:10">
      <c r="B31" s="1643"/>
      <c r="C31" s="1651"/>
      <c r="D31" s="1651"/>
      <c r="E31" s="1643"/>
      <c r="F31" s="1645"/>
      <c r="G31" s="1645"/>
      <c r="H31" s="1643"/>
      <c r="I31" s="1646"/>
      <c r="J31" s="1646"/>
    </row>
    <row r="32" spans="2:10">
      <c r="B32" s="1628" t="s">
        <v>411</v>
      </c>
      <c r="C32" s="1647"/>
      <c r="D32" s="1636" t="s">
        <v>27</v>
      </c>
      <c r="E32" s="1629"/>
      <c r="F32" s="1648"/>
      <c r="G32" s="1648"/>
      <c r="H32" s="1629"/>
      <c r="I32" s="1649"/>
      <c r="J32" s="1649"/>
    </row>
    <row r="33" spans="2:10" ht="25.5">
      <c r="B33" s="1631" t="s">
        <v>1</v>
      </c>
      <c r="C33" s="1639" t="s">
        <v>100</v>
      </c>
      <c r="D33" s="1639" t="s">
        <v>97</v>
      </c>
      <c r="E33" s="1631" t="s">
        <v>95</v>
      </c>
      <c r="F33" s="1640" t="s">
        <v>101</v>
      </c>
      <c r="G33" s="1640" t="s">
        <v>98</v>
      </c>
      <c r="H33" s="1631" t="s">
        <v>96</v>
      </c>
      <c r="I33" s="1633" t="s">
        <v>102</v>
      </c>
      <c r="J33" s="1633" t="s">
        <v>99</v>
      </c>
    </row>
    <row r="34" spans="2:10">
      <c r="B34" s="1641" t="s">
        <v>73</v>
      </c>
      <c r="C34" s="1634">
        <f>Июнь!B92</f>
        <v>131.25</v>
      </c>
      <c r="D34" s="1634">
        <f>Июнь!C92</f>
        <v>7783738.9852941185</v>
      </c>
      <c r="E34" s="1634">
        <f>Июнь!D92</f>
        <v>3</v>
      </c>
      <c r="F34" s="1634">
        <f>Июнь!E92</f>
        <v>195.92999999999998</v>
      </c>
      <c r="G34" s="1634">
        <f>Июнь!F92</f>
        <v>10169069.800000001</v>
      </c>
      <c r="H34" s="1634">
        <f>Июнь!G92</f>
        <v>5</v>
      </c>
      <c r="I34" s="1791">
        <f t="shared" ref="I34:J40" si="8">F34/C34</f>
        <v>1.4927999999999999</v>
      </c>
      <c r="J34" s="1635">
        <f t="shared" si="8"/>
        <v>1.3064505142339058</v>
      </c>
    </row>
    <row r="35" spans="2:10">
      <c r="B35" s="1641" t="s">
        <v>20</v>
      </c>
      <c r="C35" s="1634">
        <f>Июнь!B93</f>
        <v>43.75</v>
      </c>
      <c r="D35" s="1634">
        <f>Июнь!C93</f>
        <v>2594579.661764706</v>
      </c>
      <c r="E35" s="1634">
        <f>Июнь!D93</f>
        <v>1</v>
      </c>
      <c r="F35" s="1634">
        <f>Июнь!E93</f>
        <v>59.93</v>
      </c>
      <c r="G35" s="1634">
        <f>Июнь!F93</f>
        <v>3414811.4</v>
      </c>
      <c r="H35" s="1634">
        <f>Июнь!G93</f>
        <v>1</v>
      </c>
      <c r="I35" s="1791">
        <f t="shared" si="8"/>
        <v>1.3698285714285714</v>
      </c>
      <c r="J35" s="1635">
        <f t="shared" si="8"/>
        <v>1.316132801903416</v>
      </c>
    </row>
    <row r="36" spans="2:10">
      <c r="B36" s="1641" t="s">
        <v>63</v>
      </c>
      <c r="C36" s="1634">
        <f>Июнь!B94</f>
        <v>131.25</v>
      </c>
      <c r="D36" s="1634">
        <f>Июнь!C94</f>
        <v>7783738.9852941185</v>
      </c>
      <c r="E36" s="1634">
        <f>Июнь!D94</f>
        <v>3</v>
      </c>
      <c r="F36" s="1634">
        <f>Июнь!E94</f>
        <v>119.38</v>
      </c>
      <c r="G36" s="1634">
        <f>Июнь!F94</f>
        <v>5809436.2000000002</v>
      </c>
      <c r="H36" s="1634">
        <f>Июнь!G94</f>
        <v>2</v>
      </c>
      <c r="I36" s="1791">
        <f t="shared" si="8"/>
        <v>0.90956190476190468</v>
      </c>
      <c r="J36" s="1635">
        <f t="shared" si="8"/>
        <v>0.74635547401779723</v>
      </c>
    </row>
    <row r="37" spans="2:10">
      <c r="B37" s="1641" t="s">
        <v>77</v>
      </c>
      <c r="C37" s="1634">
        <f>Июнь!B95</f>
        <v>131.25</v>
      </c>
      <c r="D37" s="1634">
        <f>Июнь!C95</f>
        <v>7783738.9852941185</v>
      </c>
      <c r="E37" s="1634">
        <f>Июнь!D95</f>
        <v>3</v>
      </c>
      <c r="F37" s="1634">
        <f>Июнь!E95</f>
        <v>203.61999999999998</v>
      </c>
      <c r="G37" s="1634">
        <f>Июнь!F95</f>
        <v>10700414.800000001</v>
      </c>
      <c r="H37" s="1634">
        <f>Июнь!G95</f>
        <v>6</v>
      </c>
      <c r="I37" s="1791">
        <f>F37/C37</f>
        <v>1.551390476190476</v>
      </c>
      <c r="J37" s="1635">
        <f>G37/D37</f>
        <v>1.3747139800314967</v>
      </c>
    </row>
    <row r="38" spans="2:10">
      <c r="B38" s="1641" t="s">
        <v>407</v>
      </c>
      <c r="C38" s="1634">
        <f>Июнь!B96</f>
        <v>87.5</v>
      </c>
      <c r="D38" s="1634">
        <f>Июнь!C96</f>
        <v>5189159.323529412</v>
      </c>
      <c r="E38" s="1634">
        <f>Июнь!D96</f>
        <v>2</v>
      </c>
      <c r="F38" s="1634">
        <f>Июнь!E96</f>
        <v>37.11</v>
      </c>
      <c r="G38" s="1634">
        <f>Июнь!F96</f>
        <v>2090035.2</v>
      </c>
      <c r="H38" s="1634">
        <f>Июнь!G96</f>
        <v>1</v>
      </c>
      <c r="I38" s="1791">
        <f>F38/C38</f>
        <v>0.42411428571428572</v>
      </c>
      <c r="J38" s="1635">
        <f>G38/D38</f>
        <v>0.4027695180841856</v>
      </c>
    </row>
    <row r="39" spans="2:10">
      <c r="B39" s="1641"/>
      <c r="C39" s="1634"/>
      <c r="D39" s="1634"/>
      <c r="E39" s="1634"/>
      <c r="F39" s="1634"/>
      <c r="G39" s="1634"/>
      <c r="H39" s="1634"/>
      <c r="I39" s="1791"/>
      <c r="J39" s="1635"/>
    </row>
    <row r="40" spans="2:10">
      <c r="B40" s="1630" t="s">
        <v>114</v>
      </c>
      <c r="C40" s="1636">
        <f t="shared" ref="C40:H40" si="9">SUM(C34:C38)</f>
        <v>525</v>
      </c>
      <c r="D40" s="1636">
        <f t="shared" si="9"/>
        <v>31134955.94117647</v>
      </c>
      <c r="E40" s="1636">
        <f t="shared" si="9"/>
        <v>12</v>
      </c>
      <c r="F40" s="1636">
        <f t="shared" si="9"/>
        <v>615.97</v>
      </c>
      <c r="G40" s="1636">
        <f t="shared" si="9"/>
        <v>32183767.400000002</v>
      </c>
      <c r="H40" s="1636">
        <f t="shared" si="9"/>
        <v>15</v>
      </c>
      <c r="I40" s="1795">
        <f t="shared" si="8"/>
        <v>1.1732761904761906</v>
      </c>
      <c r="J40" s="1650">
        <f t="shared" si="8"/>
        <v>1.0336859785767822</v>
      </c>
    </row>
    <row r="41" spans="2:10" ht="25.5">
      <c r="B41" s="1638" t="s">
        <v>115</v>
      </c>
      <c r="C41" s="1639" t="s">
        <v>100</v>
      </c>
      <c r="D41" s="1639" t="s">
        <v>97</v>
      </c>
      <c r="E41" s="1631" t="s">
        <v>95</v>
      </c>
      <c r="F41" s="1640" t="s">
        <v>101</v>
      </c>
      <c r="G41" s="1640" t="s">
        <v>98</v>
      </c>
      <c r="H41" s="1631" t="s">
        <v>96</v>
      </c>
      <c r="I41" s="1633" t="s">
        <v>102</v>
      </c>
      <c r="J41" s="1633" t="s">
        <v>99</v>
      </c>
    </row>
    <row r="42" spans="2:10" hidden="1">
      <c r="B42" s="1641"/>
      <c r="C42" s="1634"/>
      <c r="D42" s="1634"/>
      <c r="E42" s="1641"/>
      <c r="F42" s="1642"/>
      <c r="G42" s="1642"/>
      <c r="H42" s="745"/>
      <c r="I42" s="1791" t="e">
        <f t="shared" ref="I42:J45" si="10">F42/C42</f>
        <v>#DIV/0!</v>
      </c>
      <c r="J42" s="1635" t="e">
        <f t="shared" si="10"/>
        <v>#DIV/0!</v>
      </c>
    </row>
    <row r="43" spans="2:10">
      <c r="B43" s="1641" t="s">
        <v>16</v>
      </c>
      <c r="C43" s="1634">
        <f>Июнь!B100</f>
        <v>306.25</v>
      </c>
      <c r="D43" s="1634">
        <f>Июнь!C100</f>
        <v>15661207.916666666</v>
      </c>
      <c r="E43" s="1634">
        <f>Июнь!D100</f>
        <v>7</v>
      </c>
      <c r="F43" s="1634">
        <f>Июнь!E100</f>
        <v>471.03999999999996</v>
      </c>
      <c r="G43" s="1634">
        <f>Июнь!F100</f>
        <v>23887864.600000001</v>
      </c>
      <c r="H43" s="1634">
        <f>Июнь!G100</f>
        <v>10</v>
      </c>
      <c r="I43" s="1791">
        <f>F43/C43</f>
        <v>1.5380897959183673</v>
      </c>
      <c r="J43" s="1635">
        <f t="shared" si="10"/>
        <v>1.5252887725587578</v>
      </c>
    </row>
    <row r="44" spans="2:10">
      <c r="B44" s="1641"/>
      <c r="C44" s="1634"/>
      <c r="D44" s="1634"/>
      <c r="E44" s="1634"/>
      <c r="F44" s="1634"/>
      <c r="G44" s="1634"/>
      <c r="H44" s="1634"/>
      <c r="I44" s="1791"/>
      <c r="J44" s="1635"/>
    </row>
    <row r="45" spans="2:10">
      <c r="B45" s="1630" t="s">
        <v>114</v>
      </c>
      <c r="C45" s="1636">
        <f t="shared" ref="C45:H45" si="11">SUM(C42:C43)</f>
        <v>306.25</v>
      </c>
      <c r="D45" s="1636">
        <f t="shared" si="11"/>
        <v>15661207.916666666</v>
      </c>
      <c r="E45" s="1630">
        <f t="shared" si="11"/>
        <v>7</v>
      </c>
      <c r="F45" s="1793">
        <f t="shared" si="11"/>
        <v>471.03999999999996</v>
      </c>
      <c r="G45" s="1793">
        <f t="shared" si="11"/>
        <v>23887864.600000001</v>
      </c>
      <c r="H45" s="1630">
        <f t="shared" si="11"/>
        <v>10</v>
      </c>
      <c r="I45" s="1650">
        <f t="shared" si="10"/>
        <v>1.5380897959183673</v>
      </c>
      <c r="J45" s="1650">
        <f t="shared" si="10"/>
        <v>1.5252887725587578</v>
      </c>
    </row>
    <row r="46" spans="2:10">
      <c r="B46" s="1652"/>
      <c r="C46" s="1653"/>
      <c r="D46" s="1653"/>
      <c r="E46" s="1652"/>
      <c r="F46" s="1654"/>
      <c r="G46" s="1654"/>
      <c r="H46" s="1652"/>
      <c r="I46" s="1655"/>
      <c r="J46" s="1655"/>
    </row>
    <row r="47" spans="2:10">
      <c r="B47" s="1628" t="s">
        <v>411</v>
      </c>
      <c r="C47" s="1647"/>
      <c r="D47" s="1636" t="s">
        <v>412</v>
      </c>
      <c r="E47" s="1629"/>
      <c r="F47" s="1648"/>
      <c r="G47" s="1648"/>
      <c r="H47" s="1629"/>
      <c r="I47" s="1649"/>
      <c r="J47" s="1649"/>
    </row>
    <row r="48" spans="2:10" ht="25.5">
      <c r="B48" s="1631" t="s">
        <v>1</v>
      </c>
      <c r="C48" s="1639" t="s">
        <v>100</v>
      </c>
      <c r="D48" s="1639" t="s">
        <v>97</v>
      </c>
      <c r="E48" s="1631" t="s">
        <v>95</v>
      </c>
      <c r="F48" s="1640" t="s">
        <v>101</v>
      </c>
      <c r="G48" s="1640" t="s">
        <v>98</v>
      </c>
      <c r="H48" s="1631" t="s">
        <v>96</v>
      </c>
      <c r="I48" s="1633" t="s">
        <v>102</v>
      </c>
      <c r="J48" s="1633" t="s">
        <v>99</v>
      </c>
    </row>
    <row r="49" spans="2:10">
      <c r="B49" s="1641" t="s">
        <v>73</v>
      </c>
      <c r="C49" s="1634">
        <f t="shared" ref="C49:H49" si="12">C4+C19+C34</f>
        <v>2586.5122669546945</v>
      </c>
      <c r="D49" s="1634">
        <f t="shared" si="12"/>
        <v>137428366.34063864</v>
      </c>
      <c r="E49" s="1634">
        <f t="shared" si="12"/>
        <v>52</v>
      </c>
      <c r="F49" s="1634">
        <f t="shared" si="12"/>
        <v>2572.7499999999995</v>
      </c>
      <c r="G49" s="1634">
        <f t="shared" si="12"/>
        <v>139696816.12</v>
      </c>
      <c r="H49" s="1634">
        <f t="shared" si="12"/>
        <v>49</v>
      </c>
      <c r="I49" s="1791">
        <f t="shared" ref="I49:J55" si="13">F49/C49</f>
        <v>0.99467921837042039</v>
      </c>
      <c r="J49" s="1635">
        <f t="shared" si="13"/>
        <v>1.0165064159588322</v>
      </c>
    </row>
    <row r="50" spans="2:10">
      <c r="B50" s="1641" t="s">
        <v>20</v>
      </c>
      <c r="C50" s="1634">
        <f t="shared" ref="C50:H50" si="14">C5+C20+C35</f>
        <v>1968.2933127063284</v>
      </c>
      <c r="D50" s="1634">
        <f t="shared" si="14"/>
        <v>104922286.38965823</v>
      </c>
      <c r="E50" s="1634">
        <f t="shared" si="14"/>
        <v>40</v>
      </c>
      <c r="F50" s="1634">
        <f t="shared" si="14"/>
        <v>2098.71</v>
      </c>
      <c r="G50" s="1634">
        <f t="shared" si="14"/>
        <v>108313066</v>
      </c>
      <c r="H50" s="1634">
        <f t="shared" si="14"/>
        <v>38</v>
      </c>
      <c r="I50" s="1791">
        <f t="shared" si="13"/>
        <v>1.0662587666440595</v>
      </c>
      <c r="J50" s="1635">
        <f t="shared" si="13"/>
        <v>1.0323170579580125</v>
      </c>
    </row>
    <row r="51" spans="2:10">
      <c r="B51" s="1641" t="s">
        <v>63</v>
      </c>
      <c r="C51" s="1634">
        <f t="shared" ref="C51:H51" si="15">C6+C21+C36</f>
        <v>2571.7410251246292</v>
      </c>
      <c r="D51" s="1634">
        <f t="shared" si="15"/>
        <v>136742804.33573669</v>
      </c>
      <c r="E51" s="1634">
        <f t="shared" si="15"/>
        <v>52</v>
      </c>
      <c r="F51" s="1634">
        <f t="shared" si="15"/>
        <v>2117.58</v>
      </c>
      <c r="G51" s="1634">
        <f t="shared" si="15"/>
        <v>112659052.77000001</v>
      </c>
      <c r="H51" s="1634">
        <f t="shared" si="15"/>
        <v>41</v>
      </c>
      <c r="I51" s="1791">
        <f t="shared" si="13"/>
        <v>0.82340328178937838</v>
      </c>
      <c r="J51" s="1635">
        <f t="shared" si="13"/>
        <v>0.82387554736258561</v>
      </c>
    </row>
    <row r="52" spans="2:10">
      <c r="B52" s="1641" t="s">
        <v>77</v>
      </c>
      <c r="C52" s="1634">
        <f t="shared" ref="C52:H52" si="16">C7+C22+C37</f>
        <v>2571.7410251246292</v>
      </c>
      <c r="D52" s="1634">
        <f t="shared" si="16"/>
        <v>136742804.33573669</v>
      </c>
      <c r="E52" s="1634">
        <f t="shared" si="16"/>
        <v>52</v>
      </c>
      <c r="F52" s="1634">
        <f t="shared" si="16"/>
        <v>2091.1400000000003</v>
      </c>
      <c r="G52" s="1634">
        <f t="shared" si="16"/>
        <v>109501351.96000001</v>
      </c>
      <c r="H52" s="1634">
        <f t="shared" si="16"/>
        <v>45</v>
      </c>
      <c r="I52" s="1791">
        <f>F52/C52</f>
        <v>0.81312230880582603</v>
      </c>
      <c r="J52" s="1635">
        <f>G52/D52</f>
        <v>0.80078328429734169</v>
      </c>
    </row>
    <row r="53" spans="2:10">
      <c r="B53" s="1641" t="s">
        <v>407</v>
      </c>
      <c r="C53" s="1634">
        <f t="shared" ref="C53:H53" si="17">C8+C23+C38</f>
        <v>252.62418300653593</v>
      </c>
      <c r="D53" s="1634">
        <f t="shared" si="17"/>
        <v>13658460.31372549</v>
      </c>
      <c r="E53" s="1634">
        <f t="shared" si="17"/>
        <v>5</v>
      </c>
      <c r="F53" s="1634">
        <f t="shared" si="17"/>
        <v>37.11</v>
      </c>
      <c r="G53" s="1634">
        <f t="shared" si="17"/>
        <v>2090035.2</v>
      </c>
      <c r="H53" s="1634">
        <f t="shared" si="17"/>
        <v>1</v>
      </c>
      <c r="I53" s="1791">
        <f>F53/C53</f>
        <v>0.14689805052844004</v>
      </c>
      <c r="J53" s="1635">
        <f>G53/D53</f>
        <v>0.15302128878316598</v>
      </c>
    </row>
    <row r="54" spans="2:10">
      <c r="B54" s="1641"/>
      <c r="C54" s="1634"/>
      <c r="D54" s="1634"/>
      <c r="E54" s="1634"/>
      <c r="F54" s="1634"/>
      <c r="G54" s="1634"/>
      <c r="H54" s="1634"/>
      <c r="I54" s="1791"/>
      <c r="J54" s="1635"/>
    </row>
    <row r="55" spans="2:10">
      <c r="B55" s="1630" t="s">
        <v>114</v>
      </c>
      <c r="C55" s="1636">
        <f t="shared" ref="C55:H55" si="18">SUM(C49:C53)</f>
        <v>9950.9118129168164</v>
      </c>
      <c r="D55" s="1636">
        <f t="shared" si="18"/>
        <v>529494721.71549571</v>
      </c>
      <c r="E55" s="1636">
        <f t="shared" si="18"/>
        <v>201</v>
      </c>
      <c r="F55" s="1636">
        <f t="shared" si="18"/>
        <v>8917.2900000000009</v>
      </c>
      <c r="G55" s="1636">
        <f t="shared" si="18"/>
        <v>472260322.05000001</v>
      </c>
      <c r="H55" s="1636">
        <f t="shared" si="18"/>
        <v>174</v>
      </c>
      <c r="I55" s="1795">
        <f>F55/C55</f>
        <v>0.89612792954560017</v>
      </c>
      <c r="J55" s="1650">
        <f t="shared" si="13"/>
        <v>0.89190751613148567</v>
      </c>
    </row>
    <row r="56" spans="2:10" ht="25.5">
      <c r="B56" s="1638" t="s">
        <v>115</v>
      </c>
      <c r="C56" s="1639" t="s">
        <v>100</v>
      </c>
      <c r="D56" s="1639" t="s">
        <v>97</v>
      </c>
      <c r="E56" s="1631" t="s">
        <v>95</v>
      </c>
      <c r="F56" s="1640" t="s">
        <v>101</v>
      </c>
      <c r="G56" s="1640" t="s">
        <v>98</v>
      </c>
      <c r="H56" s="1631" t="s">
        <v>96</v>
      </c>
      <c r="I56" s="1633" t="s">
        <v>102</v>
      </c>
      <c r="J56" s="1633" t="s">
        <v>99</v>
      </c>
    </row>
    <row r="57" spans="2:10" hidden="1">
      <c r="B57" s="1641"/>
      <c r="C57" s="1634"/>
      <c r="D57" s="1634"/>
      <c r="E57" s="1641"/>
      <c r="F57" s="1642"/>
      <c r="G57" s="1642"/>
      <c r="H57" s="745"/>
      <c r="I57" s="1791" t="e">
        <f t="shared" ref="I57:J60" si="19">F57/C57</f>
        <v>#DIV/0!</v>
      </c>
      <c r="J57" s="1635" t="e">
        <f t="shared" si="19"/>
        <v>#DIV/0!</v>
      </c>
    </row>
    <row r="58" spans="2:10">
      <c r="B58" s="1641" t="s">
        <v>16</v>
      </c>
      <c r="C58" s="1634">
        <f t="shared" ref="C58:H58" si="20">C13+C28+C43</f>
        <v>6689.8052551873179</v>
      </c>
      <c r="D58" s="1634">
        <f t="shared" si="20"/>
        <v>352612144.29905397</v>
      </c>
      <c r="E58" s="1634">
        <f t="shared" si="20"/>
        <v>135</v>
      </c>
      <c r="F58" s="1634">
        <f t="shared" si="20"/>
        <v>6644</v>
      </c>
      <c r="G58" s="1634">
        <f t="shared" si="20"/>
        <v>355013181.12</v>
      </c>
      <c r="H58" s="1634">
        <f t="shared" si="20"/>
        <v>124</v>
      </c>
      <c r="I58" s="1791">
        <f>F58/C58</f>
        <v>0.99315297629152954</v>
      </c>
      <c r="J58" s="1635">
        <f t="shared" si="19"/>
        <v>1.0068092856691564</v>
      </c>
    </row>
    <row r="59" spans="2:10">
      <c r="B59" s="1641"/>
      <c r="C59" s="1634"/>
      <c r="D59" s="1634"/>
      <c r="E59" s="1634"/>
      <c r="F59" s="1634"/>
      <c r="G59" s="1634"/>
      <c r="H59" s="1634"/>
      <c r="I59" s="1791"/>
      <c r="J59" s="1635"/>
    </row>
    <row r="60" spans="2:10">
      <c r="B60" s="1630" t="s">
        <v>114</v>
      </c>
      <c r="C60" s="1636">
        <f t="shared" ref="C60:H60" si="21">SUM(C57:C58)</f>
        <v>6689.8052551873179</v>
      </c>
      <c r="D60" s="1636">
        <f t="shared" si="21"/>
        <v>352612144.29905397</v>
      </c>
      <c r="E60" s="1630">
        <f t="shared" si="21"/>
        <v>135</v>
      </c>
      <c r="F60" s="1793">
        <f t="shared" si="21"/>
        <v>6644</v>
      </c>
      <c r="G60" s="1793">
        <f t="shared" si="21"/>
        <v>355013181.12</v>
      </c>
      <c r="H60" s="1630">
        <f t="shared" si="21"/>
        <v>124</v>
      </c>
      <c r="I60" s="1650">
        <f t="shared" si="19"/>
        <v>0.99315297629152954</v>
      </c>
      <c r="J60" s="1650">
        <f t="shared" si="19"/>
        <v>1.0068092856691564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>
    <pageSetUpPr fitToPage="1"/>
  </sheetPr>
  <dimension ref="A1:XFB111"/>
  <sheetViews>
    <sheetView workbookViewId="0">
      <selection activeCell="B22" sqref="B22"/>
    </sheetView>
  </sheetViews>
  <sheetFormatPr defaultColWidth="9.140625" defaultRowHeight="15"/>
  <cols>
    <col min="1" max="1" width="14.7109375" style="1652" customWidth="1"/>
    <col min="2" max="2" width="14" style="1652" customWidth="1"/>
    <col min="3" max="3" width="17.140625" style="1652" customWidth="1"/>
    <col min="4" max="4" width="12.85546875" style="1652" customWidth="1"/>
    <col min="5" max="5" width="13.140625" style="1652" customWidth="1"/>
    <col min="6" max="6" width="13.28515625" style="1652" customWidth="1"/>
    <col min="7" max="7" width="13.85546875" style="1652" customWidth="1"/>
    <col min="8" max="8" width="16" style="1652" customWidth="1"/>
    <col min="9" max="9" width="14" style="1652" customWidth="1"/>
    <col min="10" max="10" width="15.7109375" style="1652" customWidth="1"/>
    <col min="11" max="11" width="13.7109375" style="1652" customWidth="1"/>
    <col min="12" max="12" width="19.5703125" style="1652" customWidth="1"/>
    <col min="13" max="13" width="11.85546875" style="1652" customWidth="1"/>
    <col min="14" max="14" width="23.5703125" style="1652" customWidth="1"/>
    <col min="15" max="15" width="21.42578125" style="1659" customWidth="1"/>
    <col min="16" max="16" width="35.85546875" style="1660" customWidth="1"/>
    <col min="17" max="17" width="28.140625" style="1652" customWidth="1"/>
    <col min="18" max="18" width="28.85546875" style="1652" customWidth="1"/>
    <col min="19" max="19" width="23.5703125" style="1652" customWidth="1"/>
    <col min="20" max="20" width="24.5703125" style="1652" customWidth="1"/>
    <col min="21" max="21" width="23.85546875" style="1652" customWidth="1"/>
    <col min="22" max="16384" width="9.140625" style="1652"/>
  </cols>
  <sheetData>
    <row r="1" spans="1:16381" ht="30" customHeight="1">
      <c r="A1" s="1661"/>
      <c r="B1" s="1662"/>
      <c r="C1" s="1662"/>
      <c r="D1" s="1662"/>
      <c r="E1" s="1662"/>
      <c r="F1" s="1662"/>
      <c r="G1" s="1662"/>
      <c r="H1" s="1663">
        <v>44408</v>
      </c>
      <c r="I1" s="1706"/>
      <c r="J1" s="1706"/>
      <c r="K1" s="1662"/>
      <c r="L1" s="1662"/>
      <c r="M1" s="1662"/>
      <c r="N1" s="1662"/>
      <c r="O1" s="1662"/>
      <c r="P1" s="1796"/>
      <c r="Q1" s="2283" t="s">
        <v>62</v>
      </c>
      <c r="R1" s="2283"/>
      <c r="S1" s="2283"/>
    </row>
    <row r="2" spans="1:16381" s="1656" customFormat="1" ht="27" hidden="1" customHeight="1">
      <c r="A2" s="1774" t="s">
        <v>48</v>
      </c>
      <c r="B2" s="1775" t="s">
        <v>52</v>
      </c>
      <c r="C2" s="1775" t="s">
        <v>49</v>
      </c>
      <c r="D2" s="1775" t="s">
        <v>1</v>
      </c>
      <c r="E2" s="1775" t="s">
        <v>53</v>
      </c>
      <c r="F2" s="1775" t="s">
        <v>120</v>
      </c>
      <c r="G2" s="1775" t="s">
        <v>3</v>
      </c>
      <c r="H2" s="1776" t="s">
        <v>54</v>
      </c>
      <c r="I2" s="1775" t="s">
        <v>51</v>
      </c>
      <c r="J2" s="1797" t="s">
        <v>55</v>
      </c>
      <c r="K2" s="1775" t="s">
        <v>56</v>
      </c>
      <c r="L2" s="1775" t="s">
        <v>57</v>
      </c>
      <c r="M2" s="1775" t="s">
        <v>58</v>
      </c>
      <c r="N2" s="1798" t="s">
        <v>59</v>
      </c>
      <c r="O2" s="1775" t="s">
        <v>60</v>
      </c>
      <c r="P2" s="1775" t="s">
        <v>265</v>
      </c>
      <c r="Q2" s="1798" t="s">
        <v>413</v>
      </c>
      <c r="R2" s="1824" t="s">
        <v>414</v>
      </c>
      <c r="S2" s="1824" t="s">
        <v>415</v>
      </c>
    </row>
    <row r="3" spans="1:16381" s="1657" customFormat="1" ht="30" hidden="1" customHeight="1">
      <c r="A3" s="1667">
        <v>37</v>
      </c>
      <c r="B3" s="1670">
        <v>199</v>
      </c>
      <c r="C3" s="1670">
        <v>7240</v>
      </c>
      <c r="D3" s="1670" t="s">
        <v>407</v>
      </c>
      <c r="E3" s="1673">
        <v>82.71</v>
      </c>
      <c r="F3" s="1670" t="s">
        <v>27</v>
      </c>
      <c r="G3" s="1670" t="s">
        <v>16</v>
      </c>
      <c r="H3" s="1674">
        <v>4529861.28</v>
      </c>
      <c r="I3" s="1670">
        <v>3</v>
      </c>
      <c r="J3" s="1670" t="s">
        <v>65</v>
      </c>
      <c r="K3" s="1670" t="s">
        <v>12</v>
      </c>
      <c r="L3" s="1710">
        <v>44401</v>
      </c>
      <c r="M3" s="1710" t="s">
        <v>17</v>
      </c>
      <c r="N3" s="1714" t="s">
        <v>416</v>
      </c>
      <c r="O3" s="1670" t="s">
        <v>67</v>
      </c>
      <c r="P3" s="1715"/>
      <c r="Q3" s="1738" t="s">
        <v>407</v>
      </c>
      <c r="R3" s="1738" t="s">
        <v>407</v>
      </c>
      <c r="S3" s="1738" t="s">
        <v>407</v>
      </c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5"/>
      <c r="JX3" s="55"/>
      <c r="JY3" s="55"/>
      <c r="JZ3" s="55"/>
      <c r="KA3" s="55"/>
      <c r="KB3" s="55"/>
      <c r="KC3" s="55"/>
      <c r="KD3" s="55"/>
      <c r="KE3" s="55"/>
      <c r="KF3" s="55"/>
      <c r="KG3" s="55"/>
      <c r="KH3" s="55"/>
      <c r="KI3" s="55"/>
      <c r="KJ3" s="55"/>
      <c r="KK3" s="55"/>
      <c r="KL3" s="55"/>
      <c r="KM3" s="55"/>
      <c r="KN3" s="55"/>
      <c r="KO3" s="55"/>
      <c r="KP3" s="55"/>
      <c r="KQ3" s="55"/>
      <c r="KR3" s="55"/>
      <c r="KS3" s="55"/>
      <c r="KT3" s="55"/>
      <c r="KU3" s="55"/>
      <c r="KV3" s="55"/>
      <c r="KW3" s="55"/>
      <c r="KX3" s="55"/>
      <c r="KY3" s="55"/>
      <c r="KZ3" s="55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5"/>
      <c r="MG3" s="55"/>
      <c r="MH3" s="55"/>
      <c r="MI3" s="55"/>
      <c r="MJ3" s="55"/>
      <c r="MK3" s="55"/>
      <c r="ML3" s="55"/>
      <c r="MM3" s="55"/>
      <c r="MN3" s="55"/>
      <c r="MO3" s="55"/>
      <c r="MP3" s="55"/>
      <c r="MQ3" s="55"/>
      <c r="MR3" s="55"/>
      <c r="MS3" s="55"/>
      <c r="MT3" s="55"/>
      <c r="MU3" s="55"/>
      <c r="MV3" s="55"/>
      <c r="MW3" s="55"/>
      <c r="MX3" s="55"/>
      <c r="MY3" s="55"/>
      <c r="MZ3" s="55"/>
      <c r="NA3" s="55"/>
      <c r="NB3" s="55"/>
      <c r="NC3" s="55"/>
      <c r="ND3" s="55"/>
      <c r="NE3" s="55"/>
      <c r="NF3" s="55"/>
      <c r="NG3" s="55"/>
      <c r="NH3" s="55"/>
      <c r="NI3" s="55"/>
      <c r="NJ3" s="55"/>
      <c r="NK3" s="55"/>
      <c r="NL3" s="55"/>
      <c r="NM3" s="55"/>
      <c r="NN3" s="55"/>
      <c r="NO3" s="55"/>
      <c r="NP3" s="55"/>
      <c r="NQ3" s="55"/>
      <c r="NR3" s="55"/>
      <c r="NS3" s="55"/>
      <c r="NT3" s="55"/>
      <c r="NU3" s="55"/>
      <c r="NV3" s="55"/>
      <c r="NW3" s="55"/>
      <c r="NX3" s="55"/>
      <c r="NY3" s="55"/>
      <c r="NZ3" s="55"/>
      <c r="OA3" s="55"/>
      <c r="OB3" s="55"/>
      <c r="OC3" s="55"/>
      <c r="OD3" s="55"/>
      <c r="OE3" s="55"/>
      <c r="OF3" s="55"/>
      <c r="OG3" s="55"/>
      <c r="OH3" s="55"/>
      <c r="OI3" s="55"/>
      <c r="OJ3" s="55"/>
      <c r="OK3" s="55"/>
      <c r="OL3" s="55"/>
      <c r="OM3" s="55"/>
      <c r="ON3" s="55"/>
      <c r="OO3" s="55"/>
      <c r="OP3" s="55"/>
      <c r="OQ3" s="55"/>
      <c r="OR3" s="55"/>
      <c r="OS3" s="55"/>
      <c r="OT3" s="55"/>
      <c r="OU3" s="55"/>
      <c r="OV3" s="55"/>
      <c r="OW3" s="55"/>
      <c r="OX3" s="55"/>
      <c r="OY3" s="55"/>
      <c r="OZ3" s="55"/>
      <c r="PA3" s="55"/>
      <c r="PB3" s="55"/>
      <c r="PC3" s="55"/>
      <c r="PD3" s="55"/>
      <c r="PE3" s="55"/>
      <c r="PF3" s="55"/>
      <c r="PG3" s="55"/>
      <c r="PH3" s="55"/>
      <c r="PI3" s="55"/>
      <c r="PJ3" s="55"/>
      <c r="PK3" s="55"/>
      <c r="PL3" s="55"/>
      <c r="PM3" s="55"/>
      <c r="PN3" s="55"/>
      <c r="PO3" s="55"/>
      <c r="PP3" s="55"/>
      <c r="PQ3" s="55"/>
      <c r="PR3" s="55"/>
      <c r="PS3" s="55"/>
      <c r="PT3" s="55"/>
      <c r="PU3" s="55"/>
      <c r="PV3" s="55"/>
      <c r="PW3" s="55"/>
      <c r="PX3" s="55"/>
      <c r="PY3" s="55"/>
      <c r="PZ3" s="55"/>
      <c r="QA3" s="55"/>
      <c r="QB3" s="55"/>
      <c r="QC3" s="55"/>
      <c r="QD3" s="55"/>
      <c r="QE3" s="55"/>
      <c r="QF3" s="55"/>
      <c r="QG3" s="55"/>
      <c r="QH3" s="55"/>
      <c r="QI3" s="55"/>
      <c r="QJ3" s="55"/>
      <c r="QK3" s="55"/>
      <c r="QL3" s="55"/>
      <c r="QM3" s="55"/>
      <c r="QN3" s="55"/>
      <c r="QO3" s="55"/>
      <c r="QP3" s="55"/>
      <c r="QQ3" s="55"/>
      <c r="QR3" s="55"/>
      <c r="QS3" s="55"/>
      <c r="QT3" s="55"/>
      <c r="QU3" s="55"/>
      <c r="QV3" s="55"/>
      <c r="QW3" s="55"/>
      <c r="QX3" s="55"/>
      <c r="QY3" s="55"/>
      <c r="QZ3" s="55"/>
      <c r="RA3" s="55"/>
      <c r="RB3" s="55"/>
      <c r="RC3" s="55"/>
      <c r="RD3" s="55"/>
      <c r="RE3" s="55"/>
      <c r="RF3" s="55"/>
      <c r="RG3" s="55"/>
      <c r="RH3" s="55"/>
      <c r="RI3" s="55"/>
      <c r="RJ3" s="55"/>
      <c r="RK3" s="55"/>
      <c r="RL3" s="55"/>
      <c r="RM3" s="55"/>
      <c r="RN3" s="55"/>
      <c r="RO3" s="55"/>
      <c r="RP3" s="55"/>
      <c r="RQ3" s="55"/>
      <c r="RR3" s="55"/>
      <c r="RS3" s="55"/>
      <c r="RT3" s="55"/>
      <c r="RU3" s="55"/>
      <c r="RV3" s="55"/>
      <c r="RW3" s="55"/>
      <c r="RX3" s="55"/>
      <c r="RY3" s="55"/>
      <c r="RZ3" s="55"/>
      <c r="SA3" s="55"/>
      <c r="SB3" s="55"/>
      <c r="SC3" s="55"/>
      <c r="SD3" s="55"/>
      <c r="SE3" s="55"/>
      <c r="SF3" s="55"/>
      <c r="SG3" s="55"/>
      <c r="SH3" s="55"/>
      <c r="SI3" s="55"/>
      <c r="SJ3" s="55"/>
      <c r="SK3" s="55"/>
      <c r="SL3" s="55"/>
      <c r="SM3" s="55"/>
      <c r="SN3" s="55"/>
      <c r="SO3" s="55"/>
      <c r="SP3" s="55"/>
      <c r="SQ3" s="55"/>
      <c r="SR3" s="55"/>
      <c r="SS3" s="55"/>
      <c r="ST3" s="55"/>
      <c r="SU3" s="55"/>
      <c r="SV3" s="55"/>
      <c r="SW3" s="55"/>
      <c r="SX3" s="55"/>
      <c r="SY3" s="55"/>
      <c r="SZ3" s="55"/>
      <c r="TA3" s="55"/>
      <c r="TB3" s="55"/>
      <c r="TC3" s="55"/>
      <c r="TD3" s="55"/>
      <c r="TE3" s="55"/>
      <c r="TF3" s="55"/>
      <c r="TG3" s="55"/>
      <c r="TH3" s="55"/>
      <c r="TI3" s="55"/>
      <c r="TJ3" s="55"/>
      <c r="TK3" s="55"/>
      <c r="TL3" s="55"/>
      <c r="TM3" s="55"/>
      <c r="TN3" s="55"/>
      <c r="TO3" s="55"/>
      <c r="TP3" s="55"/>
      <c r="TQ3" s="55"/>
      <c r="TR3" s="55"/>
      <c r="TS3" s="55"/>
      <c r="TT3" s="55"/>
      <c r="TU3" s="55"/>
      <c r="TV3" s="55"/>
      <c r="TW3" s="55"/>
      <c r="TX3" s="55"/>
      <c r="TY3" s="55"/>
      <c r="TZ3" s="55"/>
      <c r="UA3" s="55"/>
      <c r="UB3" s="55"/>
      <c r="UC3" s="55"/>
      <c r="UD3" s="55"/>
      <c r="UE3" s="55"/>
      <c r="UF3" s="55"/>
      <c r="UG3" s="55"/>
      <c r="UH3" s="55"/>
      <c r="UI3" s="55"/>
      <c r="UJ3" s="55"/>
      <c r="UK3" s="55"/>
      <c r="UL3" s="55"/>
      <c r="UM3" s="55"/>
      <c r="UN3" s="55"/>
      <c r="UO3" s="55"/>
      <c r="UP3" s="55"/>
      <c r="UQ3" s="55"/>
      <c r="UR3" s="55"/>
      <c r="US3" s="55"/>
      <c r="UT3" s="55"/>
      <c r="UU3" s="55"/>
      <c r="UV3" s="55"/>
      <c r="UW3" s="55"/>
      <c r="UX3" s="55"/>
      <c r="UY3" s="55"/>
      <c r="UZ3" s="55"/>
      <c r="VA3" s="55"/>
      <c r="VB3" s="55"/>
      <c r="VC3" s="55"/>
      <c r="VD3" s="55"/>
      <c r="VE3" s="55"/>
      <c r="VF3" s="55"/>
      <c r="VG3" s="55"/>
      <c r="VH3" s="55"/>
      <c r="VI3" s="55"/>
      <c r="VJ3" s="55"/>
      <c r="VK3" s="55"/>
      <c r="VL3" s="55"/>
      <c r="VM3" s="55"/>
      <c r="VN3" s="55"/>
      <c r="VO3" s="55"/>
      <c r="VP3" s="55"/>
      <c r="VQ3" s="55"/>
      <c r="VR3" s="55"/>
      <c r="VS3" s="55"/>
      <c r="VT3" s="55"/>
      <c r="VU3" s="55"/>
      <c r="VV3" s="55"/>
      <c r="VW3" s="55"/>
      <c r="VX3" s="55"/>
      <c r="VY3" s="55"/>
      <c r="VZ3" s="55"/>
      <c r="WA3" s="55"/>
      <c r="WB3" s="55"/>
      <c r="WC3" s="55"/>
      <c r="WD3" s="55"/>
      <c r="WE3" s="55"/>
      <c r="WF3" s="55"/>
      <c r="WG3" s="55"/>
      <c r="WH3" s="55"/>
      <c r="WI3" s="55"/>
      <c r="WJ3" s="55"/>
      <c r="WK3" s="55"/>
      <c r="WL3" s="55"/>
      <c r="WM3" s="55"/>
      <c r="WN3" s="55"/>
      <c r="WO3" s="55"/>
      <c r="WP3" s="55"/>
      <c r="WQ3" s="55"/>
      <c r="WR3" s="55"/>
      <c r="WS3" s="55"/>
      <c r="WT3" s="55"/>
      <c r="WU3" s="55"/>
      <c r="WV3" s="55"/>
      <c r="WW3" s="55"/>
      <c r="WX3" s="55"/>
      <c r="WY3" s="55"/>
      <c r="WZ3" s="55"/>
      <c r="XA3" s="55"/>
      <c r="XB3" s="55"/>
      <c r="XC3" s="55"/>
      <c r="XD3" s="55"/>
      <c r="XE3" s="55"/>
      <c r="XF3" s="55"/>
      <c r="XG3" s="55"/>
      <c r="XH3" s="55"/>
      <c r="XI3" s="55"/>
      <c r="XJ3" s="55"/>
      <c r="XK3" s="55"/>
      <c r="XL3" s="55"/>
      <c r="XM3" s="55"/>
      <c r="XN3" s="55"/>
      <c r="XO3" s="55"/>
      <c r="XP3" s="55"/>
      <c r="XQ3" s="55"/>
      <c r="XR3" s="55"/>
      <c r="XS3" s="55"/>
      <c r="XT3" s="55"/>
      <c r="XU3" s="55"/>
      <c r="XV3" s="55"/>
      <c r="XW3" s="55"/>
      <c r="XX3" s="55"/>
      <c r="XY3" s="55"/>
      <c r="XZ3" s="55"/>
      <c r="YA3" s="55"/>
      <c r="YB3" s="55"/>
      <c r="YC3" s="55"/>
      <c r="YD3" s="55"/>
      <c r="YE3" s="55"/>
      <c r="YF3" s="55"/>
      <c r="YG3" s="55"/>
      <c r="YH3" s="55"/>
      <c r="YI3" s="55"/>
      <c r="YJ3" s="55"/>
      <c r="YK3" s="55"/>
      <c r="YL3" s="55"/>
      <c r="YM3" s="55"/>
      <c r="YN3" s="55"/>
      <c r="YO3" s="55"/>
      <c r="YP3" s="55"/>
      <c r="YQ3" s="55"/>
      <c r="YR3" s="55"/>
      <c r="YS3" s="55"/>
      <c r="YT3" s="55"/>
      <c r="YU3" s="55"/>
      <c r="YV3" s="55"/>
      <c r="YW3" s="55"/>
      <c r="YX3" s="55"/>
      <c r="YY3" s="55"/>
      <c r="YZ3" s="55"/>
      <c r="ZA3" s="55"/>
      <c r="ZB3" s="55"/>
      <c r="ZC3" s="55"/>
      <c r="ZD3" s="55"/>
      <c r="ZE3" s="55"/>
      <c r="ZF3" s="55"/>
      <c r="ZG3" s="55"/>
      <c r="ZH3" s="55"/>
      <c r="ZI3" s="55"/>
      <c r="ZJ3" s="55"/>
      <c r="ZK3" s="55"/>
      <c r="ZL3" s="55"/>
      <c r="ZM3" s="55"/>
      <c r="ZN3" s="55"/>
      <c r="ZO3" s="55"/>
      <c r="ZP3" s="55"/>
      <c r="ZQ3" s="55"/>
      <c r="ZR3" s="55"/>
      <c r="ZS3" s="55"/>
      <c r="ZT3" s="55"/>
      <c r="ZU3" s="55"/>
      <c r="ZV3" s="55"/>
      <c r="ZW3" s="55"/>
      <c r="ZX3" s="55"/>
      <c r="ZY3" s="55"/>
      <c r="ZZ3" s="55"/>
      <c r="AAA3" s="55"/>
      <c r="AAB3" s="55"/>
      <c r="AAC3" s="55"/>
      <c r="AAD3" s="55"/>
      <c r="AAE3" s="55"/>
      <c r="AAF3" s="55"/>
      <c r="AAG3" s="55"/>
      <c r="AAH3" s="55"/>
      <c r="AAI3" s="55"/>
      <c r="AAJ3" s="55"/>
      <c r="AAK3" s="55"/>
      <c r="AAL3" s="55"/>
      <c r="AAM3" s="55"/>
      <c r="AAN3" s="55"/>
      <c r="AAO3" s="55"/>
      <c r="AAP3" s="55"/>
      <c r="AAQ3" s="55"/>
      <c r="AAR3" s="55"/>
      <c r="AAS3" s="55"/>
      <c r="AAT3" s="55"/>
      <c r="AAU3" s="55"/>
      <c r="AAV3" s="55"/>
      <c r="AAW3" s="55"/>
      <c r="AAX3" s="55"/>
      <c r="AAY3" s="55"/>
      <c r="AAZ3" s="55"/>
      <c r="ABA3" s="55"/>
      <c r="ABB3" s="55"/>
      <c r="ABC3" s="55"/>
      <c r="ABD3" s="55"/>
      <c r="ABE3" s="55"/>
      <c r="ABF3" s="55"/>
      <c r="ABG3" s="55"/>
      <c r="ABH3" s="55"/>
      <c r="ABI3" s="55"/>
      <c r="ABJ3" s="55"/>
      <c r="ABK3" s="55"/>
      <c r="ABL3" s="55"/>
      <c r="ABM3" s="55"/>
      <c r="ABN3" s="55"/>
      <c r="ABO3" s="55"/>
      <c r="ABP3" s="55"/>
      <c r="ABQ3" s="55"/>
      <c r="ABR3" s="55"/>
      <c r="ABS3" s="55"/>
      <c r="ABT3" s="55"/>
      <c r="ABU3" s="55"/>
      <c r="ABV3" s="55"/>
      <c r="ABW3" s="55"/>
      <c r="ABX3" s="55"/>
      <c r="ABY3" s="55"/>
      <c r="ABZ3" s="55"/>
      <c r="ACA3" s="55"/>
      <c r="ACB3" s="55"/>
      <c r="ACC3" s="55"/>
      <c r="ACD3" s="55"/>
      <c r="ACE3" s="55"/>
      <c r="ACF3" s="55"/>
      <c r="ACG3" s="55"/>
      <c r="ACH3" s="55"/>
      <c r="ACI3" s="55"/>
      <c r="ACJ3" s="55"/>
      <c r="ACK3" s="55"/>
      <c r="ACL3" s="55"/>
      <c r="ACM3" s="55"/>
      <c r="ACN3" s="55"/>
      <c r="ACO3" s="55"/>
      <c r="ACP3" s="55"/>
      <c r="ACQ3" s="55"/>
      <c r="ACR3" s="55"/>
      <c r="ACS3" s="55"/>
      <c r="ACT3" s="55"/>
      <c r="ACU3" s="55"/>
      <c r="ACV3" s="55"/>
      <c r="ACW3" s="55"/>
      <c r="ACX3" s="55"/>
      <c r="ACY3" s="55"/>
      <c r="ACZ3" s="55"/>
      <c r="ADA3" s="55"/>
      <c r="ADB3" s="55"/>
      <c r="ADC3" s="55"/>
      <c r="ADD3" s="55"/>
      <c r="ADE3" s="55"/>
      <c r="ADF3" s="55"/>
      <c r="ADG3" s="55"/>
      <c r="ADH3" s="55"/>
      <c r="ADI3" s="55"/>
      <c r="ADJ3" s="55"/>
      <c r="ADK3" s="55"/>
      <c r="ADL3" s="55"/>
      <c r="ADM3" s="55"/>
      <c r="ADN3" s="55"/>
      <c r="ADO3" s="55"/>
      <c r="ADP3" s="55"/>
      <c r="ADQ3" s="55"/>
      <c r="ADR3" s="55"/>
      <c r="ADS3" s="55"/>
      <c r="ADT3" s="55"/>
      <c r="ADU3" s="55"/>
      <c r="ADV3" s="55"/>
      <c r="ADW3" s="55"/>
      <c r="ADX3" s="55"/>
      <c r="ADY3" s="55"/>
      <c r="ADZ3" s="55"/>
      <c r="AEA3" s="55"/>
      <c r="AEB3" s="55"/>
      <c r="AEC3" s="55"/>
      <c r="AED3" s="55"/>
      <c r="AEE3" s="55"/>
      <c r="AEF3" s="55"/>
      <c r="AEG3" s="55"/>
      <c r="AEH3" s="55"/>
      <c r="AEI3" s="55"/>
      <c r="AEJ3" s="55"/>
      <c r="AEK3" s="55"/>
      <c r="AEL3" s="55"/>
      <c r="AEM3" s="55"/>
      <c r="AEN3" s="55"/>
      <c r="AEO3" s="55"/>
      <c r="AEP3" s="55"/>
      <c r="AEQ3" s="55"/>
      <c r="AER3" s="55"/>
      <c r="AES3" s="55"/>
      <c r="AET3" s="55"/>
      <c r="AEU3" s="55"/>
      <c r="AEV3" s="55"/>
      <c r="AEW3" s="55"/>
      <c r="AEX3" s="55"/>
      <c r="AEY3" s="55"/>
      <c r="AEZ3" s="55"/>
      <c r="AFA3" s="55"/>
      <c r="AFB3" s="55"/>
      <c r="AFC3" s="55"/>
      <c r="AFD3" s="55"/>
      <c r="AFE3" s="55"/>
      <c r="AFF3" s="55"/>
      <c r="AFG3" s="55"/>
      <c r="AFH3" s="55"/>
      <c r="AFI3" s="55"/>
      <c r="AFJ3" s="55"/>
      <c r="AFK3" s="55"/>
      <c r="AFL3" s="55"/>
      <c r="AFM3" s="55"/>
      <c r="AFN3" s="55"/>
      <c r="AFO3" s="55"/>
      <c r="AFP3" s="55"/>
      <c r="AFQ3" s="55"/>
      <c r="AFR3" s="55"/>
      <c r="AFS3" s="55"/>
      <c r="AFT3" s="55"/>
      <c r="AFU3" s="55"/>
      <c r="AFV3" s="55"/>
      <c r="AFW3" s="55"/>
      <c r="AFX3" s="55"/>
      <c r="AFY3" s="55"/>
      <c r="AFZ3" s="55"/>
      <c r="AGA3" s="55"/>
      <c r="AGB3" s="55"/>
      <c r="AGC3" s="55"/>
      <c r="AGD3" s="55"/>
      <c r="AGE3" s="55"/>
      <c r="AGF3" s="55"/>
      <c r="AGG3" s="55"/>
      <c r="AGH3" s="55"/>
      <c r="AGI3" s="55"/>
      <c r="AGJ3" s="55"/>
      <c r="AGK3" s="55"/>
      <c r="AGL3" s="55"/>
      <c r="AGM3" s="55"/>
      <c r="AGN3" s="55"/>
      <c r="AGO3" s="55"/>
      <c r="AGP3" s="55"/>
      <c r="AGQ3" s="55"/>
      <c r="AGR3" s="55"/>
      <c r="AGS3" s="55"/>
      <c r="AGT3" s="55"/>
      <c r="AGU3" s="55"/>
      <c r="AGV3" s="55"/>
      <c r="AGW3" s="55"/>
      <c r="AGX3" s="55"/>
      <c r="AGY3" s="55"/>
      <c r="AGZ3" s="55"/>
      <c r="AHA3" s="55"/>
      <c r="AHB3" s="55"/>
      <c r="AHC3" s="55"/>
      <c r="AHD3" s="55"/>
      <c r="AHE3" s="55"/>
      <c r="AHF3" s="55"/>
      <c r="AHG3" s="55"/>
      <c r="AHH3" s="55"/>
      <c r="AHI3" s="55"/>
      <c r="AHJ3" s="55"/>
      <c r="AHK3" s="55"/>
      <c r="AHL3" s="55"/>
      <c r="AHM3" s="55"/>
      <c r="AHN3" s="55"/>
      <c r="AHO3" s="55"/>
      <c r="AHP3" s="55"/>
      <c r="AHQ3" s="55"/>
      <c r="AHR3" s="55"/>
      <c r="AHS3" s="55"/>
      <c r="AHT3" s="55"/>
      <c r="AHU3" s="55"/>
      <c r="AHV3" s="55"/>
      <c r="AHW3" s="55"/>
      <c r="AHX3" s="55"/>
      <c r="AHY3" s="55"/>
      <c r="AHZ3" s="55"/>
      <c r="AIA3" s="55"/>
      <c r="AIB3" s="55"/>
      <c r="AIC3" s="55"/>
      <c r="AID3" s="55"/>
      <c r="AIE3" s="55"/>
      <c r="AIF3" s="55"/>
      <c r="AIG3" s="55"/>
      <c r="AIH3" s="55"/>
      <c r="AII3" s="55"/>
      <c r="AIJ3" s="55"/>
      <c r="AIK3" s="55"/>
      <c r="AIL3" s="55"/>
      <c r="AIM3" s="55"/>
      <c r="AIN3" s="55"/>
      <c r="AIO3" s="55"/>
      <c r="AIP3" s="55"/>
      <c r="AIQ3" s="55"/>
      <c r="AIR3" s="55"/>
      <c r="AIS3" s="55"/>
      <c r="AIT3" s="55"/>
      <c r="AIU3" s="55"/>
      <c r="AIV3" s="55"/>
      <c r="AIW3" s="55"/>
      <c r="AIX3" s="55"/>
      <c r="AIY3" s="55"/>
      <c r="AIZ3" s="55"/>
      <c r="AJA3" s="55"/>
      <c r="AJB3" s="55"/>
      <c r="AJC3" s="55"/>
      <c r="AJD3" s="55"/>
      <c r="AJE3" s="55"/>
      <c r="AJF3" s="55"/>
      <c r="AJG3" s="55"/>
      <c r="AJH3" s="55"/>
      <c r="AJI3" s="55"/>
      <c r="AJJ3" s="55"/>
      <c r="AJK3" s="55"/>
      <c r="AJL3" s="55"/>
      <c r="AJM3" s="55"/>
      <c r="AJN3" s="55"/>
      <c r="AJO3" s="55"/>
      <c r="AJP3" s="55"/>
      <c r="AJQ3" s="55"/>
      <c r="AJR3" s="55"/>
      <c r="AJS3" s="55"/>
      <c r="AJT3" s="55"/>
      <c r="AJU3" s="55"/>
      <c r="AJV3" s="55"/>
      <c r="AJW3" s="55"/>
      <c r="AJX3" s="55"/>
      <c r="AJY3" s="55"/>
      <c r="AJZ3" s="55"/>
      <c r="AKA3" s="55"/>
      <c r="AKB3" s="55"/>
      <c r="AKC3" s="55"/>
      <c r="AKD3" s="55"/>
      <c r="AKE3" s="55"/>
      <c r="AKF3" s="55"/>
      <c r="AKG3" s="55"/>
      <c r="AKH3" s="55"/>
      <c r="AKI3" s="55"/>
      <c r="AKJ3" s="55"/>
      <c r="AKK3" s="55"/>
      <c r="AKL3" s="55"/>
      <c r="AKM3" s="55"/>
      <c r="AKN3" s="55"/>
      <c r="AKO3" s="55"/>
      <c r="AKP3" s="55"/>
      <c r="AKQ3" s="55"/>
      <c r="AKR3" s="55"/>
      <c r="AKS3" s="55"/>
      <c r="AKT3" s="55"/>
      <c r="AKU3" s="55"/>
      <c r="AKV3" s="55"/>
      <c r="AKW3" s="55"/>
      <c r="AKX3" s="55"/>
      <c r="AKY3" s="55"/>
      <c r="AKZ3" s="55"/>
      <c r="ALA3" s="55"/>
      <c r="ALB3" s="55"/>
      <c r="ALC3" s="55"/>
      <c r="ALD3" s="55"/>
      <c r="ALE3" s="55"/>
      <c r="ALF3" s="55"/>
      <c r="ALG3" s="55"/>
      <c r="ALH3" s="55"/>
      <c r="ALI3" s="55"/>
      <c r="ALJ3" s="55"/>
      <c r="ALK3" s="55"/>
      <c r="ALL3" s="55"/>
      <c r="ALM3" s="55"/>
      <c r="ALN3" s="55"/>
      <c r="ALO3" s="55"/>
      <c r="ALP3" s="55"/>
      <c r="ALQ3" s="55"/>
      <c r="ALR3" s="55"/>
      <c r="ALS3" s="55"/>
      <c r="ALT3" s="55"/>
      <c r="ALU3" s="55"/>
      <c r="ALV3" s="55"/>
      <c r="ALW3" s="55"/>
      <c r="ALX3" s="55"/>
      <c r="ALY3" s="55"/>
      <c r="ALZ3" s="55"/>
      <c r="AMA3" s="55"/>
      <c r="AMB3" s="55"/>
      <c r="AMC3" s="55"/>
      <c r="AMD3" s="55"/>
      <c r="AME3" s="55"/>
      <c r="AMF3" s="55"/>
      <c r="AMG3" s="55"/>
      <c r="AMH3" s="55"/>
      <c r="AMI3" s="55"/>
      <c r="AMJ3" s="55"/>
      <c r="AMK3" s="55"/>
      <c r="AML3" s="55"/>
      <c r="AMM3" s="55"/>
      <c r="AMN3" s="55"/>
      <c r="AMO3" s="55"/>
      <c r="AMP3" s="55"/>
      <c r="AMQ3" s="55"/>
      <c r="AMR3" s="55"/>
      <c r="AMS3" s="55"/>
      <c r="AMT3" s="55"/>
      <c r="AMU3" s="55"/>
      <c r="AMV3" s="55"/>
      <c r="AMW3" s="55"/>
      <c r="AMX3" s="55"/>
      <c r="AMY3" s="55"/>
      <c r="AMZ3" s="55"/>
      <c r="ANA3" s="55"/>
      <c r="ANB3" s="55"/>
      <c r="ANC3" s="55"/>
      <c r="AND3" s="55"/>
      <c r="ANE3" s="55"/>
      <c r="ANF3" s="55"/>
      <c r="ANG3" s="55"/>
      <c r="ANH3" s="55"/>
      <c r="ANI3" s="55"/>
      <c r="ANJ3" s="55"/>
      <c r="ANK3" s="55"/>
      <c r="ANL3" s="55"/>
      <c r="ANM3" s="55"/>
      <c r="ANN3" s="55"/>
      <c r="ANO3" s="55"/>
      <c r="ANP3" s="55"/>
      <c r="ANQ3" s="55"/>
      <c r="ANR3" s="55"/>
      <c r="ANS3" s="55"/>
      <c r="ANT3" s="55"/>
      <c r="ANU3" s="55"/>
      <c r="ANV3" s="55"/>
      <c r="ANW3" s="55"/>
      <c r="ANX3" s="55"/>
      <c r="ANY3" s="55"/>
      <c r="ANZ3" s="55"/>
      <c r="AOA3" s="55"/>
      <c r="AOB3" s="55"/>
      <c r="AOC3" s="55"/>
      <c r="AOD3" s="55"/>
      <c r="AOE3" s="55"/>
      <c r="AOF3" s="55"/>
      <c r="AOG3" s="55"/>
      <c r="AOH3" s="55"/>
      <c r="AOI3" s="55"/>
      <c r="AOJ3" s="55"/>
      <c r="AOK3" s="55"/>
      <c r="AOL3" s="55"/>
      <c r="AOM3" s="55"/>
      <c r="AON3" s="55"/>
      <c r="AOO3" s="55"/>
      <c r="AOP3" s="55"/>
      <c r="AOQ3" s="55"/>
      <c r="AOR3" s="55"/>
      <c r="AOS3" s="55"/>
      <c r="AOT3" s="55"/>
      <c r="AOU3" s="55"/>
      <c r="AOV3" s="55"/>
      <c r="AOW3" s="55"/>
      <c r="AOX3" s="55"/>
      <c r="AOY3" s="55"/>
      <c r="AOZ3" s="55"/>
      <c r="APA3" s="55"/>
      <c r="APB3" s="55"/>
      <c r="APC3" s="55"/>
      <c r="APD3" s="55"/>
      <c r="APE3" s="55"/>
      <c r="APF3" s="55"/>
      <c r="APG3" s="55"/>
      <c r="APH3" s="55"/>
      <c r="API3" s="55"/>
      <c r="APJ3" s="55"/>
      <c r="APK3" s="55"/>
      <c r="APL3" s="55"/>
      <c r="APM3" s="55"/>
      <c r="APN3" s="55"/>
      <c r="APO3" s="55"/>
      <c r="APP3" s="55"/>
      <c r="APQ3" s="55"/>
      <c r="APR3" s="55"/>
      <c r="APS3" s="55"/>
      <c r="APT3" s="55"/>
      <c r="APU3" s="55"/>
      <c r="APV3" s="55"/>
      <c r="APW3" s="55"/>
      <c r="APX3" s="55"/>
      <c r="APY3" s="55"/>
      <c r="APZ3" s="55"/>
      <c r="AQA3" s="55"/>
      <c r="AQB3" s="55"/>
      <c r="AQC3" s="55"/>
      <c r="AQD3" s="55"/>
      <c r="AQE3" s="55"/>
      <c r="AQF3" s="55"/>
      <c r="AQG3" s="55"/>
      <c r="AQH3" s="55"/>
      <c r="AQI3" s="55"/>
      <c r="AQJ3" s="55"/>
      <c r="AQK3" s="55"/>
      <c r="AQL3" s="55"/>
      <c r="AQM3" s="55"/>
      <c r="AQN3" s="55"/>
      <c r="AQO3" s="55"/>
      <c r="AQP3" s="55"/>
      <c r="AQQ3" s="55"/>
      <c r="AQR3" s="55"/>
      <c r="AQS3" s="55"/>
      <c r="AQT3" s="55"/>
      <c r="AQU3" s="55"/>
      <c r="AQV3" s="55"/>
      <c r="AQW3" s="55"/>
      <c r="AQX3" s="55"/>
      <c r="AQY3" s="55"/>
      <c r="AQZ3" s="55"/>
      <c r="ARA3" s="55"/>
      <c r="ARB3" s="55"/>
      <c r="ARC3" s="55"/>
      <c r="ARD3" s="55"/>
      <c r="ARE3" s="55"/>
      <c r="ARF3" s="55"/>
      <c r="ARG3" s="55"/>
      <c r="ARH3" s="55"/>
      <c r="ARI3" s="55"/>
      <c r="ARJ3" s="55"/>
      <c r="ARK3" s="55"/>
      <c r="ARL3" s="55"/>
      <c r="ARM3" s="55"/>
      <c r="ARN3" s="55"/>
      <c r="ARO3" s="55"/>
      <c r="ARP3" s="55"/>
      <c r="ARQ3" s="55"/>
      <c r="ARR3" s="55"/>
      <c r="ARS3" s="55"/>
      <c r="ART3" s="55"/>
      <c r="ARU3" s="55"/>
      <c r="ARV3" s="55"/>
      <c r="ARW3" s="55"/>
      <c r="ARX3" s="55"/>
      <c r="ARY3" s="55"/>
      <c r="ARZ3" s="55"/>
      <c r="ASA3" s="55"/>
      <c r="ASB3" s="55"/>
      <c r="ASC3" s="55"/>
      <c r="ASD3" s="55"/>
      <c r="ASE3" s="55"/>
      <c r="ASF3" s="55"/>
      <c r="ASG3" s="55"/>
      <c r="ASH3" s="55"/>
      <c r="ASI3" s="55"/>
      <c r="ASJ3" s="55"/>
      <c r="ASK3" s="55"/>
      <c r="ASL3" s="55"/>
      <c r="ASM3" s="55"/>
      <c r="ASN3" s="55"/>
      <c r="ASO3" s="55"/>
      <c r="ASP3" s="55"/>
      <c r="ASQ3" s="55"/>
      <c r="ASR3" s="55"/>
      <c r="ASS3" s="55"/>
      <c r="AST3" s="55"/>
      <c r="ASU3" s="55"/>
      <c r="ASV3" s="55"/>
      <c r="ASW3" s="55"/>
      <c r="ASX3" s="55"/>
      <c r="ASY3" s="55"/>
      <c r="ASZ3" s="55"/>
      <c r="ATA3" s="55"/>
      <c r="ATB3" s="55"/>
      <c r="ATC3" s="55"/>
      <c r="ATD3" s="55"/>
      <c r="ATE3" s="55"/>
      <c r="ATF3" s="55"/>
      <c r="ATG3" s="55"/>
      <c r="ATH3" s="55"/>
      <c r="ATI3" s="55"/>
      <c r="ATJ3" s="55"/>
      <c r="ATK3" s="55"/>
      <c r="ATL3" s="55"/>
      <c r="ATM3" s="55"/>
      <c r="ATN3" s="55"/>
      <c r="ATO3" s="55"/>
      <c r="ATP3" s="55"/>
      <c r="ATQ3" s="55"/>
      <c r="ATR3" s="55"/>
      <c r="ATS3" s="55"/>
      <c r="ATT3" s="55"/>
      <c r="ATU3" s="55"/>
      <c r="ATV3" s="55"/>
      <c r="ATW3" s="55"/>
      <c r="ATX3" s="55"/>
      <c r="ATY3" s="55"/>
      <c r="ATZ3" s="55"/>
      <c r="AUA3" s="55"/>
      <c r="AUB3" s="55"/>
      <c r="AUC3" s="55"/>
      <c r="AUD3" s="55"/>
      <c r="AUE3" s="55"/>
      <c r="AUF3" s="55"/>
      <c r="AUG3" s="55"/>
      <c r="AUH3" s="55"/>
      <c r="AUI3" s="55"/>
      <c r="AUJ3" s="55"/>
      <c r="AUK3" s="55"/>
      <c r="AUL3" s="55"/>
      <c r="AUM3" s="55"/>
      <c r="AUN3" s="55"/>
      <c r="AUO3" s="55"/>
      <c r="AUP3" s="55"/>
      <c r="AUQ3" s="55"/>
      <c r="AUR3" s="55"/>
      <c r="AUS3" s="55"/>
      <c r="AUT3" s="55"/>
      <c r="AUU3" s="55"/>
      <c r="AUV3" s="55"/>
      <c r="AUW3" s="55"/>
      <c r="AUX3" s="55"/>
      <c r="AUY3" s="55"/>
      <c r="AUZ3" s="55"/>
      <c r="AVA3" s="55"/>
      <c r="AVB3" s="55"/>
      <c r="AVC3" s="55"/>
      <c r="AVD3" s="55"/>
      <c r="AVE3" s="55"/>
      <c r="AVF3" s="55"/>
      <c r="AVG3" s="55"/>
      <c r="AVH3" s="55"/>
      <c r="AVI3" s="55"/>
      <c r="AVJ3" s="55"/>
      <c r="AVK3" s="55"/>
      <c r="AVL3" s="55"/>
      <c r="AVM3" s="55"/>
      <c r="AVN3" s="55"/>
      <c r="AVO3" s="55"/>
      <c r="AVP3" s="55"/>
      <c r="AVQ3" s="55"/>
      <c r="AVR3" s="55"/>
      <c r="AVS3" s="55"/>
      <c r="AVT3" s="55"/>
      <c r="AVU3" s="55"/>
      <c r="AVV3" s="55"/>
      <c r="AVW3" s="55"/>
      <c r="AVX3" s="55"/>
      <c r="AVY3" s="55"/>
      <c r="AVZ3" s="55"/>
      <c r="AWA3" s="55"/>
      <c r="AWB3" s="55"/>
      <c r="AWC3" s="55"/>
      <c r="AWD3" s="55"/>
      <c r="AWE3" s="55"/>
      <c r="AWF3" s="55"/>
      <c r="AWG3" s="55"/>
      <c r="AWH3" s="55"/>
      <c r="AWI3" s="55"/>
      <c r="AWJ3" s="55"/>
      <c r="AWK3" s="55"/>
      <c r="AWL3" s="55"/>
      <c r="AWM3" s="55"/>
      <c r="AWN3" s="55"/>
      <c r="AWO3" s="55"/>
      <c r="AWP3" s="55"/>
      <c r="AWQ3" s="55"/>
      <c r="AWR3" s="55"/>
      <c r="AWS3" s="55"/>
      <c r="AWT3" s="55"/>
      <c r="AWU3" s="55"/>
      <c r="AWV3" s="55"/>
      <c r="AWW3" s="55"/>
      <c r="AWX3" s="55"/>
      <c r="AWY3" s="55"/>
      <c r="AWZ3" s="55"/>
      <c r="AXA3" s="55"/>
      <c r="AXB3" s="55"/>
      <c r="AXC3" s="55"/>
      <c r="AXD3" s="55"/>
      <c r="AXE3" s="55"/>
      <c r="AXF3" s="55"/>
      <c r="AXG3" s="55"/>
      <c r="AXH3" s="55"/>
      <c r="AXI3" s="55"/>
      <c r="AXJ3" s="55"/>
      <c r="AXK3" s="55"/>
      <c r="AXL3" s="55"/>
      <c r="AXM3" s="55"/>
      <c r="AXN3" s="55"/>
      <c r="AXO3" s="55"/>
      <c r="AXP3" s="55"/>
      <c r="AXQ3" s="55"/>
      <c r="AXR3" s="55"/>
      <c r="AXS3" s="55"/>
      <c r="AXT3" s="55"/>
      <c r="AXU3" s="55"/>
      <c r="AXV3" s="55"/>
      <c r="AXW3" s="55"/>
      <c r="AXX3" s="55"/>
      <c r="AXY3" s="55"/>
      <c r="AXZ3" s="55"/>
      <c r="AYA3" s="55"/>
      <c r="AYB3" s="55"/>
      <c r="AYC3" s="55"/>
      <c r="AYD3" s="55"/>
      <c r="AYE3" s="55"/>
      <c r="AYF3" s="55"/>
      <c r="AYG3" s="55"/>
      <c r="AYH3" s="55"/>
      <c r="AYI3" s="55"/>
      <c r="AYJ3" s="55"/>
      <c r="AYK3" s="55"/>
      <c r="AYL3" s="55"/>
      <c r="AYM3" s="55"/>
      <c r="AYN3" s="55"/>
      <c r="AYO3" s="55"/>
      <c r="AYP3" s="55"/>
      <c r="AYQ3" s="55"/>
      <c r="AYR3" s="55"/>
      <c r="AYS3" s="55"/>
      <c r="AYT3" s="55"/>
      <c r="AYU3" s="55"/>
      <c r="AYV3" s="55"/>
      <c r="AYW3" s="55"/>
      <c r="AYX3" s="55"/>
      <c r="AYY3" s="55"/>
      <c r="AYZ3" s="55"/>
      <c r="AZA3" s="55"/>
      <c r="AZB3" s="55"/>
      <c r="AZC3" s="55"/>
      <c r="AZD3" s="55"/>
      <c r="AZE3" s="55"/>
      <c r="AZF3" s="55"/>
      <c r="AZG3" s="55"/>
      <c r="AZH3" s="55"/>
      <c r="AZI3" s="55"/>
      <c r="AZJ3" s="55"/>
      <c r="AZK3" s="55"/>
      <c r="AZL3" s="55"/>
      <c r="AZM3" s="55"/>
      <c r="AZN3" s="55"/>
      <c r="AZO3" s="55"/>
      <c r="AZP3" s="55"/>
      <c r="AZQ3" s="55"/>
      <c r="AZR3" s="55"/>
      <c r="AZS3" s="55"/>
      <c r="AZT3" s="55"/>
      <c r="AZU3" s="55"/>
      <c r="AZV3" s="55"/>
      <c r="AZW3" s="55"/>
      <c r="AZX3" s="55"/>
      <c r="AZY3" s="55"/>
      <c r="AZZ3" s="55"/>
      <c r="BAA3" s="55"/>
      <c r="BAB3" s="55"/>
      <c r="BAC3" s="55"/>
      <c r="BAD3" s="55"/>
      <c r="BAE3" s="55"/>
      <c r="BAF3" s="55"/>
      <c r="BAG3" s="55"/>
      <c r="BAH3" s="55"/>
      <c r="BAI3" s="55"/>
      <c r="BAJ3" s="55"/>
      <c r="BAK3" s="55"/>
      <c r="BAL3" s="55"/>
      <c r="BAM3" s="55"/>
      <c r="BAN3" s="55"/>
      <c r="BAO3" s="55"/>
      <c r="BAP3" s="55"/>
      <c r="BAQ3" s="55"/>
      <c r="BAR3" s="55"/>
      <c r="BAS3" s="55"/>
      <c r="BAT3" s="55"/>
      <c r="BAU3" s="55"/>
      <c r="BAV3" s="55"/>
      <c r="BAW3" s="55"/>
      <c r="BAX3" s="55"/>
      <c r="BAY3" s="55"/>
      <c r="BAZ3" s="55"/>
      <c r="BBA3" s="55"/>
      <c r="BBB3" s="55"/>
      <c r="BBC3" s="55"/>
      <c r="BBD3" s="55"/>
      <c r="BBE3" s="55"/>
      <c r="BBF3" s="55"/>
      <c r="BBG3" s="55"/>
      <c r="BBH3" s="55"/>
      <c r="BBI3" s="55"/>
      <c r="BBJ3" s="55"/>
      <c r="BBK3" s="55"/>
      <c r="BBL3" s="55"/>
      <c r="BBM3" s="55"/>
      <c r="BBN3" s="55"/>
      <c r="BBO3" s="55"/>
      <c r="BBP3" s="55"/>
      <c r="BBQ3" s="55"/>
      <c r="BBR3" s="55"/>
      <c r="BBS3" s="55"/>
      <c r="BBT3" s="55"/>
      <c r="BBU3" s="55"/>
      <c r="BBV3" s="55"/>
      <c r="BBW3" s="55"/>
      <c r="BBX3" s="55"/>
      <c r="BBY3" s="55"/>
      <c r="BBZ3" s="55"/>
      <c r="BCA3" s="55"/>
      <c r="BCB3" s="55"/>
      <c r="BCC3" s="55"/>
      <c r="BCD3" s="55"/>
      <c r="BCE3" s="55"/>
      <c r="BCF3" s="55"/>
      <c r="BCG3" s="55"/>
      <c r="BCH3" s="55"/>
      <c r="BCI3" s="55"/>
      <c r="BCJ3" s="55"/>
      <c r="BCK3" s="55"/>
      <c r="BCL3" s="55"/>
      <c r="BCM3" s="55"/>
      <c r="BCN3" s="55"/>
      <c r="BCO3" s="55"/>
      <c r="BCP3" s="55"/>
      <c r="BCQ3" s="55"/>
      <c r="BCR3" s="55"/>
      <c r="BCS3" s="55"/>
      <c r="BCT3" s="55"/>
      <c r="BCU3" s="55"/>
      <c r="BCV3" s="55"/>
      <c r="BCW3" s="55"/>
      <c r="BCX3" s="55"/>
      <c r="BCY3" s="55"/>
      <c r="BCZ3" s="55"/>
      <c r="BDA3" s="55"/>
      <c r="BDB3" s="55"/>
      <c r="BDC3" s="55"/>
      <c r="BDD3" s="55"/>
      <c r="BDE3" s="55"/>
      <c r="BDF3" s="55"/>
      <c r="BDG3" s="55"/>
      <c r="BDH3" s="55"/>
      <c r="BDI3" s="55"/>
      <c r="BDJ3" s="55"/>
      <c r="BDK3" s="55"/>
      <c r="BDL3" s="55"/>
      <c r="BDM3" s="55"/>
      <c r="BDN3" s="55"/>
      <c r="BDO3" s="55"/>
      <c r="BDP3" s="55"/>
      <c r="BDQ3" s="55"/>
      <c r="BDR3" s="55"/>
      <c r="BDS3" s="55"/>
      <c r="BDT3" s="55"/>
      <c r="BDU3" s="55"/>
      <c r="BDV3" s="55"/>
      <c r="BDW3" s="55"/>
      <c r="BDX3" s="55"/>
      <c r="BDY3" s="55"/>
      <c r="BDZ3" s="55"/>
      <c r="BEA3" s="55"/>
      <c r="BEB3" s="55"/>
      <c r="BEC3" s="55"/>
      <c r="BED3" s="55"/>
      <c r="BEE3" s="55"/>
      <c r="BEF3" s="55"/>
      <c r="BEG3" s="55"/>
      <c r="BEH3" s="55"/>
      <c r="BEI3" s="55"/>
      <c r="BEJ3" s="55"/>
      <c r="BEK3" s="55"/>
      <c r="BEL3" s="55"/>
      <c r="BEM3" s="55"/>
      <c r="BEN3" s="55"/>
      <c r="BEO3" s="55"/>
      <c r="BEP3" s="55"/>
      <c r="BEQ3" s="55"/>
      <c r="BER3" s="55"/>
      <c r="BES3" s="55"/>
      <c r="BET3" s="55"/>
      <c r="BEU3" s="55"/>
      <c r="BEV3" s="55"/>
      <c r="BEW3" s="55"/>
      <c r="BEX3" s="55"/>
      <c r="BEY3" s="55"/>
      <c r="BEZ3" s="55"/>
      <c r="BFA3" s="55"/>
      <c r="BFB3" s="55"/>
      <c r="BFC3" s="55"/>
      <c r="BFD3" s="55"/>
      <c r="BFE3" s="55"/>
      <c r="BFF3" s="55"/>
      <c r="BFG3" s="55"/>
      <c r="BFH3" s="55"/>
      <c r="BFI3" s="55"/>
      <c r="BFJ3" s="55"/>
      <c r="BFK3" s="55"/>
      <c r="BFL3" s="55"/>
      <c r="BFM3" s="55"/>
      <c r="BFN3" s="55"/>
      <c r="BFO3" s="55"/>
      <c r="BFP3" s="55"/>
      <c r="BFQ3" s="55"/>
      <c r="BFR3" s="55"/>
      <c r="BFS3" s="55"/>
      <c r="BFT3" s="55"/>
      <c r="BFU3" s="55"/>
      <c r="BFV3" s="55"/>
      <c r="BFW3" s="55"/>
      <c r="BFX3" s="55"/>
      <c r="BFY3" s="55"/>
      <c r="BFZ3" s="55"/>
      <c r="BGA3" s="55"/>
      <c r="BGB3" s="55"/>
      <c r="BGC3" s="55"/>
      <c r="BGD3" s="55"/>
      <c r="BGE3" s="55"/>
      <c r="BGF3" s="55"/>
      <c r="BGG3" s="55"/>
      <c r="BGH3" s="55"/>
      <c r="BGI3" s="55"/>
      <c r="BGJ3" s="55"/>
      <c r="BGK3" s="55"/>
      <c r="BGL3" s="55"/>
      <c r="BGM3" s="55"/>
      <c r="BGN3" s="55"/>
      <c r="BGO3" s="55"/>
      <c r="BGP3" s="55"/>
      <c r="BGQ3" s="55"/>
      <c r="BGR3" s="55"/>
      <c r="BGS3" s="55"/>
      <c r="BGT3" s="55"/>
      <c r="BGU3" s="55"/>
      <c r="BGV3" s="55"/>
      <c r="BGW3" s="55"/>
      <c r="BGX3" s="55"/>
      <c r="BGY3" s="55"/>
      <c r="BGZ3" s="55"/>
      <c r="BHA3" s="55"/>
      <c r="BHB3" s="55"/>
      <c r="BHC3" s="55"/>
      <c r="BHD3" s="55"/>
      <c r="BHE3" s="55"/>
      <c r="BHF3" s="55"/>
      <c r="BHG3" s="55"/>
      <c r="BHH3" s="55"/>
      <c r="BHI3" s="55"/>
      <c r="BHJ3" s="55"/>
      <c r="BHK3" s="55"/>
      <c r="BHL3" s="55"/>
      <c r="BHM3" s="55"/>
      <c r="BHN3" s="55"/>
      <c r="BHO3" s="55"/>
      <c r="BHP3" s="55"/>
      <c r="BHQ3" s="55"/>
      <c r="BHR3" s="55"/>
      <c r="BHS3" s="55"/>
      <c r="BHT3" s="55"/>
      <c r="BHU3" s="55"/>
      <c r="BHV3" s="55"/>
      <c r="BHW3" s="55"/>
      <c r="BHX3" s="55"/>
      <c r="BHY3" s="55"/>
      <c r="BHZ3" s="55"/>
      <c r="BIA3" s="55"/>
      <c r="BIB3" s="55"/>
      <c r="BIC3" s="55"/>
      <c r="BID3" s="55"/>
      <c r="BIE3" s="55"/>
      <c r="BIF3" s="55"/>
      <c r="BIG3" s="55"/>
      <c r="BIH3" s="55"/>
      <c r="BII3" s="55"/>
      <c r="BIJ3" s="55"/>
      <c r="BIK3" s="55"/>
      <c r="BIL3" s="55"/>
      <c r="BIM3" s="55"/>
      <c r="BIN3" s="55"/>
      <c r="BIO3" s="55"/>
      <c r="BIP3" s="55"/>
      <c r="BIQ3" s="55"/>
      <c r="BIR3" s="55"/>
      <c r="BIS3" s="55"/>
      <c r="BIT3" s="55"/>
      <c r="BIU3" s="55"/>
      <c r="BIV3" s="55"/>
      <c r="BIW3" s="55"/>
      <c r="BIX3" s="55"/>
      <c r="BIY3" s="55"/>
      <c r="BIZ3" s="55"/>
      <c r="BJA3" s="55"/>
      <c r="BJB3" s="55"/>
      <c r="BJC3" s="55"/>
      <c r="BJD3" s="55"/>
      <c r="BJE3" s="55"/>
      <c r="BJF3" s="55"/>
      <c r="BJG3" s="55"/>
      <c r="BJH3" s="55"/>
      <c r="BJI3" s="55"/>
      <c r="BJJ3" s="55"/>
      <c r="BJK3" s="55"/>
      <c r="BJL3" s="55"/>
      <c r="BJM3" s="55"/>
      <c r="BJN3" s="55"/>
      <c r="BJO3" s="55"/>
      <c r="BJP3" s="55"/>
      <c r="BJQ3" s="55"/>
      <c r="BJR3" s="55"/>
      <c r="BJS3" s="55"/>
      <c r="BJT3" s="55"/>
      <c r="BJU3" s="55"/>
      <c r="BJV3" s="55"/>
      <c r="BJW3" s="55"/>
      <c r="BJX3" s="55"/>
      <c r="BJY3" s="55"/>
      <c r="BJZ3" s="55"/>
      <c r="BKA3" s="55"/>
      <c r="BKB3" s="55"/>
      <c r="BKC3" s="55"/>
      <c r="BKD3" s="55"/>
      <c r="BKE3" s="55"/>
      <c r="BKF3" s="55"/>
      <c r="BKG3" s="55"/>
      <c r="BKH3" s="55"/>
      <c r="BKI3" s="55"/>
      <c r="BKJ3" s="55"/>
      <c r="BKK3" s="55"/>
      <c r="BKL3" s="55"/>
      <c r="BKM3" s="55"/>
      <c r="BKN3" s="55"/>
      <c r="BKO3" s="55"/>
      <c r="BKP3" s="55"/>
      <c r="BKQ3" s="55"/>
      <c r="BKR3" s="55"/>
      <c r="BKS3" s="55"/>
      <c r="BKT3" s="55"/>
      <c r="BKU3" s="55"/>
      <c r="BKV3" s="55"/>
      <c r="BKW3" s="55"/>
      <c r="BKX3" s="55"/>
      <c r="BKY3" s="55"/>
      <c r="BKZ3" s="55"/>
      <c r="BLA3" s="55"/>
      <c r="BLB3" s="55"/>
      <c r="BLC3" s="55"/>
      <c r="BLD3" s="55"/>
      <c r="BLE3" s="55"/>
      <c r="BLF3" s="55"/>
      <c r="BLG3" s="55"/>
      <c r="BLH3" s="55"/>
      <c r="BLI3" s="55"/>
      <c r="BLJ3" s="55"/>
      <c r="BLK3" s="55"/>
      <c r="BLL3" s="55"/>
      <c r="BLM3" s="55"/>
      <c r="BLN3" s="55"/>
      <c r="BLO3" s="55"/>
      <c r="BLP3" s="55"/>
      <c r="BLQ3" s="55"/>
      <c r="BLR3" s="55"/>
      <c r="BLS3" s="55"/>
      <c r="BLT3" s="55"/>
      <c r="BLU3" s="55"/>
      <c r="BLV3" s="55"/>
      <c r="BLW3" s="55"/>
      <c r="BLX3" s="55"/>
      <c r="BLY3" s="55"/>
      <c r="BLZ3" s="55"/>
      <c r="BMA3" s="55"/>
      <c r="BMB3" s="55"/>
      <c r="BMC3" s="55"/>
      <c r="BMD3" s="55"/>
      <c r="BME3" s="55"/>
      <c r="BMF3" s="55"/>
      <c r="BMG3" s="55"/>
      <c r="BMH3" s="55"/>
      <c r="BMI3" s="55"/>
      <c r="BMJ3" s="55"/>
      <c r="BMK3" s="55"/>
      <c r="BML3" s="55"/>
      <c r="BMM3" s="55"/>
      <c r="BMN3" s="55"/>
      <c r="BMO3" s="55"/>
      <c r="BMP3" s="55"/>
      <c r="BMQ3" s="55"/>
      <c r="BMR3" s="55"/>
      <c r="BMS3" s="55"/>
      <c r="BMT3" s="55"/>
      <c r="BMU3" s="55"/>
      <c r="BMV3" s="55"/>
      <c r="BMW3" s="55"/>
      <c r="BMX3" s="55"/>
      <c r="BMY3" s="55"/>
      <c r="BMZ3" s="55"/>
      <c r="BNA3" s="55"/>
      <c r="BNB3" s="55"/>
      <c r="BNC3" s="55"/>
      <c r="BND3" s="55"/>
      <c r="BNE3" s="55"/>
      <c r="BNF3" s="55"/>
      <c r="BNG3" s="55"/>
      <c r="BNH3" s="55"/>
      <c r="BNI3" s="55"/>
      <c r="BNJ3" s="55"/>
      <c r="BNK3" s="55"/>
      <c r="BNL3" s="55"/>
      <c r="BNM3" s="55"/>
      <c r="BNN3" s="55"/>
      <c r="BNO3" s="55"/>
      <c r="BNP3" s="55"/>
      <c r="BNQ3" s="55"/>
      <c r="BNR3" s="55"/>
      <c r="BNS3" s="55"/>
      <c r="BNT3" s="55"/>
      <c r="BNU3" s="55"/>
      <c r="BNV3" s="55"/>
      <c r="BNW3" s="55"/>
      <c r="BNX3" s="55"/>
      <c r="BNY3" s="55"/>
      <c r="BNZ3" s="55"/>
      <c r="BOA3" s="55"/>
      <c r="BOB3" s="55"/>
      <c r="BOC3" s="55"/>
      <c r="BOD3" s="55"/>
      <c r="BOE3" s="55"/>
      <c r="BOF3" s="55"/>
      <c r="BOG3" s="55"/>
      <c r="BOH3" s="55"/>
      <c r="BOI3" s="55"/>
      <c r="BOJ3" s="55"/>
      <c r="BOK3" s="55"/>
      <c r="BOL3" s="55"/>
      <c r="BOM3" s="55"/>
      <c r="BON3" s="55"/>
      <c r="BOO3" s="55"/>
      <c r="BOP3" s="55"/>
      <c r="BOQ3" s="55"/>
      <c r="BOR3" s="55"/>
      <c r="BOS3" s="55"/>
      <c r="BOT3" s="55"/>
      <c r="BOU3" s="55"/>
      <c r="BOV3" s="55"/>
      <c r="BOW3" s="55"/>
      <c r="BOX3" s="55"/>
      <c r="BOY3" s="55"/>
      <c r="BOZ3" s="55"/>
      <c r="BPA3" s="55"/>
      <c r="BPB3" s="55"/>
      <c r="BPC3" s="55"/>
      <c r="BPD3" s="55"/>
      <c r="BPE3" s="55"/>
      <c r="BPF3" s="55"/>
      <c r="BPG3" s="55"/>
      <c r="BPH3" s="55"/>
      <c r="BPI3" s="55"/>
      <c r="BPJ3" s="55"/>
      <c r="BPK3" s="55"/>
      <c r="BPL3" s="55"/>
      <c r="BPM3" s="55"/>
      <c r="BPN3" s="55"/>
      <c r="BPO3" s="55"/>
      <c r="BPP3" s="55"/>
      <c r="BPQ3" s="55"/>
      <c r="BPR3" s="55"/>
      <c r="BPS3" s="55"/>
      <c r="BPT3" s="55"/>
      <c r="BPU3" s="55"/>
      <c r="BPV3" s="55"/>
      <c r="BPW3" s="55"/>
      <c r="BPX3" s="55"/>
      <c r="BPY3" s="55"/>
      <c r="BPZ3" s="55"/>
      <c r="BQA3" s="55"/>
      <c r="BQB3" s="55"/>
      <c r="BQC3" s="55"/>
      <c r="BQD3" s="55"/>
      <c r="BQE3" s="55"/>
      <c r="BQF3" s="55"/>
      <c r="BQG3" s="55"/>
      <c r="BQH3" s="55"/>
      <c r="BQI3" s="55"/>
      <c r="BQJ3" s="55"/>
      <c r="BQK3" s="55"/>
      <c r="BQL3" s="55"/>
      <c r="BQM3" s="55"/>
      <c r="BQN3" s="55"/>
      <c r="BQO3" s="55"/>
      <c r="BQP3" s="55"/>
      <c r="BQQ3" s="55"/>
      <c r="BQR3" s="55"/>
      <c r="BQS3" s="55"/>
      <c r="BQT3" s="55"/>
      <c r="BQU3" s="55"/>
      <c r="BQV3" s="55"/>
      <c r="BQW3" s="55"/>
      <c r="BQX3" s="55"/>
      <c r="BQY3" s="55"/>
      <c r="BQZ3" s="55"/>
      <c r="BRA3" s="55"/>
      <c r="BRB3" s="55"/>
      <c r="BRC3" s="55"/>
      <c r="BRD3" s="55"/>
      <c r="BRE3" s="55"/>
      <c r="BRF3" s="55"/>
      <c r="BRG3" s="55"/>
      <c r="BRH3" s="55"/>
      <c r="BRI3" s="55"/>
      <c r="BRJ3" s="55"/>
      <c r="BRK3" s="55"/>
      <c r="BRL3" s="55"/>
      <c r="BRM3" s="55"/>
      <c r="BRN3" s="55"/>
      <c r="BRO3" s="55"/>
      <c r="BRP3" s="55"/>
      <c r="BRQ3" s="55"/>
      <c r="BRR3" s="55"/>
      <c r="BRS3" s="55"/>
      <c r="BRT3" s="55"/>
      <c r="BRU3" s="55"/>
      <c r="BRV3" s="55"/>
      <c r="BRW3" s="55"/>
      <c r="BRX3" s="55"/>
      <c r="BRY3" s="55"/>
      <c r="BRZ3" s="55"/>
      <c r="BSA3" s="55"/>
      <c r="BSB3" s="55"/>
      <c r="BSC3" s="55"/>
      <c r="BSD3" s="55"/>
      <c r="BSE3" s="55"/>
      <c r="BSF3" s="55"/>
      <c r="BSG3" s="55"/>
      <c r="BSH3" s="55"/>
      <c r="BSI3" s="55"/>
      <c r="BSJ3" s="55"/>
      <c r="BSK3" s="55"/>
      <c r="BSL3" s="55"/>
      <c r="BSM3" s="55"/>
      <c r="BSN3" s="55"/>
      <c r="BSO3" s="55"/>
      <c r="BSP3" s="55"/>
      <c r="BSQ3" s="55"/>
      <c r="BSR3" s="55"/>
      <c r="BSS3" s="55"/>
      <c r="BST3" s="55"/>
      <c r="BSU3" s="55"/>
      <c r="BSV3" s="55"/>
      <c r="BSW3" s="55"/>
      <c r="BSX3" s="55"/>
      <c r="BSY3" s="55"/>
      <c r="BSZ3" s="55"/>
      <c r="BTA3" s="55"/>
      <c r="BTB3" s="55"/>
      <c r="BTC3" s="55"/>
      <c r="BTD3" s="55"/>
      <c r="BTE3" s="55"/>
      <c r="BTF3" s="55"/>
      <c r="BTG3" s="55"/>
      <c r="BTH3" s="55"/>
      <c r="BTI3" s="55"/>
      <c r="BTJ3" s="55"/>
      <c r="BTK3" s="55"/>
      <c r="BTL3" s="55"/>
      <c r="BTM3" s="55"/>
      <c r="BTN3" s="55"/>
      <c r="BTO3" s="55"/>
      <c r="BTP3" s="55"/>
      <c r="BTQ3" s="55"/>
      <c r="BTR3" s="55"/>
      <c r="BTS3" s="55"/>
      <c r="BTT3" s="55"/>
      <c r="BTU3" s="55"/>
      <c r="BTV3" s="55"/>
      <c r="BTW3" s="55"/>
      <c r="BTX3" s="55"/>
      <c r="BTY3" s="55"/>
      <c r="BTZ3" s="55"/>
      <c r="BUA3" s="55"/>
      <c r="BUB3" s="55"/>
      <c r="BUC3" s="55"/>
      <c r="BUD3" s="55"/>
      <c r="BUE3" s="55"/>
      <c r="BUF3" s="55"/>
      <c r="BUG3" s="55"/>
      <c r="BUH3" s="55"/>
      <c r="BUI3" s="55"/>
      <c r="BUJ3" s="55"/>
      <c r="BUK3" s="55"/>
      <c r="BUL3" s="55"/>
      <c r="BUM3" s="55"/>
      <c r="BUN3" s="55"/>
      <c r="BUO3" s="55"/>
      <c r="BUP3" s="55"/>
      <c r="BUQ3" s="55"/>
      <c r="BUR3" s="55"/>
      <c r="BUS3" s="55"/>
      <c r="BUT3" s="55"/>
      <c r="BUU3" s="55"/>
      <c r="BUV3" s="55"/>
      <c r="BUW3" s="55"/>
      <c r="BUX3" s="55"/>
      <c r="BUY3" s="55"/>
      <c r="BUZ3" s="55"/>
      <c r="BVA3" s="55"/>
      <c r="BVB3" s="55"/>
      <c r="BVC3" s="55"/>
      <c r="BVD3" s="55"/>
      <c r="BVE3" s="55"/>
      <c r="BVF3" s="55"/>
      <c r="BVG3" s="55"/>
      <c r="BVH3" s="55"/>
      <c r="BVI3" s="55"/>
      <c r="BVJ3" s="55"/>
      <c r="BVK3" s="55"/>
      <c r="BVL3" s="55"/>
      <c r="BVM3" s="55"/>
      <c r="BVN3" s="55"/>
      <c r="BVO3" s="55"/>
      <c r="BVP3" s="55"/>
      <c r="BVQ3" s="55"/>
      <c r="BVR3" s="55"/>
      <c r="BVS3" s="55"/>
      <c r="BVT3" s="55"/>
      <c r="BVU3" s="55"/>
      <c r="BVV3" s="55"/>
      <c r="BVW3" s="55"/>
      <c r="BVX3" s="55"/>
      <c r="BVY3" s="55"/>
      <c r="BVZ3" s="55"/>
      <c r="BWA3" s="55"/>
      <c r="BWB3" s="55"/>
      <c r="BWC3" s="55"/>
      <c r="BWD3" s="55"/>
      <c r="BWE3" s="55"/>
      <c r="BWF3" s="55"/>
      <c r="BWG3" s="55"/>
      <c r="BWH3" s="55"/>
      <c r="BWI3" s="55"/>
      <c r="BWJ3" s="55"/>
      <c r="BWK3" s="55"/>
      <c r="BWL3" s="55"/>
      <c r="BWM3" s="55"/>
      <c r="BWN3" s="55"/>
      <c r="BWO3" s="55"/>
      <c r="BWP3" s="55"/>
      <c r="BWQ3" s="55"/>
      <c r="BWR3" s="55"/>
      <c r="BWS3" s="55"/>
      <c r="BWT3" s="55"/>
      <c r="BWU3" s="55"/>
      <c r="BWV3" s="55"/>
      <c r="BWW3" s="55"/>
      <c r="BWX3" s="55"/>
      <c r="BWY3" s="55"/>
      <c r="BWZ3" s="55"/>
      <c r="BXA3" s="55"/>
      <c r="BXB3" s="55"/>
      <c r="BXC3" s="55"/>
      <c r="BXD3" s="55"/>
      <c r="BXE3" s="55"/>
      <c r="BXF3" s="55"/>
      <c r="BXG3" s="55"/>
      <c r="BXH3" s="55"/>
      <c r="BXI3" s="55"/>
      <c r="BXJ3" s="55"/>
      <c r="BXK3" s="55"/>
      <c r="BXL3" s="55"/>
      <c r="BXM3" s="55"/>
      <c r="BXN3" s="55"/>
      <c r="BXO3" s="55"/>
      <c r="BXP3" s="55"/>
      <c r="BXQ3" s="55"/>
      <c r="BXR3" s="55"/>
      <c r="BXS3" s="55"/>
      <c r="BXT3" s="55"/>
      <c r="BXU3" s="55"/>
      <c r="BXV3" s="55"/>
      <c r="BXW3" s="55"/>
      <c r="BXX3" s="55"/>
      <c r="BXY3" s="55"/>
      <c r="BXZ3" s="55"/>
      <c r="BYA3" s="55"/>
      <c r="BYB3" s="55"/>
      <c r="BYC3" s="55"/>
      <c r="BYD3" s="55"/>
      <c r="BYE3" s="55"/>
      <c r="BYF3" s="55"/>
      <c r="BYG3" s="55"/>
      <c r="BYH3" s="55"/>
      <c r="BYI3" s="55"/>
      <c r="BYJ3" s="55"/>
      <c r="BYK3" s="55"/>
      <c r="BYL3" s="55"/>
      <c r="BYM3" s="55"/>
      <c r="BYN3" s="55"/>
      <c r="BYO3" s="55"/>
      <c r="BYP3" s="55"/>
      <c r="BYQ3" s="55"/>
      <c r="BYR3" s="55"/>
      <c r="BYS3" s="55"/>
      <c r="BYT3" s="55"/>
      <c r="BYU3" s="55"/>
      <c r="BYV3" s="55"/>
      <c r="BYW3" s="55"/>
      <c r="BYX3" s="55"/>
      <c r="BYY3" s="55"/>
      <c r="BYZ3" s="55"/>
      <c r="BZA3" s="55"/>
      <c r="BZB3" s="55"/>
      <c r="BZC3" s="55"/>
      <c r="BZD3" s="55"/>
      <c r="BZE3" s="55"/>
      <c r="BZF3" s="55"/>
      <c r="BZG3" s="55"/>
      <c r="BZH3" s="55"/>
      <c r="BZI3" s="55"/>
      <c r="BZJ3" s="55"/>
      <c r="BZK3" s="55"/>
      <c r="BZL3" s="55"/>
      <c r="BZM3" s="55"/>
      <c r="BZN3" s="55"/>
      <c r="BZO3" s="55"/>
      <c r="BZP3" s="55"/>
      <c r="BZQ3" s="55"/>
      <c r="BZR3" s="55"/>
      <c r="BZS3" s="55"/>
      <c r="BZT3" s="55"/>
      <c r="BZU3" s="55"/>
      <c r="BZV3" s="55"/>
      <c r="BZW3" s="55"/>
      <c r="BZX3" s="55"/>
      <c r="BZY3" s="55"/>
      <c r="BZZ3" s="55"/>
      <c r="CAA3" s="55"/>
      <c r="CAB3" s="55"/>
      <c r="CAC3" s="55"/>
      <c r="CAD3" s="55"/>
      <c r="CAE3" s="55"/>
      <c r="CAF3" s="55"/>
      <c r="CAG3" s="55"/>
      <c r="CAH3" s="55"/>
      <c r="CAI3" s="55"/>
      <c r="CAJ3" s="55"/>
      <c r="CAK3" s="55"/>
      <c r="CAL3" s="55"/>
      <c r="CAM3" s="55"/>
      <c r="CAN3" s="55"/>
      <c r="CAO3" s="55"/>
      <c r="CAP3" s="55"/>
      <c r="CAQ3" s="55"/>
      <c r="CAR3" s="55"/>
      <c r="CAS3" s="55"/>
      <c r="CAT3" s="55"/>
      <c r="CAU3" s="55"/>
      <c r="CAV3" s="55"/>
      <c r="CAW3" s="55"/>
      <c r="CAX3" s="55"/>
      <c r="CAY3" s="55"/>
      <c r="CAZ3" s="55"/>
      <c r="CBA3" s="55"/>
      <c r="CBB3" s="55"/>
      <c r="CBC3" s="55"/>
      <c r="CBD3" s="55"/>
      <c r="CBE3" s="55"/>
      <c r="CBF3" s="55"/>
      <c r="CBG3" s="55"/>
      <c r="CBH3" s="55"/>
      <c r="CBI3" s="55"/>
      <c r="CBJ3" s="55"/>
      <c r="CBK3" s="55"/>
      <c r="CBL3" s="55"/>
      <c r="CBM3" s="55"/>
      <c r="CBN3" s="55"/>
      <c r="CBO3" s="55"/>
      <c r="CBP3" s="55"/>
      <c r="CBQ3" s="55"/>
      <c r="CBR3" s="55"/>
      <c r="CBS3" s="55"/>
      <c r="CBT3" s="55"/>
      <c r="CBU3" s="55"/>
      <c r="CBV3" s="55"/>
      <c r="CBW3" s="55"/>
      <c r="CBX3" s="55"/>
      <c r="CBY3" s="55"/>
      <c r="CBZ3" s="55"/>
      <c r="CCA3" s="55"/>
      <c r="CCB3" s="55"/>
      <c r="CCC3" s="55"/>
      <c r="CCD3" s="55"/>
      <c r="CCE3" s="55"/>
      <c r="CCF3" s="55"/>
      <c r="CCG3" s="55"/>
      <c r="CCH3" s="55"/>
      <c r="CCI3" s="55"/>
      <c r="CCJ3" s="55"/>
      <c r="CCK3" s="55"/>
      <c r="CCL3" s="55"/>
      <c r="CCM3" s="55"/>
      <c r="CCN3" s="55"/>
      <c r="CCO3" s="55"/>
      <c r="CCP3" s="55"/>
      <c r="CCQ3" s="55"/>
      <c r="CCR3" s="55"/>
      <c r="CCS3" s="55"/>
      <c r="CCT3" s="55"/>
      <c r="CCU3" s="55"/>
      <c r="CCV3" s="55"/>
      <c r="CCW3" s="55"/>
      <c r="CCX3" s="55"/>
      <c r="CCY3" s="55"/>
      <c r="CCZ3" s="55"/>
      <c r="CDA3" s="55"/>
      <c r="CDB3" s="55"/>
      <c r="CDC3" s="55"/>
      <c r="CDD3" s="55"/>
      <c r="CDE3" s="55"/>
      <c r="CDF3" s="55"/>
      <c r="CDG3" s="55"/>
      <c r="CDH3" s="55"/>
      <c r="CDI3" s="55"/>
      <c r="CDJ3" s="55"/>
      <c r="CDK3" s="55"/>
      <c r="CDL3" s="55"/>
      <c r="CDM3" s="55"/>
      <c r="CDN3" s="55"/>
      <c r="CDO3" s="55"/>
      <c r="CDP3" s="55"/>
      <c r="CDQ3" s="55"/>
      <c r="CDR3" s="55"/>
      <c r="CDS3" s="55"/>
      <c r="CDT3" s="55"/>
      <c r="CDU3" s="55"/>
      <c r="CDV3" s="55"/>
      <c r="CDW3" s="55"/>
      <c r="CDX3" s="55"/>
      <c r="CDY3" s="55"/>
      <c r="CDZ3" s="55"/>
      <c r="CEA3" s="55"/>
      <c r="CEB3" s="55"/>
      <c r="CEC3" s="55"/>
      <c r="CED3" s="55"/>
      <c r="CEE3" s="55"/>
      <c r="CEF3" s="55"/>
      <c r="CEG3" s="55"/>
      <c r="CEH3" s="55"/>
      <c r="CEI3" s="55"/>
      <c r="CEJ3" s="55"/>
      <c r="CEK3" s="55"/>
      <c r="CEL3" s="55"/>
      <c r="CEM3" s="55"/>
      <c r="CEN3" s="55"/>
      <c r="CEO3" s="55"/>
      <c r="CEP3" s="55"/>
      <c r="CEQ3" s="55"/>
      <c r="CER3" s="55"/>
      <c r="CES3" s="55"/>
      <c r="CET3" s="55"/>
      <c r="CEU3" s="55"/>
      <c r="CEV3" s="55"/>
      <c r="CEW3" s="55"/>
      <c r="CEX3" s="55"/>
      <c r="CEY3" s="55"/>
      <c r="CEZ3" s="55"/>
      <c r="CFA3" s="55"/>
      <c r="CFB3" s="55"/>
      <c r="CFC3" s="55"/>
      <c r="CFD3" s="55"/>
      <c r="CFE3" s="55"/>
      <c r="CFF3" s="55"/>
      <c r="CFG3" s="55"/>
      <c r="CFH3" s="55"/>
      <c r="CFI3" s="55"/>
      <c r="CFJ3" s="55"/>
      <c r="CFK3" s="55"/>
      <c r="CFL3" s="55"/>
      <c r="CFM3" s="55"/>
      <c r="CFN3" s="55"/>
      <c r="CFO3" s="55"/>
      <c r="CFP3" s="55"/>
      <c r="CFQ3" s="55"/>
      <c r="CFR3" s="55"/>
      <c r="CFS3" s="55"/>
      <c r="CFT3" s="55"/>
      <c r="CFU3" s="55"/>
      <c r="CFV3" s="55"/>
      <c r="CFW3" s="55"/>
      <c r="CFX3" s="55"/>
      <c r="CFY3" s="55"/>
      <c r="CFZ3" s="55"/>
      <c r="CGA3" s="55"/>
      <c r="CGB3" s="55"/>
      <c r="CGC3" s="55"/>
      <c r="CGD3" s="55"/>
      <c r="CGE3" s="55"/>
      <c r="CGF3" s="55"/>
      <c r="CGG3" s="55"/>
      <c r="CGH3" s="55"/>
      <c r="CGI3" s="55"/>
      <c r="CGJ3" s="55"/>
      <c r="CGK3" s="55"/>
      <c r="CGL3" s="55"/>
      <c r="CGM3" s="55"/>
      <c r="CGN3" s="55"/>
      <c r="CGO3" s="55"/>
      <c r="CGP3" s="55"/>
      <c r="CGQ3" s="55"/>
      <c r="CGR3" s="55"/>
      <c r="CGS3" s="55"/>
      <c r="CGT3" s="55"/>
      <c r="CGU3" s="55"/>
      <c r="CGV3" s="55"/>
      <c r="CGW3" s="55"/>
      <c r="CGX3" s="55"/>
      <c r="CGY3" s="55"/>
      <c r="CGZ3" s="55"/>
      <c r="CHA3" s="55"/>
      <c r="CHB3" s="55"/>
      <c r="CHC3" s="55"/>
      <c r="CHD3" s="55"/>
      <c r="CHE3" s="55"/>
      <c r="CHF3" s="55"/>
      <c r="CHG3" s="55"/>
      <c r="CHH3" s="55"/>
      <c r="CHI3" s="55"/>
      <c r="CHJ3" s="55"/>
      <c r="CHK3" s="55"/>
      <c r="CHL3" s="55"/>
      <c r="CHM3" s="55"/>
      <c r="CHN3" s="55"/>
      <c r="CHO3" s="55"/>
      <c r="CHP3" s="55"/>
      <c r="CHQ3" s="55"/>
      <c r="CHR3" s="55"/>
      <c r="CHS3" s="55"/>
      <c r="CHT3" s="55"/>
      <c r="CHU3" s="55"/>
      <c r="CHV3" s="55"/>
      <c r="CHW3" s="55"/>
      <c r="CHX3" s="55"/>
      <c r="CHY3" s="55"/>
      <c r="CHZ3" s="55"/>
      <c r="CIA3" s="55"/>
      <c r="CIB3" s="55"/>
      <c r="CIC3" s="55"/>
      <c r="CID3" s="55"/>
      <c r="CIE3" s="55"/>
      <c r="CIF3" s="55"/>
      <c r="CIG3" s="55"/>
      <c r="CIH3" s="55"/>
      <c r="CII3" s="55"/>
      <c r="CIJ3" s="55"/>
      <c r="CIK3" s="55"/>
      <c r="CIL3" s="55"/>
      <c r="CIM3" s="55"/>
      <c r="CIN3" s="55"/>
      <c r="CIO3" s="55"/>
      <c r="CIP3" s="55"/>
      <c r="CIQ3" s="55"/>
      <c r="CIR3" s="55"/>
      <c r="CIS3" s="55"/>
      <c r="CIT3" s="55"/>
      <c r="CIU3" s="55"/>
      <c r="CIV3" s="55"/>
      <c r="CIW3" s="55"/>
      <c r="CIX3" s="55"/>
      <c r="CIY3" s="55"/>
      <c r="CIZ3" s="55"/>
      <c r="CJA3" s="55"/>
      <c r="CJB3" s="55"/>
      <c r="CJC3" s="55"/>
      <c r="CJD3" s="55"/>
      <c r="CJE3" s="55"/>
      <c r="CJF3" s="55"/>
      <c r="CJG3" s="55"/>
      <c r="CJH3" s="55"/>
      <c r="CJI3" s="55"/>
      <c r="CJJ3" s="55"/>
      <c r="CJK3" s="55"/>
      <c r="CJL3" s="55"/>
      <c r="CJM3" s="55"/>
      <c r="CJN3" s="55"/>
      <c r="CJO3" s="55"/>
      <c r="CJP3" s="55"/>
      <c r="CJQ3" s="55"/>
      <c r="CJR3" s="55"/>
      <c r="CJS3" s="55"/>
      <c r="CJT3" s="55"/>
      <c r="CJU3" s="55"/>
      <c r="CJV3" s="55"/>
      <c r="CJW3" s="55"/>
      <c r="CJX3" s="55"/>
      <c r="CJY3" s="55"/>
      <c r="CJZ3" s="55"/>
      <c r="CKA3" s="55"/>
      <c r="CKB3" s="55"/>
      <c r="CKC3" s="55"/>
      <c r="CKD3" s="55"/>
      <c r="CKE3" s="55"/>
      <c r="CKF3" s="55"/>
      <c r="CKG3" s="55"/>
      <c r="CKH3" s="55"/>
      <c r="CKI3" s="55"/>
      <c r="CKJ3" s="55"/>
      <c r="CKK3" s="55"/>
      <c r="CKL3" s="55"/>
      <c r="CKM3" s="55"/>
      <c r="CKN3" s="55"/>
      <c r="CKO3" s="55"/>
      <c r="CKP3" s="55"/>
      <c r="CKQ3" s="55"/>
      <c r="CKR3" s="55"/>
      <c r="CKS3" s="55"/>
      <c r="CKT3" s="55"/>
      <c r="CKU3" s="55"/>
      <c r="CKV3" s="55"/>
      <c r="CKW3" s="55"/>
      <c r="CKX3" s="55"/>
      <c r="CKY3" s="55"/>
      <c r="CKZ3" s="55"/>
      <c r="CLA3" s="55"/>
      <c r="CLB3" s="55"/>
      <c r="CLC3" s="55"/>
      <c r="CLD3" s="55"/>
      <c r="CLE3" s="55"/>
      <c r="CLF3" s="55"/>
      <c r="CLG3" s="55"/>
      <c r="CLH3" s="55"/>
      <c r="CLI3" s="55"/>
      <c r="CLJ3" s="55"/>
      <c r="CLK3" s="55"/>
      <c r="CLL3" s="55"/>
      <c r="CLM3" s="55"/>
      <c r="CLN3" s="55"/>
      <c r="CLO3" s="55"/>
      <c r="CLP3" s="55"/>
      <c r="CLQ3" s="55"/>
      <c r="CLR3" s="55"/>
      <c r="CLS3" s="55"/>
      <c r="CLT3" s="55"/>
      <c r="CLU3" s="55"/>
      <c r="CLV3" s="55"/>
      <c r="CLW3" s="55"/>
      <c r="CLX3" s="55"/>
      <c r="CLY3" s="55"/>
      <c r="CLZ3" s="55"/>
      <c r="CMA3" s="55"/>
      <c r="CMB3" s="55"/>
      <c r="CMC3" s="55"/>
      <c r="CMD3" s="55"/>
      <c r="CME3" s="55"/>
      <c r="CMF3" s="55"/>
      <c r="CMG3" s="55"/>
      <c r="CMH3" s="55"/>
      <c r="CMI3" s="55"/>
      <c r="CMJ3" s="55"/>
      <c r="CMK3" s="55"/>
      <c r="CML3" s="55"/>
      <c r="CMM3" s="55"/>
      <c r="CMN3" s="55"/>
      <c r="CMO3" s="55"/>
      <c r="CMP3" s="55"/>
      <c r="CMQ3" s="55"/>
      <c r="CMR3" s="55"/>
      <c r="CMS3" s="55"/>
      <c r="CMT3" s="55"/>
      <c r="CMU3" s="55"/>
      <c r="CMV3" s="55"/>
      <c r="CMW3" s="55"/>
      <c r="CMX3" s="55"/>
      <c r="CMY3" s="55"/>
      <c r="CMZ3" s="55"/>
      <c r="CNA3" s="55"/>
      <c r="CNB3" s="55"/>
      <c r="CNC3" s="55"/>
      <c r="CND3" s="55"/>
      <c r="CNE3" s="55"/>
      <c r="CNF3" s="55"/>
      <c r="CNG3" s="55"/>
      <c r="CNH3" s="55"/>
      <c r="CNI3" s="55"/>
      <c r="CNJ3" s="55"/>
      <c r="CNK3" s="55"/>
      <c r="CNL3" s="55"/>
      <c r="CNM3" s="55"/>
      <c r="CNN3" s="55"/>
      <c r="CNO3" s="55"/>
      <c r="CNP3" s="55"/>
      <c r="CNQ3" s="55"/>
      <c r="CNR3" s="55"/>
      <c r="CNS3" s="55"/>
      <c r="CNT3" s="55"/>
      <c r="CNU3" s="55"/>
      <c r="CNV3" s="55"/>
      <c r="CNW3" s="55"/>
      <c r="CNX3" s="55"/>
      <c r="CNY3" s="55"/>
      <c r="CNZ3" s="55"/>
      <c r="COA3" s="55"/>
      <c r="COB3" s="55"/>
      <c r="COC3" s="55"/>
      <c r="COD3" s="55"/>
      <c r="COE3" s="55"/>
      <c r="COF3" s="55"/>
      <c r="COG3" s="55"/>
      <c r="COH3" s="55"/>
      <c r="COI3" s="55"/>
      <c r="COJ3" s="55"/>
      <c r="COK3" s="55"/>
      <c r="COL3" s="55"/>
      <c r="COM3" s="55"/>
      <c r="CON3" s="55"/>
      <c r="COO3" s="55"/>
      <c r="COP3" s="55"/>
      <c r="COQ3" s="55"/>
      <c r="COR3" s="55"/>
      <c r="COS3" s="55"/>
      <c r="COT3" s="55"/>
      <c r="COU3" s="55"/>
      <c r="COV3" s="55"/>
      <c r="COW3" s="55"/>
      <c r="COX3" s="55"/>
      <c r="COY3" s="55"/>
      <c r="COZ3" s="55"/>
      <c r="CPA3" s="55"/>
      <c r="CPB3" s="55"/>
      <c r="CPC3" s="55"/>
      <c r="CPD3" s="55"/>
      <c r="CPE3" s="55"/>
      <c r="CPF3" s="55"/>
      <c r="CPG3" s="55"/>
      <c r="CPH3" s="55"/>
      <c r="CPI3" s="55"/>
      <c r="CPJ3" s="55"/>
      <c r="CPK3" s="55"/>
      <c r="CPL3" s="55"/>
      <c r="CPM3" s="55"/>
      <c r="CPN3" s="55"/>
      <c r="CPO3" s="55"/>
      <c r="CPP3" s="55"/>
      <c r="CPQ3" s="55"/>
      <c r="CPR3" s="55"/>
      <c r="CPS3" s="55"/>
      <c r="CPT3" s="55"/>
      <c r="CPU3" s="55"/>
      <c r="CPV3" s="55"/>
      <c r="CPW3" s="55"/>
      <c r="CPX3" s="55"/>
      <c r="CPY3" s="55"/>
      <c r="CPZ3" s="55"/>
      <c r="CQA3" s="55"/>
      <c r="CQB3" s="55"/>
      <c r="CQC3" s="55"/>
      <c r="CQD3" s="55"/>
      <c r="CQE3" s="55"/>
      <c r="CQF3" s="55"/>
      <c r="CQG3" s="55"/>
      <c r="CQH3" s="55"/>
      <c r="CQI3" s="55"/>
      <c r="CQJ3" s="55"/>
      <c r="CQK3" s="55"/>
      <c r="CQL3" s="55"/>
      <c r="CQM3" s="55"/>
      <c r="CQN3" s="55"/>
      <c r="CQO3" s="55"/>
      <c r="CQP3" s="55"/>
      <c r="CQQ3" s="55"/>
      <c r="CQR3" s="55"/>
      <c r="CQS3" s="55"/>
      <c r="CQT3" s="55"/>
      <c r="CQU3" s="55"/>
      <c r="CQV3" s="55"/>
      <c r="CQW3" s="55"/>
      <c r="CQX3" s="55"/>
      <c r="CQY3" s="55"/>
      <c r="CQZ3" s="55"/>
      <c r="CRA3" s="55"/>
      <c r="CRB3" s="55"/>
      <c r="CRC3" s="55"/>
      <c r="CRD3" s="55"/>
      <c r="CRE3" s="55"/>
      <c r="CRF3" s="55"/>
      <c r="CRG3" s="55"/>
      <c r="CRH3" s="55"/>
      <c r="CRI3" s="55"/>
      <c r="CRJ3" s="55"/>
      <c r="CRK3" s="55"/>
      <c r="CRL3" s="55"/>
      <c r="CRM3" s="55"/>
      <c r="CRN3" s="55"/>
      <c r="CRO3" s="55"/>
      <c r="CRP3" s="55"/>
      <c r="CRQ3" s="55"/>
      <c r="CRR3" s="55"/>
      <c r="CRS3" s="55"/>
      <c r="CRT3" s="55"/>
      <c r="CRU3" s="55"/>
      <c r="CRV3" s="55"/>
      <c r="CRW3" s="55"/>
      <c r="CRX3" s="55"/>
      <c r="CRY3" s="55"/>
      <c r="CRZ3" s="55"/>
      <c r="CSA3" s="55"/>
      <c r="CSB3" s="55"/>
      <c r="CSC3" s="55"/>
      <c r="CSD3" s="55"/>
      <c r="CSE3" s="55"/>
      <c r="CSF3" s="55"/>
      <c r="CSG3" s="55"/>
      <c r="CSH3" s="55"/>
      <c r="CSI3" s="55"/>
      <c r="CSJ3" s="55"/>
      <c r="CSK3" s="55"/>
      <c r="CSL3" s="55"/>
      <c r="CSM3" s="55"/>
      <c r="CSN3" s="55"/>
      <c r="CSO3" s="55"/>
      <c r="CSP3" s="55"/>
      <c r="CSQ3" s="55"/>
      <c r="CSR3" s="55"/>
      <c r="CSS3" s="55"/>
      <c r="CST3" s="55"/>
      <c r="CSU3" s="55"/>
      <c r="CSV3" s="55"/>
      <c r="CSW3" s="55"/>
      <c r="CSX3" s="55"/>
      <c r="CSY3" s="55"/>
      <c r="CSZ3" s="55"/>
      <c r="CTA3" s="55"/>
      <c r="CTB3" s="55"/>
      <c r="CTC3" s="55"/>
      <c r="CTD3" s="55"/>
      <c r="CTE3" s="55"/>
      <c r="CTF3" s="55"/>
      <c r="CTG3" s="55"/>
      <c r="CTH3" s="55"/>
      <c r="CTI3" s="55"/>
      <c r="CTJ3" s="55"/>
      <c r="CTK3" s="55"/>
      <c r="CTL3" s="55"/>
      <c r="CTM3" s="55"/>
      <c r="CTN3" s="55"/>
      <c r="CTO3" s="55"/>
      <c r="CTP3" s="55"/>
      <c r="CTQ3" s="55"/>
      <c r="CTR3" s="55"/>
      <c r="CTS3" s="55"/>
      <c r="CTT3" s="55"/>
      <c r="CTU3" s="55"/>
      <c r="CTV3" s="55"/>
      <c r="CTW3" s="55"/>
      <c r="CTX3" s="55"/>
      <c r="CTY3" s="55"/>
      <c r="CTZ3" s="55"/>
      <c r="CUA3" s="55"/>
      <c r="CUB3" s="55"/>
      <c r="CUC3" s="55"/>
      <c r="CUD3" s="55"/>
      <c r="CUE3" s="55"/>
      <c r="CUF3" s="55"/>
      <c r="CUG3" s="55"/>
      <c r="CUH3" s="55"/>
      <c r="CUI3" s="55"/>
      <c r="CUJ3" s="55"/>
      <c r="CUK3" s="55"/>
      <c r="CUL3" s="55"/>
      <c r="CUM3" s="55"/>
      <c r="CUN3" s="55"/>
      <c r="CUO3" s="55"/>
      <c r="CUP3" s="55"/>
      <c r="CUQ3" s="55"/>
      <c r="CUR3" s="55"/>
      <c r="CUS3" s="55"/>
      <c r="CUT3" s="55"/>
      <c r="CUU3" s="55"/>
      <c r="CUV3" s="55"/>
      <c r="CUW3" s="55"/>
      <c r="CUX3" s="55"/>
      <c r="CUY3" s="55"/>
      <c r="CUZ3" s="55"/>
      <c r="CVA3" s="55"/>
      <c r="CVB3" s="55"/>
      <c r="CVC3" s="55"/>
      <c r="CVD3" s="55"/>
      <c r="CVE3" s="55"/>
      <c r="CVF3" s="55"/>
      <c r="CVG3" s="55"/>
      <c r="CVH3" s="55"/>
      <c r="CVI3" s="55"/>
      <c r="CVJ3" s="55"/>
      <c r="CVK3" s="55"/>
      <c r="CVL3" s="55"/>
      <c r="CVM3" s="55"/>
      <c r="CVN3" s="55"/>
      <c r="CVO3" s="55"/>
      <c r="CVP3" s="55"/>
      <c r="CVQ3" s="55"/>
      <c r="CVR3" s="55"/>
      <c r="CVS3" s="55"/>
      <c r="CVT3" s="55"/>
      <c r="CVU3" s="55"/>
      <c r="CVV3" s="55"/>
      <c r="CVW3" s="55"/>
      <c r="CVX3" s="55"/>
      <c r="CVY3" s="55"/>
      <c r="CVZ3" s="55"/>
      <c r="CWA3" s="55"/>
      <c r="CWB3" s="55"/>
      <c r="CWC3" s="55"/>
      <c r="CWD3" s="55"/>
      <c r="CWE3" s="55"/>
      <c r="CWF3" s="55"/>
      <c r="CWG3" s="55"/>
      <c r="CWH3" s="55"/>
      <c r="CWI3" s="55"/>
      <c r="CWJ3" s="55"/>
      <c r="CWK3" s="55"/>
      <c r="CWL3" s="55"/>
      <c r="CWM3" s="55"/>
      <c r="CWN3" s="55"/>
      <c r="CWO3" s="55"/>
      <c r="CWP3" s="55"/>
      <c r="CWQ3" s="55"/>
      <c r="CWR3" s="55"/>
      <c r="CWS3" s="55"/>
      <c r="CWT3" s="55"/>
      <c r="CWU3" s="55"/>
      <c r="CWV3" s="55"/>
      <c r="CWW3" s="55"/>
      <c r="CWX3" s="55"/>
      <c r="CWY3" s="55"/>
      <c r="CWZ3" s="55"/>
      <c r="CXA3" s="55"/>
      <c r="CXB3" s="55"/>
      <c r="CXC3" s="55"/>
      <c r="CXD3" s="55"/>
      <c r="CXE3" s="55"/>
      <c r="CXF3" s="55"/>
      <c r="CXG3" s="55"/>
      <c r="CXH3" s="55"/>
      <c r="CXI3" s="55"/>
      <c r="CXJ3" s="55"/>
      <c r="CXK3" s="55"/>
      <c r="CXL3" s="55"/>
      <c r="CXM3" s="55"/>
      <c r="CXN3" s="55"/>
      <c r="CXO3" s="55"/>
      <c r="CXP3" s="55"/>
      <c r="CXQ3" s="55"/>
      <c r="CXR3" s="55"/>
      <c r="CXS3" s="55"/>
      <c r="CXT3" s="55"/>
      <c r="CXU3" s="55"/>
      <c r="CXV3" s="55"/>
      <c r="CXW3" s="55"/>
      <c r="CXX3" s="55"/>
      <c r="CXY3" s="55"/>
      <c r="CXZ3" s="55"/>
      <c r="CYA3" s="55"/>
      <c r="CYB3" s="55"/>
      <c r="CYC3" s="55"/>
      <c r="CYD3" s="55"/>
      <c r="CYE3" s="55"/>
      <c r="CYF3" s="55"/>
      <c r="CYG3" s="55"/>
      <c r="CYH3" s="55"/>
      <c r="CYI3" s="55"/>
      <c r="CYJ3" s="55"/>
      <c r="CYK3" s="55"/>
      <c r="CYL3" s="55"/>
      <c r="CYM3" s="55"/>
      <c r="CYN3" s="55"/>
      <c r="CYO3" s="55"/>
      <c r="CYP3" s="55"/>
      <c r="CYQ3" s="55"/>
      <c r="CYR3" s="55"/>
      <c r="CYS3" s="55"/>
      <c r="CYT3" s="55"/>
      <c r="CYU3" s="55"/>
      <c r="CYV3" s="55"/>
      <c r="CYW3" s="55"/>
      <c r="CYX3" s="55"/>
      <c r="CYY3" s="55"/>
      <c r="CYZ3" s="55"/>
      <c r="CZA3" s="55"/>
      <c r="CZB3" s="55"/>
      <c r="CZC3" s="55"/>
      <c r="CZD3" s="55"/>
      <c r="CZE3" s="55"/>
      <c r="CZF3" s="55"/>
      <c r="CZG3" s="55"/>
      <c r="CZH3" s="55"/>
      <c r="CZI3" s="55"/>
      <c r="CZJ3" s="55"/>
      <c r="CZK3" s="55"/>
      <c r="CZL3" s="55"/>
      <c r="CZM3" s="55"/>
      <c r="CZN3" s="55"/>
      <c r="CZO3" s="55"/>
      <c r="CZP3" s="55"/>
      <c r="CZQ3" s="55"/>
      <c r="CZR3" s="55"/>
      <c r="CZS3" s="55"/>
      <c r="CZT3" s="55"/>
      <c r="CZU3" s="55"/>
      <c r="CZV3" s="55"/>
      <c r="CZW3" s="55"/>
      <c r="CZX3" s="55"/>
      <c r="CZY3" s="55"/>
      <c r="CZZ3" s="55"/>
      <c r="DAA3" s="55"/>
      <c r="DAB3" s="55"/>
      <c r="DAC3" s="55"/>
      <c r="DAD3" s="55"/>
      <c r="DAE3" s="55"/>
      <c r="DAF3" s="55"/>
      <c r="DAG3" s="55"/>
      <c r="DAH3" s="55"/>
      <c r="DAI3" s="55"/>
      <c r="DAJ3" s="55"/>
      <c r="DAK3" s="55"/>
      <c r="DAL3" s="55"/>
      <c r="DAM3" s="55"/>
      <c r="DAN3" s="55"/>
      <c r="DAO3" s="55"/>
      <c r="DAP3" s="55"/>
      <c r="DAQ3" s="55"/>
      <c r="DAR3" s="55"/>
      <c r="DAS3" s="55"/>
      <c r="DAT3" s="55"/>
      <c r="DAU3" s="55"/>
      <c r="DAV3" s="55"/>
      <c r="DAW3" s="55"/>
      <c r="DAX3" s="55"/>
      <c r="DAY3" s="55"/>
      <c r="DAZ3" s="55"/>
      <c r="DBA3" s="55"/>
      <c r="DBB3" s="55"/>
      <c r="DBC3" s="55"/>
      <c r="DBD3" s="55"/>
      <c r="DBE3" s="55"/>
      <c r="DBF3" s="55"/>
      <c r="DBG3" s="55"/>
      <c r="DBH3" s="55"/>
      <c r="DBI3" s="55"/>
      <c r="DBJ3" s="55"/>
      <c r="DBK3" s="55"/>
      <c r="DBL3" s="55"/>
      <c r="DBM3" s="55"/>
      <c r="DBN3" s="55"/>
      <c r="DBO3" s="55"/>
      <c r="DBP3" s="55"/>
      <c r="DBQ3" s="55"/>
      <c r="DBR3" s="55"/>
      <c r="DBS3" s="55"/>
      <c r="DBT3" s="55"/>
      <c r="DBU3" s="55"/>
      <c r="DBV3" s="55"/>
      <c r="DBW3" s="55"/>
      <c r="DBX3" s="55"/>
      <c r="DBY3" s="55"/>
      <c r="DBZ3" s="55"/>
      <c r="DCA3" s="55"/>
      <c r="DCB3" s="55"/>
      <c r="DCC3" s="55"/>
      <c r="DCD3" s="55"/>
      <c r="DCE3" s="55"/>
      <c r="DCF3" s="55"/>
      <c r="DCG3" s="55"/>
      <c r="DCH3" s="55"/>
      <c r="DCI3" s="55"/>
      <c r="DCJ3" s="55"/>
      <c r="DCK3" s="55"/>
      <c r="DCL3" s="55"/>
      <c r="DCM3" s="55"/>
      <c r="DCN3" s="55"/>
      <c r="DCO3" s="55"/>
      <c r="DCP3" s="55"/>
      <c r="DCQ3" s="55"/>
      <c r="DCR3" s="55"/>
      <c r="DCS3" s="55"/>
      <c r="DCT3" s="55"/>
      <c r="DCU3" s="55"/>
      <c r="DCV3" s="55"/>
      <c r="DCW3" s="55"/>
      <c r="DCX3" s="55"/>
      <c r="DCY3" s="55"/>
      <c r="DCZ3" s="55"/>
      <c r="DDA3" s="55"/>
      <c r="DDB3" s="55"/>
      <c r="DDC3" s="55"/>
      <c r="DDD3" s="55"/>
      <c r="DDE3" s="55"/>
      <c r="DDF3" s="55"/>
      <c r="DDG3" s="55"/>
      <c r="DDH3" s="55"/>
      <c r="DDI3" s="55"/>
      <c r="DDJ3" s="55"/>
      <c r="DDK3" s="55"/>
      <c r="DDL3" s="55"/>
      <c r="DDM3" s="55"/>
      <c r="DDN3" s="55"/>
      <c r="DDO3" s="55"/>
      <c r="DDP3" s="55"/>
      <c r="DDQ3" s="55"/>
      <c r="DDR3" s="55"/>
      <c r="DDS3" s="55"/>
      <c r="DDT3" s="55"/>
      <c r="DDU3" s="55"/>
      <c r="DDV3" s="55"/>
      <c r="DDW3" s="55"/>
      <c r="DDX3" s="55"/>
      <c r="DDY3" s="55"/>
      <c r="DDZ3" s="55"/>
      <c r="DEA3" s="55"/>
      <c r="DEB3" s="55"/>
      <c r="DEC3" s="55"/>
      <c r="DED3" s="55"/>
      <c r="DEE3" s="55"/>
      <c r="DEF3" s="55"/>
      <c r="DEG3" s="55"/>
      <c r="DEH3" s="55"/>
      <c r="DEI3" s="55"/>
      <c r="DEJ3" s="55"/>
      <c r="DEK3" s="55"/>
      <c r="DEL3" s="55"/>
      <c r="DEM3" s="55"/>
      <c r="DEN3" s="55"/>
      <c r="DEO3" s="55"/>
      <c r="DEP3" s="55"/>
      <c r="DEQ3" s="55"/>
      <c r="DER3" s="55"/>
      <c r="DES3" s="55"/>
      <c r="DET3" s="55"/>
      <c r="DEU3" s="55"/>
      <c r="DEV3" s="55"/>
      <c r="DEW3" s="55"/>
      <c r="DEX3" s="55"/>
      <c r="DEY3" s="55"/>
      <c r="DEZ3" s="55"/>
      <c r="DFA3" s="55"/>
      <c r="DFB3" s="55"/>
      <c r="DFC3" s="55"/>
      <c r="DFD3" s="55"/>
      <c r="DFE3" s="55"/>
      <c r="DFF3" s="55"/>
      <c r="DFG3" s="55"/>
      <c r="DFH3" s="55"/>
      <c r="DFI3" s="55"/>
      <c r="DFJ3" s="55"/>
      <c r="DFK3" s="55"/>
      <c r="DFL3" s="55"/>
      <c r="DFM3" s="55"/>
      <c r="DFN3" s="55"/>
      <c r="DFO3" s="55"/>
      <c r="DFP3" s="55"/>
      <c r="DFQ3" s="55"/>
      <c r="DFR3" s="55"/>
      <c r="DFS3" s="55"/>
      <c r="DFT3" s="55"/>
      <c r="DFU3" s="55"/>
      <c r="DFV3" s="55"/>
      <c r="DFW3" s="55"/>
      <c r="DFX3" s="55"/>
      <c r="DFY3" s="55"/>
      <c r="DFZ3" s="55"/>
      <c r="DGA3" s="55"/>
      <c r="DGB3" s="55"/>
      <c r="DGC3" s="55"/>
      <c r="DGD3" s="55"/>
      <c r="DGE3" s="55"/>
      <c r="DGF3" s="55"/>
      <c r="DGG3" s="55"/>
      <c r="DGH3" s="55"/>
      <c r="DGI3" s="55"/>
      <c r="DGJ3" s="55"/>
      <c r="DGK3" s="55"/>
      <c r="DGL3" s="55"/>
      <c r="DGM3" s="55"/>
      <c r="DGN3" s="55"/>
      <c r="DGO3" s="55"/>
      <c r="DGP3" s="55"/>
      <c r="DGQ3" s="55"/>
      <c r="DGR3" s="55"/>
      <c r="DGS3" s="55"/>
      <c r="DGT3" s="55"/>
      <c r="DGU3" s="55"/>
      <c r="DGV3" s="55"/>
      <c r="DGW3" s="55"/>
      <c r="DGX3" s="55"/>
      <c r="DGY3" s="55"/>
      <c r="DGZ3" s="55"/>
      <c r="DHA3" s="55"/>
      <c r="DHB3" s="55"/>
      <c r="DHC3" s="55"/>
      <c r="DHD3" s="55"/>
      <c r="DHE3" s="55"/>
      <c r="DHF3" s="55"/>
      <c r="DHG3" s="55"/>
      <c r="DHH3" s="55"/>
      <c r="DHI3" s="55"/>
      <c r="DHJ3" s="55"/>
      <c r="DHK3" s="55"/>
      <c r="DHL3" s="55"/>
      <c r="DHM3" s="55"/>
      <c r="DHN3" s="55"/>
      <c r="DHO3" s="55"/>
      <c r="DHP3" s="55"/>
      <c r="DHQ3" s="55"/>
      <c r="DHR3" s="55"/>
      <c r="DHS3" s="55"/>
      <c r="DHT3" s="55"/>
      <c r="DHU3" s="55"/>
      <c r="DHV3" s="55"/>
      <c r="DHW3" s="55"/>
      <c r="DHX3" s="55"/>
      <c r="DHY3" s="55"/>
      <c r="DHZ3" s="55"/>
      <c r="DIA3" s="55"/>
      <c r="DIB3" s="55"/>
      <c r="DIC3" s="55"/>
      <c r="DID3" s="55"/>
      <c r="DIE3" s="55"/>
      <c r="DIF3" s="55"/>
      <c r="DIG3" s="55"/>
      <c r="DIH3" s="55"/>
      <c r="DII3" s="55"/>
      <c r="DIJ3" s="55"/>
      <c r="DIK3" s="55"/>
      <c r="DIL3" s="55"/>
      <c r="DIM3" s="55"/>
      <c r="DIN3" s="55"/>
      <c r="DIO3" s="55"/>
      <c r="DIP3" s="55"/>
      <c r="DIQ3" s="55"/>
      <c r="DIR3" s="55"/>
      <c r="DIS3" s="55"/>
      <c r="DIT3" s="55"/>
      <c r="DIU3" s="55"/>
      <c r="DIV3" s="55"/>
      <c r="DIW3" s="55"/>
      <c r="DIX3" s="55"/>
      <c r="DIY3" s="55"/>
      <c r="DIZ3" s="55"/>
      <c r="DJA3" s="55"/>
      <c r="DJB3" s="55"/>
      <c r="DJC3" s="55"/>
      <c r="DJD3" s="55"/>
      <c r="DJE3" s="55"/>
      <c r="DJF3" s="55"/>
      <c r="DJG3" s="55"/>
      <c r="DJH3" s="55"/>
      <c r="DJI3" s="55"/>
      <c r="DJJ3" s="55"/>
      <c r="DJK3" s="55"/>
      <c r="DJL3" s="55"/>
      <c r="DJM3" s="55"/>
      <c r="DJN3" s="55"/>
      <c r="DJO3" s="55"/>
      <c r="DJP3" s="55"/>
      <c r="DJQ3" s="55"/>
      <c r="DJR3" s="55"/>
      <c r="DJS3" s="55"/>
      <c r="DJT3" s="55"/>
      <c r="DJU3" s="55"/>
      <c r="DJV3" s="55"/>
      <c r="DJW3" s="55"/>
      <c r="DJX3" s="55"/>
      <c r="DJY3" s="55"/>
      <c r="DJZ3" s="55"/>
      <c r="DKA3" s="55"/>
      <c r="DKB3" s="55"/>
      <c r="DKC3" s="55"/>
      <c r="DKD3" s="55"/>
      <c r="DKE3" s="55"/>
      <c r="DKF3" s="55"/>
      <c r="DKG3" s="55"/>
      <c r="DKH3" s="55"/>
      <c r="DKI3" s="55"/>
      <c r="DKJ3" s="55"/>
      <c r="DKK3" s="55"/>
      <c r="DKL3" s="55"/>
      <c r="DKM3" s="55"/>
      <c r="DKN3" s="55"/>
      <c r="DKO3" s="55"/>
      <c r="DKP3" s="55"/>
      <c r="DKQ3" s="55"/>
      <c r="DKR3" s="55"/>
      <c r="DKS3" s="55"/>
      <c r="DKT3" s="55"/>
      <c r="DKU3" s="55"/>
      <c r="DKV3" s="55"/>
      <c r="DKW3" s="55"/>
      <c r="DKX3" s="55"/>
      <c r="DKY3" s="55"/>
      <c r="DKZ3" s="55"/>
      <c r="DLA3" s="55"/>
      <c r="DLB3" s="55"/>
      <c r="DLC3" s="55"/>
      <c r="DLD3" s="55"/>
      <c r="DLE3" s="55"/>
      <c r="DLF3" s="55"/>
      <c r="DLG3" s="55"/>
      <c r="DLH3" s="55"/>
      <c r="DLI3" s="55"/>
      <c r="DLJ3" s="55"/>
      <c r="DLK3" s="55"/>
      <c r="DLL3" s="55"/>
      <c r="DLM3" s="55"/>
      <c r="DLN3" s="55"/>
      <c r="DLO3" s="55"/>
      <c r="DLP3" s="55"/>
      <c r="DLQ3" s="55"/>
      <c r="DLR3" s="55"/>
      <c r="DLS3" s="55"/>
      <c r="DLT3" s="55"/>
      <c r="DLU3" s="55"/>
      <c r="DLV3" s="55"/>
      <c r="DLW3" s="55"/>
      <c r="DLX3" s="55"/>
      <c r="DLY3" s="55"/>
      <c r="DLZ3" s="55"/>
      <c r="DMA3" s="55"/>
      <c r="DMB3" s="55"/>
      <c r="DMC3" s="55"/>
      <c r="DMD3" s="55"/>
      <c r="DME3" s="55"/>
      <c r="DMF3" s="55"/>
      <c r="DMG3" s="55"/>
      <c r="DMH3" s="55"/>
      <c r="DMI3" s="55"/>
      <c r="DMJ3" s="55"/>
      <c r="DMK3" s="55"/>
      <c r="DML3" s="55"/>
      <c r="DMM3" s="55"/>
      <c r="DMN3" s="55"/>
      <c r="DMO3" s="55"/>
      <c r="DMP3" s="55"/>
      <c r="DMQ3" s="55"/>
      <c r="DMR3" s="55"/>
      <c r="DMS3" s="55"/>
      <c r="DMT3" s="55"/>
      <c r="DMU3" s="55"/>
      <c r="DMV3" s="55"/>
      <c r="DMW3" s="55"/>
      <c r="DMX3" s="55"/>
      <c r="DMY3" s="55"/>
      <c r="DMZ3" s="55"/>
      <c r="DNA3" s="55"/>
      <c r="DNB3" s="55"/>
      <c r="DNC3" s="55"/>
      <c r="DND3" s="55"/>
      <c r="DNE3" s="55"/>
      <c r="DNF3" s="55"/>
      <c r="DNG3" s="55"/>
      <c r="DNH3" s="55"/>
      <c r="DNI3" s="55"/>
      <c r="DNJ3" s="55"/>
      <c r="DNK3" s="55"/>
      <c r="DNL3" s="55"/>
      <c r="DNM3" s="55"/>
      <c r="DNN3" s="55"/>
      <c r="DNO3" s="55"/>
      <c r="DNP3" s="55"/>
      <c r="DNQ3" s="55"/>
      <c r="DNR3" s="55"/>
      <c r="DNS3" s="55"/>
      <c r="DNT3" s="55"/>
      <c r="DNU3" s="55"/>
      <c r="DNV3" s="55"/>
      <c r="DNW3" s="55"/>
      <c r="DNX3" s="55"/>
      <c r="DNY3" s="55"/>
      <c r="DNZ3" s="55"/>
      <c r="DOA3" s="55"/>
      <c r="DOB3" s="55"/>
      <c r="DOC3" s="55"/>
      <c r="DOD3" s="55"/>
      <c r="DOE3" s="55"/>
      <c r="DOF3" s="55"/>
      <c r="DOG3" s="55"/>
      <c r="DOH3" s="55"/>
      <c r="DOI3" s="55"/>
      <c r="DOJ3" s="55"/>
      <c r="DOK3" s="55"/>
      <c r="DOL3" s="55"/>
      <c r="DOM3" s="55"/>
      <c r="DON3" s="55"/>
      <c r="DOO3" s="55"/>
      <c r="DOP3" s="55"/>
      <c r="DOQ3" s="55"/>
      <c r="DOR3" s="55"/>
      <c r="DOS3" s="55"/>
      <c r="DOT3" s="55"/>
      <c r="DOU3" s="55"/>
      <c r="DOV3" s="55"/>
      <c r="DOW3" s="55"/>
      <c r="DOX3" s="55"/>
      <c r="DOY3" s="55"/>
      <c r="DOZ3" s="55"/>
      <c r="DPA3" s="55"/>
      <c r="DPB3" s="55"/>
      <c r="DPC3" s="55"/>
      <c r="DPD3" s="55"/>
      <c r="DPE3" s="55"/>
      <c r="DPF3" s="55"/>
      <c r="DPG3" s="55"/>
      <c r="DPH3" s="55"/>
      <c r="DPI3" s="55"/>
      <c r="DPJ3" s="55"/>
      <c r="DPK3" s="55"/>
      <c r="DPL3" s="55"/>
      <c r="DPM3" s="55"/>
      <c r="DPN3" s="55"/>
      <c r="DPO3" s="55"/>
      <c r="DPP3" s="55"/>
      <c r="DPQ3" s="55"/>
      <c r="DPR3" s="55"/>
      <c r="DPS3" s="55"/>
      <c r="DPT3" s="55"/>
      <c r="DPU3" s="55"/>
      <c r="DPV3" s="55"/>
      <c r="DPW3" s="55"/>
      <c r="DPX3" s="55"/>
      <c r="DPY3" s="55"/>
      <c r="DPZ3" s="55"/>
      <c r="DQA3" s="55"/>
      <c r="DQB3" s="55"/>
      <c r="DQC3" s="55"/>
      <c r="DQD3" s="55"/>
      <c r="DQE3" s="55"/>
      <c r="DQF3" s="55"/>
      <c r="DQG3" s="55"/>
      <c r="DQH3" s="55"/>
      <c r="DQI3" s="55"/>
      <c r="DQJ3" s="55"/>
      <c r="DQK3" s="55"/>
      <c r="DQL3" s="55"/>
      <c r="DQM3" s="55"/>
      <c r="DQN3" s="55"/>
      <c r="DQO3" s="55"/>
      <c r="DQP3" s="55"/>
      <c r="DQQ3" s="55"/>
      <c r="DQR3" s="55"/>
      <c r="DQS3" s="55"/>
      <c r="DQT3" s="55"/>
      <c r="DQU3" s="55"/>
      <c r="DQV3" s="55"/>
      <c r="DQW3" s="55"/>
      <c r="DQX3" s="55"/>
      <c r="DQY3" s="55"/>
      <c r="DQZ3" s="55"/>
      <c r="DRA3" s="55"/>
      <c r="DRB3" s="55"/>
      <c r="DRC3" s="55"/>
      <c r="DRD3" s="55"/>
      <c r="DRE3" s="55"/>
      <c r="DRF3" s="55"/>
      <c r="DRG3" s="55"/>
      <c r="DRH3" s="55"/>
      <c r="DRI3" s="55"/>
      <c r="DRJ3" s="55"/>
      <c r="DRK3" s="55"/>
      <c r="DRL3" s="55"/>
      <c r="DRM3" s="55"/>
      <c r="DRN3" s="55"/>
      <c r="DRO3" s="55"/>
      <c r="DRP3" s="55"/>
      <c r="DRQ3" s="55"/>
      <c r="DRR3" s="55"/>
      <c r="DRS3" s="55"/>
      <c r="DRT3" s="55"/>
      <c r="DRU3" s="55"/>
      <c r="DRV3" s="55"/>
      <c r="DRW3" s="55"/>
      <c r="DRX3" s="55"/>
      <c r="DRY3" s="55"/>
      <c r="DRZ3" s="55"/>
      <c r="DSA3" s="55"/>
      <c r="DSB3" s="55"/>
      <c r="DSC3" s="55"/>
      <c r="DSD3" s="55"/>
      <c r="DSE3" s="55"/>
      <c r="DSF3" s="55"/>
      <c r="DSG3" s="55"/>
      <c r="DSH3" s="55"/>
      <c r="DSI3" s="55"/>
      <c r="DSJ3" s="55"/>
      <c r="DSK3" s="55"/>
      <c r="DSL3" s="55"/>
      <c r="DSM3" s="55"/>
      <c r="DSN3" s="55"/>
      <c r="DSO3" s="55"/>
      <c r="DSP3" s="55"/>
      <c r="DSQ3" s="55"/>
      <c r="DSR3" s="55"/>
      <c r="DSS3" s="55"/>
      <c r="DST3" s="55"/>
      <c r="DSU3" s="55"/>
      <c r="DSV3" s="55"/>
      <c r="DSW3" s="55"/>
      <c r="DSX3" s="55"/>
      <c r="DSY3" s="55"/>
      <c r="DSZ3" s="55"/>
      <c r="DTA3" s="55"/>
      <c r="DTB3" s="55"/>
      <c r="DTC3" s="55"/>
      <c r="DTD3" s="55"/>
      <c r="DTE3" s="55"/>
      <c r="DTF3" s="55"/>
      <c r="DTG3" s="55"/>
      <c r="DTH3" s="55"/>
      <c r="DTI3" s="55"/>
      <c r="DTJ3" s="55"/>
      <c r="DTK3" s="55"/>
      <c r="DTL3" s="55"/>
      <c r="DTM3" s="55"/>
      <c r="DTN3" s="55"/>
      <c r="DTO3" s="55"/>
      <c r="DTP3" s="55"/>
      <c r="DTQ3" s="55"/>
      <c r="DTR3" s="55"/>
      <c r="DTS3" s="55"/>
      <c r="DTT3" s="55"/>
      <c r="DTU3" s="55"/>
      <c r="DTV3" s="55"/>
      <c r="DTW3" s="55"/>
      <c r="DTX3" s="55"/>
      <c r="DTY3" s="55"/>
      <c r="DTZ3" s="55"/>
      <c r="DUA3" s="55"/>
      <c r="DUB3" s="55"/>
      <c r="DUC3" s="55"/>
      <c r="DUD3" s="55"/>
      <c r="DUE3" s="55"/>
      <c r="DUF3" s="55"/>
      <c r="DUG3" s="55"/>
      <c r="DUH3" s="55"/>
      <c r="DUI3" s="55"/>
      <c r="DUJ3" s="55"/>
      <c r="DUK3" s="55"/>
      <c r="DUL3" s="55"/>
      <c r="DUM3" s="55"/>
      <c r="DUN3" s="55"/>
      <c r="DUO3" s="55"/>
      <c r="DUP3" s="55"/>
      <c r="DUQ3" s="55"/>
      <c r="DUR3" s="55"/>
      <c r="DUS3" s="55"/>
      <c r="DUT3" s="55"/>
      <c r="DUU3" s="55"/>
      <c r="DUV3" s="55"/>
      <c r="DUW3" s="55"/>
      <c r="DUX3" s="55"/>
      <c r="DUY3" s="55"/>
      <c r="DUZ3" s="55"/>
      <c r="DVA3" s="55"/>
      <c r="DVB3" s="55"/>
      <c r="DVC3" s="55"/>
      <c r="DVD3" s="55"/>
      <c r="DVE3" s="55"/>
      <c r="DVF3" s="55"/>
      <c r="DVG3" s="55"/>
      <c r="DVH3" s="55"/>
      <c r="DVI3" s="55"/>
      <c r="DVJ3" s="55"/>
      <c r="DVK3" s="55"/>
      <c r="DVL3" s="55"/>
      <c r="DVM3" s="55"/>
      <c r="DVN3" s="55"/>
      <c r="DVO3" s="55"/>
      <c r="DVP3" s="55"/>
      <c r="DVQ3" s="55"/>
      <c r="DVR3" s="55"/>
      <c r="DVS3" s="55"/>
      <c r="DVT3" s="55"/>
      <c r="DVU3" s="55"/>
      <c r="DVV3" s="55"/>
      <c r="DVW3" s="55"/>
      <c r="DVX3" s="55"/>
      <c r="DVY3" s="55"/>
      <c r="DVZ3" s="55"/>
      <c r="DWA3" s="55"/>
      <c r="DWB3" s="55"/>
      <c r="DWC3" s="55"/>
      <c r="DWD3" s="55"/>
      <c r="DWE3" s="55"/>
      <c r="DWF3" s="55"/>
      <c r="DWG3" s="55"/>
      <c r="DWH3" s="55"/>
      <c r="DWI3" s="55"/>
      <c r="DWJ3" s="55"/>
      <c r="DWK3" s="55"/>
      <c r="DWL3" s="55"/>
      <c r="DWM3" s="55"/>
      <c r="DWN3" s="55"/>
      <c r="DWO3" s="55"/>
      <c r="DWP3" s="55"/>
      <c r="DWQ3" s="55"/>
      <c r="DWR3" s="55"/>
      <c r="DWS3" s="55"/>
      <c r="DWT3" s="55"/>
      <c r="DWU3" s="55"/>
      <c r="DWV3" s="55"/>
      <c r="DWW3" s="55"/>
      <c r="DWX3" s="55"/>
      <c r="DWY3" s="55"/>
      <c r="DWZ3" s="55"/>
      <c r="DXA3" s="55"/>
      <c r="DXB3" s="55"/>
      <c r="DXC3" s="55"/>
      <c r="DXD3" s="55"/>
      <c r="DXE3" s="55"/>
      <c r="DXF3" s="55"/>
      <c r="DXG3" s="55"/>
      <c r="DXH3" s="55"/>
      <c r="DXI3" s="55"/>
      <c r="DXJ3" s="55"/>
      <c r="DXK3" s="55"/>
      <c r="DXL3" s="55"/>
      <c r="DXM3" s="55"/>
      <c r="DXN3" s="55"/>
      <c r="DXO3" s="55"/>
      <c r="DXP3" s="55"/>
      <c r="DXQ3" s="55"/>
      <c r="DXR3" s="55"/>
      <c r="DXS3" s="55"/>
      <c r="DXT3" s="55"/>
      <c r="DXU3" s="55"/>
      <c r="DXV3" s="55"/>
      <c r="DXW3" s="55"/>
      <c r="DXX3" s="55"/>
      <c r="DXY3" s="55"/>
      <c r="DXZ3" s="55"/>
      <c r="DYA3" s="55"/>
      <c r="DYB3" s="55"/>
      <c r="DYC3" s="55"/>
      <c r="DYD3" s="55"/>
      <c r="DYE3" s="55"/>
      <c r="DYF3" s="55"/>
      <c r="DYG3" s="55"/>
      <c r="DYH3" s="55"/>
      <c r="DYI3" s="55"/>
      <c r="DYJ3" s="55"/>
      <c r="DYK3" s="55"/>
      <c r="DYL3" s="55"/>
      <c r="DYM3" s="55"/>
      <c r="DYN3" s="55"/>
      <c r="DYO3" s="55"/>
      <c r="DYP3" s="55"/>
      <c r="DYQ3" s="55"/>
      <c r="DYR3" s="55"/>
      <c r="DYS3" s="55"/>
      <c r="DYT3" s="55"/>
      <c r="DYU3" s="55"/>
      <c r="DYV3" s="55"/>
      <c r="DYW3" s="55"/>
      <c r="DYX3" s="55"/>
      <c r="DYY3" s="55"/>
      <c r="DYZ3" s="55"/>
      <c r="DZA3" s="55"/>
      <c r="DZB3" s="55"/>
      <c r="DZC3" s="55"/>
      <c r="DZD3" s="55"/>
      <c r="DZE3" s="55"/>
      <c r="DZF3" s="55"/>
      <c r="DZG3" s="55"/>
      <c r="DZH3" s="55"/>
      <c r="DZI3" s="55"/>
      <c r="DZJ3" s="55"/>
      <c r="DZK3" s="55"/>
      <c r="DZL3" s="55"/>
      <c r="DZM3" s="55"/>
      <c r="DZN3" s="55"/>
      <c r="DZO3" s="55"/>
      <c r="DZP3" s="55"/>
      <c r="DZQ3" s="55"/>
      <c r="DZR3" s="55"/>
      <c r="DZS3" s="55"/>
      <c r="DZT3" s="55"/>
      <c r="DZU3" s="55"/>
      <c r="DZV3" s="55"/>
      <c r="DZW3" s="55"/>
      <c r="DZX3" s="55"/>
      <c r="DZY3" s="55"/>
      <c r="DZZ3" s="55"/>
      <c r="EAA3" s="55"/>
      <c r="EAB3" s="55"/>
      <c r="EAC3" s="55"/>
      <c r="EAD3" s="55"/>
      <c r="EAE3" s="55"/>
      <c r="EAF3" s="55"/>
      <c r="EAG3" s="55"/>
      <c r="EAH3" s="55"/>
      <c r="EAI3" s="55"/>
      <c r="EAJ3" s="55"/>
      <c r="EAK3" s="55"/>
      <c r="EAL3" s="55"/>
      <c r="EAM3" s="55"/>
      <c r="EAN3" s="55"/>
      <c r="EAO3" s="55"/>
      <c r="EAP3" s="55"/>
      <c r="EAQ3" s="55"/>
      <c r="EAR3" s="55"/>
      <c r="EAS3" s="55"/>
      <c r="EAT3" s="55"/>
      <c r="EAU3" s="55"/>
      <c r="EAV3" s="55"/>
      <c r="EAW3" s="55"/>
      <c r="EAX3" s="55"/>
      <c r="EAY3" s="55"/>
      <c r="EAZ3" s="55"/>
      <c r="EBA3" s="55"/>
      <c r="EBB3" s="55"/>
      <c r="EBC3" s="55"/>
      <c r="EBD3" s="55"/>
      <c r="EBE3" s="55"/>
      <c r="EBF3" s="55"/>
      <c r="EBG3" s="55"/>
      <c r="EBH3" s="55"/>
      <c r="EBI3" s="55"/>
      <c r="EBJ3" s="55"/>
      <c r="EBK3" s="55"/>
      <c r="EBL3" s="55"/>
      <c r="EBM3" s="55"/>
      <c r="EBN3" s="55"/>
      <c r="EBO3" s="55"/>
      <c r="EBP3" s="55"/>
      <c r="EBQ3" s="55"/>
      <c r="EBR3" s="55"/>
      <c r="EBS3" s="55"/>
      <c r="EBT3" s="55"/>
      <c r="EBU3" s="55"/>
      <c r="EBV3" s="55"/>
      <c r="EBW3" s="55"/>
      <c r="EBX3" s="55"/>
      <c r="EBY3" s="55"/>
      <c r="EBZ3" s="55"/>
      <c r="ECA3" s="55"/>
      <c r="ECB3" s="55"/>
      <c r="ECC3" s="55"/>
      <c r="ECD3" s="55"/>
      <c r="ECE3" s="55"/>
      <c r="ECF3" s="55"/>
      <c r="ECG3" s="55"/>
      <c r="ECH3" s="55"/>
      <c r="ECI3" s="55"/>
      <c r="ECJ3" s="55"/>
      <c r="ECK3" s="55"/>
      <c r="ECL3" s="55"/>
      <c r="ECM3" s="55"/>
      <c r="ECN3" s="55"/>
      <c r="ECO3" s="55"/>
      <c r="ECP3" s="55"/>
      <c r="ECQ3" s="55"/>
      <c r="ECR3" s="55"/>
      <c r="ECS3" s="55"/>
      <c r="ECT3" s="55"/>
      <c r="ECU3" s="55"/>
      <c r="ECV3" s="55"/>
      <c r="ECW3" s="55"/>
      <c r="ECX3" s="55"/>
      <c r="ECY3" s="55"/>
      <c r="ECZ3" s="55"/>
      <c r="EDA3" s="55"/>
      <c r="EDB3" s="55"/>
      <c r="EDC3" s="55"/>
      <c r="EDD3" s="55"/>
      <c r="EDE3" s="55"/>
      <c r="EDF3" s="55"/>
      <c r="EDG3" s="55"/>
      <c r="EDH3" s="55"/>
      <c r="EDI3" s="55"/>
      <c r="EDJ3" s="55"/>
      <c r="EDK3" s="55"/>
      <c r="EDL3" s="55"/>
      <c r="EDM3" s="55"/>
      <c r="EDN3" s="55"/>
      <c r="EDO3" s="55"/>
      <c r="EDP3" s="55"/>
      <c r="EDQ3" s="55"/>
      <c r="EDR3" s="55"/>
      <c r="EDS3" s="55"/>
      <c r="EDT3" s="55"/>
      <c r="EDU3" s="55"/>
      <c r="EDV3" s="55"/>
      <c r="EDW3" s="55"/>
      <c r="EDX3" s="55"/>
      <c r="EDY3" s="55"/>
      <c r="EDZ3" s="55"/>
      <c r="EEA3" s="55"/>
      <c r="EEB3" s="55"/>
      <c r="EEC3" s="55"/>
      <c r="EED3" s="55"/>
      <c r="EEE3" s="55"/>
      <c r="EEF3" s="55"/>
      <c r="EEG3" s="55"/>
      <c r="EEH3" s="55"/>
      <c r="EEI3" s="55"/>
      <c r="EEJ3" s="55"/>
      <c r="EEK3" s="55"/>
      <c r="EEL3" s="55"/>
      <c r="EEM3" s="55"/>
      <c r="EEN3" s="55"/>
      <c r="EEO3" s="55"/>
      <c r="EEP3" s="55"/>
      <c r="EEQ3" s="55"/>
      <c r="EER3" s="55"/>
      <c r="EES3" s="55"/>
      <c r="EET3" s="55"/>
      <c r="EEU3" s="55"/>
      <c r="EEV3" s="55"/>
      <c r="EEW3" s="55"/>
      <c r="EEX3" s="55"/>
      <c r="EEY3" s="55"/>
      <c r="EEZ3" s="55"/>
      <c r="EFA3" s="55"/>
      <c r="EFB3" s="55"/>
      <c r="EFC3" s="55"/>
      <c r="EFD3" s="55"/>
      <c r="EFE3" s="55"/>
      <c r="EFF3" s="55"/>
      <c r="EFG3" s="55"/>
      <c r="EFH3" s="55"/>
      <c r="EFI3" s="55"/>
      <c r="EFJ3" s="55"/>
      <c r="EFK3" s="55"/>
      <c r="EFL3" s="55"/>
      <c r="EFM3" s="55"/>
      <c r="EFN3" s="55"/>
      <c r="EFO3" s="55"/>
      <c r="EFP3" s="55"/>
      <c r="EFQ3" s="55"/>
      <c r="EFR3" s="55"/>
      <c r="EFS3" s="55"/>
      <c r="EFT3" s="55"/>
      <c r="EFU3" s="55"/>
      <c r="EFV3" s="55"/>
      <c r="EFW3" s="55"/>
      <c r="EFX3" s="55"/>
      <c r="EFY3" s="55"/>
      <c r="EFZ3" s="55"/>
      <c r="EGA3" s="55"/>
      <c r="EGB3" s="55"/>
      <c r="EGC3" s="55"/>
      <c r="EGD3" s="55"/>
      <c r="EGE3" s="55"/>
      <c r="EGF3" s="55"/>
      <c r="EGG3" s="55"/>
      <c r="EGH3" s="55"/>
      <c r="EGI3" s="55"/>
      <c r="EGJ3" s="55"/>
      <c r="EGK3" s="55"/>
      <c r="EGL3" s="55"/>
      <c r="EGM3" s="55"/>
      <c r="EGN3" s="55"/>
      <c r="EGO3" s="55"/>
      <c r="EGP3" s="55"/>
      <c r="EGQ3" s="55"/>
      <c r="EGR3" s="55"/>
      <c r="EGS3" s="55"/>
      <c r="EGT3" s="55"/>
      <c r="EGU3" s="55"/>
      <c r="EGV3" s="55"/>
      <c r="EGW3" s="55"/>
      <c r="EGX3" s="55"/>
      <c r="EGY3" s="55"/>
      <c r="EGZ3" s="55"/>
      <c r="EHA3" s="55"/>
      <c r="EHB3" s="55"/>
      <c r="EHC3" s="55"/>
      <c r="EHD3" s="55"/>
      <c r="EHE3" s="55"/>
      <c r="EHF3" s="55"/>
      <c r="EHG3" s="55"/>
      <c r="EHH3" s="55"/>
      <c r="EHI3" s="55"/>
      <c r="EHJ3" s="55"/>
      <c r="EHK3" s="55"/>
      <c r="EHL3" s="55"/>
      <c r="EHM3" s="55"/>
      <c r="EHN3" s="55"/>
      <c r="EHO3" s="55"/>
      <c r="EHP3" s="55"/>
      <c r="EHQ3" s="55"/>
      <c r="EHR3" s="55"/>
      <c r="EHS3" s="55"/>
      <c r="EHT3" s="55"/>
      <c r="EHU3" s="55"/>
      <c r="EHV3" s="55"/>
      <c r="EHW3" s="55"/>
      <c r="EHX3" s="55"/>
      <c r="EHY3" s="55"/>
      <c r="EHZ3" s="55"/>
      <c r="EIA3" s="55"/>
      <c r="EIB3" s="55"/>
      <c r="EIC3" s="55"/>
      <c r="EID3" s="55"/>
      <c r="EIE3" s="55"/>
      <c r="EIF3" s="55"/>
      <c r="EIG3" s="55"/>
      <c r="EIH3" s="55"/>
      <c r="EII3" s="55"/>
      <c r="EIJ3" s="55"/>
      <c r="EIK3" s="55"/>
      <c r="EIL3" s="55"/>
      <c r="EIM3" s="55"/>
      <c r="EIN3" s="55"/>
      <c r="EIO3" s="55"/>
      <c r="EIP3" s="55"/>
      <c r="EIQ3" s="55"/>
      <c r="EIR3" s="55"/>
      <c r="EIS3" s="55"/>
      <c r="EIT3" s="55"/>
      <c r="EIU3" s="55"/>
      <c r="EIV3" s="55"/>
      <c r="EIW3" s="55"/>
      <c r="EIX3" s="55"/>
      <c r="EIY3" s="55"/>
      <c r="EIZ3" s="55"/>
      <c r="EJA3" s="55"/>
      <c r="EJB3" s="55"/>
      <c r="EJC3" s="55"/>
      <c r="EJD3" s="55"/>
      <c r="EJE3" s="55"/>
      <c r="EJF3" s="55"/>
      <c r="EJG3" s="55"/>
      <c r="EJH3" s="55"/>
      <c r="EJI3" s="55"/>
      <c r="EJJ3" s="55"/>
      <c r="EJK3" s="55"/>
      <c r="EJL3" s="55"/>
      <c r="EJM3" s="55"/>
      <c r="EJN3" s="55"/>
      <c r="EJO3" s="55"/>
      <c r="EJP3" s="55"/>
      <c r="EJQ3" s="55"/>
      <c r="EJR3" s="55"/>
      <c r="EJS3" s="55"/>
      <c r="EJT3" s="55"/>
      <c r="EJU3" s="55"/>
      <c r="EJV3" s="55"/>
      <c r="EJW3" s="55"/>
      <c r="EJX3" s="55"/>
      <c r="EJY3" s="55"/>
      <c r="EJZ3" s="55"/>
      <c r="EKA3" s="55"/>
      <c r="EKB3" s="55"/>
      <c r="EKC3" s="55"/>
      <c r="EKD3" s="55"/>
      <c r="EKE3" s="55"/>
      <c r="EKF3" s="55"/>
      <c r="EKG3" s="55"/>
      <c r="EKH3" s="55"/>
      <c r="EKI3" s="55"/>
      <c r="EKJ3" s="55"/>
      <c r="EKK3" s="55"/>
      <c r="EKL3" s="55"/>
      <c r="EKM3" s="55"/>
      <c r="EKN3" s="55"/>
      <c r="EKO3" s="55"/>
      <c r="EKP3" s="55"/>
      <c r="EKQ3" s="55"/>
      <c r="EKR3" s="55"/>
      <c r="EKS3" s="55"/>
      <c r="EKT3" s="55"/>
      <c r="EKU3" s="55"/>
      <c r="EKV3" s="55"/>
      <c r="EKW3" s="55"/>
      <c r="EKX3" s="55"/>
      <c r="EKY3" s="55"/>
      <c r="EKZ3" s="55"/>
      <c r="ELA3" s="55"/>
      <c r="ELB3" s="55"/>
      <c r="ELC3" s="55"/>
      <c r="ELD3" s="55"/>
      <c r="ELE3" s="55"/>
      <c r="ELF3" s="55"/>
      <c r="ELG3" s="55"/>
      <c r="ELH3" s="55"/>
      <c r="ELI3" s="55"/>
      <c r="ELJ3" s="55"/>
      <c r="ELK3" s="55"/>
      <c r="ELL3" s="55"/>
      <c r="ELM3" s="55"/>
      <c r="ELN3" s="55"/>
      <c r="ELO3" s="55"/>
      <c r="ELP3" s="55"/>
      <c r="ELQ3" s="55"/>
      <c r="ELR3" s="55"/>
      <c r="ELS3" s="55"/>
      <c r="ELT3" s="55"/>
      <c r="ELU3" s="55"/>
      <c r="ELV3" s="55"/>
      <c r="ELW3" s="55"/>
      <c r="ELX3" s="55"/>
      <c r="ELY3" s="55"/>
      <c r="ELZ3" s="55"/>
      <c r="EMA3" s="55"/>
      <c r="EMB3" s="55"/>
      <c r="EMC3" s="55"/>
      <c r="EMD3" s="55"/>
      <c r="EME3" s="55"/>
      <c r="EMF3" s="55"/>
      <c r="EMG3" s="55"/>
      <c r="EMH3" s="55"/>
      <c r="EMI3" s="55"/>
      <c r="EMJ3" s="55"/>
      <c r="EMK3" s="55"/>
      <c r="EML3" s="55"/>
      <c r="EMM3" s="55"/>
      <c r="EMN3" s="55"/>
      <c r="EMO3" s="55"/>
      <c r="EMP3" s="55"/>
      <c r="EMQ3" s="55"/>
      <c r="EMR3" s="55"/>
      <c r="EMS3" s="55"/>
      <c r="EMT3" s="55"/>
      <c r="EMU3" s="55"/>
      <c r="EMV3" s="55"/>
      <c r="EMW3" s="55"/>
      <c r="EMX3" s="55"/>
      <c r="EMY3" s="55"/>
      <c r="EMZ3" s="55"/>
      <c r="ENA3" s="55"/>
      <c r="ENB3" s="55"/>
      <c r="ENC3" s="55"/>
      <c r="END3" s="55"/>
      <c r="ENE3" s="55"/>
      <c r="ENF3" s="55"/>
      <c r="ENG3" s="55"/>
      <c r="ENH3" s="55"/>
      <c r="ENI3" s="55"/>
      <c r="ENJ3" s="55"/>
      <c r="ENK3" s="55"/>
      <c r="ENL3" s="55"/>
      <c r="ENM3" s="55"/>
      <c r="ENN3" s="55"/>
      <c r="ENO3" s="55"/>
      <c r="ENP3" s="55"/>
      <c r="ENQ3" s="55"/>
      <c r="ENR3" s="55"/>
      <c r="ENS3" s="55"/>
      <c r="ENT3" s="55"/>
      <c r="ENU3" s="55"/>
      <c r="ENV3" s="55"/>
      <c r="ENW3" s="55"/>
      <c r="ENX3" s="55"/>
      <c r="ENY3" s="55"/>
      <c r="ENZ3" s="55"/>
      <c r="EOA3" s="55"/>
      <c r="EOB3" s="55"/>
      <c r="EOC3" s="55"/>
      <c r="EOD3" s="55"/>
      <c r="EOE3" s="55"/>
      <c r="EOF3" s="55"/>
      <c r="EOG3" s="55"/>
      <c r="EOH3" s="55"/>
      <c r="EOI3" s="55"/>
      <c r="EOJ3" s="55"/>
      <c r="EOK3" s="55"/>
      <c r="EOL3" s="55"/>
      <c r="EOM3" s="55"/>
      <c r="EON3" s="55"/>
      <c r="EOO3" s="55"/>
      <c r="EOP3" s="55"/>
      <c r="EOQ3" s="55"/>
      <c r="EOR3" s="55"/>
      <c r="EOS3" s="55"/>
      <c r="EOT3" s="55"/>
      <c r="EOU3" s="55"/>
      <c r="EOV3" s="55"/>
      <c r="EOW3" s="55"/>
      <c r="EOX3" s="55"/>
      <c r="EOY3" s="55"/>
      <c r="EOZ3" s="55"/>
      <c r="EPA3" s="55"/>
      <c r="EPB3" s="55"/>
      <c r="EPC3" s="55"/>
      <c r="EPD3" s="55"/>
      <c r="EPE3" s="55"/>
      <c r="EPF3" s="55"/>
      <c r="EPG3" s="55"/>
      <c r="EPH3" s="55"/>
      <c r="EPI3" s="55"/>
      <c r="EPJ3" s="55"/>
      <c r="EPK3" s="55"/>
      <c r="EPL3" s="55"/>
      <c r="EPM3" s="55"/>
      <c r="EPN3" s="55"/>
      <c r="EPO3" s="55"/>
      <c r="EPP3" s="55"/>
      <c r="EPQ3" s="55"/>
      <c r="EPR3" s="55"/>
      <c r="EPS3" s="55"/>
      <c r="EPT3" s="55"/>
      <c r="EPU3" s="55"/>
      <c r="EPV3" s="55"/>
      <c r="EPW3" s="55"/>
      <c r="EPX3" s="55"/>
      <c r="EPY3" s="55"/>
      <c r="EPZ3" s="55"/>
      <c r="EQA3" s="55"/>
      <c r="EQB3" s="55"/>
      <c r="EQC3" s="55"/>
      <c r="EQD3" s="55"/>
      <c r="EQE3" s="55"/>
      <c r="EQF3" s="55"/>
      <c r="EQG3" s="55"/>
      <c r="EQH3" s="55"/>
      <c r="EQI3" s="55"/>
      <c r="EQJ3" s="55"/>
      <c r="EQK3" s="55"/>
      <c r="EQL3" s="55"/>
      <c r="EQM3" s="55"/>
      <c r="EQN3" s="55"/>
      <c r="EQO3" s="55"/>
      <c r="EQP3" s="55"/>
      <c r="EQQ3" s="55"/>
      <c r="EQR3" s="55"/>
      <c r="EQS3" s="55"/>
      <c r="EQT3" s="55"/>
      <c r="EQU3" s="55"/>
      <c r="EQV3" s="55"/>
      <c r="EQW3" s="55"/>
      <c r="EQX3" s="55"/>
      <c r="EQY3" s="55"/>
      <c r="EQZ3" s="55"/>
      <c r="ERA3" s="55"/>
      <c r="ERB3" s="55"/>
      <c r="ERC3" s="55"/>
      <c r="ERD3" s="55"/>
      <c r="ERE3" s="55"/>
      <c r="ERF3" s="55"/>
      <c r="ERG3" s="55"/>
      <c r="ERH3" s="55"/>
      <c r="ERI3" s="55"/>
      <c r="ERJ3" s="55"/>
      <c r="ERK3" s="55"/>
      <c r="ERL3" s="55"/>
      <c r="ERM3" s="55"/>
      <c r="ERN3" s="55"/>
      <c r="ERO3" s="55"/>
      <c r="ERP3" s="55"/>
      <c r="ERQ3" s="55"/>
      <c r="ERR3" s="55"/>
      <c r="ERS3" s="55"/>
      <c r="ERT3" s="55"/>
      <c r="ERU3" s="55"/>
      <c r="ERV3" s="55"/>
      <c r="ERW3" s="55"/>
      <c r="ERX3" s="55"/>
      <c r="ERY3" s="55"/>
      <c r="ERZ3" s="55"/>
      <c r="ESA3" s="55"/>
      <c r="ESB3" s="55"/>
      <c r="ESC3" s="55"/>
      <c r="ESD3" s="55"/>
      <c r="ESE3" s="55"/>
      <c r="ESF3" s="55"/>
      <c r="ESG3" s="55"/>
      <c r="ESH3" s="55"/>
      <c r="ESI3" s="55"/>
      <c r="ESJ3" s="55"/>
      <c r="ESK3" s="55"/>
      <c r="ESL3" s="55"/>
      <c r="ESM3" s="55"/>
      <c r="ESN3" s="55"/>
      <c r="ESO3" s="55"/>
      <c r="ESP3" s="55"/>
      <c r="ESQ3" s="55"/>
      <c r="ESR3" s="55"/>
      <c r="ESS3" s="55"/>
      <c r="EST3" s="55"/>
      <c r="ESU3" s="55"/>
      <c r="ESV3" s="55"/>
      <c r="ESW3" s="55"/>
      <c r="ESX3" s="55"/>
      <c r="ESY3" s="55"/>
      <c r="ESZ3" s="55"/>
      <c r="ETA3" s="55"/>
      <c r="ETB3" s="55"/>
      <c r="ETC3" s="55"/>
      <c r="ETD3" s="55"/>
      <c r="ETE3" s="55"/>
      <c r="ETF3" s="55"/>
      <c r="ETG3" s="55"/>
      <c r="ETH3" s="55"/>
      <c r="ETI3" s="55"/>
      <c r="ETJ3" s="55"/>
      <c r="ETK3" s="55"/>
      <c r="ETL3" s="55"/>
      <c r="ETM3" s="55"/>
      <c r="ETN3" s="55"/>
      <c r="ETO3" s="55"/>
      <c r="ETP3" s="55"/>
      <c r="ETQ3" s="55"/>
      <c r="ETR3" s="55"/>
      <c r="ETS3" s="55"/>
      <c r="ETT3" s="55"/>
      <c r="ETU3" s="55"/>
      <c r="ETV3" s="55"/>
      <c r="ETW3" s="55"/>
      <c r="ETX3" s="55"/>
      <c r="ETY3" s="55"/>
      <c r="ETZ3" s="55"/>
      <c r="EUA3" s="55"/>
      <c r="EUB3" s="55"/>
      <c r="EUC3" s="55"/>
      <c r="EUD3" s="55"/>
      <c r="EUE3" s="55"/>
      <c r="EUF3" s="55"/>
      <c r="EUG3" s="55"/>
      <c r="EUH3" s="55"/>
      <c r="EUI3" s="55"/>
      <c r="EUJ3" s="55"/>
      <c r="EUK3" s="55"/>
      <c r="EUL3" s="55"/>
      <c r="EUM3" s="55"/>
      <c r="EUN3" s="55"/>
      <c r="EUO3" s="55"/>
      <c r="EUP3" s="55"/>
      <c r="EUQ3" s="55"/>
      <c r="EUR3" s="55"/>
      <c r="EUS3" s="55"/>
      <c r="EUT3" s="55"/>
      <c r="EUU3" s="55"/>
      <c r="EUV3" s="55"/>
      <c r="EUW3" s="55"/>
      <c r="EUX3" s="55"/>
      <c r="EUY3" s="55"/>
      <c r="EUZ3" s="55"/>
      <c r="EVA3" s="55"/>
      <c r="EVB3" s="55"/>
      <c r="EVC3" s="55"/>
      <c r="EVD3" s="55"/>
      <c r="EVE3" s="55"/>
      <c r="EVF3" s="55"/>
      <c r="EVG3" s="55"/>
      <c r="EVH3" s="55"/>
      <c r="EVI3" s="55"/>
      <c r="EVJ3" s="55"/>
      <c r="EVK3" s="55"/>
      <c r="EVL3" s="55"/>
      <c r="EVM3" s="55"/>
      <c r="EVN3" s="55"/>
      <c r="EVO3" s="55"/>
      <c r="EVP3" s="55"/>
      <c r="EVQ3" s="55"/>
      <c r="EVR3" s="55"/>
      <c r="EVS3" s="55"/>
      <c r="EVT3" s="55"/>
      <c r="EVU3" s="55"/>
      <c r="EVV3" s="55"/>
      <c r="EVW3" s="55"/>
      <c r="EVX3" s="55"/>
      <c r="EVY3" s="55"/>
      <c r="EVZ3" s="55"/>
      <c r="EWA3" s="55"/>
      <c r="EWB3" s="55"/>
      <c r="EWC3" s="55"/>
      <c r="EWD3" s="55"/>
      <c r="EWE3" s="55"/>
      <c r="EWF3" s="55"/>
      <c r="EWG3" s="55"/>
      <c r="EWH3" s="55"/>
      <c r="EWI3" s="55"/>
      <c r="EWJ3" s="55"/>
      <c r="EWK3" s="55"/>
      <c r="EWL3" s="55"/>
      <c r="EWM3" s="55"/>
      <c r="EWN3" s="55"/>
      <c r="EWO3" s="55"/>
      <c r="EWP3" s="55"/>
      <c r="EWQ3" s="55"/>
      <c r="EWR3" s="55"/>
      <c r="EWS3" s="55"/>
      <c r="EWT3" s="55"/>
      <c r="EWU3" s="55"/>
      <c r="EWV3" s="55"/>
      <c r="EWW3" s="55"/>
      <c r="EWX3" s="55"/>
      <c r="EWY3" s="55"/>
      <c r="EWZ3" s="55"/>
      <c r="EXA3" s="55"/>
      <c r="EXB3" s="55"/>
      <c r="EXC3" s="55"/>
      <c r="EXD3" s="55"/>
      <c r="EXE3" s="55"/>
      <c r="EXF3" s="55"/>
      <c r="EXG3" s="55"/>
      <c r="EXH3" s="55"/>
      <c r="EXI3" s="55"/>
      <c r="EXJ3" s="55"/>
      <c r="EXK3" s="55"/>
      <c r="EXL3" s="55"/>
      <c r="EXM3" s="55"/>
      <c r="EXN3" s="55"/>
      <c r="EXO3" s="55"/>
      <c r="EXP3" s="55"/>
      <c r="EXQ3" s="55"/>
      <c r="EXR3" s="55"/>
      <c r="EXS3" s="55"/>
      <c r="EXT3" s="55"/>
      <c r="EXU3" s="55"/>
      <c r="EXV3" s="55"/>
      <c r="EXW3" s="55"/>
      <c r="EXX3" s="55"/>
      <c r="EXY3" s="55"/>
      <c r="EXZ3" s="55"/>
      <c r="EYA3" s="55"/>
      <c r="EYB3" s="55"/>
      <c r="EYC3" s="55"/>
      <c r="EYD3" s="55"/>
      <c r="EYE3" s="55"/>
      <c r="EYF3" s="55"/>
      <c r="EYG3" s="55"/>
      <c r="EYH3" s="55"/>
      <c r="EYI3" s="55"/>
      <c r="EYJ3" s="55"/>
      <c r="EYK3" s="55"/>
      <c r="EYL3" s="55"/>
      <c r="EYM3" s="55"/>
      <c r="EYN3" s="55"/>
      <c r="EYO3" s="55"/>
      <c r="EYP3" s="55"/>
      <c r="EYQ3" s="55"/>
      <c r="EYR3" s="55"/>
      <c r="EYS3" s="55"/>
      <c r="EYT3" s="55"/>
      <c r="EYU3" s="55"/>
      <c r="EYV3" s="55"/>
      <c r="EYW3" s="55"/>
      <c r="EYX3" s="55"/>
      <c r="EYY3" s="55"/>
      <c r="EYZ3" s="55"/>
      <c r="EZA3" s="55"/>
      <c r="EZB3" s="55"/>
      <c r="EZC3" s="55"/>
      <c r="EZD3" s="55"/>
      <c r="EZE3" s="55"/>
      <c r="EZF3" s="55"/>
      <c r="EZG3" s="55"/>
      <c r="EZH3" s="55"/>
      <c r="EZI3" s="55"/>
      <c r="EZJ3" s="55"/>
      <c r="EZK3" s="55"/>
      <c r="EZL3" s="55"/>
      <c r="EZM3" s="55"/>
      <c r="EZN3" s="55"/>
      <c r="EZO3" s="55"/>
      <c r="EZP3" s="55"/>
      <c r="EZQ3" s="55"/>
      <c r="EZR3" s="55"/>
      <c r="EZS3" s="55"/>
      <c r="EZT3" s="55"/>
      <c r="EZU3" s="55"/>
      <c r="EZV3" s="55"/>
      <c r="EZW3" s="55"/>
      <c r="EZX3" s="55"/>
      <c r="EZY3" s="55"/>
      <c r="EZZ3" s="55"/>
      <c r="FAA3" s="55"/>
      <c r="FAB3" s="55"/>
      <c r="FAC3" s="55"/>
      <c r="FAD3" s="55"/>
      <c r="FAE3" s="55"/>
      <c r="FAF3" s="55"/>
      <c r="FAG3" s="55"/>
      <c r="FAH3" s="55"/>
      <c r="FAI3" s="55"/>
      <c r="FAJ3" s="55"/>
      <c r="FAK3" s="55"/>
      <c r="FAL3" s="55"/>
      <c r="FAM3" s="55"/>
      <c r="FAN3" s="55"/>
      <c r="FAO3" s="55"/>
      <c r="FAP3" s="55"/>
      <c r="FAQ3" s="55"/>
      <c r="FAR3" s="55"/>
      <c r="FAS3" s="55"/>
      <c r="FAT3" s="55"/>
      <c r="FAU3" s="55"/>
      <c r="FAV3" s="55"/>
      <c r="FAW3" s="55"/>
      <c r="FAX3" s="55"/>
      <c r="FAY3" s="55"/>
      <c r="FAZ3" s="55"/>
      <c r="FBA3" s="55"/>
      <c r="FBB3" s="55"/>
      <c r="FBC3" s="55"/>
      <c r="FBD3" s="55"/>
      <c r="FBE3" s="55"/>
      <c r="FBF3" s="55"/>
      <c r="FBG3" s="55"/>
      <c r="FBH3" s="55"/>
      <c r="FBI3" s="55"/>
      <c r="FBJ3" s="55"/>
      <c r="FBK3" s="55"/>
      <c r="FBL3" s="55"/>
      <c r="FBM3" s="55"/>
      <c r="FBN3" s="55"/>
      <c r="FBO3" s="55"/>
      <c r="FBP3" s="55"/>
      <c r="FBQ3" s="55"/>
      <c r="FBR3" s="55"/>
      <c r="FBS3" s="55"/>
      <c r="FBT3" s="55"/>
      <c r="FBU3" s="55"/>
      <c r="FBV3" s="55"/>
      <c r="FBW3" s="55"/>
      <c r="FBX3" s="55"/>
      <c r="FBY3" s="55"/>
      <c r="FBZ3" s="55"/>
      <c r="FCA3" s="55"/>
      <c r="FCB3" s="55"/>
      <c r="FCC3" s="55"/>
      <c r="FCD3" s="55"/>
      <c r="FCE3" s="55"/>
      <c r="FCF3" s="55"/>
      <c r="FCG3" s="55"/>
      <c r="FCH3" s="55"/>
      <c r="FCI3" s="55"/>
      <c r="FCJ3" s="55"/>
      <c r="FCK3" s="55"/>
      <c r="FCL3" s="55"/>
      <c r="FCM3" s="55"/>
      <c r="FCN3" s="55"/>
      <c r="FCO3" s="55"/>
      <c r="FCP3" s="55"/>
      <c r="FCQ3" s="55"/>
      <c r="FCR3" s="55"/>
      <c r="FCS3" s="55"/>
      <c r="FCT3" s="55"/>
      <c r="FCU3" s="55"/>
      <c r="FCV3" s="55"/>
      <c r="FCW3" s="55"/>
      <c r="FCX3" s="55"/>
      <c r="FCY3" s="55"/>
      <c r="FCZ3" s="55"/>
      <c r="FDA3" s="55"/>
      <c r="FDB3" s="55"/>
      <c r="FDC3" s="55"/>
      <c r="FDD3" s="55"/>
      <c r="FDE3" s="55"/>
      <c r="FDF3" s="55"/>
      <c r="FDG3" s="55"/>
      <c r="FDH3" s="55"/>
      <c r="FDI3" s="55"/>
      <c r="FDJ3" s="55"/>
      <c r="FDK3" s="55"/>
      <c r="FDL3" s="55"/>
      <c r="FDM3" s="55"/>
      <c r="FDN3" s="55"/>
      <c r="FDO3" s="55"/>
      <c r="FDP3" s="55"/>
      <c r="FDQ3" s="55"/>
      <c r="FDR3" s="55"/>
      <c r="FDS3" s="55"/>
      <c r="FDT3" s="55"/>
      <c r="FDU3" s="55"/>
      <c r="FDV3" s="55"/>
      <c r="FDW3" s="55"/>
      <c r="FDX3" s="55"/>
      <c r="FDY3" s="55"/>
      <c r="FDZ3" s="55"/>
      <c r="FEA3" s="55"/>
      <c r="FEB3" s="55"/>
      <c r="FEC3" s="55"/>
      <c r="FED3" s="55"/>
      <c r="FEE3" s="55"/>
      <c r="FEF3" s="55"/>
      <c r="FEG3" s="55"/>
      <c r="FEH3" s="55"/>
      <c r="FEI3" s="55"/>
      <c r="FEJ3" s="55"/>
      <c r="FEK3" s="55"/>
      <c r="FEL3" s="55"/>
      <c r="FEM3" s="55"/>
      <c r="FEN3" s="55"/>
      <c r="FEO3" s="55"/>
      <c r="FEP3" s="55"/>
      <c r="FEQ3" s="55"/>
      <c r="FER3" s="55"/>
      <c r="FES3" s="55"/>
      <c r="FET3" s="55"/>
      <c r="FEU3" s="55"/>
      <c r="FEV3" s="55"/>
      <c r="FEW3" s="55"/>
      <c r="FEX3" s="55"/>
      <c r="FEY3" s="55"/>
      <c r="FEZ3" s="55"/>
      <c r="FFA3" s="55"/>
      <c r="FFB3" s="55"/>
      <c r="FFC3" s="55"/>
      <c r="FFD3" s="55"/>
      <c r="FFE3" s="55"/>
      <c r="FFF3" s="55"/>
      <c r="FFG3" s="55"/>
      <c r="FFH3" s="55"/>
      <c r="FFI3" s="55"/>
      <c r="FFJ3" s="55"/>
      <c r="FFK3" s="55"/>
      <c r="FFL3" s="55"/>
      <c r="FFM3" s="55"/>
      <c r="FFN3" s="55"/>
      <c r="FFO3" s="55"/>
      <c r="FFP3" s="55"/>
      <c r="FFQ3" s="55"/>
      <c r="FFR3" s="55"/>
      <c r="FFS3" s="55"/>
      <c r="FFT3" s="55"/>
      <c r="FFU3" s="55"/>
      <c r="FFV3" s="55"/>
      <c r="FFW3" s="55"/>
      <c r="FFX3" s="55"/>
      <c r="FFY3" s="55"/>
      <c r="FFZ3" s="55"/>
      <c r="FGA3" s="55"/>
      <c r="FGB3" s="55"/>
      <c r="FGC3" s="55"/>
      <c r="FGD3" s="55"/>
      <c r="FGE3" s="55"/>
      <c r="FGF3" s="55"/>
      <c r="FGG3" s="55"/>
      <c r="FGH3" s="55"/>
      <c r="FGI3" s="55"/>
      <c r="FGJ3" s="55"/>
      <c r="FGK3" s="55"/>
      <c r="FGL3" s="55"/>
      <c r="FGM3" s="55"/>
      <c r="FGN3" s="55"/>
      <c r="FGO3" s="55"/>
      <c r="FGP3" s="55"/>
      <c r="FGQ3" s="55"/>
      <c r="FGR3" s="55"/>
      <c r="FGS3" s="55"/>
      <c r="FGT3" s="55"/>
      <c r="FGU3" s="55"/>
      <c r="FGV3" s="55"/>
      <c r="FGW3" s="55"/>
      <c r="FGX3" s="55"/>
      <c r="FGY3" s="55"/>
      <c r="FGZ3" s="55"/>
      <c r="FHA3" s="55"/>
      <c r="FHB3" s="55"/>
      <c r="FHC3" s="55"/>
      <c r="FHD3" s="55"/>
      <c r="FHE3" s="55"/>
      <c r="FHF3" s="55"/>
      <c r="FHG3" s="55"/>
      <c r="FHH3" s="55"/>
      <c r="FHI3" s="55"/>
      <c r="FHJ3" s="55"/>
      <c r="FHK3" s="55"/>
      <c r="FHL3" s="55"/>
      <c r="FHM3" s="55"/>
      <c r="FHN3" s="55"/>
      <c r="FHO3" s="55"/>
      <c r="FHP3" s="55"/>
      <c r="FHQ3" s="55"/>
      <c r="FHR3" s="55"/>
      <c r="FHS3" s="55"/>
      <c r="FHT3" s="55"/>
      <c r="FHU3" s="55"/>
      <c r="FHV3" s="55"/>
      <c r="FHW3" s="55"/>
      <c r="FHX3" s="55"/>
      <c r="FHY3" s="55"/>
      <c r="FHZ3" s="55"/>
      <c r="FIA3" s="55"/>
      <c r="FIB3" s="55"/>
      <c r="FIC3" s="55"/>
      <c r="FID3" s="55"/>
      <c r="FIE3" s="55"/>
      <c r="FIF3" s="55"/>
      <c r="FIG3" s="55"/>
      <c r="FIH3" s="55"/>
      <c r="FII3" s="55"/>
      <c r="FIJ3" s="55"/>
      <c r="FIK3" s="55"/>
      <c r="FIL3" s="55"/>
      <c r="FIM3" s="55"/>
      <c r="FIN3" s="55"/>
      <c r="FIO3" s="55"/>
      <c r="FIP3" s="55"/>
      <c r="FIQ3" s="55"/>
      <c r="FIR3" s="55"/>
      <c r="FIS3" s="55"/>
      <c r="FIT3" s="55"/>
      <c r="FIU3" s="55"/>
      <c r="FIV3" s="55"/>
      <c r="FIW3" s="55"/>
      <c r="FIX3" s="55"/>
      <c r="FIY3" s="55"/>
      <c r="FIZ3" s="55"/>
      <c r="FJA3" s="55"/>
      <c r="FJB3" s="55"/>
      <c r="FJC3" s="55"/>
      <c r="FJD3" s="55"/>
      <c r="FJE3" s="55"/>
      <c r="FJF3" s="55"/>
      <c r="FJG3" s="55"/>
      <c r="FJH3" s="55"/>
      <c r="FJI3" s="55"/>
      <c r="FJJ3" s="55"/>
      <c r="FJK3" s="55"/>
      <c r="FJL3" s="55"/>
      <c r="FJM3" s="55"/>
      <c r="FJN3" s="55"/>
      <c r="FJO3" s="55"/>
      <c r="FJP3" s="55"/>
      <c r="FJQ3" s="55"/>
      <c r="FJR3" s="55"/>
      <c r="FJS3" s="55"/>
      <c r="FJT3" s="55"/>
      <c r="FJU3" s="55"/>
      <c r="FJV3" s="55"/>
      <c r="FJW3" s="55"/>
      <c r="FJX3" s="55"/>
      <c r="FJY3" s="55"/>
      <c r="FJZ3" s="55"/>
      <c r="FKA3" s="55"/>
      <c r="FKB3" s="55"/>
      <c r="FKC3" s="55"/>
      <c r="FKD3" s="55"/>
      <c r="FKE3" s="55"/>
      <c r="FKF3" s="55"/>
      <c r="FKG3" s="55"/>
      <c r="FKH3" s="55"/>
      <c r="FKI3" s="55"/>
      <c r="FKJ3" s="55"/>
      <c r="FKK3" s="55"/>
      <c r="FKL3" s="55"/>
      <c r="FKM3" s="55"/>
      <c r="FKN3" s="55"/>
      <c r="FKO3" s="55"/>
      <c r="FKP3" s="55"/>
      <c r="FKQ3" s="55"/>
      <c r="FKR3" s="55"/>
      <c r="FKS3" s="55"/>
      <c r="FKT3" s="55"/>
      <c r="FKU3" s="55"/>
      <c r="FKV3" s="55"/>
      <c r="FKW3" s="55"/>
      <c r="FKX3" s="55"/>
      <c r="FKY3" s="55"/>
      <c r="FKZ3" s="55"/>
      <c r="FLA3" s="55"/>
      <c r="FLB3" s="55"/>
      <c r="FLC3" s="55"/>
      <c r="FLD3" s="55"/>
      <c r="FLE3" s="55"/>
      <c r="FLF3" s="55"/>
      <c r="FLG3" s="55"/>
      <c r="FLH3" s="55"/>
      <c r="FLI3" s="55"/>
      <c r="FLJ3" s="55"/>
      <c r="FLK3" s="55"/>
      <c r="FLL3" s="55"/>
      <c r="FLM3" s="55"/>
      <c r="FLN3" s="55"/>
      <c r="FLO3" s="55"/>
      <c r="FLP3" s="55"/>
      <c r="FLQ3" s="55"/>
      <c r="FLR3" s="55"/>
      <c r="FLS3" s="55"/>
      <c r="FLT3" s="55"/>
      <c r="FLU3" s="55"/>
      <c r="FLV3" s="55"/>
      <c r="FLW3" s="55"/>
      <c r="FLX3" s="55"/>
      <c r="FLY3" s="55"/>
      <c r="FLZ3" s="55"/>
      <c r="FMA3" s="55"/>
      <c r="FMB3" s="55"/>
      <c r="FMC3" s="55"/>
      <c r="FMD3" s="55"/>
      <c r="FME3" s="55"/>
      <c r="FMF3" s="55"/>
      <c r="FMG3" s="55"/>
      <c r="FMH3" s="55"/>
      <c r="FMI3" s="55"/>
      <c r="FMJ3" s="55"/>
      <c r="FMK3" s="55"/>
      <c r="FML3" s="55"/>
      <c r="FMM3" s="55"/>
      <c r="FMN3" s="55"/>
      <c r="FMO3" s="55"/>
      <c r="FMP3" s="55"/>
      <c r="FMQ3" s="55"/>
      <c r="FMR3" s="55"/>
      <c r="FMS3" s="55"/>
      <c r="FMT3" s="55"/>
      <c r="FMU3" s="55"/>
      <c r="FMV3" s="55"/>
      <c r="FMW3" s="55"/>
      <c r="FMX3" s="55"/>
      <c r="FMY3" s="55"/>
      <c r="FMZ3" s="55"/>
      <c r="FNA3" s="55"/>
      <c r="FNB3" s="55"/>
      <c r="FNC3" s="55"/>
      <c r="FND3" s="55"/>
      <c r="FNE3" s="55"/>
      <c r="FNF3" s="55"/>
      <c r="FNG3" s="55"/>
      <c r="FNH3" s="55"/>
      <c r="FNI3" s="55"/>
      <c r="FNJ3" s="55"/>
      <c r="FNK3" s="55"/>
      <c r="FNL3" s="55"/>
      <c r="FNM3" s="55"/>
      <c r="FNN3" s="55"/>
      <c r="FNO3" s="55"/>
      <c r="FNP3" s="55"/>
      <c r="FNQ3" s="55"/>
      <c r="FNR3" s="55"/>
      <c r="FNS3" s="55"/>
      <c r="FNT3" s="55"/>
      <c r="FNU3" s="55"/>
      <c r="FNV3" s="55"/>
      <c r="FNW3" s="55"/>
      <c r="FNX3" s="55"/>
      <c r="FNY3" s="55"/>
      <c r="FNZ3" s="55"/>
      <c r="FOA3" s="55"/>
      <c r="FOB3" s="55"/>
      <c r="FOC3" s="55"/>
      <c r="FOD3" s="55"/>
      <c r="FOE3" s="55"/>
      <c r="FOF3" s="55"/>
      <c r="FOG3" s="55"/>
      <c r="FOH3" s="55"/>
      <c r="FOI3" s="55"/>
      <c r="FOJ3" s="55"/>
      <c r="FOK3" s="55"/>
      <c r="FOL3" s="55"/>
      <c r="FOM3" s="55"/>
      <c r="FON3" s="55"/>
      <c r="FOO3" s="55"/>
      <c r="FOP3" s="55"/>
      <c r="FOQ3" s="55"/>
      <c r="FOR3" s="55"/>
      <c r="FOS3" s="55"/>
      <c r="FOT3" s="55"/>
      <c r="FOU3" s="55"/>
      <c r="FOV3" s="55"/>
      <c r="FOW3" s="55"/>
      <c r="FOX3" s="55"/>
      <c r="FOY3" s="55"/>
      <c r="FOZ3" s="55"/>
      <c r="FPA3" s="55"/>
      <c r="FPB3" s="55"/>
      <c r="FPC3" s="55"/>
      <c r="FPD3" s="55"/>
      <c r="FPE3" s="55"/>
      <c r="FPF3" s="55"/>
      <c r="FPG3" s="55"/>
      <c r="FPH3" s="55"/>
      <c r="FPI3" s="55"/>
      <c r="FPJ3" s="55"/>
      <c r="FPK3" s="55"/>
      <c r="FPL3" s="55"/>
      <c r="FPM3" s="55"/>
      <c r="FPN3" s="55"/>
      <c r="FPO3" s="55"/>
      <c r="FPP3" s="55"/>
      <c r="FPQ3" s="55"/>
      <c r="FPR3" s="55"/>
      <c r="FPS3" s="55"/>
      <c r="FPT3" s="55"/>
      <c r="FPU3" s="55"/>
      <c r="FPV3" s="55"/>
      <c r="FPW3" s="55"/>
      <c r="FPX3" s="55"/>
      <c r="FPY3" s="55"/>
      <c r="FPZ3" s="55"/>
      <c r="FQA3" s="55"/>
      <c r="FQB3" s="55"/>
      <c r="FQC3" s="55"/>
      <c r="FQD3" s="55"/>
      <c r="FQE3" s="55"/>
      <c r="FQF3" s="55"/>
      <c r="FQG3" s="55"/>
      <c r="FQH3" s="55"/>
      <c r="FQI3" s="55"/>
      <c r="FQJ3" s="55"/>
      <c r="FQK3" s="55"/>
      <c r="FQL3" s="55"/>
      <c r="FQM3" s="55"/>
      <c r="FQN3" s="55"/>
      <c r="FQO3" s="55"/>
      <c r="FQP3" s="55"/>
      <c r="FQQ3" s="55"/>
      <c r="FQR3" s="55"/>
      <c r="FQS3" s="55"/>
      <c r="FQT3" s="55"/>
      <c r="FQU3" s="55"/>
      <c r="FQV3" s="55"/>
      <c r="FQW3" s="55"/>
      <c r="FQX3" s="55"/>
      <c r="FQY3" s="55"/>
      <c r="FQZ3" s="55"/>
      <c r="FRA3" s="55"/>
      <c r="FRB3" s="55"/>
      <c r="FRC3" s="55"/>
      <c r="FRD3" s="55"/>
      <c r="FRE3" s="55"/>
      <c r="FRF3" s="55"/>
      <c r="FRG3" s="55"/>
      <c r="FRH3" s="55"/>
      <c r="FRI3" s="55"/>
      <c r="FRJ3" s="55"/>
      <c r="FRK3" s="55"/>
      <c r="FRL3" s="55"/>
      <c r="FRM3" s="55"/>
      <c r="FRN3" s="55"/>
      <c r="FRO3" s="55"/>
      <c r="FRP3" s="55"/>
      <c r="FRQ3" s="55"/>
      <c r="FRR3" s="55"/>
      <c r="FRS3" s="55"/>
      <c r="FRT3" s="55"/>
      <c r="FRU3" s="55"/>
      <c r="FRV3" s="55"/>
      <c r="FRW3" s="55"/>
      <c r="FRX3" s="55"/>
      <c r="FRY3" s="55"/>
      <c r="FRZ3" s="55"/>
      <c r="FSA3" s="55"/>
      <c r="FSB3" s="55"/>
      <c r="FSC3" s="55"/>
      <c r="FSD3" s="55"/>
      <c r="FSE3" s="55"/>
      <c r="FSF3" s="55"/>
      <c r="FSG3" s="55"/>
      <c r="FSH3" s="55"/>
      <c r="FSI3" s="55"/>
      <c r="FSJ3" s="55"/>
      <c r="FSK3" s="55"/>
      <c r="FSL3" s="55"/>
      <c r="FSM3" s="55"/>
      <c r="FSN3" s="55"/>
      <c r="FSO3" s="55"/>
      <c r="FSP3" s="55"/>
      <c r="FSQ3" s="55"/>
      <c r="FSR3" s="55"/>
      <c r="FSS3" s="55"/>
      <c r="FST3" s="55"/>
      <c r="FSU3" s="55"/>
      <c r="FSV3" s="55"/>
      <c r="FSW3" s="55"/>
      <c r="FSX3" s="55"/>
      <c r="FSY3" s="55"/>
      <c r="FSZ3" s="55"/>
      <c r="FTA3" s="55"/>
      <c r="FTB3" s="55"/>
      <c r="FTC3" s="55"/>
      <c r="FTD3" s="55"/>
      <c r="FTE3" s="55"/>
      <c r="FTF3" s="55"/>
      <c r="FTG3" s="55"/>
      <c r="FTH3" s="55"/>
      <c r="FTI3" s="55"/>
      <c r="FTJ3" s="55"/>
      <c r="FTK3" s="55"/>
      <c r="FTL3" s="55"/>
      <c r="FTM3" s="55"/>
      <c r="FTN3" s="55"/>
      <c r="FTO3" s="55"/>
      <c r="FTP3" s="55"/>
      <c r="FTQ3" s="55"/>
      <c r="FTR3" s="55"/>
      <c r="FTS3" s="55"/>
      <c r="FTT3" s="55"/>
      <c r="FTU3" s="55"/>
      <c r="FTV3" s="55"/>
      <c r="FTW3" s="55"/>
      <c r="FTX3" s="55"/>
      <c r="FTY3" s="55"/>
      <c r="FTZ3" s="55"/>
      <c r="FUA3" s="55"/>
      <c r="FUB3" s="55"/>
      <c r="FUC3" s="55"/>
      <c r="FUD3" s="55"/>
      <c r="FUE3" s="55"/>
      <c r="FUF3" s="55"/>
      <c r="FUG3" s="55"/>
      <c r="FUH3" s="55"/>
      <c r="FUI3" s="55"/>
      <c r="FUJ3" s="55"/>
      <c r="FUK3" s="55"/>
      <c r="FUL3" s="55"/>
      <c r="FUM3" s="55"/>
      <c r="FUN3" s="55"/>
      <c r="FUO3" s="55"/>
      <c r="FUP3" s="55"/>
      <c r="FUQ3" s="55"/>
      <c r="FUR3" s="55"/>
      <c r="FUS3" s="55"/>
      <c r="FUT3" s="55"/>
      <c r="FUU3" s="55"/>
      <c r="FUV3" s="55"/>
      <c r="FUW3" s="55"/>
      <c r="FUX3" s="55"/>
      <c r="FUY3" s="55"/>
      <c r="FUZ3" s="55"/>
      <c r="FVA3" s="55"/>
      <c r="FVB3" s="55"/>
      <c r="FVC3" s="55"/>
      <c r="FVD3" s="55"/>
      <c r="FVE3" s="55"/>
      <c r="FVF3" s="55"/>
      <c r="FVG3" s="55"/>
      <c r="FVH3" s="55"/>
      <c r="FVI3" s="55"/>
      <c r="FVJ3" s="55"/>
      <c r="FVK3" s="55"/>
      <c r="FVL3" s="55"/>
      <c r="FVM3" s="55"/>
      <c r="FVN3" s="55"/>
      <c r="FVO3" s="55"/>
      <c r="FVP3" s="55"/>
      <c r="FVQ3" s="55"/>
      <c r="FVR3" s="55"/>
      <c r="FVS3" s="55"/>
      <c r="FVT3" s="55"/>
      <c r="FVU3" s="55"/>
      <c r="FVV3" s="55"/>
      <c r="FVW3" s="55"/>
      <c r="FVX3" s="55"/>
      <c r="FVY3" s="55"/>
      <c r="FVZ3" s="55"/>
      <c r="FWA3" s="55"/>
      <c r="FWB3" s="55"/>
      <c r="FWC3" s="55"/>
      <c r="FWD3" s="55"/>
      <c r="FWE3" s="55"/>
      <c r="FWF3" s="55"/>
      <c r="FWG3" s="55"/>
      <c r="FWH3" s="55"/>
      <c r="FWI3" s="55"/>
      <c r="FWJ3" s="55"/>
      <c r="FWK3" s="55"/>
      <c r="FWL3" s="55"/>
      <c r="FWM3" s="55"/>
      <c r="FWN3" s="55"/>
      <c r="FWO3" s="55"/>
      <c r="FWP3" s="55"/>
      <c r="FWQ3" s="55"/>
      <c r="FWR3" s="55"/>
      <c r="FWS3" s="55"/>
      <c r="FWT3" s="55"/>
      <c r="FWU3" s="55"/>
      <c r="FWV3" s="55"/>
      <c r="FWW3" s="55"/>
      <c r="FWX3" s="55"/>
      <c r="FWY3" s="55"/>
      <c r="FWZ3" s="55"/>
      <c r="FXA3" s="55"/>
      <c r="FXB3" s="55"/>
      <c r="FXC3" s="55"/>
      <c r="FXD3" s="55"/>
      <c r="FXE3" s="55"/>
      <c r="FXF3" s="55"/>
      <c r="FXG3" s="55"/>
      <c r="FXH3" s="55"/>
      <c r="FXI3" s="55"/>
      <c r="FXJ3" s="55"/>
      <c r="FXK3" s="55"/>
      <c r="FXL3" s="55"/>
      <c r="FXM3" s="55"/>
      <c r="FXN3" s="55"/>
      <c r="FXO3" s="55"/>
      <c r="FXP3" s="55"/>
      <c r="FXQ3" s="55"/>
      <c r="FXR3" s="55"/>
      <c r="FXS3" s="55"/>
      <c r="FXT3" s="55"/>
      <c r="FXU3" s="55"/>
      <c r="FXV3" s="55"/>
      <c r="FXW3" s="55"/>
      <c r="FXX3" s="55"/>
      <c r="FXY3" s="55"/>
      <c r="FXZ3" s="55"/>
      <c r="FYA3" s="55"/>
      <c r="FYB3" s="55"/>
      <c r="FYC3" s="55"/>
      <c r="FYD3" s="55"/>
      <c r="FYE3" s="55"/>
      <c r="FYF3" s="55"/>
      <c r="FYG3" s="55"/>
      <c r="FYH3" s="55"/>
      <c r="FYI3" s="55"/>
      <c r="FYJ3" s="55"/>
      <c r="FYK3" s="55"/>
      <c r="FYL3" s="55"/>
      <c r="FYM3" s="55"/>
      <c r="FYN3" s="55"/>
      <c r="FYO3" s="55"/>
      <c r="FYP3" s="55"/>
      <c r="FYQ3" s="55"/>
      <c r="FYR3" s="55"/>
      <c r="FYS3" s="55"/>
      <c r="FYT3" s="55"/>
      <c r="FYU3" s="55"/>
      <c r="FYV3" s="55"/>
      <c r="FYW3" s="55"/>
      <c r="FYX3" s="55"/>
      <c r="FYY3" s="55"/>
      <c r="FYZ3" s="55"/>
      <c r="FZA3" s="55"/>
      <c r="FZB3" s="55"/>
      <c r="FZC3" s="55"/>
      <c r="FZD3" s="55"/>
      <c r="FZE3" s="55"/>
      <c r="FZF3" s="55"/>
      <c r="FZG3" s="55"/>
      <c r="FZH3" s="55"/>
      <c r="FZI3" s="55"/>
      <c r="FZJ3" s="55"/>
      <c r="FZK3" s="55"/>
      <c r="FZL3" s="55"/>
      <c r="FZM3" s="55"/>
      <c r="FZN3" s="55"/>
      <c r="FZO3" s="55"/>
      <c r="FZP3" s="55"/>
      <c r="FZQ3" s="55"/>
      <c r="FZR3" s="55"/>
      <c r="FZS3" s="55"/>
      <c r="FZT3" s="55"/>
      <c r="FZU3" s="55"/>
      <c r="FZV3" s="55"/>
      <c r="FZW3" s="55"/>
      <c r="FZX3" s="55"/>
      <c r="FZY3" s="55"/>
      <c r="FZZ3" s="55"/>
      <c r="GAA3" s="55"/>
      <c r="GAB3" s="55"/>
      <c r="GAC3" s="55"/>
      <c r="GAD3" s="55"/>
      <c r="GAE3" s="55"/>
      <c r="GAF3" s="55"/>
      <c r="GAG3" s="55"/>
      <c r="GAH3" s="55"/>
      <c r="GAI3" s="55"/>
      <c r="GAJ3" s="55"/>
      <c r="GAK3" s="55"/>
      <c r="GAL3" s="55"/>
      <c r="GAM3" s="55"/>
      <c r="GAN3" s="55"/>
      <c r="GAO3" s="55"/>
      <c r="GAP3" s="55"/>
      <c r="GAQ3" s="55"/>
      <c r="GAR3" s="55"/>
      <c r="GAS3" s="55"/>
      <c r="GAT3" s="55"/>
      <c r="GAU3" s="55"/>
      <c r="GAV3" s="55"/>
      <c r="GAW3" s="55"/>
      <c r="GAX3" s="55"/>
      <c r="GAY3" s="55"/>
      <c r="GAZ3" s="55"/>
      <c r="GBA3" s="55"/>
      <c r="GBB3" s="55"/>
      <c r="GBC3" s="55"/>
      <c r="GBD3" s="55"/>
      <c r="GBE3" s="55"/>
      <c r="GBF3" s="55"/>
      <c r="GBG3" s="55"/>
      <c r="GBH3" s="55"/>
      <c r="GBI3" s="55"/>
      <c r="GBJ3" s="55"/>
      <c r="GBK3" s="55"/>
      <c r="GBL3" s="55"/>
      <c r="GBM3" s="55"/>
      <c r="GBN3" s="55"/>
      <c r="GBO3" s="55"/>
      <c r="GBP3" s="55"/>
      <c r="GBQ3" s="55"/>
      <c r="GBR3" s="55"/>
      <c r="GBS3" s="55"/>
      <c r="GBT3" s="55"/>
      <c r="GBU3" s="55"/>
      <c r="GBV3" s="55"/>
      <c r="GBW3" s="55"/>
      <c r="GBX3" s="55"/>
      <c r="GBY3" s="55"/>
      <c r="GBZ3" s="55"/>
      <c r="GCA3" s="55"/>
      <c r="GCB3" s="55"/>
      <c r="GCC3" s="55"/>
      <c r="GCD3" s="55"/>
      <c r="GCE3" s="55"/>
      <c r="GCF3" s="55"/>
      <c r="GCG3" s="55"/>
      <c r="GCH3" s="55"/>
      <c r="GCI3" s="55"/>
      <c r="GCJ3" s="55"/>
      <c r="GCK3" s="55"/>
      <c r="GCL3" s="55"/>
      <c r="GCM3" s="55"/>
      <c r="GCN3" s="55"/>
      <c r="GCO3" s="55"/>
      <c r="GCP3" s="55"/>
      <c r="GCQ3" s="55"/>
      <c r="GCR3" s="55"/>
      <c r="GCS3" s="55"/>
      <c r="GCT3" s="55"/>
      <c r="GCU3" s="55"/>
      <c r="GCV3" s="55"/>
      <c r="GCW3" s="55"/>
      <c r="GCX3" s="55"/>
      <c r="GCY3" s="55"/>
      <c r="GCZ3" s="55"/>
      <c r="GDA3" s="55"/>
      <c r="GDB3" s="55"/>
      <c r="GDC3" s="55"/>
      <c r="GDD3" s="55"/>
      <c r="GDE3" s="55"/>
      <c r="GDF3" s="55"/>
      <c r="GDG3" s="55"/>
      <c r="GDH3" s="55"/>
      <c r="GDI3" s="55"/>
      <c r="GDJ3" s="55"/>
      <c r="GDK3" s="55"/>
      <c r="GDL3" s="55"/>
      <c r="GDM3" s="55"/>
      <c r="GDN3" s="55"/>
      <c r="GDO3" s="55"/>
      <c r="GDP3" s="55"/>
      <c r="GDQ3" s="55"/>
      <c r="GDR3" s="55"/>
      <c r="GDS3" s="55"/>
      <c r="GDT3" s="55"/>
      <c r="GDU3" s="55"/>
      <c r="GDV3" s="55"/>
      <c r="GDW3" s="55"/>
      <c r="GDX3" s="55"/>
      <c r="GDY3" s="55"/>
      <c r="GDZ3" s="55"/>
      <c r="GEA3" s="55"/>
      <c r="GEB3" s="55"/>
      <c r="GEC3" s="55"/>
      <c r="GED3" s="55"/>
      <c r="GEE3" s="55"/>
      <c r="GEF3" s="55"/>
      <c r="GEG3" s="55"/>
      <c r="GEH3" s="55"/>
      <c r="GEI3" s="55"/>
      <c r="GEJ3" s="55"/>
      <c r="GEK3" s="55"/>
      <c r="GEL3" s="55"/>
      <c r="GEM3" s="55"/>
      <c r="GEN3" s="55"/>
      <c r="GEO3" s="55"/>
      <c r="GEP3" s="55"/>
      <c r="GEQ3" s="55"/>
      <c r="GER3" s="55"/>
      <c r="GES3" s="55"/>
      <c r="GET3" s="55"/>
      <c r="GEU3" s="55"/>
      <c r="GEV3" s="55"/>
      <c r="GEW3" s="55"/>
      <c r="GEX3" s="55"/>
      <c r="GEY3" s="55"/>
      <c r="GEZ3" s="55"/>
      <c r="GFA3" s="55"/>
      <c r="GFB3" s="55"/>
      <c r="GFC3" s="55"/>
      <c r="GFD3" s="55"/>
      <c r="GFE3" s="55"/>
      <c r="GFF3" s="55"/>
      <c r="GFG3" s="55"/>
      <c r="GFH3" s="55"/>
      <c r="GFI3" s="55"/>
      <c r="GFJ3" s="55"/>
      <c r="GFK3" s="55"/>
      <c r="GFL3" s="55"/>
      <c r="GFM3" s="55"/>
      <c r="GFN3" s="55"/>
      <c r="GFO3" s="55"/>
      <c r="GFP3" s="55"/>
      <c r="GFQ3" s="55"/>
      <c r="GFR3" s="55"/>
      <c r="GFS3" s="55"/>
      <c r="GFT3" s="55"/>
      <c r="GFU3" s="55"/>
      <c r="GFV3" s="55"/>
      <c r="GFW3" s="55"/>
      <c r="GFX3" s="55"/>
      <c r="GFY3" s="55"/>
      <c r="GFZ3" s="55"/>
      <c r="GGA3" s="55"/>
      <c r="GGB3" s="55"/>
      <c r="GGC3" s="55"/>
      <c r="GGD3" s="55"/>
      <c r="GGE3" s="55"/>
      <c r="GGF3" s="55"/>
      <c r="GGG3" s="55"/>
      <c r="GGH3" s="55"/>
      <c r="GGI3" s="55"/>
      <c r="GGJ3" s="55"/>
      <c r="GGK3" s="55"/>
      <c r="GGL3" s="55"/>
      <c r="GGM3" s="55"/>
      <c r="GGN3" s="55"/>
      <c r="GGO3" s="55"/>
      <c r="GGP3" s="55"/>
      <c r="GGQ3" s="55"/>
      <c r="GGR3" s="55"/>
      <c r="GGS3" s="55"/>
      <c r="GGT3" s="55"/>
      <c r="GGU3" s="55"/>
      <c r="GGV3" s="55"/>
      <c r="GGW3" s="55"/>
      <c r="GGX3" s="55"/>
      <c r="GGY3" s="55"/>
      <c r="GGZ3" s="55"/>
      <c r="GHA3" s="55"/>
      <c r="GHB3" s="55"/>
      <c r="GHC3" s="55"/>
      <c r="GHD3" s="55"/>
      <c r="GHE3" s="55"/>
      <c r="GHF3" s="55"/>
      <c r="GHG3" s="55"/>
      <c r="GHH3" s="55"/>
      <c r="GHI3" s="55"/>
      <c r="GHJ3" s="55"/>
      <c r="GHK3" s="55"/>
      <c r="GHL3" s="55"/>
      <c r="GHM3" s="55"/>
      <c r="GHN3" s="55"/>
      <c r="GHO3" s="55"/>
      <c r="GHP3" s="55"/>
      <c r="GHQ3" s="55"/>
      <c r="GHR3" s="55"/>
      <c r="GHS3" s="55"/>
      <c r="GHT3" s="55"/>
      <c r="GHU3" s="55"/>
      <c r="GHV3" s="55"/>
      <c r="GHW3" s="55"/>
      <c r="GHX3" s="55"/>
      <c r="GHY3" s="55"/>
      <c r="GHZ3" s="55"/>
      <c r="GIA3" s="55"/>
      <c r="GIB3" s="55"/>
      <c r="GIC3" s="55"/>
      <c r="GID3" s="55"/>
      <c r="GIE3" s="55"/>
      <c r="GIF3" s="55"/>
      <c r="GIG3" s="55"/>
      <c r="GIH3" s="55"/>
      <c r="GII3" s="55"/>
      <c r="GIJ3" s="55"/>
      <c r="GIK3" s="55"/>
      <c r="GIL3" s="55"/>
      <c r="GIM3" s="55"/>
      <c r="GIN3" s="55"/>
      <c r="GIO3" s="55"/>
      <c r="GIP3" s="55"/>
      <c r="GIQ3" s="55"/>
      <c r="GIR3" s="55"/>
      <c r="GIS3" s="55"/>
      <c r="GIT3" s="55"/>
      <c r="GIU3" s="55"/>
      <c r="GIV3" s="55"/>
      <c r="GIW3" s="55"/>
      <c r="GIX3" s="55"/>
      <c r="GIY3" s="55"/>
      <c r="GIZ3" s="55"/>
      <c r="GJA3" s="55"/>
      <c r="GJB3" s="55"/>
      <c r="GJC3" s="55"/>
      <c r="GJD3" s="55"/>
      <c r="GJE3" s="55"/>
      <c r="GJF3" s="55"/>
      <c r="GJG3" s="55"/>
      <c r="GJH3" s="55"/>
      <c r="GJI3" s="55"/>
      <c r="GJJ3" s="55"/>
      <c r="GJK3" s="55"/>
      <c r="GJL3" s="55"/>
      <c r="GJM3" s="55"/>
      <c r="GJN3" s="55"/>
      <c r="GJO3" s="55"/>
      <c r="GJP3" s="55"/>
      <c r="GJQ3" s="55"/>
      <c r="GJR3" s="55"/>
      <c r="GJS3" s="55"/>
      <c r="GJT3" s="55"/>
      <c r="GJU3" s="55"/>
      <c r="GJV3" s="55"/>
      <c r="GJW3" s="55"/>
      <c r="GJX3" s="55"/>
      <c r="GJY3" s="55"/>
      <c r="GJZ3" s="55"/>
      <c r="GKA3" s="55"/>
      <c r="GKB3" s="55"/>
      <c r="GKC3" s="55"/>
      <c r="GKD3" s="55"/>
      <c r="GKE3" s="55"/>
      <c r="GKF3" s="55"/>
      <c r="GKG3" s="55"/>
      <c r="GKH3" s="55"/>
      <c r="GKI3" s="55"/>
      <c r="GKJ3" s="55"/>
      <c r="GKK3" s="55"/>
      <c r="GKL3" s="55"/>
      <c r="GKM3" s="55"/>
      <c r="GKN3" s="55"/>
      <c r="GKO3" s="55"/>
      <c r="GKP3" s="55"/>
      <c r="GKQ3" s="55"/>
      <c r="GKR3" s="55"/>
      <c r="GKS3" s="55"/>
      <c r="GKT3" s="55"/>
      <c r="GKU3" s="55"/>
      <c r="GKV3" s="55"/>
      <c r="GKW3" s="55"/>
      <c r="GKX3" s="55"/>
      <c r="GKY3" s="55"/>
      <c r="GKZ3" s="55"/>
      <c r="GLA3" s="55"/>
      <c r="GLB3" s="55"/>
      <c r="GLC3" s="55"/>
      <c r="GLD3" s="55"/>
      <c r="GLE3" s="55"/>
      <c r="GLF3" s="55"/>
      <c r="GLG3" s="55"/>
      <c r="GLH3" s="55"/>
      <c r="GLI3" s="55"/>
      <c r="GLJ3" s="55"/>
      <c r="GLK3" s="55"/>
      <c r="GLL3" s="55"/>
      <c r="GLM3" s="55"/>
      <c r="GLN3" s="55"/>
      <c r="GLO3" s="55"/>
      <c r="GLP3" s="55"/>
      <c r="GLQ3" s="55"/>
      <c r="GLR3" s="55"/>
      <c r="GLS3" s="55"/>
      <c r="GLT3" s="55"/>
      <c r="GLU3" s="55"/>
      <c r="GLV3" s="55"/>
      <c r="GLW3" s="55"/>
      <c r="GLX3" s="55"/>
      <c r="GLY3" s="55"/>
      <c r="GLZ3" s="55"/>
      <c r="GMA3" s="55"/>
      <c r="GMB3" s="55"/>
      <c r="GMC3" s="55"/>
      <c r="GMD3" s="55"/>
      <c r="GME3" s="55"/>
      <c r="GMF3" s="55"/>
      <c r="GMG3" s="55"/>
      <c r="GMH3" s="55"/>
      <c r="GMI3" s="55"/>
      <c r="GMJ3" s="55"/>
      <c r="GMK3" s="55"/>
      <c r="GML3" s="55"/>
      <c r="GMM3" s="55"/>
      <c r="GMN3" s="55"/>
      <c r="GMO3" s="55"/>
      <c r="GMP3" s="55"/>
      <c r="GMQ3" s="55"/>
      <c r="GMR3" s="55"/>
      <c r="GMS3" s="55"/>
      <c r="GMT3" s="55"/>
      <c r="GMU3" s="55"/>
      <c r="GMV3" s="55"/>
      <c r="GMW3" s="55"/>
      <c r="GMX3" s="55"/>
      <c r="GMY3" s="55"/>
      <c r="GMZ3" s="55"/>
      <c r="GNA3" s="55"/>
      <c r="GNB3" s="55"/>
      <c r="GNC3" s="55"/>
      <c r="GND3" s="55"/>
      <c r="GNE3" s="55"/>
      <c r="GNF3" s="55"/>
      <c r="GNG3" s="55"/>
      <c r="GNH3" s="55"/>
      <c r="GNI3" s="55"/>
      <c r="GNJ3" s="55"/>
      <c r="GNK3" s="55"/>
      <c r="GNL3" s="55"/>
      <c r="GNM3" s="55"/>
      <c r="GNN3" s="55"/>
      <c r="GNO3" s="55"/>
      <c r="GNP3" s="55"/>
      <c r="GNQ3" s="55"/>
      <c r="GNR3" s="55"/>
      <c r="GNS3" s="55"/>
      <c r="GNT3" s="55"/>
      <c r="GNU3" s="55"/>
      <c r="GNV3" s="55"/>
      <c r="GNW3" s="55"/>
      <c r="GNX3" s="55"/>
      <c r="GNY3" s="55"/>
      <c r="GNZ3" s="55"/>
      <c r="GOA3" s="55"/>
      <c r="GOB3" s="55"/>
      <c r="GOC3" s="55"/>
      <c r="GOD3" s="55"/>
      <c r="GOE3" s="55"/>
      <c r="GOF3" s="55"/>
      <c r="GOG3" s="55"/>
      <c r="GOH3" s="55"/>
      <c r="GOI3" s="55"/>
      <c r="GOJ3" s="55"/>
      <c r="GOK3" s="55"/>
      <c r="GOL3" s="55"/>
      <c r="GOM3" s="55"/>
      <c r="GON3" s="55"/>
      <c r="GOO3" s="55"/>
      <c r="GOP3" s="55"/>
      <c r="GOQ3" s="55"/>
      <c r="GOR3" s="55"/>
      <c r="GOS3" s="55"/>
      <c r="GOT3" s="55"/>
      <c r="GOU3" s="55"/>
      <c r="GOV3" s="55"/>
      <c r="GOW3" s="55"/>
      <c r="GOX3" s="55"/>
      <c r="GOY3" s="55"/>
      <c r="GOZ3" s="55"/>
      <c r="GPA3" s="55"/>
      <c r="GPB3" s="55"/>
      <c r="GPC3" s="55"/>
      <c r="GPD3" s="55"/>
      <c r="GPE3" s="55"/>
      <c r="GPF3" s="55"/>
      <c r="GPG3" s="55"/>
      <c r="GPH3" s="55"/>
      <c r="GPI3" s="55"/>
      <c r="GPJ3" s="55"/>
      <c r="GPK3" s="55"/>
      <c r="GPL3" s="55"/>
      <c r="GPM3" s="55"/>
      <c r="GPN3" s="55"/>
      <c r="GPO3" s="55"/>
      <c r="GPP3" s="55"/>
      <c r="GPQ3" s="55"/>
      <c r="GPR3" s="55"/>
      <c r="GPS3" s="55"/>
      <c r="GPT3" s="55"/>
      <c r="GPU3" s="55"/>
      <c r="GPV3" s="55"/>
      <c r="GPW3" s="55"/>
      <c r="GPX3" s="55"/>
      <c r="GPY3" s="55"/>
      <c r="GPZ3" s="55"/>
      <c r="GQA3" s="55"/>
      <c r="GQB3" s="55"/>
      <c r="GQC3" s="55"/>
      <c r="GQD3" s="55"/>
      <c r="GQE3" s="55"/>
      <c r="GQF3" s="55"/>
      <c r="GQG3" s="55"/>
      <c r="GQH3" s="55"/>
      <c r="GQI3" s="55"/>
      <c r="GQJ3" s="55"/>
      <c r="GQK3" s="55"/>
      <c r="GQL3" s="55"/>
      <c r="GQM3" s="55"/>
      <c r="GQN3" s="55"/>
      <c r="GQO3" s="55"/>
      <c r="GQP3" s="55"/>
      <c r="GQQ3" s="55"/>
      <c r="GQR3" s="55"/>
      <c r="GQS3" s="55"/>
      <c r="GQT3" s="55"/>
      <c r="GQU3" s="55"/>
      <c r="GQV3" s="55"/>
      <c r="GQW3" s="55"/>
      <c r="GQX3" s="55"/>
      <c r="GQY3" s="55"/>
      <c r="GQZ3" s="55"/>
      <c r="GRA3" s="55"/>
      <c r="GRB3" s="55"/>
      <c r="GRC3" s="55"/>
      <c r="GRD3" s="55"/>
      <c r="GRE3" s="55"/>
      <c r="GRF3" s="55"/>
      <c r="GRG3" s="55"/>
      <c r="GRH3" s="55"/>
      <c r="GRI3" s="55"/>
      <c r="GRJ3" s="55"/>
      <c r="GRK3" s="55"/>
      <c r="GRL3" s="55"/>
      <c r="GRM3" s="55"/>
      <c r="GRN3" s="55"/>
      <c r="GRO3" s="55"/>
      <c r="GRP3" s="55"/>
      <c r="GRQ3" s="55"/>
      <c r="GRR3" s="55"/>
      <c r="GRS3" s="55"/>
      <c r="GRT3" s="55"/>
      <c r="GRU3" s="55"/>
      <c r="GRV3" s="55"/>
      <c r="GRW3" s="55"/>
      <c r="GRX3" s="55"/>
      <c r="GRY3" s="55"/>
      <c r="GRZ3" s="55"/>
      <c r="GSA3" s="55"/>
      <c r="GSB3" s="55"/>
      <c r="GSC3" s="55"/>
      <c r="GSD3" s="55"/>
      <c r="GSE3" s="55"/>
      <c r="GSF3" s="55"/>
      <c r="GSG3" s="55"/>
      <c r="GSH3" s="55"/>
      <c r="GSI3" s="55"/>
      <c r="GSJ3" s="55"/>
      <c r="GSK3" s="55"/>
      <c r="GSL3" s="55"/>
      <c r="GSM3" s="55"/>
      <c r="GSN3" s="55"/>
      <c r="GSO3" s="55"/>
      <c r="GSP3" s="55"/>
      <c r="GSQ3" s="55"/>
      <c r="GSR3" s="55"/>
      <c r="GSS3" s="55"/>
      <c r="GST3" s="55"/>
      <c r="GSU3" s="55"/>
      <c r="GSV3" s="55"/>
      <c r="GSW3" s="55"/>
      <c r="GSX3" s="55"/>
      <c r="GSY3" s="55"/>
      <c r="GSZ3" s="55"/>
      <c r="GTA3" s="55"/>
      <c r="GTB3" s="55"/>
      <c r="GTC3" s="55"/>
      <c r="GTD3" s="55"/>
      <c r="GTE3" s="55"/>
      <c r="GTF3" s="55"/>
      <c r="GTG3" s="55"/>
      <c r="GTH3" s="55"/>
      <c r="GTI3" s="55"/>
      <c r="GTJ3" s="55"/>
      <c r="GTK3" s="55"/>
      <c r="GTL3" s="55"/>
      <c r="GTM3" s="55"/>
      <c r="GTN3" s="55"/>
      <c r="GTO3" s="55"/>
      <c r="GTP3" s="55"/>
      <c r="GTQ3" s="55"/>
      <c r="GTR3" s="55"/>
      <c r="GTS3" s="55"/>
      <c r="GTT3" s="55"/>
      <c r="GTU3" s="55"/>
      <c r="GTV3" s="55"/>
      <c r="GTW3" s="55"/>
      <c r="GTX3" s="55"/>
      <c r="GTY3" s="55"/>
      <c r="GTZ3" s="55"/>
      <c r="GUA3" s="55"/>
      <c r="GUB3" s="55"/>
      <c r="GUC3" s="55"/>
      <c r="GUD3" s="55"/>
      <c r="GUE3" s="55"/>
      <c r="GUF3" s="55"/>
      <c r="GUG3" s="55"/>
      <c r="GUH3" s="55"/>
      <c r="GUI3" s="55"/>
      <c r="GUJ3" s="55"/>
      <c r="GUK3" s="55"/>
      <c r="GUL3" s="55"/>
      <c r="GUM3" s="55"/>
      <c r="GUN3" s="55"/>
      <c r="GUO3" s="55"/>
      <c r="GUP3" s="55"/>
      <c r="GUQ3" s="55"/>
      <c r="GUR3" s="55"/>
      <c r="GUS3" s="55"/>
      <c r="GUT3" s="55"/>
      <c r="GUU3" s="55"/>
      <c r="GUV3" s="55"/>
      <c r="GUW3" s="55"/>
      <c r="GUX3" s="55"/>
      <c r="GUY3" s="55"/>
      <c r="GUZ3" s="55"/>
      <c r="GVA3" s="55"/>
      <c r="GVB3" s="55"/>
      <c r="GVC3" s="55"/>
      <c r="GVD3" s="55"/>
      <c r="GVE3" s="55"/>
      <c r="GVF3" s="55"/>
      <c r="GVG3" s="55"/>
      <c r="GVH3" s="55"/>
      <c r="GVI3" s="55"/>
      <c r="GVJ3" s="55"/>
      <c r="GVK3" s="55"/>
      <c r="GVL3" s="55"/>
      <c r="GVM3" s="55"/>
      <c r="GVN3" s="55"/>
      <c r="GVO3" s="55"/>
      <c r="GVP3" s="55"/>
      <c r="GVQ3" s="55"/>
      <c r="GVR3" s="55"/>
      <c r="GVS3" s="55"/>
      <c r="GVT3" s="55"/>
      <c r="GVU3" s="55"/>
      <c r="GVV3" s="55"/>
      <c r="GVW3" s="55"/>
      <c r="GVX3" s="55"/>
      <c r="GVY3" s="55"/>
      <c r="GVZ3" s="55"/>
      <c r="GWA3" s="55"/>
      <c r="GWB3" s="55"/>
      <c r="GWC3" s="55"/>
      <c r="GWD3" s="55"/>
      <c r="GWE3" s="55"/>
      <c r="GWF3" s="55"/>
      <c r="GWG3" s="55"/>
      <c r="GWH3" s="55"/>
      <c r="GWI3" s="55"/>
      <c r="GWJ3" s="55"/>
      <c r="GWK3" s="55"/>
      <c r="GWL3" s="55"/>
      <c r="GWM3" s="55"/>
      <c r="GWN3" s="55"/>
      <c r="GWO3" s="55"/>
      <c r="GWP3" s="55"/>
      <c r="GWQ3" s="55"/>
      <c r="GWR3" s="55"/>
      <c r="GWS3" s="55"/>
      <c r="GWT3" s="55"/>
      <c r="GWU3" s="55"/>
      <c r="GWV3" s="55"/>
      <c r="GWW3" s="55"/>
      <c r="GWX3" s="55"/>
      <c r="GWY3" s="55"/>
      <c r="GWZ3" s="55"/>
      <c r="GXA3" s="55"/>
      <c r="GXB3" s="55"/>
      <c r="GXC3" s="55"/>
      <c r="GXD3" s="55"/>
      <c r="GXE3" s="55"/>
      <c r="GXF3" s="55"/>
      <c r="GXG3" s="55"/>
      <c r="GXH3" s="55"/>
      <c r="GXI3" s="55"/>
      <c r="GXJ3" s="55"/>
      <c r="GXK3" s="55"/>
      <c r="GXL3" s="55"/>
      <c r="GXM3" s="55"/>
      <c r="GXN3" s="55"/>
      <c r="GXO3" s="55"/>
      <c r="GXP3" s="55"/>
      <c r="GXQ3" s="55"/>
      <c r="GXR3" s="55"/>
      <c r="GXS3" s="55"/>
      <c r="GXT3" s="55"/>
      <c r="GXU3" s="55"/>
      <c r="GXV3" s="55"/>
      <c r="GXW3" s="55"/>
      <c r="GXX3" s="55"/>
      <c r="GXY3" s="55"/>
      <c r="GXZ3" s="55"/>
      <c r="GYA3" s="55"/>
      <c r="GYB3" s="55"/>
      <c r="GYC3" s="55"/>
      <c r="GYD3" s="55"/>
      <c r="GYE3" s="55"/>
      <c r="GYF3" s="55"/>
      <c r="GYG3" s="55"/>
      <c r="GYH3" s="55"/>
      <c r="GYI3" s="55"/>
      <c r="GYJ3" s="55"/>
      <c r="GYK3" s="55"/>
      <c r="GYL3" s="55"/>
      <c r="GYM3" s="55"/>
      <c r="GYN3" s="55"/>
      <c r="GYO3" s="55"/>
      <c r="GYP3" s="55"/>
      <c r="GYQ3" s="55"/>
      <c r="GYR3" s="55"/>
      <c r="GYS3" s="55"/>
      <c r="GYT3" s="55"/>
      <c r="GYU3" s="55"/>
      <c r="GYV3" s="55"/>
      <c r="GYW3" s="55"/>
      <c r="GYX3" s="55"/>
      <c r="GYY3" s="55"/>
      <c r="GYZ3" s="55"/>
      <c r="GZA3" s="55"/>
      <c r="GZB3" s="55"/>
      <c r="GZC3" s="55"/>
      <c r="GZD3" s="55"/>
      <c r="GZE3" s="55"/>
      <c r="GZF3" s="55"/>
      <c r="GZG3" s="55"/>
      <c r="GZH3" s="55"/>
      <c r="GZI3" s="55"/>
      <c r="GZJ3" s="55"/>
      <c r="GZK3" s="55"/>
      <c r="GZL3" s="55"/>
      <c r="GZM3" s="55"/>
      <c r="GZN3" s="55"/>
      <c r="GZO3" s="55"/>
      <c r="GZP3" s="55"/>
      <c r="GZQ3" s="55"/>
      <c r="GZR3" s="55"/>
      <c r="GZS3" s="55"/>
      <c r="GZT3" s="55"/>
      <c r="GZU3" s="55"/>
      <c r="GZV3" s="55"/>
      <c r="GZW3" s="55"/>
      <c r="GZX3" s="55"/>
      <c r="GZY3" s="55"/>
      <c r="GZZ3" s="55"/>
      <c r="HAA3" s="55"/>
      <c r="HAB3" s="55"/>
      <c r="HAC3" s="55"/>
      <c r="HAD3" s="55"/>
      <c r="HAE3" s="55"/>
      <c r="HAF3" s="55"/>
      <c r="HAG3" s="55"/>
      <c r="HAH3" s="55"/>
      <c r="HAI3" s="55"/>
      <c r="HAJ3" s="55"/>
      <c r="HAK3" s="55"/>
      <c r="HAL3" s="55"/>
      <c r="HAM3" s="55"/>
      <c r="HAN3" s="55"/>
      <c r="HAO3" s="55"/>
      <c r="HAP3" s="55"/>
      <c r="HAQ3" s="55"/>
      <c r="HAR3" s="55"/>
      <c r="HAS3" s="55"/>
      <c r="HAT3" s="55"/>
      <c r="HAU3" s="55"/>
      <c r="HAV3" s="55"/>
      <c r="HAW3" s="55"/>
      <c r="HAX3" s="55"/>
      <c r="HAY3" s="55"/>
      <c r="HAZ3" s="55"/>
      <c r="HBA3" s="55"/>
      <c r="HBB3" s="55"/>
      <c r="HBC3" s="55"/>
      <c r="HBD3" s="55"/>
      <c r="HBE3" s="55"/>
      <c r="HBF3" s="55"/>
      <c r="HBG3" s="55"/>
      <c r="HBH3" s="55"/>
      <c r="HBI3" s="55"/>
      <c r="HBJ3" s="55"/>
      <c r="HBK3" s="55"/>
      <c r="HBL3" s="55"/>
      <c r="HBM3" s="55"/>
      <c r="HBN3" s="55"/>
      <c r="HBO3" s="55"/>
      <c r="HBP3" s="55"/>
      <c r="HBQ3" s="55"/>
      <c r="HBR3" s="55"/>
      <c r="HBS3" s="55"/>
      <c r="HBT3" s="55"/>
      <c r="HBU3" s="55"/>
      <c r="HBV3" s="55"/>
      <c r="HBW3" s="55"/>
      <c r="HBX3" s="55"/>
      <c r="HBY3" s="55"/>
      <c r="HBZ3" s="55"/>
      <c r="HCA3" s="55"/>
      <c r="HCB3" s="55"/>
      <c r="HCC3" s="55"/>
      <c r="HCD3" s="55"/>
      <c r="HCE3" s="55"/>
      <c r="HCF3" s="55"/>
      <c r="HCG3" s="55"/>
      <c r="HCH3" s="55"/>
      <c r="HCI3" s="55"/>
      <c r="HCJ3" s="55"/>
      <c r="HCK3" s="55"/>
      <c r="HCL3" s="55"/>
      <c r="HCM3" s="55"/>
      <c r="HCN3" s="55"/>
      <c r="HCO3" s="55"/>
      <c r="HCP3" s="55"/>
      <c r="HCQ3" s="55"/>
      <c r="HCR3" s="55"/>
      <c r="HCS3" s="55"/>
      <c r="HCT3" s="55"/>
      <c r="HCU3" s="55"/>
      <c r="HCV3" s="55"/>
      <c r="HCW3" s="55"/>
      <c r="HCX3" s="55"/>
      <c r="HCY3" s="55"/>
      <c r="HCZ3" s="55"/>
      <c r="HDA3" s="55"/>
      <c r="HDB3" s="55"/>
      <c r="HDC3" s="55"/>
      <c r="HDD3" s="55"/>
      <c r="HDE3" s="55"/>
      <c r="HDF3" s="55"/>
      <c r="HDG3" s="55"/>
      <c r="HDH3" s="55"/>
      <c r="HDI3" s="55"/>
      <c r="HDJ3" s="55"/>
      <c r="HDK3" s="55"/>
      <c r="HDL3" s="55"/>
      <c r="HDM3" s="55"/>
      <c r="HDN3" s="55"/>
      <c r="HDO3" s="55"/>
      <c r="HDP3" s="55"/>
      <c r="HDQ3" s="55"/>
      <c r="HDR3" s="55"/>
      <c r="HDS3" s="55"/>
      <c r="HDT3" s="55"/>
      <c r="HDU3" s="55"/>
      <c r="HDV3" s="55"/>
      <c r="HDW3" s="55"/>
      <c r="HDX3" s="55"/>
      <c r="HDY3" s="55"/>
      <c r="HDZ3" s="55"/>
      <c r="HEA3" s="55"/>
      <c r="HEB3" s="55"/>
      <c r="HEC3" s="55"/>
      <c r="HED3" s="55"/>
      <c r="HEE3" s="55"/>
      <c r="HEF3" s="55"/>
      <c r="HEG3" s="55"/>
      <c r="HEH3" s="55"/>
      <c r="HEI3" s="55"/>
      <c r="HEJ3" s="55"/>
      <c r="HEK3" s="55"/>
      <c r="HEL3" s="55"/>
      <c r="HEM3" s="55"/>
      <c r="HEN3" s="55"/>
      <c r="HEO3" s="55"/>
      <c r="HEP3" s="55"/>
      <c r="HEQ3" s="55"/>
      <c r="HER3" s="55"/>
      <c r="HES3" s="55"/>
      <c r="HET3" s="55"/>
      <c r="HEU3" s="55"/>
      <c r="HEV3" s="55"/>
      <c r="HEW3" s="55"/>
      <c r="HEX3" s="55"/>
      <c r="HEY3" s="55"/>
      <c r="HEZ3" s="55"/>
      <c r="HFA3" s="55"/>
      <c r="HFB3" s="55"/>
      <c r="HFC3" s="55"/>
      <c r="HFD3" s="55"/>
      <c r="HFE3" s="55"/>
      <c r="HFF3" s="55"/>
      <c r="HFG3" s="55"/>
      <c r="HFH3" s="55"/>
      <c r="HFI3" s="55"/>
      <c r="HFJ3" s="55"/>
      <c r="HFK3" s="55"/>
      <c r="HFL3" s="55"/>
      <c r="HFM3" s="55"/>
      <c r="HFN3" s="55"/>
      <c r="HFO3" s="55"/>
      <c r="HFP3" s="55"/>
      <c r="HFQ3" s="55"/>
      <c r="HFR3" s="55"/>
      <c r="HFS3" s="55"/>
      <c r="HFT3" s="55"/>
      <c r="HFU3" s="55"/>
      <c r="HFV3" s="55"/>
      <c r="HFW3" s="55"/>
      <c r="HFX3" s="55"/>
      <c r="HFY3" s="55"/>
      <c r="HFZ3" s="55"/>
      <c r="HGA3" s="55"/>
      <c r="HGB3" s="55"/>
      <c r="HGC3" s="55"/>
      <c r="HGD3" s="55"/>
      <c r="HGE3" s="55"/>
      <c r="HGF3" s="55"/>
      <c r="HGG3" s="55"/>
      <c r="HGH3" s="55"/>
      <c r="HGI3" s="55"/>
      <c r="HGJ3" s="55"/>
      <c r="HGK3" s="55"/>
      <c r="HGL3" s="55"/>
      <c r="HGM3" s="55"/>
      <c r="HGN3" s="55"/>
      <c r="HGO3" s="55"/>
      <c r="HGP3" s="55"/>
      <c r="HGQ3" s="55"/>
      <c r="HGR3" s="55"/>
      <c r="HGS3" s="55"/>
      <c r="HGT3" s="55"/>
      <c r="HGU3" s="55"/>
      <c r="HGV3" s="55"/>
      <c r="HGW3" s="55"/>
      <c r="HGX3" s="55"/>
      <c r="HGY3" s="55"/>
      <c r="HGZ3" s="55"/>
      <c r="HHA3" s="55"/>
      <c r="HHB3" s="55"/>
      <c r="HHC3" s="55"/>
      <c r="HHD3" s="55"/>
      <c r="HHE3" s="55"/>
      <c r="HHF3" s="55"/>
      <c r="HHG3" s="55"/>
      <c r="HHH3" s="55"/>
      <c r="HHI3" s="55"/>
      <c r="HHJ3" s="55"/>
      <c r="HHK3" s="55"/>
      <c r="HHL3" s="55"/>
      <c r="HHM3" s="55"/>
      <c r="HHN3" s="55"/>
      <c r="HHO3" s="55"/>
      <c r="HHP3" s="55"/>
      <c r="HHQ3" s="55"/>
      <c r="HHR3" s="55"/>
      <c r="HHS3" s="55"/>
      <c r="HHT3" s="55"/>
      <c r="HHU3" s="55"/>
      <c r="HHV3" s="55"/>
      <c r="HHW3" s="55"/>
      <c r="HHX3" s="55"/>
      <c r="HHY3" s="55"/>
      <c r="HHZ3" s="55"/>
      <c r="HIA3" s="55"/>
      <c r="HIB3" s="55"/>
      <c r="HIC3" s="55"/>
      <c r="HID3" s="55"/>
      <c r="HIE3" s="55"/>
      <c r="HIF3" s="55"/>
      <c r="HIG3" s="55"/>
      <c r="HIH3" s="55"/>
      <c r="HII3" s="55"/>
      <c r="HIJ3" s="55"/>
      <c r="HIK3" s="55"/>
      <c r="HIL3" s="55"/>
      <c r="HIM3" s="55"/>
      <c r="HIN3" s="55"/>
      <c r="HIO3" s="55"/>
      <c r="HIP3" s="55"/>
      <c r="HIQ3" s="55"/>
      <c r="HIR3" s="55"/>
      <c r="HIS3" s="55"/>
      <c r="HIT3" s="55"/>
      <c r="HIU3" s="55"/>
      <c r="HIV3" s="55"/>
      <c r="HIW3" s="55"/>
      <c r="HIX3" s="55"/>
      <c r="HIY3" s="55"/>
      <c r="HIZ3" s="55"/>
      <c r="HJA3" s="55"/>
      <c r="HJB3" s="55"/>
      <c r="HJC3" s="55"/>
      <c r="HJD3" s="55"/>
      <c r="HJE3" s="55"/>
      <c r="HJF3" s="55"/>
      <c r="HJG3" s="55"/>
      <c r="HJH3" s="55"/>
      <c r="HJI3" s="55"/>
      <c r="HJJ3" s="55"/>
      <c r="HJK3" s="55"/>
      <c r="HJL3" s="55"/>
      <c r="HJM3" s="55"/>
      <c r="HJN3" s="55"/>
      <c r="HJO3" s="55"/>
      <c r="HJP3" s="55"/>
      <c r="HJQ3" s="55"/>
      <c r="HJR3" s="55"/>
      <c r="HJS3" s="55"/>
      <c r="HJT3" s="55"/>
      <c r="HJU3" s="55"/>
      <c r="HJV3" s="55"/>
      <c r="HJW3" s="55"/>
      <c r="HJX3" s="55"/>
      <c r="HJY3" s="55"/>
      <c r="HJZ3" s="55"/>
      <c r="HKA3" s="55"/>
      <c r="HKB3" s="55"/>
      <c r="HKC3" s="55"/>
      <c r="HKD3" s="55"/>
      <c r="HKE3" s="55"/>
      <c r="HKF3" s="55"/>
      <c r="HKG3" s="55"/>
      <c r="HKH3" s="55"/>
      <c r="HKI3" s="55"/>
      <c r="HKJ3" s="55"/>
      <c r="HKK3" s="55"/>
      <c r="HKL3" s="55"/>
      <c r="HKM3" s="55"/>
      <c r="HKN3" s="55"/>
      <c r="HKO3" s="55"/>
      <c r="HKP3" s="55"/>
      <c r="HKQ3" s="55"/>
      <c r="HKR3" s="55"/>
      <c r="HKS3" s="55"/>
      <c r="HKT3" s="55"/>
      <c r="HKU3" s="55"/>
      <c r="HKV3" s="55"/>
      <c r="HKW3" s="55"/>
      <c r="HKX3" s="55"/>
      <c r="HKY3" s="55"/>
      <c r="HKZ3" s="55"/>
      <c r="HLA3" s="55"/>
      <c r="HLB3" s="55"/>
      <c r="HLC3" s="55"/>
      <c r="HLD3" s="55"/>
      <c r="HLE3" s="55"/>
      <c r="HLF3" s="55"/>
      <c r="HLG3" s="55"/>
      <c r="HLH3" s="55"/>
      <c r="HLI3" s="55"/>
      <c r="HLJ3" s="55"/>
      <c r="HLK3" s="55"/>
      <c r="HLL3" s="55"/>
      <c r="HLM3" s="55"/>
      <c r="HLN3" s="55"/>
      <c r="HLO3" s="55"/>
      <c r="HLP3" s="55"/>
      <c r="HLQ3" s="55"/>
      <c r="HLR3" s="55"/>
      <c r="HLS3" s="55"/>
      <c r="HLT3" s="55"/>
      <c r="HLU3" s="55"/>
      <c r="HLV3" s="55"/>
      <c r="HLW3" s="55"/>
      <c r="HLX3" s="55"/>
      <c r="HLY3" s="55"/>
      <c r="HLZ3" s="55"/>
      <c r="HMA3" s="55"/>
      <c r="HMB3" s="55"/>
      <c r="HMC3" s="55"/>
      <c r="HMD3" s="55"/>
      <c r="HME3" s="55"/>
      <c r="HMF3" s="55"/>
      <c r="HMG3" s="55"/>
      <c r="HMH3" s="55"/>
      <c r="HMI3" s="55"/>
      <c r="HMJ3" s="55"/>
      <c r="HMK3" s="55"/>
      <c r="HML3" s="55"/>
      <c r="HMM3" s="55"/>
      <c r="HMN3" s="55"/>
      <c r="HMO3" s="55"/>
      <c r="HMP3" s="55"/>
      <c r="HMQ3" s="55"/>
      <c r="HMR3" s="55"/>
      <c r="HMS3" s="55"/>
      <c r="HMT3" s="55"/>
      <c r="HMU3" s="55"/>
      <c r="HMV3" s="55"/>
      <c r="HMW3" s="55"/>
      <c r="HMX3" s="55"/>
      <c r="HMY3" s="55"/>
      <c r="HMZ3" s="55"/>
      <c r="HNA3" s="55"/>
      <c r="HNB3" s="55"/>
      <c r="HNC3" s="55"/>
      <c r="HND3" s="55"/>
      <c r="HNE3" s="55"/>
      <c r="HNF3" s="55"/>
      <c r="HNG3" s="55"/>
      <c r="HNH3" s="55"/>
      <c r="HNI3" s="55"/>
      <c r="HNJ3" s="55"/>
      <c r="HNK3" s="55"/>
      <c r="HNL3" s="55"/>
      <c r="HNM3" s="55"/>
      <c r="HNN3" s="55"/>
      <c r="HNO3" s="55"/>
      <c r="HNP3" s="55"/>
      <c r="HNQ3" s="55"/>
      <c r="HNR3" s="55"/>
      <c r="HNS3" s="55"/>
      <c r="HNT3" s="55"/>
      <c r="HNU3" s="55"/>
      <c r="HNV3" s="55"/>
      <c r="HNW3" s="55"/>
      <c r="HNX3" s="55"/>
      <c r="HNY3" s="55"/>
      <c r="HNZ3" s="55"/>
      <c r="HOA3" s="55"/>
      <c r="HOB3" s="55"/>
      <c r="HOC3" s="55"/>
      <c r="HOD3" s="55"/>
      <c r="HOE3" s="55"/>
      <c r="HOF3" s="55"/>
      <c r="HOG3" s="55"/>
      <c r="HOH3" s="55"/>
      <c r="HOI3" s="55"/>
      <c r="HOJ3" s="55"/>
      <c r="HOK3" s="55"/>
      <c r="HOL3" s="55"/>
      <c r="HOM3" s="55"/>
      <c r="HON3" s="55"/>
      <c r="HOO3" s="55"/>
      <c r="HOP3" s="55"/>
      <c r="HOQ3" s="55"/>
      <c r="HOR3" s="55"/>
      <c r="HOS3" s="55"/>
      <c r="HOT3" s="55"/>
      <c r="HOU3" s="55"/>
      <c r="HOV3" s="55"/>
      <c r="HOW3" s="55"/>
      <c r="HOX3" s="55"/>
      <c r="HOY3" s="55"/>
      <c r="HOZ3" s="55"/>
      <c r="HPA3" s="55"/>
      <c r="HPB3" s="55"/>
      <c r="HPC3" s="55"/>
      <c r="HPD3" s="55"/>
      <c r="HPE3" s="55"/>
      <c r="HPF3" s="55"/>
      <c r="HPG3" s="55"/>
      <c r="HPH3" s="55"/>
      <c r="HPI3" s="55"/>
      <c r="HPJ3" s="55"/>
      <c r="HPK3" s="55"/>
      <c r="HPL3" s="55"/>
      <c r="HPM3" s="55"/>
      <c r="HPN3" s="55"/>
      <c r="HPO3" s="55"/>
      <c r="HPP3" s="55"/>
      <c r="HPQ3" s="55"/>
      <c r="HPR3" s="55"/>
      <c r="HPS3" s="55"/>
      <c r="HPT3" s="55"/>
      <c r="HPU3" s="55"/>
      <c r="HPV3" s="55"/>
      <c r="HPW3" s="55"/>
      <c r="HPX3" s="55"/>
      <c r="HPY3" s="55"/>
      <c r="HPZ3" s="55"/>
      <c r="HQA3" s="55"/>
      <c r="HQB3" s="55"/>
      <c r="HQC3" s="55"/>
      <c r="HQD3" s="55"/>
      <c r="HQE3" s="55"/>
      <c r="HQF3" s="55"/>
      <c r="HQG3" s="55"/>
      <c r="HQH3" s="55"/>
      <c r="HQI3" s="55"/>
      <c r="HQJ3" s="55"/>
      <c r="HQK3" s="55"/>
      <c r="HQL3" s="55"/>
      <c r="HQM3" s="55"/>
      <c r="HQN3" s="55"/>
      <c r="HQO3" s="55"/>
      <c r="HQP3" s="55"/>
      <c r="HQQ3" s="55"/>
      <c r="HQR3" s="55"/>
      <c r="HQS3" s="55"/>
      <c r="HQT3" s="55"/>
      <c r="HQU3" s="55"/>
      <c r="HQV3" s="55"/>
      <c r="HQW3" s="55"/>
      <c r="HQX3" s="55"/>
      <c r="HQY3" s="55"/>
      <c r="HQZ3" s="55"/>
      <c r="HRA3" s="55"/>
      <c r="HRB3" s="55"/>
      <c r="HRC3" s="55"/>
      <c r="HRD3" s="55"/>
      <c r="HRE3" s="55"/>
      <c r="HRF3" s="55"/>
      <c r="HRG3" s="55"/>
      <c r="HRH3" s="55"/>
      <c r="HRI3" s="55"/>
      <c r="HRJ3" s="55"/>
      <c r="HRK3" s="55"/>
      <c r="HRL3" s="55"/>
      <c r="HRM3" s="55"/>
      <c r="HRN3" s="55"/>
      <c r="HRO3" s="55"/>
      <c r="HRP3" s="55"/>
      <c r="HRQ3" s="55"/>
      <c r="HRR3" s="55"/>
      <c r="HRS3" s="55"/>
      <c r="HRT3" s="55"/>
      <c r="HRU3" s="55"/>
      <c r="HRV3" s="55"/>
      <c r="HRW3" s="55"/>
      <c r="HRX3" s="55"/>
      <c r="HRY3" s="55"/>
      <c r="HRZ3" s="55"/>
      <c r="HSA3" s="55"/>
      <c r="HSB3" s="55"/>
      <c r="HSC3" s="55"/>
      <c r="HSD3" s="55"/>
      <c r="HSE3" s="55"/>
      <c r="HSF3" s="55"/>
      <c r="HSG3" s="55"/>
      <c r="HSH3" s="55"/>
      <c r="HSI3" s="55"/>
      <c r="HSJ3" s="55"/>
      <c r="HSK3" s="55"/>
      <c r="HSL3" s="55"/>
      <c r="HSM3" s="55"/>
      <c r="HSN3" s="55"/>
      <c r="HSO3" s="55"/>
      <c r="HSP3" s="55"/>
      <c r="HSQ3" s="55"/>
      <c r="HSR3" s="55"/>
      <c r="HSS3" s="55"/>
      <c r="HST3" s="55"/>
      <c r="HSU3" s="55"/>
      <c r="HSV3" s="55"/>
      <c r="HSW3" s="55"/>
      <c r="HSX3" s="55"/>
      <c r="HSY3" s="55"/>
      <c r="HSZ3" s="55"/>
      <c r="HTA3" s="55"/>
      <c r="HTB3" s="55"/>
      <c r="HTC3" s="55"/>
      <c r="HTD3" s="55"/>
      <c r="HTE3" s="55"/>
      <c r="HTF3" s="55"/>
      <c r="HTG3" s="55"/>
      <c r="HTH3" s="55"/>
      <c r="HTI3" s="55"/>
      <c r="HTJ3" s="55"/>
      <c r="HTK3" s="55"/>
      <c r="HTL3" s="55"/>
      <c r="HTM3" s="55"/>
      <c r="HTN3" s="55"/>
      <c r="HTO3" s="55"/>
      <c r="HTP3" s="55"/>
      <c r="HTQ3" s="55"/>
      <c r="HTR3" s="55"/>
      <c r="HTS3" s="55"/>
      <c r="HTT3" s="55"/>
      <c r="HTU3" s="55"/>
      <c r="HTV3" s="55"/>
      <c r="HTW3" s="55"/>
      <c r="HTX3" s="55"/>
      <c r="HTY3" s="55"/>
      <c r="HTZ3" s="55"/>
      <c r="HUA3" s="55"/>
      <c r="HUB3" s="55"/>
      <c r="HUC3" s="55"/>
      <c r="HUD3" s="55"/>
      <c r="HUE3" s="55"/>
      <c r="HUF3" s="55"/>
      <c r="HUG3" s="55"/>
      <c r="HUH3" s="55"/>
      <c r="HUI3" s="55"/>
      <c r="HUJ3" s="55"/>
      <c r="HUK3" s="55"/>
      <c r="HUL3" s="55"/>
      <c r="HUM3" s="55"/>
      <c r="HUN3" s="55"/>
      <c r="HUO3" s="55"/>
      <c r="HUP3" s="55"/>
      <c r="HUQ3" s="55"/>
      <c r="HUR3" s="55"/>
      <c r="HUS3" s="55"/>
      <c r="HUT3" s="55"/>
      <c r="HUU3" s="55"/>
      <c r="HUV3" s="55"/>
      <c r="HUW3" s="55"/>
      <c r="HUX3" s="55"/>
      <c r="HUY3" s="55"/>
      <c r="HUZ3" s="55"/>
      <c r="HVA3" s="55"/>
      <c r="HVB3" s="55"/>
      <c r="HVC3" s="55"/>
      <c r="HVD3" s="55"/>
      <c r="HVE3" s="55"/>
      <c r="HVF3" s="55"/>
      <c r="HVG3" s="55"/>
      <c r="HVH3" s="55"/>
      <c r="HVI3" s="55"/>
      <c r="HVJ3" s="55"/>
      <c r="HVK3" s="55"/>
      <c r="HVL3" s="55"/>
      <c r="HVM3" s="55"/>
      <c r="HVN3" s="55"/>
      <c r="HVO3" s="55"/>
      <c r="HVP3" s="55"/>
      <c r="HVQ3" s="55"/>
      <c r="HVR3" s="55"/>
      <c r="HVS3" s="55"/>
      <c r="HVT3" s="55"/>
      <c r="HVU3" s="55"/>
      <c r="HVV3" s="55"/>
      <c r="HVW3" s="55"/>
      <c r="HVX3" s="55"/>
      <c r="HVY3" s="55"/>
      <c r="HVZ3" s="55"/>
      <c r="HWA3" s="55"/>
      <c r="HWB3" s="55"/>
      <c r="HWC3" s="55"/>
      <c r="HWD3" s="55"/>
      <c r="HWE3" s="55"/>
      <c r="HWF3" s="55"/>
      <c r="HWG3" s="55"/>
      <c r="HWH3" s="55"/>
      <c r="HWI3" s="55"/>
      <c r="HWJ3" s="55"/>
      <c r="HWK3" s="55"/>
      <c r="HWL3" s="55"/>
      <c r="HWM3" s="55"/>
      <c r="HWN3" s="55"/>
      <c r="HWO3" s="55"/>
      <c r="HWP3" s="55"/>
      <c r="HWQ3" s="55"/>
      <c r="HWR3" s="55"/>
      <c r="HWS3" s="55"/>
      <c r="HWT3" s="55"/>
      <c r="HWU3" s="55"/>
      <c r="HWV3" s="55"/>
      <c r="HWW3" s="55"/>
      <c r="HWX3" s="55"/>
      <c r="HWY3" s="55"/>
      <c r="HWZ3" s="55"/>
      <c r="HXA3" s="55"/>
      <c r="HXB3" s="55"/>
      <c r="HXC3" s="55"/>
      <c r="HXD3" s="55"/>
      <c r="HXE3" s="55"/>
      <c r="HXF3" s="55"/>
      <c r="HXG3" s="55"/>
      <c r="HXH3" s="55"/>
      <c r="HXI3" s="55"/>
      <c r="HXJ3" s="55"/>
      <c r="HXK3" s="55"/>
      <c r="HXL3" s="55"/>
      <c r="HXM3" s="55"/>
      <c r="HXN3" s="55"/>
      <c r="HXO3" s="55"/>
      <c r="HXP3" s="55"/>
      <c r="HXQ3" s="55"/>
      <c r="HXR3" s="55"/>
      <c r="HXS3" s="55"/>
      <c r="HXT3" s="55"/>
      <c r="HXU3" s="55"/>
      <c r="HXV3" s="55"/>
      <c r="HXW3" s="55"/>
      <c r="HXX3" s="55"/>
      <c r="HXY3" s="55"/>
      <c r="HXZ3" s="55"/>
      <c r="HYA3" s="55"/>
      <c r="HYB3" s="55"/>
      <c r="HYC3" s="55"/>
      <c r="HYD3" s="55"/>
      <c r="HYE3" s="55"/>
      <c r="HYF3" s="55"/>
      <c r="HYG3" s="55"/>
      <c r="HYH3" s="55"/>
      <c r="HYI3" s="55"/>
      <c r="HYJ3" s="55"/>
      <c r="HYK3" s="55"/>
      <c r="HYL3" s="55"/>
      <c r="HYM3" s="55"/>
      <c r="HYN3" s="55"/>
      <c r="HYO3" s="55"/>
      <c r="HYP3" s="55"/>
      <c r="HYQ3" s="55"/>
      <c r="HYR3" s="55"/>
      <c r="HYS3" s="55"/>
      <c r="HYT3" s="55"/>
      <c r="HYU3" s="55"/>
      <c r="HYV3" s="55"/>
      <c r="HYW3" s="55"/>
      <c r="HYX3" s="55"/>
      <c r="HYY3" s="55"/>
      <c r="HYZ3" s="55"/>
      <c r="HZA3" s="55"/>
      <c r="HZB3" s="55"/>
      <c r="HZC3" s="55"/>
      <c r="HZD3" s="55"/>
      <c r="HZE3" s="55"/>
      <c r="HZF3" s="55"/>
      <c r="HZG3" s="55"/>
      <c r="HZH3" s="55"/>
      <c r="HZI3" s="55"/>
      <c r="HZJ3" s="55"/>
      <c r="HZK3" s="55"/>
      <c r="HZL3" s="55"/>
      <c r="HZM3" s="55"/>
      <c r="HZN3" s="55"/>
      <c r="HZO3" s="55"/>
      <c r="HZP3" s="55"/>
      <c r="HZQ3" s="55"/>
      <c r="HZR3" s="55"/>
      <c r="HZS3" s="55"/>
      <c r="HZT3" s="55"/>
      <c r="HZU3" s="55"/>
      <c r="HZV3" s="55"/>
      <c r="HZW3" s="55"/>
      <c r="HZX3" s="55"/>
      <c r="HZY3" s="55"/>
      <c r="HZZ3" s="55"/>
      <c r="IAA3" s="55"/>
      <c r="IAB3" s="55"/>
      <c r="IAC3" s="55"/>
      <c r="IAD3" s="55"/>
      <c r="IAE3" s="55"/>
      <c r="IAF3" s="55"/>
      <c r="IAG3" s="55"/>
      <c r="IAH3" s="55"/>
      <c r="IAI3" s="55"/>
      <c r="IAJ3" s="55"/>
      <c r="IAK3" s="55"/>
      <c r="IAL3" s="55"/>
      <c r="IAM3" s="55"/>
      <c r="IAN3" s="55"/>
      <c r="IAO3" s="55"/>
      <c r="IAP3" s="55"/>
      <c r="IAQ3" s="55"/>
      <c r="IAR3" s="55"/>
      <c r="IAS3" s="55"/>
      <c r="IAT3" s="55"/>
      <c r="IAU3" s="55"/>
      <c r="IAV3" s="55"/>
      <c r="IAW3" s="55"/>
      <c r="IAX3" s="55"/>
      <c r="IAY3" s="55"/>
      <c r="IAZ3" s="55"/>
      <c r="IBA3" s="55"/>
      <c r="IBB3" s="55"/>
      <c r="IBC3" s="55"/>
      <c r="IBD3" s="55"/>
      <c r="IBE3" s="55"/>
      <c r="IBF3" s="55"/>
      <c r="IBG3" s="55"/>
      <c r="IBH3" s="55"/>
      <c r="IBI3" s="55"/>
      <c r="IBJ3" s="55"/>
      <c r="IBK3" s="55"/>
      <c r="IBL3" s="55"/>
      <c r="IBM3" s="55"/>
      <c r="IBN3" s="55"/>
      <c r="IBO3" s="55"/>
      <c r="IBP3" s="55"/>
      <c r="IBQ3" s="55"/>
      <c r="IBR3" s="55"/>
      <c r="IBS3" s="55"/>
      <c r="IBT3" s="55"/>
      <c r="IBU3" s="55"/>
      <c r="IBV3" s="55"/>
      <c r="IBW3" s="55"/>
      <c r="IBX3" s="55"/>
      <c r="IBY3" s="55"/>
      <c r="IBZ3" s="55"/>
      <c r="ICA3" s="55"/>
      <c r="ICB3" s="55"/>
      <c r="ICC3" s="55"/>
      <c r="ICD3" s="55"/>
      <c r="ICE3" s="55"/>
      <c r="ICF3" s="55"/>
      <c r="ICG3" s="55"/>
      <c r="ICH3" s="55"/>
      <c r="ICI3" s="55"/>
      <c r="ICJ3" s="55"/>
      <c r="ICK3" s="55"/>
      <c r="ICL3" s="55"/>
      <c r="ICM3" s="55"/>
      <c r="ICN3" s="55"/>
      <c r="ICO3" s="55"/>
      <c r="ICP3" s="55"/>
      <c r="ICQ3" s="55"/>
      <c r="ICR3" s="55"/>
      <c r="ICS3" s="55"/>
      <c r="ICT3" s="55"/>
      <c r="ICU3" s="55"/>
      <c r="ICV3" s="55"/>
      <c r="ICW3" s="55"/>
      <c r="ICX3" s="55"/>
      <c r="ICY3" s="55"/>
      <c r="ICZ3" s="55"/>
      <c r="IDA3" s="55"/>
      <c r="IDB3" s="55"/>
      <c r="IDC3" s="55"/>
      <c r="IDD3" s="55"/>
      <c r="IDE3" s="55"/>
      <c r="IDF3" s="55"/>
      <c r="IDG3" s="55"/>
      <c r="IDH3" s="55"/>
      <c r="IDI3" s="55"/>
      <c r="IDJ3" s="55"/>
      <c r="IDK3" s="55"/>
      <c r="IDL3" s="55"/>
      <c r="IDM3" s="55"/>
      <c r="IDN3" s="55"/>
      <c r="IDO3" s="55"/>
      <c r="IDP3" s="55"/>
      <c r="IDQ3" s="55"/>
      <c r="IDR3" s="55"/>
      <c r="IDS3" s="55"/>
      <c r="IDT3" s="55"/>
      <c r="IDU3" s="55"/>
      <c r="IDV3" s="55"/>
      <c r="IDW3" s="55"/>
      <c r="IDX3" s="55"/>
      <c r="IDY3" s="55"/>
      <c r="IDZ3" s="55"/>
      <c r="IEA3" s="55"/>
      <c r="IEB3" s="55"/>
      <c r="IEC3" s="55"/>
      <c r="IED3" s="55"/>
      <c r="IEE3" s="55"/>
      <c r="IEF3" s="55"/>
      <c r="IEG3" s="55"/>
      <c r="IEH3" s="55"/>
      <c r="IEI3" s="55"/>
      <c r="IEJ3" s="55"/>
      <c r="IEK3" s="55"/>
      <c r="IEL3" s="55"/>
      <c r="IEM3" s="55"/>
      <c r="IEN3" s="55"/>
      <c r="IEO3" s="55"/>
      <c r="IEP3" s="55"/>
      <c r="IEQ3" s="55"/>
      <c r="IER3" s="55"/>
      <c r="IES3" s="55"/>
      <c r="IET3" s="55"/>
      <c r="IEU3" s="55"/>
      <c r="IEV3" s="55"/>
      <c r="IEW3" s="55"/>
      <c r="IEX3" s="55"/>
      <c r="IEY3" s="55"/>
      <c r="IEZ3" s="55"/>
      <c r="IFA3" s="55"/>
      <c r="IFB3" s="55"/>
      <c r="IFC3" s="55"/>
      <c r="IFD3" s="55"/>
      <c r="IFE3" s="55"/>
      <c r="IFF3" s="55"/>
      <c r="IFG3" s="55"/>
      <c r="IFH3" s="55"/>
      <c r="IFI3" s="55"/>
      <c r="IFJ3" s="55"/>
      <c r="IFK3" s="55"/>
      <c r="IFL3" s="55"/>
      <c r="IFM3" s="55"/>
      <c r="IFN3" s="55"/>
      <c r="IFO3" s="55"/>
      <c r="IFP3" s="55"/>
      <c r="IFQ3" s="55"/>
      <c r="IFR3" s="55"/>
      <c r="IFS3" s="55"/>
      <c r="IFT3" s="55"/>
      <c r="IFU3" s="55"/>
      <c r="IFV3" s="55"/>
      <c r="IFW3" s="55"/>
      <c r="IFX3" s="55"/>
      <c r="IFY3" s="55"/>
      <c r="IFZ3" s="55"/>
      <c r="IGA3" s="55"/>
      <c r="IGB3" s="55"/>
      <c r="IGC3" s="55"/>
      <c r="IGD3" s="55"/>
      <c r="IGE3" s="55"/>
      <c r="IGF3" s="55"/>
      <c r="IGG3" s="55"/>
      <c r="IGH3" s="55"/>
      <c r="IGI3" s="55"/>
      <c r="IGJ3" s="55"/>
      <c r="IGK3" s="55"/>
      <c r="IGL3" s="55"/>
      <c r="IGM3" s="55"/>
      <c r="IGN3" s="55"/>
      <c r="IGO3" s="55"/>
      <c r="IGP3" s="55"/>
      <c r="IGQ3" s="55"/>
      <c r="IGR3" s="55"/>
      <c r="IGS3" s="55"/>
      <c r="IGT3" s="55"/>
      <c r="IGU3" s="55"/>
      <c r="IGV3" s="55"/>
      <c r="IGW3" s="55"/>
      <c r="IGX3" s="55"/>
      <c r="IGY3" s="55"/>
      <c r="IGZ3" s="55"/>
      <c r="IHA3" s="55"/>
      <c r="IHB3" s="55"/>
      <c r="IHC3" s="55"/>
      <c r="IHD3" s="55"/>
      <c r="IHE3" s="55"/>
      <c r="IHF3" s="55"/>
      <c r="IHG3" s="55"/>
      <c r="IHH3" s="55"/>
      <c r="IHI3" s="55"/>
      <c r="IHJ3" s="55"/>
      <c r="IHK3" s="55"/>
      <c r="IHL3" s="55"/>
      <c r="IHM3" s="55"/>
      <c r="IHN3" s="55"/>
      <c r="IHO3" s="55"/>
      <c r="IHP3" s="55"/>
      <c r="IHQ3" s="55"/>
      <c r="IHR3" s="55"/>
      <c r="IHS3" s="55"/>
      <c r="IHT3" s="55"/>
      <c r="IHU3" s="55"/>
      <c r="IHV3" s="55"/>
      <c r="IHW3" s="55"/>
      <c r="IHX3" s="55"/>
      <c r="IHY3" s="55"/>
      <c r="IHZ3" s="55"/>
      <c r="IIA3" s="55"/>
      <c r="IIB3" s="55"/>
      <c r="IIC3" s="55"/>
      <c r="IID3" s="55"/>
      <c r="IIE3" s="55"/>
      <c r="IIF3" s="55"/>
      <c r="IIG3" s="55"/>
      <c r="IIH3" s="55"/>
      <c r="III3" s="55"/>
      <c r="IIJ3" s="55"/>
      <c r="IIK3" s="55"/>
      <c r="IIL3" s="55"/>
      <c r="IIM3" s="55"/>
      <c r="IIN3" s="55"/>
      <c r="IIO3" s="55"/>
      <c r="IIP3" s="55"/>
      <c r="IIQ3" s="55"/>
      <c r="IIR3" s="55"/>
      <c r="IIS3" s="55"/>
      <c r="IIT3" s="55"/>
      <c r="IIU3" s="55"/>
      <c r="IIV3" s="55"/>
      <c r="IIW3" s="55"/>
      <c r="IIX3" s="55"/>
      <c r="IIY3" s="55"/>
      <c r="IIZ3" s="55"/>
      <c r="IJA3" s="55"/>
      <c r="IJB3" s="55"/>
      <c r="IJC3" s="55"/>
      <c r="IJD3" s="55"/>
      <c r="IJE3" s="55"/>
      <c r="IJF3" s="55"/>
      <c r="IJG3" s="55"/>
      <c r="IJH3" s="55"/>
      <c r="IJI3" s="55"/>
      <c r="IJJ3" s="55"/>
      <c r="IJK3" s="55"/>
      <c r="IJL3" s="55"/>
      <c r="IJM3" s="55"/>
      <c r="IJN3" s="55"/>
      <c r="IJO3" s="55"/>
      <c r="IJP3" s="55"/>
      <c r="IJQ3" s="55"/>
      <c r="IJR3" s="55"/>
      <c r="IJS3" s="55"/>
      <c r="IJT3" s="55"/>
      <c r="IJU3" s="55"/>
      <c r="IJV3" s="55"/>
      <c r="IJW3" s="55"/>
      <c r="IJX3" s="55"/>
      <c r="IJY3" s="55"/>
      <c r="IJZ3" s="55"/>
      <c r="IKA3" s="55"/>
      <c r="IKB3" s="55"/>
      <c r="IKC3" s="55"/>
      <c r="IKD3" s="55"/>
      <c r="IKE3" s="55"/>
      <c r="IKF3" s="55"/>
      <c r="IKG3" s="55"/>
      <c r="IKH3" s="55"/>
      <c r="IKI3" s="55"/>
      <c r="IKJ3" s="55"/>
      <c r="IKK3" s="55"/>
      <c r="IKL3" s="55"/>
      <c r="IKM3" s="55"/>
      <c r="IKN3" s="55"/>
      <c r="IKO3" s="55"/>
      <c r="IKP3" s="55"/>
      <c r="IKQ3" s="55"/>
      <c r="IKR3" s="55"/>
      <c r="IKS3" s="55"/>
      <c r="IKT3" s="55"/>
      <c r="IKU3" s="55"/>
      <c r="IKV3" s="55"/>
      <c r="IKW3" s="55"/>
      <c r="IKX3" s="55"/>
      <c r="IKY3" s="55"/>
      <c r="IKZ3" s="55"/>
      <c r="ILA3" s="55"/>
      <c r="ILB3" s="55"/>
      <c r="ILC3" s="55"/>
      <c r="ILD3" s="55"/>
      <c r="ILE3" s="55"/>
      <c r="ILF3" s="55"/>
      <c r="ILG3" s="55"/>
      <c r="ILH3" s="55"/>
      <c r="ILI3" s="55"/>
      <c r="ILJ3" s="55"/>
      <c r="ILK3" s="55"/>
      <c r="ILL3" s="55"/>
      <c r="ILM3" s="55"/>
      <c r="ILN3" s="55"/>
      <c r="ILO3" s="55"/>
      <c r="ILP3" s="55"/>
      <c r="ILQ3" s="55"/>
      <c r="ILR3" s="55"/>
      <c r="ILS3" s="55"/>
      <c r="ILT3" s="55"/>
      <c r="ILU3" s="55"/>
      <c r="ILV3" s="55"/>
      <c r="ILW3" s="55"/>
      <c r="ILX3" s="55"/>
      <c r="ILY3" s="55"/>
      <c r="ILZ3" s="55"/>
      <c r="IMA3" s="55"/>
      <c r="IMB3" s="55"/>
      <c r="IMC3" s="55"/>
      <c r="IMD3" s="55"/>
      <c r="IME3" s="55"/>
      <c r="IMF3" s="55"/>
      <c r="IMG3" s="55"/>
      <c r="IMH3" s="55"/>
      <c r="IMI3" s="55"/>
      <c r="IMJ3" s="55"/>
      <c r="IMK3" s="55"/>
      <c r="IML3" s="55"/>
      <c r="IMM3" s="55"/>
      <c r="IMN3" s="55"/>
      <c r="IMO3" s="55"/>
      <c r="IMP3" s="55"/>
      <c r="IMQ3" s="55"/>
      <c r="IMR3" s="55"/>
      <c r="IMS3" s="55"/>
      <c r="IMT3" s="55"/>
      <c r="IMU3" s="55"/>
      <c r="IMV3" s="55"/>
      <c r="IMW3" s="55"/>
      <c r="IMX3" s="55"/>
      <c r="IMY3" s="55"/>
      <c r="IMZ3" s="55"/>
      <c r="INA3" s="55"/>
      <c r="INB3" s="55"/>
      <c r="INC3" s="55"/>
      <c r="IND3" s="55"/>
      <c r="INE3" s="55"/>
      <c r="INF3" s="55"/>
      <c r="ING3" s="55"/>
      <c r="INH3" s="55"/>
      <c r="INI3" s="55"/>
      <c r="INJ3" s="55"/>
      <c r="INK3" s="55"/>
      <c r="INL3" s="55"/>
      <c r="INM3" s="55"/>
      <c r="INN3" s="55"/>
      <c r="INO3" s="55"/>
      <c r="INP3" s="55"/>
      <c r="INQ3" s="55"/>
      <c r="INR3" s="55"/>
      <c r="INS3" s="55"/>
      <c r="INT3" s="55"/>
      <c r="INU3" s="55"/>
      <c r="INV3" s="55"/>
      <c r="INW3" s="55"/>
      <c r="INX3" s="55"/>
      <c r="INY3" s="55"/>
      <c r="INZ3" s="55"/>
      <c r="IOA3" s="55"/>
      <c r="IOB3" s="55"/>
      <c r="IOC3" s="55"/>
      <c r="IOD3" s="55"/>
      <c r="IOE3" s="55"/>
      <c r="IOF3" s="55"/>
      <c r="IOG3" s="55"/>
      <c r="IOH3" s="55"/>
      <c r="IOI3" s="55"/>
      <c r="IOJ3" s="55"/>
      <c r="IOK3" s="55"/>
      <c r="IOL3" s="55"/>
      <c r="IOM3" s="55"/>
      <c r="ION3" s="55"/>
      <c r="IOO3" s="55"/>
      <c r="IOP3" s="55"/>
      <c r="IOQ3" s="55"/>
      <c r="IOR3" s="55"/>
      <c r="IOS3" s="55"/>
      <c r="IOT3" s="55"/>
      <c r="IOU3" s="55"/>
      <c r="IOV3" s="55"/>
      <c r="IOW3" s="55"/>
      <c r="IOX3" s="55"/>
      <c r="IOY3" s="55"/>
      <c r="IOZ3" s="55"/>
      <c r="IPA3" s="55"/>
      <c r="IPB3" s="55"/>
      <c r="IPC3" s="55"/>
      <c r="IPD3" s="55"/>
      <c r="IPE3" s="55"/>
      <c r="IPF3" s="55"/>
      <c r="IPG3" s="55"/>
      <c r="IPH3" s="55"/>
      <c r="IPI3" s="55"/>
      <c r="IPJ3" s="55"/>
      <c r="IPK3" s="55"/>
      <c r="IPL3" s="55"/>
      <c r="IPM3" s="55"/>
      <c r="IPN3" s="55"/>
      <c r="IPO3" s="55"/>
      <c r="IPP3" s="55"/>
      <c r="IPQ3" s="55"/>
      <c r="IPR3" s="55"/>
      <c r="IPS3" s="55"/>
      <c r="IPT3" s="55"/>
      <c r="IPU3" s="55"/>
      <c r="IPV3" s="55"/>
      <c r="IPW3" s="55"/>
      <c r="IPX3" s="55"/>
      <c r="IPY3" s="55"/>
      <c r="IPZ3" s="55"/>
      <c r="IQA3" s="55"/>
      <c r="IQB3" s="55"/>
      <c r="IQC3" s="55"/>
      <c r="IQD3" s="55"/>
      <c r="IQE3" s="55"/>
      <c r="IQF3" s="55"/>
      <c r="IQG3" s="55"/>
      <c r="IQH3" s="55"/>
      <c r="IQI3" s="55"/>
      <c r="IQJ3" s="55"/>
      <c r="IQK3" s="55"/>
      <c r="IQL3" s="55"/>
      <c r="IQM3" s="55"/>
      <c r="IQN3" s="55"/>
      <c r="IQO3" s="55"/>
      <c r="IQP3" s="55"/>
      <c r="IQQ3" s="55"/>
      <c r="IQR3" s="55"/>
      <c r="IQS3" s="55"/>
      <c r="IQT3" s="55"/>
      <c r="IQU3" s="55"/>
      <c r="IQV3" s="55"/>
      <c r="IQW3" s="55"/>
      <c r="IQX3" s="55"/>
      <c r="IQY3" s="55"/>
      <c r="IQZ3" s="55"/>
      <c r="IRA3" s="55"/>
      <c r="IRB3" s="55"/>
      <c r="IRC3" s="55"/>
      <c r="IRD3" s="55"/>
      <c r="IRE3" s="55"/>
      <c r="IRF3" s="55"/>
      <c r="IRG3" s="55"/>
      <c r="IRH3" s="55"/>
      <c r="IRI3" s="55"/>
      <c r="IRJ3" s="55"/>
      <c r="IRK3" s="55"/>
      <c r="IRL3" s="55"/>
      <c r="IRM3" s="55"/>
      <c r="IRN3" s="55"/>
      <c r="IRO3" s="55"/>
      <c r="IRP3" s="55"/>
      <c r="IRQ3" s="55"/>
      <c r="IRR3" s="55"/>
      <c r="IRS3" s="55"/>
      <c r="IRT3" s="55"/>
      <c r="IRU3" s="55"/>
      <c r="IRV3" s="55"/>
      <c r="IRW3" s="55"/>
      <c r="IRX3" s="55"/>
      <c r="IRY3" s="55"/>
      <c r="IRZ3" s="55"/>
      <c r="ISA3" s="55"/>
      <c r="ISB3" s="55"/>
      <c r="ISC3" s="55"/>
      <c r="ISD3" s="55"/>
      <c r="ISE3" s="55"/>
      <c r="ISF3" s="55"/>
      <c r="ISG3" s="55"/>
      <c r="ISH3" s="55"/>
      <c r="ISI3" s="55"/>
      <c r="ISJ3" s="55"/>
      <c r="ISK3" s="55"/>
      <c r="ISL3" s="55"/>
      <c r="ISM3" s="55"/>
      <c r="ISN3" s="55"/>
      <c r="ISO3" s="55"/>
      <c r="ISP3" s="55"/>
      <c r="ISQ3" s="55"/>
      <c r="ISR3" s="55"/>
      <c r="ISS3" s="55"/>
      <c r="IST3" s="55"/>
      <c r="ISU3" s="55"/>
      <c r="ISV3" s="55"/>
      <c r="ISW3" s="55"/>
      <c r="ISX3" s="55"/>
      <c r="ISY3" s="55"/>
      <c r="ISZ3" s="55"/>
      <c r="ITA3" s="55"/>
      <c r="ITB3" s="55"/>
      <c r="ITC3" s="55"/>
      <c r="ITD3" s="55"/>
      <c r="ITE3" s="55"/>
      <c r="ITF3" s="55"/>
      <c r="ITG3" s="55"/>
      <c r="ITH3" s="55"/>
      <c r="ITI3" s="55"/>
      <c r="ITJ3" s="55"/>
      <c r="ITK3" s="55"/>
      <c r="ITL3" s="55"/>
      <c r="ITM3" s="55"/>
      <c r="ITN3" s="55"/>
      <c r="ITO3" s="55"/>
      <c r="ITP3" s="55"/>
      <c r="ITQ3" s="55"/>
      <c r="ITR3" s="55"/>
      <c r="ITS3" s="55"/>
      <c r="ITT3" s="55"/>
      <c r="ITU3" s="55"/>
      <c r="ITV3" s="55"/>
      <c r="ITW3" s="55"/>
      <c r="ITX3" s="55"/>
      <c r="ITY3" s="55"/>
      <c r="ITZ3" s="55"/>
      <c r="IUA3" s="55"/>
      <c r="IUB3" s="55"/>
      <c r="IUC3" s="55"/>
      <c r="IUD3" s="55"/>
      <c r="IUE3" s="55"/>
      <c r="IUF3" s="55"/>
      <c r="IUG3" s="55"/>
      <c r="IUH3" s="55"/>
      <c r="IUI3" s="55"/>
      <c r="IUJ3" s="55"/>
      <c r="IUK3" s="55"/>
      <c r="IUL3" s="55"/>
      <c r="IUM3" s="55"/>
      <c r="IUN3" s="55"/>
      <c r="IUO3" s="55"/>
      <c r="IUP3" s="55"/>
      <c r="IUQ3" s="55"/>
      <c r="IUR3" s="55"/>
      <c r="IUS3" s="55"/>
      <c r="IUT3" s="55"/>
      <c r="IUU3" s="55"/>
      <c r="IUV3" s="55"/>
      <c r="IUW3" s="55"/>
      <c r="IUX3" s="55"/>
      <c r="IUY3" s="55"/>
      <c r="IUZ3" s="55"/>
      <c r="IVA3" s="55"/>
      <c r="IVB3" s="55"/>
      <c r="IVC3" s="55"/>
      <c r="IVD3" s="55"/>
      <c r="IVE3" s="55"/>
      <c r="IVF3" s="55"/>
      <c r="IVG3" s="55"/>
      <c r="IVH3" s="55"/>
      <c r="IVI3" s="55"/>
      <c r="IVJ3" s="55"/>
      <c r="IVK3" s="55"/>
      <c r="IVL3" s="55"/>
      <c r="IVM3" s="55"/>
      <c r="IVN3" s="55"/>
      <c r="IVO3" s="55"/>
      <c r="IVP3" s="55"/>
      <c r="IVQ3" s="55"/>
      <c r="IVR3" s="55"/>
      <c r="IVS3" s="55"/>
      <c r="IVT3" s="55"/>
      <c r="IVU3" s="55"/>
      <c r="IVV3" s="55"/>
      <c r="IVW3" s="55"/>
      <c r="IVX3" s="55"/>
      <c r="IVY3" s="55"/>
      <c r="IVZ3" s="55"/>
      <c r="IWA3" s="55"/>
      <c r="IWB3" s="55"/>
      <c r="IWC3" s="55"/>
      <c r="IWD3" s="55"/>
      <c r="IWE3" s="55"/>
      <c r="IWF3" s="55"/>
      <c r="IWG3" s="55"/>
      <c r="IWH3" s="55"/>
      <c r="IWI3" s="55"/>
      <c r="IWJ3" s="55"/>
      <c r="IWK3" s="55"/>
      <c r="IWL3" s="55"/>
      <c r="IWM3" s="55"/>
      <c r="IWN3" s="55"/>
      <c r="IWO3" s="55"/>
      <c r="IWP3" s="55"/>
      <c r="IWQ3" s="55"/>
      <c r="IWR3" s="55"/>
      <c r="IWS3" s="55"/>
      <c r="IWT3" s="55"/>
      <c r="IWU3" s="55"/>
      <c r="IWV3" s="55"/>
      <c r="IWW3" s="55"/>
      <c r="IWX3" s="55"/>
      <c r="IWY3" s="55"/>
      <c r="IWZ3" s="55"/>
      <c r="IXA3" s="55"/>
      <c r="IXB3" s="55"/>
      <c r="IXC3" s="55"/>
      <c r="IXD3" s="55"/>
      <c r="IXE3" s="55"/>
      <c r="IXF3" s="55"/>
      <c r="IXG3" s="55"/>
      <c r="IXH3" s="55"/>
      <c r="IXI3" s="55"/>
      <c r="IXJ3" s="55"/>
      <c r="IXK3" s="55"/>
      <c r="IXL3" s="55"/>
      <c r="IXM3" s="55"/>
      <c r="IXN3" s="55"/>
      <c r="IXO3" s="55"/>
      <c r="IXP3" s="55"/>
      <c r="IXQ3" s="55"/>
      <c r="IXR3" s="55"/>
      <c r="IXS3" s="55"/>
      <c r="IXT3" s="55"/>
      <c r="IXU3" s="55"/>
      <c r="IXV3" s="55"/>
      <c r="IXW3" s="55"/>
      <c r="IXX3" s="55"/>
      <c r="IXY3" s="55"/>
      <c r="IXZ3" s="55"/>
      <c r="IYA3" s="55"/>
      <c r="IYB3" s="55"/>
      <c r="IYC3" s="55"/>
      <c r="IYD3" s="55"/>
      <c r="IYE3" s="55"/>
      <c r="IYF3" s="55"/>
      <c r="IYG3" s="55"/>
      <c r="IYH3" s="55"/>
      <c r="IYI3" s="55"/>
      <c r="IYJ3" s="55"/>
      <c r="IYK3" s="55"/>
      <c r="IYL3" s="55"/>
      <c r="IYM3" s="55"/>
      <c r="IYN3" s="55"/>
      <c r="IYO3" s="55"/>
      <c r="IYP3" s="55"/>
      <c r="IYQ3" s="55"/>
      <c r="IYR3" s="55"/>
      <c r="IYS3" s="55"/>
      <c r="IYT3" s="55"/>
      <c r="IYU3" s="55"/>
      <c r="IYV3" s="55"/>
      <c r="IYW3" s="55"/>
      <c r="IYX3" s="55"/>
      <c r="IYY3" s="55"/>
      <c r="IYZ3" s="55"/>
      <c r="IZA3" s="55"/>
      <c r="IZB3" s="55"/>
      <c r="IZC3" s="55"/>
      <c r="IZD3" s="55"/>
      <c r="IZE3" s="55"/>
      <c r="IZF3" s="55"/>
      <c r="IZG3" s="55"/>
      <c r="IZH3" s="55"/>
      <c r="IZI3" s="55"/>
      <c r="IZJ3" s="55"/>
      <c r="IZK3" s="55"/>
      <c r="IZL3" s="55"/>
      <c r="IZM3" s="55"/>
      <c r="IZN3" s="55"/>
      <c r="IZO3" s="55"/>
      <c r="IZP3" s="55"/>
      <c r="IZQ3" s="55"/>
      <c r="IZR3" s="55"/>
      <c r="IZS3" s="55"/>
      <c r="IZT3" s="55"/>
      <c r="IZU3" s="55"/>
      <c r="IZV3" s="55"/>
      <c r="IZW3" s="55"/>
      <c r="IZX3" s="55"/>
      <c r="IZY3" s="55"/>
      <c r="IZZ3" s="55"/>
      <c r="JAA3" s="55"/>
      <c r="JAB3" s="55"/>
      <c r="JAC3" s="55"/>
      <c r="JAD3" s="55"/>
      <c r="JAE3" s="55"/>
      <c r="JAF3" s="55"/>
      <c r="JAG3" s="55"/>
      <c r="JAH3" s="55"/>
      <c r="JAI3" s="55"/>
      <c r="JAJ3" s="55"/>
      <c r="JAK3" s="55"/>
      <c r="JAL3" s="55"/>
      <c r="JAM3" s="55"/>
      <c r="JAN3" s="55"/>
      <c r="JAO3" s="55"/>
      <c r="JAP3" s="55"/>
      <c r="JAQ3" s="55"/>
      <c r="JAR3" s="55"/>
      <c r="JAS3" s="55"/>
      <c r="JAT3" s="55"/>
      <c r="JAU3" s="55"/>
      <c r="JAV3" s="55"/>
      <c r="JAW3" s="55"/>
      <c r="JAX3" s="55"/>
      <c r="JAY3" s="55"/>
      <c r="JAZ3" s="55"/>
      <c r="JBA3" s="55"/>
      <c r="JBB3" s="55"/>
      <c r="JBC3" s="55"/>
      <c r="JBD3" s="55"/>
      <c r="JBE3" s="55"/>
      <c r="JBF3" s="55"/>
      <c r="JBG3" s="55"/>
      <c r="JBH3" s="55"/>
      <c r="JBI3" s="55"/>
      <c r="JBJ3" s="55"/>
      <c r="JBK3" s="55"/>
      <c r="JBL3" s="55"/>
      <c r="JBM3" s="55"/>
      <c r="JBN3" s="55"/>
      <c r="JBO3" s="55"/>
      <c r="JBP3" s="55"/>
      <c r="JBQ3" s="55"/>
      <c r="JBR3" s="55"/>
      <c r="JBS3" s="55"/>
      <c r="JBT3" s="55"/>
      <c r="JBU3" s="55"/>
      <c r="JBV3" s="55"/>
      <c r="JBW3" s="55"/>
      <c r="JBX3" s="55"/>
      <c r="JBY3" s="55"/>
      <c r="JBZ3" s="55"/>
      <c r="JCA3" s="55"/>
      <c r="JCB3" s="55"/>
      <c r="JCC3" s="55"/>
      <c r="JCD3" s="55"/>
      <c r="JCE3" s="55"/>
      <c r="JCF3" s="55"/>
      <c r="JCG3" s="55"/>
      <c r="JCH3" s="55"/>
      <c r="JCI3" s="55"/>
      <c r="JCJ3" s="55"/>
      <c r="JCK3" s="55"/>
      <c r="JCL3" s="55"/>
      <c r="JCM3" s="55"/>
      <c r="JCN3" s="55"/>
      <c r="JCO3" s="55"/>
      <c r="JCP3" s="55"/>
      <c r="JCQ3" s="55"/>
      <c r="JCR3" s="55"/>
      <c r="JCS3" s="55"/>
      <c r="JCT3" s="55"/>
      <c r="JCU3" s="55"/>
      <c r="JCV3" s="55"/>
      <c r="JCW3" s="55"/>
      <c r="JCX3" s="55"/>
      <c r="JCY3" s="55"/>
      <c r="JCZ3" s="55"/>
      <c r="JDA3" s="55"/>
      <c r="JDB3" s="55"/>
      <c r="JDC3" s="55"/>
      <c r="JDD3" s="55"/>
      <c r="JDE3" s="55"/>
      <c r="JDF3" s="55"/>
      <c r="JDG3" s="55"/>
      <c r="JDH3" s="55"/>
      <c r="JDI3" s="55"/>
      <c r="JDJ3" s="55"/>
      <c r="JDK3" s="55"/>
      <c r="JDL3" s="55"/>
      <c r="JDM3" s="55"/>
      <c r="JDN3" s="55"/>
      <c r="JDO3" s="55"/>
      <c r="JDP3" s="55"/>
      <c r="JDQ3" s="55"/>
      <c r="JDR3" s="55"/>
      <c r="JDS3" s="55"/>
      <c r="JDT3" s="55"/>
      <c r="JDU3" s="55"/>
      <c r="JDV3" s="55"/>
      <c r="JDW3" s="55"/>
      <c r="JDX3" s="55"/>
      <c r="JDY3" s="55"/>
      <c r="JDZ3" s="55"/>
      <c r="JEA3" s="55"/>
      <c r="JEB3" s="55"/>
      <c r="JEC3" s="55"/>
      <c r="JED3" s="55"/>
      <c r="JEE3" s="55"/>
      <c r="JEF3" s="55"/>
      <c r="JEG3" s="55"/>
      <c r="JEH3" s="55"/>
      <c r="JEI3" s="55"/>
      <c r="JEJ3" s="55"/>
      <c r="JEK3" s="55"/>
      <c r="JEL3" s="55"/>
      <c r="JEM3" s="55"/>
      <c r="JEN3" s="55"/>
      <c r="JEO3" s="55"/>
      <c r="JEP3" s="55"/>
      <c r="JEQ3" s="55"/>
      <c r="JER3" s="55"/>
      <c r="JES3" s="55"/>
      <c r="JET3" s="55"/>
      <c r="JEU3" s="55"/>
      <c r="JEV3" s="55"/>
      <c r="JEW3" s="55"/>
      <c r="JEX3" s="55"/>
      <c r="JEY3" s="55"/>
      <c r="JEZ3" s="55"/>
      <c r="JFA3" s="55"/>
      <c r="JFB3" s="55"/>
      <c r="JFC3" s="55"/>
      <c r="JFD3" s="55"/>
      <c r="JFE3" s="55"/>
      <c r="JFF3" s="55"/>
      <c r="JFG3" s="55"/>
      <c r="JFH3" s="55"/>
      <c r="JFI3" s="55"/>
      <c r="JFJ3" s="55"/>
      <c r="JFK3" s="55"/>
      <c r="JFL3" s="55"/>
      <c r="JFM3" s="55"/>
      <c r="JFN3" s="55"/>
      <c r="JFO3" s="55"/>
      <c r="JFP3" s="55"/>
      <c r="JFQ3" s="55"/>
      <c r="JFR3" s="55"/>
      <c r="JFS3" s="55"/>
      <c r="JFT3" s="55"/>
      <c r="JFU3" s="55"/>
      <c r="JFV3" s="55"/>
      <c r="JFW3" s="55"/>
      <c r="JFX3" s="55"/>
      <c r="JFY3" s="55"/>
      <c r="JFZ3" s="55"/>
      <c r="JGA3" s="55"/>
      <c r="JGB3" s="55"/>
      <c r="JGC3" s="55"/>
      <c r="JGD3" s="55"/>
      <c r="JGE3" s="55"/>
      <c r="JGF3" s="55"/>
      <c r="JGG3" s="55"/>
      <c r="JGH3" s="55"/>
      <c r="JGI3" s="55"/>
      <c r="JGJ3" s="55"/>
      <c r="JGK3" s="55"/>
      <c r="JGL3" s="55"/>
      <c r="JGM3" s="55"/>
      <c r="JGN3" s="55"/>
      <c r="JGO3" s="55"/>
      <c r="JGP3" s="55"/>
      <c r="JGQ3" s="55"/>
      <c r="JGR3" s="55"/>
      <c r="JGS3" s="55"/>
      <c r="JGT3" s="55"/>
      <c r="JGU3" s="55"/>
      <c r="JGV3" s="55"/>
      <c r="JGW3" s="55"/>
      <c r="JGX3" s="55"/>
      <c r="JGY3" s="55"/>
      <c r="JGZ3" s="55"/>
      <c r="JHA3" s="55"/>
      <c r="JHB3" s="55"/>
      <c r="JHC3" s="55"/>
      <c r="JHD3" s="55"/>
      <c r="JHE3" s="55"/>
      <c r="JHF3" s="55"/>
      <c r="JHG3" s="55"/>
      <c r="JHH3" s="55"/>
      <c r="JHI3" s="55"/>
      <c r="JHJ3" s="55"/>
      <c r="JHK3" s="55"/>
      <c r="JHL3" s="55"/>
      <c r="JHM3" s="55"/>
      <c r="JHN3" s="55"/>
      <c r="JHO3" s="55"/>
      <c r="JHP3" s="55"/>
      <c r="JHQ3" s="55"/>
      <c r="JHR3" s="55"/>
      <c r="JHS3" s="55"/>
      <c r="JHT3" s="55"/>
      <c r="JHU3" s="55"/>
      <c r="JHV3" s="55"/>
      <c r="JHW3" s="55"/>
      <c r="JHX3" s="55"/>
      <c r="JHY3" s="55"/>
      <c r="JHZ3" s="55"/>
      <c r="JIA3" s="55"/>
      <c r="JIB3" s="55"/>
      <c r="JIC3" s="55"/>
      <c r="JID3" s="55"/>
      <c r="JIE3" s="55"/>
      <c r="JIF3" s="55"/>
      <c r="JIG3" s="55"/>
      <c r="JIH3" s="55"/>
      <c r="JII3" s="55"/>
      <c r="JIJ3" s="55"/>
      <c r="JIK3" s="55"/>
      <c r="JIL3" s="55"/>
      <c r="JIM3" s="55"/>
      <c r="JIN3" s="55"/>
      <c r="JIO3" s="55"/>
      <c r="JIP3" s="55"/>
      <c r="JIQ3" s="55"/>
      <c r="JIR3" s="55"/>
      <c r="JIS3" s="55"/>
      <c r="JIT3" s="55"/>
      <c r="JIU3" s="55"/>
      <c r="JIV3" s="55"/>
      <c r="JIW3" s="55"/>
      <c r="JIX3" s="55"/>
      <c r="JIY3" s="55"/>
      <c r="JIZ3" s="55"/>
      <c r="JJA3" s="55"/>
      <c r="JJB3" s="55"/>
      <c r="JJC3" s="55"/>
      <c r="JJD3" s="55"/>
      <c r="JJE3" s="55"/>
      <c r="JJF3" s="55"/>
      <c r="JJG3" s="55"/>
      <c r="JJH3" s="55"/>
      <c r="JJI3" s="55"/>
      <c r="JJJ3" s="55"/>
      <c r="JJK3" s="55"/>
      <c r="JJL3" s="55"/>
      <c r="JJM3" s="55"/>
      <c r="JJN3" s="55"/>
      <c r="JJO3" s="55"/>
      <c r="JJP3" s="55"/>
      <c r="JJQ3" s="55"/>
      <c r="JJR3" s="55"/>
      <c r="JJS3" s="55"/>
      <c r="JJT3" s="55"/>
      <c r="JJU3" s="55"/>
      <c r="JJV3" s="55"/>
      <c r="JJW3" s="55"/>
      <c r="JJX3" s="55"/>
      <c r="JJY3" s="55"/>
      <c r="JJZ3" s="55"/>
      <c r="JKA3" s="55"/>
      <c r="JKB3" s="55"/>
      <c r="JKC3" s="55"/>
      <c r="JKD3" s="55"/>
      <c r="JKE3" s="55"/>
      <c r="JKF3" s="55"/>
      <c r="JKG3" s="55"/>
      <c r="JKH3" s="55"/>
      <c r="JKI3" s="55"/>
      <c r="JKJ3" s="55"/>
      <c r="JKK3" s="55"/>
      <c r="JKL3" s="55"/>
      <c r="JKM3" s="55"/>
      <c r="JKN3" s="55"/>
      <c r="JKO3" s="55"/>
      <c r="JKP3" s="55"/>
      <c r="JKQ3" s="55"/>
      <c r="JKR3" s="55"/>
      <c r="JKS3" s="55"/>
      <c r="JKT3" s="55"/>
      <c r="JKU3" s="55"/>
      <c r="JKV3" s="55"/>
      <c r="JKW3" s="55"/>
      <c r="JKX3" s="55"/>
      <c r="JKY3" s="55"/>
      <c r="JKZ3" s="55"/>
      <c r="JLA3" s="55"/>
      <c r="JLB3" s="55"/>
      <c r="JLC3" s="55"/>
      <c r="JLD3" s="55"/>
      <c r="JLE3" s="55"/>
      <c r="JLF3" s="55"/>
      <c r="JLG3" s="55"/>
      <c r="JLH3" s="55"/>
      <c r="JLI3" s="55"/>
      <c r="JLJ3" s="55"/>
      <c r="JLK3" s="55"/>
      <c r="JLL3" s="55"/>
      <c r="JLM3" s="55"/>
      <c r="JLN3" s="55"/>
      <c r="JLO3" s="55"/>
      <c r="JLP3" s="55"/>
      <c r="JLQ3" s="55"/>
      <c r="JLR3" s="55"/>
      <c r="JLS3" s="55"/>
      <c r="JLT3" s="55"/>
      <c r="JLU3" s="55"/>
      <c r="JLV3" s="55"/>
      <c r="JLW3" s="55"/>
      <c r="JLX3" s="55"/>
      <c r="JLY3" s="55"/>
      <c r="JLZ3" s="55"/>
      <c r="JMA3" s="55"/>
      <c r="JMB3" s="55"/>
      <c r="JMC3" s="55"/>
      <c r="JMD3" s="55"/>
      <c r="JME3" s="55"/>
      <c r="JMF3" s="55"/>
      <c r="JMG3" s="55"/>
      <c r="JMH3" s="55"/>
      <c r="JMI3" s="55"/>
      <c r="JMJ3" s="55"/>
      <c r="JMK3" s="55"/>
      <c r="JML3" s="55"/>
      <c r="JMM3" s="55"/>
      <c r="JMN3" s="55"/>
      <c r="JMO3" s="55"/>
      <c r="JMP3" s="55"/>
      <c r="JMQ3" s="55"/>
      <c r="JMR3" s="55"/>
      <c r="JMS3" s="55"/>
      <c r="JMT3" s="55"/>
      <c r="JMU3" s="55"/>
      <c r="JMV3" s="55"/>
      <c r="JMW3" s="55"/>
      <c r="JMX3" s="55"/>
      <c r="JMY3" s="55"/>
      <c r="JMZ3" s="55"/>
      <c r="JNA3" s="55"/>
      <c r="JNB3" s="55"/>
      <c r="JNC3" s="55"/>
      <c r="JND3" s="55"/>
      <c r="JNE3" s="55"/>
      <c r="JNF3" s="55"/>
      <c r="JNG3" s="55"/>
      <c r="JNH3" s="55"/>
      <c r="JNI3" s="55"/>
      <c r="JNJ3" s="55"/>
      <c r="JNK3" s="55"/>
      <c r="JNL3" s="55"/>
      <c r="JNM3" s="55"/>
      <c r="JNN3" s="55"/>
      <c r="JNO3" s="55"/>
      <c r="JNP3" s="55"/>
      <c r="JNQ3" s="55"/>
      <c r="JNR3" s="55"/>
      <c r="JNS3" s="55"/>
      <c r="JNT3" s="55"/>
      <c r="JNU3" s="55"/>
      <c r="JNV3" s="55"/>
      <c r="JNW3" s="55"/>
      <c r="JNX3" s="55"/>
      <c r="JNY3" s="55"/>
      <c r="JNZ3" s="55"/>
      <c r="JOA3" s="55"/>
      <c r="JOB3" s="55"/>
      <c r="JOC3" s="55"/>
      <c r="JOD3" s="55"/>
      <c r="JOE3" s="55"/>
      <c r="JOF3" s="55"/>
      <c r="JOG3" s="55"/>
      <c r="JOH3" s="55"/>
      <c r="JOI3" s="55"/>
      <c r="JOJ3" s="55"/>
      <c r="JOK3" s="55"/>
      <c r="JOL3" s="55"/>
      <c r="JOM3" s="55"/>
      <c r="JON3" s="55"/>
      <c r="JOO3" s="55"/>
      <c r="JOP3" s="55"/>
      <c r="JOQ3" s="55"/>
      <c r="JOR3" s="55"/>
      <c r="JOS3" s="55"/>
      <c r="JOT3" s="55"/>
      <c r="JOU3" s="55"/>
      <c r="JOV3" s="55"/>
      <c r="JOW3" s="55"/>
      <c r="JOX3" s="55"/>
      <c r="JOY3" s="55"/>
      <c r="JOZ3" s="55"/>
      <c r="JPA3" s="55"/>
      <c r="JPB3" s="55"/>
      <c r="JPC3" s="55"/>
      <c r="JPD3" s="55"/>
      <c r="JPE3" s="55"/>
      <c r="JPF3" s="55"/>
      <c r="JPG3" s="55"/>
      <c r="JPH3" s="55"/>
      <c r="JPI3" s="55"/>
      <c r="JPJ3" s="55"/>
      <c r="JPK3" s="55"/>
      <c r="JPL3" s="55"/>
      <c r="JPM3" s="55"/>
      <c r="JPN3" s="55"/>
      <c r="JPO3" s="55"/>
      <c r="JPP3" s="55"/>
      <c r="JPQ3" s="55"/>
      <c r="JPR3" s="55"/>
      <c r="JPS3" s="55"/>
      <c r="JPT3" s="55"/>
      <c r="JPU3" s="55"/>
      <c r="JPV3" s="55"/>
      <c r="JPW3" s="55"/>
      <c r="JPX3" s="55"/>
      <c r="JPY3" s="55"/>
      <c r="JPZ3" s="55"/>
      <c r="JQA3" s="55"/>
      <c r="JQB3" s="55"/>
      <c r="JQC3" s="55"/>
      <c r="JQD3" s="55"/>
      <c r="JQE3" s="55"/>
      <c r="JQF3" s="55"/>
      <c r="JQG3" s="55"/>
      <c r="JQH3" s="55"/>
      <c r="JQI3" s="55"/>
      <c r="JQJ3" s="55"/>
      <c r="JQK3" s="55"/>
      <c r="JQL3" s="55"/>
      <c r="JQM3" s="55"/>
      <c r="JQN3" s="55"/>
      <c r="JQO3" s="55"/>
      <c r="JQP3" s="55"/>
      <c r="JQQ3" s="55"/>
      <c r="JQR3" s="55"/>
      <c r="JQS3" s="55"/>
      <c r="JQT3" s="55"/>
      <c r="JQU3" s="55"/>
      <c r="JQV3" s="55"/>
      <c r="JQW3" s="55"/>
      <c r="JQX3" s="55"/>
      <c r="JQY3" s="55"/>
      <c r="JQZ3" s="55"/>
      <c r="JRA3" s="55"/>
      <c r="JRB3" s="55"/>
      <c r="JRC3" s="55"/>
      <c r="JRD3" s="55"/>
      <c r="JRE3" s="55"/>
      <c r="JRF3" s="55"/>
      <c r="JRG3" s="55"/>
      <c r="JRH3" s="55"/>
      <c r="JRI3" s="55"/>
      <c r="JRJ3" s="55"/>
      <c r="JRK3" s="55"/>
      <c r="JRL3" s="55"/>
      <c r="JRM3" s="55"/>
      <c r="JRN3" s="55"/>
      <c r="JRO3" s="55"/>
      <c r="JRP3" s="55"/>
      <c r="JRQ3" s="55"/>
      <c r="JRR3" s="55"/>
      <c r="JRS3" s="55"/>
      <c r="JRT3" s="55"/>
      <c r="JRU3" s="55"/>
      <c r="JRV3" s="55"/>
      <c r="JRW3" s="55"/>
      <c r="JRX3" s="55"/>
      <c r="JRY3" s="55"/>
      <c r="JRZ3" s="55"/>
      <c r="JSA3" s="55"/>
      <c r="JSB3" s="55"/>
      <c r="JSC3" s="55"/>
      <c r="JSD3" s="55"/>
      <c r="JSE3" s="55"/>
      <c r="JSF3" s="55"/>
      <c r="JSG3" s="55"/>
      <c r="JSH3" s="55"/>
      <c r="JSI3" s="55"/>
      <c r="JSJ3" s="55"/>
      <c r="JSK3" s="55"/>
      <c r="JSL3" s="55"/>
      <c r="JSM3" s="55"/>
      <c r="JSN3" s="55"/>
      <c r="JSO3" s="55"/>
      <c r="JSP3" s="55"/>
      <c r="JSQ3" s="55"/>
      <c r="JSR3" s="55"/>
      <c r="JSS3" s="55"/>
      <c r="JST3" s="55"/>
      <c r="JSU3" s="55"/>
      <c r="JSV3" s="55"/>
      <c r="JSW3" s="55"/>
      <c r="JSX3" s="55"/>
      <c r="JSY3" s="55"/>
      <c r="JSZ3" s="55"/>
      <c r="JTA3" s="55"/>
      <c r="JTB3" s="55"/>
      <c r="JTC3" s="55"/>
      <c r="JTD3" s="55"/>
      <c r="JTE3" s="55"/>
      <c r="JTF3" s="55"/>
      <c r="JTG3" s="55"/>
      <c r="JTH3" s="55"/>
      <c r="JTI3" s="55"/>
      <c r="JTJ3" s="55"/>
      <c r="JTK3" s="55"/>
      <c r="JTL3" s="55"/>
      <c r="JTM3" s="55"/>
      <c r="JTN3" s="55"/>
      <c r="JTO3" s="55"/>
      <c r="JTP3" s="55"/>
      <c r="JTQ3" s="55"/>
      <c r="JTR3" s="55"/>
      <c r="JTS3" s="55"/>
      <c r="JTT3" s="55"/>
      <c r="JTU3" s="55"/>
      <c r="JTV3" s="55"/>
      <c r="JTW3" s="55"/>
      <c r="JTX3" s="55"/>
      <c r="JTY3" s="55"/>
      <c r="JTZ3" s="55"/>
      <c r="JUA3" s="55"/>
      <c r="JUB3" s="55"/>
      <c r="JUC3" s="55"/>
      <c r="JUD3" s="55"/>
      <c r="JUE3" s="55"/>
      <c r="JUF3" s="55"/>
      <c r="JUG3" s="55"/>
      <c r="JUH3" s="55"/>
      <c r="JUI3" s="55"/>
      <c r="JUJ3" s="55"/>
      <c r="JUK3" s="55"/>
      <c r="JUL3" s="55"/>
      <c r="JUM3" s="55"/>
      <c r="JUN3" s="55"/>
      <c r="JUO3" s="55"/>
      <c r="JUP3" s="55"/>
      <c r="JUQ3" s="55"/>
      <c r="JUR3" s="55"/>
      <c r="JUS3" s="55"/>
      <c r="JUT3" s="55"/>
      <c r="JUU3" s="55"/>
      <c r="JUV3" s="55"/>
      <c r="JUW3" s="55"/>
      <c r="JUX3" s="55"/>
      <c r="JUY3" s="55"/>
      <c r="JUZ3" s="55"/>
      <c r="JVA3" s="55"/>
      <c r="JVB3" s="55"/>
      <c r="JVC3" s="55"/>
      <c r="JVD3" s="55"/>
      <c r="JVE3" s="55"/>
      <c r="JVF3" s="55"/>
      <c r="JVG3" s="55"/>
      <c r="JVH3" s="55"/>
      <c r="JVI3" s="55"/>
      <c r="JVJ3" s="55"/>
      <c r="JVK3" s="55"/>
      <c r="JVL3" s="55"/>
      <c r="JVM3" s="55"/>
      <c r="JVN3" s="55"/>
      <c r="JVO3" s="55"/>
      <c r="JVP3" s="55"/>
      <c r="JVQ3" s="55"/>
      <c r="JVR3" s="55"/>
      <c r="JVS3" s="55"/>
      <c r="JVT3" s="55"/>
      <c r="JVU3" s="55"/>
      <c r="JVV3" s="55"/>
      <c r="JVW3" s="55"/>
      <c r="JVX3" s="55"/>
      <c r="JVY3" s="55"/>
      <c r="JVZ3" s="55"/>
      <c r="JWA3" s="55"/>
      <c r="JWB3" s="55"/>
      <c r="JWC3" s="55"/>
      <c r="JWD3" s="55"/>
      <c r="JWE3" s="55"/>
      <c r="JWF3" s="55"/>
      <c r="JWG3" s="55"/>
      <c r="JWH3" s="55"/>
      <c r="JWI3" s="55"/>
      <c r="JWJ3" s="55"/>
      <c r="JWK3" s="55"/>
      <c r="JWL3" s="55"/>
      <c r="JWM3" s="55"/>
      <c r="JWN3" s="55"/>
      <c r="JWO3" s="55"/>
      <c r="JWP3" s="55"/>
      <c r="JWQ3" s="55"/>
      <c r="JWR3" s="55"/>
      <c r="JWS3" s="55"/>
      <c r="JWT3" s="55"/>
      <c r="JWU3" s="55"/>
      <c r="JWV3" s="55"/>
      <c r="JWW3" s="55"/>
      <c r="JWX3" s="55"/>
      <c r="JWY3" s="55"/>
      <c r="JWZ3" s="55"/>
      <c r="JXA3" s="55"/>
      <c r="JXB3" s="55"/>
      <c r="JXC3" s="55"/>
      <c r="JXD3" s="55"/>
      <c r="JXE3" s="55"/>
      <c r="JXF3" s="55"/>
      <c r="JXG3" s="55"/>
      <c r="JXH3" s="55"/>
      <c r="JXI3" s="55"/>
      <c r="JXJ3" s="55"/>
      <c r="JXK3" s="55"/>
      <c r="JXL3" s="55"/>
      <c r="JXM3" s="55"/>
      <c r="JXN3" s="55"/>
      <c r="JXO3" s="55"/>
      <c r="JXP3" s="55"/>
      <c r="JXQ3" s="55"/>
      <c r="JXR3" s="55"/>
      <c r="JXS3" s="55"/>
      <c r="JXT3" s="55"/>
      <c r="JXU3" s="55"/>
      <c r="JXV3" s="55"/>
      <c r="JXW3" s="55"/>
      <c r="JXX3" s="55"/>
      <c r="JXY3" s="55"/>
      <c r="JXZ3" s="55"/>
      <c r="JYA3" s="55"/>
      <c r="JYB3" s="55"/>
      <c r="JYC3" s="55"/>
      <c r="JYD3" s="55"/>
      <c r="JYE3" s="55"/>
      <c r="JYF3" s="55"/>
      <c r="JYG3" s="55"/>
      <c r="JYH3" s="55"/>
      <c r="JYI3" s="55"/>
      <c r="JYJ3" s="55"/>
      <c r="JYK3" s="55"/>
      <c r="JYL3" s="55"/>
      <c r="JYM3" s="55"/>
      <c r="JYN3" s="55"/>
      <c r="JYO3" s="55"/>
      <c r="JYP3" s="55"/>
      <c r="JYQ3" s="55"/>
      <c r="JYR3" s="55"/>
      <c r="JYS3" s="55"/>
      <c r="JYT3" s="55"/>
      <c r="JYU3" s="55"/>
      <c r="JYV3" s="55"/>
      <c r="JYW3" s="55"/>
      <c r="JYX3" s="55"/>
      <c r="JYY3" s="55"/>
      <c r="JYZ3" s="55"/>
      <c r="JZA3" s="55"/>
      <c r="JZB3" s="55"/>
      <c r="JZC3" s="55"/>
      <c r="JZD3" s="55"/>
      <c r="JZE3" s="55"/>
      <c r="JZF3" s="55"/>
      <c r="JZG3" s="55"/>
      <c r="JZH3" s="55"/>
      <c r="JZI3" s="55"/>
      <c r="JZJ3" s="55"/>
      <c r="JZK3" s="55"/>
      <c r="JZL3" s="55"/>
      <c r="JZM3" s="55"/>
      <c r="JZN3" s="55"/>
      <c r="JZO3" s="55"/>
      <c r="JZP3" s="55"/>
      <c r="JZQ3" s="55"/>
      <c r="JZR3" s="55"/>
      <c r="JZS3" s="55"/>
      <c r="JZT3" s="55"/>
      <c r="JZU3" s="55"/>
      <c r="JZV3" s="55"/>
      <c r="JZW3" s="55"/>
      <c r="JZX3" s="55"/>
      <c r="JZY3" s="55"/>
      <c r="JZZ3" s="55"/>
      <c r="KAA3" s="55"/>
      <c r="KAB3" s="55"/>
      <c r="KAC3" s="55"/>
      <c r="KAD3" s="55"/>
      <c r="KAE3" s="55"/>
      <c r="KAF3" s="55"/>
      <c r="KAG3" s="55"/>
      <c r="KAH3" s="55"/>
      <c r="KAI3" s="55"/>
      <c r="KAJ3" s="55"/>
      <c r="KAK3" s="55"/>
      <c r="KAL3" s="55"/>
      <c r="KAM3" s="55"/>
      <c r="KAN3" s="55"/>
      <c r="KAO3" s="55"/>
      <c r="KAP3" s="55"/>
      <c r="KAQ3" s="55"/>
      <c r="KAR3" s="55"/>
      <c r="KAS3" s="55"/>
      <c r="KAT3" s="55"/>
      <c r="KAU3" s="55"/>
      <c r="KAV3" s="55"/>
      <c r="KAW3" s="55"/>
      <c r="KAX3" s="55"/>
      <c r="KAY3" s="55"/>
      <c r="KAZ3" s="55"/>
      <c r="KBA3" s="55"/>
      <c r="KBB3" s="55"/>
      <c r="KBC3" s="55"/>
      <c r="KBD3" s="55"/>
      <c r="KBE3" s="55"/>
      <c r="KBF3" s="55"/>
      <c r="KBG3" s="55"/>
      <c r="KBH3" s="55"/>
      <c r="KBI3" s="55"/>
      <c r="KBJ3" s="55"/>
      <c r="KBK3" s="55"/>
      <c r="KBL3" s="55"/>
      <c r="KBM3" s="55"/>
      <c r="KBN3" s="55"/>
      <c r="KBO3" s="55"/>
      <c r="KBP3" s="55"/>
      <c r="KBQ3" s="55"/>
      <c r="KBR3" s="55"/>
      <c r="KBS3" s="55"/>
      <c r="KBT3" s="55"/>
      <c r="KBU3" s="55"/>
      <c r="KBV3" s="55"/>
      <c r="KBW3" s="55"/>
      <c r="KBX3" s="55"/>
      <c r="KBY3" s="55"/>
      <c r="KBZ3" s="55"/>
      <c r="KCA3" s="55"/>
      <c r="KCB3" s="55"/>
      <c r="KCC3" s="55"/>
      <c r="KCD3" s="55"/>
      <c r="KCE3" s="55"/>
      <c r="KCF3" s="55"/>
      <c r="KCG3" s="55"/>
      <c r="KCH3" s="55"/>
      <c r="KCI3" s="55"/>
      <c r="KCJ3" s="55"/>
      <c r="KCK3" s="55"/>
      <c r="KCL3" s="55"/>
      <c r="KCM3" s="55"/>
      <c r="KCN3" s="55"/>
      <c r="KCO3" s="55"/>
      <c r="KCP3" s="55"/>
      <c r="KCQ3" s="55"/>
      <c r="KCR3" s="55"/>
      <c r="KCS3" s="55"/>
      <c r="KCT3" s="55"/>
      <c r="KCU3" s="55"/>
      <c r="KCV3" s="55"/>
      <c r="KCW3" s="55"/>
      <c r="KCX3" s="55"/>
      <c r="KCY3" s="55"/>
      <c r="KCZ3" s="55"/>
      <c r="KDA3" s="55"/>
      <c r="KDB3" s="55"/>
      <c r="KDC3" s="55"/>
      <c r="KDD3" s="55"/>
      <c r="KDE3" s="55"/>
      <c r="KDF3" s="55"/>
      <c r="KDG3" s="55"/>
      <c r="KDH3" s="55"/>
      <c r="KDI3" s="55"/>
      <c r="KDJ3" s="55"/>
      <c r="KDK3" s="55"/>
      <c r="KDL3" s="55"/>
      <c r="KDM3" s="55"/>
      <c r="KDN3" s="55"/>
      <c r="KDO3" s="55"/>
      <c r="KDP3" s="55"/>
      <c r="KDQ3" s="55"/>
      <c r="KDR3" s="55"/>
      <c r="KDS3" s="55"/>
      <c r="KDT3" s="55"/>
      <c r="KDU3" s="55"/>
      <c r="KDV3" s="55"/>
      <c r="KDW3" s="55"/>
      <c r="KDX3" s="55"/>
      <c r="KDY3" s="55"/>
      <c r="KDZ3" s="55"/>
      <c r="KEA3" s="55"/>
      <c r="KEB3" s="55"/>
      <c r="KEC3" s="55"/>
      <c r="KED3" s="55"/>
      <c r="KEE3" s="55"/>
      <c r="KEF3" s="55"/>
      <c r="KEG3" s="55"/>
      <c r="KEH3" s="55"/>
      <c r="KEI3" s="55"/>
      <c r="KEJ3" s="55"/>
      <c r="KEK3" s="55"/>
      <c r="KEL3" s="55"/>
      <c r="KEM3" s="55"/>
      <c r="KEN3" s="55"/>
      <c r="KEO3" s="55"/>
      <c r="KEP3" s="55"/>
      <c r="KEQ3" s="55"/>
      <c r="KER3" s="55"/>
      <c r="KES3" s="55"/>
      <c r="KET3" s="55"/>
      <c r="KEU3" s="55"/>
      <c r="KEV3" s="55"/>
      <c r="KEW3" s="55"/>
      <c r="KEX3" s="55"/>
      <c r="KEY3" s="55"/>
      <c r="KEZ3" s="55"/>
      <c r="KFA3" s="55"/>
      <c r="KFB3" s="55"/>
      <c r="KFC3" s="55"/>
      <c r="KFD3" s="55"/>
      <c r="KFE3" s="55"/>
      <c r="KFF3" s="55"/>
      <c r="KFG3" s="55"/>
      <c r="KFH3" s="55"/>
      <c r="KFI3" s="55"/>
      <c r="KFJ3" s="55"/>
      <c r="KFK3" s="55"/>
      <c r="KFL3" s="55"/>
      <c r="KFM3" s="55"/>
      <c r="KFN3" s="55"/>
      <c r="KFO3" s="55"/>
      <c r="KFP3" s="55"/>
      <c r="KFQ3" s="55"/>
      <c r="KFR3" s="55"/>
      <c r="KFS3" s="55"/>
      <c r="KFT3" s="55"/>
      <c r="KFU3" s="55"/>
      <c r="KFV3" s="55"/>
      <c r="KFW3" s="55"/>
      <c r="KFX3" s="55"/>
      <c r="KFY3" s="55"/>
      <c r="KFZ3" s="55"/>
      <c r="KGA3" s="55"/>
      <c r="KGB3" s="55"/>
      <c r="KGC3" s="55"/>
      <c r="KGD3" s="55"/>
      <c r="KGE3" s="55"/>
      <c r="KGF3" s="55"/>
      <c r="KGG3" s="55"/>
      <c r="KGH3" s="55"/>
      <c r="KGI3" s="55"/>
      <c r="KGJ3" s="55"/>
      <c r="KGK3" s="55"/>
      <c r="KGL3" s="55"/>
      <c r="KGM3" s="55"/>
      <c r="KGN3" s="55"/>
      <c r="KGO3" s="55"/>
      <c r="KGP3" s="55"/>
      <c r="KGQ3" s="55"/>
      <c r="KGR3" s="55"/>
      <c r="KGS3" s="55"/>
      <c r="KGT3" s="55"/>
      <c r="KGU3" s="55"/>
      <c r="KGV3" s="55"/>
      <c r="KGW3" s="55"/>
      <c r="KGX3" s="55"/>
      <c r="KGY3" s="55"/>
      <c r="KGZ3" s="55"/>
      <c r="KHA3" s="55"/>
      <c r="KHB3" s="55"/>
      <c r="KHC3" s="55"/>
      <c r="KHD3" s="55"/>
      <c r="KHE3" s="55"/>
      <c r="KHF3" s="55"/>
      <c r="KHG3" s="55"/>
      <c r="KHH3" s="55"/>
      <c r="KHI3" s="55"/>
      <c r="KHJ3" s="55"/>
      <c r="KHK3" s="55"/>
      <c r="KHL3" s="55"/>
      <c r="KHM3" s="55"/>
      <c r="KHN3" s="55"/>
      <c r="KHO3" s="55"/>
      <c r="KHP3" s="55"/>
      <c r="KHQ3" s="55"/>
      <c r="KHR3" s="55"/>
      <c r="KHS3" s="55"/>
      <c r="KHT3" s="55"/>
      <c r="KHU3" s="55"/>
      <c r="KHV3" s="55"/>
      <c r="KHW3" s="55"/>
      <c r="KHX3" s="55"/>
      <c r="KHY3" s="55"/>
      <c r="KHZ3" s="55"/>
      <c r="KIA3" s="55"/>
      <c r="KIB3" s="55"/>
      <c r="KIC3" s="55"/>
      <c r="KID3" s="55"/>
      <c r="KIE3" s="55"/>
      <c r="KIF3" s="55"/>
      <c r="KIG3" s="55"/>
      <c r="KIH3" s="55"/>
      <c r="KII3" s="55"/>
      <c r="KIJ3" s="55"/>
      <c r="KIK3" s="55"/>
      <c r="KIL3" s="55"/>
      <c r="KIM3" s="55"/>
      <c r="KIN3" s="55"/>
      <c r="KIO3" s="55"/>
      <c r="KIP3" s="55"/>
      <c r="KIQ3" s="55"/>
      <c r="KIR3" s="55"/>
      <c r="KIS3" s="55"/>
      <c r="KIT3" s="55"/>
      <c r="KIU3" s="55"/>
      <c r="KIV3" s="55"/>
      <c r="KIW3" s="55"/>
      <c r="KIX3" s="55"/>
      <c r="KIY3" s="55"/>
      <c r="KIZ3" s="55"/>
      <c r="KJA3" s="55"/>
      <c r="KJB3" s="55"/>
      <c r="KJC3" s="55"/>
      <c r="KJD3" s="55"/>
      <c r="KJE3" s="55"/>
      <c r="KJF3" s="55"/>
      <c r="KJG3" s="55"/>
      <c r="KJH3" s="55"/>
      <c r="KJI3" s="55"/>
      <c r="KJJ3" s="55"/>
      <c r="KJK3" s="55"/>
      <c r="KJL3" s="55"/>
      <c r="KJM3" s="55"/>
      <c r="KJN3" s="55"/>
      <c r="KJO3" s="55"/>
      <c r="KJP3" s="55"/>
      <c r="KJQ3" s="55"/>
      <c r="KJR3" s="55"/>
      <c r="KJS3" s="55"/>
      <c r="KJT3" s="55"/>
      <c r="KJU3" s="55"/>
      <c r="KJV3" s="55"/>
      <c r="KJW3" s="55"/>
      <c r="KJX3" s="55"/>
      <c r="KJY3" s="55"/>
      <c r="KJZ3" s="55"/>
      <c r="KKA3" s="55"/>
      <c r="KKB3" s="55"/>
      <c r="KKC3" s="55"/>
      <c r="KKD3" s="55"/>
      <c r="KKE3" s="55"/>
      <c r="KKF3" s="55"/>
      <c r="KKG3" s="55"/>
      <c r="KKH3" s="55"/>
      <c r="KKI3" s="55"/>
      <c r="KKJ3" s="55"/>
      <c r="KKK3" s="55"/>
      <c r="KKL3" s="55"/>
      <c r="KKM3" s="55"/>
      <c r="KKN3" s="55"/>
      <c r="KKO3" s="55"/>
      <c r="KKP3" s="55"/>
      <c r="KKQ3" s="55"/>
      <c r="KKR3" s="55"/>
      <c r="KKS3" s="55"/>
      <c r="KKT3" s="55"/>
      <c r="KKU3" s="55"/>
      <c r="KKV3" s="55"/>
      <c r="KKW3" s="55"/>
      <c r="KKX3" s="55"/>
      <c r="KKY3" s="55"/>
      <c r="KKZ3" s="55"/>
      <c r="KLA3" s="55"/>
      <c r="KLB3" s="55"/>
      <c r="KLC3" s="55"/>
      <c r="KLD3" s="55"/>
      <c r="KLE3" s="55"/>
      <c r="KLF3" s="55"/>
      <c r="KLG3" s="55"/>
      <c r="KLH3" s="55"/>
      <c r="KLI3" s="55"/>
      <c r="KLJ3" s="55"/>
      <c r="KLK3" s="55"/>
      <c r="KLL3" s="55"/>
      <c r="KLM3" s="55"/>
      <c r="KLN3" s="55"/>
      <c r="KLO3" s="55"/>
      <c r="KLP3" s="55"/>
      <c r="KLQ3" s="55"/>
      <c r="KLR3" s="55"/>
      <c r="KLS3" s="55"/>
      <c r="KLT3" s="55"/>
      <c r="KLU3" s="55"/>
      <c r="KLV3" s="55"/>
      <c r="KLW3" s="55"/>
      <c r="KLX3" s="55"/>
      <c r="KLY3" s="55"/>
      <c r="KLZ3" s="55"/>
      <c r="KMA3" s="55"/>
      <c r="KMB3" s="55"/>
      <c r="KMC3" s="55"/>
      <c r="KMD3" s="55"/>
      <c r="KME3" s="55"/>
      <c r="KMF3" s="55"/>
      <c r="KMG3" s="55"/>
      <c r="KMH3" s="55"/>
      <c r="KMI3" s="55"/>
      <c r="KMJ3" s="55"/>
      <c r="KMK3" s="55"/>
      <c r="KML3" s="55"/>
      <c r="KMM3" s="55"/>
      <c r="KMN3" s="55"/>
      <c r="KMO3" s="55"/>
      <c r="KMP3" s="55"/>
      <c r="KMQ3" s="55"/>
      <c r="KMR3" s="55"/>
      <c r="KMS3" s="55"/>
      <c r="KMT3" s="55"/>
      <c r="KMU3" s="55"/>
      <c r="KMV3" s="55"/>
      <c r="KMW3" s="55"/>
      <c r="KMX3" s="55"/>
      <c r="KMY3" s="55"/>
      <c r="KMZ3" s="55"/>
      <c r="KNA3" s="55"/>
      <c r="KNB3" s="55"/>
      <c r="KNC3" s="55"/>
      <c r="KND3" s="55"/>
      <c r="KNE3" s="55"/>
      <c r="KNF3" s="55"/>
      <c r="KNG3" s="55"/>
      <c r="KNH3" s="55"/>
      <c r="KNI3" s="55"/>
      <c r="KNJ3" s="55"/>
      <c r="KNK3" s="55"/>
      <c r="KNL3" s="55"/>
      <c r="KNM3" s="55"/>
      <c r="KNN3" s="55"/>
      <c r="KNO3" s="55"/>
      <c r="KNP3" s="55"/>
      <c r="KNQ3" s="55"/>
      <c r="KNR3" s="55"/>
      <c r="KNS3" s="55"/>
      <c r="KNT3" s="55"/>
      <c r="KNU3" s="55"/>
      <c r="KNV3" s="55"/>
      <c r="KNW3" s="55"/>
      <c r="KNX3" s="55"/>
      <c r="KNY3" s="55"/>
      <c r="KNZ3" s="55"/>
      <c r="KOA3" s="55"/>
      <c r="KOB3" s="55"/>
      <c r="KOC3" s="55"/>
      <c r="KOD3" s="55"/>
      <c r="KOE3" s="55"/>
      <c r="KOF3" s="55"/>
      <c r="KOG3" s="55"/>
      <c r="KOH3" s="55"/>
      <c r="KOI3" s="55"/>
      <c r="KOJ3" s="55"/>
      <c r="KOK3" s="55"/>
      <c r="KOL3" s="55"/>
      <c r="KOM3" s="55"/>
      <c r="KON3" s="55"/>
      <c r="KOO3" s="55"/>
      <c r="KOP3" s="55"/>
      <c r="KOQ3" s="55"/>
      <c r="KOR3" s="55"/>
      <c r="KOS3" s="55"/>
      <c r="KOT3" s="55"/>
      <c r="KOU3" s="55"/>
      <c r="KOV3" s="55"/>
      <c r="KOW3" s="55"/>
      <c r="KOX3" s="55"/>
      <c r="KOY3" s="55"/>
      <c r="KOZ3" s="55"/>
      <c r="KPA3" s="55"/>
      <c r="KPB3" s="55"/>
      <c r="KPC3" s="55"/>
      <c r="KPD3" s="55"/>
      <c r="KPE3" s="55"/>
      <c r="KPF3" s="55"/>
      <c r="KPG3" s="55"/>
      <c r="KPH3" s="55"/>
      <c r="KPI3" s="55"/>
      <c r="KPJ3" s="55"/>
      <c r="KPK3" s="55"/>
      <c r="KPL3" s="55"/>
      <c r="KPM3" s="55"/>
      <c r="KPN3" s="55"/>
      <c r="KPO3" s="55"/>
      <c r="KPP3" s="55"/>
      <c r="KPQ3" s="55"/>
      <c r="KPR3" s="55"/>
      <c r="KPS3" s="55"/>
      <c r="KPT3" s="55"/>
      <c r="KPU3" s="55"/>
      <c r="KPV3" s="55"/>
      <c r="KPW3" s="55"/>
      <c r="KPX3" s="55"/>
      <c r="KPY3" s="55"/>
      <c r="KPZ3" s="55"/>
      <c r="KQA3" s="55"/>
      <c r="KQB3" s="55"/>
      <c r="KQC3" s="55"/>
      <c r="KQD3" s="55"/>
      <c r="KQE3" s="55"/>
      <c r="KQF3" s="55"/>
      <c r="KQG3" s="55"/>
      <c r="KQH3" s="55"/>
      <c r="KQI3" s="55"/>
      <c r="KQJ3" s="55"/>
      <c r="KQK3" s="55"/>
      <c r="KQL3" s="55"/>
      <c r="KQM3" s="55"/>
      <c r="KQN3" s="55"/>
      <c r="KQO3" s="55"/>
      <c r="KQP3" s="55"/>
      <c r="KQQ3" s="55"/>
      <c r="KQR3" s="55"/>
      <c r="KQS3" s="55"/>
      <c r="KQT3" s="55"/>
      <c r="KQU3" s="55"/>
      <c r="KQV3" s="55"/>
      <c r="KQW3" s="55"/>
      <c r="KQX3" s="55"/>
      <c r="KQY3" s="55"/>
      <c r="KQZ3" s="55"/>
      <c r="KRA3" s="55"/>
      <c r="KRB3" s="55"/>
      <c r="KRC3" s="55"/>
      <c r="KRD3" s="55"/>
      <c r="KRE3" s="55"/>
      <c r="KRF3" s="55"/>
      <c r="KRG3" s="55"/>
      <c r="KRH3" s="55"/>
      <c r="KRI3" s="55"/>
      <c r="KRJ3" s="55"/>
      <c r="KRK3" s="55"/>
      <c r="KRL3" s="55"/>
      <c r="KRM3" s="55"/>
      <c r="KRN3" s="55"/>
      <c r="KRO3" s="55"/>
      <c r="KRP3" s="55"/>
      <c r="KRQ3" s="55"/>
      <c r="KRR3" s="55"/>
      <c r="KRS3" s="55"/>
      <c r="KRT3" s="55"/>
      <c r="KRU3" s="55"/>
      <c r="KRV3" s="55"/>
      <c r="KRW3" s="55"/>
      <c r="KRX3" s="55"/>
      <c r="KRY3" s="55"/>
      <c r="KRZ3" s="55"/>
      <c r="KSA3" s="55"/>
      <c r="KSB3" s="55"/>
      <c r="KSC3" s="55"/>
      <c r="KSD3" s="55"/>
      <c r="KSE3" s="55"/>
      <c r="KSF3" s="55"/>
      <c r="KSG3" s="55"/>
      <c r="KSH3" s="55"/>
      <c r="KSI3" s="55"/>
      <c r="KSJ3" s="55"/>
      <c r="KSK3" s="55"/>
      <c r="KSL3" s="55"/>
      <c r="KSM3" s="55"/>
      <c r="KSN3" s="55"/>
      <c r="KSO3" s="55"/>
      <c r="KSP3" s="55"/>
      <c r="KSQ3" s="55"/>
      <c r="KSR3" s="55"/>
      <c r="KSS3" s="55"/>
      <c r="KST3" s="55"/>
      <c r="KSU3" s="55"/>
      <c r="KSV3" s="55"/>
      <c r="KSW3" s="55"/>
      <c r="KSX3" s="55"/>
      <c r="KSY3" s="55"/>
      <c r="KSZ3" s="55"/>
      <c r="KTA3" s="55"/>
      <c r="KTB3" s="55"/>
      <c r="KTC3" s="55"/>
      <c r="KTD3" s="55"/>
      <c r="KTE3" s="55"/>
      <c r="KTF3" s="55"/>
      <c r="KTG3" s="55"/>
      <c r="KTH3" s="55"/>
      <c r="KTI3" s="55"/>
      <c r="KTJ3" s="55"/>
      <c r="KTK3" s="55"/>
      <c r="KTL3" s="55"/>
      <c r="KTM3" s="55"/>
      <c r="KTN3" s="55"/>
      <c r="KTO3" s="55"/>
      <c r="KTP3" s="55"/>
      <c r="KTQ3" s="55"/>
      <c r="KTR3" s="55"/>
      <c r="KTS3" s="55"/>
      <c r="KTT3" s="55"/>
      <c r="KTU3" s="55"/>
      <c r="KTV3" s="55"/>
      <c r="KTW3" s="55"/>
      <c r="KTX3" s="55"/>
      <c r="KTY3" s="55"/>
      <c r="KTZ3" s="55"/>
      <c r="KUA3" s="55"/>
      <c r="KUB3" s="55"/>
      <c r="KUC3" s="55"/>
      <c r="KUD3" s="55"/>
      <c r="KUE3" s="55"/>
      <c r="KUF3" s="55"/>
      <c r="KUG3" s="55"/>
      <c r="KUH3" s="55"/>
      <c r="KUI3" s="55"/>
      <c r="KUJ3" s="55"/>
      <c r="KUK3" s="55"/>
      <c r="KUL3" s="55"/>
      <c r="KUM3" s="55"/>
      <c r="KUN3" s="55"/>
      <c r="KUO3" s="55"/>
      <c r="KUP3" s="55"/>
      <c r="KUQ3" s="55"/>
      <c r="KUR3" s="55"/>
      <c r="KUS3" s="55"/>
      <c r="KUT3" s="55"/>
      <c r="KUU3" s="55"/>
      <c r="KUV3" s="55"/>
      <c r="KUW3" s="55"/>
      <c r="KUX3" s="55"/>
      <c r="KUY3" s="55"/>
      <c r="KUZ3" s="55"/>
      <c r="KVA3" s="55"/>
      <c r="KVB3" s="55"/>
      <c r="KVC3" s="55"/>
      <c r="KVD3" s="55"/>
      <c r="KVE3" s="55"/>
      <c r="KVF3" s="55"/>
      <c r="KVG3" s="55"/>
      <c r="KVH3" s="55"/>
      <c r="KVI3" s="55"/>
      <c r="KVJ3" s="55"/>
      <c r="KVK3" s="55"/>
      <c r="KVL3" s="55"/>
      <c r="KVM3" s="55"/>
      <c r="KVN3" s="55"/>
      <c r="KVO3" s="55"/>
      <c r="KVP3" s="55"/>
      <c r="KVQ3" s="55"/>
      <c r="KVR3" s="55"/>
      <c r="KVS3" s="55"/>
      <c r="KVT3" s="55"/>
      <c r="KVU3" s="55"/>
      <c r="KVV3" s="55"/>
      <c r="KVW3" s="55"/>
      <c r="KVX3" s="55"/>
      <c r="KVY3" s="55"/>
      <c r="KVZ3" s="55"/>
      <c r="KWA3" s="55"/>
      <c r="KWB3" s="55"/>
      <c r="KWC3" s="55"/>
      <c r="KWD3" s="55"/>
      <c r="KWE3" s="55"/>
      <c r="KWF3" s="55"/>
      <c r="KWG3" s="55"/>
      <c r="KWH3" s="55"/>
      <c r="KWI3" s="55"/>
      <c r="KWJ3" s="55"/>
      <c r="KWK3" s="55"/>
      <c r="KWL3" s="55"/>
      <c r="KWM3" s="55"/>
      <c r="KWN3" s="55"/>
      <c r="KWO3" s="55"/>
      <c r="KWP3" s="55"/>
      <c r="KWQ3" s="55"/>
      <c r="KWR3" s="55"/>
      <c r="KWS3" s="55"/>
      <c r="KWT3" s="55"/>
      <c r="KWU3" s="55"/>
      <c r="KWV3" s="55"/>
      <c r="KWW3" s="55"/>
      <c r="KWX3" s="55"/>
      <c r="KWY3" s="55"/>
      <c r="KWZ3" s="55"/>
      <c r="KXA3" s="55"/>
      <c r="KXB3" s="55"/>
      <c r="KXC3" s="55"/>
      <c r="KXD3" s="55"/>
      <c r="KXE3" s="55"/>
      <c r="KXF3" s="55"/>
      <c r="KXG3" s="55"/>
      <c r="KXH3" s="55"/>
      <c r="KXI3" s="55"/>
      <c r="KXJ3" s="55"/>
      <c r="KXK3" s="55"/>
      <c r="KXL3" s="55"/>
      <c r="KXM3" s="55"/>
      <c r="KXN3" s="55"/>
      <c r="KXO3" s="55"/>
      <c r="KXP3" s="55"/>
      <c r="KXQ3" s="55"/>
      <c r="KXR3" s="55"/>
      <c r="KXS3" s="55"/>
      <c r="KXT3" s="55"/>
      <c r="KXU3" s="55"/>
      <c r="KXV3" s="55"/>
      <c r="KXW3" s="55"/>
      <c r="KXX3" s="55"/>
      <c r="KXY3" s="55"/>
      <c r="KXZ3" s="55"/>
      <c r="KYA3" s="55"/>
      <c r="KYB3" s="55"/>
      <c r="KYC3" s="55"/>
      <c r="KYD3" s="55"/>
      <c r="KYE3" s="55"/>
      <c r="KYF3" s="55"/>
      <c r="KYG3" s="55"/>
      <c r="KYH3" s="55"/>
      <c r="KYI3" s="55"/>
      <c r="KYJ3" s="55"/>
      <c r="KYK3" s="55"/>
      <c r="KYL3" s="55"/>
      <c r="KYM3" s="55"/>
      <c r="KYN3" s="55"/>
      <c r="KYO3" s="55"/>
      <c r="KYP3" s="55"/>
      <c r="KYQ3" s="55"/>
      <c r="KYR3" s="55"/>
      <c r="KYS3" s="55"/>
      <c r="KYT3" s="55"/>
      <c r="KYU3" s="55"/>
      <c r="KYV3" s="55"/>
      <c r="KYW3" s="55"/>
      <c r="KYX3" s="55"/>
      <c r="KYY3" s="55"/>
      <c r="KYZ3" s="55"/>
      <c r="KZA3" s="55"/>
      <c r="KZB3" s="55"/>
      <c r="KZC3" s="55"/>
      <c r="KZD3" s="55"/>
      <c r="KZE3" s="55"/>
      <c r="KZF3" s="55"/>
      <c r="KZG3" s="55"/>
      <c r="KZH3" s="55"/>
      <c r="KZI3" s="55"/>
      <c r="KZJ3" s="55"/>
      <c r="KZK3" s="55"/>
      <c r="KZL3" s="55"/>
      <c r="KZM3" s="55"/>
      <c r="KZN3" s="55"/>
      <c r="KZO3" s="55"/>
      <c r="KZP3" s="55"/>
      <c r="KZQ3" s="55"/>
      <c r="KZR3" s="55"/>
      <c r="KZS3" s="55"/>
      <c r="KZT3" s="55"/>
      <c r="KZU3" s="55"/>
      <c r="KZV3" s="55"/>
      <c r="KZW3" s="55"/>
      <c r="KZX3" s="55"/>
      <c r="KZY3" s="55"/>
      <c r="KZZ3" s="55"/>
      <c r="LAA3" s="55"/>
      <c r="LAB3" s="55"/>
      <c r="LAC3" s="55"/>
      <c r="LAD3" s="55"/>
      <c r="LAE3" s="55"/>
      <c r="LAF3" s="55"/>
      <c r="LAG3" s="55"/>
      <c r="LAH3" s="55"/>
      <c r="LAI3" s="55"/>
      <c r="LAJ3" s="55"/>
      <c r="LAK3" s="55"/>
      <c r="LAL3" s="55"/>
      <c r="LAM3" s="55"/>
      <c r="LAN3" s="55"/>
      <c r="LAO3" s="55"/>
      <c r="LAP3" s="55"/>
      <c r="LAQ3" s="55"/>
      <c r="LAR3" s="55"/>
      <c r="LAS3" s="55"/>
      <c r="LAT3" s="55"/>
      <c r="LAU3" s="55"/>
      <c r="LAV3" s="55"/>
      <c r="LAW3" s="55"/>
      <c r="LAX3" s="55"/>
      <c r="LAY3" s="55"/>
      <c r="LAZ3" s="55"/>
      <c r="LBA3" s="55"/>
      <c r="LBB3" s="55"/>
      <c r="LBC3" s="55"/>
      <c r="LBD3" s="55"/>
      <c r="LBE3" s="55"/>
      <c r="LBF3" s="55"/>
      <c r="LBG3" s="55"/>
      <c r="LBH3" s="55"/>
      <c r="LBI3" s="55"/>
      <c r="LBJ3" s="55"/>
      <c r="LBK3" s="55"/>
      <c r="LBL3" s="55"/>
      <c r="LBM3" s="55"/>
      <c r="LBN3" s="55"/>
      <c r="LBO3" s="55"/>
      <c r="LBP3" s="55"/>
      <c r="LBQ3" s="55"/>
      <c r="LBR3" s="55"/>
      <c r="LBS3" s="55"/>
      <c r="LBT3" s="55"/>
      <c r="LBU3" s="55"/>
      <c r="LBV3" s="55"/>
      <c r="LBW3" s="55"/>
      <c r="LBX3" s="55"/>
      <c r="LBY3" s="55"/>
      <c r="LBZ3" s="55"/>
      <c r="LCA3" s="55"/>
      <c r="LCB3" s="55"/>
      <c r="LCC3" s="55"/>
      <c r="LCD3" s="55"/>
      <c r="LCE3" s="55"/>
      <c r="LCF3" s="55"/>
      <c r="LCG3" s="55"/>
      <c r="LCH3" s="55"/>
      <c r="LCI3" s="55"/>
      <c r="LCJ3" s="55"/>
      <c r="LCK3" s="55"/>
      <c r="LCL3" s="55"/>
      <c r="LCM3" s="55"/>
      <c r="LCN3" s="55"/>
      <c r="LCO3" s="55"/>
      <c r="LCP3" s="55"/>
      <c r="LCQ3" s="55"/>
      <c r="LCR3" s="55"/>
      <c r="LCS3" s="55"/>
      <c r="LCT3" s="55"/>
      <c r="LCU3" s="55"/>
      <c r="LCV3" s="55"/>
      <c r="LCW3" s="55"/>
      <c r="LCX3" s="55"/>
      <c r="LCY3" s="55"/>
      <c r="LCZ3" s="55"/>
      <c r="LDA3" s="55"/>
      <c r="LDB3" s="55"/>
      <c r="LDC3" s="55"/>
      <c r="LDD3" s="55"/>
      <c r="LDE3" s="55"/>
      <c r="LDF3" s="55"/>
      <c r="LDG3" s="55"/>
      <c r="LDH3" s="55"/>
      <c r="LDI3" s="55"/>
      <c r="LDJ3" s="55"/>
      <c r="LDK3" s="55"/>
      <c r="LDL3" s="55"/>
      <c r="LDM3" s="55"/>
      <c r="LDN3" s="55"/>
      <c r="LDO3" s="55"/>
      <c r="LDP3" s="55"/>
      <c r="LDQ3" s="55"/>
      <c r="LDR3" s="55"/>
      <c r="LDS3" s="55"/>
      <c r="LDT3" s="55"/>
      <c r="LDU3" s="55"/>
      <c r="LDV3" s="55"/>
      <c r="LDW3" s="55"/>
      <c r="LDX3" s="55"/>
      <c r="LDY3" s="55"/>
      <c r="LDZ3" s="55"/>
      <c r="LEA3" s="55"/>
      <c r="LEB3" s="55"/>
      <c r="LEC3" s="55"/>
      <c r="LED3" s="55"/>
      <c r="LEE3" s="55"/>
      <c r="LEF3" s="55"/>
      <c r="LEG3" s="55"/>
      <c r="LEH3" s="55"/>
      <c r="LEI3" s="55"/>
      <c r="LEJ3" s="55"/>
      <c r="LEK3" s="55"/>
      <c r="LEL3" s="55"/>
      <c r="LEM3" s="55"/>
      <c r="LEN3" s="55"/>
      <c r="LEO3" s="55"/>
      <c r="LEP3" s="55"/>
      <c r="LEQ3" s="55"/>
      <c r="LER3" s="55"/>
      <c r="LES3" s="55"/>
      <c r="LET3" s="55"/>
      <c r="LEU3" s="55"/>
      <c r="LEV3" s="55"/>
      <c r="LEW3" s="55"/>
      <c r="LEX3" s="55"/>
      <c r="LEY3" s="55"/>
      <c r="LEZ3" s="55"/>
      <c r="LFA3" s="55"/>
      <c r="LFB3" s="55"/>
      <c r="LFC3" s="55"/>
      <c r="LFD3" s="55"/>
      <c r="LFE3" s="55"/>
      <c r="LFF3" s="55"/>
      <c r="LFG3" s="55"/>
      <c r="LFH3" s="55"/>
      <c r="LFI3" s="55"/>
      <c r="LFJ3" s="55"/>
      <c r="LFK3" s="55"/>
      <c r="LFL3" s="55"/>
      <c r="LFM3" s="55"/>
      <c r="LFN3" s="55"/>
      <c r="LFO3" s="55"/>
      <c r="LFP3" s="55"/>
      <c r="LFQ3" s="55"/>
      <c r="LFR3" s="55"/>
      <c r="LFS3" s="55"/>
      <c r="LFT3" s="55"/>
      <c r="LFU3" s="55"/>
      <c r="LFV3" s="55"/>
      <c r="LFW3" s="55"/>
      <c r="LFX3" s="55"/>
      <c r="LFY3" s="55"/>
      <c r="LFZ3" s="55"/>
      <c r="LGA3" s="55"/>
      <c r="LGB3" s="55"/>
      <c r="LGC3" s="55"/>
      <c r="LGD3" s="55"/>
      <c r="LGE3" s="55"/>
      <c r="LGF3" s="55"/>
      <c r="LGG3" s="55"/>
      <c r="LGH3" s="55"/>
      <c r="LGI3" s="55"/>
      <c r="LGJ3" s="55"/>
      <c r="LGK3" s="55"/>
      <c r="LGL3" s="55"/>
      <c r="LGM3" s="55"/>
      <c r="LGN3" s="55"/>
      <c r="LGO3" s="55"/>
      <c r="LGP3" s="55"/>
      <c r="LGQ3" s="55"/>
      <c r="LGR3" s="55"/>
      <c r="LGS3" s="55"/>
      <c r="LGT3" s="55"/>
      <c r="LGU3" s="55"/>
      <c r="LGV3" s="55"/>
      <c r="LGW3" s="55"/>
      <c r="LGX3" s="55"/>
      <c r="LGY3" s="55"/>
      <c r="LGZ3" s="55"/>
      <c r="LHA3" s="55"/>
      <c r="LHB3" s="55"/>
      <c r="LHC3" s="55"/>
      <c r="LHD3" s="55"/>
      <c r="LHE3" s="55"/>
      <c r="LHF3" s="55"/>
      <c r="LHG3" s="55"/>
      <c r="LHH3" s="55"/>
      <c r="LHI3" s="55"/>
      <c r="LHJ3" s="55"/>
      <c r="LHK3" s="55"/>
      <c r="LHL3" s="55"/>
      <c r="LHM3" s="55"/>
      <c r="LHN3" s="55"/>
      <c r="LHO3" s="55"/>
      <c r="LHP3" s="55"/>
      <c r="LHQ3" s="55"/>
      <c r="LHR3" s="55"/>
      <c r="LHS3" s="55"/>
      <c r="LHT3" s="55"/>
      <c r="LHU3" s="55"/>
      <c r="LHV3" s="55"/>
      <c r="LHW3" s="55"/>
      <c r="LHX3" s="55"/>
      <c r="LHY3" s="55"/>
      <c r="LHZ3" s="55"/>
      <c r="LIA3" s="55"/>
      <c r="LIB3" s="55"/>
      <c r="LIC3" s="55"/>
      <c r="LID3" s="55"/>
      <c r="LIE3" s="55"/>
      <c r="LIF3" s="55"/>
      <c r="LIG3" s="55"/>
      <c r="LIH3" s="55"/>
      <c r="LII3" s="55"/>
      <c r="LIJ3" s="55"/>
      <c r="LIK3" s="55"/>
      <c r="LIL3" s="55"/>
      <c r="LIM3" s="55"/>
      <c r="LIN3" s="55"/>
      <c r="LIO3" s="55"/>
      <c r="LIP3" s="55"/>
      <c r="LIQ3" s="55"/>
      <c r="LIR3" s="55"/>
      <c r="LIS3" s="55"/>
      <c r="LIT3" s="55"/>
      <c r="LIU3" s="55"/>
      <c r="LIV3" s="55"/>
      <c r="LIW3" s="55"/>
      <c r="LIX3" s="55"/>
      <c r="LIY3" s="55"/>
      <c r="LIZ3" s="55"/>
      <c r="LJA3" s="55"/>
      <c r="LJB3" s="55"/>
      <c r="LJC3" s="55"/>
      <c r="LJD3" s="55"/>
      <c r="LJE3" s="55"/>
      <c r="LJF3" s="55"/>
      <c r="LJG3" s="55"/>
      <c r="LJH3" s="55"/>
      <c r="LJI3" s="55"/>
      <c r="LJJ3" s="55"/>
      <c r="LJK3" s="55"/>
      <c r="LJL3" s="55"/>
      <c r="LJM3" s="55"/>
      <c r="LJN3" s="55"/>
      <c r="LJO3" s="55"/>
      <c r="LJP3" s="55"/>
      <c r="LJQ3" s="55"/>
      <c r="LJR3" s="55"/>
      <c r="LJS3" s="55"/>
      <c r="LJT3" s="55"/>
      <c r="LJU3" s="55"/>
      <c r="LJV3" s="55"/>
      <c r="LJW3" s="55"/>
      <c r="LJX3" s="55"/>
      <c r="LJY3" s="55"/>
      <c r="LJZ3" s="55"/>
      <c r="LKA3" s="55"/>
      <c r="LKB3" s="55"/>
      <c r="LKC3" s="55"/>
      <c r="LKD3" s="55"/>
      <c r="LKE3" s="55"/>
      <c r="LKF3" s="55"/>
      <c r="LKG3" s="55"/>
      <c r="LKH3" s="55"/>
      <c r="LKI3" s="55"/>
      <c r="LKJ3" s="55"/>
      <c r="LKK3" s="55"/>
      <c r="LKL3" s="55"/>
      <c r="LKM3" s="55"/>
      <c r="LKN3" s="55"/>
      <c r="LKO3" s="55"/>
      <c r="LKP3" s="55"/>
      <c r="LKQ3" s="55"/>
      <c r="LKR3" s="55"/>
      <c r="LKS3" s="55"/>
      <c r="LKT3" s="55"/>
      <c r="LKU3" s="55"/>
      <c r="LKV3" s="55"/>
      <c r="LKW3" s="55"/>
      <c r="LKX3" s="55"/>
      <c r="LKY3" s="55"/>
      <c r="LKZ3" s="55"/>
      <c r="LLA3" s="55"/>
      <c r="LLB3" s="55"/>
      <c r="LLC3" s="55"/>
      <c r="LLD3" s="55"/>
      <c r="LLE3" s="55"/>
      <c r="LLF3" s="55"/>
      <c r="LLG3" s="55"/>
      <c r="LLH3" s="55"/>
      <c r="LLI3" s="55"/>
      <c r="LLJ3" s="55"/>
      <c r="LLK3" s="55"/>
      <c r="LLL3" s="55"/>
      <c r="LLM3" s="55"/>
      <c r="LLN3" s="55"/>
      <c r="LLO3" s="55"/>
      <c r="LLP3" s="55"/>
      <c r="LLQ3" s="55"/>
      <c r="LLR3" s="55"/>
      <c r="LLS3" s="55"/>
      <c r="LLT3" s="55"/>
      <c r="LLU3" s="55"/>
      <c r="LLV3" s="55"/>
      <c r="LLW3" s="55"/>
      <c r="LLX3" s="55"/>
      <c r="LLY3" s="55"/>
      <c r="LLZ3" s="55"/>
      <c r="LMA3" s="55"/>
      <c r="LMB3" s="55"/>
      <c r="LMC3" s="55"/>
      <c r="LMD3" s="55"/>
      <c r="LME3" s="55"/>
      <c r="LMF3" s="55"/>
      <c r="LMG3" s="55"/>
      <c r="LMH3" s="55"/>
      <c r="LMI3" s="55"/>
      <c r="LMJ3" s="55"/>
      <c r="LMK3" s="55"/>
      <c r="LML3" s="55"/>
      <c r="LMM3" s="55"/>
      <c r="LMN3" s="55"/>
      <c r="LMO3" s="55"/>
      <c r="LMP3" s="55"/>
      <c r="LMQ3" s="55"/>
      <c r="LMR3" s="55"/>
      <c r="LMS3" s="55"/>
      <c r="LMT3" s="55"/>
      <c r="LMU3" s="55"/>
      <c r="LMV3" s="55"/>
      <c r="LMW3" s="55"/>
      <c r="LMX3" s="55"/>
      <c r="LMY3" s="55"/>
      <c r="LMZ3" s="55"/>
      <c r="LNA3" s="55"/>
      <c r="LNB3" s="55"/>
      <c r="LNC3" s="55"/>
      <c r="LND3" s="55"/>
      <c r="LNE3" s="55"/>
      <c r="LNF3" s="55"/>
      <c r="LNG3" s="55"/>
      <c r="LNH3" s="55"/>
      <c r="LNI3" s="55"/>
      <c r="LNJ3" s="55"/>
      <c r="LNK3" s="55"/>
      <c r="LNL3" s="55"/>
      <c r="LNM3" s="55"/>
      <c r="LNN3" s="55"/>
      <c r="LNO3" s="55"/>
      <c r="LNP3" s="55"/>
      <c r="LNQ3" s="55"/>
      <c r="LNR3" s="55"/>
      <c r="LNS3" s="55"/>
      <c r="LNT3" s="55"/>
      <c r="LNU3" s="55"/>
      <c r="LNV3" s="55"/>
      <c r="LNW3" s="55"/>
      <c r="LNX3" s="55"/>
      <c r="LNY3" s="55"/>
      <c r="LNZ3" s="55"/>
      <c r="LOA3" s="55"/>
      <c r="LOB3" s="55"/>
      <c r="LOC3" s="55"/>
      <c r="LOD3" s="55"/>
      <c r="LOE3" s="55"/>
      <c r="LOF3" s="55"/>
      <c r="LOG3" s="55"/>
      <c r="LOH3" s="55"/>
      <c r="LOI3" s="55"/>
      <c r="LOJ3" s="55"/>
      <c r="LOK3" s="55"/>
      <c r="LOL3" s="55"/>
      <c r="LOM3" s="55"/>
      <c r="LON3" s="55"/>
      <c r="LOO3" s="55"/>
      <c r="LOP3" s="55"/>
      <c r="LOQ3" s="55"/>
      <c r="LOR3" s="55"/>
      <c r="LOS3" s="55"/>
      <c r="LOT3" s="55"/>
      <c r="LOU3" s="55"/>
      <c r="LOV3" s="55"/>
      <c r="LOW3" s="55"/>
      <c r="LOX3" s="55"/>
      <c r="LOY3" s="55"/>
      <c r="LOZ3" s="55"/>
      <c r="LPA3" s="55"/>
      <c r="LPB3" s="55"/>
      <c r="LPC3" s="55"/>
      <c r="LPD3" s="55"/>
      <c r="LPE3" s="55"/>
      <c r="LPF3" s="55"/>
      <c r="LPG3" s="55"/>
      <c r="LPH3" s="55"/>
      <c r="LPI3" s="55"/>
      <c r="LPJ3" s="55"/>
      <c r="LPK3" s="55"/>
      <c r="LPL3" s="55"/>
      <c r="LPM3" s="55"/>
      <c r="LPN3" s="55"/>
      <c r="LPO3" s="55"/>
      <c r="LPP3" s="55"/>
      <c r="LPQ3" s="55"/>
      <c r="LPR3" s="55"/>
      <c r="LPS3" s="55"/>
      <c r="LPT3" s="55"/>
      <c r="LPU3" s="55"/>
      <c r="LPV3" s="55"/>
      <c r="LPW3" s="55"/>
      <c r="LPX3" s="55"/>
      <c r="LPY3" s="55"/>
      <c r="LPZ3" s="55"/>
      <c r="LQA3" s="55"/>
      <c r="LQB3" s="55"/>
      <c r="LQC3" s="55"/>
      <c r="LQD3" s="55"/>
      <c r="LQE3" s="55"/>
      <c r="LQF3" s="55"/>
      <c r="LQG3" s="55"/>
      <c r="LQH3" s="55"/>
      <c r="LQI3" s="55"/>
      <c r="LQJ3" s="55"/>
      <c r="LQK3" s="55"/>
      <c r="LQL3" s="55"/>
      <c r="LQM3" s="55"/>
      <c r="LQN3" s="55"/>
      <c r="LQO3" s="55"/>
      <c r="LQP3" s="55"/>
      <c r="LQQ3" s="55"/>
      <c r="LQR3" s="55"/>
      <c r="LQS3" s="55"/>
      <c r="LQT3" s="55"/>
      <c r="LQU3" s="55"/>
      <c r="LQV3" s="55"/>
      <c r="LQW3" s="55"/>
      <c r="LQX3" s="55"/>
      <c r="LQY3" s="55"/>
      <c r="LQZ3" s="55"/>
      <c r="LRA3" s="55"/>
      <c r="LRB3" s="55"/>
      <c r="LRC3" s="55"/>
      <c r="LRD3" s="55"/>
      <c r="LRE3" s="55"/>
      <c r="LRF3" s="55"/>
      <c r="LRG3" s="55"/>
      <c r="LRH3" s="55"/>
      <c r="LRI3" s="55"/>
      <c r="LRJ3" s="55"/>
      <c r="LRK3" s="55"/>
      <c r="LRL3" s="55"/>
      <c r="LRM3" s="55"/>
      <c r="LRN3" s="55"/>
      <c r="LRO3" s="55"/>
      <c r="LRP3" s="55"/>
      <c r="LRQ3" s="55"/>
      <c r="LRR3" s="55"/>
      <c r="LRS3" s="55"/>
      <c r="LRT3" s="55"/>
      <c r="LRU3" s="55"/>
      <c r="LRV3" s="55"/>
      <c r="LRW3" s="55"/>
      <c r="LRX3" s="55"/>
      <c r="LRY3" s="55"/>
      <c r="LRZ3" s="55"/>
      <c r="LSA3" s="55"/>
      <c r="LSB3" s="55"/>
      <c r="LSC3" s="55"/>
      <c r="LSD3" s="55"/>
      <c r="LSE3" s="55"/>
      <c r="LSF3" s="55"/>
      <c r="LSG3" s="55"/>
      <c r="LSH3" s="55"/>
      <c r="LSI3" s="55"/>
      <c r="LSJ3" s="55"/>
      <c r="LSK3" s="55"/>
      <c r="LSL3" s="55"/>
      <c r="LSM3" s="55"/>
      <c r="LSN3" s="55"/>
      <c r="LSO3" s="55"/>
      <c r="LSP3" s="55"/>
      <c r="LSQ3" s="55"/>
      <c r="LSR3" s="55"/>
      <c r="LSS3" s="55"/>
      <c r="LST3" s="55"/>
      <c r="LSU3" s="55"/>
      <c r="LSV3" s="55"/>
      <c r="LSW3" s="55"/>
      <c r="LSX3" s="55"/>
      <c r="LSY3" s="55"/>
      <c r="LSZ3" s="55"/>
      <c r="LTA3" s="55"/>
      <c r="LTB3" s="55"/>
      <c r="LTC3" s="55"/>
      <c r="LTD3" s="55"/>
      <c r="LTE3" s="55"/>
      <c r="LTF3" s="55"/>
      <c r="LTG3" s="55"/>
      <c r="LTH3" s="55"/>
      <c r="LTI3" s="55"/>
      <c r="LTJ3" s="55"/>
      <c r="LTK3" s="55"/>
      <c r="LTL3" s="55"/>
      <c r="LTM3" s="55"/>
      <c r="LTN3" s="55"/>
      <c r="LTO3" s="55"/>
      <c r="LTP3" s="55"/>
      <c r="LTQ3" s="55"/>
      <c r="LTR3" s="55"/>
      <c r="LTS3" s="55"/>
      <c r="LTT3" s="55"/>
      <c r="LTU3" s="55"/>
      <c r="LTV3" s="55"/>
      <c r="LTW3" s="55"/>
      <c r="LTX3" s="55"/>
      <c r="LTY3" s="55"/>
      <c r="LTZ3" s="55"/>
      <c r="LUA3" s="55"/>
      <c r="LUB3" s="55"/>
      <c r="LUC3" s="55"/>
      <c r="LUD3" s="55"/>
      <c r="LUE3" s="55"/>
      <c r="LUF3" s="55"/>
      <c r="LUG3" s="55"/>
      <c r="LUH3" s="55"/>
      <c r="LUI3" s="55"/>
      <c r="LUJ3" s="55"/>
      <c r="LUK3" s="55"/>
      <c r="LUL3" s="55"/>
      <c r="LUM3" s="55"/>
      <c r="LUN3" s="55"/>
      <c r="LUO3" s="55"/>
      <c r="LUP3" s="55"/>
      <c r="LUQ3" s="55"/>
      <c r="LUR3" s="55"/>
      <c r="LUS3" s="55"/>
      <c r="LUT3" s="55"/>
      <c r="LUU3" s="55"/>
      <c r="LUV3" s="55"/>
      <c r="LUW3" s="55"/>
      <c r="LUX3" s="55"/>
      <c r="LUY3" s="55"/>
      <c r="LUZ3" s="55"/>
      <c r="LVA3" s="55"/>
      <c r="LVB3" s="55"/>
      <c r="LVC3" s="55"/>
      <c r="LVD3" s="55"/>
      <c r="LVE3" s="55"/>
      <c r="LVF3" s="55"/>
      <c r="LVG3" s="55"/>
      <c r="LVH3" s="55"/>
      <c r="LVI3" s="55"/>
      <c r="LVJ3" s="55"/>
      <c r="LVK3" s="55"/>
      <c r="LVL3" s="55"/>
      <c r="LVM3" s="55"/>
      <c r="LVN3" s="55"/>
      <c r="LVO3" s="55"/>
      <c r="LVP3" s="55"/>
      <c r="LVQ3" s="55"/>
      <c r="LVR3" s="55"/>
      <c r="LVS3" s="55"/>
      <c r="LVT3" s="55"/>
      <c r="LVU3" s="55"/>
      <c r="LVV3" s="55"/>
      <c r="LVW3" s="55"/>
      <c r="LVX3" s="55"/>
      <c r="LVY3" s="55"/>
      <c r="LVZ3" s="55"/>
      <c r="LWA3" s="55"/>
      <c r="LWB3" s="55"/>
      <c r="LWC3" s="55"/>
      <c r="LWD3" s="55"/>
      <c r="LWE3" s="55"/>
      <c r="LWF3" s="55"/>
      <c r="LWG3" s="55"/>
      <c r="LWH3" s="55"/>
      <c r="LWI3" s="55"/>
      <c r="LWJ3" s="55"/>
      <c r="LWK3" s="55"/>
      <c r="LWL3" s="55"/>
      <c r="LWM3" s="55"/>
      <c r="LWN3" s="55"/>
      <c r="LWO3" s="55"/>
      <c r="LWP3" s="55"/>
      <c r="LWQ3" s="55"/>
      <c r="LWR3" s="55"/>
      <c r="LWS3" s="55"/>
      <c r="LWT3" s="55"/>
      <c r="LWU3" s="55"/>
      <c r="LWV3" s="55"/>
      <c r="LWW3" s="55"/>
      <c r="LWX3" s="55"/>
      <c r="LWY3" s="55"/>
      <c r="LWZ3" s="55"/>
      <c r="LXA3" s="55"/>
      <c r="LXB3" s="55"/>
      <c r="LXC3" s="55"/>
      <c r="LXD3" s="55"/>
      <c r="LXE3" s="55"/>
      <c r="LXF3" s="55"/>
      <c r="LXG3" s="55"/>
      <c r="LXH3" s="55"/>
      <c r="LXI3" s="55"/>
      <c r="LXJ3" s="55"/>
      <c r="LXK3" s="55"/>
      <c r="LXL3" s="55"/>
      <c r="LXM3" s="55"/>
      <c r="LXN3" s="55"/>
      <c r="LXO3" s="55"/>
      <c r="LXP3" s="55"/>
      <c r="LXQ3" s="55"/>
      <c r="LXR3" s="55"/>
      <c r="LXS3" s="55"/>
      <c r="LXT3" s="55"/>
      <c r="LXU3" s="55"/>
      <c r="LXV3" s="55"/>
      <c r="LXW3" s="55"/>
      <c r="LXX3" s="55"/>
      <c r="LXY3" s="55"/>
      <c r="LXZ3" s="55"/>
      <c r="LYA3" s="55"/>
      <c r="LYB3" s="55"/>
      <c r="LYC3" s="55"/>
      <c r="LYD3" s="55"/>
      <c r="LYE3" s="55"/>
      <c r="LYF3" s="55"/>
      <c r="LYG3" s="55"/>
      <c r="LYH3" s="55"/>
      <c r="LYI3" s="55"/>
      <c r="LYJ3" s="55"/>
      <c r="LYK3" s="55"/>
      <c r="LYL3" s="55"/>
      <c r="LYM3" s="55"/>
      <c r="LYN3" s="55"/>
      <c r="LYO3" s="55"/>
      <c r="LYP3" s="55"/>
      <c r="LYQ3" s="55"/>
      <c r="LYR3" s="55"/>
      <c r="LYS3" s="55"/>
      <c r="LYT3" s="55"/>
      <c r="LYU3" s="55"/>
      <c r="LYV3" s="55"/>
      <c r="LYW3" s="55"/>
      <c r="LYX3" s="55"/>
      <c r="LYY3" s="55"/>
      <c r="LYZ3" s="55"/>
      <c r="LZA3" s="55"/>
      <c r="LZB3" s="55"/>
      <c r="LZC3" s="55"/>
      <c r="LZD3" s="55"/>
      <c r="LZE3" s="55"/>
      <c r="LZF3" s="55"/>
      <c r="LZG3" s="55"/>
      <c r="LZH3" s="55"/>
      <c r="LZI3" s="55"/>
      <c r="LZJ3" s="55"/>
      <c r="LZK3" s="55"/>
      <c r="LZL3" s="55"/>
      <c r="LZM3" s="55"/>
      <c r="LZN3" s="55"/>
      <c r="LZO3" s="55"/>
      <c r="LZP3" s="55"/>
      <c r="LZQ3" s="55"/>
      <c r="LZR3" s="55"/>
      <c r="LZS3" s="55"/>
      <c r="LZT3" s="55"/>
      <c r="LZU3" s="55"/>
      <c r="LZV3" s="55"/>
      <c r="LZW3" s="55"/>
      <c r="LZX3" s="55"/>
      <c r="LZY3" s="55"/>
      <c r="LZZ3" s="55"/>
      <c r="MAA3" s="55"/>
      <c r="MAB3" s="55"/>
      <c r="MAC3" s="55"/>
      <c r="MAD3" s="55"/>
      <c r="MAE3" s="55"/>
      <c r="MAF3" s="55"/>
      <c r="MAG3" s="55"/>
      <c r="MAH3" s="55"/>
      <c r="MAI3" s="55"/>
      <c r="MAJ3" s="55"/>
      <c r="MAK3" s="55"/>
      <c r="MAL3" s="55"/>
      <c r="MAM3" s="55"/>
      <c r="MAN3" s="55"/>
      <c r="MAO3" s="55"/>
      <c r="MAP3" s="55"/>
      <c r="MAQ3" s="55"/>
      <c r="MAR3" s="55"/>
      <c r="MAS3" s="55"/>
      <c r="MAT3" s="55"/>
      <c r="MAU3" s="55"/>
      <c r="MAV3" s="55"/>
      <c r="MAW3" s="55"/>
      <c r="MAX3" s="55"/>
      <c r="MAY3" s="55"/>
      <c r="MAZ3" s="55"/>
      <c r="MBA3" s="55"/>
      <c r="MBB3" s="55"/>
      <c r="MBC3" s="55"/>
      <c r="MBD3" s="55"/>
      <c r="MBE3" s="55"/>
      <c r="MBF3" s="55"/>
      <c r="MBG3" s="55"/>
      <c r="MBH3" s="55"/>
      <c r="MBI3" s="55"/>
      <c r="MBJ3" s="55"/>
      <c r="MBK3" s="55"/>
      <c r="MBL3" s="55"/>
      <c r="MBM3" s="55"/>
      <c r="MBN3" s="55"/>
      <c r="MBO3" s="55"/>
      <c r="MBP3" s="55"/>
      <c r="MBQ3" s="55"/>
      <c r="MBR3" s="55"/>
      <c r="MBS3" s="55"/>
      <c r="MBT3" s="55"/>
      <c r="MBU3" s="55"/>
      <c r="MBV3" s="55"/>
      <c r="MBW3" s="55"/>
      <c r="MBX3" s="55"/>
      <c r="MBY3" s="55"/>
      <c r="MBZ3" s="55"/>
      <c r="MCA3" s="55"/>
      <c r="MCB3" s="55"/>
      <c r="MCC3" s="55"/>
      <c r="MCD3" s="55"/>
      <c r="MCE3" s="55"/>
      <c r="MCF3" s="55"/>
      <c r="MCG3" s="55"/>
      <c r="MCH3" s="55"/>
      <c r="MCI3" s="55"/>
      <c r="MCJ3" s="55"/>
      <c r="MCK3" s="55"/>
      <c r="MCL3" s="55"/>
      <c r="MCM3" s="55"/>
      <c r="MCN3" s="55"/>
      <c r="MCO3" s="55"/>
      <c r="MCP3" s="55"/>
      <c r="MCQ3" s="55"/>
      <c r="MCR3" s="55"/>
      <c r="MCS3" s="55"/>
      <c r="MCT3" s="55"/>
      <c r="MCU3" s="55"/>
      <c r="MCV3" s="55"/>
      <c r="MCW3" s="55"/>
      <c r="MCX3" s="55"/>
      <c r="MCY3" s="55"/>
      <c r="MCZ3" s="55"/>
      <c r="MDA3" s="55"/>
      <c r="MDB3" s="55"/>
      <c r="MDC3" s="55"/>
      <c r="MDD3" s="55"/>
      <c r="MDE3" s="55"/>
      <c r="MDF3" s="55"/>
      <c r="MDG3" s="55"/>
      <c r="MDH3" s="55"/>
      <c r="MDI3" s="55"/>
      <c r="MDJ3" s="55"/>
      <c r="MDK3" s="55"/>
      <c r="MDL3" s="55"/>
      <c r="MDM3" s="55"/>
      <c r="MDN3" s="55"/>
      <c r="MDO3" s="55"/>
      <c r="MDP3" s="55"/>
      <c r="MDQ3" s="55"/>
      <c r="MDR3" s="55"/>
      <c r="MDS3" s="55"/>
      <c r="MDT3" s="55"/>
      <c r="MDU3" s="55"/>
      <c r="MDV3" s="55"/>
      <c r="MDW3" s="55"/>
      <c r="MDX3" s="55"/>
      <c r="MDY3" s="55"/>
      <c r="MDZ3" s="55"/>
      <c r="MEA3" s="55"/>
      <c r="MEB3" s="55"/>
      <c r="MEC3" s="55"/>
      <c r="MED3" s="55"/>
      <c r="MEE3" s="55"/>
      <c r="MEF3" s="55"/>
      <c r="MEG3" s="55"/>
      <c r="MEH3" s="55"/>
      <c r="MEI3" s="55"/>
      <c r="MEJ3" s="55"/>
      <c r="MEK3" s="55"/>
      <c r="MEL3" s="55"/>
      <c r="MEM3" s="55"/>
      <c r="MEN3" s="55"/>
      <c r="MEO3" s="55"/>
      <c r="MEP3" s="55"/>
      <c r="MEQ3" s="55"/>
      <c r="MER3" s="55"/>
      <c r="MES3" s="55"/>
      <c r="MET3" s="55"/>
      <c r="MEU3" s="55"/>
      <c r="MEV3" s="55"/>
      <c r="MEW3" s="55"/>
      <c r="MEX3" s="55"/>
      <c r="MEY3" s="55"/>
      <c r="MEZ3" s="55"/>
      <c r="MFA3" s="55"/>
      <c r="MFB3" s="55"/>
      <c r="MFC3" s="55"/>
      <c r="MFD3" s="55"/>
      <c r="MFE3" s="55"/>
      <c r="MFF3" s="55"/>
      <c r="MFG3" s="55"/>
      <c r="MFH3" s="55"/>
      <c r="MFI3" s="55"/>
      <c r="MFJ3" s="55"/>
      <c r="MFK3" s="55"/>
      <c r="MFL3" s="55"/>
      <c r="MFM3" s="55"/>
      <c r="MFN3" s="55"/>
      <c r="MFO3" s="55"/>
      <c r="MFP3" s="55"/>
      <c r="MFQ3" s="55"/>
      <c r="MFR3" s="55"/>
      <c r="MFS3" s="55"/>
      <c r="MFT3" s="55"/>
      <c r="MFU3" s="55"/>
      <c r="MFV3" s="55"/>
      <c r="MFW3" s="55"/>
      <c r="MFX3" s="55"/>
      <c r="MFY3" s="55"/>
      <c r="MFZ3" s="55"/>
      <c r="MGA3" s="55"/>
      <c r="MGB3" s="55"/>
      <c r="MGC3" s="55"/>
      <c r="MGD3" s="55"/>
      <c r="MGE3" s="55"/>
      <c r="MGF3" s="55"/>
      <c r="MGG3" s="55"/>
      <c r="MGH3" s="55"/>
      <c r="MGI3" s="55"/>
      <c r="MGJ3" s="55"/>
      <c r="MGK3" s="55"/>
      <c r="MGL3" s="55"/>
      <c r="MGM3" s="55"/>
      <c r="MGN3" s="55"/>
      <c r="MGO3" s="55"/>
      <c r="MGP3" s="55"/>
      <c r="MGQ3" s="55"/>
      <c r="MGR3" s="55"/>
      <c r="MGS3" s="55"/>
      <c r="MGT3" s="55"/>
      <c r="MGU3" s="55"/>
      <c r="MGV3" s="55"/>
      <c r="MGW3" s="55"/>
      <c r="MGX3" s="55"/>
      <c r="MGY3" s="55"/>
      <c r="MGZ3" s="55"/>
      <c r="MHA3" s="55"/>
      <c r="MHB3" s="55"/>
      <c r="MHC3" s="55"/>
      <c r="MHD3" s="55"/>
      <c r="MHE3" s="55"/>
      <c r="MHF3" s="55"/>
      <c r="MHG3" s="55"/>
      <c r="MHH3" s="55"/>
      <c r="MHI3" s="55"/>
      <c r="MHJ3" s="55"/>
      <c r="MHK3" s="55"/>
      <c r="MHL3" s="55"/>
      <c r="MHM3" s="55"/>
      <c r="MHN3" s="55"/>
      <c r="MHO3" s="55"/>
      <c r="MHP3" s="55"/>
      <c r="MHQ3" s="55"/>
      <c r="MHR3" s="55"/>
      <c r="MHS3" s="55"/>
      <c r="MHT3" s="55"/>
      <c r="MHU3" s="55"/>
      <c r="MHV3" s="55"/>
      <c r="MHW3" s="55"/>
      <c r="MHX3" s="55"/>
      <c r="MHY3" s="55"/>
      <c r="MHZ3" s="55"/>
      <c r="MIA3" s="55"/>
      <c r="MIB3" s="55"/>
      <c r="MIC3" s="55"/>
      <c r="MID3" s="55"/>
      <c r="MIE3" s="55"/>
      <c r="MIF3" s="55"/>
      <c r="MIG3" s="55"/>
      <c r="MIH3" s="55"/>
      <c r="MII3" s="55"/>
      <c r="MIJ3" s="55"/>
      <c r="MIK3" s="55"/>
      <c r="MIL3" s="55"/>
      <c r="MIM3" s="55"/>
      <c r="MIN3" s="55"/>
      <c r="MIO3" s="55"/>
      <c r="MIP3" s="55"/>
      <c r="MIQ3" s="55"/>
      <c r="MIR3" s="55"/>
      <c r="MIS3" s="55"/>
      <c r="MIT3" s="55"/>
      <c r="MIU3" s="55"/>
      <c r="MIV3" s="55"/>
      <c r="MIW3" s="55"/>
      <c r="MIX3" s="55"/>
      <c r="MIY3" s="55"/>
      <c r="MIZ3" s="55"/>
      <c r="MJA3" s="55"/>
      <c r="MJB3" s="55"/>
      <c r="MJC3" s="55"/>
      <c r="MJD3" s="55"/>
      <c r="MJE3" s="55"/>
      <c r="MJF3" s="55"/>
      <c r="MJG3" s="55"/>
      <c r="MJH3" s="55"/>
      <c r="MJI3" s="55"/>
      <c r="MJJ3" s="55"/>
      <c r="MJK3" s="55"/>
      <c r="MJL3" s="55"/>
      <c r="MJM3" s="55"/>
      <c r="MJN3" s="55"/>
      <c r="MJO3" s="55"/>
      <c r="MJP3" s="55"/>
      <c r="MJQ3" s="55"/>
      <c r="MJR3" s="55"/>
      <c r="MJS3" s="55"/>
      <c r="MJT3" s="55"/>
      <c r="MJU3" s="55"/>
      <c r="MJV3" s="55"/>
      <c r="MJW3" s="55"/>
      <c r="MJX3" s="55"/>
      <c r="MJY3" s="55"/>
      <c r="MJZ3" s="55"/>
      <c r="MKA3" s="55"/>
      <c r="MKB3" s="55"/>
      <c r="MKC3" s="55"/>
      <c r="MKD3" s="55"/>
      <c r="MKE3" s="55"/>
      <c r="MKF3" s="55"/>
      <c r="MKG3" s="55"/>
      <c r="MKH3" s="55"/>
      <c r="MKI3" s="55"/>
      <c r="MKJ3" s="55"/>
      <c r="MKK3" s="55"/>
      <c r="MKL3" s="55"/>
      <c r="MKM3" s="55"/>
      <c r="MKN3" s="55"/>
      <c r="MKO3" s="55"/>
      <c r="MKP3" s="55"/>
      <c r="MKQ3" s="55"/>
      <c r="MKR3" s="55"/>
      <c r="MKS3" s="55"/>
      <c r="MKT3" s="55"/>
      <c r="MKU3" s="55"/>
      <c r="MKV3" s="55"/>
      <c r="MKW3" s="55"/>
      <c r="MKX3" s="55"/>
      <c r="MKY3" s="55"/>
      <c r="MKZ3" s="55"/>
      <c r="MLA3" s="55"/>
      <c r="MLB3" s="55"/>
      <c r="MLC3" s="55"/>
      <c r="MLD3" s="55"/>
      <c r="MLE3" s="55"/>
      <c r="MLF3" s="55"/>
      <c r="MLG3" s="55"/>
      <c r="MLH3" s="55"/>
      <c r="MLI3" s="55"/>
      <c r="MLJ3" s="55"/>
      <c r="MLK3" s="55"/>
      <c r="MLL3" s="55"/>
      <c r="MLM3" s="55"/>
      <c r="MLN3" s="55"/>
      <c r="MLO3" s="55"/>
      <c r="MLP3" s="55"/>
      <c r="MLQ3" s="55"/>
      <c r="MLR3" s="55"/>
      <c r="MLS3" s="55"/>
      <c r="MLT3" s="55"/>
      <c r="MLU3" s="55"/>
      <c r="MLV3" s="55"/>
      <c r="MLW3" s="55"/>
      <c r="MLX3" s="55"/>
      <c r="MLY3" s="55"/>
      <c r="MLZ3" s="55"/>
      <c r="MMA3" s="55"/>
      <c r="MMB3" s="55"/>
      <c r="MMC3" s="55"/>
      <c r="MMD3" s="55"/>
      <c r="MME3" s="55"/>
      <c r="MMF3" s="55"/>
      <c r="MMG3" s="55"/>
      <c r="MMH3" s="55"/>
      <c r="MMI3" s="55"/>
      <c r="MMJ3" s="55"/>
      <c r="MMK3" s="55"/>
      <c r="MML3" s="55"/>
      <c r="MMM3" s="55"/>
      <c r="MMN3" s="55"/>
      <c r="MMO3" s="55"/>
      <c r="MMP3" s="55"/>
      <c r="MMQ3" s="55"/>
      <c r="MMR3" s="55"/>
      <c r="MMS3" s="55"/>
      <c r="MMT3" s="55"/>
      <c r="MMU3" s="55"/>
      <c r="MMV3" s="55"/>
      <c r="MMW3" s="55"/>
      <c r="MMX3" s="55"/>
      <c r="MMY3" s="55"/>
      <c r="MMZ3" s="55"/>
      <c r="MNA3" s="55"/>
      <c r="MNB3" s="55"/>
      <c r="MNC3" s="55"/>
      <c r="MND3" s="55"/>
      <c r="MNE3" s="55"/>
      <c r="MNF3" s="55"/>
      <c r="MNG3" s="55"/>
      <c r="MNH3" s="55"/>
      <c r="MNI3" s="55"/>
      <c r="MNJ3" s="55"/>
      <c r="MNK3" s="55"/>
      <c r="MNL3" s="55"/>
      <c r="MNM3" s="55"/>
      <c r="MNN3" s="55"/>
      <c r="MNO3" s="55"/>
      <c r="MNP3" s="55"/>
      <c r="MNQ3" s="55"/>
      <c r="MNR3" s="55"/>
      <c r="MNS3" s="55"/>
      <c r="MNT3" s="55"/>
      <c r="MNU3" s="55"/>
      <c r="MNV3" s="55"/>
      <c r="MNW3" s="55"/>
      <c r="MNX3" s="55"/>
      <c r="MNY3" s="55"/>
      <c r="MNZ3" s="55"/>
      <c r="MOA3" s="55"/>
      <c r="MOB3" s="55"/>
      <c r="MOC3" s="55"/>
      <c r="MOD3" s="55"/>
      <c r="MOE3" s="55"/>
      <c r="MOF3" s="55"/>
      <c r="MOG3" s="55"/>
      <c r="MOH3" s="55"/>
      <c r="MOI3" s="55"/>
      <c r="MOJ3" s="55"/>
      <c r="MOK3" s="55"/>
      <c r="MOL3" s="55"/>
      <c r="MOM3" s="55"/>
      <c r="MON3" s="55"/>
      <c r="MOO3" s="55"/>
      <c r="MOP3" s="55"/>
      <c r="MOQ3" s="55"/>
      <c r="MOR3" s="55"/>
      <c r="MOS3" s="55"/>
      <c r="MOT3" s="55"/>
      <c r="MOU3" s="55"/>
      <c r="MOV3" s="55"/>
      <c r="MOW3" s="55"/>
      <c r="MOX3" s="55"/>
      <c r="MOY3" s="55"/>
      <c r="MOZ3" s="55"/>
      <c r="MPA3" s="55"/>
      <c r="MPB3" s="55"/>
      <c r="MPC3" s="55"/>
      <c r="MPD3" s="55"/>
      <c r="MPE3" s="55"/>
      <c r="MPF3" s="55"/>
      <c r="MPG3" s="55"/>
      <c r="MPH3" s="55"/>
      <c r="MPI3" s="55"/>
      <c r="MPJ3" s="55"/>
      <c r="MPK3" s="55"/>
      <c r="MPL3" s="55"/>
      <c r="MPM3" s="55"/>
      <c r="MPN3" s="55"/>
      <c r="MPO3" s="55"/>
      <c r="MPP3" s="55"/>
      <c r="MPQ3" s="55"/>
      <c r="MPR3" s="55"/>
      <c r="MPS3" s="55"/>
      <c r="MPT3" s="55"/>
      <c r="MPU3" s="55"/>
      <c r="MPV3" s="55"/>
      <c r="MPW3" s="55"/>
      <c r="MPX3" s="55"/>
      <c r="MPY3" s="55"/>
      <c r="MPZ3" s="55"/>
      <c r="MQA3" s="55"/>
      <c r="MQB3" s="55"/>
      <c r="MQC3" s="55"/>
      <c r="MQD3" s="55"/>
      <c r="MQE3" s="55"/>
      <c r="MQF3" s="55"/>
      <c r="MQG3" s="55"/>
      <c r="MQH3" s="55"/>
      <c r="MQI3" s="55"/>
      <c r="MQJ3" s="55"/>
      <c r="MQK3" s="55"/>
      <c r="MQL3" s="55"/>
      <c r="MQM3" s="55"/>
      <c r="MQN3" s="55"/>
      <c r="MQO3" s="55"/>
      <c r="MQP3" s="55"/>
      <c r="MQQ3" s="55"/>
      <c r="MQR3" s="55"/>
      <c r="MQS3" s="55"/>
      <c r="MQT3" s="55"/>
      <c r="MQU3" s="55"/>
      <c r="MQV3" s="55"/>
      <c r="MQW3" s="55"/>
      <c r="MQX3" s="55"/>
      <c r="MQY3" s="55"/>
      <c r="MQZ3" s="55"/>
      <c r="MRA3" s="55"/>
      <c r="MRB3" s="55"/>
      <c r="MRC3" s="55"/>
      <c r="MRD3" s="55"/>
      <c r="MRE3" s="55"/>
      <c r="MRF3" s="55"/>
      <c r="MRG3" s="55"/>
      <c r="MRH3" s="55"/>
      <c r="MRI3" s="55"/>
      <c r="MRJ3" s="55"/>
      <c r="MRK3" s="55"/>
      <c r="MRL3" s="55"/>
      <c r="MRM3" s="55"/>
      <c r="MRN3" s="55"/>
      <c r="MRO3" s="55"/>
      <c r="MRP3" s="55"/>
      <c r="MRQ3" s="55"/>
      <c r="MRR3" s="55"/>
      <c r="MRS3" s="55"/>
      <c r="MRT3" s="55"/>
      <c r="MRU3" s="55"/>
      <c r="MRV3" s="55"/>
      <c r="MRW3" s="55"/>
      <c r="MRX3" s="55"/>
      <c r="MRY3" s="55"/>
      <c r="MRZ3" s="55"/>
      <c r="MSA3" s="55"/>
      <c r="MSB3" s="55"/>
      <c r="MSC3" s="55"/>
      <c r="MSD3" s="55"/>
      <c r="MSE3" s="55"/>
      <c r="MSF3" s="55"/>
      <c r="MSG3" s="55"/>
      <c r="MSH3" s="55"/>
      <c r="MSI3" s="55"/>
      <c r="MSJ3" s="55"/>
      <c r="MSK3" s="55"/>
      <c r="MSL3" s="55"/>
      <c r="MSM3" s="55"/>
      <c r="MSN3" s="55"/>
      <c r="MSO3" s="55"/>
      <c r="MSP3" s="55"/>
      <c r="MSQ3" s="55"/>
      <c r="MSR3" s="55"/>
      <c r="MSS3" s="55"/>
      <c r="MST3" s="55"/>
      <c r="MSU3" s="55"/>
      <c r="MSV3" s="55"/>
      <c r="MSW3" s="55"/>
      <c r="MSX3" s="55"/>
      <c r="MSY3" s="55"/>
      <c r="MSZ3" s="55"/>
      <c r="MTA3" s="55"/>
      <c r="MTB3" s="55"/>
      <c r="MTC3" s="55"/>
      <c r="MTD3" s="55"/>
      <c r="MTE3" s="55"/>
      <c r="MTF3" s="55"/>
      <c r="MTG3" s="55"/>
      <c r="MTH3" s="55"/>
      <c r="MTI3" s="55"/>
      <c r="MTJ3" s="55"/>
      <c r="MTK3" s="55"/>
      <c r="MTL3" s="55"/>
      <c r="MTM3" s="55"/>
      <c r="MTN3" s="55"/>
      <c r="MTO3" s="55"/>
      <c r="MTP3" s="55"/>
      <c r="MTQ3" s="55"/>
      <c r="MTR3" s="55"/>
      <c r="MTS3" s="55"/>
      <c r="MTT3" s="55"/>
      <c r="MTU3" s="55"/>
      <c r="MTV3" s="55"/>
      <c r="MTW3" s="55"/>
      <c r="MTX3" s="55"/>
      <c r="MTY3" s="55"/>
      <c r="MTZ3" s="55"/>
      <c r="MUA3" s="55"/>
      <c r="MUB3" s="55"/>
      <c r="MUC3" s="55"/>
      <c r="MUD3" s="55"/>
      <c r="MUE3" s="55"/>
      <c r="MUF3" s="55"/>
      <c r="MUG3" s="55"/>
      <c r="MUH3" s="55"/>
      <c r="MUI3" s="55"/>
      <c r="MUJ3" s="55"/>
      <c r="MUK3" s="55"/>
      <c r="MUL3" s="55"/>
      <c r="MUM3" s="55"/>
      <c r="MUN3" s="55"/>
      <c r="MUO3" s="55"/>
      <c r="MUP3" s="55"/>
      <c r="MUQ3" s="55"/>
      <c r="MUR3" s="55"/>
      <c r="MUS3" s="55"/>
      <c r="MUT3" s="55"/>
      <c r="MUU3" s="55"/>
      <c r="MUV3" s="55"/>
      <c r="MUW3" s="55"/>
      <c r="MUX3" s="55"/>
      <c r="MUY3" s="55"/>
      <c r="MUZ3" s="55"/>
      <c r="MVA3" s="55"/>
      <c r="MVB3" s="55"/>
      <c r="MVC3" s="55"/>
      <c r="MVD3" s="55"/>
      <c r="MVE3" s="55"/>
      <c r="MVF3" s="55"/>
      <c r="MVG3" s="55"/>
      <c r="MVH3" s="55"/>
      <c r="MVI3" s="55"/>
      <c r="MVJ3" s="55"/>
      <c r="MVK3" s="55"/>
      <c r="MVL3" s="55"/>
      <c r="MVM3" s="55"/>
      <c r="MVN3" s="55"/>
      <c r="MVO3" s="55"/>
      <c r="MVP3" s="55"/>
      <c r="MVQ3" s="55"/>
      <c r="MVR3" s="55"/>
      <c r="MVS3" s="55"/>
      <c r="MVT3" s="55"/>
      <c r="MVU3" s="55"/>
      <c r="MVV3" s="55"/>
      <c r="MVW3" s="55"/>
      <c r="MVX3" s="55"/>
      <c r="MVY3" s="55"/>
      <c r="MVZ3" s="55"/>
      <c r="MWA3" s="55"/>
      <c r="MWB3" s="55"/>
      <c r="MWC3" s="55"/>
      <c r="MWD3" s="55"/>
      <c r="MWE3" s="55"/>
      <c r="MWF3" s="55"/>
      <c r="MWG3" s="55"/>
      <c r="MWH3" s="55"/>
      <c r="MWI3" s="55"/>
      <c r="MWJ3" s="55"/>
      <c r="MWK3" s="55"/>
      <c r="MWL3" s="55"/>
      <c r="MWM3" s="55"/>
      <c r="MWN3" s="55"/>
      <c r="MWO3" s="55"/>
      <c r="MWP3" s="55"/>
      <c r="MWQ3" s="55"/>
      <c r="MWR3" s="55"/>
      <c r="MWS3" s="55"/>
      <c r="MWT3" s="55"/>
      <c r="MWU3" s="55"/>
      <c r="MWV3" s="55"/>
      <c r="MWW3" s="55"/>
      <c r="MWX3" s="55"/>
      <c r="MWY3" s="55"/>
      <c r="MWZ3" s="55"/>
      <c r="MXA3" s="55"/>
      <c r="MXB3" s="55"/>
      <c r="MXC3" s="55"/>
      <c r="MXD3" s="55"/>
      <c r="MXE3" s="55"/>
      <c r="MXF3" s="55"/>
      <c r="MXG3" s="55"/>
      <c r="MXH3" s="55"/>
      <c r="MXI3" s="55"/>
      <c r="MXJ3" s="55"/>
      <c r="MXK3" s="55"/>
      <c r="MXL3" s="55"/>
      <c r="MXM3" s="55"/>
      <c r="MXN3" s="55"/>
      <c r="MXO3" s="55"/>
      <c r="MXP3" s="55"/>
      <c r="MXQ3" s="55"/>
      <c r="MXR3" s="55"/>
      <c r="MXS3" s="55"/>
      <c r="MXT3" s="55"/>
      <c r="MXU3" s="55"/>
      <c r="MXV3" s="55"/>
      <c r="MXW3" s="55"/>
      <c r="MXX3" s="55"/>
      <c r="MXY3" s="55"/>
      <c r="MXZ3" s="55"/>
      <c r="MYA3" s="55"/>
      <c r="MYB3" s="55"/>
      <c r="MYC3" s="55"/>
      <c r="MYD3" s="55"/>
      <c r="MYE3" s="55"/>
      <c r="MYF3" s="55"/>
      <c r="MYG3" s="55"/>
      <c r="MYH3" s="55"/>
      <c r="MYI3" s="55"/>
      <c r="MYJ3" s="55"/>
      <c r="MYK3" s="55"/>
      <c r="MYL3" s="55"/>
      <c r="MYM3" s="55"/>
      <c r="MYN3" s="55"/>
      <c r="MYO3" s="55"/>
      <c r="MYP3" s="55"/>
      <c r="MYQ3" s="55"/>
      <c r="MYR3" s="55"/>
      <c r="MYS3" s="55"/>
      <c r="MYT3" s="55"/>
      <c r="MYU3" s="55"/>
      <c r="MYV3" s="55"/>
      <c r="MYW3" s="55"/>
      <c r="MYX3" s="55"/>
      <c r="MYY3" s="55"/>
      <c r="MYZ3" s="55"/>
      <c r="MZA3" s="55"/>
      <c r="MZB3" s="55"/>
      <c r="MZC3" s="55"/>
      <c r="MZD3" s="55"/>
      <c r="MZE3" s="55"/>
      <c r="MZF3" s="55"/>
      <c r="MZG3" s="55"/>
      <c r="MZH3" s="55"/>
      <c r="MZI3" s="55"/>
      <c r="MZJ3" s="55"/>
      <c r="MZK3" s="55"/>
      <c r="MZL3" s="55"/>
      <c r="MZM3" s="55"/>
      <c r="MZN3" s="55"/>
      <c r="MZO3" s="55"/>
      <c r="MZP3" s="55"/>
      <c r="MZQ3" s="55"/>
      <c r="MZR3" s="55"/>
      <c r="MZS3" s="55"/>
      <c r="MZT3" s="55"/>
      <c r="MZU3" s="55"/>
      <c r="MZV3" s="55"/>
      <c r="MZW3" s="55"/>
      <c r="MZX3" s="55"/>
      <c r="MZY3" s="55"/>
      <c r="MZZ3" s="55"/>
      <c r="NAA3" s="55"/>
      <c r="NAB3" s="55"/>
      <c r="NAC3" s="55"/>
      <c r="NAD3" s="55"/>
      <c r="NAE3" s="55"/>
      <c r="NAF3" s="55"/>
      <c r="NAG3" s="55"/>
      <c r="NAH3" s="55"/>
      <c r="NAI3" s="55"/>
      <c r="NAJ3" s="55"/>
      <c r="NAK3" s="55"/>
      <c r="NAL3" s="55"/>
      <c r="NAM3" s="55"/>
      <c r="NAN3" s="55"/>
      <c r="NAO3" s="55"/>
      <c r="NAP3" s="55"/>
      <c r="NAQ3" s="55"/>
      <c r="NAR3" s="55"/>
      <c r="NAS3" s="55"/>
      <c r="NAT3" s="55"/>
      <c r="NAU3" s="55"/>
      <c r="NAV3" s="55"/>
      <c r="NAW3" s="55"/>
      <c r="NAX3" s="55"/>
      <c r="NAY3" s="55"/>
      <c r="NAZ3" s="55"/>
      <c r="NBA3" s="55"/>
      <c r="NBB3" s="55"/>
      <c r="NBC3" s="55"/>
      <c r="NBD3" s="55"/>
      <c r="NBE3" s="55"/>
      <c r="NBF3" s="55"/>
      <c r="NBG3" s="55"/>
      <c r="NBH3" s="55"/>
      <c r="NBI3" s="55"/>
      <c r="NBJ3" s="55"/>
      <c r="NBK3" s="55"/>
      <c r="NBL3" s="55"/>
      <c r="NBM3" s="55"/>
      <c r="NBN3" s="55"/>
      <c r="NBO3" s="55"/>
      <c r="NBP3" s="55"/>
      <c r="NBQ3" s="55"/>
      <c r="NBR3" s="55"/>
      <c r="NBS3" s="55"/>
      <c r="NBT3" s="55"/>
      <c r="NBU3" s="55"/>
      <c r="NBV3" s="55"/>
      <c r="NBW3" s="55"/>
      <c r="NBX3" s="55"/>
      <c r="NBY3" s="55"/>
      <c r="NBZ3" s="55"/>
      <c r="NCA3" s="55"/>
      <c r="NCB3" s="55"/>
      <c r="NCC3" s="55"/>
      <c r="NCD3" s="55"/>
      <c r="NCE3" s="55"/>
      <c r="NCF3" s="55"/>
      <c r="NCG3" s="55"/>
      <c r="NCH3" s="55"/>
      <c r="NCI3" s="55"/>
      <c r="NCJ3" s="55"/>
      <c r="NCK3" s="55"/>
      <c r="NCL3" s="55"/>
      <c r="NCM3" s="55"/>
      <c r="NCN3" s="55"/>
      <c r="NCO3" s="55"/>
      <c r="NCP3" s="55"/>
      <c r="NCQ3" s="55"/>
      <c r="NCR3" s="55"/>
      <c r="NCS3" s="55"/>
      <c r="NCT3" s="55"/>
      <c r="NCU3" s="55"/>
      <c r="NCV3" s="55"/>
      <c r="NCW3" s="55"/>
      <c r="NCX3" s="55"/>
      <c r="NCY3" s="55"/>
      <c r="NCZ3" s="55"/>
      <c r="NDA3" s="55"/>
      <c r="NDB3" s="55"/>
      <c r="NDC3" s="55"/>
      <c r="NDD3" s="55"/>
      <c r="NDE3" s="55"/>
      <c r="NDF3" s="55"/>
      <c r="NDG3" s="55"/>
      <c r="NDH3" s="55"/>
      <c r="NDI3" s="55"/>
      <c r="NDJ3" s="55"/>
      <c r="NDK3" s="55"/>
      <c r="NDL3" s="55"/>
      <c r="NDM3" s="55"/>
      <c r="NDN3" s="55"/>
      <c r="NDO3" s="55"/>
      <c r="NDP3" s="55"/>
      <c r="NDQ3" s="55"/>
      <c r="NDR3" s="55"/>
      <c r="NDS3" s="55"/>
      <c r="NDT3" s="55"/>
      <c r="NDU3" s="55"/>
      <c r="NDV3" s="55"/>
      <c r="NDW3" s="55"/>
      <c r="NDX3" s="55"/>
      <c r="NDY3" s="55"/>
      <c r="NDZ3" s="55"/>
      <c r="NEA3" s="55"/>
      <c r="NEB3" s="55"/>
      <c r="NEC3" s="55"/>
      <c r="NED3" s="55"/>
      <c r="NEE3" s="55"/>
      <c r="NEF3" s="55"/>
      <c r="NEG3" s="55"/>
      <c r="NEH3" s="55"/>
      <c r="NEI3" s="55"/>
      <c r="NEJ3" s="55"/>
      <c r="NEK3" s="55"/>
      <c r="NEL3" s="55"/>
      <c r="NEM3" s="55"/>
      <c r="NEN3" s="55"/>
      <c r="NEO3" s="55"/>
      <c r="NEP3" s="55"/>
      <c r="NEQ3" s="55"/>
      <c r="NER3" s="55"/>
      <c r="NES3" s="55"/>
      <c r="NET3" s="55"/>
      <c r="NEU3" s="55"/>
      <c r="NEV3" s="55"/>
      <c r="NEW3" s="55"/>
      <c r="NEX3" s="55"/>
      <c r="NEY3" s="55"/>
      <c r="NEZ3" s="55"/>
      <c r="NFA3" s="55"/>
      <c r="NFB3" s="55"/>
      <c r="NFC3" s="55"/>
      <c r="NFD3" s="55"/>
      <c r="NFE3" s="55"/>
      <c r="NFF3" s="55"/>
      <c r="NFG3" s="55"/>
      <c r="NFH3" s="55"/>
      <c r="NFI3" s="55"/>
      <c r="NFJ3" s="55"/>
      <c r="NFK3" s="55"/>
      <c r="NFL3" s="55"/>
      <c r="NFM3" s="55"/>
      <c r="NFN3" s="55"/>
      <c r="NFO3" s="55"/>
      <c r="NFP3" s="55"/>
      <c r="NFQ3" s="55"/>
      <c r="NFR3" s="55"/>
      <c r="NFS3" s="55"/>
      <c r="NFT3" s="55"/>
      <c r="NFU3" s="55"/>
      <c r="NFV3" s="55"/>
      <c r="NFW3" s="55"/>
      <c r="NFX3" s="55"/>
      <c r="NFY3" s="55"/>
      <c r="NFZ3" s="55"/>
      <c r="NGA3" s="55"/>
      <c r="NGB3" s="55"/>
      <c r="NGC3" s="55"/>
      <c r="NGD3" s="55"/>
      <c r="NGE3" s="55"/>
      <c r="NGF3" s="55"/>
      <c r="NGG3" s="55"/>
      <c r="NGH3" s="55"/>
      <c r="NGI3" s="55"/>
      <c r="NGJ3" s="55"/>
      <c r="NGK3" s="55"/>
      <c r="NGL3" s="55"/>
      <c r="NGM3" s="55"/>
      <c r="NGN3" s="55"/>
      <c r="NGO3" s="55"/>
      <c r="NGP3" s="55"/>
      <c r="NGQ3" s="55"/>
      <c r="NGR3" s="55"/>
      <c r="NGS3" s="55"/>
      <c r="NGT3" s="55"/>
      <c r="NGU3" s="55"/>
      <c r="NGV3" s="55"/>
      <c r="NGW3" s="55"/>
      <c r="NGX3" s="55"/>
      <c r="NGY3" s="55"/>
      <c r="NGZ3" s="55"/>
      <c r="NHA3" s="55"/>
      <c r="NHB3" s="55"/>
      <c r="NHC3" s="55"/>
      <c r="NHD3" s="55"/>
      <c r="NHE3" s="55"/>
      <c r="NHF3" s="55"/>
      <c r="NHG3" s="55"/>
      <c r="NHH3" s="55"/>
      <c r="NHI3" s="55"/>
      <c r="NHJ3" s="55"/>
      <c r="NHK3" s="55"/>
      <c r="NHL3" s="55"/>
      <c r="NHM3" s="55"/>
      <c r="NHN3" s="55"/>
      <c r="NHO3" s="55"/>
      <c r="NHP3" s="55"/>
      <c r="NHQ3" s="55"/>
      <c r="NHR3" s="55"/>
      <c r="NHS3" s="55"/>
      <c r="NHT3" s="55"/>
      <c r="NHU3" s="55"/>
      <c r="NHV3" s="55"/>
      <c r="NHW3" s="55"/>
      <c r="NHX3" s="55"/>
      <c r="NHY3" s="55"/>
      <c r="NHZ3" s="55"/>
      <c r="NIA3" s="55"/>
      <c r="NIB3" s="55"/>
      <c r="NIC3" s="55"/>
      <c r="NID3" s="55"/>
      <c r="NIE3" s="55"/>
      <c r="NIF3" s="55"/>
      <c r="NIG3" s="55"/>
      <c r="NIH3" s="55"/>
      <c r="NII3" s="55"/>
      <c r="NIJ3" s="55"/>
      <c r="NIK3" s="55"/>
      <c r="NIL3" s="55"/>
      <c r="NIM3" s="55"/>
      <c r="NIN3" s="55"/>
      <c r="NIO3" s="55"/>
      <c r="NIP3" s="55"/>
      <c r="NIQ3" s="55"/>
      <c r="NIR3" s="55"/>
      <c r="NIS3" s="55"/>
      <c r="NIT3" s="55"/>
      <c r="NIU3" s="55"/>
      <c r="NIV3" s="55"/>
      <c r="NIW3" s="55"/>
      <c r="NIX3" s="55"/>
      <c r="NIY3" s="55"/>
      <c r="NIZ3" s="55"/>
      <c r="NJA3" s="55"/>
      <c r="NJB3" s="55"/>
      <c r="NJC3" s="55"/>
      <c r="NJD3" s="55"/>
      <c r="NJE3" s="55"/>
      <c r="NJF3" s="55"/>
      <c r="NJG3" s="55"/>
      <c r="NJH3" s="55"/>
      <c r="NJI3" s="55"/>
      <c r="NJJ3" s="55"/>
      <c r="NJK3" s="55"/>
      <c r="NJL3" s="55"/>
      <c r="NJM3" s="55"/>
      <c r="NJN3" s="55"/>
      <c r="NJO3" s="55"/>
      <c r="NJP3" s="55"/>
      <c r="NJQ3" s="55"/>
      <c r="NJR3" s="55"/>
      <c r="NJS3" s="55"/>
      <c r="NJT3" s="55"/>
      <c r="NJU3" s="55"/>
      <c r="NJV3" s="55"/>
      <c r="NJW3" s="55"/>
      <c r="NJX3" s="55"/>
      <c r="NJY3" s="55"/>
      <c r="NJZ3" s="55"/>
      <c r="NKA3" s="55"/>
      <c r="NKB3" s="55"/>
      <c r="NKC3" s="55"/>
      <c r="NKD3" s="55"/>
      <c r="NKE3" s="55"/>
      <c r="NKF3" s="55"/>
      <c r="NKG3" s="55"/>
      <c r="NKH3" s="55"/>
      <c r="NKI3" s="55"/>
      <c r="NKJ3" s="55"/>
      <c r="NKK3" s="55"/>
      <c r="NKL3" s="55"/>
      <c r="NKM3" s="55"/>
      <c r="NKN3" s="55"/>
      <c r="NKO3" s="55"/>
      <c r="NKP3" s="55"/>
      <c r="NKQ3" s="55"/>
      <c r="NKR3" s="55"/>
      <c r="NKS3" s="55"/>
      <c r="NKT3" s="55"/>
      <c r="NKU3" s="55"/>
      <c r="NKV3" s="55"/>
      <c r="NKW3" s="55"/>
      <c r="NKX3" s="55"/>
      <c r="NKY3" s="55"/>
      <c r="NKZ3" s="55"/>
      <c r="NLA3" s="55"/>
      <c r="NLB3" s="55"/>
      <c r="NLC3" s="55"/>
      <c r="NLD3" s="55"/>
      <c r="NLE3" s="55"/>
      <c r="NLF3" s="55"/>
      <c r="NLG3" s="55"/>
      <c r="NLH3" s="55"/>
      <c r="NLI3" s="55"/>
      <c r="NLJ3" s="55"/>
      <c r="NLK3" s="55"/>
      <c r="NLL3" s="55"/>
      <c r="NLM3" s="55"/>
      <c r="NLN3" s="55"/>
      <c r="NLO3" s="55"/>
      <c r="NLP3" s="55"/>
      <c r="NLQ3" s="55"/>
      <c r="NLR3" s="55"/>
      <c r="NLS3" s="55"/>
      <c r="NLT3" s="55"/>
      <c r="NLU3" s="55"/>
      <c r="NLV3" s="55"/>
      <c r="NLW3" s="55"/>
      <c r="NLX3" s="55"/>
      <c r="NLY3" s="55"/>
      <c r="NLZ3" s="55"/>
      <c r="NMA3" s="55"/>
      <c r="NMB3" s="55"/>
      <c r="NMC3" s="55"/>
      <c r="NMD3" s="55"/>
      <c r="NME3" s="55"/>
      <c r="NMF3" s="55"/>
      <c r="NMG3" s="55"/>
      <c r="NMH3" s="55"/>
      <c r="NMI3" s="55"/>
      <c r="NMJ3" s="55"/>
      <c r="NMK3" s="55"/>
      <c r="NML3" s="55"/>
      <c r="NMM3" s="55"/>
      <c r="NMN3" s="55"/>
      <c r="NMO3" s="55"/>
      <c r="NMP3" s="55"/>
      <c r="NMQ3" s="55"/>
      <c r="NMR3" s="55"/>
      <c r="NMS3" s="55"/>
      <c r="NMT3" s="55"/>
      <c r="NMU3" s="55"/>
      <c r="NMV3" s="55"/>
      <c r="NMW3" s="55"/>
      <c r="NMX3" s="55"/>
      <c r="NMY3" s="55"/>
      <c r="NMZ3" s="55"/>
      <c r="NNA3" s="55"/>
      <c r="NNB3" s="55"/>
      <c r="NNC3" s="55"/>
      <c r="NND3" s="55"/>
      <c r="NNE3" s="55"/>
      <c r="NNF3" s="55"/>
      <c r="NNG3" s="55"/>
      <c r="NNH3" s="55"/>
      <c r="NNI3" s="55"/>
      <c r="NNJ3" s="55"/>
      <c r="NNK3" s="55"/>
      <c r="NNL3" s="55"/>
      <c r="NNM3" s="55"/>
      <c r="NNN3" s="55"/>
      <c r="NNO3" s="55"/>
      <c r="NNP3" s="55"/>
      <c r="NNQ3" s="55"/>
      <c r="NNR3" s="55"/>
      <c r="NNS3" s="55"/>
      <c r="NNT3" s="55"/>
      <c r="NNU3" s="55"/>
      <c r="NNV3" s="55"/>
      <c r="NNW3" s="55"/>
      <c r="NNX3" s="55"/>
      <c r="NNY3" s="55"/>
      <c r="NNZ3" s="55"/>
      <c r="NOA3" s="55"/>
      <c r="NOB3" s="55"/>
      <c r="NOC3" s="55"/>
      <c r="NOD3" s="55"/>
      <c r="NOE3" s="55"/>
      <c r="NOF3" s="55"/>
      <c r="NOG3" s="55"/>
      <c r="NOH3" s="55"/>
      <c r="NOI3" s="55"/>
      <c r="NOJ3" s="55"/>
      <c r="NOK3" s="55"/>
      <c r="NOL3" s="55"/>
      <c r="NOM3" s="55"/>
      <c r="NON3" s="55"/>
      <c r="NOO3" s="55"/>
      <c r="NOP3" s="55"/>
      <c r="NOQ3" s="55"/>
      <c r="NOR3" s="55"/>
      <c r="NOS3" s="55"/>
      <c r="NOT3" s="55"/>
      <c r="NOU3" s="55"/>
      <c r="NOV3" s="55"/>
      <c r="NOW3" s="55"/>
      <c r="NOX3" s="55"/>
      <c r="NOY3" s="55"/>
      <c r="NOZ3" s="55"/>
      <c r="NPA3" s="55"/>
      <c r="NPB3" s="55"/>
      <c r="NPC3" s="55"/>
      <c r="NPD3" s="55"/>
      <c r="NPE3" s="55"/>
      <c r="NPF3" s="55"/>
      <c r="NPG3" s="55"/>
      <c r="NPH3" s="55"/>
      <c r="NPI3" s="55"/>
      <c r="NPJ3" s="55"/>
      <c r="NPK3" s="55"/>
      <c r="NPL3" s="55"/>
      <c r="NPM3" s="55"/>
      <c r="NPN3" s="55"/>
      <c r="NPO3" s="55"/>
      <c r="NPP3" s="55"/>
      <c r="NPQ3" s="55"/>
      <c r="NPR3" s="55"/>
      <c r="NPS3" s="55"/>
      <c r="NPT3" s="55"/>
      <c r="NPU3" s="55"/>
      <c r="NPV3" s="55"/>
      <c r="NPW3" s="55"/>
      <c r="NPX3" s="55"/>
      <c r="NPY3" s="55"/>
      <c r="NPZ3" s="55"/>
      <c r="NQA3" s="55"/>
      <c r="NQB3" s="55"/>
      <c r="NQC3" s="55"/>
      <c r="NQD3" s="55"/>
      <c r="NQE3" s="55"/>
      <c r="NQF3" s="55"/>
      <c r="NQG3" s="55"/>
      <c r="NQH3" s="55"/>
      <c r="NQI3" s="55"/>
      <c r="NQJ3" s="55"/>
      <c r="NQK3" s="55"/>
      <c r="NQL3" s="55"/>
      <c r="NQM3" s="55"/>
      <c r="NQN3" s="55"/>
      <c r="NQO3" s="55"/>
      <c r="NQP3" s="55"/>
      <c r="NQQ3" s="55"/>
      <c r="NQR3" s="55"/>
      <c r="NQS3" s="55"/>
      <c r="NQT3" s="55"/>
      <c r="NQU3" s="55"/>
      <c r="NQV3" s="55"/>
      <c r="NQW3" s="55"/>
      <c r="NQX3" s="55"/>
      <c r="NQY3" s="55"/>
      <c r="NQZ3" s="55"/>
      <c r="NRA3" s="55"/>
      <c r="NRB3" s="55"/>
      <c r="NRC3" s="55"/>
      <c r="NRD3" s="55"/>
      <c r="NRE3" s="55"/>
      <c r="NRF3" s="55"/>
      <c r="NRG3" s="55"/>
      <c r="NRH3" s="55"/>
      <c r="NRI3" s="55"/>
      <c r="NRJ3" s="55"/>
      <c r="NRK3" s="55"/>
      <c r="NRL3" s="55"/>
      <c r="NRM3" s="55"/>
      <c r="NRN3" s="55"/>
      <c r="NRO3" s="55"/>
      <c r="NRP3" s="55"/>
      <c r="NRQ3" s="55"/>
      <c r="NRR3" s="55"/>
      <c r="NRS3" s="55"/>
      <c r="NRT3" s="55"/>
      <c r="NRU3" s="55"/>
      <c r="NRV3" s="55"/>
      <c r="NRW3" s="55"/>
      <c r="NRX3" s="55"/>
      <c r="NRY3" s="55"/>
      <c r="NRZ3" s="55"/>
      <c r="NSA3" s="55"/>
      <c r="NSB3" s="55"/>
      <c r="NSC3" s="55"/>
      <c r="NSD3" s="55"/>
      <c r="NSE3" s="55"/>
      <c r="NSF3" s="55"/>
      <c r="NSG3" s="55"/>
      <c r="NSH3" s="55"/>
      <c r="NSI3" s="55"/>
      <c r="NSJ3" s="55"/>
      <c r="NSK3" s="55"/>
      <c r="NSL3" s="55"/>
      <c r="NSM3" s="55"/>
      <c r="NSN3" s="55"/>
      <c r="NSO3" s="55"/>
      <c r="NSP3" s="55"/>
      <c r="NSQ3" s="55"/>
      <c r="NSR3" s="55"/>
      <c r="NSS3" s="55"/>
      <c r="NST3" s="55"/>
      <c r="NSU3" s="55"/>
      <c r="NSV3" s="55"/>
      <c r="NSW3" s="55"/>
      <c r="NSX3" s="55"/>
      <c r="NSY3" s="55"/>
      <c r="NSZ3" s="55"/>
      <c r="NTA3" s="55"/>
      <c r="NTB3" s="55"/>
      <c r="NTC3" s="55"/>
      <c r="NTD3" s="55"/>
      <c r="NTE3" s="55"/>
      <c r="NTF3" s="55"/>
      <c r="NTG3" s="55"/>
      <c r="NTH3" s="55"/>
      <c r="NTI3" s="55"/>
      <c r="NTJ3" s="55"/>
      <c r="NTK3" s="55"/>
      <c r="NTL3" s="55"/>
      <c r="NTM3" s="55"/>
      <c r="NTN3" s="55"/>
      <c r="NTO3" s="55"/>
      <c r="NTP3" s="55"/>
      <c r="NTQ3" s="55"/>
      <c r="NTR3" s="55"/>
      <c r="NTS3" s="55"/>
      <c r="NTT3" s="55"/>
      <c r="NTU3" s="55"/>
      <c r="NTV3" s="55"/>
      <c r="NTW3" s="55"/>
      <c r="NTX3" s="55"/>
      <c r="NTY3" s="55"/>
      <c r="NTZ3" s="55"/>
      <c r="NUA3" s="55"/>
      <c r="NUB3" s="55"/>
      <c r="NUC3" s="55"/>
      <c r="NUD3" s="55"/>
      <c r="NUE3" s="55"/>
      <c r="NUF3" s="55"/>
      <c r="NUG3" s="55"/>
      <c r="NUH3" s="55"/>
      <c r="NUI3" s="55"/>
      <c r="NUJ3" s="55"/>
      <c r="NUK3" s="55"/>
      <c r="NUL3" s="55"/>
      <c r="NUM3" s="55"/>
      <c r="NUN3" s="55"/>
      <c r="NUO3" s="55"/>
      <c r="NUP3" s="55"/>
      <c r="NUQ3" s="55"/>
      <c r="NUR3" s="55"/>
      <c r="NUS3" s="55"/>
      <c r="NUT3" s="55"/>
      <c r="NUU3" s="55"/>
      <c r="NUV3" s="55"/>
      <c r="NUW3" s="55"/>
      <c r="NUX3" s="55"/>
      <c r="NUY3" s="55"/>
      <c r="NUZ3" s="55"/>
      <c r="NVA3" s="55"/>
      <c r="NVB3" s="55"/>
      <c r="NVC3" s="55"/>
      <c r="NVD3" s="55"/>
      <c r="NVE3" s="55"/>
      <c r="NVF3" s="55"/>
      <c r="NVG3" s="55"/>
      <c r="NVH3" s="55"/>
      <c r="NVI3" s="55"/>
      <c r="NVJ3" s="55"/>
      <c r="NVK3" s="55"/>
      <c r="NVL3" s="55"/>
      <c r="NVM3" s="55"/>
      <c r="NVN3" s="55"/>
      <c r="NVO3" s="55"/>
      <c r="NVP3" s="55"/>
      <c r="NVQ3" s="55"/>
      <c r="NVR3" s="55"/>
      <c r="NVS3" s="55"/>
      <c r="NVT3" s="55"/>
      <c r="NVU3" s="55"/>
      <c r="NVV3" s="55"/>
      <c r="NVW3" s="55"/>
      <c r="NVX3" s="55"/>
      <c r="NVY3" s="55"/>
      <c r="NVZ3" s="55"/>
      <c r="NWA3" s="55"/>
      <c r="NWB3" s="55"/>
      <c r="NWC3" s="55"/>
      <c r="NWD3" s="55"/>
      <c r="NWE3" s="55"/>
      <c r="NWF3" s="55"/>
      <c r="NWG3" s="55"/>
      <c r="NWH3" s="55"/>
      <c r="NWI3" s="55"/>
      <c r="NWJ3" s="55"/>
      <c r="NWK3" s="55"/>
      <c r="NWL3" s="55"/>
      <c r="NWM3" s="55"/>
      <c r="NWN3" s="55"/>
      <c r="NWO3" s="55"/>
      <c r="NWP3" s="55"/>
      <c r="NWQ3" s="55"/>
      <c r="NWR3" s="55"/>
      <c r="NWS3" s="55"/>
      <c r="NWT3" s="55"/>
      <c r="NWU3" s="55"/>
      <c r="NWV3" s="55"/>
      <c r="NWW3" s="55"/>
      <c r="NWX3" s="55"/>
      <c r="NWY3" s="55"/>
      <c r="NWZ3" s="55"/>
      <c r="NXA3" s="55"/>
      <c r="NXB3" s="55"/>
      <c r="NXC3" s="55"/>
      <c r="NXD3" s="55"/>
      <c r="NXE3" s="55"/>
      <c r="NXF3" s="55"/>
      <c r="NXG3" s="55"/>
      <c r="NXH3" s="55"/>
      <c r="NXI3" s="55"/>
      <c r="NXJ3" s="55"/>
      <c r="NXK3" s="55"/>
      <c r="NXL3" s="55"/>
      <c r="NXM3" s="55"/>
      <c r="NXN3" s="55"/>
      <c r="NXO3" s="55"/>
      <c r="NXP3" s="55"/>
      <c r="NXQ3" s="55"/>
      <c r="NXR3" s="55"/>
      <c r="NXS3" s="55"/>
      <c r="NXT3" s="55"/>
      <c r="NXU3" s="55"/>
      <c r="NXV3" s="55"/>
      <c r="NXW3" s="55"/>
      <c r="NXX3" s="55"/>
      <c r="NXY3" s="55"/>
      <c r="NXZ3" s="55"/>
      <c r="NYA3" s="55"/>
      <c r="NYB3" s="55"/>
      <c r="NYC3" s="55"/>
      <c r="NYD3" s="55"/>
      <c r="NYE3" s="55"/>
      <c r="NYF3" s="55"/>
      <c r="NYG3" s="55"/>
      <c r="NYH3" s="55"/>
      <c r="NYI3" s="55"/>
      <c r="NYJ3" s="55"/>
      <c r="NYK3" s="55"/>
      <c r="NYL3" s="55"/>
      <c r="NYM3" s="55"/>
      <c r="NYN3" s="55"/>
      <c r="NYO3" s="55"/>
      <c r="NYP3" s="55"/>
      <c r="NYQ3" s="55"/>
      <c r="NYR3" s="55"/>
      <c r="NYS3" s="55"/>
      <c r="NYT3" s="55"/>
      <c r="NYU3" s="55"/>
      <c r="NYV3" s="55"/>
      <c r="NYW3" s="55"/>
      <c r="NYX3" s="55"/>
      <c r="NYY3" s="55"/>
      <c r="NYZ3" s="55"/>
      <c r="NZA3" s="55"/>
      <c r="NZB3" s="55"/>
      <c r="NZC3" s="55"/>
      <c r="NZD3" s="55"/>
      <c r="NZE3" s="55"/>
      <c r="NZF3" s="55"/>
      <c r="NZG3" s="55"/>
      <c r="NZH3" s="55"/>
      <c r="NZI3" s="55"/>
      <c r="NZJ3" s="55"/>
      <c r="NZK3" s="55"/>
      <c r="NZL3" s="55"/>
      <c r="NZM3" s="55"/>
      <c r="NZN3" s="55"/>
      <c r="NZO3" s="55"/>
      <c r="NZP3" s="55"/>
      <c r="NZQ3" s="55"/>
      <c r="NZR3" s="55"/>
      <c r="NZS3" s="55"/>
      <c r="NZT3" s="55"/>
      <c r="NZU3" s="55"/>
      <c r="NZV3" s="55"/>
      <c r="NZW3" s="55"/>
      <c r="NZX3" s="55"/>
      <c r="NZY3" s="55"/>
      <c r="NZZ3" s="55"/>
      <c r="OAA3" s="55"/>
      <c r="OAB3" s="55"/>
      <c r="OAC3" s="55"/>
      <c r="OAD3" s="55"/>
      <c r="OAE3" s="55"/>
      <c r="OAF3" s="55"/>
      <c r="OAG3" s="55"/>
      <c r="OAH3" s="55"/>
      <c r="OAI3" s="55"/>
      <c r="OAJ3" s="55"/>
      <c r="OAK3" s="55"/>
      <c r="OAL3" s="55"/>
      <c r="OAM3" s="55"/>
      <c r="OAN3" s="55"/>
      <c r="OAO3" s="55"/>
      <c r="OAP3" s="55"/>
      <c r="OAQ3" s="55"/>
      <c r="OAR3" s="55"/>
      <c r="OAS3" s="55"/>
      <c r="OAT3" s="55"/>
      <c r="OAU3" s="55"/>
      <c r="OAV3" s="55"/>
      <c r="OAW3" s="55"/>
      <c r="OAX3" s="55"/>
      <c r="OAY3" s="55"/>
      <c r="OAZ3" s="55"/>
      <c r="OBA3" s="55"/>
      <c r="OBB3" s="55"/>
      <c r="OBC3" s="55"/>
      <c r="OBD3" s="55"/>
      <c r="OBE3" s="55"/>
      <c r="OBF3" s="55"/>
      <c r="OBG3" s="55"/>
      <c r="OBH3" s="55"/>
      <c r="OBI3" s="55"/>
      <c r="OBJ3" s="55"/>
      <c r="OBK3" s="55"/>
      <c r="OBL3" s="55"/>
      <c r="OBM3" s="55"/>
      <c r="OBN3" s="55"/>
      <c r="OBO3" s="55"/>
      <c r="OBP3" s="55"/>
      <c r="OBQ3" s="55"/>
      <c r="OBR3" s="55"/>
      <c r="OBS3" s="55"/>
      <c r="OBT3" s="55"/>
      <c r="OBU3" s="55"/>
      <c r="OBV3" s="55"/>
      <c r="OBW3" s="55"/>
      <c r="OBX3" s="55"/>
      <c r="OBY3" s="55"/>
      <c r="OBZ3" s="55"/>
      <c r="OCA3" s="55"/>
      <c r="OCB3" s="55"/>
      <c r="OCC3" s="55"/>
      <c r="OCD3" s="55"/>
      <c r="OCE3" s="55"/>
      <c r="OCF3" s="55"/>
      <c r="OCG3" s="55"/>
      <c r="OCH3" s="55"/>
      <c r="OCI3" s="55"/>
      <c r="OCJ3" s="55"/>
      <c r="OCK3" s="55"/>
      <c r="OCL3" s="55"/>
      <c r="OCM3" s="55"/>
      <c r="OCN3" s="55"/>
      <c r="OCO3" s="55"/>
      <c r="OCP3" s="55"/>
      <c r="OCQ3" s="55"/>
      <c r="OCR3" s="55"/>
      <c r="OCS3" s="55"/>
      <c r="OCT3" s="55"/>
      <c r="OCU3" s="55"/>
      <c r="OCV3" s="55"/>
      <c r="OCW3" s="55"/>
      <c r="OCX3" s="55"/>
      <c r="OCY3" s="55"/>
      <c r="OCZ3" s="55"/>
      <c r="ODA3" s="55"/>
      <c r="ODB3" s="55"/>
      <c r="ODC3" s="55"/>
      <c r="ODD3" s="55"/>
      <c r="ODE3" s="55"/>
      <c r="ODF3" s="55"/>
      <c r="ODG3" s="55"/>
      <c r="ODH3" s="55"/>
      <c r="ODI3" s="55"/>
      <c r="ODJ3" s="55"/>
      <c r="ODK3" s="55"/>
      <c r="ODL3" s="55"/>
      <c r="ODM3" s="55"/>
      <c r="ODN3" s="55"/>
      <c r="ODO3" s="55"/>
      <c r="ODP3" s="55"/>
      <c r="ODQ3" s="55"/>
      <c r="ODR3" s="55"/>
      <c r="ODS3" s="55"/>
      <c r="ODT3" s="55"/>
      <c r="ODU3" s="55"/>
      <c r="ODV3" s="55"/>
      <c r="ODW3" s="55"/>
      <c r="ODX3" s="55"/>
      <c r="ODY3" s="55"/>
      <c r="ODZ3" s="55"/>
      <c r="OEA3" s="55"/>
      <c r="OEB3" s="55"/>
      <c r="OEC3" s="55"/>
      <c r="OED3" s="55"/>
      <c r="OEE3" s="55"/>
      <c r="OEF3" s="55"/>
      <c r="OEG3" s="55"/>
      <c r="OEH3" s="55"/>
      <c r="OEI3" s="55"/>
      <c r="OEJ3" s="55"/>
      <c r="OEK3" s="55"/>
      <c r="OEL3" s="55"/>
      <c r="OEM3" s="55"/>
      <c r="OEN3" s="55"/>
      <c r="OEO3" s="55"/>
      <c r="OEP3" s="55"/>
      <c r="OEQ3" s="55"/>
      <c r="OER3" s="55"/>
      <c r="OES3" s="55"/>
      <c r="OET3" s="55"/>
      <c r="OEU3" s="55"/>
      <c r="OEV3" s="55"/>
      <c r="OEW3" s="55"/>
      <c r="OEX3" s="55"/>
      <c r="OEY3" s="55"/>
      <c r="OEZ3" s="55"/>
      <c r="OFA3" s="55"/>
      <c r="OFB3" s="55"/>
      <c r="OFC3" s="55"/>
      <c r="OFD3" s="55"/>
      <c r="OFE3" s="55"/>
      <c r="OFF3" s="55"/>
      <c r="OFG3" s="55"/>
      <c r="OFH3" s="55"/>
      <c r="OFI3" s="55"/>
      <c r="OFJ3" s="55"/>
      <c r="OFK3" s="55"/>
      <c r="OFL3" s="55"/>
      <c r="OFM3" s="55"/>
      <c r="OFN3" s="55"/>
      <c r="OFO3" s="55"/>
      <c r="OFP3" s="55"/>
      <c r="OFQ3" s="55"/>
      <c r="OFR3" s="55"/>
      <c r="OFS3" s="55"/>
      <c r="OFT3" s="55"/>
      <c r="OFU3" s="55"/>
      <c r="OFV3" s="55"/>
      <c r="OFW3" s="55"/>
      <c r="OFX3" s="55"/>
      <c r="OFY3" s="55"/>
      <c r="OFZ3" s="55"/>
      <c r="OGA3" s="55"/>
      <c r="OGB3" s="55"/>
      <c r="OGC3" s="55"/>
      <c r="OGD3" s="55"/>
      <c r="OGE3" s="55"/>
      <c r="OGF3" s="55"/>
      <c r="OGG3" s="55"/>
      <c r="OGH3" s="55"/>
      <c r="OGI3" s="55"/>
      <c r="OGJ3" s="55"/>
      <c r="OGK3" s="55"/>
      <c r="OGL3" s="55"/>
      <c r="OGM3" s="55"/>
      <c r="OGN3" s="55"/>
      <c r="OGO3" s="55"/>
      <c r="OGP3" s="55"/>
      <c r="OGQ3" s="55"/>
      <c r="OGR3" s="55"/>
      <c r="OGS3" s="55"/>
      <c r="OGT3" s="55"/>
      <c r="OGU3" s="55"/>
      <c r="OGV3" s="55"/>
      <c r="OGW3" s="55"/>
      <c r="OGX3" s="55"/>
      <c r="OGY3" s="55"/>
      <c r="OGZ3" s="55"/>
      <c r="OHA3" s="55"/>
      <c r="OHB3" s="55"/>
      <c r="OHC3" s="55"/>
      <c r="OHD3" s="55"/>
      <c r="OHE3" s="55"/>
      <c r="OHF3" s="55"/>
      <c r="OHG3" s="55"/>
      <c r="OHH3" s="55"/>
      <c r="OHI3" s="55"/>
      <c r="OHJ3" s="55"/>
      <c r="OHK3" s="55"/>
      <c r="OHL3" s="55"/>
      <c r="OHM3" s="55"/>
      <c r="OHN3" s="55"/>
      <c r="OHO3" s="55"/>
      <c r="OHP3" s="55"/>
      <c r="OHQ3" s="55"/>
      <c r="OHR3" s="55"/>
      <c r="OHS3" s="55"/>
      <c r="OHT3" s="55"/>
      <c r="OHU3" s="55"/>
      <c r="OHV3" s="55"/>
      <c r="OHW3" s="55"/>
      <c r="OHX3" s="55"/>
      <c r="OHY3" s="55"/>
      <c r="OHZ3" s="55"/>
      <c r="OIA3" s="55"/>
      <c r="OIB3" s="55"/>
      <c r="OIC3" s="55"/>
      <c r="OID3" s="55"/>
      <c r="OIE3" s="55"/>
      <c r="OIF3" s="55"/>
      <c r="OIG3" s="55"/>
      <c r="OIH3" s="55"/>
      <c r="OII3" s="55"/>
      <c r="OIJ3" s="55"/>
      <c r="OIK3" s="55"/>
      <c r="OIL3" s="55"/>
      <c r="OIM3" s="55"/>
      <c r="OIN3" s="55"/>
      <c r="OIO3" s="55"/>
      <c r="OIP3" s="55"/>
      <c r="OIQ3" s="55"/>
      <c r="OIR3" s="55"/>
      <c r="OIS3" s="55"/>
      <c r="OIT3" s="55"/>
      <c r="OIU3" s="55"/>
      <c r="OIV3" s="55"/>
      <c r="OIW3" s="55"/>
      <c r="OIX3" s="55"/>
      <c r="OIY3" s="55"/>
      <c r="OIZ3" s="55"/>
      <c r="OJA3" s="55"/>
      <c r="OJB3" s="55"/>
      <c r="OJC3" s="55"/>
      <c r="OJD3" s="55"/>
      <c r="OJE3" s="55"/>
      <c r="OJF3" s="55"/>
      <c r="OJG3" s="55"/>
      <c r="OJH3" s="55"/>
      <c r="OJI3" s="55"/>
      <c r="OJJ3" s="55"/>
      <c r="OJK3" s="55"/>
      <c r="OJL3" s="55"/>
      <c r="OJM3" s="55"/>
      <c r="OJN3" s="55"/>
      <c r="OJO3" s="55"/>
      <c r="OJP3" s="55"/>
      <c r="OJQ3" s="55"/>
      <c r="OJR3" s="55"/>
      <c r="OJS3" s="55"/>
      <c r="OJT3" s="55"/>
      <c r="OJU3" s="55"/>
      <c r="OJV3" s="55"/>
      <c r="OJW3" s="55"/>
      <c r="OJX3" s="55"/>
      <c r="OJY3" s="55"/>
      <c r="OJZ3" s="55"/>
      <c r="OKA3" s="55"/>
      <c r="OKB3" s="55"/>
      <c r="OKC3" s="55"/>
      <c r="OKD3" s="55"/>
      <c r="OKE3" s="55"/>
      <c r="OKF3" s="55"/>
      <c r="OKG3" s="55"/>
      <c r="OKH3" s="55"/>
      <c r="OKI3" s="55"/>
      <c r="OKJ3" s="55"/>
      <c r="OKK3" s="55"/>
      <c r="OKL3" s="55"/>
      <c r="OKM3" s="55"/>
      <c r="OKN3" s="55"/>
      <c r="OKO3" s="55"/>
      <c r="OKP3" s="55"/>
      <c r="OKQ3" s="55"/>
      <c r="OKR3" s="55"/>
      <c r="OKS3" s="55"/>
      <c r="OKT3" s="55"/>
      <c r="OKU3" s="55"/>
      <c r="OKV3" s="55"/>
      <c r="OKW3" s="55"/>
      <c r="OKX3" s="55"/>
      <c r="OKY3" s="55"/>
      <c r="OKZ3" s="55"/>
      <c r="OLA3" s="55"/>
      <c r="OLB3" s="55"/>
      <c r="OLC3" s="55"/>
      <c r="OLD3" s="55"/>
      <c r="OLE3" s="55"/>
      <c r="OLF3" s="55"/>
      <c r="OLG3" s="55"/>
      <c r="OLH3" s="55"/>
      <c r="OLI3" s="55"/>
      <c r="OLJ3" s="55"/>
      <c r="OLK3" s="55"/>
      <c r="OLL3" s="55"/>
      <c r="OLM3" s="55"/>
      <c r="OLN3" s="55"/>
      <c r="OLO3" s="55"/>
      <c r="OLP3" s="55"/>
      <c r="OLQ3" s="55"/>
      <c r="OLR3" s="55"/>
      <c r="OLS3" s="55"/>
      <c r="OLT3" s="55"/>
      <c r="OLU3" s="55"/>
      <c r="OLV3" s="55"/>
      <c r="OLW3" s="55"/>
      <c r="OLX3" s="55"/>
      <c r="OLY3" s="55"/>
      <c r="OLZ3" s="55"/>
      <c r="OMA3" s="55"/>
      <c r="OMB3" s="55"/>
      <c r="OMC3" s="55"/>
      <c r="OMD3" s="55"/>
      <c r="OME3" s="55"/>
      <c r="OMF3" s="55"/>
      <c r="OMG3" s="55"/>
      <c r="OMH3" s="55"/>
      <c r="OMI3" s="55"/>
      <c r="OMJ3" s="55"/>
      <c r="OMK3" s="55"/>
      <c r="OML3" s="55"/>
      <c r="OMM3" s="55"/>
      <c r="OMN3" s="55"/>
      <c r="OMO3" s="55"/>
      <c r="OMP3" s="55"/>
      <c r="OMQ3" s="55"/>
      <c r="OMR3" s="55"/>
      <c r="OMS3" s="55"/>
      <c r="OMT3" s="55"/>
      <c r="OMU3" s="55"/>
      <c r="OMV3" s="55"/>
      <c r="OMW3" s="55"/>
      <c r="OMX3" s="55"/>
      <c r="OMY3" s="55"/>
      <c r="OMZ3" s="55"/>
      <c r="ONA3" s="55"/>
      <c r="ONB3" s="55"/>
      <c r="ONC3" s="55"/>
      <c r="OND3" s="55"/>
      <c r="ONE3" s="55"/>
      <c r="ONF3" s="55"/>
      <c r="ONG3" s="55"/>
      <c r="ONH3" s="55"/>
      <c r="ONI3" s="55"/>
      <c r="ONJ3" s="55"/>
      <c r="ONK3" s="55"/>
      <c r="ONL3" s="55"/>
      <c r="ONM3" s="55"/>
      <c r="ONN3" s="55"/>
      <c r="ONO3" s="55"/>
      <c r="ONP3" s="55"/>
      <c r="ONQ3" s="55"/>
      <c r="ONR3" s="55"/>
      <c r="ONS3" s="55"/>
      <c r="ONT3" s="55"/>
      <c r="ONU3" s="55"/>
      <c r="ONV3" s="55"/>
      <c r="ONW3" s="55"/>
      <c r="ONX3" s="55"/>
      <c r="ONY3" s="55"/>
      <c r="ONZ3" s="55"/>
      <c r="OOA3" s="55"/>
      <c r="OOB3" s="55"/>
      <c r="OOC3" s="55"/>
      <c r="OOD3" s="55"/>
      <c r="OOE3" s="55"/>
      <c r="OOF3" s="55"/>
      <c r="OOG3" s="55"/>
      <c r="OOH3" s="55"/>
      <c r="OOI3" s="55"/>
      <c r="OOJ3" s="55"/>
      <c r="OOK3" s="55"/>
      <c r="OOL3" s="55"/>
      <c r="OOM3" s="55"/>
      <c r="OON3" s="55"/>
      <c r="OOO3" s="55"/>
      <c r="OOP3" s="55"/>
      <c r="OOQ3" s="55"/>
      <c r="OOR3" s="55"/>
      <c r="OOS3" s="55"/>
      <c r="OOT3" s="55"/>
      <c r="OOU3" s="55"/>
      <c r="OOV3" s="55"/>
      <c r="OOW3" s="55"/>
      <c r="OOX3" s="55"/>
      <c r="OOY3" s="55"/>
      <c r="OOZ3" s="55"/>
      <c r="OPA3" s="55"/>
      <c r="OPB3" s="55"/>
      <c r="OPC3" s="55"/>
      <c r="OPD3" s="55"/>
      <c r="OPE3" s="55"/>
      <c r="OPF3" s="55"/>
      <c r="OPG3" s="55"/>
      <c r="OPH3" s="55"/>
      <c r="OPI3" s="55"/>
      <c r="OPJ3" s="55"/>
      <c r="OPK3" s="55"/>
      <c r="OPL3" s="55"/>
      <c r="OPM3" s="55"/>
      <c r="OPN3" s="55"/>
      <c r="OPO3" s="55"/>
      <c r="OPP3" s="55"/>
      <c r="OPQ3" s="55"/>
      <c r="OPR3" s="55"/>
      <c r="OPS3" s="55"/>
      <c r="OPT3" s="55"/>
      <c r="OPU3" s="55"/>
      <c r="OPV3" s="55"/>
      <c r="OPW3" s="55"/>
      <c r="OPX3" s="55"/>
      <c r="OPY3" s="55"/>
      <c r="OPZ3" s="55"/>
      <c r="OQA3" s="55"/>
      <c r="OQB3" s="55"/>
      <c r="OQC3" s="55"/>
      <c r="OQD3" s="55"/>
      <c r="OQE3" s="55"/>
      <c r="OQF3" s="55"/>
      <c r="OQG3" s="55"/>
      <c r="OQH3" s="55"/>
      <c r="OQI3" s="55"/>
      <c r="OQJ3" s="55"/>
      <c r="OQK3" s="55"/>
      <c r="OQL3" s="55"/>
      <c r="OQM3" s="55"/>
      <c r="OQN3" s="55"/>
      <c r="OQO3" s="55"/>
      <c r="OQP3" s="55"/>
      <c r="OQQ3" s="55"/>
      <c r="OQR3" s="55"/>
      <c r="OQS3" s="55"/>
      <c r="OQT3" s="55"/>
      <c r="OQU3" s="55"/>
      <c r="OQV3" s="55"/>
      <c r="OQW3" s="55"/>
      <c r="OQX3" s="55"/>
      <c r="OQY3" s="55"/>
      <c r="OQZ3" s="55"/>
      <c r="ORA3" s="55"/>
      <c r="ORB3" s="55"/>
      <c r="ORC3" s="55"/>
      <c r="ORD3" s="55"/>
      <c r="ORE3" s="55"/>
      <c r="ORF3" s="55"/>
      <c r="ORG3" s="55"/>
      <c r="ORH3" s="55"/>
      <c r="ORI3" s="55"/>
      <c r="ORJ3" s="55"/>
      <c r="ORK3" s="55"/>
      <c r="ORL3" s="55"/>
      <c r="ORM3" s="55"/>
      <c r="ORN3" s="55"/>
      <c r="ORO3" s="55"/>
      <c r="ORP3" s="55"/>
      <c r="ORQ3" s="55"/>
      <c r="ORR3" s="55"/>
      <c r="ORS3" s="55"/>
      <c r="ORT3" s="55"/>
      <c r="ORU3" s="55"/>
      <c r="ORV3" s="55"/>
      <c r="ORW3" s="55"/>
      <c r="ORX3" s="55"/>
      <c r="ORY3" s="55"/>
      <c r="ORZ3" s="55"/>
      <c r="OSA3" s="55"/>
      <c r="OSB3" s="55"/>
      <c r="OSC3" s="55"/>
      <c r="OSD3" s="55"/>
      <c r="OSE3" s="55"/>
      <c r="OSF3" s="55"/>
      <c r="OSG3" s="55"/>
      <c r="OSH3" s="55"/>
      <c r="OSI3" s="55"/>
      <c r="OSJ3" s="55"/>
      <c r="OSK3" s="55"/>
      <c r="OSL3" s="55"/>
      <c r="OSM3" s="55"/>
      <c r="OSN3" s="55"/>
      <c r="OSO3" s="55"/>
      <c r="OSP3" s="55"/>
      <c r="OSQ3" s="55"/>
      <c r="OSR3" s="55"/>
      <c r="OSS3" s="55"/>
      <c r="OST3" s="55"/>
      <c r="OSU3" s="55"/>
      <c r="OSV3" s="55"/>
      <c r="OSW3" s="55"/>
      <c r="OSX3" s="55"/>
      <c r="OSY3" s="55"/>
      <c r="OSZ3" s="55"/>
      <c r="OTA3" s="55"/>
      <c r="OTB3" s="55"/>
      <c r="OTC3" s="55"/>
      <c r="OTD3" s="55"/>
      <c r="OTE3" s="55"/>
      <c r="OTF3" s="55"/>
      <c r="OTG3" s="55"/>
      <c r="OTH3" s="55"/>
      <c r="OTI3" s="55"/>
      <c r="OTJ3" s="55"/>
      <c r="OTK3" s="55"/>
      <c r="OTL3" s="55"/>
      <c r="OTM3" s="55"/>
      <c r="OTN3" s="55"/>
      <c r="OTO3" s="55"/>
      <c r="OTP3" s="55"/>
      <c r="OTQ3" s="55"/>
      <c r="OTR3" s="55"/>
      <c r="OTS3" s="55"/>
      <c r="OTT3" s="55"/>
      <c r="OTU3" s="55"/>
      <c r="OTV3" s="55"/>
      <c r="OTW3" s="55"/>
      <c r="OTX3" s="55"/>
      <c r="OTY3" s="55"/>
      <c r="OTZ3" s="55"/>
      <c r="OUA3" s="55"/>
      <c r="OUB3" s="55"/>
      <c r="OUC3" s="55"/>
      <c r="OUD3" s="55"/>
      <c r="OUE3" s="55"/>
      <c r="OUF3" s="55"/>
      <c r="OUG3" s="55"/>
      <c r="OUH3" s="55"/>
      <c r="OUI3" s="55"/>
      <c r="OUJ3" s="55"/>
      <c r="OUK3" s="55"/>
      <c r="OUL3" s="55"/>
      <c r="OUM3" s="55"/>
      <c r="OUN3" s="55"/>
      <c r="OUO3" s="55"/>
      <c r="OUP3" s="55"/>
      <c r="OUQ3" s="55"/>
      <c r="OUR3" s="55"/>
      <c r="OUS3" s="55"/>
      <c r="OUT3" s="55"/>
      <c r="OUU3" s="55"/>
      <c r="OUV3" s="55"/>
      <c r="OUW3" s="55"/>
      <c r="OUX3" s="55"/>
      <c r="OUY3" s="55"/>
      <c r="OUZ3" s="55"/>
      <c r="OVA3" s="55"/>
      <c r="OVB3" s="55"/>
      <c r="OVC3" s="55"/>
      <c r="OVD3" s="55"/>
      <c r="OVE3" s="55"/>
      <c r="OVF3" s="55"/>
      <c r="OVG3" s="55"/>
      <c r="OVH3" s="55"/>
      <c r="OVI3" s="55"/>
      <c r="OVJ3" s="55"/>
      <c r="OVK3" s="55"/>
      <c r="OVL3" s="55"/>
      <c r="OVM3" s="55"/>
      <c r="OVN3" s="55"/>
      <c r="OVO3" s="55"/>
      <c r="OVP3" s="55"/>
      <c r="OVQ3" s="55"/>
      <c r="OVR3" s="55"/>
      <c r="OVS3" s="55"/>
      <c r="OVT3" s="55"/>
      <c r="OVU3" s="55"/>
      <c r="OVV3" s="55"/>
      <c r="OVW3" s="55"/>
      <c r="OVX3" s="55"/>
      <c r="OVY3" s="55"/>
      <c r="OVZ3" s="55"/>
      <c r="OWA3" s="55"/>
      <c r="OWB3" s="55"/>
      <c r="OWC3" s="55"/>
      <c r="OWD3" s="55"/>
      <c r="OWE3" s="55"/>
      <c r="OWF3" s="55"/>
      <c r="OWG3" s="55"/>
      <c r="OWH3" s="55"/>
      <c r="OWI3" s="55"/>
      <c r="OWJ3" s="55"/>
      <c r="OWK3" s="55"/>
      <c r="OWL3" s="55"/>
      <c r="OWM3" s="55"/>
      <c r="OWN3" s="55"/>
      <c r="OWO3" s="55"/>
      <c r="OWP3" s="55"/>
      <c r="OWQ3" s="55"/>
      <c r="OWR3" s="55"/>
      <c r="OWS3" s="55"/>
      <c r="OWT3" s="55"/>
      <c r="OWU3" s="55"/>
      <c r="OWV3" s="55"/>
      <c r="OWW3" s="55"/>
      <c r="OWX3" s="55"/>
      <c r="OWY3" s="55"/>
      <c r="OWZ3" s="55"/>
      <c r="OXA3" s="55"/>
      <c r="OXB3" s="55"/>
      <c r="OXC3" s="55"/>
      <c r="OXD3" s="55"/>
      <c r="OXE3" s="55"/>
      <c r="OXF3" s="55"/>
      <c r="OXG3" s="55"/>
      <c r="OXH3" s="55"/>
      <c r="OXI3" s="55"/>
      <c r="OXJ3" s="55"/>
      <c r="OXK3" s="55"/>
      <c r="OXL3" s="55"/>
      <c r="OXM3" s="55"/>
      <c r="OXN3" s="55"/>
      <c r="OXO3" s="55"/>
      <c r="OXP3" s="55"/>
      <c r="OXQ3" s="55"/>
      <c r="OXR3" s="55"/>
      <c r="OXS3" s="55"/>
      <c r="OXT3" s="55"/>
      <c r="OXU3" s="55"/>
      <c r="OXV3" s="55"/>
      <c r="OXW3" s="55"/>
      <c r="OXX3" s="55"/>
      <c r="OXY3" s="55"/>
      <c r="OXZ3" s="55"/>
      <c r="OYA3" s="55"/>
      <c r="OYB3" s="55"/>
      <c r="OYC3" s="55"/>
      <c r="OYD3" s="55"/>
      <c r="OYE3" s="55"/>
      <c r="OYF3" s="55"/>
      <c r="OYG3" s="55"/>
      <c r="OYH3" s="55"/>
      <c r="OYI3" s="55"/>
      <c r="OYJ3" s="55"/>
      <c r="OYK3" s="55"/>
      <c r="OYL3" s="55"/>
      <c r="OYM3" s="55"/>
      <c r="OYN3" s="55"/>
      <c r="OYO3" s="55"/>
      <c r="OYP3" s="55"/>
      <c r="OYQ3" s="55"/>
      <c r="OYR3" s="55"/>
      <c r="OYS3" s="55"/>
      <c r="OYT3" s="55"/>
      <c r="OYU3" s="55"/>
      <c r="OYV3" s="55"/>
      <c r="OYW3" s="55"/>
      <c r="OYX3" s="55"/>
      <c r="OYY3" s="55"/>
      <c r="OYZ3" s="55"/>
      <c r="OZA3" s="55"/>
      <c r="OZB3" s="55"/>
      <c r="OZC3" s="55"/>
      <c r="OZD3" s="55"/>
      <c r="OZE3" s="55"/>
      <c r="OZF3" s="55"/>
      <c r="OZG3" s="55"/>
      <c r="OZH3" s="55"/>
      <c r="OZI3" s="55"/>
      <c r="OZJ3" s="55"/>
      <c r="OZK3" s="55"/>
      <c r="OZL3" s="55"/>
      <c r="OZM3" s="55"/>
      <c r="OZN3" s="55"/>
      <c r="OZO3" s="55"/>
      <c r="OZP3" s="55"/>
      <c r="OZQ3" s="55"/>
      <c r="OZR3" s="55"/>
      <c r="OZS3" s="55"/>
      <c r="OZT3" s="55"/>
      <c r="OZU3" s="55"/>
      <c r="OZV3" s="55"/>
      <c r="OZW3" s="55"/>
      <c r="OZX3" s="55"/>
      <c r="OZY3" s="55"/>
      <c r="OZZ3" s="55"/>
      <c r="PAA3" s="55"/>
      <c r="PAB3" s="55"/>
      <c r="PAC3" s="55"/>
      <c r="PAD3" s="55"/>
      <c r="PAE3" s="55"/>
      <c r="PAF3" s="55"/>
      <c r="PAG3" s="55"/>
      <c r="PAH3" s="55"/>
      <c r="PAI3" s="55"/>
      <c r="PAJ3" s="55"/>
      <c r="PAK3" s="55"/>
      <c r="PAL3" s="55"/>
      <c r="PAM3" s="55"/>
      <c r="PAN3" s="55"/>
      <c r="PAO3" s="55"/>
      <c r="PAP3" s="55"/>
      <c r="PAQ3" s="55"/>
      <c r="PAR3" s="55"/>
      <c r="PAS3" s="55"/>
      <c r="PAT3" s="55"/>
      <c r="PAU3" s="55"/>
      <c r="PAV3" s="55"/>
      <c r="PAW3" s="55"/>
      <c r="PAX3" s="55"/>
      <c r="PAY3" s="55"/>
      <c r="PAZ3" s="55"/>
      <c r="PBA3" s="55"/>
      <c r="PBB3" s="55"/>
      <c r="PBC3" s="55"/>
      <c r="PBD3" s="55"/>
      <c r="PBE3" s="55"/>
      <c r="PBF3" s="55"/>
      <c r="PBG3" s="55"/>
      <c r="PBH3" s="55"/>
      <c r="PBI3" s="55"/>
      <c r="PBJ3" s="55"/>
      <c r="PBK3" s="55"/>
      <c r="PBL3" s="55"/>
      <c r="PBM3" s="55"/>
      <c r="PBN3" s="55"/>
      <c r="PBO3" s="55"/>
      <c r="PBP3" s="55"/>
      <c r="PBQ3" s="55"/>
      <c r="PBR3" s="55"/>
      <c r="PBS3" s="55"/>
      <c r="PBT3" s="55"/>
      <c r="PBU3" s="55"/>
      <c r="PBV3" s="55"/>
      <c r="PBW3" s="55"/>
      <c r="PBX3" s="55"/>
      <c r="PBY3" s="55"/>
      <c r="PBZ3" s="55"/>
      <c r="PCA3" s="55"/>
      <c r="PCB3" s="55"/>
      <c r="PCC3" s="55"/>
      <c r="PCD3" s="55"/>
      <c r="PCE3" s="55"/>
      <c r="PCF3" s="55"/>
      <c r="PCG3" s="55"/>
      <c r="PCH3" s="55"/>
      <c r="PCI3" s="55"/>
      <c r="PCJ3" s="55"/>
      <c r="PCK3" s="55"/>
      <c r="PCL3" s="55"/>
      <c r="PCM3" s="55"/>
      <c r="PCN3" s="55"/>
      <c r="PCO3" s="55"/>
      <c r="PCP3" s="55"/>
      <c r="PCQ3" s="55"/>
      <c r="PCR3" s="55"/>
      <c r="PCS3" s="55"/>
      <c r="PCT3" s="55"/>
      <c r="PCU3" s="55"/>
      <c r="PCV3" s="55"/>
      <c r="PCW3" s="55"/>
      <c r="PCX3" s="55"/>
      <c r="PCY3" s="55"/>
      <c r="PCZ3" s="55"/>
      <c r="PDA3" s="55"/>
      <c r="PDB3" s="55"/>
      <c r="PDC3" s="55"/>
      <c r="PDD3" s="55"/>
      <c r="PDE3" s="55"/>
      <c r="PDF3" s="55"/>
      <c r="PDG3" s="55"/>
      <c r="PDH3" s="55"/>
      <c r="PDI3" s="55"/>
      <c r="PDJ3" s="55"/>
      <c r="PDK3" s="55"/>
      <c r="PDL3" s="55"/>
      <c r="PDM3" s="55"/>
      <c r="PDN3" s="55"/>
      <c r="PDO3" s="55"/>
      <c r="PDP3" s="55"/>
      <c r="PDQ3" s="55"/>
      <c r="PDR3" s="55"/>
      <c r="PDS3" s="55"/>
      <c r="PDT3" s="55"/>
      <c r="PDU3" s="55"/>
      <c r="PDV3" s="55"/>
      <c r="PDW3" s="55"/>
      <c r="PDX3" s="55"/>
      <c r="PDY3" s="55"/>
      <c r="PDZ3" s="55"/>
      <c r="PEA3" s="55"/>
      <c r="PEB3" s="55"/>
      <c r="PEC3" s="55"/>
      <c r="PED3" s="55"/>
      <c r="PEE3" s="55"/>
      <c r="PEF3" s="55"/>
      <c r="PEG3" s="55"/>
      <c r="PEH3" s="55"/>
      <c r="PEI3" s="55"/>
      <c r="PEJ3" s="55"/>
      <c r="PEK3" s="55"/>
      <c r="PEL3" s="55"/>
      <c r="PEM3" s="55"/>
      <c r="PEN3" s="55"/>
      <c r="PEO3" s="55"/>
      <c r="PEP3" s="55"/>
      <c r="PEQ3" s="55"/>
      <c r="PER3" s="55"/>
      <c r="PES3" s="55"/>
      <c r="PET3" s="55"/>
      <c r="PEU3" s="55"/>
      <c r="PEV3" s="55"/>
      <c r="PEW3" s="55"/>
      <c r="PEX3" s="55"/>
      <c r="PEY3" s="55"/>
      <c r="PEZ3" s="55"/>
      <c r="PFA3" s="55"/>
      <c r="PFB3" s="55"/>
      <c r="PFC3" s="55"/>
      <c r="PFD3" s="55"/>
      <c r="PFE3" s="55"/>
      <c r="PFF3" s="55"/>
      <c r="PFG3" s="55"/>
      <c r="PFH3" s="55"/>
      <c r="PFI3" s="55"/>
      <c r="PFJ3" s="55"/>
      <c r="PFK3" s="55"/>
      <c r="PFL3" s="55"/>
      <c r="PFM3" s="55"/>
      <c r="PFN3" s="55"/>
      <c r="PFO3" s="55"/>
      <c r="PFP3" s="55"/>
      <c r="PFQ3" s="55"/>
      <c r="PFR3" s="55"/>
      <c r="PFS3" s="55"/>
      <c r="PFT3" s="55"/>
      <c r="PFU3" s="55"/>
      <c r="PFV3" s="55"/>
      <c r="PFW3" s="55"/>
      <c r="PFX3" s="55"/>
      <c r="PFY3" s="55"/>
      <c r="PFZ3" s="55"/>
      <c r="PGA3" s="55"/>
      <c r="PGB3" s="55"/>
      <c r="PGC3" s="55"/>
      <c r="PGD3" s="55"/>
      <c r="PGE3" s="55"/>
      <c r="PGF3" s="55"/>
      <c r="PGG3" s="55"/>
      <c r="PGH3" s="55"/>
      <c r="PGI3" s="55"/>
      <c r="PGJ3" s="55"/>
      <c r="PGK3" s="55"/>
      <c r="PGL3" s="55"/>
      <c r="PGM3" s="55"/>
      <c r="PGN3" s="55"/>
      <c r="PGO3" s="55"/>
      <c r="PGP3" s="55"/>
      <c r="PGQ3" s="55"/>
      <c r="PGR3" s="55"/>
      <c r="PGS3" s="55"/>
      <c r="PGT3" s="55"/>
      <c r="PGU3" s="55"/>
      <c r="PGV3" s="55"/>
      <c r="PGW3" s="55"/>
      <c r="PGX3" s="55"/>
      <c r="PGY3" s="55"/>
      <c r="PGZ3" s="55"/>
      <c r="PHA3" s="55"/>
      <c r="PHB3" s="55"/>
      <c r="PHC3" s="55"/>
      <c r="PHD3" s="55"/>
      <c r="PHE3" s="55"/>
      <c r="PHF3" s="55"/>
      <c r="PHG3" s="55"/>
      <c r="PHH3" s="55"/>
      <c r="PHI3" s="55"/>
      <c r="PHJ3" s="55"/>
      <c r="PHK3" s="55"/>
      <c r="PHL3" s="55"/>
      <c r="PHM3" s="55"/>
      <c r="PHN3" s="55"/>
      <c r="PHO3" s="55"/>
      <c r="PHP3" s="55"/>
      <c r="PHQ3" s="55"/>
      <c r="PHR3" s="55"/>
      <c r="PHS3" s="55"/>
      <c r="PHT3" s="55"/>
      <c r="PHU3" s="55"/>
      <c r="PHV3" s="55"/>
      <c r="PHW3" s="55"/>
      <c r="PHX3" s="55"/>
      <c r="PHY3" s="55"/>
      <c r="PHZ3" s="55"/>
      <c r="PIA3" s="55"/>
      <c r="PIB3" s="55"/>
      <c r="PIC3" s="55"/>
      <c r="PID3" s="55"/>
      <c r="PIE3" s="55"/>
      <c r="PIF3" s="55"/>
      <c r="PIG3" s="55"/>
      <c r="PIH3" s="55"/>
      <c r="PII3" s="55"/>
      <c r="PIJ3" s="55"/>
      <c r="PIK3" s="55"/>
      <c r="PIL3" s="55"/>
      <c r="PIM3" s="55"/>
      <c r="PIN3" s="55"/>
      <c r="PIO3" s="55"/>
      <c r="PIP3" s="55"/>
      <c r="PIQ3" s="55"/>
      <c r="PIR3" s="55"/>
      <c r="PIS3" s="55"/>
      <c r="PIT3" s="55"/>
      <c r="PIU3" s="55"/>
      <c r="PIV3" s="55"/>
      <c r="PIW3" s="55"/>
      <c r="PIX3" s="55"/>
      <c r="PIY3" s="55"/>
      <c r="PIZ3" s="55"/>
      <c r="PJA3" s="55"/>
      <c r="PJB3" s="55"/>
      <c r="PJC3" s="55"/>
      <c r="PJD3" s="55"/>
      <c r="PJE3" s="55"/>
      <c r="PJF3" s="55"/>
      <c r="PJG3" s="55"/>
      <c r="PJH3" s="55"/>
      <c r="PJI3" s="55"/>
      <c r="PJJ3" s="55"/>
      <c r="PJK3" s="55"/>
      <c r="PJL3" s="55"/>
      <c r="PJM3" s="55"/>
      <c r="PJN3" s="55"/>
      <c r="PJO3" s="55"/>
      <c r="PJP3" s="55"/>
      <c r="PJQ3" s="55"/>
      <c r="PJR3" s="55"/>
      <c r="PJS3" s="55"/>
      <c r="PJT3" s="55"/>
      <c r="PJU3" s="55"/>
      <c r="PJV3" s="55"/>
      <c r="PJW3" s="55"/>
      <c r="PJX3" s="55"/>
      <c r="PJY3" s="55"/>
      <c r="PJZ3" s="55"/>
      <c r="PKA3" s="55"/>
      <c r="PKB3" s="55"/>
      <c r="PKC3" s="55"/>
      <c r="PKD3" s="55"/>
      <c r="PKE3" s="55"/>
      <c r="PKF3" s="55"/>
      <c r="PKG3" s="55"/>
      <c r="PKH3" s="55"/>
      <c r="PKI3" s="55"/>
      <c r="PKJ3" s="55"/>
      <c r="PKK3" s="55"/>
      <c r="PKL3" s="55"/>
      <c r="PKM3" s="55"/>
      <c r="PKN3" s="55"/>
      <c r="PKO3" s="55"/>
      <c r="PKP3" s="55"/>
      <c r="PKQ3" s="55"/>
      <c r="PKR3" s="55"/>
      <c r="PKS3" s="55"/>
      <c r="PKT3" s="55"/>
      <c r="PKU3" s="55"/>
      <c r="PKV3" s="55"/>
      <c r="PKW3" s="55"/>
      <c r="PKX3" s="55"/>
      <c r="PKY3" s="55"/>
      <c r="PKZ3" s="55"/>
      <c r="PLA3" s="55"/>
      <c r="PLB3" s="55"/>
      <c r="PLC3" s="55"/>
      <c r="PLD3" s="55"/>
      <c r="PLE3" s="55"/>
      <c r="PLF3" s="55"/>
      <c r="PLG3" s="55"/>
      <c r="PLH3" s="55"/>
      <c r="PLI3" s="55"/>
      <c r="PLJ3" s="55"/>
      <c r="PLK3" s="55"/>
      <c r="PLL3" s="55"/>
      <c r="PLM3" s="55"/>
      <c r="PLN3" s="55"/>
      <c r="PLO3" s="55"/>
      <c r="PLP3" s="55"/>
      <c r="PLQ3" s="55"/>
      <c r="PLR3" s="55"/>
      <c r="PLS3" s="55"/>
      <c r="PLT3" s="55"/>
      <c r="PLU3" s="55"/>
      <c r="PLV3" s="55"/>
      <c r="PLW3" s="55"/>
      <c r="PLX3" s="55"/>
      <c r="PLY3" s="55"/>
      <c r="PLZ3" s="55"/>
      <c r="PMA3" s="55"/>
      <c r="PMB3" s="55"/>
      <c r="PMC3" s="55"/>
      <c r="PMD3" s="55"/>
      <c r="PME3" s="55"/>
      <c r="PMF3" s="55"/>
      <c r="PMG3" s="55"/>
      <c r="PMH3" s="55"/>
      <c r="PMI3" s="55"/>
      <c r="PMJ3" s="55"/>
      <c r="PMK3" s="55"/>
      <c r="PML3" s="55"/>
      <c r="PMM3" s="55"/>
      <c r="PMN3" s="55"/>
      <c r="PMO3" s="55"/>
      <c r="PMP3" s="55"/>
      <c r="PMQ3" s="55"/>
      <c r="PMR3" s="55"/>
      <c r="PMS3" s="55"/>
      <c r="PMT3" s="55"/>
      <c r="PMU3" s="55"/>
      <c r="PMV3" s="55"/>
      <c r="PMW3" s="55"/>
      <c r="PMX3" s="55"/>
      <c r="PMY3" s="55"/>
      <c r="PMZ3" s="55"/>
      <c r="PNA3" s="55"/>
      <c r="PNB3" s="55"/>
      <c r="PNC3" s="55"/>
      <c r="PND3" s="55"/>
      <c r="PNE3" s="55"/>
      <c r="PNF3" s="55"/>
      <c r="PNG3" s="55"/>
      <c r="PNH3" s="55"/>
      <c r="PNI3" s="55"/>
      <c r="PNJ3" s="55"/>
      <c r="PNK3" s="55"/>
      <c r="PNL3" s="55"/>
      <c r="PNM3" s="55"/>
      <c r="PNN3" s="55"/>
      <c r="PNO3" s="55"/>
      <c r="PNP3" s="55"/>
      <c r="PNQ3" s="55"/>
      <c r="PNR3" s="55"/>
      <c r="PNS3" s="55"/>
      <c r="PNT3" s="55"/>
      <c r="PNU3" s="55"/>
      <c r="PNV3" s="55"/>
      <c r="PNW3" s="55"/>
      <c r="PNX3" s="55"/>
      <c r="PNY3" s="55"/>
      <c r="PNZ3" s="55"/>
      <c r="POA3" s="55"/>
      <c r="POB3" s="55"/>
      <c r="POC3" s="55"/>
      <c r="POD3" s="55"/>
      <c r="POE3" s="55"/>
      <c r="POF3" s="55"/>
      <c r="POG3" s="55"/>
      <c r="POH3" s="55"/>
      <c r="POI3" s="55"/>
      <c r="POJ3" s="55"/>
      <c r="POK3" s="55"/>
      <c r="POL3" s="55"/>
      <c r="POM3" s="55"/>
      <c r="PON3" s="55"/>
      <c r="POO3" s="55"/>
      <c r="POP3" s="55"/>
      <c r="POQ3" s="55"/>
      <c r="POR3" s="55"/>
      <c r="POS3" s="55"/>
      <c r="POT3" s="55"/>
      <c r="POU3" s="55"/>
      <c r="POV3" s="55"/>
      <c r="POW3" s="55"/>
      <c r="POX3" s="55"/>
      <c r="POY3" s="55"/>
      <c r="POZ3" s="55"/>
      <c r="PPA3" s="55"/>
      <c r="PPB3" s="55"/>
      <c r="PPC3" s="55"/>
      <c r="PPD3" s="55"/>
      <c r="PPE3" s="55"/>
      <c r="PPF3" s="55"/>
      <c r="PPG3" s="55"/>
      <c r="PPH3" s="55"/>
      <c r="PPI3" s="55"/>
      <c r="PPJ3" s="55"/>
      <c r="PPK3" s="55"/>
      <c r="PPL3" s="55"/>
      <c r="PPM3" s="55"/>
      <c r="PPN3" s="55"/>
      <c r="PPO3" s="55"/>
      <c r="PPP3" s="55"/>
      <c r="PPQ3" s="55"/>
      <c r="PPR3" s="55"/>
      <c r="PPS3" s="55"/>
      <c r="PPT3" s="55"/>
      <c r="PPU3" s="55"/>
      <c r="PPV3" s="55"/>
      <c r="PPW3" s="55"/>
      <c r="PPX3" s="55"/>
      <c r="PPY3" s="55"/>
      <c r="PPZ3" s="55"/>
      <c r="PQA3" s="55"/>
      <c r="PQB3" s="55"/>
      <c r="PQC3" s="55"/>
      <c r="PQD3" s="55"/>
      <c r="PQE3" s="55"/>
      <c r="PQF3" s="55"/>
      <c r="PQG3" s="55"/>
      <c r="PQH3" s="55"/>
      <c r="PQI3" s="55"/>
      <c r="PQJ3" s="55"/>
      <c r="PQK3" s="55"/>
      <c r="PQL3" s="55"/>
      <c r="PQM3" s="55"/>
      <c r="PQN3" s="55"/>
      <c r="PQO3" s="55"/>
      <c r="PQP3" s="55"/>
      <c r="PQQ3" s="55"/>
      <c r="PQR3" s="55"/>
      <c r="PQS3" s="55"/>
      <c r="PQT3" s="55"/>
      <c r="PQU3" s="55"/>
      <c r="PQV3" s="55"/>
      <c r="PQW3" s="55"/>
      <c r="PQX3" s="55"/>
      <c r="PQY3" s="55"/>
      <c r="PQZ3" s="55"/>
      <c r="PRA3" s="55"/>
      <c r="PRB3" s="55"/>
      <c r="PRC3" s="55"/>
      <c r="PRD3" s="55"/>
      <c r="PRE3" s="55"/>
      <c r="PRF3" s="55"/>
      <c r="PRG3" s="55"/>
      <c r="PRH3" s="55"/>
      <c r="PRI3" s="55"/>
      <c r="PRJ3" s="55"/>
      <c r="PRK3" s="55"/>
      <c r="PRL3" s="55"/>
      <c r="PRM3" s="55"/>
      <c r="PRN3" s="55"/>
      <c r="PRO3" s="55"/>
      <c r="PRP3" s="55"/>
      <c r="PRQ3" s="55"/>
      <c r="PRR3" s="55"/>
      <c r="PRS3" s="55"/>
      <c r="PRT3" s="55"/>
      <c r="PRU3" s="55"/>
      <c r="PRV3" s="55"/>
      <c r="PRW3" s="55"/>
      <c r="PRX3" s="55"/>
      <c r="PRY3" s="55"/>
      <c r="PRZ3" s="55"/>
      <c r="PSA3" s="55"/>
      <c r="PSB3" s="55"/>
      <c r="PSC3" s="55"/>
      <c r="PSD3" s="55"/>
      <c r="PSE3" s="55"/>
      <c r="PSF3" s="55"/>
      <c r="PSG3" s="55"/>
      <c r="PSH3" s="55"/>
      <c r="PSI3" s="55"/>
      <c r="PSJ3" s="55"/>
      <c r="PSK3" s="55"/>
      <c r="PSL3" s="55"/>
      <c r="PSM3" s="55"/>
      <c r="PSN3" s="55"/>
      <c r="PSO3" s="55"/>
      <c r="PSP3" s="55"/>
      <c r="PSQ3" s="55"/>
      <c r="PSR3" s="55"/>
      <c r="PSS3" s="55"/>
      <c r="PST3" s="55"/>
      <c r="PSU3" s="55"/>
      <c r="PSV3" s="55"/>
      <c r="PSW3" s="55"/>
      <c r="PSX3" s="55"/>
      <c r="PSY3" s="55"/>
      <c r="PSZ3" s="55"/>
      <c r="PTA3" s="55"/>
      <c r="PTB3" s="55"/>
      <c r="PTC3" s="55"/>
      <c r="PTD3" s="55"/>
      <c r="PTE3" s="55"/>
      <c r="PTF3" s="55"/>
      <c r="PTG3" s="55"/>
      <c r="PTH3" s="55"/>
      <c r="PTI3" s="55"/>
      <c r="PTJ3" s="55"/>
      <c r="PTK3" s="55"/>
      <c r="PTL3" s="55"/>
      <c r="PTM3" s="55"/>
      <c r="PTN3" s="55"/>
      <c r="PTO3" s="55"/>
      <c r="PTP3" s="55"/>
      <c r="PTQ3" s="55"/>
      <c r="PTR3" s="55"/>
      <c r="PTS3" s="55"/>
      <c r="PTT3" s="55"/>
      <c r="PTU3" s="55"/>
      <c r="PTV3" s="55"/>
      <c r="PTW3" s="55"/>
      <c r="PTX3" s="55"/>
      <c r="PTY3" s="55"/>
      <c r="PTZ3" s="55"/>
      <c r="PUA3" s="55"/>
      <c r="PUB3" s="55"/>
      <c r="PUC3" s="55"/>
      <c r="PUD3" s="55"/>
      <c r="PUE3" s="55"/>
      <c r="PUF3" s="55"/>
      <c r="PUG3" s="55"/>
      <c r="PUH3" s="55"/>
      <c r="PUI3" s="55"/>
      <c r="PUJ3" s="55"/>
      <c r="PUK3" s="55"/>
      <c r="PUL3" s="55"/>
      <c r="PUM3" s="55"/>
      <c r="PUN3" s="55"/>
      <c r="PUO3" s="55"/>
      <c r="PUP3" s="55"/>
      <c r="PUQ3" s="55"/>
      <c r="PUR3" s="55"/>
      <c r="PUS3" s="55"/>
      <c r="PUT3" s="55"/>
      <c r="PUU3" s="55"/>
      <c r="PUV3" s="55"/>
      <c r="PUW3" s="55"/>
      <c r="PUX3" s="55"/>
      <c r="PUY3" s="55"/>
      <c r="PUZ3" s="55"/>
      <c r="PVA3" s="55"/>
      <c r="PVB3" s="55"/>
      <c r="PVC3" s="55"/>
      <c r="PVD3" s="55"/>
      <c r="PVE3" s="55"/>
      <c r="PVF3" s="55"/>
      <c r="PVG3" s="55"/>
      <c r="PVH3" s="55"/>
      <c r="PVI3" s="55"/>
      <c r="PVJ3" s="55"/>
      <c r="PVK3" s="55"/>
      <c r="PVL3" s="55"/>
      <c r="PVM3" s="55"/>
      <c r="PVN3" s="55"/>
      <c r="PVO3" s="55"/>
      <c r="PVP3" s="55"/>
      <c r="PVQ3" s="55"/>
      <c r="PVR3" s="55"/>
      <c r="PVS3" s="55"/>
      <c r="PVT3" s="55"/>
      <c r="PVU3" s="55"/>
      <c r="PVV3" s="55"/>
      <c r="PVW3" s="55"/>
      <c r="PVX3" s="55"/>
      <c r="PVY3" s="55"/>
      <c r="PVZ3" s="55"/>
      <c r="PWA3" s="55"/>
      <c r="PWB3" s="55"/>
      <c r="PWC3" s="55"/>
      <c r="PWD3" s="55"/>
      <c r="PWE3" s="55"/>
      <c r="PWF3" s="55"/>
      <c r="PWG3" s="55"/>
      <c r="PWH3" s="55"/>
      <c r="PWI3" s="55"/>
      <c r="PWJ3" s="55"/>
      <c r="PWK3" s="55"/>
      <c r="PWL3" s="55"/>
      <c r="PWM3" s="55"/>
      <c r="PWN3" s="55"/>
      <c r="PWO3" s="55"/>
      <c r="PWP3" s="55"/>
      <c r="PWQ3" s="55"/>
      <c r="PWR3" s="55"/>
      <c r="PWS3" s="55"/>
      <c r="PWT3" s="55"/>
      <c r="PWU3" s="55"/>
      <c r="PWV3" s="55"/>
      <c r="PWW3" s="55"/>
      <c r="PWX3" s="55"/>
      <c r="PWY3" s="55"/>
      <c r="PWZ3" s="55"/>
      <c r="PXA3" s="55"/>
      <c r="PXB3" s="55"/>
      <c r="PXC3" s="55"/>
      <c r="PXD3" s="55"/>
      <c r="PXE3" s="55"/>
      <c r="PXF3" s="55"/>
      <c r="PXG3" s="55"/>
      <c r="PXH3" s="55"/>
      <c r="PXI3" s="55"/>
      <c r="PXJ3" s="55"/>
      <c r="PXK3" s="55"/>
      <c r="PXL3" s="55"/>
      <c r="PXM3" s="55"/>
      <c r="PXN3" s="55"/>
      <c r="PXO3" s="55"/>
      <c r="PXP3" s="55"/>
      <c r="PXQ3" s="55"/>
      <c r="PXR3" s="55"/>
      <c r="PXS3" s="55"/>
      <c r="PXT3" s="55"/>
      <c r="PXU3" s="55"/>
      <c r="PXV3" s="55"/>
      <c r="PXW3" s="55"/>
      <c r="PXX3" s="55"/>
      <c r="PXY3" s="55"/>
      <c r="PXZ3" s="55"/>
      <c r="PYA3" s="55"/>
      <c r="PYB3" s="55"/>
      <c r="PYC3" s="55"/>
      <c r="PYD3" s="55"/>
      <c r="PYE3" s="55"/>
      <c r="PYF3" s="55"/>
      <c r="PYG3" s="55"/>
      <c r="PYH3" s="55"/>
      <c r="PYI3" s="55"/>
      <c r="PYJ3" s="55"/>
      <c r="PYK3" s="55"/>
      <c r="PYL3" s="55"/>
      <c r="PYM3" s="55"/>
      <c r="PYN3" s="55"/>
      <c r="PYO3" s="55"/>
      <c r="PYP3" s="55"/>
      <c r="PYQ3" s="55"/>
      <c r="PYR3" s="55"/>
      <c r="PYS3" s="55"/>
      <c r="PYT3" s="55"/>
      <c r="PYU3" s="55"/>
      <c r="PYV3" s="55"/>
      <c r="PYW3" s="55"/>
      <c r="PYX3" s="55"/>
      <c r="PYY3" s="55"/>
      <c r="PYZ3" s="55"/>
      <c r="PZA3" s="55"/>
      <c r="PZB3" s="55"/>
      <c r="PZC3" s="55"/>
      <c r="PZD3" s="55"/>
      <c r="PZE3" s="55"/>
      <c r="PZF3" s="55"/>
      <c r="PZG3" s="55"/>
      <c r="PZH3" s="55"/>
      <c r="PZI3" s="55"/>
      <c r="PZJ3" s="55"/>
      <c r="PZK3" s="55"/>
      <c r="PZL3" s="55"/>
      <c r="PZM3" s="55"/>
      <c r="PZN3" s="55"/>
      <c r="PZO3" s="55"/>
      <c r="PZP3" s="55"/>
      <c r="PZQ3" s="55"/>
      <c r="PZR3" s="55"/>
      <c r="PZS3" s="55"/>
      <c r="PZT3" s="55"/>
      <c r="PZU3" s="55"/>
      <c r="PZV3" s="55"/>
      <c r="PZW3" s="55"/>
      <c r="PZX3" s="55"/>
      <c r="PZY3" s="55"/>
      <c r="PZZ3" s="55"/>
      <c r="QAA3" s="55"/>
      <c r="QAB3" s="55"/>
      <c r="QAC3" s="55"/>
      <c r="QAD3" s="55"/>
      <c r="QAE3" s="55"/>
      <c r="QAF3" s="55"/>
      <c r="QAG3" s="55"/>
      <c r="QAH3" s="55"/>
      <c r="QAI3" s="55"/>
      <c r="QAJ3" s="55"/>
      <c r="QAK3" s="55"/>
      <c r="QAL3" s="55"/>
      <c r="QAM3" s="55"/>
      <c r="QAN3" s="55"/>
      <c r="QAO3" s="55"/>
      <c r="QAP3" s="55"/>
      <c r="QAQ3" s="55"/>
      <c r="QAR3" s="55"/>
      <c r="QAS3" s="55"/>
      <c r="QAT3" s="55"/>
      <c r="QAU3" s="55"/>
      <c r="QAV3" s="55"/>
      <c r="QAW3" s="55"/>
      <c r="QAX3" s="55"/>
      <c r="QAY3" s="55"/>
      <c r="QAZ3" s="55"/>
      <c r="QBA3" s="55"/>
      <c r="QBB3" s="55"/>
      <c r="QBC3" s="55"/>
      <c r="QBD3" s="55"/>
      <c r="QBE3" s="55"/>
      <c r="QBF3" s="55"/>
      <c r="QBG3" s="55"/>
      <c r="QBH3" s="55"/>
      <c r="QBI3" s="55"/>
      <c r="QBJ3" s="55"/>
      <c r="QBK3" s="55"/>
      <c r="QBL3" s="55"/>
      <c r="QBM3" s="55"/>
      <c r="QBN3" s="55"/>
      <c r="QBO3" s="55"/>
      <c r="QBP3" s="55"/>
      <c r="QBQ3" s="55"/>
      <c r="QBR3" s="55"/>
      <c r="QBS3" s="55"/>
      <c r="QBT3" s="55"/>
      <c r="QBU3" s="55"/>
      <c r="QBV3" s="55"/>
      <c r="QBW3" s="55"/>
      <c r="QBX3" s="55"/>
      <c r="QBY3" s="55"/>
      <c r="QBZ3" s="55"/>
      <c r="QCA3" s="55"/>
      <c r="QCB3" s="55"/>
      <c r="QCC3" s="55"/>
      <c r="QCD3" s="55"/>
      <c r="QCE3" s="55"/>
      <c r="QCF3" s="55"/>
      <c r="QCG3" s="55"/>
      <c r="QCH3" s="55"/>
      <c r="QCI3" s="55"/>
      <c r="QCJ3" s="55"/>
      <c r="QCK3" s="55"/>
      <c r="QCL3" s="55"/>
      <c r="QCM3" s="55"/>
      <c r="QCN3" s="55"/>
      <c r="QCO3" s="55"/>
      <c r="QCP3" s="55"/>
      <c r="QCQ3" s="55"/>
      <c r="QCR3" s="55"/>
      <c r="QCS3" s="55"/>
      <c r="QCT3" s="55"/>
      <c r="QCU3" s="55"/>
      <c r="QCV3" s="55"/>
      <c r="QCW3" s="55"/>
      <c r="QCX3" s="55"/>
      <c r="QCY3" s="55"/>
      <c r="QCZ3" s="55"/>
      <c r="QDA3" s="55"/>
      <c r="QDB3" s="55"/>
      <c r="QDC3" s="55"/>
      <c r="QDD3" s="55"/>
      <c r="QDE3" s="55"/>
      <c r="QDF3" s="55"/>
      <c r="QDG3" s="55"/>
      <c r="QDH3" s="55"/>
      <c r="QDI3" s="55"/>
      <c r="QDJ3" s="55"/>
      <c r="QDK3" s="55"/>
      <c r="QDL3" s="55"/>
      <c r="QDM3" s="55"/>
      <c r="QDN3" s="55"/>
      <c r="QDO3" s="55"/>
      <c r="QDP3" s="55"/>
      <c r="QDQ3" s="55"/>
      <c r="QDR3" s="55"/>
      <c r="QDS3" s="55"/>
      <c r="QDT3" s="55"/>
      <c r="QDU3" s="55"/>
      <c r="QDV3" s="55"/>
      <c r="QDW3" s="55"/>
      <c r="QDX3" s="55"/>
      <c r="QDY3" s="55"/>
      <c r="QDZ3" s="55"/>
      <c r="QEA3" s="55"/>
      <c r="QEB3" s="55"/>
      <c r="QEC3" s="55"/>
      <c r="QED3" s="55"/>
      <c r="QEE3" s="55"/>
      <c r="QEF3" s="55"/>
      <c r="QEG3" s="55"/>
      <c r="QEH3" s="55"/>
      <c r="QEI3" s="55"/>
      <c r="QEJ3" s="55"/>
      <c r="QEK3" s="55"/>
      <c r="QEL3" s="55"/>
      <c r="QEM3" s="55"/>
      <c r="QEN3" s="55"/>
      <c r="QEO3" s="55"/>
      <c r="QEP3" s="55"/>
      <c r="QEQ3" s="55"/>
      <c r="QER3" s="55"/>
      <c r="QES3" s="55"/>
      <c r="QET3" s="55"/>
      <c r="QEU3" s="55"/>
      <c r="QEV3" s="55"/>
      <c r="QEW3" s="55"/>
      <c r="QEX3" s="55"/>
      <c r="QEY3" s="55"/>
      <c r="QEZ3" s="55"/>
      <c r="QFA3" s="55"/>
      <c r="QFB3" s="55"/>
      <c r="QFC3" s="55"/>
      <c r="QFD3" s="55"/>
      <c r="QFE3" s="55"/>
      <c r="QFF3" s="55"/>
      <c r="QFG3" s="55"/>
      <c r="QFH3" s="55"/>
      <c r="QFI3" s="55"/>
      <c r="QFJ3" s="55"/>
      <c r="QFK3" s="55"/>
      <c r="QFL3" s="55"/>
      <c r="QFM3" s="55"/>
      <c r="QFN3" s="55"/>
      <c r="QFO3" s="55"/>
      <c r="QFP3" s="55"/>
      <c r="QFQ3" s="55"/>
      <c r="QFR3" s="55"/>
      <c r="QFS3" s="55"/>
      <c r="QFT3" s="55"/>
      <c r="QFU3" s="55"/>
      <c r="QFV3" s="55"/>
      <c r="QFW3" s="55"/>
      <c r="QFX3" s="55"/>
      <c r="QFY3" s="55"/>
      <c r="QFZ3" s="55"/>
      <c r="QGA3" s="55"/>
      <c r="QGB3" s="55"/>
      <c r="QGC3" s="55"/>
      <c r="QGD3" s="55"/>
      <c r="QGE3" s="55"/>
      <c r="QGF3" s="55"/>
      <c r="QGG3" s="55"/>
      <c r="QGH3" s="55"/>
      <c r="QGI3" s="55"/>
      <c r="QGJ3" s="55"/>
      <c r="QGK3" s="55"/>
      <c r="QGL3" s="55"/>
      <c r="QGM3" s="55"/>
      <c r="QGN3" s="55"/>
      <c r="QGO3" s="55"/>
      <c r="QGP3" s="55"/>
      <c r="QGQ3" s="55"/>
      <c r="QGR3" s="55"/>
      <c r="QGS3" s="55"/>
      <c r="QGT3" s="55"/>
      <c r="QGU3" s="55"/>
      <c r="QGV3" s="55"/>
      <c r="QGW3" s="55"/>
      <c r="QGX3" s="55"/>
      <c r="QGY3" s="55"/>
      <c r="QGZ3" s="55"/>
      <c r="QHA3" s="55"/>
      <c r="QHB3" s="55"/>
      <c r="QHC3" s="55"/>
      <c r="QHD3" s="55"/>
      <c r="QHE3" s="55"/>
      <c r="QHF3" s="55"/>
      <c r="QHG3" s="55"/>
      <c r="QHH3" s="55"/>
      <c r="QHI3" s="55"/>
      <c r="QHJ3" s="55"/>
      <c r="QHK3" s="55"/>
      <c r="QHL3" s="55"/>
      <c r="QHM3" s="55"/>
      <c r="QHN3" s="55"/>
      <c r="QHO3" s="55"/>
      <c r="QHP3" s="55"/>
      <c r="QHQ3" s="55"/>
      <c r="QHR3" s="55"/>
      <c r="QHS3" s="55"/>
      <c r="QHT3" s="55"/>
      <c r="QHU3" s="55"/>
      <c r="QHV3" s="55"/>
      <c r="QHW3" s="55"/>
      <c r="QHX3" s="55"/>
      <c r="QHY3" s="55"/>
      <c r="QHZ3" s="55"/>
      <c r="QIA3" s="55"/>
      <c r="QIB3" s="55"/>
      <c r="QIC3" s="55"/>
      <c r="QID3" s="55"/>
      <c r="QIE3" s="55"/>
      <c r="QIF3" s="55"/>
      <c r="QIG3" s="55"/>
      <c r="QIH3" s="55"/>
      <c r="QII3" s="55"/>
      <c r="QIJ3" s="55"/>
      <c r="QIK3" s="55"/>
      <c r="QIL3" s="55"/>
      <c r="QIM3" s="55"/>
      <c r="QIN3" s="55"/>
      <c r="QIO3" s="55"/>
      <c r="QIP3" s="55"/>
      <c r="QIQ3" s="55"/>
      <c r="QIR3" s="55"/>
      <c r="QIS3" s="55"/>
      <c r="QIT3" s="55"/>
      <c r="QIU3" s="55"/>
      <c r="QIV3" s="55"/>
      <c r="QIW3" s="55"/>
      <c r="QIX3" s="55"/>
      <c r="QIY3" s="55"/>
      <c r="QIZ3" s="55"/>
      <c r="QJA3" s="55"/>
      <c r="QJB3" s="55"/>
      <c r="QJC3" s="55"/>
      <c r="QJD3" s="55"/>
      <c r="QJE3" s="55"/>
      <c r="QJF3" s="55"/>
      <c r="QJG3" s="55"/>
      <c r="QJH3" s="55"/>
      <c r="QJI3" s="55"/>
      <c r="QJJ3" s="55"/>
      <c r="QJK3" s="55"/>
      <c r="QJL3" s="55"/>
      <c r="QJM3" s="55"/>
      <c r="QJN3" s="55"/>
      <c r="QJO3" s="55"/>
      <c r="QJP3" s="55"/>
      <c r="QJQ3" s="55"/>
      <c r="QJR3" s="55"/>
      <c r="QJS3" s="55"/>
      <c r="QJT3" s="55"/>
      <c r="QJU3" s="55"/>
      <c r="QJV3" s="55"/>
      <c r="QJW3" s="55"/>
      <c r="QJX3" s="55"/>
      <c r="QJY3" s="55"/>
      <c r="QJZ3" s="55"/>
      <c r="QKA3" s="55"/>
      <c r="QKB3" s="55"/>
      <c r="QKC3" s="55"/>
      <c r="QKD3" s="55"/>
      <c r="QKE3" s="55"/>
      <c r="QKF3" s="55"/>
      <c r="QKG3" s="55"/>
      <c r="QKH3" s="55"/>
      <c r="QKI3" s="55"/>
      <c r="QKJ3" s="55"/>
      <c r="QKK3" s="55"/>
      <c r="QKL3" s="55"/>
      <c r="QKM3" s="55"/>
      <c r="QKN3" s="55"/>
      <c r="QKO3" s="55"/>
      <c r="QKP3" s="55"/>
      <c r="QKQ3" s="55"/>
      <c r="QKR3" s="55"/>
      <c r="QKS3" s="55"/>
      <c r="QKT3" s="55"/>
      <c r="QKU3" s="55"/>
      <c r="QKV3" s="55"/>
      <c r="QKW3" s="55"/>
      <c r="QKX3" s="55"/>
      <c r="QKY3" s="55"/>
      <c r="QKZ3" s="55"/>
      <c r="QLA3" s="55"/>
      <c r="QLB3" s="55"/>
      <c r="QLC3" s="55"/>
      <c r="QLD3" s="55"/>
      <c r="QLE3" s="55"/>
      <c r="QLF3" s="55"/>
      <c r="QLG3" s="55"/>
      <c r="QLH3" s="55"/>
      <c r="QLI3" s="55"/>
      <c r="QLJ3" s="55"/>
      <c r="QLK3" s="55"/>
      <c r="QLL3" s="55"/>
      <c r="QLM3" s="55"/>
      <c r="QLN3" s="55"/>
      <c r="QLO3" s="55"/>
      <c r="QLP3" s="55"/>
      <c r="QLQ3" s="55"/>
      <c r="QLR3" s="55"/>
      <c r="QLS3" s="55"/>
      <c r="QLT3" s="55"/>
      <c r="QLU3" s="55"/>
      <c r="QLV3" s="55"/>
      <c r="QLW3" s="55"/>
      <c r="QLX3" s="55"/>
      <c r="QLY3" s="55"/>
      <c r="QLZ3" s="55"/>
      <c r="QMA3" s="55"/>
      <c r="QMB3" s="55"/>
      <c r="QMC3" s="55"/>
      <c r="QMD3" s="55"/>
      <c r="QME3" s="55"/>
      <c r="QMF3" s="55"/>
      <c r="QMG3" s="55"/>
      <c r="QMH3" s="55"/>
      <c r="QMI3" s="55"/>
      <c r="QMJ3" s="55"/>
      <c r="QMK3" s="55"/>
      <c r="QML3" s="55"/>
      <c r="QMM3" s="55"/>
      <c r="QMN3" s="55"/>
      <c r="QMO3" s="55"/>
      <c r="QMP3" s="55"/>
      <c r="QMQ3" s="55"/>
      <c r="QMR3" s="55"/>
      <c r="QMS3" s="55"/>
      <c r="QMT3" s="55"/>
      <c r="QMU3" s="55"/>
      <c r="QMV3" s="55"/>
      <c r="QMW3" s="55"/>
      <c r="QMX3" s="55"/>
      <c r="QMY3" s="55"/>
      <c r="QMZ3" s="55"/>
      <c r="QNA3" s="55"/>
      <c r="QNB3" s="55"/>
      <c r="QNC3" s="55"/>
      <c r="QND3" s="55"/>
      <c r="QNE3" s="55"/>
      <c r="QNF3" s="55"/>
      <c r="QNG3" s="55"/>
      <c r="QNH3" s="55"/>
      <c r="QNI3" s="55"/>
      <c r="QNJ3" s="55"/>
      <c r="QNK3" s="55"/>
      <c r="QNL3" s="55"/>
      <c r="QNM3" s="55"/>
      <c r="QNN3" s="55"/>
      <c r="QNO3" s="55"/>
      <c r="QNP3" s="55"/>
      <c r="QNQ3" s="55"/>
      <c r="QNR3" s="55"/>
      <c r="QNS3" s="55"/>
      <c r="QNT3" s="55"/>
      <c r="QNU3" s="55"/>
      <c r="QNV3" s="55"/>
      <c r="QNW3" s="55"/>
      <c r="QNX3" s="55"/>
      <c r="QNY3" s="55"/>
      <c r="QNZ3" s="55"/>
      <c r="QOA3" s="55"/>
      <c r="QOB3" s="55"/>
      <c r="QOC3" s="55"/>
      <c r="QOD3" s="55"/>
      <c r="QOE3" s="55"/>
      <c r="QOF3" s="55"/>
      <c r="QOG3" s="55"/>
      <c r="QOH3" s="55"/>
      <c r="QOI3" s="55"/>
      <c r="QOJ3" s="55"/>
      <c r="QOK3" s="55"/>
      <c r="QOL3" s="55"/>
      <c r="QOM3" s="55"/>
      <c r="QON3" s="55"/>
      <c r="QOO3" s="55"/>
      <c r="QOP3" s="55"/>
      <c r="QOQ3" s="55"/>
      <c r="QOR3" s="55"/>
      <c r="QOS3" s="55"/>
      <c r="QOT3" s="55"/>
      <c r="QOU3" s="55"/>
      <c r="QOV3" s="55"/>
      <c r="QOW3" s="55"/>
      <c r="QOX3" s="55"/>
      <c r="QOY3" s="55"/>
      <c r="QOZ3" s="55"/>
      <c r="QPA3" s="55"/>
      <c r="QPB3" s="55"/>
      <c r="QPC3" s="55"/>
      <c r="QPD3" s="55"/>
      <c r="QPE3" s="55"/>
      <c r="QPF3" s="55"/>
      <c r="QPG3" s="55"/>
      <c r="QPH3" s="55"/>
      <c r="QPI3" s="55"/>
      <c r="QPJ3" s="55"/>
      <c r="QPK3" s="55"/>
      <c r="QPL3" s="55"/>
      <c r="QPM3" s="55"/>
      <c r="QPN3" s="55"/>
      <c r="QPO3" s="55"/>
      <c r="QPP3" s="55"/>
      <c r="QPQ3" s="55"/>
      <c r="QPR3" s="55"/>
      <c r="QPS3" s="55"/>
      <c r="QPT3" s="55"/>
      <c r="QPU3" s="55"/>
      <c r="QPV3" s="55"/>
      <c r="QPW3" s="55"/>
      <c r="QPX3" s="55"/>
      <c r="QPY3" s="55"/>
      <c r="QPZ3" s="55"/>
      <c r="QQA3" s="55"/>
      <c r="QQB3" s="55"/>
      <c r="QQC3" s="55"/>
      <c r="QQD3" s="55"/>
      <c r="QQE3" s="55"/>
      <c r="QQF3" s="55"/>
      <c r="QQG3" s="55"/>
      <c r="QQH3" s="55"/>
      <c r="QQI3" s="55"/>
      <c r="QQJ3" s="55"/>
      <c r="QQK3" s="55"/>
      <c r="QQL3" s="55"/>
      <c r="QQM3" s="55"/>
      <c r="QQN3" s="55"/>
      <c r="QQO3" s="55"/>
      <c r="QQP3" s="55"/>
      <c r="QQQ3" s="55"/>
      <c r="QQR3" s="55"/>
      <c r="QQS3" s="55"/>
      <c r="QQT3" s="55"/>
      <c r="QQU3" s="55"/>
      <c r="QQV3" s="55"/>
      <c r="QQW3" s="55"/>
      <c r="QQX3" s="55"/>
      <c r="QQY3" s="55"/>
      <c r="QQZ3" s="55"/>
      <c r="QRA3" s="55"/>
      <c r="QRB3" s="55"/>
      <c r="QRC3" s="55"/>
      <c r="QRD3" s="55"/>
      <c r="QRE3" s="55"/>
      <c r="QRF3" s="55"/>
      <c r="QRG3" s="55"/>
      <c r="QRH3" s="55"/>
      <c r="QRI3" s="55"/>
      <c r="QRJ3" s="55"/>
      <c r="QRK3" s="55"/>
      <c r="QRL3" s="55"/>
      <c r="QRM3" s="55"/>
      <c r="QRN3" s="55"/>
      <c r="QRO3" s="55"/>
      <c r="QRP3" s="55"/>
      <c r="QRQ3" s="55"/>
      <c r="QRR3" s="55"/>
      <c r="QRS3" s="55"/>
      <c r="QRT3" s="55"/>
      <c r="QRU3" s="55"/>
      <c r="QRV3" s="55"/>
      <c r="QRW3" s="55"/>
      <c r="QRX3" s="55"/>
      <c r="QRY3" s="55"/>
      <c r="QRZ3" s="55"/>
      <c r="QSA3" s="55"/>
      <c r="QSB3" s="55"/>
      <c r="QSC3" s="55"/>
      <c r="QSD3" s="55"/>
      <c r="QSE3" s="55"/>
      <c r="QSF3" s="55"/>
      <c r="QSG3" s="55"/>
      <c r="QSH3" s="55"/>
      <c r="QSI3" s="55"/>
      <c r="QSJ3" s="55"/>
      <c r="QSK3" s="55"/>
      <c r="QSL3" s="55"/>
      <c r="QSM3" s="55"/>
      <c r="QSN3" s="55"/>
      <c r="QSO3" s="55"/>
      <c r="QSP3" s="55"/>
      <c r="QSQ3" s="55"/>
      <c r="QSR3" s="55"/>
      <c r="QSS3" s="55"/>
      <c r="QST3" s="55"/>
      <c r="QSU3" s="55"/>
      <c r="QSV3" s="55"/>
      <c r="QSW3" s="55"/>
      <c r="QSX3" s="55"/>
      <c r="QSY3" s="55"/>
      <c r="QSZ3" s="55"/>
      <c r="QTA3" s="55"/>
      <c r="QTB3" s="55"/>
      <c r="QTC3" s="55"/>
      <c r="QTD3" s="55"/>
      <c r="QTE3" s="55"/>
      <c r="QTF3" s="55"/>
      <c r="QTG3" s="55"/>
      <c r="QTH3" s="55"/>
      <c r="QTI3" s="55"/>
      <c r="QTJ3" s="55"/>
      <c r="QTK3" s="55"/>
      <c r="QTL3" s="55"/>
      <c r="QTM3" s="55"/>
      <c r="QTN3" s="55"/>
      <c r="QTO3" s="55"/>
      <c r="QTP3" s="55"/>
      <c r="QTQ3" s="55"/>
      <c r="QTR3" s="55"/>
      <c r="QTS3" s="55"/>
      <c r="QTT3" s="55"/>
      <c r="QTU3" s="55"/>
      <c r="QTV3" s="55"/>
      <c r="QTW3" s="55"/>
      <c r="QTX3" s="55"/>
      <c r="QTY3" s="55"/>
      <c r="QTZ3" s="55"/>
      <c r="QUA3" s="55"/>
      <c r="QUB3" s="55"/>
      <c r="QUC3" s="55"/>
      <c r="QUD3" s="55"/>
      <c r="QUE3" s="55"/>
      <c r="QUF3" s="55"/>
      <c r="QUG3" s="55"/>
      <c r="QUH3" s="55"/>
      <c r="QUI3" s="55"/>
      <c r="QUJ3" s="55"/>
      <c r="QUK3" s="55"/>
      <c r="QUL3" s="55"/>
      <c r="QUM3" s="55"/>
      <c r="QUN3" s="55"/>
      <c r="QUO3" s="55"/>
      <c r="QUP3" s="55"/>
      <c r="QUQ3" s="55"/>
      <c r="QUR3" s="55"/>
      <c r="QUS3" s="55"/>
      <c r="QUT3" s="55"/>
      <c r="QUU3" s="55"/>
      <c r="QUV3" s="55"/>
      <c r="QUW3" s="55"/>
      <c r="QUX3" s="55"/>
      <c r="QUY3" s="55"/>
      <c r="QUZ3" s="55"/>
      <c r="QVA3" s="55"/>
      <c r="QVB3" s="55"/>
      <c r="QVC3" s="55"/>
      <c r="QVD3" s="55"/>
      <c r="QVE3" s="55"/>
      <c r="QVF3" s="55"/>
      <c r="QVG3" s="55"/>
      <c r="QVH3" s="55"/>
      <c r="QVI3" s="55"/>
      <c r="QVJ3" s="55"/>
      <c r="QVK3" s="55"/>
      <c r="QVL3" s="55"/>
      <c r="QVM3" s="55"/>
      <c r="QVN3" s="55"/>
      <c r="QVO3" s="55"/>
      <c r="QVP3" s="55"/>
      <c r="QVQ3" s="55"/>
      <c r="QVR3" s="55"/>
      <c r="QVS3" s="55"/>
      <c r="QVT3" s="55"/>
      <c r="QVU3" s="55"/>
      <c r="QVV3" s="55"/>
      <c r="QVW3" s="55"/>
      <c r="QVX3" s="55"/>
      <c r="QVY3" s="55"/>
      <c r="QVZ3" s="55"/>
      <c r="QWA3" s="55"/>
      <c r="QWB3" s="55"/>
      <c r="QWC3" s="55"/>
      <c r="QWD3" s="55"/>
      <c r="QWE3" s="55"/>
      <c r="QWF3" s="55"/>
      <c r="QWG3" s="55"/>
      <c r="QWH3" s="55"/>
      <c r="QWI3" s="55"/>
      <c r="QWJ3" s="55"/>
      <c r="QWK3" s="55"/>
      <c r="QWL3" s="55"/>
      <c r="QWM3" s="55"/>
      <c r="QWN3" s="55"/>
      <c r="QWO3" s="55"/>
      <c r="QWP3" s="55"/>
      <c r="QWQ3" s="55"/>
      <c r="QWR3" s="55"/>
      <c r="QWS3" s="55"/>
      <c r="QWT3" s="55"/>
      <c r="QWU3" s="55"/>
      <c r="QWV3" s="55"/>
      <c r="QWW3" s="55"/>
      <c r="QWX3" s="55"/>
      <c r="QWY3" s="55"/>
      <c r="QWZ3" s="55"/>
      <c r="QXA3" s="55"/>
      <c r="QXB3" s="55"/>
      <c r="QXC3" s="55"/>
      <c r="QXD3" s="55"/>
      <c r="QXE3" s="55"/>
      <c r="QXF3" s="55"/>
      <c r="QXG3" s="55"/>
      <c r="QXH3" s="55"/>
      <c r="QXI3" s="55"/>
      <c r="QXJ3" s="55"/>
      <c r="QXK3" s="55"/>
      <c r="QXL3" s="55"/>
      <c r="QXM3" s="55"/>
      <c r="QXN3" s="55"/>
      <c r="QXO3" s="55"/>
      <c r="QXP3" s="55"/>
      <c r="QXQ3" s="55"/>
      <c r="QXR3" s="55"/>
      <c r="QXS3" s="55"/>
      <c r="QXT3" s="55"/>
      <c r="QXU3" s="55"/>
      <c r="QXV3" s="55"/>
      <c r="QXW3" s="55"/>
      <c r="QXX3" s="55"/>
      <c r="QXY3" s="55"/>
      <c r="QXZ3" s="55"/>
      <c r="QYA3" s="55"/>
      <c r="QYB3" s="55"/>
      <c r="QYC3" s="55"/>
      <c r="QYD3" s="55"/>
      <c r="QYE3" s="55"/>
      <c r="QYF3" s="55"/>
      <c r="QYG3" s="55"/>
      <c r="QYH3" s="55"/>
      <c r="QYI3" s="55"/>
      <c r="QYJ3" s="55"/>
      <c r="QYK3" s="55"/>
      <c r="QYL3" s="55"/>
      <c r="QYM3" s="55"/>
      <c r="QYN3" s="55"/>
      <c r="QYO3" s="55"/>
      <c r="QYP3" s="55"/>
      <c r="QYQ3" s="55"/>
      <c r="QYR3" s="55"/>
      <c r="QYS3" s="55"/>
      <c r="QYT3" s="55"/>
      <c r="QYU3" s="55"/>
      <c r="QYV3" s="55"/>
      <c r="QYW3" s="55"/>
      <c r="QYX3" s="55"/>
      <c r="QYY3" s="55"/>
      <c r="QYZ3" s="55"/>
      <c r="QZA3" s="55"/>
      <c r="QZB3" s="55"/>
      <c r="QZC3" s="55"/>
      <c r="QZD3" s="55"/>
      <c r="QZE3" s="55"/>
      <c r="QZF3" s="55"/>
      <c r="QZG3" s="55"/>
      <c r="QZH3" s="55"/>
      <c r="QZI3" s="55"/>
      <c r="QZJ3" s="55"/>
      <c r="QZK3" s="55"/>
      <c r="QZL3" s="55"/>
      <c r="QZM3" s="55"/>
      <c r="QZN3" s="55"/>
      <c r="QZO3" s="55"/>
      <c r="QZP3" s="55"/>
      <c r="QZQ3" s="55"/>
      <c r="QZR3" s="55"/>
      <c r="QZS3" s="55"/>
      <c r="QZT3" s="55"/>
      <c r="QZU3" s="55"/>
      <c r="QZV3" s="55"/>
      <c r="QZW3" s="55"/>
      <c r="QZX3" s="55"/>
      <c r="QZY3" s="55"/>
      <c r="QZZ3" s="55"/>
      <c r="RAA3" s="55"/>
      <c r="RAB3" s="55"/>
      <c r="RAC3" s="55"/>
      <c r="RAD3" s="55"/>
      <c r="RAE3" s="55"/>
      <c r="RAF3" s="55"/>
      <c r="RAG3" s="55"/>
      <c r="RAH3" s="55"/>
      <c r="RAI3" s="55"/>
      <c r="RAJ3" s="55"/>
      <c r="RAK3" s="55"/>
      <c r="RAL3" s="55"/>
      <c r="RAM3" s="55"/>
      <c r="RAN3" s="55"/>
      <c r="RAO3" s="55"/>
      <c r="RAP3" s="55"/>
      <c r="RAQ3" s="55"/>
      <c r="RAR3" s="55"/>
      <c r="RAS3" s="55"/>
      <c r="RAT3" s="55"/>
      <c r="RAU3" s="55"/>
      <c r="RAV3" s="55"/>
      <c r="RAW3" s="55"/>
      <c r="RAX3" s="55"/>
      <c r="RAY3" s="55"/>
      <c r="RAZ3" s="55"/>
      <c r="RBA3" s="55"/>
      <c r="RBB3" s="55"/>
      <c r="RBC3" s="55"/>
      <c r="RBD3" s="55"/>
      <c r="RBE3" s="55"/>
      <c r="RBF3" s="55"/>
      <c r="RBG3" s="55"/>
      <c r="RBH3" s="55"/>
      <c r="RBI3" s="55"/>
      <c r="RBJ3" s="55"/>
      <c r="RBK3" s="55"/>
      <c r="RBL3" s="55"/>
      <c r="RBM3" s="55"/>
      <c r="RBN3" s="55"/>
      <c r="RBO3" s="55"/>
      <c r="RBP3" s="55"/>
      <c r="RBQ3" s="55"/>
      <c r="RBR3" s="55"/>
      <c r="RBS3" s="55"/>
      <c r="RBT3" s="55"/>
      <c r="RBU3" s="55"/>
      <c r="RBV3" s="55"/>
      <c r="RBW3" s="55"/>
      <c r="RBX3" s="55"/>
      <c r="RBY3" s="55"/>
      <c r="RBZ3" s="55"/>
      <c r="RCA3" s="55"/>
      <c r="RCB3" s="55"/>
      <c r="RCC3" s="55"/>
      <c r="RCD3" s="55"/>
      <c r="RCE3" s="55"/>
      <c r="RCF3" s="55"/>
      <c r="RCG3" s="55"/>
      <c r="RCH3" s="55"/>
      <c r="RCI3" s="55"/>
      <c r="RCJ3" s="55"/>
      <c r="RCK3" s="55"/>
      <c r="RCL3" s="55"/>
      <c r="RCM3" s="55"/>
      <c r="RCN3" s="55"/>
      <c r="RCO3" s="55"/>
      <c r="RCP3" s="55"/>
      <c r="RCQ3" s="55"/>
      <c r="RCR3" s="55"/>
      <c r="RCS3" s="55"/>
      <c r="RCT3" s="55"/>
      <c r="RCU3" s="55"/>
      <c r="RCV3" s="55"/>
      <c r="RCW3" s="55"/>
      <c r="RCX3" s="55"/>
      <c r="RCY3" s="55"/>
      <c r="RCZ3" s="55"/>
      <c r="RDA3" s="55"/>
      <c r="RDB3" s="55"/>
      <c r="RDC3" s="55"/>
      <c r="RDD3" s="55"/>
      <c r="RDE3" s="55"/>
      <c r="RDF3" s="55"/>
      <c r="RDG3" s="55"/>
      <c r="RDH3" s="55"/>
      <c r="RDI3" s="55"/>
      <c r="RDJ3" s="55"/>
      <c r="RDK3" s="55"/>
      <c r="RDL3" s="55"/>
      <c r="RDM3" s="55"/>
      <c r="RDN3" s="55"/>
      <c r="RDO3" s="55"/>
      <c r="RDP3" s="55"/>
      <c r="RDQ3" s="55"/>
      <c r="RDR3" s="55"/>
      <c r="RDS3" s="55"/>
      <c r="RDT3" s="55"/>
      <c r="RDU3" s="55"/>
      <c r="RDV3" s="55"/>
      <c r="RDW3" s="55"/>
      <c r="RDX3" s="55"/>
      <c r="RDY3" s="55"/>
      <c r="RDZ3" s="55"/>
      <c r="REA3" s="55"/>
      <c r="REB3" s="55"/>
      <c r="REC3" s="55"/>
      <c r="RED3" s="55"/>
      <c r="REE3" s="55"/>
      <c r="REF3" s="55"/>
      <c r="REG3" s="55"/>
      <c r="REH3" s="55"/>
      <c r="REI3" s="55"/>
      <c r="REJ3" s="55"/>
      <c r="REK3" s="55"/>
      <c r="REL3" s="55"/>
      <c r="REM3" s="55"/>
      <c r="REN3" s="55"/>
      <c r="REO3" s="55"/>
      <c r="REP3" s="55"/>
      <c r="REQ3" s="55"/>
      <c r="RER3" s="55"/>
      <c r="RES3" s="55"/>
      <c r="RET3" s="55"/>
      <c r="REU3" s="55"/>
      <c r="REV3" s="55"/>
      <c r="REW3" s="55"/>
      <c r="REX3" s="55"/>
      <c r="REY3" s="55"/>
      <c r="REZ3" s="55"/>
      <c r="RFA3" s="55"/>
      <c r="RFB3" s="55"/>
      <c r="RFC3" s="55"/>
      <c r="RFD3" s="55"/>
      <c r="RFE3" s="55"/>
      <c r="RFF3" s="55"/>
      <c r="RFG3" s="55"/>
      <c r="RFH3" s="55"/>
      <c r="RFI3" s="55"/>
      <c r="RFJ3" s="55"/>
      <c r="RFK3" s="55"/>
      <c r="RFL3" s="55"/>
      <c r="RFM3" s="55"/>
      <c r="RFN3" s="55"/>
      <c r="RFO3" s="55"/>
      <c r="RFP3" s="55"/>
      <c r="RFQ3" s="55"/>
      <c r="RFR3" s="55"/>
      <c r="RFS3" s="55"/>
      <c r="RFT3" s="55"/>
      <c r="RFU3" s="55"/>
      <c r="RFV3" s="55"/>
      <c r="RFW3" s="55"/>
      <c r="RFX3" s="55"/>
      <c r="RFY3" s="55"/>
      <c r="RFZ3" s="55"/>
      <c r="RGA3" s="55"/>
      <c r="RGB3" s="55"/>
      <c r="RGC3" s="55"/>
      <c r="RGD3" s="55"/>
      <c r="RGE3" s="55"/>
      <c r="RGF3" s="55"/>
      <c r="RGG3" s="55"/>
      <c r="RGH3" s="55"/>
      <c r="RGI3" s="55"/>
      <c r="RGJ3" s="55"/>
      <c r="RGK3" s="55"/>
      <c r="RGL3" s="55"/>
      <c r="RGM3" s="55"/>
      <c r="RGN3" s="55"/>
      <c r="RGO3" s="55"/>
      <c r="RGP3" s="55"/>
      <c r="RGQ3" s="55"/>
      <c r="RGR3" s="55"/>
      <c r="RGS3" s="55"/>
      <c r="RGT3" s="55"/>
      <c r="RGU3" s="55"/>
      <c r="RGV3" s="55"/>
      <c r="RGW3" s="55"/>
      <c r="RGX3" s="55"/>
      <c r="RGY3" s="55"/>
      <c r="RGZ3" s="55"/>
      <c r="RHA3" s="55"/>
      <c r="RHB3" s="55"/>
      <c r="RHC3" s="55"/>
      <c r="RHD3" s="55"/>
      <c r="RHE3" s="55"/>
      <c r="RHF3" s="55"/>
      <c r="RHG3" s="55"/>
      <c r="RHH3" s="55"/>
      <c r="RHI3" s="55"/>
      <c r="RHJ3" s="55"/>
      <c r="RHK3" s="55"/>
      <c r="RHL3" s="55"/>
      <c r="RHM3" s="55"/>
      <c r="RHN3" s="55"/>
      <c r="RHO3" s="55"/>
      <c r="RHP3" s="55"/>
      <c r="RHQ3" s="55"/>
      <c r="RHR3" s="55"/>
      <c r="RHS3" s="55"/>
      <c r="RHT3" s="55"/>
      <c r="RHU3" s="55"/>
      <c r="RHV3" s="55"/>
      <c r="RHW3" s="55"/>
      <c r="RHX3" s="55"/>
      <c r="RHY3" s="55"/>
      <c r="RHZ3" s="55"/>
      <c r="RIA3" s="55"/>
      <c r="RIB3" s="55"/>
      <c r="RIC3" s="55"/>
      <c r="RID3" s="55"/>
      <c r="RIE3" s="55"/>
      <c r="RIF3" s="55"/>
      <c r="RIG3" s="55"/>
      <c r="RIH3" s="55"/>
      <c r="RII3" s="55"/>
      <c r="RIJ3" s="55"/>
      <c r="RIK3" s="55"/>
      <c r="RIL3" s="55"/>
      <c r="RIM3" s="55"/>
      <c r="RIN3" s="55"/>
      <c r="RIO3" s="55"/>
      <c r="RIP3" s="55"/>
      <c r="RIQ3" s="55"/>
      <c r="RIR3" s="55"/>
      <c r="RIS3" s="55"/>
      <c r="RIT3" s="55"/>
      <c r="RIU3" s="55"/>
      <c r="RIV3" s="55"/>
      <c r="RIW3" s="55"/>
      <c r="RIX3" s="55"/>
      <c r="RIY3" s="55"/>
      <c r="RIZ3" s="55"/>
      <c r="RJA3" s="55"/>
      <c r="RJB3" s="55"/>
      <c r="RJC3" s="55"/>
      <c r="RJD3" s="55"/>
      <c r="RJE3" s="55"/>
      <c r="RJF3" s="55"/>
      <c r="RJG3" s="55"/>
      <c r="RJH3" s="55"/>
      <c r="RJI3" s="55"/>
      <c r="RJJ3" s="55"/>
      <c r="RJK3" s="55"/>
      <c r="RJL3" s="55"/>
      <c r="RJM3" s="55"/>
      <c r="RJN3" s="55"/>
      <c r="RJO3" s="55"/>
      <c r="RJP3" s="55"/>
      <c r="RJQ3" s="55"/>
      <c r="RJR3" s="55"/>
      <c r="RJS3" s="55"/>
      <c r="RJT3" s="55"/>
      <c r="RJU3" s="55"/>
      <c r="RJV3" s="55"/>
      <c r="RJW3" s="55"/>
      <c r="RJX3" s="55"/>
      <c r="RJY3" s="55"/>
      <c r="RJZ3" s="55"/>
      <c r="RKA3" s="55"/>
      <c r="RKB3" s="55"/>
      <c r="RKC3" s="55"/>
      <c r="RKD3" s="55"/>
      <c r="RKE3" s="55"/>
      <c r="RKF3" s="55"/>
      <c r="RKG3" s="55"/>
      <c r="RKH3" s="55"/>
      <c r="RKI3" s="55"/>
      <c r="RKJ3" s="55"/>
      <c r="RKK3" s="55"/>
      <c r="RKL3" s="55"/>
      <c r="RKM3" s="55"/>
      <c r="RKN3" s="55"/>
      <c r="RKO3" s="55"/>
      <c r="RKP3" s="55"/>
      <c r="RKQ3" s="55"/>
      <c r="RKR3" s="55"/>
      <c r="RKS3" s="55"/>
      <c r="RKT3" s="55"/>
      <c r="RKU3" s="55"/>
      <c r="RKV3" s="55"/>
      <c r="RKW3" s="55"/>
      <c r="RKX3" s="55"/>
      <c r="RKY3" s="55"/>
      <c r="RKZ3" s="55"/>
      <c r="RLA3" s="55"/>
      <c r="RLB3" s="55"/>
      <c r="RLC3" s="55"/>
      <c r="RLD3" s="55"/>
      <c r="RLE3" s="55"/>
      <c r="RLF3" s="55"/>
      <c r="RLG3" s="55"/>
      <c r="RLH3" s="55"/>
      <c r="RLI3" s="55"/>
      <c r="RLJ3" s="55"/>
      <c r="RLK3" s="55"/>
      <c r="RLL3" s="55"/>
      <c r="RLM3" s="55"/>
      <c r="RLN3" s="55"/>
      <c r="RLO3" s="55"/>
      <c r="RLP3" s="55"/>
      <c r="RLQ3" s="55"/>
      <c r="RLR3" s="55"/>
      <c r="RLS3" s="55"/>
      <c r="RLT3" s="55"/>
      <c r="RLU3" s="55"/>
      <c r="RLV3" s="55"/>
      <c r="RLW3" s="55"/>
      <c r="RLX3" s="55"/>
      <c r="RLY3" s="55"/>
      <c r="RLZ3" s="55"/>
      <c r="RMA3" s="55"/>
      <c r="RMB3" s="55"/>
      <c r="RMC3" s="55"/>
      <c r="RMD3" s="55"/>
      <c r="RME3" s="55"/>
      <c r="RMF3" s="55"/>
      <c r="RMG3" s="55"/>
      <c r="RMH3" s="55"/>
      <c r="RMI3" s="55"/>
      <c r="RMJ3" s="55"/>
      <c r="RMK3" s="55"/>
      <c r="RML3" s="55"/>
      <c r="RMM3" s="55"/>
      <c r="RMN3" s="55"/>
      <c r="RMO3" s="55"/>
      <c r="RMP3" s="55"/>
      <c r="RMQ3" s="55"/>
      <c r="RMR3" s="55"/>
      <c r="RMS3" s="55"/>
      <c r="RMT3" s="55"/>
      <c r="RMU3" s="55"/>
      <c r="RMV3" s="55"/>
      <c r="RMW3" s="55"/>
      <c r="RMX3" s="55"/>
      <c r="RMY3" s="55"/>
      <c r="RMZ3" s="55"/>
      <c r="RNA3" s="55"/>
      <c r="RNB3" s="55"/>
      <c r="RNC3" s="55"/>
      <c r="RND3" s="55"/>
      <c r="RNE3" s="55"/>
      <c r="RNF3" s="55"/>
      <c r="RNG3" s="55"/>
      <c r="RNH3" s="55"/>
      <c r="RNI3" s="55"/>
      <c r="RNJ3" s="55"/>
      <c r="RNK3" s="55"/>
      <c r="RNL3" s="55"/>
      <c r="RNM3" s="55"/>
      <c r="RNN3" s="55"/>
      <c r="RNO3" s="55"/>
      <c r="RNP3" s="55"/>
      <c r="RNQ3" s="55"/>
      <c r="RNR3" s="55"/>
      <c r="RNS3" s="55"/>
      <c r="RNT3" s="55"/>
      <c r="RNU3" s="55"/>
      <c r="RNV3" s="55"/>
      <c r="RNW3" s="55"/>
      <c r="RNX3" s="55"/>
      <c r="RNY3" s="55"/>
      <c r="RNZ3" s="55"/>
      <c r="ROA3" s="55"/>
      <c r="ROB3" s="55"/>
      <c r="ROC3" s="55"/>
      <c r="ROD3" s="55"/>
      <c r="ROE3" s="55"/>
      <c r="ROF3" s="55"/>
      <c r="ROG3" s="55"/>
      <c r="ROH3" s="55"/>
      <c r="ROI3" s="55"/>
      <c r="ROJ3" s="55"/>
      <c r="ROK3" s="55"/>
      <c r="ROL3" s="55"/>
      <c r="ROM3" s="55"/>
      <c r="RON3" s="55"/>
      <c r="ROO3" s="55"/>
      <c r="ROP3" s="55"/>
      <c r="ROQ3" s="55"/>
      <c r="ROR3" s="55"/>
      <c r="ROS3" s="55"/>
      <c r="ROT3" s="55"/>
      <c r="ROU3" s="55"/>
      <c r="ROV3" s="55"/>
      <c r="ROW3" s="55"/>
      <c r="ROX3" s="55"/>
      <c r="ROY3" s="55"/>
      <c r="ROZ3" s="55"/>
      <c r="RPA3" s="55"/>
      <c r="RPB3" s="55"/>
      <c r="RPC3" s="55"/>
      <c r="RPD3" s="55"/>
      <c r="RPE3" s="55"/>
      <c r="RPF3" s="55"/>
      <c r="RPG3" s="55"/>
      <c r="RPH3" s="55"/>
      <c r="RPI3" s="55"/>
      <c r="RPJ3" s="55"/>
      <c r="RPK3" s="55"/>
      <c r="RPL3" s="55"/>
      <c r="RPM3" s="55"/>
      <c r="RPN3" s="55"/>
      <c r="RPO3" s="55"/>
      <c r="RPP3" s="55"/>
      <c r="RPQ3" s="55"/>
      <c r="RPR3" s="55"/>
      <c r="RPS3" s="55"/>
      <c r="RPT3" s="55"/>
      <c r="RPU3" s="55"/>
      <c r="RPV3" s="55"/>
      <c r="RPW3" s="55"/>
      <c r="RPX3" s="55"/>
      <c r="RPY3" s="55"/>
      <c r="RPZ3" s="55"/>
      <c r="RQA3" s="55"/>
      <c r="RQB3" s="55"/>
      <c r="RQC3" s="55"/>
      <c r="RQD3" s="55"/>
      <c r="RQE3" s="55"/>
      <c r="RQF3" s="55"/>
      <c r="RQG3" s="55"/>
      <c r="RQH3" s="55"/>
      <c r="RQI3" s="55"/>
      <c r="RQJ3" s="55"/>
      <c r="RQK3" s="55"/>
      <c r="RQL3" s="55"/>
      <c r="RQM3" s="55"/>
      <c r="RQN3" s="55"/>
      <c r="RQO3" s="55"/>
      <c r="RQP3" s="55"/>
      <c r="RQQ3" s="55"/>
      <c r="RQR3" s="55"/>
      <c r="RQS3" s="55"/>
      <c r="RQT3" s="55"/>
      <c r="RQU3" s="55"/>
      <c r="RQV3" s="55"/>
      <c r="RQW3" s="55"/>
      <c r="RQX3" s="55"/>
      <c r="RQY3" s="55"/>
      <c r="RQZ3" s="55"/>
      <c r="RRA3" s="55"/>
      <c r="RRB3" s="55"/>
      <c r="RRC3" s="55"/>
      <c r="RRD3" s="55"/>
      <c r="RRE3" s="55"/>
      <c r="RRF3" s="55"/>
      <c r="RRG3" s="55"/>
      <c r="RRH3" s="55"/>
      <c r="RRI3" s="55"/>
      <c r="RRJ3" s="55"/>
      <c r="RRK3" s="55"/>
      <c r="RRL3" s="55"/>
      <c r="RRM3" s="55"/>
      <c r="RRN3" s="55"/>
      <c r="RRO3" s="55"/>
      <c r="RRP3" s="55"/>
      <c r="RRQ3" s="55"/>
      <c r="RRR3" s="55"/>
      <c r="RRS3" s="55"/>
      <c r="RRT3" s="55"/>
      <c r="RRU3" s="55"/>
      <c r="RRV3" s="55"/>
      <c r="RRW3" s="55"/>
      <c r="RRX3" s="55"/>
      <c r="RRY3" s="55"/>
      <c r="RRZ3" s="55"/>
      <c r="RSA3" s="55"/>
      <c r="RSB3" s="55"/>
      <c r="RSC3" s="55"/>
      <c r="RSD3" s="55"/>
      <c r="RSE3" s="55"/>
      <c r="RSF3" s="55"/>
      <c r="RSG3" s="55"/>
      <c r="RSH3" s="55"/>
      <c r="RSI3" s="55"/>
      <c r="RSJ3" s="55"/>
      <c r="RSK3" s="55"/>
      <c r="RSL3" s="55"/>
      <c r="RSM3" s="55"/>
      <c r="RSN3" s="55"/>
      <c r="RSO3" s="55"/>
      <c r="RSP3" s="55"/>
      <c r="RSQ3" s="55"/>
      <c r="RSR3" s="55"/>
      <c r="RSS3" s="55"/>
      <c r="RST3" s="55"/>
      <c r="RSU3" s="55"/>
      <c r="RSV3" s="55"/>
      <c r="RSW3" s="55"/>
      <c r="RSX3" s="55"/>
      <c r="RSY3" s="55"/>
      <c r="RSZ3" s="55"/>
      <c r="RTA3" s="55"/>
      <c r="RTB3" s="55"/>
      <c r="RTC3" s="55"/>
      <c r="RTD3" s="55"/>
      <c r="RTE3" s="55"/>
      <c r="RTF3" s="55"/>
      <c r="RTG3" s="55"/>
      <c r="RTH3" s="55"/>
      <c r="RTI3" s="55"/>
      <c r="RTJ3" s="55"/>
      <c r="RTK3" s="55"/>
      <c r="RTL3" s="55"/>
      <c r="RTM3" s="55"/>
      <c r="RTN3" s="55"/>
      <c r="RTO3" s="55"/>
      <c r="RTP3" s="55"/>
      <c r="RTQ3" s="55"/>
      <c r="RTR3" s="55"/>
      <c r="RTS3" s="55"/>
      <c r="RTT3" s="55"/>
      <c r="RTU3" s="55"/>
      <c r="RTV3" s="55"/>
      <c r="RTW3" s="55"/>
      <c r="RTX3" s="55"/>
      <c r="RTY3" s="55"/>
      <c r="RTZ3" s="55"/>
      <c r="RUA3" s="55"/>
      <c r="RUB3" s="55"/>
      <c r="RUC3" s="55"/>
      <c r="RUD3" s="55"/>
      <c r="RUE3" s="55"/>
      <c r="RUF3" s="55"/>
      <c r="RUG3" s="55"/>
      <c r="RUH3" s="55"/>
      <c r="RUI3" s="55"/>
      <c r="RUJ3" s="55"/>
      <c r="RUK3" s="55"/>
      <c r="RUL3" s="55"/>
      <c r="RUM3" s="55"/>
      <c r="RUN3" s="55"/>
      <c r="RUO3" s="55"/>
      <c r="RUP3" s="55"/>
      <c r="RUQ3" s="55"/>
      <c r="RUR3" s="55"/>
      <c r="RUS3" s="55"/>
      <c r="RUT3" s="55"/>
      <c r="RUU3" s="55"/>
      <c r="RUV3" s="55"/>
      <c r="RUW3" s="55"/>
      <c r="RUX3" s="55"/>
      <c r="RUY3" s="55"/>
      <c r="RUZ3" s="55"/>
      <c r="RVA3" s="55"/>
      <c r="RVB3" s="55"/>
      <c r="RVC3" s="55"/>
      <c r="RVD3" s="55"/>
      <c r="RVE3" s="55"/>
      <c r="RVF3" s="55"/>
      <c r="RVG3" s="55"/>
      <c r="RVH3" s="55"/>
      <c r="RVI3" s="55"/>
      <c r="RVJ3" s="55"/>
      <c r="RVK3" s="55"/>
      <c r="RVL3" s="55"/>
      <c r="RVM3" s="55"/>
      <c r="RVN3" s="55"/>
      <c r="RVO3" s="55"/>
      <c r="RVP3" s="55"/>
      <c r="RVQ3" s="55"/>
      <c r="RVR3" s="55"/>
      <c r="RVS3" s="55"/>
      <c r="RVT3" s="55"/>
      <c r="RVU3" s="55"/>
      <c r="RVV3" s="55"/>
      <c r="RVW3" s="55"/>
      <c r="RVX3" s="55"/>
      <c r="RVY3" s="55"/>
      <c r="RVZ3" s="55"/>
      <c r="RWA3" s="55"/>
      <c r="RWB3" s="55"/>
      <c r="RWC3" s="55"/>
      <c r="RWD3" s="55"/>
      <c r="RWE3" s="55"/>
      <c r="RWF3" s="55"/>
      <c r="RWG3" s="55"/>
      <c r="RWH3" s="55"/>
      <c r="RWI3" s="55"/>
      <c r="RWJ3" s="55"/>
      <c r="RWK3" s="55"/>
      <c r="RWL3" s="55"/>
      <c r="RWM3" s="55"/>
      <c r="RWN3" s="55"/>
      <c r="RWO3" s="55"/>
      <c r="RWP3" s="55"/>
      <c r="RWQ3" s="55"/>
      <c r="RWR3" s="55"/>
      <c r="RWS3" s="55"/>
      <c r="RWT3" s="55"/>
      <c r="RWU3" s="55"/>
      <c r="RWV3" s="55"/>
      <c r="RWW3" s="55"/>
      <c r="RWX3" s="55"/>
      <c r="RWY3" s="55"/>
      <c r="RWZ3" s="55"/>
      <c r="RXA3" s="55"/>
      <c r="RXB3" s="55"/>
      <c r="RXC3" s="55"/>
      <c r="RXD3" s="55"/>
      <c r="RXE3" s="55"/>
      <c r="RXF3" s="55"/>
      <c r="RXG3" s="55"/>
      <c r="RXH3" s="55"/>
      <c r="RXI3" s="55"/>
      <c r="RXJ3" s="55"/>
      <c r="RXK3" s="55"/>
      <c r="RXL3" s="55"/>
      <c r="RXM3" s="55"/>
      <c r="RXN3" s="55"/>
      <c r="RXO3" s="55"/>
      <c r="RXP3" s="55"/>
      <c r="RXQ3" s="55"/>
      <c r="RXR3" s="55"/>
      <c r="RXS3" s="55"/>
      <c r="RXT3" s="55"/>
      <c r="RXU3" s="55"/>
      <c r="RXV3" s="55"/>
      <c r="RXW3" s="55"/>
      <c r="RXX3" s="55"/>
      <c r="RXY3" s="55"/>
      <c r="RXZ3" s="55"/>
      <c r="RYA3" s="55"/>
      <c r="RYB3" s="55"/>
      <c r="RYC3" s="55"/>
      <c r="RYD3" s="55"/>
      <c r="RYE3" s="55"/>
      <c r="RYF3" s="55"/>
      <c r="RYG3" s="55"/>
      <c r="RYH3" s="55"/>
      <c r="RYI3" s="55"/>
      <c r="RYJ3" s="55"/>
      <c r="RYK3" s="55"/>
      <c r="RYL3" s="55"/>
      <c r="RYM3" s="55"/>
      <c r="RYN3" s="55"/>
      <c r="RYO3" s="55"/>
      <c r="RYP3" s="55"/>
      <c r="RYQ3" s="55"/>
      <c r="RYR3" s="55"/>
      <c r="RYS3" s="55"/>
      <c r="RYT3" s="55"/>
      <c r="RYU3" s="55"/>
      <c r="RYV3" s="55"/>
      <c r="RYW3" s="55"/>
      <c r="RYX3" s="55"/>
      <c r="RYY3" s="55"/>
      <c r="RYZ3" s="55"/>
      <c r="RZA3" s="55"/>
      <c r="RZB3" s="55"/>
      <c r="RZC3" s="55"/>
      <c r="RZD3" s="55"/>
      <c r="RZE3" s="55"/>
      <c r="RZF3" s="55"/>
      <c r="RZG3" s="55"/>
      <c r="RZH3" s="55"/>
      <c r="RZI3" s="55"/>
      <c r="RZJ3" s="55"/>
      <c r="RZK3" s="55"/>
      <c r="RZL3" s="55"/>
      <c r="RZM3" s="55"/>
      <c r="RZN3" s="55"/>
      <c r="RZO3" s="55"/>
      <c r="RZP3" s="55"/>
      <c r="RZQ3" s="55"/>
      <c r="RZR3" s="55"/>
      <c r="RZS3" s="55"/>
      <c r="RZT3" s="55"/>
      <c r="RZU3" s="55"/>
      <c r="RZV3" s="55"/>
      <c r="RZW3" s="55"/>
      <c r="RZX3" s="55"/>
      <c r="RZY3" s="55"/>
      <c r="RZZ3" s="55"/>
      <c r="SAA3" s="55"/>
      <c r="SAB3" s="55"/>
      <c r="SAC3" s="55"/>
      <c r="SAD3" s="55"/>
      <c r="SAE3" s="55"/>
      <c r="SAF3" s="55"/>
      <c r="SAG3" s="55"/>
      <c r="SAH3" s="55"/>
      <c r="SAI3" s="55"/>
      <c r="SAJ3" s="55"/>
      <c r="SAK3" s="55"/>
      <c r="SAL3" s="55"/>
      <c r="SAM3" s="55"/>
      <c r="SAN3" s="55"/>
      <c r="SAO3" s="55"/>
      <c r="SAP3" s="55"/>
      <c r="SAQ3" s="55"/>
      <c r="SAR3" s="55"/>
      <c r="SAS3" s="55"/>
      <c r="SAT3" s="55"/>
      <c r="SAU3" s="55"/>
      <c r="SAV3" s="55"/>
      <c r="SAW3" s="55"/>
      <c r="SAX3" s="55"/>
      <c r="SAY3" s="55"/>
      <c r="SAZ3" s="55"/>
      <c r="SBA3" s="55"/>
      <c r="SBB3" s="55"/>
      <c r="SBC3" s="55"/>
      <c r="SBD3" s="55"/>
      <c r="SBE3" s="55"/>
      <c r="SBF3" s="55"/>
      <c r="SBG3" s="55"/>
      <c r="SBH3" s="55"/>
      <c r="SBI3" s="55"/>
      <c r="SBJ3" s="55"/>
      <c r="SBK3" s="55"/>
      <c r="SBL3" s="55"/>
      <c r="SBM3" s="55"/>
      <c r="SBN3" s="55"/>
      <c r="SBO3" s="55"/>
      <c r="SBP3" s="55"/>
      <c r="SBQ3" s="55"/>
      <c r="SBR3" s="55"/>
      <c r="SBS3" s="55"/>
      <c r="SBT3" s="55"/>
      <c r="SBU3" s="55"/>
      <c r="SBV3" s="55"/>
      <c r="SBW3" s="55"/>
      <c r="SBX3" s="55"/>
      <c r="SBY3" s="55"/>
      <c r="SBZ3" s="55"/>
      <c r="SCA3" s="55"/>
      <c r="SCB3" s="55"/>
      <c r="SCC3" s="55"/>
      <c r="SCD3" s="55"/>
      <c r="SCE3" s="55"/>
      <c r="SCF3" s="55"/>
      <c r="SCG3" s="55"/>
      <c r="SCH3" s="55"/>
      <c r="SCI3" s="55"/>
      <c r="SCJ3" s="55"/>
      <c r="SCK3" s="55"/>
      <c r="SCL3" s="55"/>
      <c r="SCM3" s="55"/>
      <c r="SCN3" s="55"/>
      <c r="SCO3" s="55"/>
      <c r="SCP3" s="55"/>
      <c r="SCQ3" s="55"/>
      <c r="SCR3" s="55"/>
      <c r="SCS3" s="55"/>
      <c r="SCT3" s="55"/>
      <c r="SCU3" s="55"/>
      <c r="SCV3" s="55"/>
      <c r="SCW3" s="55"/>
      <c r="SCX3" s="55"/>
      <c r="SCY3" s="55"/>
      <c r="SCZ3" s="55"/>
      <c r="SDA3" s="55"/>
      <c r="SDB3" s="55"/>
      <c r="SDC3" s="55"/>
      <c r="SDD3" s="55"/>
      <c r="SDE3" s="55"/>
      <c r="SDF3" s="55"/>
      <c r="SDG3" s="55"/>
      <c r="SDH3" s="55"/>
      <c r="SDI3" s="55"/>
      <c r="SDJ3" s="55"/>
      <c r="SDK3" s="55"/>
      <c r="SDL3" s="55"/>
      <c r="SDM3" s="55"/>
      <c r="SDN3" s="55"/>
      <c r="SDO3" s="55"/>
      <c r="SDP3" s="55"/>
      <c r="SDQ3" s="55"/>
      <c r="SDR3" s="55"/>
      <c r="SDS3" s="55"/>
      <c r="SDT3" s="55"/>
      <c r="SDU3" s="55"/>
      <c r="SDV3" s="55"/>
      <c r="SDW3" s="55"/>
      <c r="SDX3" s="55"/>
      <c r="SDY3" s="55"/>
      <c r="SDZ3" s="55"/>
      <c r="SEA3" s="55"/>
      <c r="SEB3" s="55"/>
      <c r="SEC3" s="55"/>
      <c r="SED3" s="55"/>
      <c r="SEE3" s="55"/>
      <c r="SEF3" s="55"/>
      <c r="SEG3" s="55"/>
      <c r="SEH3" s="55"/>
      <c r="SEI3" s="55"/>
      <c r="SEJ3" s="55"/>
      <c r="SEK3" s="55"/>
      <c r="SEL3" s="55"/>
      <c r="SEM3" s="55"/>
      <c r="SEN3" s="55"/>
      <c r="SEO3" s="55"/>
      <c r="SEP3" s="55"/>
      <c r="SEQ3" s="55"/>
      <c r="SER3" s="55"/>
      <c r="SES3" s="55"/>
      <c r="SET3" s="55"/>
      <c r="SEU3" s="55"/>
      <c r="SEV3" s="55"/>
      <c r="SEW3" s="55"/>
      <c r="SEX3" s="55"/>
      <c r="SEY3" s="55"/>
      <c r="SEZ3" s="55"/>
      <c r="SFA3" s="55"/>
      <c r="SFB3" s="55"/>
      <c r="SFC3" s="55"/>
      <c r="SFD3" s="55"/>
      <c r="SFE3" s="55"/>
      <c r="SFF3" s="55"/>
      <c r="SFG3" s="55"/>
      <c r="SFH3" s="55"/>
      <c r="SFI3" s="55"/>
      <c r="SFJ3" s="55"/>
      <c r="SFK3" s="55"/>
      <c r="SFL3" s="55"/>
      <c r="SFM3" s="55"/>
      <c r="SFN3" s="55"/>
      <c r="SFO3" s="55"/>
      <c r="SFP3" s="55"/>
      <c r="SFQ3" s="55"/>
      <c r="SFR3" s="55"/>
      <c r="SFS3" s="55"/>
      <c r="SFT3" s="55"/>
      <c r="SFU3" s="55"/>
      <c r="SFV3" s="55"/>
      <c r="SFW3" s="55"/>
      <c r="SFX3" s="55"/>
      <c r="SFY3" s="55"/>
      <c r="SFZ3" s="55"/>
      <c r="SGA3" s="55"/>
      <c r="SGB3" s="55"/>
      <c r="SGC3" s="55"/>
      <c r="SGD3" s="55"/>
      <c r="SGE3" s="55"/>
      <c r="SGF3" s="55"/>
      <c r="SGG3" s="55"/>
      <c r="SGH3" s="55"/>
      <c r="SGI3" s="55"/>
      <c r="SGJ3" s="55"/>
      <c r="SGK3" s="55"/>
      <c r="SGL3" s="55"/>
      <c r="SGM3" s="55"/>
      <c r="SGN3" s="55"/>
      <c r="SGO3" s="55"/>
      <c r="SGP3" s="55"/>
      <c r="SGQ3" s="55"/>
      <c r="SGR3" s="55"/>
      <c r="SGS3" s="55"/>
      <c r="SGT3" s="55"/>
      <c r="SGU3" s="55"/>
      <c r="SGV3" s="55"/>
      <c r="SGW3" s="55"/>
      <c r="SGX3" s="55"/>
      <c r="SGY3" s="55"/>
      <c r="SGZ3" s="55"/>
      <c r="SHA3" s="55"/>
      <c r="SHB3" s="55"/>
      <c r="SHC3" s="55"/>
      <c r="SHD3" s="55"/>
      <c r="SHE3" s="55"/>
      <c r="SHF3" s="55"/>
      <c r="SHG3" s="55"/>
      <c r="SHH3" s="55"/>
      <c r="SHI3" s="55"/>
      <c r="SHJ3" s="55"/>
      <c r="SHK3" s="55"/>
      <c r="SHL3" s="55"/>
      <c r="SHM3" s="55"/>
      <c r="SHN3" s="55"/>
      <c r="SHO3" s="55"/>
      <c r="SHP3" s="55"/>
      <c r="SHQ3" s="55"/>
      <c r="SHR3" s="55"/>
      <c r="SHS3" s="55"/>
      <c r="SHT3" s="55"/>
      <c r="SHU3" s="55"/>
      <c r="SHV3" s="55"/>
      <c r="SHW3" s="55"/>
      <c r="SHX3" s="55"/>
      <c r="SHY3" s="55"/>
      <c r="SHZ3" s="55"/>
      <c r="SIA3" s="55"/>
      <c r="SIB3" s="55"/>
      <c r="SIC3" s="55"/>
      <c r="SID3" s="55"/>
      <c r="SIE3" s="55"/>
      <c r="SIF3" s="55"/>
      <c r="SIG3" s="55"/>
      <c r="SIH3" s="55"/>
      <c r="SII3" s="55"/>
      <c r="SIJ3" s="55"/>
      <c r="SIK3" s="55"/>
      <c r="SIL3" s="55"/>
      <c r="SIM3" s="55"/>
      <c r="SIN3" s="55"/>
      <c r="SIO3" s="55"/>
      <c r="SIP3" s="55"/>
      <c r="SIQ3" s="55"/>
      <c r="SIR3" s="55"/>
      <c r="SIS3" s="55"/>
      <c r="SIT3" s="55"/>
      <c r="SIU3" s="55"/>
      <c r="SIV3" s="55"/>
      <c r="SIW3" s="55"/>
      <c r="SIX3" s="55"/>
      <c r="SIY3" s="55"/>
      <c r="SIZ3" s="55"/>
      <c r="SJA3" s="55"/>
      <c r="SJB3" s="55"/>
      <c r="SJC3" s="55"/>
      <c r="SJD3" s="55"/>
      <c r="SJE3" s="55"/>
      <c r="SJF3" s="55"/>
      <c r="SJG3" s="55"/>
      <c r="SJH3" s="55"/>
      <c r="SJI3" s="55"/>
      <c r="SJJ3" s="55"/>
      <c r="SJK3" s="55"/>
      <c r="SJL3" s="55"/>
      <c r="SJM3" s="55"/>
      <c r="SJN3" s="55"/>
      <c r="SJO3" s="55"/>
      <c r="SJP3" s="55"/>
      <c r="SJQ3" s="55"/>
      <c r="SJR3" s="55"/>
      <c r="SJS3" s="55"/>
      <c r="SJT3" s="55"/>
      <c r="SJU3" s="55"/>
      <c r="SJV3" s="55"/>
      <c r="SJW3" s="55"/>
      <c r="SJX3" s="55"/>
      <c r="SJY3" s="55"/>
      <c r="SJZ3" s="55"/>
      <c r="SKA3" s="55"/>
      <c r="SKB3" s="55"/>
      <c r="SKC3" s="55"/>
      <c r="SKD3" s="55"/>
      <c r="SKE3" s="55"/>
      <c r="SKF3" s="55"/>
      <c r="SKG3" s="55"/>
      <c r="SKH3" s="55"/>
      <c r="SKI3" s="55"/>
      <c r="SKJ3" s="55"/>
      <c r="SKK3" s="55"/>
      <c r="SKL3" s="55"/>
      <c r="SKM3" s="55"/>
      <c r="SKN3" s="55"/>
      <c r="SKO3" s="55"/>
      <c r="SKP3" s="55"/>
      <c r="SKQ3" s="55"/>
      <c r="SKR3" s="55"/>
      <c r="SKS3" s="55"/>
      <c r="SKT3" s="55"/>
      <c r="SKU3" s="55"/>
      <c r="SKV3" s="55"/>
      <c r="SKW3" s="55"/>
      <c r="SKX3" s="55"/>
      <c r="SKY3" s="55"/>
      <c r="SKZ3" s="55"/>
      <c r="SLA3" s="55"/>
      <c r="SLB3" s="55"/>
      <c r="SLC3" s="55"/>
      <c r="SLD3" s="55"/>
      <c r="SLE3" s="55"/>
      <c r="SLF3" s="55"/>
      <c r="SLG3" s="55"/>
      <c r="SLH3" s="55"/>
      <c r="SLI3" s="55"/>
      <c r="SLJ3" s="55"/>
      <c r="SLK3" s="55"/>
      <c r="SLL3" s="55"/>
      <c r="SLM3" s="55"/>
      <c r="SLN3" s="55"/>
      <c r="SLO3" s="55"/>
      <c r="SLP3" s="55"/>
      <c r="SLQ3" s="55"/>
      <c r="SLR3" s="55"/>
      <c r="SLS3" s="55"/>
      <c r="SLT3" s="55"/>
      <c r="SLU3" s="55"/>
      <c r="SLV3" s="55"/>
      <c r="SLW3" s="55"/>
      <c r="SLX3" s="55"/>
      <c r="SLY3" s="55"/>
      <c r="SLZ3" s="55"/>
      <c r="SMA3" s="55"/>
      <c r="SMB3" s="55"/>
      <c r="SMC3" s="55"/>
      <c r="SMD3" s="55"/>
      <c r="SME3" s="55"/>
      <c r="SMF3" s="55"/>
      <c r="SMG3" s="55"/>
      <c r="SMH3" s="55"/>
      <c r="SMI3" s="55"/>
      <c r="SMJ3" s="55"/>
      <c r="SMK3" s="55"/>
      <c r="SML3" s="55"/>
      <c r="SMM3" s="55"/>
      <c r="SMN3" s="55"/>
      <c r="SMO3" s="55"/>
      <c r="SMP3" s="55"/>
      <c r="SMQ3" s="55"/>
      <c r="SMR3" s="55"/>
      <c r="SMS3" s="55"/>
      <c r="SMT3" s="55"/>
      <c r="SMU3" s="55"/>
      <c r="SMV3" s="55"/>
      <c r="SMW3" s="55"/>
      <c r="SMX3" s="55"/>
      <c r="SMY3" s="55"/>
      <c r="SMZ3" s="55"/>
      <c r="SNA3" s="55"/>
      <c r="SNB3" s="55"/>
      <c r="SNC3" s="55"/>
      <c r="SND3" s="55"/>
      <c r="SNE3" s="55"/>
      <c r="SNF3" s="55"/>
      <c r="SNG3" s="55"/>
      <c r="SNH3" s="55"/>
      <c r="SNI3" s="55"/>
      <c r="SNJ3" s="55"/>
      <c r="SNK3" s="55"/>
      <c r="SNL3" s="55"/>
      <c r="SNM3" s="55"/>
      <c r="SNN3" s="55"/>
      <c r="SNO3" s="55"/>
      <c r="SNP3" s="55"/>
      <c r="SNQ3" s="55"/>
      <c r="SNR3" s="55"/>
      <c r="SNS3" s="55"/>
      <c r="SNT3" s="55"/>
      <c r="SNU3" s="55"/>
      <c r="SNV3" s="55"/>
      <c r="SNW3" s="55"/>
      <c r="SNX3" s="55"/>
      <c r="SNY3" s="55"/>
      <c r="SNZ3" s="55"/>
      <c r="SOA3" s="55"/>
      <c r="SOB3" s="55"/>
      <c r="SOC3" s="55"/>
      <c r="SOD3" s="55"/>
      <c r="SOE3" s="55"/>
      <c r="SOF3" s="55"/>
      <c r="SOG3" s="55"/>
      <c r="SOH3" s="55"/>
      <c r="SOI3" s="55"/>
      <c r="SOJ3" s="55"/>
      <c r="SOK3" s="55"/>
      <c r="SOL3" s="55"/>
      <c r="SOM3" s="55"/>
      <c r="SON3" s="55"/>
      <c r="SOO3" s="55"/>
      <c r="SOP3" s="55"/>
      <c r="SOQ3" s="55"/>
      <c r="SOR3" s="55"/>
      <c r="SOS3" s="55"/>
      <c r="SOT3" s="55"/>
      <c r="SOU3" s="55"/>
      <c r="SOV3" s="55"/>
      <c r="SOW3" s="55"/>
      <c r="SOX3" s="55"/>
      <c r="SOY3" s="55"/>
      <c r="SOZ3" s="55"/>
      <c r="SPA3" s="55"/>
      <c r="SPB3" s="55"/>
      <c r="SPC3" s="55"/>
      <c r="SPD3" s="55"/>
      <c r="SPE3" s="55"/>
      <c r="SPF3" s="55"/>
      <c r="SPG3" s="55"/>
      <c r="SPH3" s="55"/>
      <c r="SPI3" s="55"/>
      <c r="SPJ3" s="55"/>
      <c r="SPK3" s="55"/>
      <c r="SPL3" s="55"/>
      <c r="SPM3" s="55"/>
      <c r="SPN3" s="55"/>
      <c r="SPO3" s="55"/>
      <c r="SPP3" s="55"/>
      <c r="SPQ3" s="55"/>
      <c r="SPR3" s="55"/>
      <c r="SPS3" s="55"/>
      <c r="SPT3" s="55"/>
      <c r="SPU3" s="55"/>
      <c r="SPV3" s="55"/>
      <c r="SPW3" s="55"/>
      <c r="SPX3" s="55"/>
      <c r="SPY3" s="55"/>
      <c r="SPZ3" s="55"/>
      <c r="SQA3" s="55"/>
      <c r="SQB3" s="55"/>
      <c r="SQC3" s="55"/>
      <c r="SQD3" s="55"/>
      <c r="SQE3" s="55"/>
      <c r="SQF3" s="55"/>
      <c r="SQG3" s="55"/>
      <c r="SQH3" s="55"/>
      <c r="SQI3" s="55"/>
      <c r="SQJ3" s="55"/>
      <c r="SQK3" s="55"/>
      <c r="SQL3" s="55"/>
      <c r="SQM3" s="55"/>
      <c r="SQN3" s="55"/>
      <c r="SQO3" s="55"/>
      <c r="SQP3" s="55"/>
      <c r="SQQ3" s="55"/>
      <c r="SQR3" s="55"/>
      <c r="SQS3" s="55"/>
      <c r="SQT3" s="55"/>
      <c r="SQU3" s="55"/>
      <c r="SQV3" s="55"/>
      <c r="SQW3" s="55"/>
      <c r="SQX3" s="55"/>
      <c r="SQY3" s="55"/>
      <c r="SQZ3" s="55"/>
      <c r="SRA3" s="55"/>
      <c r="SRB3" s="55"/>
      <c r="SRC3" s="55"/>
      <c r="SRD3" s="55"/>
      <c r="SRE3" s="55"/>
      <c r="SRF3" s="55"/>
      <c r="SRG3" s="55"/>
      <c r="SRH3" s="55"/>
      <c r="SRI3" s="55"/>
      <c r="SRJ3" s="55"/>
      <c r="SRK3" s="55"/>
      <c r="SRL3" s="55"/>
      <c r="SRM3" s="55"/>
      <c r="SRN3" s="55"/>
      <c r="SRO3" s="55"/>
      <c r="SRP3" s="55"/>
      <c r="SRQ3" s="55"/>
      <c r="SRR3" s="55"/>
      <c r="SRS3" s="55"/>
      <c r="SRT3" s="55"/>
      <c r="SRU3" s="55"/>
      <c r="SRV3" s="55"/>
      <c r="SRW3" s="55"/>
      <c r="SRX3" s="55"/>
      <c r="SRY3" s="55"/>
      <c r="SRZ3" s="55"/>
      <c r="SSA3" s="55"/>
      <c r="SSB3" s="55"/>
      <c r="SSC3" s="55"/>
      <c r="SSD3" s="55"/>
      <c r="SSE3" s="55"/>
      <c r="SSF3" s="55"/>
      <c r="SSG3" s="55"/>
      <c r="SSH3" s="55"/>
      <c r="SSI3" s="55"/>
      <c r="SSJ3" s="55"/>
      <c r="SSK3" s="55"/>
      <c r="SSL3" s="55"/>
      <c r="SSM3" s="55"/>
      <c r="SSN3" s="55"/>
      <c r="SSO3" s="55"/>
      <c r="SSP3" s="55"/>
      <c r="SSQ3" s="55"/>
      <c r="SSR3" s="55"/>
      <c r="SSS3" s="55"/>
      <c r="SST3" s="55"/>
      <c r="SSU3" s="55"/>
      <c r="SSV3" s="55"/>
      <c r="SSW3" s="55"/>
      <c r="SSX3" s="55"/>
      <c r="SSY3" s="55"/>
      <c r="SSZ3" s="55"/>
      <c r="STA3" s="55"/>
      <c r="STB3" s="55"/>
      <c r="STC3" s="55"/>
      <c r="STD3" s="55"/>
      <c r="STE3" s="55"/>
      <c r="STF3" s="55"/>
      <c r="STG3" s="55"/>
      <c r="STH3" s="55"/>
      <c r="STI3" s="55"/>
      <c r="STJ3" s="55"/>
      <c r="STK3" s="55"/>
      <c r="STL3" s="55"/>
      <c r="STM3" s="55"/>
      <c r="STN3" s="55"/>
      <c r="STO3" s="55"/>
      <c r="STP3" s="55"/>
      <c r="STQ3" s="55"/>
      <c r="STR3" s="55"/>
      <c r="STS3" s="55"/>
      <c r="STT3" s="55"/>
      <c r="STU3" s="55"/>
      <c r="STV3" s="55"/>
      <c r="STW3" s="55"/>
      <c r="STX3" s="55"/>
      <c r="STY3" s="55"/>
      <c r="STZ3" s="55"/>
      <c r="SUA3" s="55"/>
      <c r="SUB3" s="55"/>
      <c r="SUC3" s="55"/>
      <c r="SUD3" s="55"/>
      <c r="SUE3" s="55"/>
      <c r="SUF3" s="55"/>
      <c r="SUG3" s="55"/>
      <c r="SUH3" s="55"/>
      <c r="SUI3" s="55"/>
      <c r="SUJ3" s="55"/>
      <c r="SUK3" s="55"/>
      <c r="SUL3" s="55"/>
      <c r="SUM3" s="55"/>
      <c r="SUN3" s="55"/>
      <c r="SUO3" s="55"/>
      <c r="SUP3" s="55"/>
      <c r="SUQ3" s="55"/>
      <c r="SUR3" s="55"/>
      <c r="SUS3" s="55"/>
      <c r="SUT3" s="55"/>
      <c r="SUU3" s="55"/>
      <c r="SUV3" s="55"/>
      <c r="SUW3" s="55"/>
      <c r="SUX3" s="55"/>
      <c r="SUY3" s="55"/>
      <c r="SUZ3" s="55"/>
      <c r="SVA3" s="55"/>
      <c r="SVB3" s="55"/>
      <c r="SVC3" s="55"/>
      <c r="SVD3" s="55"/>
      <c r="SVE3" s="55"/>
      <c r="SVF3" s="55"/>
      <c r="SVG3" s="55"/>
      <c r="SVH3" s="55"/>
      <c r="SVI3" s="55"/>
      <c r="SVJ3" s="55"/>
      <c r="SVK3" s="55"/>
      <c r="SVL3" s="55"/>
      <c r="SVM3" s="55"/>
      <c r="SVN3" s="55"/>
      <c r="SVO3" s="55"/>
      <c r="SVP3" s="55"/>
      <c r="SVQ3" s="55"/>
      <c r="SVR3" s="55"/>
      <c r="SVS3" s="55"/>
      <c r="SVT3" s="55"/>
      <c r="SVU3" s="55"/>
      <c r="SVV3" s="55"/>
      <c r="SVW3" s="55"/>
      <c r="SVX3" s="55"/>
      <c r="SVY3" s="55"/>
      <c r="SVZ3" s="55"/>
      <c r="SWA3" s="55"/>
      <c r="SWB3" s="55"/>
      <c r="SWC3" s="55"/>
      <c r="SWD3" s="55"/>
      <c r="SWE3" s="55"/>
      <c r="SWF3" s="55"/>
      <c r="SWG3" s="55"/>
      <c r="SWH3" s="55"/>
      <c r="SWI3" s="55"/>
      <c r="SWJ3" s="55"/>
      <c r="SWK3" s="55"/>
      <c r="SWL3" s="55"/>
      <c r="SWM3" s="55"/>
      <c r="SWN3" s="55"/>
      <c r="SWO3" s="55"/>
      <c r="SWP3" s="55"/>
      <c r="SWQ3" s="55"/>
      <c r="SWR3" s="55"/>
      <c r="SWS3" s="55"/>
      <c r="SWT3" s="55"/>
      <c r="SWU3" s="55"/>
      <c r="SWV3" s="55"/>
      <c r="SWW3" s="55"/>
      <c r="SWX3" s="55"/>
      <c r="SWY3" s="55"/>
      <c r="SWZ3" s="55"/>
      <c r="SXA3" s="55"/>
      <c r="SXB3" s="55"/>
      <c r="SXC3" s="55"/>
      <c r="SXD3" s="55"/>
      <c r="SXE3" s="55"/>
      <c r="SXF3" s="55"/>
      <c r="SXG3" s="55"/>
      <c r="SXH3" s="55"/>
      <c r="SXI3" s="55"/>
      <c r="SXJ3" s="55"/>
      <c r="SXK3" s="55"/>
      <c r="SXL3" s="55"/>
      <c r="SXM3" s="55"/>
      <c r="SXN3" s="55"/>
      <c r="SXO3" s="55"/>
      <c r="SXP3" s="55"/>
      <c r="SXQ3" s="55"/>
      <c r="SXR3" s="55"/>
      <c r="SXS3" s="55"/>
      <c r="SXT3" s="55"/>
      <c r="SXU3" s="55"/>
      <c r="SXV3" s="55"/>
      <c r="SXW3" s="55"/>
      <c r="SXX3" s="55"/>
      <c r="SXY3" s="55"/>
      <c r="SXZ3" s="55"/>
      <c r="SYA3" s="55"/>
      <c r="SYB3" s="55"/>
      <c r="SYC3" s="55"/>
      <c r="SYD3" s="55"/>
      <c r="SYE3" s="55"/>
      <c r="SYF3" s="55"/>
      <c r="SYG3" s="55"/>
      <c r="SYH3" s="55"/>
      <c r="SYI3" s="55"/>
      <c r="SYJ3" s="55"/>
      <c r="SYK3" s="55"/>
      <c r="SYL3" s="55"/>
      <c r="SYM3" s="55"/>
      <c r="SYN3" s="55"/>
      <c r="SYO3" s="55"/>
      <c r="SYP3" s="55"/>
      <c r="SYQ3" s="55"/>
      <c r="SYR3" s="55"/>
      <c r="SYS3" s="55"/>
      <c r="SYT3" s="55"/>
      <c r="SYU3" s="55"/>
      <c r="SYV3" s="55"/>
      <c r="SYW3" s="55"/>
      <c r="SYX3" s="55"/>
      <c r="SYY3" s="55"/>
      <c r="SYZ3" s="55"/>
      <c r="SZA3" s="55"/>
      <c r="SZB3" s="55"/>
      <c r="SZC3" s="55"/>
      <c r="SZD3" s="55"/>
      <c r="SZE3" s="55"/>
      <c r="SZF3" s="55"/>
      <c r="SZG3" s="55"/>
      <c r="SZH3" s="55"/>
      <c r="SZI3" s="55"/>
      <c r="SZJ3" s="55"/>
      <c r="SZK3" s="55"/>
      <c r="SZL3" s="55"/>
      <c r="SZM3" s="55"/>
      <c r="SZN3" s="55"/>
      <c r="SZO3" s="55"/>
      <c r="SZP3" s="55"/>
      <c r="SZQ3" s="55"/>
      <c r="SZR3" s="55"/>
      <c r="SZS3" s="55"/>
      <c r="SZT3" s="55"/>
      <c r="SZU3" s="55"/>
      <c r="SZV3" s="55"/>
      <c r="SZW3" s="55"/>
      <c r="SZX3" s="55"/>
      <c r="SZY3" s="55"/>
      <c r="SZZ3" s="55"/>
      <c r="TAA3" s="55"/>
      <c r="TAB3" s="55"/>
      <c r="TAC3" s="55"/>
      <c r="TAD3" s="55"/>
      <c r="TAE3" s="55"/>
      <c r="TAF3" s="55"/>
      <c r="TAG3" s="55"/>
      <c r="TAH3" s="55"/>
      <c r="TAI3" s="55"/>
      <c r="TAJ3" s="55"/>
      <c r="TAK3" s="55"/>
      <c r="TAL3" s="55"/>
      <c r="TAM3" s="55"/>
      <c r="TAN3" s="55"/>
      <c r="TAO3" s="55"/>
      <c r="TAP3" s="55"/>
      <c r="TAQ3" s="55"/>
      <c r="TAR3" s="55"/>
      <c r="TAS3" s="55"/>
      <c r="TAT3" s="55"/>
      <c r="TAU3" s="55"/>
      <c r="TAV3" s="55"/>
      <c r="TAW3" s="55"/>
      <c r="TAX3" s="55"/>
      <c r="TAY3" s="55"/>
      <c r="TAZ3" s="55"/>
      <c r="TBA3" s="55"/>
      <c r="TBB3" s="55"/>
      <c r="TBC3" s="55"/>
      <c r="TBD3" s="55"/>
      <c r="TBE3" s="55"/>
      <c r="TBF3" s="55"/>
      <c r="TBG3" s="55"/>
      <c r="TBH3" s="55"/>
      <c r="TBI3" s="55"/>
      <c r="TBJ3" s="55"/>
      <c r="TBK3" s="55"/>
      <c r="TBL3" s="55"/>
      <c r="TBM3" s="55"/>
      <c r="TBN3" s="55"/>
      <c r="TBO3" s="55"/>
      <c r="TBP3" s="55"/>
      <c r="TBQ3" s="55"/>
      <c r="TBR3" s="55"/>
      <c r="TBS3" s="55"/>
      <c r="TBT3" s="55"/>
      <c r="TBU3" s="55"/>
      <c r="TBV3" s="55"/>
      <c r="TBW3" s="55"/>
      <c r="TBX3" s="55"/>
      <c r="TBY3" s="55"/>
      <c r="TBZ3" s="55"/>
      <c r="TCA3" s="55"/>
      <c r="TCB3" s="55"/>
      <c r="TCC3" s="55"/>
      <c r="TCD3" s="55"/>
      <c r="TCE3" s="55"/>
      <c r="TCF3" s="55"/>
      <c r="TCG3" s="55"/>
      <c r="TCH3" s="55"/>
      <c r="TCI3" s="55"/>
      <c r="TCJ3" s="55"/>
      <c r="TCK3" s="55"/>
      <c r="TCL3" s="55"/>
      <c r="TCM3" s="55"/>
      <c r="TCN3" s="55"/>
      <c r="TCO3" s="55"/>
      <c r="TCP3" s="55"/>
      <c r="TCQ3" s="55"/>
      <c r="TCR3" s="55"/>
      <c r="TCS3" s="55"/>
      <c r="TCT3" s="55"/>
      <c r="TCU3" s="55"/>
      <c r="TCV3" s="55"/>
      <c r="TCW3" s="55"/>
      <c r="TCX3" s="55"/>
      <c r="TCY3" s="55"/>
      <c r="TCZ3" s="55"/>
      <c r="TDA3" s="55"/>
      <c r="TDB3" s="55"/>
      <c r="TDC3" s="55"/>
      <c r="TDD3" s="55"/>
      <c r="TDE3" s="55"/>
      <c r="TDF3" s="55"/>
      <c r="TDG3" s="55"/>
      <c r="TDH3" s="55"/>
      <c r="TDI3" s="55"/>
      <c r="TDJ3" s="55"/>
      <c r="TDK3" s="55"/>
      <c r="TDL3" s="55"/>
      <c r="TDM3" s="55"/>
      <c r="TDN3" s="55"/>
      <c r="TDO3" s="55"/>
      <c r="TDP3" s="55"/>
      <c r="TDQ3" s="55"/>
      <c r="TDR3" s="55"/>
      <c r="TDS3" s="55"/>
      <c r="TDT3" s="55"/>
      <c r="TDU3" s="55"/>
      <c r="TDV3" s="55"/>
      <c r="TDW3" s="55"/>
      <c r="TDX3" s="55"/>
      <c r="TDY3" s="55"/>
      <c r="TDZ3" s="55"/>
      <c r="TEA3" s="55"/>
      <c r="TEB3" s="55"/>
      <c r="TEC3" s="55"/>
      <c r="TED3" s="55"/>
      <c r="TEE3" s="55"/>
      <c r="TEF3" s="55"/>
      <c r="TEG3" s="55"/>
      <c r="TEH3" s="55"/>
      <c r="TEI3" s="55"/>
      <c r="TEJ3" s="55"/>
      <c r="TEK3" s="55"/>
      <c r="TEL3" s="55"/>
      <c r="TEM3" s="55"/>
      <c r="TEN3" s="55"/>
      <c r="TEO3" s="55"/>
      <c r="TEP3" s="55"/>
      <c r="TEQ3" s="55"/>
      <c r="TER3" s="55"/>
      <c r="TES3" s="55"/>
      <c r="TET3" s="55"/>
      <c r="TEU3" s="55"/>
      <c r="TEV3" s="55"/>
      <c r="TEW3" s="55"/>
      <c r="TEX3" s="55"/>
      <c r="TEY3" s="55"/>
      <c r="TEZ3" s="55"/>
      <c r="TFA3" s="55"/>
      <c r="TFB3" s="55"/>
      <c r="TFC3" s="55"/>
      <c r="TFD3" s="55"/>
      <c r="TFE3" s="55"/>
      <c r="TFF3" s="55"/>
      <c r="TFG3" s="55"/>
      <c r="TFH3" s="55"/>
      <c r="TFI3" s="55"/>
      <c r="TFJ3" s="55"/>
      <c r="TFK3" s="55"/>
      <c r="TFL3" s="55"/>
      <c r="TFM3" s="55"/>
      <c r="TFN3" s="55"/>
      <c r="TFO3" s="55"/>
      <c r="TFP3" s="55"/>
      <c r="TFQ3" s="55"/>
      <c r="TFR3" s="55"/>
      <c r="TFS3" s="55"/>
      <c r="TFT3" s="55"/>
      <c r="TFU3" s="55"/>
      <c r="TFV3" s="55"/>
      <c r="TFW3" s="55"/>
      <c r="TFX3" s="55"/>
      <c r="TFY3" s="55"/>
      <c r="TFZ3" s="55"/>
      <c r="TGA3" s="55"/>
      <c r="TGB3" s="55"/>
      <c r="TGC3" s="55"/>
      <c r="TGD3" s="55"/>
      <c r="TGE3" s="55"/>
      <c r="TGF3" s="55"/>
      <c r="TGG3" s="55"/>
      <c r="TGH3" s="55"/>
      <c r="TGI3" s="55"/>
      <c r="TGJ3" s="55"/>
      <c r="TGK3" s="55"/>
      <c r="TGL3" s="55"/>
      <c r="TGM3" s="55"/>
      <c r="TGN3" s="55"/>
      <c r="TGO3" s="55"/>
      <c r="TGP3" s="55"/>
      <c r="TGQ3" s="55"/>
      <c r="TGR3" s="55"/>
      <c r="TGS3" s="55"/>
      <c r="TGT3" s="55"/>
      <c r="TGU3" s="55"/>
      <c r="TGV3" s="55"/>
      <c r="TGW3" s="55"/>
      <c r="TGX3" s="55"/>
      <c r="TGY3" s="55"/>
      <c r="TGZ3" s="55"/>
      <c r="THA3" s="55"/>
      <c r="THB3" s="55"/>
      <c r="THC3" s="55"/>
      <c r="THD3" s="55"/>
      <c r="THE3" s="55"/>
      <c r="THF3" s="55"/>
      <c r="THG3" s="55"/>
      <c r="THH3" s="55"/>
      <c r="THI3" s="55"/>
      <c r="THJ3" s="55"/>
      <c r="THK3" s="55"/>
      <c r="THL3" s="55"/>
      <c r="THM3" s="55"/>
      <c r="THN3" s="55"/>
      <c r="THO3" s="55"/>
      <c r="THP3" s="55"/>
      <c r="THQ3" s="55"/>
      <c r="THR3" s="55"/>
      <c r="THS3" s="55"/>
      <c r="THT3" s="55"/>
      <c r="THU3" s="55"/>
      <c r="THV3" s="55"/>
      <c r="THW3" s="55"/>
      <c r="THX3" s="55"/>
      <c r="THY3" s="55"/>
      <c r="THZ3" s="55"/>
      <c r="TIA3" s="55"/>
      <c r="TIB3" s="55"/>
      <c r="TIC3" s="55"/>
      <c r="TID3" s="55"/>
      <c r="TIE3" s="55"/>
      <c r="TIF3" s="55"/>
      <c r="TIG3" s="55"/>
      <c r="TIH3" s="55"/>
      <c r="TII3" s="55"/>
      <c r="TIJ3" s="55"/>
      <c r="TIK3" s="55"/>
      <c r="TIL3" s="55"/>
      <c r="TIM3" s="55"/>
      <c r="TIN3" s="55"/>
      <c r="TIO3" s="55"/>
      <c r="TIP3" s="55"/>
      <c r="TIQ3" s="55"/>
      <c r="TIR3" s="55"/>
      <c r="TIS3" s="55"/>
      <c r="TIT3" s="55"/>
      <c r="TIU3" s="55"/>
      <c r="TIV3" s="55"/>
      <c r="TIW3" s="55"/>
      <c r="TIX3" s="55"/>
      <c r="TIY3" s="55"/>
      <c r="TIZ3" s="55"/>
      <c r="TJA3" s="55"/>
      <c r="TJB3" s="55"/>
      <c r="TJC3" s="55"/>
      <c r="TJD3" s="55"/>
      <c r="TJE3" s="55"/>
      <c r="TJF3" s="55"/>
      <c r="TJG3" s="55"/>
      <c r="TJH3" s="55"/>
      <c r="TJI3" s="55"/>
      <c r="TJJ3" s="55"/>
      <c r="TJK3" s="55"/>
      <c r="TJL3" s="55"/>
      <c r="TJM3" s="55"/>
      <c r="TJN3" s="55"/>
      <c r="TJO3" s="55"/>
      <c r="TJP3" s="55"/>
      <c r="TJQ3" s="55"/>
      <c r="TJR3" s="55"/>
      <c r="TJS3" s="55"/>
      <c r="TJT3" s="55"/>
      <c r="TJU3" s="55"/>
      <c r="TJV3" s="55"/>
      <c r="TJW3" s="55"/>
      <c r="TJX3" s="55"/>
      <c r="TJY3" s="55"/>
      <c r="TJZ3" s="55"/>
      <c r="TKA3" s="55"/>
      <c r="TKB3" s="55"/>
      <c r="TKC3" s="55"/>
      <c r="TKD3" s="55"/>
      <c r="TKE3" s="55"/>
      <c r="TKF3" s="55"/>
      <c r="TKG3" s="55"/>
      <c r="TKH3" s="55"/>
      <c r="TKI3" s="55"/>
      <c r="TKJ3" s="55"/>
      <c r="TKK3" s="55"/>
      <c r="TKL3" s="55"/>
      <c r="TKM3" s="55"/>
      <c r="TKN3" s="55"/>
      <c r="TKO3" s="55"/>
      <c r="TKP3" s="55"/>
      <c r="TKQ3" s="55"/>
      <c r="TKR3" s="55"/>
      <c r="TKS3" s="55"/>
      <c r="TKT3" s="55"/>
      <c r="TKU3" s="55"/>
      <c r="TKV3" s="55"/>
      <c r="TKW3" s="55"/>
      <c r="TKX3" s="55"/>
      <c r="TKY3" s="55"/>
      <c r="TKZ3" s="55"/>
      <c r="TLA3" s="55"/>
      <c r="TLB3" s="55"/>
      <c r="TLC3" s="55"/>
      <c r="TLD3" s="55"/>
      <c r="TLE3" s="55"/>
      <c r="TLF3" s="55"/>
      <c r="TLG3" s="55"/>
      <c r="TLH3" s="55"/>
      <c r="TLI3" s="55"/>
      <c r="TLJ3" s="55"/>
      <c r="TLK3" s="55"/>
      <c r="TLL3" s="55"/>
      <c r="TLM3" s="55"/>
      <c r="TLN3" s="55"/>
      <c r="TLO3" s="55"/>
      <c r="TLP3" s="55"/>
      <c r="TLQ3" s="55"/>
      <c r="TLR3" s="55"/>
      <c r="TLS3" s="55"/>
      <c r="TLT3" s="55"/>
      <c r="TLU3" s="55"/>
      <c r="TLV3" s="55"/>
      <c r="TLW3" s="55"/>
      <c r="TLX3" s="55"/>
      <c r="TLY3" s="55"/>
      <c r="TLZ3" s="55"/>
      <c r="TMA3" s="55"/>
      <c r="TMB3" s="55"/>
      <c r="TMC3" s="55"/>
      <c r="TMD3" s="55"/>
      <c r="TME3" s="55"/>
      <c r="TMF3" s="55"/>
      <c r="TMG3" s="55"/>
      <c r="TMH3" s="55"/>
      <c r="TMI3" s="55"/>
      <c r="TMJ3" s="55"/>
      <c r="TMK3" s="55"/>
      <c r="TML3" s="55"/>
      <c r="TMM3" s="55"/>
      <c r="TMN3" s="55"/>
      <c r="TMO3" s="55"/>
      <c r="TMP3" s="55"/>
      <c r="TMQ3" s="55"/>
      <c r="TMR3" s="55"/>
      <c r="TMS3" s="55"/>
      <c r="TMT3" s="55"/>
      <c r="TMU3" s="55"/>
      <c r="TMV3" s="55"/>
      <c r="TMW3" s="55"/>
      <c r="TMX3" s="55"/>
      <c r="TMY3" s="55"/>
      <c r="TMZ3" s="55"/>
      <c r="TNA3" s="55"/>
      <c r="TNB3" s="55"/>
      <c r="TNC3" s="55"/>
      <c r="TND3" s="55"/>
      <c r="TNE3" s="55"/>
      <c r="TNF3" s="55"/>
      <c r="TNG3" s="55"/>
      <c r="TNH3" s="55"/>
      <c r="TNI3" s="55"/>
      <c r="TNJ3" s="55"/>
      <c r="TNK3" s="55"/>
      <c r="TNL3" s="55"/>
      <c r="TNM3" s="55"/>
      <c r="TNN3" s="55"/>
      <c r="TNO3" s="55"/>
      <c r="TNP3" s="55"/>
      <c r="TNQ3" s="55"/>
      <c r="TNR3" s="55"/>
      <c r="TNS3" s="55"/>
      <c r="TNT3" s="55"/>
      <c r="TNU3" s="55"/>
      <c r="TNV3" s="55"/>
      <c r="TNW3" s="55"/>
      <c r="TNX3" s="55"/>
      <c r="TNY3" s="55"/>
      <c r="TNZ3" s="55"/>
      <c r="TOA3" s="55"/>
      <c r="TOB3" s="55"/>
      <c r="TOC3" s="55"/>
      <c r="TOD3" s="55"/>
      <c r="TOE3" s="55"/>
      <c r="TOF3" s="55"/>
      <c r="TOG3" s="55"/>
      <c r="TOH3" s="55"/>
      <c r="TOI3" s="55"/>
      <c r="TOJ3" s="55"/>
      <c r="TOK3" s="55"/>
      <c r="TOL3" s="55"/>
      <c r="TOM3" s="55"/>
      <c r="TON3" s="55"/>
      <c r="TOO3" s="55"/>
      <c r="TOP3" s="55"/>
      <c r="TOQ3" s="55"/>
      <c r="TOR3" s="55"/>
      <c r="TOS3" s="55"/>
      <c r="TOT3" s="55"/>
      <c r="TOU3" s="55"/>
      <c r="TOV3" s="55"/>
      <c r="TOW3" s="55"/>
      <c r="TOX3" s="55"/>
      <c r="TOY3" s="55"/>
      <c r="TOZ3" s="55"/>
      <c r="TPA3" s="55"/>
      <c r="TPB3" s="55"/>
      <c r="TPC3" s="55"/>
      <c r="TPD3" s="55"/>
      <c r="TPE3" s="55"/>
      <c r="TPF3" s="55"/>
      <c r="TPG3" s="55"/>
      <c r="TPH3" s="55"/>
      <c r="TPI3" s="55"/>
      <c r="TPJ3" s="55"/>
      <c r="TPK3" s="55"/>
      <c r="TPL3" s="55"/>
      <c r="TPM3" s="55"/>
      <c r="TPN3" s="55"/>
      <c r="TPO3" s="55"/>
      <c r="TPP3" s="55"/>
      <c r="TPQ3" s="55"/>
      <c r="TPR3" s="55"/>
      <c r="TPS3" s="55"/>
      <c r="TPT3" s="55"/>
      <c r="TPU3" s="55"/>
      <c r="TPV3" s="55"/>
      <c r="TPW3" s="55"/>
      <c r="TPX3" s="55"/>
      <c r="TPY3" s="55"/>
      <c r="TPZ3" s="55"/>
      <c r="TQA3" s="55"/>
      <c r="TQB3" s="55"/>
      <c r="TQC3" s="55"/>
      <c r="TQD3" s="55"/>
      <c r="TQE3" s="55"/>
      <c r="TQF3" s="55"/>
      <c r="TQG3" s="55"/>
      <c r="TQH3" s="55"/>
      <c r="TQI3" s="55"/>
      <c r="TQJ3" s="55"/>
      <c r="TQK3" s="55"/>
      <c r="TQL3" s="55"/>
      <c r="TQM3" s="55"/>
      <c r="TQN3" s="55"/>
      <c r="TQO3" s="55"/>
      <c r="TQP3" s="55"/>
      <c r="TQQ3" s="55"/>
      <c r="TQR3" s="55"/>
      <c r="TQS3" s="55"/>
      <c r="TQT3" s="55"/>
      <c r="TQU3" s="55"/>
      <c r="TQV3" s="55"/>
      <c r="TQW3" s="55"/>
      <c r="TQX3" s="55"/>
      <c r="TQY3" s="55"/>
      <c r="TQZ3" s="55"/>
      <c r="TRA3" s="55"/>
      <c r="TRB3" s="55"/>
      <c r="TRC3" s="55"/>
      <c r="TRD3" s="55"/>
      <c r="TRE3" s="55"/>
      <c r="TRF3" s="55"/>
      <c r="TRG3" s="55"/>
      <c r="TRH3" s="55"/>
      <c r="TRI3" s="55"/>
      <c r="TRJ3" s="55"/>
      <c r="TRK3" s="55"/>
      <c r="TRL3" s="55"/>
      <c r="TRM3" s="55"/>
      <c r="TRN3" s="55"/>
      <c r="TRO3" s="55"/>
      <c r="TRP3" s="55"/>
      <c r="TRQ3" s="55"/>
      <c r="TRR3" s="55"/>
      <c r="TRS3" s="55"/>
      <c r="TRT3" s="55"/>
      <c r="TRU3" s="55"/>
      <c r="TRV3" s="55"/>
      <c r="TRW3" s="55"/>
      <c r="TRX3" s="55"/>
      <c r="TRY3" s="55"/>
      <c r="TRZ3" s="55"/>
      <c r="TSA3" s="55"/>
      <c r="TSB3" s="55"/>
      <c r="TSC3" s="55"/>
      <c r="TSD3" s="55"/>
      <c r="TSE3" s="55"/>
      <c r="TSF3" s="55"/>
      <c r="TSG3" s="55"/>
      <c r="TSH3" s="55"/>
      <c r="TSI3" s="55"/>
      <c r="TSJ3" s="55"/>
      <c r="TSK3" s="55"/>
      <c r="TSL3" s="55"/>
      <c r="TSM3" s="55"/>
      <c r="TSN3" s="55"/>
      <c r="TSO3" s="55"/>
      <c r="TSP3" s="55"/>
      <c r="TSQ3" s="55"/>
      <c r="TSR3" s="55"/>
      <c r="TSS3" s="55"/>
      <c r="TST3" s="55"/>
      <c r="TSU3" s="55"/>
      <c r="TSV3" s="55"/>
      <c r="TSW3" s="55"/>
      <c r="TSX3" s="55"/>
      <c r="TSY3" s="55"/>
      <c r="TSZ3" s="55"/>
      <c r="TTA3" s="55"/>
      <c r="TTB3" s="55"/>
      <c r="TTC3" s="55"/>
      <c r="TTD3" s="55"/>
      <c r="TTE3" s="55"/>
      <c r="TTF3" s="55"/>
      <c r="TTG3" s="55"/>
      <c r="TTH3" s="55"/>
      <c r="TTI3" s="55"/>
      <c r="TTJ3" s="55"/>
      <c r="TTK3" s="55"/>
      <c r="TTL3" s="55"/>
      <c r="TTM3" s="55"/>
      <c r="TTN3" s="55"/>
      <c r="TTO3" s="55"/>
      <c r="TTP3" s="55"/>
      <c r="TTQ3" s="55"/>
      <c r="TTR3" s="55"/>
      <c r="TTS3" s="55"/>
      <c r="TTT3" s="55"/>
      <c r="TTU3" s="55"/>
      <c r="TTV3" s="55"/>
      <c r="TTW3" s="55"/>
      <c r="TTX3" s="55"/>
      <c r="TTY3" s="55"/>
      <c r="TTZ3" s="55"/>
      <c r="TUA3" s="55"/>
      <c r="TUB3" s="55"/>
      <c r="TUC3" s="55"/>
      <c r="TUD3" s="55"/>
      <c r="TUE3" s="55"/>
      <c r="TUF3" s="55"/>
      <c r="TUG3" s="55"/>
      <c r="TUH3" s="55"/>
      <c r="TUI3" s="55"/>
      <c r="TUJ3" s="55"/>
      <c r="TUK3" s="55"/>
      <c r="TUL3" s="55"/>
      <c r="TUM3" s="55"/>
      <c r="TUN3" s="55"/>
      <c r="TUO3" s="55"/>
      <c r="TUP3" s="55"/>
      <c r="TUQ3" s="55"/>
      <c r="TUR3" s="55"/>
      <c r="TUS3" s="55"/>
      <c r="TUT3" s="55"/>
      <c r="TUU3" s="55"/>
      <c r="TUV3" s="55"/>
      <c r="TUW3" s="55"/>
      <c r="TUX3" s="55"/>
      <c r="TUY3" s="55"/>
      <c r="TUZ3" s="55"/>
      <c r="TVA3" s="55"/>
      <c r="TVB3" s="55"/>
      <c r="TVC3" s="55"/>
      <c r="TVD3" s="55"/>
      <c r="TVE3" s="55"/>
      <c r="TVF3" s="55"/>
      <c r="TVG3" s="55"/>
      <c r="TVH3" s="55"/>
      <c r="TVI3" s="55"/>
      <c r="TVJ3" s="55"/>
      <c r="TVK3" s="55"/>
      <c r="TVL3" s="55"/>
      <c r="TVM3" s="55"/>
      <c r="TVN3" s="55"/>
      <c r="TVO3" s="55"/>
      <c r="TVP3" s="55"/>
      <c r="TVQ3" s="55"/>
      <c r="TVR3" s="55"/>
      <c r="TVS3" s="55"/>
      <c r="TVT3" s="55"/>
      <c r="TVU3" s="55"/>
      <c r="TVV3" s="55"/>
      <c r="TVW3" s="55"/>
      <c r="TVX3" s="55"/>
      <c r="TVY3" s="55"/>
      <c r="TVZ3" s="55"/>
      <c r="TWA3" s="55"/>
      <c r="TWB3" s="55"/>
      <c r="TWC3" s="55"/>
      <c r="TWD3" s="55"/>
      <c r="TWE3" s="55"/>
      <c r="TWF3" s="55"/>
      <c r="TWG3" s="55"/>
      <c r="TWH3" s="55"/>
      <c r="TWI3" s="55"/>
      <c r="TWJ3" s="55"/>
      <c r="TWK3" s="55"/>
      <c r="TWL3" s="55"/>
      <c r="TWM3" s="55"/>
      <c r="TWN3" s="55"/>
      <c r="TWO3" s="55"/>
      <c r="TWP3" s="55"/>
      <c r="TWQ3" s="55"/>
      <c r="TWR3" s="55"/>
      <c r="TWS3" s="55"/>
      <c r="TWT3" s="55"/>
      <c r="TWU3" s="55"/>
      <c r="TWV3" s="55"/>
      <c r="TWW3" s="55"/>
      <c r="TWX3" s="55"/>
      <c r="TWY3" s="55"/>
      <c r="TWZ3" s="55"/>
      <c r="TXA3" s="55"/>
      <c r="TXB3" s="55"/>
      <c r="TXC3" s="55"/>
      <c r="TXD3" s="55"/>
      <c r="TXE3" s="55"/>
      <c r="TXF3" s="55"/>
      <c r="TXG3" s="55"/>
      <c r="TXH3" s="55"/>
      <c r="TXI3" s="55"/>
      <c r="TXJ3" s="55"/>
      <c r="TXK3" s="55"/>
      <c r="TXL3" s="55"/>
      <c r="TXM3" s="55"/>
      <c r="TXN3" s="55"/>
      <c r="TXO3" s="55"/>
      <c r="TXP3" s="55"/>
      <c r="TXQ3" s="55"/>
      <c r="TXR3" s="55"/>
      <c r="TXS3" s="55"/>
      <c r="TXT3" s="55"/>
      <c r="TXU3" s="55"/>
      <c r="TXV3" s="55"/>
      <c r="TXW3" s="55"/>
      <c r="TXX3" s="55"/>
      <c r="TXY3" s="55"/>
      <c r="TXZ3" s="55"/>
      <c r="TYA3" s="55"/>
      <c r="TYB3" s="55"/>
      <c r="TYC3" s="55"/>
      <c r="TYD3" s="55"/>
      <c r="TYE3" s="55"/>
      <c r="TYF3" s="55"/>
      <c r="TYG3" s="55"/>
      <c r="TYH3" s="55"/>
      <c r="TYI3" s="55"/>
      <c r="TYJ3" s="55"/>
      <c r="TYK3" s="55"/>
      <c r="TYL3" s="55"/>
      <c r="TYM3" s="55"/>
      <c r="TYN3" s="55"/>
      <c r="TYO3" s="55"/>
      <c r="TYP3" s="55"/>
      <c r="TYQ3" s="55"/>
      <c r="TYR3" s="55"/>
      <c r="TYS3" s="55"/>
      <c r="TYT3" s="55"/>
      <c r="TYU3" s="55"/>
      <c r="TYV3" s="55"/>
      <c r="TYW3" s="55"/>
      <c r="TYX3" s="55"/>
      <c r="TYY3" s="55"/>
      <c r="TYZ3" s="55"/>
      <c r="TZA3" s="55"/>
      <c r="TZB3" s="55"/>
      <c r="TZC3" s="55"/>
      <c r="TZD3" s="55"/>
      <c r="TZE3" s="55"/>
      <c r="TZF3" s="55"/>
      <c r="TZG3" s="55"/>
      <c r="TZH3" s="55"/>
      <c r="TZI3" s="55"/>
      <c r="TZJ3" s="55"/>
      <c r="TZK3" s="55"/>
      <c r="TZL3" s="55"/>
      <c r="TZM3" s="55"/>
      <c r="TZN3" s="55"/>
      <c r="TZO3" s="55"/>
      <c r="TZP3" s="55"/>
      <c r="TZQ3" s="55"/>
      <c r="TZR3" s="55"/>
      <c r="TZS3" s="55"/>
      <c r="TZT3" s="55"/>
      <c r="TZU3" s="55"/>
      <c r="TZV3" s="55"/>
      <c r="TZW3" s="55"/>
      <c r="TZX3" s="55"/>
      <c r="TZY3" s="55"/>
      <c r="TZZ3" s="55"/>
      <c r="UAA3" s="55"/>
      <c r="UAB3" s="55"/>
      <c r="UAC3" s="55"/>
      <c r="UAD3" s="55"/>
      <c r="UAE3" s="55"/>
      <c r="UAF3" s="55"/>
      <c r="UAG3" s="55"/>
      <c r="UAH3" s="55"/>
      <c r="UAI3" s="55"/>
      <c r="UAJ3" s="55"/>
      <c r="UAK3" s="55"/>
      <c r="UAL3" s="55"/>
      <c r="UAM3" s="55"/>
      <c r="UAN3" s="55"/>
      <c r="UAO3" s="55"/>
      <c r="UAP3" s="55"/>
      <c r="UAQ3" s="55"/>
      <c r="UAR3" s="55"/>
      <c r="UAS3" s="55"/>
      <c r="UAT3" s="55"/>
      <c r="UAU3" s="55"/>
      <c r="UAV3" s="55"/>
      <c r="UAW3" s="55"/>
      <c r="UAX3" s="55"/>
      <c r="UAY3" s="55"/>
      <c r="UAZ3" s="55"/>
      <c r="UBA3" s="55"/>
      <c r="UBB3" s="55"/>
      <c r="UBC3" s="55"/>
      <c r="UBD3" s="55"/>
      <c r="UBE3" s="55"/>
      <c r="UBF3" s="55"/>
      <c r="UBG3" s="55"/>
      <c r="UBH3" s="55"/>
      <c r="UBI3" s="55"/>
      <c r="UBJ3" s="55"/>
      <c r="UBK3" s="55"/>
      <c r="UBL3" s="55"/>
      <c r="UBM3" s="55"/>
      <c r="UBN3" s="55"/>
      <c r="UBO3" s="55"/>
      <c r="UBP3" s="55"/>
      <c r="UBQ3" s="55"/>
      <c r="UBR3" s="55"/>
      <c r="UBS3" s="55"/>
      <c r="UBT3" s="55"/>
      <c r="UBU3" s="55"/>
      <c r="UBV3" s="55"/>
      <c r="UBW3" s="55"/>
      <c r="UBX3" s="55"/>
      <c r="UBY3" s="55"/>
      <c r="UBZ3" s="55"/>
      <c r="UCA3" s="55"/>
      <c r="UCB3" s="55"/>
      <c r="UCC3" s="55"/>
      <c r="UCD3" s="55"/>
      <c r="UCE3" s="55"/>
      <c r="UCF3" s="55"/>
      <c r="UCG3" s="55"/>
      <c r="UCH3" s="55"/>
      <c r="UCI3" s="55"/>
      <c r="UCJ3" s="55"/>
      <c r="UCK3" s="55"/>
      <c r="UCL3" s="55"/>
      <c r="UCM3" s="55"/>
      <c r="UCN3" s="55"/>
      <c r="UCO3" s="55"/>
      <c r="UCP3" s="55"/>
      <c r="UCQ3" s="55"/>
      <c r="UCR3" s="55"/>
      <c r="UCS3" s="55"/>
      <c r="UCT3" s="55"/>
      <c r="UCU3" s="55"/>
      <c r="UCV3" s="55"/>
      <c r="UCW3" s="55"/>
      <c r="UCX3" s="55"/>
      <c r="UCY3" s="55"/>
      <c r="UCZ3" s="55"/>
      <c r="UDA3" s="55"/>
      <c r="UDB3" s="55"/>
      <c r="UDC3" s="55"/>
      <c r="UDD3" s="55"/>
      <c r="UDE3" s="55"/>
      <c r="UDF3" s="55"/>
      <c r="UDG3" s="55"/>
      <c r="UDH3" s="55"/>
      <c r="UDI3" s="55"/>
      <c r="UDJ3" s="55"/>
      <c r="UDK3" s="55"/>
      <c r="UDL3" s="55"/>
      <c r="UDM3" s="55"/>
      <c r="UDN3" s="55"/>
      <c r="UDO3" s="55"/>
      <c r="UDP3" s="55"/>
      <c r="UDQ3" s="55"/>
      <c r="UDR3" s="55"/>
      <c r="UDS3" s="55"/>
      <c r="UDT3" s="55"/>
      <c r="UDU3" s="55"/>
      <c r="UDV3" s="55"/>
      <c r="UDW3" s="55"/>
      <c r="UDX3" s="55"/>
      <c r="UDY3" s="55"/>
      <c r="UDZ3" s="55"/>
      <c r="UEA3" s="55"/>
      <c r="UEB3" s="55"/>
      <c r="UEC3" s="55"/>
      <c r="UED3" s="55"/>
      <c r="UEE3" s="55"/>
      <c r="UEF3" s="55"/>
      <c r="UEG3" s="55"/>
      <c r="UEH3" s="55"/>
      <c r="UEI3" s="55"/>
      <c r="UEJ3" s="55"/>
      <c r="UEK3" s="55"/>
      <c r="UEL3" s="55"/>
      <c r="UEM3" s="55"/>
      <c r="UEN3" s="55"/>
      <c r="UEO3" s="55"/>
      <c r="UEP3" s="55"/>
      <c r="UEQ3" s="55"/>
      <c r="UER3" s="55"/>
      <c r="UES3" s="55"/>
      <c r="UET3" s="55"/>
      <c r="UEU3" s="55"/>
      <c r="UEV3" s="55"/>
      <c r="UEW3" s="55"/>
      <c r="UEX3" s="55"/>
      <c r="UEY3" s="55"/>
      <c r="UEZ3" s="55"/>
      <c r="UFA3" s="55"/>
      <c r="UFB3" s="55"/>
      <c r="UFC3" s="55"/>
      <c r="UFD3" s="55"/>
      <c r="UFE3" s="55"/>
      <c r="UFF3" s="55"/>
      <c r="UFG3" s="55"/>
      <c r="UFH3" s="55"/>
      <c r="UFI3" s="55"/>
      <c r="UFJ3" s="55"/>
      <c r="UFK3" s="55"/>
      <c r="UFL3" s="55"/>
      <c r="UFM3" s="55"/>
      <c r="UFN3" s="55"/>
      <c r="UFO3" s="55"/>
      <c r="UFP3" s="55"/>
      <c r="UFQ3" s="55"/>
      <c r="UFR3" s="55"/>
      <c r="UFS3" s="55"/>
      <c r="UFT3" s="55"/>
      <c r="UFU3" s="55"/>
      <c r="UFV3" s="55"/>
      <c r="UFW3" s="55"/>
      <c r="UFX3" s="55"/>
      <c r="UFY3" s="55"/>
      <c r="UFZ3" s="55"/>
      <c r="UGA3" s="55"/>
      <c r="UGB3" s="55"/>
      <c r="UGC3" s="55"/>
      <c r="UGD3" s="55"/>
      <c r="UGE3" s="55"/>
      <c r="UGF3" s="55"/>
      <c r="UGG3" s="55"/>
      <c r="UGH3" s="55"/>
      <c r="UGI3" s="55"/>
      <c r="UGJ3" s="55"/>
      <c r="UGK3" s="55"/>
      <c r="UGL3" s="55"/>
      <c r="UGM3" s="55"/>
      <c r="UGN3" s="55"/>
      <c r="UGO3" s="55"/>
      <c r="UGP3" s="55"/>
      <c r="UGQ3" s="55"/>
      <c r="UGR3" s="55"/>
      <c r="UGS3" s="55"/>
      <c r="UGT3" s="55"/>
      <c r="UGU3" s="55"/>
      <c r="UGV3" s="55"/>
      <c r="UGW3" s="55"/>
      <c r="UGX3" s="55"/>
      <c r="UGY3" s="55"/>
      <c r="UGZ3" s="55"/>
      <c r="UHA3" s="55"/>
      <c r="UHB3" s="55"/>
      <c r="UHC3" s="55"/>
      <c r="UHD3" s="55"/>
      <c r="UHE3" s="55"/>
      <c r="UHF3" s="55"/>
      <c r="UHG3" s="55"/>
      <c r="UHH3" s="55"/>
      <c r="UHI3" s="55"/>
      <c r="UHJ3" s="55"/>
      <c r="UHK3" s="55"/>
      <c r="UHL3" s="55"/>
      <c r="UHM3" s="55"/>
      <c r="UHN3" s="55"/>
      <c r="UHO3" s="55"/>
      <c r="UHP3" s="55"/>
      <c r="UHQ3" s="55"/>
      <c r="UHR3" s="55"/>
      <c r="UHS3" s="55"/>
      <c r="UHT3" s="55"/>
      <c r="UHU3" s="55"/>
      <c r="UHV3" s="55"/>
      <c r="UHW3" s="55"/>
      <c r="UHX3" s="55"/>
      <c r="UHY3" s="55"/>
      <c r="UHZ3" s="55"/>
      <c r="UIA3" s="55"/>
      <c r="UIB3" s="55"/>
      <c r="UIC3" s="55"/>
      <c r="UID3" s="55"/>
      <c r="UIE3" s="55"/>
      <c r="UIF3" s="55"/>
      <c r="UIG3" s="55"/>
      <c r="UIH3" s="55"/>
      <c r="UII3" s="55"/>
      <c r="UIJ3" s="55"/>
      <c r="UIK3" s="55"/>
      <c r="UIL3" s="55"/>
      <c r="UIM3" s="55"/>
      <c r="UIN3" s="55"/>
      <c r="UIO3" s="55"/>
      <c r="UIP3" s="55"/>
      <c r="UIQ3" s="55"/>
      <c r="UIR3" s="55"/>
      <c r="UIS3" s="55"/>
      <c r="UIT3" s="55"/>
      <c r="UIU3" s="55"/>
      <c r="UIV3" s="55"/>
      <c r="UIW3" s="55"/>
      <c r="UIX3" s="55"/>
      <c r="UIY3" s="55"/>
      <c r="UIZ3" s="55"/>
      <c r="UJA3" s="55"/>
      <c r="UJB3" s="55"/>
      <c r="UJC3" s="55"/>
      <c r="UJD3" s="55"/>
      <c r="UJE3" s="55"/>
      <c r="UJF3" s="55"/>
      <c r="UJG3" s="55"/>
      <c r="UJH3" s="55"/>
      <c r="UJI3" s="55"/>
      <c r="UJJ3" s="55"/>
      <c r="UJK3" s="55"/>
      <c r="UJL3" s="55"/>
      <c r="UJM3" s="55"/>
      <c r="UJN3" s="55"/>
      <c r="UJO3" s="55"/>
      <c r="UJP3" s="55"/>
      <c r="UJQ3" s="55"/>
      <c r="UJR3" s="55"/>
      <c r="UJS3" s="55"/>
      <c r="UJT3" s="55"/>
      <c r="UJU3" s="55"/>
      <c r="UJV3" s="55"/>
      <c r="UJW3" s="55"/>
      <c r="UJX3" s="55"/>
      <c r="UJY3" s="55"/>
      <c r="UJZ3" s="55"/>
      <c r="UKA3" s="55"/>
      <c r="UKB3" s="55"/>
      <c r="UKC3" s="55"/>
      <c r="UKD3" s="55"/>
      <c r="UKE3" s="55"/>
      <c r="UKF3" s="55"/>
      <c r="UKG3" s="55"/>
      <c r="UKH3" s="55"/>
      <c r="UKI3" s="55"/>
      <c r="UKJ3" s="55"/>
      <c r="UKK3" s="55"/>
      <c r="UKL3" s="55"/>
      <c r="UKM3" s="55"/>
      <c r="UKN3" s="55"/>
      <c r="UKO3" s="55"/>
      <c r="UKP3" s="55"/>
      <c r="UKQ3" s="55"/>
      <c r="UKR3" s="55"/>
      <c r="UKS3" s="55"/>
      <c r="UKT3" s="55"/>
      <c r="UKU3" s="55"/>
      <c r="UKV3" s="55"/>
      <c r="UKW3" s="55"/>
      <c r="UKX3" s="55"/>
      <c r="UKY3" s="55"/>
      <c r="UKZ3" s="55"/>
      <c r="ULA3" s="55"/>
      <c r="ULB3" s="55"/>
      <c r="ULC3" s="55"/>
      <c r="ULD3" s="55"/>
      <c r="ULE3" s="55"/>
      <c r="ULF3" s="55"/>
      <c r="ULG3" s="55"/>
      <c r="ULH3" s="55"/>
      <c r="ULI3" s="55"/>
      <c r="ULJ3" s="55"/>
      <c r="ULK3" s="55"/>
      <c r="ULL3" s="55"/>
      <c r="ULM3" s="55"/>
      <c r="ULN3" s="55"/>
      <c r="ULO3" s="55"/>
      <c r="ULP3" s="55"/>
      <c r="ULQ3" s="55"/>
      <c r="ULR3" s="55"/>
      <c r="ULS3" s="55"/>
      <c r="ULT3" s="55"/>
      <c r="ULU3" s="55"/>
      <c r="ULV3" s="55"/>
      <c r="ULW3" s="55"/>
      <c r="ULX3" s="55"/>
      <c r="ULY3" s="55"/>
      <c r="ULZ3" s="55"/>
      <c r="UMA3" s="55"/>
      <c r="UMB3" s="55"/>
      <c r="UMC3" s="55"/>
      <c r="UMD3" s="55"/>
      <c r="UME3" s="55"/>
      <c r="UMF3" s="55"/>
      <c r="UMG3" s="55"/>
      <c r="UMH3" s="55"/>
      <c r="UMI3" s="55"/>
      <c r="UMJ3" s="55"/>
      <c r="UMK3" s="55"/>
      <c r="UML3" s="55"/>
      <c r="UMM3" s="55"/>
      <c r="UMN3" s="55"/>
      <c r="UMO3" s="55"/>
      <c r="UMP3" s="55"/>
      <c r="UMQ3" s="55"/>
      <c r="UMR3" s="55"/>
      <c r="UMS3" s="55"/>
      <c r="UMT3" s="55"/>
      <c r="UMU3" s="55"/>
      <c r="UMV3" s="55"/>
      <c r="UMW3" s="55"/>
      <c r="UMX3" s="55"/>
      <c r="UMY3" s="55"/>
      <c r="UMZ3" s="55"/>
      <c r="UNA3" s="55"/>
      <c r="UNB3" s="55"/>
      <c r="UNC3" s="55"/>
      <c r="UND3" s="55"/>
      <c r="UNE3" s="55"/>
      <c r="UNF3" s="55"/>
      <c r="UNG3" s="55"/>
      <c r="UNH3" s="55"/>
      <c r="UNI3" s="55"/>
      <c r="UNJ3" s="55"/>
      <c r="UNK3" s="55"/>
      <c r="UNL3" s="55"/>
      <c r="UNM3" s="55"/>
      <c r="UNN3" s="55"/>
      <c r="UNO3" s="55"/>
      <c r="UNP3" s="55"/>
      <c r="UNQ3" s="55"/>
      <c r="UNR3" s="55"/>
      <c r="UNS3" s="55"/>
      <c r="UNT3" s="55"/>
      <c r="UNU3" s="55"/>
      <c r="UNV3" s="55"/>
      <c r="UNW3" s="55"/>
      <c r="UNX3" s="55"/>
      <c r="UNY3" s="55"/>
      <c r="UNZ3" s="55"/>
      <c r="UOA3" s="55"/>
      <c r="UOB3" s="55"/>
      <c r="UOC3" s="55"/>
      <c r="UOD3" s="55"/>
      <c r="UOE3" s="55"/>
      <c r="UOF3" s="55"/>
      <c r="UOG3" s="55"/>
      <c r="UOH3" s="55"/>
      <c r="UOI3" s="55"/>
      <c r="UOJ3" s="55"/>
      <c r="UOK3" s="55"/>
      <c r="UOL3" s="55"/>
      <c r="UOM3" s="55"/>
      <c r="UON3" s="55"/>
      <c r="UOO3" s="55"/>
      <c r="UOP3" s="55"/>
      <c r="UOQ3" s="55"/>
      <c r="UOR3" s="55"/>
      <c r="UOS3" s="55"/>
      <c r="UOT3" s="55"/>
      <c r="UOU3" s="55"/>
      <c r="UOV3" s="55"/>
      <c r="UOW3" s="55"/>
      <c r="UOX3" s="55"/>
      <c r="UOY3" s="55"/>
      <c r="UOZ3" s="55"/>
      <c r="UPA3" s="55"/>
      <c r="UPB3" s="55"/>
      <c r="UPC3" s="55"/>
      <c r="UPD3" s="55"/>
      <c r="UPE3" s="55"/>
      <c r="UPF3" s="55"/>
      <c r="UPG3" s="55"/>
      <c r="UPH3" s="55"/>
      <c r="UPI3" s="55"/>
      <c r="UPJ3" s="55"/>
      <c r="UPK3" s="55"/>
      <c r="UPL3" s="55"/>
      <c r="UPM3" s="55"/>
      <c r="UPN3" s="55"/>
      <c r="UPO3" s="55"/>
      <c r="UPP3" s="55"/>
      <c r="UPQ3" s="55"/>
      <c r="UPR3" s="55"/>
      <c r="UPS3" s="55"/>
      <c r="UPT3" s="55"/>
      <c r="UPU3" s="55"/>
      <c r="UPV3" s="55"/>
      <c r="UPW3" s="55"/>
      <c r="UPX3" s="55"/>
      <c r="UPY3" s="55"/>
      <c r="UPZ3" s="55"/>
      <c r="UQA3" s="55"/>
      <c r="UQB3" s="55"/>
      <c r="UQC3" s="55"/>
      <c r="UQD3" s="55"/>
      <c r="UQE3" s="55"/>
      <c r="UQF3" s="55"/>
      <c r="UQG3" s="55"/>
      <c r="UQH3" s="55"/>
      <c r="UQI3" s="55"/>
      <c r="UQJ3" s="55"/>
      <c r="UQK3" s="55"/>
      <c r="UQL3" s="55"/>
      <c r="UQM3" s="55"/>
      <c r="UQN3" s="55"/>
      <c r="UQO3" s="55"/>
      <c r="UQP3" s="55"/>
      <c r="UQQ3" s="55"/>
      <c r="UQR3" s="55"/>
      <c r="UQS3" s="55"/>
      <c r="UQT3" s="55"/>
      <c r="UQU3" s="55"/>
      <c r="UQV3" s="55"/>
      <c r="UQW3" s="55"/>
      <c r="UQX3" s="55"/>
      <c r="UQY3" s="55"/>
      <c r="UQZ3" s="55"/>
      <c r="URA3" s="55"/>
      <c r="URB3" s="55"/>
      <c r="URC3" s="55"/>
      <c r="URD3" s="55"/>
      <c r="URE3" s="55"/>
      <c r="URF3" s="55"/>
      <c r="URG3" s="55"/>
      <c r="URH3" s="55"/>
      <c r="URI3" s="55"/>
      <c r="URJ3" s="55"/>
      <c r="URK3" s="55"/>
      <c r="URL3" s="55"/>
      <c r="URM3" s="55"/>
      <c r="URN3" s="55"/>
      <c r="URO3" s="55"/>
      <c r="URP3" s="55"/>
      <c r="URQ3" s="55"/>
      <c r="URR3" s="55"/>
      <c r="URS3" s="55"/>
      <c r="URT3" s="55"/>
      <c r="URU3" s="55"/>
      <c r="URV3" s="55"/>
      <c r="URW3" s="55"/>
      <c r="URX3" s="55"/>
      <c r="URY3" s="55"/>
      <c r="URZ3" s="55"/>
      <c r="USA3" s="55"/>
      <c r="USB3" s="55"/>
      <c r="USC3" s="55"/>
      <c r="USD3" s="55"/>
      <c r="USE3" s="55"/>
      <c r="USF3" s="55"/>
      <c r="USG3" s="55"/>
      <c r="USH3" s="55"/>
      <c r="USI3" s="55"/>
      <c r="USJ3" s="55"/>
      <c r="USK3" s="55"/>
      <c r="USL3" s="55"/>
      <c r="USM3" s="55"/>
      <c r="USN3" s="55"/>
      <c r="USO3" s="55"/>
      <c r="USP3" s="55"/>
      <c r="USQ3" s="55"/>
      <c r="USR3" s="55"/>
      <c r="USS3" s="55"/>
      <c r="UST3" s="55"/>
      <c r="USU3" s="55"/>
      <c r="USV3" s="55"/>
      <c r="USW3" s="55"/>
      <c r="USX3" s="55"/>
      <c r="USY3" s="55"/>
      <c r="USZ3" s="55"/>
      <c r="UTA3" s="55"/>
      <c r="UTB3" s="55"/>
      <c r="UTC3" s="55"/>
      <c r="UTD3" s="55"/>
      <c r="UTE3" s="55"/>
      <c r="UTF3" s="55"/>
      <c r="UTG3" s="55"/>
      <c r="UTH3" s="55"/>
      <c r="UTI3" s="55"/>
      <c r="UTJ3" s="55"/>
      <c r="UTK3" s="55"/>
      <c r="UTL3" s="55"/>
      <c r="UTM3" s="55"/>
      <c r="UTN3" s="55"/>
      <c r="UTO3" s="55"/>
      <c r="UTP3" s="55"/>
      <c r="UTQ3" s="55"/>
      <c r="UTR3" s="55"/>
      <c r="UTS3" s="55"/>
      <c r="UTT3" s="55"/>
      <c r="UTU3" s="55"/>
      <c r="UTV3" s="55"/>
      <c r="UTW3" s="55"/>
      <c r="UTX3" s="55"/>
      <c r="UTY3" s="55"/>
      <c r="UTZ3" s="55"/>
      <c r="UUA3" s="55"/>
      <c r="UUB3" s="55"/>
      <c r="UUC3" s="55"/>
      <c r="UUD3" s="55"/>
      <c r="UUE3" s="55"/>
      <c r="UUF3" s="55"/>
      <c r="UUG3" s="55"/>
      <c r="UUH3" s="55"/>
      <c r="UUI3" s="55"/>
      <c r="UUJ3" s="55"/>
      <c r="UUK3" s="55"/>
      <c r="UUL3" s="55"/>
      <c r="UUM3" s="55"/>
      <c r="UUN3" s="55"/>
      <c r="UUO3" s="55"/>
      <c r="UUP3" s="55"/>
      <c r="UUQ3" s="55"/>
      <c r="UUR3" s="55"/>
      <c r="UUS3" s="55"/>
      <c r="UUT3" s="55"/>
      <c r="UUU3" s="55"/>
      <c r="UUV3" s="55"/>
      <c r="UUW3" s="55"/>
      <c r="UUX3" s="55"/>
      <c r="UUY3" s="55"/>
      <c r="UUZ3" s="55"/>
      <c r="UVA3" s="55"/>
      <c r="UVB3" s="55"/>
      <c r="UVC3" s="55"/>
      <c r="UVD3" s="55"/>
      <c r="UVE3" s="55"/>
      <c r="UVF3" s="55"/>
      <c r="UVG3" s="55"/>
      <c r="UVH3" s="55"/>
      <c r="UVI3" s="55"/>
      <c r="UVJ3" s="55"/>
      <c r="UVK3" s="55"/>
      <c r="UVL3" s="55"/>
      <c r="UVM3" s="55"/>
      <c r="UVN3" s="55"/>
      <c r="UVO3" s="55"/>
      <c r="UVP3" s="55"/>
      <c r="UVQ3" s="55"/>
      <c r="UVR3" s="55"/>
      <c r="UVS3" s="55"/>
      <c r="UVT3" s="55"/>
      <c r="UVU3" s="55"/>
      <c r="UVV3" s="55"/>
      <c r="UVW3" s="55"/>
      <c r="UVX3" s="55"/>
      <c r="UVY3" s="55"/>
      <c r="UVZ3" s="55"/>
      <c r="UWA3" s="55"/>
      <c r="UWB3" s="55"/>
      <c r="UWC3" s="55"/>
      <c r="UWD3" s="55"/>
      <c r="UWE3" s="55"/>
      <c r="UWF3" s="55"/>
      <c r="UWG3" s="55"/>
      <c r="UWH3" s="55"/>
      <c r="UWI3" s="55"/>
      <c r="UWJ3" s="55"/>
      <c r="UWK3" s="55"/>
      <c r="UWL3" s="55"/>
      <c r="UWM3" s="55"/>
      <c r="UWN3" s="55"/>
      <c r="UWO3" s="55"/>
      <c r="UWP3" s="55"/>
      <c r="UWQ3" s="55"/>
      <c r="UWR3" s="55"/>
      <c r="UWS3" s="55"/>
      <c r="UWT3" s="55"/>
      <c r="UWU3" s="55"/>
      <c r="UWV3" s="55"/>
      <c r="UWW3" s="55"/>
      <c r="UWX3" s="55"/>
      <c r="UWY3" s="55"/>
      <c r="UWZ3" s="55"/>
      <c r="UXA3" s="55"/>
      <c r="UXB3" s="55"/>
      <c r="UXC3" s="55"/>
      <c r="UXD3" s="55"/>
      <c r="UXE3" s="55"/>
      <c r="UXF3" s="55"/>
      <c r="UXG3" s="55"/>
      <c r="UXH3" s="55"/>
      <c r="UXI3" s="55"/>
      <c r="UXJ3" s="55"/>
      <c r="UXK3" s="55"/>
      <c r="UXL3" s="55"/>
      <c r="UXM3" s="55"/>
      <c r="UXN3" s="55"/>
      <c r="UXO3" s="55"/>
      <c r="UXP3" s="55"/>
      <c r="UXQ3" s="55"/>
      <c r="UXR3" s="55"/>
      <c r="UXS3" s="55"/>
      <c r="UXT3" s="55"/>
      <c r="UXU3" s="55"/>
      <c r="UXV3" s="55"/>
      <c r="UXW3" s="55"/>
      <c r="UXX3" s="55"/>
      <c r="UXY3" s="55"/>
      <c r="UXZ3" s="55"/>
      <c r="UYA3" s="55"/>
      <c r="UYB3" s="55"/>
      <c r="UYC3" s="55"/>
      <c r="UYD3" s="55"/>
      <c r="UYE3" s="55"/>
      <c r="UYF3" s="55"/>
      <c r="UYG3" s="55"/>
      <c r="UYH3" s="55"/>
      <c r="UYI3" s="55"/>
      <c r="UYJ3" s="55"/>
      <c r="UYK3" s="55"/>
      <c r="UYL3" s="55"/>
      <c r="UYM3" s="55"/>
      <c r="UYN3" s="55"/>
      <c r="UYO3" s="55"/>
      <c r="UYP3" s="55"/>
      <c r="UYQ3" s="55"/>
      <c r="UYR3" s="55"/>
      <c r="UYS3" s="55"/>
      <c r="UYT3" s="55"/>
      <c r="UYU3" s="55"/>
      <c r="UYV3" s="55"/>
      <c r="UYW3" s="55"/>
      <c r="UYX3" s="55"/>
      <c r="UYY3" s="55"/>
      <c r="UYZ3" s="55"/>
      <c r="UZA3" s="55"/>
      <c r="UZB3" s="55"/>
      <c r="UZC3" s="55"/>
      <c r="UZD3" s="55"/>
      <c r="UZE3" s="55"/>
      <c r="UZF3" s="55"/>
      <c r="UZG3" s="55"/>
      <c r="UZH3" s="55"/>
      <c r="UZI3" s="55"/>
      <c r="UZJ3" s="55"/>
      <c r="UZK3" s="55"/>
      <c r="UZL3" s="55"/>
      <c r="UZM3" s="55"/>
      <c r="UZN3" s="55"/>
      <c r="UZO3" s="55"/>
      <c r="UZP3" s="55"/>
      <c r="UZQ3" s="55"/>
      <c r="UZR3" s="55"/>
      <c r="UZS3" s="55"/>
      <c r="UZT3" s="55"/>
      <c r="UZU3" s="55"/>
      <c r="UZV3" s="55"/>
      <c r="UZW3" s="55"/>
      <c r="UZX3" s="55"/>
      <c r="UZY3" s="55"/>
      <c r="UZZ3" s="55"/>
      <c r="VAA3" s="55"/>
      <c r="VAB3" s="55"/>
      <c r="VAC3" s="55"/>
      <c r="VAD3" s="55"/>
      <c r="VAE3" s="55"/>
      <c r="VAF3" s="55"/>
      <c r="VAG3" s="55"/>
      <c r="VAH3" s="55"/>
      <c r="VAI3" s="55"/>
      <c r="VAJ3" s="55"/>
      <c r="VAK3" s="55"/>
      <c r="VAL3" s="55"/>
      <c r="VAM3" s="55"/>
      <c r="VAN3" s="55"/>
      <c r="VAO3" s="55"/>
      <c r="VAP3" s="55"/>
      <c r="VAQ3" s="55"/>
      <c r="VAR3" s="55"/>
      <c r="VAS3" s="55"/>
      <c r="VAT3" s="55"/>
      <c r="VAU3" s="55"/>
      <c r="VAV3" s="55"/>
      <c r="VAW3" s="55"/>
      <c r="VAX3" s="55"/>
      <c r="VAY3" s="55"/>
      <c r="VAZ3" s="55"/>
      <c r="VBA3" s="55"/>
      <c r="VBB3" s="55"/>
      <c r="VBC3" s="55"/>
      <c r="VBD3" s="55"/>
      <c r="VBE3" s="55"/>
      <c r="VBF3" s="55"/>
      <c r="VBG3" s="55"/>
      <c r="VBH3" s="55"/>
      <c r="VBI3" s="55"/>
      <c r="VBJ3" s="55"/>
      <c r="VBK3" s="55"/>
      <c r="VBL3" s="55"/>
      <c r="VBM3" s="55"/>
      <c r="VBN3" s="55"/>
      <c r="VBO3" s="55"/>
      <c r="VBP3" s="55"/>
      <c r="VBQ3" s="55"/>
      <c r="VBR3" s="55"/>
      <c r="VBS3" s="55"/>
      <c r="VBT3" s="55"/>
      <c r="VBU3" s="55"/>
      <c r="VBV3" s="55"/>
      <c r="VBW3" s="55"/>
      <c r="VBX3" s="55"/>
      <c r="VBY3" s="55"/>
      <c r="VBZ3" s="55"/>
      <c r="VCA3" s="55"/>
      <c r="VCB3" s="55"/>
      <c r="VCC3" s="55"/>
      <c r="VCD3" s="55"/>
      <c r="VCE3" s="55"/>
      <c r="VCF3" s="55"/>
      <c r="VCG3" s="55"/>
      <c r="VCH3" s="55"/>
      <c r="VCI3" s="55"/>
      <c r="VCJ3" s="55"/>
      <c r="VCK3" s="55"/>
      <c r="VCL3" s="55"/>
      <c r="VCM3" s="55"/>
      <c r="VCN3" s="55"/>
      <c r="VCO3" s="55"/>
      <c r="VCP3" s="55"/>
      <c r="VCQ3" s="55"/>
      <c r="VCR3" s="55"/>
      <c r="VCS3" s="55"/>
      <c r="VCT3" s="55"/>
      <c r="VCU3" s="55"/>
      <c r="VCV3" s="55"/>
      <c r="VCW3" s="55"/>
      <c r="VCX3" s="55"/>
      <c r="VCY3" s="55"/>
      <c r="VCZ3" s="55"/>
      <c r="VDA3" s="55"/>
      <c r="VDB3" s="55"/>
      <c r="VDC3" s="55"/>
      <c r="VDD3" s="55"/>
      <c r="VDE3" s="55"/>
      <c r="VDF3" s="55"/>
      <c r="VDG3" s="55"/>
      <c r="VDH3" s="55"/>
      <c r="VDI3" s="55"/>
      <c r="VDJ3" s="55"/>
      <c r="VDK3" s="55"/>
      <c r="VDL3" s="55"/>
      <c r="VDM3" s="55"/>
      <c r="VDN3" s="55"/>
      <c r="VDO3" s="55"/>
      <c r="VDP3" s="55"/>
      <c r="VDQ3" s="55"/>
      <c r="VDR3" s="55"/>
      <c r="VDS3" s="55"/>
      <c r="VDT3" s="55"/>
      <c r="VDU3" s="55"/>
      <c r="VDV3" s="55"/>
      <c r="VDW3" s="55"/>
      <c r="VDX3" s="55"/>
      <c r="VDY3" s="55"/>
      <c r="VDZ3" s="55"/>
      <c r="VEA3" s="55"/>
      <c r="VEB3" s="55"/>
      <c r="VEC3" s="55"/>
      <c r="VED3" s="55"/>
      <c r="VEE3" s="55"/>
      <c r="VEF3" s="55"/>
      <c r="VEG3" s="55"/>
      <c r="VEH3" s="55"/>
      <c r="VEI3" s="55"/>
      <c r="VEJ3" s="55"/>
      <c r="VEK3" s="55"/>
      <c r="VEL3" s="55"/>
      <c r="VEM3" s="55"/>
      <c r="VEN3" s="55"/>
      <c r="VEO3" s="55"/>
      <c r="VEP3" s="55"/>
      <c r="VEQ3" s="55"/>
      <c r="VER3" s="55"/>
      <c r="VES3" s="55"/>
      <c r="VET3" s="55"/>
      <c r="VEU3" s="55"/>
      <c r="VEV3" s="55"/>
      <c r="VEW3" s="55"/>
      <c r="VEX3" s="55"/>
      <c r="VEY3" s="55"/>
      <c r="VEZ3" s="55"/>
      <c r="VFA3" s="55"/>
      <c r="VFB3" s="55"/>
      <c r="VFC3" s="55"/>
      <c r="VFD3" s="55"/>
      <c r="VFE3" s="55"/>
      <c r="VFF3" s="55"/>
      <c r="VFG3" s="55"/>
      <c r="VFH3" s="55"/>
      <c r="VFI3" s="55"/>
      <c r="VFJ3" s="55"/>
      <c r="VFK3" s="55"/>
      <c r="VFL3" s="55"/>
      <c r="VFM3" s="55"/>
      <c r="VFN3" s="55"/>
      <c r="VFO3" s="55"/>
      <c r="VFP3" s="55"/>
      <c r="VFQ3" s="55"/>
      <c r="VFR3" s="55"/>
      <c r="VFS3" s="55"/>
      <c r="VFT3" s="55"/>
      <c r="VFU3" s="55"/>
      <c r="VFV3" s="55"/>
      <c r="VFW3" s="55"/>
      <c r="VFX3" s="55"/>
      <c r="VFY3" s="55"/>
      <c r="VFZ3" s="55"/>
      <c r="VGA3" s="55"/>
      <c r="VGB3" s="55"/>
      <c r="VGC3" s="55"/>
      <c r="VGD3" s="55"/>
      <c r="VGE3" s="55"/>
      <c r="VGF3" s="55"/>
      <c r="VGG3" s="55"/>
      <c r="VGH3" s="55"/>
      <c r="VGI3" s="55"/>
      <c r="VGJ3" s="55"/>
      <c r="VGK3" s="55"/>
      <c r="VGL3" s="55"/>
      <c r="VGM3" s="55"/>
      <c r="VGN3" s="55"/>
      <c r="VGO3" s="55"/>
      <c r="VGP3" s="55"/>
      <c r="VGQ3" s="55"/>
      <c r="VGR3" s="55"/>
      <c r="VGS3" s="55"/>
      <c r="VGT3" s="55"/>
      <c r="VGU3" s="55"/>
      <c r="VGV3" s="55"/>
      <c r="VGW3" s="55"/>
      <c r="VGX3" s="55"/>
      <c r="VGY3" s="55"/>
      <c r="VGZ3" s="55"/>
      <c r="VHA3" s="55"/>
      <c r="VHB3" s="55"/>
      <c r="VHC3" s="55"/>
      <c r="VHD3" s="55"/>
      <c r="VHE3" s="55"/>
      <c r="VHF3" s="55"/>
      <c r="VHG3" s="55"/>
      <c r="VHH3" s="55"/>
      <c r="VHI3" s="55"/>
      <c r="VHJ3" s="55"/>
      <c r="VHK3" s="55"/>
      <c r="VHL3" s="55"/>
      <c r="VHM3" s="55"/>
      <c r="VHN3" s="55"/>
      <c r="VHO3" s="55"/>
      <c r="VHP3" s="55"/>
      <c r="VHQ3" s="55"/>
      <c r="VHR3" s="55"/>
      <c r="VHS3" s="55"/>
      <c r="VHT3" s="55"/>
      <c r="VHU3" s="55"/>
      <c r="VHV3" s="55"/>
      <c r="VHW3" s="55"/>
      <c r="VHX3" s="55"/>
      <c r="VHY3" s="55"/>
      <c r="VHZ3" s="55"/>
      <c r="VIA3" s="55"/>
      <c r="VIB3" s="55"/>
      <c r="VIC3" s="55"/>
      <c r="VID3" s="55"/>
      <c r="VIE3" s="55"/>
      <c r="VIF3" s="55"/>
      <c r="VIG3" s="55"/>
      <c r="VIH3" s="55"/>
      <c r="VII3" s="55"/>
      <c r="VIJ3" s="55"/>
      <c r="VIK3" s="55"/>
      <c r="VIL3" s="55"/>
      <c r="VIM3" s="55"/>
      <c r="VIN3" s="55"/>
      <c r="VIO3" s="55"/>
      <c r="VIP3" s="55"/>
      <c r="VIQ3" s="55"/>
      <c r="VIR3" s="55"/>
      <c r="VIS3" s="55"/>
      <c r="VIT3" s="55"/>
      <c r="VIU3" s="55"/>
      <c r="VIV3" s="55"/>
      <c r="VIW3" s="55"/>
      <c r="VIX3" s="55"/>
      <c r="VIY3" s="55"/>
      <c r="VIZ3" s="55"/>
      <c r="VJA3" s="55"/>
      <c r="VJB3" s="55"/>
      <c r="VJC3" s="55"/>
      <c r="VJD3" s="55"/>
      <c r="VJE3" s="55"/>
      <c r="VJF3" s="55"/>
      <c r="VJG3" s="55"/>
      <c r="VJH3" s="55"/>
      <c r="VJI3" s="55"/>
      <c r="VJJ3" s="55"/>
      <c r="VJK3" s="55"/>
      <c r="VJL3" s="55"/>
      <c r="VJM3" s="55"/>
      <c r="VJN3" s="55"/>
      <c r="VJO3" s="55"/>
      <c r="VJP3" s="55"/>
      <c r="VJQ3" s="55"/>
      <c r="VJR3" s="55"/>
      <c r="VJS3" s="55"/>
      <c r="VJT3" s="55"/>
      <c r="VJU3" s="55"/>
      <c r="VJV3" s="55"/>
      <c r="VJW3" s="55"/>
      <c r="VJX3" s="55"/>
      <c r="VJY3" s="55"/>
      <c r="VJZ3" s="55"/>
      <c r="VKA3" s="55"/>
      <c r="VKB3" s="55"/>
      <c r="VKC3" s="55"/>
      <c r="VKD3" s="55"/>
      <c r="VKE3" s="55"/>
      <c r="VKF3" s="55"/>
      <c r="VKG3" s="55"/>
      <c r="VKH3" s="55"/>
      <c r="VKI3" s="55"/>
      <c r="VKJ3" s="55"/>
      <c r="VKK3" s="55"/>
      <c r="VKL3" s="55"/>
      <c r="VKM3" s="55"/>
      <c r="VKN3" s="55"/>
      <c r="VKO3" s="55"/>
      <c r="VKP3" s="55"/>
      <c r="VKQ3" s="55"/>
      <c r="VKR3" s="55"/>
      <c r="VKS3" s="55"/>
      <c r="VKT3" s="55"/>
      <c r="VKU3" s="55"/>
      <c r="VKV3" s="55"/>
      <c r="VKW3" s="55"/>
      <c r="VKX3" s="55"/>
      <c r="VKY3" s="55"/>
      <c r="VKZ3" s="55"/>
      <c r="VLA3" s="55"/>
      <c r="VLB3" s="55"/>
      <c r="VLC3" s="55"/>
      <c r="VLD3" s="55"/>
      <c r="VLE3" s="55"/>
      <c r="VLF3" s="55"/>
      <c r="VLG3" s="55"/>
      <c r="VLH3" s="55"/>
      <c r="VLI3" s="55"/>
      <c r="VLJ3" s="55"/>
      <c r="VLK3" s="55"/>
      <c r="VLL3" s="55"/>
      <c r="VLM3" s="55"/>
      <c r="VLN3" s="55"/>
      <c r="VLO3" s="55"/>
      <c r="VLP3" s="55"/>
      <c r="VLQ3" s="55"/>
      <c r="VLR3" s="55"/>
      <c r="VLS3" s="55"/>
      <c r="VLT3" s="55"/>
      <c r="VLU3" s="55"/>
      <c r="VLV3" s="55"/>
      <c r="VLW3" s="55"/>
      <c r="VLX3" s="55"/>
      <c r="VLY3" s="55"/>
      <c r="VLZ3" s="55"/>
      <c r="VMA3" s="55"/>
      <c r="VMB3" s="55"/>
      <c r="VMC3" s="55"/>
      <c r="VMD3" s="55"/>
      <c r="VME3" s="55"/>
      <c r="VMF3" s="55"/>
      <c r="VMG3" s="55"/>
      <c r="VMH3" s="55"/>
      <c r="VMI3" s="55"/>
      <c r="VMJ3" s="55"/>
      <c r="VMK3" s="55"/>
      <c r="VML3" s="55"/>
      <c r="VMM3" s="55"/>
      <c r="VMN3" s="55"/>
      <c r="VMO3" s="55"/>
      <c r="VMP3" s="55"/>
      <c r="VMQ3" s="55"/>
      <c r="VMR3" s="55"/>
      <c r="VMS3" s="55"/>
      <c r="VMT3" s="55"/>
      <c r="VMU3" s="55"/>
      <c r="VMV3" s="55"/>
      <c r="VMW3" s="55"/>
      <c r="VMX3" s="55"/>
      <c r="VMY3" s="55"/>
      <c r="VMZ3" s="55"/>
      <c r="VNA3" s="55"/>
      <c r="VNB3" s="55"/>
      <c r="VNC3" s="55"/>
      <c r="VND3" s="55"/>
      <c r="VNE3" s="55"/>
      <c r="VNF3" s="55"/>
      <c r="VNG3" s="55"/>
      <c r="VNH3" s="55"/>
      <c r="VNI3" s="55"/>
      <c r="VNJ3" s="55"/>
      <c r="VNK3" s="55"/>
      <c r="VNL3" s="55"/>
      <c r="VNM3" s="55"/>
      <c r="VNN3" s="55"/>
      <c r="VNO3" s="55"/>
      <c r="VNP3" s="55"/>
      <c r="VNQ3" s="55"/>
      <c r="VNR3" s="55"/>
      <c r="VNS3" s="55"/>
      <c r="VNT3" s="55"/>
      <c r="VNU3" s="55"/>
      <c r="VNV3" s="55"/>
      <c r="VNW3" s="55"/>
      <c r="VNX3" s="55"/>
      <c r="VNY3" s="55"/>
      <c r="VNZ3" s="55"/>
      <c r="VOA3" s="55"/>
      <c r="VOB3" s="55"/>
      <c r="VOC3" s="55"/>
      <c r="VOD3" s="55"/>
      <c r="VOE3" s="55"/>
      <c r="VOF3" s="55"/>
      <c r="VOG3" s="55"/>
      <c r="VOH3" s="55"/>
      <c r="VOI3" s="55"/>
      <c r="VOJ3" s="55"/>
      <c r="VOK3" s="55"/>
      <c r="VOL3" s="55"/>
      <c r="VOM3" s="55"/>
      <c r="VON3" s="55"/>
      <c r="VOO3" s="55"/>
      <c r="VOP3" s="55"/>
      <c r="VOQ3" s="55"/>
      <c r="VOR3" s="55"/>
      <c r="VOS3" s="55"/>
      <c r="VOT3" s="55"/>
      <c r="VOU3" s="55"/>
      <c r="VOV3" s="55"/>
      <c r="VOW3" s="55"/>
      <c r="VOX3" s="55"/>
      <c r="VOY3" s="55"/>
      <c r="VOZ3" s="55"/>
      <c r="VPA3" s="55"/>
      <c r="VPB3" s="55"/>
      <c r="VPC3" s="55"/>
      <c r="VPD3" s="55"/>
      <c r="VPE3" s="55"/>
      <c r="VPF3" s="55"/>
      <c r="VPG3" s="55"/>
      <c r="VPH3" s="55"/>
      <c r="VPI3" s="55"/>
      <c r="VPJ3" s="55"/>
      <c r="VPK3" s="55"/>
      <c r="VPL3" s="55"/>
      <c r="VPM3" s="55"/>
      <c r="VPN3" s="55"/>
      <c r="VPO3" s="55"/>
      <c r="VPP3" s="55"/>
      <c r="VPQ3" s="55"/>
      <c r="VPR3" s="55"/>
      <c r="VPS3" s="55"/>
      <c r="VPT3" s="55"/>
      <c r="VPU3" s="55"/>
      <c r="VPV3" s="55"/>
      <c r="VPW3" s="55"/>
      <c r="VPX3" s="55"/>
      <c r="VPY3" s="55"/>
      <c r="VPZ3" s="55"/>
      <c r="VQA3" s="55"/>
      <c r="VQB3" s="55"/>
      <c r="VQC3" s="55"/>
      <c r="VQD3" s="55"/>
      <c r="VQE3" s="55"/>
      <c r="VQF3" s="55"/>
      <c r="VQG3" s="55"/>
      <c r="VQH3" s="55"/>
      <c r="VQI3" s="55"/>
      <c r="VQJ3" s="55"/>
      <c r="VQK3" s="55"/>
      <c r="VQL3" s="55"/>
      <c r="VQM3" s="55"/>
      <c r="VQN3" s="55"/>
      <c r="VQO3" s="55"/>
      <c r="VQP3" s="55"/>
      <c r="VQQ3" s="55"/>
      <c r="VQR3" s="55"/>
      <c r="VQS3" s="55"/>
      <c r="VQT3" s="55"/>
      <c r="VQU3" s="55"/>
      <c r="VQV3" s="55"/>
      <c r="VQW3" s="55"/>
      <c r="VQX3" s="55"/>
      <c r="VQY3" s="55"/>
      <c r="VQZ3" s="55"/>
      <c r="VRA3" s="55"/>
      <c r="VRB3" s="55"/>
      <c r="VRC3" s="55"/>
      <c r="VRD3" s="55"/>
      <c r="VRE3" s="55"/>
      <c r="VRF3" s="55"/>
      <c r="VRG3" s="55"/>
      <c r="VRH3" s="55"/>
      <c r="VRI3" s="55"/>
      <c r="VRJ3" s="55"/>
      <c r="VRK3" s="55"/>
      <c r="VRL3" s="55"/>
      <c r="VRM3" s="55"/>
      <c r="VRN3" s="55"/>
      <c r="VRO3" s="55"/>
      <c r="VRP3" s="55"/>
      <c r="VRQ3" s="55"/>
      <c r="VRR3" s="55"/>
      <c r="VRS3" s="55"/>
      <c r="VRT3" s="55"/>
      <c r="VRU3" s="55"/>
      <c r="VRV3" s="55"/>
      <c r="VRW3" s="55"/>
      <c r="VRX3" s="55"/>
      <c r="VRY3" s="55"/>
      <c r="VRZ3" s="55"/>
      <c r="VSA3" s="55"/>
      <c r="VSB3" s="55"/>
      <c r="VSC3" s="55"/>
      <c r="VSD3" s="55"/>
      <c r="VSE3" s="55"/>
      <c r="VSF3" s="55"/>
      <c r="VSG3" s="55"/>
      <c r="VSH3" s="55"/>
      <c r="VSI3" s="55"/>
      <c r="VSJ3" s="55"/>
      <c r="VSK3" s="55"/>
      <c r="VSL3" s="55"/>
      <c r="VSM3" s="55"/>
      <c r="VSN3" s="55"/>
      <c r="VSO3" s="55"/>
      <c r="VSP3" s="55"/>
      <c r="VSQ3" s="55"/>
      <c r="VSR3" s="55"/>
      <c r="VSS3" s="55"/>
      <c r="VST3" s="55"/>
      <c r="VSU3" s="55"/>
      <c r="VSV3" s="55"/>
      <c r="VSW3" s="55"/>
      <c r="VSX3" s="55"/>
      <c r="VSY3" s="55"/>
      <c r="VSZ3" s="55"/>
      <c r="VTA3" s="55"/>
      <c r="VTB3" s="55"/>
      <c r="VTC3" s="55"/>
      <c r="VTD3" s="55"/>
      <c r="VTE3" s="55"/>
      <c r="VTF3" s="55"/>
      <c r="VTG3" s="55"/>
      <c r="VTH3" s="55"/>
      <c r="VTI3" s="55"/>
      <c r="VTJ3" s="55"/>
      <c r="VTK3" s="55"/>
      <c r="VTL3" s="55"/>
      <c r="VTM3" s="55"/>
      <c r="VTN3" s="55"/>
      <c r="VTO3" s="55"/>
      <c r="VTP3" s="55"/>
      <c r="VTQ3" s="55"/>
      <c r="VTR3" s="55"/>
      <c r="VTS3" s="55"/>
      <c r="VTT3" s="55"/>
      <c r="VTU3" s="55"/>
      <c r="VTV3" s="55"/>
      <c r="VTW3" s="55"/>
      <c r="VTX3" s="55"/>
      <c r="VTY3" s="55"/>
      <c r="VTZ3" s="55"/>
      <c r="VUA3" s="55"/>
      <c r="VUB3" s="55"/>
      <c r="VUC3" s="55"/>
      <c r="VUD3" s="55"/>
      <c r="VUE3" s="55"/>
      <c r="VUF3" s="55"/>
      <c r="VUG3" s="55"/>
      <c r="VUH3" s="55"/>
      <c r="VUI3" s="55"/>
      <c r="VUJ3" s="55"/>
      <c r="VUK3" s="55"/>
      <c r="VUL3" s="55"/>
      <c r="VUM3" s="55"/>
      <c r="VUN3" s="55"/>
      <c r="VUO3" s="55"/>
      <c r="VUP3" s="55"/>
      <c r="VUQ3" s="55"/>
      <c r="VUR3" s="55"/>
      <c r="VUS3" s="55"/>
      <c r="VUT3" s="55"/>
      <c r="VUU3" s="55"/>
      <c r="VUV3" s="55"/>
      <c r="VUW3" s="55"/>
      <c r="VUX3" s="55"/>
      <c r="VUY3" s="55"/>
      <c r="VUZ3" s="55"/>
      <c r="VVA3" s="55"/>
      <c r="VVB3" s="55"/>
      <c r="VVC3" s="55"/>
      <c r="VVD3" s="55"/>
      <c r="VVE3" s="55"/>
      <c r="VVF3" s="55"/>
      <c r="VVG3" s="55"/>
      <c r="VVH3" s="55"/>
      <c r="VVI3" s="55"/>
      <c r="VVJ3" s="55"/>
      <c r="VVK3" s="55"/>
      <c r="VVL3" s="55"/>
      <c r="VVM3" s="55"/>
      <c r="VVN3" s="55"/>
      <c r="VVO3" s="55"/>
      <c r="VVP3" s="55"/>
      <c r="VVQ3" s="55"/>
      <c r="VVR3" s="55"/>
      <c r="VVS3" s="55"/>
      <c r="VVT3" s="55"/>
      <c r="VVU3" s="55"/>
      <c r="VVV3" s="55"/>
      <c r="VVW3" s="55"/>
      <c r="VVX3" s="55"/>
      <c r="VVY3" s="55"/>
      <c r="VVZ3" s="55"/>
      <c r="VWA3" s="55"/>
      <c r="VWB3" s="55"/>
      <c r="VWC3" s="55"/>
      <c r="VWD3" s="55"/>
      <c r="VWE3" s="55"/>
      <c r="VWF3" s="55"/>
      <c r="VWG3" s="55"/>
      <c r="VWH3" s="55"/>
      <c r="VWI3" s="55"/>
      <c r="VWJ3" s="55"/>
      <c r="VWK3" s="55"/>
      <c r="VWL3" s="55"/>
      <c r="VWM3" s="55"/>
      <c r="VWN3" s="55"/>
      <c r="VWO3" s="55"/>
      <c r="VWP3" s="55"/>
      <c r="VWQ3" s="55"/>
      <c r="VWR3" s="55"/>
      <c r="VWS3" s="55"/>
      <c r="VWT3" s="55"/>
      <c r="VWU3" s="55"/>
      <c r="VWV3" s="55"/>
      <c r="VWW3" s="55"/>
      <c r="VWX3" s="55"/>
      <c r="VWY3" s="55"/>
      <c r="VWZ3" s="55"/>
      <c r="VXA3" s="55"/>
      <c r="VXB3" s="55"/>
      <c r="VXC3" s="55"/>
      <c r="VXD3" s="55"/>
      <c r="VXE3" s="55"/>
      <c r="VXF3" s="55"/>
      <c r="VXG3" s="55"/>
      <c r="VXH3" s="55"/>
      <c r="VXI3" s="55"/>
      <c r="VXJ3" s="55"/>
      <c r="VXK3" s="55"/>
      <c r="VXL3" s="55"/>
      <c r="VXM3" s="55"/>
      <c r="VXN3" s="55"/>
      <c r="VXO3" s="55"/>
      <c r="VXP3" s="55"/>
      <c r="VXQ3" s="55"/>
      <c r="VXR3" s="55"/>
      <c r="VXS3" s="55"/>
      <c r="VXT3" s="55"/>
      <c r="VXU3" s="55"/>
      <c r="VXV3" s="55"/>
      <c r="VXW3" s="55"/>
      <c r="VXX3" s="55"/>
      <c r="VXY3" s="55"/>
      <c r="VXZ3" s="55"/>
      <c r="VYA3" s="55"/>
      <c r="VYB3" s="55"/>
      <c r="VYC3" s="55"/>
      <c r="VYD3" s="55"/>
      <c r="VYE3" s="55"/>
      <c r="VYF3" s="55"/>
      <c r="VYG3" s="55"/>
      <c r="VYH3" s="55"/>
      <c r="VYI3" s="55"/>
      <c r="VYJ3" s="55"/>
      <c r="VYK3" s="55"/>
      <c r="VYL3" s="55"/>
      <c r="VYM3" s="55"/>
      <c r="VYN3" s="55"/>
      <c r="VYO3" s="55"/>
      <c r="VYP3" s="55"/>
      <c r="VYQ3" s="55"/>
      <c r="VYR3" s="55"/>
      <c r="VYS3" s="55"/>
      <c r="VYT3" s="55"/>
      <c r="VYU3" s="55"/>
      <c r="VYV3" s="55"/>
      <c r="VYW3" s="55"/>
      <c r="VYX3" s="55"/>
      <c r="VYY3" s="55"/>
      <c r="VYZ3" s="55"/>
      <c r="VZA3" s="55"/>
      <c r="VZB3" s="55"/>
      <c r="VZC3" s="55"/>
      <c r="VZD3" s="55"/>
      <c r="VZE3" s="55"/>
      <c r="VZF3" s="55"/>
      <c r="VZG3" s="55"/>
      <c r="VZH3" s="55"/>
      <c r="VZI3" s="55"/>
      <c r="VZJ3" s="55"/>
      <c r="VZK3" s="55"/>
      <c r="VZL3" s="55"/>
      <c r="VZM3" s="55"/>
      <c r="VZN3" s="55"/>
      <c r="VZO3" s="55"/>
      <c r="VZP3" s="55"/>
      <c r="VZQ3" s="55"/>
      <c r="VZR3" s="55"/>
      <c r="VZS3" s="55"/>
      <c r="VZT3" s="55"/>
      <c r="VZU3" s="55"/>
      <c r="VZV3" s="55"/>
      <c r="VZW3" s="55"/>
      <c r="VZX3" s="55"/>
      <c r="VZY3" s="55"/>
      <c r="VZZ3" s="55"/>
      <c r="WAA3" s="55"/>
      <c r="WAB3" s="55"/>
      <c r="WAC3" s="55"/>
      <c r="WAD3" s="55"/>
      <c r="WAE3" s="55"/>
      <c r="WAF3" s="55"/>
      <c r="WAG3" s="55"/>
      <c r="WAH3" s="55"/>
      <c r="WAI3" s="55"/>
      <c r="WAJ3" s="55"/>
      <c r="WAK3" s="55"/>
      <c r="WAL3" s="55"/>
      <c r="WAM3" s="55"/>
      <c r="WAN3" s="55"/>
      <c r="WAO3" s="55"/>
      <c r="WAP3" s="55"/>
      <c r="WAQ3" s="55"/>
      <c r="WAR3" s="55"/>
      <c r="WAS3" s="55"/>
      <c r="WAT3" s="55"/>
      <c r="WAU3" s="55"/>
      <c r="WAV3" s="55"/>
      <c r="WAW3" s="55"/>
      <c r="WAX3" s="55"/>
      <c r="WAY3" s="55"/>
      <c r="WAZ3" s="55"/>
      <c r="WBA3" s="55"/>
      <c r="WBB3" s="55"/>
      <c r="WBC3" s="55"/>
      <c r="WBD3" s="55"/>
      <c r="WBE3" s="55"/>
      <c r="WBF3" s="55"/>
      <c r="WBG3" s="55"/>
      <c r="WBH3" s="55"/>
      <c r="WBI3" s="55"/>
      <c r="WBJ3" s="55"/>
      <c r="WBK3" s="55"/>
      <c r="WBL3" s="55"/>
      <c r="WBM3" s="55"/>
      <c r="WBN3" s="55"/>
      <c r="WBO3" s="55"/>
      <c r="WBP3" s="55"/>
      <c r="WBQ3" s="55"/>
      <c r="WBR3" s="55"/>
      <c r="WBS3" s="55"/>
      <c r="WBT3" s="55"/>
      <c r="WBU3" s="55"/>
      <c r="WBV3" s="55"/>
      <c r="WBW3" s="55"/>
      <c r="WBX3" s="55"/>
      <c r="WBY3" s="55"/>
      <c r="WBZ3" s="55"/>
      <c r="WCA3" s="55"/>
      <c r="WCB3" s="55"/>
      <c r="WCC3" s="55"/>
      <c r="WCD3" s="55"/>
      <c r="WCE3" s="55"/>
      <c r="WCF3" s="55"/>
      <c r="WCG3" s="55"/>
      <c r="WCH3" s="55"/>
      <c r="WCI3" s="55"/>
      <c r="WCJ3" s="55"/>
      <c r="WCK3" s="55"/>
      <c r="WCL3" s="55"/>
      <c r="WCM3" s="55"/>
      <c r="WCN3" s="55"/>
      <c r="WCO3" s="55"/>
      <c r="WCP3" s="55"/>
      <c r="WCQ3" s="55"/>
      <c r="WCR3" s="55"/>
      <c r="WCS3" s="55"/>
      <c r="WCT3" s="55"/>
      <c r="WCU3" s="55"/>
      <c r="WCV3" s="55"/>
      <c r="WCW3" s="55"/>
      <c r="WCX3" s="55"/>
      <c r="WCY3" s="55"/>
      <c r="WCZ3" s="55"/>
      <c r="WDA3" s="55"/>
      <c r="WDB3" s="55"/>
      <c r="WDC3" s="55"/>
      <c r="WDD3" s="55"/>
      <c r="WDE3" s="55"/>
      <c r="WDF3" s="55"/>
      <c r="WDG3" s="55"/>
      <c r="WDH3" s="55"/>
      <c r="WDI3" s="55"/>
      <c r="WDJ3" s="55"/>
      <c r="WDK3" s="55"/>
      <c r="WDL3" s="55"/>
      <c r="WDM3" s="55"/>
      <c r="WDN3" s="55"/>
      <c r="WDO3" s="55"/>
      <c r="WDP3" s="55"/>
      <c r="WDQ3" s="55"/>
      <c r="WDR3" s="55"/>
      <c r="WDS3" s="55"/>
      <c r="WDT3" s="55"/>
      <c r="WDU3" s="55"/>
      <c r="WDV3" s="55"/>
      <c r="WDW3" s="55"/>
      <c r="WDX3" s="55"/>
      <c r="WDY3" s="55"/>
      <c r="WDZ3" s="55"/>
      <c r="WEA3" s="55"/>
      <c r="WEB3" s="55"/>
      <c r="WEC3" s="55"/>
      <c r="WED3" s="55"/>
      <c r="WEE3" s="55"/>
      <c r="WEF3" s="55"/>
      <c r="WEG3" s="55"/>
      <c r="WEH3" s="55"/>
      <c r="WEI3" s="55"/>
      <c r="WEJ3" s="55"/>
      <c r="WEK3" s="55"/>
      <c r="WEL3" s="55"/>
      <c r="WEM3" s="55"/>
      <c r="WEN3" s="55"/>
      <c r="WEO3" s="55"/>
      <c r="WEP3" s="55"/>
      <c r="WEQ3" s="55"/>
      <c r="WER3" s="55"/>
      <c r="WES3" s="55"/>
      <c r="WET3" s="55"/>
      <c r="WEU3" s="55"/>
      <c r="WEV3" s="55"/>
      <c r="WEW3" s="55"/>
      <c r="WEX3" s="55"/>
      <c r="WEY3" s="55"/>
      <c r="WEZ3" s="55"/>
      <c r="WFA3" s="55"/>
      <c r="WFB3" s="55"/>
      <c r="WFC3" s="55"/>
      <c r="WFD3" s="55"/>
      <c r="WFE3" s="55"/>
      <c r="WFF3" s="55"/>
      <c r="WFG3" s="55"/>
      <c r="WFH3" s="55"/>
      <c r="WFI3" s="55"/>
      <c r="WFJ3" s="55"/>
      <c r="WFK3" s="55"/>
      <c r="WFL3" s="55"/>
      <c r="WFM3" s="55"/>
      <c r="WFN3" s="55"/>
      <c r="WFO3" s="55"/>
      <c r="WFP3" s="55"/>
      <c r="WFQ3" s="55"/>
      <c r="WFR3" s="55"/>
      <c r="WFS3" s="55"/>
      <c r="WFT3" s="55"/>
      <c r="WFU3" s="55"/>
      <c r="WFV3" s="55"/>
      <c r="WFW3" s="55"/>
      <c r="WFX3" s="55"/>
      <c r="WFY3" s="55"/>
      <c r="WFZ3" s="55"/>
      <c r="WGA3" s="55"/>
      <c r="WGB3" s="55"/>
      <c r="WGC3" s="55"/>
      <c r="WGD3" s="55"/>
      <c r="WGE3" s="55"/>
      <c r="WGF3" s="55"/>
      <c r="WGG3" s="55"/>
      <c r="WGH3" s="55"/>
      <c r="WGI3" s="55"/>
      <c r="WGJ3" s="55"/>
      <c r="WGK3" s="55"/>
      <c r="WGL3" s="55"/>
      <c r="WGM3" s="55"/>
      <c r="WGN3" s="55"/>
      <c r="WGO3" s="55"/>
      <c r="WGP3" s="55"/>
      <c r="WGQ3" s="55"/>
      <c r="WGR3" s="55"/>
      <c r="WGS3" s="55"/>
      <c r="WGT3" s="55"/>
      <c r="WGU3" s="55"/>
      <c r="WGV3" s="55"/>
      <c r="WGW3" s="55"/>
      <c r="WGX3" s="55"/>
      <c r="WGY3" s="55"/>
      <c r="WGZ3" s="55"/>
      <c r="WHA3" s="55"/>
      <c r="WHB3" s="55"/>
      <c r="WHC3" s="55"/>
      <c r="WHD3" s="55"/>
      <c r="WHE3" s="55"/>
      <c r="WHF3" s="55"/>
      <c r="WHG3" s="55"/>
      <c r="WHH3" s="55"/>
      <c r="WHI3" s="55"/>
      <c r="WHJ3" s="55"/>
      <c r="WHK3" s="55"/>
      <c r="WHL3" s="55"/>
      <c r="WHM3" s="55"/>
      <c r="WHN3" s="55"/>
      <c r="WHO3" s="55"/>
      <c r="WHP3" s="55"/>
      <c r="WHQ3" s="55"/>
      <c r="WHR3" s="55"/>
      <c r="WHS3" s="55"/>
      <c r="WHT3" s="55"/>
      <c r="WHU3" s="55"/>
      <c r="WHV3" s="55"/>
      <c r="WHW3" s="55"/>
      <c r="WHX3" s="55"/>
      <c r="WHY3" s="55"/>
      <c r="WHZ3" s="55"/>
      <c r="WIA3" s="55"/>
      <c r="WIB3" s="55"/>
      <c r="WIC3" s="55"/>
      <c r="WID3" s="55"/>
      <c r="WIE3" s="55"/>
      <c r="WIF3" s="55"/>
      <c r="WIG3" s="55"/>
      <c r="WIH3" s="55"/>
      <c r="WII3" s="55"/>
      <c r="WIJ3" s="55"/>
      <c r="WIK3" s="55"/>
      <c r="WIL3" s="55"/>
      <c r="WIM3" s="55"/>
      <c r="WIN3" s="55"/>
      <c r="WIO3" s="55"/>
      <c r="WIP3" s="55"/>
      <c r="WIQ3" s="55"/>
      <c r="WIR3" s="55"/>
      <c r="WIS3" s="55"/>
      <c r="WIT3" s="55"/>
      <c r="WIU3" s="55"/>
      <c r="WIV3" s="55"/>
      <c r="WIW3" s="55"/>
      <c r="WIX3" s="55"/>
      <c r="WIY3" s="55"/>
      <c r="WIZ3" s="55"/>
      <c r="WJA3" s="55"/>
      <c r="WJB3" s="55"/>
      <c r="WJC3" s="55"/>
      <c r="WJD3" s="55"/>
      <c r="WJE3" s="55"/>
      <c r="WJF3" s="55"/>
      <c r="WJG3" s="55"/>
      <c r="WJH3" s="55"/>
      <c r="WJI3" s="55"/>
      <c r="WJJ3" s="55"/>
      <c r="WJK3" s="55"/>
      <c r="WJL3" s="55"/>
      <c r="WJM3" s="55"/>
      <c r="WJN3" s="55"/>
      <c r="WJO3" s="55"/>
      <c r="WJP3" s="55"/>
      <c r="WJQ3" s="55"/>
      <c r="WJR3" s="55"/>
      <c r="WJS3" s="55"/>
      <c r="WJT3" s="55"/>
      <c r="WJU3" s="55"/>
      <c r="WJV3" s="55"/>
      <c r="WJW3" s="55"/>
      <c r="WJX3" s="55"/>
      <c r="WJY3" s="55"/>
      <c r="WJZ3" s="55"/>
      <c r="WKA3" s="55"/>
      <c r="WKB3" s="55"/>
      <c r="WKC3" s="55"/>
      <c r="WKD3" s="55"/>
      <c r="WKE3" s="55"/>
      <c r="WKF3" s="55"/>
      <c r="WKG3" s="55"/>
      <c r="WKH3" s="55"/>
      <c r="WKI3" s="55"/>
      <c r="WKJ3" s="55"/>
      <c r="WKK3" s="55"/>
      <c r="WKL3" s="55"/>
      <c r="WKM3" s="55"/>
      <c r="WKN3" s="55"/>
      <c r="WKO3" s="55"/>
      <c r="WKP3" s="55"/>
      <c r="WKQ3" s="55"/>
      <c r="WKR3" s="55"/>
      <c r="WKS3" s="55"/>
      <c r="WKT3" s="55"/>
      <c r="WKU3" s="55"/>
      <c r="WKV3" s="55"/>
      <c r="WKW3" s="55"/>
      <c r="WKX3" s="55"/>
      <c r="WKY3" s="55"/>
      <c r="WKZ3" s="55"/>
      <c r="WLA3" s="55"/>
      <c r="WLB3" s="55"/>
      <c r="WLC3" s="55"/>
      <c r="WLD3" s="55"/>
      <c r="WLE3" s="55"/>
      <c r="WLF3" s="55"/>
      <c r="WLG3" s="55"/>
      <c r="WLH3" s="55"/>
      <c r="WLI3" s="55"/>
      <c r="WLJ3" s="55"/>
      <c r="WLK3" s="55"/>
      <c r="WLL3" s="55"/>
      <c r="WLM3" s="55"/>
      <c r="WLN3" s="55"/>
      <c r="WLO3" s="55"/>
      <c r="WLP3" s="55"/>
      <c r="WLQ3" s="55"/>
      <c r="WLR3" s="55"/>
      <c r="WLS3" s="55"/>
      <c r="WLT3" s="55"/>
      <c r="WLU3" s="55"/>
      <c r="WLV3" s="55"/>
      <c r="WLW3" s="55"/>
      <c r="WLX3" s="55"/>
      <c r="WLY3" s="55"/>
      <c r="WLZ3" s="55"/>
      <c r="WMA3" s="55"/>
      <c r="WMB3" s="55"/>
      <c r="WMC3" s="55"/>
      <c r="WMD3" s="55"/>
      <c r="WME3" s="55"/>
      <c r="WMF3" s="55"/>
      <c r="WMG3" s="55"/>
      <c r="WMH3" s="55"/>
      <c r="WMI3" s="55"/>
      <c r="WMJ3" s="55"/>
      <c r="WMK3" s="55"/>
      <c r="WML3" s="55"/>
      <c r="WMM3" s="55"/>
      <c r="WMN3" s="55"/>
      <c r="WMO3" s="55"/>
      <c r="WMP3" s="55"/>
      <c r="WMQ3" s="55"/>
      <c r="WMR3" s="55"/>
      <c r="WMS3" s="55"/>
      <c r="WMT3" s="55"/>
      <c r="WMU3" s="55"/>
      <c r="WMV3" s="55"/>
      <c r="WMW3" s="55"/>
      <c r="WMX3" s="55"/>
      <c r="WMY3" s="55"/>
      <c r="WMZ3" s="55"/>
      <c r="WNA3" s="55"/>
      <c r="WNB3" s="55"/>
      <c r="WNC3" s="55"/>
      <c r="WND3" s="55"/>
      <c r="WNE3" s="55"/>
      <c r="WNF3" s="55"/>
      <c r="WNG3" s="55"/>
      <c r="WNH3" s="55"/>
      <c r="WNI3" s="55"/>
      <c r="WNJ3" s="55"/>
      <c r="WNK3" s="55"/>
      <c r="WNL3" s="55"/>
      <c r="WNM3" s="55"/>
      <c r="WNN3" s="55"/>
      <c r="WNO3" s="55"/>
      <c r="WNP3" s="55"/>
      <c r="WNQ3" s="55"/>
      <c r="WNR3" s="55"/>
      <c r="WNS3" s="55"/>
      <c r="WNT3" s="55"/>
      <c r="WNU3" s="55"/>
      <c r="WNV3" s="55"/>
      <c r="WNW3" s="55"/>
      <c r="WNX3" s="55"/>
      <c r="WNY3" s="55"/>
      <c r="WNZ3" s="55"/>
      <c r="WOA3" s="55"/>
      <c r="WOB3" s="55"/>
      <c r="WOC3" s="55"/>
      <c r="WOD3" s="55"/>
      <c r="WOE3" s="55"/>
      <c r="WOF3" s="55"/>
      <c r="WOG3" s="55"/>
      <c r="WOH3" s="55"/>
      <c r="WOI3" s="55"/>
      <c r="WOJ3" s="55"/>
      <c r="WOK3" s="55"/>
      <c r="WOL3" s="55"/>
      <c r="WOM3" s="55"/>
      <c r="WON3" s="55"/>
      <c r="WOO3" s="55"/>
      <c r="WOP3" s="55"/>
      <c r="WOQ3" s="55"/>
      <c r="WOR3" s="55"/>
      <c r="WOS3" s="55"/>
      <c r="WOT3" s="55"/>
      <c r="WOU3" s="55"/>
      <c r="WOV3" s="55"/>
      <c r="WOW3" s="55"/>
      <c r="WOX3" s="55"/>
      <c r="WOY3" s="55"/>
      <c r="WOZ3" s="55"/>
      <c r="WPA3" s="55"/>
      <c r="WPB3" s="55"/>
      <c r="WPC3" s="55"/>
      <c r="WPD3" s="55"/>
      <c r="WPE3" s="55"/>
      <c r="WPF3" s="55"/>
      <c r="WPG3" s="55"/>
      <c r="WPH3" s="55"/>
      <c r="WPI3" s="55"/>
      <c r="WPJ3" s="55"/>
      <c r="WPK3" s="55"/>
      <c r="WPL3" s="55"/>
      <c r="WPM3" s="55"/>
      <c r="WPN3" s="55"/>
      <c r="WPO3" s="55"/>
      <c r="WPP3" s="55"/>
      <c r="WPQ3" s="55"/>
      <c r="WPR3" s="55"/>
      <c r="WPS3" s="55"/>
      <c r="WPT3" s="55"/>
      <c r="WPU3" s="55"/>
      <c r="WPV3" s="55"/>
      <c r="WPW3" s="55"/>
      <c r="WPX3" s="55"/>
      <c r="WPY3" s="55"/>
      <c r="WPZ3" s="55"/>
      <c r="WQA3" s="55"/>
      <c r="WQB3" s="55"/>
      <c r="WQC3" s="55"/>
      <c r="WQD3" s="55"/>
      <c r="WQE3" s="55"/>
      <c r="WQF3" s="55"/>
      <c r="WQG3" s="55"/>
      <c r="WQH3" s="55"/>
      <c r="WQI3" s="55"/>
      <c r="WQJ3" s="55"/>
      <c r="WQK3" s="55"/>
      <c r="WQL3" s="55"/>
      <c r="WQM3" s="55"/>
      <c r="WQN3" s="55"/>
      <c r="WQO3" s="55"/>
      <c r="WQP3" s="55"/>
      <c r="WQQ3" s="55"/>
      <c r="WQR3" s="55"/>
      <c r="WQS3" s="55"/>
      <c r="WQT3" s="55"/>
      <c r="WQU3" s="55"/>
      <c r="WQV3" s="55"/>
      <c r="WQW3" s="55"/>
      <c r="WQX3" s="55"/>
      <c r="WQY3" s="55"/>
      <c r="WQZ3" s="55"/>
      <c r="WRA3" s="55"/>
      <c r="WRB3" s="55"/>
      <c r="WRC3" s="55"/>
      <c r="WRD3" s="55"/>
      <c r="WRE3" s="55"/>
      <c r="WRF3" s="55"/>
      <c r="WRG3" s="55"/>
      <c r="WRH3" s="55"/>
      <c r="WRI3" s="55"/>
      <c r="WRJ3" s="55"/>
      <c r="WRK3" s="55"/>
      <c r="WRL3" s="55"/>
      <c r="WRM3" s="55"/>
      <c r="WRN3" s="55"/>
      <c r="WRO3" s="55"/>
      <c r="WRP3" s="55"/>
      <c r="WRQ3" s="55"/>
      <c r="WRR3" s="55"/>
      <c r="WRS3" s="55"/>
      <c r="WRT3" s="55"/>
      <c r="WRU3" s="55"/>
      <c r="WRV3" s="55"/>
      <c r="WRW3" s="55"/>
      <c r="WRX3" s="55"/>
      <c r="WRY3" s="55"/>
      <c r="WRZ3" s="55"/>
      <c r="WSA3" s="55"/>
      <c r="WSB3" s="55"/>
      <c r="WSC3" s="55"/>
      <c r="WSD3" s="55"/>
      <c r="WSE3" s="55"/>
      <c r="WSF3" s="55"/>
      <c r="WSG3" s="55"/>
      <c r="WSH3" s="55"/>
      <c r="WSI3" s="55"/>
      <c r="WSJ3" s="55"/>
      <c r="WSK3" s="55"/>
      <c r="WSL3" s="55"/>
      <c r="WSM3" s="55"/>
      <c r="WSN3" s="55"/>
      <c r="WSO3" s="55"/>
      <c r="WSP3" s="55"/>
      <c r="WSQ3" s="55"/>
      <c r="WSR3" s="55"/>
      <c r="WSS3" s="55"/>
      <c r="WST3" s="55"/>
      <c r="WSU3" s="55"/>
      <c r="WSV3" s="55"/>
      <c r="WSW3" s="55"/>
      <c r="WSX3" s="55"/>
      <c r="WSY3" s="55"/>
      <c r="WSZ3" s="55"/>
      <c r="WTA3" s="55"/>
      <c r="WTB3" s="55"/>
      <c r="WTC3" s="55"/>
      <c r="WTD3" s="55"/>
      <c r="WTE3" s="55"/>
      <c r="WTF3" s="55"/>
      <c r="WTG3" s="55"/>
      <c r="WTH3" s="55"/>
      <c r="WTI3" s="55"/>
      <c r="WTJ3" s="55"/>
      <c r="WTK3" s="55"/>
      <c r="WTL3" s="55"/>
      <c r="WTM3" s="55"/>
      <c r="WTN3" s="55"/>
      <c r="WTO3" s="55"/>
      <c r="WTP3" s="55"/>
      <c r="WTQ3" s="55"/>
      <c r="WTR3" s="55"/>
      <c r="WTS3" s="55"/>
      <c r="WTT3" s="55"/>
      <c r="WTU3" s="55"/>
      <c r="WTV3" s="55"/>
      <c r="WTW3" s="55"/>
      <c r="WTX3" s="55"/>
      <c r="WTY3" s="55"/>
      <c r="WTZ3" s="55"/>
      <c r="WUA3" s="55"/>
      <c r="WUB3" s="55"/>
      <c r="WUC3" s="55"/>
      <c r="WUD3" s="55"/>
      <c r="WUE3" s="55"/>
      <c r="WUF3" s="55"/>
      <c r="WUG3" s="55"/>
      <c r="WUH3" s="55"/>
      <c r="WUI3" s="55"/>
      <c r="WUJ3" s="55"/>
      <c r="WUK3" s="55"/>
      <c r="WUL3" s="55"/>
      <c r="WUM3" s="55"/>
      <c r="WUN3" s="55"/>
      <c r="WUO3" s="55"/>
      <c r="WUP3" s="55"/>
      <c r="WUQ3" s="55"/>
      <c r="WUR3" s="55"/>
      <c r="WUS3" s="55"/>
      <c r="WUT3" s="55"/>
      <c r="WUU3" s="55"/>
      <c r="WUV3" s="55"/>
      <c r="WUW3" s="55"/>
      <c r="WUX3" s="55"/>
      <c r="WUY3" s="55"/>
      <c r="WUZ3" s="55"/>
      <c r="WVA3" s="55"/>
      <c r="WVB3" s="55"/>
      <c r="WVC3" s="55"/>
      <c r="WVD3" s="55"/>
      <c r="WVE3" s="55"/>
      <c r="WVF3" s="55"/>
      <c r="WVG3" s="55"/>
      <c r="WVH3" s="55"/>
      <c r="WVI3" s="55"/>
      <c r="WVJ3" s="55"/>
      <c r="WVK3" s="55"/>
      <c r="WVL3" s="55"/>
      <c r="WVM3" s="55"/>
      <c r="WVN3" s="55"/>
      <c r="WVO3" s="55"/>
      <c r="WVP3" s="55"/>
      <c r="WVQ3" s="55"/>
      <c r="WVR3" s="55"/>
      <c r="WVS3" s="55"/>
      <c r="WVT3" s="55"/>
      <c r="WVU3" s="55"/>
      <c r="WVV3" s="55"/>
      <c r="WVW3" s="55"/>
      <c r="WVX3" s="55"/>
      <c r="WVY3" s="55"/>
      <c r="WVZ3" s="55"/>
      <c r="WWA3" s="55"/>
      <c r="WWB3" s="55"/>
      <c r="WWC3" s="55"/>
      <c r="WWD3" s="55"/>
      <c r="WWE3" s="55"/>
      <c r="WWF3" s="55"/>
      <c r="WWG3" s="55"/>
      <c r="WWH3" s="55"/>
      <c r="WWI3" s="55"/>
      <c r="WWJ3" s="55"/>
      <c r="WWK3" s="55"/>
      <c r="WWL3" s="55"/>
      <c r="WWM3" s="55"/>
      <c r="WWN3" s="55"/>
      <c r="WWO3" s="55"/>
      <c r="WWP3" s="55"/>
      <c r="WWQ3" s="55"/>
      <c r="WWR3" s="55"/>
      <c r="WWS3" s="55"/>
      <c r="WWT3" s="55"/>
      <c r="WWU3" s="55"/>
      <c r="WWV3" s="55"/>
      <c r="WWW3" s="55"/>
      <c r="WWX3" s="55"/>
      <c r="WWY3" s="55"/>
      <c r="WWZ3" s="55"/>
      <c r="WXA3" s="55"/>
      <c r="WXB3" s="55"/>
      <c r="WXC3" s="55"/>
      <c r="WXD3" s="55"/>
      <c r="WXE3" s="55"/>
      <c r="WXF3" s="55"/>
      <c r="WXG3" s="55"/>
      <c r="WXH3" s="55"/>
      <c r="WXI3" s="55"/>
      <c r="WXJ3" s="55"/>
      <c r="WXK3" s="55"/>
      <c r="WXL3" s="55"/>
      <c r="WXM3" s="55"/>
      <c r="WXN3" s="55"/>
      <c r="WXO3" s="55"/>
      <c r="WXP3" s="55"/>
      <c r="WXQ3" s="55"/>
      <c r="WXR3" s="55"/>
      <c r="WXS3" s="55"/>
      <c r="WXT3" s="55"/>
      <c r="WXU3" s="55"/>
      <c r="WXV3" s="55"/>
      <c r="WXW3" s="55"/>
      <c r="WXX3" s="55"/>
      <c r="WXY3" s="55"/>
      <c r="WXZ3" s="55"/>
      <c r="WYA3" s="55"/>
      <c r="WYB3" s="55"/>
      <c r="WYC3" s="55"/>
      <c r="WYD3" s="55"/>
      <c r="WYE3" s="55"/>
      <c r="WYF3" s="55"/>
      <c r="WYG3" s="55"/>
      <c r="WYH3" s="55"/>
      <c r="WYI3" s="55"/>
      <c r="WYJ3" s="55"/>
      <c r="WYK3" s="55"/>
      <c r="WYL3" s="55"/>
      <c r="WYM3" s="55"/>
      <c r="WYN3" s="55"/>
      <c r="WYO3" s="55"/>
      <c r="WYP3" s="55"/>
      <c r="WYQ3" s="55"/>
      <c r="WYR3" s="55"/>
      <c r="WYS3" s="55"/>
      <c r="WYT3" s="55"/>
      <c r="WYU3" s="55"/>
      <c r="WYV3" s="55"/>
      <c r="WYW3" s="55"/>
      <c r="WYX3" s="55"/>
      <c r="WYY3" s="55"/>
      <c r="WYZ3" s="55"/>
      <c r="WZA3" s="55"/>
      <c r="WZB3" s="55"/>
      <c r="WZC3" s="55"/>
      <c r="WZD3" s="55"/>
      <c r="WZE3" s="55"/>
      <c r="WZF3" s="55"/>
      <c r="WZG3" s="55"/>
      <c r="WZH3" s="55"/>
      <c r="WZI3" s="55"/>
      <c r="WZJ3" s="55"/>
      <c r="WZK3" s="55"/>
      <c r="WZL3" s="55"/>
      <c r="WZM3" s="55"/>
      <c r="WZN3" s="55"/>
      <c r="WZO3" s="55"/>
      <c r="WZP3" s="55"/>
      <c r="WZQ3" s="55"/>
      <c r="WZR3" s="55"/>
      <c r="WZS3" s="55"/>
      <c r="WZT3" s="55"/>
      <c r="WZU3" s="55"/>
      <c r="WZV3" s="55"/>
      <c r="WZW3" s="55"/>
      <c r="WZX3" s="55"/>
      <c r="WZY3" s="55"/>
      <c r="WZZ3" s="55"/>
      <c r="XAA3" s="55"/>
      <c r="XAB3" s="55"/>
      <c r="XAC3" s="55"/>
      <c r="XAD3" s="55"/>
      <c r="XAE3" s="55"/>
      <c r="XAF3" s="55"/>
      <c r="XAG3" s="55"/>
      <c r="XAH3" s="55"/>
      <c r="XAI3" s="55"/>
      <c r="XAJ3" s="55"/>
      <c r="XAK3" s="55"/>
      <c r="XAL3" s="55"/>
      <c r="XAM3" s="55"/>
      <c r="XAN3" s="55"/>
      <c r="XAO3" s="55"/>
      <c r="XAP3" s="55"/>
      <c r="XAQ3" s="55"/>
      <c r="XAR3" s="55"/>
      <c r="XAS3" s="55"/>
      <c r="XAT3" s="55"/>
      <c r="XAU3" s="55"/>
      <c r="XAV3" s="55"/>
      <c r="XAW3" s="55"/>
      <c r="XAX3" s="55"/>
      <c r="XAY3" s="55"/>
      <c r="XAZ3" s="55"/>
      <c r="XBA3" s="55"/>
      <c r="XBB3" s="55"/>
      <c r="XBC3" s="55"/>
      <c r="XBD3" s="55"/>
      <c r="XBE3" s="55"/>
      <c r="XBF3" s="55"/>
      <c r="XBG3" s="55"/>
      <c r="XBH3" s="55"/>
      <c r="XBI3" s="55"/>
      <c r="XBJ3" s="55"/>
      <c r="XBK3" s="55"/>
      <c r="XBL3" s="55"/>
      <c r="XBM3" s="55"/>
      <c r="XBN3" s="55"/>
      <c r="XBO3" s="55"/>
      <c r="XBP3" s="55"/>
      <c r="XBQ3" s="55"/>
      <c r="XBR3" s="55"/>
      <c r="XBS3" s="55"/>
      <c r="XBT3" s="55"/>
      <c r="XBU3" s="55"/>
      <c r="XBV3" s="55"/>
      <c r="XBW3" s="55"/>
      <c r="XBX3" s="55"/>
      <c r="XBY3" s="55"/>
      <c r="XBZ3" s="55"/>
      <c r="XCA3" s="55"/>
      <c r="XCB3" s="55"/>
      <c r="XCC3" s="55"/>
      <c r="XCD3" s="55"/>
      <c r="XCE3" s="55"/>
      <c r="XCF3" s="55"/>
      <c r="XCG3" s="55"/>
      <c r="XCH3" s="55"/>
      <c r="XCI3" s="55"/>
      <c r="XCJ3" s="55"/>
      <c r="XCK3" s="55"/>
      <c r="XCL3" s="55"/>
      <c r="XCM3" s="55"/>
      <c r="XCN3" s="55"/>
      <c r="XCO3" s="55"/>
      <c r="XCP3" s="55"/>
      <c r="XCQ3" s="55"/>
      <c r="XCR3" s="55"/>
      <c r="XCS3" s="55"/>
      <c r="XCT3" s="55"/>
      <c r="XCU3" s="55"/>
      <c r="XCV3" s="55"/>
      <c r="XCW3" s="55"/>
      <c r="XCX3" s="55"/>
      <c r="XCY3" s="55"/>
      <c r="XCZ3" s="55"/>
      <c r="XDA3" s="55"/>
      <c r="XDB3" s="55"/>
      <c r="XDC3" s="55"/>
      <c r="XDD3" s="55"/>
      <c r="XDE3" s="55"/>
      <c r="XDF3" s="55"/>
      <c r="XDG3" s="55"/>
      <c r="XDH3" s="55"/>
      <c r="XDI3" s="55"/>
      <c r="XDJ3" s="55"/>
      <c r="XDK3" s="55"/>
      <c r="XDL3" s="55"/>
      <c r="XDM3" s="55"/>
      <c r="XDN3" s="55"/>
      <c r="XDO3" s="55"/>
      <c r="XDP3" s="55"/>
      <c r="XDQ3" s="55"/>
      <c r="XDR3" s="55"/>
      <c r="XDS3" s="55"/>
      <c r="XDT3" s="55"/>
      <c r="XDU3" s="55"/>
      <c r="XDV3" s="55"/>
      <c r="XDW3" s="55"/>
      <c r="XDX3" s="55"/>
      <c r="XDY3" s="55"/>
      <c r="XDZ3" s="55"/>
      <c r="XEA3" s="55"/>
      <c r="XEB3" s="55"/>
      <c r="XEC3" s="55"/>
      <c r="XED3" s="55"/>
      <c r="XEE3" s="55"/>
      <c r="XEF3" s="55"/>
      <c r="XEG3" s="55"/>
      <c r="XEH3" s="55"/>
      <c r="XEI3" s="55"/>
      <c r="XEJ3" s="55"/>
      <c r="XEK3" s="55"/>
      <c r="XEL3" s="55"/>
      <c r="XEM3" s="55"/>
      <c r="XEN3" s="55"/>
      <c r="XEO3" s="55"/>
      <c r="XEP3" s="55"/>
      <c r="XEQ3" s="55"/>
      <c r="XER3" s="55"/>
      <c r="XES3" s="55"/>
      <c r="XET3" s="55"/>
      <c r="XEU3" s="55"/>
      <c r="XEV3" s="55"/>
      <c r="XEW3" s="55"/>
      <c r="XEX3" s="55"/>
      <c r="XEY3" s="55"/>
      <c r="XEZ3" s="55"/>
      <c r="XFA3" s="55"/>
    </row>
    <row r="4" spans="1:16381" s="1657" customFormat="1" ht="30" hidden="1" customHeight="1">
      <c r="A4" s="1667">
        <v>2</v>
      </c>
      <c r="B4" s="1670">
        <v>299</v>
      </c>
      <c r="C4" s="1670">
        <v>10809</v>
      </c>
      <c r="D4" s="1670" t="s">
        <v>77</v>
      </c>
      <c r="E4" s="1673">
        <v>65.78</v>
      </c>
      <c r="F4" s="1670" t="s">
        <v>74</v>
      </c>
      <c r="G4" s="1670" t="s">
        <v>16</v>
      </c>
      <c r="H4" s="1777">
        <v>3769851.8</v>
      </c>
      <c r="I4" s="1670">
        <v>2</v>
      </c>
      <c r="J4" s="1670" t="s">
        <v>417</v>
      </c>
      <c r="K4" s="1670" t="s">
        <v>12</v>
      </c>
      <c r="L4" s="1710">
        <v>44396</v>
      </c>
      <c r="M4" s="1710" t="s">
        <v>11</v>
      </c>
      <c r="N4" s="1714" t="s">
        <v>418</v>
      </c>
      <c r="O4" s="1670" t="s">
        <v>67</v>
      </c>
      <c r="P4" s="1715" t="s">
        <v>419</v>
      </c>
      <c r="Q4" s="1738" t="s">
        <v>77</v>
      </c>
      <c r="R4" s="1738" t="s">
        <v>77</v>
      </c>
      <c r="S4" s="1738" t="s">
        <v>77</v>
      </c>
    </row>
    <row r="5" spans="1:16381" customFormat="1" ht="20.25" hidden="1" customHeight="1">
      <c r="A5" s="1667">
        <v>11</v>
      </c>
      <c r="B5" s="1670">
        <v>246</v>
      </c>
      <c r="C5" s="1670">
        <v>13580</v>
      </c>
      <c r="D5" s="1670" t="s">
        <v>63</v>
      </c>
      <c r="E5" s="1673">
        <v>59.93</v>
      </c>
      <c r="F5" s="1670" t="s">
        <v>27</v>
      </c>
      <c r="G5" s="1670" t="s">
        <v>84</v>
      </c>
      <c r="H5" s="1674">
        <v>3085196.4</v>
      </c>
      <c r="I5" s="1670">
        <v>0</v>
      </c>
      <c r="J5" s="1670" t="s">
        <v>130</v>
      </c>
      <c r="K5" s="1670" t="s">
        <v>18</v>
      </c>
      <c r="L5" s="1710"/>
      <c r="M5" s="1710" t="s">
        <v>17</v>
      </c>
      <c r="N5" s="1670" t="s">
        <v>420</v>
      </c>
      <c r="O5" s="1670" t="s">
        <v>67</v>
      </c>
      <c r="P5" s="1715" t="s">
        <v>421</v>
      </c>
      <c r="Q5" s="1738" t="s">
        <v>63</v>
      </c>
      <c r="R5" s="1738" t="s">
        <v>63</v>
      </c>
      <c r="S5" s="1738" t="s">
        <v>63</v>
      </c>
    </row>
    <row r="6" spans="1:16381" s="55" customFormat="1" ht="20.25" hidden="1" customHeight="1">
      <c r="A6" s="1667">
        <v>15</v>
      </c>
      <c r="B6" s="1670">
        <v>19</v>
      </c>
      <c r="C6" s="1670">
        <v>9324</v>
      </c>
      <c r="D6" s="1670" t="s">
        <v>20</v>
      </c>
      <c r="E6" s="1673">
        <v>36.42</v>
      </c>
      <c r="F6" s="1670" t="s">
        <v>121</v>
      </c>
      <c r="G6" s="1670" t="s">
        <v>16</v>
      </c>
      <c r="H6" s="1674">
        <v>2248027.7799999998</v>
      </c>
      <c r="I6" s="1670">
        <v>1</v>
      </c>
      <c r="J6" s="1670" t="s">
        <v>65</v>
      </c>
      <c r="K6" s="1670" t="s">
        <v>18</v>
      </c>
      <c r="L6" s="1710">
        <v>44400</v>
      </c>
      <c r="M6" s="1799" t="s">
        <v>17</v>
      </c>
      <c r="N6" s="1670" t="s">
        <v>422</v>
      </c>
      <c r="O6" s="1670" t="s">
        <v>67</v>
      </c>
      <c r="P6" s="1715" t="s">
        <v>67</v>
      </c>
      <c r="Q6" s="1738" t="s">
        <v>20</v>
      </c>
      <c r="R6" s="1737" t="s">
        <v>20</v>
      </c>
      <c r="S6" s="1737" t="s">
        <v>20</v>
      </c>
    </row>
    <row r="7" spans="1:16381" customFormat="1" ht="20.25" hidden="1" customHeight="1">
      <c r="A7" s="1667">
        <v>5</v>
      </c>
      <c r="B7" s="1778">
        <v>247</v>
      </c>
      <c r="C7" s="1778">
        <v>13422</v>
      </c>
      <c r="D7" s="1670" t="s">
        <v>20</v>
      </c>
      <c r="E7" s="1778">
        <v>55.8</v>
      </c>
      <c r="F7" s="1778" t="s">
        <v>27</v>
      </c>
      <c r="G7" s="1778" t="s">
        <v>16</v>
      </c>
      <c r="H7" s="1777">
        <v>2700720</v>
      </c>
      <c r="I7" s="1778">
        <v>2</v>
      </c>
      <c r="J7" s="1778" t="s">
        <v>65</v>
      </c>
      <c r="K7" s="1778" t="s">
        <v>18</v>
      </c>
      <c r="L7" s="1800">
        <v>44378</v>
      </c>
      <c r="M7" s="1801" t="s">
        <v>17</v>
      </c>
      <c r="N7" s="1802" t="s">
        <v>423</v>
      </c>
      <c r="O7" s="1670" t="s">
        <v>67</v>
      </c>
      <c r="P7" s="1803" t="s">
        <v>419</v>
      </c>
      <c r="Q7" s="1738" t="s">
        <v>20</v>
      </c>
      <c r="R7" s="745" t="s">
        <v>20</v>
      </c>
      <c r="S7" s="745" t="s">
        <v>20</v>
      </c>
    </row>
    <row r="8" spans="1:16381" hidden="1">
      <c r="A8" s="1667">
        <v>47</v>
      </c>
      <c r="B8" s="1670">
        <v>255</v>
      </c>
      <c r="C8" s="1670">
        <v>13958</v>
      </c>
      <c r="D8" s="1670" t="s">
        <v>77</v>
      </c>
      <c r="E8" s="1673">
        <v>55.8</v>
      </c>
      <c r="F8" s="1670" t="s">
        <v>27</v>
      </c>
      <c r="G8" s="1670" t="s">
        <v>16</v>
      </c>
      <c r="H8" s="1674">
        <v>3007620</v>
      </c>
      <c r="I8" s="1670">
        <v>2</v>
      </c>
      <c r="J8" s="1670" t="s">
        <v>65</v>
      </c>
      <c r="K8" s="1670" t="s">
        <v>18</v>
      </c>
      <c r="L8" s="1710">
        <v>44406</v>
      </c>
      <c r="M8" s="1710" t="s">
        <v>17</v>
      </c>
      <c r="N8" s="1670" t="s">
        <v>424</v>
      </c>
      <c r="O8" s="1670" t="s">
        <v>67</v>
      </c>
      <c r="P8" s="1715" t="s">
        <v>425</v>
      </c>
      <c r="Q8" s="1736" t="s">
        <v>77</v>
      </c>
      <c r="R8" s="1737" t="s">
        <v>77</v>
      </c>
      <c r="S8" s="1737" t="s">
        <v>77</v>
      </c>
    </row>
    <row r="9" spans="1:16381" ht="20.25" hidden="1" customHeight="1">
      <c r="A9" s="1667">
        <v>12</v>
      </c>
      <c r="B9" s="1778">
        <v>282</v>
      </c>
      <c r="C9" s="1778">
        <v>13560</v>
      </c>
      <c r="D9" s="1676" t="s">
        <v>63</v>
      </c>
      <c r="E9" s="1778">
        <v>23.54</v>
      </c>
      <c r="F9" s="1676" t="s">
        <v>27</v>
      </c>
      <c r="G9" s="1676" t="s">
        <v>84</v>
      </c>
      <c r="H9" s="1674">
        <v>1424170</v>
      </c>
      <c r="I9" s="1778">
        <v>0</v>
      </c>
      <c r="J9" s="1804" t="s">
        <v>85</v>
      </c>
      <c r="K9" s="1670" t="s">
        <v>18</v>
      </c>
      <c r="L9" s="1800"/>
      <c r="M9" s="1720" t="s">
        <v>17</v>
      </c>
      <c r="N9" s="1805" t="s">
        <v>426</v>
      </c>
      <c r="O9" s="1670" t="s">
        <v>67</v>
      </c>
      <c r="P9" s="1806" t="s">
        <v>427</v>
      </c>
      <c r="Q9" s="1738" t="s">
        <v>63</v>
      </c>
      <c r="R9" s="1738" t="s">
        <v>63</v>
      </c>
      <c r="S9" s="1738" t="s">
        <v>63</v>
      </c>
    </row>
    <row r="10" spans="1:16381" ht="20.25" hidden="1" customHeight="1">
      <c r="A10" s="1667">
        <v>18</v>
      </c>
      <c r="B10" s="1778">
        <v>284</v>
      </c>
      <c r="C10" s="1714">
        <v>13588</v>
      </c>
      <c r="D10" s="1670" t="s">
        <v>20</v>
      </c>
      <c r="E10" s="1673">
        <v>37.11</v>
      </c>
      <c r="F10" s="1670" t="s">
        <v>27</v>
      </c>
      <c r="G10" s="1670" t="s">
        <v>16</v>
      </c>
      <c r="H10" s="1674">
        <v>2471526</v>
      </c>
      <c r="I10" s="1670">
        <v>1</v>
      </c>
      <c r="J10" s="1670" t="s">
        <v>65</v>
      </c>
      <c r="K10" s="1670" t="s">
        <v>18</v>
      </c>
      <c r="L10" s="1710">
        <v>44406</v>
      </c>
      <c r="M10" s="1710" t="s">
        <v>17</v>
      </c>
      <c r="N10" s="1670" t="s">
        <v>428</v>
      </c>
      <c r="O10" s="1670" t="s">
        <v>67</v>
      </c>
      <c r="P10" s="1715" t="s">
        <v>67</v>
      </c>
      <c r="Q10" s="1738" t="s">
        <v>20</v>
      </c>
      <c r="R10" s="1737" t="s">
        <v>20</v>
      </c>
      <c r="S10" s="1737" t="s">
        <v>20</v>
      </c>
    </row>
    <row r="11" spans="1:16381" hidden="1">
      <c r="A11" s="1667">
        <v>45</v>
      </c>
      <c r="B11" s="1670">
        <v>25</v>
      </c>
      <c r="C11" s="1675">
        <v>13941</v>
      </c>
      <c r="D11" s="1670" t="s">
        <v>77</v>
      </c>
      <c r="E11" s="1673">
        <v>36.86</v>
      </c>
      <c r="F11" s="1670" t="s">
        <v>121</v>
      </c>
      <c r="G11" s="1670" t="s">
        <v>16</v>
      </c>
      <c r="H11" s="1674">
        <v>2275186.8199999998</v>
      </c>
      <c r="I11" s="1670">
        <v>1</v>
      </c>
      <c r="J11" s="1670" t="s">
        <v>65</v>
      </c>
      <c r="K11" s="1670" t="s">
        <v>18</v>
      </c>
      <c r="L11" s="1710">
        <v>44407</v>
      </c>
      <c r="M11" s="1710" t="s">
        <v>17</v>
      </c>
      <c r="N11" s="1714" t="s">
        <v>429</v>
      </c>
      <c r="O11" s="1670" t="s">
        <v>67</v>
      </c>
      <c r="P11" s="1715" t="s">
        <v>430</v>
      </c>
      <c r="Q11" s="1736" t="s">
        <v>77</v>
      </c>
      <c r="R11" s="1737" t="s">
        <v>77</v>
      </c>
      <c r="S11" s="1737" t="s">
        <v>77</v>
      </c>
    </row>
    <row r="12" spans="1:16381" hidden="1">
      <c r="A12" s="1667">
        <v>54</v>
      </c>
      <c r="B12" s="1670">
        <v>303</v>
      </c>
      <c r="C12" s="1670">
        <v>3141</v>
      </c>
      <c r="D12" s="1670" t="s">
        <v>73</v>
      </c>
      <c r="E12" s="1673">
        <v>55.8</v>
      </c>
      <c r="F12" s="1670" t="s">
        <v>27</v>
      </c>
      <c r="G12" s="1670" t="s">
        <v>16</v>
      </c>
      <c r="H12" s="1674">
        <v>3142656</v>
      </c>
      <c r="I12" s="1670">
        <v>2</v>
      </c>
      <c r="J12" s="1670" t="s">
        <v>65</v>
      </c>
      <c r="K12" s="1670" t="s">
        <v>18</v>
      </c>
      <c r="L12" s="1710">
        <v>44408</v>
      </c>
      <c r="M12" s="1710" t="s">
        <v>17</v>
      </c>
      <c r="N12" s="1714" t="s">
        <v>431</v>
      </c>
      <c r="O12" s="1670" t="s">
        <v>67</v>
      </c>
      <c r="P12" s="1715" t="s">
        <v>432</v>
      </c>
      <c r="Q12" s="1736" t="s">
        <v>73</v>
      </c>
      <c r="R12" s="1737" t="s">
        <v>73</v>
      </c>
      <c r="S12" s="745" t="s">
        <v>73</v>
      </c>
    </row>
    <row r="13" spans="1:16381" ht="30" hidden="1">
      <c r="A13" s="1667">
        <v>36</v>
      </c>
      <c r="B13" s="1778">
        <v>335</v>
      </c>
      <c r="C13" s="1778">
        <v>5289</v>
      </c>
      <c r="D13" s="1778" t="s">
        <v>407</v>
      </c>
      <c r="E13" s="1778">
        <v>55.8</v>
      </c>
      <c r="F13" s="1778" t="s">
        <v>27</v>
      </c>
      <c r="G13" s="1778" t="s">
        <v>84</v>
      </c>
      <c r="H13" s="1777">
        <v>3007620</v>
      </c>
      <c r="I13" s="1778">
        <v>2</v>
      </c>
      <c r="J13" s="1778" t="s">
        <v>85</v>
      </c>
      <c r="K13" s="1778" t="s">
        <v>18</v>
      </c>
      <c r="L13" s="1800">
        <v>44399</v>
      </c>
      <c r="M13" s="1800" t="s">
        <v>11</v>
      </c>
      <c r="N13" s="1805" t="s">
        <v>433</v>
      </c>
      <c r="O13" s="1670" t="s">
        <v>67</v>
      </c>
      <c r="P13" s="1806" t="s">
        <v>434</v>
      </c>
      <c r="Q13" s="1738" t="s">
        <v>407</v>
      </c>
      <c r="R13" s="1738" t="s">
        <v>407</v>
      </c>
      <c r="S13" s="1738" t="s">
        <v>407</v>
      </c>
    </row>
    <row r="14" spans="1:16381" hidden="1">
      <c r="A14" s="1667">
        <v>3</v>
      </c>
      <c r="B14" s="1778">
        <v>423</v>
      </c>
      <c r="C14" s="1778">
        <v>12928</v>
      </c>
      <c r="D14" s="1778" t="s">
        <v>63</v>
      </c>
      <c r="E14" s="1778">
        <v>55.8</v>
      </c>
      <c r="F14" s="1778" t="s">
        <v>27</v>
      </c>
      <c r="G14" s="1778" t="s">
        <v>84</v>
      </c>
      <c r="H14" s="1777">
        <v>2700720</v>
      </c>
      <c r="I14" s="1778">
        <v>2</v>
      </c>
      <c r="J14" s="1778" t="s">
        <v>85</v>
      </c>
      <c r="K14" s="1778" t="s">
        <v>12</v>
      </c>
      <c r="L14" s="1800">
        <v>44406</v>
      </c>
      <c r="M14" s="1800" t="s">
        <v>17</v>
      </c>
      <c r="N14" s="1802" t="s">
        <v>435</v>
      </c>
      <c r="O14" s="1670" t="s">
        <v>67</v>
      </c>
      <c r="P14" s="1806" t="s">
        <v>436</v>
      </c>
      <c r="Q14" s="1738" t="s">
        <v>63</v>
      </c>
      <c r="R14" s="1738" t="s">
        <v>63</v>
      </c>
      <c r="S14" s="1738" t="s">
        <v>63</v>
      </c>
    </row>
    <row r="15" spans="1:16381" hidden="1">
      <c r="A15" s="1667">
        <v>22</v>
      </c>
      <c r="B15" s="1670">
        <v>442</v>
      </c>
      <c r="C15" s="1670">
        <v>14010</v>
      </c>
      <c r="D15" s="1670" t="s">
        <v>20</v>
      </c>
      <c r="E15" s="1673">
        <v>23.54</v>
      </c>
      <c r="F15" s="1670" t="s">
        <v>27</v>
      </c>
      <c r="G15" s="1670" t="s">
        <v>84</v>
      </c>
      <c r="H15" s="1674">
        <v>1294700</v>
      </c>
      <c r="I15" s="1670">
        <v>0</v>
      </c>
      <c r="J15" s="1670" t="s">
        <v>130</v>
      </c>
      <c r="K15" s="1670" t="s">
        <v>18</v>
      </c>
      <c r="L15" s="1710">
        <v>44404</v>
      </c>
      <c r="M15" s="1710" t="s">
        <v>11</v>
      </c>
      <c r="N15" s="1714" t="s">
        <v>437</v>
      </c>
      <c r="O15" s="1670" t="s">
        <v>67</v>
      </c>
      <c r="P15" s="1715" t="s">
        <v>438</v>
      </c>
      <c r="Q15" s="1738" t="s">
        <v>20</v>
      </c>
      <c r="R15" s="1737" t="s">
        <v>73</v>
      </c>
      <c r="S15" s="1737" t="s">
        <v>20</v>
      </c>
    </row>
    <row r="16" spans="1:16381" hidden="1">
      <c r="A16" s="1667">
        <v>44</v>
      </c>
      <c r="B16" s="1670">
        <v>117</v>
      </c>
      <c r="C16" s="1675">
        <v>14059</v>
      </c>
      <c r="D16" s="1670" t="s">
        <v>77</v>
      </c>
      <c r="E16" s="1673">
        <v>36.42</v>
      </c>
      <c r="F16" s="1670" t="s">
        <v>121</v>
      </c>
      <c r="G16" s="1670" t="s">
        <v>84</v>
      </c>
      <c r="H16" s="1674">
        <v>2248027.7799999998</v>
      </c>
      <c r="I16" s="1670">
        <v>1</v>
      </c>
      <c r="J16" s="1670" t="s">
        <v>85</v>
      </c>
      <c r="K16" s="1670" t="s">
        <v>18</v>
      </c>
      <c r="L16" s="1710">
        <v>44400</v>
      </c>
      <c r="M16" s="1710" t="s">
        <v>11</v>
      </c>
      <c r="N16" s="1714" t="s">
        <v>439</v>
      </c>
      <c r="O16" s="1670" t="s">
        <v>67</v>
      </c>
      <c r="P16" s="1715" t="s">
        <v>440</v>
      </c>
      <c r="Q16" s="1736" t="s">
        <v>77</v>
      </c>
      <c r="R16" s="1737" t="s">
        <v>77</v>
      </c>
      <c r="S16" s="1737" t="s">
        <v>77</v>
      </c>
    </row>
    <row r="17" spans="1:19" hidden="1">
      <c r="A17" s="1667">
        <v>25</v>
      </c>
      <c r="B17" s="1670">
        <v>444</v>
      </c>
      <c r="C17" s="1670" t="s">
        <v>441</v>
      </c>
      <c r="D17" s="1670" t="s">
        <v>20</v>
      </c>
      <c r="E17" s="1673">
        <v>23.63</v>
      </c>
      <c r="F17" s="1670" t="s">
        <v>27</v>
      </c>
      <c r="G17" s="1670" t="s">
        <v>84</v>
      </c>
      <c r="H17" s="1674">
        <v>1299650</v>
      </c>
      <c r="I17" s="1670">
        <v>0</v>
      </c>
      <c r="J17" s="1670" t="s">
        <v>130</v>
      </c>
      <c r="K17" s="1670" t="s">
        <v>18</v>
      </c>
      <c r="L17" s="1710">
        <v>44404</v>
      </c>
      <c r="M17" s="1710" t="s">
        <v>11</v>
      </c>
      <c r="N17" s="1714" t="s">
        <v>437</v>
      </c>
      <c r="O17" s="1670" t="s">
        <v>67</v>
      </c>
      <c r="P17" s="1715" t="s">
        <v>438</v>
      </c>
      <c r="Q17" s="1738" t="s">
        <v>20</v>
      </c>
      <c r="R17" s="1737" t="s">
        <v>73</v>
      </c>
      <c r="S17" s="1737" t="s">
        <v>20</v>
      </c>
    </row>
    <row r="18" spans="1:19" hidden="1">
      <c r="A18" s="1667">
        <v>46</v>
      </c>
      <c r="B18" s="1670">
        <v>447</v>
      </c>
      <c r="C18" s="1670">
        <v>13940</v>
      </c>
      <c r="D18" s="1670" t="s">
        <v>77</v>
      </c>
      <c r="E18" s="1673">
        <v>55.8</v>
      </c>
      <c r="F18" s="1670" t="s">
        <v>27</v>
      </c>
      <c r="G18" s="1670" t="s">
        <v>16</v>
      </c>
      <c r="H18" s="1674">
        <v>2700720</v>
      </c>
      <c r="I18" s="1670">
        <v>2</v>
      </c>
      <c r="J18" s="1670" t="s">
        <v>65</v>
      </c>
      <c r="K18" s="1670" t="s">
        <v>18</v>
      </c>
      <c r="L18" s="1710">
        <v>44401</v>
      </c>
      <c r="M18" s="1710" t="s">
        <v>17</v>
      </c>
      <c r="N18" s="1714" t="s">
        <v>442</v>
      </c>
      <c r="O18" s="1670" t="s">
        <v>67</v>
      </c>
      <c r="P18" s="1715" t="s">
        <v>443</v>
      </c>
      <c r="Q18" s="1736" t="s">
        <v>77</v>
      </c>
      <c r="R18" s="1737" t="s">
        <v>77</v>
      </c>
      <c r="S18" s="1737" t="s">
        <v>77</v>
      </c>
    </row>
    <row r="19" spans="1:19" hidden="1">
      <c r="A19" s="1667">
        <v>9</v>
      </c>
      <c r="B19" s="1670">
        <v>150</v>
      </c>
      <c r="C19" s="1670">
        <v>10908</v>
      </c>
      <c r="D19" s="1670" t="s">
        <v>63</v>
      </c>
      <c r="E19" s="1673">
        <v>76.56</v>
      </c>
      <c r="F19" s="1670" t="s">
        <v>121</v>
      </c>
      <c r="G19" s="1670" t="s">
        <v>16</v>
      </c>
      <c r="H19" s="1674">
        <v>4344083.3</v>
      </c>
      <c r="I19" s="1670">
        <v>3</v>
      </c>
      <c r="J19" s="1670" t="s">
        <v>417</v>
      </c>
      <c r="K19" s="1670" t="s">
        <v>18</v>
      </c>
      <c r="L19" s="1710">
        <v>44227</v>
      </c>
      <c r="M19" s="1710" t="s">
        <v>11</v>
      </c>
      <c r="N19" s="1714" t="s">
        <v>444</v>
      </c>
      <c r="O19" s="1670" t="s">
        <v>67</v>
      </c>
      <c r="P19" s="1715" t="s">
        <v>445</v>
      </c>
      <c r="Q19" s="1738" t="s">
        <v>63</v>
      </c>
      <c r="R19" s="1738" t="s">
        <v>63</v>
      </c>
      <c r="S19" s="1738" t="s">
        <v>63</v>
      </c>
    </row>
    <row r="20" spans="1:19" ht="30" hidden="1">
      <c r="A20" s="1667">
        <v>28</v>
      </c>
      <c r="B20" s="1670">
        <v>458</v>
      </c>
      <c r="C20" s="1670">
        <v>13517</v>
      </c>
      <c r="D20" s="1670" t="s">
        <v>77</v>
      </c>
      <c r="E20" s="1673">
        <v>23.54</v>
      </c>
      <c r="F20" s="1670" t="s">
        <v>27</v>
      </c>
      <c r="G20" s="1670" t="s">
        <v>84</v>
      </c>
      <c r="H20" s="1674">
        <v>1294700</v>
      </c>
      <c r="I20" s="1670">
        <v>0</v>
      </c>
      <c r="J20" s="1670" t="s">
        <v>85</v>
      </c>
      <c r="K20" s="1670" t="s">
        <v>18</v>
      </c>
      <c r="L20" s="1710">
        <v>44404</v>
      </c>
      <c r="M20" s="1710" t="s">
        <v>11</v>
      </c>
      <c r="N20" s="1714" t="s">
        <v>446</v>
      </c>
      <c r="O20" s="1670" t="s">
        <v>67</v>
      </c>
      <c r="P20" s="1715" t="s">
        <v>447</v>
      </c>
      <c r="Q20" s="1738" t="s">
        <v>77</v>
      </c>
      <c r="R20" s="1737" t="s">
        <v>73</v>
      </c>
      <c r="S20" s="1737" t="s">
        <v>73</v>
      </c>
    </row>
    <row r="21" spans="1:19" hidden="1">
      <c r="A21" s="1667">
        <v>8</v>
      </c>
      <c r="B21" s="1670">
        <v>495</v>
      </c>
      <c r="C21" s="1670">
        <v>13531</v>
      </c>
      <c r="D21" s="1670" t="s">
        <v>20</v>
      </c>
      <c r="E21" s="1673">
        <v>55.8</v>
      </c>
      <c r="F21" s="1670" t="s">
        <v>27</v>
      </c>
      <c r="G21" s="1670" t="s">
        <v>84</v>
      </c>
      <c r="H21" s="1674">
        <v>3007620</v>
      </c>
      <c r="I21" s="1670">
        <v>2</v>
      </c>
      <c r="J21" s="1670" t="s">
        <v>85</v>
      </c>
      <c r="K21" s="1670" t="s">
        <v>18</v>
      </c>
      <c r="L21" s="1710">
        <v>44405</v>
      </c>
      <c r="M21" s="1710" t="s">
        <v>11</v>
      </c>
      <c r="N21" s="1714" t="s">
        <v>448</v>
      </c>
      <c r="O21" s="1670" t="s">
        <v>67</v>
      </c>
      <c r="P21" s="1715" t="s">
        <v>67</v>
      </c>
      <c r="Q21" s="1738" t="s">
        <v>20</v>
      </c>
      <c r="R21" s="1737" t="s">
        <v>20</v>
      </c>
      <c r="S21" s="1737" t="s">
        <v>20</v>
      </c>
    </row>
    <row r="22" spans="1:19" hidden="1">
      <c r="A22" s="1667">
        <v>38</v>
      </c>
      <c r="B22" s="1670">
        <v>517</v>
      </c>
      <c r="C22" s="1670">
        <v>11710</v>
      </c>
      <c r="D22" s="1670" t="s">
        <v>77</v>
      </c>
      <c r="E22" s="1673">
        <v>37.11</v>
      </c>
      <c r="F22" s="1670" t="s">
        <v>27</v>
      </c>
      <c r="G22" s="1670" t="s">
        <v>16</v>
      </c>
      <c r="H22" s="1674">
        <v>2081871</v>
      </c>
      <c r="I22" s="1670">
        <v>1</v>
      </c>
      <c r="J22" s="1670" t="s">
        <v>65</v>
      </c>
      <c r="K22" s="1670" t="s">
        <v>18</v>
      </c>
      <c r="L22" s="1710">
        <v>44400</v>
      </c>
      <c r="M22" s="1710" t="s">
        <v>17</v>
      </c>
      <c r="N22" s="1714" t="s">
        <v>449</v>
      </c>
      <c r="O22" s="1670" t="s">
        <v>67</v>
      </c>
      <c r="P22" s="1715" t="s">
        <v>450</v>
      </c>
      <c r="Q22" s="1738" t="s">
        <v>77</v>
      </c>
      <c r="R22" s="1737" t="s">
        <v>77</v>
      </c>
      <c r="S22" s="1737" t="s">
        <v>63</v>
      </c>
    </row>
    <row r="23" spans="1:19" hidden="1">
      <c r="A23" s="1667">
        <v>13</v>
      </c>
      <c r="B23" s="1670">
        <v>524</v>
      </c>
      <c r="C23" s="1670">
        <v>13516</v>
      </c>
      <c r="D23" s="1670" t="s">
        <v>20</v>
      </c>
      <c r="E23" s="1673">
        <v>23.63</v>
      </c>
      <c r="F23" s="1670" t="s">
        <v>27</v>
      </c>
      <c r="G23" s="1670" t="s">
        <v>16</v>
      </c>
      <c r="H23" s="1674">
        <v>1429615</v>
      </c>
      <c r="I23" s="1670">
        <v>0</v>
      </c>
      <c r="J23" s="1670" t="s">
        <v>65</v>
      </c>
      <c r="K23" s="1670" t="s">
        <v>18</v>
      </c>
      <c r="L23" s="1710">
        <v>44397</v>
      </c>
      <c r="M23" s="1710" t="s">
        <v>17</v>
      </c>
      <c r="N23" s="1714" t="s">
        <v>451</v>
      </c>
      <c r="O23" s="1670" t="s">
        <v>67</v>
      </c>
      <c r="P23" s="1715" t="s">
        <v>452</v>
      </c>
      <c r="Q23" s="1738" t="s">
        <v>20</v>
      </c>
      <c r="R23" s="1737" t="s">
        <v>20</v>
      </c>
      <c r="S23" s="1737" t="s">
        <v>20</v>
      </c>
    </row>
    <row r="24" spans="1:19" hidden="1">
      <c r="A24" s="1667">
        <v>32</v>
      </c>
      <c r="B24" s="1670">
        <v>527</v>
      </c>
      <c r="C24" s="1670">
        <v>13569</v>
      </c>
      <c r="D24" s="1670" t="s">
        <v>73</v>
      </c>
      <c r="E24" s="1673">
        <v>55.8</v>
      </c>
      <c r="F24" s="1670" t="s">
        <v>27</v>
      </c>
      <c r="G24" s="1670" t="s">
        <v>16</v>
      </c>
      <c r="H24" s="1674">
        <v>2553408</v>
      </c>
      <c r="I24" s="1670">
        <v>2</v>
      </c>
      <c r="J24" s="1670" t="s">
        <v>65</v>
      </c>
      <c r="K24" s="1670" t="s">
        <v>18</v>
      </c>
      <c r="L24" s="1710">
        <v>44399</v>
      </c>
      <c r="M24" s="1710" t="s">
        <v>17</v>
      </c>
      <c r="N24" s="1714" t="s">
        <v>453</v>
      </c>
      <c r="O24" s="1670" t="s">
        <v>67</v>
      </c>
      <c r="P24" s="1715" t="s">
        <v>454</v>
      </c>
      <c r="Q24" s="1738" t="s">
        <v>73</v>
      </c>
      <c r="R24" s="1738" t="s">
        <v>73</v>
      </c>
      <c r="S24" s="1738" t="s">
        <v>73</v>
      </c>
    </row>
    <row r="25" spans="1:19" hidden="1">
      <c r="A25" s="1667">
        <v>10</v>
      </c>
      <c r="B25" s="1670">
        <v>531</v>
      </c>
      <c r="C25" s="1670">
        <v>12334</v>
      </c>
      <c r="D25" s="1670" t="s">
        <v>63</v>
      </c>
      <c r="E25" s="1673">
        <v>40</v>
      </c>
      <c r="F25" s="1670" t="s">
        <v>27</v>
      </c>
      <c r="G25" s="1670" t="s">
        <v>84</v>
      </c>
      <c r="H25" s="1674">
        <v>2024000</v>
      </c>
      <c r="I25" s="1670">
        <v>1</v>
      </c>
      <c r="J25" s="1670" t="s">
        <v>85</v>
      </c>
      <c r="K25" s="1670" t="s">
        <v>18</v>
      </c>
      <c r="L25" s="1710">
        <v>44401</v>
      </c>
      <c r="M25" s="1710" t="s">
        <v>11</v>
      </c>
      <c r="N25" s="1714" t="s">
        <v>455</v>
      </c>
      <c r="O25" s="1670" t="s">
        <v>67</v>
      </c>
      <c r="P25" s="1715" t="s">
        <v>456</v>
      </c>
      <c r="Q25" s="1738" t="s">
        <v>63</v>
      </c>
      <c r="R25" s="1738" t="s">
        <v>20</v>
      </c>
      <c r="S25" s="1738" t="s">
        <v>20</v>
      </c>
    </row>
    <row r="26" spans="1:19" hidden="1">
      <c r="A26" s="1667">
        <v>29</v>
      </c>
      <c r="B26" s="1670">
        <v>169</v>
      </c>
      <c r="C26" s="1670">
        <v>13702</v>
      </c>
      <c r="D26" s="1670" t="s">
        <v>20</v>
      </c>
      <c r="E26" s="1673">
        <v>56.93</v>
      </c>
      <c r="F26" s="1670" t="s">
        <v>121</v>
      </c>
      <c r="G26" s="1670" t="s">
        <v>84</v>
      </c>
      <c r="H26" s="1674">
        <v>3147582.84</v>
      </c>
      <c r="I26" s="1670">
        <v>2</v>
      </c>
      <c r="J26" s="1670" t="s">
        <v>130</v>
      </c>
      <c r="K26" s="1670" t="s">
        <v>18</v>
      </c>
      <c r="L26" s="1710">
        <v>44391</v>
      </c>
      <c r="M26" s="1710" t="s">
        <v>17</v>
      </c>
      <c r="N26" s="1714" t="s">
        <v>457</v>
      </c>
      <c r="O26" s="1670" t="s">
        <v>67</v>
      </c>
      <c r="P26" s="1715" t="s">
        <v>419</v>
      </c>
      <c r="Q26" s="1738" t="s">
        <v>20</v>
      </c>
      <c r="R26" s="1737" t="s">
        <v>20</v>
      </c>
      <c r="S26" s="1737" t="s">
        <v>20</v>
      </c>
    </row>
    <row r="27" spans="1:19" hidden="1">
      <c r="A27" s="1667">
        <v>30</v>
      </c>
      <c r="B27" s="1670">
        <v>185</v>
      </c>
      <c r="C27" s="1670">
        <v>13079</v>
      </c>
      <c r="D27" s="1670" t="s">
        <v>77</v>
      </c>
      <c r="E27" s="1673">
        <v>38.22</v>
      </c>
      <c r="F27" s="1670" t="s">
        <v>121</v>
      </c>
      <c r="G27" s="1670" t="s">
        <v>84</v>
      </c>
      <c r="H27" s="1674">
        <v>2464671.7400000002</v>
      </c>
      <c r="I27" s="1670">
        <v>1</v>
      </c>
      <c r="J27" s="1670" t="s">
        <v>130</v>
      </c>
      <c r="K27" s="1670" t="s">
        <v>12</v>
      </c>
      <c r="L27" s="1710"/>
      <c r="M27" s="1710" t="s">
        <v>11</v>
      </c>
      <c r="N27" s="1714" t="s">
        <v>458</v>
      </c>
      <c r="O27" s="1670" t="s">
        <v>67</v>
      </c>
      <c r="P27" s="1715" t="s">
        <v>459</v>
      </c>
      <c r="Q27" s="1738" t="s">
        <v>77</v>
      </c>
      <c r="R27" s="1737" t="s">
        <v>77</v>
      </c>
      <c r="S27" s="1737" t="s">
        <v>77</v>
      </c>
    </row>
    <row r="28" spans="1:19" hidden="1">
      <c r="A28" s="1667">
        <v>33</v>
      </c>
      <c r="B28" s="1670">
        <v>224</v>
      </c>
      <c r="C28" s="1670">
        <v>9518</v>
      </c>
      <c r="D28" s="1670" t="s">
        <v>73</v>
      </c>
      <c r="E28" s="1673">
        <v>56.93</v>
      </c>
      <c r="F28" s="1670" t="s">
        <v>121</v>
      </c>
      <c r="G28" s="1670" t="s">
        <v>16</v>
      </c>
      <c r="H28" s="1674">
        <v>3287459.85</v>
      </c>
      <c r="I28" s="1670">
        <v>2</v>
      </c>
      <c r="J28" s="1670" t="s">
        <v>65</v>
      </c>
      <c r="K28" s="1670" t="s">
        <v>18</v>
      </c>
      <c r="L28" s="1710">
        <v>44398</v>
      </c>
      <c r="M28" s="1710" t="s">
        <v>17</v>
      </c>
      <c r="N28" s="1714" t="s">
        <v>460</v>
      </c>
      <c r="O28" s="1670" t="s">
        <v>67</v>
      </c>
      <c r="P28" s="1715"/>
      <c r="Q28" s="1738" t="s">
        <v>73</v>
      </c>
      <c r="R28" s="1737" t="s">
        <v>77</v>
      </c>
      <c r="S28" s="1737" t="s">
        <v>73</v>
      </c>
    </row>
    <row r="29" spans="1:19" hidden="1">
      <c r="A29" s="1667">
        <v>16</v>
      </c>
      <c r="B29" s="1670">
        <v>535</v>
      </c>
      <c r="C29" s="1670">
        <v>13764</v>
      </c>
      <c r="D29" s="1670" t="s">
        <v>20</v>
      </c>
      <c r="E29" s="1673">
        <v>55.8</v>
      </c>
      <c r="F29" s="1670" t="s">
        <v>27</v>
      </c>
      <c r="G29" s="1670" t="s">
        <v>16</v>
      </c>
      <c r="H29" s="1674">
        <v>2553408</v>
      </c>
      <c r="I29" s="1670">
        <v>2</v>
      </c>
      <c r="J29" s="1670" t="s">
        <v>65</v>
      </c>
      <c r="K29" s="1670" t="s">
        <v>18</v>
      </c>
      <c r="L29" s="1710">
        <v>44405</v>
      </c>
      <c r="M29" s="1710" t="s">
        <v>17</v>
      </c>
      <c r="N29" s="1714" t="s">
        <v>461</v>
      </c>
      <c r="O29" s="1670" t="s">
        <v>67</v>
      </c>
      <c r="P29" s="1715" t="s">
        <v>462</v>
      </c>
      <c r="Q29" s="1738" t="s">
        <v>20</v>
      </c>
      <c r="R29" s="1737" t="s">
        <v>20</v>
      </c>
      <c r="S29" s="1737" t="s">
        <v>20</v>
      </c>
    </row>
    <row r="30" spans="1:19" hidden="1">
      <c r="A30" s="1667">
        <v>19</v>
      </c>
      <c r="B30" s="1670">
        <v>235</v>
      </c>
      <c r="C30" s="1670">
        <v>13541</v>
      </c>
      <c r="D30" s="1670" t="s">
        <v>20</v>
      </c>
      <c r="E30" s="1673">
        <v>56.93</v>
      </c>
      <c r="F30" s="1670" t="s">
        <v>121</v>
      </c>
      <c r="G30" s="1670" t="s">
        <v>16</v>
      </c>
      <c r="H30" s="1674">
        <v>3287459.85</v>
      </c>
      <c r="I30" s="1670">
        <v>2</v>
      </c>
      <c r="J30" s="1670" t="s">
        <v>65</v>
      </c>
      <c r="K30" s="1670" t="s">
        <v>18</v>
      </c>
      <c r="L30" s="1710">
        <v>44404</v>
      </c>
      <c r="M30" s="1710" t="s">
        <v>17</v>
      </c>
      <c r="N30" s="1714" t="s">
        <v>463</v>
      </c>
      <c r="O30" s="1670" t="s">
        <v>67</v>
      </c>
      <c r="P30" s="1715" t="s">
        <v>438</v>
      </c>
      <c r="Q30" s="1738" t="s">
        <v>20</v>
      </c>
      <c r="R30" s="1737" t="s">
        <v>20</v>
      </c>
      <c r="S30" s="1737" t="s">
        <v>20</v>
      </c>
    </row>
    <row r="31" spans="1:19" hidden="1">
      <c r="A31" s="1667">
        <v>40</v>
      </c>
      <c r="B31" s="1670">
        <v>547</v>
      </c>
      <c r="C31" s="1670">
        <v>13699</v>
      </c>
      <c r="D31" s="1670" t="s">
        <v>73</v>
      </c>
      <c r="E31" s="1673">
        <v>40</v>
      </c>
      <c r="F31" s="1670" t="s">
        <v>27</v>
      </c>
      <c r="G31" s="1670" t="s">
        <v>84</v>
      </c>
      <c r="H31" s="1674">
        <v>2664000</v>
      </c>
      <c r="I31" s="1670">
        <v>1</v>
      </c>
      <c r="J31" s="1670" t="s">
        <v>130</v>
      </c>
      <c r="K31" s="1670" t="s">
        <v>12</v>
      </c>
      <c r="L31" s="1710">
        <v>44408</v>
      </c>
      <c r="M31" s="1710" t="s">
        <v>17</v>
      </c>
      <c r="N31" s="1714" t="s">
        <v>464</v>
      </c>
      <c r="O31" s="1670" t="s">
        <v>67</v>
      </c>
      <c r="P31" s="1715" t="s">
        <v>17</v>
      </c>
      <c r="Q31" s="1738" t="s">
        <v>73</v>
      </c>
      <c r="R31" s="1737" t="s">
        <v>77</v>
      </c>
      <c r="S31" s="1737" t="s">
        <v>73</v>
      </c>
    </row>
    <row r="32" spans="1:19" hidden="1">
      <c r="A32" s="1667">
        <v>52</v>
      </c>
      <c r="B32" s="1676">
        <v>263</v>
      </c>
      <c r="C32" s="1676">
        <v>13394</v>
      </c>
      <c r="D32" s="1676" t="s">
        <v>73</v>
      </c>
      <c r="E32" s="1676">
        <v>86.58</v>
      </c>
      <c r="F32" s="1676" t="s">
        <v>121</v>
      </c>
      <c r="G32" s="1676" t="s">
        <v>16</v>
      </c>
      <c r="H32" s="1674">
        <v>4948419.29</v>
      </c>
      <c r="I32" s="1676">
        <v>3</v>
      </c>
      <c r="J32" s="1670" t="s">
        <v>65</v>
      </c>
      <c r="K32" s="1670" t="s">
        <v>12</v>
      </c>
      <c r="L32" s="1720">
        <v>44408</v>
      </c>
      <c r="M32" s="1720" t="s">
        <v>17</v>
      </c>
      <c r="N32" s="1807" t="s">
        <v>465</v>
      </c>
      <c r="O32" s="1670" t="s">
        <v>67</v>
      </c>
      <c r="P32" s="1676" t="s">
        <v>466</v>
      </c>
      <c r="Q32" s="1736" t="s">
        <v>73</v>
      </c>
      <c r="R32" s="1737" t="s">
        <v>77</v>
      </c>
      <c r="S32" s="1736" t="s">
        <v>73</v>
      </c>
    </row>
    <row r="33" spans="1:16382" hidden="1">
      <c r="A33" s="1667">
        <v>21</v>
      </c>
      <c r="B33" s="1668">
        <v>562</v>
      </c>
      <c r="C33" s="1668">
        <v>10909</v>
      </c>
      <c r="D33" s="1668" t="s">
        <v>20</v>
      </c>
      <c r="E33" s="1669">
        <v>23.54</v>
      </c>
      <c r="F33" s="1668" t="s">
        <v>27</v>
      </c>
      <c r="G33" s="1668" t="s">
        <v>84</v>
      </c>
      <c r="H33" s="1671">
        <v>1359435</v>
      </c>
      <c r="I33" s="1668">
        <v>0</v>
      </c>
      <c r="J33" s="1668" t="s">
        <v>85</v>
      </c>
      <c r="K33" s="1668" t="s">
        <v>18</v>
      </c>
      <c r="L33" s="1709">
        <v>44404</v>
      </c>
      <c r="M33" s="1709" t="s">
        <v>17</v>
      </c>
      <c r="N33" s="1711" t="s">
        <v>467</v>
      </c>
      <c r="O33" s="1670" t="s">
        <v>67</v>
      </c>
      <c r="P33" s="1713" t="s">
        <v>438</v>
      </c>
      <c r="Q33" s="1738" t="s">
        <v>20</v>
      </c>
      <c r="R33" s="1737" t="s">
        <v>20</v>
      </c>
      <c r="S33" s="1737" t="s">
        <v>20</v>
      </c>
    </row>
    <row r="34" spans="1:16382" hidden="1">
      <c r="A34" s="1667">
        <v>49</v>
      </c>
      <c r="B34" s="1670">
        <v>564</v>
      </c>
      <c r="C34" s="1675">
        <v>13989</v>
      </c>
      <c r="D34" s="1670" t="s">
        <v>77</v>
      </c>
      <c r="E34" s="1673">
        <v>23.54</v>
      </c>
      <c r="F34" s="1670" t="s">
        <v>27</v>
      </c>
      <c r="G34" s="1670" t="s">
        <v>84</v>
      </c>
      <c r="H34" s="1674">
        <v>1299650</v>
      </c>
      <c r="I34" s="1670">
        <v>0</v>
      </c>
      <c r="J34" s="1670" t="s">
        <v>130</v>
      </c>
      <c r="K34" s="1670" t="s">
        <v>18</v>
      </c>
      <c r="L34" s="1710"/>
      <c r="M34" s="1710" t="s">
        <v>11</v>
      </c>
      <c r="N34" s="1714" t="s">
        <v>468</v>
      </c>
      <c r="O34" s="1670" t="s">
        <v>67</v>
      </c>
      <c r="P34" s="1715" t="s">
        <v>469</v>
      </c>
      <c r="Q34" s="1736" t="s">
        <v>77</v>
      </c>
      <c r="R34" s="1737" t="s">
        <v>77</v>
      </c>
      <c r="S34" s="1737" t="s">
        <v>77</v>
      </c>
    </row>
    <row r="35" spans="1:16382" hidden="1">
      <c r="A35" s="1667">
        <v>7</v>
      </c>
      <c r="B35" s="1668">
        <v>570</v>
      </c>
      <c r="C35" s="1668">
        <v>13439</v>
      </c>
      <c r="D35" s="1668" t="s">
        <v>20</v>
      </c>
      <c r="E35" s="1669">
        <v>23.54</v>
      </c>
      <c r="F35" s="1670" t="s">
        <v>27</v>
      </c>
      <c r="G35" s="1670" t="s">
        <v>84</v>
      </c>
      <c r="H35" s="1779">
        <v>1377560.8</v>
      </c>
      <c r="I35" s="1668">
        <v>0</v>
      </c>
      <c r="J35" s="1670" t="s">
        <v>85</v>
      </c>
      <c r="K35" s="1670" t="s">
        <v>18</v>
      </c>
      <c r="L35" s="1709">
        <v>44399</v>
      </c>
      <c r="M35" s="1710" t="s">
        <v>11</v>
      </c>
      <c r="N35" s="1711" t="s">
        <v>470</v>
      </c>
      <c r="O35" s="1670" t="s">
        <v>67</v>
      </c>
      <c r="P35" s="1713" t="s">
        <v>67</v>
      </c>
      <c r="Q35" s="1738" t="s">
        <v>20</v>
      </c>
      <c r="R35" s="1737" t="s">
        <v>20</v>
      </c>
      <c r="S35" s="1737" t="s">
        <v>20</v>
      </c>
    </row>
    <row r="36" spans="1:16382" hidden="1">
      <c r="A36" s="1667">
        <v>53</v>
      </c>
      <c r="B36" s="1668">
        <v>269</v>
      </c>
      <c r="C36" s="1668">
        <v>14165</v>
      </c>
      <c r="D36" s="1668" t="s">
        <v>471</v>
      </c>
      <c r="E36" s="1669">
        <v>60.3</v>
      </c>
      <c r="F36" s="1670" t="s">
        <v>121</v>
      </c>
      <c r="G36" s="1670" t="s">
        <v>16</v>
      </c>
      <c r="H36" s="1671">
        <v>3666713.96</v>
      </c>
      <c r="I36" s="1668">
        <v>2</v>
      </c>
      <c r="J36" s="1670" t="s">
        <v>65</v>
      </c>
      <c r="K36" s="1670" t="s">
        <v>18</v>
      </c>
      <c r="L36" s="1709">
        <v>44407</v>
      </c>
      <c r="M36" s="1710" t="s">
        <v>17</v>
      </c>
      <c r="N36" s="1711" t="s">
        <v>472</v>
      </c>
      <c r="O36" s="1670" t="s">
        <v>67</v>
      </c>
      <c r="P36" s="1713" t="s">
        <v>473</v>
      </c>
      <c r="Q36" s="1736" t="s">
        <v>471</v>
      </c>
      <c r="R36" s="1737" t="s">
        <v>471</v>
      </c>
      <c r="S36" s="745" t="s">
        <v>471</v>
      </c>
    </row>
    <row r="37" spans="1:16382" hidden="1">
      <c r="A37" s="1667">
        <v>41</v>
      </c>
      <c r="B37" s="1670">
        <v>270</v>
      </c>
      <c r="C37" s="1670">
        <v>13164</v>
      </c>
      <c r="D37" s="1668" t="s">
        <v>77</v>
      </c>
      <c r="E37" s="1673">
        <v>25.91</v>
      </c>
      <c r="F37" s="1670" t="s">
        <v>121</v>
      </c>
      <c r="G37" s="1670" t="s">
        <v>84</v>
      </c>
      <c r="H37" s="1674">
        <v>2093488.1</v>
      </c>
      <c r="I37" s="1670">
        <v>0</v>
      </c>
      <c r="J37" s="1670" t="s">
        <v>85</v>
      </c>
      <c r="K37" s="1670" t="s">
        <v>18</v>
      </c>
      <c r="L37" s="1710"/>
      <c r="M37" s="1710" t="s">
        <v>474</v>
      </c>
      <c r="N37" s="1714" t="s">
        <v>475</v>
      </c>
      <c r="O37" s="1676"/>
      <c r="P37" s="1715" t="s">
        <v>476</v>
      </c>
      <c r="Q37" s="1736" t="s">
        <v>77</v>
      </c>
      <c r="R37" s="1737" t="s">
        <v>20</v>
      </c>
      <c r="S37" s="1737" t="s">
        <v>77</v>
      </c>
    </row>
    <row r="38" spans="1:16382" hidden="1">
      <c r="A38" s="1667">
        <v>20</v>
      </c>
      <c r="B38" s="1670">
        <v>583</v>
      </c>
      <c r="C38" s="1670">
        <v>8950</v>
      </c>
      <c r="D38" s="1668" t="s">
        <v>20</v>
      </c>
      <c r="E38" s="1673">
        <v>55.8</v>
      </c>
      <c r="F38" s="1670" t="s">
        <v>27</v>
      </c>
      <c r="G38" s="1670" t="s">
        <v>16</v>
      </c>
      <c r="H38" s="1674">
        <v>2700720</v>
      </c>
      <c r="I38" s="1670">
        <v>2</v>
      </c>
      <c r="J38" s="1670" t="s">
        <v>65</v>
      </c>
      <c r="K38" s="1670" t="s">
        <v>18</v>
      </c>
      <c r="L38" s="1710">
        <v>44408</v>
      </c>
      <c r="M38" s="1710" t="s">
        <v>17</v>
      </c>
      <c r="N38" s="1714" t="s">
        <v>477</v>
      </c>
      <c r="O38" s="1670" t="s">
        <v>67</v>
      </c>
      <c r="P38" s="1715" t="s">
        <v>67</v>
      </c>
      <c r="Q38" s="1738" t="s">
        <v>20</v>
      </c>
      <c r="R38" s="1737" t="s">
        <v>20</v>
      </c>
      <c r="S38" s="1737" t="s">
        <v>20</v>
      </c>
    </row>
    <row r="39" spans="1:16382" customFormat="1" hidden="1">
      <c r="A39" s="1667">
        <v>43</v>
      </c>
      <c r="B39" s="1670">
        <v>584</v>
      </c>
      <c r="C39" s="1670">
        <v>13715</v>
      </c>
      <c r="D39" s="1670" t="s">
        <v>73</v>
      </c>
      <c r="E39" s="1673">
        <v>82.27</v>
      </c>
      <c r="F39" s="1670" t="s">
        <v>27</v>
      </c>
      <c r="G39" s="1670" t="s">
        <v>16</v>
      </c>
      <c r="H39" s="1674">
        <v>3764675.2</v>
      </c>
      <c r="I39" s="1670">
        <v>3</v>
      </c>
      <c r="J39" s="1670" t="s">
        <v>65</v>
      </c>
      <c r="K39" s="1670" t="s">
        <v>12</v>
      </c>
      <c r="L39" s="1710">
        <v>44346</v>
      </c>
      <c r="M39" s="1710" t="s">
        <v>17</v>
      </c>
      <c r="N39" s="1714" t="s">
        <v>478</v>
      </c>
      <c r="O39" s="1670" t="s">
        <v>67</v>
      </c>
      <c r="P39" s="1715" t="s">
        <v>479</v>
      </c>
      <c r="Q39" s="1736" t="s">
        <v>73</v>
      </c>
      <c r="R39" s="1737" t="s">
        <v>73</v>
      </c>
      <c r="S39" s="745" t="s">
        <v>73</v>
      </c>
    </row>
    <row r="40" spans="1:16382" customFormat="1" hidden="1">
      <c r="A40" s="1667">
        <v>51</v>
      </c>
      <c r="B40" s="1670">
        <v>275</v>
      </c>
      <c r="C40" s="1670">
        <v>14161</v>
      </c>
      <c r="D40" s="1670" t="s">
        <v>73</v>
      </c>
      <c r="E40" s="1673">
        <v>37.89</v>
      </c>
      <c r="F40" s="1670" t="s">
        <v>121</v>
      </c>
      <c r="G40" s="1670" t="s">
        <v>16</v>
      </c>
      <c r="H40" s="1674">
        <v>2722557.78</v>
      </c>
      <c r="I40" s="1670">
        <v>1</v>
      </c>
      <c r="J40" s="1670" t="s">
        <v>65</v>
      </c>
      <c r="K40" s="1670" t="s">
        <v>18</v>
      </c>
      <c r="L40" s="1710">
        <v>44407</v>
      </c>
      <c r="M40" s="1710" t="s">
        <v>17</v>
      </c>
      <c r="N40" s="1714" t="s">
        <v>480</v>
      </c>
      <c r="O40" s="1670" t="s">
        <v>67</v>
      </c>
      <c r="P40" s="1715" t="s">
        <v>473</v>
      </c>
      <c r="Q40" s="1736" t="s">
        <v>73</v>
      </c>
      <c r="R40" s="1737" t="s">
        <v>63</v>
      </c>
      <c r="S40" s="745" t="s">
        <v>73</v>
      </c>
    </row>
    <row r="41" spans="1:16382" customFormat="1" hidden="1">
      <c r="A41" s="1667">
        <v>39</v>
      </c>
      <c r="B41" s="1670">
        <v>292</v>
      </c>
      <c r="C41" s="1670">
        <v>11458</v>
      </c>
      <c r="D41" s="1670" t="s">
        <v>77</v>
      </c>
      <c r="E41" s="1673">
        <v>25.91</v>
      </c>
      <c r="F41" s="1670" t="s">
        <v>121</v>
      </c>
      <c r="G41" s="1668" t="s">
        <v>16</v>
      </c>
      <c r="H41" s="1674">
        <v>2152501.75</v>
      </c>
      <c r="I41" s="1670">
        <v>0</v>
      </c>
      <c r="J41" s="1670" t="s">
        <v>65</v>
      </c>
      <c r="K41" s="1670" t="s">
        <v>18</v>
      </c>
      <c r="L41" s="1710">
        <v>44401</v>
      </c>
      <c r="M41" s="1710" t="s">
        <v>17</v>
      </c>
      <c r="N41" s="1714" t="s">
        <v>481</v>
      </c>
      <c r="O41" s="1670" t="s">
        <v>67</v>
      </c>
      <c r="P41" s="1715" t="s">
        <v>482</v>
      </c>
      <c r="Q41" s="1736" t="s">
        <v>77</v>
      </c>
      <c r="R41" s="1737" t="s">
        <v>20</v>
      </c>
      <c r="S41" s="1737" t="s">
        <v>77</v>
      </c>
    </row>
    <row r="42" spans="1:16382" customFormat="1" hidden="1">
      <c r="A42" s="1667">
        <v>34</v>
      </c>
      <c r="B42" s="1670">
        <v>591</v>
      </c>
      <c r="C42" s="1670">
        <v>13758</v>
      </c>
      <c r="D42" s="1670" t="s">
        <v>77</v>
      </c>
      <c r="E42" s="1673">
        <v>55.8</v>
      </c>
      <c r="F42" s="1670" t="s">
        <v>27</v>
      </c>
      <c r="G42" s="1668" t="s">
        <v>16</v>
      </c>
      <c r="H42" s="1674">
        <v>3446208</v>
      </c>
      <c r="I42" s="1670">
        <v>2</v>
      </c>
      <c r="J42" s="1670" t="s">
        <v>65</v>
      </c>
      <c r="K42" s="1670" t="s">
        <v>18</v>
      </c>
      <c r="L42" s="1710">
        <v>44397</v>
      </c>
      <c r="M42" s="1710" t="s">
        <v>17</v>
      </c>
      <c r="N42" s="1714" t="s">
        <v>483</v>
      </c>
      <c r="O42" s="1670" t="s">
        <v>67</v>
      </c>
      <c r="P42" s="1715" t="s">
        <v>484</v>
      </c>
      <c r="Q42" s="1738" t="s">
        <v>77</v>
      </c>
      <c r="R42" s="1737" t="s">
        <v>77</v>
      </c>
      <c r="S42" s="1737" t="s">
        <v>77</v>
      </c>
    </row>
    <row r="43" spans="1:16382" customFormat="1" ht="45" hidden="1">
      <c r="A43" s="1667">
        <v>1</v>
      </c>
      <c r="B43" s="1676">
        <v>598</v>
      </c>
      <c r="C43" s="1676">
        <v>11738</v>
      </c>
      <c r="D43" s="1676" t="s">
        <v>73</v>
      </c>
      <c r="E43" s="1676">
        <v>59.93</v>
      </c>
      <c r="F43" s="1676" t="s">
        <v>27</v>
      </c>
      <c r="G43" s="1780" t="s">
        <v>84</v>
      </c>
      <c r="H43" s="1674">
        <v>3196666.2</v>
      </c>
      <c r="I43" s="1676">
        <v>2</v>
      </c>
      <c r="J43" s="1670" t="s">
        <v>85</v>
      </c>
      <c r="K43" s="1670" t="s">
        <v>12</v>
      </c>
      <c r="L43" s="1720">
        <v>44403</v>
      </c>
      <c r="M43" s="1720" t="s">
        <v>17</v>
      </c>
      <c r="N43" s="1807" t="s">
        <v>485</v>
      </c>
      <c r="O43" s="1670" t="s">
        <v>67</v>
      </c>
      <c r="P43" s="1808" t="s">
        <v>486</v>
      </c>
      <c r="Q43" s="1738" t="s">
        <v>73</v>
      </c>
      <c r="R43" s="745" t="s">
        <v>77</v>
      </c>
      <c r="S43" s="745" t="s">
        <v>73</v>
      </c>
    </row>
    <row r="44" spans="1:16382" customFormat="1" hidden="1">
      <c r="A44" s="1667">
        <v>48</v>
      </c>
      <c r="B44" s="1670">
        <v>277</v>
      </c>
      <c r="C44" s="1670">
        <v>13978</v>
      </c>
      <c r="D44" s="1670" t="s">
        <v>471</v>
      </c>
      <c r="E44" s="1673">
        <v>62.7</v>
      </c>
      <c r="F44" s="1670" t="s">
        <v>74</v>
      </c>
      <c r="G44" s="1670" t="s">
        <v>16</v>
      </c>
      <c r="H44" s="1674">
        <v>3537668.18</v>
      </c>
      <c r="I44" s="1670">
        <v>2</v>
      </c>
      <c r="J44" s="1670" t="s">
        <v>65</v>
      </c>
      <c r="K44" s="1670" t="s">
        <v>18</v>
      </c>
      <c r="L44" s="1710">
        <v>44408</v>
      </c>
      <c r="M44" s="1710" t="s">
        <v>17</v>
      </c>
      <c r="N44" s="1714" t="s">
        <v>487</v>
      </c>
      <c r="O44" s="1670" t="s">
        <v>67</v>
      </c>
      <c r="P44" s="1715" t="s">
        <v>466</v>
      </c>
      <c r="Q44" s="1736" t="s">
        <v>471</v>
      </c>
      <c r="R44" s="1737" t="s">
        <v>471</v>
      </c>
      <c r="S44" s="745" t="s">
        <v>471</v>
      </c>
    </row>
    <row r="45" spans="1:16382" customFormat="1" hidden="1">
      <c r="A45" s="1667">
        <v>27</v>
      </c>
      <c r="B45" s="1670">
        <v>603</v>
      </c>
      <c r="C45" s="1670">
        <v>13307</v>
      </c>
      <c r="D45" s="1670" t="s">
        <v>20</v>
      </c>
      <c r="E45" s="1673">
        <v>40</v>
      </c>
      <c r="F45" s="1670" t="s">
        <v>27</v>
      </c>
      <c r="G45" s="1670" t="s">
        <v>84</v>
      </c>
      <c r="H45" s="1674">
        <v>2304720</v>
      </c>
      <c r="I45" s="1670">
        <v>1</v>
      </c>
      <c r="J45" s="1670" t="s">
        <v>130</v>
      </c>
      <c r="K45" s="1670" t="s">
        <v>18</v>
      </c>
      <c r="L45" s="1710">
        <v>44399</v>
      </c>
      <c r="M45" s="1710" t="s">
        <v>11</v>
      </c>
      <c r="N45" s="1714" t="s">
        <v>488</v>
      </c>
      <c r="O45" s="1670" t="s">
        <v>67</v>
      </c>
      <c r="P45" s="1715" t="s">
        <v>67</v>
      </c>
      <c r="Q45" s="1738" t="s">
        <v>20</v>
      </c>
      <c r="R45" s="1737" t="s">
        <v>20</v>
      </c>
      <c r="S45" s="1737" t="s">
        <v>20</v>
      </c>
    </row>
    <row r="46" spans="1:16382" customFormat="1" hidden="1">
      <c r="A46" s="1667">
        <v>4</v>
      </c>
      <c r="B46" s="1778">
        <v>295</v>
      </c>
      <c r="C46" s="1778">
        <v>13440</v>
      </c>
      <c r="D46" s="1778" t="s">
        <v>20</v>
      </c>
      <c r="E46" s="1778">
        <v>38.22</v>
      </c>
      <c r="F46" s="1778" t="s">
        <v>489</v>
      </c>
      <c r="G46" s="1778" t="s">
        <v>16</v>
      </c>
      <c r="H46" s="1777">
        <v>2261313.0499999998</v>
      </c>
      <c r="I46" s="1778">
        <v>1</v>
      </c>
      <c r="J46" s="1778" t="s">
        <v>65</v>
      </c>
      <c r="K46" s="1778" t="s">
        <v>18</v>
      </c>
      <c r="L46" s="1710">
        <v>44396</v>
      </c>
      <c r="M46" s="1800" t="s">
        <v>17</v>
      </c>
      <c r="N46" s="1809" t="s">
        <v>20</v>
      </c>
      <c r="O46" s="1670" t="s">
        <v>67</v>
      </c>
      <c r="P46" s="1715" t="s">
        <v>419</v>
      </c>
      <c r="Q46" s="1738" t="s">
        <v>20</v>
      </c>
      <c r="R46" s="1738" t="s">
        <v>20</v>
      </c>
      <c r="S46" s="1738" t="s">
        <v>20</v>
      </c>
    </row>
    <row r="47" spans="1:16382" hidden="1">
      <c r="A47" s="1667">
        <v>35</v>
      </c>
      <c r="B47" s="1676">
        <v>296</v>
      </c>
      <c r="C47" s="1676">
        <v>13631</v>
      </c>
      <c r="D47" s="1676" t="s">
        <v>407</v>
      </c>
      <c r="E47" s="1676">
        <v>86.58</v>
      </c>
      <c r="F47" s="1676" t="s">
        <v>121</v>
      </c>
      <c r="G47" s="1676" t="s">
        <v>16</v>
      </c>
      <c r="H47" s="1674">
        <v>5857509.29</v>
      </c>
      <c r="I47" s="1676">
        <v>3</v>
      </c>
      <c r="J47" s="1804" t="s">
        <v>65</v>
      </c>
      <c r="K47" s="1670" t="s">
        <v>18</v>
      </c>
      <c r="L47" s="1720">
        <v>44399</v>
      </c>
      <c r="M47" s="1720" t="s">
        <v>17</v>
      </c>
      <c r="N47" s="1807" t="s">
        <v>490</v>
      </c>
      <c r="O47" s="1670" t="s">
        <v>67</v>
      </c>
      <c r="P47" s="1808" t="s">
        <v>491</v>
      </c>
      <c r="Q47" s="1738" t="s">
        <v>407</v>
      </c>
      <c r="R47" s="1738" t="s">
        <v>407</v>
      </c>
      <c r="S47" s="1738" t="s">
        <v>407</v>
      </c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</row>
    <row r="48" spans="1:16382" customFormat="1" hidden="1">
      <c r="A48" s="1667">
        <v>31</v>
      </c>
      <c r="B48" s="1670">
        <v>302</v>
      </c>
      <c r="C48" s="1670">
        <v>10058</v>
      </c>
      <c r="D48" s="1670" t="s">
        <v>77</v>
      </c>
      <c r="E48" s="1673">
        <v>60.3</v>
      </c>
      <c r="F48" s="1670" t="s">
        <v>121</v>
      </c>
      <c r="G48" s="1670" t="s">
        <v>16</v>
      </c>
      <c r="H48" s="1674">
        <v>3507901.25</v>
      </c>
      <c r="I48" s="1670">
        <v>2</v>
      </c>
      <c r="J48" s="1670" t="s">
        <v>65</v>
      </c>
      <c r="K48" s="1670" t="s">
        <v>18</v>
      </c>
      <c r="L48" s="1710">
        <v>44393</v>
      </c>
      <c r="M48" s="1710" t="s">
        <v>17</v>
      </c>
      <c r="N48" s="1714" t="s">
        <v>492</v>
      </c>
      <c r="O48" s="1670" t="s">
        <v>67</v>
      </c>
      <c r="P48" s="1715" t="s">
        <v>419</v>
      </c>
      <c r="Q48" s="1738"/>
      <c r="R48" s="1737"/>
      <c r="S48" s="1737"/>
    </row>
    <row r="49" spans="1:19" customFormat="1" hidden="1">
      <c r="A49" s="1667">
        <v>6</v>
      </c>
      <c r="B49" s="1778">
        <v>611</v>
      </c>
      <c r="C49" s="1778">
        <v>13266</v>
      </c>
      <c r="D49" s="1676" t="s">
        <v>20</v>
      </c>
      <c r="E49" s="1778">
        <v>40</v>
      </c>
      <c r="F49" s="1676" t="s">
        <v>27</v>
      </c>
      <c r="G49" s="1676" t="s">
        <v>16</v>
      </c>
      <c r="H49" s="1674">
        <v>2304720</v>
      </c>
      <c r="I49" s="1778">
        <v>1</v>
      </c>
      <c r="J49" s="1804" t="s">
        <v>65</v>
      </c>
      <c r="K49" s="1670" t="s">
        <v>18</v>
      </c>
      <c r="L49" s="1800">
        <v>44400</v>
      </c>
      <c r="M49" s="1720" t="s">
        <v>11</v>
      </c>
      <c r="N49" s="1805" t="s">
        <v>493</v>
      </c>
      <c r="O49" s="1670" t="s">
        <v>67</v>
      </c>
      <c r="P49" s="1806" t="s">
        <v>452</v>
      </c>
      <c r="Q49" s="1825" t="s">
        <v>20</v>
      </c>
      <c r="R49" s="1737" t="s">
        <v>20</v>
      </c>
      <c r="S49" s="1737" t="s">
        <v>20</v>
      </c>
    </row>
    <row r="50" spans="1:19" customFormat="1" ht="18" hidden="1" customHeight="1">
      <c r="A50" s="1667"/>
      <c r="B50" s="1781"/>
      <c r="C50" s="1781"/>
      <c r="D50" s="1781"/>
      <c r="E50" s="1781"/>
      <c r="F50" s="1781"/>
      <c r="G50" s="1781"/>
      <c r="H50" s="1782"/>
      <c r="I50" s="1781"/>
      <c r="J50" s="1781"/>
      <c r="K50" s="1781"/>
      <c r="L50" s="1810"/>
      <c r="M50" s="1810"/>
      <c r="N50" s="1811"/>
      <c r="O50" s="1812"/>
      <c r="P50" s="1813"/>
      <c r="Q50" s="1825"/>
      <c r="R50" s="1737"/>
      <c r="S50" s="745"/>
    </row>
    <row r="51" spans="1:19" customFormat="1" ht="23.25" hidden="1" customHeight="1">
      <c r="A51" s="1667"/>
      <c r="B51" s="1739"/>
      <c r="C51" s="1739"/>
      <c r="D51" s="1739"/>
      <c r="E51" s="1783"/>
      <c r="F51" s="1739"/>
      <c r="G51" s="1739"/>
      <c r="H51" s="1784"/>
      <c r="I51" s="1739"/>
      <c r="J51" s="1739"/>
      <c r="K51" s="1739"/>
      <c r="L51" s="1814"/>
      <c r="M51" s="1814"/>
      <c r="N51" s="1815"/>
      <c r="O51" s="1672"/>
      <c r="P51" s="1816"/>
      <c r="Q51" s="1736"/>
      <c r="R51" s="1737"/>
      <c r="S51" s="745"/>
    </row>
    <row r="52" spans="1:19" customFormat="1" hidden="1">
      <c r="A52" s="1667"/>
      <c r="B52" s="1739"/>
      <c r="C52" s="1739"/>
      <c r="D52" s="1739"/>
      <c r="E52" s="1783"/>
      <c r="F52" s="1739"/>
      <c r="G52" s="1739"/>
      <c r="H52" s="1784"/>
      <c r="I52" s="1739"/>
      <c r="J52" s="1739"/>
      <c r="K52" s="1739"/>
      <c r="L52" s="1814"/>
      <c r="M52" s="1814"/>
      <c r="N52" s="1815"/>
      <c r="O52" s="1672"/>
      <c r="P52" s="1816"/>
      <c r="Q52" s="1736"/>
      <c r="R52" s="1737"/>
      <c r="S52" s="745"/>
    </row>
    <row r="53" spans="1:19" customFormat="1" ht="18" hidden="1" customHeight="1">
      <c r="A53" s="1785"/>
      <c r="B53" s="1680">
        <f>SUM(Июль[м2])</f>
        <v>2266.8000000000002</v>
      </c>
      <c r="C53" s="1681">
        <f>SUM(Июль[сумма])</f>
        <v>128548561.29000001</v>
      </c>
      <c r="D53" s="1682">
        <f>C53/B53</f>
        <v>56709.264730015879</v>
      </c>
      <c r="F53" s="1785"/>
      <c r="G53" s="1786"/>
      <c r="N53" s="1817"/>
      <c r="O53" s="1817"/>
      <c r="P53" s="1818"/>
      <c r="Q53" s="1817"/>
      <c r="R53" s="1652"/>
    </row>
    <row r="54" spans="1:19" customFormat="1">
      <c r="A54" s="1785"/>
      <c r="B54" s="1785"/>
      <c r="D54" s="1785"/>
      <c r="E54" s="1787"/>
      <c r="F54" s="1785"/>
      <c r="H54" s="1785"/>
      <c r="I54" s="1785"/>
      <c r="K54" s="58"/>
      <c r="L54" s="1785"/>
      <c r="M54" s="1785"/>
      <c r="N54" s="1817"/>
      <c r="O54" s="1785"/>
      <c r="P54" s="1818"/>
      <c r="Q54" s="1817"/>
    </row>
    <row r="55" spans="1:19" customFormat="1">
      <c r="A55" s="1628"/>
      <c r="B55" s="1629"/>
      <c r="C55" s="1630" t="s">
        <v>74</v>
      </c>
      <c r="D55" s="1629"/>
      <c r="E55" s="1629"/>
      <c r="F55" s="1629"/>
      <c r="G55" s="1629"/>
      <c r="H55" s="1629"/>
      <c r="I55" s="1629"/>
      <c r="J55" s="1629"/>
      <c r="K55" s="1629"/>
      <c r="L55" s="1629"/>
      <c r="M55" s="1629"/>
      <c r="N55" s="1629"/>
      <c r="O55" s="1629"/>
      <c r="P55" s="1819"/>
      <c r="Q55" s="1629"/>
    </row>
    <row r="56" spans="1:19" customFormat="1" ht="18" customHeight="1">
      <c r="A56" s="1631" t="s">
        <v>1</v>
      </c>
      <c r="B56" s="1632" t="s">
        <v>100</v>
      </c>
      <c r="C56" s="1632" t="s">
        <v>97</v>
      </c>
      <c r="D56" s="1631" t="s">
        <v>95</v>
      </c>
      <c r="E56" s="1788" t="s">
        <v>494</v>
      </c>
      <c r="F56" s="1631" t="s">
        <v>495</v>
      </c>
      <c r="G56" s="1631" t="s">
        <v>496</v>
      </c>
      <c r="H56" s="1633" t="s">
        <v>102</v>
      </c>
      <c r="I56" s="1633" t="s">
        <v>99</v>
      </c>
      <c r="J56" s="1788" t="s">
        <v>101</v>
      </c>
      <c r="K56" s="1631" t="s">
        <v>98</v>
      </c>
      <c r="L56" s="1631" t="s">
        <v>96</v>
      </c>
      <c r="M56" s="1631">
        <v>0</v>
      </c>
      <c r="N56" s="1631">
        <v>1</v>
      </c>
      <c r="O56" s="1631">
        <v>2</v>
      </c>
      <c r="P56" s="1631">
        <v>3</v>
      </c>
      <c r="Q56" s="1631">
        <v>4</v>
      </c>
    </row>
    <row r="57" spans="1:19" customFormat="1" ht="18" customHeight="1">
      <c r="A57" s="1641" t="s">
        <v>73</v>
      </c>
      <c r="B57" s="1634">
        <f t="shared" ref="B57:B62" si="0">$B$63/$D$63*D57</f>
        <v>213.5</v>
      </c>
      <c r="C57" s="1634">
        <f t="shared" ref="C57:C62" si="1">$C$63/$D$63*D57</f>
        <v>6432166.25</v>
      </c>
      <c r="D57" s="1641">
        <v>2</v>
      </c>
      <c r="E57" s="1789">
        <f>SUMIFS(Июль[м2],Июль[МОП],A57,Июль[№ дома],"Дом 1")</f>
        <v>0</v>
      </c>
      <c r="F57" s="1642">
        <f>SUMIFS(Июль[сумма],Июль[МОП],A57,Июль[№ дома],"Дом 1")</f>
        <v>0</v>
      </c>
      <c r="G57" s="1790">
        <f>COUNTIFS(Июль[МОП],A57,Июль[№ дома],"Дом 1")</f>
        <v>0</v>
      </c>
      <c r="H57" s="1791" t="e">
        <f t="shared" ref="H57:I62" si="2">J57/B57</f>
        <v>#REF!</v>
      </c>
      <c r="I57" s="1635" t="e">
        <f t="shared" si="2"/>
        <v>#REF!</v>
      </c>
      <c r="J57" s="1820" t="e">
        <f>SUMIFS(#REF!,#REF!,1,#REF!,A57,#REF!,"&lt;="&amp;$H$1,#REF!,"&gt;="&amp;DATE(YEAR($H$1),MONTH($H$1),1))</f>
        <v>#REF!</v>
      </c>
      <c r="K57" s="1820" t="e">
        <f>SUMIFS(#REF!,#REF!,1,#REF!,A57,#REF!,"&lt;="&amp;$H$1,#REF!,"&gt;="&amp;DATE(YEAR($H$1),MONTH($H$1),1))</f>
        <v>#REF!</v>
      </c>
      <c r="L57" s="1820" t="e">
        <f>COUNTIFS(#REF!,1,#REF!,A57,#REF!,"&lt;="&amp;$H$1,#REF!,"&gt;="&amp;DATE(YEAR($H$1),MONTH($H$1),1))</f>
        <v>#REF!</v>
      </c>
      <c r="M57" s="1820" t="e">
        <f>COUNTIFS(#REF!,M$56,#REF!,$A57,#REF!,1,#REF!,"&lt;="&amp;$H$1,#REF!,"&gt;="&amp;DATE(YEAR($H$1),MONTH($H$1),1))</f>
        <v>#REF!</v>
      </c>
      <c r="N57" s="1820" t="e">
        <f>COUNTIFS(#REF!,N$56,#REF!,$A57,#REF!,1,#REF!,"&lt;="&amp;$H$1,#REF!,"&gt;="&amp;DATE(YEAR($H$1),MONTH($H$1),1))</f>
        <v>#REF!</v>
      </c>
      <c r="O57" s="1820" t="e">
        <f>COUNTIFS(#REF!,O$56,#REF!,$A57,#REF!,1,#REF!,"&lt;="&amp;$H$1,#REF!,"&gt;="&amp;DATE(YEAR($H$1),MONTH($H$1),1))</f>
        <v>#REF!</v>
      </c>
      <c r="P57" s="1821" t="e">
        <f>COUNTIFS(#REF!,P$56,#REF!,$A57,#REF!,1,#REF!,"&lt;="&amp;$H$1,#REF!,"&gt;="&amp;DATE(YEAR($H$1),MONTH($H$1),1))</f>
        <v>#REF!</v>
      </c>
      <c r="Q57" s="1820" t="e">
        <f>COUNTIFS(#REF!,Q$56,#REF!,$A57,#REF!,1,#REF!,"&lt;="&amp;$H$1,#REF!,"&gt;="&amp;DATE(YEAR($H$1),MONTH($H$1),1))</f>
        <v>#REF!</v>
      </c>
    </row>
    <row r="58" spans="1:19" customFormat="1" ht="17.25" customHeight="1">
      <c r="A58" s="1641" t="s">
        <v>407</v>
      </c>
      <c r="B58" s="1634">
        <f t="shared" si="0"/>
        <v>106.75</v>
      </c>
      <c r="C58" s="1634">
        <f t="shared" si="1"/>
        <v>3216083.125</v>
      </c>
      <c r="D58" s="1641">
        <v>1</v>
      </c>
      <c r="E58" s="1789">
        <f>SUMIFS(Июль[м2],Июль[МОП],A58,Июль[№ дома],"Дом 1")</f>
        <v>0</v>
      </c>
      <c r="F58" s="1642">
        <f>SUMIFS(Июль[сумма],Июль[МОП],A58,Июль[№ дома],"Дом 1")</f>
        <v>0</v>
      </c>
      <c r="G58" s="1790">
        <f>COUNTIFS(Июль[МОП],A58,Июль[№ дома],"Дом 1")</f>
        <v>0</v>
      </c>
      <c r="H58" s="1791" t="e">
        <f t="shared" si="2"/>
        <v>#REF!</v>
      </c>
      <c r="I58" s="1635" t="e">
        <f t="shared" si="2"/>
        <v>#REF!</v>
      </c>
      <c r="J58" s="1820" t="e">
        <f>SUMIFS(#REF!,#REF!,1,#REF!,A58,#REF!,"&lt;="&amp;$H$1,#REF!,"&gt;="&amp;DATE(YEAR($H$1),MONTH($H$1),1))</f>
        <v>#REF!</v>
      </c>
      <c r="K58" s="1820" t="e">
        <f>SUMIFS(#REF!,#REF!,1,#REF!,A58,#REF!,"&lt;="&amp;$H$1,#REF!,"&gt;="&amp;DATE(YEAR($H$1),MONTH($H$1),1))</f>
        <v>#REF!</v>
      </c>
      <c r="L58" s="1820" t="e">
        <f>COUNTIFS(#REF!,1,#REF!,A58,#REF!,"&lt;="&amp;$H$1,#REF!,"&gt;="&amp;DATE(YEAR($H$1),MONTH($H$1),1))</f>
        <v>#REF!</v>
      </c>
      <c r="M58" s="1820" t="e">
        <f>COUNTIFS(#REF!,M$56,#REF!,$A58,#REF!,1,#REF!,"&lt;="&amp;$H$1,#REF!,"&gt;="&amp;DATE(YEAR($H$1),MONTH($H$1),1))</f>
        <v>#REF!</v>
      </c>
      <c r="N58" s="1820" t="e">
        <f>COUNTIFS(#REF!,N$56,#REF!,$A58,#REF!,1,#REF!,"&lt;="&amp;$H$1,#REF!,"&gt;="&amp;DATE(YEAR($H$1),MONTH($H$1),1))</f>
        <v>#REF!</v>
      </c>
      <c r="O58" s="1820" t="e">
        <f>COUNTIFS(#REF!,O$56,#REF!,$A58,#REF!,1,#REF!,"&lt;="&amp;$H$1,#REF!,"&gt;="&amp;DATE(YEAR($H$1),MONTH($H$1),1))</f>
        <v>#REF!</v>
      </c>
      <c r="P58" s="1821" t="e">
        <f>COUNTIFS(#REF!,P$56,#REF!,$A58,#REF!,1,#REF!,"&lt;="&amp;$H$1,#REF!,"&gt;="&amp;DATE(YEAR($H$1),MONTH($H$1),1))</f>
        <v>#REF!</v>
      </c>
      <c r="Q58" s="1820" t="e">
        <f>COUNTIFS(#REF!,Q$56,#REF!,$A58,#REF!,1,#REF!,"&lt;="&amp;$H$1,#REF!,"&gt;="&amp;DATE(YEAR($H$1),MONTH($H$1),1))</f>
        <v>#REF!</v>
      </c>
    </row>
    <row r="59" spans="1:19" customFormat="1" ht="27" customHeight="1">
      <c r="A59" s="1641" t="s">
        <v>77</v>
      </c>
      <c r="B59" s="1634">
        <f t="shared" si="0"/>
        <v>106.75</v>
      </c>
      <c r="C59" s="1634">
        <f t="shared" si="1"/>
        <v>3216083.125</v>
      </c>
      <c r="D59" s="1641">
        <v>1</v>
      </c>
      <c r="E59" s="1789">
        <f>SUMIFS(Июль[м2],Июль[МОП],A59,Июль[№ дома],"Дом 1")</f>
        <v>65.78</v>
      </c>
      <c r="F59" s="1642">
        <f>SUMIFS(Июль[сумма],Июль[МОП],A59,Июль[№ дома],"Дом 1")</f>
        <v>3769851.8</v>
      </c>
      <c r="G59" s="1790">
        <f>COUNTIFS(Июль[МОП],A59,Июль[№ дома],"Дом 1")</f>
        <v>1</v>
      </c>
      <c r="H59" s="1791" t="e">
        <f t="shared" si="2"/>
        <v>#REF!</v>
      </c>
      <c r="I59" s="1635" t="e">
        <f t="shared" si="2"/>
        <v>#REF!</v>
      </c>
      <c r="J59" s="1820" t="e">
        <f>SUMIFS(#REF!,#REF!,1,#REF!,A59,#REF!,"&lt;="&amp;$H$1,#REF!,"&gt;="&amp;DATE(YEAR($H$1),MONTH($H$1),1))</f>
        <v>#REF!</v>
      </c>
      <c r="K59" s="1820" t="e">
        <f>SUMIFS(#REF!,#REF!,1,#REF!,A59,#REF!,"&lt;="&amp;$H$1,#REF!,"&gt;="&amp;DATE(YEAR($H$1),MONTH($H$1),1))</f>
        <v>#REF!</v>
      </c>
      <c r="L59" s="1820" t="e">
        <f>COUNTIFS(#REF!,1,#REF!,A59,#REF!,"&lt;="&amp;$H$1,#REF!,"&gt;="&amp;DATE(YEAR($H$1),MONTH($H$1),1))</f>
        <v>#REF!</v>
      </c>
      <c r="M59" s="1820" t="e">
        <f>COUNTIFS(#REF!,M$56,#REF!,$A59,#REF!,1,#REF!,"&lt;="&amp;$H$1,#REF!,"&gt;="&amp;DATE(YEAR($H$1),MONTH($H$1),1))</f>
        <v>#REF!</v>
      </c>
      <c r="N59" s="1820" t="e">
        <f>COUNTIFS(#REF!,N$56,#REF!,$A59,#REF!,1,#REF!,"&lt;="&amp;$H$1,#REF!,"&gt;="&amp;DATE(YEAR($H$1),MONTH($H$1),1))</f>
        <v>#REF!</v>
      </c>
      <c r="O59" s="1820" t="e">
        <f>COUNTIFS(#REF!,O$56,#REF!,$A59,#REF!,1,#REF!,"&lt;="&amp;$H$1,#REF!,"&gt;="&amp;DATE(YEAR($H$1),MONTH($H$1),1))</f>
        <v>#REF!</v>
      </c>
      <c r="P59" s="1821" t="e">
        <f>COUNTIFS(#REF!,P$56,#REF!,$A59,#REF!,1,#REF!,"&lt;="&amp;$H$1,#REF!,"&gt;="&amp;DATE(YEAR($H$1),MONTH($H$1),1))</f>
        <v>#REF!</v>
      </c>
      <c r="Q59" s="1820" t="e">
        <f>COUNTIFS(#REF!,Q$56,#REF!,$A59,#REF!,1,#REF!,"&lt;="&amp;$H$1,#REF!,"&gt;="&amp;DATE(YEAR($H$1),MONTH($H$1),1))</f>
        <v>#REF!</v>
      </c>
    </row>
    <row r="60" spans="1:19" customFormat="1">
      <c r="A60" s="1641" t="s">
        <v>471</v>
      </c>
      <c r="B60" s="1634">
        <f t="shared" si="0"/>
        <v>106.75</v>
      </c>
      <c r="C60" s="1634">
        <f t="shared" si="1"/>
        <v>3216083.125</v>
      </c>
      <c r="D60" s="1641">
        <v>1</v>
      </c>
      <c r="E60" s="1789">
        <f>SUMIFS(Июль[м2],Июль[МОП],A60,Июль[№ дома],"Дом 1")</f>
        <v>62.7</v>
      </c>
      <c r="F60" s="1642">
        <f>SUMIFS(Июль[сумма],Июль[МОП],A60,Июль[№ дома],"Дом 1")</f>
        <v>3537668.18</v>
      </c>
      <c r="G60" s="1790">
        <f>COUNTIFS(Июль[МОП],A60,Июль[№ дома],"Дом 1")</f>
        <v>1</v>
      </c>
      <c r="H60" s="1791" t="e">
        <f t="shared" si="2"/>
        <v>#REF!</v>
      </c>
      <c r="I60" s="1635" t="e">
        <f t="shared" si="2"/>
        <v>#REF!</v>
      </c>
      <c r="J60" s="1820" t="e">
        <f>SUMIFS(#REF!,#REF!,1,#REF!,A60,#REF!,"&lt;="&amp;$H$1,#REF!,"&gt;="&amp;DATE(YEAR($H$1),MONTH($H$1),1))</f>
        <v>#REF!</v>
      </c>
      <c r="K60" s="1820" t="e">
        <f>SUMIFS(#REF!,#REF!,1,#REF!,A60,#REF!,"&lt;="&amp;$H$1,#REF!,"&gt;="&amp;DATE(YEAR($H$1),MONTH($H$1),1))</f>
        <v>#REF!</v>
      </c>
      <c r="L60" s="1820" t="e">
        <f>COUNTIFS(#REF!,1,#REF!,A60,#REF!,"&lt;="&amp;$H$1,#REF!,"&gt;="&amp;DATE(YEAR($H$1),MONTH($H$1),1))</f>
        <v>#REF!</v>
      </c>
      <c r="M60" s="1820" t="e">
        <f>COUNTIFS(#REF!,M$56,#REF!,$A60,#REF!,1,#REF!,"&lt;="&amp;$H$1,#REF!,"&gt;="&amp;DATE(YEAR($H$1),MONTH($H$1),1))</f>
        <v>#REF!</v>
      </c>
      <c r="N60" s="1820" t="e">
        <f>COUNTIFS(#REF!,N$56,#REF!,$A60,#REF!,1,#REF!,"&lt;="&amp;$H$1,#REF!,"&gt;="&amp;DATE(YEAR($H$1),MONTH($H$1),1))</f>
        <v>#REF!</v>
      </c>
      <c r="O60" s="1820" t="e">
        <f>COUNTIFS(#REF!,O$56,#REF!,$A60,#REF!,1,#REF!,"&lt;="&amp;$H$1,#REF!,"&gt;="&amp;DATE(YEAR($H$1),MONTH($H$1),1))</f>
        <v>#REF!</v>
      </c>
      <c r="P60" s="1821" t="e">
        <f>COUNTIFS(#REF!,P$56,#REF!,$A60,#REF!,1,#REF!,"&lt;="&amp;$H$1,#REF!,"&gt;="&amp;DATE(YEAR($H$1),MONTH($H$1),1))</f>
        <v>#REF!</v>
      </c>
      <c r="Q60" s="1820" t="e">
        <f>COUNTIFS(#REF!,Q$56,#REF!,$A60,#REF!,1,#REF!,"&lt;="&amp;$H$1,#REF!,"&gt;="&amp;DATE(YEAR($H$1),MONTH($H$1),1))</f>
        <v>#REF!</v>
      </c>
    </row>
    <row r="61" spans="1:19" customFormat="1">
      <c r="A61" s="1641" t="s">
        <v>20</v>
      </c>
      <c r="B61" s="1634">
        <f t="shared" si="0"/>
        <v>213.5</v>
      </c>
      <c r="C61" s="1634">
        <f t="shared" si="1"/>
        <v>6432166.25</v>
      </c>
      <c r="D61" s="1641">
        <v>2</v>
      </c>
      <c r="E61" s="1789">
        <f>SUMIFS(Июль[м2],Июль[МОП],A61,Июль[№ дома],"Дом 1")</f>
        <v>0</v>
      </c>
      <c r="F61" s="1642">
        <f>SUMIFS(Июль[сумма],Июль[МОП],A61,Июль[№ дома],"Дом 1")</f>
        <v>0</v>
      </c>
      <c r="G61" s="1790">
        <f>COUNTIFS(Июль[МОП],A61,Июль[№ дома],"Дом 1")</f>
        <v>0</v>
      </c>
      <c r="H61" s="1791" t="e">
        <f t="shared" si="2"/>
        <v>#REF!</v>
      </c>
      <c r="I61" s="1635" t="e">
        <f t="shared" si="2"/>
        <v>#REF!</v>
      </c>
      <c r="J61" s="1820" t="e">
        <f>SUMIFS(#REF!,#REF!,1,#REF!,A61,#REF!,"&lt;="&amp;$H$1,#REF!,"&gt;="&amp;DATE(YEAR($H$1),MONTH($H$1),1))</f>
        <v>#REF!</v>
      </c>
      <c r="K61" s="1820" t="e">
        <f>SUMIFS(#REF!,#REF!,1,#REF!,A61,#REF!,"&lt;="&amp;$H$1,#REF!,"&gt;="&amp;DATE(YEAR($H$1),MONTH($H$1),1))</f>
        <v>#REF!</v>
      </c>
      <c r="L61" s="1820" t="e">
        <f>COUNTIFS(#REF!,1,#REF!,A61,#REF!,"&lt;="&amp;$H$1,#REF!,"&gt;="&amp;DATE(YEAR($H$1),MONTH($H$1),1))</f>
        <v>#REF!</v>
      </c>
      <c r="M61" s="1820" t="e">
        <f>COUNTIFS(#REF!,M$56,#REF!,$A61,#REF!,1,#REF!,"&lt;="&amp;$H$1,#REF!,"&gt;="&amp;DATE(YEAR($H$1),MONTH($H$1),1))</f>
        <v>#REF!</v>
      </c>
      <c r="N61" s="1820" t="e">
        <f>COUNTIFS(#REF!,N$56,#REF!,$A61,#REF!,1,#REF!,"&lt;="&amp;$H$1,#REF!,"&gt;="&amp;DATE(YEAR($H$1),MONTH($H$1),1))</f>
        <v>#REF!</v>
      </c>
      <c r="O61" s="1820" t="e">
        <f>COUNTIFS(#REF!,O$56,#REF!,$A61,#REF!,1,#REF!,"&lt;="&amp;$H$1,#REF!,"&gt;="&amp;DATE(YEAR($H$1),MONTH($H$1),1))</f>
        <v>#REF!</v>
      </c>
      <c r="P61" s="1821" t="e">
        <f>COUNTIFS(#REF!,P$56,#REF!,$A61,#REF!,1,#REF!,"&lt;="&amp;$H$1,#REF!,"&gt;="&amp;DATE(YEAR($H$1),MONTH($H$1),1))</f>
        <v>#REF!</v>
      </c>
      <c r="Q61" s="1820" t="e">
        <f>COUNTIFS(#REF!,Q$56,#REF!,$A61,#REF!,1,#REF!,"&lt;="&amp;$H$1,#REF!,"&gt;="&amp;DATE(YEAR($H$1),MONTH($H$1),1))</f>
        <v>#REF!</v>
      </c>
    </row>
    <row r="62" spans="1:19" customFormat="1">
      <c r="A62" s="1641" t="s">
        <v>63</v>
      </c>
      <c r="B62" s="1634">
        <f t="shared" si="0"/>
        <v>106.75</v>
      </c>
      <c r="C62" s="1634">
        <f t="shared" si="1"/>
        <v>3216083.125</v>
      </c>
      <c r="D62" s="1641">
        <v>1</v>
      </c>
      <c r="E62" s="1789">
        <f>SUMIFS(Июль[м2],Июль[МОП],A62,Июль[№ дома],"Дом 1")</f>
        <v>0</v>
      </c>
      <c r="F62" s="1642">
        <f>SUMIFS(Июль[сумма],Июль[МОП],A62,Июль[№ дома],"Дом 1")</f>
        <v>0</v>
      </c>
      <c r="G62" s="1790">
        <f>COUNTIFS(Июль[МОП],A62,Июль[№ дома],"Дом 1")</f>
        <v>0</v>
      </c>
      <c r="H62" s="1791" t="e">
        <f t="shared" si="2"/>
        <v>#REF!</v>
      </c>
      <c r="I62" s="1635" t="e">
        <f t="shared" si="2"/>
        <v>#REF!</v>
      </c>
      <c r="J62" s="1820" t="e">
        <f>SUMIFS(#REF!,#REF!,1,#REF!,A62,#REF!,"&lt;="&amp;$H$1,#REF!,"&gt;="&amp;DATE(YEAR($H$1),MONTH($H$1),1))</f>
        <v>#REF!</v>
      </c>
      <c r="K62" s="1820" t="e">
        <f>SUMIFS(#REF!,#REF!,1,#REF!,A62,#REF!,"&lt;="&amp;$H$1,#REF!,"&gt;="&amp;DATE(YEAR($H$1),MONTH($H$1),1))</f>
        <v>#REF!</v>
      </c>
      <c r="L62" s="1820" t="e">
        <f>COUNTIFS(#REF!,1,#REF!,A62,#REF!,"&lt;="&amp;$H$1,#REF!,"&gt;="&amp;DATE(YEAR($H$1),MONTH($H$1),1))</f>
        <v>#REF!</v>
      </c>
      <c r="M62" s="1820" t="e">
        <f>COUNTIFS(#REF!,M$56,#REF!,$A62,#REF!,1,#REF!,"&lt;="&amp;$H$1,#REF!,"&gt;="&amp;DATE(YEAR($H$1),MONTH($H$1),1))</f>
        <v>#REF!</v>
      </c>
      <c r="N62" s="1820" t="e">
        <f>COUNTIFS(#REF!,N$56,#REF!,$A62,#REF!,1,#REF!,"&lt;="&amp;$H$1,#REF!,"&gt;="&amp;DATE(YEAR($H$1),MONTH($H$1),1))</f>
        <v>#REF!</v>
      </c>
      <c r="O62" s="1820" t="e">
        <f>COUNTIFS(#REF!,O$56,#REF!,$A62,#REF!,1,#REF!,"&lt;="&amp;$H$1,#REF!,"&gt;="&amp;DATE(YEAR($H$1),MONTH($H$1),1))</f>
        <v>#REF!</v>
      </c>
      <c r="P62" s="1821" t="e">
        <f>COUNTIFS(#REF!,P$56,#REF!,$A62,#REF!,1,#REF!,"&lt;="&amp;$H$1,#REF!,"&gt;="&amp;DATE(YEAR($H$1),MONTH($H$1),1))</f>
        <v>#REF!</v>
      </c>
      <c r="Q62" s="1820" t="e">
        <f>COUNTIFS(#REF!,Q$56,#REF!,$A62,#REF!,1,#REF!,"&lt;="&amp;$H$1,#REF!,"&gt;="&amp;DATE(YEAR($H$1),MONTH($H$1),1))</f>
        <v>#REF!</v>
      </c>
    </row>
    <row r="63" spans="1:19" customFormat="1">
      <c r="A63" s="1630" t="s">
        <v>114</v>
      </c>
      <c r="B63" s="1636">
        <v>854</v>
      </c>
      <c r="C63" s="1636">
        <f>25728665</f>
        <v>25728665</v>
      </c>
      <c r="D63" s="1630">
        <f>SUM(D57:D62)</f>
        <v>8</v>
      </c>
      <c r="E63" s="1792">
        <f>SUM(E57:E62)</f>
        <v>128.48000000000002</v>
      </c>
      <c r="F63" s="1793">
        <f>SUM(F57:F62)</f>
        <v>7307519.9800000004</v>
      </c>
      <c r="G63" s="1794">
        <f>SUM(G57:G62)</f>
        <v>2</v>
      </c>
      <c r="H63" s="1795">
        <f>E63/B63</f>
        <v>0.15044496487119441</v>
      </c>
      <c r="I63" s="1650">
        <f>F63/C63</f>
        <v>0.28402250874656731</v>
      </c>
      <c r="J63" s="1822" t="e">
        <f t="shared" ref="J63:Q63" si="3">SUM(J57:J62)</f>
        <v>#REF!</v>
      </c>
      <c r="K63" s="1822" t="e">
        <f t="shared" si="3"/>
        <v>#REF!</v>
      </c>
      <c r="L63" s="1822" t="e">
        <f t="shared" si="3"/>
        <v>#REF!</v>
      </c>
      <c r="M63" s="1822" t="e">
        <f t="shared" si="3"/>
        <v>#REF!</v>
      </c>
      <c r="N63" s="1822" t="e">
        <f t="shared" si="3"/>
        <v>#REF!</v>
      </c>
      <c r="O63" s="1822" t="e">
        <f t="shared" si="3"/>
        <v>#REF!</v>
      </c>
      <c r="P63" s="1823" t="e">
        <f t="shared" si="3"/>
        <v>#REF!</v>
      </c>
      <c r="Q63" s="1822" t="e">
        <f t="shared" si="3"/>
        <v>#REF!</v>
      </c>
    </row>
    <row r="64" spans="1:19" customFormat="1" ht="15" customHeight="1">
      <c r="A64" s="1638" t="s">
        <v>115</v>
      </c>
      <c r="B64" s="1639">
        <v>817</v>
      </c>
      <c r="C64" s="1639" t="s">
        <v>97</v>
      </c>
      <c r="D64" s="1631" t="s">
        <v>95</v>
      </c>
      <c r="E64" s="1788" t="s">
        <v>494</v>
      </c>
      <c r="F64" s="1631" t="s">
        <v>495</v>
      </c>
      <c r="G64" s="1631" t="s">
        <v>496</v>
      </c>
      <c r="H64" s="1633" t="s">
        <v>102</v>
      </c>
      <c r="I64" s="1633" t="s">
        <v>99</v>
      </c>
      <c r="J64" s="1788" t="s">
        <v>101</v>
      </c>
      <c r="K64" s="1631" t="s">
        <v>98</v>
      </c>
      <c r="L64" s="1631" t="s">
        <v>96</v>
      </c>
      <c r="M64" s="1631">
        <v>0</v>
      </c>
      <c r="N64" s="1631">
        <v>1</v>
      </c>
      <c r="O64" s="1631">
        <v>2</v>
      </c>
      <c r="P64" s="1631">
        <v>3</v>
      </c>
      <c r="Q64" s="1631">
        <v>4</v>
      </c>
    </row>
    <row r="65" spans="1:19" customFormat="1" ht="27" customHeight="1">
      <c r="A65" s="1641"/>
      <c r="B65" s="1634"/>
      <c r="C65" s="1634"/>
      <c r="D65" s="1641"/>
      <c r="E65" s="1642"/>
      <c r="F65" s="1642"/>
      <c r="G65" s="745"/>
      <c r="H65" s="1791">
        <f>IFERROR(E65/B65,0)</f>
        <v>0</v>
      </c>
      <c r="I65" s="1635">
        <f>IFERROR(F65/C65,0)</f>
        <v>0</v>
      </c>
      <c r="J65" s="751"/>
      <c r="K65" s="1829"/>
      <c r="L65" s="751"/>
      <c r="M65" s="751"/>
      <c r="N65" s="1829"/>
      <c r="O65" s="751"/>
      <c r="P65" s="1830"/>
      <c r="Q65" s="751"/>
    </row>
    <row r="66" spans="1:19" customFormat="1">
      <c r="A66" s="1641" t="s">
        <v>16</v>
      </c>
      <c r="B66" s="1634">
        <f>B63/D63*D66</f>
        <v>640.5</v>
      </c>
      <c r="C66" s="1634">
        <f>C63/D63*D66</f>
        <v>19296498.75</v>
      </c>
      <c r="D66" s="1641">
        <v>6</v>
      </c>
      <c r="E66" s="1642">
        <f>SUMIFS(Июль[м2],Июль[ИМ],A66,Июль[№ дома],"Дом 1")</f>
        <v>128.48000000000002</v>
      </c>
      <c r="F66" s="1642">
        <f>SUMIFS(Июль[сумма],Июль[ИМ],A66,Июль[№ дома],"Дом 1")</f>
        <v>7307519.9800000004</v>
      </c>
      <c r="G66" s="745">
        <f>COUNTIFS(Июль[ИМ],A66,Июль[№ дома],"Дом 1")</f>
        <v>2</v>
      </c>
      <c r="H66" s="1791">
        <f>E66/B66</f>
        <v>0.20059328649492586</v>
      </c>
      <c r="I66" s="1635">
        <f>F66/C66</f>
        <v>0.37869667832875642</v>
      </c>
      <c r="J66" s="751"/>
      <c r="K66" s="751"/>
      <c r="L66" s="751"/>
      <c r="M66" s="751">
        <f>COUNTIFS(Июль[форма опл],$J$56,Июль[ИМ],$A$66,Июль[№ дома],"Дом 1")</f>
        <v>0</v>
      </c>
      <c r="N66" s="751">
        <f>COUNTIFS(Июль[форма опл],$K$56,Июль[ИМ],$A$66,Июль[№ дома],"Дом 1")</f>
        <v>0</v>
      </c>
      <c r="O66" s="751">
        <f>COUNTIFS(Июль[форма опл],$L$56,Июль[ИМ],$A$66,Июль[№ дома],"Дом 1")</f>
        <v>0</v>
      </c>
      <c r="P66" s="1830">
        <f>COUNTIFS(Июль[форма опл],$M$56,Июль[ИМ],$A$66,Июль[№ дома],"Дом 1")</f>
        <v>0</v>
      </c>
      <c r="Q66" s="751">
        <f>COUNTIFS(Июль[форма опл],$N$56,Июль[ИМ],$A$66,Июль[№ дома],"Дом 1")</f>
        <v>0</v>
      </c>
    </row>
    <row r="67" spans="1:19" customFormat="1">
      <c r="A67" s="1630" t="s">
        <v>114</v>
      </c>
      <c r="B67" s="1636">
        <f t="shared" ref="B67:G67" si="4">SUM(B65:B66)</f>
        <v>640.5</v>
      </c>
      <c r="C67" s="1636">
        <f t="shared" si="4"/>
        <v>19296498.75</v>
      </c>
      <c r="D67" s="1630">
        <f t="shared" si="4"/>
        <v>6</v>
      </c>
      <c r="E67" s="1793">
        <f t="shared" si="4"/>
        <v>128.48000000000002</v>
      </c>
      <c r="F67" s="1793">
        <f t="shared" si="4"/>
        <v>7307519.9800000004</v>
      </c>
      <c r="G67" s="1630">
        <f t="shared" si="4"/>
        <v>2</v>
      </c>
      <c r="H67" s="1650">
        <f>E67/B67</f>
        <v>0.20059328649492586</v>
      </c>
      <c r="I67" s="1650">
        <f>F67/C67</f>
        <v>0.37869667832875642</v>
      </c>
      <c r="J67" s="1831"/>
      <c r="K67" s="1831"/>
      <c r="L67" s="1831"/>
      <c r="M67" s="1831">
        <f>SUM(M65:M66)</f>
        <v>0</v>
      </c>
      <c r="N67" s="1831">
        <f>SUM(N65:N66)</f>
        <v>0</v>
      </c>
      <c r="O67" s="1831">
        <f>SUM(O65:O66)</f>
        <v>0</v>
      </c>
      <c r="P67" s="1832">
        <f>SUM(P65:P66)</f>
        <v>0</v>
      </c>
      <c r="Q67" s="1831">
        <f>SUM(Q65:Q66)</f>
        <v>0</v>
      </c>
    </row>
    <row r="68" spans="1:19" customFormat="1">
      <c r="A68" s="1643"/>
      <c r="B68" s="1644"/>
      <c r="C68" s="1644"/>
      <c r="D68" s="1643"/>
      <c r="E68" s="1645"/>
      <c r="F68" s="1645"/>
      <c r="G68" s="1643"/>
      <c r="H68" s="1646"/>
      <c r="I68" s="1646"/>
      <c r="J68" s="1833"/>
      <c r="K68" s="1833"/>
      <c r="L68" s="1833"/>
      <c r="M68" s="1833"/>
      <c r="N68" s="1833"/>
      <c r="O68" s="1785"/>
      <c r="P68" s="1818"/>
    </row>
    <row r="69" spans="1:19" customFormat="1">
      <c r="A69" s="1628" t="s">
        <v>411</v>
      </c>
      <c r="B69" s="1647"/>
      <c r="C69" s="1636" t="s">
        <v>121</v>
      </c>
      <c r="D69" s="1629"/>
      <c r="E69" s="1648"/>
      <c r="F69" s="1648"/>
      <c r="G69" s="1629"/>
      <c r="H69" s="1649"/>
      <c r="I69" s="1649"/>
      <c r="J69" s="1629"/>
      <c r="K69" s="1629"/>
      <c r="L69" s="1629"/>
      <c r="M69" s="1629"/>
      <c r="N69" s="1629"/>
      <c r="O69" s="1629"/>
      <c r="P69" s="1819"/>
      <c r="Q69" s="1629"/>
    </row>
    <row r="70" spans="1:19" customFormat="1" ht="17.25" customHeight="1">
      <c r="A70" s="1631" t="s">
        <v>1</v>
      </c>
      <c r="B70" s="1639" t="s">
        <v>100</v>
      </c>
      <c r="C70" s="1639" t="s">
        <v>97</v>
      </c>
      <c r="D70" s="1631" t="s">
        <v>95</v>
      </c>
      <c r="E70" s="1788" t="s">
        <v>494</v>
      </c>
      <c r="F70" s="1631" t="s">
        <v>495</v>
      </c>
      <c r="G70" s="1631" t="s">
        <v>496</v>
      </c>
      <c r="H70" s="1633" t="s">
        <v>102</v>
      </c>
      <c r="I70" s="1633" t="s">
        <v>99</v>
      </c>
      <c r="J70" s="1788" t="s">
        <v>101</v>
      </c>
      <c r="K70" s="1631" t="s">
        <v>98</v>
      </c>
      <c r="L70" s="1631" t="s">
        <v>96</v>
      </c>
      <c r="M70" s="1631">
        <v>0</v>
      </c>
      <c r="N70" s="1631">
        <v>1</v>
      </c>
      <c r="O70" s="1631">
        <v>2</v>
      </c>
      <c r="P70" s="1631">
        <v>3</v>
      </c>
      <c r="Q70" s="1631">
        <v>4</v>
      </c>
    </row>
    <row r="71" spans="1:19" customFormat="1" ht="17.25" customHeight="1">
      <c r="A71" s="1641" t="s">
        <v>73</v>
      </c>
      <c r="B71" s="1634">
        <f t="shared" ref="B71:B76" si="5">$B$77/$D$77*D71</f>
        <v>149.53846153846155</v>
      </c>
      <c r="C71" s="1634">
        <f t="shared" ref="C71:C76" si="6">$C$77/$D$77*D71</f>
        <v>7647794.8799022678</v>
      </c>
      <c r="D71" s="1641">
        <v>3</v>
      </c>
      <c r="E71" s="1789">
        <f>SUMIFS(Июль[м2],Июль[МОП],A71,Июль[№ дома],"Дом 2")</f>
        <v>181.39999999999998</v>
      </c>
      <c r="F71" s="1642">
        <f>SUMIFS(Июль[сумма],Июль[МОП],A71,Июль[№ дома],"Дом 2")</f>
        <v>10958436.92</v>
      </c>
      <c r="G71" s="1790">
        <f>COUNTIFS(Июль[МОП],A71,Июль[№ дома],"Дом 2")</f>
        <v>3</v>
      </c>
      <c r="H71" s="1791" t="e">
        <f t="shared" ref="H71:I77" si="7">J71/B71</f>
        <v>#REF!</v>
      </c>
      <c r="I71" s="1635" t="e">
        <f t="shared" si="7"/>
        <v>#REF!</v>
      </c>
      <c r="J71" s="1820" t="e">
        <f>SUMIFS(#REF!,#REF!,2,#REF!,A71,#REF!,"&lt;="&amp;$H$1,#REF!,"&gt;="&amp;DATE(YEAR($H$1),MONTH($H$1),1))</f>
        <v>#REF!</v>
      </c>
      <c r="K71" s="1820" t="e">
        <f>SUMIFS(#REF!,#REF!,2,#REF!,A71,#REF!,"&lt;="&amp;$H$1,#REF!,"&gt;="&amp;DATE(YEAR($H$1),MONTH($H$1),1))</f>
        <v>#REF!</v>
      </c>
      <c r="L71" s="1820" t="e">
        <f>COUNTIFS(#REF!,2,#REF!,A71,#REF!,"&lt;="&amp;$H$1,#REF!,"&gt;="&amp;DATE(YEAR($H$1),MONTH($H$1),1))</f>
        <v>#REF!</v>
      </c>
      <c r="M71" s="1820" t="e">
        <f>COUNTIFS(#REF!,M$56,#REF!,$A71,#REF!,2,#REF!,"&lt;="&amp;$H$1,#REF!,"&gt;="&amp;DATE(YEAR($H$1),MONTH($H$1),1))</f>
        <v>#REF!</v>
      </c>
      <c r="N71" s="1820" t="e">
        <f>COUNTIFS(#REF!,N$56,#REF!,$A71,#REF!,2,#REF!,"&lt;="&amp;$H$1,#REF!,"&gt;="&amp;DATE(YEAR($H$1),MONTH($H$1),1))</f>
        <v>#REF!</v>
      </c>
      <c r="O71" s="1820" t="e">
        <f>COUNTIFS(#REF!,O$56,#REF!,$A71,#REF!,2,#REF!,"&lt;="&amp;$H$1,#REF!,"&gt;="&amp;DATE(YEAR($H$1),MONTH($H$1),1))</f>
        <v>#REF!</v>
      </c>
      <c r="P71" s="1821" t="e">
        <f>COUNTIFS(#REF!,P$56,#REF!,$A71,#REF!,2,#REF!,"&lt;="&amp;$H$1,#REF!,"&gt;="&amp;DATE(YEAR($H$1),MONTH($H$1),1))</f>
        <v>#REF!</v>
      </c>
      <c r="Q71" s="1820" t="e">
        <f>COUNTIFS(#REF!,Q$56,#REF!,$A71,#REF!,2,#REF!,"&lt;="&amp;$H$1,#REF!,"&gt;="&amp;DATE(YEAR($H$1),MONTH($H$1),1))</f>
        <v>#REF!</v>
      </c>
    </row>
    <row r="72" spans="1:19" customFormat="1" ht="17.25" customHeight="1">
      <c r="A72" s="1641" t="s">
        <v>407</v>
      </c>
      <c r="B72" s="1634">
        <f t="shared" si="5"/>
        <v>149.53846153846155</v>
      </c>
      <c r="C72" s="1634">
        <f t="shared" si="6"/>
        <v>7647794.8799022678</v>
      </c>
      <c r="D72" s="1641">
        <v>3</v>
      </c>
      <c r="E72" s="1789">
        <f>SUMIFS(Июль[м2],Июль[МОП],A72,Июль[№ дома],"Дом 2")</f>
        <v>86.58</v>
      </c>
      <c r="F72" s="1642">
        <f>SUMIFS(Июль[сумма],Июль[МОП],A72,Июль[№ дома],"Дом 2")</f>
        <v>5857509.29</v>
      </c>
      <c r="G72" s="1790">
        <f>COUNTIFS(Июль[МОП],A72,Июль[№ дома],"Дом 2")</f>
        <v>1</v>
      </c>
      <c r="H72" s="1791" t="e">
        <f t="shared" si="7"/>
        <v>#REF!</v>
      </c>
      <c r="I72" s="1635" t="e">
        <f t="shared" si="7"/>
        <v>#REF!</v>
      </c>
      <c r="J72" s="1820" t="e">
        <f>SUMIFS(#REF!,#REF!,2,#REF!,A72,#REF!,"&lt;="&amp;$H$1,#REF!,"&gt;="&amp;DATE(YEAR($H$1),MONTH($H$1),1))</f>
        <v>#REF!</v>
      </c>
      <c r="K72" s="1820" t="e">
        <f>SUMIFS(#REF!,#REF!,2,#REF!,A72,#REF!,"&lt;="&amp;$H$1,#REF!,"&gt;="&amp;DATE(YEAR($H$1),MONTH($H$1),1))</f>
        <v>#REF!</v>
      </c>
      <c r="L72" s="1820" t="e">
        <f>COUNTIFS(#REF!,2,#REF!,A72,#REF!,"&lt;="&amp;$H$1,#REF!,"&gt;="&amp;DATE(YEAR($H$1),MONTH($H$1),1))</f>
        <v>#REF!</v>
      </c>
      <c r="M72" s="1820" t="e">
        <f>COUNTIFS(#REF!,M$56,#REF!,$A72,#REF!,2,#REF!,"&lt;="&amp;$H$1,#REF!,"&gt;="&amp;DATE(YEAR($H$1),MONTH($H$1),1))</f>
        <v>#REF!</v>
      </c>
      <c r="N72" s="1820" t="e">
        <f>COUNTIFS(#REF!,N$56,#REF!,$A72,#REF!,2,#REF!,"&lt;="&amp;$H$1,#REF!,"&gt;="&amp;DATE(YEAR($H$1),MONTH($H$1),1))</f>
        <v>#REF!</v>
      </c>
      <c r="O72" s="1820" t="e">
        <f>COUNTIFS(#REF!,O$56,#REF!,$A72,#REF!,2,#REF!,"&lt;="&amp;$H$1,#REF!,"&gt;="&amp;DATE(YEAR($H$1),MONTH($H$1),1))</f>
        <v>#REF!</v>
      </c>
      <c r="P72" s="1821" t="e">
        <f>COUNTIFS(#REF!,P$56,#REF!,$A72,#REF!,2,#REF!,"&lt;="&amp;$H$1,#REF!,"&gt;="&amp;DATE(YEAR($H$1),MONTH($H$1),1))</f>
        <v>#REF!</v>
      </c>
      <c r="Q72" s="1820" t="e">
        <f>COUNTIFS(#REF!,Q$56,#REF!,$A72,#REF!,2,#REF!,"&lt;="&amp;$H$1,#REF!,"&gt;="&amp;DATE(YEAR($H$1),MONTH($H$1),1))</f>
        <v>#REF!</v>
      </c>
    </row>
    <row r="73" spans="1:19" customFormat="1" ht="30" customHeight="1">
      <c r="A73" s="1641" t="s">
        <v>77</v>
      </c>
      <c r="B73" s="1634">
        <f t="shared" si="5"/>
        <v>49.846153846153847</v>
      </c>
      <c r="C73" s="1634">
        <f t="shared" si="6"/>
        <v>2549264.9599674228</v>
      </c>
      <c r="D73" s="1641">
        <v>1</v>
      </c>
      <c r="E73" s="1789">
        <f>SUMIFS(Июль[м2],Июль[МОП],A73,Июль[№ дома],"Дом 2")</f>
        <v>223.62</v>
      </c>
      <c r="F73" s="1642">
        <f>SUMIFS(Июль[сумма],Июль[МОП],A73,Июль[№ дома],"Дом 2")</f>
        <v>14741777.439999999</v>
      </c>
      <c r="G73" s="1790">
        <f>COUNTIFS(Июль[МОП],A73,Июль[№ дома],"Дом 2")</f>
        <v>6</v>
      </c>
      <c r="H73" s="1791" t="e">
        <f t="shared" si="7"/>
        <v>#REF!</v>
      </c>
      <c r="I73" s="1635" t="e">
        <f t="shared" si="7"/>
        <v>#REF!</v>
      </c>
      <c r="J73" s="1820" t="e">
        <f>SUMIFS(#REF!,#REF!,2,#REF!,A73,#REF!,"&lt;="&amp;$H$1,#REF!,"&gt;="&amp;DATE(YEAR($H$1),MONTH($H$1),1))</f>
        <v>#REF!</v>
      </c>
      <c r="K73" s="1820" t="e">
        <f>SUMIFS(#REF!,#REF!,2,#REF!,A73,#REF!,"&lt;="&amp;$H$1,#REF!,"&gt;="&amp;DATE(YEAR($H$1),MONTH($H$1),1))</f>
        <v>#REF!</v>
      </c>
      <c r="L73" s="1820" t="e">
        <f>COUNTIFS(#REF!,2,#REF!,A73,#REF!,"&lt;="&amp;$H$1,#REF!,"&gt;="&amp;DATE(YEAR($H$1),MONTH($H$1),1))</f>
        <v>#REF!</v>
      </c>
      <c r="M73" s="1820" t="e">
        <f>COUNTIFS(#REF!,M$56,#REF!,$A73,#REF!,2,#REF!,"&lt;="&amp;$H$1,#REF!,"&gt;="&amp;DATE(YEAR($H$1),MONTH($H$1),1))</f>
        <v>#REF!</v>
      </c>
      <c r="N73" s="1820" t="e">
        <f>COUNTIFS(#REF!,N$56,#REF!,$A73,#REF!,2,#REF!,"&lt;="&amp;$H$1,#REF!,"&gt;="&amp;DATE(YEAR($H$1),MONTH($H$1),1))</f>
        <v>#REF!</v>
      </c>
      <c r="O73" s="1820" t="e">
        <f>COUNTIFS(#REF!,O$56,#REF!,$A73,#REF!,2,#REF!,"&lt;="&amp;$H$1,#REF!,"&gt;="&amp;DATE(YEAR($H$1),MONTH($H$1),1))</f>
        <v>#REF!</v>
      </c>
      <c r="P73" s="1821" t="e">
        <f>COUNTIFS(#REF!,P$56,#REF!,$A73,#REF!,2,#REF!,"&lt;="&amp;$H$1,#REF!,"&gt;="&amp;DATE(YEAR($H$1),MONTH($H$1),1))</f>
        <v>#REF!</v>
      </c>
      <c r="Q73" s="1820" t="e">
        <f>COUNTIFS(#REF!,Q$56,#REF!,$A73,#REF!,2,#REF!,"&lt;="&amp;$H$1,#REF!,"&gt;="&amp;DATE(YEAR($H$1),MONTH($H$1),1))</f>
        <v>#REF!</v>
      </c>
    </row>
    <row r="74" spans="1:19" customFormat="1" ht="18" customHeight="1">
      <c r="A74" s="1641" t="s">
        <v>471</v>
      </c>
      <c r="B74" s="1634">
        <f t="shared" si="5"/>
        <v>99.692307692307693</v>
      </c>
      <c r="C74" s="1634">
        <f t="shared" si="6"/>
        <v>5098529.9199348455</v>
      </c>
      <c r="D74" s="1641">
        <v>2</v>
      </c>
      <c r="E74" s="1789">
        <f>SUMIFS(Июль[м2],Июль[МОП],A74,Июль[№ дома],"Дом 2")</f>
        <v>60.3</v>
      </c>
      <c r="F74" s="1642">
        <f>SUMIFS(Июль[сумма],Июль[МОП],A74,Июль[№ дома],"Дом 2")</f>
        <v>3666713.96</v>
      </c>
      <c r="G74" s="1790">
        <f>COUNTIFS(Июль[МОП],A74,Июль[№ дома],"Дом 2")</f>
        <v>1</v>
      </c>
      <c r="H74" s="1791" t="e">
        <f t="shared" si="7"/>
        <v>#REF!</v>
      </c>
      <c r="I74" s="1635" t="e">
        <f t="shared" si="7"/>
        <v>#REF!</v>
      </c>
      <c r="J74" s="1820" t="e">
        <f>SUMIFS(#REF!,#REF!,2,#REF!,A74,#REF!,"&lt;="&amp;$H$1,#REF!,"&gt;="&amp;DATE(YEAR($H$1),MONTH($H$1),1))</f>
        <v>#REF!</v>
      </c>
      <c r="K74" s="1820" t="e">
        <f>SUMIFS(#REF!,#REF!,2,#REF!,A74,#REF!,"&lt;="&amp;$H$1,#REF!,"&gt;="&amp;DATE(YEAR($H$1),MONTH($H$1),1))</f>
        <v>#REF!</v>
      </c>
      <c r="L74" s="1820" t="e">
        <f>COUNTIFS(#REF!,2,#REF!,A74,#REF!,"&lt;="&amp;$H$1,#REF!,"&gt;="&amp;DATE(YEAR($H$1),MONTH($H$1),1))</f>
        <v>#REF!</v>
      </c>
      <c r="M74" s="1820" t="e">
        <f>COUNTIFS(#REF!,M$56,#REF!,$A74,#REF!,2,#REF!,"&lt;="&amp;$H$1,#REF!,"&gt;="&amp;DATE(YEAR($H$1),MONTH($H$1),1))</f>
        <v>#REF!</v>
      </c>
      <c r="N74" s="1820" t="e">
        <f>COUNTIFS(#REF!,N$56,#REF!,$A74,#REF!,2,#REF!,"&lt;="&amp;$H$1,#REF!,"&gt;="&amp;DATE(YEAR($H$1),MONTH($H$1),1))</f>
        <v>#REF!</v>
      </c>
      <c r="O74" s="1820" t="e">
        <f>COUNTIFS(#REF!,O$56,#REF!,$A74,#REF!,2,#REF!,"&lt;="&amp;$H$1,#REF!,"&gt;="&amp;DATE(YEAR($H$1),MONTH($H$1),1))</f>
        <v>#REF!</v>
      </c>
      <c r="P74" s="1821" t="e">
        <f>COUNTIFS(#REF!,P$56,#REF!,$A74,#REF!,2,#REF!,"&lt;="&amp;$H$1,#REF!,"&gt;="&amp;DATE(YEAR($H$1),MONTH($H$1),1))</f>
        <v>#REF!</v>
      </c>
      <c r="Q74" s="1820" t="e">
        <f>COUNTIFS(#REF!,Q$56,#REF!,$A74,#REF!,2,#REF!,"&lt;="&amp;$H$1,#REF!,"&gt;="&amp;DATE(YEAR($H$1),MONTH($H$1),1))</f>
        <v>#REF!</v>
      </c>
    </row>
    <row r="75" spans="1:19" customFormat="1">
      <c r="A75" s="1641" t="s">
        <v>20</v>
      </c>
      <c r="B75" s="1634">
        <f t="shared" si="5"/>
        <v>149.53846153846155</v>
      </c>
      <c r="C75" s="1634">
        <f t="shared" si="6"/>
        <v>7647794.8799022678</v>
      </c>
      <c r="D75" s="1641">
        <v>3</v>
      </c>
      <c r="E75" s="1789">
        <f>SUMIFS(Июль[м2],Июль[МОП],A75,Июль[№ дома],"Дом 2")</f>
        <v>188.5</v>
      </c>
      <c r="F75" s="1642">
        <f>SUMIFS(Июль[сумма],Июль[МОП],A75,Июль[№ дома],"Дом 2")</f>
        <v>10944383.52</v>
      </c>
      <c r="G75" s="1790">
        <f>COUNTIFS(Июль[МОП],A75,Июль[№ дома],"Дом 2")</f>
        <v>4</v>
      </c>
      <c r="H75" s="1791" t="e">
        <f t="shared" si="7"/>
        <v>#REF!</v>
      </c>
      <c r="I75" s="1635" t="e">
        <f t="shared" si="7"/>
        <v>#REF!</v>
      </c>
      <c r="J75" s="1820" t="e">
        <f>SUMIFS(#REF!,#REF!,2,#REF!,A75,#REF!,"&lt;="&amp;$H$1,#REF!,"&gt;="&amp;DATE(YEAR($H$1),MONTH($H$1),1))</f>
        <v>#REF!</v>
      </c>
      <c r="K75" s="1820" t="e">
        <f>SUMIFS(#REF!,#REF!,2,#REF!,A75,#REF!,"&lt;="&amp;$H$1,#REF!,"&gt;="&amp;DATE(YEAR($H$1),MONTH($H$1),1))</f>
        <v>#REF!</v>
      </c>
      <c r="L75" s="1820" t="e">
        <f>COUNTIFS(#REF!,2,#REF!,A75,#REF!,"&lt;="&amp;$H$1,#REF!,"&gt;="&amp;DATE(YEAR($H$1),MONTH($H$1),1))</f>
        <v>#REF!</v>
      </c>
      <c r="M75" s="1820" t="e">
        <f>COUNTIFS(#REF!,M$56,#REF!,$A75,#REF!,2,#REF!,"&lt;="&amp;$H$1,#REF!,"&gt;="&amp;DATE(YEAR($H$1),MONTH($H$1),1))</f>
        <v>#REF!</v>
      </c>
      <c r="N75" s="1820" t="e">
        <f>COUNTIFS(#REF!,N$56,#REF!,$A75,#REF!,2,#REF!,"&lt;="&amp;$H$1,#REF!,"&gt;="&amp;DATE(YEAR($H$1),MONTH($H$1),1))</f>
        <v>#REF!</v>
      </c>
      <c r="O75" s="1820" t="e">
        <f>COUNTIFS(#REF!,O$56,#REF!,$A75,#REF!,2,#REF!,"&lt;="&amp;$H$1,#REF!,"&gt;="&amp;DATE(YEAR($H$1),MONTH($H$1),1))</f>
        <v>#REF!</v>
      </c>
      <c r="P75" s="1821" t="e">
        <f>COUNTIFS(#REF!,P$56,#REF!,$A75,#REF!,2,#REF!,"&lt;="&amp;$H$1,#REF!,"&gt;="&amp;DATE(YEAR($H$1),MONTH($H$1),1))</f>
        <v>#REF!</v>
      </c>
      <c r="Q75" s="1820" t="e">
        <f>COUNTIFS(#REF!,Q$56,#REF!,$A75,#REF!,2,#REF!,"&lt;="&amp;$H$1,#REF!,"&gt;="&amp;DATE(YEAR($H$1),MONTH($H$1),1))</f>
        <v>#REF!</v>
      </c>
    </row>
    <row r="76" spans="1:19">
      <c r="A76" s="1641" t="s">
        <v>63</v>
      </c>
      <c r="B76" s="1634">
        <f t="shared" si="5"/>
        <v>49.846153846153847</v>
      </c>
      <c r="C76" s="1634">
        <f t="shared" si="6"/>
        <v>2549264.9599674228</v>
      </c>
      <c r="D76" s="1641">
        <v>1</v>
      </c>
      <c r="E76" s="1789">
        <f>SUMIFS(Июль[м2],Июль[МОП],A76,Июль[№ дома],"Дом 2")</f>
        <v>76.56</v>
      </c>
      <c r="F76" s="1642">
        <f>SUMIFS(Июль[сумма],Июль[МОП],A76,Июль[№ дома],"Дом 2")</f>
        <v>4344083.3</v>
      </c>
      <c r="G76" s="1790">
        <f>COUNTIFS(Июль[МОП],A76,Июль[№ дома],"Дом 2")</f>
        <v>1</v>
      </c>
      <c r="H76" s="1791" t="e">
        <f t="shared" si="7"/>
        <v>#REF!</v>
      </c>
      <c r="I76" s="1635" t="e">
        <f t="shared" si="7"/>
        <v>#REF!</v>
      </c>
      <c r="J76" s="1820" t="e">
        <f>SUMIFS(#REF!,#REF!,2,#REF!,A76,#REF!,"&lt;="&amp;$H$1,#REF!,"&gt;="&amp;DATE(YEAR($H$1),MONTH($H$1),1))</f>
        <v>#REF!</v>
      </c>
      <c r="K76" s="1820" t="e">
        <f>SUMIFS(#REF!,#REF!,2,#REF!,A76,#REF!,"&lt;="&amp;$H$1,#REF!,"&gt;="&amp;DATE(YEAR($H$1),MONTH($H$1),1))</f>
        <v>#REF!</v>
      </c>
      <c r="L76" s="1820" t="e">
        <f>COUNTIFS(#REF!,2,#REF!,A76,#REF!,"&lt;="&amp;$H$1,#REF!,"&gt;="&amp;DATE(YEAR($H$1),MONTH($H$1),1))</f>
        <v>#REF!</v>
      </c>
      <c r="M76" s="1820" t="e">
        <f>COUNTIFS(#REF!,M$56,#REF!,$A76,#REF!,2,#REF!,"&lt;="&amp;$H$1,#REF!,"&gt;="&amp;DATE(YEAR($H$1),MONTH($H$1),1))</f>
        <v>#REF!</v>
      </c>
      <c r="N76" s="1820" t="e">
        <f>COUNTIFS(#REF!,N$56,#REF!,$A76,#REF!,2,#REF!,"&lt;="&amp;$H$1,#REF!,"&gt;="&amp;DATE(YEAR($H$1),MONTH($H$1),1))</f>
        <v>#REF!</v>
      </c>
      <c r="O76" s="1820" t="e">
        <f>COUNTIFS(#REF!,O$56,#REF!,$A76,#REF!,2,#REF!,"&lt;="&amp;$H$1,#REF!,"&gt;="&amp;DATE(YEAR($H$1),MONTH($H$1),1))</f>
        <v>#REF!</v>
      </c>
      <c r="P76" s="1821" t="e">
        <f>COUNTIFS(#REF!,P$56,#REF!,$A76,#REF!,2,#REF!,"&lt;="&amp;$H$1,#REF!,"&gt;="&amp;DATE(YEAR($H$1),MONTH($H$1),1))</f>
        <v>#REF!</v>
      </c>
      <c r="Q76" s="1820" t="e">
        <f>COUNTIFS(#REF!,Q$56,#REF!,$A76,#REF!,2,#REF!,"&lt;="&amp;$H$1,#REF!,"&gt;="&amp;DATE(YEAR($H$1),MONTH($H$1),1))</f>
        <v>#REF!</v>
      </c>
      <c r="R76"/>
      <c r="S76"/>
    </row>
    <row r="77" spans="1:19">
      <c r="A77" s="1630" t="s">
        <v>114</v>
      </c>
      <c r="B77" s="1636">
        <v>648</v>
      </c>
      <c r="C77" s="1636">
        <v>33140444.479576498</v>
      </c>
      <c r="D77" s="1630">
        <f>SUM(D71:D76)</f>
        <v>13</v>
      </c>
      <c r="E77" s="1630">
        <f>SUM(E71:E76)</f>
        <v>816.96</v>
      </c>
      <c r="F77" s="1630">
        <f>SUM(F71:F76)</f>
        <v>50512904.429999992</v>
      </c>
      <c r="G77" s="1630">
        <f>SUM(G71:G76)</f>
        <v>16</v>
      </c>
      <c r="H77" s="1795" t="e">
        <f t="shared" si="7"/>
        <v>#REF!</v>
      </c>
      <c r="I77" s="1650" t="e">
        <f t="shared" si="7"/>
        <v>#REF!</v>
      </c>
      <c r="J77" s="1822" t="e">
        <f t="shared" ref="J77:Q77" si="8">SUM(J71:J76)</f>
        <v>#REF!</v>
      </c>
      <c r="K77" s="1822" t="e">
        <f t="shared" si="8"/>
        <v>#REF!</v>
      </c>
      <c r="L77" s="1822" t="e">
        <f t="shared" si="8"/>
        <v>#REF!</v>
      </c>
      <c r="M77" s="1822" t="e">
        <f t="shared" si="8"/>
        <v>#REF!</v>
      </c>
      <c r="N77" s="1822" t="e">
        <f t="shared" si="8"/>
        <v>#REF!</v>
      </c>
      <c r="O77" s="1822" t="e">
        <f t="shared" si="8"/>
        <v>#REF!</v>
      </c>
      <c r="P77" s="1823" t="e">
        <f t="shared" si="8"/>
        <v>#REF!</v>
      </c>
      <c r="Q77" s="1822" t="e">
        <f t="shared" si="8"/>
        <v>#REF!</v>
      </c>
      <c r="R77"/>
      <c r="S77"/>
    </row>
    <row r="78" spans="1:19" ht="25.5">
      <c r="A78" s="1638" t="s">
        <v>115</v>
      </c>
      <c r="B78" s="1639" t="s">
        <v>100</v>
      </c>
      <c r="C78" s="1639" t="s">
        <v>97</v>
      </c>
      <c r="D78" s="1631" t="s">
        <v>95</v>
      </c>
      <c r="E78" s="1788" t="s">
        <v>494</v>
      </c>
      <c r="F78" s="1631" t="s">
        <v>495</v>
      </c>
      <c r="G78" s="1631" t="s">
        <v>496</v>
      </c>
      <c r="H78" s="1633" t="s">
        <v>102</v>
      </c>
      <c r="I78" s="1633" t="s">
        <v>99</v>
      </c>
      <c r="J78" s="1788" t="s">
        <v>101</v>
      </c>
      <c r="K78" s="1631" t="s">
        <v>98</v>
      </c>
      <c r="L78" s="1631" t="s">
        <v>96</v>
      </c>
      <c r="M78" s="1631">
        <v>0</v>
      </c>
      <c r="N78" s="1631">
        <v>1</v>
      </c>
      <c r="O78" s="1631">
        <v>2</v>
      </c>
      <c r="P78" s="1631">
        <v>3</v>
      </c>
      <c r="Q78" s="1631">
        <v>4</v>
      </c>
      <c r="R78"/>
      <c r="S78"/>
    </row>
    <row r="79" spans="1:19">
      <c r="A79" s="1641"/>
      <c r="B79" s="1634"/>
      <c r="C79" s="1634"/>
      <c r="D79" s="1641"/>
      <c r="E79" s="1642"/>
      <c r="F79" s="1642"/>
      <c r="G79" s="745"/>
      <c r="H79" s="1791" t="e">
        <f t="shared" ref="H79:I81" si="9">E79/B79</f>
        <v>#DIV/0!</v>
      </c>
      <c r="I79" s="1635" t="e">
        <f t="shared" si="9"/>
        <v>#DIV/0!</v>
      </c>
      <c r="J79" s="751"/>
      <c r="K79" s="1829"/>
      <c r="L79" s="751"/>
      <c r="M79" s="751"/>
      <c r="N79" s="1829"/>
      <c r="O79" s="751"/>
      <c r="P79" s="1830"/>
      <c r="Q79" s="751"/>
      <c r="R79"/>
      <c r="S79"/>
    </row>
    <row r="80" spans="1:19">
      <c r="A80" s="1641" t="s">
        <v>16</v>
      </c>
      <c r="B80" s="1634">
        <f>B77/D77*D80</f>
        <v>498.46153846153845</v>
      </c>
      <c r="C80" s="1634">
        <f>C77/D77*D80</f>
        <v>25492649.599674229</v>
      </c>
      <c r="D80" s="1826">
        <v>10</v>
      </c>
      <c r="E80" s="1642">
        <f>SUMIFS(Июль[м2],Июль[ИМ],A80,Июль[№ дома],"Дом 2")</f>
        <v>659.48</v>
      </c>
      <c r="F80" s="1642">
        <f>SUMIFS(Июль[сумма],Июль[ИМ],A80,Июль[№ дома],"Дом 2")</f>
        <v>40559133.969999999</v>
      </c>
      <c r="G80" s="745">
        <f>COUNTIFS(Июль[ИМ],A80,Июль[№ дома],"Дом 2")</f>
        <v>12</v>
      </c>
      <c r="H80" s="1791">
        <f t="shared" si="9"/>
        <v>1.323030864197531</v>
      </c>
      <c r="I80" s="1635">
        <f t="shared" si="9"/>
        <v>1.5910128843773974</v>
      </c>
      <c r="J80" s="751"/>
      <c r="K80" s="751"/>
      <c r="L80" s="751"/>
      <c r="M80" s="751">
        <f>COUNTIFS(Июль[форма опл],$J$56,Июль[ИМ],$A$66,Июль[№ дома],"Дом 1")</f>
        <v>0</v>
      </c>
      <c r="N80" s="751">
        <f>COUNTIFS(Июль[форма опл],$K$56,Июль[ИМ],$A$66,Июль[№ дома],"Дом 1")</f>
        <v>0</v>
      </c>
      <c r="O80" s="751">
        <f>COUNTIFS(Июль[форма опл],$L$56,Июль[ИМ],$A$66,Июль[№ дома],"Дом 1")</f>
        <v>0</v>
      </c>
      <c r="P80" s="1830">
        <f>COUNTIFS(Июль[форма опл],$M$56,Июль[ИМ],$A$66,Июль[№ дома],"Дом 1")</f>
        <v>0</v>
      </c>
      <c r="Q80" s="751">
        <f>COUNTIFS(Июль[форма опл],$N$56,Июль[ИМ],$A$66,Июль[№ дома],"Дом 1")</f>
        <v>0</v>
      </c>
      <c r="R80"/>
      <c r="S80"/>
    </row>
    <row r="81" spans="1:19">
      <c r="A81" s="1630" t="s">
        <v>114</v>
      </c>
      <c r="B81" s="1636">
        <f t="shared" ref="B81:G81" si="10">SUM(B79:B80)</f>
        <v>498.46153846153845</v>
      </c>
      <c r="C81" s="1636">
        <f t="shared" si="10"/>
        <v>25492649.599674229</v>
      </c>
      <c r="D81" s="1630">
        <f t="shared" si="10"/>
        <v>10</v>
      </c>
      <c r="E81" s="1793">
        <f t="shared" si="10"/>
        <v>659.48</v>
      </c>
      <c r="F81" s="1793">
        <f t="shared" si="10"/>
        <v>40559133.969999999</v>
      </c>
      <c r="G81" s="1630">
        <f t="shared" si="10"/>
        <v>12</v>
      </c>
      <c r="H81" s="1650">
        <f t="shared" si="9"/>
        <v>1.323030864197531</v>
      </c>
      <c r="I81" s="1650">
        <f t="shared" si="9"/>
        <v>1.5910128843773974</v>
      </c>
      <c r="J81" s="1831"/>
      <c r="K81" s="1831"/>
      <c r="L81" s="1831"/>
      <c r="M81" s="1831">
        <f>SUM(M79:M80)</f>
        <v>0</v>
      </c>
      <c r="N81" s="1831">
        <f>SUM(N79:N80)</f>
        <v>0</v>
      </c>
      <c r="O81" s="1831">
        <f>SUM(O79:O80)</f>
        <v>0</v>
      </c>
      <c r="P81" s="1832">
        <f>SUM(P79:P80)</f>
        <v>0</v>
      </c>
      <c r="Q81" s="1831">
        <f>SUM(Q79:Q80)</f>
        <v>0</v>
      </c>
    </row>
    <row r="82" spans="1:19">
      <c r="A82" s="1643"/>
      <c r="B82" s="1651"/>
      <c r="C82" s="1651"/>
      <c r="D82" s="1643"/>
      <c r="E82" s="1645"/>
      <c r="F82" s="1645"/>
      <c r="G82" s="1643"/>
      <c r="H82" s="1646"/>
      <c r="I82" s="1646"/>
      <c r="J82" s="1833"/>
      <c r="K82" s="1833"/>
      <c r="L82" s="1833"/>
      <c r="M82" s="1833"/>
      <c r="N82" s="1834"/>
      <c r="O82" s="1785"/>
      <c r="P82" s="1818"/>
      <c r="Q82" s="1817"/>
    </row>
    <row r="83" spans="1:19">
      <c r="A83" s="1628" t="s">
        <v>411</v>
      </c>
      <c r="B83" s="1647"/>
      <c r="C83" s="1636" t="s">
        <v>27</v>
      </c>
      <c r="D83" s="1629"/>
      <c r="E83" s="1648"/>
      <c r="F83" s="1648"/>
      <c r="G83" s="1629"/>
      <c r="H83" s="1649"/>
      <c r="I83" s="1649"/>
      <c r="J83" s="1629"/>
      <c r="K83" s="1629"/>
      <c r="L83" s="1629"/>
      <c r="M83" s="1629"/>
      <c r="N83" s="1629"/>
      <c r="O83" s="1629"/>
      <c r="P83" s="1819"/>
      <c r="Q83" s="1629"/>
    </row>
    <row r="84" spans="1:19" ht="25.5">
      <c r="A84" s="1631" t="s">
        <v>1</v>
      </c>
      <c r="B84" s="1639" t="s">
        <v>100</v>
      </c>
      <c r="C84" s="1639" t="s">
        <v>97</v>
      </c>
      <c r="D84" s="1631" t="s">
        <v>95</v>
      </c>
      <c r="E84" s="1788" t="s">
        <v>494</v>
      </c>
      <c r="F84" s="1631" t="s">
        <v>495</v>
      </c>
      <c r="G84" s="1631" t="s">
        <v>496</v>
      </c>
      <c r="H84" s="1633" t="s">
        <v>102</v>
      </c>
      <c r="I84" s="1633" t="s">
        <v>99</v>
      </c>
      <c r="J84" s="1788" t="s">
        <v>101</v>
      </c>
      <c r="K84" s="1631" t="s">
        <v>98</v>
      </c>
      <c r="L84" s="1631" t="s">
        <v>96</v>
      </c>
      <c r="M84" s="1631">
        <v>0</v>
      </c>
      <c r="N84" s="1631">
        <v>1</v>
      </c>
      <c r="O84" s="1631">
        <v>2</v>
      </c>
      <c r="P84" s="1631">
        <v>3</v>
      </c>
      <c r="Q84" s="1631">
        <v>4</v>
      </c>
    </row>
    <row r="85" spans="1:19">
      <c r="A85" s="1641" t="s">
        <v>73</v>
      </c>
      <c r="B85" s="1634">
        <f t="shared" ref="B85:B90" si="11">$B$91/$D$91*D85</f>
        <v>185.88235294117646</v>
      </c>
      <c r="C85" s="1634">
        <f t="shared" ref="C85:C90" si="12">$C$91/$D$91*D85</f>
        <v>9789101.4117647056</v>
      </c>
      <c r="D85" s="1641">
        <v>4</v>
      </c>
      <c r="E85" s="1789">
        <f>SUMIFS(Июль[м2],Июль[МОП],A85,Июль[№ дома],"Дом 3")</f>
        <v>293.8</v>
      </c>
      <c r="F85" s="1642">
        <f>SUMIFS(Июль[сумма],Июль[МОП],A85,Июль[№ дома],"Дом 3")</f>
        <v>15321405.399999999</v>
      </c>
      <c r="G85" s="1790">
        <f>COUNTIFS(Июль[МОП],A85,Июль[№ дома],"дом 3")</f>
        <v>5</v>
      </c>
      <c r="H85" s="1791" t="e">
        <f t="shared" ref="H85:I91" si="13">J85/B85</f>
        <v>#REF!</v>
      </c>
      <c r="I85" s="1635" t="e">
        <f t="shared" si="13"/>
        <v>#REF!</v>
      </c>
      <c r="J85" s="1820" t="e">
        <f>SUMIFS(#REF!,#REF!,3,#REF!,A85,#REF!,"&lt;="&amp;$H$1,#REF!,"&gt;="&amp;DATE(YEAR($H$1),MONTH($H$1),1))</f>
        <v>#REF!</v>
      </c>
      <c r="K85" s="1820" t="e">
        <f>SUMIFS(#REF!,#REF!,3,#REF!,A85,#REF!,"&lt;="&amp;$H$1,#REF!,"&gt;="&amp;DATE(YEAR($H$1),MONTH($H$1),1))</f>
        <v>#REF!</v>
      </c>
      <c r="L85" s="1820" t="e">
        <f>COUNTIFS(#REF!,3,#REF!,A85,#REF!,"&lt;="&amp;$H$1,#REF!,"&gt;="&amp;DATE(YEAR($H$1),MONTH($H$1),1))</f>
        <v>#REF!</v>
      </c>
      <c r="M85" s="1820" t="e">
        <f>COUNTIFS(#REF!,M$56,#REF!,$A85,#REF!,3,#REF!,"&lt;="&amp;$H$1,#REF!,"&gt;="&amp;DATE(YEAR($H$1),MONTH($H$1),1))</f>
        <v>#REF!</v>
      </c>
      <c r="N85" s="1820" t="e">
        <f>COUNTIFS(#REF!,N$56,#REF!,$A85,#REF!,3,#REF!,"&lt;="&amp;$H$1,#REF!,"&gt;="&amp;DATE(YEAR($H$1),MONTH($H$1),1))</f>
        <v>#REF!</v>
      </c>
      <c r="O85" s="1820" t="e">
        <f>COUNTIFS(#REF!,O$56,#REF!,$A85,#REF!,3,#REF!,"&lt;="&amp;$H$1,#REF!,"&gt;="&amp;DATE(YEAR($H$1),MONTH($H$1),1))</f>
        <v>#REF!</v>
      </c>
      <c r="P85" s="1821" t="e">
        <f>COUNTIFS(#REF!,P$56,#REF!,$A85,#REF!,3,#REF!,"&lt;="&amp;$H$1,#REF!,"&gt;="&amp;DATE(YEAR($H$1),MONTH($H$1),1))</f>
        <v>#REF!</v>
      </c>
      <c r="Q85" s="1820" t="e">
        <f>COUNTIFS(#REF!,Q$56,#REF!,$A85,#REF!,3,#REF!,"&lt;="&amp;$H$1,#REF!,"&gt;="&amp;DATE(YEAR($H$1),MONTH($H$1),1))</f>
        <v>#REF!</v>
      </c>
    </row>
    <row r="86" spans="1:19">
      <c r="A86" s="1641" t="s">
        <v>407</v>
      </c>
      <c r="B86" s="1634">
        <f t="shared" si="11"/>
        <v>139.41176470588235</v>
      </c>
      <c r="C86" s="1634">
        <f t="shared" si="12"/>
        <v>7341826.0588235296</v>
      </c>
      <c r="D86" s="1641">
        <v>3</v>
      </c>
      <c r="E86" s="1789">
        <f>SUMIFS(Июль[м2],Июль[МОП],A86,Июль[№ дома],"Дом 3")</f>
        <v>138.51</v>
      </c>
      <c r="F86" s="1642">
        <f>SUMIFS(Июль[сумма],Июль[МОП],A86,Июль[№ дома],"Дом 3")</f>
        <v>7537481.2800000003</v>
      </c>
      <c r="G86" s="1790">
        <f>COUNTIFS(Июль[МОП],A86,Июль[№ дома],"дом 3")</f>
        <v>2</v>
      </c>
      <c r="H86" s="1791" t="e">
        <f t="shared" si="13"/>
        <v>#REF!</v>
      </c>
      <c r="I86" s="1635" t="e">
        <f t="shared" si="13"/>
        <v>#REF!</v>
      </c>
      <c r="J86" s="1820" t="e">
        <f>SUMIFS(#REF!,#REF!,3,#REF!,A86,#REF!,"&lt;="&amp;$H$1,#REF!,"&gt;="&amp;DATE(YEAR($H$1),MONTH($H$1),1))</f>
        <v>#REF!</v>
      </c>
      <c r="K86" s="1820" t="e">
        <f>SUMIFS(#REF!,#REF!,3,#REF!,A86,#REF!,"&lt;="&amp;$H$1,#REF!,"&gt;="&amp;DATE(YEAR($H$1),MONTH($H$1),1))</f>
        <v>#REF!</v>
      </c>
      <c r="L86" s="1820" t="e">
        <f>COUNTIFS(#REF!,3,#REF!,A86,#REF!,"&lt;="&amp;$H$1,#REF!,"&gt;="&amp;DATE(YEAR($H$1),MONTH($H$1),1))</f>
        <v>#REF!</v>
      </c>
      <c r="M86" s="1820" t="e">
        <f>COUNTIFS(#REF!,M$56,#REF!,$A86,#REF!,3,#REF!,"&lt;="&amp;$H$1,#REF!,"&gt;="&amp;DATE(YEAR($H$1),MONTH($H$1),1))</f>
        <v>#REF!</v>
      </c>
      <c r="N86" s="1820" t="e">
        <f>COUNTIFS(#REF!,N$56,#REF!,$A86,#REF!,3,#REF!,"&lt;="&amp;$H$1,#REF!,"&gt;="&amp;DATE(YEAR($H$1),MONTH($H$1),1))</f>
        <v>#REF!</v>
      </c>
      <c r="O86" s="1820" t="e">
        <f>COUNTIFS(#REF!,O$56,#REF!,$A86,#REF!,3,#REF!,"&lt;="&amp;$H$1,#REF!,"&gt;="&amp;DATE(YEAR($H$1),MONTH($H$1),1))</f>
        <v>#REF!</v>
      </c>
      <c r="P86" s="1821" t="e">
        <f>COUNTIFS(#REF!,P$56,#REF!,$A86,#REF!,3,#REF!,"&lt;="&amp;$H$1,#REF!,"&gt;="&amp;DATE(YEAR($H$1),MONTH($H$1),1))</f>
        <v>#REF!</v>
      </c>
      <c r="Q86" s="1820" t="e">
        <f>COUNTIFS(#REF!,Q$56,#REF!,$A86,#REF!,3,#REF!,"&lt;="&amp;$H$1,#REF!,"&gt;="&amp;DATE(YEAR($H$1),MONTH($H$1),1))</f>
        <v>#REF!</v>
      </c>
    </row>
    <row r="87" spans="1:19">
      <c r="A87" s="1641" t="s">
        <v>77</v>
      </c>
      <c r="B87" s="1634">
        <f t="shared" si="11"/>
        <v>92.941176470588232</v>
      </c>
      <c r="C87" s="1634">
        <f t="shared" si="12"/>
        <v>4894550.7058823528</v>
      </c>
      <c r="D87" s="1641">
        <v>2</v>
      </c>
      <c r="E87" s="1789">
        <f>SUMIFS(Июль[м2],Июль[МОП],A87,Июль[№ дома],"Дом 3")</f>
        <v>251.58999999999997</v>
      </c>
      <c r="F87" s="1642">
        <f>SUMIFS(Июль[сумма],Июль[МОП],A87,Июль[№ дома],"Дом 3")</f>
        <v>13830769</v>
      </c>
      <c r="G87" s="1790">
        <f>COUNTIFS(Июль[МОП],A87,Июль[№ дома],"дом 3")</f>
        <v>6</v>
      </c>
      <c r="H87" s="1791" t="e">
        <f t="shared" si="13"/>
        <v>#REF!</v>
      </c>
      <c r="I87" s="1635" t="e">
        <f t="shared" si="13"/>
        <v>#REF!</v>
      </c>
      <c r="J87" s="1820" t="e">
        <f>SUMIFS(#REF!,#REF!,3,#REF!,A87,#REF!,"&lt;="&amp;$H$1,#REF!,"&gt;="&amp;DATE(YEAR($H$1),MONTH($H$1),1))</f>
        <v>#REF!</v>
      </c>
      <c r="K87" s="1820" t="e">
        <f>SUMIFS(#REF!,#REF!,3,#REF!,A87,#REF!,"&lt;="&amp;$H$1,#REF!,"&gt;="&amp;DATE(YEAR($H$1),MONTH($H$1),1))</f>
        <v>#REF!</v>
      </c>
      <c r="L87" s="1820" t="e">
        <f>COUNTIFS(#REF!,3,#REF!,A87,#REF!,"&lt;="&amp;$H$1,#REF!,"&gt;="&amp;DATE(YEAR($H$1),MONTH($H$1),1))</f>
        <v>#REF!</v>
      </c>
      <c r="M87" s="1820" t="e">
        <f>COUNTIFS(#REF!,M$56,#REF!,$A87,#REF!,3,#REF!,"&lt;="&amp;$H$1,#REF!,"&gt;="&amp;DATE(YEAR($H$1),MONTH($H$1),1))</f>
        <v>#REF!</v>
      </c>
      <c r="N87" s="1820" t="e">
        <f>COUNTIFS(#REF!,N$56,#REF!,$A87,#REF!,3,#REF!,"&lt;="&amp;$H$1,#REF!,"&gt;="&amp;DATE(YEAR($H$1),MONTH($H$1),1))</f>
        <v>#REF!</v>
      </c>
      <c r="O87" s="1820" t="e">
        <f>COUNTIFS(#REF!,O$56,#REF!,$A87,#REF!,3,#REF!,"&lt;="&amp;$H$1,#REF!,"&gt;="&amp;DATE(YEAR($H$1),MONTH($H$1),1))</f>
        <v>#REF!</v>
      </c>
      <c r="P87" s="1821" t="e">
        <f>COUNTIFS(#REF!,P$56,#REF!,$A87,#REF!,3,#REF!,"&lt;="&amp;$H$1,#REF!,"&gt;="&amp;DATE(YEAR($H$1),MONTH($H$1),1))</f>
        <v>#REF!</v>
      </c>
      <c r="Q87" s="1820" t="e">
        <f>COUNTIFS(#REF!,Q$56,#REF!,$A87,#REF!,3,#REF!,"&lt;="&amp;$H$1,#REF!,"&gt;="&amp;DATE(YEAR($H$1),MONTH($H$1),1))</f>
        <v>#REF!</v>
      </c>
    </row>
    <row r="88" spans="1:19" ht="12.75" customHeight="1">
      <c r="A88" s="1641" t="s">
        <v>471</v>
      </c>
      <c r="B88" s="1634">
        <f t="shared" si="11"/>
        <v>92.941176470588232</v>
      </c>
      <c r="C88" s="1634">
        <f t="shared" si="12"/>
        <v>4894550.7058823528</v>
      </c>
      <c r="D88" s="1641">
        <v>2</v>
      </c>
      <c r="E88" s="1789">
        <f>SUMIFS(Июль[м2],Июль[МОП],A88,Июль[№ дома],"Дом 3")</f>
        <v>0</v>
      </c>
      <c r="F88" s="1642">
        <f>SUMIFS(Июль[сумма],Июль[МОП],A88,Июль[№ дома],"Дом 3")</f>
        <v>0</v>
      </c>
      <c r="G88" s="1790">
        <f>COUNTIFS(Июль[МОП],A88,Июль[№ дома],"дом 3")</f>
        <v>0</v>
      </c>
      <c r="H88" s="1791" t="e">
        <f t="shared" si="13"/>
        <v>#REF!</v>
      </c>
      <c r="I88" s="1635" t="e">
        <f t="shared" si="13"/>
        <v>#REF!</v>
      </c>
      <c r="J88" s="1820" t="e">
        <f>SUMIFS(#REF!,#REF!,3,#REF!,A88,#REF!,"&lt;="&amp;$H$1,#REF!,"&gt;="&amp;DATE(YEAR($H$1),MONTH($H$1),1))</f>
        <v>#REF!</v>
      </c>
      <c r="K88" s="1820" t="e">
        <f>SUMIFS(#REF!,#REF!,3,#REF!,A88,#REF!,"&lt;="&amp;$H$1,#REF!,"&gt;="&amp;DATE(YEAR($H$1),MONTH($H$1),1))</f>
        <v>#REF!</v>
      </c>
      <c r="L88" s="1820" t="e">
        <f>COUNTIFS(#REF!,3,#REF!,A88,#REF!,"&lt;="&amp;$H$1,#REF!,"&gt;="&amp;DATE(YEAR($H$1),MONTH($H$1),1))</f>
        <v>#REF!</v>
      </c>
      <c r="M88" s="1820" t="e">
        <f>COUNTIFS(#REF!,M$56,#REF!,$A88,#REF!,3,#REF!,"&lt;="&amp;$H$1,#REF!,"&gt;="&amp;DATE(YEAR($H$1),MONTH($H$1),1))</f>
        <v>#REF!</v>
      </c>
      <c r="N88" s="1820" t="e">
        <f>COUNTIFS(#REF!,N$56,#REF!,$A88,#REF!,3,#REF!,"&lt;="&amp;$H$1,#REF!,"&gt;="&amp;DATE(YEAR($H$1),MONTH($H$1),1))</f>
        <v>#REF!</v>
      </c>
      <c r="O88" s="1820" t="e">
        <f>COUNTIFS(#REF!,O$56,#REF!,$A88,#REF!,3,#REF!,"&lt;="&amp;$H$1,#REF!,"&gt;="&amp;DATE(YEAR($H$1),MONTH($H$1),1))</f>
        <v>#REF!</v>
      </c>
      <c r="P88" s="1821" t="e">
        <f>COUNTIFS(#REF!,P$56,#REF!,$A88,#REF!,3,#REF!,"&lt;="&amp;$H$1,#REF!,"&gt;="&amp;DATE(YEAR($H$1),MONTH($H$1),1))</f>
        <v>#REF!</v>
      </c>
      <c r="Q88" s="1820" t="e">
        <f>COUNTIFS(#REF!,Q$56,#REF!,$A88,#REF!,3,#REF!,"&lt;="&amp;$H$1,#REF!,"&gt;="&amp;DATE(YEAR($H$1),MONTH($H$1),1))</f>
        <v>#REF!</v>
      </c>
    </row>
    <row r="89" spans="1:19">
      <c r="A89" s="1641" t="s">
        <v>20</v>
      </c>
      <c r="B89" s="1634">
        <f t="shared" si="11"/>
        <v>185.88235294117646</v>
      </c>
      <c r="C89" s="1634">
        <f t="shared" si="12"/>
        <v>9789101.4117647056</v>
      </c>
      <c r="D89" s="1641">
        <v>4</v>
      </c>
      <c r="E89" s="1789">
        <f>SUMIFS(Июль[м2],Июль[МОП],A89,Июль[№ дома],"Дом 3")</f>
        <v>458.19000000000005</v>
      </c>
      <c r="F89" s="1642">
        <f>SUMIFS(Июль[сумма],Июль[МОП],A89,Июль[№ дома],"Дом 3")</f>
        <v>24804394.800000001</v>
      </c>
      <c r="G89" s="1790">
        <f>COUNTIFS(Июль[МОП],A89,Июль[№ дома],"дом 3")</f>
        <v>12</v>
      </c>
      <c r="H89" s="1791" t="e">
        <f t="shared" si="13"/>
        <v>#REF!</v>
      </c>
      <c r="I89" s="1635" t="e">
        <f t="shared" si="13"/>
        <v>#REF!</v>
      </c>
      <c r="J89" s="1820" t="e">
        <f>SUMIFS(#REF!,#REF!,3,#REF!,A89,#REF!,"&lt;="&amp;$H$1,#REF!,"&gt;="&amp;DATE(YEAR($H$1),MONTH($H$1),1))</f>
        <v>#REF!</v>
      </c>
      <c r="K89" s="1820" t="e">
        <f>SUMIFS(#REF!,#REF!,3,#REF!,A89,#REF!,"&lt;="&amp;$H$1,#REF!,"&gt;="&amp;DATE(YEAR($H$1),MONTH($H$1),1))</f>
        <v>#REF!</v>
      </c>
      <c r="L89" s="1820" t="e">
        <f>COUNTIFS(#REF!,3,#REF!,A89,#REF!,"&lt;="&amp;$H$1,#REF!,"&gt;="&amp;DATE(YEAR($H$1),MONTH($H$1),1))</f>
        <v>#REF!</v>
      </c>
      <c r="M89" s="1820" t="e">
        <f>COUNTIFS(#REF!,M$56,#REF!,$A89,#REF!,3,#REF!,"&lt;="&amp;$H$1,#REF!,"&gt;="&amp;DATE(YEAR($H$1),MONTH($H$1),1))</f>
        <v>#REF!</v>
      </c>
      <c r="N89" s="1820" t="e">
        <f>COUNTIFS(#REF!,N$56,#REF!,$A89,#REF!,3,#REF!,"&lt;="&amp;$H$1,#REF!,"&gt;="&amp;DATE(YEAR($H$1),MONTH($H$1),1))</f>
        <v>#REF!</v>
      </c>
      <c r="O89" s="1820" t="e">
        <f>COUNTIFS(#REF!,O$56,#REF!,$A89,#REF!,3,#REF!,"&lt;="&amp;$H$1,#REF!,"&gt;="&amp;DATE(YEAR($H$1),MONTH($H$1),1))</f>
        <v>#REF!</v>
      </c>
      <c r="P89" s="1821" t="e">
        <f>COUNTIFS(#REF!,P$56,#REF!,$A89,#REF!,3,#REF!,"&lt;="&amp;$H$1,#REF!,"&gt;="&amp;DATE(YEAR($H$1),MONTH($H$1),1))</f>
        <v>#REF!</v>
      </c>
      <c r="Q89" s="1820" t="e">
        <f>COUNTIFS(#REF!,Q$56,#REF!,$A89,#REF!,3,#REF!,"&lt;="&amp;$H$1,#REF!,"&gt;="&amp;DATE(YEAR($H$1),MONTH($H$1),1))</f>
        <v>#REF!</v>
      </c>
    </row>
    <row r="90" spans="1:19">
      <c r="A90" s="1641" t="s">
        <v>63</v>
      </c>
      <c r="B90" s="1634">
        <f t="shared" si="11"/>
        <v>92.941176470588232</v>
      </c>
      <c r="C90" s="1634">
        <f t="shared" si="12"/>
        <v>4894550.7058823528</v>
      </c>
      <c r="D90" s="1641">
        <v>2</v>
      </c>
      <c r="E90" s="1789">
        <f>SUMIFS(Июль[м2],Июль[МОП],A90,Июль[№ дома],"Дом 3")</f>
        <v>179.26999999999998</v>
      </c>
      <c r="F90" s="1642">
        <f>SUMIFS(Июль[сумма],Июль[МОП],A90,Июль[№ дома],"Дом 3")</f>
        <v>9234086.4000000004</v>
      </c>
      <c r="G90" s="1790">
        <f>COUNTIFS(Июль[МОП],A90,Июль[№ дома],"дом 3")</f>
        <v>4</v>
      </c>
      <c r="H90" s="1791" t="e">
        <f t="shared" si="13"/>
        <v>#REF!</v>
      </c>
      <c r="I90" s="1635" t="e">
        <f t="shared" si="13"/>
        <v>#REF!</v>
      </c>
      <c r="J90" s="1820" t="e">
        <f>SUMIFS(#REF!,#REF!,3,#REF!,A90,#REF!,"&lt;="&amp;$H$1,#REF!,"&gt;="&amp;DATE(YEAR($H$1),MONTH($H$1),1))</f>
        <v>#REF!</v>
      </c>
      <c r="K90" s="1820" t="e">
        <f>SUMIFS(#REF!,#REF!,3,#REF!,A90,#REF!,"&lt;="&amp;$H$1,#REF!,"&gt;="&amp;DATE(YEAR($H$1),MONTH($H$1),1))</f>
        <v>#REF!</v>
      </c>
      <c r="L90" s="1820" t="e">
        <f>COUNTIFS(#REF!,3,#REF!,A90,#REF!,"&lt;="&amp;$H$1,#REF!,"&gt;="&amp;DATE(YEAR($H$1),MONTH($H$1),1))</f>
        <v>#REF!</v>
      </c>
      <c r="M90" s="1820" t="e">
        <f>COUNTIFS(#REF!,M$56,#REF!,$A90,#REF!,3,#REF!,"&lt;="&amp;$H$1,#REF!,"&gt;="&amp;DATE(YEAR($H$1),MONTH($H$1),1))</f>
        <v>#REF!</v>
      </c>
      <c r="N90" s="1820" t="e">
        <f>COUNTIFS(#REF!,N$56,#REF!,$A90,#REF!,3,#REF!,"&lt;="&amp;$H$1,#REF!,"&gt;="&amp;DATE(YEAR($H$1),MONTH($H$1),1))</f>
        <v>#REF!</v>
      </c>
      <c r="O90" s="1820" t="e">
        <f>COUNTIFS(#REF!,O$56,#REF!,$A90,#REF!,3,#REF!,"&lt;="&amp;$H$1,#REF!,"&gt;="&amp;DATE(YEAR($H$1),MONTH($H$1),1))</f>
        <v>#REF!</v>
      </c>
      <c r="P90" s="1821" t="e">
        <f>COUNTIFS(#REF!,P$56,#REF!,$A90,#REF!,3,#REF!,"&lt;="&amp;$H$1,#REF!,"&gt;="&amp;DATE(YEAR($H$1),MONTH($H$1),1))</f>
        <v>#REF!</v>
      </c>
      <c r="Q90" s="1820" t="e">
        <f>COUNTIFS(#REF!,Q$56,#REF!,$A90,#REF!,3,#REF!,"&lt;="&amp;$H$1,#REF!,"&gt;="&amp;DATE(YEAR($H$1),MONTH($H$1),1))</f>
        <v>#REF!</v>
      </c>
    </row>
    <row r="91" spans="1:19" customFormat="1">
      <c r="A91" s="1630" t="s">
        <v>114</v>
      </c>
      <c r="B91" s="1636">
        <v>790</v>
      </c>
      <c r="C91" s="1636">
        <v>41603681</v>
      </c>
      <c r="D91" s="1630">
        <f>SUM(D85:D90)</f>
        <v>17</v>
      </c>
      <c r="E91" s="1630">
        <f>SUM(E85:E90)</f>
        <v>1321.3600000000001</v>
      </c>
      <c r="F91" s="1630">
        <f>SUM(F85:F90)</f>
        <v>70728136.88000001</v>
      </c>
      <c r="G91" s="1630">
        <f>SUM(G85:G90)</f>
        <v>29</v>
      </c>
      <c r="H91" s="1795" t="e">
        <f t="shared" si="13"/>
        <v>#REF!</v>
      </c>
      <c r="I91" s="1650" t="e">
        <f t="shared" si="13"/>
        <v>#REF!</v>
      </c>
      <c r="J91" s="1822" t="e">
        <f t="shared" ref="J91:Q91" si="14">SUM(J85:J90)</f>
        <v>#REF!</v>
      </c>
      <c r="K91" s="1822" t="e">
        <f t="shared" si="14"/>
        <v>#REF!</v>
      </c>
      <c r="L91" s="1822" t="e">
        <f t="shared" si="14"/>
        <v>#REF!</v>
      </c>
      <c r="M91" s="1822" t="e">
        <f t="shared" si="14"/>
        <v>#REF!</v>
      </c>
      <c r="N91" s="1822" t="e">
        <f t="shared" si="14"/>
        <v>#REF!</v>
      </c>
      <c r="O91" s="1822" t="e">
        <f t="shared" si="14"/>
        <v>#REF!</v>
      </c>
      <c r="P91" s="1823" t="e">
        <f t="shared" si="14"/>
        <v>#REF!</v>
      </c>
      <c r="Q91" s="1822" t="e">
        <f t="shared" si="14"/>
        <v>#REF!</v>
      </c>
      <c r="R91" s="1652"/>
      <c r="S91" s="1652"/>
    </row>
    <row r="92" spans="1:19" customFormat="1" ht="30" customHeight="1">
      <c r="A92" s="1638" t="s">
        <v>115</v>
      </c>
      <c r="B92" s="1639" t="s">
        <v>100</v>
      </c>
      <c r="C92" s="1639" t="s">
        <v>97</v>
      </c>
      <c r="D92" s="1631" t="s">
        <v>95</v>
      </c>
      <c r="E92" s="1788" t="s">
        <v>494</v>
      </c>
      <c r="F92" s="1631" t="s">
        <v>495</v>
      </c>
      <c r="G92" s="1631" t="s">
        <v>496</v>
      </c>
      <c r="H92" s="1633" t="s">
        <v>102</v>
      </c>
      <c r="I92" s="1633" t="s">
        <v>99</v>
      </c>
      <c r="J92" s="1788" t="s">
        <v>101</v>
      </c>
      <c r="K92" s="1631" t="s">
        <v>98</v>
      </c>
      <c r="L92" s="1631" t="s">
        <v>96</v>
      </c>
      <c r="M92" s="1631">
        <v>0</v>
      </c>
      <c r="N92" s="1631">
        <v>1</v>
      </c>
      <c r="O92" s="1631">
        <v>2</v>
      </c>
      <c r="P92" s="1631">
        <v>3</v>
      </c>
      <c r="Q92" s="1631">
        <v>4</v>
      </c>
      <c r="R92" s="1652"/>
      <c r="S92" s="1652"/>
    </row>
    <row r="93" spans="1:19" customFormat="1" ht="27.75" customHeight="1">
      <c r="A93" s="1641"/>
      <c r="B93" s="1634"/>
      <c r="C93" s="1634"/>
      <c r="D93" s="1641"/>
      <c r="E93" s="1642"/>
      <c r="F93" s="1642"/>
      <c r="G93" s="745"/>
      <c r="H93" s="1791" t="e">
        <f t="shared" ref="H93:I95" si="15">E93/B93</f>
        <v>#DIV/0!</v>
      </c>
      <c r="I93" s="1635" t="e">
        <f t="shared" si="15"/>
        <v>#DIV/0!</v>
      </c>
      <c r="J93" s="751"/>
      <c r="K93" s="1829"/>
      <c r="L93" s="751"/>
      <c r="M93" s="751"/>
      <c r="N93" s="1829"/>
      <c r="O93" s="751"/>
      <c r="P93" s="1830"/>
      <c r="Q93" s="751"/>
      <c r="R93" s="1652"/>
      <c r="S93" s="1652"/>
    </row>
    <row r="94" spans="1:19" customFormat="1" ht="15.75" customHeight="1">
      <c r="A94" s="1641" t="s">
        <v>16</v>
      </c>
      <c r="B94" s="1634">
        <f>B91/D91*D94</f>
        <v>604.11764705882354</v>
      </c>
      <c r="C94" s="1634">
        <f>C91/D91*D94</f>
        <v>31814579.588235293</v>
      </c>
      <c r="D94" s="1826">
        <v>13</v>
      </c>
      <c r="E94" s="1642">
        <f>SUMIFS(Июль[м2],Июль[ИМ],A80,Июль[№ дома],"Дом 3")</f>
        <v>749.2299999999999</v>
      </c>
      <c r="F94" s="1642">
        <f>SUMIFS(Июль[сумма],Июль[ИМ],A80,Июль[№ дома],"Дом 3")</f>
        <v>39387728.480000004</v>
      </c>
      <c r="G94" s="745">
        <f>COUNTIFS(Июль[ИМ],A80,Июль[№ дома],"Дом 3")</f>
        <v>14</v>
      </c>
      <c r="H94" s="1791">
        <f t="shared" si="15"/>
        <v>1.2402054527750728</v>
      </c>
      <c r="I94" s="1635">
        <f t="shared" si="15"/>
        <v>1.2380402001152071</v>
      </c>
      <c r="J94" s="751"/>
      <c r="K94" s="751"/>
      <c r="L94" s="751"/>
      <c r="M94" s="751">
        <f>COUNTIFS(Июль[форма опл],$J$56,Июль[ИМ],$A$66,Июль[№ дома],"Дом 1")</f>
        <v>0</v>
      </c>
      <c r="N94" s="751">
        <f>COUNTIFS(Июль[форма опл],$K$56,Июль[ИМ],$A$66,Июль[№ дома],"Дом 1")</f>
        <v>0</v>
      </c>
      <c r="O94" s="751">
        <f>COUNTIFS(Июль[форма опл],$L$56,Июль[ИМ],$A$66,Июль[№ дома],"Дом 1")</f>
        <v>0</v>
      </c>
      <c r="P94" s="1830">
        <f>COUNTIFS(Июль[форма опл],$M$56,Июль[ИМ],$A$66,Июль[№ дома],"Дом 1")</f>
        <v>0</v>
      </c>
      <c r="Q94" s="751">
        <f>COUNTIFS(Июль[форма опл],$N$56,Июль[ИМ],$A$66,Июль[№ дома],"Дом 1")</f>
        <v>0</v>
      </c>
      <c r="R94" s="1652"/>
      <c r="S94" s="1652"/>
    </row>
    <row r="95" spans="1:19" customFormat="1" ht="15.75" customHeight="1">
      <c r="A95" s="1630" t="s">
        <v>114</v>
      </c>
      <c r="B95" s="1636">
        <f t="shared" ref="B95:G95" si="16">SUM(B93:B94)</f>
        <v>604.11764705882354</v>
      </c>
      <c r="C95" s="1636">
        <f t="shared" si="16"/>
        <v>31814579.588235293</v>
      </c>
      <c r="D95" s="1630">
        <f t="shared" si="16"/>
        <v>13</v>
      </c>
      <c r="E95" s="1793">
        <f t="shared" si="16"/>
        <v>749.2299999999999</v>
      </c>
      <c r="F95" s="1793">
        <f t="shared" si="16"/>
        <v>39387728.480000004</v>
      </c>
      <c r="G95" s="1630">
        <f t="shared" si="16"/>
        <v>14</v>
      </c>
      <c r="H95" s="1650">
        <f t="shared" si="15"/>
        <v>1.2402054527750728</v>
      </c>
      <c r="I95" s="1650">
        <f t="shared" si="15"/>
        <v>1.2380402001152071</v>
      </c>
      <c r="J95" s="1831"/>
      <c r="K95" s="1831"/>
      <c r="L95" s="1831"/>
      <c r="M95" s="1831">
        <f>SUM(M93:M94)</f>
        <v>0</v>
      </c>
      <c r="N95" s="1831">
        <f>SUM(N93:N94)</f>
        <v>0</v>
      </c>
      <c r="O95" s="1831">
        <f>SUM(O93:O94)</f>
        <v>0</v>
      </c>
      <c r="P95" s="1832">
        <f>SUM(P93:P94)</f>
        <v>0</v>
      </c>
      <c r="Q95" s="1831">
        <f>SUM(Q93:Q94)</f>
        <v>0</v>
      </c>
      <c r="R95" s="1652"/>
      <c r="S95" s="1652"/>
    </row>
    <row r="96" spans="1:19" customFormat="1" ht="13.5" customHeight="1">
      <c r="A96" s="1652"/>
      <c r="B96" s="1653"/>
      <c r="C96" s="1653"/>
      <c r="D96" s="1652"/>
      <c r="E96" s="1654"/>
      <c r="F96" s="1654"/>
      <c r="G96" s="1652"/>
      <c r="H96" s="1655"/>
      <c r="I96" s="1655"/>
      <c r="J96" s="1652"/>
      <c r="K96" s="1652"/>
      <c r="L96" s="1652"/>
      <c r="M96" s="1652"/>
      <c r="N96" s="1772"/>
      <c r="O96" s="1659"/>
      <c r="P96" s="1660"/>
      <c r="Q96" s="1721"/>
    </row>
    <row r="97" spans="1:19" customFormat="1">
      <c r="A97" s="1628" t="s">
        <v>411</v>
      </c>
      <c r="B97" s="1647"/>
      <c r="C97" s="1636" t="s">
        <v>412</v>
      </c>
      <c r="D97" s="1629"/>
      <c r="E97" s="1648"/>
      <c r="F97" s="1648"/>
      <c r="G97" s="1629"/>
      <c r="H97" s="1649"/>
      <c r="I97" s="1649"/>
      <c r="J97" s="1629"/>
      <c r="K97" s="1629"/>
      <c r="L97" s="1629"/>
      <c r="M97" s="1629"/>
      <c r="N97" s="1629"/>
      <c r="O97" s="1629"/>
      <c r="P97" s="1819"/>
      <c r="Q97" s="1629"/>
    </row>
    <row r="98" spans="1:19" customFormat="1" ht="41.25" customHeight="1">
      <c r="A98" s="1631" t="s">
        <v>1</v>
      </c>
      <c r="B98" s="1639" t="s">
        <v>100</v>
      </c>
      <c r="C98" s="1639" t="s">
        <v>97</v>
      </c>
      <c r="D98" s="1631" t="s">
        <v>95</v>
      </c>
      <c r="E98" s="1788" t="s">
        <v>494</v>
      </c>
      <c r="F98" s="1631" t="s">
        <v>495</v>
      </c>
      <c r="G98" s="1631" t="s">
        <v>496</v>
      </c>
      <c r="H98" s="1633" t="s">
        <v>102</v>
      </c>
      <c r="I98" s="1633" t="s">
        <v>99</v>
      </c>
      <c r="J98" s="1788" t="s">
        <v>101</v>
      </c>
      <c r="K98" s="1631" t="s">
        <v>98</v>
      </c>
      <c r="L98" s="1631" t="s">
        <v>96</v>
      </c>
      <c r="M98" s="1631">
        <v>0</v>
      </c>
      <c r="N98" s="1631">
        <v>1</v>
      </c>
      <c r="O98" s="1631">
        <v>2</v>
      </c>
      <c r="P98" s="1631">
        <v>3</v>
      </c>
      <c r="Q98" s="1631">
        <v>4</v>
      </c>
    </row>
    <row r="99" spans="1:19" customFormat="1" ht="15.75" customHeight="1">
      <c r="A99" s="1641" t="s">
        <v>73</v>
      </c>
      <c r="B99" s="1634">
        <f t="shared" ref="B99:G99" si="17">B57+B71+B85</f>
        <v>548.92081447963801</v>
      </c>
      <c r="C99" s="1634">
        <f t="shared" si="17"/>
        <v>23869062.541666973</v>
      </c>
      <c r="D99" s="1641">
        <f t="shared" si="17"/>
        <v>9</v>
      </c>
      <c r="E99" s="1827">
        <f t="shared" si="17"/>
        <v>475.2</v>
      </c>
      <c r="F99" s="1827">
        <f t="shared" si="17"/>
        <v>26279842.32</v>
      </c>
      <c r="G99" s="1641">
        <f t="shared" si="17"/>
        <v>8</v>
      </c>
      <c r="H99" s="1791" t="e">
        <f t="shared" ref="H99:H105" si="18">J99/B99</f>
        <v>#REF!</v>
      </c>
      <c r="I99" s="1635" t="e">
        <f t="shared" ref="I99:I104" si="19">L99/C99</f>
        <v>#REF!</v>
      </c>
      <c r="J99" s="1820" t="e">
        <f t="shared" ref="J99:K104" si="20">J85+J57+J71</f>
        <v>#REF!</v>
      </c>
      <c r="K99" s="1820" t="e">
        <f t="shared" si="20"/>
        <v>#REF!</v>
      </c>
      <c r="L99" s="1820" t="e">
        <f t="shared" ref="L99:Q99" si="21">L85+L57+L71</f>
        <v>#REF!</v>
      </c>
      <c r="M99" s="1820" t="e">
        <f t="shared" si="21"/>
        <v>#REF!</v>
      </c>
      <c r="N99" s="1820" t="e">
        <f t="shared" si="21"/>
        <v>#REF!</v>
      </c>
      <c r="O99" s="1820" t="e">
        <f t="shared" si="21"/>
        <v>#REF!</v>
      </c>
      <c r="P99" s="1821" t="e">
        <f t="shared" si="21"/>
        <v>#REF!</v>
      </c>
      <c r="Q99" s="1820" t="e">
        <f t="shared" si="21"/>
        <v>#REF!</v>
      </c>
    </row>
    <row r="100" spans="1:19" customFormat="1" ht="25.5" customHeight="1">
      <c r="A100" s="1641" t="s">
        <v>407</v>
      </c>
      <c r="B100" s="1634">
        <f t="shared" ref="B100:G104" si="22">B58+B72+B86</f>
        <v>395.70022624434387</v>
      </c>
      <c r="C100" s="1634">
        <f t="shared" si="22"/>
        <v>18205704.063725799</v>
      </c>
      <c r="D100" s="1641">
        <f t="shared" si="22"/>
        <v>7</v>
      </c>
      <c r="E100" s="1827">
        <f t="shared" si="22"/>
        <v>225.08999999999997</v>
      </c>
      <c r="F100" s="1827">
        <f t="shared" si="22"/>
        <v>13394990.57</v>
      </c>
      <c r="G100" s="1826">
        <f t="shared" si="22"/>
        <v>3</v>
      </c>
      <c r="H100" s="1791" t="e">
        <f t="shared" si="18"/>
        <v>#REF!</v>
      </c>
      <c r="I100" s="1635" t="e">
        <f t="shared" si="19"/>
        <v>#REF!</v>
      </c>
      <c r="J100" s="1820" t="e">
        <f t="shared" si="20"/>
        <v>#REF!</v>
      </c>
      <c r="K100" s="1820" t="e">
        <f t="shared" si="20"/>
        <v>#REF!</v>
      </c>
      <c r="L100" s="1820" t="e">
        <f t="shared" ref="L100:Q104" si="23">L86+L58+L72</f>
        <v>#REF!</v>
      </c>
      <c r="M100" s="1820" t="e">
        <f t="shared" si="23"/>
        <v>#REF!</v>
      </c>
      <c r="N100" s="1820" t="e">
        <f t="shared" si="23"/>
        <v>#REF!</v>
      </c>
      <c r="O100" s="1820" t="e">
        <f t="shared" si="23"/>
        <v>#REF!</v>
      </c>
      <c r="P100" s="1821" t="e">
        <f t="shared" si="23"/>
        <v>#REF!</v>
      </c>
      <c r="Q100" s="1820" t="e">
        <f t="shared" si="23"/>
        <v>#REF!</v>
      </c>
    </row>
    <row r="101" spans="1:19" customFormat="1" ht="27.75" customHeight="1">
      <c r="A101" s="1641" t="s">
        <v>77</v>
      </c>
      <c r="B101" s="1634">
        <f t="shared" si="22"/>
        <v>249.53733031674207</v>
      </c>
      <c r="C101" s="1634">
        <f t="shared" si="22"/>
        <v>10659898.790849775</v>
      </c>
      <c r="D101" s="1641">
        <f t="shared" si="22"/>
        <v>4</v>
      </c>
      <c r="E101" s="1827">
        <f t="shared" si="22"/>
        <v>540.99</v>
      </c>
      <c r="F101" s="1827">
        <f t="shared" si="22"/>
        <v>32342398.239999998</v>
      </c>
      <c r="G101" s="1641">
        <f t="shared" si="22"/>
        <v>13</v>
      </c>
      <c r="H101" s="1791" t="e">
        <f t="shared" si="18"/>
        <v>#REF!</v>
      </c>
      <c r="I101" s="1635" t="e">
        <f t="shared" si="19"/>
        <v>#REF!</v>
      </c>
      <c r="J101" s="1820" t="e">
        <f t="shared" si="20"/>
        <v>#REF!</v>
      </c>
      <c r="K101" s="1820" t="e">
        <f t="shared" si="20"/>
        <v>#REF!</v>
      </c>
      <c r="L101" s="1820" t="e">
        <f t="shared" si="23"/>
        <v>#REF!</v>
      </c>
      <c r="M101" s="1820" t="e">
        <f t="shared" si="23"/>
        <v>#REF!</v>
      </c>
      <c r="N101" s="1820" t="e">
        <f t="shared" si="23"/>
        <v>#REF!</v>
      </c>
      <c r="O101" s="1820" t="e">
        <f t="shared" si="23"/>
        <v>#REF!</v>
      </c>
      <c r="P101" s="1821" t="e">
        <f t="shared" si="23"/>
        <v>#REF!</v>
      </c>
      <c r="Q101" s="1820" t="e">
        <f t="shared" si="23"/>
        <v>#REF!</v>
      </c>
    </row>
    <row r="102" spans="1:19" customFormat="1" ht="18.75" customHeight="1">
      <c r="A102" s="1641" t="s">
        <v>471</v>
      </c>
      <c r="B102" s="1634">
        <f t="shared" si="22"/>
        <v>299.38348416289591</v>
      </c>
      <c r="C102" s="1634">
        <f t="shared" si="22"/>
        <v>13209163.750817198</v>
      </c>
      <c r="D102" s="1641">
        <f t="shared" si="22"/>
        <v>5</v>
      </c>
      <c r="E102" s="1827">
        <f t="shared" si="22"/>
        <v>123</v>
      </c>
      <c r="F102" s="1827">
        <f t="shared" si="22"/>
        <v>7204382.1400000006</v>
      </c>
      <c r="G102" s="1826">
        <f t="shared" si="22"/>
        <v>2</v>
      </c>
      <c r="H102" s="1791" t="e">
        <f t="shared" si="18"/>
        <v>#REF!</v>
      </c>
      <c r="I102" s="1635" t="e">
        <f t="shared" si="19"/>
        <v>#REF!</v>
      </c>
      <c r="J102" s="1820" t="e">
        <f t="shared" si="20"/>
        <v>#REF!</v>
      </c>
      <c r="K102" s="1820" t="e">
        <f t="shared" si="20"/>
        <v>#REF!</v>
      </c>
      <c r="L102" s="1820" t="e">
        <f t="shared" si="23"/>
        <v>#REF!</v>
      </c>
      <c r="M102" s="1820" t="e">
        <f t="shared" si="23"/>
        <v>#REF!</v>
      </c>
      <c r="N102" s="1820" t="e">
        <f t="shared" si="23"/>
        <v>#REF!</v>
      </c>
      <c r="O102" s="1820" t="e">
        <f t="shared" si="23"/>
        <v>#REF!</v>
      </c>
      <c r="P102" s="1821" t="e">
        <f t="shared" si="23"/>
        <v>#REF!</v>
      </c>
      <c r="Q102" s="1820" t="e">
        <f t="shared" si="23"/>
        <v>#REF!</v>
      </c>
    </row>
    <row r="103" spans="1:19" customFormat="1">
      <c r="A103" s="1641" t="s">
        <v>20</v>
      </c>
      <c r="B103" s="1634">
        <f t="shared" si="22"/>
        <v>548.92081447963801</v>
      </c>
      <c r="C103" s="1634">
        <f t="shared" si="22"/>
        <v>23869062.541666973</v>
      </c>
      <c r="D103" s="1641">
        <f t="shared" si="22"/>
        <v>9</v>
      </c>
      <c r="E103" s="1827">
        <f t="shared" si="22"/>
        <v>646.69000000000005</v>
      </c>
      <c r="F103" s="1827">
        <f t="shared" si="22"/>
        <v>35748778.32</v>
      </c>
      <c r="G103" s="1641">
        <f t="shared" si="22"/>
        <v>16</v>
      </c>
      <c r="H103" s="1791" t="e">
        <f t="shared" si="18"/>
        <v>#REF!</v>
      </c>
      <c r="I103" s="1635" t="e">
        <f t="shared" si="19"/>
        <v>#REF!</v>
      </c>
      <c r="J103" s="1820" t="e">
        <f t="shared" si="20"/>
        <v>#REF!</v>
      </c>
      <c r="K103" s="1820" t="e">
        <f t="shared" si="20"/>
        <v>#REF!</v>
      </c>
      <c r="L103" s="1820" t="e">
        <f t="shared" si="23"/>
        <v>#REF!</v>
      </c>
      <c r="M103" s="1820" t="e">
        <f t="shared" si="23"/>
        <v>#REF!</v>
      </c>
      <c r="N103" s="1820" t="e">
        <f t="shared" si="23"/>
        <v>#REF!</v>
      </c>
      <c r="O103" s="1820" t="e">
        <f t="shared" si="23"/>
        <v>#REF!</v>
      </c>
      <c r="P103" s="1821" t="e">
        <f t="shared" si="23"/>
        <v>#REF!</v>
      </c>
      <c r="Q103" s="1820" t="e">
        <f t="shared" si="23"/>
        <v>#REF!</v>
      </c>
    </row>
    <row r="104" spans="1:19" customFormat="1">
      <c r="A104" s="1641" t="s">
        <v>63</v>
      </c>
      <c r="B104" s="1634">
        <f t="shared" si="22"/>
        <v>249.53733031674207</v>
      </c>
      <c r="C104" s="1634">
        <f t="shared" si="22"/>
        <v>10659898.790849775</v>
      </c>
      <c r="D104" s="1641">
        <f t="shared" si="22"/>
        <v>4</v>
      </c>
      <c r="E104" s="1827">
        <f t="shared" si="22"/>
        <v>255.82999999999998</v>
      </c>
      <c r="F104" s="1827">
        <f t="shared" si="22"/>
        <v>13578169.699999999</v>
      </c>
      <c r="G104" s="1641">
        <f t="shared" si="22"/>
        <v>5</v>
      </c>
      <c r="H104" s="1791" t="e">
        <f t="shared" si="18"/>
        <v>#REF!</v>
      </c>
      <c r="I104" s="1635" t="e">
        <f t="shared" si="19"/>
        <v>#REF!</v>
      </c>
      <c r="J104" s="1820" t="e">
        <f t="shared" si="20"/>
        <v>#REF!</v>
      </c>
      <c r="K104" s="1820" t="e">
        <f t="shared" si="20"/>
        <v>#REF!</v>
      </c>
      <c r="L104" s="1820" t="e">
        <f t="shared" si="23"/>
        <v>#REF!</v>
      </c>
      <c r="M104" s="1820" t="e">
        <f t="shared" si="23"/>
        <v>#REF!</v>
      </c>
      <c r="N104" s="1820" t="e">
        <f t="shared" si="23"/>
        <v>#REF!</v>
      </c>
      <c r="O104" s="1820" t="e">
        <f t="shared" si="23"/>
        <v>#REF!</v>
      </c>
      <c r="P104" s="1821" t="e">
        <f t="shared" si="23"/>
        <v>#REF!</v>
      </c>
      <c r="Q104" s="1820" t="e">
        <f t="shared" si="23"/>
        <v>#REF!</v>
      </c>
    </row>
    <row r="105" spans="1:19">
      <c r="A105" s="1630" t="s">
        <v>114</v>
      </c>
      <c r="B105" s="1636">
        <f t="shared" ref="B105:G105" si="24">SUM(B99:B104)</f>
        <v>2292</v>
      </c>
      <c r="C105" s="1636">
        <f t="shared" si="24"/>
        <v>100472790.47957648</v>
      </c>
      <c r="D105" s="1636">
        <f t="shared" si="24"/>
        <v>38</v>
      </c>
      <c r="E105" s="1636">
        <f t="shared" si="24"/>
        <v>2266.8000000000002</v>
      </c>
      <c r="F105" s="1636">
        <f t="shared" si="24"/>
        <v>128548561.29000001</v>
      </c>
      <c r="G105" s="1636">
        <f t="shared" si="24"/>
        <v>47</v>
      </c>
      <c r="H105" s="1795" t="e">
        <f t="shared" si="18"/>
        <v>#REF!</v>
      </c>
      <c r="I105" s="1650" t="e">
        <f>K105/C105</f>
        <v>#REF!</v>
      </c>
      <c r="J105" s="1822" t="e">
        <f t="shared" ref="J105:Q105" si="25">SUM(J99:J104)</f>
        <v>#REF!</v>
      </c>
      <c r="K105" s="1822" t="e">
        <f t="shared" si="25"/>
        <v>#REF!</v>
      </c>
      <c r="L105" s="1822" t="e">
        <f t="shared" si="25"/>
        <v>#REF!</v>
      </c>
      <c r="M105" s="1822" t="e">
        <f t="shared" si="25"/>
        <v>#REF!</v>
      </c>
      <c r="N105" s="1822" t="e">
        <f t="shared" si="25"/>
        <v>#REF!</v>
      </c>
      <c r="O105" s="1822" t="e">
        <f t="shared" si="25"/>
        <v>#REF!</v>
      </c>
      <c r="P105" s="1823" t="e">
        <f t="shared" si="25"/>
        <v>#REF!</v>
      </c>
      <c r="Q105" s="1822" t="e">
        <f t="shared" si="25"/>
        <v>#REF!</v>
      </c>
      <c r="R105"/>
      <c r="S105"/>
    </row>
    <row r="106" spans="1:19" ht="25.5">
      <c r="A106" s="1638" t="s">
        <v>115</v>
      </c>
      <c r="B106" s="1639" t="s">
        <v>100</v>
      </c>
      <c r="C106" s="1639" t="s">
        <v>97</v>
      </c>
      <c r="D106" s="1631" t="s">
        <v>95</v>
      </c>
      <c r="E106" s="1788" t="s">
        <v>494</v>
      </c>
      <c r="F106" s="1631" t="s">
        <v>495</v>
      </c>
      <c r="G106" s="1631" t="s">
        <v>496</v>
      </c>
      <c r="H106" s="1633" t="s">
        <v>102</v>
      </c>
      <c r="I106" s="1633" t="s">
        <v>99</v>
      </c>
      <c r="J106" s="1788" t="s">
        <v>101</v>
      </c>
      <c r="K106" s="1631" t="s">
        <v>98</v>
      </c>
      <c r="L106" s="1631" t="s">
        <v>96</v>
      </c>
      <c r="M106" s="1631">
        <v>0</v>
      </c>
      <c r="N106" s="1631">
        <v>1</v>
      </c>
      <c r="O106" s="1631">
        <v>2</v>
      </c>
      <c r="P106" s="1631">
        <v>3</v>
      </c>
      <c r="Q106" s="1631">
        <v>4</v>
      </c>
      <c r="R106"/>
      <c r="S106"/>
    </row>
    <row r="107" spans="1:19">
      <c r="A107" s="1641"/>
      <c r="B107" s="1634"/>
      <c r="C107" s="1634"/>
      <c r="D107" s="1641"/>
      <c r="E107" s="1642"/>
      <c r="F107" s="1642"/>
      <c r="G107" s="745"/>
      <c r="H107" s="1791" t="e">
        <f t="shared" ref="H107:I109" si="26">E107/B107</f>
        <v>#DIV/0!</v>
      </c>
      <c r="I107" s="1635" t="e">
        <f t="shared" si="26"/>
        <v>#DIV/0!</v>
      </c>
      <c r="J107" s="751"/>
      <c r="K107" s="1829"/>
      <c r="L107" s="751"/>
      <c r="M107" s="751"/>
      <c r="N107" s="1829"/>
      <c r="O107" s="751"/>
      <c r="P107" s="1830"/>
      <c r="Q107" s="751"/>
      <c r="R107"/>
      <c r="S107"/>
    </row>
    <row r="108" spans="1:19">
      <c r="A108" s="1641" t="s">
        <v>16</v>
      </c>
      <c r="B108" s="1634">
        <f t="shared" ref="B108:G108" si="27">B94+B80+B66</f>
        <v>1743.079185520362</v>
      </c>
      <c r="C108" s="1634">
        <f t="shared" si="27"/>
        <v>76603727.937909514</v>
      </c>
      <c r="D108" s="1828">
        <f t="shared" si="27"/>
        <v>29</v>
      </c>
      <c r="E108" s="1828">
        <f t="shared" si="27"/>
        <v>1537.19</v>
      </c>
      <c r="F108" s="1634">
        <f t="shared" si="27"/>
        <v>87254382.430000007</v>
      </c>
      <c r="G108" s="1634">
        <f t="shared" si="27"/>
        <v>28</v>
      </c>
      <c r="H108" s="1791">
        <f t="shared" si="26"/>
        <v>0.88188190919226783</v>
      </c>
      <c r="I108" s="1635">
        <f t="shared" si="26"/>
        <v>1.1390357203075454</v>
      </c>
      <c r="J108" s="751"/>
      <c r="K108" s="751"/>
      <c r="L108" s="751"/>
      <c r="M108" s="751">
        <f>COUNTIFS(Июль[форма опл],$J$56,Июль[ИМ],$A$66,Июль[№ дома],"Дом 1")</f>
        <v>0</v>
      </c>
      <c r="N108" s="751">
        <f>COUNTIFS(Июль[форма опл],$K$56,Июль[ИМ],$A$66,Июль[№ дома],"Дом 1")</f>
        <v>0</v>
      </c>
      <c r="O108" s="751">
        <f>COUNTIFS(Июль[форма опл],$L$56,Июль[ИМ],$A$66,Июль[№ дома],"Дом 1")</f>
        <v>0</v>
      </c>
      <c r="P108" s="1830">
        <f>COUNTIFS(Июль[форма опл],$M$56,Июль[ИМ],$A$66,Июль[№ дома],"Дом 1")</f>
        <v>0</v>
      </c>
      <c r="Q108" s="751">
        <f>COUNTIFS(Июль[форма опл],$N$56,Июль[ИМ],$A$66,Июль[№ дома],"Дом 1")</f>
        <v>0</v>
      </c>
      <c r="R108"/>
      <c r="S108"/>
    </row>
    <row r="109" spans="1:19">
      <c r="A109" s="1630" t="s">
        <v>114</v>
      </c>
      <c r="B109" s="1636">
        <f t="shared" ref="B109:G109" si="28">SUM(B107:B108)</f>
        <v>1743.079185520362</v>
      </c>
      <c r="C109" s="1636">
        <f t="shared" si="28"/>
        <v>76603727.937909514</v>
      </c>
      <c r="D109" s="1630">
        <f t="shared" si="28"/>
        <v>29</v>
      </c>
      <c r="E109" s="1793">
        <f t="shared" si="28"/>
        <v>1537.19</v>
      </c>
      <c r="F109" s="1793">
        <f t="shared" si="28"/>
        <v>87254382.430000007</v>
      </c>
      <c r="G109" s="1630">
        <f t="shared" si="28"/>
        <v>28</v>
      </c>
      <c r="H109" s="1650">
        <f t="shared" si="26"/>
        <v>0.88188190919226783</v>
      </c>
      <c r="I109" s="1650">
        <f t="shared" si="26"/>
        <v>1.1390357203075454</v>
      </c>
      <c r="J109" s="1831"/>
      <c r="K109" s="1831"/>
      <c r="L109" s="1831"/>
      <c r="M109" s="1831">
        <f>SUM(M107:M108)</f>
        <v>0</v>
      </c>
      <c r="N109" s="1831">
        <f>SUM(N107:N108)</f>
        <v>0</v>
      </c>
      <c r="O109" s="1831">
        <f>SUM(O107:O108)</f>
        <v>0</v>
      </c>
      <c r="P109" s="1832">
        <f>SUM(P107:P108)</f>
        <v>0</v>
      </c>
      <c r="Q109" s="1831">
        <f>SUM(Q107:Q108)</f>
        <v>0</v>
      </c>
      <c r="R109"/>
      <c r="S109"/>
    </row>
    <row r="110" spans="1:19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 s="1817"/>
      <c r="O110" s="1785"/>
      <c r="P110" s="1818"/>
      <c r="Q110" s="1817"/>
    </row>
    <row r="111" spans="1:19">
      <c r="A111" s="1652" t="s">
        <v>497</v>
      </c>
      <c r="B111" s="1652" t="s">
        <v>498</v>
      </c>
      <c r="C111" s="1652" t="s">
        <v>499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00:Q104">
    <sortCondition ref="A100:A104"/>
  </sortState>
  <mergeCells count="1">
    <mergeCell ref="Q1:S1"/>
  </mergeCells>
  <dataValidations count="1">
    <dataValidation type="list" allowBlank="1" showInputMessage="1" showErrorMessage="1" sqref="O12 O37:O38 O50:O52" xr:uid="{00000000-0002-0000-0600-000000000000}">
      <formula1>#REF!</formula1>
    </dataValidation>
  </dataValidations>
  <pageMargins left="0.7" right="0.7" top="0.75" bottom="0.75" header="0.3" footer="0.3"/>
  <pageSetup paperSize="9" scale="47"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pageSetUpPr fitToPage="1"/>
  </sheetPr>
  <dimension ref="A1:U118"/>
  <sheetViews>
    <sheetView topLeftCell="A73" workbookViewId="0">
      <selection activeCell="B22" sqref="B22"/>
    </sheetView>
  </sheetViews>
  <sheetFormatPr defaultColWidth="9.140625" defaultRowHeight="15"/>
  <cols>
    <col min="1" max="1" width="21" style="1652" customWidth="1"/>
    <col min="2" max="2" width="23.85546875" style="1652" customWidth="1"/>
    <col min="3" max="3" width="24.28515625" style="1652" customWidth="1"/>
    <col min="4" max="4" width="13.7109375" style="1652" customWidth="1"/>
    <col min="5" max="5" width="13.140625" style="1652" customWidth="1"/>
    <col min="6" max="6" width="13.28515625" style="1652" customWidth="1"/>
    <col min="7" max="7" width="13.85546875" style="1652" customWidth="1"/>
    <col min="8" max="8" width="16" style="1652" customWidth="1"/>
    <col min="9" max="9" width="17.7109375" style="1652" customWidth="1"/>
    <col min="10" max="10" width="14.28515625" style="1652" customWidth="1"/>
    <col min="11" max="11" width="12.5703125" style="1652" customWidth="1"/>
    <col min="12" max="12" width="14.42578125" style="1652" customWidth="1"/>
    <col min="13" max="13" width="11.85546875" style="1652" customWidth="1"/>
    <col min="14" max="14" width="23.5703125" style="1652" customWidth="1"/>
    <col min="15" max="15" width="25.42578125" style="1659" customWidth="1"/>
    <col min="16" max="16" width="54.42578125" style="1660" customWidth="1"/>
    <col min="17" max="17" width="28.140625" style="1652" customWidth="1"/>
    <col min="18" max="18" width="28.85546875" style="1652" customWidth="1"/>
    <col min="19" max="19" width="23.5703125" style="1652" customWidth="1"/>
    <col min="20" max="20" width="24.5703125" style="1652" customWidth="1"/>
    <col min="21" max="21" width="23.85546875" style="1652" customWidth="1"/>
    <col min="22" max="16384" width="9.140625" style="1652"/>
  </cols>
  <sheetData>
    <row r="1" spans="1:19" ht="30" customHeight="1">
      <c r="A1" s="1661"/>
      <c r="B1" s="1662"/>
      <c r="C1" s="1662"/>
      <c r="D1" s="1662"/>
      <c r="E1" s="1662"/>
      <c r="F1" s="1662"/>
      <c r="G1" s="1662"/>
      <c r="H1" s="1663">
        <v>44439</v>
      </c>
      <c r="I1" s="1663"/>
      <c r="J1" s="1706"/>
      <c r="K1" s="1662"/>
      <c r="L1" s="1662"/>
      <c r="M1" s="1662"/>
      <c r="N1" s="1662"/>
      <c r="O1" s="1662"/>
      <c r="P1" s="1662"/>
      <c r="Q1" s="1662"/>
      <c r="R1" s="1655">
        <v>0.45</v>
      </c>
      <c r="S1" s="1733">
        <v>0.1</v>
      </c>
    </row>
    <row r="2" spans="1:19" s="1656" customFormat="1" ht="26.25" customHeight="1">
      <c r="A2" s="1664" t="s">
        <v>48</v>
      </c>
      <c r="B2" s="1665" t="s">
        <v>52</v>
      </c>
      <c r="C2" s="1665" t="s">
        <v>49</v>
      </c>
      <c r="D2" s="1665" t="s">
        <v>1</v>
      </c>
      <c r="E2" s="1665" t="s">
        <v>53</v>
      </c>
      <c r="F2" s="1665" t="s">
        <v>120</v>
      </c>
      <c r="G2" s="1665" t="s">
        <v>3</v>
      </c>
      <c r="H2" s="1666" t="s">
        <v>54</v>
      </c>
      <c r="I2" s="1665" t="s">
        <v>51</v>
      </c>
      <c r="J2" s="1707" t="s">
        <v>55</v>
      </c>
      <c r="K2" s="1665" t="s">
        <v>56</v>
      </c>
      <c r="L2" s="1665" t="s">
        <v>57</v>
      </c>
      <c r="M2" s="1665" t="s">
        <v>58</v>
      </c>
      <c r="N2" s="1708" t="s">
        <v>59</v>
      </c>
      <c r="O2" s="1665" t="s">
        <v>60</v>
      </c>
      <c r="P2" s="1665" t="s">
        <v>265</v>
      </c>
      <c r="Q2" s="1734" t="s">
        <v>62</v>
      </c>
      <c r="R2" s="1735" t="s">
        <v>500</v>
      </c>
      <c r="S2" s="1735" t="s">
        <v>501</v>
      </c>
    </row>
    <row r="3" spans="1:19" s="1657" customFormat="1" ht="20.25" customHeight="1">
      <c r="A3" s="1667">
        <v>1</v>
      </c>
      <c r="B3" s="1668">
        <v>526</v>
      </c>
      <c r="C3" s="1668">
        <v>7940</v>
      </c>
      <c r="D3" s="1668" t="s">
        <v>63</v>
      </c>
      <c r="E3" s="1669">
        <v>59.93</v>
      </c>
      <c r="F3" s="1670" t="s">
        <v>27</v>
      </c>
      <c r="G3" s="1668" t="s">
        <v>16</v>
      </c>
      <c r="H3" s="1671">
        <v>4235516.79</v>
      </c>
      <c r="I3" s="1668">
        <v>2</v>
      </c>
      <c r="J3" s="1670" t="s">
        <v>65</v>
      </c>
      <c r="K3" s="1670" t="s">
        <v>12</v>
      </c>
      <c r="L3" s="1709">
        <v>44431</v>
      </c>
      <c r="M3" s="1710" t="s">
        <v>17</v>
      </c>
      <c r="N3" s="1711" t="s">
        <v>502</v>
      </c>
      <c r="O3" s="1712" t="s">
        <v>111</v>
      </c>
      <c r="P3" s="1713" t="s">
        <v>503</v>
      </c>
      <c r="Q3" s="1736" t="s">
        <v>63</v>
      </c>
      <c r="R3" s="1737" t="s">
        <v>63</v>
      </c>
      <c r="S3" s="1737" t="s">
        <v>63</v>
      </c>
    </row>
    <row r="4" spans="1:19" ht="27.75" customHeight="1">
      <c r="A4" s="1672">
        <v>2</v>
      </c>
      <c r="B4" s="1670">
        <v>242</v>
      </c>
      <c r="C4" s="1670">
        <v>9090</v>
      </c>
      <c r="D4" s="1670" t="s">
        <v>63</v>
      </c>
      <c r="E4" s="1673">
        <v>92.3</v>
      </c>
      <c r="F4" s="1670" t="s">
        <v>74</v>
      </c>
      <c r="G4" s="1670" t="s">
        <v>16</v>
      </c>
      <c r="H4" s="1674">
        <v>4775499</v>
      </c>
      <c r="I4" s="1670">
        <v>3</v>
      </c>
      <c r="J4" s="1670" t="s">
        <v>417</v>
      </c>
      <c r="K4" s="1670" t="s">
        <v>12</v>
      </c>
      <c r="L4" s="1710"/>
      <c r="M4" s="1710" t="s">
        <v>11</v>
      </c>
      <c r="N4" s="1714" t="s">
        <v>504</v>
      </c>
      <c r="O4" s="1712" t="s">
        <v>111</v>
      </c>
      <c r="P4" s="1715" t="s">
        <v>67</v>
      </c>
      <c r="Q4" s="1738" t="s">
        <v>63</v>
      </c>
      <c r="R4" s="1738" t="s">
        <v>63</v>
      </c>
      <c r="S4" s="1738" t="s">
        <v>63</v>
      </c>
    </row>
    <row r="5" spans="1:19" ht="20.25" customHeight="1">
      <c r="A5" s="1667">
        <v>3</v>
      </c>
      <c r="B5" s="1670">
        <v>233</v>
      </c>
      <c r="C5" s="1670">
        <v>14654</v>
      </c>
      <c r="D5" s="1670" t="s">
        <v>63</v>
      </c>
      <c r="E5" s="1673">
        <v>37.159999999999997</v>
      </c>
      <c r="F5" s="1670" t="s">
        <v>27</v>
      </c>
      <c r="G5" s="1670" t="s">
        <v>16</v>
      </c>
      <c r="H5" s="1674">
        <v>2197493.7599999998</v>
      </c>
      <c r="I5" s="1670">
        <v>1</v>
      </c>
      <c r="J5" s="1670" t="s">
        <v>65</v>
      </c>
      <c r="K5" s="1670" t="s">
        <v>12</v>
      </c>
      <c r="L5" s="1710">
        <v>44425</v>
      </c>
      <c r="M5" s="1710" t="s">
        <v>17</v>
      </c>
      <c r="N5" s="1714" t="s">
        <v>505</v>
      </c>
      <c r="O5" s="1715" t="s">
        <v>67</v>
      </c>
      <c r="P5" s="1715" t="s">
        <v>67</v>
      </c>
      <c r="Q5" s="1738" t="s">
        <v>63</v>
      </c>
      <c r="R5" s="1737" t="s">
        <v>77</v>
      </c>
      <c r="S5" s="1737" t="s">
        <v>63</v>
      </c>
    </row>
    <row r="6" spans="1:19">
      <c r="A6" s="1672">
        <v>4</v>
      </c>
      <c r="B6" s="1670">
        <v>534</v>
      </c>
      <c r="C6" s="1670">
        <v>13398</v>
      </c>
      <c r="D6" s="1670" t="s">
        <v>73</v>
      </c>
      <c r="E6" s="1673">
        <v>59.93</v>
      </c>
      <c r="F6" s="1670" t="s">
        <v>27</v>
      </c>
      <c r="G6" s="1670" t="s">
        <v>16</v>
      </c>
      <c r="H6" s="1674">
        <v>3256596.2</v>
      </c>
      <c r="I6" s="1670">
        <v>2</v>
      </c>
      <c r="J6" s="1670" t="s">
        <v>65</v>
      </c>
      <c r="K6" s="1670" t="s">
        <v>12</v>
      </c>
      <c r="L6" s="1710">
        <v>44434</v>
      </c>
      <c r="M6" s="1710" t="s">
        <v>17</v>
      </c>
      <c r="N6" s="1714" t="s">
        <v>506</v>
      </c>
      <c r="O6" s="1715" t="s">
        <v>67</v>
      </c>
      <c r="P6" s="1715" t="s">
        <v>507</v>
      </c>
      <c r="Q6" s="1738" t="s">
        <v>73</v>
      </c>
      <c r="R6" s="1738" t="s">
        <v>73</v>
      </c>
      <c r="S6" s="1738" t="s">
        <v>73</v>
      </c>
    </row>
    <row r="7" spans="1:19">
      <c r="A7" s="1667">
        <v>7</v>
      </c>
      <c r="B7" s="1670">
        <v>79</v>
      </c>
      <c r="C7" s="1670">
        <v>11676</v>
      </c>
      <c r="D7" s="1670" t="s">
        <v>20</v>
      </c>
      <c r="E7" s="1673">
        <v>58.99</v>
      </c>
      <c r="F7" s="1670" t="s">
        <v>121</v>
      </c>
      <c r="G7" s="1670" t="s">
        <v>84</v>
      </c>
      <c r="H7" s="1674">
        <v>3440160.09</v>
      </c>
      <c r="I7" s="1670">
        <v>2</v>
      </c>
      <c r="J7" s="1670" t="s">
        <v>85</v>
      </c>
      <c r="K7" s="1670" t="s">
        <v>18</v>
      </c>
      <c r="L7" s="1710">
        <v>44419</v>
      </c>
      <c r="M7" s="1710" t="s">
        <v>11</v>
      </c>
      <c r="N7" s="1714" t="s">
        <v>508</v>
      </c>
      <c r="O7" s="1712" t="s">
        <v>111</v>
      </c>
      <c r="P7" s="1715" t="s">
        <v>111</v>
      </c>
      <c r="Q7" s="1738" t="s">
        <v>20</v>
      </c>
      <c r="R7" s="1737" t="s">
        <v>20</v>
      </c>
      <c r="S7" s="1737" t="s">
        <v>20</v>
      </c>
    </row>
    <row r="8" spans="1:19">
      <c r="A8" s="1672">
        <v>8</v>
      </c>
      <c r="B8" s="1670">
        <v>80</v>
      </c>
      <c r="C8" s="1670">
        <v>14077</v>
      </c>
      <c r="D8" s="1670" t="s">
        <v>20</v>
      </c>
      <c r="E8" s="1673">
        <v>76.56</v>
      </c>
      <c r="F8" s="1670" t="s">
        <v>121</v>
      </c>
      <c r="G8" s="1670" t="s">
        <v>84</v>
      </c>
      <c r="H8" s="1674">
        <v>4119153.47</v>
      </c>
      <c r="I8" s="1670">
        <v>3</v>
      </c>
      <c r="J8" s="1670" t="s">
        <v>85</v>
      </c>
      <c r="K8" s="1670" t="s">
        <v>18</v>
      </c>
      <c r="L8" s="1710">
        <v>44419</v>
      </c>
      <c r="M8" s="1710" t="s">
        <v>11</v>
      </c>
      <c r="N8" s="1714" t="s">
        <v>508</v>
      </c>
      <c r="O8" s="1712" t="s">
        <v>111</v>
      </c>
      <c r="P8" s="1715" t="s">
        <v>111</v>
      </c>
      <c r="Q8" s="1738" t="s">
        <v>20</v>
      </c>
      <c r="R8" s="1737" t="s">
        <v>20</v>
      </c>
      <c r="S8" s="1737" t="s">
        <v>20</v>
      </c>
    </row>
    <row r="9" spans="1:19">
      <c r="A9" s="1667">
        <v>9</v>
      </c>
      <c r="B9" s="1670">
        <v>610</v>
      </c>
      <c r="C9" s="1670">
        <v>14014</v>
      </c>
      <c r="D9" s="1670" t="s">
        <v>20</v>
      </c>
      <c r="E9" s="1673">
        <v>23.54</v>
      </c>
      <c r="F9" s="1670" t="s">
        <v>27</v>
      </c>
      <c r="G9" s="1670" t="s">
        <v>16</v>
      </c>
      <c r="H9" s="1674">
        <v>1291463.25</v>
      </c>
      <c r="I9" s="1670">
        <v>0</v>
      </c>
      <c r="J9" s="1670" t="s">
        <v>65</v>
      </c>
      <c r="K9" s="1670" t="s">
        <v>18</v>
      </c>
      <c r="L9" s="1710">
        <v>44422</v>
      </c>
      <c r="M9" s="1710" t="s">
        <v>17</v>
      </c>
      <c r="N9" s="1714" t="s">
        <v>509</v>
      </c>
      <c r="O9" s="1712" t="s">
        <v>111</v>
      </c>
      <c r="P9" s="1715" t="s">
        <v>111</v>
      </c>
      <c r="Q9" s="1738" t="s">
        <v>20</v>
      </c>
      <c r="R9" s="1737" t="s">
        <v>20</v>
      </c>
      <c r="S9" s="1737" t="s">
        <v>20</v>
      </c>
    </row>
    <row r="10" spans="1:19">
      <c r="A10" s="1672">
        <v>10</v>
      </c>
      <c r="B10" s="1670">
        <v>312</v>
      </c>
      <c r="C10" s="1670">
        <v>10997</v>
      </c>
      <c r="D10" s="1670" t="s">
        <v>20</v>
      </c>
      <c r="E10" s="1673">
        <v>56.93</v>
      </c>
      <c r="F10" s="1670" t="s">
        <v>121</v>
      </c>
      <c r="G10" s="1670" t="s">
        <v>16</v>
      </c>
      <c r="H10" s="1674">
        <v>2974344.85</v>
      </c>
      <c r="I10" s="1670">
        <v>2</v>
      </c>
      <c r="J10" s="1670" t="s">
        <v>65</v>
      </c>
      <c r="K10" s="1670" t="s">
        <v>18</v>
      </c>
      <c r="L10" s="1710">
        <v>44417</v>
      </c>
      <c r="M10" s="1710" t="s">
        <v>11</v>
      </c>
      <c r="N10" s="1714" t="s">
        <v>510</v>
      </c>
      <c r="O10" s="1712" t="s">
        <v>111</v>
      </c>
      <c r="P10" s="1715" t="s">
        <v>111</v>
      </c>
      <c r="Q10" s="1738" t="s">
        <v>20</v>
      </c>
      <c r="R10" s="1737" t="s">
        <v>20</v>
      </c>
      <c r="S10" s="1737" t="s">
        <v>20</v>
      </c>
    </row>
    <row r="11" spans="1:19">
      <c r="A11" s="1667">
        <v>11</v>
      </c>
      <c r="B11" s="1670">
        <v>595</v>
      </c>
      <c r="C11" s="1670">
        <v>5230</v>
      </c>
      <c r="D11" s="1670" t="s">
        <v>20</v>
      </c>
      <c r="E11" s="1673">
        <v>40</v>
      </c>
      <c r="F11" s="1670" t="s">
        <v>27</v>
      </c>
      <c r="G11" s="1670" t="s">
        <v>16</v>
      </c>
      <c r="H11" s="1674">
        <v>2345200</v>
      </c>
      <c r="I11" s="1670">
        <v>1</v>
      </c>
      <c r="J11" s="1670" t="s">
        <v>65</v>
      </c>
      <c r="K11" s="1670" t="s">
        <v>18</v>
      </c>
      <c r="L11" s="1710">
        <v>44420</v>
      </c>
      <c r="M11" s="1710" t="s">
        <v>17</v>
      </c>
      <c r="N11" s="1714" t="s">
        <v>511</v>
      </c>
      <c r="O11" s="1712" t="s">
        <v>111</v>
      </c>
      <c r="P11" s="1715" t="s">
        <v>111</v>
      </c>
      <c r="Q11" s="1738" t="s">
        <v>20</v>
      </c>
      <c r="R11" s="1737" t="s">
        <v>20</v>
      </c>
      <c r="S11" s="1737" t="s">
        <v>20</v>
      </c>
    </row>
    <row r="12" spans="1:19">
      <c r="A12" s="1672">
        <v>12</v>
      </c>
      <c r="B12" s="1670">
        <v>525</v>
      </c>
      <c r="C12" s="1670">
        <v>13481</v>
      </c>
      <c r="D12" s="1670" t="s">
        <v>20</v>
      </c>
      <c r="E12" s="1673">
        <v>37.11</v>
      </c>
      <c r="F12" s="1670" t="s">
        <v>27</v>
      </c>
      <c r="G12" s="1670" t="s">
        <v>16</v>
      </c>
      <c r="H12" s="1674">
        <v>1971654.3</v>
      </c>
      <c r="I12" s="1670">
        <v>1</v>
      </c>
      <c r="J12" s="1670" t="s">
        <v>65</v>
      </c>
      <c r="K12" s="1670" t="s">
        <v>18</v>
      </c>
      <c r="L12" s="1710">
        <v>44427</v>
      </c>
      <c r="M12" s="1710" t="s">
        <v>17</v>
      </c>
      <c r="N12" s="1714" t="s">
        <v>512</v>
      </c>
      <c r="O12" s="1712" t="s">
        <v>111</v>
      </c>
      <c r="P12" s="1712" t="s">
        <v>111</v>
      </c>
      <c r="Q12" s="1738" t="s">
        <v>20</v>
      </c>
      <c r="R12" s="1737" t="s">
        <v>20</v>
      </c>
      <c r="S12" s="1737" t="s">
        <v>20</v>
      </c>
    </row>
    <row r="13" spans="1:19" ht="30">
      <c r="A13" s="1667">
        <v>13</v>
      </c>
      <c r="B13" s="1670">
        <v>540</v>
      </c>
      <c r="C13" s="1670">
        <v>14347</v>
      </c>
      <c r="D13" s="1670" t="s">
        <v>20</v>
      </c>
      <c r="E13" s="1673">
        <v>23.63</v>
      </c>
      <c r="F13" s="1670" t="s">
        <v>27</v>
      </c>
      <c r="G13" s="1670" t="s">
        <v>84</v>
      </c>
      <c r="H13" s="1674">
        <v>1364632.5</v>
      </c>
      <c r="I13" s="1670">
        <v>0</v>
      </c>
      <c r="J13" s="1670" t="s">
        <v>286</v>
      </c>
      <c r="K13" s="1670" t="s">
        <v>18</v>
      </c>
      <c r="L13" s="1710">
        <v>44425</v>
      </c>
      <c r="M13" s="1710" t="s">
        <v>11</v>
      </c>
      <c r="N13" s="1716" t="s">
        <v>513</v>
      </c>
      <c r="O13" s="1712" t="s">
        <v>111</v>
      </c>
      <c r="P13" s="1715" t="s">
        <v>111</v>
      </c>
      <c r="Q13" s="1738" t="s">
        <v>20</v>
      </c>
      <c r="R13" s="1737" t="s">
        <v>20</v>
      </c>
      <c r="S13" s="1737" t="s">
        <v>20</v>
      </c>
    </row>
    <row r="14" spans="1:19">
      <c r="A14" s="1672">
        <v>14</v>
      </c>
      <c r="B14" s="1670">
        <v>555</v>
      </c>
      <c r="C14" s="1670">
        <v>13992</v>
      </c>
      <c r="D14" s="1670" t="s">
        <v>20</v>
      </c>
      <c r="E14" s="1673">
        <v>40</v>
      </c>
      <c r="F14" s="1670" t="s">
        <v>27</v>
      </c>
      <c r="G14" s="1670" t="s">
        <v>84</v>
      </c>
      <c r="H14" s="1674">
        <v>2223760</v>
      </c>
      <c r="I14" s="1670">
        <v>1</v>
      </c>
      <c r="J14" s="1670" t="s">
        <v>514</v>
      </c>
      <c r="K14" s="1670" t="s">
        <v>515</v>
      </c>
      <c r="L14" s="1710">
        <v>44434</v>
      </c>
      <c r="M14" s="1710" t="s">
        <v>11</v>
      </c>
      <c r="N14" s="1714" t="s">
        <v>516</v>
      </c>
      <c r="O14" s="1712" t="s">
        <v>111</v>
      </c>
      <c r="P14" s="1715" t="s">
        <v>517</v>
      </c>
      <c r="Q14" s="1738" t="s">
        <v>20</v>
      </c>
      <c r="R14" s="1737" t="s">
        <v>20</v>
      </c>
      <c r="S14" s="1737" t="s">
        <v>20</v>
      </c>
    </row>
    <row r="15" spans="1:19">
      <c r="A15" s="1667">
        <v>15</v>
      </c>
      <c r="B15" s="1670">
        <v>482</v>
      </c>
      <c r="C15" s="1670">
        <v>14370</v>
      </c>
      <c r="D15" s="1670" t="s">
        <v>20</v>
      </c>
      <c r="E15" s="1673">
        <v>23.54</v>
      </c>
      <c r="F15" s="1670" t="s">
        <v>27</v>
      </c>
      <c r="G15" s="1670" t="s">
        <v>84</v>
      </c>
      <c r="H15" s="1674">
        <v>1359435</v>
      </c>
      <c r="I15" s="1670">
        <v>0</v>
      </c>
      <c r="J15" s="1670" t="s">
        <v>85</v>
      </c>
      <c r="K15" s="1670" t="s">
        <v>18</v>
      </c>
      <c r="L15" s="1710">
        <v>44432</v>
      </c>
      <c r="M15" s="1710" t="s">
        <v>11</v>
      </c>
      <c r="N15" s="1714" t="s">
        <v>518</v>
      </c>
      <c r="O15" s="1712" t="s">
        <v>111</v>
      </c>
      <c r="P15" s="1670" t="s">
        <v>519</v>
      </c>
      <c r="Q15" s="1739" t="s">
        <v>20</v>
      </c>
      <c r="R15" s="1737" t="s">
        <v>20</v>
      </c>
      <c r="S15" s="1737" t="s">
        <v>20</v>
      </c>
    </row>
    <row r="16" spans="1:19">
      <c r="A16" s="1667">
        <v>17</v>
      </c>
      <c r="B16" s="1670">
        <v>71</v>
      </c>
      <c r="C16" s="1670">
        <v>13993</v>
      </c>
      <c r="D16" s="1670" t="s">
        <v>20</v>
      </c>
      <c r="E16" s="1673">
        <v>31</v>
      </c>
      <c r="F16" s="1670" t="s">
        <v>74</v>
      </c>
      <c r="G16" s="1670" t="s">
        <v>84</v>
      </c>
      <c r="H16" s="1674">
        <v>2001893.36</v>
      </c>
      <c r="I16" s="1670">
        <v>0</v>
      </c>
      <c r="J16" s="1670" t="s">
        <v>85</v>
      </c>
      <c r="K16" s="1670" t="s">
        <v>18</v>
      </c>
      <c r="L16" s="1710">
        <v>44413</v>
      </c>
      <c r="M16" s="1710" t="s">
        <v>11</v>
      </c>
      <c r="N16" s="1714" t="s">
        <v>520</v>
      </c>
      <c r="O16" s="1717" t="s">
        <v>111</v>
      </c>
      <c r="P16" s="1715" t="s">
        <v>111</v>
      </c>
      <c r="Q16" s="1738" t="s">
        <v>20</v>
      </c>
      <c r="R16" s="1737" t="s">
        <v>20</v>
      </c>
      <c r="S16" s="1737" t="s">
        <v>20</v>
      </c>
    </row>
    <row r="17" spans="1:19">
      <c r="A17" s="1672">
        <v>18</v>
      </c>
      <c r="B17" s="1670">
        <v>243</v>
      </c>
      <c r="C17" s="1670">
        <v>13247</v>
      </c>
      <c r="D17" s="1670" t="s">
        <v>77</v>
      </c>
      <c r="E17" s="1673">
        <v>60.19</v>
      </c>
      <c r="F17" s="1670" t="s">
        <v>121</v>
      </c>
      <c r="G17" s="1670" t="s">
        <v>16</v>
      </c>
      <c r="H17" s="1674">
        <v>3455793.23</v>
      </c>
      <c r="I17" s="1670">
        <v>2</v>
      </c>
      <c r="J17" s="1670" t="s">
        <v>65</v>
      </c>
      <c r="K17" s="1670" t="s">
        <v>18</v>
      </c>
      <c r="L17" s="1710">
        <v>44412</v>
      </c>
      <c r="M17" s="1710" t="s">
        <v>17</v>
      </c>
      <c r="N17" s="1714" t="s">
        <v>521</v>
      </c>
      <c r="O17" s="1717" t="s">
        <v>111</v>
      </c>
      <c r="P17" s="1670" t="s">
        <v>522</v>
      </c>
      <c r="Q17" s="1736" t="s">
        <v>77</v>
      </c>
      <c r="R17" s="1737" t="s">
        <v>63</v>
      </c>
      <c r="S17" s="1737" t="s">
        <v>63</v>
      </c>
    </row>
    <row r="18" spans="1:19">
      <c r="A18" s="1667">
        <v>19</v>
      </c>
      <c r="B18" s="1670">
        <v>254</v>
      </c>
      <c r="C18" s="1670">
        <v>13773</v>
      </c>
      <c r="D18" s="1670" t="s">
        <v>77</v>
      </c>
      <c r="E18" s="1673">
        <v>59.93</v>
      </c>
      <c r="F18" s="1670" t="s">
        <v>27</v>
      </c>
      <c r="G18" s="1670" t="s">
        <v>16</v>
      </c>
      <c r="H18" s="1674">
        <v>3569071.22</v>
      </c>
      <c r="I18" s="1670">
        <v>2</v>
      </c>
      <c r="J18" s="1670" t="s">
        <v>65</v>
      </c>
      <c r="K18" s="1670" t="s">
        <v>12</v>
      </c>
      <c r="L18" s="1710">
        <v>44420</v>
      </c>
      <c r="M18" s="1710" t="s">
        <v>17</v>
      </c>
      <c r="N18" s="1714" t="s">
        <v>523</v>
      </c>
      <c r="O18" s="1712" t="s">
        <v>111</v>
      </c>
      <c r="P18" s="1670" t="s">
        <v>522</v>
      </c>
      <c r="Q18" s="1739" t="s">
        <v>77</v>
      </c>
      <c r="R18" s="1737" t="s">
        <v>63</v>
      </c>
      <c r="S18" s="1737" t="s">
        <v>63</v>
      </c>
    </row>
    <row r="19" spans="1:19">
      <c r="A19" s="1672">
        <v>20</v>
      </c>
      <c r="B19" s="1670">
        <v>276</v>
      </c>
      <c r="C19" s="1670">
        <v>14285</v>
      </c>
      <c r="D19" s="1670" t="s">
        <v>63</v>
      </c>
      <c r="E19" s="1673">
        <v>60.19</v>
      </c>
      <c r="F19" s="1670" t="s">
        <v>121</v>
      </c>
      <c r="G19" s="1670" t="s">
        <v>16</v>
      </c>
      <c r="H19" s="1674">
        <v>3124748.23</v>
      </c>
      <c r="I19" s="1670">
        <v>2</v>
      </c>
      <c r="J19" s="1670" t="s">
        <v>65</v>
      </c>
      <c r="K19" s="1670" t="s">
        <v>12</v>
      </c>
      <c r="L19" s="1710">
        <v>44417</v>
      </c>
      <c r="M19" s="1710" t="s">
        <v>17</v>
      </c>
      <c r="N19" s="1714" t="s">
        <v>524</v>
      </c>
      <c r="O19" s="1712" t="s">
        <v>111</v>
      </c>
      <c r="P19" s="1715" t="s">
        <v>67</v>
      </c>
      <c r="Q19" s="1740" t="s">
        <v>63</v>
      </c>
      <c r="R19" s="1741" t="s">
        <v>63</v>
      </c>
      <c r="S19" s="1737" t="s">
        <v>63</v>
      </c>
    </row>
    <row r="20" spans="1:19">
      <c r="A20" s="1667">
        <v>21</v>
      </c>
      <c r="B20" s="1670">
        <v>139</v>
      </c>
      <c r="C20" s="1670">
        <v>14457</v>
      </c>
      <c r="D20" s="1670" t="s">
        <v>63</v>
      </c>
      <c r="E20" s="1673">
        <v>59.96</v>
      </c>
      <c r="F20" s="1670" t="s">
        <v>121</v>
      </c>
      <c r="G20" s="1670" t="s">
        <v>16</v>
      </c>
      <c r="H20" s="1674">
        <v>3605010.04</v>
      </c>
      <c r="I20" s="1670">
        <v>2</v>
      </c>
      <c r="J20" s="1670" t="s">
        <v>65</v>
      </c>
      <c r="K20" s="1670" t="s">
        <v>18</v>
      </c>
      <c r="L20" s="1710">
        <v>44419</v>
      </c>
      <c r="M20" s="1710" t="s">
        <v>11</v>
      </c>
      <c r="N20" s="1714" t="s">
        <v>525</v>
      </c>
      <c r="O20" s="1712" t="s">
        <v>111</v>
      </c>
      <c r="P20" s="1670" t="s">
        <v>111</v>
      </c>
      <c r="Q20" s="1740" t="s">
        <v>63</v>
      </c>
      <c r="R20" s="1737" t="s">
        <v>63</v>
      </c>
      <c r="S20" s="1737" t="s">
        <v>63</v>
      </c>
    </row>
    <row r="21" spans="1:19">
      <c r="A21" s="1672">
        <v>22</v>
      </c>
      <c r="B21" s="1670">
        <v>327</v>
      </c>
      <c r="C21" s="1670">
        <v>14351</v>
      </c>
      <c r="D21" s="1670" t="s">
        <v>63</v>
      </c>
      <c r="E21" s="1673">
        <v>55.8</v>
      </c>
      <c r="F21" s="1670" t="s">
        <v>27</v>
      </c>
      <c r="G21" s="1670" t="s">
        <v>16</v>
      </c>
      <c r="H21" s="1674">
        <v>3142656</v>
      </c>
      <c r="I21" s="1670">
        <v>2</v>
      </c>
      <c r="J21" s="1670" t="s">
        <v>65</v>
      </c>
      <c r="K21" s="1670" t="s">
        <v>18</v>
      </c>
      <c r="L21" s="1710">
        <v>44419</v>
      </c>
      <c r="M21" s="1710" t="s">
        <v>17</v>
      </c>
      <c r="N21" s="1714" t="s">
        <v>526</v>
      </c>
      <c r="O21" s="1712" t="s">
        <v>111</v>
      </c>
      <c r="P21" s="1670" t="s">
        <v>111</v>
      </c>
      <c r="Q21" s="1739" t="s">
        <v>63</v>
      </c>
      <c r="R21" s="1737" t="s">
        <v>471</v>
      </c>
      <c r="S21" s="1737" t="s">
        <v>63</v>
      </c>
    </row>
    <row r="22" spans="1:19">
      <c r="A22" s="1667">
        <v>23</v>
      </c>
      <c r="B22" s="1670">
        <v>203</v>
      </c>
      <c r="C22" s="1670">
        <v>13504</v>
      </c>
      <c r="D22" s="1670" t="s">
        <v>63</v>
      </c>
      <c r="E22" s="1673">
        <v>60.3</v>
      </c>
      <c r="F22" s="1670" t="s">
        <v>121</v>
      </c>
      <c r="G22" s="1670" t="s">
        <v>16</v>
      </c>
      <c r="H22" s="1674">
        <v>3507901.25</v>
      </c>
      <c r="I22" s="1670">
        <v>2</v>
      </c>
      <c r="J22" s="1670" t="s">
        <v>65</v>
      </c>
      <c r="K22" s="1670" t="s">
        <v>12</v>
      </c>
      <c r="L22" s="1710">
        <v>44438</v>
      </c>
      <c r="M22" s="1710" t="s">
        <v>17</v>
      </c>
      <c r="N22" s="1714" t="s">
        <v>527</v>
      </c>
      <c r="O22" s="1712" t="s">
        <v>111</v>
      </c>
      <c r="P22" s="1670" t="s">
        <v>528</v>
      </c>
      <c r="Q22" s="1740" t="s">
        <v>63</v>
      </c>
      <c r="R22" s="1737" t="s">
        <v>471</v>
      </c>
      <c r="S22" s="1737" t="s">
        <v>63</v>
      </c>
    </row>
    <row r="23" spans="1:19">
      <c r="A23" s="1672">
        <v>24</v>
      </c>
      <c r="B23" s="1670">
        <v>572</v>
      </c>
      <c r="C23" s="1670">
        <v>13190</v>
      </c>
      <c r="D23" s="1670" t="s">
        <v>77</v>
      </c>
      <c r="E23" s="1673">
        <v>23.63</v>
      </c>
      <c r="F23" s="1670" t="s">
        <v>27</v>
      </c>
      <c r="G23" s="1670" t="s">
        <v>84</v>
      </c>
      <c r="H23" s="1674">
        <v>1299650</v>
      </c>
      <c r="I23" s="1670">
        <v>0</v>
      </c>
      <c r="J23" s="1670" t="s">
        <v>130</v>
      </c>
      <c r="K23" s="1670" t="s">
        <v>12</v>
      </c>
      <c r="L23" s="1710"/>
      <c r="M23" s="1710" t="s">
        <v>529</v>
      </c>
      <c r="N23" s="1714" t="s">
        <v>530</v>
      </c>
      <c r="O23" s="1712" t="s">
        <v>111</v>
      </c>
      <c r="P23" s="1715" t="s">
        <v>522</v>
      </c>
      <c r="Q23" s="1739" t="s">
        <v>77</v>
      </c>
      <c r="R23" s="1739" t="s">
        <v>77</v>
      </c>
      <c r="S23" s="1739" t="s">
        <v>77</v>
      </c>
    </row>
    <row r="24" spans="1:19">
      <c r="A24" s="1667">
        <v>25</v>
      </c>
      <c r="B24" s="1670">
        <v>226</v>
      </c>
      <c r="C24" s="1675">
        <v>14092</v>
      </c>
      <c r="D24" s="1670" t="s">
        <v>77</v>
      </c>
      <c r="E24" s="1673">
        <v>23.54</v>
      </c>
      <c r="F24" s="1670" t="s">
        <v>27</v>
      </c>
      <c r="G24" s="1670" t="s">
        <v>84</v>
      </c>
      <c r="H24" s="1674">
        <v>1359435</v>
      </c>
      <c r="I24" s="1670">
        <v>0</v>
      </c>
      <c r="J24" s="1670" t="s">
        <v>130</v>
      </c>
      <c r="K24" s="1670" t="s">
        <v>18</v>
      </c>
      <c r="L24" s="1710"/>
      <c r="M24" s="1710" t="s">
        <v>11</v>
      </c>
      <c r="N24" s="1714" t="s">
        <v>531</v>
      </c>
      <c r="O24" s="1712" t="s">
        <v>111</v>
      </c>
      <c r="P24" s="1718" t="s">
        <v>522</v>
      </c>
      <c r="Q24" s="1740" t="s">
        <v>77</v>
      </c>
      <c r="R24" s="1740" t="s">
        <v>77</v>
      </c>
      <c r="S24" s="1740" t="s">
        <v>77</v>
      </c>
    </row>
    <row r="25" spans="1:19">
      <c r="A25" s="1672">
        <v>26</v>
      </c>
      <c r="B25" s="1670">
        <v>558</v>
      </c>
      <c r="C25" s="1670">
        <v>13983</v>
      </c>
      <c r="D25" s="1670" t="s">
        <v>77</v>
      </c>
      <c r="E25" s="1673">
        <v>59.93</v>
      </c>
      <c r="F25" s="1670" t="s">
        <v>27</v>
      </c>
      <c r="G25" s="1670" t="s">
        <v>16</v>
      </c>
      <c r="H25" s="1674">
        <v>2926981.2</v>
      </c>
      <c r="I25" s="1670">
        <v>2</v>
      </c>
      <c r="J25" s="1670" t="s">
        <v>65</v>
      </c>
      <c r="K25" s="1670" t="s">
        <v>12</v>
      </c>
      <c r="L25" s="1710">
        <v>44438</v>
      </c>
      <c r="M25" s="1710" t="s">
        <v>17</v>
      </c>
      <c r="N25" s="1714" t="s">
        <v>532</v>
      </c>
      <c r="O25" s="1712" t="s">
        <v>111</v>
      </c>
      <c r="P25" s="1718" t="s">
        <v>522</v>
      </c>
      <c r="Q25" s="1739" t="s">
        <v>77</v>
      </c>
      <c r="R25" s="1739" t="s">
        <v>77</v>
      </c>
      <c r="S25" s="1739" t="s">
        <v>77</v>
      </c>
    </row>
    <row r="26" spans="1:19">
      <c r="A26" s="1667">
        <v>27</v>
      </c>
      <c r="B26" s="1670">
        <v>604</v>
      </c>
      <c r="C26" s="1670">
        <v>14417</v>
      </c>
      <c r="D26" s="1670" t="s">
        <v>471</v>
      </c>
      <c r="E26" s="1673">
        <v>23.63</v>
      </c>
      <c r="F26" s="1670" t="s">
        <v>27</v>
      </c>
      <c r="G26" s="1670" t="s">
        <v>84</v>
      </c>
      <c r="H26" s="1674">
        <v>1494597.5</v>
      </c>
      <c r="I26" s="1670">
        <v>0</v>
      </c>
      <c r="J26" s="1670" t="s">
        <v>130</v>
      </c>
      <c r="K26" s="1670" t="s">
        <v>18</v>
      </c>
      <c r="L26" s="1710">
        <v>44422</v>
      </c>
      <c r="M26" s="1710"/>
      <c r="N26" s="1714" t="s">
        <v>533</v>
      </c>
      <c r="O26" s="1712" t="s">
        <v>111</v>
      </c>
      <c r="P26" s="1715" t="s">
        <v>67</v>
      </c>
      <c r="Q26" s="1738" t="s">
        <v>534</v>
      </c>
      <c r="R26" s="1737" t="s">
        <v>471</v>
      </c>
      <c r="S26" s="1737" t="s">
        <v>471</v>
      </c>
    </row>
    <row r="27" spans="1:19">
      <c r="A27" s="1672">
        <v>28</v>
      </c>
      <c r="B27" s="1668">
        <v>108</v>
      </c>
      <c r="C27" s="1668">
        <v>13866</v>
      </c>
      <c r="D27" s="1668" t="s">
        <v>73</v>
      </c>
      <c r="E27" s="1668">
        <v>76.56</v>
      </c>
      <c r="F27" s="1668" t="s">
        <v>121</v>
      </c>
      <c r="G27" s="1668" t="s">
        <v>16</v>
      </c>
      <c r="H27" s="1671">
        <v>4119153.47</v>
      </c>
      <c r="I27" s="1668">
        <v>3</v>
      </c>
      <c r="J27" s="1668" t="s">
        <v>65</v>
      </c>
      <c r="K27" s="1668" t="s">
        <v>12</v>
      </c>
      <c r="L27" s="1709">
        <v>44439</v>
      </c>
      <c r="M27" s="1709" t="s">
        <v>17</v>
      </c>
      <c r="N27" s="1711" t="s">
        <v>535</v>
      </c>
      <c r="O27" s="1712" t="s">
        <v>111</v>
      </c>
      <c r="P27" s="1668" t="s">
        <v>536</v>
      </c>
      <c r="Q27" s="1742" t="s">
        <v>73</v>
      </c>
      <c r="R27" s="1737" t="s">
        <v>73</v>
      </c>
      <c r="S27" s="1737" t="s">
        <v>73</v>
      </c>
    </row>
    <row r="28" spans="1:19">
      <c r="A28" s="1667">
        <v>29</v>
      </c>
      <c r="B28" s="1670">
        <v>560</v>
      </c>
      <c r="C28" s="1670">
        <v>14517</v>
      </c>
      <c r="D28" s="1670" t="s">
        <v>73</v>
      </c>
      <c r="E28" s="1673">
        <v>82.27</v>
      </c>
      <c r="F28" s="1670" t="s">
        <v>27</v>
      </c>
      <c r="G28" s="1670" t="s">
        <v>16</v>
      </c>
      <c r="H28" s="1674">
        <v>3952908.96</v>
      </c>
      <c r="I28" s="1670">
        <v>3</v>
      </c>
      <c r="J28" s="1670" t="s">
        <v>65</v>
      </c>
      <c r="K28" s="1670" t="s">
        <v>12</v>
      </c>
      <c r="L28" s="1709">
        <v>44434</v>
      </c>
      <c r="M28" s="1710" t="s">
        <v>17</v>
      </c>
      <c r="N28" s="1714" t="s">
        <v>537</v>
      </c>
      <c r="O28" s="1712" t="s">
        <v>111</v>
      </c>
      <c r="P28" s="1668" t="s">
        <v>538</v>
      </c>
      <c r="Q28" s="1736" t="s">
        <v>73</v>
      </c>
      <c r="R28" s="1737" t="s">
        <v>73</v>
      </c>
      <c r="S28" s="1737" t="s">
        <v>73</v>
      </c>
    </row>
    <row r="29" spans="1:19">
      <c r="A29" s="1672">
        <v>30</v>
      </c>
      <c r="B29" s="1670">
        <v>498</v>
      </c>
      <c r="C29" s="1670">
        <v>14514</v>
      </c>
      <c r="D29" s="1670" t="s">
        <v>73</v>
      </c>
      <c r="E29" s="1673">
        <v>23.54</v>
      </c>
      <c r="F29" s="1670" t="s">
        <v>27</v>
      </c>
      <c r="G29" s="1670" t="s">
        <v>84</v>
      </c>
      <c r="H29" s="1674">
        <v>1800810</v>
      </c>
      <c r="I29" s="1670">
        <v>0</v>
      </c>
      <c r="J29" s="1670" t="s">
        <v>130</v>
      </c>
      <c r="K29" s="1670" t="s">
        <v>18</v>
      </c>
      <c r="L29" s="1710">
        <v>44425</v>
      </c>
      <c r="M29" s="1710" t="s">
        <v>11</v>
      </c>
      <c r="N29" s="1714" t="s">
        <v>539</v>
      </c>
      <c r="O29" s="1712" t="s">
        <v>111</v>
      </c>
      <c r="P29" s="1715"/>
      <c r="Q29" s="1736" t="s">
        <v>73</v>
      </c>
      <c r="R29" s="1737" t="s">
        <v>73</v>
      </c>
      <c r="S29" s="1737" t="s">
        <v>73</v>
      </c>
    </row>
    <row r="30" spans="1:19">
      <c r="A30" s="1667">
        <v>31</v>
      </c>
      <c r="B30" s="1670">
        <v>277</v>
      </c>
      <c r="C30" s="1670">
        <v>13186</v>
      </c>
      <c r="D30" s="1668" t="s">
        <v>77</v>
      </c>
      <c r="E30" s="1673">
        <v>37.11</v>
      </c>
      <c r="F30" s="1670" t="s">
        <v>27</v>
      </c>
      <c r="G30" s="1670" t="s">
        <v>84</v>
      </c>
      <c r="H30" s="1674">
        <v>2194536.96</v>
      </c>
      <c r="I30" s="1670">
        <v>1</v>
      </c>
      <c r="J30" s="1670" t="s">
        <v>130</v>
      </c>
      <c r="K30" s="1670" t="s">
        <v>18</v>
      </c>
      <c r="L30" s="1710" t="s">
        <v>540</v>
      </c>
      <c r="M30" s="1710" t="s">
        <v>11</v>
      </c>
      <c r="N30" s="1714" t="s">
        <v>541</v>
      </c>
      <c r="O30" s="1712" t="s">
        <v>111</v>
      </c>
      <c r="P30" s="1718" t="s">
        <v>522</v>
      </c>
      <c r="Q30" s="1736" t="s">
        <v>77</v>
      </c>
      <c r="R30" s="1736" t="s">
        <v>73</v>
      </c>
      <c r="S30" s="1737" t="s">
        <v>77</v>
      </c>
    </row>
    <row r="31" spans="1:19">
      <c r="A31" s="1672">
        <v>32</v>
      </c>
      <c r="B31" s="1670">
        <v>157</v>
      </c>
      <c r="C31" s="1670">
        <v>8077</v>
      </c>
      <c r="D31" s="1668" t="s">
        <v>77</v>
      </c>
      <c r="E31" s="1673">
        <v>62.9</v>
      </c>
      <c r="F31" s="1670" t="s">
        <v>74</v>
      </c>
      <c r="G31" s="1670" t="s">
        <v>16</v>
      </c>
      <c r="H31" s="1674">
        <v>3480508.5</v>
      </c>
      <c r="I31" s="1670">
        <v>2</v>
      </c>
      <c r="J31" s="1670" t="s">
        <v>65</v>
      </c>
      <c r="K31" s="1670" t="s">
        <v>18</v>
      </c>
      <c r="L31" s="1710">
        <v>44425</v>
      </c>
      <c r="M31" s="1710" t="s">
        <v>17</v>
      </c>
      <c r="N31" s="1714" t="s">
        <v>542</v>
      </c>
      <c r="O31" s="1712" t="s">
        <v>111</v>
      </c>
      <c r="P31" s="1715" t="s">
        <v>522</v>
      </c>
      <c r="Q31" s="1736" t="s">
        <v>77</v>
      </c>
      <c r="R31" s="1737" t="s">
        <v>73</v>
      </c>
      <c r="S31" s="1737" t="s">
        <v>73</v>
      </c>
    </row>
    <row r="32" spans="1:19">
      <c r="A32" s="1667">
        <v>33</v>
      </c>
      <c r="B32" s="1670">
        <v>165</v>
      </c>
      <c r="C32" s="1670">
        <v>14691</v>
      </c>
      <c r="D32" s="1668" t="s">
        <v>77</v>
      </c>
      <c r="E32" s="1673">
        <v>37.89</v>
      </c>
      <c r="F32" s="1670" t="s">
        <v>121</v>
      </c>
      <c r="G32" s="1670" t="s">
        <v>16</v>
      </c>
      <c r="H32" s="1674">
        <v>2847748.1</v>
      </c>
      <c r="I32" s="1670">
        <v>1</v>
      </c>
      <c r="J32" s="1670" t="s">
        <v>65</v>
      </c>
      <c r="K32" s="1670" t="s">
        <v>18</v>
      </c>
      <c r="L32" s="1710">
        <v>44429</v>
      </c>
      <c r="M32" s="1710" t="s">
        <v>17</v>
      </c>
      <c r="N32" s="1670" t="s">
        <v>543</v>
      </c>
      <c r="O32" s="1712" t="s">
        <v>111</v>
      </c>
      <c r="P32" s="1715" t="s">
        <v>522</v>
      </c>
      <c r="Q32" s="1740" t="s">
        <v>77</v>
      </c>
      <c r="R32" s="1740" t="s">
        <v>77</v>
      </c>
      <c r="S32" s="1740" t="s">
        <v>77</v>
      </c>
    </row>
    <row r="33" spans="1:19">
      <c r="A33" s="1672">
        <v>34</v>
      </c>
      <c r="B33" s="1670">
        <v>228</v>
      </c>
      <c r="C33" s="1670">
        <v>342</v>
      </c>
      <c r="D33" s="1668" t="s">
        <v>20</v>
      </c>
      <c r="E33" s="1673">
        <v>87.6</v>
      </c>
      <c r="F33" s="1670" t="s">
        <v>74</v>
      </c>
      <c r="G33" s="1670" t="s">
        <v>16</v>
      </c>
      <c r="H33" s="1674">
        <v>4644252</v>
      </c>
      <c r="I33" s="1670">
        <v>3</v>
      </c>
      <c r="J33" s="1670" t="s">
        <v>65</v>
      </c>
      <c r="K33" s="1670" t="s">
        <v>18</v>
      </c>
      <c r="L33" s="1710">
        <v>44426</v>
      </c>
      <c r="M33" s="1710" t="s">
        <v>17</v>
      </c>
      <c r="N33" s="1714" t="s">
        <v>544</v>
      </c>
      <c r="O33" s="1712" t="s">
        <v>111</v>
      </c>
      <c r="P33" s="1715" t="s">
        <v>111</v>
      </c>
      <c r="Q33" s="1736" t="s">
        <v>20</v>
      </c>
      <c r="R33" s="1737" t="s">
        <v>63</v>
      </c>
      <c r="S33" s="1737" t="s">
        <v>63</v>
      </c>
    </row>
    <row r="34" spans="1:19">
      <c r="A34" s="1667">
        <v>35</v>
      </c>
      <c r="B34" s="1670">
        <v>276</v>
      </c>
      <c r="C34" s="1670">
        <v>14720</v>
      </c>
      <c r="D34" s="1670" t="s">
        <v>73</v>
      </c>
      <c r="E34" s="1673">
        <v>23.63</v>
      </c>
      <c r="F34" s="1670" t="s">
        <v>27</v>
      </c>
      <c r="G34" s="1670" t="s">
        <v>84</v>
      </c>
      <c r="H34" s="1674">
        <v>1429615</v>
      </c>
      <c r="I34" s="1670">
        <v>0</v>
      </c>
      <c r="J34" s="1670" t="s">
        <v>85</v>
      </c>
      <c r="K34" s="1670" t="s">
        <v>12</v>
      </c>
      <c r="L34" s="1710">
        <v>44433</v>
      </c>
      <c r="M34" s="1710" t="s">
        <v>11</v>
      </c>
      <c r="N34" s="1714" t="s">
        <v>545</v>
      </c>
      <c r="O34" s="1712" t="s">
        <v>111</v>
      </c>
      <c r="P34" s="1715" t="s">
        <v>546</v>
      </c>
      <c r="Q34" s="1736" t="s">
        <v>73</v>
      </c>
      <c r="R34" s="1737" t="s">
        <v>73</v>
      </c>
      <c r="S34" s="1737" t="s">
        <v>73</v>
      </c>
    </row>
    <row r="35" spans="1:19">
      <c r="A35" s="1672">
        <v>36</v>
      </c>
      <c r="B35" s="1670">
        <v>557</v>
      </c>
      <c r="C35" s="1670">
        <v>13146</v>
      </c>
      <c r="D35" s="1670" t="s">
        <v>73</v>
      </c>
      <c r="E35" s="1673">
        <v>37.11</v>
      </c>
      <c r="F35" s="1670" t="s">
        <v>27</v>
      </c>
      <c r="G35" s="1670" t="s">
        <v>84</v>
      </c>
      <c r="H35" s="1674">
        <v>2307202.92</v>
      </c>
      <c r="I35" s="1670">
        <v>1</v>
      </c>
      <c r="J35" s="1670" t="s">
        <v>85</v>
      </c>
      <c r="K35" s="1670" t="s">
        <v>12</v>
      </c>
      <c r="L35" s="1710">
        <v>44433</v>
      </c>
      <c r="M35" s="1710" t="s">
        <v>11</v>
      </c>
      <c r="N35" s="1714" t="s">
        <v>547</v>
      </c>
      <c r="O35" s="1712" t="s">
        <v>111</v>
      </c>
      <c r="P35" s="1715" t="s">
        <v>548</v>
      </c>
      <c r="Q35" s="1736" t="s">
        <v>73</v>
      </c>
      <c r="R35" s="1737" t="s">
        <v>73</v>
      </c>
      <c r="S35" s="1737" t="s">
        <v>73</v>
      </c>
    </row>
    <row r="36" spans="1:19">
      <c r="A36" s="1667">
        <v>37</v>
      </c>
      <c r="B36" s="1670">
        <v>223</v>
      </c>
      <c r="C36" s="1670">
        <v>15118</v>
      </c>
      <c r="D36" s="1670" t="s">
        <v>471</v>
      </c>
      <c r="E36" s="1673">
        <v>55.8</v>
      </c>
      <c r="F36" s="1670" t="s">
        <v>27</v>
      </c>
      <c r="G36" s="1670" t="s">
        <v>16</v>
      </c>
      <c r="H36" s="1674">
        <v>2943784.8</v>
      </c>
      <c r="I36" s="1670">
        <v>2</v>
      </c>
      <c r="J36" s="1670" t="s">
        <v>65</v>
      </c>
      <c r="K36" s="1670" t="s">
        <v>18</v>
      </c>
      <c r="L36" s="1710">
        <v>44435</v>
      </c>
      <c r="M36" s="1710" t="s">
        <v>17</v>
      </c>
      <c r="N36" s="1714" t="s">
        <v>549</v>
      </c>
      <c r="O36" s="1712" t="s">
        <v>111</v>
      </c>
      <c r="P36" s="1715" t="s">
        <v>67</v>
      </c>
      <c r="Q36" s="1736" t="s">
        <v>471</v>
      </c>
      <c r="R36" s="1736" t="s">
        <v>471</v>
      </c>
      <c r="S36" s="1736" t="s">
        <v>471</v>
      </c>
    </row>
    <row r="37" spans="1:19">
      <c r="A37" s="1672">
        <v>38</v>
      </c>
      <c r="B37" s="1670">
        <v>515</v>
      </c>
      <c r="C37" s="1670">
        <v>14924</v>
      </c>
      <c r="D37" s="1670" t="s">
        <v>471</v>
      </c>
      <c r="E37" s="1673">
        <v>40</v>
      </c>
      <c r="F37" s="1670" t="s">
        <v>27</v>
      </c>
      <c r="G37" s="1670" t="s">
        <v>16</v>
      </c>
      <c r="H37" s="1674">
        <v>2486880</v>
      </c>
      <c r="I37" s="1670">
        <v>1</v>
      </c>
      <c r="J37" s="1670" t="s">
        <v>65</v>
      </c>
      <c r="K37" s="1670" t="s">
        <v>18</v>
      </c>
      <c r="L37" s="1710">
        <v>44429</v>
      </c>
      <c r="M37" s="1710" t="s">
        <v>17</v>
      </c>
      <c r="N37" s="1714" t="s">
        <v>550</v>
      </c>
      <c r="O37" s="1712" t="s">
        <v>111</v>
      </c>
      <c r="P37" s="1719" t="s">
        <v>67</v>
      </c>
      <c r="Q37" s="1736" t="s">
        <v>471</v>
      </c>
      <c r="R37" s="1737" t="s">
        <v>471</v>
      </c>
      <c r="S37" s="1737" t="s">
        <v>471</v>
      </c>
    </row>
    <row r="38" spans="1:19">
      <c r="A38" s="1667">
        <v>39</v>
      </c>
      <c r="B38" s="1670">
        <v>566</v>
      </c>
      <c r="C38" s="1670">
        <v>10193</v>
      </c>
      <c r="D38" s="1668" t="s">
        <v>77</v>
      </c>
      <c r="E38" s="1673">
        <v>59.93</v>
      </c>
      <c r="F38" s="1670" t="s">
        <v>27</v>
      </c>
      <c r="G38" s="1670" t="s">
        <v>16</v>
      </c>
      <c r="H38" s="1674">
        <v>4264259.22</v>
      </c>
      <c r="I38" s="1670">
        <v>2</v>
      </c>
      <c r="J38" s="1670" t="s">
        <v>65</v>
      </c>
      <c r="K38" s="1670" t="s">
        <v>18</v>
      </c>
      <c r="L38" s="1710">
        <v>44431</v>
      </c>
      <c r="M38" s="1710" t="s">
        <v>17</v>
      </c>
      <c r="N38" s="1714" t="s">
        <v>551</v>
      </c>
      <c r="O38" s="1712" t="s">
        <v>111</v>
      </c>
      <c r="P38" s="1715" t="s">
        <v>522</v>
      </c>
      <c r="Q38" s="1739" t="s">
        <v>77</v>
      </c>
      <c r="R38" s="1739" t="s">
        <v>77</v>
      </c>
      <c r="S38" s="1739" t="s">
        <v>77</v>
      </c>
    </row>
    <row r="39" spans="1:19">
      <c r="A39" s="1672">
        <v>40</v>
      </c>
      <c r="B39" s="1670">
        <v>281</v>
      </c>
      <c r="C39" s="1670">
        <v>14719</v>
      </c>
      <c r="D39" s="1670" t="s">
        <v>73</v>
      </c>
      <c r="E39" s="1673">
        <v>37.159999999999997</v>
      </c>
      <c r="F39" s="1670" t="s">
        <v>27</v>
      </c>
      <c r="G39" s="1670" t="s">
        <v>16</v>
      </c>
      <c r="H39" s="1674">
        <v>2197493.7599999998</v>
      </c>
      <c r="I39" s="1670">
        <v>1</v>
      </c>
      <c r="J39" s="1670" t="s">
        <v>65</v>
      </c>
      <c r="K39" s="1670" t="s">
        <v>18</v>
      </c>
      <c r="L39" s="1710">
        <v>44428</v>
      </c>
      <c r="M39" s="1710" t="s">
        <v>17</v>
      </c>
      <c r="N39" s="1714" t="s">
        <v>552</v>
      </c>
      <c r="O39" s="1712" t="s">
        <v>111</v>
      </c>
      <c r="P39" s="1715" t="s">
        <v>553</v>
      </c>
      <c r="Q39" s="1736" t="s">
        <v>73</v>
      </c>
      <c r="R39" s="1737" t="s">
        <v>63</v>
      </c>
      <c r="S39" s="1737" t="s">
        <v>73</v>
      </c>
    </row>
    <row r="40" spans="1:19">
      <c r="A40" s="1667">
        <v>41</v>
      </c>
      <c r="B40" s="1670">
        <v>581</v>
      </c>
      <c r="C40" s="1670">
        <v>14937</v>
      </c>
      <c r="D40" s="1670" t="s">
        <v>471</v>
      </c>
      <c r="E40" s="1673">
        <v>37.159999999999997</v>
      </c>
      <c r="F40" s="1670" t="s">
        <v>554</v>
      </c>
      <c r="G40" s="1670" t="s">
        <v>16</v>
      </c>
      <c r="H40" s="1674">
        <v>2310311.52</v>
      </c>
      <c r="I40" s="1670">
        <v>1</v>
      </c>
      <c r="J40" s="1670" t="s">
        <v>65</v>
      </c>
      <c r="K40" s="1670" t="s">
        <v>18</v>
      </c>
      <c r="L40" s="1710">
        <v>44435</v>
      </c>
      <c r="M40" s="1710" t="s">
        <v>17</v>
      </c>
      <c r="N40" s="1714" t="s">
        <v>555</v>
      </c>
      <c r="O40" s="1712" t="s">
        <v>111</v>
      </c>
      <c r="P40" s="1715" t="s">
        <v>556</v>
      </c>
      <c r="Q40" s="1736" t="s">
        <v>471</v>
      </c>
      <c r="R40" s="1737" t="s">
        <v>471</v>
      </c>
      <c r="S40" s="1737" t="s">
        <v>471</v>
      </c>
    </row>
    <row r="41" spans="1:19">
      <c r="A41" s="1672">
        <v>42</v>
      </c>
      <c r="B41" s="1670">
        <v>300</v>
      </c>
      <c r="C41" s="1670">
        <v>14983</v>
      </c>
      <c r="D41" s="1670" t="s">
        <v>63</v>
      </c>
      <c r="E41" s="1673">
        <v>23.63</v>
      </c>
      <c r="F41" s="1670" t="s">
        <v>27</v>
      </c>
      <c r="G41" s="1670" t="s">
        <v>16</v>
      </c>
      <c r="H41" s="1674">
        <v>1559580</v>
      </c>
      <c r="I41" s="1670">
        <v>0</v>
      </c>
      <c r="J41" s="1670" t="s">
        <v>65</v>
      </c>
      <c r="K41" s="1670" t="s">
        <v>18</v>
      </c>
      <c r="L41" s="1710">
        <v>44416</v>
      </c>
      <c r="M41" s="1710" t="s">
        <v>17</v>
      </c>
      <c r="N41" s="1714" t="s">
        <v>557</v>
      </c>
      <c r="O41" s="1712" t="s">
        <v>111</v>
      </c>
      <c r="P41" s="1670" t="s">
        <v>111</v>
      </c>
      <c r="Q41" s="1736" t="s">
        <v>63</v>
      </c>
      <c r="R41" s="1737" t="s">
        <v>63</v>
      </c>
      <c r="S41" s="1737" t="s">
        <v>63</v>
      </c>
    </row>
    <row r="42" spans="1:19">
      <c r="A42" s="1667">
        <v>43</v>
      </c>
      <c r="B42" s="1670">
        <v>567</v>
      </c>
      <c r="C42" s="1670" t="s">
        <v>558</v>
      </c>
      <c r="D42" s="1668" t="s">
        <v>20</v>
      </c>
      <c r="E42" s="1673">
        <v>55.8</v>
      </c>
      <c r="F42" s="1670" t="s">
        <v>27</v>
      </c>
      <c r="G42" s="1670" t="s">
        <v>16</v>
      </c>
      <c r="H42" s="1674">
        <v>2885351.04</v>
      </c>
      <c r="I42" s="1670">
        <v>2</v>
      </c>
      <c r="J42" s="1670" t="s">
        <v>65</v>
      </c>
      <c r="K42" s="1670" t="s">
        <v>18</v>
      </c>
      <c r="L42" s="1710" t="s">
        <v>559</v>
      </c>
      <c r="M42" s="1710" t="s">
        <v>17</v>
      </c>
      <c r="N42" s="1714" t="s">
        <v>560</v>
      </c>
      <c r="O42" s="1712" t="s">
        <v>111</v>
      </c>
      <c r="P42" s="1715" t="s">
        <v>561</v>
      </c>
      <c r="Q42" s="1739" t="s">
        <v>562</v>
      </c>
      <c r="R42" s="1739" t="s">
        <v>77</v>
      </c>
      <c r="S42" s="1739" t="s">
        <v>77</v>
      </c>
    </row>
    <row r="43" spans="1:19">
      <c r="A43" s="1672">
        <v>44</v>
      </c>
      <c r="B43" s="1670">
        <v>596</v>
      </c>
      <c r="C43" s="1670">
        <v>15101</v>
      </c>
      <c r="D43" s="1670" t="s">
        <v>20</v>
      </c>
      <c r="E43" s="1673">
        <v>23.63</v>
      </c>
      <c r="F43" s="1670" t="s">
        <v>27</v>
      </c>
      <c r="G43" s="1670" t="s">
        <v>84</v>
      </c>
      <c r="H43" s="1674">
        <v>1429615</v>
      </c>
      <c r="I43" s="1670">
        <v>0</v>
      </c>
      <c r="J43" s="1670" t="s">
        <v>85</v>
      </c>
      <c r="K43" s="1670" t="s">
        <v>18</v>
      </c>
      <c r="L43" s="1710">
        <v>44434</v>
      </c>
      <c r="M43" s="1710" t="s">
        <v>17</v>
      </c>
      <c r="N43" s="1714" t="s">
        <v>563</v>
      </c>
      <c r="O43" s="1712" t="s">
        <v>111</v>
      </c>
      <c r="P43" s="1715" t="s">
        <v>564</v>
      </c>
      <c r="Q43" s="1736" t="s">
        <v>20</v>
      </c>
      <c r="R43" s="1737" t="s">
        <v>63</v>
      </c>
      <c r="S43" s="1737" t="s">
        <v>63</v>
      </c>
    </row>
    <row r="44" spans="1:19">
      <c r="A44" s="1667">
        <v>45</v>
      </c>
      <c r="B44" s="1670">
        <v>542</v>
      </c>
      <c r="C44" s="1670">
        <v>15148</v>
      </c>
      <c r="D44" s="1670" t="s">
        <v>407</v>
      </c>
      <c r="E44" s="1673">
        <v>59.93</v>
      </c>
      <c r="F44" s="1670" t="s">
        <v>27</v>
      </c>
      <c r="G44" s="1670" t="s">
        <v>16</v>
      </c>
      <c r="H44" s="1674">
        <v>3305379.22</v>
      </c>
      <c r="I44" s="1670">
        <v>2</v>
      </c>
      <c r="J44" s="1670" t="s">
        <v>65</v>
      </c>
      <c r="K44" s="1670" t="s">
        <v>18</v>
      </c>
      <c r="L44" s="1710">
        <v>44435</v>
      </c>
      <c r="M44" s="1710" t="s">
        <v>17</v>
      </c>
      <c r="N44" s="1714" t="s">
        <v>565</v>
      </c>
      <c r="O44" s="1712" t="s">
        <v>111</v>
      </c>
      <c r="P44" s="1715" t="s">
        <v>566</v>
      </c>
      <c r="Q44" s="1738" t="s">
        <v>407</v>
      </c>
      <c r="R44" s="1736" t="s">
        <v>407</v>
      </c>
      <c r="S44" s="1737" t="s">
        <v>407</v>
      </c>
    </row>
    <row r="45" spans="1:19">
      <c r="A45" s="1672">
        <v>46</v>
      </c>
      <c r="B45" s="1670">
        <v>573</v>
      </c>
      <c r="C45" s="1670">
        <v>15134</v>
      </c>
      <c r="D45" s="1670" t="s">
        <v>73</v>
      </c>
      <c r="E45" s="1673">
        <v>37.11</v>
      </c>
      <c r="F45" s="1670" t="s">
        <v>27</v>
      </c>
      <c r="G45" s="1670" t="s">
        <v>16</v>
      </c>
      <c r="H45" s="1674">
        <v>2307202.92</v>
      </c>
      <c r="I45" s="1670">
        <v>1</v>
      </c>
      <c r="J45" s="1670" t="s">
        <v>65</v>
      </c>
      <c r="K45" s="1670" t="s">
        <v>18</v>
      </c>
      <c r="L45" s="1710">
        <v>44435</v>
      </c>
      <c r="M45" s="1710" t="s">
        <v>17</v>
      </c>
      <c r="N45" s="1714" t="s">
        <v>567</v>
      </c>
      <c r="O45" s="1712" t="s">
        <v>111</v>
      </c>
      <c r="P45" s="1715" t="s">
        <v>566</v>
      </c>
      <c r="Q45" s="1738" t="s">
        <v>73</v>
      </c>
      <c r="R45" s="1736" t="s">
        <v>73</v>
      </c>
      <c r="S45" s="1737" t="s">
        <v>73</v>
      </c>
    </row>
    <row r="46" spans="1:19" ht="15.75" customHeight="1">
      <c r="A46" s="1667">
        <v>47</v>
      </c>
      <c r="B46" s="1670">
        <v>421</v>
      </c>
      <c r="C46" s="1670">
        <v>6549</v>
      </c>
      <c r="D46" s="1668" t="s">
        <v>77</v>
      </c>
      <c r="E46" s="1673">
        <v>37.11</v>
      </c>
      <c r="F46" s="1670" t="s">
        <v>27</v>
      </c>
      <c r="G46" s="1670" t="s">
        <v>16</v>
      </c>
      <c r="H46" s="1674">
        <v>2103097.92</v>
      </c>
      <c r="I46" s="1670">
        <v>1</v>
      </c>
      <c r="J46" s="1670" t="s">
        <v>65</v>
      </c>
      <c r="K46" s="1670" t="s">
        <v>18</v>
      </c>
      <c r="L46" s="1710">
        <v>44435</v>
      </c>
      <c r="M46" s="1710" t="s">
        <v>17</v>
      </c>
      <c r="N46" s="1714" t="s">
        <v>568</v>
      </c>
      <c r="O46" s="1712" t="s">
        <v>111</v>
      </c>
      <c r="P46" s="1718" t="s">
        <v>522</v>
      </c>
      <c r="Q46" s="1739" t="s">
        <v>77</v>
      </c>
      <c r="R46" s="1739" t="s">
        <v>77</v>
      </c>
      <c r="S46" s="1743" t="s">
        <v>77</v>
      </c>
    </row>
    <row r="47" spans="1:19">
      <c r="A47" s="1672">
        <v>48</v>
      </c>
      <c r="B47" s="1670">
        <v>33</v>
      </c>
      <c r="C47" s="1670">
        <v>14709</v>
      </c>
      <c r="D47" s="1670" t="s">
        <v>73</v>
      </c>
      <c r="E47" s="1673">
        <v>36.42</v>
      </c>
      <c r="F47" s="1670" t="s">
        <v>121</v>
      </c>
      <c r="G47" s="1670" t="s">
        <v>16</v>
      </c>
      <c r="H47" s="1674">
        <v>2403720</v>
      </c>
      <c r="I47" s="1670">
        <v>1</v>
      </c>
      <c r="J47" s="1670" t="s">
        <v>65</v>
      </c>
      <c r="K47" s="1670" t="s">
        <v>18</v>
      </c>
      <c r="L47" s="1710"/>
      <c r="M47" s="1710" t="s">
        <v>17</v>
      </c>
      <c r="N47" s="1714" t="s">
        <v>569</v>
      </c>
      <c r="O47" s="1712" t="s">
        <v>111</v>
      </c>
      <c r="P47" s="1715" t="s">
        <v>570</v>
      </c>
      <c r="Q47" s="1736"/>
      <c r="R47" s="1737"/>
      <c r="S47" s="1737"/>
    </row>
    <row r="48" spans="1:19">
      <c r="A48" s="1667">
        <v>49</v>
      </c>
      <c r="B48" s="1670">
        <v>614</v>
      </c>
      <c r="C48" s="1670">
        <v>15324</v>
      </c>
      <c r="D48" s="1668" t="s">
        <v>77</v>
      </c>
      <c r="E48" s="1673">
        <v>59.93</v>
      </c>
      <c r="F48" s="1670" t="s">
        <v>27</v>
      </c>
      <c r="G48" s="1670" t="s">
        <v>16</v>
      </c>
      <c r="H48" s="1674">
        <v>3305379.22</v>
      </c>
      <c r="I48" s="1670">
        <v>2</v>
      </c>
      <c r="J48" s="1670" t="s">
        <v>65</v>
      </c>
      <c r="K48" s="1670" t="s">
        <v>18</v>
      </c>
      <c r="L48" s="1710">
        <v>44439</v>
      </c>
      <c r="M48" s="1710" t="s">
        <v>17</v>
      </c>
      <c r="N48" s="1714" t="s">
        <v>571</v>
      </c>
      <c r="O48" s="1712" t="s">
        <v>111</v>
      </c>
      <c r="P48" s="1718" t="s">
        <v>522</v>
      </c>
      <c r="Q48" s="1739" t="s">
        <v>77</v>
      </c>
      <c r="R48" s="1736" t="s">
        <v>73</v>
      </c>
      <c r="S48" s="1743" t="s">
        <v>77</v>
      </c>
    </row>
    <row r="49" spans="1:21">
      <c r="A49" s="1667">
        <v>50</v>
      </c>
      <c r="B49" s="1670">
        <v>40</v>
      </c>
      <c r="C49" s="1670">
        <v>15242</v>
      </c>
      <c r="D49" s="1668" t="s">
        <v>77</v>
      </c>
      <c r="E49" s="1673">
        <v>36.42</v>
      </c>
      <c r="F49" s="1670" t="s">
        <v>121</v>
      </c>
      <c r="G49" s="1670" t="s">
        <v>16</v>
      </c>
      <c r="H49" s="1674">
        <v>3055550.56</v>
      </c>
      <c r="I49" s="1670">
        <v>1</v>
      </c>
      <c r="J49" s="1670" t="s">
        <v>65</v>
      </c>
      <c r="K49" s="1670" t="s">
        <v>18</v>
      </c>
      <c r="L49" s="1710">
        <v>44439</v>
      </c>
      <c r="M49" s="1710" t="s">
        <v>474</v>
      </c>
      <c r="N49" s="1714" t="s">
        <v>572</v>
      </c>
      <c r="O49" s="1712" t="s">
        <v>111</v>
      </c>
      <c r="P49" s="1718" t="s">
        <v>522</v>
      </c>
      <c r="Q49" s="1736" t="s">
        <v>77</v>
      </c>
      <c r="R49" s="1737" t="s">
        <v>77</v>
      </c>
      <c r="S49" s="1737" t="s">
        <v>77</v>
      </c>
    </row>
    <row r="50" spans="1:21" s="1658" customFormat="1" ht="14.25" customHeight="1">
      <c r="A50" s="1667">
        <v>51</v>
      </c>
      <c r="B50" s="1676">
        <v>417</v>
      </c>
      <c r="C50" s="1676">
        <v>15413</v>
      </c>
      <c r="D50" s="1676" t="s">
        <v>573</v>
      </c>
      <c r="E50" s="1677">
        <v>37.159999999999997</v>
      </c>
      <c r="F50" s="1678" t="s">
        <v>27</v>
      </c>
      <c r="G50" s="1676" t="s">
        <v>84</v>
      </c>
      <c r="H50" s="1679">
        <v>2197493.7599999998</v>
      </c>
      <c r="I50" s="1676">
        <v>1</v>
      </c>
      <c r="J50" s="1676" t="s">
        <v>130</v>
      </c>
      <c r="K50" s="1676" t="s">
        <v>18</v>
      </c>
      <c r="L50" s="1720">
        <v>44439</v>
      </c>
      <c r="M50" s="1678" t="s">
        <v>17</v>
      </c>
      <c r="N50" s="1678" t="s">
        <v>574</v>
      </c>
      <c r="O50" s="1712" t="s">
        <v>111</v>
      </c>
      <c r="P50" s="1678"/>
      <c r="Q50" s="1744" t="s">
        <v>407</v>
      </c>
      <c r="R50" s="1745" t="s">
        <v>407</v>
      </c>
      <c r="S50" s="1745" t="s">
        <v>407</v>
      </c>
      <c r="T50" s="1745"/>
      <c r="U50" s="1746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3506001.3699999996</v>
      </c>
    </row>
    <row r="51" spans="1:21" ht="15.75">
      <c r="A51" s="1659"/>
      <c r="B51" s="1680">
        <f>SUM(Июль10[м2])</f>
        <v>2253.52</v>
      </c>
      <c r="C51" s="1681">
        <f>SUM(Июль10[сумма])</f>
        <v>130574481.08999999</v>
      </c>
      <c r="D51" s="1682">
        <f>C51/B51</f>
        <v>57942.454954914974</v>
      </c>
      <c r="F51" s="1659"/>
      <c r="G51" s="1683"/>
      <c r="N51" s="1721"/>
      <c r="O51" s="1721"/>
      <c r="Q51" s="1721"/>
      <c r="T51" s="1652" t="s">
        <v>73</v>
      </c>
      <c r="U51" s="1652">
        <v>2</v>
      </c>
    </row>
    <row r="52" spans="1:21">
      <c r="A52" s="1659"/>
      <c r="B52" s="1659"/>
      <c r="D52" s="1659"/>
      <c r="E52" s="1684">
        <f>B55+B56+B57+B58+B59+B60</f>
        <v>786</v>
      </c>
      <c r="F52" s="1685">
        <f>C55+C56+C57+C58+C59+C60</f>
        <v>44854528</v>
      </c>
      <c r="H52" s="1659"/>
      <c r="I52" s="1659"/>
      <c r="K52" s="1722"/>
      <c r="L52" s="1659"/>
      <c r="M52" s="1659"/>
      <c r="N52" s="1721"/>
      <c r="O52" s="1683"/>
      <c r="Q52" s="1721"/>
      <c r="T52" s="1652" t="s">
        <v>407</v>
      </c>
      <c r="U52" s="1652">
        <v>2</v>
      </c>
    </row>
    <row r="53" spans="1:21" ht="21.75" customHeight="1">
      <c r="A53" s="2284" t="s">
        <v>411</v>
      </c>
      <c r="B53" s="2285"/>
      <c r="C53" s="1686" t="s">
        <v>74</v>
      </c>
      <c r="D53" s="1687"/>
      <c r="E53" s="1687"/>
      <c r="F53" s="1687"/>
      <c r="G53" s="1687"/>
      <c r="H53" s="1687"/>
      <c r="I53" s="1687"/>
      <c r="J53" s="1687"/>
      <c r="K53" s="1687"/>
      <c r="L53" s="1687"/>
      <c r="M53" s="1687"/>
      <c r="N53" s="1687"/>
      <c r="O53" s="1687"/>
      <c r="P53" s="1723"/>
      <c r="Q53" s="1687"/>
      <c r="T53" s="1652" t="s">
        <v>77</v>
      </c>
      <c r="U53" s="1652">
        <v>2</v>
      </c>
    </row>
    <row r="54" spans="1:21" ht="25.5">
      <c r="A54" s="1688" t="s">
        <v>1</v>
      </c>
      <c r="B54" s="1689" t="s">
        <v>100</v>
      </c>
      <c r="C54" s="1689" t="s">
        <v>97</v>
      </c>
      <c r="D54" s="1688" t="s">
        <v>95</v>
      </c>
      <c r="E54" s="1690" t="s">
        <v>494</v>
      </c>
      <c r="F54" s="1688" t="s">
        <v>495</v>
      </c>
      <c r="G54" s="1688" t="s">
        <v>496</v>
      </c>
      <c r="H54" s="1295" t="s">
        <v>102</v>
      </c>
      <c r="I54" s="1295" t="s">
        <v>99</v>
      </c>
      <c r="J54" s="1690" t="s">
        <v>101</v>
      </c>
      <c r="K54" s="1688" t="s">
        <v>98</v>
      </c>
      <c r="L54" s="1688" t="s">
        <v>96</v>
      </c>
      <c r="M54" s="1688">
        <v>0</v>
      </c>
      <c r="N54" s="1688">
        <v>1</v>
      </c>
      <c r="O54" s="1688">
        <v>2</v>
      </c>
      <c r="P54" s="1688">
        <v>3</v>
      </c>
      <c r="Q54" s="1688">
        <v>4</v>
      </c>
      <c r="T54" s="1652" t="s">
        <v>471</v>
      </c>
      <c r="U54" s="1652">
        <v>2</v>
      </c>
    </row>
    <row r="55" spans="1:21">
      <c r="A55" s="1691" t="s">
        <v>73</v>
      </c>
      <c r="B55" s="1692">
        <f t="shared" ref="B55:B60" si="0">$B$61/$D$61*D55</f>
        <v>157.19999999999999</v>
      </c>
      <c r="C55" s="1692">
        <f t="shared" ref="C55:C60" si="1">$C$61/$D$61*D55</f>
        <v>8970905.5999999996</v>
      </c>
      <c r="D55" s="1691">
        <v>2</v>
      </c>
      <c r="E55" s="1693">
        <f>SUMIFS(Июль10[м2],Июль10[МОП],A55,Июль10[№ дома],"Дом 1")</f>
        <v>0</v>
      </c>
      <c r="F55" s="1694">
        <f>SUMIFS(Июль10[сумма],Июль10[МОП],A55,Июль10[№ дома],"Дом 1")</f>
        <v>0</v>
      </c>
      <c r="G55" s="1695">
        <f>COUNTIFS(Июль10[МОП],A55,Июль10[№ дома],"Дом 1")</f>
        <v>0</v>
      </c>
      <c r="H55" s="1696" t="e">
        <f t="shared" ref="H55:I60" si="2">J55/B55</f>
        <v>#REF!</v>
      </c>
      <c r="I55" s="1724" t="e">
        <f t="shared" si="2"/>
        <v>#REF!</v>
      </c>
      <c r="J55" s="1725" t="e">
        <f>SUMIFS(#REF!,#REF!,1,#REF!,A55,#REF!,"&lt;="&amp;$H$1,#REF!,"&gt;="&amp;DATE(YEAR($H$1),MONTH($H$1),1))</f>
        <v>#REF!</v>
      </c>
      <c r="K55" s="1725" t="e">
        <f>SUMIFS(#REF!,#REF!,1,#REF!,A55,#REF!,"&lt;="&amp;$H$1,#REF!,"&gt;="&amp;DATE(YEAR($H$1),MONTH($H$1),1))</f>
        <v>#REF!</v>
      </c>
      <c r="L55" s="1725" t="e">
        <f>COUNTIFS(#REF!,1,#REF!,A55,#REF!,"&lt;="&amp;$H$1,#REF!,"&gt;="&amp;DATE(YEAR($H$1),MONTH($H$1),1))</f>
        <v>#REF!</v>
      </c>
      <c r="M55" s="1725" t="e">
        <f>COUNTIFS(#REF!,M$54,#REF!,$A55,#REF!,1,#REF!,"&lt;="&amp;$H$1,#REF!,"&gt;="&amp;DATE(YEAR($H$1),MONTH($H$1),1))</f>
        <v>#REF!</v>
      </c>
      <c r="N55" s="1725" t="e">
        <f>COUNTIFS(#REF!,N$54,#REF!,$A55,#REF!,1,#REF!,"&lt;="&amp;$H$1,#REF!,"&gt;="&amp;DATE(YEAR($H$1),MONTH($H$1),1))</f>
        <v>#REF!</v>
      </c>
      <c r="O55" s="1725" t="e">
        <f>COUNTIFS(#REF!,O$54,#REF!,$A55,#REF!,1,#REF!,"&lt;="&amp;$H$1,#REF!,"&gt;="&amp;DATE(YEAR($H$1),MONTH($H$1),1))</f>
        <v>#REF!</v>
      </c>
      <c r="P55" s="1726" t="e">
        <f>COUNTIFS(#REF!,P$54,#REF!,$A55,#REF!,1,#REF!,"&lt;="&amp;$H$1,#REF!,"&gt;="&amp;DATE(YEAR($H$1),MONTH($H$1),1))</f>
        <v>#REF!</v>
      </c>
      <c r="Q55" s="1725" t="e">
        <f>COUNTIFS(#REF!,Q$54,#REF!,$A55,#REF!,1,#REF!,"&lt;="&amp;$H$1,#REF!,"&gt;="&amp;DATE(YEAR($H$1),MONTH($H$1),1))</f>
        <v>#REF!</v>
      </c>
      <c r="T55" s="1652" t="s">
        <v>20</v>
      </c>
      <c r="U55" s="1652">
        <v>1</v>
      </c>
    </row>
    <row r="56" spans="1:21">
      <c r="A56" s="1691" t="s">
        <v>407</v>
      </c>
      <c r="B56" s="1692">
        <f t="shared" si="0"/>
        <v>78.599999999999994</v>
      </c>
      <c r="C56" s="1692">
        <f t="shared" si="1"/>
        <v>4485452.8</v>
      </c>
      <c r="D56" s="1691">
        <v>1</v>
      </c>
      <c r="E56" s="1693">
        <f>SUMIFS(Июль10[м2],Июль10[МОП],A56,Июль10[№ дома],"Дом 1")</f>
        <v>0</v>
      </c>
      <c r="F56" s="1694">
        <f>SUMIFS(Июль10[сумма],Июль10[МОП],A56,Июль10[№ дома],"Дом 1")</f>
        <v>0</v>
      </c>
      <c r="G56" s="1695">
        <f>COUNTIFS(Июль10[МОП],A56,Июль10[№ дома],"Дом 1")</f>
        <v>0</v>
      </c>
      <c r="H56" s="1696" t="e">
        <f t="shared" si="2"/>
        <v>#REF!</v>
      </c>
      <c r="I56" s="1724" t="e">
        <f t="shared" si="2"/>
        <v>#REF!</v>
      </c>
      <c r="J56" s="1725" t="e">
        <f>SUMIFS(#REF!,#REF!,1,#REF!,A56,#REF!,"&lt;="&amp;$H$1,#REF!,"&gt;="&amp;DATE(YEAR($H$1),MONTH($H$1),1))</f>
        <v>#REF!</v>
      </c>
      <c r="K56" s="1725" t="e">
        <f>SUMIFS(#REF!,#REF!,1,#REF!,A56,#REF!,"&lt;="&amp;$H$1,#REF!,"&gt;="&amp;DATE(YEAR($H$1),MONTH($H$1),1))</f>
        <v>#REF!</v>
      </c>
      <c r="L56" s="1725" t="e">
        <f>COUNTIFS(#REF!,1,#REF!,A56,#REF!,"&lt;="&amp;$H$1,#REF!,"&gt;="&amp;DATE(YEAR($H$1),MONTH($H$1),1))</f>
        <v>#REF!</v>
      </c>
      <c r="M56" s="1725" t="e">
        <f>COUNTIFS(#REF!,M$54,#REF!,$A56,#REF!,1,#REF!,"&lt;="&amp;$H$1,#REF!,"&gt;="&amp;DATE(YEAR($H$1),MONTH($H$1),1))</f>
        <v>#REF!</v>
      </c>
      <c r="N56" s="1725" t="e">
        <f>COUNTIFS(#REF!,N$54,#REF!,$A56,#REF!,1,#REF!,"&lt;="&amp;$H$1,#REF!,"&gt;="&amp;DATE(YEAR($H$1),MONTH($H$1),1))</f>
        <v>#REF!</v>
      </c>
      <c r="O56" s="1725" t="e">
        <f>COUNTIFS(#REF!,O$54,#REF!,$A56,#REF!,1,#REF!,"&lt;="&amp;$H$1,#REF!,"&gt;="&amp;DATE(YEAR($H$1),MONTH($H$1),1))</f>
        <v>#REF!</v>
      </c>
      <c r="P56" s="1726" t="e">
        <f>COUNTIFS(#REF!,P$54,#REF!,$A56,#REF!,1,#REF!,"&lt;="&amp;$H$1,#REF!,"&gt;="&amp;DATE(YEAR($H$1),MONTH($H$1),1))</f>
        <v>#REF!</v>
      </c>
      <c r="Q56" s="1725" t="e">
        <f>COUNTIFS(#REF!,Q$54,#REF!,$A56,#REF!,1,#REF!,"&lt;="&amp;$H$1,#REF!,"&gt;="&amp;DATE(YEAR($H$1),MONTH($H$1),1))</f>
        <v>#REF!</v>
      </c>
      <c r="T56" s="1652" t="s">
        <v>63</v>
      </c>
      <c r="U56" s="1652">
        <v>2</v>
      </c>
    </row>
    <row r="57" spans="1:21">
      <c r="A57" s="1691" t="s">
        <v>77</v>
      </c>
      <c r="B57" s="1692">
        <f t="shared" si="0"/>
        <v>157.19999999999999</v>
      </c>
      <c r="C57" s="1692">
        <f t="shared" si="1"/>
        <v>8970905.5999999996</v>
      </c>
      <c r="D57" s="1691">
        <v>2</v>
      </c>
      <c r="E57" s="1693">
        <f>SUMIFS(Июль10[м2],Июль10[МОП],A57,Июль10[№ дома],"Дом 1")</f>
        <v>62.9</v>
      </c>
      <c r="F57" s="1694">
        <f>SUMIFS(Июль10[сумма],Июль10[МОП],A57,Июль10[№ дома],"Дом 1")</f>
        <v>3480508.5</v>
      </c>
      <c r="G57" s="1695">
        <f>COUNTIFS(Июль10[МОП],A57,Июль10[№ дома],"Дом 1")</f>
        <v>1</v>
      </c>
      <c r="H57" s="1696" t="e">
        <f t="shared" si="2"/>
        <v>#REF!</v>
      </c>
      <c r="I57" s="1724" t="e">
        <f t="shared" si="2"/>
        <v>#REF!</v>
      </c>
      <c r="J57" s="1725" t="e">
        <f>SUMIFS(#REF!,#REF!,1,#REF!,A57,#REF!,"&lt;="&amp;$H$1,#REF!,"&gt;="&amp;DATE(YEAR($H$1),MONTH($H$1),1))</f>
        <v>#REF!</v>
      </c>
      <c r="K57" s="1725" t="e">
        <f>SUMIFS(#REF!,#REF!,1,#REF!,A57,#REF!,"&lt;="&amp;$H$1,#REF!,"&gt;="&amp;DATE(YEAR($H$1),MONTH($H$1),1))</f>
        <v>#REF!</v>
      </c>
      <c r="L57" s="1725" t="e">
        <f>COUNTIFS(#REF!,1,#REF!,A57,#REF!,"&lt;="&amp;$H$1,#REF!,"&gt;="&amp;DATE(YEAR($H$1),MONTH($H$1),1))</f>
        <v>#REF!</v>
      </c>
      <c r="M57" s="1725" t="e">
        <f>COUNTIFS(#REF!,M$54,#REF!,$A57,#REF!,1,#REF!,"&lt;="&amp;$H$1,#REF!,"&gt;="&amp;DATE(YEAR($H$1),MONTH($H$1),1))</f>
        <v>#REF!</v>
      </c>
      <c r="N57" s="1725" t="e">
        <f>COUNTIFS(#REF!,N$54,#REF!,$A57,#REF!,1,#REF!,"&lt;="&amp;$H$1,#REF!,"&gt;="&amp;DATE(YEAR($H$1),MONTH($H$1),1))</f>
        <v>#REF!</v>
      </c>
      <c r="O57" s="1725" t="e">
        <f>COUNTIFS(#REF!,O$54,#REF!,$A57,#REF!,1,#REF!,"&lt;="&amp;$H$1,#REF!,"&gt;="&amp;DATE(YEAR($H$1),MONTH($H$1),1))</f>
        <v>#REF!</v>
      </c>
      <c r="P57" s="1726" t="e">
        <f>COUNTIFS(#REF!,P$54,#REF!,$A57,#REF!,1,#REF!,"&lt;="&amp;$H$1,#REF!,"&gt;="&amp;DATE(YEAR($H$1),MONTH($H$1),1))</f>
        <v>#REF!</v>
      </c>
      <c r="Q57" s="1725" t="e">
        <f>COUNTIFS(#REF!,Q$54,#REF!,$A57,#REF!,1,#REF!,"&lt;="&amp;$H$1,#REF!,"&gt;="&amp;DATE(YEAR($H$1),MONTH($H$1),1))</f>
        <v>#REF!</v>
      </c>
    </row>
    <row r="58" spans="1:21">
      <c r="A58" s="1691" t="s">
        <v>471</v>
      </c>
      <c r="B58" s="1692">
        <f t="shared" si="0"/>
        <v>78.599999999999994</v>
      </c>
      <c r="C58" s="1692">
        <f t="shared" si="1"/>
        <v>4485452.8</v>
      </c>
      <c r="D58" s="1691">
        <v>1</v>
      </c>
      <c r="E58" s="1693">
        <f>SUMIFS(Июль10[м2],Июль10[МОП],A58,Июль10[№ дома],"Дом 1")</f>
        <v>0</v>
      </c>
      <c r="F58" s="1694">
        <f>SUMIFS(Июль10[сумма],Июль10[МОП],A58,Июль10[№ дома],"Дом 1")</f>
        <v>0</v>
      </c>
      <c r="G58" s="1695">
        <f>COUNTIFS(Июль10[МОП],A58,Июль10[№ дома],"Дом 1")</f>
        <v>0</v>
      </c>
      <c r="H58" s="1696" t="e">
        <f t="shared" si="2"/>
        <v>#REF!</v>
      </c>
      <c r="I58" s="1724" t="e">
        <f t="shared" si="2"/>
        <v>#REF!</v>
      </c>
      <c r="J58" s="1725" t="e">
        <f>SUMIFS(#REF!,#REF!,1,#REF!,A58,#REF!,"&lt;="&amp;$H$1,#REF!,"&gt;="&amp;DATE(YEAR($H$1),MONTH($H$1),1))</f>
        <v>#REF!</v>
      </c>
      <c r="K58" s="1725" t="e">
        <f>SUMIFS(#REF!,#REF!,1,#REF!,A58,#REF!,"&lt;="&amp;$H$1,#REF!,"&gt;="&amp;DATE(YEAR($H$1),MONTH($H$1),1))</f>
        <v>#REF!</v>
      </c>
      <c r="L58" s="1725" t="e">
        <f>COUNTIFS(#REF!,1,#REF!,A58,#REF!,"&lt;="&amp;$H$1,#REF!,"&gt;="&amp;DATE(YEAR($H$1),MONTH($H$1),1))</f>
        <v>#REF!</v>
      </c>
      <c r="M58" s="1725" t="e">
        <f>COUNTIFS(#REF!,M$54,#REF!,$A58,#REF!,1,#REF!,"&lt;="&amp;$H$1,#REF!,"&gt;="&amp;DATE(YEAR($H$1),MONTH($H$1),1))</f>
        <v>#REF!</v>
      </c>
      <c r="N58" s="1725" t="e">
        <f>COUNTIFS(#REF!,N$54,#REF!,$A58,#REF!,1,#REF!,"&lt;="&amp;$H$1,#REF!,"&gt;="&amp;DATE(YEAR($H$1),MONTH($H$1),1))</f>
        <v>#REF!</v>
      </c>
      <c r="O58" s="1725" t="e">
        <f>COUNTIFS(#REF!,O$54,#REF!,$A58,#REF!,1,#REF!,"&lt;="&amp;$H$1,#REF!,"&gt;="&amp;DATE(YEAR($H$1),MONTH($H$1),1))</f>
        <v>#REF!</v>
      </c>
      <c r="P58" s="1726" t="e">
        <f>COUNTIFS(#REF!,P$54,#REF!,$A58,#REF!,1,#REF!,"&lt;="&amp;$H$1,#REF!,"&gt;="&amp;DATE(YEAR($H$1),MONTH($H$1),1))</f>
        <v>#REF!</v>
      </c>
      <c r="Q58" s="1725" t="e">
        <f>COUNTIFS(#REF!,Q$54,#REF!,$A58,#REF!,1,#REF!,"&lt;="&amp;$H$1,#REF!,"&gt;="&amp;DATE(YEAR($H$1),MONTH($H$1),1))</f>
        <v>#REF!</v>
      </c>
    </row>
    <row r="59" spans="1:21">
      <c r="A59" s="1691" t="s">
        <v>20</v>
      </c>
      <c r="B59" s="1692">
        <f t="shared" si="0"/>
        <v>157.19999999999999</v>
      </c>
      <c r="C59" s="1692">
        <f t="shared" si="1"/>
        <v>8970905.5999999996</v>
      </c>
      <c r="D59" s="1691">
        <v>2</v>
      </c>
      <c r="E59" s="1693">
        <f>SUMIFS(Июль10[м2],Июль10[МОП],A59,Июль10[№ дома],"Дом 1")</f>
        <v>118.6</v>
      </c>
      <c r="F59" s="1694">
        <f>SUMIFS(Июль10[сумма],Июль10[МОП],A59,Июль10[№ дома],"Дом 1")</f>
        <v>6646145.3600000003</v>
      </c>
      <c r="G59" s="1695">
        <f>COUNTIFS(Июль10[МОП],A59,Июль10[№ дома],"Дом 1")</f>
        <v>2</v>
      </c>
      <c r="H59" s="1696" t="e">
        <f t="shared" si="2"/>
        <v>#REF!</v>
      </c>
      <c r="I59" s="1724" t="e">
        <f t="shared" si="2"/>
        <v>#REF!</v>
      </c>
      <c r="J59" s="1725" t="e">
        <f>SUMIFS(#REF!,#REF!,1,#REF!,A59,#REF!,"&lt;="&amp;$H$1,#REF!,"&gt;="&amp;DATE(YEAR($H$1),MONTH($H$1),1))</f>
        <v>#REF!</v>
      </c>
      <c r="K59" s="1725" t="e">
        <f>SUMIFS(#REF!,#REF!,1,#REF!,A59,#REF!,"&lt;="&amp;$H$1,#REF!,"&gt;="&amp;DATE(YEAR($H$1),MONTH($H$1),1))</f>
        <v>#REF!</v>
      </c>
      <c r="L59" s="1725" t="e">
        <f>COUNTIFS(#REF!,1,#REF!,A59,#REF!,"&lt;="&amp;$H$1,#REF!,"&gt;="&amp;DATE(YEAR($H$1),MONTH($H$1),1))</f>
        <v>#REF!</v>
      </c>
      <c r="M59" s="1725" t="e">
        <f>COUNTIFS(#REF!,M$54,#REF!,$A59,#REF!,1,#REF!,"&lt;="&amp;$H$1,#REF!,"&gt;="&amp;DATE(YEAR($H$1),MONTH($H$1),1))</f>
        <v>#REF!</v>
      </c>
      <c r="N59" s="1725" t="e">
        <f>COUNTIFS(#REF!,N$54,#REF!,$A59,#REF!,1,#REF!,"&lt;="&amp;$H$1,#REF!,"&gt;="&amp;DATE(YEAR($H$1),MONTH($H$1),1))</f>
        <v>#REF!</v>
      </c>
      <c r="O59" s="1725" t="e">
        <f>COUNTIFS(#REF!,O$54,#REF!,$A59,#REF!,1,#REF!,"&lt;="&amp;$H$1,#REF!,"&gt;="&amp;DATE(YEAR($H$1),MONTH($H$1),1))</f>
        <v>#REF!</v>
      </c>
      <c r="P59" s="1726" t="e">
        <f>COUNTIFS(#REF!,P$54,#REF!,$A59,#REF!,1,#REF!,"&lt;="&amp;$H$1,#REF!,"&gt;="&amp;DATE(YEAR($H$1),MONTH($H$1),1))</f>
        <v>#REF!</v>
      </c>
      <c r="Q59" s="1725" t="e">
        <f>COUNTIFS(#REF!,Q$54,#REF!,$A59,#REF!,1,#REF!,"&lt;="&amp;$H$1,#REF!,"&gt;="&amp;DATE(YEAR($H$1),MONTH($H$1),1))</f>
        <v>#REF!</v>
      </c>
    </row>
    <row r="60" spans="1:21">
      <c r="A60" s="1691" t="s">
        <v>63</v>
      </c>
      <c r="B60" s="1692">
        <f t="shared" si="0"/>
        <v>157.19999999999999</v>
      </c>
      <c r="C60" s="1692">
        <f t="shared" si="1"/>
        <v>8970905.5999999996</v>
      </c>
      <c r="D60" s="1691">
        <v>2</v>
      </c>
      <c r="E60" s="1693">
        <f>SUMIFS(Июль10[м2],Июль10[МОП],A60,Июль10[№ дома],"Дом 1")</f>
        <v>92.3</v>
      </c>
      <c r="F60" s="1694">
        <f>SUMIFS(Июль10[сумма],Июль10[МОП],A60,Июль10[№ дома],"Дом 1")</f>
        <v>4775499</v>
      </c>
      <c r="G60" s="1695">
        <f>COUNTIFS(Июль10[МОП],A60,Июль10[№ дома],"Дом 1")</f>
        <v>1</v>
      </c>
      <c r="H60" s="1696" t="e">
        <f t="shared" si="2"/>
        <v>#REF!</v>
      </c>
      <c r="I60" s="1724" t="e">
        <f t="shared" si="2"/>
        <v>#REF!</v>
      </c>
      <c r="J60" s="1725" t="e">
        <f>SUMIFS(#REF!,#REF!,1,#REF!,A60,#REF!,"&lt;="&amp;$H$1,#REF!,"&gt;="&amp;DATE(YEAR($H$1),MONTH($H$1),1))</f>
        <v>#REF!</v>
      </c>
      <c r="K60" s="1725" t="e">
        <f>SUMIFS(#REF!,#REF!,1,#REF!,A60,#REF!,"&lt;="&amp;$H$1,#REF!,"&gt;="&amp;DATE(YEAR($H$1),MONTH($H$1),1))</f>
        <v>#REF!</v>
      </c>
      <c r="L60" s="1725" t="e">
        <f>COUNTIFS(#REF!,1,#REF!,A60,#REF!,"&lt;="&amp;$H$1,#REF!,"&gt;="&amp;DATE(YEAR($H$1),MONTH($H$1),1))</f>
        <v>#REF!</v>
      </c>
      <c r="M60" s="1725" t="e">
        <f>COUNTIFS(#REF!,M$54,#REF!,$A60,#REF!,1,#REF!,"&lt;="&amp;$H$1,#REF!,"&gt;="&amp;DATE(YEAR($H$1),MONTH($H$1),1))</f>
        <v>#REF!</v>
      </c>
      <c r="N60" s="1725" t="e">
        <f>COUNTIFS(#REF!,N$54,#REF!,$A60,#REF!,1,#REF!,"&lt;="&amp;$H$1,#REF!,"&gt;="&amp;DATE(YEAR($H$1),MONTH($H$1),1))</f>
        <v>#REF!</v>
      </c>
      <c r="O60" s="1725" t="e">
        <f>COUNTIFS(#REF!,O$54,#REF!,$A60,#REF!,1,#REF!,"&lt;="&amp;$H$1,#REF!,"&gt;="&amp;DATE(YEAR($H$1),MONTH($H$1),1))</f>
        <v>#REF!</v>
      </c>
      <c r="P60" s="1726" t="e">
        <f>COUNTIFS(#REF!,P$54,#REF!,$A60,#REF!,1,#REF!,"&lt;="&amp;$H$1,#REF!,"&gt;="&amp;DATE(YEAR($H$1),MONTH($H$1),1))</f>
        <v>#REF!</v>
      </c>
      <c r="Q60" s="1725" t="e">
        <f>COUNTIFS(#REF!,Q$54,#REF!,$A60,#REF!,1,#REF!,"&lt;="&amp;$H$1,#REF!,"&gt;="&amp;DATE(YEAR($H$1),MONTH($H$1),1))</f>
        <v>#REF!</v>
      </c>
    </row>
    <row r="61" spans="1:21">
      <c r="A61" s="1686" t="s">
        <v>114</v>
      </c>
      <c r="B61" s="1697">
        <v>786</v>
      </c>
      <c r="C61" s="1697">
        <v>44854528</v>
      </c>
      <c r="D61" s="1686">
        <v>10</v>
      </c>
      <c r="E61" s="1698">
        <f>SUM(E55:E60)</f>
        <v>273.8</v>
      </c>
      <c r="F61" s="1699">
        <f>SUM(F55:F60)</f>
        <v>14902152.859999999</v>
      </c>
      <c r="G61" s="1700">
        <f>SUM(G55:G60)</f>
        <v>4</v>
      </c>
      <c r="H61" s="1701">
        <f>E61/B61</f>
        <v>0.3483460559796438</v>
      </c>
      <c r="I61" s="1727">
        <f>F61/C61</f>
        <v>0.33223296564395904</v>
      </c>
      <c r="J61" s="1728" t="e">
        <f t="shared" ref="J61:Q61" si="3">SUM(J55:J60)</f>
        <v>#REF!</v>
      </c>
      <c r="K61" s="1728" t="e">
        <f t="shared" si="3"/>
        <v>#REF!</v>
      </c>
      <c r="L61" s="1728" t="e">
        <f t="shared" si="3"/>
        <v>#REF!</v>
      </c>
      <c r="M61" s="1728" t="e">
        <f t="shared" si="3"/>
        <v>#REF!</v>
      </c>
      <c r="N61" s="1728" t="e">
        <f t="shared" si="3"/>
        <v>#REF!</v>
      </c>
      <c r="O61" s="1728" t="e">
        <f t="shared" si="3"/>
        <v>#REF!</v>
      </c>
      <c r="P61" s="1729" t="e">
        <f t="shared" si="3"/>
        <v>#REF!</v>
      </c>
      <c r="Q61" s="1728" t="e">
        <f t="shared" si="3"/>
        <v>#REF!</v>
      </c>
    </row>
    <row r="62" spans="1:21" ht="25.5">
      <c r="A62" s="1702" t="s">
        <v>115</v>
      </c>
      <c r="B62" s="1689" t="s">
        <v>100</v>
      </c>
      <c r="C62" s="1703" t="s">
        <v>97</v>
      </c>
      <c r="D62" s="1688" t="s">
        <v>95</v>
      </c>
      <c r="E62" s="1690" t="s">
        <v>494</v>
      </c>
      <c r="F62" s="1688" t="s">
        <v>495</v>
      </c>
      <c r="G62" s="1688" t="s">
        <v>496</v>
      </c>
      <c r="H62" s="1295" t="s">
        <v>102</v>
      </c>
      <c r="I62" s="1295" t="s">
        <v>99</v>
      </c>
      <c r="J62" s="1690" t="s">
        <v>101</v>
      </c>
      <c r="K62" s="1688" t="s">
        <v>98</v>
      </c>
      <c r="L62" s="1688" t="s">
        <v>96</v>
      </c>
      <c r="M62" s="1688">
        <v>0</v>
      </c>
      <c r="N62" s="1688">
        <v>1</v>
      </c>
      <c r="O62" s="1688">
        <v>2</v>
      </c>
      <c r="P62" s="1688">
        <v>3</v>
      </c>
      <c r="Q62" s="1688">
        <v>4</v>
      </c>
    </row>
    <row r="63" spans="1:21" ht="15" hidden="1" customHeight="1">
      <c r="A63" s="1704"/>
      <c r="B63" s="1692"/>
      <c r="C63" s="1692"/>
      <c r="D63" s="1704"/>
      <c r="E63" s="1694"/>
      <c r="F63" s="1694"/>
      <c r="G63" s="1705"/>
      <c r="H63" s="1696">
        <f>IFERROR(E63/B63,0)</f>
        <v>0</v>
      </c>
      <c r="I63" s="1724">
        <f>IFERROR(F63/C63,0)</f>
        <v>0</v>
      </c>
      <c r="J63" s="1730"/>
      <c r="K63" s="1731"/>
      <c r="L63" s="1730"/>
      <c r="M63" s="1730"/>
      <c r="N63" s="1731"/>
      <c r="O63" s="1730"/>
      <c r="P63" s="1732"/>
      <c r="Q63" s="1730"/>
    </row>
    <row r="64" spans="1:21">
      <c r="A64" s="1691" t="s">
        <v>16</v>
      </c>
      <c r="B64" s="1692">
        <f>B61/D61*D64</f>
        <v>628.79999999999995</v>
      </c>
      <c r="C64" s="1692">
        <f>C61/D61*D64</f>
        <v>35883622.399999999</v>
      </c>
      <c r="D64" s="1691">
        <v>8</v>
      </c>
      <c r="E64" s="1694">
        <f>SUMIFS(Июль10[м2],Июль10[ИМ],A64,Июль10[№ дома],"Дом 1")</f>
        <v>242.79999999999998</v>
      </c>
      <c r="F64" s="1694">
        <f>SUMIFS(Июль10[сумма],Июль10[ИМ],A64,Июль10[№ дома],"Дом 1")</f>
        <v>12900259.5</v>
      </c>
      <c r="G64" s="1705">
        <f>COUNTIFS(Июль10[ИМ],A64,Июль10[№ дома],"Дом 1")</f>
        <v>3</v>
      </c>
      <c r="H64" s="1696">
        <f>E64/B64</f>
        <v>0.38613231552162852</v>
      </c>
      <c r="I64" s="1724">
        <f>F64/C64</f>
        <v>0.35950271007199097</v>
      </c>
      <c r="J64" s="1725"/>
      <c r="K64" s="1730"/>
      <c r="L64" s="1730"/>
      <c r="M64" s="1730">
        <f>COUNTIFS(Июль10[Ком],M54,Июль10[ИМ],$A$64,Июль10[№ дома],"Дом 1")</f>
        <v>0</v>
      </c>
      <c r="N64" s="1730">
        <f>COUNTIFS(Июль10[Ком],N54,Июль10[ИМ],$A$64,Июль10[№ дома],"Дом 1")</f>
        <v>0</v>
      </c>
      <c r="O64" s="1730">
        <f>COUNTIFS(Июль10[Ком],O54,Июль10[ИМ],$A$64,Июль10[№ дома],"Дом 1")</f>
        <v>1</v>
      </c>
      <c r="P64" s="1730">
        <f>COUNTIFS(Июль10[Ком],P54,Июль10[ИМ],$A$64,Июль10[№ дома],"Дом 1")</f>
        <v>2</v>
      </c>
      <c r="Q64" s="1730">
        <f>COUNTIFS(Июль10[Ком],Q54,Июль10[ИМ],$A$64,Июль10[№ дома],"Дом 1")</f>
        <v>0</v>
      </c>
    </row>
    <row r="65" spans="1:17">
      <c r="A65" s="1686" t="s">
        <v>114</v>
      </c>
      <c r="B65" s="1747">
        <f t="shared" ref="B65:G65" si="4">SUM(B63:B64)</f>
        <v>628.79999999999995</v>
      </c>
      <c r="C65" s="1747">
        <f t="shared" si="4"/>
        <v>35883622.399999999</v>
      </c>
      <c r="D65" s="1686">
        <f t="shared" si="4"/>
        <v>8</v>
      </c>
      <c r="E65" s="1699">
        <f t="shared" si="4"/>
        <v>242.79999999999998</v>
      </c>
      <c r="F65" s="1699">
        <f t="shared" si="4"/>
        <v>12900259.5</v>
      </c>
      <c r="G65" s="1686">
        <f t="shared" si="4"/>
        <v>3</v>
      </c>
      <c r="H65" s="1727">
        <f>E65/B65</f>
        <v>0.38613231552162852</v>
      </c>
      <c r="I65" s="1727">
        <f>F65/C65</f>
        <v>0.35950271007199097</v>
      </c>
      <c r="J65" s="1768"/>
      <c r="K65" s="1768"/>
      <c r="L65" s="1768"/>
      <c r="M65" s="1768">
        <f>SUM(M63:M64)</f>
        <v>0</v>
      </c>
      <c r="N65" s="1768">
        <f>SUM(N63:N64)</f>
        <v>0</v>
      </c>
      <c r="O65" s="1768">
        <f>SUM(O63:O64)</f>
        <v>1</v>
      </c>
      <c r="P65" s="1769">
        <f>SUM(P63:P64)</f>
        <v>2</v>
      </c>
      <c r="Q65" s="1768">
        <f>SUM(Q63:Q64)</f>
        <v>0</v>
      </c>
    </row>
    <row r="66" spans="1:17" ht="18" customHeight="1">
      <c r="A66" s="1748"/>
      <c r="B66" s="1749"/>
      <c r="C66" s="1749"/>
      <c r="D66" s="1748"/>
      <c r="E66" s="1750"/>
      <c r="F66" s="1750"/>
      <c r="G66" s="1748"/>
      <c r="H66" s="1751"/>
      <c r="I66" s="1751"/>
      <c r="J66" s="1770"/>
      <c r="K66" s="1770"/>
      <c r="L66" s="1770"/>
      <c r="M66" s="1770"/>
      <c r="N66" s="1770"/>
    </row>
    <row r="67" spans="1:17" ht="15" customHeight="1">
      <c r="A67" s="2284" t="s">
        <v>411</v>
      </c>
      <c r="B67" s="2285"/>
      <c r="C67" s="1747" t="s">
        <v>121</v>
      </c>
      <c r="D67" s="1687"/>
      <c r="E67" s="1752"/>
      <c r="F67" s="1752"/>
      <c r="G67" s="1687"/>
      <c r="H67" s="1753"/>
      <c r="I67" s="1753"/>
      <c r="J67" s="1687"/>
      <c r="K67" s="1687"/>
      <c r="L67" s="1687"/>
      <c r="M67" s="1687"/>
      <c r="N67" s="1687"/>
      <c r="O67" s="1687"/>
      <c r="P67" s="1723"/>
      <c r="Q67" s="1687"/>
    </row>
    <row r="68" spans="1:17" ht="25.5">
      <c r="A68" s="1688" t="s">
        <v>1</v>
      </c>
      <c r="B68" s="1703" t="s">
        <v>100</v>
      </c>
      <c r="C68" s="1703" t="s">
        <v>97</v>
      </c>
      <c r="D68" s="1688" t="s">
        <v>95</v>
      </c>
      <c r="E68" s="1690" t="s">
        <v>494</v>
      </c>
      <c r="F68" s="1688" t="s">
        <v>495</v>
      </c>
      <c r="G68" s="1688" t="s">
        <v>496</v>
      </c>
      <c r="H68" s="1295" t="s">
        <v>102</v>
      </c>
      <c r="I68" s="1295" t="s">
        <v>99</v>
      </c>
      <c r="J68" s="1690" t="s">
        <v>101</v>
      </c>
      <c r="K68" s="1688" t="s">
        <v>98</v>
      </c>
      <c r="L68" s="1688" t="s">
        <v>96</v>
      </c>
      <c r="M68" s="1688">
        <v>0</v>
      </c>
      <c r="N68" s="1688">
        <v>1</v>
      </c>
      <c r="O68" s="1688">
        <v>2</v>
      </c>
      <c r="P68" s="1688">
        <v>3</v>
      </c>
      <c r="Q68" s="1688">
        <v>4</v>
      </c>
    </row>
    <row r="69" spans="1:17" ht="18" customHeight="1">
      <c r="A69" s="1691" t="s">
        <v>73</v>
      </c>
      <c r="B69" s="1692">
        <f t="shared" ref="B69:B74" si="5">$B$75/$D$75*D69</f>
        <v>169.76470588235293</v>
      </c>
      <c r="C69" s="1692">
        <f t="shared" ref="C69:C74" si="6">$C$75/$D$75*D69</f>
        <v>9518906.1176470593</v>
      </c>
      <c r="D69" s="1691">
        <v>3</v>
      </c>
      <c r="E69" s="1693">
        <f>SUMIFS(Июль10[м2],Июль10[МОП],A69,Июль10[№ дома],"Дом 2")</f>
        <v>112.98</v>
      </c>
      <c r="F69" s="1694">
        <f>SUMIFS(Июль10[сумма],Июль10[МОП],A69,Июль10[№ дома],"Дом 2")</f>
        <v>6522873.4700000007</v>
      </c>
      <c r="G69" s="1695">
        <f>COUNTIFS(Июль10[МОП],A69,Июль10[№ дома],"Дом 2")</f>
        <v>2</v>
      </c>
      <c r="H69" s="1696" t="e">
        <f>J69/B69</f>
        <v>#REF!</v>
      </c>
      <c r="I69" s="1724" t="e">
        <f>K69/C69</f>
        <v>#REF!</v>
      </c>
      <c r="J69" s="1725" t="e">
        <f>SUMIFS(#REF!,#REF!,2,#REF!,A69,#REF!,"&lt;="&amp;$H$1,#REF!,"&gt;="&amp;DATE(YEAR($H$1),MONTH($H$1),1))</f>
        <v>#REF!</v>
      </c>
      <c r="K69" s="1725" t="e">
        <f>SUMIFS(#REF!,#REF!,2,#REF!,A69,#REF!,"&lt;="&amp;$H$1,#REF!,"&gt;="&amp;DATE(YEAR($H$1),MONTH($H$1),1))</f>
        <v>#REF!</v>
      </c>
      <c r="L69" s="1725" t="e">
        <f>COUNTIFS(#REF!,2,#REF!,A69,#REF!,"&lt;="&amp;$H$1,#REF!,"&gt;="&amp;DATE(YEAR($H$1),MONTH($H$1),1))</f>
        <v>#REF!</v>
      </c>
      <c r="M69" s="1725" t="e">
        <f>COUNTIFS(#REF!,M$54,#REF!,$A69,#REF!,2,#REF!,"&lt;="&amp;$H$1,#REF!,"&gt;="&amp;DATE(YEAR($H$1),MONTH($H$1),1))</f>
        <v>#REF!</v>
      </c>
      <c r="N69" s="1725" t="e">
        <f>COUNTIFS(#REF!,N$54,#REF!,$A69,#REF!,2,#REF!,"&lt;="&amp;$H$1,#REF!,"&gt;="&amp;DATE(YEAR($H$1),MONTH($H$1),1))</f>
        <v>#REF!</v>
      </c>
      <c r="O69" s="1725" t="e">
        <f>COUNTIFS(#REF!,O$54,#REF!,$A69,#REF!,2,#REF!,"&lt;="&amp;$H$1,#REF!,"&gt;="&amp;DATE(YEAR($H$1),MONTH($H$1),1))</f>
        <v>#REF!</v>
      </c>
      <c r="P69" s="1726" t="e">
        <f>COUNTIFS(#REF!,P$54,#REF!,$A69,#REF!,2,#REF!,"&lt;="&amp;$H$1,#REF!,"&gt;="&amp;DATE(YEAR($H$1),MONTH($H$1),1))</f>
        <v>#REF!</v>
      </c>
      <c r="Q69" s="1725" t="e">
        <f>COUNTIFS(#REF!,Q$54,#REF!,$A69,#REF!,2,#REF!,"&lt;="&amp;$H$1,#REF!,"&gt;="&amp;DATE(YEAR($H$1),MONTH($H$1),1))</f>
        <v>#REF!</v>
      </c>
    </row>
    <row r="70" spans="1:17">
      <c r="A70" s="1691" t="s">
        <v>407</v>
      </c>
      <c r="B70" s="1692">
        <f t="shared" si="5"/>
        <v>113.17647058823529</v>
      </c>
      <c r="C70" s="1692">
        <f t="shared" si="6"/>
        <v>6345937.4117647056</v>
      </c>
      <c r="D70" s="1691">
        <v>2</v>
      </c>
      <c r="E70" s="1693">
        <f>SUMIFS(Июль10[м2],Июль10[МОП],A70,Июль10[№ дома],"Дом 2")</f>
        <v>0</v>
      </c>
      <c r="F70" s="1694">
        <f>SUMIFS(Июль10[сумма],Июль10[МОП],A70,Июль10[№ дома],"Дом 2")</f>
        <v>0</v>
      </c>
      <c r="G70" s="1695">
        <f>COUNTIFS(Июль10[МОП],A70,Июль10[№ дома],"Дом 2")</f>
        <v>0</v>
      </c>
      <c r="H70" s="1696" t="e">
        <f t="shared" ref="H70:I74" si="7">J70/B70</f>
        <v>#REF!</v>
      </c>
      <c r="I70" s="1724" t="e">
        <f t="shared" si="7"/>
        <v>#REF!</v>
      </c>
      <c r="J70" s="1725" t="e">
        <f>SUMIFS(#REF!,#REF!,2,#REF!,A70,#REF!,"&lt;="&amp;$H$1,#REF!,"&gt;="&amp;DATE(YEAR($H$1),MONTH($H$1),1))</f>
        <v>#REF!</v>
      </c>
      <c r="K70" s="1725" t="e">
        <f>SUMIFS(#REF!,#REF!,2,#REF!,A70,#REF!,"&lt;="&amp;$H$1,#REF!,"&gt;="&amp;DATE(YEAR($H$1),MONTH($H$1),1))</f>
        <v>#REF!</v>
      </c>
      <c r="L70" s="1725" t="e">
        <f>COUNTIFS(#REF!,2,#REF!,A70,#REF!,"&lt;="&amp;$H$1,#REF!,"&gt;="&amp;DATE(YEAR($H$1),MONTH($H$1),1))</f>
        <v>#REF!</v>
      </c>
      <c r="M70" s="1725" t="e">
        <f>COUNTIFS(#REF!,M$54,#REF!,$A70,#REF!,2,#REF!,"&lt;="&amp;$H$1,#REF!,"&gt;="&amp;DATE(YEAR($H$1),MONTH($H$1),1))</f>
        <v>#REF!</v>
      </c>
      <c r="N70" s="1725" t="e">
        <f>COUNTIFS(#REF!,N$54,#REF!,$A70,#REF!,2,#REF!,"&lt;="&amp;$H$1,#REF!,"&gt;="&amp;DATE(YEAR($H$1),MONTH($H$1),1))</f>
        <v>#REF!</v>
      </c>
      <c r="O70" s="1725" t="e">
        <f>COUNTIFS(#REF!,O$54,#REF!,$A70,#REF!,2,#REF!,"&lt;="&amp;$H$1,#REF!,"&gt;="&amp;DATE(YEAR($H$1),MONTH($H$1),1))</f>
        <v>#REF!</v>
      </c>
      <c r="P70" s="1726" t="e">
        <f>COUNTIFS(#REF!,P$54,#REF!,$A70,#REF!,2,#REF!,"&lt;="&amp;$H$1,#REF!,"&gt;="&amp;DATE(YEAR($H$1),MONTH($H$1),1))</f>
        <v>#REF!</v>
      </c>
      <c r="Q70" s="1725" t="e">
        <f>COUNTIFS(#REF!,Q$54,#REF!,$A70,#REF!,2,#REF!,"&lt;="&amp;$H$1,#REF!,"&gt;="&amp;DATE(YEAR($H$1),MONTH($H$1),1))</f>
        <v>#REF!</v>
      </c>
    </row>
    <row r="71" spans="1:17">
      <c r="A71" s="1691" t="s">
        <v>77</v>
      </c>
      <c r="B71" s="1692">
        <f t="shared" si="5"/>
        <v>169.76470588235293</v>
      </c>
      <c r="C71" s="1692">
        <f t="shared" si="6"/>
        <v>9518906.1176470593</v>
      </c>
      <c r="D71" s="1691">
        <v>3</v>
      </c>
      <c r="E71" s="1693">
        <f>SUMIFS(Июль10[м2],Июль10[МОП],A71,Июль10[№ дома],"Дом 2")</f>
        <v>134.5</v>
      </c>
      <c r="F71" s="1694">
        <f>SUMIFS(Июль10[сумма],Июль10[МОП],A71,Июль10[№ дома],"Дом 2")</f>
        <v>9359091.8900000006</v>
      </c>
      <c r="G71" s="1695">
        <f>COUNTIFS(Июль10[МОП],A71,Июль10[№ дома],"Дом 2")</f>
        <v>3</v>
      </c>
      <c r="H71" s="1696" t="e">
        <f t="shared" si="7"/>
        <v>#REF!</v>
      </c>
      <c r="I71" s="1724" t="e">
        <f t="shared" si="7"/>
        <v>#REF!</v>
      </c>
      <c r="J71" s="1725" t="e">
        <f>SUMIFS(#REF!,#REF!,2,#REF!,A71,#REF!,"&lt;="&amp;$H$1,#REF!,"&gt;="&amp;DATE(YEAR($H$1),MONTH($H$1),1))</f>
        <v>#REF!</v>
      </c>
      <c r="K71" s="1725" t="e">
        <f>SUMIFS(#REF!,#REF!,2,#REF!,A71,#REF!,"&lt;="&amp;$H$1,#REF!,"&gt;="&amp;DATE(YEAR($H$1),MONTH($H$1),1))</f>
        <v>#REF!</v>
      </c>
      <c r="L71" s="1725" t="e">
        <f>COUNTIFS(#REF!,2,#REF!,A71,#REF!,"&lt;="&amp;$H$1,#REF!,"&gt;="&amp;DATE(YEAR($H$1),MONTH($H$1),1))</f>
        <v>#REF!</v>
      </c>
      <c r="M71" s="1725" t="e">
        <f>COUNTIFS(#REF!,M$54,#REF!,$A71,#REF!,2,#REF!,"&lt;="&amp;$H$1,#REF!,"&gt;="&amp;DATE(YEAR($H$1),MONTH($H$1),1))</f>
        <v>#REF!</v>
      </c>
      <c r="N71" s="1725" t="e">
        <f>COUNTIFS(#REF!,N$54,#REF!,$A71,#REF!,2,#REF!,"&lt;="&amp;$H$1,#REF!,"&gt;="&amp;DATE(YEAR($H$1),MONTH($H$1),1))</f>
        <v>#REF!</v>
      </c>
      <c r="O71" s="1725" t="e">
        <f>COUNTIFS(#REF!,O$54,#REF!,$A71,#REF!,2,#REF!,"&lt;="&amp;$H$1,#REF!,"&gt;="&amp;DATE(YEAR($H$1),MONTH($H$1),1))</f>
        <v>#REF!</v>
      </c>
      <c r="P71" s="1726" t="e">
        <f>COUNTIFS(#REF!,P$54,#REF!,$A71,#REF!,2,#REF!,"&lt;="&amp;$H$1,#REF!,"&gt;="&amp;DATE(YEAR($H$1),MONTH($H$1),1))</f>
        <v>#REF!</v>
      </c>
      <c r="Q71" s="1725" t="e">
        <f>COUNTIFS(#REF!,Q$54,#REF!,$A71,#REF!,2,#REF!,"&lt;="&amp;$H$1,#REF!,"&gt;="&amp;DATE(YEAR($H$1),MONTH($H$1),1))</f>
        <v>#REF!</v>
      </c>
    </row>
    <row r="72" spans="1:17" ht="18" customHeight="1">
      <c r="A72" s="1691" t="s">
        <v>471</v>
      </c>
      <c r="B72" s="1692">
        <f t="shared" si="5"/>
        <v>169.76470588235293</v>
      </c>
      <c r="C72" s="1692">
        <f t="shared" si="6"/>
        <v>9518906.1176470593</v>
      </c>
      <c r="D72" s="1691">
        <v>3</v>
      </c>
      <c r="E72" s="1693">
        <f>SUMIFS(Июль10[м2],Июль10[МОП],A72,Июль10[№ дома],"Дом 2")</f>
        <v>0</v>
      </c>
      <c r="F72" s="1694">
        <f>SUMIFS(Июль10[сумма],Июль10[МОП],A72,Июль10[№ дома],"Дом 2")</f>
        <v>0</v>
      </c>
      <c r="G72" s="1695">
        <f>COUNTIFS(Июль10[МОП],A72,Июль10[№ дома],"Дом 2")</f>
        <v>0</v>
      </c>
      <c r="H72" s="1696" t="e">
        <f t="shared" si="7"/>
        <v>#REF!</v>
      </c>
      <c r="I72" s="1724" t="e">
        <f t="shared" si="7"/>
        <v>#REF!</v>
      </c>
      <c r="J72" s="1725" t="e">
        <f>SUMIFS(#REF!,#REF!,2,#REF!,A72,#REF!,"&lt;="&amp;$H$1,#REF!,"&gt;="&amp;DATE(YEAR($H$1),MONTH($H$1),1))</f>
        <v>#REF!</v>
      </c>
      <c r="K72" s="1725" t="e">
        <f>SUMIFS(#REF!,#REF!,2,#REF!,A72,#REF!,"&lt;="&amp;$H$1,#REF!,"&gt;="&amp;DATE(YEAR($H$1),MONTH($H$1),1))</f>
        <v>#REF!</v>
      </c>
      <c r="L72" s="1725" t="e">
        <f>COUNTIFS(#REF!,2,#REF!,A72,#REF!,"&lt;="&amp;$H$1,#REF!,"&gt;="&amp;DATE(YEAR($H$1),MONTH($H$1),1))</f>
        <v>#REF!</v>
      </c>
      <c r="M72" s="1725" t="e">
        <f>COUNTIFS(#REF!,M$54,#REF!,$A72,#REF!,2,#REF!,"&lt;="&amp;$H$1,#REF!,"&gt;="&amp;DATE(YEAR($H$1),MONTH($H$1),1))</f>
        <v>#REF!</v>
      </c>
      <c r="N72" s="1725" t="e">
        <f>COUNTIFS(#REF!,N$54,#REF!,$A72,#REF!,2,#REF!,"&lt;="&amp;$H$1,#REF!,"&gt;="&amp;DATE(YEAR($H$1),MONTH($H$1),1))</f>
        <v>#REF!</v>
      </c>
      <c r="O72" s="1725" t="e">
        <f>COUNTIFS(#REF!,O$54,#REF!,$A72,#REF!,2,#REF!,"&lt;="&amp;$H$1,#REF!,"&gt;="&amp;DATE(YEAR($H$1),MONTH($H$1),1))</f>
        <v>#REF!</v>
      </c>
      <c r="P72" s="1726" t="e">
        <f>COUNTIFS(#REF!,P$54,#REF!,$A72,#REF!,2,#REF!,"&lt;="&amp;$H$1,#REF!,"&gt;="&amp;DATE(YEAR($H$1),MONTH($H$1),1))</f>
        <v>#REF!</v>
      </c>
      <c r="Q72" s="1725" t="e">
        <f>COUNTIFS(#REF!,Q$54,#REF!,$A72,#REF!,2,#REF!,"&lt;="&amp;$H$1,#REF!,"&gt;="&amp;DATE(YEAR($H$1),MONTH($H$1),1))</f>
        <v>#REF!</v>
      </c>
    </row>
    <row r="73" spans="1:17" ht="18" customHeight="1">
      <c r="A73" s="1691" t="s">
        <v>20</v>
      </c>
      <c r="B73" s="1692">
        <f t="shared" si="5"/>
        <v>169.76470588235293</v>
      </c>
      <c r="C73" s="1692">
        <f t="shared" si="6"/>
        <v>9518906.1176470593</v>
      </c>
      <c r="D73" s="1691">
        <v>3</v>
      </c>
      <c r="E73" s="1693">
        <f>SUMIFS(Июль10[м2],Июль10[МОП],A73,Июль10[№ дома],"Дом 2")</f>
        <v>192.48000000000002</v>
      </c>
      <c r="F73" s="1694">
        <f>SUMIFS(Июль10[сумма],Июль10[МОП],A73,Июль10[№ дома],"Дом 2")</f>
        <v>10533658.41</v>
      </c>
      <c r="G73" s="1695">
        <f>COUNTIFS(Июль10[МОП],A73,Июль10[№ дома],"Дом 2")</f>
        <v>3</v>
      </c>
      <c r="H73" s="1696" t="e">
        <f t="shared" si="7"/>
        <v>#REF!</v>
      </c>
      <c r="I73" s="1724" t="e">
        <f t="shared" si="7"/>
        <v>#REF!</v>
      </c>
      <c r="J73" s="1725" t="e">
        <f>SUMIFS(#REF!,#REF!,2,#REF!,A73,#REF!,"&lt;="&amp;$H$1,#REF!,"&gt;="&amp;DATE(YEAR($H$1),MONTH($H$1),1))</f>
        <v>#REF!</v>
      </c>
      <c r="K73" s="1725" t="e">
        <f>SUMIFS(#REF!,#REF!,2,#REF!,A73,#REF!,"&lt;="&amp;$H$1,#REF!,"&gt;="&amp;DATE(YEAR($H$1),MONTH($H$1),1))</f>
        <v>#REF!</v>
      </c>
      <c r="L73" s="1725" t="e">
        <f>COUNTIFS(#REF!,2,#REF!,A73,#REF!,"&lt;="&amp;$H$1,#REF!,"&gt;="&amp;DATE(YEAR($H$1),MONTH($H$1),1))</f>
        <v>#REF!</v>
      </c>
      <c r="M73" s="1725" t="e">
        <f>COUNTIFS(#REF!,M$54,#REF!,$A73,#REF!,2,#REF!,"&lt;="&amp;$H$1,#REF!,"&gt;="&amp;DATE(YEAR($H$1),MONTH($H$1),1))</f>
        <v>#REF!</v>
      </c>
      <c r="N73" s="1725" t="e">
        <f>COUNTIFS(#REF!,N$54,#REF!,$A73,#REF!,2,#REF!,"&lt;="&amp;$H$1,#REF!,"&gt;="&amp;DATE(YEAR($H$1),MONTH($H$1),1))</f>
        <v>#REF!</v>
      </c>
      <c r="O73" s="1725" t="e">
        <f>COUNTIFS(#REF!,O$54,#REF!,$A73,#REF!,2,#REF!,"&lt;="&amp;$H$1,#REF!,"&gt;="&amp;DATE(YEAR($H$1),MONTH($H$1),1))</f>
        <v>#REF!</v>
      </c>
      <c r="P73" s="1726" t="e">
        <f>COUNTIFS(#REF!,P$54,#REF!,$A73,#REF!,2,#REF!,"&lt;="&amp;$H$1,#REF!,"&gt;="&amp;DATE(YEAR($H$1),MONTH($H$1),1))</f>
        <v>#REF!</v>
      </c>
      <c r="Q73" s="1725" t="e">
        <f>COUNTIFS(#REF!,Q$54,#REF!,$A73,#REF!,2,#REF!,"&lt;="&amp;$H$1,#REF!,"&gt;="&amp;DATE(YEAR($H$1),MONTH($H$1),1))</f>
        <v>#REF!</v>
      </c>
    </row>
    <row r="74" spans="1:17" ht="17.25" customHeight="1">
      <c r="A74" s="1691" t="s">
        <v>63</v>
      </c>
      <c r="B74" s="1692">
        <f t="shared" si="5"/>
        <v>169.76470588235293</v>
      </c>
      <c r="C74" s="1692">
        <f t="shared" si="6"/>
        <v>9518906.1176470593</v>
      </c>
      <c r="D74" s="1691">
        <v>3</v>
      </c>
      <c r="E74" s="1693">
        <f>SUMIFS(Июль10[м2],Июль10[МОП],A74,Июль10[№ дома],"Дом 2")</f>
        <v>180.45</v>
      </c>
      <c r="F74" s="1694">
        <f>SUMIFS(Июль10[сумма],Июль10[МОП],A74,Июль10[№ дома],"Дом 2")</f>
        <v>10237659.52</v>
      </c>
      <c r="G74" s="1695">
        <f>COUNTIFS(Июль10[МОП],A74,Июль10[№ дома],"Дом 2")</f>
        <v>3</v>
      </c>
      <c r="H74" s="1696" t="e">
        <f t="shared" si="7"/>
        <v>#REF!</v>
      </c>
      <c r="I74" s="1724" t="e">
        <f t="shared" si="7"/>
        <v>#REF!</v>
      </c>
      <c r="J74" s="1725" t="e">
        <f>SUMIFS(#REF!,#REF!,2,#REF!,A74,#REF!,"&lt;="&amp;$H$1,#REF!,"&gt;="&amp;DATE(YEAR($H$1),MONTH($H$1),1))</f>
        <v>#REF!</v>
      </c>
      <c r="K74" s="1725" t="e">
        <f>SUMIFS(#REF!,#REF!,2,#REF!,A74,#REF!,"&lt;="&amp;$H$1,#REF!,"&gt;="&amp;DATE(YEAR($H$1),MONTH($H$1),1))</f>
        <v>#REF!</v>
      </c>
      <c r="L74" s="1725" t="e">
        <f>COUNTIFS(#REF!,2,#REF!,A74,#REF!,"&lt;="&amp;$H$1,#REF!,"&gt;="&amp;DATE(YEAR($H$1),MONTH($H$1),1))</f>
        <v>#REF!</v>
      </c>
      <c r="M74" s="1725" t="e">
        <f>COUNTIFS(#REF!,M$54,#REF!,$A74,#REF!,2,#REF!,"&lt;="&amp;$H$1,#REF!,"&gt;="&amp;DATE(YEAR($H$1),MONTH($H$1),1))</f>
        <v>#REF!</v>
      </c>
      <c r="N74" s="1725" t="e">
        <f>COUNTIFS(#REF!,N$54,#REF!,$A74,#REF!,2,#REF!,"&lt;="&amp;$H$1,#REF!,"&gt;="&amp;DATE(YEAR($H$1),MONTH($H$1),1))</f>
        <v>#REF!</v>
      </c>
      <c r="O74" s="1725" t="e">
        <f>COUNTIFS(#REF!,O$54,#REF!,$A74,#REF!,2,#REF!,"&lt;="&amp;$H$1,#REF!,"&gt;="&amp;DATE(YEAR($H$1),MONTH($H$1),1))</f>
        <v>#REF!</v>
      </c>
      <c r="P74" s="1726" t="e">
        <f>COUNTIFS(#REF!,P$54,#REF!,$A74,#REF!,2,#REF!,"&lt;="&amp;$H$1,#REF!,"&gt;="&amp;DATE(YEAR($H$1),MONTH($H$1),1))</f>
        <v>#REF!</v>
      </c>
      <c r="Q74" s="1725" t="e">
        <f>COUNTIFS(#REF!,Q$54,#REF!,$A74,#REF!,2,#REF!,"&lt;="&amp;$H$1,#REF!,"&gt;="&amp;DATE(YEAR($H$1),MONTH($H$1),1))</f>
        <v>#REF!</v>
      </c>
    </row>
    <row r="75" spans="1:17" ht="27" customHeight="1">
      <c r="A75" s="1686" t="s">
        <v>114</v>
      </c>
      <c r="B75" s="1697">
        <v>962</v>
      </c>
      <c r="C75" s="1697">
        <v>53940468</v>
      </c>
      <c r="D75" s="1686">
        <f>SUM(D69:D74)</f>
        <v>17</v>
      </c>
      <c r="E75" s="1686">
        <f>SUM(E69:E74)</f>
        <v>620.41000000000008</v>
      </c>
      <c r="F75" s="1686">
        <f>SUM(F69:F74)</f>
        <v>36653283.290000007</v>
      </c>
      <c r="G75" s="1686">
        <f>SUM(G69:G74)</f>
        <v>11</v>
      </c>
      <c r="H75" s="1701" t="e">
        <f>J75/B75</f>
        <v>#REF!</v>
      </c>
      <c r="I75" s="1727" t="e">
        <f>K75/C75</f>
        <v>#REF!</v>
      </c>
      <c r="J75" s="1728" t="e">
        <f t="shared" ref="J75:Q75" si="8">SUM(J69:J74)</f>
        <v>#REF!</v>
      </c>
      <c r="K75" s="1728" t="e">
        <f t="shared" si="8"/>
        <v>#REF!</v>
      </c>
      <c r="L75" s="1728" t="e">
        <f t="shared" si="8"/>
        <v>#REF!</v>
      </c>
      <c r="M75" s="1728" t="e">
        <f t="shared" si="8"/>
        <v>#REF!</v>
      </c>
      <c r="N75" s="1728" t="e">
        <f t="shared" si="8"/>
        <v>#REF!</v>
      </c>
      <c r="O75" s="1728" t="e">
        <f t="shared" si="8"/>
        <v>#REF!</v>
      </c>
      <c r="P75" s="1729" t="e">
        <f t="shared" si="8"/>
        <v>#REF!</v>
      </c>
      <c r="Q75" s="1728" t="e">
        <f t="shared" si="8"/>
        <v>#REF!</v>
      </c>
    </row>
    <row r="76" spans="1:17" ht="25.5">
      <c r="A76" s="1702" t="s">
        <v>115</v>
      </c>
      <c r="B76" s="1703" t="s">
        <v>100</v>
      </c>
      <c r="C76" s="1703" t="s">
        <v>97</v>
      </c>
      <c r="D76" s="1688" t="s">
        <v>95</v>
      </c>
      <c r="E76" s="1690" t="s">
        <v>494</v>
      </c>
      <c r="F76" s="1688" t="s">
        <v>495</v>
      </c>
      <c r="G76" s="1688" t="s">
        <v>496</v>
      </c>
      <c r="H76" s="1295" t="s">
        <v>102</v>
      </c>
      <c r="I76" s="1295" t="s">
        <v>99</v>
      </c>
      <c r="J76" s="1690" t="s">
        <v>101</v>
      </c>
      <c r="K76" s="1688" t="s">
        <v>98</v>
      </c>
      <c r="L76" s="1688" t="s">
        <v>96</v>
      </c>
      <c r="M76" s="1688">
        <v>0</v>
      </c>
      <c r="N76" s="1688">
        <v>1</v>
      </c>
      <c r="O76" s="1688">
        <v>2</v>
      </c>
      <c r="P76" s="1688">
        <v>3</v>
      </c>
      <c r="Q76" s="1688">
        <v>4</v>
      </c>
    </row>
    <row r="77" spans="1:17" ht="15" hidden="1" customHeight="1">
      <c r="A77" s="1704"/>
      <c r="B77" s="1692"/>
      <c r="C77" s="1692"/>
      <c r="D77" s="1704"/>
      <c r="E77" s="1694"/>
      <c r="F77" s="1694"/>
      <c r="G77" s="1705"/>
      <c r="H77" s="1696"/>
      <c r="I77" s="1724"/>
      <c r="J77" s="1730"/>
      <c r="K77" s="1731"/>
      <c r="L77" s="1730"/>
      <c r="M77" s="1730"/>
      <c r="N77" s="1731"/>
      <c r="O77" s="1730"/>
      <c r="P77" s="1732"/>
      <c r="Q77" s="1730"/>
    </row>
    <row r="78" spans="1:17">
      <c r="A78" s="1704" t="s">
        <v>16</v>
      </c>
      <c r="B78" s="1692">
        <f>B75/D75*D78</f>
        <v>735.64705882352939</v>
      </c>
      <c r="C78" s="1692">
        <f>C75/D75*D78</f>
        <v>41248593.176470585</v>
      </c>
      <c r="D78" s="1754">
        <v>13</v>
      </c>
      <c r="E78" s="1694">
        <f>SUMIFS(Июль10[м2],Июль10[ИМ],A78,Июль10[№ дома],"Дом 2")</f>
        <v>484.86</v>
      </c>
      <c r="F78" s="1694">
        <f>SUMIFS(Июль10[сумма],Июль10[ИМ],A78,Июль10[№ дома],"Дом 2")</f>
        <v>29093969.73</v>
      </c>
      <c r="G78" s="1705">
        <f>COUNTIFS(Июль10[ИМ],A78,Июль10[№ дома],"Дом 2")</f>
        <v>9</v>
      </c>
      <c r="H78" s="1696">
        <f>E78/B78</f>
        <v>0.65909323524708141</v>
      </c>
      <c r="I78" s="1724">
        <f>F78/C78</f>
        <v>0.70533241232081723</v>
      </c>
      <c r="J78" s="1730"/>
      <c r="K78" s="1730"/>
      <c r="L78" s="1730"/>
      <c r="M78" s="1730">
        <f>COUNTIFS(Июль10[Ком],M68,Июль10[ИМ],$A$92,Июль10[№ дома],"Дом 2")</f>
        <v>0</v>
      </c>
      <c r="N78" s="1730">
        <f>COUNTIFS(Июль10[Ком],N68,Июль10[ИМ],$A$92,Июль10[№ дома],"Дом 2")</f>
        <v>3</v>
      </c>
      <c r="O78" s="1730">
        <f>COUNTIFS(Июль10[Ком],O68,Июль10[ИМ],$A$92,Июль10[№ дома],"Дом 2")</f>
        <v>5</v>
      </c>
      <c r="P78" s="1730">
        <f>COUNTIFS(Июль10[Ком],P68,Июль10[ИМ],$A$92,Июль10[№ дома],"Дом 2")</f>
        <v>1</v>
      </c>
      <c r="Q78" s="1730">
        <f>COUNTIFS(Июль10[Ком],Q68,Июль10[ИМ],$A$92,Июль10[№ дома],"Дом 2")</f>
        <v>0</v>
      </c>
    </row>
    <row r="79" spans="1:17">
      <c r="A79" s="1686" t="s">
        <v>114</v>
      </c>
      <c r="B79" s="1747">
        <f t="shared" ref="B79:G79" si="9">SUM(B77:B78)</f>
        <v>735.64705882352939</v>
      </c>
      <c r="C79" s="1747">
        <f t="shared" si="9"/>
        <v>41248593.176470585</v>
      </c>
      <c r="D79" s="1686">
        <f t="shared" si="9"/>
        <v>13</v>
      </c>
      <c r="E79" s="1699">
        <f t="shared" si="9"/>
        <v>484.86</v>
      </c>
      <c r="F79" s="1699">
        <f t="shared" si="9"/>
        <v>29093969.73</v>
      </c>
      <c r="G79" s="1686">
        <f t="shared" si="9"/>
        <v>9</v>
      </c>
      <c r="H79" s="1727">
        <f>E79/B79</f>
        <v>0.65909323524708141</v>
      </c>
      <c r="I79" s="1727">
        <f>F79/C79</f>
        <v>0.70533241232081723</v>
      </c>
      <c r="J79" s="1768"/>
      <c r="K79" s="1768"/>
      <c r="L79" s="1768"/>
      <c r="M79" s="1768">
        <f>SUM(M77:M78)</f>
        <v>0</v>
      </c>
      <c r="N79" s="1768">
        <f>SUM(N77:N78)</f>
        <v>3</v>
      </c>
      <c r="O79" s="1768">
        <f>SUM(O77:O78)</f>
        <v>5</v>
      </c>
      <c r="P79" s="1769">
        <f>SUM(P77:P78)</f>
        <v>1</v>
      </c>
      <c r="Q79" s="1768">
        <f>SUM(Q77:Q78)</f>
        <v>0</v>
      </c>
    </row>
    <row r="80" spans="1:17" ht="15" customHeight="1">
      <c r="A80" s="1748"/>
      <c r="B80" s="1755"/>
      <c r="C80" s="1755"/>
      <c r="D80" s="1748"/>
      <c r="E80" s="1750"/>
      <c r="F80" s="1750"/>
      <c r="G80" s="1748"/>
      <c r="H80" s="1751"/>
      <c r="I80" s="1751"/>
      <c r="J80" s="1770"/>
      <c r="K80" s="1770"/>
      <c r="L80" s="1770"/>
      <c r="M80" s="1770"/>
      <c r="N80" s="1771"/>
      <c r="Q80" s="1721"/>
    </row>
    <row r="81" spans="1:17" ht="17.25" customHeight="1">
      <c r="A81" s="2284" t="s">
        <v>411</v>
      </c>
      <c r="B81" s="2285"/>
      <c r="C81" s="1747" t="s">
        <v>27</v>
      </c>
      <c r="D81" s="1687"/>
      <c r="E81" s="1752"/>
      <c r="F81" s="1752"/>
      <c r="G81" s="1687"/>
      <c r="H81" s="1753"/>
      <c r="I81" s="1753"/>
      <c r="J81" s="1687"/>
      <c r="K81" s="1687"/>
      <c r="L81" s="1687"/>
      <c r="M81" s="1687"/>
      <c r="N81" s="1687"/>
      <c r="O81" s="1687"/>
      <c r="P81" s="1723"/>
      <c r="Q81" s="1687"/>
    </row>
    <row r="82" spans="1:17" ht="25.5">
      <c r="A82" s="1688" t="s">
        <v>1</v>
      </c>
      <c r="B82" s="1703" t="s">
        <v>100</v>
      </c>
      <c r="C82" s="1703" t="s">
        <v>97</v>
      </c>
      <c r="D82" s="1688" t="s">
        <v>95</v>
      </c>
      <c r="E82" s="1690" t="s">
        <v>494</v>
      </c>
      <c r="F82" s="1688" t="s">
        <v>495</v>
      </c>
      <c r="G82" s="1688" t="s">
        <v>496</v>
      </c>
      <c r="H82" s="1295" t="s">
        <v>102</v>
      </c>
      <c r="I82" s="1295" t="s">
        <v>99</v>
      </c>
      <c r="J82" s="1690" t="s">
        <v>101</v>
      </c>
      <c r="K82" s="1688" t="s">
        <v>98</v>
      </c>
      <c r="L82" s="1688" t="s">
        <v>96</v>
      </c>
      <c r="M82" s="1688">
        <v>0</v>
      </c>
      <c r="N82" s="1688">
        <v>1</v>
      </c>
      <c r="O82" s="1688">
        <v>2</v>
      </c>
      <c r="P82" s="1688">
        <v>3</v>
      </c>
      <c r="Q82" s="1688">
        <v>4</v>
      </c>
    </row>
    <row r="83" spans="1:17">
      <c r="A83" s="1704" t="s">
        <v>73</v>
      </c>
      <c r="B83" s="1692">
        <f t="shared" ref="B83:B88" si="10">$B$89/$D$89*D83</f>
        <v>200.17857142857142</v>
      </c>
      <c r="C83" s="1692">
        <f t="shared" ref="C83:C88" si="11">$C$89/$D$89*D83</f>
        <v>10454972.678571429</v>
      </c>
      <c r="D83" s="1691">
        <v>5</v>
      </c>
      <c r="E83" s="1693">
        <f>SUMIFS(Июль10[м2],Июль10[МОП],A83,Июль10[№ дома],"Дом 3")</f>
        <v>300.75</v>
      </c>
      <c r="F83" s="1694">
        <f>SUMIFS(Июль10[сумма],Июль10[МОП],A83,Июль10[№ дома],"Дом 3")</f>
        <v>17251829.759999998</v>
      </c>
      <c r="G83" s="1695">
        <f>COUNTIFS(Июль10[МОП],A83,Июль10[№ дома],"дом 3")</f>
        <v>7</v>
      </c>
      <c r="H83" s="1696" t="e">
        <f>J83/B83</f>
        <v>#REF!</v>
      </c>
      <c r="I83" s="1724" t="e">
        <f>K83/C83</f>
        <v>#REF!</v>
      </c>
      <c r="J83" s="1725" t="e">
        <f>SUMIFS(#REF!,#REF!,3,#REF!,A83,#REF!,"&lt;="&amp;$H$1,#REF!,"&gt;="&amp;DATE(YEAR($H$1),MONTH($H$1),1))</f>
        <v>#REF!</v>
      </c>
      <c r="K83" s="1725" t="e">
        <f>SUMIFS(#REF!,#REF!,3,#REF!,A83,#REF!,"&lt;="&amp;$H$1,#REF!,"&gt;="&amp;DATE(YEAR($H$1),MONTH($H$1),1))</f>
        <v>#REF!</v>
      </c>
      <c r="L83" s="1725" t="e">
        <f>COUNTIFS(#REF!,3,#REF!,A83,#REF!,"&lt;="&amp;$H$1,#REF!,"&gt;="&amp;DATE(YEAR($H$1),MONTH($H$1),1))</f>
        <v>#REF!</v>
      </c>
      <c r="M83" s="1725" t="e">
        <f>COUNTIFS(#REF!,M$54,#REF!,$A83,#REF!,3,#REF!,"&lt;="&amp;$H$1,#REF!,"&gt;="&amp;DATE(YEAR($H$1),MONTH($H$1),1))</f>
        <v>#REF!</v>
      </c>
      <c r="N83" s="1725" t="e">
        <f>COUNTIFS(#REF!,N$54,#REF!,$A83,#REF!,3,#REF!,"&lt;="&amp;$H$1,#REF!,"&gt;="&amp;DATE(YEAR($H$1),MONTH($H$1),1))</f>
        <v>#REF!</v>
      </c>
      <c r="O83" s="1725" t="e">
        <f>COUNTIFS(#REF!,O$54,#REF!,$A83,#REF!,3,#REF!,"&lt;="&amp;$H$1,#REF!,"&gt;="&amp;DATE(YEAR($H$1),MONTH($H$1),1))</f>
        <v>#REF!</v>
      </c>
      <c r="P83" s="1726" t="e">
        <f>COUNTIFS(#REF!,P$54,#REF!,$A83,#REF!,3,#REF!,"&lt;="&amp;$H$1,#REF!,"&gt;="&amp;DATE(YEAR($H$1),MONTH($H$1),1))</f>
        <v>#REF!</v>
      </c>
      <c r="Q83" s="1725" t="e">
        <f>COUNTIFS(#REF!,Q$54,#REF!,$A83,#REF!,3,#REF!,"&lt;="&amp;$H$1,#REF!,"&gt;="&amp;DATE(YEAR($H$1),MONTH($H$1),1))</f>
        <v>#REF!</v>
      </c>
    </row>
    <row r="84" spans="1:17">
      <c r="A84" s="1704" t="s">
        <v>407</v>
      </c>
      <c r="B84" s="1692">
        <f t="shared" si="10"/>
        <v>160.14285714285714</v>
      </c>
      <c r="C84" s="1692">
        <f t="shared" si="11"/>
        <v>8363978.1428571427</v>
      </c>
      <c r="D84" s="1691">
        <v>4</v>
      </c>
      <c r="E84" s="1693">
        <f>SUMIFS(Июль10[м2],Июль10[МОП],A84,Июль10[№ дома],"Дом 3")</f>
        <v>59.93</v>
      </c>
      <c r="F84" s="1694">
        <f>SUMIFS(Июль10[сумма],Июль10[МОП],A84,Июль10[№ дома],"Дом 3")</f>
        <v>3305379.22</v>
      </c>
      <c r="G84" s="1695">
        <f>COUNTIFS(Июль10[МОП],A84,Июль10[№ дома],"дом 3")</f>
        <v>1</v>
      </c>
      <c r="H84" s="1696" t="e">
        <f t="shared" ref="H84:I88" si="12">J84/B84</f>
        <v>#REF!</v>
      </c>
      <c r="I84" s="1724" t="e">
        <f t="shared" si="12"/>
        <v>#REF!</v>
      </c>
      <c r="J84" s="1725" t="e">
        <f>SUMIFS(#REF!,#REF!,3,#REF!,A84,#REF!,"&lt;="&amp;$H$1,#REF!,"&gt;="&amp;DATE(YEAR($H$1),MONTH($H$1),1))</f>
        <v>#REF!</v>
      </c>
      <c r="K84" s="1725" t="e">
        <f>SUMIFS(#REF!,#REF!,3,#REF!,A84,#REF!,"&lt;="&amp;$H$1,#REF!,"&gt;="&amp;DATE(YEAR($H$1),MONTH($H$1),1))</f>
        <v>#REF!</v>
      </c>
      <c r="L84" s="1725" t="e">
        <f>COUNTIFS(#REF!,3,#REF!,A84,#REF!,"&lt;="&amp;$H$1,#REF!,"&gt;="&amp;DATE(YEAR($H$1),MONTH($H$1),1))</f>
        <v>#REF!</v>
      </c>
      <c r="M84" s="1725" t="e">
        <f>COUNTIFS(#REF!,M$54,#REF!,$A84,#REF!,3,#REF!,"&lt;="&amp;$H$1,#REF!,"&gt;="&amp;DATE(YEAR($H$1),MONTH($H$1),1))</f>
        <v>#REF!</v>
      </c>
      <c r="N84" s="1725" t="e">
        <f>COUNTIFS(#REF!,N$54,#REF!,$A84,#REF!,3,#REF!,"&lt;="&amp;$H$1,#REF!,"&gt;="&amp;DATE(YEAR($H$1),MONTH($H$1),1))</f>
        <v>#REF!</v>
      </c>
      <c r="O84" s="1725" t="e">
        <f>COUNTIFS(#REF!,O$54,#REF!,$A84,#REF!,3,#REF!,"&lt;="&amp;$H$1,#REF!,"&gt;="&amp;DATE(YEAR($H$1),MONTH($H$1),1))</f>
        <v>#REF!</v>
      </c>
      <c r="P84" s="1726" t="e">
        <f>COUNTIFS(#REF!,P$54,#REF!,$A84,#REF!,3,#REF!,"&lt;="&amp;$H$1,#REF!,"&gt;="&amp;DATE(YEAR($H$1),MONTH($H$1),1))</f>
        <v>#REF!</v>
      </c>
      <c r="Q84" s="1725" t="e">
        <f>COUNTIFS(#REF!,Q$54,#REF!,$A84,#REF!,3,#REF!,"&lt;="&amp;$H$1,#REF!,"&gt;="&amp;DATE(YEAR($H$1),MONTH($H$1),1))</f>
        <v>#REF!</v>
      </c>
    </row>
    <row r="85" spans="1:17">
      <c r="A85" s="1704" t="s">
        <v>77</v>
      </c>
      <c r="B85" s="1692">
        <f t="shared" si="10"/>
        <v>200.17857142857142</v>
      </c>
      <c r="C85" s="1692">
        <f t="shared" si="11"/>
        <v>10454972.678571429</v>
      </c>
      <c r="D85" s="1691">
        <v>5</v>
      </c>
      <c r="E85" s="1693">
        <f>SUMIFS(Июль10[м2],Июль10[МОП],A85,Июль10[№ дома],"Дом 3")</f>
        <v>361.11</v>
      </c>
      <c r="F85" s="1694">
        <f>SUMIFS(Июль10[сумма],Июль10[МОП],A85,Июль10[№ дома],"Дом 3")</f>
        <v>21022410.740000002</v>
      </c>
      <c r="G85" s="1695">
        <f>COUNTIFS(Июль10[МОП],A85,Июль10[№ дома],"дом 3")</f>
        <v>8</v>
      </c>
      <c r="H85" s="1696" t="e">
        <f t="shared" si="12"/>
        <v>#REF!</v>
      </c>
      <c r="I85" s="1724" t="e">
        <f t="shared" si="12"/>
        <v>#REF!</v>
      </c>
      <c r="J85" s="1725" t="e">
        <f>SUMIFS(#REF!,#REF!,3,#REF!,A85,#REF!,"&lt;="&amp;$H$1,#REF!,"&gt;="&amp;DATE(YEAR($H$1),MONTH($H$1),1))</f>
        <v>#REF!</v>
      </c>
      <c r="K85" s="1725" t="e">
        <f>SUMIFS(#REF!,#REF!,3,#REF!,A85,#REF!,"&lt;="&amp;$H$1,#REF!,"&gt;="&amp;DATE(YEAR($H$1),MONTH($H$1),1))</f>
        <v>#REF!</v>
      </c>
      <c r="L85" s="1725" t="e">
        <f>COUNTIFS(#REF!,3,#REF!,A85,#REF!,"&lt;="&amp;$H$1,#REF!,"&gt;="&amp;DATE(YEAR($H$1),MONTH($H$1),1))</f>
        <v>#REF!</v>
      </c>
      <c r="M85" s="1725" t="e">
        <f>COUNTIFS(#REF!,M$54,#REF!,$A85,#REF!,3,#REF!,"&lt;="&amp;$H$1,#REF!,"&gt;="&amp;DATE(YEAR($H$1),MONTH($H$1),1))</f>
        <v>#REF!</v>
      </c>
      <c r="N85" s="1725" t="e">
        <f>COUNTIFS(#REF!,N$54,#REF!,$A85,#REF!,3,#REF!,"&lt;="&amp;$H$1,#REF!,"&gt;="&amp;DATE(YEAR($H$1),MONTH($H$1),1))</f>
        <v>#REF!</v>
      </c>
      <c r="O85" s="1725" t="e">
        <f>COUNTIFS(#REF!,O$54,#REF!,$A85,#REF!,3,#REF!,"&lt;="&amp;$H$1,#REF!,"&gt;="&amp;DATE(YEAR($H$1),MONTH($H$1),1))</f>
        <v>#REF!</v>
      </c>
      <c r="P85" s="1726" t="e">
        <f>COUNTIFS(#REF!,P$54,#REF!,$A85,#REF!,3,#REF!,"&lt;="&amp;$H$1,#REF!,"&gt;="&amp;DATE(YEAR($H$1),MONTH($H$1),1))</f>
        <v>#REF!</v>
      </c>
      <c r="Q85" s="1725" t="e">
        <f>COUNTIFS(#REF!,Q$54,#REF!,$A85,#REF!,3,#REF!,"&lt;="&amp;$H$1,#REF!,"&gt;="&amp;DATE(YEAR($H$1),MONTH($H$1),1))</f>
        <v>#REF!</v>
      </c>
    </row>
    <row r="86" spans="1:17" ht="24" customHeight="1">
      <c r="A86" s="1704" t="s">
        <v>471</v>
      </c>
      <c r="B86" s="1692">
        <f t="shared" si="10"/>
        <v>200.17857142857142</v>
      </c>
      <c r="C86" s="1692">
        <f t="shared" si="11"/>
        <v>10454972.678571429</v>
      </c>
      <c r="D86" s="1691">
        <v>5</v>
      </c>
      <c r="E86" s="1693">
        <f>SUMIFS(Июль10[м2],Июль10[МОП],A86,Июль10[№ дома],"Дом 3")</f>
        <v>119.42999999999999</v>
      </c>
      <c r="F86" s="1694">
        <f>SUMIFS(Июль10[сумма],Июль10[МОП],A86,Июль10[№ дома],"Дом 3")</f>
        <v>6925262.2999999998</v>
      </c>
      <c r="G86" s="1695">
        <f>COUNTIFS(Июль10[МОП],A86,Июль10[№ дома],"дом 3")</f>
        <v>3</v>
      </c>
      <c r="H86" s="1696" t="e">
        <f t="shared" si="12"/>
        <v>#REF!</v>
      </c>
      <c r="I86" s="1724" t="e">
        <f t="shared" si="12"/>
        <v>#REF!</v>
      </c>
      <c r="J86" s="1725" t="e">
        <f>SUMIFS(#REF!,#REF!,3,#REF!,A86,#REF!,"&lt;="&amp;$H$1,#REF!,"&gt;="&amp;DATE(YEAR($H$1),MONTH($H$1),1))</f>
        <v>#REF!</v>
      </c>
      <c r="K86" s="1725" t="e">
        <f>SUMIFS(#REF!,#REF!,3,#REF!,A86,#REF!,"&lt;="&amp;$H$1,#REF!,"&gt;="&amp;DATE(YEAR($H$1),MONTH($H$1),1))</f>
        <v>#REF!</v>
      </c>
      <c r="L86" s="1725" t="e">
        <f>COUNTIFS(#REF!,3,#REF!,A86,#REF!,"&lt;="&amp;$H$1,#REF!,"&gt;="&amp;DATE(YEAR($H$1),MONTH($H$1),1))</f>
        <v>#REF!</v>
      </c>
      <c r="M86" s="1725" t="e">
        <f>COUNTIFS(#REF!,M$54,#REF!,$A86,#REF!,3,#REF!,"&lt;="&amp;$H$1,#REF!,"&gt;="&amp;DATE(YEAR($H$1),MONTH($H$1),1))</f>
        <v>#REF!</v>
      </c>
      <c r="N86" s="1725" t="e">
        <f>COUNTIFS(#REF!,N$54,#REF!,$A86,#REF!,3,#REF!,"&lt;="&amp;$H$1,#REF!,"&gt;="&amp;DATE(YEAR($H$1),MONTH($H$1),1))</f>
        <v>#REF!</v>
      </c>
      <c r="O86" s="1725" t="e">
        <f>COUNTIFS(#REF!,O$54,#REF!,$A86,#REF!,3,#REF!,"&lt;="&amp;$H$1,#REF!,"&gt;="&amp;DATE(YEAR($H$1),MONTH($H$1),1))</f>
        <v>#REF!</v>
      </c>
      <c r="P86" s="1726" t="e">
        <f>COUNTIFS(#REF!,P$54,#REF!,$A86,#REF!,3,#REF!,"&lt;="&amp;$H$1,#REF!,"&gt;="&amp;DATE(YEAR($H$1),MONTH($H$1),1))</f>
        <v>#REF!</v>
      </c>
      <c r="Q86" s="1725" t="e">
        <f>COUNTIFS(#REF!,Q$54,#REF!,$A86,#REF!,3,#REF!,"&lt;="&amp;$H$1,#REF!,"&gt;="&amp;DATE(YEAR($H$1),MONTH($H$1),1))</f>
        <v>#REF!</v>
      </c>
    </row>
    <row r="87" spans="1:17" ht="17.25" customHeight="1">
      <c r="A87" s="1704" t="s">
        <v>20</v>
      </c>
      <c r="B87" s="1692">
        <f t="shared" si="10"/>
        <v>160.14285714285714</v>
      </c>
      <c r="C87" s="1692">
        <f t="shared" si="11"/>
        <v>8363978.1428571427</v>
      </c>
      <c r="D87" s="1691">
        <v>4</v>
      </c>
      <c r="E87" s="1693">
        <f>SUMIFS(Июль10[м2],Июль10[МОП],A87,Июль10[№ дома],"Дом 3")</f>
        <v>267.25</v>
      </c>
      <c r="F87" s="1694">
        <f>SUMIFS(Июль10[сумма],Июль10[МОП],A87,Июль10[№ дома],"Дом 3")</f>
        <v>14871111.09</v>
      </c>
      <c r="G87" s="1695">
        <f>COUNTIFS(Июль10[МОП],A87,Июль10[№ дома],"дом 3")</f>
        <v>8</v>
      </c>
      <c r="H87" s="1696" t="e">
        <f t="shared" si="12"/>
        <v>#REF!</v>
      </c>
      <c r="I87" s="1724" t="e">
        <f t="shared" si="12"/>
        <v>#REF!</v>
      </c>
      <c r="J87" s="1725" t="e">
        <f>SUMIFS(#REF!,#REF!,3,#REF!,A87,#REF!,"&lt;="&amp;$H$1,#REF!,"&gt;="&amp;DATE(YEAR($H$1),MONTH($H$1),1))</f>
        <v>#REF!</v>
      </c>
      <c r="K87" s="1725" t="e">
        <f>SUMIFS(#REF!,#REF!,3,#REF!,A87,#REF!,"&lt;="&amp;$H$1,#REF!,"&gt;="&amp;DATE(YEAR($H$1),MONTH($H$1),1))</f>
        <v>#REF!</v>
      </c>
      <c r="L87" s="1725" t="e">
        <f>COUNTIFS(#REF!,3,#REF!,A87,#REF!,"&lt;="&amp;$H$1,#REF!,"&gt;="&amp;DATE(YEAR($H$1),MONTH($H$1),1))</f>
        <v>#REF!</v>
      </c>
      <c r="M87" s="1725" t="e">
        <f>COUNTIFS(#REF!,M$54,#REF!,$A87,#REF!,3,#REF!,"&lt;="&amp;$H$1,#REF!,"&gt;="&amp;DATE(YEAR($H$1),MONTH($H$1),1))</f>
        <v>#REF!</v>
      </c>
      <c r="N87" s="1725" t="e">
        <f>COUNTIFS(#REF!,N$54,#REF!,$A87,#REF!,3,#REF!,"&lt;="&amp;$H$1,#REF!,"&gt;="&amp;DATE(YEAR($H$1),MONTH($H$1),1))</f>
        <v>#REF!</v>
      </c>
      <c r="O87" s="1725" t="e">
        <f>COUNTIFS(#REF!,O$54,#REF!,$A87,#REF!,3,#REF!,"&lt;="&amp;$H$1,#REF!,"&gt;="&amp;DATE(YEAR($H$1),MONTH($H$1),1))</f>
        <v>#REF!</v>
      </c>
      <c r="P87" s="1726" t="e">
        <f>COUNTIFS(#REF!,P$54,#REF!,$A87,#REF!,3,#REF!,"&lt;="&amp;$H$1,#REF!,"&gt;="&amp;DATE(YEAR($H$1),MONTH($H$1),1))</f>
        <v>#REF!</v>
      </c>
      <c r="Q87" s="1725" t="e">
        <f>COUNTIFS(#REF!,Q$54,#REF!,$A87,#REF!,3,#REF!,"&lt;="&amp;$H$1,#REF!,"&gt;="&amp;DATE(YEAR($H$1),MONTH($H$1),1))</f>
        <v>#REF!</v>
      </c>
    </row>
    <row r="88" spans="1:17" ht="17.25" customHeight="1">
      <c r="A88" s="1704" t="s">
        <v>63</v>
      </c>
      <c r="B88" s="1692">
        <f t="shared" si="10"/>
        <v>200.17857142857142</v>
      </c>
      <c r="C88" s="1692">
        <f t="shared" si="11"/>
        <v>10454972.678571429</v>
      </c>
      <c r="D88" s="1691">
        <v>5</v>
      </c>
      <c r="E88" s="1693">
        <f>SUMIFS(Июль10[м2],Июль10[МОП],A88,Июль10[№ дома],"Дом 3")</f>
        <v>176.51999999999998</v>
      </c>
      <c r="F88" s="1694">
        <f>SUMIFS(Июль10[сумма],Июль10[МОП],A88,Июль10[№ дома],"Дом 3")</f>
        <v>11135246.550000001</v>
      </c>
      <c r="G88" s="1695">
        <f>COUNTIFS(Июль10[МОП],A88,Июль10[№ дома],"дом 3")</f>
        <v>4</v>
      </c>
      <c r="H88" s="1696" t="e">
        <f t="shared" si="12"/>
        <v>#REF!</v>
      </c>
      <c r="I88" s="1724" t="e">
        <f t="shared" si="12"/>
        <v>#REF!</v>
      </c>
      <c r="J88" s="1725" t="e">
        <f>SUMIFS(#REF!,#REF!,3,#REF!,A88,#REF!,"&lt;="&amp;$H$1,#REF!,"&gt;="&amp;DATE(YEAR($H$1),MONTH($H$1),1))</f>
        <v>#REF!</v>
      </c>
      <c r="K88" s="1725" t="e">
        <f>SUMIFS(#REF!,#REF!,3,#REF!,A88,#REF!,"&lt;="&amp;$H$1,#REF!,"&gt;="&amp;DATE(YEAR($H$1),MONTH($H$1),1))</f>
        <v>#REF!</v>
      </c>
      <c r="L88" s="1725" t="e">
        <f>COUNTIFS(#REF!,3,#REF!,A88,#REF!,"&lt;="&amp;$H$1,#REF!,"&gt;="&amp;DATE(YEAR($H$1),MONTH($H$1),1))</f>
        <v>#REF!</v>
      </c>
      <c r="M88" s="1725" t="e">
        <f>COUNTIFS(#REF!,M$54,#REF!,$A88,#REF!,3,#REF!,"&lt;="&amp;$H$1,#REF!,"&gt;="&amp;DATE(YEAR($H$1),MONTH($H$1),1))</f>
        <v>#REF!</v>
      </c>
      <c r="N88" s="1725" t="e">
        <f>COUNTIFS(#REF!,N$54,#REF!,$A88,#REF!,3,#REF!,"&lt;="&amp;$H$1,#REF!,"&gt;="&amp;DATE(YEAR($H$1),MONTH($H$1),1))</f>
        <v>#REF!</v>
      </c>
      <c r="O88" s="1725" t="e">
        <f>COUNTIFS(#REF!,O$54,#REF!,$A88,#REF!,3,#REF!,"&lt;="&amp;$H$1,#REF!,"&gt;="&amp;DATE(YEAR($H$1),MONTH($H$1),1))</f>
        <v>#REF!</v>
      </c>
      <c r="P88" s="1726" t="e">
        <f>COUNTIFS(#REF!,P$54,#REF!,$A88,#REF!,3,#REF!,"&lt;="&amp;$H$1,#REF!,"&gt;="&amp;DATE(YEAR($H$1),MONTH($H$1),1))</f>
        <v>#REF!</v>
      </c>
      <c r="Q88" s="1725" t="e">
        <f>COUNTIFS(#REF!,Q$54,#REF!,$A88,#REF!,3,#REF!,"&lt;="&amp;$H$1,#REF!,"&gt;="&amp;DATE(YEAR($H$1),MONTH($H$1),1))</f>
        <v>#REF!</v>
      </c>
    </row>
    <row r="89" spans="1:17" ht="30" customHeight="1">
      <c r="A89" s="1686" t="s">
        <v>114</v>
      </c>
      <c r="B89" s="1697">
        <v>1121</v>
      </c>
      <c r="C89" s="1697">
        <v>58547847</v>
      </c>
      <c r="D89" s="1686">
        <f>SUM(D83:D88)</f>
        <v>28</v>
      </c>
      <c r="E89" s="1756">
        <f>SUM(E83:E88)</f>
        <v>1284.9899999999998</v>
      </c>
      <c r="F89" s="1686">
        <f>SUM(F83:F88)</f>
        <v>74511239.659999996</v>
      </c>
      <c r="G89" s="1686">
        <f>SUM(G83:G88)</f>
        <v>31</v>
      </c>
      <c r="H89" s="1701" t="e">
        <f>J89/B89</f>
        <v>#REF!</v>
      </c>
      <c r="I89" s="1727" t="e">
        <f>K89/C89</f>
        <v>#REF!</v>
      </c>
      <c r="J89" s="1728" t="e">
        <f t="shared" ref="J89:Q89" si="13">SUM(J83:J88)</f>
        <v>#REF!</v>
      </c>
      <c r="K89" s="1728" t="e">
        <f t="shared" si="13"/>
        <v>#REF!</v>
      </c>
      <c r="L89" s="1728" t="e">
        <f t="shared" si="13"/>
        <v>#REF!</v>
      </c>
      <c r="M89" s="1728" t="e">
        <f t="shared" si="13"/>
        <v>#REF!</v>
      </c>
      <c r="N89" s="1728" t="e">
        <f t="shared" si="13"/>
        <v>#REF!</v>
      </c>
      <c r="O89" s="1728" t="e">
        <f t="shared" si="13"/>
        <v>#REF!</v>
      </c>
      <c r="P89" s="1729" t="e">
        <f t="shared" si="13"/>
        <v>#REF!</v>
      </c>
      <c r="Q89" s="1728" t="e">
        <f t="shared" si="13"/>
        <v>#REF!</v>
      </c>
    </row>
    <row r="90" spans="1:17" ht="18" customHeight="1">
      <c r="A90" s="1702" t="s">
        <v>115</v>
      </c>
      <c r="B90" s="1703" t="s">
        <v>100</v>
      </c>
      <c r="C90" s="1703" t="s">
        <v>97</v>
      </c>
      <c r="D90" s="1688" t="s">
        <v>95</v>
      </c>
      <c r="E90" s="1690" t="s">
        <v>494</v>
      </c>
      <c r="F90" s="1688" t="s">
        <v>495</v>
      </c>
      <c r="G90" s="1688" t="s">
        <v>496</v>
      </c>
      <c r="H90" s="1295" t="s">
        <v>102</v>
      </c>
      <c r="I90" s="1295" t="s">
        <v>99</v>
      </c>
      <c r="J90" s="1690" t="s">
        <v>101</v>
      </c>
      <c r="K90" s="1688" t="s">
        <v>98</v>
      </c>
      <c r="L90" s="1688" t="s">
        <v>96</v>
      </c>
      <c r="M90" s="1688">
        <v>0</v>
      </c>
      <c r="N90" s="1688">
        <v>1</v>
      </c>
      <c r="O90" s="1688">
        <v>2</v>
      </c>
      <c r="P90" s="1688">
        <v>3</v>
      </c>
      <c r="Q90" s="1688">
        <v>4</v>
      </c>
    </row>
    <row r="91" spans="1:17" ht="15" hidden="1" customHeight="1">
      <c r="A91" s="1704"/>
      <c r="B91" s="1692"/>
      <c r="C91" s="1692"/>
      <c r="D91" s="1704"/>
      <c r="E91" s="1694"/>
      <c r="F91" s="1694"/>
      <c r="G91" s="1705"/>
      <c r="H91" s="1696"/>
      <c r="I91" s="1724"/>
      <c r="J91" s="1730"/>
      <c r="K91" s="1731"/>
      <c r="L91" s="1730"/>
      <c r="M91" s="1730"/>
      <c r="N91" s="1731"/>
      <c r="O91" s="1730"/>
      <c r="P91" s="1732"/>
      <c r="Q91" s="1730"/>
    </row>
    <row r="92" spans="1:17">
      <c r="A92" s="1704" t="s">
        <v>16</v>
      </c>
      <c r="B92" s="1692">
        <f>B89/D89*D92</f>
        <v>840.75</v>
      </c>
      <c r="C92" s="1692">
        <f>C89/D89*D92</f>
        <v>43910885.25</v>
      </c>
      <c r="D92" s="1754">
        <v>21</v>
      </c>
      <c r="E92" s="1694">
        <f>SUMIFS(Июль10[м2],Июль10[ИМ],A78,Июль10[№ дома],"Дом 3")</f>
        <v>981.99999999999977</v>
      </c>
      <c r="F92" s="1694">
        <f>SUMIFS(Июль10[сумма],Июль10[ИМ],A78,Июль10[№ дома],"Дом 3")</f>
        <v>56247949.780000001</v>
      </c>
      <c r="G92" s="1705">
        <f>COUNTIFS(Июль10[ИМ],A78,Июль10[№ дома],"Дом 3")</f>
        <v>20</v>
      </c>
      <c r="H92" s="1696">
        <f>E92/B92</f>
        <v>1.1680047576568537</v>
      </c>
      <c r="I92" s="1724">
        <f>F92/C92</f>
        <v>1.2809568620573415</v>
      </c>
      <c r="J92" s="1730"/>
      <c r="K92" s="1730"/>
      <c r="L92" s="1730"/>
      <c r="M92" s="1730">
        <f>COUNTIFS(Июль10[Ком],M82,Июль10[ИМ],$A$92,Июль10[№ дома],"Дом 3")</f>
        <v>2</v>
      </c>
      <c r="N92" s="1730">
        <f>COUNTIFS(Июль10[Ком],N82,Июль10[ИМ],$A$92,Июль10[№ дома],"Дом 3")</f>
        <v>7</v>
      </c>
      <c r="O92" s="1730">
        <f>COUNTIFS(Июль10[Ком],O82,Июль10[ИМ],$A$92,Июль10[№ дома],"Дом 3")</f>
        <v>10</v>
      </c>
      <c r="P92" s="1730">
        <f>COUNTIFS(Июль10[Ком],P82,Июль10[ИМ],$A$92,Июль10[№ дома],"Дом 3")</f>
        <v>1</v>
      </c>
      <c r="Q92" s="1730">
        <f>COUNTIFS(Июль10[Ком],Q82,Июль10[ИМ],$A$92,Июль10[№ дома],"Дом 3")</f>
        <v>0</v>
      </c>
    </row>
    <row r="93" spans="1:17">
      <c r="A93" s="1686" t="s">
        <v>114</v>
      </c>
      <c r="B93" s="1747">
        <f t="shared" ref="B93:G93" si="14">SUM(B91:B92)</f>
        <v>840.75</v>
      </c>
      <c r="C93" s="1747">
        <f t="shared" si="14"/>
        <v>43910885.25</v>
      </c>
      <c r="D93" s="1686">
        <f t="shared" si="14"/>
        <v>21</v>
      </c>
      <c r="E93" s="1699">
        <f t="shared" si="14"/>
        <v>981.99999999999977</v>
      </c>
      <c r="F93" s="1699">
        <f t="shared" si="14"/>
        <v>56247949.780000001</v>
      </c>
      <c r="G93" s="1686">
        <f t="shared" si="14"/>
        <v>20</v>
      </c>
      <c r="H93" s="1727">
        <f>E93/B93</f>
        <v>1.1680047576568537</v>
      </c>
      <c r="I93" s="1727">
        <f>F93/C93</f>
        <v>1.2809568620573415</v>
      </c>
      <c r="J93" s="1768"/>
      <c r="K93" s="1768"/>
      <c r="L93" s="1768"/>
      <c r="M93" s="1768">
        <f>SUM(M91:M92)</f>
        <v>2</v>
      </c>
      <c r="N93" s="1768">
        <f>SUM(N91:N92)</f>
        <v>7</v>
      </c>
      <c r="O93" s="1768">
        <f>SUM(O91:O92)</f>
        <v>10</v>
      </c>
      <c r="P93" s="1769">
        <f>SUM(P91:P92)</f>
        <v>1</v>
      </c>
      <c r="Q93" s="1768">
        <f>SUM(Q91:Q92)</f>
        <v>0</v>
      </c>
    </row>
    <row r="94" spans="1:17">
      <c r="B94" s="1653"/>
      <c r="C94" s="1653"/>
      <c r="E94" s="1654"/>
      <c r="F94" s="1654"/>
      <c r="H94" s="1655"/>
      <c r="I94" s="1655"/>
      <c r="N94" s="1772"/>
      <c r="Q94" s="1721"/>
    </row>
    <row r="95" spans="1:17">
      <c r="A95" s="2284" t="s">
        <v>411</v>
      </c>
      <c r="B95" s="2285"/>
      <c r="C95" s="1747" t="s">
        <v>412</v>
      </c>
      <c r="D95" s="1687"/>
      <c r="E95" s="1752"/>
      <c r="F95" s="1752"/>
      <c r="G95" s="1687"/>
      <c r="H95" s="1753"/>
      <c r="I95" s="1753"/>
      <c r="J95" s="1687"/>
      <c r="K95" s="1687"/>
      <c r="L95" s="1687"/>
      <c r="M95" s="1687"/>
      <c r="N95" s="1687"/>
      <c r="O95" s="1687"/>
      <c r="P95" s="1723"/>
      <c r="Q95" s="1687"/>
    </row>
    <row r="96" spans="1:17" ht="25.5">
      <c r="A96" s="1688" t="s">
        <v>1</v>
      </c>
      <c r="B96" s="1703" t="s">
        <v>100</v>
      </c>
      <c r="C96" s="1703" t="s">
        <v>97</v>
      </c>
      <c r="D96" s="1688" t="s">
        <v>95</v>
      </c>
      <c r="E96" s="1690" t="s">
        <v>494</v>
      </c>
      <c r="F96" s="1688" t="s">
        <v>495</v>
      </c>
      <c r="G96" s="1688" t="s">
        <v>496</v>
      </c>
      <c r="H96" s="1295" t="s">
        <v>102</v>
      </c>
      <c r="I96" s="1295" t="s">
        <v>99</v>
      </c>
      <c r="J96" s="1690" t="s">
        <v>101</v>
      </c>
      <c r="K96" s="1688" t="s">
        <v>98</v>
      </c>
      <c r="L96" s="1688" t="s">
        <v>96</v>
      </c>
      <c r="M96" s="1688">
        <v>0</v>
      </c>
      <c r="N96" s="1688">
        <v>1</v>
      </c>
      <c r="O96" s="1688">
        <v>2</v>
      </c>
      <c r="P96" s="1688">
        <v>3</v>
      </c>
      <c r="Q96" s="1688">
        <v>4</v>
      </c>
    </row>
    <row r="97" spans="1:17">
      <c r="A97" s="1704" t="s">
        <v>73</v>
      </c>
      <c r="B97" s="1692">
        <f t="shared" ref="B97:G102" si="15">B55+B69+B83</f>
        <v>527.1432773109243</v>
      </c>
      <c r="C97" s="1692">
        <f t="shared" si="15"/>
        <v>28944784.39621849</v>
      </c>
      <c r="D97" s="1704">
        <f t="shared" si="15"/>
        <v>10</v>
      </c>
      <c r="E97" s="1757">
        <f t="shared" si="15"/>
        <v>413.73</v>
      </c>
      <c r="F97" s="1757">
        <f t="shared" si="15"/>
        <v>23774703.229999997</v>
      </c>
      <c r="G97" s="1704">
        <f t="shared" si="15"/>
        <v>9</v>
      </c>
      <c r="H97" s="1696" t="e">
        <f t="shared" ref="H97:I103" si="16">J97/B97</f>
        <v>#REF!</v>
      </c>
      <c r="I97" s="1724" t="e">
        <f t="shared" si="16"/>
        <v>#REF!</v>
      </c>
      <c r="J97" s="1725" t="e">
        <f>J83+J55+J69</f>
        <v>#REF!</v>
      </c>
      <c r="K97" s="1725" t="e">
        <f>K83+K55+K69</f>
        <v>#REF!</v>
      </c>
      <c r="L97" s="1725" t="e">
        <f t="shared" ref="L97:Q97" si="17">L83+L55+L69</f>
        <v>#REF!</v>
      </c>
      <c r="M97" s="1725" t="e">
        <f t="shared" si="17"/>
        <v>#REF!</v>
      </c>
      <c r="N97" s="1725" t="e">
        <f t="shared" si="17"/>
        <v>#REF!</v>
      </c>
      <c r="O97" s="1725" t="e">
        <f t="shared" si="17"/>
        <v>#REF!</v>
      </c>
      <c r="P97" s="1726" t="e">
        <f t="shared" si="17"/>
        <v>#REF!</v>
      </c>
      <c r="Q97" s="1725" t="e">
        <f t="shared" si="17"/>
        <v>#REF!</v>
      </c>
    </row>
    <row r="98" spans="1:17">
      <c r="A98" s="1704" t="s">
        <v>407</v>
      </c>
      <c r="B98" s="1692">
        <f t="shared" si="15"/>
        <v>351.91932773109238</v>
      </c>
      <c r="C98" s="1692">
        <f t="shared" si="15"/>
        <v>19195368.354621846</v>
      </c>
      <c r="D98" s="1704">
        <f t="shared" si="15"/>
        <v>7</v>
      </c>
      <c r="E98" s="1757">
        <f t="shared" si="15"/>
        <v>59.93</v>
      </c>
      <c r="F98" s="1757">
        <f t="shared" si="15"/>
        <v>3305379.22</v>
      </c>
      <c r="G98" s="1704">
        <f t="shared" si="15"/>
        <v>1</v>
      </c>
      <c r="H98" s="1696" t="e">
        <f t="shared" si="16"/>
        <v>#REF!</v>
      </c>
      <c r="I98" s="1724" t="e">
        <f t="shared" si="16"/>
        <v>#REF!</v>
      </c>
      <c r="J98" s="1725" t="e">
        <f t="shared" ref="J98:Q102" si="18">J84+J56+J70</f>
        <v>#REF!</v>
      </c>
      <c r="K98" s="1725" t="e">
        <f t="shared" si="18"/>
        <v>#REF!</v>
      </c>
      <c r="L98" s="1725" t="e">
        <f t="shared" si="18"/>
        <v>#REF!</v>
      </c>
      <c r="M98" s="1725" t="e">
        <f t="shared" si="18"/>
        <v>#REF!</v>
      </c>
      <c r="N98" s="1725" t="e">
        <f t="shared" si="18"/>
        <v>#REF!</v>
      </c>
      <c r="O98" s="1725" t="e">
        <f t="shared" si="18"/>
        <v>#REF!</v>
      </c>
      <c r="P98" s="1726" t="e">
        <f t="shared" si="18"/>
        <v>#REF!</v>
      </c>
      <c r="Q98" s="1725" t="e">
        <f t="shared" si="18"/>
        <v>#REF!</v>
      </c>
    </row>
    <row r="99" spans="1:17">
      <c r="A99" s="1704" t="s">
        <v>77</v>
      </c>
      <c r="B99" s="1692">
        <f t="shared" si="15"/>
        <v>527.1432773109243</v>
      </c>
      <c r="C99" s="1692">
        <f t="shared" si="15"/>
        <v>28944784.39621849</v>
      </c>
      <c r="D99" s="1704">
        <f t="shared" si="15"/>
        <v>10</v>
      </c>
      <c r="E99" s="1757">
        <f t="shared" si="15"/>
        <v>558.51</v>
      </c>
      <c r="F99" s="1757">
        <f t="shared" si="15"/>
        <v>33862011.130000003</v>
      </c>
      <c r="G99" s="1704">
        <f t="shared" si="15"/>
        <v>12</v>
      </c>
      <c r="H99" s="1696" t="e">
        <f t="shared" si="16"/>
        <v>#REF!</v>
      </c>
      <c r="I99" s="1724" t="e">
        <f t="shared" si="16"/>
        <v>#REF!</v>
      </c>
      <c r="J99" s="1725" t="e">
        <f t="shared" si="18"/>
        <v>#REF!</v>
      </c>
      <c r="K99" s="1725" t="e">
        <f t="shared" si="18"/>
        <v>#REF!</v>
      </c>
      <c r="L99" s="1725" t="e">
        <f t="shared" si="18"/>
        <v>#REF!</v>
      </c>
      <c r="M99" s="1725" t="e">
        <f t="shared" si="18"/>
        <v>#REF!</v>
      </c>
      <c r="N99" s="1725" t="e">
        <f t="shared" si="18"/>
        <v>#REF!</v>
      </c>
      <c r="O99" s="1725" t="e">
        <f t="shared" si="18"/>
        <v>#REF!</v>
      </c>
      <c r="P99" s="1726" t="e">
        <f t="shared" si="18"/>
        <v>#REF!</v>
      </c>
      <c r="Q99" s="1725" t="e">
        <f t="shared" si="18"/>
        <v>#REF!</v>
      </c>
    </row>
    <row r="100" spans="1:17">
      <c r="A100" s="1704" t="s">
        <v>471</v>
      </c>
      <c r="B100" s="1692">
        <f t="shared" si="15"/>
        <v>448.54327731092434</v>
      </c>
      <c r="C100" s="1692">
        <f t="shared" si="15"/>
        <v>24459331.596218489</v>
      </c>
      <c r="D100" s="1704">
        <f t="shared" si="15"/>
        <v>9</v>
      </c>
      <c r="E100" s="1757">
        <f t="shared" si="15"/>
        <v>119.42999999999999</v>
      </c>
      <c r="F100" s="1757">
        <f t="shared" si="15"/>
        <v>6925262.2999999998</v>
      </c>
      <c r="G100" s="1704">
        <f t="shared" si="15"/>
        <v>3</v>
      </c>
      <c r="H100" s="1696" t="e">
        <f t="shared" si="16"/>
        <v>#REF!</v>
      </c>
      <c r="I100" s="1724" t="e">
        <f t="shared" si="16"/>
        <v>#REF!</v>
      </c>
      <c r="J100" s="1725" t="e">
        <f t="shared" si="18"/>
        <v>#REF!</v>
      </c>
      <c r="K100" s="1725" t="e">
        <f t="shared" si="18"/>
        <v>#REF!</v>
      </c>
      <c r="L100" s="1725" t="e">
        <f t="shared" si="18"/>
        <v>#REF!</v>
      </c>
      <c r="M100" s="1725" t="e">
        <f t="shared" si="18"/>
        <v>#REF!</v>
      </c>
      <c r="N100" s="1725" t="e">
        <f t="shared" si="18"/>
        <v>#REF!</v>
      </c>
      <c r="O100" s="1725" t="e">
        <f t="shared" si="18"/>
        <v>#REF!</v>
      </c>
      <c r="P100" s="1726" t="e">
        <f t="shared" si="18"/>
        <v>#REF!</v>
      </c>
      <c r="Q100" s="1725" t="e">
        <f t="shared" si="18"/>
        <v>#REF!</v>
      </c>
    </row>
    <row r="101" spans="1:17">
      <c r="A101" s="1704" t="s">
        <v>20</v>
      </c>
      <c r="B101" s="1692">
        <f t="shared" si="15"/>
        <v>487.10756302521008</v>
      </c>
      <c r="C101" s="1692">
        <f t="shared" si="15"/>
        <v>26853789.860504203</v>
      </c>
      <c r="D101" s="1704">
        <f t="shared" si="15"/>
        <v>9</v>
      </c>
      <c r="E101" s="1757">
        <f t="shared" si="15"/>
        <v>578.33000000000004</v>
      </c>
      <c r="F101" s="1757">
        <f t="shared" si="15"/>
        <v>32050914.859999999</v>
      </c>
      <c r="G101" s="1758">
        <f t="shared" si="15"/>
        <v>13</v>
      </c>
      <c r="H101" s="1696" t="e">
        <f t="shared" si="16"/>
        <v>#REF!</v>
      </c>
      <c r="I101" s="1724" t="e">
        <f t="shared" si="16"/>
        <v>#REF!</v>
      </c>
      <c r="J101" s="1725" t="e">
        <f t="shared" si="18"/>
        <v>#REF!</v>
      </c>
      <c r="K101" s="1725" t="e">
        <f t="shared" si="18"/>
        <v>#REF!</v>
      </c>
      <c r="L101" s="1725" t="e">
        <f t="shared" si="18"/>
        <v>#REF!</v>
      </c>
      <c r="M101" s="1725" t="e">
        <f t="shared" si="18"/>
        <v>#REF!</v>
      </c>
      <c r="N101" s="1725" t="e">
        <f t="shared" si="18"/>
        <v>#REF!</v>
      </c>
      <c r="O101" s="1725" t="e">
        <f t="shared" si="18"/>
        <v>#REF!</v>
      </c>
      <c r="P101" s="1726" t="e">
        <f t="shared" si="18"/>
        <v>#REF!</v>
      </c>
      <c r="Q101" s="1725" t="e">
        <f t="shared" si="18"/>
        <v>#REF!</v>
      </c>
    </row>
    <row r="102" spans="1:17">
      <c r="A102" s="1704" t="s">
        <v>63</v>
      </c>
      <c r="B102" s="1692">
        <f>B60+B74+B88</f>
        <v>527.1432773109243</v>
      </c>
      <c r="C102" s="1692">
        <f t="shared" si="15"/>
        <v>28944784.39621849</v>
      </c>
      <c r="D102" s="1704">
        <f t="shared" si="15"/>
        <v>10</v>
      </c>
      <c r="E102" s="1757">
        <f t="shared" si="15"/>
        <v>449.27</v>
      </c>
      <c r="F102" s="1757">
        <f t="shared" si="15"/>
        <v>26148405.07</v>
      </c>
      <c r="G102" s="1758">
        <f t="shared" si="15"/>
        <v>8</v>
      </c>
      <c r="H102" s="1696" t="e">
        <f t="shared" si="16"/>
        <v>#REF!</v>
      </c>
      <c r="I102" s="1724" t="e">
        <f t="shared" si="16"/>
        <v>#REF!</v>
      </c>
      <c r="J102" s="1725" t="e">
        <f t="shared" si="18"/>
        <v>#REF!</v>
      </c>
      <c r="K102" s="1725" t="e">
        <f>K88+K60+K74</f>
        <v>#REF!</v>
      </c>
      <c r="L102" s="1725" t="e">
        <f t="shared" si="18"/>
        <v>#REF!</v>
      </c>
      <c r="M102" s="1725" t="e">
        <f t="shared" si="18"/>
        <v>#REF!</v>
      </c>
      <c r="N102" s="1725" t="e">
        <f t="shared" si="18"/>
        <v>#REF!</v>
      </c>
      <c r="O102" s="1725" t="e">
        <f t="shared" si="18"/>
        <v>#REF!</v>
      </c>
      <c r="P102" s="1726" t="e">
        <f t="shared" si="18"/>
        <v>#REF!</v>
      </c>
      <c r="Q102" s="1725" t="e">
        <f t="shared" si="18"/>
        <v>#REF!</v>
      </c>
    </row>
    <row r="103" spans="1:17" ht="26.25" customHeight="1">
      <c r="A103" s="1686" t="s">
        <v>114</v>
      </c>
      <c r="B103" s="1747">
        <f t="shared" ref="B103:G103" si="19">SUM(B97:B102)</f>
        <v>2869</v>
      </c>
      <c r="C103" s="1747">
        <f t="shared" si="19"/>
        <v>157342843</v>
      </c>
      <c r="D103" s="1747">
        <f t="shared" si="19"/>
        <v>55</v>
      </c>
      <c r="E103" s="1747">
        <f t="shared" si="19"/>
        <v>2179.2000000000003</v>
      </c>
      <c r="F103" s="1747">
        <f t="shared" si="19"/>
        <v>126066675.81</v>
      </c>
      <c r="G103" s="1747">
        <f t="shared" si="19"/>
        <v>46</v>
      </c>
      <c r="H103" s="1727" t="e">
        <f t="shared" si="16"/>
        <v>#REF!</v>
      </c>
      <c r="I103" s="1727" t="e">
        <f t="shared" si="16"/>
        <v>#REF!</v>
      </c>
      <c r="J103" s="1728" t="e">
        <f t="shared" ref="J103:Q103" si="20">SUM(J97:J102)</f>
        <v>#REF!</v>
      </c>
      <c r="K103" s="1728" t="e">
        <f t="shared" si="20"/>
        <v>#REF!</v>
      </c>
      <c r="L103" s="1728" t="e">
        <f t="shared" si="20"/>
        <v>#REF!</v>
      </c>
      <c r="M103" s="1728" t="e">
        <f t="shared" si="20"/>
        <v>#REF!</v>
      </c>
      <c r="N103" s="1728" t="e">
        <f t="shared" si="20"/>
        <v>#REF!</v>
      </c>
      <c r="O103" s="1728" t="e">
        <f t="shared" si="20"/>
        <v>#REF!</v>
      </c>
      <c r="P103" s="1729" t="e">
        <f t="shared" si="20"/>
        <v>#REF!</v>
      </c>
      <c r="Q103" s="1728" t="e">
        <f t="shared" si="20"/>
        <v>#REF!</v>
      </c>
    </row>
    <row r="104" spans="1:17" ht="28.5" customHeight="1">
      <c r="A104" s="1702" t="s">
        <v>115</v>
      </c>
      <c r="B104" s="1703" t="s">
        <v>100</v>
      </c>
      <c r="C104" s="1703" t="s">
        <v>97</v>
      </c>
      <c r="D104" s="1759" t="s">
        <v>95</v>
      </c>
      <c r="E104" s="1690" t="s">
        <v>494</v>
      </c>
      <c r="F104" s="1688" t="s">
        <v>495</v>
      </c>
      <c r="G104" s="1688" t="s">
        <v>496</v>
      </c>
      <c r="H104" s="1295" t="s">
        <v>102</v>
      </c>
      <c r="I104" s="1295" t="s">
        <v>99</v>
      </c>
      <c r="J104" s="1690" t="s">
        <v>101</v>
      </c>
      <c r="K104" s="1688" t="s">
        <v>98</v>
      </c>
      <c r="L104" s="1688" t="s">
        <v>96</v>
      </c>
      <c r="M104" s="1688">
        <v>0</v>
      </c>
      <c r="N104" s="1688">
        <v>1</v>
      </c>
      <c r="O104" s="1688">
        <v>2</v>
      </c>
      <c r="P104" s="1688">
        <v>3</v>
      </c>
      <c r="Q104" s="1688">
        <v>4</v>
      </c>
    </row>
    <row r="105" spans="1:17" ht="15" hidden="1" customHeight="1">
      <c r="A105" s="1704"/>
      <c r="B105" s="1692"/>
      <c r="C105" s="1692"/>
      <c r="D105" s="1704"/>
      <c r="E105" s="1694"/>
      <c r="F105" s="1694"/>
      <c r="G105" s="1705"/>
      <c r="H105" s="1696"/>
      <c r="I105" s="1724"/>
      <c r="J105" s="1730"/>
      <c r="K105" s="1731"/>
      <c r="L105" s="1730"/>
      <c r="M105" s="1730"/>
      <c r="N105" s="1731"/>
      <c r="O105" s="1730"/>
      <c r="P105" s="1732"/>
      <c r="Q105" s="1730"/>
    </row>
    <row r="106" spans="1:17">
      <c r="A106" s="1704" t="s">
        <v>16</v>
      </c>
      <c r="B106" s="1760">
        <f t="shared" ref="B106:G106" si="21">B92+B78+B64</f>
        <v>2205.197058823529</v>
      </c>
      <c r="C106" s="1760">
        <f t="shared" si="21"/>
        <v>121043100.82647058</v>
      </c>
      <c r="D106" s="1692">
        <f t="shared" si="21"/>
        <v>42</v>
      </c>
      <c r="E106" s="1761">
        <f t="shared" si="21"/>
        <v>1709.6599999999996</v>
      </c>
      <c r="F106" s="1760">
        <f t="shared" si="21"/>
        <v>98242179.010000005</v>
      </c>
      <c r="G106" s="1760">
        <f t="shared" si="21"/>
        <v>32</v>
      </c>
      <c r="H106" s="1762">
        <f>E106/B106</f>
        <v>0.77528672240842822</v>
      </c>
      <c r="I106" s="1773">
        <f>F106/C106</f>
        <v>0.81162972808207912</v>
      </c>
      <c r="J106" s="1730"/>
      <c r="K106" s="1730"/>
      <c r="L106" s="1730"/>
      <c r="M106" s="1730">
        <f>COUNTIFS(Июль10[форма опл],$J$54,Июль10[ИМ],$A$64,Июль10[№ дома],"Дом 1")</f>
        <v>0</v>
      </c>
      <c r="N106" s="1730">
        <f>COUNTIFS(Июль10[форма опл],$K$54,Июль10[ИМ],$A$64,Июль10[№ дома],"Дом 1")</f>
        <v>0</v>
      </c>
      <c r="O106" s="1730">
        <f>COUNTIFS(Июль10[форма опл],$L$54,Июль10[ИМ],$A$64,Июль10[№ дома],"Дом 1")</f>
        <v>0</v>
      </c>
      <c r="P106" s="1732">
        <f>COUNTIFS(Июль10[форма опл],$M$54,Июль10[ИМ],$A$64,Июль10[№ дома],"Дом 1")</f>
        <v>0</v>
      </c>
      <c r="Q106" s="1730">
        <f>COUNTIFS(Июль10[форма опл],$N$54,Июль10[ИМ],$A$64,Июль10[№ дома],"Дом 1")</f>
        <v>0</v>
      </c>
    </row>
    <row r="107" spans="1:17">
      <c r="A107" s="1686" t="s">
        <v>114</v>
      </c>
      <c r="B107" s="1763">
        <f t="shared" ref="B107:G107" si="22">SUM(B105:B106)</f>
        <v>2205.197058823529</v>
      </c>
      <c r="C107" s="1763">
        <f t="shared" si="22"/>
        <v>121043100.82647058</v>
      </c>
      <c r="D107" s="1764">
        <f t="shared" si="22"/>
        <v>42</v>
      </c>
      <c r="E107" s="1765">
        <f t="shared" si="22"/>
        <v>1709.6599999999996</v>
      </c>
      <c r="F107" s="1765">
        <f t="shared" si="22"/>
        <v>98242179.010000005</v>
      </c>
      <c r="G107" s="1764">
        <f t="shared" si="22"/>
        <v>32</v>
      </c>
      <c r="H107" s="1766">
        <f>E107/B107</f>
        <v>0.77528672240842822</v>
      </c>
      <c r="I107" s="1766">
        <f>F107/C107</f>
        <v>0.81162972808207912</v>
      </c>
      <c r="J107" s="1768"/>
      <c r="K107" s="1768"/>
      <c r="L107" s="1768"/>
      <c r="M107" s="1768">
        <f>SUM(M105:M106)</f>
        <v>0</v>
      </c>
      <c r="N107" s="1768">
        <f>SUM(N105:N106)</f>
        <v>0</v>
      </c>
      <c r="O107" s="1768">
        <f>SUM(O105:O106)</f>
        <v>0</v>
      </c>
      <c r="P107" s="1769">
        <f>SUM(P105:P106)</f>
        <v>0</v>
      </c>
      <c r="Q107" s="1768">
        <f>SUM(Q105:Q106)</f>
        <v>0</v>
      </c>
    </row>
    <row r="108" spans="1:17" ht="16.5" customHeight="1">
      <c r="N108" s="1721"/>
      <c r="Q108" s="1721"/>
    </row>
    <row r="109" spans="1:17" ht="27.75" customHeight="1">
      <c r="A109" s="1767" t="s">
        <v>497</v>
      </c>
      <c r="B109" s="1767" t="s">
        <v>498</v>
      </c>
      <c r="C109" s="1767" t="s">
        <v>499</v>
      </c>
    </row>
    <row r="110" spans="1:17" ht="15.75" customHeight="1"/>
    <row r="111" spans="1:17" ht="15.75" customHeight="1"/>
    <row r="112" spans="1:17" ht="13.5" customHeight="1"/>
    <row r="114" ht="41.25" customHeight="1"/>
    <row r="115" ht="15.75" customHeight="1"/>
    <row r="116" ht="25.5" customHeight="1"/>
    <row r="117" ht="27.75" customHeight="1"/>
    <row r="118" ht="18.75" customHeight="1"/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5:Q60">
    <sortCondition ref="A55:A60"/>
  </sortState>
  <mergeCells count="4">
    <mergeCell ref="A53:B53"/>
    <mergeCell ref="A67:B67"/>
    <mergeCell ref="A81:B81"/>
    <mergeCell ref="A95:B95"/>
  </mergeCells>
  <dataValidations count="1">
    <dataValidation type="list" allowBlank="1" showInputMessage="1" showErrorMessage="1" sqref="O3:O4 O7:O14 O18:O19 O29:O50" xr:uid="{00000000-0002-0000-0700-000000000000}">
      <formula1>#REF!</formula1>
    </dataValidation>
  </dataValidations>
  <pageMargins left="0.25" right="0.25" top="0.75" bottom="0.75" header="0.3" footer="0.3"/>
  <pageSetup paperSize="9" scale="43"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4"/>
  <dimension ref="B2:F59"/>
  <sheetViews>
    <sheetView topLeftCell="A46" workbookViewId="0">
      <selection activeCell="B22" sqref="B22"/>
    </sheetView>
  </sheetViews>
  <sheetFormatPr defaultColWidth="9" defaultRowHeight="15"/>
  <cols>
    <col min="1" max="1" width="4.140625" customWidth="1"/>
    <col min="2" max="2" width="21.42578125" customWidth="1"/>
    <col min="3" max="3" width="24.5703125" customWidth="1"/>
    <col min="4" max="4" width="22" customWidth="1"/>
    <col min="5" max="5" width="17.7109375" customWidth="1"/>
    <col min="6" max="6" width="20.85546875" customWidth="1"/>
  </cols>
  <sheetData>
    <row r="2" spans="2:6">
      <c r="B2" s="1628" t="s">
        <v>411</v>
      </c>
      <c r="C2" s="1629"/>
      <c r="D2" s="1630" t="s">
        <v>74</v>
      </c>
      <c r="E2" s="1629"/>
      <c r="F2" s="1629"/>
    </row>
    <row r="3" spans="2:6">
      <c r="B3" s="1631" t="s">
        <v>1</v>
      </c>
      <c r="C3" s="1632" t="s">
        <v>100</v>
      </c>
      <c r="D3" s="1632" t="s">
        <v>97</v>
      </c>
      <c r="E3" s="1631" t="s">
        <v>98</v>
      </c>
      <c r="F3" s="1633" t="s">
        <v>99</v>
      </c>
    </row>
    <row r="4" spans="2:6">
      <c r="B4" s="14" t="s">
        <v>73</v>
      </c>
      <c r="C4" s="1634">
        <f>Июль!B57+Август!B55+Сентябрь!B70</f>
        <v>450.21999999999997</v>
      </c>
      <c r="D4" s="1634">
        <f>Июль!C57+Август!C55+Сентябрь!C70</f>
        <v>19798018.850000001</v>
      </c>
      <c r="E4" s="1634">
        <v>0</v>
      </c>
      <c r="F4" s="1635">
        <f t="shared" ref="F4:F10" si="0">E4/D4</f>
        <v>0</v>
      </c>
    </row>
    <row r="5" spans="2:6">
      <c r="B5" s="14" t="s">
        <v>407</v>
      </c>
      <c r="C5" s="1634">
        <f>Июль!B58+Август!B56+Сентябрь!B71</f>
        <v>264.87</v>
      </c>
      <c r="D5" s="1634">
        <f>Июль!C58+Август!C56+Сентябрь!C71</f>
        <v>12096482.925000001</v>
      </c>
      <c r="E5" s="1634">
        <v>0</v>
      </c>
      <c r="F5" s="1635">
        <f t="shared" si="0"/>
        <v>0</v>
      </c>
    </row>
    <row r="6" spans="2:6">
      <c r="B6" s="14" t="s">
        <v>77</v>
      </c>
      <c r="C6" s="1634">
        <f>Июль!B59+Август!B57+Сентябрь!B72</f>
        <v>343.46999999999997</v>
      </c>
      <c r="D6" s="1634">
        <f>Июль!C59+Август!C57+Сентябрь!C72</f>
        <v>16581935.725</v>
      </c>
      <c r="E6" s="1634">
        <v>10560434.9</v>
      </c>
      <c r="F6" s="1635">
        <f t="shared" si="0"/>
        <v>0.6368638182620866</v>
      </c>
    </row>
    <row r="7" spans="2:6">
      <c r="B7" s="14" t="s">
        <v>471</v>
      </c>
      <c r="C7" s="1634">
        <f>Июль!B60+Август!B58+Сентябрь!B73</f>
        <v>264.87</v>
      </c>
      <c r="D7" s="1634">
        <f>Июль!C60+Август!C58+Сентябрь!C73</f>
        <v>12096482.925000001</v>
      </c>
      <c r="E7" s="1634">
        <v>8037768.1799999997</v>
      </c>
      <c r="F7" s="1635">
        <f t="shared" si="0"/>
        <v>0.66447150215772322</v>
      </c>
    </row>
    <row r="8" spans="2:6">
      <c r="B8" s="14" t="s">
        <v>20</v>
      </c>
      <c r="C8" s="1634">
        <f>Июль!B61+Август!B59+Сентябрь!B74</f>
        <v>450.21999999999997</v>
      </c>
      <c r="D8" s="1634">
        <f>Июль!C61+Август!C59+Сентябрь!C74</f>
        <v>19798018.850000001</v>
      </c>
      <c r="E8" s="1634">
        <v>6586845.5099999998</v>
      </c>
      <c r="F8" s="1635">
        <f t="shared" si="0"/>
        <v>0.332702254700601</v>
      </c>
    </row>
    <row r="9" spans="2:6">
      <c r="B9" s="14" t="s">
        <v>63</v>
      </c>
      <c r="C9" s="1634">
        <f>Июль!B62+Август!B60+Сентябрь!B75</f>
        <v>343.46999999999997</v>
      </c>
      <c r="D9" s="1634">
        <f>Июль!C62+Август!C60+Сентябрь!C75</f>
        <v>16581935.725</v>
      </c>
      <c r="E9" s="1634">
        <v>13911416.720000001</v>
      </c>
      <c r="F9" s="1635">
        <f t="shared" si="0"/>
        <v>0.83895010514521828</v>
      </c>
    </row>
    <row r="10" spans="2:6">
      <c r="B10" s="1630" t="s">
        <v>114</v>
      </c>
      <c r="C10" s="1636">
        <f>SUM(C4:C9)</f>
        <v>2117.12</v>
      </c>
      <c r="D10" s="1636">
        <f>SUM(D4:D9)</f>
        <v>96952875</v>
      </c>
      <c r="E10" s="1636">
        <f>SUM(E4:E9)</f>
        <v>39096465.309999995</v>
      </c>
      <c r="F10" s="1637">
        <f t="shared" si="0"/>
        <v>0.40325225332410197</v>
      </c>
    </row>
    <row r="11" spans="2:6">
      <c r="B11" s="1638" t="s">
        <v>115</v>
      </c>
      <c r="C11" s="1639" t="s">
        <v>100</v>
      </c>
      <c r="D11" s="1639" t="s">
        <v>97</v>
      </c>
      <c r="E11" s="1640" t="s">
        <v>98</v>
      </c>
      <c r="F11" s="1633" t="s">
        <v>99</v>
      </c>
    </row>
    <row r="12" spans="2:6" hidden="1">
      <c r="B12" s="1641"/>
      <c r="C12" s="1634"/>
      <c r="D12" s="1634"/>
      <c r="E12" s="1642"/>
      <c r="F12" s="1635" t="e">
        <f>E12/D12</f>
        <v>#DIV/0!</v>
      </c>
    </row>
    <row r="13" spans="2:6">
      <c r="B13" s="1641" t="s">
        <v>16</v>
      </c>
      <c r="C13" s="1634">
        <f>Июль!B66+Август!B64+Сентябрь!B79</f>
        <v>1666.8999999999999</v>
      </c>
      <c r="D13" s="1634">
        <f>Июль!C66+Август!C64+Сентябрь!C79</f>
        <v>77154856.150000006</v>
      </c>
      <c r="E13" s="1634">
        <v>32545706.079999998</v>
      </c>
      <c r="F13" s="1635">
        <f>E13/D13</f>
        <v>0.42182317100982625</v>
      </c>
    </row>
    <row r="14" spans="2:6">
      <c r="B14" s="1630" t="s">
        <v>114</v>
      </c>
      <c r="C14" s="1636">
        <f>SUM(C12:C13)</f>
        <v>1666.8999999999999</v>
      </c>
      <c r="D14" s="1636">
        <f>SUM(D12:D13)</f>
        <v>77154856.150000006</v>
      </c>
      <c r="E14" s="1636">
        <f>SUM(E12:E13)</f>
        <v>32545706.079999998</v>
      </c>
      <c r="F14" s="1637">
        <f>E14/D14</f>
        <v>0.42182317100982625</v>
      </c>
    </row>
    <row r="15" spans="2:6">
      <c r="B15" s="1643"/>
      <c r="C15" s="1644"/>
      <c r="D15" s="1644"/>
      <c r="E15" s="1645"/>
      <c r="F15" s="1646"/>
    </row>
    <row r="16" spans="2:6">
      <c r="B16" s="1628" t="s">
        <v>411</v>
      </c>
      <c r="C16" s="1647"/>
      <c r="D16" s="1636" t="s">
        <v>121</v>
      </c>
      <c r="E16" s="1648"/>
      <c r="F16" s="1649"/>
    </row>
    <row r="17" spans="2:6">
      <c r="B17" s="1631" t="s">
        <v>1</v>
      </c>
      <c r="C17" s="1639" t="s">
        <v>100</v>
      </c>
      <c r="D17" s="1639" t="s">
        <v>97</v>
      </c>
      <c r="E17" s="1640" t="s">
        <v>98</v>
      </c>
      <c r="F17" s="1633" t="s">
        <v>99</v>
      </c>
    </row>
    <row r="18" spans="2:6">
      <c r="B18" s="14" t="s">
        <v>73</v>
      </c>
      <c r="C18" s="1634">
        <f>Июль!B71+Август!B83+Сентябрь!B85</f>
        <v>452.30526826115067</v>
      </c>
      <c r="D18" s="1634">
        <f>Июль!C71+Август!C83+Сентябрь!C85</f>
        <v>25066979.087885462</v>
      </c>
      <c r="E18" s="1634">
        <v>20623494.350000001</v>
      </c>
      <c r="F18" s="1635">
        <f t="shared" ref="F18:F24" si="1">E18/D18</f>
        <v>0.82273553098255314</v>
      </c>
    </row>
    <row r="19" spans="2:6">
      <c r="B19" s="14" t="s">
        <v>407</v>
      </c>
      <c r="C19" s="1634">
        <f>Июль!B72+Август!B84+Сентябрь!B86</f>
        <v>463.56367162249512</v>
      </c>
      <c r="D19" s="1634">
        <f>Июль!C72+Август!C84+Сентябрь!C86</f>
        <v>26458090.31687706</v>
      </c>
      <c r="E19" s="1634">
        <v>14368336.720000001</v>
      </c>
      <c r="F19" s="1635">
        <f t="shared" si="1"/>
        <v>0.54306023405002668</v>
      </c>
    </row>
    <row r="20" spans="2:6">
      <c r="B20" s="14" t="s">
        <v>77</v>
      </c>
      <c r="C20" s="1634">
        <f>Июль!B73+Август!B85+Сентябрь!B87</f>
        <v>403.90707821590172</v>
      </c>
      <c r="D20" s="1634">
        <f>Июль!C73+Август!C85+Сентябрь!C87</f>
        <v>23450554.9326565</v>
      </c>
      <c r="E20" s="1634">
        <v>34487032.060000002</v>
      </c>
      <c r="F20" s="1635">
        <f t="shared" si="1"/>
        <v>1.4706275463005976</v>
      </c>
    </row>
    <row r="21" spans="2:6">
      <c r="B21" s="14" t="s">
        <v>471</v>
      </c>
      <c r="C21" s="1634">
        <f>Июль!B74+Август!B86+Сентябрь!B88</f>
        <v>453.75323206205559</v>
      </c>
      <c r="D21" s="1634">
        <f>Июль!C74+Август!C86+Сентябрь!C88</f>
        <v>25999819.892623924</v>
      </c>
      <c r="E21" s="1634">
        <v>5151548.63</v>
      </c>
      <c r="F21" s="1635">
        <f t="shared" si="1"/>
        <v>0.19813785831114469</v>
      </c>
    </row>
    <row r="22" spans="2:6">
      <c r="B22" s="14" t="s">
        <v>20</v>
      </c>
      <c r="C22" s="1634">
        <f>Июль!B75+Август!B87+Сентябрь!B89</f>
        <v>463.56367162249512</v>
      </c>
      <c r="D22" s="1634">
        <f>Июль!C75+Август!C87+Сентябрь!C89</f>
        <v>26458090.31687706</v>
      </c>
      <c r="E22" s="1634">
        <v>29427101.75</v>
      </c>
      <c r="F22" s="1635">
        <f t="shared" si="1"/>
        <v>1.1122156360328497</v>
      </c>
    </row>
    <row r="23" spans="2:6">
      <c r="B23" s="14" t="s">
        <v>63</v>
      </c>
      <c r="C23" s="1634">
        <f>Июль!B76+Август!B88+Сентябрь!B90</f>
        <v>403.90707821590172</v>
      </c>
      <c r="D23" s="1634">
        <f>Июль!C76+Август!C88+Сентябрь!C90</f>
        <v>23450554.9326565</v>
      </c>
      <c r="E23" s="1634">
        <v>19653735.469999999</v>
      </c>
      <c r="F23" s="1635">
        <f t="shared" si="1"/>
        <v>0.83809255373444613</v>
      </c>
    </row>
    <row r="24" spans="2:6">
      <c r="B24" s="1630" t="s">
        <v>114</v>
      </c>
      <c r="C24" s="1636">
        <f>SUM(C18:C23)</f>
        <v>2641</v>
      </c>
      <c r="D24" s="1636">
        <f>SUM(D18:D23)</f>
        <v>150884089.4795765</v>
      </c>
      <c r="E24" s="1636">
        <f>SUM(E18:E23)</f>
        <v>123711248.97999999</v>
      </c>
      <c r="F24" s="1650">
        <f t="shared" si="1"/>
        <v>0.81990917270800379</v>
      </c>
    </row>
    <row r="25" spans="2:6">
      <c r="B25" s="1638" t="s">
        <v>115</v>
      </c>
      <c r="C25" s="1639" t="s">
        <v>100</v>
      </c>
      <c r="D25" s="1639" t="s">
        <v>97</v>
      </c>
      <c r="E25" s="1640" t="s">
        <v>98</v>
      </c>
      <c r="F25" s="1633" t="s">
        <v>99</v>
      </c>
    </row>
    <row r="26" spans="2:6" hidden="1">
      <c r="B26" s="1641"/>
      <c r="C26" s="1634"/>
      <c r="D26" s="1634"/>
      <c r="E26" s="1642"/>
      <c r="F26" s="1635" t="e">
        <f>E26/D26</f>
        <v>#DIV/0!</v>
      </c>
    </row>
    <row r="27" spans="2:6">
      <c r="B27" s="1641" t="s">
        <v>16</v>
      </c>
      <c r="C27" s="1634">
        <f>Июль!B81+Август!B79+Сентябрь!B93</f>
        <v>1900.9321266968327</v>
      </c>
      <c r="D27" s="1634">
        <f>Июль!C81+Август!C79+Сентябрь!C93</f>
        <v>112008617.71732129</v>
      </c>
      <c r="E27" s="1634">
        <v>101518575.33</v>
      </c>
      <c r="F27" s="1635">
        <f>E27/D27</f>
        <v>0.90634611335178461</v>
      </c>
    </row>
    <row r="28" spans="2:6">
      <c r="B28" s="1641" t="s">
        <v>575</v>
      </c>
      <c r="C28" s="1634"/>
      <c r="D28" s="1634"/>
      <c r="E28" s="1634"/>
      <c r="F28" s="1635"/>
    </row>
    <row r="29" spans="2:6">
      <c r="B29" s="1630" t="s">
        <v>114</v>
      </c>
      <c r="C29" s="1636">
        <f>SUM(C26:C28)</f>
        <v>1900.9321266968327</v>
      </c>
      <c r="D29" s="1636">
        <f>SUM(D26:D28)</f>
        <v>112008617.71732129</v>
      </c>
      <c r="E29" s="1636">
        <f>SUM(E26:E28)</f>
        <v>101518575.33</v>
      </c>
      <c r="F29" s="1650">
        <f>E29/D29</f>
        <v>0.90634611335178461</v>
      </c>
    </row>
    <row r="30" spans="2:6">
      <c r="B30" s="1643"/>
      <c r="C30" s="1651"/>
      <c r="D30" s="1651"/>
      <c r="E30" s="1645"/>
      <c r="F30" s="1646"/>
    </row>
    <row r="31" spans="2:6">
      <c r="B31" s="1628" t="s">
        <v>411</v>
      </c>
      <c r="C31" s="1647"/>
      <c r="D31" s="1636" t="s">
        <v>27</v>
      </c>
      <c r="E31" s="1648"/>
      <c r="F31" s="1649"/>
    </row>
    <row r="32" spans="2:6">
      <c r="B32" s="1631" t="s">
        <v>1</v>
      </c>
      <c r="C32" s="1639" t="s">
        <v>100</v>
      </c>
      <c r="D32" s="1639" t="s">
        <v>97</v>
      </c>
      <c r="E32" s="1640" t="s">
        <v>98</v>
      </c>
      <c r="F32" s="1633" t="s">
        <v>99</v>
      </c>
    </row>
    <row r="33" spans="2:6">
      <c r="B33" s="14" t="s">
        <v>73</v>
      </c>
      <c r="C33" s="1634">
        <f>Июль!B85+Август!B83+Сентябрь!B99</f>
        <v>610.34663865546213</v>
      </c>
      <c r="D33" s="1634">
        <f>Июль!C85+Август!C83+Сентябрь!C99</f>
        <v>34061040.947478995</v>
      </c>
      <c r="E33" s="1634">
        <v>54502412.5</v>
      </c>
      <c r="F33" s="1635">
        <f t="shared" ref="F33:F39" si="2">E33/D33</f>
        <v>1.6001393669688759</v>
      </c>
    </row>
    <row r="34" spans="2:6">
      <c r="B34" s="14" t="s">
        <v>407</v>
      </c>
      <c r="C34" s="1634">
        <f>Июль!B86+Август!B84+Сентябрь!B100</f>
        <v>568.69747899159665</v>
      </c>
      <c r="D34" s="1634">
        <f>Июль!C86+Август!C84+Сентябрь!C100</f>
        <v>32286164.430252101</v>
      </c>
      <c r="E34" s="1634">
        <v>18707241.02</v>
      </c>
      <c r="F34" s="1635">
        <f t="shared" si="2"/>
        <v>0.57941974062646273</v>
      </c>
    </row>
    <row r="35" spans="2:6">
      <c r="B35" s="14" t="s">
        <v>77</v>
      </c>
      <c r="C35" s="1634">
        <f>Июль!B87+Август!B85+Сентябрь!B101</f>
        <v>562.26260504201673</v>
      </c>
      <c r="D35" s="1634">
        <f>Июль!C87+Август!C85+Сентябрь!C101</f>
        <v>31929883.613025211</v>
      </c>
      <c r="E35" s="1634">
        <v>50124943.479999997</v>
      </c>
      <c r="F35" s="1635">
        <f t="shared" si="2"/>
        <v>1.5698442276674145</v>
      </c>
    </row>
    <row r="36" spans="2:6">
      <c r="B36" s="14" t="s">
        <v>471</v>
      </c>
      <c r="C36" s="1634">
        <f>Июль!B88+Август!B86+Сентябрь!B102</f>
        <v>562.26260504201673</v>
      </c>
      <c r="D36" s="1634">
        <f>Июль!C88+Август!C86+Сентябрь!C102</f>
        <v>31929883.613025211</v>
      </c>
      <c r="E36" s="1634">
        <v>11828244.960000001</v>
      </c>
      <c r="F36" s="1635">
        <f t="shared" si="2"/>
        <v>0.37044434935474946</v>
      </c>
    </row>
    <row r="37" spans="2:6">
      <c r="B37" s="14" t="s">
        <v>20</v>
      </c>
      <c r="C37" s="1634">
        <f>Июль!B89+Август!B87+Сентябрь!B103</f>
        <v>615.16806722689068</v>
      </c>
      <c r="D37" s="1634">
        <f>Июль!C89+Август!C87+Сентябрь!C103</f>
        <v>34733439.783193275</v>
      </c>
      <c r="E37" s="1634">
        <v>65349521.009999998</v>
      </c>
      <c r="F37" s="1635">
        <f t="shared" si="2"/>
        <v>1.8814583703172743</v>
      </c>
    </row>
    <row r="38" spans="2:6">
      <c r="B38" s="14" t="s">
        <v>63</v>
      </c>
      <c r="C38" s="1634">
        <f>Июль!B90+Август!B88+Сентябрь!B104</f>
        <v>562.26260504201673</v>
      </c>
      <c r="D38" s="1634">
        <f>Июль!C90+Август!C88+Сентябрь!C104</f>
        <v>31929883.613025211</v>
      </c>
      <c r="E38" s="1634">
        <v>30413269.309999999</v>
      </c>
      <c r="F38" s="1635">
        <f t="shared" si="2"/>
        <v>0.95250172780440279</v>
      </c>
    </row>
    <row r="39" spans="2:6">
      <c r="B39" s="1630" t="s">
        <v>114</v>
      </c>
      <c r="C39" s="1636">
        <f>SUM(C33:C38)</f>
        <v>3480.9999999999995</v>
      </c>
      <c r="D39" s="1636">
        <f>SUM(D33:D38)</f>
        <v>196870296.00000003</v>
      </c>
      <c r="E39" s="1636">
        <f>SUM(E33:E38)</f>
        <v>230925632.28</v>
      </c>
      <c r="F39" s="1650">
        <f t="shared" si="2"/>
        <v>1.1729836190219369</v>
      </c>
    </row>
    <row r="40" spans="2:6">
      <c r="B40" s="1638" t="s">
        <v>115</v>
      </c>
      <c r="C40" s="1639" t="s">
        <v>100</v>
      </c>
      <c r="D40" s="1639" t="s">
        <v>97</v>
      </c>
      <c r="E40" s="1640" t="s">
        <v>98</v>
      </c>
      <c r="F40" s="1633" t="s">
        <v>99</v>
      </c>
    </row>
    <row r="41" spans="2:6" hidden="1">
      <c r="B41" s="1641"/>
      <c r="C41" s="1634"/>
      <c r="D41" s="1634"/>
      <c r="E41" s="1642"/>
      <c r="F41" s="1635" t="e">
        <f>E41/D41</f>
        <v>#DIV/0!</v>
      </c>
    </row>
    <row r="42" spans="2:6">
      <c r="B42" s="1641" t="s">
        <v>16</v>
      </c>
      <c r="C42" s="1634">
        <f>Июль!B94+Август!B92+Сентябрь!B107</f>
        <v>2566.296218487395</v>
      </c>
      <c r="D42" s="1634">
        <f>Июль!C94+Август!C92+Сентябрь!C107</f>
        <v>144810299.12394959</v>
      </c>
      <c r="E42" s="1634">
        <v>144942959.71000001</v>
      </c>
      <c r="F42" s="1635">
        <f>E42/D42</f>
        <v>1.000916099109338</v>
      </c>
    </row>
    <row r="43" spans="2:6">
      <c r="B43" s="1641" t="s">
        <v>575</v>
      </c>
      <c r="C43" s="1634">
        <f>Сентябрь!B108</f>
        <v>89.714285714285708</v>
      </c>
      <c r="D43" s="1634">
        <f>Сентябрь!C108</f>
        <v>5526786.7428571433</v>
      </c>
      <c r="E43" s="1634">
        <v>6686605.5099999998</v>
      </c>
      <c r="F43" s="1635">
        <f>E43/D43</f>
        <v>1.2098540835941995</v>
      </c>
    </row>
    <row r="44" spans="2:6">
      <c r="B44" s="1630" t="s">
        <v>114</v>
      </c>
      <c r="C44" s="1636">
        <f>SUM(C41:C43)</f>
        <v>2656.0105042016808</v>
      </c>
      <c r="D44" s="1636">
        <f>SUM(D41:D43)</f>
        <v>150337085.86680675</v>
      </c>
      <c r="E44" s="1636">
        <f>SUM(E41:E43)</f>
        <v>151629565.22</v>
      </c>
      <c r="F44" s="1650">
        <f>E44/D44</f>
        <v>1.0085972090368862</v>
      </c>
    </row>
    <row r="45" spans="2:6">
      <c r="B45" s="1652"/>
      <c r="C45" s="1653"/>
      <c r="D45" s="1653"/>
      <c r="E45" s="1654"/>
      <c r="F45" s="1655"/>
    </row>
    <row r="46" spans="2:6">
      <c r="B46" s="1628" t="s">
        <v>411</v>
      </c>
      <c r="C46" s="1647"/>
      <c r="D46" s="1636" t="s">
        <v>412</v>
      </c>
      <c r="E46" s="1648"/>
      <c r="F46" s="1649"/>
    </row>
    <row r="47" spans="2:6">
      <c r="B47" s="1631" t="s">
        <v>1</v>
      </c>
      <c r="C47" s="1639" t="s">
        <v>100</v>
      </c>
      <c r="D47" s="1639" t="s">
        <v>97</v>
      </c>
      <c r="E47" s="1640" t="s">
        <v>98</v>
      </c>
      <c r="F47" s="1633" t="s">
        <v>99</v>
      </c>
    </row>
    <row r="48" spans="2:6">
      <c r="B48" s="14" t="s">
        <v>73</v>
      </c>
      <c r="C48" s="1634">
        <f t="shared" ref="C48:E53" si="3">C4+C18+C33</f>
        <v>1512.8719069166127</v>
      </c>
      <c r="D48" s="1634">
        <f t="shared" si="3"/>
        <v>78926038.885364458</v>
      </c>
      <c r="E48" s="1634">
        <f t="shared" si="3"/>
        <v>75125906.849999994</v>
      </c>
      <c r="F48" s="1635">
        <f t="shared" ref="F48:F54" si="4">E48/D48</f>
        <v>0.95185198587143161</v>
      </c>
    </row>
    <row r="49" spans="2:6">
      <c r="B49" s="14" t="s">
        <v>407</v>
      </c>
      <c r="C49" s="1634">
        <f t="shared" si="3"/>
        <v>1297.1311506140919</v>
      </c>
      <c r="D49" s="1634">
        <f t="shared" si="3"/>
        <v>70840737.672129169</v>
      </c>
      <c r="E49" s="1634">
        <f t="shared" si="3"/>
        <v>33075577.740000002</v>
      </c>
      <c r="F49" s="1635">
        <f t="shared" si="4"/>
        <v>0.46690052682798233</v>
      </c>
    </row>
    <row r="50" spans="2:6">
      <c r="B50" s="14" t="s">
        <v>77</v>
      </c>
      <c r="C50" s="1634">
        <f t="shared" si="3"/>
        <v>1309.6396832579185</v>
      </c>
      <c r="D50" s="1634">
        <f t="shared" si="3"/>
        <v>71962374.270681709</v>
      </c>
      <c r="E50" s="1634">
        <f t="shared" si="3"/>
        <v>95172410.439999998</v>
      </c>
      <c r="F50" s="1635">
        <f t="shared" si="4"/>
        <v>1.3225301611369196</v>
      </c>
    </row>
    <row r="51" spans="2:6">
      <c r="B51" s="14" t="s">
        <v>471</v>
      </c>
      <c r="C51" s="1634">
        <f t="shared" si="3"/>
        <v>1280.8858371040724</v>
      </c>
      <c r="D51" s="1634">
        <f t="shared" si="3"/>
        <v>70026186.430649132</v>
      </c>
      <c r="E51" s="1634">
        <f t="shared" si="3"/>
        <v>25017561.77</v>
      </c>
      <c r="F51" s="1635">
        <f t="shared" si="4"/>
        <v>0.35726009147701193</v>
      </c>
    </row>
    <row r="52" spans="2:6">
      <c r="B52" s="14" t="s">
        <v>20</v>
      </c>
      <c r="C52" s="1634">
        <f t="shared" si="3"/>
        <v>1528.9517388493859</v>
      </c>
      <c r="D52" s="1634">
        <f t="shared" si="3"/>
        <v>80989548.950070336</v>
      </c>
      <c r="E52" s="1634">
        <f t="shared" si="3"/>
        <v>101363468.27</v>
      </c>
      <c r="F52" s="1635">
        <f t="shared" si="4"/>
        <v>1.2515623260538231</v>
      </c>
    </row>
    <row r="53" spans="2:6">
      <c r="B53" s="14" t="s">
        <v>63</v>
      </c>
      <c r="C53" s="1634">
        <f t="shared" si="3"/>
        <v>1309.6396832579185</v>
      </c>
      <c r="D53" s="1634">
        <f t="shared" si="3"/>
        <v>71962374.270681709</v>
      </c>
      <c r="E53" s="1634">
        <f t="shared" si="3"/>
        <v>63978421.5</v>
      </c>
      <c r="F53" s="1635">
        <f t="shared" si="4"/>
        <v>0.88905378885012054</v>
      </c>
    </row>
    <row r="54" spans="2:6">
      <c r="B54" s="1630" t="s">
        <v>114</v>
      </c>
      <c r="C54" s="1636">
        <f>SUM(C48:C53)</f>
        <v>8239.119999999999</v>
      </c>
      <c r="D54" s="1636">
        <f>SUM(D48:D53)</f>
        <v>444707260.47957647</v>
      </c>
      <c r="E54" s="1636">
        <f>SUM(E48:E53)</f>
        <v>393733346.56999999</v>
      </c>
      <c r="F54" s="1650">
        <f t="shared" si="4"/>
        <v>0.88537647472945291</v>
      </c>
    </row>
    <row r="55" spans="2:6">
      <c r="B55" s="1638" t="s">
        <v>115</v>
      </c>
      <c r="C55" s="1639" t="s">
        <v>100</v>
      </c>
      <c r="D55" s="1639" t="s">
        <v>97</v>
      </c>
      <c r="E55" s="1640" t="s">
        <v>98</v>
      </c>
      <c r="F55" s="1633" t="s">
        <v>99</v>
      </c>
    </row>
    <row r="56" spans="2:6" hidden="1">
      <c r="B56" s="1641"/>
      <c r="C56" s="1634"/>
      <c r="D56" s="1634"/>
      <c r="E56" s="1642"/>
      <c r="F56" s="1635" t="e">
        <f>E56/D56</f>
        <v>#DIV/0!</v>
      </c>
    </row>
    <row r="57" spans="2:6">
      <c r="B57" s="1641" t="s">
        <v>16</v>
      </c>
      <c r="C57" s="1634">
        <f>C13+C27+C42</f>
        <v>6134.1283451842273</v>
      </c>
      <c r="D57" s="1634">
        <f>D13+D27+D42</f>
        <v>333973772.9912709</v>
      </c>
      <c r="E57" s="1634">
        <f>E13+E27+E42</f>
        <v>279007241.12</v>
      </c>
      <c r="F57" s="1635">
        <f>E57/D57</f>
        <v>0.8354166215539699</v>
      </c>
    </row>
    <row r="58" spans="2:6">
      <c r="B58" s="1641" t="s">
        <v>575</v>
      </c>
      <c r="C58" s="1634">
        <f>C28+C43</f>
        <v>89.714285714285708</v>
      </c>
      <c r="D58" s="1634">
        <f>D28+D43</f>
        <v>5526786.7428571433</v>
      </c>
      <c r="E58" s="1634">
        <f>E28+E43</f>
        <v>6686605.5099999998</v>
      </c>
      <c r="F58" s="1635">
        <f>E58/D58</f>
        <v>1.2098540835941995</v>
      </c>
    </row>
    <row r="59" spans="2:6">
      <c r="B59" s="1630" t="s">
        <v>114</v>
      </c>
      <c r="C59" s="1636">
        <f>SUM(C56:C58)</f>
        <v>6223.8426308985127</v>
      </c>
      <c r="D59" s="1636">
        <f>SUM(D56:D58)</f>
        <v>339500559.73412806</v>
      </c>
      <c r="E59" s="1636">
        <f>SUM(E56:E58)</f>
        <v>285693846.63</v>
      </c>
      <c r="F59" s="1650">
        <f>E59/D59</f>
        <v>0.84151215200862839</v>
      </c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1">
    <pageSetUpPr fitToPage="1"/>
  </sheetPr>
  <dimension ref="A1:U125"/>
  <sheetViews>
    <sheetView topLeftCell="A76" zoomScale="115" zoomScaleNormal="115" workbookViewId="0">
      <selection activeCell="B22" sqref="B22"/>
    </sheetView>
  </sheetViews>
  <sheetFormatPr defaultColWidth="9.140625" defaultRowHeight="12.75"/>
  <cols>
    <col min="1" max="1" width="18.5703125" style="43" customWidth="1"/>
    <col min="2" max="2" width="15.140625" style="930" customWidth="1"/>
    <col min="3" max="3" width="20.28515625" style="930" customWidth="1"/>
    <col min="4" max="4" width="12.85546875" style="43" customWidth="1"/>
    <col min="5" max="5" width="15" style="930" customWidth="1"/>
    <col min="6" max="6" width="17.28515625" style="43" customWidth="1"/>
    <col min="7" max="7" width="13.7109375" style="43" customWidth="1"/>
    <col min="8" max="8" width="15.85546875" style="43" customWidth="1"/>
    <col min="9" max="9" width="15.42578125" style="43" customWidth="1"/>
    <col min="10" max="10" width="9.5703125" style="43" customWidth="1"/>
    <col min="11" max="11" width="18.5703125" style="43" customWidth="1"/>
    <col min="12" max="12" width="21.85546875" style="43" customWidth="1"/>
    <col min="13" max="13" width="13.7109375" style="43" customWidth="1"/>
    <col min="14" max="14" width="9.140625" style="43" customWidth="1"/>
    <col min="15" max="15" width="24.5703125" style="43" customWidth="1"/>
    <col min="16" max="16" width="25.85546875" style="43" customWidth="1"/>
    <col min="17" max="17" width="43.85546875" style="43" customWidth="1"/>
    <col min="18" max="18" width="17.5703125" style="43" customWidth="1"/>
    <col min="19" max="19" width="12.5703125" style="43" customWidth="1"/>
    <col min="20" max="20" width="10.85546875" style="43" customWidth="1"/>
    <col min="21" max="21" width="14.28515625" style="43" customWidth="1"/>
    <col min="22" max="16384" width="9.140625" style="43"/>
  </cols>
  <sheetData>
    <row r="1" spans="1:21">
      <c r="A1" s="2286">
        <v>44469</v>
      </c>
      <c r="B1" s="2287"/>
      <c r="C1" s="2287"/>
      <c r="D1" s="2287"/>
      <c r="E1" s="2287"/>
      <c r="F1" s="2287"/>
      <c r="G1" s="2287"/>
      <c r="H1" s="2287"/>
      <c r="I1" s="2287"/>
      <c r="J1" s="2287"/>
      <c r="K1" s="2287"/>
      <c r="L1" s="2287"/>
      <c r="M1" s="2287"/>
      <c r="N1" s="2287"/>
      <c r="O1" s="2287"/>
      <c r="P1" s="2287"/>
      <c r="Q1" s="2287"/>
      <c r="R1" s="2287"/>
      <c r="S1" s="2287"/>
    </row>
    <row r="2" spans="1:21" s="931" customFormat="1" ht="30" customHeight="1">
      <c r="A2" s="1526" t="s">
        <v>48</v>
      </c>
      <c r="B2" s="1527" t="s">
        <v>52</v>
      </c>
      <c r="C2" s="1527" t="s">
        <v>49</v>
      </c>
      <c r="D2" s="1527" t="s">
        <v>1</v>
      </c>
      <c r="E2" s="1527" t="s">
        <v>53</v>
      </c>
      <c r="F2" s="1528" t="s">
        <v>576</v>
      </c>
      <c r="G2" s="1527" t="s">
        <v>120</v>
      </c>
      <c r="H2" s="1527" t="s">
        <v>3</v>
      </c>
      <c r="I2" s="1545" t="s">
        <v>54</v>
      </c>
      <c r="J2" s="1527" t="s">
        <v>51</v>
      </c>
      <c r="K2" s="1546" t="s">
        <v>55</v>
      </c>
      <c r="L2" s="1527" t="s">
        <v>56</v>
      </c>
      <c r="M2" s="1527" t="s">
        <v>57</v>
      </c>
      <c r="N2" s="1527" t="s">
        <v>58</v>
      </c>
      <c r="O2" s="1547" t="s">
        <v>59</v>
      </c>
      <c r="P2" s="1527" t="s">
        <v>577</v>
      </c>
      <c r="Q2" s="1527" t="s">
        <v>265</v>
      </c>
      <c r="R2" s="1567" t="s">
        <v>62</v>
      </c>
      <c r="S2" s="1568" t="s">
        <v>500</v>
      </c>
      <c r="T2" s="1568" t="s">
        <v>501</v>
      </c>
      <c r="U2" s="1569" t="s">
        <v>578</v>
      </c>
    </row>
    <row r="3" spans="1:21" ht="11.25" customHeight="1">
      <c r="A3" s="1203">
        <v>1</v>
      </c>
      <c r="B3" s="1203">
        <v>314</v>
      </c>
      <c r="C3" s="1203">
        <v>11495</v>
      </c>
      <c r="D3" s="1203" t="s">
        <v>63</v>
      </c>
      <c r="E3" s="1529">
        <v>23.54</v>
      </c>
      <c r="F3" s="1529" t="s">
        <v>9</v>
      </c>
      <c r="G3" s="1203" t="s">
        <v>27</v>
      </c>
      <c r="H3" s="1203" t="s">
        <v>16</v>
      </c>
      <c r="I3" s="1533">
        <v>1523861.9</v>
      </c>
      <c r="J3" s="1203">
        <v>0</v>
      </c>
      <c r="K3" s="1203" t="s">
        <v>65</v>
      </c>
      <c r="L3" s="1203" t="s">
        <v>18</v>
      </c>
      <c r="M3" s="1548">
        <v>44450</v>
      </c>
      <c r="N3" s="1548" t="s">
        <v>17</v>
      </c>
      <c r="O3" s="1549" t="s">
        <v>579</v>
      </c>
      <c r="P3" s="1532" t="s">
        <v>111</v>
      </c>
      <c r="Q3" s="1208" t="s">
        <v>580</v>
      </c>
      <c r="R3" s="1532" t="s">
        <v>63</v>
      </c>
      <c r="S3" s="1532" t="s">
        <v>63</v>
      </c>
      <c r="T3" s="1532" t="s">
        <v>63</v>
      </c>
      <c r="U3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4" spans="1:21" s="1522" customFormat="1" ht="11.25" hidden="1" customHeight="1">
      <c r="A4" s="1530">
        <v>2</v>
      </c>
      <c r="B4" s="1203">
        <v>218</v>
      </c>
      <c r="C4" s="1203">
        <v>15498</v>
      </c>
      <c r="D4" s="1204" t="s">
        <v>20</v>
      </c>
      <c r="E4" s="1529">
        <v>38.22</v>
      </c>
      <c r="F4" s="1531" t="s">
        <v>15</v>
      </c>
      <c r="G4" s="1204" t="s">
        <v>121</v>
      </c>
      <c r="H4" s="1204" t="s">
        <v>84</v>
      </c>
      <c r="I4" s="1533">
        <v>1671990</v>
      </c>
      <c r="J4" s="1203">
        <v>1</v>
      </c>
      <c r="K4" s="1204" t="s">
        <v>130</v>
      </c>
      <c r="L4" s="1204" t="s">
        <v>18</v>
      </c>
      <c r="M4" s="1548">
        <v>44447</v>
      </c>
      <c r="N4" s="1550" t="s">
        <v>17</v>
      </c>
      <c r="O4" s="1551" t="s">
        <v>256</v>
      </c>
      <c r="P4" s="1532" t="s">
        <v>111</v>
      </c>
      <c r="Q4" s="1532" t="s">
        <v>111</v>
      </c>
      <c r="R4" s="1532"/>
      <c r="S4" s="1532"/>
      <c r="T4" s="1571" t="s">
        <v>20</v>
      </c>
      <c r="U4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1461780</v>
      </c>
    </row>
    <row r="5" spans="1:21" s="1522" customFormat="1" ht="11.25" customHeight="1">
      <c r="A5" s="1203">
        <v>3</v>
      </c>
      <c r="B5" s="1203">
        <v>537</v>
      </c>
      <c r="C5" s="1203">
        <v>15501</v>
      </c>
      <c r="D5" s="1204" t="s">
        <v>20</v>
      </c>
      <c r="E5" s="1529">
        <v>37.159999999999997</v>
      </c>
      <c r="F5" s="1531" t="s">
        <v>25</v>
      </c>
      <c r="G5" s="1204" t="s">
        <v>27</v>
      </c>
      <c r="H5" s="1204" t="s">
        <v>16</v>
      </c>
      <c r="I5" s="1552">
        <v>2847906.73</v>
      </c>
      <c r="J5" s="1203">
        <v>1</v>
      </c>
      <c r="K5" s="1204" t="s">
        <v>65</v>
      </c>
      <c r="L5" s="1204" t="s">
        <v>18</v>
      </c>
      <c r="M5" s="1548">
        <v>44450</v>
      </c>
      <c r="N5" s="1550" t="s">
        <v>17</v>
      </c>
      <c r="O5" s="1551" t="s">
        <v>581</v>
      </c>
      <c r="P5" s="1532" t="s">
        <v>111</v>
      </c>
      <c r="Q5" s="1532" t="s">
        <v>111</v>
      </c>
      <c r="R5" s="1572" t="s">
        <v>20</v>
      </c>
      <c r="S5" s="1572" t="s">
        <v>20</v>
      </c>
      <c r="T5" s="1571" t="s">
        <v>20</v>
      </c>
      <c r="U5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2253346.73</v>
      </c>
    </row>
    <row r="6" spans="1:21" s="1523" customFormat="1" ht="11.25" hidden="1" customHeight="1">
      <c r="A6" s="1203">
        <v>4</v>
      </c>
      <c r="B6" s="1203">
        <v>242</v>
      </c>
      <c r="C6" s="1203">
        <v>12087</v>
      </c>
      <c r="D6" s="1203" t="s">
        <v>20</v>
      </c>
      <c r="E6" s="1529">
        <v>23.54</v>
      </c>
      <c r="F6" s="1529" t="s">
        <v>9</v>
      </c>
      <c r="G6" s="1203" t="s">
        <v>27</v>
      </c>
      <c r="H6" s="1203" t="s">
        <v>84</v>
      </c>
      <c r="I6" s="1533">
        <v>1359435</v>
      </c>
      <c r="J6" s="1203">
        <v>0</v>
      </c>
      <c r="K6" s="1203" t="s">
        <v>286</v>
      </c>
      <c r="L6" s="1203" t="s">
        <v>515</v>
      </c>
      <c r="M6" s="1548">
        <v>44456</v>
      </c>
      <c r="N6" s="1548" t="s">
        <v>11</v>
      </c>
      <c r="O6" s="1549" t="s">
        <v>582</v>
      </c>
      <c r="P6" s="1532" t="s">
        <v>111</v>
      </c>
      <c r="Q6" s="1532" t="s">
        <v>111</v>
      </c>
      <c r="R6" s="1532" t="s">
        <v>20</v>
      </c>
      <c r="S6" s="1532" t="s">
        <v>20</v>
      </c>
      <c r="T6" s="1573" t="s">
        <v>20</v>
      </c>
      <c r="U6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1359435</v>
      </c>
    </row>
    <row r="7" spans="1:21" s="1522" customFormat="1" ht="11.25" customHeight="1">
      <c r="A7" s="1530">
        <v>5</v>
      </c>
      <c r="B7" s="1203">
        <v>574</v>
      </c>
      <c r="C7" s="1203">
        <v>14852</v>
      </c>
      <c r="D7" s="1203" t="s">
        <v>20</v>
      </c>
      <c r="E7" s="1529">
        <v>59.93</v>
      </c>
      <c r="F7" s="1529" t="s">
        <v>9</v>
      </c>
      <c r="G7" s="1203" t="s">
        <v>27</v>
      </c>
      <c r="H7" s="1203" t="s">
        <v>16</v>
      </c>
      <c r="I7" s="1533">
        <v>3276636.79</v>
      </c>
      <c r="J7" s="1203">
        <v>2</v>
      </c>
      <c r="K7" s="1203" t="s">
        <v>583</v>
      </c>
      <c r="L7" s="1203" t="s">
        <v>91</v>
      </c>
      <c r="M7" s="1548">
        <v>44450</v>
      </c>
      <c r="N7" s="1548" t="s">
        <v>17</v>
      </c>
      <c r="O7" s="1549" t="s">
        <v>584</v>
      </c>
      <c r="P7" s="1532" t="s">
        <v>111</v>
      </c>
      <c r="Q7" s="1532" t="s">
        <v>111</v>
      </c>
      <c r="R7" s="1532" t="s">
        <v>20</v>
      </c>
      <c r="S7" s="1532" t="s">
        <v>471</v>
      </c>
      <c r="T7" s="1573" t="s">
        <v>20</v>
      </c>
      <c r="U7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3276636.79</v>
      </c>
    </row>
    <row r="8" spans="1:21" s="1522" customFormat="1" ht="11.25" hidden="1" customHeight="1">
      <c r="A8" s="1203">
        <v>6</v>
      </c>
      <c r="B8" s="1203">
        <v>258</v>
      </c>
      <c r="C8" s="1203">
        <v>15841</v>
      </c>
      <c r="D8" s="1204" t="s">
        <v>20</v>
      </c>
      <c r="E8" s="1529">
        <v>23.54</v>
      </c>
      <c r="F8" s="1531" t="s">
        <v>9</v>
      </c>
      <c r="G8" s="1204" t="s">
        <v>27</v>
      </c>
      <c r="H8" s="1204" t="s">
        <v>84</v>
      </c>
      <c r="I8" s="1533">
        <v>1523861.9</v>
      </c>
      <c r="J8" s="1203">
        <v>0</v>
      </c>
      <c r="K8" s="1204" t="s">
        <v>286</v>
      </c>
      <c r="L8" s="1204" t="s">
        <v>91</v>
      </c>
      <c r="M8" s="1548">
        <v>44461</v>
      </c>
      <c r="N8" s="1550" t="s">
        <v>11</v>
      </c>
      <c r="O8" s="1551" t="s">
        <v>585</v>
      </c>
      <c r="P8" s="1532" t="s">
        <v>111</v>
      </c>
      <c r="Q8" s="1532" t="s">
        <v>111</v>
      </c>
      <c r="R8" s="1572" t="s">
        <v>20</v>
      </c>
      <c r="S8" s="1572" t="s">
        <v>20</v>
      </c>
      <c r="T8" s="1571" t="s">
        <v>20</v>
      </c>
      <c r="U8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9" spans="1:21" s="1522" customFormat="1" ht="11.25" customHeight="1">
      <c r="A9" s="1203">
        <v>7</v>
      </c>
      <c r="B9" s="1203">
        <v>324</v>
      </c>
      <c r="C9" s="1203">
        <v>15600</v>
      </c>
      <c r="D9" s="1204" t="s">
        <v>20</v>
      </c>
      <c r="E9" s="1529">
        <v>23.63</v>
      </c>
      <c r="F9" s="1531" t="s">
        <v>15</v>
      </c>
      <c r="G9" s="1204" t="s">
        <v>27</v>
      </c>
      <c r="H9" s="1204" t="s">
        <v>16</v>
      </c>
      <c r="I9" s="1533">
        <v>1659653.05</v>
      </c>
      <c r="J9" s="1203">
        <v>0</v>
      </c>
      <c r="K9" s="1204" t="s">
        <v>583</v>
      </c>
      <c r="L9" s="1204" t="s">
        <v>91</v>
      </c>
      <c r="M9" s="1548">
        <v>44463</v>
      </c>
      <c r="N9" s="1550" t="s">
        <v>17</v>
      </c>
      <c r="O9" s="1551" t="s">
        <v>586</v>
      </c>
      <c r="P9" s="1532" t="s">
        <v>111</v>
      </c>
      <c r="Q9" s="1532" t="s">
        <v>111</v>
      </c>
      <c r="R9" s="1572" t="s">
        <v>20</v>
      </c>
      <c r="S9" s="1572" t="s">
        <v>20</v>
      </c>
      <c r="T9" s="1571" t="s">
        <v>20</v>
      </c>
      <c r="U9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1529688.05</v>
      </c>
    </row>
    <row r="10" spans="1:21" s="1522" customFormat="1" ht="11.25" customHeight="1">
      <c r="A10" s="1530">
        <v>8</v>
      </c>
      <c r="B10" s="1203">
        <v>395</v>
      </c>
      <c r="C10" s="1203">
        <v>15924</v>
      </c>
      <c r="D10" s="1204" t="s">
        <v>20</v>
      </c>
      <c r="E10" s="1529">
        <v>40</v>
      </c>
      <c r="F10" s="1531" t="s">
        <v>15</v>
      </c>
      <c r="G10" s="1204" t="s">
        <v>27</v>
      </c>
      <c r="H10" s="1204" t="s">
        <v>16</v>
      </c>
      <c r="I10" s="1533">
        <v>2751020.8</v>
      </c>
      <c r="J10" s="1203">
        <v>1</v>
      </c>
      <c r="K10" s="1204" t="s">
        <v>583</v>
      </c>
      <c r="L10" s="1204" t="s">
        <v>91</v>
      </c>
      <c r="M10" s="1548">
        <v>44464</v>
      </c>
      <c r="N10" s="1550" t="s">
        <v>17</v>
      </c>
      <c r="O10" s="1551" t="s">
        <v>587</v>
      </c>
      <c r="P10" s="1532" t="s">
        <v>111</v>
      </c>
      <c r="Q10" s="1532" t="s">
        <v>111</v>
      </c>
      <c r="R10" s="1572" t="s">
        <v>20</v>
      </c>
      <c r="S10" s="1572" t="s">
        <v>20</v>
      </c>
      <c r="T10" s="1571" t="s">
        <v>20</v>
      </c>
      <c r="U10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2531020.7999999998</v>
      </c>
    </row>
    <row r="11" spans="1:21" s="1522" customFormat="1" ht="11.25" customHeight="1">
      <c r="A11" s="1203">
        <v>9</v>
      </c>
      <c r="B11" s="1532">
        <v>288</v>
      </c>
      <c r="C11" s="1532">
        <v>16030</v>
      </c>
      <c r="D11" s="1532" t="s">
        <v>20</v>
      </c>
      <c r="E11" s="1533">
        <v>60.24</v>
      </c>
      <c r="F11" s="1532" t="s">
        <v>9</v>
      </c>
      <c r="G11" s="1532" t="s">
        <v>121</v>
      </c>
      <c r="H11" s="1532" t="s">
        <v>16</v>
      </c>
      <c r="I11" s="1533">
        <v>3824294.91</v>
      </c>
      <c r="J11" s="1532">
        <v>2</v>
      </c>
      <c r="K11" s="1532" t="s">
        <v>65</v>
      </c>
      <c r="L11" s="1532" t="s">
        <v>18</v>
      </c>
      <c r="M11" s="1553">
        <v>44469</v>
      </c>
      <c r="N11" s="1532" t="s">
        <v>17</v>
      </c>
      <c r="O11" s="1532" t="s">
        <v>588</v>
      </c>
      <c r="P11" s="1532" t="s">
        <v>111</v>
      </c>
      <c r="Q11" s="1532" t="s">
        <v>111</v>
      </c>
      <c r="R11" s="1532" t="s">
        <v>20</v>
      </c>
      <c r="S11" s="1532" t="s">
        <v>20</v>
      </c>
      <c r="T11" s="1532" t="s">
        <v>20</v>
      </c>
      <c r="U11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3824294.91</v>
      </c>
    </row>
    <row r="12" spans="1:21" s="1522" customFormat="1" ht="11.25" customHeight="1">
      <c r="A12" s="1203">
        <v>10</v>
      </c>
      <c r="B12" s="1203">
        <v>350</v>
      </c>
      <c r="C12" s="1203">
        <v>16028</v>
      </c>
      <c r="D12" s="1204" t="s">
        <v>20</v>
      </c>
      <c r="E12" s="1529">
        <v>59.93</v>
      </c>
      <c r="F12" s="1531" t="s">
        <v>15</v>
      </c>
      <c r="G12" s="1204" t="s">
        <v>27</v>
      </c>
      <c r="H12" s="1204" t="s">
        <v>16</v>
      </c>
      <c r="I12" s="1533">
        <v>4046190.37</v>
      </c>
      <c r="J12" s="1203">
        <v>2</v>
      </c>
      <c r="K12" s="1204" t="s">
        <v>65</v>
      </c>
      <c r="L12" s="1204" t="s">
        <v>91</v>
      </c>
      <c r="M12" s="1548">
        <v>44469</v>
      </c>
      <c r="N12" s="1550" t="s">
        <v>17</v>
      </c>
      <c r="O12" s="1551" t="s">
        <v>589</v>
      </c>
      <c r="P12" s="1532" t="s">
        <v>111</v>
      </c>
      <c r="Q12" s="1532" t="s">
        <v>111</v>
      </c>
      <c r="R12" s="1538" t="s">
        <v>20</v>
      </c>
      <c r="S12" s="1538" t="s">
        <v>20</v>
      </c>
      <c r="T12" s="1574" t="s">
        <v>20</v>
      </c>
      <c r="U12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3716575.3700000006</v>
      </c>
    </row>
    <row r="13" spans="1:21" s="1522" customFormat="1" ht="11.25" hidden="1" customHeight="1">
      <c r="A13" s="1530">
        <v>11</v>
      </c>
      <c r="B13" s="1203">
        <v>736</v>
      </c>
      <c r="C13" s="1203">
        <v>14565</v>
      </c>
      <c r="D13" s="1203" t="s">
        <v>20</v>
      </c>
      <c r="E13" s="1529">
        <v>61.95</v>
      </c>
      <c r="F13" s="1531" t="s">
        <v>15</v>
      </c>
      <c r="G13" s="1203" t="s">
        <v>27</v>
      </c>
      <c r="H13" s="1203" t="s">
        <v>84</v>
      </c>
      <c r="I13" s="1533">
        <v>3901317.6</v>
      </c>
      <c r="J13" s="1203">
        <v>2</v>
      </c>
      <c r="K13" s="1203" t="s">
        <v>130</v>
      </c>
      <c r="L13" s="1203" t="s">
        <v>18</v>
      </c>
      <c r="M13" s="1548">
        <v>44468</v>
      </c>
      <c r="N13" s="1548" t="s">
        <v>17</v>
      </c>
      <c r="O13" s="1549" t="s">
        <v>590</v>
      </c>
      <c r="P13" s="1532" t="s">
        <v>111</v>
      </c>
      <c r="Q13" s="1532" t="s">
        <v>111</v>
      </c>
      <c r="R13" s="1575" t="s">
        <v>20</v>
      </c>
      <c r="S13" s="1575" t="s">
        <v>20</v>
      </c>
      <c r="T13" s="1575" t="s">
        <v>20</v>
      </c>
      <c r="U13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3560592.6</v>
      </c>
    </row>
    <row r="14" spans="1:21" s="1522" customFormat="1" ht="11.25" customHeight="1">
      <c r="A14" s="1203">
        <v>12</v>
      </c>
      <c r="B14" s="1203">
        <v>310</v>
      </c>
      <c r="C14" s="1203">
        <v>16017</v>
      </c>
      <c r="D14" s="1204" t="s">
        <v>20</v>
      </c>
      <c r="E14" s="1529">
        <v>60.24</v>
      </c>
      <c r="F14" s="1531" t="s">
        <v>15</v>
      </c>
      <c r="G14" s="1204" t="s">
        <v>121</v>
      </c>
      <c r="H14" s="1204" t="s">
        <v>16</v>
      </c>
      <c r="I14" s="1533">
        <v>4155614.91</v>
      </c>
      <c r="J14" s="1203">
        <v>2</v>
      </c>
      <c r="K14" s="1204" t="s">
        <v>583</v>
      </c>
      <c r="L14" s="1204" t="s">
        <v>91</v>
      </c>
      <c r="M14" s="1548">
        <v>44468</v>
      </c>
      <c r="N14" s="1550" t="s">
        <v>17</v>
      </c>
      <c r="O14" s="1551" t="s">
        <v>591</v>
      </c>
      <c r="P14" s="1532" t="s">
        <v>111</v>
      </c>
      <c r="Q14" s="1532" t="s">
        <v>111</v>
      </c>
      <c r="R14" s="1572" t="s">
        <v>20</v>
      </c>
      <c r="S14" s="1572" t="s">
        <v>20</v>
      </c>
      <c r="T14" s="1571" t="s">
        <v>20</v>
      </c>
      <c r="U14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3824294.9100000006</v>
      </c>
    </row>
    <row r="15" spans="1:21" ht="11.25" hidden="1" customHeight="1">
      <c r="A15" s="1203">
        <v>13</v>
      </c>
      <c r="B15" s="1203">
        <v>210</v>
      </c>
      <c r="C15" s="1203">
        <v>14548</v>
      </c>
      <c r="D15" s="1203" t="s">
        <v>20</v>
      </c>
      <c r="E15" s="1529">
        <v>23.54</v>
      </c>
      <c r="F15" s="1529" t="s">
        <v>9</v>
      </c>
      <c r="G15" s="1203" t="s">
        <v>27</v>
      </c>
      <c r="H15" s="1203" t="s">
        <v>84</v>
      </c>
      <c r="I15" s="1552">
        <v>1424170</v>
      </c>
      <c r="J15" s="1203">
        <v>0</v>
      </c>
      <c r="K15" s="1203" t="s">
        <v>286</v>
      </c>
      <c r="L15" s="1203" t="s">
        <v>515</v>
      </c>
      <c r="M15" s="1548">
        <v>44442</v>
      </c>
      <c r="N15" s="1548" t="s">
        <v>11</v>
      </c>
      <c r="O15" s="1549" t="s">
        <v>592</v>
      </c>
      <c r="P15" s="1532" t="s">
        <v>111</v>
      </c>
      <c r="Q15" s="1532" t="s">
        <v>111</v>
      </c>
      <c r="R15" s="1576" t="s">
        <v>20</v>
      </c>
      <c r="S15" s="1532" t="s">
        <v>63</v>
      </c>
      <c r="T15" s="1577" t="s">
        <v>73</v>
      </c>
      <c r="U15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1424170</v>
      </c>
    </row>
    <row r="16" spans="1:21" s="1522" customFormat="1" ht="14.25" customHeight="1">
      <c r="A16" s="1530">
        <v>14</v>
      </c>
      <c r="B16" s="1203">
        <v>302</v>
      </c>
      <c r="C16" s="1203">
        <v>15867</v>
      </c>
      <c r="D16" s="1203" t="s">
        <v>63</v>
      </c>
      <c r="E16" s="1529">
        <v>59.93</v>
      </c>
      <c r="F16" s="1529" t="s">
        <v>9</v>
      </c>
      <c r="G16" s="1203" t="s">
        <v>27</v>
      </c>
      <c r="H16" s="1203" t="s">
        <v>16</v>
      </c>
      <c r="I16" s="1552">
        <v>3541834.47</v>
      </c>
      <c r="J16" s="1203">
        <v>2</v>
      </c>
      <c r="K16" s="1203" t="s">
        <v>65</v>
      </c>
      <c r="L16" s="1203" t="s">
        <v>18</v>
      </c>
      <c r="M16" s="1548">
        <v>44464</v>
      </c>
      <c r="N16" s="1548" t="s">
        <v>17</v>
      </c>
      <c r="O16" s="1549" t="s">
        <v>593</v>
      </c>
      <c r="P16" s="1532" t="s">
        <v>111</v>
      </c>
      <c r="Q16" s="1208" t="s">
        <v>594</v>
      </c>
      <c r="R16" s="1532" t="s">
        <v>63</v>
      </c>
      <c r="S16" s="1532" t="s">
        <v>407</v>
      </c>
      <c r="T16" s="1532" t="s">
        <v>73</v>
      </c>
      <c r="U16" s="1552">
        <v>3541834.47</v>
      </c>
    </row>
    <row r="17" spans="1:21" ht="11.25" hidden="1" customHeight="1">
      <c r="A17" s="1203">
        <v>15</v>
      </c>
      <c r="B17" s="1208">
        <v>208</v>
      </c>
      <c r="C17" s="1208">
        <v>13378</v>
      </c>
      <c r="D17" s="1208" t="s">
        <v>63</v>
      </c>
      <c r="E17" s="1208">
        <v>86.58</v>
      </c>
      <c r="F17" s="1208" t="s">
        <v>25</v>
      </c>
      <c r="G17" s="1208" t="s">
        <v>121</v>
      </c>
      <c r="H17" s="1208" t="s">
        <v>16</v>
      </c>
      <c r="I17" s="1208">
        <v>5857509.29</v>
      </c>
      <c r="J17" s="1208">
        <v>3</v>
      </c>
      <c r="K17" s="1208" t="s">
        <v>417</v>
      </c>
      <c r="L17" s="1208" t="s">
        <v>18</v>
      </c>
      <c r="M17" s="1208"/>
      <c r="N17" s="1208" t="s">
        <v>11</v>
      </c>
      <c r="O17" s="1208" t="s">
        <v>595</v>
      </c>
      <c r="P17" s="1532" t="s">
        <v>111</v>
      </c>
      <c r="Q17" s="1208" t="s">
        <v>111</v>
      </c>
      <c r="R17" s="1208"/>
      <c r="S17" s="1208"/>
      <c r="T17" s="1208"/>
      <c r="U17" s="120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4472229.29</v>
      </c>
    </row>
    <row r="18" spans="1:21" ht="11.25" customHeight="1">
      <c r="A18" s="1203">
        <v>16</v>
      </c>
      <c r="B18" s="1203">
        <v>24</v>
      </c>
      <c r="C18" s="1203">
        <v>14979</v>
      </c>
      <c r="D18" s="1203" t="s">
        <v>471</v>
      </c>
      <c r="E18" s="1529">
        <v>78.099999999999994</v>
      </c>
      <c r="F18" s="1529" t="s">
        <v>9</v>
      </c>
      <c r="G18" s="1203" t="s">
        <v>74</v>
      </c>
      <c r="H18" s="1203" t="s">
        <v>16</v>
      </c>
      <c r="I18" s="1533">
        <v>4570500</v>
      </c>
      <c r="J18" s="1203">
        <v>3</v>
      </c>
      <c r="K18" s="1203" t="s">
        <v>65</v>
      </c>
      <c r="L18" s="1203" t="s">
        <v>515</v>
      </c>
      <c r="M18" s="1532"/>
      <c r="N18" s="1548" t="s">
        <v>17</v>
      </c>
      <c r="O18" s="1203" t="s">
        <v>596</v>
      </c>
      <c r="P18" s="1532" t="s">
        <v>111</v>
      </c>
      <c r="Q18" s="1208" t="s">
        <v>111</v>
      </c>
      <c r="R18" s="1532" t="s">
        <v>471</v>
      </c>
      <c r="S18" s="1532" t="s">
        <v>471</v>
      </c>
      <c r="T18" s="1532" t="s">
        <v>471</v>
      </c>
      <c r="U18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4570500</v>
      </c>
    </row>
    <row r="19" spans="1:21" s="1522" customFormat="1" ht="11.25" hidden="1" customHeight="1">
      <c r="A19" s="1530">
        <v>17</v>
      </c>
      <c r="B19" s="1203">
        <v>151</v>
      </c>
      <c r="C19" s="1203">
        <v>6004</v>
      </c>
      <c r="D19" s="1203" t="s">
        <v>77</v>
      </c>
      <c r="E19" s="1529">
        <v>36.86</v>
      </c>
      <c r="F19" s="1529" t="s">
        <v>9</v>
      </c>
      <c r="G19" s="1203" t="s">
        <v>121</v>
      </c>
      <c r="H19" s="1203" t="s">
        <v>84</v>
      </c>
      <c r="I19" s="1533">
        <v>2164095.61</v>
      </c>
      <c r="J19" s="1203">
        <v>1</v>
      </c>
      <c r="K19" s="1203" t="s">
        <v>130</v>
      </c>
      <c r="L19" s="1203" t="s">
        <v>18</v>
      </c>
      <c r="M19" s="1548">
        <v>44459</v>
      </c>
      <c r="N19" s="1548" t="s">
        <v>11</v>
      </c>
      <c r="O19" s="1549" t="s">
        <v>597</v>
      </c>
      <c r="P19" s="1208" t="s">
        <v>111</v>
      </c>
      <c r="Q19" s="1208" t="s">
        <v>598</v>
      </c>
      <c r="R19" s="1575" t="s">
        <v>77</v>
      </c>
      <c r="S19" s="1575" t="s">
        <v>77</v>
      </c>
      <c r="T19" s="1575" t="s">
        <v>77</v>
      </c>
      <c r="U19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2164095.61</v>
      </c>
    </row>
    <row r="20" spans="1:21" s="1522" customFormat="1" ht="11.25" hidden="1" customHeight="1">
      <c r="A20" s="1203">
        <v>18</v>
      </c>
      <c r="B20" s="1203">
        <v>617</v>
      </c>
      <c r="C20" s="1203">
        <v>6027</v>
      </c>
      <c r="D20" s="1203" t="s">
        <v>77</v>
      </c>
      <c r="E20" s="1203">
        <v>37.159999999999997</v>
      </c>
      <c r="F20" s="1203" t="s">
        <v>9</v>
      </c>
      <c r="G20" s="1203" t="s">
        <v>27</v>
      </c>
      <c r="H20" s="1203" t="s">
        <v>84</v>
      </c>
      <c r="I20" s="1552">
        <v>1967860.57</v>
      </c>
      <c r="J20" s="1203">
        <v>1</v>
      </c>
      <c r="K20" s="1203" t="s">
        <v>130</v>
      </c>
      <c r="L20" s="1203" t="s">
        <v>18</v>
      </c>
      <c r="M20" s="1548">
        <v>44459</v>
      </c>
      <c r="N20" s="1548" t="s">
        <v>11</v>
      </c>
      <c r="O20" s="1203" t="s">
        <v>597</v>
      </c>
      <c r="P20" s="1208" t="s">
        <v>111</v>
      </c>
      <c r="Q20" s="1208" t="s">
        <v>598</v>
      </c>
      <c r="R20" s="1575" t="s">
        <v>77</v>
      </c>
      <c r="S20" s="1575" t="s">
        <v>77</v>
      </c>
      <c r="T20" s="1575" t="s">
        <v>77</v>
      </c>
      <c r="U20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1967860.57</v>
      </c>
    </row>
    <row r="21" spans="1:21" s="1522" customFormat="1" ht="11.25" customHeight="1">
      <c r="A21" s="1203">
        <v>19</v>
      </c>
      <c r="B21" s="1203">
        <v>445</v>
      </c>
      <c r="C21" s="1203">
        <v>14171</v>
      </c>
      <c r="D21" s="1203" t="s">
        <v>73</v>
      </c>
      <c r="E21" s="1529">
        <v>37.11</v>
      </c>
      <c r="F21" s="1203" t="s">
        <v>9</v>
      </c>
      <c r="G21" s="1203" t="s">
        <v>27</v>
      </c>
      <c r="H21" s="1532" t="s">
        <v>16</v>
      </c>
      <c r="I21" s="1533">
        <v>2103097.92</v>
      </c>
      <c r="J21" s="1203">
        <v>1</v>
      </c>
      <c r="K21" s="1532" t="s">
        <v>65</v>
      </c>
      <c r="L21" s="1203" t="s">
        <v>12</v>
      </c>
      <c r="M21" s="1553">
        <v>44448</v>
      </c>
      <c r="N21" s="1532" t="s">
        <v>17</v>
      </c>
      <c r="O21" s="1532" t="s">
        <v>599</v>
      </c>
      <c r="P21" s="1208" t="s">
        <v>111</v>
      </c>
      <c r="Q21" s="1208" t="s">
        <v>111</v>
      </c>
      <c r="R21" s="1532" t="s">
        <v>73</v>
      </c>
      <c r="S21" s="1532" t="s">
        <v>73</v>
      </c>
      <c r="T21" s="1575" t="s">
        <v>77</v>
      </c>
      <c r="U21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2103097.92</v>
      </c>
    </row>
    <row r="22" spans="1:21" s="1372" customFormat="1" ht="11.25" customHeight="1">
      <c r="A22" s="1530">
        <v>20</v>
      </c>
      <c r="B22" s="1532">
        <v>262</v>
      </c>
      <c r="C22" s="1532">
        <v>14862</v>
      </c>
      <c r="D22" s="1532" t="s">
        <v>73</v>
      </c>
      <c r="E22" s="1532">
        <v>59.93</v>
      </c>
      <c r="F22" s="1532" t="s">
        <v>15</v>
      </c>
      <c r="G22" s="1532" t="s">
        <v>27</v>
      </c>
      <c r="H22" s="1532" t="s">
        <v>16</v>
      </c>
      <c r="I22" s="1533">
        <v>3692479.08</v>
      </c>
      <c r="J22" s="1532">
        <v>2</v>
      </c>
      <c r="K22" s="1532" t="s">
        <v>65</v>
      </c>
      <c r="L22" s="1532" t="s">
        <v>12</v>
      </c>
      <c r="M22" s="1553">
        <v>44460</v>
      </c>
      <c r="N22" s="1532" t="s">
        <v>17</v>
      </c>
      <c r="O22" s="1532" t="s">
        <v>600</v>
      </c>
      <c r="P22" s="1532" t="s">
        <v>111</v>
      </c>
      <c r="Q22" s="1576" t="s">
        <v>601</v>
      </c>
      <c r="R22" s="1532" t="s">
        <v>73</v>
      </c>
      <c r="S22" s="1532" t="s">
        <v>63</v>
      </c>
      <c r="T22" s="1532" t="s">
        <v>73</v>
      </c>
      <c r="U22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3362864.08</v>
      </c>
    </row>
    <row r="23" spans="1:21" s="1522" customFormat="1" ht="11.25" customHeight="1">
      <c r="A23" s="1203">
        <v>21</v>
      </c>
      <c r="B23" s="1203">
        <v>158</v>
      </c>
      <c r="C23" s="1203">
        <v>15641</v>
      </c>
      <c r="D23" s="1203" t="s">
        <v>63</v>
      </c>
      <c r="E23" s="1529">
        <v>92.2</v>
      </c>
      <c r="F23" s="1203" t="s">
        <v>9</v>
      </c>
      <c r="G23" s="1203" t="s">
        <v>74</v>
      </c>
      <c r="H23" s="1203" t="s">
        <v>16</v>
      </c>
      <c r="I23" s="1554">
        <v>4654348.2</v>
      </c>
      <c r="J23" s="1203">
        <v>3</v>
      </c>
      <c r="K23" s="1532" t="s">
        <v>65</v>
      </c>
      <c r="L23" s="1203" t="s">
        <v>12</v>
      </c>
      <c r="M23" s="1548">
        <v>44469</v>
      </c>
      <c r="N23" s="1532" t="s">
        <v>17</v>
      </c>
      <c r="O23" s="1549" t="s">
        <v>602</v>
      </c>
      <c r="P23" s="1532" t="s">
        <v>111</v>
      </c>
      <c r="Q23" s="1532" t="s">
        <v>111</v>
      </c>
      <c r="R23" s="1532" t="s">
        <v>63</v>
      </c>
      <c r="S23" s="1532" t="s">
        <v>63</v>
      </c>
      <c r="T23" s="1532" t="s">
        <v>63</v>
      </c>
      <c r="U23" s="1578"/>
    </row>
    <row r="24" spans="1:21" ht="11.25" customHeight="1">
      <c r="A24" s="1203">
        <v>22</v>
      </c>
      <c r="B24" s="1203">
        <v>234</v>
      </c>
      <c r="C24" s="1203">
        <v>15245</v>
      </c>
      <c r="D24" s="1203" t="s">
        <v>407</v>
      </c>
      <c r="E24" s="1529">
        <v>24.23</v>
      </c>
      <c r="F24" s="1532" t="s">
        <v>15</v>
      </c>
      <c r="G24" s="1203" t="s">
        <v>121</v>
      </c>
      <c r="H24" s="1203" t="s">
        <v>16</v>
      </c>
      <c r="I24" s="1533">
        <v>1888301.08</v>
      </c>
      <c r="J24" s="1203">
        <v>0</v>
      </c>
      <c r="K24" s="1203" t="s">
        <v>65</v>
      </c>
      <c r="L24" s="1203" t="s">
        <v>18</v>
      </c>
      <c r="M24" s="1548">
        <v>44440</v>
      </c>
      <c r="N24" s="1548" t="s">
        <v>17</v>
      </c>
      <c r="O24" s="1532" t="s">
        <v>603</v>
      </c>
      <c r="P24" s="1532" t="s">
        <v>111</v>
      </c>
      <c r="Q24" s="1532" t="s">
        <v>111</v>
      </c>
      <c r="R24" s="1532" t="s">
        <v>407</v>
      </c>
      <c r="S24" s="1532" t="s">
        <v>407</v>
      </c>
      <c r="T24" s="1532" t="s">
        <v>407</v>
      </c>
      <c r="U24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1755036.08</v>
      </c>
    </row>
    <row r="25" spans="1:21" s="1522" customFormat="1" ht="11.25" customHeight="1">
      <c r="A25" s="1530">
        <v>23</v>
      </c>
      <c r="B25" s="1203">
        <v>326</v>
      </c>
      <c r="C25" s="1203">
        <v>15104</v>
      </c>
      <c r="D25" s="1203" t="s">
        <v>20</v>
      </c>
      <c r="E25" s="1529">
        <v>59.93</v>
      </c>
      <c r="F25" s="1532" t="s">
        <v>15</v>
      </c>
      <c r="G25" s="1203" t="s">
        <v>27</v>
      </c>
      <c r="H25" s="1203" t="s">
        <v>16</v>
      </c>
      <c r="I25" s="1533">
        <v>3634994.22</v>
      </c>
      <c r="J25" s="1203">
        <v>2</v>
      </c>
      <c r="K25" s="1203" t="s">
        <v>65</v>
      </c>
      <c r="L25" s="1203" t="s">
        <v>12</v>
      </c>
      <c r="M25" s="1553">
        <v>44448</v>
      </c>
      <c r="N25" s="1548" t="s">
        <v>17</v>
      </c>
      <c r="O25" s="1532" t="s">
        <v>604</v>
      </c>
      <c r="P25" s="1532" t="s">
        <v>111</v>
      </c>
      <c r="Q25" s="1532" t="s">
        <v>111</v>
      </c>
      <c r="R25" s="1532" t="s">
        <v>20</v>
      </c>
      <c r="S25" s="1532" t="s">
        <v>407</v>
      </c>
      <c r="T25" s="1532" t="s">
        <v>407</v>
      </c>
      <c r="U25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3305379.22</v>
      </c>
    </row>
    <row r="26" spans="1:21" s="1524" customFormat="1" ht="14.25" customHeight="1">
      <c r="A26" s="1203">
        <v>24</v>
      </c>
      <c r="B26" s="1203">
        <v>563</v>
      </c>
      <c r="C26" s="1203">
        <v>13526</v>
      </c>
      <c r="D26" s="1534" t="s">
        <v>77</v>
      </c>
      <c r="E26" s="1529">
        <v>40</v>
      </c>
      <c r="F26" s="1532" t="s">
        <v>15</v>
      </c>
      <c r="G26" s="1203" t="s">
        <v>27</v>
      </c>
      <c r="H26" s="1203" t="s">
        <v>16</v>
      </c>
      <c r="I26" s="1552">
        <v>2244000</v>
      </c>
      <c r="J26" s="1203">
        <v>1</v>
      </c>
      <c r="K26" s="1203" t="s">
        <v>65</v>
      </c>
      <c r="L26" s="1203" t="s">
        <v>18</v>
      </c>
      <c r="M26" s="1548">
        <v>44445</v>
      </c>
      <c r="N26" s="1548" t="s">
        <v>17</v>
      </c>
      <c r="O26" s="1549" t="s">
        <v>605</v>
      </c>
      <c r="P26" s="1208" t="s">
        <v>111</v>
      </c>
      <c r="Q26" s="1208" t="s">
        <v>111</v>
      </c>
      <c r="R26" s="1208" t="s">
        <v>77</v>
      </c>
      <c r="S26" s="1203" t="s">
        <v>20</v>
      </c>
      <c r="T26" s="1208" t="s">
        <v>77</v>
      </c>
      <c r="U26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2024000</v>
      </c>
    </row>
    <row r="27" spans="1:21">
      <c r="A27" s="1203">
        <v>25</v>
      </c>
      <c r="B27" s="1203">
        <v>194</v>
      </c>
      <c r="C27" s="1203">
        <v>15244</v>
      </c>
      <c r="D27" s="1203" t="s">
        <v>471</v>
      </c>
      <c r="E27" s="1529">
        <v>25.85</v>
      </c>
      <c r="F27" s="1532" t="s">
        <v>25</v>
      </c>
      <c r="G27" s="1203" t="s">
        <v>121</v>
      </c>
      <c r="H27" s="1203" t="s">
        <v>16</v>
      </c>
      <c r="I27" s="1533">
        <v>2230084.67</v>
      </c>
      <c r="J27" s="1203">
        <v>0</v>
      </c>
      <c r="K27" s="1203" t="s">
        <v>65</v>
      </c>
      <c r="L27" s="1203" t="s">
        <v>18</v>
      </c>
      <c r="M27" s="1553">
        <v>44440</v>
      </c>
      <c r="N27" s="1548" t="s">
        <v>17</v>
      </c>
      <c r="O27" s="1532" t="s">
        <v>606</v>
      </c>
      <c r="P27" s="1532" t="s">
        <v>111</v>
      </c>
      <c r="Q27" s="1208" t="s">
        <v>111</v>
      </c>
      <c r="R27" s="1532" t="s">
        <v>471</v>
      </c>
      <c r="S27" s="1532" t="s">
        <v>471</v>
      </c>
      <c r="T27" s="1532" t="s">
        <v>471</v>
      </c>
      <c r="U27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1816484.67</v>
      </c>
    </row>
    <row r="28" spans="1:21">
      <c r="A28" s="1530">
        <v>26</v>
      </c>
      <c r="B28" s="1203">
        <v>538</v>
      </c>
      <c r="C28" s="1529">
        <v>14610</v>
      </c>
      <c r="D28" s="1203" t="s">
        <v>73</v>
      </c>
      <c r="E28" s="1529">
        <v>23.54</v>
      </c>
      <c r="F28" s="1532" t="s">
        <v>15</v>
      </c>
      <c r="G28" s="1203" t="s">
        <v>27</v>
      </c>
      <c r="H28" s="1203" t="s">
        <v>16</v>
      </c>
      <c r="I28" s="1533">
        <v>1653331.9</v>
      </c>
      <c r="J28" s="1203">
        <v>0</v>
      </c>
      <c r="K28" s="1203" t="s">
        <v>65</v>
      </c>
      <c r="L28" s="1203" t="s">
        <v>18</v>
      </c>
      <c r="M28" s="1553">
        <v>44456</v>
      </c>
      <c r="N28" s="1548" t="s">
        <v>11</v>
      </c>
      <c r="O28" s="1532" t="s">
        <v>607</v>
      </c>
      <c r="P28" s="1532" t="s">
        <v>111</v>
      </c>
      <c r="Q28" s="1208" t="s">
        <v>608</v>
      </c>
      <c r="R28" s="1532" t="s">
        <v>73</v>
      </c>
      <c r="S28" s="1532" t="s">
        <v>73</v>
      </c>
      <c r="T28" s="1532" t="s">
        <v>73</v>
      </c>
      <c r="U28" s="1578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29" spans="1:21" s="1525" customFormat="1" hidden="1">
      <c r="A29" s="1203">
        <v>27</v>
      </c>
      <c r="B29" s="1204">
        <v>267</v>
      </c>
      <c r="C29" s="1204">
        <v>10492</v>
      </c>
      <c r="D29" s="1204" t="s">
        <v>20</v>
      </c>
      <c r="E29" s="1204">
        <v>40</v>
      </c>
      <c r="F29" s="1204" t="s">
        <v>9</v>
      </c>
      <c r="G29" s="1204" t="s">
        <v>27</v>
      </c>
      <c r="H29" s="1204" t="s">
        <v>84</v>
      </c>
      <c r="I29" s="1531">
        <v>2252800</v>
      </c>
      <c r="J29" s="1204">
        <v>1</v>
      </c>
      <c r="K29" s="1204" t="s">
        <v>514</v>
      </c>
      <c r="L29" s="1204" t="s">
        <v>91</v>
      </c>
      <c r="M29" s="1550">
        <v>44445</v>
      </c>
      <c r="N29" s="1551" t="s">
        <v>11</v>
      </c>
      <c r="O29" s="1204" t="s">
        <v>609</v>
      </c>
      <c r="P29" s="1532" t="s">
        <v>111</v>
      </c>
      <c r="Q29" s="1532" t="s">
        <v>111</v>
      </c>
      <c r="R29" s="1572" t="s">
        <v>20</v>
      </c>
      <c r="S29" s="1572" t="s">
        <v>20</v>
      </c>
      <c r="T29" s="1572" t="s">
        <v>20</v>
      </c>
      <c r="U29" s="1579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2252800</v>
      </c>
    </row>
    <row r="30" spans="1:21" s="545" customFormat="1" ht="12.75" hidden="1" customHeight="1">
      <c r="A30" s="1203">
        <v>28</v>
      </c>
      <c r="B30" s="1203">
        <v>200</v>
      </c>
      <c r="C30" s="1203">
        <v>14328</v>
      </c>
      <c r="D30" s="1203" t="s">
        <v>63</v>
      </c>
      <c r="E30" s="1529">
        <v>87.6</v>
      </c>
      <c r="F30" s="1203" t="s">
        <v>9</v>
      </c>
      <c r="G30" s="1203" t="s">
        <v>74</v>
      </c>
      <c r="H30" s="1203" t="s">
        <v>16</v>
      </c>
      <c r="I30" s="1552">
        <v>4644252</v>
      </c>
      <c r="J30" s="1203">
        <v>3</v>
      </c>
      <c r="K30" s="1203" t="s">
        <v>417</v>
      </c>
      <c r="L30" s="1203" t="s">
        <v>12</v>
      </c>
      <c r="M30" s="1555">
        <v>44469</v>
      </c>
      <c r="N30" s="1548" t="s">
        <v>11</v>
      </c>
      <c r="O30" s="1203" t="s">
        <v>610</v>
      </c>
      <c r="P30" s="1532" t="s">
        <v>111</v>
      </c>
      <c r="Q30" s="1208" t="s">
        <v>611</v>
      </c>
      <c r="R30" s="1203" t="s">
        <v>63</v>
      </c>
      <c r="S30" s="1203" t="s">
        <v>63</v>
      </c>
      <c r="T30" s="1203" t="s">
        <v>63</v>
      </c>
      <c r="U30" s="158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4644252</v>
      </c>
    </row>
    <row r="31" spans="1:21">
      <c r="A31" s="1530">
        <v>29</v>
      </c>
      <c r="B31" s="1534">
        <v>3</v>
      </c>
      <c r="C31" s="1534">
        <v>10080</v>
      </c>
      <c r="D31" s="1534" t="s">
        <v>77</v>
      </c>
      <c r="E31" s="1535">
        <v>69.2</v>
      </c>
      <c r="F31" s="1536" t="s">
        <v>9</v>
      </c>
      <c r="G31" s="1534" t="s">
        <v>74</v>
      </c>
      <c r="H31" s="1534" t="s">
        <v>16</v>
      </c>
      <c r="I31" s="1556">
        <v>3629678.4</v>
      </c>
      <c r="J31" s="1539">
        <v>2</v>
      </c>
      <c r="K31" s="1534" t="s">
        <v>65</v>
      </c>
      <c r="L31" s="1534" t="s">
        <v>91</v>
      </c>
      <c r="M31" s="1557">
        <v>44448</v>
      </c>
      <c r="N31" s="1558" t="s">
        <v>17</v>
      </c>
      <c r="O31" s="1558" t="s">
        <v>612</v>
      </c>
      <c r="P31" s="1208" t="s">
        <v>111</v>
      </c>
      <c r="Q31" s="1208" t="s">
        <v>111</v>
      </c>
      <c r="R31" s="1575" t="s">
        <v>77</v>
      </c>
      <c r="S31" s="1536" t="s">
        <v>407</v>
      </c>
      <c r="T31" s="1536" t="s">
        <v>407</v>
      </c>
      <c r="U31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3629678.4000000004</v>
      </c>
    </row>
    <row r="32" spans="1:21" s="1522" customFormat="1" ht="18.75" customHeight="1">
      <c r="A32" s="1203">
        <v>30</v>
      </c>
      <c r="B32" s="1534">
        <v>289</v>
      </c>
      <c r="C32" s="1534">
        <v>15284</v>
      </c>
      <c r="D32" s="1534" t="s">
        <v>407</v>
      </c>
      <c r="E32" s="1535">
        <v>37.159999999999997</v>
      </c>
      <c r="F32" s="1536" t="s">
        <v>9</v>
      </c>
      <c r="G32" s="1534" t="s">
        <v>27</v>
      </c>
      <c r="H32" s="1534" t="s">
        <v>16</v>
      </c>
      <c r="I32" s="1556">
        <v>2197493.7599999998</v>
      </c>
      <c r="J32" s="1539">
        <v>1</v>
      </c>
      <c r="K32" s="1534" t="s">
        <v>65</v>
      </c>
      <c r="L32" s="1534" t="s">
        <v>91</v>
      </c>
      <c r="M32" s="1557">
        <v>44448</v>
      </c>
      <c r="N32" s="1558" t="s">
        <v>17</v>
      </c>
      <c r="O32" s="1558" t="s">
        <v>613</v>
      </c>
      <c r="P32" s="1208" t="s">
        <v>111</v>
      </c>
      <c r="Q32" s="1208" t="s">
        <v>111</v>
      </c>
      <c r="R32" s="1575" t="s">
        <v>407</v>
      </c>
      <c r="S32" s="1536" t="s">
        <v>407</v>
      </c>
      <c r="T32" s="1536" t="s">
        <v>407</v>
      </c>
      <c r="U32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2197493.7599999998</v>
      </c>
    </row>
    <row r="33" spans="1:21" s="1522" customFormat="1">
      <c r="A33" s="1203">
        <v>31</v>
      </c>
      <c r="B33" s="1534">
        <v>84</v>
      </c>
      <c r="C33" s="1534">
        <v>15439</v>
      </c>
      <c r="D33" s="1534" t="s">
        <v>407</v>
      </c>
      <c r="E33" s="1535">
        <v>58.17</v>
      </c>
      <c r="F33" s="1536" t="s">
        <v>9</v>
      </c>
      <c r="G33" s="1534" t="s">
        <v>121</v>
      </c>
      <c r="H33" s="1534" t="s">
        <v>614</v>
      </c>
      <c r="I33" s="1556">
        <v>3394247.01</v>
      </c>
      <c r="J33" s="1539">
        <v>2</v>
      </c>
      <c r="K33" s="1559" t="s">
        <v>583</v>
      </c>
      <c r="L33" s="1534" t="s">
        <v>515</v>
      </c>
      <c r="M33" s="1534"/>
      <c r="N33" s="1558" t="s">
        <v>17</v>
      </c>
      <c r="O33" s="1558" t="s">
        <v>615</v>
      </c>
      <c r="P33" s="1208" t="s">
        <v>111</v>
      </c>
      <c r="Q33" s="1575" t="s">
        <v>616</v>
      </c>
      <c r="R33" s="1575" t="s">
        <v>407</v>
      </c>
      <c r="S33" s="1536" t="s">
        <v>407</v>
      </c>
      <c r="T33" s="1536" t="s">
        <v>407</v>
      </c>
      <c r="U33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3394247.01</v>
      </c>
    </row>
    <row r="34" spans="1:21" hidden="1">
      <c r="A34" s="1530">
        <v>32</v>
      </c>
      <c r="B34" s="1534">
        <v>274</v>
      </c>
      <c r="C34" s="1534">
        <v>14885</v>
      </c>
      <c r="D34" s="1534" t="s">
        <v>77</v>
      </c>
      <c r="E34" s="1535">
        <v>23.54</v>
      </c>
      <c r="F34" s="1536" t="s">
        <v>9</v>
      </c>
      <c r="G34" s="1534" t="s">
        <v>27</v>
      </c>
      <c r="H34" s="1534" t="s">
        <v>84</v>
      </c>
      <c r="I34" s="1556">
        <v>1424170</v>
      </c>
      <c r="J34" s="1539">
        <v>0</v>
      </c>
      <c r="K34" s="1534" t="s">
        <v>286</v>
      </c>
      <c r="L34" s="1534" t="s">
        <v>91</v>
      </c>
      <c r="M34" s="1558">
        <v>44442</v>
      </c>
      <c r="N34" s="1558" t="s">
        <v>11</v>
      </c>
      <c r="O34" s="1558" t="s">
        <v>617</v>
      </c>
      <c r="P34" s="1536" t="s">
        <v>111</v>
      </c>
      <c r="Q34" s="1536" t="s">
        <v>618</v>
      </c>
      <c r="R34" s="1575" t="s">
        <v>77</v>
      </c>
      <c r="S34" s="1536" t="s">
        <v>407</v>
      </c>
      <c r="T34" s="1575" t="s">
        <v>77</v>
      </c>
      <c r="U34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1424170</v>
      </c>
    </row>
    <row r="35" spans="1:21" s="1522" customFormat="1">
      <c r="A35" s="1203">
        <v>33</v>
      </c>
      <c r="B35" s="1534">
        <v>27</v>
      </c>
      <c r="C35" s="1534">
        <v>15472</v>
      </c>
      <c r="D35" s="1534" t="s">
        <v>77</v>
      </c>
      <c r="E35" s="1535">
        <v>59.96</v>
      </c>
      <c r="F35" s="1536" t="s">
        <v>15</v>
      </c>
      <c r="G35" s="1203" t="s">
        <v>121</v>
      </c>
      <c r="H35" s="1534" t="s">
        <v>16</v>
      </c>
      <c r="I35" s="1556">
        <v>4187558.43</v>
      </c>
      <c r="J35" s="1539">
        <v>2</v>
      </c>
      <c r="K35" s="1534" t="s">
        <v>65</v>
      </c>
      <c r="L35" s="1534" t="s">
        <v>91</v>
      </c>
      <c r="M35" s="1557">
        <v>44446</v>
      </c>
      <c r="N35" s="1558" t="s">
        <v>17</v>
      </c>
      <c r="O35" s="1558" t="s">
        <v>619</v>
      </c>
      <c r="P35" s="1208" t="s">
        <v>111</v>
      </c>
      <c r="Q35" s="1208" t="s">
        <v>111</v>
      </c>
      <c r="R35" s="1575" t="s">
        <v>77</v>
      </c>
      <c r="S35" s="1538" t="s">
        <v>73</v>
      </c>
      <c r="T35" s="1575" t="s">
        <v>77</v>
      </c>
      <c r="U35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3857778.43</v>
      </c>
    </row>
    <row r="36" spans="1:21" s="1522" customFormat="1" hidden="1">
      <c r="A36" s="1203">
        <v>34</v>
      </c>
      <c r="B36" s="1534">
        <v>426</v>
      </c>
      <c r="C36" s="1534">
        <v>14221</v>
      </c>
      <c r="D36" s="1537" t="s">
        <v>73</v>
      </c>
      <c r="E36" s="1535">
        <v>23.54</v>
      </c>
      <c r="F36" s="1538" t="s">
        <v>9</v>
      </c>
      <c r="G36" s="1537" t="s">
        <v>27</v>
      </c>
      <c r="H36" s="1537" t="s">
        <v>84</v>
      </c>
      <c r="I36" s="1556">
        <v>1424170</v>
      </c>
      <c r="J36" s="1539">
        <v>0</v>
      </c>
      <c r="K36" s="1537" t="s">
        <v>286</v>
      </c>
      <c r="L36" s="1537" t="s">
        <v>91</v>
      </c>
      <c r="M36" s="1558">
        <v>44448</v>
      </c>
      <c r="N36" s="1560" t="s">
        <v>11</v>
      </c>
      <c r="O36" s="1560" t="s">
        <v>620</v>
      </c>
      <c r="P36" s="1208" t="s">
        <v>111</v>
      </c>
      <c r="Q36" s="1208" t="s">
        <v>111</v>
      </c>
      <c r="R36" s="1581" t="s">
        <v>73</v>
      </c>
      <c r="S36" s="1538" t="s">
        <v>73</v>
      </c>
      <c r="T36" s="1538" t="s">
        <v>73</v>
      </c>
      <c r="U36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1424170</v>
      </c>
    </row>
    <row r="37" spans="1:21" s="1522" customFormat="1" hidden="1">
      <c r="A37" s="1530">
        <v>35</v>
      </c>
      <c r="B37" s="1534">
        <v>532</v>
      </c>
      <c r="C37" s="1534">
        <v>15313</v>
      </c>
      <c r="D37" s="1537" t="s">
        <v>73</v>
      </c>
      <c r="E37" s="1535">
        <v>23.63</v>
      </c>
      <c r="F37" s="1538" t="s">
        <v>9</v>
      </c>
      <c r="G37" s="1537" t="s">
        <v>27</v>
      </c>
      <c r="H37" s="1537" t="s">
        <v>84</v>
      </c>
      <c r="I37" s="1556">
        <v>1429615</v>
      </c>
      <c r="J37" s="1539">
        <v>0</v>
      </c>
      <c r="K37" s="1537" t="s">
        <v>514</v>
      </c>
      <c r="L37" s="1537" t="s">
        <v>91</v>
      </c>
      <c r="M37" s="1558">
        <v>44448</v>
      </c>
      <c r="N37" s="1560" t="s">
        <v>11</v>
      </c>
      <c r="O37" s="1560" t="s">
        <v>620</v>
      </c>
      <c r="P37" s="1208" t="s">
        <v>111</v>
      </c>
      <c r="Q37" s="1208" t="s">
        <v>111</v>
      </c>
      <c r="R37" s="1581" t="s">
        <v>73</v>
      </c>
      <c r="S37" s="1538" t="s">
        <v>73</v>
      </c>
      <c r="T37" s="1538" t="s">
        <v>73</v>
      </c>
      <c r="U37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1429615</v>
      </c>
    </row>
    <row r="38" spans="1:21">
      <c r="A38" s="1203">
        <v>36</v>
      </c>
      <c r="B38" s="1534">
        <v>18</v>
      </c>
      <c r="C38" s="1539">
        <v>15392</v>
      </c>
      <c r="D38" s="1534" t="s">
        <v>77</v>
      </c>
      <c r="E38" s="1535">
        <v>36.86</v>
      </c>
      <c r="F38" s="1536" t="s">
        <v>25</v>
      </c>
      <c r="G38" s="1203" t="s">
        <v>121</v>
      </c>
      <c r="H38" s="1534" t="s">
        <v>16</v>
      </c>
      <c r="I38" s="1556">
        <v>3087325.61</v>
      </c>
      <c r="J38" s="1539">
        <v>1</v>
      </c>
      <c r="K38" s="1534" t="s">
        <v>65</v>
      </c>
      <c r="L38" s="1534" t="s">
        <v>91</v>
      </c>
      <c r="M38" s="1557">
        <v>44449</v>
      </c>
      <c r="N38" s="1558" t="s">
        <v>17</v>
      </c>
      <c r="O38" s="1558" t="s">
        <v>621</v>
      </c>
      <c r="P38" s="1208" t="s">
        <v>111</v>
      </c>
      <c r="Q38" s="1575" t="s">
        <v>622</v>
      </c>
      <c r="R38" s="1575" t="s">
        <v>77</v>
      </c>
      <c r="S38" s="1575" t="s">
        <v>77</v>
      </c>
      <c r="T38" s="1575" t="s">
        <v>77</v>
      </c>
      <c r="U38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2497565.61</v>
      </c>
    </row>
    <row r="39" spans="1:21" s="1522" customFormat="1">
      <c r="A39" s="1203">
        <v>37</v>
      </c>
      <c r="B39" s="1534">
        <v>575</v>
      </c>
      <c r="C39" s="1534">
        <v>11472</v>
      </c>
      <c r="D39" s="1534" t="s">
        <v>77</v>
      </c>
      <c r="E39" s="1535">
        <v>55.8</v>
      </c>
      <c r="F39" s="1538" t="s">
        <v>9</v>
      </c>
      <c r="G39" s="1534" t="s">
        <v>27</v>
      </c>
      <c r="H39" s="1534" t="s">
        <v>16</v>
      </c>
      <c r="I39" s="1556">
        <v>3394225.61</v>
      </c>
      <c r="J39" s="1539">
        <v>1</v>
      </c>
      <c r="K39" s="1534" t="s">
        <v>65</v>
      </c>
      <c r="L39" s="1534" t="s">
        <v>91</v>
      </c>
      <c r="M39" s="1557">
        <v>44448</v>
      </c>
      <c r="N39" s="1558" t="s">
        <v>17</v>
      </c>
      <c r="O39" s="1558" t="s">
        <v>623</v>
      </c>
      <c r="P39" s="1208" t="s">
        <v>111</v>
      </c>
      <c r="Q39" s="1575" t="s">
        <v>624</v>
      </c>
      <c r="R39" s="1575" t="s">
        <v>77</v>
      </c>
      <c r="S39" s="1575" t="s">
        <v>77</v>
      </c>
      <c r="T39" s="1575" t="s">
        <v>77</v>
      </c>
      <c r="U39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3394225.61</v>
      </c>
    </row>
    <row r="40" spans="1:21" s="1522" customFormat="1">
      <c r="A40" s="1530">
        <v>38</v>
      </c>
      <c r="B40" s="1203">
        <v>129</v>
      </c>
      <c r="C40" s="1203">
        <v>6720</v>
      </c>
      <c r="D40" s="1203" t="s">
        <v>73</v>
      </c>
      <c r="E40" s="1529">
        <v>76.56</v>
      </c>
      <c r="F40" s="1536" t="s">
        <v>15</v>
      </c>
      <c r="G40" s="1203" t="s">
        <v>121</v>
      </c>
      <c r="H40" s="1203" t="s">
        <v>16</v>
      </c>
      <c r="I40" s="1556">
        <v>5128683.96</v>
      </c>
      <c r="J40" s="1540">
        <v>3</v>
      </c>
      <c r="K40" s="1203" t="s">
        <v>65</v>
      </c>
      <c r="L40" s="1203" t="s">
        <v>12</v>
      </c>
      <c r="M40" s="1548">
        <v>44459</v>
      </c>
      <c r="N40" s="1548" t="s">
        <v>17</v>
      </c>
      <c r="O40" s="1558" t="s">
        <v>625</v>
      </c>
      <c r="P40" s="1208" t="s">
        <v>111</v>
      </c>
      <c r="Q40" s="1208" t="s">
        <v>111</v>
      </c>
      <c r="R40" s="1575" t="s">
        <v>73</v>
      </c>
      <c r="S40" s="1575" t="s">
        <v>73</v>
      </c>
      <c r="T40" s="1575" t="s">
        <v>77</v>
      </c>
      <c r="U40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4707603.9600000009</v>
      </c>
    </row>
    <row r="41" spans="1:21" ht="15" hidden="1" customHeight="1">
      <c r="A41" s="1203">
        <v>39</v>
      </c>
      <c r="B41" s="1203">
        <v>306</v>
      </c>
      <c r="C41" s="1203">
        <v>15785</v>
      </c>
      <c r="D41" s="1204" t="s">
        <v>20</v>
      </c>
      <c r="E41" s="1529">
        <v>23.54</v>
      </c>
      <c r="F41" s="1538" t="s">
        <v>9</v>
      </c>
      <c r="G41" s="1204" t="s">
        <v>27</v>
      </c>
      <c r="H41" s="1204" t="s">
        <v>84</v>
      </c>
      <c r="I41" s="1533">
        <v>1523861.9</v>
      </c>
      <c r="J41" s="1540">
        <v>0</v>
      </c>
      <c r="K41" s="1204" t="s">
        <v>130</v>
      </c>
      <c r="L41" s="1204" t="s">
        <v>18</v>
      </c>
      <c r="M41" s="1548">
        <v>44459</v>
      </c>
      <c r="N41" s="1550" t="s">
        <v>11</v>
      </c>
      <c r="O41" s="1560" t="s">
        <v>626</v>
      </c>
      <c r="P41" s="1532" t="s">
        <v>111</v>
      </c>
      <c r="Q41" s="1208" t="s">
        <v>111</v>
      </c>
      <c r="R41" s="1581" t="s">
        <v>20</v>
      </c>
      <c r="S41" s="1581" t="s">
        <v>20</v>
      </c>
      <c r="T41" s="1581" t="s">
        <v>20</v>
      </c>
      <c r="U41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42" spans="1:21" s="545" customFormat="1" ht="15" customHeight="1">
      <c r="A42" s="1203">
        <v>40</v>
      </c>
      <c r="B42" s="1203">
        <v>601</v>
      </c>
      <c r="C42" s="1203">
        <v>15448</v>
      </c>
      <c r="D42" s="1203" t="s">
        <v>407</v>
      </c>
      <c r="E42" s="1529">
        <v>37.159999999999997</v>
      </c>
      <c r="F42" s="1534" t="s">
        <v>9</v>
      </c>
      <c r="G42" s="1203" t="s">
        <v>27</v>
      </c>
      <c r="H42" s="1203" t="s">
        <v>16</v>
      </c>
      <c r="I42" s="1552">
        <v>2237431.1</v>
      </c>
      <c r="J42" s="1540">
        <v>1</v>
      </c>
      <c r="K42" s="1203" t="s">
        <v>65</v>
      </c>
      <c r="L42" s="1203" t="s">
        <v>12</v>
      </c>
      <c r="M42" s="1203"/>
      <c r="N42" s="1548" t="s">
        <v>17</v>
      </c>
      <c r="O42" s="1558" t="s">
        <v>627</v>
      </c>
      <c r="P42" s="1532" t="s">
        <v>111</v>
      </c>
      <c r="Q42" s="1208" t="s">
        <v>628</v>
      </c>
      <c r="R42" s="1575" t="s">
        <v>407</v>
      </c>
      <c r="S42" s="1575" t="s">
        <v>407</v>
      </c>
      <c r="T42" s="1575" t="s">
        <v>407</v>
      </c>
      <c r="U42" s="1582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2237431.1</v>
      </c>
    </row>
    <row r="43" spans="1:21" s="1522" customFormat="1" ht="13.5" hidden="1" customHeight="1">
      <c r="A43" s="1530">
        <v>41</v>
      </c>
      <c r="B43" s="1203">
        <v>212</v>
      </c>
      <c r="C43" s="1203">
        <v>15275</v>
      </c>
      <c r="D43" s="1203" t="s">
        <v>63</v>
      </c>
      <c r="E43" s="1529">
        <v>24.23</v>
      </c>
      <c r="F43" s="1536" t="s">
        <v>15</v>
      </c>
      <c r="G43" s="1203" t="s">
        <v>121</v>
      </c>
      <c r="H43" s="1203" t="s">
        <v>84</v>
      </c>
      <c r="I43" s="1533">
        <v>1815538.39</v>
      </c>
      <c r="J43" s="1540">
        <v>0</v>
      </c>
      <c r="K43" s="1203" t="s">
        <v>514</v>
      </c>
      <c r="L43" s="1203" t="s">
        <v>12</v>
      </c>
      <c r="M43" s="1548">
        <v>44466</v>
      </c>
      <c r="N43" s="1548" t="s">
        <v>11</v>
      </c>
      <c r="O43" s="1558" t="s">
        <v>629</v>
      </c>
      <c r="P43" s="1208" t="s">
        <v>111</v>
      </c>
      <c r="Q43" s="1208" t="s">
        <v>111</v>
      </c>
      <c r="R43" s="1575" t="s">
        <v>63</v>
      </c>
      <c r="S43" s="1575" t="s">
        <v>63</v>
      </c>
      <c r="T43" s="1575" t="s">
        <v>63</v>
      </c>
      <c r="U43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1682273.39</v>
      </c>
    </row>
    <row r="44" spans="1:21">
      <c r="A44" s="1203">
        <v>42</v>
      </c>
      <c r="B44" s="1203">
        <v>234</v>
      </c>
      <c r="C44" s="1203">
        <v>15179</v>
      </c>
      <c r="D44" s="1203" t="s">
        <v>73</v>
      </c>
      <c r="E44" s="1529">
        <v>23.54</v>
      </c>
      <c r="F44" s="1536" t="s">
        <v>15</v>
      </c>
      <c r="G44" s="1203" t="s">
        <v>27</v>
      </c>
      <c r="H44" s="1203" t="s">
        <v>16</v>
      </c>
      <c r="I44" s="1533">
        <v>1653331.9</v>
      </c>
      <c r="J44" s="1540">
        <v>0</v>
      </c>
      <c r="K44" s="1203" t="s">
        <v>65</v>
      </c>
      <c r="L44" s="1534" t="s">
        <v>91</v>
      </c>
      <c r="M44" s="1548">
        <v>44452</v>
      </c>
      <c r="N44" s="1548" t="s">
        <v>17</v>
      </c>
      <c r="O44" s="1558" t="s">
        <v>630</v>
      </c>
      <c r="P44" s="1208" t="s">
        <v>111</v>
      </c>
      <c r="Q44" s="1208" t="s">
        <v>111</v>
      </c>
      <c r="R44" s="1575" t="s">
        <v>73</v>
      </c>
      <c r="S44" s="1575" t="s">
        <v>77</v>
      </c>
      <c r="T44" s="1575" t="s">
        <v>77</v>
      </c>
      <c r="U44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45" spans="1:21" s="1522" customFormat="1">
      <c r="A45" s="1203">
        <v>43</v>
      </c>
      <c r="B45" s="1203">
        <v>58</v>
      </c>
      <c r="C45" s="1203">
        <v>6228</v>
      </c>
      <c r="D45" s="1203" t="s">
        <v>407</v>
      </c>
      <c r="E45" s="1529">
        <v>58.99</v>
      </c>
      <c r="F45" s="1536" t="s">
        <v>9</v>
      </c>
      <c r="G45" s="1203" t="s">
        <v>121</v>
      </c>
      <c r="H45" s="1203" t="s">
        <v>16</v>
      </c>
      <c r="I45" s="1533">
        <v>4206824.34</v>
      </c>
      <c r="J45" s="1540">
        <v>2</v>
      </c>
      <c r="K45" s="1203" t="s">
        <v>65</v>
      </c>
      <c r="L45" s="1203" t="s">
        <v>18</v>
      </c>
      <c r="M45" s="1548">
        <v>44448</v>
      </c>
      <c r="N45" s="1548" t="s">
        <v>17</v>
      </c>
      <c r="O45" s="1558" t="s">
        <v>631</v>
      </c>
      <c r="P45" s="1208" t="s">
        <v>111</v>
      </c>
      <c r="Q45" s="1208" t="s">
        <v>111</v>
      </c>
      <c r="R45" s="1575" t="s">
        <v>407</v>
      </c>
      <c r="S45" s="1575" t="s">
        <v>407</v>
      </c>
      <c r="T45" s="1575" t="s">
        <v>407</v>
      </c>
      <c r="U45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4206824.34</v>
      </c>
    </row>
    <row r="46" spans="1:21">
      <c r="A46" s="1530">
        <v>44</v>
      </c>
      <c r="B46" s="1203">
        <v>330</v>
      </c>
      <c r="C46" s="1203">
        <v>15665</v>
      </c>
      <c r="D46" s="1203" t="s">
        <v>63</v>
      </c>
      <c r="E46" s="1529">
        <v>23.54</v>
      </c>
      <c r="F46" s="1536" t="s">
        <v>15</v>
      </c>
      <c r="G46" s="1203" t="s">
        <v>27</v>
      </c>
      <c r="H46" s="1203" t="s">
        <v>16</v>
      </c>
      <c r="I46" s="1533">
        <v>1653331.9</v>
      </c>
      <c r="J46" s="1540">
        <v>0</v>
      </c>
      <c r="K46" s="1203" t="s">
        <v>65</v>
      </c>
      <c r="L46" s="1203" t="s">
        <v>18</v>
      </c>
      <c r="M46" s="1548">
        <v>44449</v>
      </c>
      <c r="N46" s="1548" t="s">
        <v>17</v>
      </c>
      <c r="O46" s="1558" t="s">
        <v>632</v>
      </c>
      <c r="P46" s="1208" t="s">
        <v>111</v>
      </c>
      <c r="Q46" s="1208" t="s">
        <v>633</v>
      </c>
      <c r="R46" s="1575" t="s">
        <v>63</v>
      </c>
      <c r="S46" s="1575" t="s">
        <v>20</v>
      </c>
      <c r="T46" s="1575" t="s">
        <v>20</v>
      </c>
      <c r="U46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47" spans="1:21" s="1522" customFormat="1">
      <c r="A47" s="1203">
        <v>45</v>
      </c>
      <c r="B47" s="1203">
        <v>120</v>
      </c>
      <c r="C47" s="1203">
        <v>14682</v>
      </c>
      <c r="D47" s="1203" t="s">
        <v>77</v>
      </c>
      <c r="E47" s="1529">
        <v>59.52</v>
      </c>
      <c r="F47" s="1534" t="s">
        <v>15</v>
      </c>
      <c r="G47" s="1203" t="s">
        <v>121</v>
      </c>
      <c r="H47" s="1203" t="s">
        <v>16</v>
      </c>
      <c r="I47" s="1533">
        <v>4235788.29</v>
      </c>
      <c r="J47" s="1540">
        <v>2</v>
      </c>
      <c r="K47" s="1203" t="s">
        <v>65</v>
      </c>
      <c r="L47" s="1203" t="s">
        <v>18</v>
      </c>
      <c r="M47" s="1548">
        <v>44457</v>
      </c>
      <c r="N47" s="1548" t="s">
        <v>17</v>
      </c>
      <c r="O47" s="1558" t="s">
        <v>634</v>
      </c>
      <c r="P47" s="1208" t="s">
        <v>111</v>
      </c>
      <c r="Q47" s="1208" t="s">
        <v>111</v>
      </c>
      <c r="R47" s="1575" t="s">
        <v>77</v>
      </c>
      <c r="S47" s="1575" t="s">
        <v>77</v>
      </c>
      <c r="T47" s="1575" t="s">
        <v>77</v>
      </c>
      <c r="U47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3908428.29</v>
      </c>
    </row>
    <row r="48" spans="1:21" s="1522" customFormat="1">
      <c r="A48" s="1203">
        <v>46</v>
      </c>
      <c r="B48" s="1203">
        <v>469</v>
      </c>
      <c r="C48" s="1203">
        <v>15741</v>
      </c>
      <c r="D48" s="1203" t="s">
        <v>73</v>
      </c>
      <c r="E48" s="1529">
        <v>37.11</v>
      </c>
      <c r="F48" s="1536" t="s">
        <v>15</v>
      </c>
      <c r="G48" s="1203" t="s">
        <v>27</v>
      </c>
      <c r="H48" s="1203" t="s">
        <v>16</v>
      </c>
      <c r="I48" s="1533">
        <v>2454419.71</v>
      </c>
      <c r="J48" s="1540">
        <v>1</v>
      </c>
      <c r="K48" s="1203" t="s">
        <v>65</v>
      </c>
      <c r="L48" s="1203" t="s">
        <v>18</v>
      </c>
      <c r="M48" s="1548">
        <v>44456</v>
      </c>
      <c r="N48" s="1548" t="s">
        <v>17</v>
      </c>
      <c r="O48" s="1558" t="s">
        <v>635</v>
      </c>
      <c r="P48" s="1208" t="s">
        <v>111</v>
      </c>
      <c r="Q48" s="1208" t="s">
        <v>149</v>
      </c>
      <c r="R48" s="1575" t="s">
        <v>73</v>
      </c>
      <c r="S48" s="1575" t="s">
        <v>407</v>
      </c>
      <c r="T48" s="1575" t="s">
        <v>73</v>
      </c>
      <c r="U48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2250314.71</v>
      </c>
    </row>
    <row r="49" spans="1:21" hidden="1">
      <c r="A49" s="1530">
        <v>47</v>
      </c>
      <c r="B49" s="1203">
        <v>322</v>
      </c>
      <c r="C49" s="1203">
        <v>13813</v>
      </c>
      <c r="D49" s="1203" t="s">
        <v>73</v>
      </c>
      <c r="E49" s="1529">
        <v>23.54</v>
      </c>
      <c r="F49" s="1532" t="s">
        <v>9</v>
      </c>
      <c r="G49" s="1203" t="s">
        <v>27</v>
      </c>
      <c r="H49" s="1203" t="s">
        <v>84</v>
      </c>
      <c r="I49" s="1533">
        <v>1493384.66</v>
      </c>
      <c r="J49" s="1540">
        <v>0</v>
      </c>
      <c r="K49" s="1203" t="s">
        <v>514</v>
      </c>
      <c r="L49" s="1203" t="s">
        <v>18</v>
      </c>
      <c r="M49" s="1548">
        <v>44455</v>
      </c>
      <c r="N49" s="1548" t="s">
        <v>11</v>
      </c>
      <c r="O49" s="1558" t="s">
        <v>636</v>
      </c>
      <c r="P49" s="1208" t="s">
        <v>111</v>
      </c>
      <c r="Q49" s="1208" t="s">
        <v>111</v>
      </c>
      <c r="R49" s="1575" t="s">
        <v>73</v>
      </c>
      <c r="S49" s="1575" t="s">
        <v>20</v>
      </c>
      <c r="T49" s="1575" t="s">
        <v>73</v>
      </c>
      <c r="U49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1493384.66</v>
      </c>
    </row>
    <row r="50" spans="1:21" s="1522" customFormat="1">
      <c r="A50" s="1203">
        <v>48</v>
      </c>
      <c r="B50" s="1203">
        <v>606</v>
      </c>
      <c r="C50" s="1203">
        <v>15828</v>
      </c>
      <c r="D50" s="1203" t="s">
        <v>73</v>
      </c>
      <c r="E50" s="1529">
        <v>59.93</v>
      </c>
      <c r="F50" s="1536" t="s">
        <v>25</v>
      </c>
      <c r="G50" s="1203" t="s">
        <v>27</v>
      </c>
      <c r="H50" s="1203" t="s">
        <v>16</v>
      </c>
      <c r="I50" s="1533">
        <v>4464881.37</v>
      </c>
      <c r="J50" s="1540">
        <v>2</v>
      </c>
      <c r="K50" s="1203" t="s">
        <v>65</v>
      </c>
      <c r="L50" s="1203" t="s">
        <v>12</v>
      </c>
      <c r="M50" s="1548">
        <v>44466</v>
      </c>
      <c r="N50" s="1548" t="s">
        <v>17</v>
      </c>
      <c r="O50" s="1558" t="s">
        <v>637</v>
      </c>
      <c r="P50" s="1208" t="s">
        <v>111</v>
      </c>
      <c r="Q50" s="1208" t="s">
        <v>111</v>
      </c>
      <c r="R50" s="1575" t="s">
        <v>73</v>
      </c>
      <c r="S50" s="1575" t="s">
        <v>73</v>
      </c>
      <c r="T50" s="1575" t="s">
        <v>73</v>
      </c>
      <c r="U50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3506001.3699999996</v>
      </c>
    </row>
    <row r="51" spans="1:21" s="1522" customFormat="1" ht="13.5" customHeight="1">
      <c r="A51" s="1203">
        <v>49</v>
      </c>
      <c r="B51" s="1203">
        <v>291</v>
      </c>
      <c r="C51" s="1203">
        <v>15346</v>
      </c>
      <c r="D51" s="1203" t="s">
        <v>73</v>
      </c>
      <c r="E51" s="1529">
        <v>40</v>
      </c>
      <c r="F51" s="1536" t="s">
        <v>9</v>
      </c>
      <c r="G51" s="1203" t="s">
        <v>27</v>
      </c>
      <c r="H51" s="1203" t="s">
        <v>16</v>
      </c>
      <c r="I51" s="1533">
        <v>2523136</v>
      </c>
      <c r="J51" s="1540">
        <v>1</v>
      </c>
      <c r="K51" s="1203" t="s">
        <v>65</v>
      </c>
      <c r="L51" s="1203" t="s">
        <v>12</v>
      </c>
      <c r="M51" s="1548">
        <v>44462</v>
      </c>
      <c r="N51" s="1548" t="s">
        <v>17</v>
      </c>
      <c r="O51" s="1558" t="s">
        <v>638</v>
      </c>
      <c r="P51" s="1208" t="s">
        <v>111</v>
      </c>
      <c r="Q51" s="1208" t="s">
        <v>639</v>
      </c>
      <c r="R51" s="1575" t="s">
        <v>73</v>
      </c>
      <c r="S51" s="1575" t="s">
        <v>73</v>
      </c>
      <c r="T51" s="1575" t="s">
        <v>73</v>
      </c>
      <c r="U51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2523136</v>
      </c>
    </row>
    <row r="52" spans="1:21" hidden="1">
      <c r="A52" s="1530">
        <v>50</v>
      </c>
      <c r="B52" s="1203">
        <v>298</v>
      </c>
      <c r="C52" s="1203">
        <v>15806</v>
      </c>
      <c r="D52" s="1203" t="s">
        <v>407</v>
      </c>
      <c r="E52" s="1529">
        <v>23.54</v>
      </c>
      <c r="F52" s="1536" t="s">
        <v>15</v>
      </c>
      <c r="G52" s="1203" t="s">
        <v>27</v>
      </c>
      <c r="H52" s="1203" t="s">
        <v>84</v>
      </c>
      <c r="I52" s="1533">
        <v>1653331.9</v>
      </c>
      <c r="J52" s="1540">
        <v>0</v>
      </c>
      <c r="K52" s="1203" t="s">
        <v>514</v>
      </c>
      <c r="L52" s="1203" t="s">
        <v>18</v>
      </c>
      <c r="M52" s="1548">
        <v>44467</v>
      </c>
      <c r="N52" s="1548" t="s">
        <v>17</v>
      </c>
      <c r="O52" s="1558" t="s">
        <v>640</v>
      </c>
      <c r="P52" s="1208" t="s">
        <v>111</v>
      </c>
      <c r="Q52" s="1208" t="s">
        <v>111</v>
      </c>
      <c r="R52" s="1575" t="s">
        <v>407</v>
      </c>
      <c r="S52" s="1575" t="s">
        <v>407</v>
      </c>
      <c r="T52" s="1575" t="s">
        <v>407</v>
      </c>
      <c r="U52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53" spans="1:21">
      <c r="A53" s="1203">
        <v>51</v>
      </c>
      <c r="B53" s="1203">
        <v>586</v>
      </c>
      <c r="C53" s="1203">
        <v>15986</v>
      </c>
      <c r="D53" s="1203" t="s">
        <v>77</v>
      </c>
      <c r="E53" s="1529">
        <v>23.54</v>
      </c>
      <c r="F53" s="1536" t="s">
        <v>9</v>
      </c>
      <c r="G53" s="1203" t="s">
        <v>27</v>
      </c>
      <c r="H53" s="1203" t="s">
        <v>16</v>
      </c>
      <c r="I53" s="1533">
        <v>1523861.9</v>
      </c>
      <c r="J53" s="1540">
        <v>0</v>
      </c>
      <c r="K53" s="1203" t="s">
        <v>65</v>
      </c>
      <c r="L53" s="1203" t="s">
        <v>18</v>
      </c>
      <c r="M53" s="1548">
        <v>44469</v>
      </c>
      <c r="N53" s="1548" t="s">
        <v>17</v>
      </c>
      <c r="O53" s="1558" t="s">
        <v>641</v>
      </c>
      <c r="P53" s="1208" t="s">
        <v>111</v>
      </c>
      <c r="Q53" s="1208" t="s">
        <v>642</v>
      </c>
      <c r="R53" s="1575" t="s">
        <v>77</v>
      </c>
      <c r="S53" s="1575" t="s">
        <v>77</v>
      </c>
      <c r="T53" s="1575" t="s">
        <v>77</v>
      </c>
      <c r="U53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1523861.9</v>
      </c>
    </row>
    <row r="54" spans="1:21" hidden="1">
      <c r="A54" s="1203">
        <v>52</v>
      </c>
      <c r="B54" s="1203">
        <v>585</v>
      </c>
      <c r="C54" s="1540">
        <v>11831</v>
      </c>
      <c r="D54" s="1203" t="s">
        <v>77</v>
      </c>
      <c r="E54" s="1529">
        <v>37.159999999999997</v>
      </c>
      <c r="F54" s="1536" t="s">
        <v>15</v>
      </c>
      <c r="G54" s="1203" t="s">
        <v>27</v>
      </c>
      <c r="H54" s="1203" t="s">
        <v>84</v>
      </c>
      <c r="I54" s="1533">
        <v>2457726.73</v>
      </c>
      <c r="J54" s="1540">
        <v>1</v>
      </c>
      <c r="K54" s="1203" t="s">
        <v>514</v>
      </c>
      <c r="L54" s="1203" t="s">
        <v>18</v>
      </c>
      <c r="M54" s="1548">
        <v>44467</v>
      </c>
      <c r="N54" s="1548" t="s">
        <v>11</v>
      </c>
      <c r="O54" s="1558" t="s">
        <v>643</v>
      </c>
      <c r="P54" s="1208" t="s">
        <v>111</v>
      </c>
      <c r="Q54" s="1208" t="s">
        <v>644</v>
      </c>
      <c r="R54" s="1575" t="s">
        <v>77</v>
      </c>
      <c r="S54" s="1575" t="s">
        <v>20</v>
      </c>
      <c r="T54" s="1575" t="s">
        <v>77</v>
      </c>
      <c r="U54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2253346.73</v>
      </c>
    </row>
    <row r="55" spans="1:21" hidden="1">
      <c r="A55" s="1530">
        <v>53</v>
      </c>
      <c r="B55" s="1203">
        <v>605</v>
      </c>
      <c r="C55" s="1203">
        <v>16014</v>
      </c>
      <c r="D55" s="1203" t="s">
        <v>77</v>
      </c>
      <c r="E55" s="1529">
        <v>37.11</v>
      </c>
      <c r="F55" s="1536" t="s">
        <v>15</v>
      </c>
      <c r="G55" s="1203" t="s">
        <v>27</v>
      </c>
      <c r="H55" s="1203" t="s">
        <v>84</v>
      </c>
      <c r="I55" s="1533">
        <v>2454419.77</v>
      </c>
      <c r="J55" s="1540">
        <v>1</v>
      </c>
      <c r="K55" s="1203" t="s">
        <v>514</v>
      </c>
      <c r="L55" s="1203" t="s">
        <v>18</v>
      </c>
      <c r="M55" s="1548">
        <v>44467</v>
      </c>
      <c r="N55" s="1548" t="s">
        <v>11</v>
      </c>
      <c r="O55" s="1558" t="s">
        <v>643</v>
      </c>
      <c r="P55" s="1208" t="s">
        <v>111</v>
      </c>
      <c r="Q55" s="1208" t="s">
        <v>644</v>
      </c>
      <c r="R55" s="1575" t="s">
        <v>77</v>
      </c>
      <c r="S55" s="1575" t="s">
        <v>20</v>
      </c>
      <c r="T55" s="1575" t="s">
        <v>77</v>
      </c>
      <c r="U55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2250314.77</v>
      </c>
    </row>
    <row r="56" spans="1:21" s="1522" customFormat="1">
      <c r="A56" s="1203">
        <v>54</v>
      </c>
      <c r="B56" s="1203">
        <v>590</v>
      </c>
      <c r="C56" s="1203">
        <v>15700</v>
      </c>
      <c r="D56" s="1203" t="s">
        <v>77</v>
      </c>
      <c r="E56" s="1529">
        <v>59.93</v>
      </c>
      <c r="F56" s="1536" t="s">
        <v>9</v>
      </c>
      <c r="G56" s="1203" t="s">
        <v>27</v>
      </c>
      <c r="H56" s="1203" t="s">
        <v>16</v>
      </c>
      <c r="I56" s="1533">
        <v>3536755.77</v>
      </c>
      <c r="J56" s="1540">
        <v>2</v>
      </c>
      <c r="K56" s="1203" t="s">
        <v>65</v>
      </c>
      <c r="L56" s="1203" t="s">
        <v>18</v>
      </c>
      <c r="M56" s="1548">
        <v>44469</v>
      </c>
      <c r="N56" s="1548" t="s">
        <v>11</v>
      </c>
      <c r="O56" s="1558" t="s">
        <v>645</v>
      </c>
      <c r="P56" s="1208" t="s">
        <v>111</v>
      </c>
      <c r="Q56" s="1208" t="s">
        <v>646</v>
      </c>
      <c r="R56" s="1575" t="s">
        <v>77</v>
      </c>
      <c r="S56" s="1575" t="s">
        <v>73</v>
      </c>
      <c r="T56" s="1575" t="s">
        <v>77</v>
      </c>
      <c r="U56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3536755.77</v>
      </c>
    </row>
    <row r="57" spans="1:21" s="1522" customFormat="1" hidden="1">
      <c r="A57" s="1203">
        <v>55</v>
      </c>
      <c r="B57" s="1203">
        <v>459</v>
      </c>
      <c r="C57" s="1203">
        <v>16106</v>
      </c>
      <c r="D57" s="1203" t="s">
        <v>63</v>
      </c>
      <c r="E57" s="1529">
        <v>40</v>
      </c>
      <c r="F57" s="1536" t="s">
        <v>15</v>
      </c>
      <c r="G57" s="1203" t="s">
        <v>27</v>
      </c>
      <c r="H57" s="1203" t="s">
        <v>84</v>
      </c>
      <c r="I57" s="1533">
        <v>2919755.52</v>
      </c>
      <c r="J57" s="1540">
        <v>1</v>
      </c>
      <c r="K57" s="1203" t="s">
        <v>130</v>
      </c>
      <c r="L57" s="1203" t="s">
        <v>18</v>
      </c>
      <c r="M57" s="1561">
        <v>44468</v>
      </c>
      <c r="N57" s="1550" t="s">
        <v>17</v>
      </c>
      <c r="O57" s="1558" t="s">
        <v>647</v>
      </c>
      <c r="P57" s="1208" t="s">
        <v>111</v>
      </c>
      <c r="Q57" s="1208" t="s">
        <v>111</v>
      </c>
      <c r="R57" s="1575" t="s">
        <v>63</v>
      </c>
      <c r="S57" s="1575" t="s">
        <v>63</v>
      </c>
      <c r="T57" s="1575" t="s">
        <v>63</v>
      </c>
      <c r="U57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2699755.5200000005</v>
      </c>
    </row>
    <row r="58" spans="1:21" s="1522" customFormat="1" hidden="1">
      <c r="A58" s="1530">
        <v>56</v>
      </c>
      <c r="B58" s="1203">
        <v>337</v>
      </c>
      <c r="C58" s="1203">
        <v>16081</v>
      </c>
      <c r="D58" s="1203" t="s">
        <v>63</v>
      </c>
      <c r="E58" s="1529">
        <v>37.159999999999997</v>
      </c>
      <c r="F58" s="1536" t="s">
        <v>15</v>
      </c>
      <c r="G58" s="1203" t="s">
        <v>27</v>
      </c>
      <c r="H58" s="1203" t="s">
        <v>84</v>
      </c>
      <c r="I58" s="1533">
        <v>2555698.3199999998</v>
      </c>
      <c r="J58" s="1540">
        <v>1</v>
      </c>
      <c r="K58" s="1203" t="s">
        <v>85</v>
      </c>
      <c r="L58" s="1203" t="s">
        <v>18</v>
      </c>
      <c r="M58" s="1548">
        <v>44469</v>
      </c>
      <c r="N58" s="1548" t="s">
        <v>17</v>
      </c>
      <c r="O58" s="1558" t="s">
        <v>648</v>
      </c>
      <c r="P58" s="1208" t="s">
        <v>111</v>
      </c>
      <c r="Q58" s="1583" t="s">
        <v>649</v>
      </c>
      <c r="R58" s="1575" t="s">
        <v>63</v>
      </c>
      <c r="S58" s="1575" t="s">
        <v>63</v>
      </c>
      <c r="T58" s="1575" t="s">
        <v>63</v>
      </c>
      <c r="U58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2351318.3199999998</v>
      </c>
    </row>
    <row r="59" spans="1:21" s="1522" customFormat="1">
      <c r="A59" s="1203">
        <v>57</v>
      </c>
      <c r="B59" s="1203">
        <v>295</v>
      </c>
      <c r="C59" s="1203">
        <v>13289</v>
      </c>
      <c r="D59" s="1203" t="s">
        <v>471</v>
      </c>
      <c r="E59" s="1529">
        <v>55.8</v>
      </c>
      <c r="F59" s="1536" t="s">
        <v>9</v>
      </c>
      <c r="G59" s="1203" t="s">
        <v>27</v>
      </c>
      <c r="H59" s="1203" t="s">
        <v>575</v>
      </c>
      <c r="I59" s="1533">
        <v>3149849.74</v>
      </c>
      <c r="J59" s="1540">
        <v>2</v>
      </c>
      <c r="K59" s="1203" t="s">
        <v>65</v>
      </c>
      <c r="L59" s="1203" t="s">
        <v>18</v>
      </c>
      <c r="M59" s="1548">
        <v>44469</v>
      </c>
      <c r="N59" s="1548" t="s">
        <v>17</v>
      </c>
      <c r="O59" s="1558" t="s">
        <v>650</v>
      </c>
      <c r="P59" s="1208" t="s">
        <v>111</v>
      </c>
      <c r="Q59" s="1208" t="s">
        <v>111</v>
      </c>
      <c r="R59" s="1575" t="s">
        <v>471</v>
      </c>
      <c r="S59" s="1575" t="s">
        <v>471</v>
      </c>
      <c r="T59" s="1575" t="s">
        <v>471</v>
      </c>
      <c r="U59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3149849.74</v>
      </c>
    </row>
    <row r="60" spans="1:21" s="1522" customFormat="1">
      <c r="A60" s="1203">
        <v>58</v>
      </c>
      <c r="B60" s="1203">
        <v>287</v>
      </c>
      <c r="C60" s="1203">
        <v>15474</v>
      </c>
      <c r="D60" s="1203" t="s">
        <v>73</v>
      </c>
      <c r="E60" s="1529">
        <v>55.8</v>
      </c>
      <c r="F60" s="1536" t="s">
        <v>15</v>
      </c>
      <c r="G60" s="1203" t="s">
        <v>27</v>
      </c>
      <c r="H60" s="1203" t="s">
        <v>16</v>
      </c>
      <c r="I60" s="1533">
        <v>3456749.74</v>
      </c>
      <c r="J60" s="1540">
        <v>2</v>
      </c>
      <c r="K60" s="1203" t="s">
        <v>65</v>
      </c>
      <c r="L60" s="1203" t="s">
        <v>18</v>
      </c>
      <c r="M60" s="1548">
        <v>44469</v>
      </c>
      <c r="N60" s="1548" t="s">
        <v>17</v>
      </c>
      <c r="O60" s="1558" t="s">
        <v>651</v>
      </c>
      <c r="P60" s="1208" t="s">
        <v>111</v>
      </c>
      <c r="Q60" s="1208" t="s">
        <v>652</v>
      </c>
      <c r="R60" s="1575" t="s">
        <v>73</v>
      </c>
      <c r="S60" s="1575" t="s">
        <v>73</v>
      </c>
      <c r="T60" s="1575" t="s">
        <v>73</v>
      </c>
      <c r="U60" s="1570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>3149849.74</v>
      </c>
    </row>
    <row r="61" spans="1:21" hidden="1">
      <c r="A61" s="1541"/>
      <c r="B61" s="1542"/>
      <c r="C61" s="1542"/>
      <c r="D61" s="1542"/>
      <c r="E61" s="1543"/>
      <c r="F61" s="1544"/>
      <c r="G61" s="1542"/>
      <c r="H61" s="1542"/>
      <c r="I61" s="1562"/>
      <c r="J61" s="1563"/>
      <c r="K61" s="1542"/>
      <c r="L61" s="1542"/>
      <c r="M61" s="1542"/>
      <c r="N61" s="1564"/>
      <c r="O61" s="1565"/>
      <c r="P61" s="1566"/>
      <c r="Q61" s="1584"/>
      <c r="R61" s="1585"/>
      <c r="S61" s="1585"/>
      <c r="T61" s="1585"/>
      <c r="U61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2" spans="1:21" hidden="1">
      <c r="A62" s="1542"/>
      <c r="B62" s="1542"/>
      <c r="C62" s="1542"/>
      <c r="D62" s="1542"/>
      <c r="E62" s="1543"/>
      <c r="F62" s="1544"/>
      <c r="G62" s="1542"/>
      <c r="H62" s="1542"/>
      <c r="I62" s="1562"/>
      <c r="J62" s="1563"/>
      <c r="K62" s="1542"/>
      <c r="L62" s="1542"/>
      <c r="M62" s="1542"/>
      <c r="N62" s="1564"/>
      <c r="O62" s="1565"/>
      <c r="P62" s="1566"/>
      <c r="Q62" s="1584"/>
      <c r="R62" s="1585"/>
      <c r="S62" s="1585"/>
      <c r="T62" s="1585"/>
      <c r="U62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3" spans="1:21" hidden="1">
      <c r="A63" s="1541"/>
      <c r="B63" s="1542"/>
      <c r="C63" s="1542"/>
      <c r="D63" s="1542"/>
      <c r="E63" s="1543"/>
      <c r="F63" s="1544"/>
      <c r="G63" s="1542"/>
      <c r="H63" s="1542"/>
      <c r="I63" s="1562"/>
      <c r="J63" s="1563"/>
      <c r="K63" s="1542"/>
      <c r="L63" s="1542"/>
      <c r="M63" s="1542"/>
      <c r="N63" s="1564"/>
      <c r="O63" s="1565"/>
      <c r="P63" s="1566"/>
      <c r="Q63" s="1584"/>
      <c r="R63" s="1585"/>
      <c r="S63" s="1585"/>
      <c r="T63" s="1585"/>
      <c r="U63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4" spans="1:21" hidden="1">
      <c r="A64" s="1542"/>
      <c r="B64" s="1542"/>
      <c r="C64" s="1542"/>
      <c r="D64" s="1542"/>
      <c r="E64" s="1543"/>
      <c r="F64" s="1544"/>
      <c r="G64" s="1542"/>
      <c r="H64" s="1542"/>
      <c r="I64" s="1562"/>
      <c r="J64" s="1563"/>
      <c r="K64" s="1542"/>
      <c r="L64" s="1542"/>
      <c r="M64" s="1542"/>
      <c r="N64" s="1564"/>
      <c r="O64" s="1565"/>
      <c r="P64" s="1566"/>
      <c r="Q64" s="1584"/>
      <c r="R64" s="1585"/>
      <c r="S64" s="1585"/>
      <c r="T64" s="1585"/>
      <c r="U64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5" spans="1:21" hidden="1">
      <c r="A65" s="1541"/>
      <c r="B65" s="1542"/>
      <c r="C65" s="1542"/>
      <c r="D65" s="1542"/>
      <c r="E65" s="1543"/>
      <c r="F65" s="1544"/>
      <c r="G65" s="1542"/>
      <c r="H65" s="1542"/>
      <c r="I65" s="1562"/>
      <c r="J65" s="1563"/>
      <c r="K65" s="1542"/>
      <c r="L65" s="1542"/>
      <c r="M65" s="1542"/>
      <c r="N65" s="1564"/>
      <c r="O65" s="1565"/>
      <c r="P65" s="1566"/>
      <c r="Q65" s="1584"/>
      <c r="R65" s="1585"/>
      <c r="S65" s="1585"/>
      <c r="T65" s="1585"/>
      <c r="U65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6" spans="1:21" hidden="1">
      <c r="A66" s="1541"/>
      <c r="B66" s="1542"/>
      <c r="C66" s="1542"/>
      <c r="D66" s="1542"/>
      <c r="E66" s="1543"/>
      <c r="F66" s="1544"/>
      <c r="G66" s="1542"/>
      <c r="H66" s="1542"/>
      <c r="I66" s="1562"/>
      <c r="J66" s="1563"/>
      <c r="K66" s="1542"/>
      <c r="L66" s="1542"/>
      <c r="M66" s="1542"/>
      <c r="N66" s="1564"/>
      <c r="O66" s="1565"/>
      <c r="P66" s="1566"/>
      <c r="Q66" s="1584"/>
      <c r="R66" s="1585"/>
      <c r="S66" s="1585"/>
      <c r="T66" s="1585"/>
      <c r="U66" s="1586" t="str">
        <f>IFERROR(SUM(сентябрь4[[#This Row],[сумма]]/сентябрь4[[#This Row],[м2]],IF(сентябрь4[[#This Row],[Отделка]]="Черновая",0,"")&amp;IF(сентябрь4[[#This Row],[Отделка]]="Предчистовая",-5500,"")&amp;IF(сентябрь4[[#This Row],[Отделка]]="Чистовая",-16000,""))*сентябрь4[[#This Row],[м2]],"")</f>
        <v/>
      </c>
    </row>
    <row r="67" spans="1:21" ht="11.25" customHeight="1">
      <c r="A67" s="1542"/>
      <c r="B67" s="1587"/>
      <c r="C67" s="1587"/>
      <c r="D67" s="1587"/>
      <c r="E67" s="1587"/>
      <c r="F67" s="1587"/>
      <c r="G67" s="1587"/>
      <c r="H67" s="1587"/>
      <c r="I67" s="1611"/>
      <c r="J67" s="1587"/>
      <c r="K67" s="1587"/>
      <c r="L67" s="1587"/>
      <c r="M67" s="1612"/>
      <c r="N67" s="1612"/>
      <c r="O67" s="1587"/>
      <c r="P67" s="1613"/>
      <c r="Q67" s="1625"/>
      <c r="R67" s="1626"/>
      <c r="S67" s="1626"/>
      <c r="T67" s="1626"/>
      <c r="U67" s="1586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8" spans="1:21">
      <c r="A68" s="2288" t="s">
        <v>411</v>
      </c>
      <c r="B68" s="2289"/>
      <c r="C68" s="1278" t="s">
        <v>74</v>
      </c>
      <c r="D68" s="1279"/>
      <c r="E68" s="1279"/>
      <c r="F68" s="1279"/>
      <c r="G68" s="1279"/>
      <c r="H68" s="1279"/>
      <c r="I68" s="1279"/>
      <c r="J68" s="1279"/>
      <c r="K68" s="1279"/>
      <c r="L68" s="1279"/>
      <c r="M68" s="1279"/>
      <c r="N68" s="1279"/>
      <c r="O68" s="1279"/>
      <c r="P68" s="1294"/>
      <c r="Q68" s="1279"/>
    </row>
    <row r="69" spans="1:21">
      <c r="A69" s="12" t="s">
        <v>1</v>
      </c>
      <c r="B69" s="13" t="s">
        <v>100</v>
      </c>
      <c r="C69" s="13" t="s">
        <v>97</v>
      </c>
      <c r="D69" s="12" t="s">
        <v>95</v>
      </c>
      <c r="E69" s="1280" t="s">
        <v>494</v>
      </c>
      <c r="F69" s="12" t="s">
        <v>495</v>
      </c>
      <c r="G69" s="12" t="s">
        <v>496</v>
      </c>
      <c r="H69" s="1280" t="s">
        <v>101</v>
      </c>
      <c r="I69" s="12" t="s">
        <v>98</v>
      </c>
      <c r="J69" s="12" t="s">
        <v>96</v>
      </c>
      <c r="K69" s="1295" t="s">
        <v>102</v>
      </c>
      <c r="L69" s="1295" t="s">
        <v>99</v>
      </c>
      <c r="M69" s="12">
        <v>0</v>
      </c>
      <c r="N69" s="12">
        <v>1</v>
      </c>
      <c r="O69" s="12">
        <v>2</v>
      </c>
      <c r="P69" s="12">
        <v>3</v>
      </c>
      <c r="Q69" s="12">
        <v>4</v>
      </c>
    </row>
    <row r="70" spans="1:21">
      <c r="A70" s="14" t="s">
        <v>73</v>
      </c>
      <c r="B70" s="1281">
        <f t="shared" ref="B70:B75" si="0">$B$76/$D$76*D70</f>
        <v>79.52</v>
      </c>
      <c r="C70" s="1281">
        <f t="shared" ref="C70:C75" si="1">$C$76/$D$76*D70</f>
        <v>4394947</v>
      </c>
      <c r="D70" s="14">
        <v>1</v>
      </c>
      <c r="E70" s="1588">
        <f>SUMIFS(сентябрь4[м2],сентябрь4[МОП],$A70,сентябрь4[№ дома],$C$68)</f>
        <v>0</v>
      </c>
      <c r="F70" s="1281">
        <f>SUMIFS(сентябрь4[сумма без отделки],сентябрь4[МОП],$A70,сентябрь4[№ дома],$C$68)</f>
        <v>0</v>
      </c>
      <c r="G70" s="1589">
        <f>COUNTIFS(сентябрь4[МОП],$A70,сентябрь4[№ дома],$C$68)</f>
        <v>0</v>
      </c>
      <c r="H70" s="1285" t="e">
        <f>SUMIFS(#REF!,#REF!,1,#REF!,A70,#REF!,"&lt;="&amp;$A$1,#REF!,"&gt;="&amp;DATE(YEAR($A$1),MONTH($A$1),1))</f>
        <v>#REF!</v>
      </c>
      <c r="I70" s="1288" t="e">
        <f>SUMIFS(#REF!,#REF!,1,#REF!,A70,#REF!,"&lt;="&amp;$A$1,#REF!,"&gt;="&amp;DATE(YEAR($A$1),MONTH($A$1),1))</f>
        <v>#REF!</v>
      </c>
      <c r="J70" s="1285" t="e">
        <f>COUNTIFS(#REF!,1,#REF!,A70,#REF!,"&lt;="&amp;$A$1,#REF!,"&gt;="&amp;DATE(YEAR($A$1),MONTH($A$1),1))</f>
        <v>#REF!</v>
      </c>
      <c r="K70" s="1296" t="str">
        <f>IFERROR(H70/B70,"")</f>
        <v/>
      </c>
      <c r="L70" s="1296" t="str">
        <f>IFERROR(I70/C70,"")</f>
        <v/>
      </c>
      <c r="M70" s="1285" t="e">
        <f>COUNTIFS(#REF!,M$69,#REF!,$A70,#REF!,1,#REF!,"&lt;="&amp;$A$1,#REF!,"&gt;="&amp;DATE(YEAR($A$1),MONTH($A$1),1))</f>
        <v>#REF!</v>
      </c>
      <c r="N70" s="1285" t="e">
        <f>COUNTIFS(#REF!,N$69,#REF!,$A70,#REF!,1,#REF!,"&lt;="&amp;$A$1,#REF!,"&gt;="&amp;DATE(YEAR($A$1),MONTH($A$1),1))</f>
        <v>#REF!</v>
      </c>
      <c r="O70" s="1285" t="e">
        <f>COUNTIFS(#REF!,O$69,#REF!,$A70,#REF!,1,#REF!,"&lt;="&amp;$A$1,#REF!,"&gt;="&amp;DATE(YEAR($A$1),MONTH($A$1),1))</f>
        <v>#REF!</v>
      </c>
      <c r="P70" s="1285" t="e">
        <f>COUNTIFS(#REF!,P$69,#REF!,$A70,#REF!,1,#REF!,"&lt;="&amp;$A$1,#REF!,"&gt;="&amp;DATE(YEAR($A$1),MONTH($A$1),1))</f>
        <v>#REF!</v>
      </c>
      <c r="Q70" s="1285" t="e">
        <f>COUNTIFS(#REF!,Q$69,#REF!,$A70,#REF!,1,#REF!,"&lt;="&amp;$A$1,#REF!,"&gt;="&amp;DATE(YEAR($A$1),MONTH($A$1),1))</f>
        <v>#REF!</v>
      </c>
    </row>
    <row r="71" spans="1:21">
      <c r="A71" s="14" t="s">
        <v>407</v>
      </c>
      <c r="B71" s="1281">
        <f t="shared" si="0"/>
        <v>79.52</v>
      </c>
      <c r="C71" s="1281">
        <f t="shared" si="1"/>
        <v>4394947</v>
      </c>
      <c r="D71" s="14">
        <v>1</v>
      </c>
      <c r="E71" s="1588">
        <f>SUMIFS(сентябрь4[м2],сентябрь4[МОП],$A71,сентябрь4[№ дома],$C$68)</f>
        <v>0</v>
      </c>
      <c r="F71" s="1281">
        <f>SUMIFS(сентябрь4[сумма без отделки],сентябрь4[МОП],$A71,сентябрь4[№ дома],$C$68)</f>
        <v>0</v>
      </c>
      <c r="G71" s="1589">
        <f>COUNTIFS(сентябрь4[МОП],$A71,сентябрь4[№ дома],$C$68)</f>
        <v>0</v>
      </c>
      <c r="H71" s="1285" t="e">
        <f>SUMIFS(#REF!,#REF!,1,#REF!,A71,#REF!,"&lt;="&amp;$A$1,#REF!,"&gt;="&amp;DATE(YEAR($A$1),MONTH($A$1),1))</f>
        <v>#REF!</v>
      </c>
      <c r="I71" s="1288" t="e">
        <f>SUMIFS(#REF!,#REF!,1,#REF!,A71,#REF!,"&lt;="&amp;$A$1,#REF!,"&gt;="&amp;DATE(YEAR($A$1),MONTH($A$1),1))</f>
        <v>#REF!</v>
      </c>
      <c r="J71" s="1285" t="e">
        <f>COUNTIFS(#REF!,1,#REF!,A71,#REF!,"&lt;="&amp;$A$1,#REF!,"&gt;="&amp;DATE(YEAR($A$1),MONTH($A$1),1))</f>
        <v>#REF!</v>
      </c>
      <c r="K71" s="1296" t="str">
        <f t="shared" ref="K71:K76" si="2">IFERROR(H71/B71,"")</f>
        <v/>
      </c>
      <c r="L71" s="1296" t="str">
        <f t="shared" ref="L71:L76" si="3">IFERROR(I71/C71,"")</f>
        <v/>
      </c>
      <c r="M71" s="1285" t="e">
        <f>COUNTIFS(#REF!,M$69,#REF!,$A71,#REF!,1,#REF!,"&lt;="&amp;$A$1,#REF!,"&gt;="&amp;DATE(YEAR($A$1),MONTH($A$1),1))</f>
        <v>#REF!</v>
      </c>
      <c r="N71" s="1285" t="e">
        <f>COUNTIFS(#REF!,N$69,#REF!,$A71,#REF!,1,#REF!,"&lt;="&amp;$A$1,#REF!,"&gt;="&amp;DATE(YEAR($A$1),MONTH($A$1),1))</f>
        <v>#REF!</v>
      </c>
      <c r="O71" s="1285" t="e">
        <f>COUNTIFS(#REF!,O$69,#REF!,$A71,#REF!,1,#REF!,"&lt;="&amp;$A$1,#REF!,"&gt;="&amp;DATE(YEAR($A$1),MONTH($A$1),1))</f>
        <v>#REF!</v>
      </c>
      <c r="P71" s="1285" t="e">
        <f>COUNTIFS(#REF!,P$69,#REF!,$A71,#REF!,1,#REF!,"&lt;="&amp;$A$1,#REF!,"&gt;="&amp;DATE(YEAR($A$1),MONTH($A$1),1))</f>
        <v>#REF!</v>
      </c>
      <c r="Q71" s="1285" t="e">
        <f>COUNTIFS(#REF!,Q$69,#REF!,$A71,#REF!,1,#REF!,"&lt;="&amp;$A$1,#REF!,"&gt;="&amp;DATE(YEAR($A$1),MONTH($A$1),1))</f>
        <v>#REF!</v>
      </c>
    </row>
    <row r="72" spans="1:21">
      <c r="A72" s="14" t="s">
        <v>77</v>
      </c>
      <c r="B72" s="1281">
        <f t="shared" si="0"/>
        <v>79.52</v>
      </c>
      <c r="C72" s="1281">
        <f t="shared" si="1"/>
        <v>4394947</v>
      </c>
      <c r="D72" s="14">
        <v>1</v>
      </c>
      <c r="E72" s="1588">
        <f>SUMIFS(сентябрь4[м2],сентябрь4[МОП],$A72,сентябрь4[№ дома],$C$68)</f>
        <v>69.2</v>
      </c>
      <c r="F72" s="1281">
        <f>SUMIFS(сентябрь4[сумма без отделки],сентябрь4[МОП],$A72,сентябрь4[№ дома],$C$68)</f>
        <v>3629678.4000000004</v>
      </c>
      <c r="G72" s="1589">
        <f>COUNTIFS(сентябрь4[МОП],$A72,сентябрь4[№ дома],$C$68)</f>
        <v>1</v>
      </c>
      <c r="H72" s="1285" t="e">
        <f>SUMIFS(#REF!,#REF!,1,#REF!,A72,#REF!,"&lt;="&amp;$A$1,#REF!,"&gt;="&amp;DATE(YEAR($A$1),MONTH($A$1),1))</f>
        <v>#REF!</v>
      </c>
      <c r="I72" s="1288" t="e">
        <f>SUMIFS(#REF!,#REF!,1,#REF!,A72,#REF!,"&lt;="&amp;$A$1,#REF!,"&gt;="&amp;DATE(YEAR($A$1),MONTH($A$1),1))</f>
        <v>#REF!</v>
      </c>
      <c r="J72" s="1285" t="e">
        <f>COUNTIFS(#REF!,1,#REF!,A72,#REF!,"&lt;="&amp;$A$1,#REF!,"&gt;="&amp;DATE(YEAR($A$1),MONTH($A$1),1))</f>
        <v>#REF!</v>
      </c>
      <c r="K72" s="1296" t="str">
        <f t="shared" si="2"/>
        <v/>
      </c>
      <c r="L72" s="1296" t="str">
        <f t="shared" si="3"/>
        <v/>
      </c>
      <c r="M72" s="1285" t="e">
        <f>COUNTIFS(#REF!,M$69,#REF!,$A72,#REF!,1,#REF!,"&lt;="&amp;$A$1,#REF!,"&gt;="&amp;DATE(YEAR($A$1),MONTH($A$1),1))</f>
        <v>#REF!</v>
      </c>
      <c r="N72" s="1285" t="e">
        <f>COUNTIFS(#REF!,N$69,#REF!,$A72,#REF!,1,#REF!,"&lt;="&amp;$A$1,#REF!,"&gt;="&amp;DATE(YEAR($A$1),MONTH($A$1),1))</f>
        <v>#REF!</v>
      </c>
      <c r="O72" s="1285" t="e">
        <f>COUNTIFS(#REF!,O$69,#REF!,$A72,#REF!,1,#REF!,"&lt;="&amp;$A$1,#REF!,"&gt;="&amp;DATE(YEAR($A$1),MONTH($A$1),1))</f>
        <v>#REF!</v>
      </c>
      <c r="P72" s="1285" t="e">
        <f>COUNTIFS(#REF!,P$69,#REF!,$A72,#REF!,1,#REF!,"&lt;="&amp;$A$1,#REF!,"&gt;="&amp;DATE(YEAR($A$1),MONTH($A$1),1))</f>
        <v>#REF!</v>
      </c>
      <c r="Q72" s="1285" t="e">
        <f>COUNTIFS(#REF!,Q$69,#REF!,$A72,#REF!,1,#REF!,"&lt;="&amp;$A$1,#REF!,"&gt;="&amp;DATE(YEAR($A$1),MONTH($A$1),1))</f>
        <v>#REF!</v>
      </c>
    </row>
    <row r="73" spans="1:21">
      <c r="A73" s="14" t="s">
        <v>471</v>
      </c>
      <c r="B73" s="1281">
        <f t="shared" si="0"/>
        <v>79.52</v>
      </c>
      <c r="C73" s="1281">
        <f t="shared" si="1"/>
        <v>4394947</v>
      </c>
      <c r="D73" s="14">
        <v>1</v>
      </c>
      <c r="E73" s="1588">
        <f>SUMIFS(сентябрь4[м2],сентябрь4[МОП],$A73,сентябрь4[№ дома],$C$68)</f>
        <v>78.099999999999994</v>
      </c>
      <c r="F73" s="1281">
        <f>SUMIFS(сентябрь4[сумма без отделки],сентябрь4[МОП],$A73,сентябрь4[№ дома],$C$68)</f>
        <v>4570500</v>
      </c>
      <c r="G73" s="1589">
        <f>COUNTIFS(сентябрь4[МОП],$A73,сентябрь4[№ дома],$C$68)</f>
        <v>1</v>
      </c>
      <c r="H73" s="1285" t="e">
        <f>SUMIFS(#REF!,#REF!,1,#REF!,A73,#REF!,"&lt;="&amp;$A$1,#REF!,"&gt;="&amp;DATE(YEAR($A$1),MONTH($A$1),1))</f>
        <v>#REF!</v>
      </c>
      <c r="I73" s="1288" t="e">
        <f>SUMIFS(#REF!,#REF!,1,#REF!,A73,#REF!,"&lt;="&amp;$A$1,#REF!,"&gt;="&amp;DATE(YEAR($A$1),MONTH($A$1),1))</f>
        <v>#REF!</v>
      </c>
      <c r="J73" s="1285" t="e">
        <f>COUNTIFS(#REF!,1,#REF!,A73,#REF!,"&lt;="&amp;$A$1,#REF!,"&gt;="&amp;DATE(YEAR($A$1),MONTH($A$1),1))</f>
        <v>#REF!</v>
      </c>
      <c r="K73" s="1296" t="str">
        <f t="shared" si="2"/>
        <v/>
      </c>
      <c r="L73" s="1296" t="str">
        <f t="shared" si="3"/>
        <v/>
      </c>
      <c r="M73" s="1285" t="e">
        <f>COUNTIFS(#REF!,M$69,#REF!,$A73,#REF!,1,#REF!,"&lt;="&amp;$A$1,#REF!,"&gt;="&amp;DATE(YEAR($A$1),MONTH($A$1),1))</f>
        <v>#REF!</v>
      </c>
      <c r="N73" s="1285" t="e">
        <f>COUNTIFS(#REF!,N$69,#REF!,$A73,#REF!,1,#REF!,"&lt;="&amp;$A$1,#REF!,"&gt;="&amp;DATE(YEAR($A$1),MONTH($A$1),1))</f>
        <v>#REF!</v>
      </c>
      <c r="O73" s="1285" t="e">
        <f>COUNTIFS(#REF!,O$69,#REF!,$A73,#REF!,1,#REF!,"&lt;="&amp;$A$1,#REF!,"&gt;="&amp;DATE(YEAR($A$1),MONTH($A$1),1))</f>
        <v>#REF!</v>
      </c>
      <c r="P73" s="1285" t="e">
        <f>COUNTIFS(#REF!,P$69,#REF!,$A73,#REF!,1,#REF!,"&lt;="&amp;$A$1,#REF!,"&gt;="&amp;DATE(YEAR($A$1),MONTH($A$1),1))</f>
        <v>#REF!</v>
      </c>
      <c r="Q73" s="1285" t="e">
        <f>COUNTIFS(#REF!,Q$69,#REF!,$A73,#REF!,1,#REF!,"&lt;="&amp;$A$1,#REF!,"&gt;="&amp;DATE(YEAR($A$1),MONTH($A$1),1))</f>
        <v>#REF!</v>
      </c>
    </row>
    <row r="74" spans="1:21">
      <c r="A74" s="14" t="s">
        <v>20</v>
      </c>
      <c r="B74" s="1281">
        <f t="shared" si="0"/>
        <v>79.52</v>
      </c>
      <c r="C74" s="1281">
        <f t="shared" si="1"/>
        <v>4394947</v>
      </c>
      <c r="D74" s="14">
        <v>1</v>
      </c>
      <c r="E74" s="1588">
        <f>SUMIFS(сентябрь4[м2],сентябрь4[МОП],$A74,сентябрь4[№ дома],$C$68)</f>
        <v>0</v>
      </c>
      <c r="F74" s="1281">
        <f>SUMIFS(сентябрь4[сумма без отделки],сентябрь4[МОП],$A74,сентябрь4[№ дома],$C$68)</f>
        <v>0</v>
      </c>
      <c r="G74" s="1589">
        <f>COUNTIFS(сентябрь4[МОП],$A74,сентябрь4[№ дома],$C$68)</f>
        <v>0</v>
      </c>
      <c r="H74" s="1285" t="e">
        <f>SUMIFS(#REF!,#REF!,1,#REF!,A74,#REF!,"&lt;="&amp;$A$1,#REF!,"&gt;="&amp;DATE(YEAR($A$1),MONTH($A$1),1))</f>
        <v>#REF!</v>
      </c>
      <c r="I74" s="1288" t="e">
        <f>SUMIFS(#REF!,#REF!,1,#REF!,A74,#REF!,"&lt;="&amp;$A$1,#REF!,"&gt;="&amp;DATE(YEAR($A$1),MONTH($A$1),1))</f>
        <v>#REF!</v>
      </c>
      <c r="J74" s="1285" t="e">
        <f>COUNTIFS(#REF!,1,#REF!,A74,#REF!,"&lt;="&amp;$A$1,#REF!,"&gt;="&amp;DATE(YEAR($A$1),MONTH($A$1),1))</f>
        <v>#REF!</v>
      </c>
      <c r="K74" s="1296" t="str">
        <f t="shared" si="2"/>
        <v/>
      </c>
      <c r="L74" s="1296" t="str">
        <f t="shared" si="3"/>
        <v/>
      </c>
      <c r="M74" s="1285" t="e">
        <f>COUNTIFS(#REF!,M$69,#REF!,$A74,#REF!,1,#REF!,"&lt;="&amp;$A$1,#REF!,"&gt;="&amp;DATE(YEAR($A$1),MONTH($A$1),1))</f>
        <v>#REF!</v>
      </c>
      <c r="N74" s="1285" t="e">
        <f>COUNTIFS(#REF!,N$69,#REF!,$A74,#REF!,1,#REF!,"&lt;="&amp;$A$1,#REF!,"&gt;="&amp;DATE(YEAR($A$1),MONTH($A$1),1))</f>
        <v>#REF!</v>
      </c>
      <c r="O74" s="1285" t="e">
        <f>COUNTIFS(#REF!,O$69,#REF!,$A74,#REF!,1,#REF!,"&lt;="&amp;$A$1,#REF!,"&gt;="&amp;DATE(YEAR($A$1),MONTH($A$1),1))</f>
        <v>#REF!</v>
      </c>
      <c r="P74" s="1285" t="e">
        <f>COUNTIFS(#REF!,P$69,#REF!,$A74,#REF!,1,#REF!,"&lt;="&amp;$A$1,#REF!,"&gt;="&amp;DATE(YEAR($A$1),MONTH($A$1),1))</f>
        <v>#REF!</v>
      </c>
      <c r="Q74" s="1285" t="e">
        <f>COUNTIFS(#REF!,Q$69,#REF!,$A74,#REF!,1,#REF!,"&lt;="&amp;$A$1,#REF!,"&gt;="&amp;DATE(YEAR($A$1),MONTH($A$1),1))</f>
        <v>#REF!</v>
      </c>
    </row>
    <row r="75" spans="1:21">
      <c r="A75" s="14" t="s">
        <v>63</v>
      </c>
      <c r="B75" s="1281">
        <f t="shared" si="0"/>
        <v>79.52</v>
      </c>
      <c r="C75" s="1281">
        <f t="shared" si="1"/>
        <v>4394947</v>
      </c>
      <c r="D75" s="14">
        <v>1</v>
      </c>
      <c r="E75" s="1588">
        <f>SUMIFS(сентябрь4[м2],сентябрь4[МОП],$A75,сентябрь4[№ дома],$C$68)</f>
        <v>179.8</v>
      </c>
      <c r="F75" s="1281">
        <f>SUMIFS(сентябрь4[сумма без отделки],сентябрь4[МОП],$A75,сентябрь4[№ дома],$C$68)</f>
        <v>4644252</v>
      </c>
      <c r="G75" s="1589">
        <f>COUNTIFS(сентябрь4[МОП],$A75,сентябрь4[№ дома],$C$68)</f>
        <v>2</v>
      </c>
      <c r="H75" s="1285" t="e">
        <f>SUMIFS(#REF!,#REF!,1,#REF!,A75,#REF!,"&lt;="&amp;$A$1,#REF!,"&gt;="&amp;DATE(YEAR($A$1),MONTH($A$1),1))</f>
        <v>#REF!</v>
      </c>
      <c r="I75" s="1288" t="e">
        <f>SUMIFS(#REF!,#REF!,1,#REF!,A75,#REF!,"&lt;="&amp;$A$1,#REF!,"&gt;="&amp;DATE(YEAR($A$1),MONTH($A$1),1))</f>
        <v>#REF!</v>
      </c>
      <c r="J75" s="1285" t="e">
        <f>COUNTIFS(#REF!,1,#REF!,A75,#REF!,"&lt;="&amp;$A$1,#REF!,"&gt;="&amp;DATE(YEAR($A$1),MONTH($A$1),1))</f>
        <v>#REF!</v>
      </c>
      <c r="K75" s="1296" t="str">
        <f t="shared" si="2"/>
        <v/>
      </c>
      <c r="L75" s="1296" t="str">
        <f t="shared" si="3"/>
        <v/>
      </c>
      <c r="M75" s="1285" t="e">
        <f>COUNTIFS(#REF!,M$69,#REF!,$A75,#REF!,1,#REF!,"&lt;="&amp;$A$1,#REF!,"&gt;="&amp;DATE(YEAR($A$1),MONTH($A$1),1))</f>
        <v>#REF!</v>
      </c>
      <c r="N75" s="1285" t="e">
        <f>COUNTIFS(#REF!,N$69,#REF!,$A75,#REF!,1,#REF!,"&lt;="&amp;$A$1,#REF!,"&gt;="&amp;DATE(YEAR($A$1),MONTH($A$1),1))</f>
        <v>#REF!</v>
      </c>
      <c r="O75" s="1285" t="e">
        <f>COUNTIFS(#REF!,O$69,#REF!,$A75,#REF!,1,#REF!,"&lt;="&amp;$A$1,#REF!,"&gt;="&amp;DATE(YEAR($A$1),MONTH($A$1),1))</f>
        <v>#REF!</v>
      </c>
      <c r="P75" s="1285" t="e">
        <f>COUNTIFS(#REF!,P$69,#REF!,$A75,#REF!,1,#REF!,"&lt;="&amp;$A$1,#REF!,"&gt;="&amp;DATE(YEAR($A$1),MONTH($A$1),1))</f>
        <v>#REF!</v>
      </c>
      <c r="Q75" s="1285" t="e">
        <f>COUNTIFS(#REF!,Q$69,#REF!,$A75,#REF!,1,#REF!,"&lt;="&amp;$A$1,#REF!,"&gt;="&amp;DATE(YEAR($A$1),MONTH($A$1),1))</f>
        <v>#REF!</v>
      </c>
    </row>
    <row r="76" spans="1:21">
      <c r="A76" s="1278" t="s">
        <v>114</v>
      </c>
      <c r="B76" s="1590">
        <v>477.12</v>
      </c>
      <c r="C76" s="1590">
        <v>26369682</v>
      </c>
      <c r="D76" s="1278">
        <f>SUM(D70:D75)</f>
        <v>6</v>
      </c>
      <c r="E76" s="1591">
        <f>SUM(E70:E75)</f>
        <v>327.10000000000002</v>
      </c>
      <c r="F76" s="1592">
        <f>SUM(F70:F75)</f>
        <v>12844430.4</v>
      </c>
      <c r="G76" s="1593">
        <f>SUM(G70:G75)</f>
        <v>4</v>
      </c>
      <c r="H76" s="1594" t="e">
        <f t="shared" ref="H76:Q76" si="4">SUM(H70:H75)</f>
        <v>#REF!</v>
      </c>
      <c r="I76" s="28" t="e">
        <f t="shared" si="4"/>
        <v>#REF!</v>
      </c>
      <c r="J76" s="1594" t="e">
        <f t="shared" si="4"/>
        <v>#REF!</v>
      </c>
      <c r="K76" s="1297" t="str">
        <f t="shared" si="2"/>
        <v/>
      </c>
      <c r="L76" s="1297" t="str">
        <f t="shared" si="3"/>
        <v/>
      </c>
      <c r="M76" s="1594" t="e">
        <f t="shared" si="4"/>
        <v>#REF!</v>
      </c>
      <c r="N76" s="1594" t="e">
        <f t="shared" si="4"/>
        <v>#REF!</v>
      </c>
      <c r="O76" s="1594" t="e">
        <f t="shared" si="4"/>
        <v>#REF!</v>
      </c>
      <c r="P76" s="1614" t="e">
        <f t="shared" si="4"/>
        <v>#REF!</v>
      </c>
      <c r="Q76" s="1594" t="e">
        <f t="shared" si="4"/>
        <v>#REF!</v>
      </c>
    </row>
    <row r="77" spans="1:21">
      <c r="A77" s="20" t="s">
        <v>115</v>
      </c>
      <c r="B77" s="13" t="s">
        <v>100</v>
      </c>
      <c r="C77" s="21" t="s">
        <v>97</v>
      </c>
      <c r="D77" s="12" t="s">
        <v>95</v>
      </c>
      <c r="E77" s="1280" t="s">
        <v>494</v>
      </c>
      <c r="F77" s="12" t="s">
        <v>495</v>
      </c>
      <c r="G77" s="12" t="s">
        <v>496</v>
      </c>
      <c r="H77" s="1280" t="s">
        <v>101</v>
      </c>
      <c r="I77" s="12" t="s">
        <v>98</v>
      </c>
      <c r="J77" s="12" t="s">
        <v>96</v>
      </c>
      <c r="K77" s="1295" t="s">
        <v>102</v>
      </c>
      <c r="L77" s="1295" t="s">
        <v>99</v>
      </c>
      <c r="M77" s="12">
        <v>0</v>
      </c>
      <c r="N77" s="12">
        <v>1</v>
      </c>
      <c r="O77" s="12">
        <v>2</v>
      </c>
      <c r="P77" s="12">
        <v>3</v>
      </c>
      <c r="Q77" s="12">
        <v>4</v>
      </c>
    </row>
    <row r="78" spans="1:21">
      <c r="A78" s="14"/>
      <c r="B78" s="1281"/>
      <c r="C78" s="1281"/>
      <c r="D78" s="14"/>
      <c r="E78" s="1595"/>
      <c r="F78" s="1595"/>
      <c r="G78" s="1596"/>
      <c r="H78" s="1597"/>
      <c r="I78" s="1615"/>
      <c r="J78" s="1597"/>
      <c r="K78" s="1296" t="str">
        <f t="shared" ref="K78:L81" si="5">IFERROR(H78/B78,"")</f>
        <v/>
      </c>
      <c r="L78" s="1296" t="str">
        <f t="shared" si="5"/>
        <v/>
      </c>
      <c r="M78" s="1597"/>
      <c r="N78" s="1615"/>
      <c r="O78" s="1597"/>
      <c r="P78" s="1616"/>
      <c r="Q78" s="1597"/>
    </row>
    <row r="79" spans="1:21">
      <c r="A79" s="14" t="s">
        <v>16</v>
      </c>
      <c r="B79" s="1281">
        <f>B76/D76*D79</f>
        <v>397.59999999999997</v>
      </c>
      <c r="C79" s="1281">
        <f>C76/D76*D79</f>
        <v>21974735</v>
      </c>
      <c r="D79" s="14">
        <v>5</v>
      </c>
      <c r="E79" s="1595">
        <f>SUMIFS(сентябрь4[м2],сентябрь4[ИМ],A79,сентябрь4[№ дома],$C$68)</f>
        <v>327.09999999999997</v>
      </c>
      <c r="F79" s="1595">
        <f>SUMIFS(сентябрь4[сумма без отделки],сентябрь4[ИМ],$A79,сентябрь4[№ дома],$C$68)</f>
        <v>12844430.4</v>
      </c>
      <c r="G79" s="1589">
        <f>COUNTIFS(сентябрь4[ИМ],$A79,сентябрь4[№ дома],$C$68)</f>
        <v>4</v>
      </c>
      <c r="H79" s="1285" t="e">
        <f>SUMIFS(#REF!,#REF!,1,#REF!,A79,#REF!,"&lt;="&amp;$A$1,#REF!,"&gt;="&amp;DATE(YEAR($A$1),MONTH($A$1),1))</f>
        <v>#REF!</v>
      </c>
      <c r="I79" s="1288" t="e">
        <f>SUMIFS(#REF!,#REF!,1,#REF!,A79,#REF!,"&lt;="&amp;$A$1,#REF!,"&gt;="&amp;DATE(YEAR($A$1),MONTH($A$1),1))</f>
        <v>#REF!</v>
      </c>
      <c r="J79" s="1285" t="e">
        <f>COUNTIFS(#REF!,1,#REF!,A79,#REF!,"&lt;="&amp;$A$1,#REF!,"&gt;="&amp;DATE(YEAR($A$1),MONTH($A$1),1))</f>
        <v>#REF!</v>
      </c>
      <c r="K79" s="1296" t="str">
        <f t="shared" si="5"/>
        <v/>
      </c>
      <c r="L79" s="1296" t="str">
        <f t="shared" si="5"/>
        <v/>
      </c>
      <c r="M79" s="1285" t="e">
        <f>COUNTIFS(#REF!,M$69,#REF!,$A79,#REF!,1,#REF!,"&lt;="&amp;$A$1,#REF!,"&gt;="&amp;DATE(YEAR($A$1),MONTH($A$1),1))</f>
        <v>#REF!</v>
      </c>
      <c r="N79" s="1285" t="e">
        <f>COUNTIFS(#REF!,N$69,#REF!,$A79,#REF!,1,#REF!,"&lt;="&amp;$A$1,#REF!,"&gt;="&amp;DATE(YEAR($A$1),MONTH($A$1),1))</f>
        <v>#REF!</v>
      </c>
      <c r="O79" s="1285" t="e">
        <f>COUNTIFS(#REF!,O$69,#REF!,$A79,#REF!,1,#REF!,"&lt;="&amp;$A$1,#REF!,"&gt;="&amp;DATE(YEAR($A$1),MONTH($A$1),1))</f>
        <v>#REF!</v>
      </c>
      <c r="P79" s="1285" t="e">
        <f>COUNTIFS(#REF!,P$69,#REF!,$A79,#REF!,1,#REF!,"&lt;="&amp;$A$1,#REF!,"&gt;="&amp;DATE(YEAR($A$1),MONTH($A$1),1))</f>
        <v>#REF!</v>
      </c>
      <c r="Q79" s="1285" t="e">
        <f>COUNTIFS(#REF!,Q$69,#REF!,$A79,#REF!,1,#REF!,"&lt;="&amp;$A$1,#REF!,"&gt;="&amp;DATE(YEAR($A$1),MONTH($A$1),1))</f>
        <v>#REF!</v>
      </c>
    </row>
    <row r="80" spans="1:21">
      <c r="A80" s="14" t="s">
        <v>575</v>
      </c>
      <c r="B80" s="1281">
        <f>B76/D76*D80</f>
        <v>0</v>
      </c>
      <c r="C80" s="1281">
        <f>C76/D76*D80</f>
        <v>0</v>
      </c>
      <c r="D80" s="14"/>
      <c r="E80" s="1596">
        <f>SUMIFS(сентябрь4[м2],сентябрь4[ИМ],A80,сентябрь4[№ дома],$C$68)</f>
        <v>0</v>
      </c>
      <c r="F80" s="1596">
        <f>SUMIFS(сентябрь4[сумма без отделки],сентябрь4[ИМ],$A80,сентябрь4[№ дома],$C$68)</f>
        <v>0</v>
      </c>
      <c r="G80" s="1596">
        <f>COUNTIFS(сентябрь4[ИМ],$A80,сентябрь4[№ дома],$C$68)</f>
        <v>0</v>
      </c>
      <c r="H80" s="1598" t="e">
        <f>SUMIFS(#REF!,#REF!,1,#REF!,A80,#REF!,"&lt;="&amp;$A$1,#REF!,"&gt;="&amp;DATE(YEAR($A$1),MONTH($A$1),1))</f>
        <v>#REF!</v>
      </c>
      <c r="I80" s="1598" t="e">
        <f>SUMIFS(#REF!,#REF!,1,#REF!,A80,#REF!,"&lt;="&amp;$A$1,#REF!,"&gt;="&amp;DATE(YEAR($A$1),MONTH($A$1),1))</f>
        <v>#REF!</v>
      </c>
      <c r="J80" s="1598" t="e">
        <f>COUNTIFS(#REF!,1,#REF!,A80,#REF!,"&lt;="&amp;$A$1,#REF!,"&gt;="&amp;DATE(YEAR($A$1),MONTH($A$1),1))</f>
        <v>#REF!</v>
      </c>
      <c r="K80" s="1617" t="str">
        <f>IFERROR(H80/B80,"")</f>
        <v/>
      </c>
      <c r="L80" s="1617" t="str">
        <f>IFERROR(I80/C80,"")</f>
        <v/>
      </c>
      <c r="M80" s="1285" t="e">
        <f>COUNTIFS(#REF!,M$69,#REF!,$A80,#REF!,1,#REF!,"&lt;="&amp;$A$1,#REF!,"&gt;="&amp;DATE(YEAR($A$1),MONTH($A$1),1))</f>
        <v>#REF!</v>
      </c>
      <c r="N80" s="1285" t="e">
        <f>COUNTIFS(#REF!,N$69,#REF!,$A80,#REF!,1,#REF!,"&lt;="&amp;$A$1,#REF!,"&gt;="&amp;DATE(YEAR($A$1),MONTH($A$1),1))</f>
        <v>#REF!</v>
      </c>
      <c r="O80" s="1285" t="e">
        <f>COUNTIFS(#REF!,O$69,#REF!,$A80,#REF!,1,#REF!,"&lt;="&amp;$A$1,#REF!,"&gt;="&amp;DATE(YEAR($A$1),MONTH($A$1),1))</f>
        <v>#REF!</v>
      </c>
      <c r="P80" s="1285" t="e">
        <f>COUNTIFS(#REF!,P$69,#REF!,$A80,#REF!,1,#REF!,"&lt;="&amp;$A$1,#REF!,"&gt;="&amp;DATE(YEAR($A$1),MONTH($A$1),1))</f>
        <v>#REF!</v>
      </c>
      <c r="Q80" s="1285" t="e">
        <f>COUNTIFS(#REF!,Q$69,#REF!,$A80,#REF!,1,#REF!,"&lt;="&amp;$A$1,#REF!,"&gt;="&amp;DATE(YEAR($A$1),MONTH($A$1),1))</f>
        <v>#REF!</v>
      </c>
    </row>
    <row r="81" spans="1:17">
      <c r="A81" s="1278" t="s">
        <v>114</v>
      </c>
      <c r="B81" s="1590">
        <f t="shared" ref="B81:G81" si="6">SUM(B78:B79)</f>
        <v>397.59999999999997</v>
      </c>
      <c r="C81" s="1590">
        <f t="shared" si="6"/>
        <v>21974735</v>
      </c>
      <c r="D81" s="1278">
        <f>SUM(D79:D80)</f>
        <v>5</v>
      </c>
      <c r="E81" s="1592">
        <f t="shared" si="6"/>
        <v>327.09999999999997</v>
      </c>
      <c r="F81" s="1592">
        <f t="shared" si="6"/>
        <v>12844430.4</v>
      </c>
      <c r="G81" s="1278">
        <f t="shared" si="6"/>
        <v>4</v>
      </c>
      <c r="H81" s="1594" t="e">
        <f>SUM(H79)</f>
        <v>#REF!</v>
      </c>
      <c r="I81" s="18" t="e">
        <f>SUM(I79)</f>
        <v>#REF!</v>
      </c>
      <c r="J81" s="1594" t="e">
        <f>SUM(J79)</f>
        <v>#REF!</v>
      </c>
      <c r="K81" s="1299" t="e">
        <f>H81/B81</f>
        <v>#REF!</v>
      </c>
      <c r="L81" s="1297" t="str">
        <f t="shared" si="5"/>
        <v/>
      </c>
      <c r="M81" s="9" t="e">
        <f>SUM(M78:M79)</f>
        <v>#REF!</v>
      </c>
      <c r="N81" s="9" t="e">
        <f>SUM(N78:N79)</f>
        <v>#REF!</v>
      </c>
      <c r="O81" s="9" t="e">
        <f>SUM(O78:O79)</f>
        <v>#REF!</v>
      </c>
      <c r="P81" s="1300" t="e">
        <f>SUM(P78:P79)</f>
        <v>#REF!</v>
      </c>
      <c r="Q81" s="9" t="e">
        <f>SUM(Q78:Q79)</f>
        <v>#REF!</v>
      </c>
    </row>
    <row r="82" spans="1:17">
      <c r="A82" s="7"/>
      <c r="B82" s="1599"/>
      <c r="C82" s="1599"/>
      <c r="D82" s="7"/>
      <c r="E82" s="1600"/>
      <c r="F82" s="1600"/>
      <c r="G82" s="7"/>
      <c r="H82" s="134"/>
      <c r="I82" s="134"/>
      <c r="J82" s="134"/>
      <c r="K82" s="1301"/>
      <c r="L82" s="1301"/>
      <c r="M82" s="134"/>
      <c r="N82" s="134"/>
      <c r="O82" s="930"/>
      <c r="P82" s="1618"/>
    </row>
    <row r="83" spans="1:17">
      <c r="A83" s="2288" t="s">
        <v>411</v>
      </c>
      <c r="B83" s="2289"/>
      <c r="C83" s="1590" t="s">
        <v>121</v>
      </c>
      <c r="D83" s="1279"/>
      <c r="E83" s="1601"/>
      <c r="F83" s="1601"/>
      <c r="G83" s="1279"/>
      <c r="H83" s="1279"/>
      <c r="I83" s="1279"/>
      <c r="J83" s="1279"/>
      <c r="K83" s="1619"/>
      <c r="L83" s="1619"/>
      <c r="M83" s="1279"/>
      <c r="N83" s="1279"/>
      <c r="O83" s="1279"/>
      <c r="P83" s="1294"/>
      <c r="Q83" s="1279"/>
    </row>
    <row r="84" spans="1:17">
      <c r="A84" s="12" t="s">
        <v>1</v>
      </c>
      <c r="B84" s="21" t="s">
        <v>100</v>
      </c>
      <c r="C84" s="21" t="s">
        <v>97</v>
      </c>
      <c r="D84" s="12" t="s">
        <v>95</v>
      </c>
      <c r="E84" s="1280" t="s">
        <v>494</v>
      </c>
      <c r="F84" s="12" t="s">
        <v>495</v>
      </c>
      <c r="G84" s="12" t="s">
        <v>496</v>
      </c>
      <c r="H84" s="1280" t="s">
        <v>101</v>
      </c>
      <c r="I84" s="12" t="s">
        <v>98</v>
      </c>
      <c r="J84" s="12" t="s">
        <v>96</v>
      </c>
      <c r="K84" s="1295" t="s">
        <v>102</v>
      </c>
      <c r="L84" s="1295" t="s">
        <v>99</v>
      </c>
      <c r="M84" s="12">
        <v>0</v>
      </c>
      <c r="N84" s="12">
        <v>1</v>
      </c>
      <c r="O84" s="12">
        <v>2</v>
      </c>
      <c r="P84" s="12">
        <v>3</v>
      </c>
      <c r="Q84" s="12">
        <v>4</v>
      </c>
    </row>
    <row r="85" spans="1:17">
      <c r="A85" s="14" t="s">
        <v>73</v>
      </c>
      <c r="B85" s="1602">
        <f t="shared" ref="B85:B90" si="7">$B$91/$D$91*D85</f>
        <v>102.58823529411765</v>
      </c>
      <c r="C85" s="1281">
        <f t="shared" ref="C85:C90" si="8">$C$91/$D$91*D85</f>
        <v>6964211.5294117648</v>
      </c>
      <c r="D85" s="14">
        <v>2</v>
      </c>
      <c r="E85" s="1588">
        <f>SUMIFS(сентябрь4[м2],сентябрь4[МОП],$A85,сентябрь4[№ дома],$C$83)</f>
        <v>76.56</v>
      </c>
      <c r="F85" s="1595">
        <f>SUMIFS(сентябрь4[сумма без отделки],сентябрь4[МОП],$A85,сентябрь4[№ дома],$C$83)</f>
        <v>4707603.9600000009</v>
      </c>
      <c r="G85" s="1589">
        <f>COUNTIFS(сентябрь4[МОП],$A85,сентябрь4[№ дома],$C$83)</f>
        <v>1</v>
      </c>
      <c r="H85" s="1285" t="e">
        <f>SUMIFS(#REF!,#REF!,2,#REF!,A85,#REF!,"&lt;="&amp;$A$1,#REF!,"&gt;="&amp;DATE(YEAR($A$1),MONTH($A$1),1))</f>
        <v>#REF!</v>
      </c>
      <c r="I85" s="1288" t="e">
        <f>SUMIFS(#REF!,#REF!,2,#REF!,A85,#REF!,"&lt;="&amp;$A$1,#REF!,"&gt;="&amp;DATE(YEAR($A$1),MONTH($A$1),1))</f>
        <v>#REF!</v>
      </c>
      <c r="J85" s="1285" t="e">
        <f>COUNTIFS(#REF!,2,#REF!,A85,#REF!,"&lt;="&amp;$A$1,#REF!,"&gt;="&amp;DATE(YEAR($A$1),MONTH($A$1),1))</f>
        <v>#REF!</v>
      </c>
      <c r="K85" s="1296" t="str">
        <f t="shared" ref="K85:L91" si="9">IFERROR(H85/B85,"")</f>
        <v/>
      </c>
      <c r="L85" s="1296" t="str">
        <f t="shared" si="9"/>
        <v/>
      </c>
      <c r="M85" s="1285" t="e">
        <f>COUNTIFS(#REF!,M$69,#REF!,$A85,#REF!,2,#REF!,"&lt;="&amp;$A$1,#REF!,"&gt;="&amp;DATE(YEAR($A$1),MONTH($A$1),1))</f>
        <v>#REF!</v>
      </c>
      <c r="N85" s="1285" t="e">
        <f>COUNTIFS(#REF!,N$69,#REF!,$A85,#REF!,2,#REF!,"&lt;="&amp;$A$1,#REF!,"&gt;="&amp;DATE(YEAR($A$1),MONTH($A$1),1))</f>
        <v>#REF!</v>
      </c>
      <c r="O85" s="1285" t="e">
        <f>COUNTIFS(#REF!,O$69,#REF!,$A85,#REF!,2,#REF!,"&lt;="&amp;$A$1,#REF!,"&gt;="&amp;DATE(YEAR($A$1),MONTH($A$1),1))</f>
        <v>#REF!</v>
      </c>
      <c r="P85" s="1285" t="e">
        <f>COUNTIFS(#REF!,P$69,#REF!,$A85,#REF!,2,#REF!,"&lt;="&amp;$A$1,#REF!,"&gt;="&amp;DATE(YEAR($A$1),MONTH($A$1),1))</f>
        <v>#REF!</v>
      </c>
      <c r="Q85" s="1285" t="e">
        <f>COUNTIFS(#REF!,Q$69,#REF!,$A85,#REF!,2,#REF!,"&lt;="&amp;$A$1,#REF!,"&gt;="&amp;DATE(YEAR($A$1),MONTH($A$1),1))</f>
        <v>#REF!</v>
      </c>
    </row>
    <row r="86" spans="1:17">
      <c r="A86" s="14" t="s">
        <v>407</v>
      </c>
      <c r="B86" s="1281">
        <f t="shared" si="7"/>
        <v>153.88235294117646</v>
      </c>
      <c r="C86" s="1281">
        <f t="shared" si="8"/>
        <v>10446317.294117648</v>
      </c>
      <c r="D86" s="14">
        <v>3</v>
      </c>
      <c r="E86" s="1588">
        <f>SUMIFS(сентябрь4[м2],сентябрь4[МОП],$A86,сентябрь4[№ дома],$C$83)</f>
        <v>141.39000000000001</v>
      </c>
      <c r="F86" s="1595">
        <f>SUMIFS(сентябрь4[сумма без отделки],сентябрь4[МОП],$A86,сентябрь4[№ дома],$C$83)</f>
        <v>9356107.4299999997</v>
      </c>
      <c r="G86" s="1589">
        <f>COUNTIFS(сентябрь4[МОП],$A86,сентябрь4[№ дома],$C$83)</f>
        <v>3</v>
      </c>
      <c r="H86" s="1285" t="e">
        <f>SUMIFS(#REF!,#REF!,2,#REF!,A86,#REF!,"&lt;="&amp;$A$1,#REF!,"&gt;="&amp;DATE(YEAR($A$1),MONTH($A$1),1))</f>
        <v>#REF!</v>
      </c>
      <c r="I86" s="1288" t="e">
        <f>SUMIFS(#REF!,#REF!,2,#REF!,A86,#REF!,"&lt;="&amp;$A$1,#REF!,"&gt;="&amp;DATE(YEAR($A$1),MONTH($A$1),1))</f>
        <v>#REF!</v>
      </c>
      <c r="J86" s="1285" t="e">
        <f>COUNTIFS(#REF!,2,#REF!,A86,#REF!,"&lt;="&amp;$A$1,#REF!,"&gt;="&amp;DATE(YEAR($A$1),MONTH($A$1),1))</f>
        <v>#REF!</v>
      </c>
      <c r="K86" s="1296" t="str">
        <f t="shared" si="9"/>
        <v/>
      </c>
      <c r="L86" s="1296" t="str">
        <f t="shared" si="9"/>
        <v/>
      </c>
      <c r="M86" s="1285" t="e">
        <f>COUNTIFS(#REF!,M$69,#REF!,$A86,#REF!,2,#REF!,"&lt;="&amp;$A$1,#REF!,"&gt;="&amp;DATE(YEAR($A$1),MONTH($A$1),1))</f>
        <v>#REF!</v>
      </c>
      <c r="N86" s="1285" t="e">
        <f>COUNTIFS(#REF!,N$69,#REF!,$A86,#REF!,2,#REF!,"&lt;="&amp;$A$1,#REF!,"&gt;="&amp;DATE(YEAR($A$1),MONTH($A$1),1))</f>
        <v>#REF!</v>
      </c>
      <c r="O86" s="1285" t="e">
        <f>COUNTIFS(#REF!,O$69,#REF!,$A86,#REF!,2,#REF!,"&lt;="&amp;$A$1,#REF!,"&gt;="&amp;DATE(YEAR($A$1),MONTH($A$1),1))</f>
        <v>#REF!</v>
      </c>
      <c r="P86" s="1285" t="e">
        <f>COUNTIFS(#REF!,P$69,#REF!,$A86,#REF!,2,#REF!,"&lt;="&amp;$A$1,#REF!,"&gt;="&amp;DATE(YEAR($A$1),MONTH($A$1),1))</f>
        <v>#REF!</v>
      </c>
      <c r="Q86" s="1285" t="e">
        <f>COUNTIFS(#REF!,Q$69,#REF!,$A86,#REF!,2,#REF!,"&lt;="&amp;$A$1,#REF!,"&gt;="&amp;DATE(YEAR($A$1),MONTH($A$1),1))</f>
        <v>#REF!</v>
      </c>
    </row>
    <row r="87" spans="1:17">
      <c r="A87" s="14" t="s">
        <v>77</v>
      </c>
      <c r="B87" s="1281">
        <f t="shared" si="7"/>
        <v>153.88235294117646</v>
      </c>
      <c r="C87" s="1281">
        <f t="shared" si="8"/>
        <v>10446317.294117648</v>
      </c>
      <c r="D87" s="14">
        <v>3</v>
      </c>
      <c r="E87" s="1588">
        <f>SUMIFS(сентябрь4[м2],сентябрь4[МОП],$A87,сентябрь4[№ дома],$C$83)</f>
        <v>193.20000000000002</v>
      </c>
      <c r="F87" s="1595">
        <f>SUMIFS(сентябрь4[сумма без отделки],сентябрь4[МОП],$A87,сентябрь4[№ дома],$C$83)</f>
        <v>12427867.940000001</v>
      </c>
      <c r="G87" s="1589">
        <f>COUNTIFS(сентябрь4[МОП],$A87,сентябрь4[№ дома],$C$83)</f>
        <v>4</v>
      </c>
      <c r="H87" s="1285" t="e">
        <f>SUMIFS(#REF!,#REF!,2,#REF!,A87,#REF!,"&lt;="&amp;$A$1,#REF!,"&gt;="&amp;DATE(YEAR($A$1),MONTH($A$1),1))</f>
        <v>#REF!</v>
      </c>
      <c r="I87" s="1288" t="e">
        <f>SUMIFS(#REF!,#REF!,2,#REF!,A87,#REF!,"&lt;="&amp;$A$1,#REF!,"&gt;="&amp;DATE(YEAR($A$1),MONTH($A$1),1))</f>
        <v>#REF!</v>
      </c>
      <c r="J87" s="1285" t="e">
        <f>COUNTIFS(#REF!,2,#REF!,A87,#REF!,"&lt;="&amp;$A$1,#REF!,"&gt;="&amp;DATE(YEAR($A$1),MONTH($A$1),1))</f>
        <v>#REF!</v>
      </c>
      <c r="K87" s="1296" t="str">
        <f t="shared" si="9"/>
        <v/>
      </c>
      <c r="L87" s="1296" t="str">
        <f t="shared" si="9"/>
        <v/>
      </c>
      <c r="M87" s="1285" t="e">
        <f>COUNTIFS(#REF!,M$69,#REF!,$A87,#REF!,2,#REF!,"&lt;="&amp;$A$1,#REF!,"&gt;="&amp;DATE(YEAR($A$1),MONTH($A$1),1))</f>
        <v>#REF!</v>
      </c>
      <c r="N87" s="1285" t="e">
        <f>COUNTIFS(#REF!,N$69,#REF!,$A87,#REF!,2,#REF!,"&lt;="&amp;$A$1,#REF!,"&gt;="&amp;DATE(YEAR($A$1),MONTH($A$1),1))</f>
        <v>#REF!</v>
      </c>
      <c r="O87" s="1285" t="e">
        <f>COUNTIFS(#REF!,O$69,#REF!,$A87,#REF!,2,#REF!,"&lt;="&amp;$A$1,#REF!,"&gt;="&amp;DATE(YEAR($A$1),MONTH($A$1),1))</f>
        <v>#REF!</v>
      </c>
      <c r="P87" s="1285" t="e">
        <f>COUNTIFS(#REF!,P$69,#REF!,$A87,#REF!,2,#REF!,"&lt;="&amp;$A$1,#REF!,"&gt;="&amp;DATE(YEAR($A$1),MONTH($A$1),1))</f>
        <v>#REF!</v>
      </c>
      <c r="Q87" s="1285" t="e">
        <f>COUNTIFS(#REF!,Q$69,#REF!,$A87,#REF!,2,#REF!,"&lt;="&amp;$A$1,#REF!,"&gt;="&amp;DATE(YEAR($A$1),MONTH($A$1),1))</f>
        <v>#REF!</v>
      </c>
    </row>
    <row r="88" spans="1:17">
      <c r="A88" s="14" t="s">
        <v>471</v>
      </c>
      <c r="B88" s="1281">
        <f t="shared" si="7"/>
        <v>153.88235294117646</v>
      </c>
      <c r="C88" s="1281">
        <f t="shared" si="8"/>
        <v>10446317.294117648</v>
      </c>
      <c r="D88" s="14">
        <v>3</v>
      </c>
      <c r="E88" s="1588">
        <f>SUMIFS(сентябрь4[м2],сентябрь4[МОП],$A88,сентябрь4[№ дома],$C$83)</f>
        <v>25.85</v>
      </c>
      <c r="F88" s="1595">
        <f>SUMIFS(сентябрь4[сумма без отделки],сентябрь4[МОП],$A88,сентябрь4[№ дома],$C$83)</f>
        <v>1816484.67</v>
      </c>
      <c r="G88" s="1589">
        <f>COUNTIFS(сентябрь4[МОП],$A88,сентябрь4[№ дома],$C$83)</f>
        <v>1</v>
      </c>
      <c r="H88" s="1285" t="e">
        <f>SUMIFS(#REF!,#REF!,2,#REF!,A88,#REF!,"&lt;="&amp;$A$1,#REF!,"&gt;="&amp;DATE(YEAR($A$1),MONTH($A$1),1))</f>
        <v>#REF!</v>
      </c>
      <c r="I88" s="1288" t="e">
        <f>SUMIFS(#REF!,#REF!,2,#REF!,A88,#REF!,"&lt;="&amp;$A$1,#REF!,"&gt;="&amp;DATE(YEAR($A$1),MONTH($A$1),1))</f>
        <v>#REF!</v>
      </c>
      <c r="J88" s="1285" t="e">
        <f>COUNTIFS(#REF!,2,#REF!,A88,#REF!,"&lt;="&amp;$A$1,#REF!,"&gt;="&amp;DATE(YEAR($A$1),MONTH($A$1),1))</f>
        <v>#REF!</v>
      </c>
      <c r="K88" s="1296" t="str">
        <f t="shared" si="9"/>
        <v/>
      </c>
      <c r="L88" s="1296" t="str">
        <f t="shared" si="9"/>
        <v/>
      </c>
      <c r="M88" s="1285" t="e">
        <f>COUNTIFS(#REF!,M$69,#REF!,$A88,#REF!,2,#REF!,"&lt;="&amp;$A$1,#REF!,"&gt;="&amp;DATE(YEAR($A$1),MONTH($A$1),1))</f>
        <v>#REF!</v>
      </c>
      <c r="N88" s="1285" t="e">
        <f>COUNTIFS(#REF!,N$69,#REF!,$A88,#REF!,2,#REF!,"&lt;="&amp;$A$1,#REF!,"&gt;="&amp;DATE(YEAR($A$1),MONTH($A$1),1))</f>
        <v>#REF!</v>
      </c>
      <c r="O88" s="1285" t="e">
        <f>COUNTIFS(#REF!,O$69,#REF!,$A88,#REF!,2,#REF!,"&lt;="&amp;$A$1,#REF!,"&gt;="&amp;DATE(YEAR($A$1),MONTH($A$1),1))</f>
        <v>#REF!</v>
      </c>
      <c r="P88" s="1285" t="e">
        <f>COUNTIFS(#REF!,P$69,#REF!,$A88,#REF!,2,#REF!,"&lt;="&amp;$A$1,#REF!,"&gt;="&amp;DATE(YEAR($A$1),MONTH($A$1),1))</f>
        <v>#REF!</v>
      </c>
      <c r="Q88" s="1285" t="e">
        <f>COUNTIFS(#REF!,Q$69,#REF!,$A88,#REF!,2,#REF!,"&lt;="&amp;$A$1,#REF!,"&gt;="&amp;DATE(YEAR($A$1),MONTH($A$1),1))</f>
        <v>#REF!</v>
      </c>
    </row>
    <row r="89" spans="1:17">
      <c r="A89" s="14" t="s">
        <v>20</v>
      </c>
      <c r="B89" s="1281">
        <f t="shared" si="7"/>
        <v>153.88235294117646</v>
      </c>
      <c r="C89" s="1281">
        <f t="shared" si="8"/>
        <v>10446317.294117648</v>
      </c>
      <c r="D89" s="14">
        <v>3</v>
      </c>
      <c r="E89" s="1588">
        <f>SUMIFS(сентябрь4[м2],сентябрь4[МОП],$A89,сентябрь4[№ дома],$C$83)</f>
        <v>158.70000000000002</v>
      </c>
      <c r="F89" s="1595">
        <f>SUMIFS(сентябрь4[сумма без отделки],сентябрь4[МОП],$A89,сентябрь4[№ дома],$C$83)</f>
        <v>9110369.8200000003</v>
      </c>
      <c r="G89" s="1589">
        <f>COUNTIFS(сентябрь4[МОП],$A89,сентябрь4[№ дома],$C$83)</f>
        <v>3</v>
      </c>
      <c r="H89" s="1285" t="e">
        <f>SUMIFS(#REF!,#REF!,2,#REF!,A89,#REF!,"&lt;="&amp;$A$1,#REF!,"&gt;="&amp;DATE(YEAR($A$1),MONTH($A$1),1))</f>
        <v>#REF!</v>
      </c>
      <c r="I89" s="1288" t="e">
        <f>SUMIFS(#REF!,#REF!,2,#REF!,A89,#REF!,"&lt;="&amp;$A$1,#REF!,"&gt;="&amp;DATE(YEAR($A$1),MONTH($A$1),1))</f>
        <v>#REF!</v>
      </c>
      <c r="J89" s="1285" t="e">
        <f>COUNTIFS(#REF!,2,#REF!,A89,#REF!,"&lt;="&amp;$A$1,#REF!,"&gt;="&amp;DATE(YEAR($A$1),MONTH($A$1),1))</f>
        <v>#REF!</v>
      </c>
      <c r="K89" s="1296" t="str">
        <f t="shared" si="9"/>
        <v/>
      </c>
      <c r="L89" s="1296" t="str">
        <f t="shared" si="9"/>
        <v/>
      </c>
      <c r="M89" s="1285" t="e">
        <f>COUNTIFS(#REF!,M$69,#REF!,$A89,#REF!,2,#REF!,"&lt;="&amp;$A$1,#REF!,"&gt;="&amp;DATE(YEAR($A$1),MONTH($A$1),1))</f>
        <v>#REF!</v>
      </c>
      <c r="N89" s="1285" t="e">
        <f>COUNTIFS(#REF!,N$69,#REF!,$A89,#REF!,2,#REF!,"&lt;="&amp;$A$1,#REF!,"&gt;="&amp;DATE(YEAR($A$1),MONTH($A$1),1))</f>
        <v>#REF!</v>
      </c>
      <c r="O89" s="1285" t="e">
        <f>COUNTIFS(#REF!,O$69,#REF!,$A89,#REF!,2,#REF!,"&lt;="&amp;$A$1,#REF!,"&gt;="&amp;DATE(YEAR($A$1),MONTH($A$1),1))</f>
        <v>#REF!</v>
      </c>
      <c r="P89" s="1285" t="e">
        <f>COUNTIFS(#REF!,P$69,#REF!,$A89,#REF!,2,#REF!,"&lt;="&amp;$A$1,#REF!,"&gt;="&amp;DATE(YEAR($A$1),MONTH($A$1),1))</f>
        <v>#REF!</v>
      </c>
      <c r="Q89" s="1285" t="e">
        <f>COUNTIFS(#REF!,Q$69,#REF!,$A89,#REF!,2,#REF!,"&lt;="&amp;$A$1,#REF!,"&gt;="&amp;DATE(YEAR($A$1),MONTH($A$1),1))</f>
        <v>#REF!</v>
      </c>
    </row>
    <row r="90" spans="1:17">
      <c r="A90" s="14" t="s">
        <v>63</v>
      </c>
      <c r="B90" s="1281">
        <f t="shared" si="7"/>
        <v>153.88235294117646</v>
      </c>
      <c r="C90" s="1281">
        <f t="shared" si="8"/>
        <v>10446317.294117648</v>
      </c>
      <c r="D90" s="14">
        <v>3</v>
      </c>
      <c r="E90" s="1588">
        <f>SUMIFS(сентябрь4[м2],сентябрь4[МОП],$A90,сентябрь4[№ дома],$C$83)</f>
        <v>110.81</v>
      </c>
      <c r="F90" s="1595">
        <f>SUMIFS(сентябрь4[сумма без отделки],сентябрь4[МОП],$A90,сентябрь4[№ дома],$C$83)</f>
        <v>6154502.6799999997</v>
      </c>
      <c r="G90" s="1589">
        <f>COUNTIFS(сентябрь4[МОП],$A90,сентябрь4[№ дома],$C$83)</f>
        <v>2</v>
      </c>
      <c r="H90" s="1285" t="e">
        <f>SUMIFS(#REF!,#REF!,2,#REF!,A90,#REF!,"&lt;="&amp;$A$1,#REF!,"&gt;="&amp;DATE(YEAR($A$1),MONTH($A$1),1))</f>
        <v>#REF!</v>
      </c>
      <c r="I90" s="1288" t="e">
        <f>SUMIFS(#REF!,#REF!,2,#REF!,A90,#REF!,"&lt;="&amp;$A$1,#REF!,"&gt;="&amp;DATE(YEAR($A$1),MONTH($A$1),1))</f>
        <v>#REF!</v>
      </c>
      <c r="J90" s="1285" t="e">
        <f>COUNTIFS(#REF!,2,#REF!,A90,#REF!,"&lt;="&amp;$A$1,#REF!,"&gt;="&amp;DATE(YEAR($A$1),MONTH($A$1),1))</f>
        <v>#REF!</v>
      </c>
      <c r="K90" s="1296" t="str">
        <f t="shared" si="9"/>
        <v/>
      </c>
      <c r="L90" s="1296" t="str">
        <f t="shared" si="9"/>
        <v/>
      </c>
      <c r="M90" s="1285" t="e">
        <f>COUNTIFS(#REF!,M$69,#REF!,$A90,#REF!,2,#REF!,"&lt;="&amp;$A$1,#REF!,"&gt;="&amp;DATE(YEAR($A$1),MONTH($A$1),1))</f>
        <v>#REF!</v>
      </c>
      <c r="N90" s="1285" t="e">
        <f>COUNTIFS(#REF!,N$69,#REF!,$A90,#REF!,2,#REF!,"&lt;="&amp;$A$1,#REF!,"&gt;="&amp;DATE(YEAR($A$1),MONTH($A$1),1))</f>
        <v>#REF!</v>
      </c>
      <c r="O90" s="1285" t="e">
        <f>COUNTIFS(#REF!,O$69,#REF!,$A90,#REF!,2,#REF!,"&lt;="&amp;$A$1,#REF!,"&gt;="&amp;DATE(YEAR($A$1),MONTH($A$1),1))</f>
        <v>#REF!</v>
      </c>
      <c r="P90" s="1285" t="e">
        <f>COUNTIFS(#REF!,P$69,#REF!,$A90,#REF!,2,#REF!,"&lt;="&amp;$A$1,#REF!,"&gt;="&amp;DATE(YEAR($A$1),MONTH($A$1),1))</f>
        <v>#REF!</v>
      </c>
      <c r="Q90" s="1285" t="e">
        <f>COUNTIFS(#REF!,Q$69,#REF!,$A90,#REF!,2,#REF!,"&lt;="&amp;$A$1,#REF!,"&gt;="&amp;DATE(YEAR($A$1),MONTH($A$1),1))</f>
        <v>#REF!</v>
      </c>
    </row>
    <row r="91" spans="1:17">
      <c r="A91" s="1278" t="s">
        <v>114</v>
      </c>
      <c r="B91" s="1286">
        <v>872</v>
      </c>
      <c r="C91" s="1286">
        <v>59195798</v>
      </c>
      <c r="D91" s="27">
        <f>SUM(D85:D90)</f>
        <v>17</v>
      </c>
      <c r="E91" s="27">
        <f>SUM(E85:E90)</f>
        <v>706.51</v>
      </c>
      <c r="F91" s="27">
        <f>SUM(F85:F90)</f>
        <v>43572936.5</v>
      </c>
      <c r="G91" s="1278">
        <f>SUM(G85:G90)</f>
        <v>14</v>
      </c>
      <c r="H91" s="1594" t="e">
        <f t="shared" ref="H91:Q91" si="10">SUM(H85:H90)</f>
        <v>#REF!</v>
      </c>
      <c r="I91" s="18" t="e">
        <f t="shared" si="10"/>
        <v>#REF!</v>
      </c>
      <c r="J91" s="1594" t="e">
        <f t="shared" si="10"/>
        <v>#REF!</v>
      </c>
      <c r="K91" s="1297" t="str">
        <f t="shared" si="9"/>
        <v/>
      </c>
      <c r="L91" s="1297" t="str">
        <f t="shared" si="9"/>
        <v/>
      </c>
      <c r="M91" s="1594" t="e">
        <f t="shared" si="10"/>
        <v>#REF!</v>
      </c>
      <c r="N91" s="1594" t="e">
        <f t="shared" si="10"/>
        <v>#REF!</v>
      </c>
      <c r="O91" s="1594" t="e">
        <f t="shared" si="10"/>
        <v>#REF!</v>
      </c>
      <c r="P91" s="1614" t="e">
        <f t="shared" si="10"/>
        <v>#REF!</v>
      </c>
      <c r="Q91" s="1594" t="e">
        <f t="shared" si="10"/>
        <v>#REF!</v>
      </c>
    </row>
    <row r="92" spans="1:17">
      <c r="A92" s="20" t="s">
        <v>115</v>
      </c>
      <c r="B92" s="21" t="s">
        <v>100</v>
      </c>
      <c r="C92" s="21" t="s">
        <v>97</v>
      </c>
      <c r="D92" s="12" t="s">
        <v>95</v>
      </c>
      <c r="E92" s="1280" t="s">
        <v>494</v>
      </c>
      <c r="F92" s="12" t="s">
        <v>495</v>
      </c>
      <c r="G92" s="12" t="s">
        <v>496</v>
      </c>
      <c r="H92" s="1280" t="s">
        <v>101</v>
      </c>
      <c r="I92" s="12" t="s">
        <v>98</v>
      </c>
      <c r="J92" s="12" t="s">
        <v>96</v>
      </c>
      <c r="K92" s="1295" t="s">
        <v>102</v>
      </c>
      <c r="L92" s="1295" t="s">
        <v>99</v>
      </c>
      <c r="M92" s="12">
        <v>0</v>
      </c>
      <c r="N92" s="12">
        <v>1</v>
      </c>
      <c r="O92" s="12">
        <v>2</v>
      </c>
      <c r="P92" s="12">
        <v>3</v>
      </c>
      <c r="Q92" s="12">
        <v>4</v>
      </c>
    </row>
    <row r="93" spans="1:17">
      <c r="A93" s="14" t="s">
        <v>16</v>
      </c>
      <c r="B93" s="1281">
        <f>B91/D91*D93</f>
        <v>666.82352941176475</v>
      </c>
      <c r="C93" s="1281">
        <f>C91/D91*D93</f>
        <v>45267374.941176474</v>
      </c>
      <c r="D93" s="1603">
        <v>13</v>
      </c>
      <c r="E93" s="1595">
        <f>SUMIFS(сентябрь4[м2],сентябрь4[ИМ],A93,сентябрь4[№ дома],$C$83)</f>
        <v>549.03</v>
      </c>
      <c r="F93" s="1595">
        <f>SUMIFS(сентябрь4[сумма без отделки],сентябрь4[ИМ],A93,сентябрь4[№ дома],$C$83)</f>
        <v>34870540.490000002</v>
      </c>
      <c r="G93" s="1596">
        <f>COUNTIFS(сентябрь4[ИМ],A93,сентябрь4[№ дома],$C$83)</f>
        <v>10</v>
      </c>
      <c r="H93" s="1285" t="e">
        <f>SUMIFS(#REF!,#REF!,2,#REF!,A93,#REF!,"&lt;="&amp;$A$1,#REF!,"&gt;="&amp;DATE(YEAR($A$1),MONTH($A$1),1))</f>
        <v>#REF!</v>
      </c>
      <c r="I93" s="1288" t="e">
        <f>SUMIFS(#REF!,#REF!,2,#REF!,A93,#REF!,"&lt;="&amp;$A$1,#REF!,"&gt;="&amp;DATE(YEAR($A$1),MONTH($A$1),1))</f>
        <v>#REF!</v>
      </c>
      <c r="J93" s="1285" t="e">
        <f>COUNTIFS(#REF!,2,#REF!,A93,#REF!,"&lt;="&amp;$A$1,#REF!,"&gt;="&amp;DATE(YEAR($A$1),MONTH($A$1),1))</f>
        <v>#REF!</v>
      </c>
      <c r="K93" s="1296" t="str">
        <f t="shared" ref="K93:L95" si="11">IFERROR(H93/B93,"")</f>
        <v/>
      </c>
      <c r="L93" s="1296" t="str">
        <f t="shared" si="11"/>
        <v/>
      </c>
      <c r="M93" s="1285" t="e">
        <f>COUNTIFS(#REF!,M$69,#REF!,$A93,#REF!,2,#REF!,"&lt;="&amp;$A$1,#REF!,"&gt;="&amp;DATE(YEAR($A$1),MONTH($A$1),1))</f>
        <v>#REF!</v>
      </c>
      <c r="N93" s="1285" t="e">
        <f>COUNTIFS(#REF!,N$69,#REF!,$A93,#REF!,2,#REF!,"&lt;="&amp;$A$1,#REF!,"&gt;="&amp;DATE(YEAR($A$1),MONTH($A$1),1))</f>
        <v>#REF!</v>
      </c>
      <c r="O93" s="1285" t="e">
        <f>COUNTIFS(#REF!,O$69,#REF!,$A93,#REF!,2,#REF!,"&lt;="&amp;$A$1,#REF!,"&gt;="&amp;DATE(YEAR($A$1),MONTH($A$1),1))</f>
        <v>#REF!</v>
      </c>
      <c r="P93" s="1285" t="e">
        <f>COUNTIFS(#REF!,P$69,#REF!,$A93,#REF!,2,#REF!,"&lt;="&amp;$A$1,#REF!,"&gt;="&amp;DATE(YEAR($A$1),MONTH($A$1),1))</f>
        <v>#REF!</v>
      </c>
      <c r="Q93" s="1285" t="e">
        <f>COUNTIFS(#REF!,Q$69,#REF!,$A93,#REF!,2,#REF!,"&lt;="&amp;$A$1,#REF!,"&gt;="&amp;DATE(YEAR($A$1),MONTH($A$1),1))</f>
        <v>#REF!</v>
      </c>
    </row>
    <row r="94" spans="1:17">
      <c r="A94" s="14" t="s">
        <v>575</v>
      </c>
      <c r="B94" s="1281">
        <f>B91/D91*D94</f>
        <v>0</v>
      </c>
      <c r="C94" s="1281">
        <f>C91/D91*D94</f>
        <v>0</v>
      </c>
      <c r="D94" s="1603"/>
      <c r="E94" s="1595">
        <f>SUMIFS(сентябрь4[м2],сентябрь4[ИМ],A94,сентябрь4[№ дома],$C$83)</f>
        <v>0</v>
      </c>
      <c r="F94" s="1595">
        <f>SUMIFS(сентябрь4[сумма без отделки],сентябрь4[ИМ],A94,сентябрь4[№ дома],$C$83)</f>
        <v>0</v>
      </c>
      <c r="G94" s="1596">
        <f>COUNTIFS(сентябрь4[ИМ],A94,сентябрь4[№ дома],$C$83)</f>
        <v>0</v>
      </c>
      <c r="H94" s="1285" t="e">
        <f>SUMIFS(#REF!,#REF!,2,#REF!,A94,#REF!,"&lt;="&amp;$A$1,#REF!,"&gt;="&amp;DATE(YEAR($A$1),MONTH($A$1),1))</f>
        <v>#REF!</v>
      </c>
      <c r="I94" s="1285" t="e">
        <f>SUMIFS(#REF!,#REF!,2,#REF!,A94,#REF!,"&lt;="&amp;$A$1,#REF!,"&gt;="&amp;DATE(YEAR($A$1),MONTH($A$1),1))</f>
        <v>#REF!</v>
      </c>
      <c r="J94" s="1285" t="e">
        <f>COUNTIFS(#REF!,2,#REF!,A94,#REF!,"&lt;="&amp;$A$1,#REF!,"&gt;="&amp;DATE(YEAR($A$1),MONTH($A$1),1))</f>
        <v>#REF!</v>
      </c>
      <c r="K94" s="1296" t="str">
        <f t="shared" si="11"/>
        <v/>
      </c>
      <c r="L94" s="1296" t="str">
        <f t="shared" si="11"/>
        <v/>
      </c>
      <c r="M94" s="1285" t="e">
        <f>COUNTIFS(#REF!,M$69,#REF!,$A94,#REF!,2,#REF!,"&lt;="&amp;$A$1,#REF!,"&gt;="&amp;DATE(YEAR($A$1),MONTH($A$1),1))</f>
        <v>#REF!</v>
      </c>
      <c r="N94" s="1285" t="e">
        <f>COUNTIFS(#REF!,N$69,#REF!,$A94,#REF!,2,#REF!,"&lt;="&amp;$A$1,#REF!,"&gt;="&amp;DATE(YEAR($A$1),MONTH($A$1),1))</f>
        <v>#REF!</v>
      </c>
      <c r="O94" s="1285" t="e">
        <f>COUNTIFS(#REF!,O$69,#REF!,$A94,#REF!,2,#REF!,"&lt;="&amp;$A$1,#REF!,"&gt;="&amp;DATE(YEAR($A$1),MONTH($A$1),1))</f>
        <v>#REF!</v>
      </c>
      <c r="P94" s="1285" t="e">
        <f>COUNTIFS(#REF!,P$69,#REF!,$A94,#REF!,2,#REF!,"&lt;="&amp;$A$1,#REF!,"&gt;="&amp;DATE(YEAR($A$1),MONTH($A$1),1))</f>
        <v>#REF!</v>
      </c>
      <c r="Q94" s="1285" t="e">
        <f>COUNTIFS(#REF!,Q$69,#REF!,$A94,#REF!,2,#REF!,"&lt;="&amp;$A$1,#REF!,"&gt;="&amp;DATE(YEAR($A$1),MONTH($A$1),1))</f>
        <v>#REF!</v>
      </c>
    </row>
    <row r="95" spans="1:17">
      <c r="A95" s="1278" t="s">
        <v>114</v>
      </c>
      <c r="B95" s="1590">
        <f>SUM(B93:B94)</f>
        <v>666.82352941176475</v>
      </c>
      <c r="C95" s="1590">
        <f t="shared" ref="C95:J95" si="12">SUM(C93:C94)</f>
        <v>45267374.941176474</v>
      </c>
      <c r="D95" s="1590">
        <f t="shared" si="12"/>
        <v>13</v>
      </c>
      <c r="E95" s="1590">
        <f t="shared" si="12"/>
        <v>549.03</v>
      </c>
      <c r="F95" s="1590">
        <f t="shared" si="12"/>
        <v>34870540.490000002</v>
      </c>
      <c r="G95" s="1590">
        <f t="shared" si="12"/>
        <v>10</v>
      </c>
      <c r="H95" s="1590" t="e">
        <f t="shared" si="12"/>
        <v>#REF!</v>
      </c>
      <c r="I95" s="1590" t="e">
        <f t="shared" si="12"/>
        <v>#REF!</v>
      </c>
      <c r="J95" s="1590" t="e">
        <f t="shared" si="12"/>
        <v>#REF!</v>
      </c>
      <c r="K95" s="1297" t="str">
        <f t="shared" si="11"/>
        <v/>
      </c>
      <c r="L95" s="1297" t="str">
        <f t="shared" si="11"/>
        <v/>
      </c>
      <c r="M95" s="9" t="e">
        <f>SUM(M93:M93)</f>
        <v>#REF!</v>
      </c>
      <c r="N95" s="9" t="e">
        <f>SUM(N93:N93)</f>
        <v>#REF!</v>
      </c>
      <c r="O95" s="9" t="e">
        <f>SUM(O93:O93)</f>
        <v>#REF!</v>
      </c>
      <c r="P95" s="1300" t="e">
        <f>SUM(P93:P93)</f>
        <v>#REF!</v>
      </c>
      <c r="Q95" s="9" t="e">
        <f>SUM(Q93:Q93)</f>
        <v>#REF!</v>
      </c>
    </row>
    <row r="96" spans="1:17">
      <c r="A96" s="7"/>
      <c r="B96" s="1290"/>
      <c r="C96" s="1290"/>
      <c r="D96" s="7"/>
      <c r="E96" s="1600"/>
      <c r="F96" s="1600"/>
      <c r="G96" s="7"/>
      <c r="H96" s="134"/>
      <c r="I96" s="134"/>
      <c r="J96" s="134"/>
      <c r="K96" s="1301"/>
      <c r="L96" s="1301"/>
      <c r="M96" s="134"/>
      <c r="N96" s="38"/>
      <c r="O96" s="930"/>
      <c r="P96" s="1618"/>
      <c r="Q96" s="1627"/>
    </row>
    <row r="97" spans="1:17">
      <c r="A97" s="2288" t="s">
        <v>411</v>
      </c>
      <c r="B97" s="2289"/>
      <c r="C97" s="1590" t="s">
        <v>27</v>
      </c>
      <c r="D97" s="1279"/>
      <c r="E97" s="1601"/>
      <c r="F97" s="1601"/>
      <c r="G97" s="1279"/>
      <c r="H97" s="1279"/>
      <c r="I97" s="1279"/>
      <c r="J97" s="1279"/>
      <c r="K97" s="1619"/>
      <c r="L97" s="1619"/>
      <c r="M97" s="1279"/>
      <c r="N97" s="1279"/>
      <c r="O97" s="1279"/>
      <c r="P97" s="1294"/>
      <c r="Q97" s="1279"/>
    </row>
    <row r="98" spans="1:17">
      <c r="A98" s="12" t="s">
        <v>1</v>
      </c>
      <c r="B98" s="21" t="s">
        <v>100</v>
      </c>
      <c r="C98" s="21" t="s">
        <v>97</v>
      </c>
      <c r="D98" s="12" t="s">
        <v>95</v>
      </c>
      <c r="E98" s="1280" t="s">
        <v>494</v>
      </c>
      <c r="F98" s="12" t="s">
        <v>495</v>
      </c>
      <c r="G98" s="12" t="s">
        <v>496</v>
      </c>
      <c r="H98" s="1280" t="s">
        <v>101</v>
      </c>
      <c r="I98" s="12" t="s">
        <v>98</v>
      </c>
      <c r="J98" s="12" t="s">
        <v>96</v>
      </c>
      <c r="K98" s="1295" t="s">
        <v>102</v>
      </c>
      <c r="L98" s="1295" t="s">
        <v>99</v>
      </c>
      <c r="M98" s="12">
        <v>0</v>
      </c>
      <c r="N98" s="12">
        <v>1</v>
      </c>
      <c r="O98" s="12">
        <v>2</v>
      </c>
      <c r="P98" s="12">
        <v>3</v>
      </c>
      <c r="Q98" s="12">
        <v>4</v>
      </c>
    </row>
    <row r="99" spans="1:17">
      <c r="A99" s="14" t="s">
        <v>73</v>
      </c>
      <c r="B99" s="1281">
        <f t="shared" ref="B99:B104" si="13">$B$105/$D$105*D99</f>
        <v>224.28571428571428</v>
      </c>
      <c r="C99" s="1281">
        <f t="shared" ref="C99:C104" si="14">$C$105/$D$105*D99</f>
        <v>13816966.857142858</v>
      </c>
      <c r="D99" s="14">
        <v>5</v>
      </c>
      <c r="E99" s="1588">
        <f>SUMIFS(сентябрь4[м2],сентябрь4[МОП],$A99,сентябрь4[№ дома],$C$97)</f>
        <v>407.66999999999996</v>
      </c>
      <c r="F99" s="1595">
        <f>SUMIFS(сентябрь4[сумма без отделки],сентябрь4[МОП],$A99,сентябрь4[№ дома],$C$97)</f>
        <v>24290157.280000001</v>
      </c>
      <c r="G99" s="1589">
        <f>COUNTIFS(сентябрь4[МОП],$A99,сентябрь4[№ дома],$C$97)</f>
        <v>11</v>
      </c>
      <c r="H99" s="1285" t="e">
        <f>SUMIFS(#REF!,#REF!,3,#REF!,A99,#REF!,"&lt;="&amp;$A$1,#REF!,"&gt;="&amp;DATE(YEAR($A$1),MONTH($A$1),1))</f>
        <v>#REF!</v>
      </c>
      <c r="I99" s="1620" t="e">
        <f>SUMIFS(#REF!,#REF!,3,#REF!,A99,#REF!,"&lt;="&amp;$A$1,#REF!,"&gt;="&amp;DATE(YEAR($A$1),MONTH($A$1),1))</f>
        <v>#REF!</v>
      </c>
      <c r="J99" s="1285" t="e">
        <f>COUNTIFS(#REF!,3,#REF!,A99,#REF!,"&lt;="&amp;$A$1,#REF!,"&gt;="&amp;DATE(YEAR($A$1),MONTH($A$1),1))</f>
        <v>#REF!</v>
      </c>
      <c r="K99" s="1296" t="str">
        <f t="shared" ref="K99:L105" si="15">IFERROR(H99/B99,"")</f>
        <v/>
      </c>
      <c r="L99" s="1296" t="str">
        <f t="shared" si="15"/>
        <v/>
      </c>
      <c r="M99" s="1285" t="e">
        <f>COUNTIFS(#REF!,M$69,#REF!,$A99,#REF!,3,#REF!,"&lt;="&amp;$A$1,#REF!,"&gt;="&amp;DATE(YEAR($A$1),MONTH($A$1),1))</f>
        <v>#REF!</v>
      </c>
      <c r="N99" s="1285" t="e">
        <f>COUNTIFS(#REF!,N$69,#REF!,$A99,#REF!,3,#REF!,"&lt;="&amp;$A$1,#REF!,"&gt;="&amp;DATE(YEAR($A$1),MONTH($A$1),1))</f>
        <v>#REF!</v>
      </c>
      <c r="O99" s="1285" t="e">
        <f>COUNTIFS(#REF!,O$69,#REF!,$A99,#REF!,3,#REF!,"&lt;="&amp;$A$1,#REF!,"&gt;="&amp;DATE(YEAR($A$1),MONTH($A$1),1))</f>
        <v>#REF!</v>
      </c>
      <c r="P99" s="1285" t="e">
        <f>COUNTIFS(#REF!,P$69,#REF!,$A99,#REF!,3,#REF!,"&lt;="&amp;$A$1,#REF!,"&gt;="&amp;DATE(YEAR($A$1),MONTH($A$1),1))</f>
        <v>#REF!</v>
      </c>
      <c r="Q99" s="1285" t="e">
        <f>COUNTIFS(#REF!,Q$69,#REF!,$A99,#REF!,2,#REF!,"&lt;="&amp;$A$1,#REF!,"&gt;="&amp;DATE(YEAR($A$1),MONTH($A$1),1))</f>
        <v>#REF!</v>
      </c>
    </row>
    <row r="100" spans="1:17">
      <c r="A100" s="14" t="s">
        <v>407</v>
      </c>
      <c r="B100" s="1281">
        <f t="shared" si="13"/>
        <v>269.14285714285711</v>
      </c>
      <c r="C100" s="1281">
        <f t="shared" si="14"/>
        <v>16580360.22857143</v>
      </c>
      <c r="D100" s="14">
        <v>6</v>
      </c>
      <c r="E100" s="1588">
        <f>SUMIFS(сентябрь4[м2],сентябрь4[МОП],$A100,сентябрь4[№ дома],$C$97)</f>
        <v>97.859999999999985</v>
      </c>
      <c r="F100" s="1595">
        <f>SUMIFS(сентябрь4[сумма без отделки],сентябрь4[МОП],$A100,сентябрь4[№ дома],$C$97)</f>
        <v>5958786.7599999998</v>
      </c>
      <c r="G100" s="1589">
        <f>COUNTIFS(сентябрь4[МОП],$A100,сентябрь4[№ дома],$C$97)</f>
        <v>3</v>
      </c>
      <c r="H100" s="1285" t="e">
        <f>SUMIFS(#REF!,#REF!,3,#REF!,A100,#REF!,"&lt;="&amp;$A$1,#REF!,"&gt;="&amp;DATE(YEAR($A$1),MONTH($A$1),1))</f>
        <v>#REF!</v>
      </c>
      <c r="I100" s="1620" t="e">
        <f>SUMIFS(#REF!,#REF!,3,#REF!,A100,#REF!,"&lt;="&amp;$A$1,#REF!,"&gt;="&amp;DATE(YEAR($A$1),MONTH($A$1),1))</f>
        <v>#REF!</v>
      </c>
      <c r="J100" s="1285" t="e">
        <f>COUNTIFS(#REF!,3,#REF!,A100,#REF!,"&lt;="&amp;$A$1,#REF!,"&gt;="&amp;DATE(YEAR($A$1),MONTH($A$1),1))</f>
        <v>#REF!</v>
      </c>
      <c r="K100" s="1296" t="str">
        <f t="shared" si="15"/>
        <v/>
      </c>
      <c r="L100" s="1296" t="str">
        <f t="shared" si="15"/>
        <v/>
      </c>
      <c r="M100" s="1285" t="e">
        <f>COUNTIFS(#REF!,M$69,#REF!,$A100,#REF!,3,#REF!,"&lt;="&amp;$A$1,#REF!,"&gt;="&amp;DATE(YEAR($A$1),MONTH($A$1),1))</f>
        <v>#REF!</v>
      </c>
      <c r="N100" s="1285" t="e">
        <f>COUNTIFS(#REF!,N$69,#REF!,$A100,#REF!,3,#REF!,"&lt;="&amp;$A$1,#REF!,"&gt;="&amp;DATE(YEAR($A$1),MONTH($A$1),1))</f>
        <v>#REF!</v>
      </c>
      <c r="O100" s="1285" t="e">
        <f>COUNTIFS(#REF!,O$69,#REF!,$A100,#REF!,3,#REF!,"&lt;="&amp;$A$1,#REF!,"&gt;="&amp;DATE(YEAR($A$1),MONTH($A$1),1))</f>
        <v>#REF!</v>
      </c>
      <c r="P100" s="1285" t="e">
        <f>COUNTIFS(#REF!,P$69,#REF!,$A100,#REF!,3,#REF!,"&lt;="&amp;$A$1,#REF!,"&gt;="&amp;DATE(YEAR($A$1),MONTH($A$1),1))</f>
        <v>#REF!</v>
      </c>
      <c r="Q100" s="1285" t="e">
        <f>COUNTIFS(#REF!,Q$69,#REF!,$A100,#REF!,2,#REF!,"&lt;="&amp;$A$1,#REF!,"&gt;="&amp;DATE(YEAR($A$1),MONTH($A$1),1))</f>
        <v>#REF!</v>
      </c>
    </row>
    <row r="101" spans="1:17">
      <c r="A101" s="14" t="s">
        <v>77</v>
      </c>
      <c r="B101" s="1281">
        <f t="shared" si="13"/>
        <v>269.14285714285711</v>
      </c>
      <c r="C101" s="1281">
        <f t="shared" si="14"/>
        <v>16580360.22857143</v>
      </c>
      <c r="D101" s="14">
        <v>6</v>
      </c>
      <c r="E101" s="1588">
        <f>SUMIFS(сентябрь4[м2],сентябрь4[МОП],$A101,сентябрь4[№ дома],$C$97)</f>
        <v>314.24</v>
      </c>
      <c r="F101" s="1595">
        <f>SUMIFS(сентябрь4[сумма без отделки],сентябрь4[МОП],$A101,сентябрь4[№ дома],$C$97)</f>
        <v>18374535.350000001</v>
      </c>
      <c r="G101" s="1589">
        <f>COUNTIFS(сентябрь4[МОП],$A101,сентябрь4[№ дома],$C$97)</f>
        <v>8</v>
      </c>
      <c r="H101" s="1285" t="e">
        <f>SUMIFS(#REF!,#REF!,3,#REF!,A101,#REF!,"&lt;="&amp;$A$1,#REF!,"&gt;="&amp;DATE(YEAR($A$1),MONTH($A$1),1))</f>
        <v>#REF!</v>
      </c>
      <c r="I101" s="1620" t="e">
        <f>SUMIFS(#REF!,#REF!,3,#REF!,A101,#REF!,"&lt;="&amp;$A$1,#REF!,"&gt;="&amp;DATE(YEAR($A$1),MONTH($A$1),1))</f>
        <v>#REF!</v>
      </c>
      <c r="J101" s="1285" t="e">
        <f>COUNTIFS(#REF!,3,#REF!,A101,#REF!,"&lt;="&amp;$A$1,#REF!,"&gt;="&amp;DATE(YEAR($A$1),MONTH($A$1),1))</f>
        <v>#REF!</v>
      </c>
      <c r="K101" s="1296" t="str">
        <f t="shared" si="15"/>
        <v/>
      </c>
      <c r="L101" s="1296" t="str">
        <f t="shared" si="15"/>
        <v/>
      </c>
      <c r="M101" s="1285" t="e">
        <f>COUNTIFS(#REF!,M$69,#REF!,$A101,#REF!,3,#REF!,"&lt;="&amp;$A$1,#REF!,"&gt;="&amp;DATE(YEAR($A$1),MONTH($A$1),1))</f>
        <v>#REF!</v>
      </c>
      <c r="N101" s="1285" t="e">
        <f>COUNTIFS(#REF!,N$69,#REF!,$A101,#REF!,3,#REF!,"&lt;="&amp;$A$1,#REF!,"&gt;="&amp;DATE(YEAR($A$1),MONTH($A$1),1))</f>
        <v>#REF!</v>
      </c>
      <c r="O101" s="1285" t="e">
        <f>COUNTIFS(#REF!,O$69,#REF!,$A101,#REF!,3,#REF!,"&lt;="&amp;$A$1,#REF!,"&gt;="&amp;DATE(YEAR($A$1),MONTH($A$1),1))</f>
        <v>#REF!</v>
      </c>
      <c r="P101" s="1285" t="e">
        <f>COUNTIFS(#REF!,P$69,#REF!,$A101,#REF!,3,#REF!,"&lt;="&amp;$A$1,#REF!,"&gt;="&amp;DATE(YEAR($A$1),MONTH($A$1),1))</f>
        <v>#REF!</v>
      </c>
      <c r="Q101" s="1285" t="e">
        <f>COUNTIFS(#REF!,Q$69,#REF!,$A101,#REF!,2,#REF!,"&lt;="&amp;$A$1,#REF!,"&gt;="&amp;DATE(YEAR($A$1),MONTH($A$1),1))</f>
        <v>#REF!</v>
      </c>
    </row>
    <row r="102" spans="1:17">
      <c r="A102" s="14" t="s">
        <v>471</v>
      </c>
      <c r="B102" s="1281">
        <f t="shared" si="13"/>
        <v>269.14285714285711</v>
      </c>
      <c r="C102" s="1281">
        <f t="shared" si="14"/>
        <v>16580360.22857143</v>
      </c>
      <c r="D102" s="14">
        <v>6</v>
      </c>
      <c r="E102" s="1588">
        <f>SUMIFS(сентябрь4[м2],сентябрь4[МОП],$A102,сентябрь4[№ дома],$C$97)</f>
        <v>55.8</v>
      </c>
      <c r="F102" s="1595">
        <f>SUMIFS(сентябрь4[сумма без отделки],сентябрь4[МОП],$A102,сентябрь4[№ дома],$C$97)</f>
        <v>3149849.74</v>
      </c>
      <c r="G102" s="1589">
        <f>COUNTIFS(сентябрь4[МОП],$A102,сентябрь4[№ дома],$C$97)</f>
        <v>1</v>
      </c>
      <c r="H102" s="1285" t="e">
        <f>SUMIFS(#REF!,#REF!,3,#REF!,A102,#REF!,"&lt;="&amp;$A$1,#REF!,"&gt;="&amp;DATE(YEAR($A$1),MONTH($A$1),1))</f>
        <v>#REF!</v>
      </c>
      <c r="I102" s="1620" t="e">
        <f>SUMIFS(#REF!,#REF!,3,#REF!,A102,#REF!,"&lt;="&amp;$A$1,#REF!,"&gt;="&amp;DATE(YEAR($A$1),MONTH($A$1),1))</f>
        <v>#REF!</v>
      </c>
      <c r="J102" s="1285" t="e">
        <f>COUNTIFS(#REF!,3,#REF!,A102,#REF!,"&lt;="&amp;$A$1,#REF!,"&gt;="&amp;DATE(YEAR($A$1),MONTH($A$1),1))</f>
        <v>#REF!</v>
      </c>
      <c r="K102" s="1296" t="str">
        <f t="shared" si="15"/>
        <v/>
      </c>
      <c r="L102" s="1296" t="str">
        <f t="shared" si="15"/>
        <v/>
      </c>
      <c r="M102" s="1285" t="e">
        <f>COUNTIFS(#REF!,M$69,#REF!,$A102,#REF!,3,#REF!,"&lt;="&amp;$A$1,#REF!,"&gt;="&amp;DATE(YEAR($A$1),MONTH($A$1),1))</f>
        <v>#REF!</v>
      </c>
      <c r="N102" s="1285" t="e">
        <f>COUNTIFS(#REF!,N$69,#REF!,$A102,#REF!,3,#REF!,"&lt;="&amp;$A$1,#REF!,"&gt;="&amp;DATE(YEAR($A$1),MONTH($A$1),1))</f>
        <v>#REF!</v>
      </c>
      <c r="O102" s="1285" t="e">
        <f>COUNTIFS(#REF!,O$69,#REF!,$A102,#REF!,3,#REF!,"&lt;="&amp;$A$1,#REF!,"&gt;="&amp;DATE(YEAR($A$1),MONTH($A$1),1))</f>
        <v>#REF!</v>
      </c>
      <c r="P102" s="1285" t="e">
        <f>COUNTIFS(#REF!,P$69,#REF!,$A102,#REF!,3,#REF!,"&lt;="&amp;$A$1,#REF!,"&gt;="&amp;DATE(YEAR($A$1),MONTH($A$1),1))</f>
        <v>#REF!</v>
      </c>
      <c r="Q102" s="1285" t="e">
        <f>COUNTIFS(#REF!,Q$69,#REF!,$A102,#REF!,2,#REF!,"&lt;="&amp;$A$1,#REF!,"&gt;="&amp;DATE(YEAR($A$1),MONTH($A$1),1))</f>
        <v>#REF!</v>
      </c>
    </row>
    <row r="103" spans="1:17">
      <c r="A103" s="14" t="s">
        <v>20</v>
      </c>
      <c r="B103" s="1281">
        <f t="shared" si="13"/>
        <v>269.14285714285711</v>
      </c>
      <c r="C103" s="1281">
        <f t="shared" si="14"/>
        <v>16580360.22857143</v>
      </c>
      <c r="D103" s="14">
        <v>6</v>
      </c>
      <c r="E103" s="1588">
        <f>SUMIFS(сентябрь4[м2],сентябрь4[МОП],$A103,сентябрь4[№ дома],$C$97)</f>
        <v>476.69</v>
      </c>
      <c r="F103" s="1595">
        <f>SUMIFS(сентябрь4[сумма без отделки],сентябрь4[МОП],$A103,сентябрь4[№ дома],$C$97)</f>
        <v>28257368.359999999</v>
      </c>
      <c r="G103" s="1589">
        <f>COUNTIFS(сентябрь4[МОП],$A103,сентябрь4[№ дома],$C$97)</f>
        <v>12</v>
      </c>
      <c r="H103" s="1285" t="e">
        <f>SUMIFS(#REF!,#REF!,3,#REF!,A103,#REF!,"&lt;="&amp;$A$1,#REF!,"&gt;="&amp;DATE(YEAR($A$1),MONTH($A$1),1))</f>
        <v>#REF!</v>
      </c>
      <c r="I103" s="1620" t="e">
        <f>SUMIFS(#REF!,#REF!,3,#REF!,A103,#REF!,"&lt;="&amp;$A$1,#REF!,"&gt;="&amp;DATE(YEAR($A$1),MONTH($A$1),1))</f>
        <v>#REF!</v>
      </c>
      <c r="J103" s="1285" t="e">
        <f>COUNTIFS(#REF!,3,#REF!,A103,#REF!,"&lt;="&amp;$A$1,#REF!,"&gt;="&amp;DATE(YEAR($A$1),MONTH($A$1),1))</f>
        <v>#REF!</v>
      </c>
      <c r="K103" s="1296" t="str">
        <f t="shared" si="15"/>
        <v/>
      </c>
      <c r="L103" s="1296" t="str">
        <f t="shared" si="15"/>
        <v/>
      </c>
      <c r="M103" s="1285" t="e">
        <f>COUNTIFS(#REF!,M$69,#REF!,$A103,#REF!,3,#REF!,"&lt;="&amp;$A$1,#REF!,"&gt;="&amp;DATE(YEAR($A$1),MONTH($A$1),1))</f>
        <v>#REF!</v>
      </c>
      <c r="N103" s="1285" t="e">
        <f>COUNTIFS(#REF!,N$69,#REF!,$A103,#REF!,3,#REF!,"&lt;="&amp;$A$1,#REF!,"&gt;="&amp;DATE(YEAR($A$1),MONTH($A$1),1))</f>
        <v>#REF!</v>
      </c>
      <c r="O103" s="1285" t="e">
        <f>COUNTIFS(#REF!,O$69,#REF!,$A103,#REF!,3,#REF!,"&lt;="&amp;$A$1,#REF!,"&gt;="&amp;DATE(YEAR($A$1),MONTH($A$1),1))</f>
        <v>#REF!</v>
      </c>
      <c r="P103" s="1285" t="e">
        <f>COUNTIFS(#REF!,P$69,#REF!,$A103,#REF!,3,#REF!,"&lt;="&amp;$A$1,#REF!,"&gt;="&amp;DATE(YEAR($A$1),MONTH($A$1),1))</f>
        <v>#REF!</v>
      </c>
      <c r="Q103" s="1285" t="e">
        <f>COUNTIFS(#REF!,Q$69,#REF!,$A103,#REF!,2,#REF!,"&lt;="&amp;$A$1,#REF!,"&gt;="&amp;DATE(YEAR($A$1),MONTH($A$1),1))</f>
        <v>#REF!</v>
      </c>
    </row>
    <row r="104" spans="1:17">
      <c r="A104" s="14" t="s">
        <v>63</v>
      </c>
      <c r="B104" s="1281">
        <f t="shared" si="13"/>
        <v>269.14285714285711</v>
      </c>
      <c r="C104" s="1281">
        <f t="shared" si="14"/>
        <v>16580360.22857143</v>
      </c>
      <c r="D104" s="14">
        <v>6</v>
      </c>
      <c r="E104" s="1588">
        <f>SUMIFS(сентябрь4[м2],сентябрь4[МОП],$A104,сентябрь4[№ дома],$C$97)</f>
        <v>184.17</v>
      </c>
      <c r="F104" s="1595">
        <f>SUMIFS(сентябрь4[сумма без отделки],сентябрь4[МОП],$A104,сентябрь4[№ дома],$C$97)</f>
        <v>11640632.109999999</v>
      </c>
      <c r="G104" s="1589">
        <f>COUNTIFS(сентябрь4[МОП],$A104,сентябрь4[№ дома],$C$97)</f>
        <v>5</v>
      </c>
      <c r="H104" s="1285" t="e">
        <f>SUMIFS(#REF!,#REF!,3,#REF!,A104,#REF!,"&lt;="&amp;$A$1,#REF!,"&gt;="&amp;DATE(YEAR($A$1),MONTH($A$1),1))</f>
        <v>#REF!</v>
      </c>
      <c r="I104" s="1620" t="e">
        <f>SUMIFS(#REF!,#REF!,3,#REF!,A104,#REF!,"&lt;="&amp;$A$1,#REF!,"&gt;="&amp;DATE(YEAR($A$1),MONTH($A$1),1))</f>
        <v>#REF!</v>
      </c>
      <c r="J104" s="1285" t="e">
        <f>COUNTIFS(#REF!,3,#REF!,A104,#REF!,"&lt;="&amp;$A$1,#REF!,"&gt;="&amp;DATE(YEAR($A$1),MONTH($A$1),1))</f>
        <v>#REF!</v>
      </c>
      <c r="K104" s="1296" t="str">
        <f t="shared" si="15"/>
        <v/>
      </c>
      <c r="L104" s="1296" t="str">
        <f t="shared" si="15"/>
        <v/>
      </c>
      <c r="M104" s="1285" t="e">
        <f>COUNTIFS(#REF!,M$69,#REF!,$A104,#REF!,3,#REF!,"&lt;="&amp;$A$1,#REF!,"&gt;="&amp;DATE(YEAR($A$1),MONTH($A$1),1))</f>
        <v>#REF!</v>
      </c>
      <c r="N104" s="1285" t="e">
        <f>COUNTIFS(#REF!,N$69,#REF!,$A104,#REF!,3,#REF!,"&lt;="&amp;$A$1,#REF!,"&gt;="&amp;DATE(YEAR($A$1),MONTH($A$1),1))</f>
        <v>#REF!</v>
      </c>
      <c r="O104" s="1285" t="e">
        <f>COUNTIFS(#REF!,O$69,#REF!,$A104,#REF!,3,#REF!,"&lt;="&amp;$A$1,#REF!,"&gt;="&amp;DATE(YEAR($A$1),MONTH($A$1),1))</f>
        <v>#REF!</v>
      </c>
      <c r="P104" s="1285" t="e">
        <f>COUNTIFS(#REF!,P$69,#REF!,$A104,#REF!,3,#REF!,"&lt;="&amp;$A$1,#REF!,"&gt;="&amp;DATE(YEAR($A$1),MONTH($A$1),1))</f>
        <v>#REF!</v>
      </c>
      <c r="Q104" s="1285" t="e">
        <f>COUNTIFS(#REF!,Q$69,#REF!,$A104,#REF!,2,#REF!,"&lt;="&amp;$A$1,#REF!,"&gt;="&amp;DATE(YEAR($A$1),MONTH($A$1),1))</f>
        <v>#REF!</v>
      </c>
    </row>
    <row r="105" spans="1:17">
      <c r="A105" s="1278" t="s">
        <v>114</v>
      </c>
      <c r="B105" s="1286">
        <v>1570</v>
      </c>
      <c r="C105" s="1286">
        <v>96718768</v>
      </c>
      <c r="D105" s="27">
        <f t="shared" ref="D105:J105" si="16">SUM(D99:D104)</f>
        <v>35</v>
      </c>
      <c r="E105" s="27">
        <f t="shared" si="16"/>
        <v>1536.43</v>
      </c>
      <c r="F105" s="27">
        <f t="shared" si="16"/>
        <v>91671329.600000009</v>
      </c>
      <c r="G105" s="1278">
        <f t="shared" si="16"/>
        <v>40</v>
      </c>
      <c r="H105" s="1594" t="e">
        <f t="shared" si="16"/>
        <v>#REF!</v>
      </c>
      <c r="I105" s="28" t="e">
        <f t="shared" si="16"/>
        <v>#REF!</v>
      </c>
      <c r="J105" s="1594" t="e">
        <f t="shared" si="16"/>
        <v>#REF!</v>
      </c>
      <c r="K105" s="1297" t="str">
        <f t="shared" si="15"/>
        <v/>
      </c>
      <c r="L105" s="1297" t="str">
        <f t="shared" si="15"/>
        <v/>
      </c>
      <c r="M105" s="1594" t="e">
        <f>SUM(M99:M104)</f>
        <v>#REF!</v>
      </c>
      <c r="N105" s="1594" t="e">
        <f>SUM(N99:N104)</f>
        <v>#REF!</v>
      </c>
      <c r="O105" s="1594" t="e">
        <f>SUM(O99:O104)</f>
        <v>#REF!</v>
      </c>
      <c r="P105" s="1614" t="e">
        <f>SUM(P99:P104)</f>
        <v>#REF!</v>
      </c>
      <c r="Q105" s="1594" t="e">
        <f>SUM(Q99:Q104)</f>
        <v>#REF!</v>
      </c>
    </row>
    <row r="106" spans="1:17">
      <c r="A106" s="20" t="s">
        <v>115</v>
      </c>
      <c r="B106" s="21" t="s">
        <v>100</v>
      </c>
      <c r="C106" s="21" t="s">
        <v>97</v>
      </c>
      <c r="D106" s="12" t="s">
        <v>95</v>
      </c>
      <c r="E106" s="1280" t="s">
        <v>494</v>
      </c>
      <c r="F106" s="12" t="s">
        <v>495</v>
      </c>
      <c r="G106" s="12" t="s">
        <v>496</v>
      </c>
      <c r="H106" s="1280" t="s">
        <v>101</v>
      </c>
      <c r="I106" s="1621" t="s">
        <v>98</v>
      </c>
      <c r="J106" s="12" t="s">
        <v>96</v>
      </c>
      <c r="K106" s="1295" t="s">
        <v>102</v>
      </c>
      <c r="L106" s="1295" t="s">
        <v>99</v>
      </c>
      <c r="M106" s="12">
        <v>0</v>
      </c>
      <c r="N106" s="12">
        <v>1</v>
      </c>
      <c r="O106" s="12">
        <v>2</v>
      </c>
      <c r="P106" s="12">
        <v>3</v>
      </c>
      <c r="Q106" s="12">
        <v>4</v>
      </c>
    </row>
    <row r="107" spans="1:17">
      <c r="A107" s="14" t="s">
        <v>16</v>
      </c>
      <c r="B107" s="1281">
        <f>B105/D105*D107</f>
        <v>1121.4285714285713</v>
      </c>
      <c r="C107" s="1281">
        <f>C105/D105*D107</f>
        <v>69084834.285714298</v>
      </c>
      <c r="D107" s="1603">
        <v>25</v>
      </c>
      <c r="E107" s="1595">
        <f>SUMIFS(сентябрь4[м2],сентябрь4[ИМ],A107,сентябрь4[№ дома],$C$97)</f>
        <v>978.13999999999965</v>
      </c>
      <c r="F107" s="1595">
        <f>SUMIFS(сентябрь4[сумма без отделки],сентябрь4[ИМ],A107,сентябрь4[№ дома],C97)</f>
        <v>58058960.989999995</v>
      </c>
      <c r="G107" s="1596">
        <f>COUNTIFS(сентябрь4[ИМ],A107,сентябрь4[№ дома],C97)</f>
        <v>23</v>
      </c>
      <c r="H107" s="1285" t="e">
        <f>SUMIFS(#REF!,#REF!,3,#REF!,A107,#REF!,"&lt;="&amp;$A$1,#REF!,"&gt;="&amp;DATE(YEAR($A$1),MONTH($A$1),1))</f>
        <v>#REF!</v>
      </c>
      <c r="I107" s="1620" t="e">
        <f>SUMIFS(#REF!,#REF!,3,#REF!,A107,#REF!,"&lt;="&amp;$A$1,#REF!,"&gt;="&amp;DATE(YEAR($A$1),MONTH($A$1),1))</f>
        <v>#REF!</v>
      </c>
      <c r="J107" s="1285" t="e">
        <f>COUNTIFS(#REF!,3,#REF!,A107,#REF!,"&lt;="&amp;$A$1,#REF!,"&gt;="&amp;DATE(YEAR($A$1),MONTH($A$1),1))</f>
        <v>#REF!</v>
      </c>
      <c r="K107" s="1296" t="str">
        <f t="shared" ref="K107:L109" si="17">IFERROR(H107/B107,"")</f>
        <v/>
      </c>
      <c r="L107" s="1296" t="str">
        <f t="shared" si="17"/>
        <v/>
      </c>
      <c r="M107" s="1285" t="e">
        <f>COUNTIFS(#REF!,M$69,#REF!,$A107,#REF!,3,#REF!,"&lt;="&amp;$A$1,#REF!,"&gt;="&amp;DATE(YEAR($A$1),MONTH($A$1),1))</f>
        <v>#REF!</v>
      </c>
      <c r="N107" s="1285" t="e">
        <f>COUNTIFS(#REF!,N$69,#REF!,$A107,#REF!,3,#REF!,"&lt;="&amp;$A$1,#REF!,"&gt;="&amp;DATE(YEAR($A$1),MONTH($A$1),1))</f>
        <v>#REF!</v>
      </c>
      <c r="O107" s="1285" t="e">
        <f>COUNTIFS(#REF!,O$69,#REF!,$A107,#REF!,3,#REF!,"&lt;="&amp;$A$1,#REF!,"&gt;="&amp;DATE(YEAR($A$1),MONTH($A$1),1))</f>
        <v>#REF!</v>
      </c>
      <c r="P107" s="1285" t="e">
        <f>COUNTIFS(#REF!,P$69,#REF!,$A107,#REF!,3,#REF!,"&lt;="&amp;$A$1,#REF!,"&gt;="&amp;DATE(YEAR($A$1),MONTH($A$1),1))</f>
        <v>#REF!</v>
      </c>
      <c r="Q107" s="1285" t="e">
        <f>COUNTIFS(#REF!,Q$69,#REF!,$A107,#REF!,3,#REF!,"&lt;="&amp;$A$1,#REF!,"&gt;="&amp;DATE(YEAR($A$1),MONTH($A$1),1))</f>
        <v>#REF!</v>
      </c>
    </row>
    <row r="108" spans="1:17">
      <c r="A108" s="14" t="s">
        <v>575</v>
      </c>
      <c r="B108" s="1281">
        <f>B105/D105*D108</f>
        <v>89.714285714285708</v>
      </c>
      <c r="C108" s="1281">
        <f>C105/D105*D108</f>
        <v>5526786.7428571433</v>
      </c>
      <c r="D108" s="1603">
        <v>2</v>
      </c>
      <c r="E108" s="1595">
        <f>SUMIFS(сентябрь4[м2],сентябрь4[ИМ],A108,сентябрь4[№ дома],$C$97)</f>
        <v>55.8</v>
      </c>
      <c r="F108" s="1595">
        <f>SUMIFS(сентябрь4[сумма без отделки],сентябрь4[ИМ],A108,сентябрь4[№ дома],C98)</f>
        <v>0</v>
      </c>
      <c r="G108" s="1596">
        <f>COUNTIFS(сентябрь4[ИМ],A108,сентябрь4[№ дома],C98)</f>
        <v>0</v>
      </c>
      <c r="H108" s="1285" t="e">
        <f>SUMIFS(#REF!,#REF!,3,#REF!,A108,#REF!,"&lt;="&amp;$A$1,#REF!,"&gt;="&amp;DATE(YEAR($A$1),MONTH($A$1),1))</f>
        <v>#REF!</v>
      </c>
      <c r="I108" s="1620" t="e">
        <f>SUMIFS(#REF!,#REF!,3,#REF!,A108,#REF!,"&lt;="&amp;$A$1,#REF!,"&gt;="&amp;DATE(YEAR($A$1),MONTH($A$1),1))</f>
        <v>#REF!</v>
      </c>
      <c r="J108" s="1285" t="e">
        <f>COUNTIFS(#REF!,3,#REF!,A108,#REF!,"&lt;="&amp;$A$1,#REF!,"&gt;="&amp;DATE(YEAR($A$1),MONTH($A$1),1))</f>
        <v>#REF!</v>
      </c>
      <c r="K108" s="1296" t="str">
        <f>IFERROR(H108/B108,"")</f>
        <v/>
      </c>
      <c r="L108" s="1296" t="str">
        <f>IFERROR(I108/C108,"")</f>
        <v/>
      </c>
      <c r="M108" s="1285" t="e">
        <f>COUNTIFS(#REF!,M$69,#REF!,$A108,#REF!,3,#REF!,"&lt;="&amp;$A$1,#REF!,"&gt;="&amp;DATE(YEAR($A$1),MONTH($A$1),1))</f>
        <v>#REF!</v>
      </c>
      <c r="N108" s="1285" t="e">
        <f>COUNTIFS(#REF!,N$69,#REF!,$A108,#REF!,3,#REF!,"&lt;="&amp;$A$1,#REF!,"&gt;="&amp;DATE(YEAR($A$1),MONTH($A$1),1))</f>
        <v>#REF!</v>
      </c>
      <c r="O108" s="1285" t="e">
        <f>COUNTIFS(#REF!,O$69,#REF!,$A108,#REF!,3,#REF!,"&lt;="&amp;$A$1,#REF!,"&gt;="&amp;DATE(YEAR($A$1),MONTH($A$1),1))</f>
        <v>#REF!</v>
      </c>
      <c r="P108" s="1285" t="e">
        <f>COUNTIFS(#REF!,P$69,#REF!,$A108,#REF!,3,#REF!,"&lt;="&amp;$A$1,#REF!,"&gt;="&amp;DATE(YEAR($A$1),MONTH($A$1),1))</f>
        <v>#REF!</v>
      </c>
      <c r="Q108" s="1285" t="e">
        <f>COUNTIFS(#REF!,Q$69,#REF!,$A108,#REF!,3,#REF!,"&lt;="&amp;$A$1,#REF!,"&gt;="&amp;DATE(YEAR($A$1),MONTH($A$1),1))</f>
        <v>#REF!</v>
      </c>
    </row>
    <row r="109" spans="1:17">
      <c r="A109" s="1278" t="s">
        <v>114</v>
      </c>
      <c r="B109" s="1590">
        <f>SUM(B107:B108)</f>
        <v>1211.1428571428571</v>
      </c>
      <c r="C109" s="1590">
        <f t="shared" ref="C109:I109" si="18">SUM(C107:C108)</f>
        <v>74611621.028571442</v>
      </c>
      <c r="D109" s="1590">
        <f t="shared" si="18"/>
        <v>27</v>
      </c>
      <c r="E109" s="1590">
        <f t="shared" si="18"/>
        <v>1033.9399999999996</v>
      </c>
      <c r="F109" s="1590">
        <f t="shared" si="18"/>
        <v>58058960.989999995</v>
      </c>
      <c r="G109" s="1590">
        <f t="shared" si="18"/>
        <v>23</v>
      </c>
      <c r="H109" s="1590" t="e">
        <f t="shared" si="18"/>
        <v>#REF!</v>
      </c>
      <c r="I109" s="1590" t="e">
        <f t="shared" si="18"/>
        <v>#REF!</v>
      </c>
      <c r="J109" s="1594" t="e">
        <f>SUM(J107)</f>
        <v>#REF!</v>
      </c>
      <c r="K109" s="1297" t="str">
        <f t="shared" si="17"/>
        <v/>
      </c>
      <c r="L109" s="1297" t="str">
        <f t="shared" si="17"/>
        <v/>
      </c>
      <c r="M109" s="9" t="e">
        <f>SUM(M107:M107)</f>
        <v>#REF!</v>
      </c>
      <c r="N109" s="9" t="e">
        <f>SUM(N107:N107)</f>
        <v>#REF!</v>
      </c>
      <c r="O109" s="9" t="e">
        <f>SUM(O107:O107)</f>
        <v>#REF!</v>
      </c>
      <c r="P109" s="1300" t="e">
        <f>SUM(P107:P107)</f>
        <v>#REF!</v>
      </c>
      <c r="Q109" s="9" t="e">
        <f>SUM(Q107:Q107)</f>
        <v>#REF!</v>
      </c>
    </row>
    <row r="110" spans="1:17">
      <c r="B110" s="1604"/>
      <c r="C110" s="1604"/>
      <c r="E110" s="1605"/>
      <c r="F110" s="1606"/>
      <c r="K110" s="1622"/>
      <c r="L110" s="1622"/>
      <c r="N110" s="1623"/>
      <c r="O110" s="930"/>
      <c r="P110" s="1618"/>
      <c r="Q110" s="1627"/>
    </row>
    <row r="111" spans="1:17">
      <c r="A111" s="2288" t="s">
        <v>411</v>
      </c>
      <c r="B111" s="2289"/>
      <c r="C111" s="1590" t="s">
        <v>412</v>
      </c>
      <c r="D111" s="1279"/>
      <c r="E111" s="1601"/>
      <c r="F111" s="1601"/>
      <c r="G111" s="1279"/>
      <c r="H111" s="1279"/>
      <c r="I111" s="1279"/>
      <c r="J111" s="1279"/>
      <c r="K111" s="1619"/>
      <c r="L111" s="1619"/>
      <c r="M111" s="1279"/>
      <c r="N111" s="1279"/>
      <c r="O111" s="1279"/>
      <c r="P111" s="1294"/>
      <c r="Q111" s="1279"/>
    </row>
    <row r="112" spans="1:17">
      <c r="A112" s="12" t="s">
        <v>1</v>
      </c>
      <c r="B112" s="21" t="s">
        <v>100</v>
      </c>
      <c r="C112" s="21" t="s">
        <v>97</v>
      </c>
      <c r="D112" s="12" t="s">
        <v>95</v>
      </c>
      <c r="E112" s="1280" t="s">
        <v>494</v>
      </c>
      <c r="F112" s="12" t="s">
        <v>495</v>
      </c>
      <c r="G112" s="12" t="s">
        <v>496</v>
      </c>
      <c r="H112" s="1280" t="s">
        <v>101</v>
      </c>
      <c r="I112" s="12" t="s">
        <v>98</v>
      </c>
      <c r="J112" s="12" t="s">
        <v>96</v>
      </c>
      <c r="K112" s="1295" t="s">
        <v>102</v>
      </c>
      <c r="L112" s="1295" t="s">
        <v>99</v>
      </c>
      <c r="M112" s="12">
        <v>0</v>
      </c>
      <c r="N112" s="12">
        <v>1</v>
      </c>
      <c r="O112" s="12">
        <v>2</v>
      </c>
      <c r="P112" s="12">
        <v>3</v>
      </c>
      <c r="Q112" s="12">
        <v>4</v>
      </c>
    </row>
    <row r="113" spans="1:17">
      <c r="A113" s="14" t="s">
        <v>73</v>
      </c>
      <c r="B113" s="1281">
        <f t="shared" ref="B113:G118" si="19">B70+B85+B99</f>
        <v>406.39394957983194</v>
      </c>
      <c r="C113" s="1281">
        <f t="shared" si="19"/>
        <v>25176125.386554621</v>
      </c>
      <c r="D113" s="14">
        <f t="shared" si="19"/>
        <v>8</v>
      </c>
      <c r="E113" s="1607">
        <f t="shared" si="19"/>
        <v>484.22999999999996</v>
      </c>
      <c r="F113" s="1607">
        <f t="shared" si="19"/>
        <v>28997761.240000002</v>
      </c>
      <c r="G113" s="14">
        <f t="shared" si="19"/>
        <v>12</v>
      </c>
      <c r="H113" s="1285" t="e">
        <f t="shared" ref="H113:J118" si="20">H99+H70+H85</f>
        <v>#REF!</v>
      </c>
      <c r="I113" s="1620" t="e">
        <f t="shared" si="20"/>
        <v>#REF!</v>
      </c>
      <c r="J113" s="1285" t="e">
        <f t="shared" si="20"/>
        <v>#REF!</v>
      </c>
      <c r="K113" s="1296" t="str">
        <f t="shared" ref="K113:L119" si="21">IFERROR(H113/B113,"")</f>
        <v/>
      </c>
      <c r="L113" s="1296" t="str">
        <f t="shared" si="21"/>
        <v/>
      </c>
      <c r="M113" s="1285" t="e">
        <f t="shared" ref="M113:Q118" si="22">M99+M70+M85</f>
        <v>#REF!</v>
      </c>
      <c r="N113" s="1285" t="e">
        <f t="shared" si="22"/>
        <v>#REF!</v>
      </c>
      <c r="O113" s="1285" t="e">
        <f t="shared" si="22"/>
        <v>#REF!</v>
      </c>
      <c r="P113" s="1624" t="e">
        <f t="shared" si="22"/>
        <v>#REF!</v>
      </c>
      <c r="Q113" s="1285" t="e">
        <f t="shared" si="22"/>
        <v>#REF!</v>
      </c>
    </row>
    <row r="114" spans="1:17">
      <c r="A114" s="14" t="s">
        <v>407</v>
      </c>
      <c r="B114" s="1281">
        <f t="shared" si="19"/>
        <v>502.54521008403356</v>
      </c>
      <c r="C114" s="1281">
        <f t="shared" si="19"/>
        <v>31421624.522689078</v>
      </c>
      <c r="D114" s="14">
        <f t="shared" si="19"/>
        <v>10</v>
      </c>
      <c r="E114" s="1607">
        <f t="shared" si="19"/>
        <v>239.25</v>
      </c>
      <c r="F114" s="1607">
        <f t="shared" si="19"/>
        <v>15314894.189999999</v>
      </c>
      <c r="G114" s="14">
        <f t="shared" si="19"/>
        <v>6</v>
      </c>
      <c r="H114" s="1285" t="e">
        <f t="shared" si="20"/>
        <v>#REF!</v>
      </c>
      <c r="I114" s="1620" t="e">
        <f t="shared" si="20"/>
        <v>#REF!</v>
      </c>
      <c r="J114" s="1285" t="e">
        <f t="shared" si="20"/>
        <v>#REF!</v>
      </c>
      <c r="K114" s="1296" t="str">
        <f t="shared" si="21"/>
        <v/>
      </c>
      <c r="L114" s="1296" t="str">
        <f t="shared" si="21"/>
        <v/>
      </c>
      <c r="M114" s="1285" t="e">
        <f t="shared" si="22"/>
        <v>#REF!</v>
      </c>
      <c r="N114" s="1285" t="e">
        <f t="shared" si="22"/>
        <v>#REF!</v>
      </c>
      <c r="O114" s="1285" t="e">
        <f t="shared" si="22"/>
        <v>#REF!</v>
      </c>
      <c r="P114" s="1624" t="e">
        <f t="shared" si="22"/>
        <v>#REF!</v>
      </c>
      <c r="Q114" s="1285" t="e">
        <f t="shared" si="22"/>
        <v>#REF!</v>
      </c>
    </row>
    <row r="115" spans="1:17">
      <c r="A115" s="14" t="s">
        <v>77</v>
      </c>
      <c r="B115" s="1281">
        <f t="shared" si="19"/>
        <v>502.54521008403356</v>
      </c>
      <c r="C115" s="1281">
        <f t="shared" si="19"/>
        <v>31421624.522689078</v>
      </c>
      <c r="D115" s="14">
        <f t="shared" si="19"/>
        <v>10</v>
      </c>
      <c r="E115" s="1607">
        <f t="shared" si="19"/>
        <v>576.6400000000001</v>
      </c>
      <c r="F115" s="1607">
        <f t="shared" si="19"/>
        <v>34432081.690000005</v>
      </c>
      <c r="G115" s="14">
        <f t="shared" si="19"/>
        <v>13</v>
      </c>
      <c r="H115" s="1285" t="e">
        <f t="shared" si="20"/>
        <v>#REF!</v>
      </c>
      <c r="I115" s="1620" t="e">
        <f t="shared" si="20"/>
        <v>#REF!</v>
      </c>
      <c r="J115" s="1285" t="e">
        <f t="shared" si="20"/>
        <v>#REF!</v>
      </c>
      <c r="K115" s="1296" t="str">
        <f t="shared" si="21"/>
        <v/>
      </c>
      <c r="L115" s="1296" t="str">
        <f t="shared" si="21"/>
        <v/>
      </c>
      <c r="M115" s="1285" t="e">
        <f t="shared" si="22"/>
        <v>#REF!</v>
      </c>
      <c r="N115" s="1285" t="e">
        <f t="shared" si="22"/>
        <v>#REF!</v>
      </c>
      <c r="O115" s="1285" t="e">
        <f t="shared" si="22"/>
        <v>#REF!</v>
      </c>
      <c r="P115" s="1624" t="e">
        <f t="shared" si="22"/>
        <v>#REF!</v>
      </c>
      <c r="Q115" s="1285" t="e">
        <f t="shared" si="22"/>
        <v>#REF!</v>
      </c>
    </row>
    <row r="116" spans="1:17">
      <c r="A116" s="14" t="s">
        <v>471</v>
      </c>
      <c r="B116" s="1281">
        <f t="shared" si="19"/>
        <v>502.54521008403356</v>
      </c>
      <c r="C116" s="1281">
        <f t="shared" si="19"/>
        <v>31421624.522689078</v>
      </c>
      <c r="D116" s="14">
        <f t="shared" si="19"/>
        <v>10</v>
      </c>
      <c r="E116" s="1607">
        <f t="shared" si="19"/>
        <v>159.75</v>
      </c>
      <c r="F116" s="1607">
        <f t="shared" si="19"/>
        <v>9536834.4100000001</v>
      </c>
      <c r="G116" s="14">
        <f t="shared" si="19"/>
        <v>3</v>
      </c>
      <c r="H116" s="1285" t="e">
        <f t="shared" si="20"/>
        <v>#REF!</v>
      </c>
      <c r="I116" s="1620" t="e">
        <f t="shared" si="20"/>
        <v>#REF!</v>
      </c>
      <c r="J116" s="1285" t="e">
        <f t="shared" si="20"/>
        <v>#REF!</v>
      </c>
      <c r="K116" s="1296" t="str">
        <f t="shared" si="21"/>
        <v/>
      </c>
      <c r="L116" s="1296" t="str">
        <f t="shared" si="21"/>
        <v/>
      </c>
      <c r="M116" s="1285" t="e">
        <f t="shared" si="22"/>
        <v>#REF!</v>
      </c>
      <c r="N116" s="1285" t="e">
        <f t="shared" si="22"/>
        <v>#REF!</v>
      </c>
      <c r="O116" s="1285" t="e">
        <f t="shared" si="22"/>
        <v>#REF!</v>
      </c>
      <c r="P116" s="1624" t="e">
        <f t="shared" si="22"/>
        <v>#REF!</v>
      </c>
      <c r="Q116" s="1285" t="e">
        <f t="shared" si="22"/>
        <v>#REF!</v>
      </c>
    </row>
    <row r="117" spans="1:17">
      <c r="A117" s="14" t="s">
        <v>20</v>
      </c>
      <c r="B117" s="1281">
        <f t="shared" si="19"/>
        <v>502.54521008403356</v>
      </c>
      <c r="C117" s="1281">
        <f t="shared" si="19"/>
        <v>31421624.522689078</v>
      </c>
      <c r="D117" s="14">
        <f t="shared" si="19"/>
        <v>10</v>
      </c>
      <c r="E117" s="1607">
        <f t="shared" si="19"/>
        <v>635.39</v>
      </c>
      <c r="F117" s="1607">
        <f t="shared" si="19"/>
        <v>37367738.18</v>
      </c>
      <c r="G117" s="1603">
        <f t="shared" si="19"/>
        <v>15</v>
      </c>
      <c r="H117" s="1285" t="e">
        <f t="shared" si="20"/>
        <v>#REF!</v>
      </c>
      <c r="I117" s="1620" t="e">
        <f t="shared" si="20"/>
        <v>#REF!</v>
      </c>
      <c r="J117" s="1285" t="e">
        <f t="shared" si="20"/>
        <v>#REF!</v>
      </c>
      <c r="K117" s="1296" t="str">
        <f t="shared" si="21"/>
        <v/>
      </c>
      <c r="L117" s="1296" t="str">
        <f t="shared" si="21"/>
        <v/>
      </c>
      <c r="M117" s="1285" t="e">
        <f t="shared" si="22"/>
        <v>#REF!</v>
      </c>
      <c r="N117" s="1285" t="e">
        <f t="shared" si="22"/>
        <v>#REF!</v>
      </c>
      <c r="O117" s="1285" t="e">
        <f t="shared" si="22"/>
        <v>#REF!</v>
      </c>
      <c r="P117" s="1624" t="e">
        <f t="shared" si="22"/>
        <v>#REF!</v>
      </c>
      <c r="Q117" s="1285" t="e">
        <f t="shared" si="22"/>
        <v>#REF!</v>
      </c>
    </row>
    <row r="118" spans="1:17">
      <c r="A118" s="14" t="s">
        <v>63</v>
      </c>
      <c r="B118" s="1281">
        <f t="shared" si="19"/>
        <v>502.54521008403356</v>
      </c>
      <c r="C118" s="1281">
        <f t="shared" si="19"/>
        <v>31421624.522689078</v>
      </c>
      <c r="D118" s="14">
        <f t="shared" si="19"/>
        <v>10</v>
      </c>
      <c r="E118" s="1607">
        <f t="shared" si="19"/>
        <v>474.78</v>
      </c>
      <c r="F118" s="1607">
        <f t="shared" si="19"/>
        <v>22439386.789999999</v>
      </c>
      <c r="G118" s="1603">
        <f t="shared" si="19"/>
        <v>9</v>
      </c>
      <c r="H118" s="1285" t="e">
        <f t="shared" si="20"/>
        <v>#REF!</v>
      </c>
      <c r="I118" s="1620" t="e">
        <f t="shared" si="20"/>
        <v>#REF!</v>
      </c>
      <c r="J118" s="1285" t="e">
        <f t="shared" si="20"/>
        <v>#REF!</v>
      </c>
      <c r="K118" s="1296" t="str">
        <f t="shared" si="21"/>
        <v/>
      </c>
      <c r="L118" s="1296" t="str">
        <f t="shared" si="21"/>
        <v/>
      </c>
      <c r="M118" s="1285" t="e">
        <f t="shared" si="22"/>
        <v>#REF!</v>
      </c>
      <c r="N118" s="1285" t="e">
        <f t="shared" si="22"/>
        <v>#REF!</v>
      </c>
      <c r="O118" s="1285" t="e">
        <f t="shared" si="22"/>
        <v>#REF!</v>
      </c>
      <c r="P118" s="1624" t="e">
        <f t="shared" si="22"/>
        <v>#REF!</v>
      </c>
      <c r="Q118" s="1285" t="e">
        <f t="shared" si="22"/>
        <v>#REF!</v>
      </c>
    </row>
    <row r="119" spans="1:17">
      <c r="A119" s="27" t="s">
        <v>114</v>
      </c>
      <c r="B119" s="1286">
        <f t="shared" ref="B119:J119" si="23">SUM(B113:B118)</f>
        <v>2919.1199999999994</v>
      </c>
      <c r="C119" s="1286">
        <f t="shared" si="23"/>
        <v>182284248</v>
      </c>
      <c r="D119" s="1286">
        <f t="shared" si="23"/>
        <v>58</v>
      </c>
      <c r="E119" s="1286">
        <f t="shared" si="23"/>
        <v>2570.04</v>
      </c>
      <c r="F119" s="1286">
        <f t="shared" si="23"/>
        <v>148088696.5</v>
      </c>
      <c r="G119" s="1286">
        <f t="shared" si="23"/>
        <v>58</v>
      </c>
      <c r="H119" s="1594" t="e">
        <f t="shared" si="23"/>
        <v>#REF!</v>
      </c>
      <c r="I119" s="28" t="e">
        <f t="shared" si="23"/>
        <v>#REF!</v>
      </c>
      <c r="J119" s="1594" t="e">
        <f t="shared" si="23"/>
        <v>#REF!</v>
      </c>
      <c r="K119" s="1297" t="str">
        <f t="shared" si="21"/>
        <v/>
      </c>
      <c r="L119" s="1297" t="str">
        <f t="shared" si="21"/>
        <v/>
      </c>
      <c r="M119" s="1594" t="e">
        <f>SUM(M113:M118)</f>
        <v>#REF!</v>
      </c>
      <c r="N119" s="1594" t="e">
        <f>SUM(N113:N118)</f>
        <v>#REF!</v>
      </c>
      <c r="O119" s="1594" t="e">
        <f>SUM(O113:O118)</f>
        <v>#REF!</v>
      </c>
      <c r="P119" s="1614" t="e">
        <f>SUM(P113:P118)</f>
        <v>#REF!</v>
      </c>
      <c r="Q119" s="1594" t="e">
        <f>SUM(Q113:Q118)</f>
        <v>#REF!</v>
      </c>
    </row>
    <row r="120" spans="1:17">
      <c r="A120" s="20" t="s">
        <v>115</v>
      </c>
      <c r="B120" s="21" t="s">
        <v>100</v>
      </c>
      <c r="C120" s="21" t="s">
        <v>97</v>
      </c>
      <c r="D120" s="1608" t="s">
        <v>95</v>
      </c>
      <c r="E120" s="1280" t="s">
        <v>494</v>
      </c>
      <c r="F120" s="12" t="s">
        <v>495</v>
      </c>
      <c r="G120" s="12" t="s">
        <v>496</v>
      </c>
      <c r="H120" s="1280" t="s">
        <v>101</v>
      </c>
      <c r="I120" s="1621" t="s">
        <v>98</v>
      </c>
      <c r="J120" s="12" t="s">
        <v>96</v>
      </c>
      <c r="K120" s="1295" t="s">
        <v>102</v>
      </c>
      <c r="L120" s="1295" t="s">
        <v>99</v>
      </c>
      <c r="M120" s="12">
        <v>0</v>
      </c>
      <c r="N120" s="12">
        <v>1</v>
      </c>
      <c r="O120" s="12">
        <v>2</v>
      </c>
      <c r="P120" s="12">
        <v>3</v>
      </c>
      <c r="Q120" s="12">
        <v>4</v>
      </c>
    </row>
    <row r="121" spans="1:17">
      <c r="A121" s="14" t="s">
        <v>16</v>
      </c>
      <c r="B121" s="1281">
        <f t="shared" ref="B121:G122" si="24">B107+B93+B79</f>
        <v>2185.8521008403359</v>
      </c>
      <c r="C121" s="1281">
        <f t="shared" si="24"/>
        <v>136326944.22689077</v>
      </c>
      <c r="D121" s="1609">
        <f t="shared" si="24"/>
        <v>43</v>
      </c>
      <c r="E121" s="1307">
        <f t="shared" si="24"/>
        <v>1854.2699999999995</v>
      </c>
      <c r="F121" s="1609">
        <f t="shared" si="24"/>
        <v>105773931.88</v>
      </c>
      <c r="G121" s="1609">
        <f t="shared" si="24"/>
        <v>37</v>
      </c>
      <c r="H121" s="1285" t="e">
        <f t="shared" ref="H121:J122" si="25">H107+H79+H93</f>
        <v>#REF!</v>
      </c>
      <c r="I121" s="1620" t="e">
        <f t="shared" si="25"/>
        <v>#REF!</v>
      </c>
      <c r="J121" s="1285" t="e">
        <f t="shared" si="25"/>
        <v>#REF!</v>
      </c>
      <c r="K121" s="1296" t="str">
        <f t="shared" ref="K121:L123" si="26">IFERROR(H121/B121,"")</f>
        <v/>
      </c>
      <c r="L121" s="1296" t="str">
        <f t="shared" si="26"/>
        <v/>
      </c>
      <c r="M121" s="1285" t="e">
        <f t="shared" ref="M121:Q122" si="27">M107+M79+M93</f>
        <v>#REF!</v>
      </c>
      <c r="N121" s="1285" t="e">
        <f t="shared" si="27"/>
        <v>#REF!</v>
      </c>
      <c r="O121" s="1285" t="e">
        <f t="shared" si="27"/>
        <v>#REF!</v>
      </c>
      <c r="P121" s="1285" t="e">
        <f t="shared" si="27"/>
        <v>#REF!</v>
      </c>
      <c r="Q121" s="1285" t="e">
        <f t="shared" si="27"/>
        <v>#REF!</v>
      </c>
    </row>
    <row r="122" spans="1:17">
      <c r="A122" s="14" t="s">
        <v>575</v>
      </c>
      <c r="B122" s="1281">
        <f t="shared" si="24"/>
        <v>89.714285714285708</v>
      </c>
      <c r="C122" s="1281">
        <f t="shared" si="24"/>
        <v>5526786.7428571433</v>
      </c>
      <c r="D122" s="1609">
        <f t="shared" si="24"/>
        <v>2</v>
      </c>
      <c r="E122" s="1307">
        <f t="shared" si="24"/>
        <v>55.8</v>
      </c>
      <c r="F122" s="1609">
        <f t="shared" si="24"/>
        <v>0</v>
      </c>
      <c r="G122" s="1609">
        <f t="shared" si="24"/>
        <v>0</v>
      </c>
      <c r="H122" s="1285" t="e">
        <f t="shared" si="25"/>
        <v>#REF!</v>
      </c>
      <c r="I122" s="1620" t="e">
        <f t="shared" si="25"/>
        <v>#REF!</v>
      </c>
      <c r="J122" s="1285" t="e">
        <f t="shared" si="25"/>
        <v>#REF!</v>
      </c>
      <c r="K122" s="1296" t="str">
        <f>IFERROR(H122/B122,"")</f>
        <v/>
      </c>
      <c r="L122" s="1296" t="str">
        <f>IFERROR(I122/C122,"")</f>
        <v/>
      </c>
      <c r="M122" s="1285" t="e">
        <f t="shared" si="27"/>
        <v>#REF!</v>
      </c>
      <c r="N122" s="1285" t="e">
        <f t="shared" si="27"/>
        <v>#REF!</v>
      </c>
      <c r="O122" s="1285" t="e">
        <f t="shared" si="27"/>
        <v>#REF!</v>
      </c>
      <c r="P122" s="1285" t="e">
        <f t="shared" si="27"/>
        <v>#REF!</v>
      </c>
      <c r="Q122" s="1285" t="e">
        <f t="shared" si="27"/>
        <v>#REF!</v>
      </c>
    </row>
    <row r="123" spans="1:17">
      <c r="A123" s="1278" t="s">
        <v>114</v>
      </c>
      <c r="B123" s="1610">
        <f>SUM(B121:B122)</f>
        <v>2275.5663865546217</v>
      </c>
      <c r="C123" s="1610">
        <f>SUM(C121:C122)</f>
        <v>141853730.9697479</v>
      </c>
      <c r="D123" s="1610">
        <f>SUM(D121:D122)</f>
        <v>45</v>
      </c>
      <c r="E123" s="1610">
        <f t="shared" ref="E123:J123" si="28">SUM(E121:E122)</f>
        <v>1910.0699999999995</v>
      </c>
      <c r="F123" s="1610">
        <f t="shared" si="28"/>
        <v>105773931.88</v>
      </c>
      <c r="G123" s="1610">
        <f t="shared" si="28"/>
        <v>37</v>
      </c>
      <c r="H123" s="1610" t="e">
        <f t="shared" si="28"/>
        <v>#REF!</v>
      </c>
      <c r="I123" s="1610" t="e">
        <f t="shared" si="28"/>
        <v>#REF!</v>
      </c>
      <c r="J123" s="1610" t="e">
        <f t="shared" si="28"/>
        <v>#REF!</v>
      </c>
      <c r="K123" s="1297" t="str">
        <f t="shared" si="26"/>
        <v/>
      </c>
      <c r="L123" s="1297" t="str">
        <f t="shared" si="26"/>
        <v/>
      </c>
      <c r="M123" s="9" t="e">
        <f>SUM(M121:M121)</f>
        <v>#REF!</v>
      </c>
      <c r="N123" s="9" t="e">
        <f>SUM(N121:N121)</f>
        <v>#REF!</v>
      </c>
      <c r="O123" s="9" t="e">
        <f>SUM(O121:O121)</f>
        <v>#REF!</v>
      </c>
      <c r="P123" s="1300" t="e">
        <f>SUM(P121:P121)</f>
        <v>#REF!</v>
      </c>
      <c r="Q123" s="9" t="e">
        <f>SUM(Q121:Q121)</f>
        <v>#REF!</v>
      </c>
    </row>
    <row r="125" spans="1:17">
      <c r="A125" s="43" t="s">
        <v>653</v>
      </c>
      <c r="H125" s="930"/>
    </row>
  </sheetData>
  <sheetProtection formatCells="0" formatColumns="0" formatRows="0" insertColumns="0" insertRows="0" insertHyperlinks="0" deleteColumns="0" deleteRows="0" sort="0" autoFilter="0" pivotTables="0"/>
  <mergeCells count="5">
    <mergeCell ref="A1:S1"/>
    <mergeCell ref="A68:B68"/>
    <mergeCell ref="A83:B83"/>
    <mergeCell ref="A97:B97"/>
    <mergeCell ref="A111:B111"/>
  </mergeCells>
  <dataValidations count="1">
    <dataValidation type="list" allowBlank="1" showInputMessage="1" showErrorMessage="1" sqref="P3:P18 P22:P25 P27:P30 P41:P42 Q23:Q24" xr:uid="{00000000-0002-0000-0900-000000000000}">
      <formula1>#REF!</formula1>
    </dataValidation>
  </dataValidations>
  <pageMargins left="0.25" right="0.25" top="0.75" bottom="0.75" header="0.3" footer="0.3"/>
  <pageSetup paperSize="9" scale="39" orientation="landscape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3">
    <pageSetUpPr fitToPage="1"/>
  </sheetPr>
  <dimension ref="A1:U269"/>
  <sheetViews>
    <sheetView topLeftCell="A100" workbookViewId="0">
      <selection activeCell="B22" sqref="B22"/>
    </sheetView>
  </sheetViews>
  <sheetFormatPr defaultColWidth="9.140625" defaultRowHeight="12.75" outlineLevelRow="1"/>
  <cols>
    <col min="1" max="1" width="11.42578125" style="931" customWidth="1"/>
    <col min="2" max="2" width="10.42578125" style="949" customWidth="1"/>
    <col min="3" max="3" width="13.85546875" style="931" customWidth="1"/>
    <col min="4" max="4" width="12.5703125" style="931" customWidth="1"/>
    <col min="5" max="5" width="12" style="931" customWidth="1"/>
    <col min="6" max="6" width="18.28515625" style="931" customWidth="1"/>
    <col min="7" max="7" width="10.140625" style="931" customWidth="1"/>
    <col min="8" max="8" width="13.28515625" style="931" customWidth="1"/>
    <col min="9" max="9" width="15.140625" style="931" customWidth="1"/>
    <col min="10" max="10" width="17.5703125" style="931" customWidth="1"/>
    <col min="11" max="11" width="20.42578125" style="931" customWidth="1"/>
    <col min="12" max="12" width="16.5703125" style="931" customWidth="1"/>
    <col min="13" max="13" width="11.140625" style="931" customWidth="1"/>
    <col min="14" max="14" width="14.140625" style="931" customWidth="1"/>
    <col min="15" max="15" width="25.5703125" style="931" customWidth="1"/>
    <col min="16" max="16" width="31.42578125" style="931" customWidth="1"/>
    <col min="17" max="17" width="45.140625" style="931" customWidth="1"/>
    <col min="18" max="18" width="17.5703125" style="931" customWidth="1"/>
    <col min="19" max="19" width="12.5703125" style="931" customWidth="1"/>
    <col min="20" max="20" width="10.85546875" style="931" customWidth="1"/>
    <col min="21" max="21" width="14.28515625" style="931" customWidth="1"/>
    <col min="22" max="16384" width="9.140625" style="931"/>
  </cols>
  <sheetData>
    <row r="1" spans="1:21">
      <c r="A1" s="2297">
        <v>44500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21" ht="30" customHeight="1" outlineLevel="1">
      <c r="A2" s="70" t="s">
        <v>48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1399" t="s">
        <v>54</v>
      </c>
      <c r="J2" s="70" t="s">
        <v>51</v>
      </c>
      <c r="K2" s="140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1399" t="s">
        <v>578</v>
      </c>
    </row>
    <row r="3" spans="1:21" ht="11.25" customHeight="1" outlineLevel="1">
      <c r="A3" s="62">
        <v>1</v>
      </c>
      <c r="B3" s="1383">
        <v>474</v>
      </c>
      <c r="C3" s="1383">
        <v>16712</v>
      </c>
      <c r="D3" s="62" t="s">
        <v>77</v>
      </c>
      <c r="E3" s="1384">
        <v>23.54</v>
      </c>
      <c r="F3" s="1385" t="s">
        <v>9</v>
      </c>
      <c r="G3" s="1386" t="s">
        <v>27</v>
      </c>
      <c r="H3" s="371" t="s">
        <v>16</v>
      </c>
      <c r="I3" s="95">
        <v>1569577.76</v>
      </c>
      <c r="J3" s="1386">
        <v>0</v>
      </c>
      <c r="K3" s="1386" t="s">
        <v>65</v>
      </c>
      <c r="L3" s="1386" t="s">
        <v>91</v>
      </c>
      <c r="M3" s="96">
        <v>44488</v>
      </c>
      <c r="N3" s="96" t="s">
        <v>17</v>
      </c>
      <c r="O3" s="1386" t="s">
        <v>654</v>
      </c>
      <c r="P3" s="1401" t="s">
        <v>655</v>
      </c>
      <c r="Q3" s="76" t="s">
        <v>655</v>
      </c>
      <c r="R3" s="941" t="s">
        <v>77</v>
      </c>
      <c r="S3" s="941" t="s">
        <v>77</v>
      </c>
      <c r="T3" s="941" t="s">
        <v>77</v>
      </c>
      <c r="U3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1569577.76</v>
      </c>
    </row>
    <row r="4" spans="1:21" s="929" customFormat="1" ht="11.25" customHeight="1" outlineLevel="1">
      <c r="A4" s="62">
        <v>2</v>
      </c>
      <c r="B4" s="62">
        <v>338</v>
      </c>
      <c r="C4" s="62">
        <v>15577</v>
      </c>
      <c r="D4" s="62" t="s">
        <v>77</v>
      </c>
      <c r="E4" s="1384">
        <v>23.54</v>
      </c>
      <c r="F4" s="1384" t="s">
        <v>9</v>
      </c>
      <c r="G4" s="117" t="s">
        <v>27</v>
      </c>
      <c r="H4" s="62" t="s">
        <v>10</v>
      </c>
      <c r="I4" s="95">
        <v>1424170</v>
      </c>
      <c r="J4" s="62">
        <v>0</v>
      </c>
      <c r="K4" s="371">
        <v>1</v>
      </c>
      <c r="L4" s="62" t="s">
        <v>515</v>
      </c>
      <c r="M4" s="96">
        <v>44477</v>
      </c>
      <c r="N4" s="96"/>
      <c r="O4" s="62" t="s">
        <v>656</v>
      </c>
      <c r="P4" s="941" t="s">
        <v>655</v>
      </c>
      <c r="Q4" s="941" t="s">
        <v>655</v>
      </c>
      <c r="R4" s="941" t="s">
        <v>77</v>
      </c>
      <c r="S4" s="941" t="s">
        <v>471</v>
      </c>
      <c r="T4" s="941" t="s">
        <v>77</v>
      </c>
      <c r="U4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1424170</v>
      </c>
    </row>
    <row r="5" spans="1:21" outlineLevel="1">
      <c r="A5" s="62">
        <v>3</v>
      </c>
      <c r="B5" s="62">
        <v>296</v>
      </c>
      <c r="C5" s="62">
        <v>13508</v>
      </c>
      <c r="D5" s="62" t="s">
        <v>63</v>
      </c>
      <c r="E5" s="1384">
        <v>64.05</v>
      </c>
      <c r="F5" s="1384" t="s">
        <v>15</v>
      </c>
      <c r="G5" s="117" t="s">
        <v>74</v>
      </c>
      <c r="H5" s="62" t="s">
        <v>16</v>
      </c>
      <c r="I5" s="95">
        <v>3852207.5</v>
      </c>
      <c r="J5" s="62">
        <v>2</v>
      </c>
      <c r="K5" s="62" t="s">
        <v>65</v>
      </c>
      <c r="L5" s="62" t="s">
        <v>12</v>
      </c>
      <c r="M5" s="96"/>
      <c r="N5" s="96" t="s">
        <v>11</v>
      </c>
      <c r="O5" s="62" t="s">
        <v>657</v>
      </c>
      <c r="P5" s="941" t="s">
        <v>655</v>
      </c>
      <c r="Q5" s="941" t="s">
        <v>655</v>
      </c>
      <c r="R5" s="941" t="s">
        <v>63</v>
      </c>
      <c r="S5" s="941" t="s">
        <v>63</v>
      </c>
      <c r="T5" s="941" t="s">
        <v>73</v>
      </c>
      <c r="U5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3499932.5</v>
      </c>
    </row>
    <row r="6" spans="1:21" s="929" customFormat="1" ht="11.25" customHeight="1" outlineLevel="1">
      <c r="A6" s="62">
        <v>4</v>
      </c>
      <c r="B6" s="62">
        <v>12</v>
      </c>
      <c r="C6" s="62">
        <v>14093</v>
      </c>
      <c r="D6" s="62" t="s">
        <v>73</v>
      </c>
      <c r="E6" s="1384">
        <v>36.42</v>
      </c>
      <c r="F6" s="1384" t="s">
        <v>15</v>
      </c>
      <c r="G6" s="62" t="s">
        <v>121</v>
      </c>
      <c r="H6" s="62" t="s">
        <v>84</v>
      </c>
      <c r="I6" s="95">
        <v>2564558.42</v>
      </c>
      <c r="J6" s="62">
        <v>1</v>
      </c>
      <c r="K6" s="371">
        <v>1</v>
      </c>
      <c r="L6" s="62" t="s">
        <v>515</v>
      </c>
      <c r="M6" s="96">
        <v>44481</v>
      </c>
      <c r="N6" s="96" t="s">
        <v>17</v>
      </c>
      <c r="O6" s="62" t="s">
        <v>658</v>
      </c>
      <c r="P6" s="941" t="s">
        <v>655</v>
      </c>
      <c r="Q6" s="941" t="s">
        <v>655</v>
      </c>
      <c r="R6" s="941" t="s">
        <v>73</v>
      </c>
      <c r="S6" s="941" t="s">
        <v>73</v>
      </c>
      <c r="T6" s="941" t="s">
        <v>73</v>
      </c>
      <c r="U6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2364248.42</v>
      </c>
    </row>
    <row r="7" spans="1:21" s="929" customFormat="1" ht="11.25" customHeight="1" outlineLevel="1">
      <c r="A7" s="62">
        <v>5</v>
      </c>
      <c r="B7" s="62">
        <v>313</v>
      </c>
      <c r="C7" s="62">
        <v>15886</v>
      </c>
      <c r="D7" s="62" t="s">
        <v>471</v>
      </c>
      <c r="E7" s="1384">
        <v>60.3</v>
      </c>
      <c r="F7" s="1384" t="s">
        <v>15</v>
      </c>
      <c r="G7" s="62" t="s">
        <v>121</v>
      </c>
      <c r="H7" s="62"/>
      <c r="I7" s="95">
        <v>4409956.5999999996</v>
      </c>
      <c r="J7" s="62">
        <v>2</v>
      </c>
      <c r="K7" s="371">
        <v>1</v>
      </c>
      <c r="L7" s="62" t="s">
        <v>515</v>
      </c>
      <c r="M7" s="96">
        <v>44494</v>
      </c>
      <c r="N7" s="96" t="s">
        <v>11</v>
      </c>
      <c r="O7" s="62" t="s">
        <v>659</v>
      </c>
      <c r="P7" s="941" t="s">
        <v>655</v>
      </c>
      <c r="Q7" s="941" t="s">
        <v>655</v>
      </c>
      <c r="R7" s="62" t="s">
        <v>471</v>
      </c>
      <c r="S7" s="62" t="s">
        <v>471</v>
      </c>
      <c r="T7" s="62" t="s">
        <v>471</v>
      </c>
      <c r="U7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4078306.5999999996</v>
      </c>
    </row>
    <row r="8" spans="1:21" s="929" customFormat="1" ht="11.25" customHeight="1" outlineLevel="1">
      <c r="A8" s="62">
        <v>6</v>
      </c>
      <c r="B8" s="62">
        <v>109</v>
      </c>
      <c r="C8" s="62">
        <v>14204</v>
      </c>
      <c r="D8" s="62" t="s">
        <v>20</v>
      </c>
      <c r="E8" s="1384">
        <v>36.86</v>
      </c>
      <c r="F8" s="1384" t="s">
        <v>15</v>
      </c>
      <c r="G8" s="62" t="s">
        <v>121</v>
      </c>
      <c r="H8" s="62" t="s">
        <v>16</v>
      </c>
      <c r="I8" s="95">
        <v>2705435.5</v>
      </c>
      <c r="J8" s="62">
        <v>1</v>
      </c>
      <c r="K8" s="62" t="s">
        <v>660</v>
      </c>
      <c r="L8" s="62" t="s">
        <v>12</v>
      </c>
      <c r="M8" s="96">
        <v>44488</v>
      </c>
      <c r="N8" s="96" t="s">
        <v>11</v>
      </c>
      <c r="O8" s="62" t="s">
        <v>661</v>
      </c>
      <c r="P8" s="941" t="s">
        <v>655</v>
      </c>
      <c r="Q8" s="941" t="s">
        <v>655</v>
      </c>
      <c r="R8" s="941" t="s">
        <v>20</v>
      </c>
      <c r="S8" s="941" t="s">
        <v>20</v>
      </c>
      <c r="T8" s="941" t="s">
        <v>20</v>
      </c>
      <c r="U8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2502705.5</v>
      </c>
    </row>
    <row r="9" spans="1:21" s="929" customFormat="1" ht="11.25" customHeight="1" outlineLevel="1">
      <c r="A9" s="62">
        <v>7</v>
      </c>
      <c r="B9" s="62">
        <v>311</v>
      </c>
      <c r="C9" s="62">
        <v>15640</v>
      </c>
      <c r="D9" s="62" t="s">
        <v>63</v>
      </c>
      <c r="E9" s="1384">
        <v>55.8</v>
      </c>
      <c r="F9" s="1384" t="s">
        <v>15</v>
      </c>
      <c r="G9" s="62" t="s">
        <v>121</v>
      </c>
      <c r="H9" s="62" t="s">
        <v>16</v>
      </c>
      <c r="I9" s="95">
        <v>3456749.74</v>
      </c>
      <c r="J9" s="62">
        <v>2</v>
      </c>
      <c r="K9" s="62" t="s">
        <v>65</v>
      </c>
      <c r="L9" s="62" t="s">
        <v>515</v>
      </c>
      <c r="M9" s="96" t="s">
        <v>662</v>
      </c>
      <c r="N9" s="96" t="s">
        <v>11</v>
      </c>
      <c r="O9" s="62" t="s">
        <v>663</v>
      </c>
      <c r="P9" s="941" t="s">
        <v>655</v>
      </c>
      <c r="Q9" s="941" t="s">
        <v>655</v>
      </c>
      <c r="R9" s="941" t="s">
        <v>63</v>
      </c>
      <c r="S9" s="941" t="s">
        <v>63</v>
      </c>
      <c r="T9" s="941" t="s">
        <v>63</v>
      </c>
      <c r="U9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3149849.74</v>
      </c>
    </row>
    <row r="10" spans="1:21" s="929" customFormat="1" ht="13.5" customHeight="1" outlineLevel="1">
      <c r="A10" s="62">
        <v>8</v>
      </c>
      <c r="B10" s="62">
        <v>257</v>
      </c>
      <c r="C10" s="62">
        <v>14538</v>
      </c>
      <c r="D10" s="62" t="s">
        <v>20</v>
      </c>
      <c r="E10" s="1384">
        <v>56.93</v>
      </c>
      <c r="F10" s="1384" t="s">
        <v>15</v>
      </c>
      <c r="G10" s="62" t="s">
        <v>121</v>
      </c>
      <c r="H10" s="62" t="s">
        <v>16</v>
      </c>
      <c r="I10" s="95">
        <v>4027791.52</v>
      </c>
      <c r="J10" s="62">
        <v>2</v>
      </c>
      <c r="K10" s="62" t="s">
        <v>65</v>
      </c>
      <c r="L10" s="62" t="s">
        <v>12</v>
      </c>
      <c r="M10" s="96">
        <v>44494</v>
      </c>
      <c r="N10" s="96" t="s">
        <v>17</v>
      </c>
      <c r="O10" s="62" t="s">
        <v>664</v>
      </c>
      <c r="P10" s="941" t="s">
        <v>655</v>
      </c>
      <c r="Q10" s="941" t="s">
        <v>655</v>
      </c>
      <c r="R10" s="941" t="s">
        <v>20</v>
      </c>
      <c r="S10" s="941" t="s">
        <v>20</v>
      </c>
      <c r="T10" s="941" t="s">
        <v>20</v>
      </c>
      <c r="U10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3714676.52</v>
      </c>
    </row>
    <row r="11" spans="1:21" s="929" customFormat="1" ht="11.25" customHeight="1" outlineLevel="1">
      <c r="A11" s="62">
        <v>9</v>
      </c>
      <c r="B11" s="62">
        <v>36</v>
      </c>
      <c r="C11" s="62">
        <v>11053</v>
      </c>
      <c r="D11" s="117" t="s">
        <v>20</v>
      </c>
      <c r="E11" s="1384">
        <v>59.52</v>
      </c>
      <c r="F11" s="1387" t="s">
        <v>9</v>
      </c>
      <c r="G11" s="117" t="s">
        <v>121</v>
      </c>
      <c r="H11" s="117" t="s">
        <v>575</v>
      </c>
      <c r="I11" s="95">
        <v>4182029.95</v>
      </c>
      <c r="J11" s="62">
        <v>2</v>
      </c>
      <c r="K11" s="117" t="s">
        <v>65</v>
      </c>
      <c r="L11" s="117" t="s">
        <v>18</v>
      </c>
      <c r="M11" s="96">
        <v>44484</v>
      </c>
      <c r="N11" s="1402" t="s">
        <v>17</v>
      </c>
      <c r="O11" s="117" t="s">
        <v>665</v>
      </c>
      <c r="P11" s="941" t="s">
        <v>655</v>
      </c>
      <c r="Q11" s="941" t="s">
        <v>655</v>
      </c>
      <c r="R11" s="892" t="s">
        <v>20</v>
      </c>
      <c r="S11" s="945" t="s">
        <v>20</v>
      </c>
      <c r="T11" s="945" t="s">
        <v>20</v>
      </c>
      <c r="U11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4182029.9499999997</v>
      </c>
    </row>
    <row r="12" spans="1:21" s="929" customFormat="1" ht="11.25" customHeight="1" outlineLevel="1">
      <c r="A12" s="62">
        <v>10</v>
      </c>
      <c r="B12" s="62">
        <v>270</v>
      </c>
      <c r="C12" s="62">
        <v>16333</v>
      </c>
      <c r="D12" s="117" t="s">
        <v>20</v>
      </c>
      <c r="E12" s="1384">
        <v>59.93</v>
      </c>
      <c r="F12" s="1387" t="s">
        <v>9</v>
      </c>
      <c r="G12" s="117" t="s">
        <v>27</v>
      </c>
      <c r="H12" s="117" t="s">
        <v>84</v>
      </c>
      <c r="I12" s="95">
        <v>3598264.56</v>
      </c>
      <c r="J12" s="62">
        <v>2</v>
      </c>
      <c r="K12" s="117" t="s">
        <v>85</v>
      </c>
      <c r="L12" s="117" t="s">
        <v>18</v>
      </c>
      <c r="M12" s="96" t="s">
        <v>666</v>
      </c>
      <c r="N12" s="1402" t="s">
        <v>11</v>
      </c>
      <c r="O12" s="117" t="s">
        <v>667</v>
      </c>
      <c r="P12" s="941" t="s">
        <v>655</v>
      </c>
      <c r="Q12" s="941" t="s">
        <v>655</v>
      </c>
      <c r="R12" s="892" t="s">
        <v>20</v>
      </c>
      <c r="S12" s="945" t="s">
        <v>63</v>
      </c>
      <c r="T12" s="945" t="s">
        <v>20</v>
      </c>
      <c r="U12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3598264.56</v>
      </c>
    </row>
    <row r="13" spans="1:21" s="929" customFormat="1" ht="11.25" customHeight="1" outlineLevel="1">
      <c r="A13" s="62">
        <v>11</v>
      </c>
      <c r="B13" s="62">
        <v>539</v>
      </c>
      <c r="C13" s="62">
        <v>16546</v>
      </c>
      <c r="D13" s="117" t="s">
        <v>20</v>
      </c>
      <c r="E13" s="1384">
        <v>40</v>
      </c>
      <c r="F13" s="1387" t="s">
        <v>15</v>
      </c>
      <c r="G13" s="117" t="s">
        <v>27</v>
      </c>
      <c r="H13" s="117" t="s">
        <v>575</v>
      </c>
      <c r="I13" s="95">
        <v>2621305.98</v>
      </c>
      <c r="J13" s="62">
        <v>1</v>
      </c>
      <c r="K13" s="117" t="s">
        <v>65</v>
      </c>
      <c r="L13" s="117" t="s">
        <v>18</v>
      </c>
      <c r="M13" s="96">
        <v>44488</v>
      </c>
      <c r="N13" s="1402" t="s">
        <v>17</v>
      </c>
      <c r="O13" s="117" t="s">
        <v>668</v>
      </c>
      <c r="P13" s="941" t="s">
        <v>655</v>
      </c>
      <c r="Q13" s="941" t="s">
        <v>655</v>
      </c>
      <c r="R13" s="892" t="s">
        <v>20</v>
      </c>
      <c r="S13" s="945" t="s">
        <v>20</v>
      </c>
      <c r="T13" s="945" t="s">
        <v>20</v>
      </c>
      <c r="U13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2401305.98</v>
      </c>
    </row>
    <row r="14" spans="1:21" s="929" customFormat="1" ht="11.25" customHeight="1" outlineLevel="1">
      <c r="A14" s="62">
        <v>12</v>
      </c>
      <c r="B14" s="62">
        <v>253</v>
      </c>
      <c r="C14" s="62">
        <v>10947</v>
      </c>
      <c r="D14" s="117" t="s">
        <v>20</v>
      </c>
      <c r="E14" s="1384">
        <v>37.11</v>
      </c>
      <c r="F14" s="1387" t="s">
        <v>15</v>
      </c>
      <c r="G14" s="117" t="s">
        <v>27</v>
      </c>
      <c r="H14" s="117" t="s">
        <v>575</v>
      </c>
      <c r="I14" s="95">
        <v>2552259.5499999998</v>
      </c>
      <c r="J14" s="62">
        <v>1</v>
      </c>
      <c r="K14" s="117" t="s">
        <v>65</v>
      </c>
      <c r="L14" s="117" t="s">
        <v>18</v>
      </c>
      <c r="M14" s="96">
        <v>44487</v>
      </c>
      <c r="N14" s="1402" t="s">
        <v>17</v>
      </c>
      <c r="O14" s="117" t="s">
        <v>669</v>
      </c>
      <c r="P14" s="941" t="s">
        <v>655</v>
      </c>
      <c r="Q14" s="941" t="s">
        <v>655</v>
      </c>
      <c r="R14" s="892" t="s">
        <v>20</v>
      </c>
      <c r="S14" s="945" t="s">
        <v>20</v>
      </c>
      <c r="T14" s="945" t="s">
        <v>20</v>
      </c>
      <c r="U14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2348154.5499999993</v>
      </c>
    </row>
    <row r="15" spans="1:21" s="929" customFormat="1" ht="11.25" customHeight="1" outlineLevel="1">
      <c r="A15" s="62">
        <v>13</v>
      </c>
      <c r="B15" s="62">
        <v>580</v>
      </c>
      <c r="C15" s="62">
        <v>16133</v>
      </c>
      <c r="D15" s="117" t="s">
        <v>20</v>
      </c>
      <c r="E15" s="1384">
        <v>23.63</v>
      </c>
      <c r="F15" s="1387" t="s">
        <v>15</v>
      </c>
      <c r="G15" s="117" t="s">
        <v>27</v>
      </c>
      <c r="H15" s="117" t="s">
        <v>84</v>
      </c>
      <c r="I15" s="95">
        <v>1659653.05</v>
      </c>
      <c r="J15" s="62">
        <v>0</v>
      </c>
      <c r="K15" s="117" t="s">
        <v>286</v>
      </c>
      <c r="L15" s="117" t="s">
        <v>18</v>
      </c>
      <c r="M15" s="96">
        <v>44488</v>
      </c>
      <c r="N15" s="1402" t="s">
        <v>11</v>
      </c>
      <c r="O15" s="117" t="s">
        <v>670</v>
      </c>
      <c r="P15" s="941" t="s">
        <v>655</v>
      </c>
      <c r="Q15" s="941" t="s">
        <v>655</v>
      </c>
      <c r="R15" s="892" t="s">
        <v>20</v>
      </c>
      <c r="S15" s="945" t="s">
        <v>20</v>
      </c>
      <c r="T15" s="945" t="s">
        <v>20</v>
      </c>
      <c r="U15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1529688.05</v>
      </c>
    </row>
    <row r="16" spans="1:21" s="929" customFormat="1" ht="11.25" customHeight="1" outlineLevel="1">
      <c r="A16" s="62">
        <v>14</v>
      </c>
      <c r="B16" s="62">
        <v>470</v>
      </c>
      <c r="C16" s="62">
        <v>16343</v>
      </c>
      <c r="D16" s="117" t="s">
        <v>20</v>
      </c>
      <c r="E16" s="1384">
        <v>59.93</v>
      </c>
      <c r="F16" s="1387" t="s">
        <v>25</v>
      </c>
      <c r="G16" s="117" t="s">
        <v>27</v>
      </c>
      <c r="H16" s="117" t="s">
        <v>575</v>
      </c>
      <c r="I16" s="95">
        <v>4563492.95</v>
      </c>
      <c r="J16" s="62">
        <v>2</v>
      </c>
      <c r="K16" s="117" t="s">
        <v>65</v>
      </c>
      <c r="L16" s="117" t="s">
        <v>18</v>
      </c>
      <c r="M16" s="96">
        <v>44482</v>
      </c>
      <c r="N16" s="1402" t="s">
        <v>17</v>
      </c>
      <c r="O16" s="117" t="s">
        <v>671</v>
      </c>
      <c r="P16" s="941" t="s">
        <v>655</v>
      </c>
      <c r="Q16" s="941" t="s">
        <v>655</v>
      </c>
      <c r="R16" s="892" t="s">
        <v>20</v>
      </c>
      <c r="S16" s="945" t="s">
        <v>20</v>
      </c>
      <c r="T16" s="945" t="s">
        <v>20</v>
      </c>
      <c r="U16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3604612.95</v>
      </c>
    </row>
    <row r="17" spans="1:21" s="929" customFormat="1" ht="11.25" customHeight="1" outlineLevel="1">
      <c r="A17" s="62">
        <v>15</v>
      </c>
      <c r="B17" s="62">
        <v>286</v>
      </c>
      <c r="C17" s="62">
        <v>16352</v>
      </c>
      <c r="D17" s="117" t="s">
        <v>20</v>
      </c>
      <c r="E17" s="1384">
        <v>37.89</v>
      </c>
      <c r="F17" s="1387" t="s">
        <v>15</v>
      </c>
      <c r="G17" s="117" t="s">
        <v>121</v>
      </c>
      <c r="H17" s="117" t="s">
        <v>575</v>
      </c>
      <c r="I17" s="95">
        <v>3026651.68</v>
      </c>
      <c r="J17" s="62">
        <v>1</v>
      </c>
      <c r="K17" s="117" t="s">
        <v>65</v>
      </c>
      <c r="L17" s="117" t="s">
        <v>12</v>
      </c>
      <c r="M17" s="96">
        <v>44489</v>
      </c>
      <c r="N17" s="1402" t="s">
        <v>17</v>
      </c>
      <c r="O17" s="117" t="s">
        <v>672</v>
      </c>
      <c r="P17" s="941" t="s">
        <v>655</v>
      </c>
      <c r="Q17" s="941" t="s">
        <v>655</v>
      </c>
      <c r="R17" s="76" t="s">
        <v>20</v>
      </c>
      <c r="S17" s="941" t="s">
        <v>20</v>
      </c>
      <c r="T17" s="941" t="s">
        <v>20</v>
      </c>
      <c r="U17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2818256.6799999997</v>
      </c>
    </row>
    <row r="18" spans="1:21" s="929" customFormat="1" ht="11.25" customHeight="1" outlineLevel="1">
      <c r="A18" s="62">
        <v>16</v>
      </c>
      <c r="B18" s="117">
        <v>191</v>
      </c>
      <c r="C18" s="117">
        <v>16126</v>
      </c>
      <c r="D18" s="62" t="s">
        <v>77</v>
      </c>
      <c r="E18" s="117">
        <v>56.93</v>
      </c>
      <c r="F18" s="1384" t="s">
        <v>15</v>
      </c>
      <c r="G18" s="62" t="s">
        <v>121</v>
      </c>
      <c r="H18" s="62" t="s">
        <v>16</v>
      </c>
      <c r="I18" s="1370">
        <v>4057739.52</v>
      </c>
      <c r="J18" s="117">
        <v>2</v>
      </c>
      <c r="K18" s="62" t="s">
        <v>65</v>
      </c>
      <c r="L18" s="62" t="s">
        <v>12</v>
      </c>
      <c r="M18" s="1402">
        <v>44485</v>
      </c>
      <c r="N18" s="96" t="s">
        <v>17</v>
      </c>
      <c r="O18" s="117" t="s">
        <v>673</v>
      </c>
      <c r="P18" s="941" t="s">
        <v>655</v>
      </c>
      <c r="Q18" s="941" t="s">
        <v>655</v>
      </c>
      <c r="R18" s="941" t="s">
        <v>77</v>
      </c>
      <c r="S18" s="941" t="s">
        <v>77</v>
      </c>
      <c r="T18" s="941" t="s">
        <v>77</v>
      </c>
      <c r="U18" s="1411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3744624.5200000005</v>
      </c>
    </row>
    <row r="19" spans="1:21" s="929" customFormat="1" ht="12.75" customHeight="1" outlineLevel="1">
      <c r="A19" s="62">
        <v>17</v>
      </c>
      <c r="B19" s="62">
        <v>239</v>
      </c>
      <c r="C19" s="62">
        <v>6848</v>
      </c>
      <c r="D19" s="62" t="s">
        <v>407</v>
      </c>
      <c r="E19" s="1384">
        <v>55.8</v>
      </c>
      <c r="F19" s="941" t="s">
        <v>15</v>
      </c>
      <c r="G19" s="62" t="s">
        <v>27</v>
      </c>
      <c r="H19" s="62"/>
      <c r="I19" s="95">
        <v>3456749.74</v>
      </c>
      <c r="J19" s="81">
        <v>2</v>
      </c>
      <c r="K19" s="62" t="s">
        <v>286</v>
      </c>
      <c r="L19" s="62" t="s">
        <v>18</v>
      </c>
      <c r="M19" s="96">
        <v>44473</v>
      </c>
      <c r="N19" s="96" t="s">
        <v>17</v>
      </c>
      <c r="O19" s="96" t="s">
        <v>674</v>
      </c>
      <c r="P19" s="941" t="s">
        <v>655</v>
      </c>
      <c r="Q19" s="941" t="s">
        <v>655</v>
      </c>
      <c r="R19" s="76" t="s">
        <v>407</v>
      </c>
      <c r="S19" s="76" t="s">
        <v>77</v>
      </c>
      <c r="T19" s="76" t="s">
        <v>407</v>
      </c>
      <c r="U19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3149849.74</v>
      </c>
    </row>
    <row r="20" spans="1:21" s="929" customFormat="1" ht="12.75" customHeight="1" outlineLevel="1">
      <c r="A20" s="62">
        <v>18</v>
      </c>
      <c r="B20" s="1383">
        <v>541</v>
      </c>
      <c r="C20" s="1383">
        <v>15388</v>
      </c>
      <c r="D20" s="62" t="s">
        <v>471</v>
      </c>
      <c r="E20" s="1384">
        <v>37.11</v>
      </c>
      <c r="F20" s="1385" t="s">
        <v>15</v>
      </c>
      <c r="G20" s="1386" t="s">
        <v>27</v>
      </c>
      <c r="H20" s="371" t="s">
        <v>16</v>
      </c>
      <c r="I20" s="95">
        <v>2566935.5099999998</v>
      </c>
      <c r="J20" s="1386">
        <v>1</v>
      </c>
      <c r="K20" s="95" t="s">
        <v>65</v>
      </c>
      <c r="L20" s="1386" t="s">
        <v>91</v>
      </c>
      <c r="M20" s="96">
        <v>44498</v>
      </c>
      <c r="N20" s="96" t="s">
        <v>17</v>
      </c>
      <c r="O20" s="1386" t="s">
        <v>675</v>
      </c>
      <c r="P20" s="1403" t="s">
        <v>655</v>
      </c>
      <c r="Q20" s="1403" t="s">
        <v>655</v>
      </c>
      <c r="R20" s="941" t="s">
        <v>471</v>
      </c>
      <c r="S20" s="941" t="s">
        <v>471</v>
      </c>
      <c r="T20" s="941" t="s">
        <v>471</v>
      </c>
      <c r="U20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2362830.5099999998</v>
      </c>
    </row>
    <row r="21" spans="1:21" s="941" customFormat="1" ht="11.25" customHeight="1" outlineLevel="1">
      <c r="A21" s="62">
        <v>19</v>
      </c>
      <c r="B21" s="62">
        <v>556</v>
      </c>
      <c r="C21" s="62">
        <v>15953</v>
      </c>
      <c r="D21" s="62" t="s">
        <v>471</v>
      </c>
      <c r="E21" s="1384">
        <v>23.63</v>
      </c>
      <c r="F21" s="941" t="s">
        <v>9</v>
      </c>
      <c r="G21" s="62" t="s">
        <v>27</v>
      </c>
      <c r="H21" s="62"/>
      <c r="I21" s="95">
        <v>1529688.05</v>
      </c>
      <c r="J21" s="81">
        <v>0</v>
      </c>
      <c r="K21" s="371">
        <v>1</v>
      </c>
      <c r="L21" s="62" t="s">
        <v>18</v>
      </c>
      <c r="M21" s="96"/>
      <c r="N21" s="96" t="s">
        <v>17</v>
      </c>
      <c r="O21" s="96" t="s">
        <v>676</v>
      </c>
      <c r="P21" s="941" t="s">
        <v>655</v>
      </c>
      <c r="Q21" s="892" t="s">
        <v>677</v>
      </c>
      <c r="R21" s="76" t="s">
        <v>471</v>
      </c>
      <c r="S21" s="76" t="s">
        <v>534</v>
      </c>
      <c r="T21" s="76" t="s">
        <v>471</v>
      </c>
      <c r="U21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1529688.05</v>
      </c>
    </row>
    <row r="22" spans="1:21" ht="11.25" customHeight="1" outlineLevel="1">
      <c r="A22" s="62">
        <v>20</v>
      </c>
      <c r="B22" s="62">
        <v>490</v>
      </c>
      <c r="C22" s="62">
        <v>16096</v>
      </c>
      <c r="D22" s="62" t="s">
        <v>63</v>
      </c>
      <c r="E22" s="1384">
        <v>23.54</v>
      </c>
      <c r="F22" s="62" t="s">
        <v>9</v>
      </c>
      <c r="G22" s="62" t="s">
        <v>27</v>
      </c>
      <c r="H22" s="1388"/>
      <c r="I22" s="95">
        <v>1523861.9</v>
      </c>
      <c r="J22" s="62">
        <v>0</v>
      </c>
      <c r="K22" s="62" t="s">
        <v>514</v>
      </c>
      <c r="L22" s="62" t="s">
        <v>12</v>
      </c>
      <c r="M22" s="96">
        <v>44477</v>
      </c>
      <c r="N22" s="96" t="s">
        <v>11</v>
      </c>
      <c r="O22" s="62" t="s">
        <v>678</v>
      </c>
      <c r="P22" s="941" t="s">
        <v>655</v>
      </c>
      <c r="Q22" s="941" t="s">
        <v>655</v>
      </c>
      <c r="R22" s="941" t="s">
        <v>63</v>
      </c>
      <c r="S22" s="941" t="s">
        <v>63</v>
      </c>
      <c r="T22" s="941" t="s">
        <v>63</v>
      </c>
      <c r="U22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1523861.9</v>
      </c>
    </row>
    <row r="23" spans="1:21" s="929" customFormat="1" ht="12.75" customHeight="1" outlineLevel="1">
      <c r="A23" s="62">
        <v>21</v>
      </c>
      <c r="B23" s="62">
        <v>252</v>
      </c>
      <c r="C23" s="62">
        <v>16285</v>
      </c>
      <c r="D23" s="62" t="s">
        <v>77</v>
      </c>
      <c r="E23" s="1384">
        <v>23.63</v>
      </c>
      <c r="F23" s="1384" t="s">
        <v>15</v>
      </c>
      <c r="G23" s="62" t="s">
        <v>27</v>
      </c>
      <c r="H23" s="62" t="s">
        <v>10</v>
      </c>
      <c r="I23" s="95">
        <v>1659653.05</v>
      </c>
      <c r="J23" s="62">
        <v>0</v>
      </c>
      <c r="K23" s="62" t="s">
        <v>286</v>
      </c>
      <c r="L23" s="62" t="s">
        <v>91</v>
      </c>
      <c r="M23" s="1404">
        <v>44473</v>
      </c>
      <c r="N23" s="96" t="s">
        <v>11</v>
      </c>
      <c r="O23" s="941" t="s">
        <v>679</v>
      </c>
      <c r="P23" s="941" t="s">
        <v>655</v>
      </c>
      <c r="Q23" s="941" t="s">
        <v>655</v>
      </c>
      <c r="R23" s="941" t="s">
        <v>77</v>
      </c>
      <c r="S23" s="941" t="s">
        <v>77</v>
      </c>
      <c r="T23" s="941" t="s">
        <v>77</v>
      </c>
      <c r="U23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1529688.05</v>
      </c>
    </row>
    <row r="24" spans="1:21" s="929" customFormat="1" ht="12.75" customHeight="1" outlineLevel="1">
      <c r="A24" s="62">
        <v>22</v>
      </c>
      <c r="B24" s="81">
        <v>146</v>
      </c>
      <c r="C24" s="1383">
        <v>9042</v>
      </c>
      <c r="D24" s="62" t="s">
        <v>77</v>
      </c>
      <c r="E24" s="1384">
        <v>59.96</v>
      </c>
      <c r="F24" s="1385" t="s">
        <v>9</v>
      </c>
      <c r="G24" s="1386" t="s">
        <v>121</v>
      </c>
      <c r="H24" s="371" t="s">
        <v>16</v>
      </c>
      <c r="I24" s="91">
        <v>4381548.22</v>
      </c>
      <c r="J24" s="1386">
        <v>2</v>
      </c>
      <c r="K24" s="95" t="s">
        <v>65</v>
      </c>
      <c r="L24" s="1386" t="s">
        <v>91</v>
      </c>
      <c r="M24" s="96">
        <v>44494</v>
      </c>
      <c r="N24" s="96" t="s">
        <v>17</v>
      </c>
      <c r="O24" s="76" t="s">
        <v>680</v>
      </c>
      <c r="P24" s="1401" t="s">
        <v>655</v>
      </c>
      <c r="Q24" s="1403" t="s">
        <v>655</v>
      </c>
      <c r="R24" s="941" t="s">
        <v>77</v>
      </c>
      <c r="S24" s="941" t="s">
        <v>77</v>
      </c>
      <c r="T24" s="941" t="s">
        <v>77</v>
      </c>
      <c r="U24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4381548.22</v>
      </c>
    </row>
    <row r="25" spans="1:21" s="1213" customFormat="1" ht="12.75" customHeight="1" outlineLevel="1">
      <c r="A25" s="62">
        <v>23</v>
      </c>
      <c r="B25" s="62">
        <v>241</v>
      </c>
      <c r="C25" s="62">
        <v>15792</v>
      </c>
      <c r="D25" s="62" t="s">
        <v>20</v>
      </c>
      <c r="E25" s="1384">
        <v>86.58</v>
      </c>
      <c r="F25" s="1384" t="s">
        <v>9</v>
      </c>
      <c r="G25" s="62" t="s">
        <v>121</v>
      </c>
      <c r="H25" s="117" t="s">
        <v>16</v>
      </c>
      <c r="I25" s="95">
        <v>5742342.4100000001</v>
      </c>
      <c r="J25" s="62">
        <v>3</v>
      </c>
      <c r="K25" s="62" t="s">
        <v>65</v>
      </c>
      <c r="L25" s="62" t="s">
        <v>12</v>
      </c>
      <c r="M25" s="1404">
        <v>44492</v>
      </c>
      <c r="N25" s="96" t="s">
        <v>17</v>
      </c>
      <c r="O25" s="62" t="s">
        <v>681</v>
      </c>
      <c r="P25" s="941" t="s">
        <v>655</v>
      </c>
      <c r="Q25" s="941" t="s">
        <v>655</v>
      </c>
      <c r="R25" s="941" t="s">
        <v>20</v>
      </c>
      <c r="S25" s="941" t="s">
        <v>20</v>
      </c>
      <c r="T25" s="941" t="s">
        <v>20</v>
      </c>
      <c r="U25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5742342.4100000001</v>
      </c>
    </row>
    <row r="26" spans="1:21" s="929" customFormat="1" ht="13.5" customHeight="1" outlineLevel="1">
      <c r="A26" s="62">
        <v>24</v>
      </c>
      <c r="B26" s="62">
        <v>549</v>
      </c>
      <c r="C26" s="62">
        <v>16386</v>
      </c>
      <c r="D26" s="62" t="s">
        <v>471</v>
      </c>
      <c r="E26" s="1384">
        <v>37.11</v>
      </c>
      <c r="F26" s="941" t="s">
        <v>9</v>
      </c>
      <c r="G26" s="62" t="s">
        <v>27</v>
      </c>
      <c r="H26" s="62" t="s">
        <v>575</v>
      </c>
      <c r="I26" s="95">
        <v>2250314.77</v>
      </c>
      <c r="J26" s="81">
        <v>1</v>
      </c>
      <c r="K26" s="62" t="s">
        <v>65</v>
      </c>
      <c r="L26" s="62" t="s">
        <v>91</v>
      </c>
      <c r="M26" s="62"/>
      <c r="N26" s="96" t="s">
        <v>17</v>
      </c>
      <c r="O26" s="96" t="s">
        <v>682</v>
      </c>
      <c r="P26" s="941" t="s">
        <v>655</v>
      </c>
      <c r="Q26" s="76" t="s">
        <v>683</v>
      </c>
      <c r="R26" s="76" t="s">
        <v>471</v>
      </c>
      <c r="S26" s="76" t="s">
        <v>471</v>
      </c>
      <c r="T26" s="76" t="s">
        <v>471</v>
      </c>
      <c r="U26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2250314.77</v>
      </c>
    </row>
    <row r="27" spans="1:21" s="929" customFormat="1" outlineLevel="1">
      <c r="A27" s="62">
        <v>25</v>
      </c>
      <c r="B27" s="62">
        <v>89</v>
      </c>
      <c r="C27" s="62">
        <v>16334</v>
      </c>
      <c r="D27" s="62" t="s">
        <v>471</v>
      </c>
      <c r="E27" s="1384">
        <v>36.42</v>
      </c>
      <c r="F27" s="941" t="s">
        <v>9</v>
      </c>
      <c r="G27" s="62" t="s">
        <v>121</v>
      </c>
      <c r="H27" s="62" t="s">
        <v>575</v>
      </c>
      <c r="I27" s="95">
        <v>2645928.66</v>
      </c>
      <c r="J27" s="81">
        <v>1</v>
      </c>
      <c r="K27" s="62" t="s">
        <v>65</v>
      </c>
      <c r="L27" s="62" t="s">
        <v>91</v>
      </c>
      <c r="M27" s="62"/>
      <c r="N27" s="96" t="s">
        <v>11</v>
      </c>
      <c r="O27" s="96" t="s">
        <v>684</v>
      </c>
      <c r="P27" s="941" t="s">
        <v>655</v>
      </c>
      <c r="Q27" s="76" t="s">
        <v>685</v>
      </c>
      <c r="R27" s="76" t="s">
        <v>471</v>
      </c>
      <c r="S27" s="76" t="s">
        <v>471</v>
      </c>
      <c r="T27" s="76" t="s">
        <v>471</v>
      </c>
      <c r="U27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2645928.66</v>
      </c>
    </row>
    <row r="28" spans="1:21" s="929" customFormat="1" ht="12.75" customHeight="1" outlineLevel="1">
      <c r="A28" s="62">
        <v>26</v>
      </c>
      <c r="B28" s="62">
        <v>613</v>
      </c>
      <c r="C28" s="62">
        <v>16402</v>
      </c>
      <c r="D28" s="62" t="s">
        <v>471</v>
      </c>
      <c r="E28" s="1384">
        <v>37.11</v>
      </c>
      <c r="F28" s="941" t="s">
        <v>9</v>
      </c>
      <c r="G28" s="62" t="s">
        <v>27</v>
      </c>
      <c r="H28" s="62"/>
      <c r="I28" s="95">
        <v>2250314.77</v>
      </c>
      <c r="J28" s="81">
        <v>1</v>
      </c>
      <c r="K28" s="371" t="s">
        <v>286</v>
      </c>
      <c r="L28" s="62" t="s">
        <v>91</v>
      </c>
      <c r="M28" s="62"/>
      <c r="N28" s="96" t="s">
        <v>11</v>
      </c>
      <c r="O28" s="96" t="s">
        <v>686</v>
      </c>
      <c r="P28" s="76" t="s">
        <v>655</v>
      </c>
      <c r="Q28" s="76" t="s">
        <v>683</v>
      </c>
      <c r="R28" s="76" t="s">
        <v>471</v>
      </c>
      <c r="S28" s="76" t="s">
        <v>471</v>
      </c>
      <c r="T28" s="76" t="s">
        <v>471</v>
      </c>
      <c r="U28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2250314.77</v>
      </c>
    </row>
    <row r="29" spans="1:21" s="929" customFormat="1" outlineLevel="1">
      <c r="A29" s="62">
        <v>27</v>
      </c>
      <c r="B29" s="62">
        <v>543</v>
      </c>
      <c r="C29" s="62">
        <v>16530</v>
      </c>
      <c r="D29" s="62" t="s">
        <v>471</v>
      </c>
      <c r="E29" s="1384">
        <v>55.8</v>
      </c>
      <c r="F29" s="941" t="s">
        <v>9</v>
      </c>
      <c r="G29" s="62" t="s">
        <v>27</v>
      </c>
      <c r="H29" s="62" t="s">
        <v>575</v>
      </c>
      <c r="I29" s="95">
        <v>3087325.83</v>
      </c>
      <c r="J29" s="81">
        <v>2</v>
      </c>
      <c r="K29" s="62" t="s">
        <v>65</v>
      </c>
      <c r="L29" s="62" t="s">
        <v>91</v>
      </c>
      <c r="M29" s="62"/>
      <c r="N29" s="96" t="s">
        <v>17</v>
      </c>
      <c r="O29" s="96" t="s">
        <v>687</v>
      </c>
      <c r="P29" s="941" t="s">
        <v>655</v>
      </c>
      <c r="Q29" s="76" t="s">
        <v>683</v>
      </c>
      <c r="R29" s="76" t="s">
        <v>471</v>
      </c>
      <c r="S29" s="76" t="s">
        <v>471</v>
      </c>
      <c r="T29" s="76" t="s">
        <v>471</v>
      </c>
      <c r="U29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3087325.83</v>
      </c>
    </row>
    <row r="30" spans="1:21" s="929" customFormat="1" outlineLevel="1">
      <c r="A30" s="62">
        <v>28</v>
      </c>
      <c r="B30" s="62">
        <v>612</v>
      </c>
      <c r="C30" s="62">
        <v>16521</v>
      </c>
      <c r="D30" s="62" t="s">
        <v>77</v>
      </c>
      <c r="E30" s="1384">
        <v>23.63</v>
      </c>
      <c r="F30" s="941" t="s">
        <v>9</v>
      </c>
      <c r="G30" s="62" t="s">
        <v>27</v>
      </c>
      <c r="H30" s="62" t="s">
        <v>575</v>
      </c>
      <c r="I30" s="95">
        <v>1529688.05</v>
      </c>
      <c r="J30" s="81">
        <v>0</v>
      </c>
      <c r="K30" s="62" t="s">
        <v>65</v>
      </c>
      <c r="L30" s="62" t="s">
        <v>91</v>
      </c>
      <c r="M30" s="96"/>
      <c r="N30" s="96" t="s">
        <v>17</v>
      </c>
      <c r="O30" s="96" t="s">
        <v>688</v>
      </c>
      <c r="P30" s="941" t="s">
        <v>655</v>
      </c>
      <c r="Q30" s="941" t="s">
        <v>655</v>
      </c>
      <c r="R30" s="76" t="s">
        <v>77</v>
      </c>
      <c r="S30" s="941" t="s">
        <v>77</v>
      </c>
      <c r="T30" s="76" t="s">
        <v>77</v>
      </c>
      <c r="U30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1529688.05</v>
      </c>
    </row>
    <row r="31" spans="1:21" s="929" customFormat="1" ht="12.75" customHeight="1" outlineLevel="1">
      <c r="A31" s="62">
        <v>29</v>
      </c>
      <c r="B31" s="62">
        <v>552</v>
      </c>
      <c r="C31" s="62">
        <v>16578</v>
      </c>
      <c r="D31" s="62" t="s">
        <v>407</v>
      </c>
      <c r="E31" s="1384">
        <v>82.27</v>
      </c>
      <c r="F31" s="941" t="s">
        <v>9</v>
      </c>
      <c r="G31" s="62" t="s">
        <v>27</v>
      </c>
      <c r="H31" s="62" t="s">
        <v>84</v>
      </c>
      <c r="I31" s="95">
        <v>4350458.66</v>
      </c>
      <c r="J31" s="81">
        <v>3</v>
      </c>
      <c r="K31" s="371">
        <v>1</v>
      </c>
      <c r="L31" s="62" t="s">
        <v>91</v>
      </c>
      <c r="M31" s="62"/>
      <c r="N31" s="96" t="s">
        <v>17</v>
      </c>
      <c r="O31" s="96" t="s">
        <v>689</v>
      </c>
      <c r="P31" s="941" t="s">
        <v>690</v>
      </c>
      <c r="Q31" s="941" t="s">
        <v>690</v>
      </c>
      <c r="R31" s="76" t="s">
        <v>407</v>
      </c>
      <c r="S31" s="945" t="s">
        <v>407</v>
      </c>
      <c r="T31" s="76" t="s">
        <v>407</v>
      </c>
      <c r="U31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4350458.66</v>
      </c>
    </row>
    <row r="32" spans="1:21" s="929" customFormat="1" outlineLevel="1">
      <c r="A32" s="62">
        <v>30</v>
      </c>
      <c r="B32" s="62">
        <v>473</v>
      </c>
      <c r="C32" s="62">
        <v>6374</v>
      </c>
      <c r="D32" s="117" t="s">
        <v>63</v>
      </c>
      <c r="E32" s="1384">
        <v>37.159999999999997</v>
      </c>
      <c r="F32" s="945" t="s">
        <v>15</v>
      </c>
      <c r="G32" s="117" t="s">
        <v>27</v>
      </c>
      <c r="H32" s="117" t="s">
        <v>575</v>
      </c>
      <c r="I32" s="1019">
        <v>2626237.87</v>
      </c>
      <c r="J32" s="81">
        <v>1</v>
      </c>
      <c r="K32" s="117" t="s">
        <v>65</v>
      </c>
      <c r="L32" s="117" t="s">
        <v>91</v>
      </c>
      <c r="M32" s="96">
        <v>44485</v>
      </c>
      <c r="N32" s="1402" t="s">
        <v>17</v>
      </c>
      <c r="O32" s="1402" t="s">
        <v>691</v>
      </c>
      <c r="P32" s="76" t="s">
        <v>655</v>
      </c>
      <c r="Q32" s="892" t="s">
        <v>692</v>
      </c>
      <c r="R32" s="892" t="s">
        <v>63</v>
      </c>
      <c r="S32" s="945" t="s">
        <v>63</v>
      </c>
      <c r="T32" s="945" t="s">
        <v>63</v>
      </c>
      <c r="U32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2421857.8699999996</v>
      </c>
    </row>
    <row r="33" spans="1:21" s="929" customFormat="1" ht="12.75" customHeight="1" outlineLevel="1">
      <c r="A33" s="62">
        <v>31</v>
      </c>
      <c r="B33" s="62">
        <v>402</v>
      </c>
      <c r="C33" s="81">
        <v>16624</v>
      </c>
      <c r="D33" s="62" t="s">
        <v>471</v>
      </c>
      <c r="E33" s="1384">
        <v>23.54</v>
      </c>
      <c r="F33" s="941" t="s">
        <v>9</v>
      </c>
      <c r="G33" s="62" t="s">
        <v>27</v>
      </c>
      <c r="H33" s="62"/>
      <c r="I33" s="95">
        <v>1523861.9</v>
      </c>
      <c r="J33" s="81">
        <v>0</v>
      </c>
      <c r="K33" s="371">
        <v>1</v>
      </c>
      <c r="L33" s="62" t="s">
        <v>91</v>
      </c>
      <c r="M33" s="62"/>
      <c r="N33" s="96" t="s">
        <v>11</v>
      </c>
      <c r="O33" s="96" t="s">
        <v>693</v>
      </c>
      <c r="P33" s="76" t="s">
        <v>655</v>
      </c>
      <c r="Q33" s="76" t="s">
        <v>655</v>
      </c>
      <c r="R33" s="76" t="s">
        <v>471</v>
      </c>
      <c r="S33" s="76" t="s">
        <v>471</v>
      </c>
      <c r="T33" s="76" t="s">
        <v>471</v>
      </c>
      <c r="U33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1523861.9</v>
      </c>
    </row>
    <row r="34" spans="1:21" s="929" customFormat="1" outlineLevel="1">
      <c r="A34" s="62">
        <v>32</v>
      </c>
      <c r="B34" s="62">
        <v>487</v>
      </c>
      <c r="C34" s="62">
        <v>16598</v>
      </c>
      <c r="D34" s="62" t="s">
        <v>73</v>
      </c>
      <c r="E34" s="1384">
        <v>55.8</v>
      </c>
      <c r="F34" s="945" t="s">
        <v>15</v>
      </c>
      <c r="G34" s="62" t="s">
        <v>27</v>
      </c>
      <c r="H34" s="62" t="s">
        <v>575</v>
      </c>
      <c r="I34" s="95">
        <v>3685829.72</v>
      </c>
      <c r="J34" s="81">
        <v>2</v>
      </c>
      <c r="K34" s="62" t="s">
        <v>65</v>
      </c>
      <c r="L34" s="62" t="s">
        <v>91</v>
      </c>
      <c r="M34" s="96">
        <v>44483</v>
      </c>
      <c r="N34" s="96" t="s">
        <v>17</v>
      </c>
      <c r="O34" s="96" t="s">
        <v>694</v>
      </c>
      <c r="P34" s="76" t="s">
        <v>655</v>
      </c>
      <c r="Q34" s="76" t="s">
        <v>655</v>
      </c>
      <c r="R34" s="76" t="s">
        <v>73</v>
      </c>
      <c r="S34" s="76" t="s">
        <v>73</v>
      </c>
      <c r="T34" s="76" t="s">
        <v>73</v>
      </c>
      <c r="U34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3378929.72</v>
      </c>
    </row>
    <row r="35" spans="1:21" s="929" customFormat="1" outlineLevel="1">
      <c r="A35" s="62">
        <v>33</v>
      </c>
      <c r="B35" s="62">
        <v>231</v>
      </c>
      <c r="C35" s="62">
        <v>16606</v>
      </c>
      <c r="D35" s="62" t="s">
        <v>73</v>
      </c>
      <c r="E35" s="1384">
        <v>55.8</v>
      </c>
      <c r="F35" s="941" t="s">
        <v>15</v>
      </c>
      <c r="G35" s="62" t="s">
        <v>27</v>
      </c>
      <c r="H35" s="62" t="s">
        <v>575</v>
      </c>
      <c r="I35" s="95">
        <v>3456749.74</v>
      </c>
      <c r="J35" s="81">
        <v>2</v>
      </c>
      <c r="K35" s="62" t="s">
        <v>65</v>
      </c>
      <c r="L35" s="62" t="s">
        <v>91</v>
      </c>
      <c r="M35" s="62"/>
      <c r="N35" s="96" t="s">
        <v>17</v>
      </c>
      <c r="O35" s="96" t="s">
        <v>695</v>
      </c>
      <c r="P35" s="76" t="s">
        <v>655</v>
      </c>
      <c r="Q35" s="76" t="s">
        <v>655</v>
      </c>
      <c r="R35" s="76" t="s">
        <v>73</v>
      </c>
      <c r="S35" s="941" t="s">
        <v>73</v>
      </c>
      <c r="T35" s="941" t="s">
        <v>73</v>
      </c>
      <c r="U35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3149849.74</v>
      </c>
    </row>
    <row r="36" spans="1:21" outlineLevel="1">
      <c r="A36" s="62">
        <v>34</v>
      </c>
      <c r="B36" s="62">
        <v>450</v>
      </c>
      <c r="C36" s="62">
        <v>16615</v>
      </c>
      <c r="D36" s="62" t="s">
        <v>73</v>
      </c>
      <c r="E36" s="1384">
        <v>23.54</v>
      </c>
      <c r="F36" s="941" t="s">
        <v>9</v>
      </c>
      <c r="G36" s="62" t="s">
        <v>27</v>
      </c>
      <c r="H36" s="62" t="s">
        <v>575</v>
      </c>
      <c r="I36" s="95">
        <v>1523861.9</v>
      </c>
      <c r="J36" s="81">
        <v>0</v>
      </c>
      <c r="K36" s="62" t="s">
        <v>65</v>
      </c>
      <c r="L36" s="62" t="s">
        <v>91</v>
      </c>
      <c r="M36" s="62"/>
      <c r="N36" s="96" t="s">
        <v>17</v>
      </c>
      <c r="O36" s="96" t="s">
        <v>696</v>
      </c>
      <c r="P36" s="76" t="s">
        <v>655</v>
      </c>
      <c r="Q36" s="76" t="s">
        <v>655</v>
      </c>
      <c r="R36" s="76" t="s">
        <v>73</v>
      </c>
      <c r="S36" s="941" t="s">
        <v>73</v>
      </c>
      <c r="T36" s="941" t="s">
        <v>73</v>
      </c>
      <c r="U36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1523861.9</v>
      </c>
    </row>
    <row r="37" spans="1:21" s="941" customFormat="1" ht="12.75" customHeight="1" outlineLevel="1">
      <c r="A37" s="62">
        <v>35</v>
      </c>
      <c r="B37" s="81">
        <v>492</v>
      </c>
      <c r="C37" s="62">
        <v>16204</v>
      </c>
      <c r="D37" s="62" t="s">
        <v>63</v>
      </c>
      <c r="E37" s="1384">
        <v>23.63</v>
      </c>
      <c r="F37" s="76" t="s">
        <v>15</v>
      </c>
      <c r="G37" s="62" t="s">
        <v>27</v>
      </c>
      <c r="H37" s="371" t="s">
        <v>10</v>
      </c>
      <c r="I37" s="91">
        <v>1659653.05</v>
      </c>
      <c r="J37" s="1386">
        <v>0</v>
      </c>
      <c r="K37" s="62" t="s">
        <v>286</v>
      </c>
      <c r="L37" s="62" t="s">
        <v>91</v>
      </c>
      <c r="M37" s="866"/>
      <c r="N37" s="96" t="s">
        <v>11</v>
      </c>
      <c r="O37" s="76" t="s">
        <v>697</v>
      </c>
      <c r="P37" s="76" t="s">
        <v>655</v>
      </c>
      <c r="Q37" s="76" t="s">
        <v>655</v>
      </c>
      <c r="R37" s="892" t="s">
        <v>63</v>
      </c>
      <c r="S37" s="945" t="s">
        <v>77</v>
      </c>
      <c r="T37" s="945" t="s">
        <v>77</v>
      </c>
      <c r="U37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1529688.05</v>
      </c>
    </row>
    <row r="38" spans="1:21" s="941" customFormat="1" ht="12.75" customHeight="1" outlineLevel="1">
      <c r="A38" s="62">
        <v>36</v>
      </c>
      <c r="B38" s="1383">
        <v>420</v>
      </c>
      <c r="C38" s="1383">
        <v>16652</v>
      </c>
      <c r="D38" s="62" t="s">
        <v>407</v>
      </c>
      <c r="E38" s="1384">
        <v>23.63</v>
      </c>
      <c r="F38" s="1385" t="s">
        <v>9</v>
      </c>
      <c r="G38" s="1386" t="s">
        <v>27</v>
      </c>
      <c r="H38" s="371" t="s">
        <v>575</v>
      </c>
      <c r="I38" s="95">
        <v>1606172.45</v>
      </c>
      <c r="J38" s="1386">
        <v>0</v>
      </c>
      <c r="K38" s="1386" t="s">
        <v>65</v>
      </c>
      <c r="L38" s="1386" t="s">
        <v>91</v>
      </c>
      <c r="M38" s="1386"/>
      <c r="N38" s="96" t="s">
        <v>17</v>
      </c>
      <c r="O38" s="1386" t="s">
        <v>698</v>
      </c>
      <c r="P38" s="76" t="s">
        <v>655</v>
      </c>
      <c r="Q38" s="76" t="s">
        <v>655</v>
      </c>
      <c r="R38" s="941" t="s">
        <v>407</v>
      </c>
      <c r="S38" s="941" t="s">
        <v>407</v>
      </c>
      <c r="T38" s="941" t="s">
        <v>407</v>
      </c>
      <c r="U38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1606172.4499999997</v>
      </c>
    </row>
    <row r="39" spans="1:21" s="949" customFormat="1" ht="12.75" customHeight="1" outlineLevel="1">
      <c r="A39" s="62">
        <v>37</v>
      </c>
      <c r="B39" s="1389">
        <v>465</v>
      </c>
      <c r="C39" s="1389">
        <v>16690</v>
      </c>
      <c r="D39" s="120" t="s">
        <v>77</v>
      </c>
      <c r="E39" s="1390">
        <v>36.17</v>
      </c>
      <c r="F39" s="1391" t="s">
        <v>15</v>
      </c>
      <c r="G39" s="1392" t="s">
        <v>27</v>
      </c>
      <c r="H39" s="1393" t="s">
        <v>575</v>
      </c>
      <c r="I39" s="1405">
        <v>2673264.2400000002</v>
      </c>
      <c r="J39" s="1392">
        <v>1</v>
      </c>
      <c r="K39" s="1392" t="s">
        <v>65</v>
      </c>
      <c r="L39" s="1392" t="s">
        <v>91</v>
      </c>
      <c r="M39" s="1406">
        <v>44487</v>
      </c>
      <c r="N39" s="1406" t="s">
        <v>17</v>
      </c>
      <c r="O39" s="1392" t="s">
        <v>699</v>
      </c>
      <c r="P39" s="76" t="s">
        <v>655</v>
      </c>
      <c r="Q39" s="76" t="s">
        <v>655</v>
      </c>
      <c r="R39" s="941" t="s">
        <v>77</v>
      </c>
      <c r="S39" s="941" t="s">
        <v>77</v>
      </c>
      <c r="T39" s="941" t="s">
        <v>77</v>
      </c>
      <c r="U39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2474329.2400000002</v>
      </c>
    </row>
    <row r="40" spans="1:21" s="949" customFormat="1" ht="12.75" customHeight="1" outlineLevel="1">
      <c r="A40" s="62">
        <v>38</v>
      </c>
      <c r="B40" s="62">
        <v>263</v>
      </c>
      <c r="C40" s="62">
        <v>10790</v>
      </c>
      <c r="D40" s="62" t="s">
        <v>77</v>
      </c>
      <c r="E40" s="1384">
        <v>55.8</v>
      </c>
      <c r="F40" s="1384" t="s">
        <v>25</v>
      </c>
      <c r="G40" s="62" t="s">
        <v>27</v>
      </c>
      <c r="H40" s="62" t="s">
        <v>16</v>
      </c>
      <c r="I40" s="95">
        <v>3836584.8</v>
      </c>
      <c r="J40" s="62">
        <v>2</v>
      </c>
      <c r="K40" s="62" t="s">
        <v>700</v>
      </c>
      <c r="L40" s="62" t="s">
        <v>91</v>
      </c>
      <c r="M40" s="96"/>
      <c r="N40" s="96" t="s">
        <v>11</v>
      </c>
      <c r="O40" s="62" t="s">
        <v>701</v>
      </c>
      <c r="P40" s="941" t="s">
        <v>655</v>
      </c>
      <c r="Q40" s="941" t="s">
        <v>655</v>
      </c>
      <c r="R40" s="941" t="s">
        <v>77</v>
      </c>
      <c r="S40" s="941" t="s">
        <v>77</v>
      </c>
      <c r="T40" s="941" t="s">
        <v>77</v>
      </c>
      <c r="U40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2943784.8</v>
      </c>
    </row>
    <row r="41" spans="1:21" s="949" customFormat="1" ht="12.75" customHeight="1" outlineLevel="1">
      <c r="A41" s="62">
        <v>39</v>
      </c>
      <c r="B41" s="1383">
        <v>192</v>
      </c>
      <c r="C41" s="1383">
        <v>16415</v>
      </c>
      <c r="D41" s="62" t="s">
        <v>471</v>
      </c>
      <c r="E41" s="1384">
        <v>60.3</v>
      </c>
      <c r="F41" s="1385" t="s">
        <v>15</v>
      </c>
      <c r="G41" s="1386" t="s">
        <v>121</v>
      </c>
      <c r="H41" s="371" t="s">
        <v>575</v>
      </c>
      <c r="I41" s="1119">
        <v>4532305.8</v>
      </c>
      <c r="J41" s="1386">
        <v>2</v>
      </c>
      <c r="K41" s="1386" t="s">
        <v>65</v>
      </c>
      <c r="L41" s="1386" t="s">
        <v>515</v>
      </c>
      <c r="M41" s="96">
        <v>44499</v>
      </c>
      <c r="N41" s="96" t="s">
        <v>17</v>
      </c>
      <c r="O41" s="1386" t="s">
        <v>702</v>
      </c>
      <c r="P41" s="1401" t="s">
        <v>655</v>
      </c>
      <c r="Q41" s="1403" t="s">
        <v>703</v>
      </c>
      <c r="R41" s="941" t="s">
        <v>471</v>
      </c>
      <c r="S41" s="941" t="s">
        <v>471</v>
      </c>
      <c r="T41" s="941" t="s">
        <v>471</v>
      </c>
      <c r="U41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4200655.8</v>
      </c>
    </row>
    <row r="42" spans="1:21" s="941" customFormat="1" ht="12" customHeight="1" outlineLevel="1">
      <c r="A42" s="62">
        <v>40</v>
      </c>
      <c r="B42" s="1383">
        <v>468</v>
      </c>
      <c r="C42" s="1383">
        <v>16720</v>
      </c>
      <c r="D42" s="62" t="s">
        <v>77</v>
      </c>
      <c r="E42" s="1384">
        <v>23.63</v>
      </c>
      <c r="F42" s="1385" t="s">
        <v>9</v>
      </c>
      <c r="G42" s="1386" t="s">
        <v>27</v>
      </c>
      <c r="H42" s="371" t="s">
        <v>10</v>
      </c>
      <c r="I42" s="95">
        <v>1606172.45</v>
      </c>
      <c r="J42" s="1386">
        <v>0</v>
      </c>
      <c r="K42" s="371">
        <v>1</v>
      </c>
      <c r="L42" s="1386" t="s">
        <v>91</v>
      </c>
      <c r="M42" s="1386"/>
      <c r="N42" s="96" t="s">
        <v>11</v>
      </c>
      <c r="O42" s="1386" t="s">
        <v>704</v>
      </c>
      <c r="P42" s="76" t="s">
        <v>655</v>
      </c>
      <c r="Q42" s="76" t="s">
        <v>655</v>
      </c>
      <c r="R42" s="941" t="s">
        <v>77</v>
      </c>
      <c r="S42" s="941" t="s">
        <v>77</v>
      </c>
      <c r="T42" s="941" t="s">
        <v>77</v>
      </c>
      <c r="U42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1606172.4499999997</v>
      </c>
    </row>
    <row r="43" spans="1:21" s="941" customFormat="1" ht="12.75" customHeight="1" outlineLevel="1">
      <c r="A43" s="62">
        <v>41</v>
      </c>
      <c r="B43" s="62">
        <v>343</v>
      </c>
      <c r="C43" s="62">
        <v>15530</v>
      </c>
      <c r="D43" s="62" t="s">
        <v>407</v>
      </c>
      <c r="E43" s="1384">
        <v>55.8</v>
      </c>
      <c r="F43" s="941" t="s">
        <v>9</v>
      </c>
      <c r="G43" s="62" t="s">
        <v>27</v>
      </c>
      <c r="H43" s="62" t="s">
        <v>16</v>
      </c>
      <c r="I43" s="95">
        <v>3149849.74</v>
      </c>
      <c r="J43" s="81">
        <v>2</v>
      </c>
      <c r="K43" s="62" t="s">
        <v>65</v>
      </c>
      <c r="L43" s="62" t="s">
        <v>705</v>
      </c>
      <c r="M43" s="96">
        <v>44473</v>
      </c>
      <c r="N43" s="96" t="s">
        <v>17</v>
      </c>
      <c r="O43" s="96" t="s">
        <v>706</v>
      </c>
      <c r="P43" s="941" t="s">
        <v>655</v>
      </c>
      <c r="Q43" s="941" t="s">
        <v>655</v>
      </c>
      <c r="R43" s="76" t="s">
        <v>407</v>
      </c>
      <c r="S43" s="76" t="s">
        <v>407</v>
      </c>
      <c r="T43" s="76" t="s">
        <v>407</v>
      </c>
      <c r="U43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3149849.74</v>
      </c>
    </row>
    <row r="44" spans="1:21" s="941" customFormat="1" ht="12.75" customHeight="1" outlineLevel="1">
      <c r="A44" s="62">
        <v>42</v>
      </c>
      <c r="B44" s="62">
        <v>143</v>
      </c>
      <c r="C44" s="1384" t="s">
        <v>707</v>
      </c>
      <c r="D44" s="62" t="s">
        <v>77</v>
      </c>
      <c r="E44" s="1384">
        <v>76.56</v>
      </c>
      <c r="F44" s="941" t="s">
        <v>9</v>
      </c>
      <c r="G44" s="62" t="s">
        <v>121</v>
      </c>
      <c r="H44" s="62" t="s">
        <v>16</v>
      </c>
      <c r="I44" s="91">
        <v>5037136.2</v>
      </c>
      <c r="J44" s="62">
        <v>3</v>
      </c>
      <c r="K44" s="62" t="s">
        <v>65</v>
      </c>
      <c r="L44" s="62" t="s">
        <v>91</v>
      </c>
      <c r="M44" s="1404">
        <v>44474</v>
      </c>
      <c r="N44" s="96" t="s">
        <v>17</v>
      </c>
      <c r="O44" s="941" t="s">
        <v>708</v>
      </c>
      <c r="P44" s="941" t="s">
        <v>655</v>
      </c>
      <c r="Q44" s="941" t="s">
        <v>655</v>
      </c>
      <c r="R44" s="941" t="s">
        <v>77</v>
      </c>
      <c r="S44" s="941" t="s">
        <v>77</v>
      </c>
      <c r="T44" s="941" t="s">
        <v>77</v>
      </c>
      <c r="U44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5037136.2</v>
      </c>
    </row>
    <row r="45" spans="1:21" s="941" customFormat="1" ht="12.75" customHeight="1" outlineLevel="1">
      <c r="A45" s="62">
        <v>43</v>
      </c>
      <c r="B45" s="1383">
        <v>514</v>
      </c>
      <c r="C45" s="1383">
        <v>16873</v>
      </c>
      <c r="D45" s="62" t="s">
        <v>73</v>
      </c>
      <c r="E45" s="1384">
        <v>23.54</v>
      </c>
      <c r="F45" s="1385" t="s">
        <v>15</v>
      </c>
      <c r="G45" s="62" t="s">
        <v>27</v>
      </c>
      <c r="H45" s="371" t="s">
        <v>84</v>
      </c>
      <c r="I45" s="95">
        <v>1729524.99</v>
      </c>
      <c r="J45" s="62">
        <v>0</v>
      </c>
      <c r="K45" s="92" t="s">
        <v>85</v>
      </c>
      <c r="L45" s="62" t="s">
        <v>91</v>
      </c>
      <c r="M45" s="1404">
        <v>44494</v>
      </c>
      <c r="N45" s="96" t="s">
        <v>17</v>
      </c>
      <c r="O45" s="941" t="s">
        <v>709</v>
      </c>
      <c r="P45" s="1401" t="s">
        <v>655</v>
      </c>
      <c r="Q45" s="1401" t="s">
        <v>655</v>
      </c>
      <c r="R45" s="941" t="s">
        <v>73</v>
      </c>
      <c r="S45" s="941" t="s">
        <v>73</v>
      </c>
      <c r="T45" s="941" t="s">
        <v>73</v>
      </c>
      <c r="U45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1600054.99</v>
      </c>
    </row>
    <row r="46" spans="1:21" s="941" customFormat="1" ht="12.75" customHeight="1" outlineLevel="1">
      <c r="A46" s="62">
        <v>44</v>
      </c>
      <c r="B46" s="1383">
        <v>516</v>
      </c>
      <c r="C46" s="1383">
        <v>12247</v>
      </c>
      <c r="D46" s="62" t="s">
        <v>73</v>
      </c>
      <c r="E46" s="1384">
        <v>23.63</v>
      </c>
      <c r="F46" s="1385" t="s">
        <v>25</v>
      </c>
      <c r="G46" s="1386" t="s">
        <v>27</v>
      </c>
      <c r="H46" s="371" t="s">
        <v>575</v>
      </c>
      <c r="I46" s="95">
        <v>1984252.45</v>
      </c>
      <c r="J46" s="1386">
        <v>0</v>
      </c>
      <c r="K46" s="1386" t="s">
        <v>65</v>
      </c>
      <c r="L46" s="1386" t="s">
        <v>91</v>
      </c>
      <c r="M46" s="96"/>
      <c r="N46" s="96" t="s">
        <v>17</v>
      </c>
      <c r="O46" s="1386" t="s">
        <v>710</v>
      </c>
      <c r="P46" s="1401" t="s">
        <v>655</v>
      </c>
      <c r="Q46" s="1401" t="s">
        <v>655</v>
      </c>
      <c r="R46" s="941" t="s">
        <v>73</v>
      </c>
      <c r="S46" s="941" t="s">
        <v>73</v>
      </c>
      <c r="T46" s="941" t="s">
        <v>73</v>
      </c>
      <c r="U46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1606172.4500000002</v>
      </c>
    </row>
    <row r="47" spans="1:21" s="941" customFormat="1" ht="12.75" customHeight="1" outlineLevel="1">
      <c r="A47" s="62">
        <v>45</v>
      </c>
      <c r="B47" s="1383">
        <v>93</v>
      </c>
      <c r="C47" s="1383">
        <v>16359</v>
      </c>
      <c r="D47" s="62" t="s">
        <v>73</v>
      </c>
      <c r="E47" s="1384">
        <v>58.17</v>
      </c>
      <c r="F47" s="1385" t="s">
        <v>15</v>
      </c>
      <c r="G47" s="62" t="s">
        <v>121</v>
      </c>
      <c r="H47" s="371" t="s">
        <v>84</v>
      </c>
      <c r="I47" s="95">
        <v>4657474.07</v>
      </c>
      <c r="J47" s="1386">
        <v>2</v>
      </c>
      <c r="K47" s="1386" t="s">
        <v>85</v>
      </c>
      <c r="L47" s="1386" t="s">
        <v>91</v>
      </c>
      <c r="M47" s="96">
        <v>44499</v>
      </c>
      <c r="N47" s="96" t="s">
        <v>11</v>
      </c>
      <c r="O47" s="62" t="s">
        <v>711</v>
      </c>
      <c r="P47" s="1401" t="s">
        <v>655</v>
      </c>
      <c r="Q47" s="1401" t="s">
        <v>655</v>
      </c>
      <c r="R47" s="941" t="s">
        <v>73</v>
      </c>
      <c r="S47" s="941" t="s">
        <v>73</v>
      </c>
      <c r="T47" s="941" t="s">
        <v>73</v>
      </c>
      <c r="U47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4337539.07</v>
      </c>
    </row>
    <row r="48" spans="1:21" s="941" customFormat="1" ht="12.75" customHeight="1" outlineLevel="1">
      <c r="A48" s="62">
        <v>46</v>
      </c>
      <c r="B48" s="62">
        <v>616</v>
      </c>
      <c r="C48" s="1383">
        <v>14543</v>
      </c>
      <c r="D48" s="62" t="s">
        <v>77</v>
      </c>
      <c r="E48" s="1384">
        <v>82.27</v>
      </c>
      <c r="F48" s="1385" t="s">
        <v>9</v>
      </c>
      <c r="G48" s="1386" t="s">
        <v>27</v>
      </c>
      <c r="H48" s="371" t="s">
        <v>16</v>
      </c>
      <c r="I48" s="95">
        <v>4350459</v>
      </c>
      <c r="J48" s="62">
        <v>3</v>
      </c>
      <c r="K48" s="62" t="s">
        <v>65</v>
      </c>
      <c r="L48" s="1386" t="s">
        <v>91</v>
      </c>
      <c r="M48" s="1007"/>
      <c r="N48" s="96" t="s">
        <v>17</v>
      </c>
      <c r="O48" s="1007" t="s">
        <v>712</v>
      </c>
      <c r="P48" s="1401" t="s">
        <v>655</v>
      </c>
      <c r="Q48" s="941" t="s">
        <v>655</v>
      </c>
      <c r="R48" s="941" t="s">
        <v>77</v>
      </c>
      <c r="S48" s="941" t="s">
        <v>471</v>
      </c>
      <c r="T48" s="941" t="s">
        <v>77</v>
      </c>
      <c r="U48" s="1410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>4350459</v>
      </c>
    </row>
    <row r="49" spans="1:21" s="949" customFormat="1" ht="12.75" customHeight="1" outlineLevel="1">
      <c r="A49" s="65">
        <v>50</v>
      </c>
      <c r="B49" s="1394"/>
      <c r="C49" s="1394"/>
      <c r="D49" s="65"/>
      <c r="E49" s="390"/>
      <c r="F49" s="70"/>
      <c r="G49" s="65"/>
      <c r="H49" s="107"/>
      <c r="I49" s="104"/>
      <c r="J49" s="1407"/>
      <c r="K49" s="65"/>
      <c r="L49" s="65"/>
      <c r="M49" s="70"/>
      <c r="N49" s="94"/>
      <c r="O49" s="70"/>
      <c r="P49" s="70"/>
      <c r="Q49" s="86"/>
      <c r="U49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0" spans="1:21" ht="12.75" customHeight="1" outlineLevel="1">
      <c r="A50" s="65">
        <v>51</v>
      </c>
      <c r="B50" s="1394"/>
      <c r="C50" s="1394"/>
      <c r="D50" s="65"/>
      <c r="E50" s="390"/>
      <c r="F50" s="1395"/>
      <c r="G50" s="1396"/>
      <c r="H50" s="107"/>
      <c r="I50" s="105"/>
      <c r="J50" s="1396"/>
      <c r="K50" s="1396"/>
      <c r="L50" s="1396"/>
      <c r="M50" s="1396"/>
      <c r="N50" s="94"/>
      <c r="O50" s="1396"/>
      <c r="P50" s="1396"/>
      <c r="Q50" s="1412"/>
      <c r="R50" s="949"/>
      <c r="S50" s="949"/>
      <c r="T50" s="949"/>
      <c r="U50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1" spans="1:21" ht="12.75" customHeight="1" outlineLevel="1">
      <c r="A51" s="65">
        <v>52</v>
      </c>
      <c r="B51" s="1394"/>
      <c r="C51" s="1394"/>
      <c r="D51" s="65"/>
      <c r="E51" s="390"/>
      <c r="F51" s="1395"/>
      <c r="G51" s="1396"/>
      <c r="H51" s="107"/>
      <c r="I51" s="105"/>
      <c r="J51" s="1396"/>
      <c r="K51" s="1396"/>
      <c r="L51" s="1396"/>
      <c r="M51" s="1396"/>
      <c r="N51" s="94"/>
      <c r="O51" s="1396"/>
      <c r="P51" s="1396"/>
      <c r="Q51" s="1412"/>
      <c r="R51" s="949"/>
      <c r="S51" s="949"/>
      <c r="T51" s="949"/>
      <c r="U51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2" spans="1:21" ht="12.75" customHeight="1" outlineLevel="1">
      <c r="A52" s="65">
        <v>53</v>
      </c>
      <c r="B52" s="1394"/>
      <c r="C52" s="1394"/>
      <c r="D52" s="65"/>
      <c r="E52" s="390"/>
      <c r="F52" s="1395"/>
      <c r="G52" s="1396"/>
      <c r="H52" s="107"/>
      <c r="I52" s="105"/>
      <c r="J52" s="1396"/>
      <c r="K52" s="1396"/>
      <c r="L52" s="1396"/>
      <c r="M52" s="1396"/>
      <c r="N52" s="94"/>
      <c r="O52" s="1396"/>
      <c r="P52" s="1396"/>
      <c r="Q52" s="1412"/>
      <c r="R52" s="949"/>
      <c r="S52" s="949"/>
      <c r="T52" s="949"/>
      <c r="U52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3" spans="1:21" ht="12.75" customHeight="1" outlineLevel="1">
      <c r="A53" s="65">
        <v>54</v>
      </c>
      <c r="B53" s="1394"/>
      <c r="C53" s="1394"/>
      <c r="D53" s="65"/>
      <c r="E53" s="390"/>
      <c r="F53" s="1395"/>
      <c r="G53" s="1396"/>
      <c r="H53" s="107"/>
      <c r="I53" s="105"/>
      <c r="J53" s="1396"/>
      <c r="K53" s="1396"/>
      <c r="L53" s="1396"/>
      <c r="M53" s="1396"/>
      <c r="N53" s="94"/>
      <c r="O53" s="1396"/>
      <c r="P53" s="1396"/>
      <c r="Q53" s="1412"/>
      <c r="R53" s="949"/>
      <c r="S53" s="949"/>
      <c r="T53" s="949"/>
      <c r="U53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4" spans="1:21" ht="12.75" customHeight="1" outlineLevel="1">
      <c r="A54" s="65">
        <v>55</v>
      </c>
      <c r="B54" s="1394"/>
      <c r="C54" s="1394"/>
      <c r="D54" s="65"/>
      <c r="E54" s="390"/>
      <c r="F54" s="1395"/>
      <c r="G54" s="1396"/>
      <c r="H54" s="107"/>
      <c r="I54" s="105"/>
      <c r="J54" s="1396"/>
      <c r="K54" s="1396"/>
      <c r="L54" s="1396"/>
      <c r="M54" s="1396"/>
      <c r="N54" s="94"/>
      <c r="O54" s="1396"/>
      <c r="P54" s="1396"/>
      <c r="Q54" s="1412"/>
      <c r="R54" s="949"/>
      <c r="S54" s="949"/>
      <c r="T54" s="949"/>
      <c r="U54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5" spans="1:21" ht="12.75" customHeight="1" outlineLevel="1">
      <c r="A55" s="65">
        <v>56</v>
      </c>
      <c r="B55" s="1394"/>
      <c r="C55" s="1394"/>
      <c r="D55" s="65"/>
      <c r="E55" s="390"/>
      <c r="F55" s="1395"/>
      <c r="G55" s="1396"/>
      <c r="H55" s="107"/>
      <c r="I55" s="105"/>
      <c r="J55" s="1396"/>
      <c r="K55" s="1396"/>
      <c r="L55" s="1396"/>
      <c r="M55" s="1396"/>
      <c r="N55" s="94"/>
      <c r="O55" s="1396"/>
      <c r="P55" s="1396"/>
      <c r="Q55" s="1412"/>
      <c r="R55" s="949"/>
      <c r="S55" s="949"/>
      <c r="T55" s="949"/>
      <c r="U55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6" spans="1:21" ht="12.75" customHeight="1" outlineLevel="1">
      <c r="A56" s="65">
        <v>57</v>
      </c>
      <c r="B56" s="78"/>
      <c r="C56" s="78"/>
      <c r="D56" s="77"/>
      <c r="E56" s="390"/>
      <c r="F56" s="1397"/>
      <c r="G56" s="65"/>
      <c r="H56" s="107"/>
      <c r="I56" s="105"/>
      <c r="J56" s="1396"/>
      <c r="K56" s="77"/>
      <c r="L56" s="1396"/>
      <c r="M56" s="1408"/>
      <c r="N56" s="94"/>
      <c r="O56" s="1408"/>
      <c r="P56" s="1409"/>
      <c r="Q56" s="1412"/>
      <c r="R56" s="949"/>
      <c r="S56" s="949"/>
      <c r="T56" s="949"/>
      <c r="U56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7" spans="1:21" ht="12.75" customHeight="1" outlineLevel="1">
      <c r="A57" s="65">
        <v>58</v>
      </c>
      <c r="B57" s="1394"/>
      <c r="C57" s="1394"/>
      <c r="D57" s="65"/>
      <c r="E57" s="390"/>
      <c r="F57" s="70"/>
      <c r="G57" s="65"/>
      <c r="H57" s="107"/>
      <c r="I57" s="544"/>
      <c r="J57" s="1407"/>
      <c r="K57" s="65"/>
      <c r="L57" s="65"/>
      <c r="M57" s="70"/>
      <c r="N57" s="94"/>
      <c r="O57" s="70"/>
      <c r="P57" s="70"/>
      <c r="Q57" s="86"/>
      <c r="R57" s="949"/>
      <c r="S57" s="949"/>
      <c r="T57" s="949"/>
      <c r="U57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8" spans="1:21" ht="12.75" customHeight="1" outlineLevel="1">
      <c r="A58" s="65">
        <v>59</v>
      </c>
      <c r="B58" s="1394"/>
      <c r="C58" s="1394"/>
      <c r="D58" s="65"/>
      <c r="E58" s="390"/>
      <c r="F58" s="1395"/>
      <c r="G58" s="65"/>
      <c r="H58" s="107"/>
      <c r="I58" s="105"/>
      <c r="J58" s="65"/>
      <c r="K58" s="98"/>
      <c r="L58" s="65"/>
      <c r="M58" s="949"/>
      <c r="N58" s="94"/>
      <c r="O58" s="949"/>
      <c r="P58" s="950"/>
      <c r="Q58" s="86"/>
      <c r="R58" s="949"/>
      <c r="S58" s="949"/>
      <c r="T58" s="949"/>
      <c r="U58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59" spans="1:21" ht="12.75" customHeight="1" outlineLevel="1">
      <c r="A59" s="65">
        <v>60</v>
      </c>
      <c r="B59" s="1394"/>
      <c r="C59" s="1394"/>
      <c r="D59" s="1396"/>
      <c r="E59" s="390"/>
      <c r="F59" s="1395"/>
      <c r="G59" s="65"/>
      <c r="H59" s="107"/>
      <c r="I59" s="105"/>
      <c r="J59" s="1396"/>
      <c r="K59" s="1396"/>
      <c r="L59" s="1396"/>
      <c r="M59" s="1396"/>
      <c r="N59" s="94"/>
      <c r="O59" s="1396"/>
      <c r="P59" s="1396"/>
      <c r="Q59" s="1412"/>
      <c r="R59" s="949"/>
      <c r="S59" s="949"/>
      <c r="T59" s="949"/>
      <c r="U59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0" spans="1:21" ht="12.75" customHeight="1" outlineLevel="1">
      <c r="A60" s="65">
        <v>61</v>
      </c>
      <c r="B60" s="1394"/>
      <c r="C60" s="1394"/>
      <c r="D60" s="65"/>
      <c r="E60" s="390"/>
      <c r="F60" s="1398"/>
      <c r="G60" s="65"/>
      <c r="H60" s="107"/>
      <c r="I60" s="105"/>
      <c r="J60" s="1396"/>
      <c r="K60" s="77"/>
      <c r="L60" s="1396"/>
      <c r="M60" s="72"/>
      <c r="N60" s="94"/>
      <c r="O60" s="72"/>
      <c r="P60" s="70"/>
      <c r="Q60" s="86"/>
      <c r="R60" s="949"/>
      <c r="S60" s="949"/>
      <c r="T60" s="949"/>
      <c r="U60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1" spans="1:21" ht="12.75" customHeight="1" outlineLevel="1">
      <c r="A61" s="65">
        <v>62</v>
      </c>
      <c r="B61" s="1394"/>
      <c r="C61" s="1394"/>
      <c r="D61" s="65"/>
      <c r="E61" s="390"/>
      <c r="F61" s="1398"/>
      <c r="G61" s="65"/>
      <c r="H61" s="107"/>
      <c r="I61" s="105"/>
      <c r="J61" s="65"/>
      <c r="K61" s="65"/>
      <c r="L61" s="65"/>
      <c r="M61" s="72"/>
      <c r="N61" s="94"/>
      <c r="O61" s="949"/>
      <c r="P61" s="950"/>
      <c r="Q61" s="86"/>
      <c r="R61" s="949"/>
      <c r="S61" s="949"/>
      <c r="T61" s="949"/>
      <c r="U61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2" spans="1:21" ht="12.75" customHeight="1" outlineLevel="1">
      <c r="A62" s="65">
        <v>63</v>
      </c>
      <c r="B62" s="65"/>
      <c r="C62" s="1394"/>
      <c r="D62" s="65"/>
      <c r="E62" s="390"/>
      <c r="F62" s="1398"/>
      <c r="G62" s="65"/>
      <c r="H62" s="107"/>
      <c r="I62" s="105"/>
      <c r="J62" s="65"/>
      <c r="K62" s="65"/>
      <c r="L62" s="65"/>
      <c r="M62" s="934"/>
      <c r="N62" s="94"/>
      <c r="O62" s="934"/>
      <c r="P62" s="1371"/>
      <c r="Q62" s="86"/>
      <c r="R62" s="949"/>
      <c r="S62" s="949"/>
      <c r="T62" s="949"/>
      <c r="U62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3" spans="1:21" ht="12.75" customHeight="1" outlineLevel="1">
      <c r="A63" s="65">
        <v>64</v>
      </c>
      <c r="B63" s="1394"/>
      <c r="C63" s="1394"/>
      <c r="D63" s="65"/>
      <c r="E63" s="390"/>
      <c r="F63" s="70"/>
      <c r="G63" s="65"/>
      <c r="H63" s="107"/>
      <c r="I63" s="544"/>
      <c r="J63" s="1407"/>
      <c r="K63" s="65"/>
      <c r="L63" s="65"/>
      <c r="M63" s="70"/>
      <c r="N63" s="94"/>
      <c r="O63" s="70"/>
      <c r="P63" s="70"/>
      <c r="Q63" s="86"/>
      <c r="R63" s="949"/>
      <c r="S63" s="949"/>
      <c r="T63" s="949"/>
      <c r="U63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4" spans="1:21" ht="12.75" customHeight="1" outlineLevel="1">
      <c r="A64" s="65">
        <v>65</v>
      </c>
      <c r="B64" s="1394"/>
      <c r="C64" s="1394"/>
      <c r="D64" s="65"/>
      <c r="E64" s="390"/>
      <c r="F64" s="1395"/>
      <c r="G64" s="1396"/>
      <c r="H64" s="107"/>
      <c r="I64" s="105"/>
      <c r="J64" s="1396"/>
      <c r="K64" s="1396"/>
      <c r="L64" s="1396"/>
      <c r="M64" s="1396"/>
      <c r="N64" s="94"/>
      <c r="O64" s="1396"/>
      <c r="P64" s="1396"/>
      <c r="Q64" s="1412"/>
      <c r="R64" s="949"/>
      <c r="S64" s="949"/>
      <c r="T64" s="949"/>
      <c r="U64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5" spans="1:21" ht="12.75" customHeight="1" outlineLevel="1">
      <c r="A65" s="65">
        <v>66</v>
      </c>
      <c r="B65" s="1394"/>
      <c r="C65" s="1394"/>
      <c r="D65" s="65"/>
      <c r="E65" s="390"/>
      <c r="F65" s="1395"/>
      <c r="G65" s="1396"/>
      <c r="H65" s="107"/>
      <c r="I65" s="105"/>
      <c r="J65" s="1396"/>
      <c r="K65" s="1396"/>
      <c r="L65" s="1396"/>
      <c r="M65" s="1396"/>
      <c r="N65" s="94"/>
      <c r="O65" s="1396"/>
      <c r="P65" s="1396"/>
      <c r="Q65" s="1412"/>
      <c r="R65" s="949"/>
      <c r="S65" s="949"/>
      <c r="T65" s="949"/>
      <c r="U65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6" spans="1:21" ht="12.75" customHeight="1" outlineLevel="1">
      <c r="A66" s="65">
        <v>67</v>
      </c>
      <c r="B66" s="1394"/>
      <c r="C66" s="1394"/>
      <c r="D66" s="65"/>
      <c r="E66" s="390"/>
      <c r="F66" s="1395"/>
      <c r="G66" s="1396"/>
      <c r="H66" s="107"/>
      <c r="I66" s="105"/>
      <c r="J66" s="1396"/>
      <c r="K66" s="1396"/>
      <c r="L66" s="1396"/>
      <c r="M66" s="1396"/>
      <c r="N66" s="94"/>
      <c r="O66" s="1396"/>
      <c r="P66" s="1396"/>
      <c r="Q66" s="1412"/>
      <c r="R66" s="949"/>
      <c r="S66" s="949"/>
      <c r="T66" s="949"/>
      <c r="U66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7" spans="1:21" ht="12.75" customHeight="1" outlineLevel="1">
      <c r="A67" s="65">
        <v>68</v>
      </c>
      <c r="B67" s="1394"/>
      <c r="C67" s="1394"/>
      <c r="D67" s="65"/>
      <c r="E67" s="390"/>
      <c r="F67" s="1395"/>
      <c r="G67" s="1396"/>
      <c r="H67" s="107"/>
      <c r="I67" s="105"/>
      <c r="J67" s="1396"/>
      <c r="K67" s="1396"/>
      <c r="L67" s="1396"/>
      <c r="M67" s="1396"/>
      <c r="N67" s="94"/>
      <c r="O67" s="1396"/>
      <c r="P67" s="1396"/>
      <c r="Q67" s="1412"/>
      <c r="R67" s="949"/>
      <c r="S67" s="949"/>
      <c r="T67" s="949"/>
      <c r="U67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8" spans="1:21" ht="12.75" customHeight="1" outlineLevel="1">
      <c r="A68" s="65">
        <v>69</v>
      </c>
      <c r="B68" s="1394"/>
      <c r="C68" s="1394"/>
      <c r="D68" s="65"/>
      <c r="E68" s="390"/>
      <c r="F68" s="1395"/>
      <c r="G68" s="1396"/>
      <c r="H68" s="107"/>
      <c r="I68" s="105"/>
      <c r="J68" s="1396"/>
      <c r="K68" s="1396"/>
      <c r="L68" s="1396"/>
      <c r="M68" s="1396"/>
      <c r="N68" s="94"/>
      <c r="O68" s="1396"/>
      <c r="P68" s="1396"/>
      <c r="Q68" s="1412"/>
      <c r="R68" s="949"/>
      <c r="S68" s="949"/>
      <c r="T68" s="949"/>
      <c r="U68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69" spans="1:21" ht="12.75" customHeight="1" outlineLevel="1">
      <c r="A69" s="65">
        <v>70</v>
      </c>
      <c r="B69" s="1394"/>
      <c r="C69" s="1394"/>
      <c r="D69" s="65"/>
      <c r="E69" s="390"/>
      <c r="F69" s="1395"/>
      <c r="G69" s="1396"/>
      <c r="H69" s="107"/>
      <c r="I69" s="105"/>
      <c r="J69" s="1396"/>
      <c r="K69" s="1396"/>
      <c r="L69" s="1396"/>
      <c r="M69" s="1396"/>
      <c r="N69" s="94"/>
      <c r="O69" s="1396"/>
      <c r="P69" s="1396"/>
      <c r="Q69" s="1412"/>
      <c r="R69" s="949"/>
      <c r="S69" s="949"/>
      <c r="T69" s="949"/>
      <c r="U69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70" spans="1:21" ht="12.75" customHeight="1" outlineLevel="1">
      <c r="A70" s="65">
        <v>71</v>
      </c>
      <c r="B70" s="78"/>
      <c r="C70" s="78"/>
      <c r="D70" s="77"/>
      <c r="E70" s="390"/>
      <c r="F70" s="1397"/>
      <c r="G70" s="65"/>
      <c r="H70" s="107"/>
      <c r="I70" s="105"/>
      <c r="J70" s="1396"/>
      <c r="K70" s="1396"/>
      <c r="L70" s="1396"/>
      <c r="M70" s="1408"/>
      <c r="N70" s="94"/>
      <c r="O70" s="1408"/>
      <c r="P70" s="1409"/>
      <c r="Q70" s="1412"/>
      <c r="R70" s="949"/>
      <c r="S70" s="949"/>
      <c r="T70" s="949"/>
      <c r="U70" s="1013" t="str">
        <f>IFERROR(SUM(Октябрь21[[#This Row],[сумма]]/Октябрь21[[#This Row],[м2]],IF(Октябрь21[[#This Row],[Отделка]]="Черновая",0,"")&amp;IF(Октябрь21[[#This Row],[Отделка]]="Предчистовая",-5500,"")&amp;IF(Октябрь21[[#This Row],[Отделка]]="Чистовая",-16000,""))*Октябрь21[[#This Row],[м2]],"")</f>
        <v/>
      </c>
    </row>
    <row r="71" spans="1:21">
      <c r="A71" s="65"/>
      <c r="B71" s="1394"/>
      <c r="C71" s="1394"/>
      <c r="D71" s="65"/>
      <c r="E71" s="390"/>
      <c r="F71" s="1398"/>
      <c r="G71" s="65"/>
      <c r="H71" s="107"/>
      <c r="I71" s="1498"/>
      <c r="J71" s="1396"/>
      <c r="K71" s="1396"/>
      <c r="L71" s="1396"/>
      <c r="M71" s="72"/>
      <c r="N71" s="94"/>
      <c r="O71" s="72"/>
      <c r="P71" s="70"/>
      <c r="Q71" s="86"/>
      <c r="R71" s="949"/>
      <c r="S71" s="949"/>
      <c r="T71" s="949"/>
      <c r="U71" s="1013"/>
    </row>
    <row r="72" spans="1:21">
      <c r="A72" s="2290" t="s">
        <v>713</v>
      </c>
      <c r="B72" s="2294"/>
      <c r="C72" s="1413" t="s">
        <v>74</v>
      </c>
      <c r="D72" s="2292"/>
      <c r="E72" s="2292"/>
      <c r="F72" s="2292"/>
      <c r="G72" s="2292"/>
      <c r="H72" s="2292"/>
      <c r="I72" s="2292"/>
      <c r="J72" s="2292"/>
      <c r="K72" s="2292"/>
      <c r="L72" s="2292"/>
      <c r="M72" s="2292"/>
      <c r="N72" s="2292"/>
      <c r="O72" s="2292"/>
      <c r="P72" s="2292"/>
      <c r="Q72" s="930"/>
      <c r="R72" s="949"/>
      <c r="S72" s="949"/>
      <c r="T72" s="1013"/>
    </row>
    <row r="73" spans="1:21" s="1214" customFormat="1" ht="25.5">
      <c r="A73" s="1414" t="s">
        <v>1</v>
      </c>
      <c r="B73" s="1415" t="s">
        <v>100</v>
      </c>
      <c r="C73" s="1416" t="s">
        <v>97</v>
      </c>
      <c r="D73" s="1417" t="s">
        <v>714</v>
      </c>
      <c r="E73" s="1418" t="s">
        <v>494</v>
      </c>
      <c r="F73" s="1033" t="s">
        <v>495</v>
      </c>
      <c r="G73" s="1033" t="s">
        <v>496</v>
      </c>
      <c r="H73" s="1419" t="s">
        <v>101</v>
      </c>
      <c r="I73" s="1023" t="s">
        <v>98</v>
      </c>
      <c r="J73" s="1023" t="s">
        <v>96</v>
      </c>
      <c r="K73" s="1186" t="s">
        <v>715</v>
      </c>
      <c r="L73" s="1187" t="s">
        <v>716</v>
      </c>
      <c r="M73" s="1033">
        <v>0</v>
      </c>
      <c r="N73" s="1033">
        <v>1</v>
      </c>
      <c r="O73" s="1033">
        <v>2</v>
      </c>
      <c r="P73" s="1033">
        <v>3</v>
      </c>
      <c r="Q73" s="1104">
        <v>4</v>
      </c>
      <c r="R73" s="950"/>
      <c r="S73" s="950"/>
      <c r="T73" s="950"/>
      <c r="U73" s="1515"/>
    </row>
    <row r="74" spans="1:21">
      <c r="A74" s="1035" t="s">
        <v>73</v>
      </c>
      <c r="B74" s="1197">
        <v>77.5</v>
      </c>
      <c r="C74" s="1420">
        <v>4325118.5999999996</v>
      </c>
      <c r="D74" s="1421">
        <v>1</v>
      </c>
      <c r="E74" s="151">
        <v>0</v>
      </c>
      <c r="F74" s="1420">
        <v>0</v>
      </c>
      <c r="G74" s="1422">
        <v>0</v>
      </c>
      <c r="H74" s="1423">
        <v>0</v>
      </c>
      <c r="I74" s="185">
        <v>0</v>
      </c>
      <c r="J74" s="1499">
        <v>0</v>
      </c>
      <c r="K74" s="943">
        <v>0</v>
      </c>
      <c r="L74" s="1061">
        <v>0</v>
      </c>
      <c r="M74" s="1500">
        <v>0</v>
      </c>
      <c r="N74" s="1500">
        <v>0</v>
      </c>
      <c r="O74" s="1500">
        <v>0</v>
      </c>
      <c r="P74" s="1500">
        <v>0</v>
      </c>
      <c r="Q74" s="1516">
        <v>0</v>
      </c>
      <c r="R74" s="949"/>
      <c r="S74" s="949"/>
      <c r="T74" s="949"/>
      <c r="U74" s="1013"/>
    </row>
    <row r="75" spans="1:21">
      <c r="A75" s="1039" t="s">
        <v>407</v>
      </c>
      <c r="B75" s="1424"/>
      <c r="C75" s="1425"/>
      <c r="D75" s="1426"/>
      <c r="E75" s="199">
        <v>0</v>
      </c>
      <c r="F75" s="1425">
        <v>0</v>
      </c>
      <c r="G75" s="1427">
        <v>0</v>
      </c>
      <c r="H75" s="1428">
        <v>0</v>
      </c>
      <c r="I75" s="1282">
        <v>0</v>
      </c>
      <c r="J75" s="1501">
        <v>0</v>
      </c>
      <c r="K75" s="987" t="s">
        <v>717</v>
      </c>
      <c r="L75" s="1062" t="s">
        <v>717</v>
      </c>
      <c r="M75" s="1500">
        <v>0</v>
      </c>
      <c r="N75" s="1500">
        <v>0</v>
      </c>
      <c r="O75" s="1500">
        <v>0</v>
      </c>
      <c r="P75" s="1500">
        <v>0</v>
      </c>
      <c r="Q75" s="1516">
        <v>0</v>
      </c>
      <c r="R75" s="949"/>
      <c r="S75" s="949"/>
      <c r="T75" s="949"/>
      <c r="U75" s="1013"/>
    </row>
    <row r="76" spans="1:21">
      <c r="A76" s="1039" t="s">
        <v>77</v>
      </c>
      <c r="B76" s="1424">
        <v>78</v>
      </c>
      <c r="C76" s="1425">
        <v>4553880</v>
      </c>
      <c r="D76" s="1426">
        <v>1</v>
      </c>
      <c r="E76" s="199">
        <v>0</v>
      </c>
      <c r="F76" s="1425">
        <v>0</v>
      </c>
      <c r="G76" s="1427">
        <v>0</v>
      </c>
      <c r="H76" s="1428">
        <v>0</v>
      </c>
      <c r="I76" s="1282">
        <v>0</v>
      </c>
      <c r="J76" s="1501">
        <v>0</v>
      </c>
      <c r="K76" s="987">
        <v>0</v>
      </c>
      <c r="L76" s="1062">
        <v>0</v>
      </c>
      <c r="M76" s="1500">
        <v>0</v>
      </c>
      <c r="N76" s="1500">
        <v>0</v>
      </c>
      <c r="O76" s="1500">
        <v>0</v>
      </c>
      <c r="P76" s="1500">
        <v>0</v>
      </c>
      <c r="Q76" s="1516">
        <v>0</v>
      </c>
      <c r="R76" s="949"/>
      <c r="S76" s="949"/>
      <c r="T76" s="949"/>
      <c r="U76" s="1013"/>
    </row>
    <row r="77" spans="1:21">
      <c r="A77" s="1039" t="s">
        <v>471</v>
      </c>
      <c r="B77" s="1424"/>
      <c r="C77" s="1425"/>
      <c r="D77" s="1426"/>
      <c r="E77" s="199">
        <v>0</v>
      </c>
      <c r="F77" s="1425">
        <v>0</v>
      </c>
      <c r="G77" s="1427">
        <v>0</v>
      </c>
      <c r="H77" s="1428">
        <v>0</v>
      </c>
      <c r="I77" s="1282">
        <v>0</v>
      </c>
      <c r="J77" s="1501">
        <v>0</v>
      </c>
      <c r="K77" s="987" t="s">
        <v>717</v>
      </c>
      <c r="L77" s="1062" t="s">
        <v>717</v>
      </c>
      <c r="M77" s="1500">
        <v>0</v>
      </c>
      <c r="N77" s="1500">
        <v>0</v>
      </c>
      <c r="O77" s="1500">
        <v>0</v>
      </c>
      <c r="P77" s="1500">
        <v>0</v>
      </c>
      <c r="Q77" s="1516">
        <v>0</v>
      </c>
      <c r="R77" s="949"/>
      <c r="S77" s="949"/>
      <c r="T77" s="949"/>
      <c r="U77" s="1013"/>
    </row>
    <row r="78" spans="1:21">
      <c r="A78" s="1039" t="s">
        <v>20</v>
      </c>
      <c r="B78" s="1424"/>
      <c r="C78" s="1425"/>
      <c r="D78" s="1426"/>
      <c r="E78" s="199">
        <v>0</v>
      </c>
      <c r="F78" s="1425">
        <v>0</v>
      </c>
      <c r="G78" s="1427">
        <v>0</v>
      </c>
      <c r="H78" s="1428">
        <v>0</v>
      </c>
      <c r="I78" s="1282">
        <v>0</v>
      </c>
      <c r="J78" s="1501">
        <v>0</v>
      </c>
      <c r="K78" s="987" t="s">
        <v>717</v>
      </c>
      <c r="L78" s="1062" t="s">
        <v>717</v>
      </c>
      <c r="M78" s="1500">
        <v>0</v>
      </c>
      <c r="N78" s="1500">
        <v>0</v>
      </c>
      <c r="O78" s="1500">
        <v>0</v>
      </c>
      <c r="P78" s="1500">
        <v>0</v>
      </c>
      <c r="Q78" s="1516">
        <v>0</v>
      </c>
      <c r="R78" s="949"/>
      <c r="S78" s="949"/>
      <c r="T78" s="949"/>
      <c r="U78" s="1013"/>
    </row>
    <row r="79" spans="1:21">
      <c r="A79" s="1110" t="s">
        <v>63</v>
      </c>
      <c r="B79" s="1429">
        <v>61</v>
      </c>
      <c r="C79" s="1430">
        <v>3516707.5</v>
      </c>
      <c r="D79" s="1431">
        <v>1</v>
      </c>
      <c r="E79" s="299">
        <v>64.05</v>
      </c>
      <c r="F79" s="1430">
        <v>3499932.5</v>
      </c>
      <c r="G79" s="1432">
        <v>1</v>
      </c>
      <c r="H79" s="1433">
        <v>61</v>
      </c>
      <c r="I79" s="1447">
        <v>3516707.5</v>
      </c>
      <c r="J79" s="1502">
        <v>1</v>
      </c>
      <c r="K79" s="1063">
        <v>1</v>
      </c>
      <c r="L79" s="1064">
        <v>1</v>
      </c>
      <c r="M79" s="1500">
        <v>0</v>
      </c>
      <c r="N79" s="1500">
        <v>0</v>
      </c>
      <c r="O79" s="1500">
        <v>1</v>
      </c>
      <c r="P79" s="1500">
        <v>0</v>
      </c>
      <c r="Q79" s="1516">
        <v>0</v>
      </c>
      <c r="R79" s="949"/>
      <c r="S79" s="949"/>
      <c r="T79" s="949"/>
      <c r="U79" s="1013"/>
    </row>
    <row r="80" spans="1:21" s="1381" customFormat="1">
      <c r="A80" s="1434" t="s">
        <v>114</v>
      </c>
      <c r="B80" s="1198">
        <v>220.7</v>
      </c>
      <c r="C80" s="1435">
        <v>12395706</v>
      </c>
      <c r="D80" s="1436">
        <v>3</v>
      </c>
      <c r="E80" s="1437">
        <v>64.05</v>
      </c>
      <c r="F80" s="1438">
        <v>3499932.5</v>
      </c>
      <c r="G80" s="1438">
        <v>1</v>
      </c>
      <c r="H80" s="1439">
        <v>61</v>
      </c>
      <c r="I80" s="1437">
        <v>3516707.5</v>
      </c>
      <c r="J80" s="1437">
        <v>1</v>
      </c>
      <c r="K80" s="1140">
        <v>0.27639329406434099</v>
      </c>
      <c r="L80" s="1141">
        <v>0.283703687389811</v>
      </c>
      <c r="M80" s="1437">
        <v>0</v>
      </c>
      <c r="N80" s="1437">
        <v>0</v>
      </c>
      <c r="O80" s="1437">
        <v>1</v>
      </c>
      <c r="P80" s="1503">
        <v>0</v>
      </c>
      <c r="Q80" s="1464">
        <v>0</v>
      </c>
      <c r="R80" s="1517"/>
      <c r="S80" s="1517"/>
      <c r="T80" s="1517"/>
      <c r="U80" s="1517"/>
    </row>
    <row r="81" spans="1:21" s="1214" customFormat="1" ht="25.5">
      <c r="A81" s="1414" t="s">
        <v>115</v>
      </c>
      <c r="B81" s="1415" t="s">
        <v>100</v>
      </c>
      <c r="C81" s="1440" t="s">
        <v>97</v>
      </c>
      <c r="D81" s="1417" t="s">
        <v>714</v>
      </c>
      <c r="E81" s="1441" t="s">
        <v>494</v>
      </c>
      <c r="F81" s="1441" t="s">
        <v>495</v>
      </c>
      <c r="G81" s="1441" t="s">
        <v>496</v>
      </c>
      <c r="H81" s="1419" t="s">
        <v>101</v>
      </c>
      <c r="I81" s="1023" t="s">
        <v>98</v>
      </c>
      <c r="J81" s="1023" t="s">
        <v>96</v>
      </c>
      <c r="K81" s="1186" t="s">
        <v>715</v>
      </c>
      <c r="L81" s="1187" t="s">
        <v>716</v>
      </c>
      <c r="M81" s="1033">
        <v>0</v>
      </c>
      <c r="N81" s="1033">
        <v>1</v>
      </c>
      <c r="O81" s="1033">
        <v>2</v>
      </c>
      <c r="P81" s="1033">
        <v>3</v>
      </c>
      <c r="Q81" s="1104">
        <v>4</v>
      </c>
      <c r="R81" s="950"/>
      <c r="S81" s="950"/>
      <c r="T81" s="950"/>
      <c r="U81" s="1515"/>
    </row>
    <row r="82" spans="1:21" s="1382" customFormat="1">
      <c r="A82" s="1442" t="s">
        <v>16</v>
      </c>
      <c r="B82" s="1197">
        <v>61</v>
      </c>
      <c r="C82" s="1420">
        <v>3516707.5</v>
      </c>
      <c r="D82" s="1421">
        <v>1</v>
      </c>
      <c r="E82" s="1443">
        <v>64.05</v>
      </c>
      <c r="F82" s="185">
        <v>3499932.5</v>
      </c>
      <c r="G82" s="1422">
        <v>1</v>
      </c>
      <c r="H82" s="1444">
        <v>61</v>
      </c>
      <c r="I82" s="185">
        <v>3516707.5</v>
      </c>
      <c r="J82" s="185">
        <v>1</v>
      </c>
      <c r="K82" s="943">
        <v>1</v>
      </c>
      <c r="L82" s="1061">
        <v>1</v>
      </c>
      <c r="M82" s="1239">
        <v>0</v>
      </c>
      <c r="N82" s="1239">
        <v>0</v>
      </c>
      <c r="O82" s="1239">
        <v>1</v>
      </c>
      <c r="P82" s="1239">
        <v>0</v>
      </c>
      <c r="Q82" s="1518">
        <v>0</v>
      </c>
      <c r="R82" s="1013"/>
      <c r="S82" s="1013"/>
      <c r="T82" s="1013"/>
      <c r="U82" s="1013"/>
    </row>
    <row r="83" spans="1:21" s="1013" customFormat="1">
      <c r="A83" s="1445" t="s">
        <v>575</v>
      </c>
      <c r="B83" s="1429">
        <v>82</v>
      </c>
      <c r="C83" s="1430">
        <v>4553880</v>
      </c>
      <c r="D83" s="1431">
        <v>1</v>
      </c>
      <c r="E83" s="1446">
        <v>0</v>
      </c>
      <c r="F83" s="1447">
        <v>0</v>
      </c>
      <c r="G83" s="1432">
        <v>0</v>
      </c>
      <c r="H83" s="1448">
        <v>0</v>
      </c>
      <c r="I83" s="1504">
        <v>0</v>
      </c>
      <c r="J83" s="1504">
        <v>0</v>
      </c>
      <c r="K83" s="1063">
        <v>0</v>
      </c>
      <c r="L83" s="1064">
        <v>0</v>
      </c>
      <c r="M83" s="1239">
        <v>0</v>
      </c>
      <c r="N83" s="1239">
        <v>0</v>
      </c>
      <c r="O83" s="1239">
        <v>0</v>
      </c>
      <c r="P83" s="1239">
        <v>0</v>
      </c>
      <c r="Q83" s="1518">
        <v>0</v>
      </c>
    </row>
    <row r="84" spans="1:21">
      <c r="A84" s="984" t="s">
        <v>114</v>
      </c>
      <c r="B84" s="1449">
        <v>143</v>
      </c>
      <c r="C84" s="1450">
        <v>8070587.5</v>
      </c>
      <c r="D84" s="1451">
        <v>2</v>
      </c>
      <c r="E84" s="1438">
        <v>64.05</v>
      </c>
      <c r="F84" s="1438">
        <v>3499932.5</v>
      </c>
      <c r="G84" s="1438">
        <v>1</v>
      </c>
      <c r="H84" s="1434">
        <v>61</v>
      </c>
      <c r="I84" s="1438">
        <v>3516707.5</v>
      </c>
      <c r="J84" s="1438">
        <v>1</v>
      </c>
      <c r="K84" s="1380">
        <v>0.42657342657342701</v>
      </c>
      <c r="L84" s="1141">
        <v>0.43574368037023298</v>
      </c>
      <c r="M84" s="1123">
        <v>0</v>
      </c>
      <c r="N84" s="1123">
        <v>0</v>
      </c>
      <c r="O84" s="1123">
        <v>1</v>
      </c>
      <c r="P84" s="1185">
        <v>0</v>
      </c>
      <c r="Q84" s="1167">
        <v>0</v>
      </c>
      <c r="R84" s="949"/>
      <c r="S84" s="949"/>
      <c r="T84" s="949"/>
      <c r="U84" s="1013"/>
    </row>
    <row r="85" spans="1:21">
      <c r="A85" s="7"/>
      <c r="B85" s="1290"/>
      <c r="C85" s="1452"/>
      <c r="D85" s="1291"/>
      <c r="E85" s="42"/>
      <c r="F85" s="1291"/>
      <c r="G85" s="1291"/>
      <c r="H85" s="198"/>
      <c r="I85" s="30"/>
      <c r="J85" s="198"/>
      <c r="K85" s="1301"/>
      <c r="L85" s="1302"/>
      <c r="M85" s="134"/>
      <c r="N85" s="134"/>
      <c r="O85" s="134"/>
      <c r="P85" s="262"/>
      <c r="Q85" s="134"/>
      <c r="R85" s="949"/>
      <c r="S85" s="949"/>
      <c r="T85" s="949"/>
      <c r="U85" s="1013"/>
    </row>
    <row r="86" spans="1:21">
      <c r="A86" s="2293" t="s">
        <v>713</v>
      </c>
      <c r="B86" s="2294"/>
      <c r="C86" s="972" t="s">
        <v>121</v>
      </c>
      <c r="D86" s="2299"/>
      <c r="E86" s="2299"/>
      <c r="F86" s="2299"/>
      <c r="G86" s="2299"/>
      <c r="H86" s="2299"/>
      <c r="I86" s="2299"/>
      <c r="J86" s="2299"/>
      <c r="K86" s="2299"/>
      <c r="L86" s="2299"/>
      <c r="M86" s="2299"/>
      <c r="N86" s="2299"/>
      <c r="O86" s="2299"/>
      <c r="P86" s="2299"/>
      <c r="Q86" s="930"/>
      <c r="R86" s="949"/>
      <c r="S86" s="949"/>
      <c r="T86" s="1013"/>
    </row>
    <row r="87" spans="1:21" s="1214" customFormat="1" ht="25.5">
      <c r="A87" s="1414" t="s">
        <v>1</v>
      </c>
      <c r="B87" s="1415" t="s">
        <v>100</v>
      </c>
      <c r="C87" s="1453" t="s">
        <v>97</v>
      </c>
      <c r="D87" s="1417" t="s">
        <v>714</v>
      </c>
      <c r="E87" s="1441" t="s">
        <v>494</v>
      </c>
      <c r="F87" s="1441" t="s">
        <v>495</v>
      </c>
      <c r="G87" s="1441" t="s">
        <v>496</v>
      </c>
      <c r="H87" s="1419" t="s">
        <v>101</v>
      </c>
      <c r="I87" s="1023" t="s">
        <v>98</v>
      </c>
      <c r="J87" s="1023" t="s">
        <v>96</v>
      </c>
      <c r="K87" s="1186" t="s">
        <v>715</v>
      </c>
      <c r="L87" s="1187" t="s">
        <v>716</v>
      </c>
      <c r="M87" s="1033">
        <v>0</v>
      </c>
      <c r="N87" s="1033">
        <v>1</v>
      </c>
      <c r="O87" s="1033">
        <v>2</v>
      </c>
      <c r="P87" s="1033">
        <v>3</v>
      </c>
      <c r="Q87" s="1104">
        <v>4</v>
      </c>
      <c r="R87" s="950"/>
      <c r="S87" s="950"/>
      <c r="T87" s="950"/>
      <c r="U87" s="1515"/>
    </row>
    <row r="88" spans="1:21">
      <c r="A88" s="1020" t="s">
        <v>73</v>
      </c>
      <c r="B88" s="1197">
        <v>131.96428571428601</v>
      </c>
      <c r="C88" s="1420">
        <v>8771070.1785714291</v>
      </c>
      <c r="D88" s="1421">
        <v>3</v>
      </c>
      <c r="E88" s="151">
        <v>94.59</v>
      </c>
      <c r="F88" s="1420">
        <v>6701787.4900000002</v>
      </c>
      <c r="G88" s="1422">
        <v>2</v>
      </c>
      <c r="H88" s="1423">
        <v>95.41</v>
      </c>
      <c r="I88" s="185">
        <v>6697277.4400000004</v>
      </c>
      <c r="J88" s="1499">
        <v>2</v>
      </c>
      <c r="K88" s="943">
        <v>0.72299864682002701</v>
      </c>
      <c r="L88" s="1061">
        <v>0.76356445720410404</v>
      </c>
      <c r="M88" s="1500">
        <v>0</v>
      </c>
      <c r="N88" s="1500">
        <v>1</v>
      </c>
      <c r="O88" s="1500">
        <v>1</v>
      </c>
      <c r="P88" s="1500">
        <v>0</v>
      </c>
      <c r="Q88" s="1516">
        <v>0</v>
      </c>
      <c r="R88" s="949"/>
      <c r="S88" s="949"/>
      <c r="T88" s="949"/>
      <c r="U88" s="1013"/>
    </row>
    <row r="89" spans="1:21">
      <c r="A89" s="981" t="s">
        <v>407</v>
      </c>
      <c r="B89" s="1424">
        <v>131.96428571428601</v>
      </c>
      <c r="C89" s="1425">
        <v>8771070.1785714291</v>
      </c>
      <c r="D89" s="1421">
        <v>3</v>
      </c>
      <c r="E89" s="199">
        <v>0</v>
      </c>
      <c r="F89" s="1425">
        <v>0</v>
      </c>
      <c r="G89" s="1427">
        <v>0</v>
      </c>
      <c r="H89" s="1428">
        <v>0</v>
      </c>
      <c r="I89" s="1282">
        <v>0</v>
      </c>
      <c r="J89" s="1501">
        <v>0</v>
      </c>
      <c r="K89" s="987">
        <v>0</v>
      </c>
      <c r="L89" s="1062">
        <v>0</v>
      </c>
      <c r="M89" s="1500">
        <v>0</v>
      </c>
      <c r="N89" s="1500">
        <v>0</v>
      </c>
      <c r="O89" s="1500">
        <v>0</v>
      </c>
      <c r="P89" s="1500">
        <v>0</v>
      </c>
      <c r="Q89" s="1516">
        <v>0</v>
      </c>
      <c r="R89" s="949"/>
      <c r="S89" s="949"/>
      <c r="T89" s="949"/>
      <c r="U89" s="1013"/>
    </row>
    <row r="90" spans="1:21">
      <c r="A90" s="981" t="s">
        <v>77</v>
      </c>
      <c r="B90" s="1424">
        <v>131.96428571428601</v>
      </c>
      <c r="C90" s="1425">
        <v>8771070.1785714291</v>
      </c>
      <c r="D90" s="1421">
        <v>3</v>
      </c>
      <c r="E90" s="199">
        <v>193.45</v>
      </c>
      <c r="F90" s="1425">
        <v>13163308.939999999</v>
      </c>
      <c r="G90" s="1427">
        <v>3</v>
      </c>
      <c r="H90" s="1428">
        <v>193.05</v>
      </c>
      <c r="I90" s="1282">
        <v>13163360.98</v>
      </c>
      <c r="J90" s="1501">
        <v>3</v>
      </c>
      <c r="K90" s="987">
        <v>1.46289580514208</v>
      </c>
      <c r="L90" s="1062">
        <v>1.50077022666622</v>
      </c>
      <c r="M90" s="1500">
        <v>0</v>
      </c>
      <c r="N90" s="1500">
        <v>0</v>
      </c>
      <c r="O90" s="1500">
        <v>2</v>
      </c>
      <c r="P90" s="1500">
        <v>1</v>
      </c>
      <c r="Q90" s="1516">
        <v>0</v>
      </c>
      <c r="R90" s="949"/>
      <c r="S90" s="949"/>
      <c r="T90" s="949"/>
      <c r="U90" s="1013"/>
    </row>
    <row r="91" spans="1:21">
      <c r="A91" s="981" t="s">
        <v>471</v>
      </c>
      <c r="B91" s="1424">
        <v>131.96428571428601</v>
      </c>
      <c r="C91" s="1425">
        <v>8771070.1785714291</v>
      </c>
      <c r="D91" s="1421">
        <v>3</v>
      </c>
      <c r="E91" s="199">
        <v>157.02000000000001</v>
      </c>
      <c r="F91" s="1425">
        <v>10924891.060000001</v>
      </c>
      <c r="G91" s="1427">
        <v>3</v>
      </c>
      <c r="H91" s="1428">
        <v>157.02000000000001</v>
      </c>
      <c r="I91" s="1282">
        <v>10924891.060000001</v>
      </c>
      <c r="J91" s="1501">
        <v>3</v>
      </c>
      <c r="K91" s="987">
        <v>1.18986738836265</v>
      </c>
      <c r="L91" s="1062">
        <v>1.2455596452403901</v>
      </c>
      <c r="M91" s="1500">
        <v>0</v>
      </c>
      <c r="N91" s="1500">
        <v>1</v>
      </c>
      <c r="O91" s="1500">
        <v>2</v>
      </c>
      <c r="P91" s="1500">
        <v>0</v>
      </c>
      <c r="Q91" s="1516">
        <v>0</v>
      </c>
      <c r="R91" s="949"/>
      <c r="S91" s="949"/>
      <c r="T91" s="949"/>
      <c r="U91" s="1013"/>
    </row>
    <row r="92" spans="1:21">
      <c r="A92" s="981" t="s">
        <v>20</v>
      </c>
      <c r="B92" s="1424">
        <v>131.96428571428601</v>
      </c>
      <c r="C92" s="1425">
        <v>8771070.1785714291</v>
      </c>
      <c r="D92" s="1421">
        <v>3</v>
      </c>
      <c r="E92" s="199">
        <v>277.77999999999997</v>
      </c>
      <c r="F92" s="1425">
        <v>18960011.059999999</v>
      </c>
      <c r="G92" s="1427">
        <v>5</v>
      </c>
      <c r="H92" s="1428">
        <v>277.77999999999997</v>
      </c>
      <c r="I92" s="1282">
        <v>18960011.059999999</v>
      </c>
      <c r="J92" s="1501">
        <v>5</v>
      </c>
      <c r="K92" s="987">
        <v>2.10496346414073</v>
      </c>
      <c r="L92" s="1062">
        <v>2.16165310207198</v>
      </c>
      <c r="M92" s="1500">
        <v>0</v>
      </c>
      <c r="N92" s="1500">
        <v>2</v>
      </c>
      <c r="O92" s="1500">
        <v>2</v>
      </c>
      <c r="P92" s="1500">
        <v>1</v>
      </c>
      <c r="Q92" s="1516">
        <v>0</v>
      </c>
      <c r="R92" s="949"/>
      <c r="S92" s="949"/>
      <c r="T92" s="949"/>
      <c r="U92" s="1013"/>
    </row>
    <row r="93" spans="1:21">
      <c r="A93" s="1042" t="s">
        <v>63</v>
      </c>
      <c r="B93" s="1429">
        <v>79.462365591397798</v>
      </c>
      <c r="C93" s="1430">
        <v>5262642.1259380104</v>
      </c>
      <c r="D93" s="1421">
        <v>2</v>
      </c>
      <c r="E93" s="299">
        <v>55.8</v>
      </c>
      <c r="F93" s="1430">
        <v>3149849.74</v>
      </c>
      <c r="G93" s="1432">
        <v>1</v>
      </c>
      <c r="H93" s="1433">
        <v>0</v>
      </c>
      <c r="I93" s="1447">
        <v>0</v>
      </c>
      <c r="J93" s="1502">
        <v>0</v>
      </c>
      <c r="K93" s="1063">
        <v>0</v>
      </c>
      <c r="L93" s="1064">
        <v>0</v>
      </c>
      <c r="M93" s="1500">
        <v>0</v>
      </c>
      <c r="N93" s="1500">
        <v>0</v>
      </c>
      <c r="O93" s="1500">
        <v>0</v>
      </c>
      <c r="P93" s="1500">
        <v>0</v>
      </c>
      <c r="Q93" s="1516">
        <v>0</v>
      </c>
      <c r="R93" s="949"/>
      <c r="S93" s="949"/>
      <c r="T93" s="949"/>
      <c r="U93" s="1013"/>
    </row>
    <row r="94" spans="1:21" s="1381" customFormat="1">
      <c r="A94" s="1434" t="s">
        <v>114</v>
      </c>
      <c r="B94" s="1198">
        <v>739</v>
      </c>
      <c r="C94" s="1454">
        <v>49117993</v>
      </c>
      <c r="D94" s="1455">
        <v>17</v>
      </c>
      <c r="E94" s="1437">
        <v>778.64</v>
      </c>
      <c r="F94" s="1438">
        <v>52899848.289999999</v>
      </c>
      <c r="G94" s="1438">
        <v>14</v>
      </c>
      <c r="H94" s="1439">
        <v>723.26</v>
      </c>
      <c r="I94" s="1437">
        <v>49745540.539999999</v>
      </c>
      <c r="J94" s="1437">
        <v>13</v>
      </c>
      <c r="K94" s="1140">
        <v>0.978700947225981</v>
      </c>
      <c r="L94" s="1141">
        <v>1.0127763269969099</v>
      </c>
      <c r="M94" s="1437">
        <v>0</v>
      </c>
      <c r="N94" s="1437">
        <v>4</v>
      </c>
      <c r="O94" s="1437">
        <v>7</v>
      </c>
      <c r="P94" s="1503">
        <v>2</v>
      </c>
      <c r="Q94" s="1464">
        <v>0</v>
      </c>
      <c r="R94" s="1517"/>
      <c r="S94" s="1517"/>
      <c r="T94" s="1517"/>
      <c r="U94" s="1517"/>
    </row>
    <row r="95" spans="1:21" s="1214" customFormat="1" ht="25.5">
      <c r="A95" s="1414" t="s">
        <v>115</v>
      </c>
      <c r="B95" s="1415" t="s">
        <v>100</v>
      </c>
      <c r="C95" s="1456" t="s">
        <v>97</v>
      </c>
      <c r="D95" s="1417" t="s">
        <v>714</v>
      </c>
      <c r="E95" s="1441" t="s">
        <v>494</v>
      </c>
      <c r="F95" s="1441" t="s">
        <v>495</v>
      </c>
      <c r="G95" s="1457" t="s">
        <v>496</v>
      </c>
      <c r="H95" s="1419" t="s">
        <v>101</v>
      </c>
      <c r="I95" s="1023" t="s">
        <v>98</v>
      </c>
      <c r="J95" s="1023" t="s">
        <v>96</v>
      </c>
      <c r="K95" s="1186" t="s">
        <v>715</v>
      </c>
      <c r="L95" s="1187" t="s">
        <v>716</v>
      </c>
      <c r="M95" s="1033">
        <v>0</v>
      </c>
      <c r="N95" s="1033">
        <v>1</v>
      </c>
      <c r="O95" s="1033">
        <v>2</v>
      </c>
      <c r="P95" s="1033">
        <v>3</v>
      </c>
      <c r="Q95" s="1104">
        <v>4</v>
      </c>
      <c r="R95" s="950"/>
      <c r="S95" s="950"/>
      <c r="T95" s="950"/>
      <c r="U95" s="1515"/>
    </row>
    <row r="96" spans="1:21">
      <c r="A96" s="1458" t="s">
        <v>16</v>
      </c>
      <c r="B96" s="1197">
        <v>206.92</v>
      </c>
      <c r="C96" s="1420">
        <v>13753038.039999999</v>
      </c>
      <c r="D96" s="1421">
        <v>5</v>
      </c>
      <c r="E96" s="1443">
        <v>429.62</v>
      </c>
      <c r="F96" s="185">
        <v>28272883.109999999</v>
      </c>
      <c r="G96" s="1459">
        <v>7</v>
      </c>
      <c r="H96" s="1444">
        <v>336.56</v>
      </c>
      <c r="I96" s="185">
        <v>22620379.91</v>
      </c>
      <c r="J96" s="185">
        <v>1</v>
      </c>
      <c r="K96" s="943">
        <v>1.6265223274695499</v>
      </c>
      <c r="L96" s="1061">
        <v>1.6447551329538801</v>
      </c>
      <c r="M96" s="1239">
        <v>0</v>
      </c>
      <c r="N96" s="1239">
        <v>0</v>
      </c>
      <c r="O96" s="1239">
        <v>3</v>
      </c>
      <c r="P96" s="1239">
        <v>2</v>
      </c>
      <c r="Q96" s="1518">
        <v>0</v>
      </c>
      <c r="R96" s="949"/>
      <c r="S96" s="949"/>
      <c r="T96" s="949"/>
      <c r="U96" s="1013"/>
    </row>
    <row r="97" spans="1:21">
      <c r="A97" s="1460" t="s">
        <v>575</v>
      </c>
      <c r="B97" s="1429">
        <v>384.28</v>
      </c>
      <c r="C97" s="1430">
        <v>25541356.359999999</v>
      </c>
      <c r="D97" s="1431">
        <v>8</v>
      </c>
      <c r="E97" s="1446">
        <v>194.13</v>
      </c>
      <c r="F97" s="1447">
        <v>13846871.09</v>
      </c>
      <c r="G97" s="1461">
        <v>4</v>
      </c>
      <c r="H97" s="1448">
        <v>194.13</v>
      </c>
      <c r="I97" s="1504">
        <v>13846871.09</v>
      </c>
      <c r="J97" s="1504">
        <v>0</v>
      </c>
      <c r="K97" s="1063">
        <v>0.50517851566565997</v>
      </c>
      <c r="L97" s="1064">
        <v>0.54213530772725205</v>
      </c>
      <c r="M97" s="1239">
        <v>0</v>
      </c>
      <c r="N97" s="1239">
        <v>2</v>
      </c>
      <c r="O97" s="1239">
        <v>2</v>
      </c>
      <c r="P97" s="1239">
        <v>0</v>
      </c>
      <c r="Q97" s="1518">
        <v>0</v>
      </c>
      <c r="R97" s="949"/>
      <c r="S97" s="949"/>
      <c r="T97" s="949"/>
      <c r="U97" s="1013"/>
    </row>
    <row r="98" spans="1:21" s="77" customFormat="1">
      <c r="A98" s="1439" t="s">
        <v>114</v>
      </c>
      <c r="B98" s="1198">
        <v>591.20000000000005</v>
      </c>
      <c r="C98" s="1462">
        <v>39294394.399999999</v>
      </c>
      <c r="D98" s="1463">
        <v>13</v>
      </c>
      <c r="E98" s="1437">
        <v>623.75</v>
      </c>
      <c r="F98" s="1437">
        <v>42119754.200000003</v>
      </c>
      <c r="G98" s="1464">
        <v>11</v>
      </c>
      <c r="H98" s="1439">
        <v>530.69000000000005</v>
      </c>
      <c r="I98" s="1437">
        <v>36467251</v>
      </c>
      <c r="J98" s="1437">
        <v>1</v>
      </c>
      <c r="K98" s="1199">
        <v>0.89764884979702297</v>
      </c>
      <c r="L98" s="1200">
        <v>0.92805224655657204</v>
      </c>
      <c r="M98" s="1437">
        <v>0</v>
      </c>
      <c r="N98" s="1437">
        <v>2</v>
      </c>
      <c r="O98" s="1437">
        <v>5</v>
      </c>
      <c r="P98" s="1437">
        <v>2</v>
      </c>
      <c r="Q98" s="1464">
        <v>0</v>
      </c>
    </row>
    <row r="99" spans="1:21">
      <c r="A99" s="7"/>
      <c r="B99" s="1290"/>
      <c r="C99" s="1290"/>
      <c r="D99" s="1465"/>
      <c r="E99" s="1291"/>
      <c r="F99" s="1291"/>
      <c r="G99" s="1291"/>
      <c r="H99" s="198"/>
      <c r="I99" s="30"/>
      <c r="J99" s="198"/>
      <c r="K99" s="1301"/>
      <c r="L99" s="1302"/>
      <c r="M99" s="134"/>
      <c r="N99" s="134"/>
      <c r="O99" s="134"/>
      <c r="P99" s="262"/>
      <c r="Q99" s="134"/>
      <c r="R99" s="949"/>
      <c r="S99" s="949"/>
      <c r="T99" s="949"/>
      <c r="U99" s="1013"/>
    </row>
    <row r="100" spans="1:21">
      <c r="A100" s="2290" t="s">
        <v>713</v>
      </c>
      <c r="B100" s="2291"/>
      <c r="C100" s="935" t="s">
        <v>27</v>
      </c>
      <c r="D100" s="2292"/>
      <c r="E100" s="2292"/>
      <c r="F100" s="2292"/>
      <c r="G100" s="2292"/>
      <c r="H100" s="2292"/>
      <c r="I100" s="2292"/>
      <c r="J100" s="2292"/>
      <c r="K100" s="2292"/>
      <c r="L100" s="2292"/>
      <c r="M100" s="2292"/>
      <c r="N100" s="2292"/>
      <c r="O100" s="2292"/>
      <c r="P100" s="2292"/>
      <c r="Q100" s="7"/>
      <c r="R100" s="949"/>
      <c r="S100" s="949"/>
      <c r="T100" s="949"/>
      <c r="U100" s="1013"/>
    </row>
    <row r="101" spans="1:21" s="1214" customFormat="1" ht="25.5">
      <c r="A101" s="1414" t="s">
        <v>1</v>
      </c>
      <c r="B101" s="1415" t="s">
        <v>100</v>
      </c>
      <c r="C101" s="1466" t="s">
        <v>97</v>
      </c>
      <c r="D101" s="1417" t="s">
        <v>714</v>
      </c>
      <c r="E101" s="1467" t="s">
        <v>494</v>
      </c>
      <c r="F101" s="175" t="s">
        <v>495</v>
      </c>
      <c r="G101" s="176" t="s">
        <v>496</v>
      </c>
      <c r="H101" s="1468" t="s">
        <v>101</v>
      </c>
      <c r="I101" s="141" t="s">
        <v>98</v>
      </c>
      <c r="J101" s="141" t="s">
        <v>96</v>
      </c>
      <c r="K101" s="495" t="s">
        <v>715</v>
      </c>
      <c r="L101" s="1027" t="s">
        <v>716</v>
      </c>
      <c r="M101" s="1087">
        <v>0</v>
      </c>
      <c r="N101" s="1033">
        <v>1</v>
      </c>
      <c r="O101" s="1033">
        <v>2</v>
      </c>
      <c r="P101" s="1033">
        <v>3</v>
      </c>
      <c r="Q101" s="1104">
        <v>4</v>
      </c>
      <c r="R101" s="950"/>
      <c r="S101" s="950"/>
      <c r="T101" s="950"/>
      <c r="U101" s="1515"/>
    </row>
    <row r="102" spans="1:21">
      <c r="A102" s="1035" t="s">
        <v>73</v>
      </c>
      <c r="B102" s="1469">
        <v>305.71428571428601</v>
      </c>
      <c r="C102" s="1470">
        <v>19042170</v>
      </c>
      <c r="D102" s="1471">
        <v>6</v>
      </c>
      <c r="E102" s="151">
        <v>182.31</v>
      </c>
      <c r="F102" s="1420">
        <v>11258868.800000001</v>
      </c>
      <c r="G102" s="1459">
        <v>5</v>
      </c>
      <c r="H102" s="1423">
        <v>182.31</v>
      </c>
      <c r="I102" s="185">
        <v>11258868.800000001</v>
      </c>
      <c r="J102" s="1499">
        <v>5</v>
      </c>
      <c r="K102" s="943">
        <v>0.59634112149532703</v>
      </c>
      <c r="L102" s="1061">
        <v>0.59125975663487895</v>
      </c>
      <c r="M102" s="1505">
        <v>3</v>
      </c>
      <c r="N102" s="1500">
        <v>0</v>
      </c>
      <c r="O102" s="1500">
        <v>2</v>
      </c>
      <c r="P102" s="1500">
        <v>0</v>
      </c>
      <c r="Q102" s="1516">
        <v>0</v>
      </c>
      <c r="R102" s="949"/>
      <c r="S102" s="949"/>
      <c r="T102" s="949"/>
      <c r="U102" s="1013"/>
    </row>
    <row r="103" spans="1:21">
      <c r="A103" s="1039" t="s">
        <v>407</v>
      </c>
      <c r="B103" s="1424">
        <v>305.71428571428601</v>
      </c>
      <c r="C103" s="1425">
        <v>19042170</v>
      </c>
      <c r="D103" s="1426">
        <v>7</v>
      </c>
      <c r="E103" s="199">
        <v>217.5</v>
      </c>
      <c r="F103" s="1425">
        <v>12256330.59</v>
      </c>
      <c r="G103" s="1472">
        <v>4</v>
      </c>
      <c r="H103" s="1428">
        <v>217.5</v>
      </c>
      <c r="I103" s="1282">
        <v>12256330.59</v>
      </c>
      <c r="J103" s="1501">
        <v>4</v>
      </c>
      <c r="K103" s="987">
        <v>0.71144859813084105</v>
      </c>
      <c r="L103" s="1062">
        <v>0.64364148571302504</v>
      </c>
      <c r="M103" s="1505">
        <v>1</v>
      </c>
      <c r="N103" s="1500">
        <v>0</v>
      </c>
      <c r="O103" s="1500">
        <v>2</v>
      </c>
      <c r="P103" s="1500">
        <v>1</v>
      </c>
      <c r="Q103" s="1516">
        <v>0</v>
      </c>
      <c r="R103" s="949"/>
      <c r="S103" s="949"/>
      <c r="T103" s="949"/>
      <c r="U103" s="1013"/>
    </row>
    <row r="104" spans="1:21">
      <c r="A104" s="1039" t="s">
        <v>77</v>
      </c>
      <c r="B104" s="1424">
        <v>305.71428571428601</v>
      </c>
      <c r="C104" s="1425">
        <v>19042170</v>
      </c>
      <c r="D104" s="1426">
        <v>7</v>
      </c>
      <c r="E104" s="199">
        <v>292.20999999999998</v>
      </c>
      <c r="F104" s="1425">
        <v>17427869.350000001</v>
      </c>
      <c r="G104" s="1472">
        <v>8</v>
      </c>
      <c r="H104" s="1428">
        <v>293.2</v>
      </c>
      <c r="I104" s="1282">
        <v>16106104.01</v>
      </c>
      <c r="J104" s="1501">
        <v>8</v>
      </c>
      <c r="K104" s="987">
        <v>0.95906542056074795</v>
      </c>
      <c r="L104" s="1062">
        <v>0.84581242631485798</v>
      </c>
      <c r="M104" s="1505">
        <v>5</v>
      </c>
      <c r="N104" s="1500">
        <v>1</v>
      </c>
      <c r="O104" s="1500">
        <v>1</v>
      </c>
      <c r="P104" s="1500">
        <v>1</v>
      </c>
      <c r="Q104" s="1516">
        <v>0</v>
      </c>
      <c r="R104" s="949"/>
      <c r="S104" s="949"/>
      <c r="T104" s="949"/>
      <c r="U104" s="1013"/>
    </row>
    <row r="105" spans="1:21">
      <c r="A105" s="1039" t="s">
        <v>471</v>
      </c>
      <c r="B105" s="1424">
        <v>305.71428571428601</v>
      </c>
      <c r="C105" s="1425">
        <v>19042170</v>
      </c>
      <c r="D105" s="1426">
        <v>6</v>
      </c>
      <c r="E105" s="199">
        <v>214.3</v>
      </c>
      <c r="F105" s="1425">
        <v>13004335.83</v>
      </c>
      <c r="G105" s="1472">
        <v>6</v>
      </c>
      <c r="H105" s="1428">
        <v>214.3</v>
      </c>
      <c r="I105" s="1282">
        <v>13004335.609999999</v>
      </c>
      <c r="J105" s="1501">
        <v>6</v>
      </c>
      <c r="K105" s="987">
        <v>0.70098130841121498</v>
      </c>
      <c r="L105" s="1062">
        <v>0.682922986718425</v>
      </c>
      <c r="M105" s="1505">
        <v>2</v>
      </c>
      <c r="N105" s="1500">
        <v>3</v>
      </c>
      <c r="O105" s="1500">
        <v>1</v>
      </c>
      <c r="P105" s="1500">
        <v>0</v>
      </c>
      <c r="Q105" s="1516">
        <v>0</v>
      </c>
      <c r="R105" s="949"/>
      <c r="S105" s="949"/>
      <c r="T105" s="949"/>
      <c r="U105" s="1013"/>
    </row>
    <row r="106" spans="1:21">
      <c r="A106" s="1039" t="s">
        <v>20</v>
      </c>
      <c r="B106" s="1424">
        <v>305.71428571428601</v>
      </c>
      <c r="C106" s="1425">
        <v>19042170</v>
      </c>
      <c r="D106" s="1426">
        <v>6</v>
      </c>
      <c r="E106" s="199">
        <v>220.6</v>
      </c>
      <c r="F106" s="1425">
        <v>13482026.09</v>
      </c>
      <c r="G106" s="1472">
        <v>5</v>
      </c>
      <c r="H106" s="1428">
        <v>220.6</v>
      </c>
      <c r="I106" s="1282">
        <v>13482026.09</v>
      </c>
      <c r="J106" s="1501">
        <v>5</v>
      </c>
      <c r="K106" s="987">
        <v>0.72158878504672896</v>
      </c>
      <c r="L106" s="1062">
        <v>0.70800891337489402</v>
      </c>
      <c r="M106" s="1505">
        <v>1</v>
      </c>
      <c r="N106" s="1500">
        <v>2</v>
      </c>
      <c r="O106" s="1500">
        <v>2</v>
      </c>
      <c r="P106" s="1500">
        <v>0</v>
      </c>
      <c r="Q106" s="1516">
        <v>0</v>
      </c>
      <c r="R106" s="949"/>
      <c r="S106" s="949"/>
      <c r="T106" s="949"/>
      <c r="U106" s="1013"/>
    </row>
    <row r="107" spans="1:21">
      <c r="A107" s="1110" t="s">
        <v>63</v>
      </c>
      <c r="B107" s="1429">
        <v>183.49410503751301</v>
      </c>
      <c r="C107" s="1430">
        <v>11425302.040804701</v>
      </c>
      <c r="D107" s="1431">
        <v>4</v>
      </c>
      <c r="E107" s="299">
        <v>84.33</v>
      </c>
      <c r="F107" s="1430">
        <v>5475407.8200000003</v>
      </c>
      <c r="G107" s="1461">
        <v>3</v>
      </c>
      <c r="H107" s="1433">
        <v>140.13</v>
      </c>
      <c r="I107" s="1447">
        <v>8625257.3499999996</v>
      </c>
      <c r="J107" s="1502">
        <v>4</v>
      </c>
      <c r="K107" s="1063">
        <v>0.76367575934579401</v>
      </c>
      <c r="L107" s="1064">
        <v>0.75492598087958696</v>
      </c>
      <c r="M107" s="1505">
        <v>2</v>
      </c>
      <c r="N107" s="1500">
        <v>1</v>
      </c>
      <c r="O107" s="1500">
        <v>1</v>
      </c>
      <c r="P107" s="1500">
        <v>0</v>
      </c>
      <c r="Q107" s="1516">
        <v>0</v>
      </c>
      <c r="R107" s="949"/>
      <c r="S107" s="949"/>
      <c r="T107" s="949"/>
      <c r="U107" s="1013"/>
    </row>
    <row r="108" spans="1:21" s="1381" customFormat="1">
      <c r="A108" s="1434" t="s">
        <v>114</v>
      </c>
      <c r="B108" s="1198">
        <v>1712.0655336089401</v>
      </c>
      <c r="C108" s="1454">
        <v>106636152.040805</v>
      </c>
      <c r="D108" s="1455">
        <v>36.380083912853301</v>
      </c>
      <c r="E108" s="1473">
        <v>1211.25</v>
      </c>
      <c r="F108" s="1450">
        <v>72904838.480000004</v>
      </c>
      <c r="G108" s="1451">
        <v>31</v>
      </c>
      <c r="H108" s="1474">
        <v>1268.04</v>
      </c>
      <c r="I108" s="1462">
        <v>74732922.450000003</v>
      </c>
      <c r="J108" s="1462">
        <v>32</v>
      </c>
      <c r="K108" s="1201">
        <v>0.74064921879890899</v>
      </c>
      <c r="L108" s="1202">
        <v>0.700821635249959</v>
      </c>
      <c r="M108" s="1439">
        <v>14</v>
      </c>
      <c r="N108" s="1437">
        <v>7</v>
      </c>
      <c r="O108" s="1437">
        <v>9</v>
      </c>
      <c r="P108" s="1503">
        <v>2</v>
      </c>
      <c r="Q108" s="1464">
        <v>0</v>
      </c>
      <c r="R108" s="1517"/>
      <c r="S108" s="1517"/>
      <c r="T108" s="1517"/>
      <c r="U108" s="1517"/>
    </row>
    <row r="109" spans="1:21" s="1214" customFormat="1" ht="25.5">
      <c r="A109" s="1414" t="s">
        <v>115</v>
      </c>
      <c r="B109" s="1415" t="s">
        <v>100</v>
      </c>
      <c r="C109" s="1456" t="s">
        <v>97</v>
      </c>
      <c r="D109" s="1417" t="s">
        <v>714</v>
      </c>
      <c r="E109" s="1475" t="s">
        <v>494</v>
      </c>
      <c r="F109" s="175" t="s">
        <v>495</v>
      </c>
      <c r="G109" s="176" t="s">
        <v>496</v>
      </c>
      <c r="H109" s="1468" t="s">
        <v>101</v>
      </c>
      <c r="I109" s="141" t="s">
        <v>98</v>
      </c>
      <c r="J109" s="141" t="s">
        <v>96</v>
      </c>
      <c r="K109" s="495" t="s">
        <v>715</v>
      </c>
      <c r="L109" s="1027" t="s">
        <v>716</v>
      </c>
      <c r="M109" s="1087">
        <v>0</v>
      </c>
      <c r="N109" s="1033">
        <v>1</v>
      </c>
      <c r="O109" s="1033">
        <v>2</v>
      </c>
      <c r="P109" s="1033">
        <v>3</v>
      </c>
      <c r="Q109" s="1104">
        <v>4</v>
      </c>
      <c r="R109" s="950"/>
      <c r="S109" s="950"/>
      <c r="T109" s="950"/>
      <c r="U109" s="1515"/>
    </row>
    <row r="110" spans="1:21">
      <c r="A110" s="1442" t="s">
        <v>16</v>
      </c>
      <c r="B110" s="1197">
        <v>479.36</v>
      </c>
      <c r="C110" s="1420">
        <v>29858122.559999999</v>
      </c>
      <c r="D110" s="1421">
        <v>10</v>
      </c>
      <c r="E110" s="1443">
        <v>254.52</v>
      </c>
      <c r="F110" s="185">
        <v>14376501.810000001</v>
      </c>
      <c r="G110" s="1459">
        <v>5</v>
      </c>
      <c r="H110" s="1444">
        <v>310.32</v>
      </c>
      <c r="I110" s="185">
        <v>16210031.210000001</v>
      </c>
      <c r="J110" s="185">
        <v>1</v>
      </c>
      <c r="K110" s="943">
        <v>0.64736315086782403</v>
      </c>
      <c r="L110" s="1061">
        <v>0.54290189135053202</v>
      </c>
      <c r="M110" s="1506">
        <v>1</v>
      </c>
      <c r="N110" s="1239">
        <v>1</v>
      </c>
      <c r="O110" s="1239">
        <v>3</v>
      </c>
      <c r="P110" s="1239">
        <v>1</v>
      </c>
      <c r="Q110" s="1518">
        <v>0</v>
      </c>
      <c r="R110" s="949"/>
      <c r="S110" s="949"/>
      <c r="T110" s="949"/>
      <c r="U110" s="1013"/>
    </row>
    <row r="111" spans="1:21">
      <c r="A111" s="1445" t="s">
        <v>575</v>
      </c>
      <c r="B111" s="1429">
        <v>890.24</v>
      </c>
      <c r="C111" s="1430">
        <v>55450799.039999999</v>
      </c>
      <c r="D111" s="1431">
        <v>19</v>
      </c>
      <c r="E111" s="1446">
        <v>509.31</v>
      </c>
      <c r="F111" s="1447">
        <v>31382575.5</v>
      </c>
      <c r="G111" s="1461">
        <v>13</v>
      </c>
      <c r="H111" s="1448">
        <v>510.3</v>
      </c>
      <c r="I111" s="1504">
        <v>31377130.07</v>
      </c>
      <c r="J111" s="1504">
        <v>0</v>
      </c>
      <c r="K111" s="1063">
        <v>0.57321621135873502</v>
      </c>
      <c r="L111" s="1064">
        <v>0.56585532784416304</v>
      </c>
      <c r="M111" s="1507">
        <v>4</v>
      </c>
      <c r="N111" s="1306">
        <v>5</v>
      </c>
      <c r="O111" s="1306">
        <v>4</v>
      </c>
      <c r="P111" s="1306">
        <v>0</v>
      </c>
      <c r="Q111" s="1519">
        <v>0</v>
      </c>
      <c r="R111" s="949"/>
      <c r="S111" s="949"/>
      <c r="T111" s="949"/>
      <c r="U111" s="1013"/>
    </row>
    <row r="112" spans="1:21">
      <c r="A112" s="1439" t="s">
        <v>114</v>
      </c>
      <c r="B112" s="1474">
        <v>1369.6</v>
      </c>
      <c r="C112" s="1462">
        <v>85308921.599999994</v>
      </c>
      <c r="D112" s="1463">
        <v>29</v>
      </c>
      <c r="E112" s="1476">
        <v>763.83</v>
      </c>
      <c r="F112" s="1462">
        <v>45759077.310000002</v>
      </c>
      <c r="G112" s="1463">
        <v>18</v>
      </c>
      <c r="H112" s="1474">
        <v>820.62</v>
      </c>
      <c r="I112" s="1462">
        <v>47587161.280000001</v>
      </c>
      <c r="J112" s="1462">
        <v>1</v>
      </c>
      <c r="K112" s="1183">
        <v>0.59916764018691604</v>
      </c>
      <c r="L112" s="1184">
        <v>0.55782162507139199</v>
      </c>
      <c r="M112" s="1439">
        <v>5</v>
      </c>
      <c r="N112" s="1437">
        <v>6</v>
      </c>
      <c r="O112" s="1437">
        <v>7</v>
      </c>
      <c r="P112" s="1437">
        <v>1</v>
      </c>
      <c r="Q112" s="1464">
        <v>0</v>
      </c>
      <c r="R112" s="949"/>
      <c r="S112" s="949"/>
      <c r="T112" s="949"/>
      <c r="U112" s="1013"/>
    </row>
    <row r="113" spans="1:21">
      <c r="A113" s="7"/>
      <c r="B113" s="1290"/>
      <c r="C113" s="1290"/>
      <c r="D113" s="1477"/>
      <c r="E113" s="1291"/>
      <c r="F113" s="1291"/>
      <c r="G113" s="1291"/>
      <c r="H113" s="198"/>
      <c r="I113" s="30"/>
      <c r="J113" s="198"/>
      <c r="K113" s="1301"/>
      <c r="L113" s="1302"/>
      <c r="M113" s="134"/>
      <c r="N113" s="134"/>
      <c r="O113" s="134"/>
      <c r="P113" s="262"/>
      <c r="Q113" s="134"/>
      <c r="R113" s="949"/>
      <c r="S113" s="949"/>
      <c r="T113" s="949"/>
      <c r="U113" s="1013"/>
    </row>
    <row r="114" spans="1:21">
      <c r="A114" s="2293" t="s">
        <v>713</v>
      </c>
      <c r="B114" s="2294"/>
      <c r="C114" s="972" t="s">
        <v>718</v>
      </c>
      <c r="D114" s="2295"/>
      <c r="E114" s="2296"/>
      <c r="F114" s="2296"/>
      <c r="G114" s="2296"/>
      <c r="H114" s="2296"/>
      <c r="I114" s="2296"/>
      <c r="J114" s="2296"/>
      <c r="K114" s="2296"/>
      <c r="L114" s="2296"/>
      <c r="M114" s="2296"/>
      <c r="N114" s="2296"/>
      <c r="O114" s="2296"/>
      <c r="P114" s="2296"/>
      <c r="Q114" s="7"/>
      <c r="R114" s="949"/>
      <c r="S114" s="949"/>
      <c r="T114" s="949"/>
      <c r="U114" s="1013"/>
    </row>
    <row r="115" spans="1:21" s="1214" customFormat="1" ht="25.5">
      <c r="A115" s="1478" t="s">
        <v>1</v>
      </c>
      <c r="B115" s="1479" t="s">
        <v>100</v>
      </c>
      <c r="C115" s="1480" t="s">
        <v>97</v>
      </c>
      <c r="D115" s="1417" t="s">
        <v>714</v>
      </c>
      <c r="E115" s="1467" t="s">
        <v>494</v>
      </c>
      <c r="F115" s="175" t="s">
        <v>495</v>
      </c>
      <c r="G115" s="176" t="s">
        <v>496</v>
      </c>
      <c r="H115" s="1481" t="s">
        <v>101</v>
      </c>
      <c r="I115" s="141" t="s">
        <v>98</v>
      </c>
      <c r="J115" s="141" t="s">
        <v>96</v>
      </c>
      <c r="K115" s="495" t="s">
        <v>715</v>
      </c>
      <c r="L115" s="1027" t="s">
        <v>716</v>
      </c>
      <c r="M115" s="1087">
        <v>0</v>
      </c>
      <c r="N115" s="1033">
        <v>1</v>
      </c>
      <c r="O115" s="1033">
        <v>2</v>
      </c>
      <c r="P115" s="1033">
        <v>3</v>
      </c>
      <c r="Q115" s="1104">
        <v>4</v>
      </c>
      <c r="R115" s="950"/>
      <c r="S115" s="950"/>
      <c r="T115" s="950"/>
      <c r="U115" s="1515"/>
    </row>
    <row r="116" spans="1:21" s="1381" customFormat="1">
      <c r="A116" s="1482" t="s">
        <v>73</v>
      </c>
      <c r="B116" s="1132">
        <f t="shared" ref="B116:C121" si="0">B74+B88+B102</f>
        <v>515.17857142857201</v>
      </c>
      <c r="C116" s="270">
        <f t="shared" si="0"/>
        <v>32138358.778571427</v>
      </c>
      <c r="D116" s="1483">
        <f t="shared" ref="D116:J116" si="1">D74+D88+D102</f>
        <v>10</v>
      </c>
      <c r="E116" s="143">
        <f t="shared" si="1"/>
        <v>276.89999999999998</v>
      </c>
      <c r="F116" s="144">
        <f t="shared" si="1"/>
        <v>17960656.289999999</v>
      </c>
      <c r="G116" s="1484">
        <f t="shared" si="1"/>
        <v>7</v>
      </c>
      <c r="H116" s="1132">
        <f t="shared" si="1"/>
        <v>277.72000000000003</v>
      </c>
      <c r="I116" s="144">
        <f t="shared" si="1"/>
        <v>17956146.240000002</v>
      </c>
      <c r="J116" s="144">
        <f t="shared" si="1"/>
        <v>7</v>
      </c>
      <c r="K116" s="221">
        <f>IFERROR(H116/B116,"")</f>
        <v>0.53907521663778102</v>
      </c>
      <c r="L116" s="222">
        <f>IFERROR(I116/C116,"")</f>
        <v>0.55871385230699588</v>
      </c>
      <c r="M116" s="1508">
        <f t="shared" ref="M116:Q121" si="2">M74+M88+M102</f>
        <v>3</v>
      </c>
      <c r="N116" s="1509">
        <f t="shared" si="2"/>
        <v>1</v>
      </c>
      <c r="O116" s="1509">
        <f t="shared" si="2"/>
        <v>3</v>
      </c>
      <c r="P116" s="1509">
        <f t="shared" si="2"/>
        <v>0</v>
      </c>
      <c r="Q116" s="1520">
        <f t="shared" si="2"/>
        <v>0</v>
      </c>
      <c r="R116" s="1517"/>
      <c r="S116" s="1517"/>
      <c r="T116" s="1517"/>
      <c r="U116" s="1517"/>
    </row>
    <row r="117" spans="1:21" s="1381" customFormat="1">
      <c r="A117" s="1485" t="s">
        <v>407</v>
      </c>
      <c r="B117" s="269">
        <f t="shared" si="0"/>
        <v>437.67857142857201</v>
      </c>
      <c r="C117" s="273">
        <f t="shared" si="0"/>
        <v>27813240.178571429</v>
      </c>
      <c r="D117" s="1483">
        <f>D75+D89+D103</f>
        <v>10</v>
      </c>
      <c r="E117" s="297">
        <f t="shared" ref="E117:J121" si="3">E75+E89+E103</f>
        <v>217.5</v>
      </c>
      <c r="F117" s="200">
        <f t="shared" si="3"/>
        <v>12256330.59</v>
      </c>
      <c r="G117" s="298">
        <f t="shared" si="3"/>
        <v>4</v>
      </c>
      <c r="H117" s="269">
        <f t="shared" si="3"/>
        <v>217.5</v>
      </c>
      <c r="I117" s="200">
        <f t="shared" si="3"/>
        <v>12256330.59</v>
      </c>
      <c r="J117" s="200">
        <f t="shared" si="3"/>
        <v>4</v>
      </c>
      <c r="K117" s="221">
        <f t="shared" ref="K117:K122" si="4">IFERROR(H117/B117,"")</f>
        <v>0.49694002447980351</v>
      </c>
      <c r="L117" s="222">
        <f t="shared" ref="L117:L122" si="5">IFERROR(I117/C117,"")</f>
        <v>0.44066532742354947</v>
      </c>
      <c r="M117" s="1508">
        <f t="shared" si="2"/>
        <v>1</v>
      </c>
      <c r="N117" s="1509">
        <f t="shared" si="2"/>
        <v>0</v>
      </c>
      <c r="O117" s="1509">
        <f t="shared" si="2"/>
        <v>2</v>
      </c>
      <c r="P117" s="1509">
        <f t="shared" si="2"/>
        <v>1</v>
      </c>
      <c r="Q117" s="1520">
        <f t="shared" si="2"/>
        <v>0</v>
      </c>
      <c r="R117" s="1517"/>
      <c r="S117" s="1517"/>
      <c r="T117" s="1517"/>
      <c r="U117" s="1517"/>
    </row>
    <row r="118" spans="1:21" s="1381" customFormat="1">
      <c r="A118" s="1485" t="s">
        <v>77</v>
      </c>
      <c r="B118" s="269">
        <f t="shared" si="0"/>
        <v>515.67857142857201</v>
      </c>
      <c r="C118" s="273">
        <f t="shared" si="0"/>
        <v>32367120.178571429</v>
      </c>
      <c r="D118" s="1483">
        <f>D76+D90+D104</f>
        <v>11</v>
      </c>
      <c r="E118" s="297">
        <f t="shared" si="3"/>
        <v>485.65999999999997</v>
      </c>
      <c r="F118" s="200">
        <f t="shared" si="3"/>
        <v>30591178.289999999</v>
      </c>
      <c r="G118" s="298">
        <f t="shared" si="3"/>
        <v>11</v>
      </c>
      <c r="H118" s="269">
        <f t="shared" si="3"/>
        <v>486.25</v>
      </c>
      <c r="I118" s="200">
        <f t="shared" si="3"/>
        <v>29269464.990000002</v>
      </c>
      <c r="J118" s="200">
        <f t="shared" si="3"/>
        <v>11</v>
      </c>
      <c r="K118" s="221">
        <f t="shared" si="4"/>
        <v>0.94293233603435034</v>
      </c>
      <c r="L118" s="222">
        <f t="shared" si="5"/>
        <v>0.90429623730868025</v>
      </c>
      <c r="M118" s="1508">
        <f t="shared" si="2"/>
        <v>5</v>
      </c>
      <c r="N118" s="1509">
        <f t="shared" si="2"/>
        <v>1</v>
      </c>
      <c r="O118" s="1509">
        <f t="shared" si="2"/>
        <v>3</v>
      </c>
      <c r="P118" s="1509">
        <f t="shared" si="2"/>
        <v>2</v>
      </c>
      <c r="Q118" s="1520">
        <f t="shared" si="2"/>
        <v>0</v>
      </c>
      <c r="R118" s="1517"/>
      <c r="S118" s="1517"/>
      <c r="T118" s="1517"/>
      <c r="U118" s="1517"/>
    </row>
    <row r="119" spans="1:21" s="1381" customFormat="1">
      <c r="A119" s="1485" t="s">
        <v>471</v>
      </c>
      <c r="B119" s="269">
        <f t="shared" si="0"/>
        <v>437.67857142857201</v>
      </c>
      <c r="C119" s="273">
        <f t="shared" si="0"/>
        <v>27813240.178571429</v>
      </c>
      <c r="D119" s="1483">
        <f>D77+D91+D105</f>
        <v>9</v>
      </c>
      <c r="E119" s="297">
        <f t="shared" si="3"/>
        <v>371.32000000000005</v>
      </c>
      <c r="F119" s="200">
        <f t="shared" si="3"/>
        <v>23929226.890000001</v>
      </c>
      <c r="G119" s="298">
        <f t="shared" si="3"/>
        <v>9</v>
      </c>
      <c r="H119" s="269">
        <f t="shared" si="3"/>
        <v>371.32000000000005</v>
      </c>
      <c r="I119" s="200">
        <f t="shared" si="3"/>
        <v>23929226.670000002</v>
      </c>
      <c r="J119" s="200">
        <f t="shared" si="3"/>
        <v>9</v>
      </c>
      <c r="K119" s="221">
        <f t="shared" si="4"/>
        <v>0.84838514891880767</v>
      </c>
      <c r="L119" s="222">
        <f t="shared" si="5"/>
        <v>0.86035379252346711</v>
      </c>
      <c r="M119" s="1508">
        <f t="shared" si="2"/>
        <v>2</v>
      </c>
      <c r="N119" s="1509">
        <f t="shared" si="2"/>
        <v>4</v>
      </c>
      <c r="O119" s="1509">
        <f t="shared" si="2"/>
        <v>3</v>
      </c>
      <c r="P119" s="1509">
        <f t="shared" si="2"/>
        <v>0</v>
      </c>
      <c r="Q119" s="1520">
        <f t="shared" si="2"/>
        <v>0</v>
      </c>
      <c r="R119" s="1517"/>
      <c r="S119" s="1517"/>
      <c r="T119" s="1517"/>
      <c r="U119" s="1517"/>
    </row>
    <row r="120" spans="1:21" s="1381" customFormat="1">
      <c r="A120" s="1485" t="s">
        <v>20</v>
      </c>
      <c r="B120" s="269">
        <f t="shared" si="0"/>
        <v>437.67857142857201</v>
      </c>
      <c r="C120" s="273">
        <f t="shared" si="0"/>
        <v>27813240.178571429</v>
      </c>
      <c r="D120" s="1483">
        <f>D78+D92+D106</f>
        <v>9</v>
      </c>
      <c r="E120" s="297">
        <f t="shared" si="3"/>
        <v>498.38</v>
      </c>
      <c r="F120" s="200">
        <f t="shared" si="3"/>
        <v>32442037.149999999</v>
      </c>
      <c r="G120" s="298">
        <f t="shared" si="3"/>
        <v>10</v>
      </c>
      <c r="H120" s="269">
        <f t="shared" si="3"/>
        <v>498.38</v>
      </c>
      <c r="I120" s="200">
        <f t="shared" si="3"/>
        <v>32442037.149999999</v>
      </c>
      <c r="J120" s="200">
        <f t="shared" si="3"/>
        <v>10</v>
      </c>
      <c r="K120" s="221">
        <f t="shared" si="4"/>
        <v>1.1386895144838827</v>
      </c>
      <c r="L120" s="222">
        <f t="shared" si="5"/>
        <v>1.1664242260775788</v>
      </c>
      <c r="M120" s="1508">
        <f t="shared" si="2"/>
        <v>1</v>
      </c>
      <c r="N120" s="1509">
        <f t="shared" si="2"/>
        <v>4</v>
      </c>
      <c r="O120" s="1509">
        <f t="shared" si="2"/>
        <v>4</v>
      </c>
      <c r="P120" s="1509">
        <f t="shared" si="2"/>
        <v>1</v>
      </c>
      <c r="Q120" s="1520">
        <f t="shared" si="2"/>
        <v>0</v>
      </c>
      <c r="R120" s="1517"/>
      <c r="S120" s="1517"/>
      <c r="T120" s="1517"/>
      <c r="U120" s="1517"/>
    </row>
    <row r="121" spans="1:21" s="1381" customFormat="1">
      <c r="A121" s="1486" t="s">
        <v>63</v>
      </c>
      <c r="B121" s="362">
        <f t="shared" si="0"/>
        <v>323.95647062891078</v>
      </c>
      <c r="C121" s="1487">
        <f t="shared" si="0"/>
        <v>20204651.666742712</v>
      </c>
      <c r="D121" s="1483">
        <f>D79+D93+D107</f>
        <v>7</v>
      </c>
      <c r="E121" s="313">
        <f t="shared" si="3"/>
        <v>204.18</v>
      </c>
      <c r="F121" s="300">
        <f t="shared" si="3"/>
        <v>12125190.060000001</v>
      </c>
      <c r="G121" s="314">
        <f t="shared" si="3"/>
        <v>5</v>
      </c>
      <c r="H121" s="362">
        <f t="shared" si="3"/>
        <v>201.13</v>
      </c>
      <c r="I121" s="300">
        <f t="shared" si="3"/>
        <v>12141964.85</v>
      </c>
      <c r="J121" s="300">
        <f t="shared" si="3"/>
        <v>5</v>
      </c>
      <c r="K121" s="248">
        <f t="shared" si="4"/>
        <v>0.62085501675437316</v>
      </c>
      <c r="L121" s="259">
        <f t="shared" si="5"/>
        <v>0.60094898196072011</v>
      </c>
      <c r="M121" s="1508">
        <f t="shared" si="2"/>
        <v>2</v>
      </c>
      <c r="N121" s="1509">
        <f t="shared" si="2"/>
        <v>1</v>
      </c>
      <c r="O121" s="1509">
        <f t="shared" si="2"/>
        <v>2</v>
      </c>
      <c r="P121" s="1509">
        <f t="shared" si="2"/>
        <v>0</v>
      </c>
      <c r="Q121" s="1520">
        <f t="shared" si="2"/>
        <v>0</v>
      </c>
      <c r="R121" s="1517"/>
      <c r="S121" s="1517"/>
      <c r="T121" s="1517"/>
      <c r="U121" s="1517"/>
    </row>
    <row r="122" spans="1:21" s="1381" customFormat="1">
      <c r="A122" s="1488" t="s">
        <v>114</v>
      </c>
      <c r="B122" s="1476">
        <f t="shared" ref="B122:J122" si="6">SUM(B116:B121)</f>
        <v>2667.8493277717707</v>
      </c>
      <c r="C122" s="1489">
        <f t="shared" si="6"/>
        <v>168149851.15959987</v>
      </c>
      <c r="D122" s="1455">
        <f t="shared" si="6"/>
        <v>56</v>
      </c>
      <c r="E122" s="1474">
        <f t="shared" si="6"/>
        <v>2053.94</v>
      </c>
      <c r="F122" s="1462">
        <f t="shared" si="6"/>
        <v>129304619.27000001</v>
      </c>
      <c r="G122" s="1463">
        <f t="shared" si="6"/>
        <v>46</v>
      </c>
      <c r="H122" s="1474">
        <f t="shared" si="6"/>
        <v>2052.3000000000002</v>
      </c>
      <c r="I122" s="1462">
        <f t="shared" si="6"/>
        <v>127995170.49000001</v>
      </c>
      <c r="J122" s="1462">
        <f t="shared" si="6"/>
        <v>46</v>
      </c>
      <c r="K122" s="1510">
        <f t="shared" si="4"/>
        <v>0.76927132976962875</v>
      </c>
      <c r="L122" s="1184">
        <f t="shared" si="5"/>
        <v>0.76119704898527119</v>
      </c>
      <c r="M122" s="1439">
        <f>SUM(M116:M121)</f>
        <v>14</v>
      </c>
      <c r="N122" s="1437">
        <f>SUM(N116:N121)</f>
        <v>11</v>
      </c>
      <c r="O122" s="1437">
        <f>SUM(O116:O121)</f>
        <v>17</v>
      </c>
      <c r="P122" s="1503">
        <f>SUM(P116:P121)</f>
        <v>4</v>
      </c>
      <c r="Q122" s="1464">
        <f>SUM(Q116:Q121)</f>
        <v>0</v>
      </c>
      <c r="R122" s="1517"/>
      <c r="S122" s="1517"/>
      <c r="T122" s="1517"/>
      <c r="U122" s="1517"/>
    </row>
    <row r="123" spans="1:21" s="1214" customFormat="1" ht="25.5">
      <c r="A123" s="1478" t="s">
        <v>115</v>
      </c>
      <c r="B123" s="1479" t="s">
        <v>100</v>
      </c>
      <c r="C123" s="1490" t="s">
        <v>97</v>
      </c>
      <c r="D123" s="1417" t="s">
        <v>714</v>
      </c>
      <c r="E123" s="1467" t="s">
        <v>494</v>
      </c>
      <c r="F123" s="175" t="s">
        <v>495</v>
      </c>
      <c r="G123" s="176" t="s">
        <v>496</v>
      </c>
      <c r="H123" s="1481" t="s">
        <v>101</v>
      </c>
      <c r="I123" s="141" t="s">
        <v>98</v>
      </c>
      <c r="J123" s="141" t="s">
        <v>96</v>
      </c>
      <c r="K123" s="495" t="s">
        <v>715</v>
      </c>
      <c r="L123" s="1027" t="s">
        <v>716</v>
      </c>
      <c r="M123" s="1087">
        <v>0</v>
      </c>
      <c r="N123" s="1033">
        <v>1</v>
      </c>
      <c r="O123" s="1033">
        <v>2</v>
      </c>
      <c r="P123" s="1033">
        <v>3</v>
      </c>
      <c r="Q123" s="1104">
        <v>4</v>
      </c>
      <c r="R123" s="950"/>
      <c r="S123" s="950"/>
      <c r="T123" s="950"/>
      <c r="U123" s="1515"/>
    </row>
    <row r="124" spans="1:21">
      <c r="A124" s="1491" t="s">
        <v>16</v>
      </c>
      <c r="B124" s="1492">
        <f>B82+B96+B110</f>
        <v>747.28</v>
      </c>
      <c r="C124" s="1493">
        <f>C82+C96+C110</f>
        <v>47127868.099999994</v>
      </c>
      <c r="D124" s="1483">
        <f t="shared" ref="D124:J125" si="7">D82+D96+D110</f>
        <v>16</v>
      </c>
      <c r="E124" s="143">
        <f t="shared" si="7"/>
        <v>748.19</v>
      </c>
      <c r="F124" s="144">
        <f t="shared" si="7"/>
        <v>46149317.420000002</v>
      </c>
      <c r="G124" s="1484">
        <f t="shared" si="7"/>
        <v>13</v>
      </c>
      <c r="H124" s="1492">
        <f t="shared" si="7"/>
        <v>707.88</v>
      </c>
      <c r="I124" s="1511">
        <f t="shared" si="7"/>
        <v>42347118.620000005</v>
      </c>
      <c r="J124" s="1511">
        <f t="shared" si="7"/>
        <v>3</v>
      </c>
      <c r="K124" s="221">
        <f>IFERROR(H124/B124,"")</f>
        <v>0.94727545230703358</v>
      </c>
      <c r="L124" s="222">
        <f>IFERROR(I124/C124,"")</f>
        <v>0.89855790909413125</v>
      </c>
      <c r="M124" s="1512">
        <f t="shared" ref="M124:Q125" si="8">M82+M96+M110</f>
        <v>1</v>
      </c>
      <c r="N124" s="1513">
        <f t="shared" si="8"/>
        <v>1</v>
      </c>
      <c r="O124" s="1513">
        <f t="shared" si="8"/>
        <v>7</v>
      </c>
      <c r="P124" s="1513">
        <f t="shared" si="8"/>
        <v>3</v>
      </c>
      <c r="Q124" s="1521">
        <f t="shared" si="8"/>
        <v>0</v>
      </c>
      <c r="R124" s="949"/>
      <c r="S124" s="949"/>
      <c r="T124" s="949"/>
      <c r="U124" s="1013"/>
    </row>
    <row r="125" spans="1:21">
      <c r="A125" s="1494" t="s">
        <v>575</v>
      </c>
      <c r="B125" s="1495">
        <f>B83+B97+B111</f>
        <v>1356.52</v>
      </c>
      <c r="C125" s="1496">
        <f>C83+C97+C111</f>
        <v>85546035.400000006</v>
      </c>
      <c r="D125" s="1483">
        <f t="shared" si="7"/>
        <v>28</v>
      </c>
      <c r="E125" s="313">
        <f t="shared" si="7"/>
        <v>703.44</v>
      </c>
      <c r="F125" s="300">
        <f t="shared" si="7"/>
        <v>45229446.590000004</v>
      </c>
      <c r="G125" s="314">
        <f t="shared" si="7"/>
        <v>17</v>
      </c>
      <c r="H125" s="1495">
        <f t="shared" si="7"/>
        <v>704.43000000000006</v>
      </c>
      <c r="I125" s="1514">
        <f t="shared" si="7"/>
        <v>45224001.159999996</v>
      </c>
      <c r="J125" s="1514">
        <f t="shared" si="7"/>
        <v>0</v>
      </c>
      <c r="K125" s="360">
        <f>IFERROR(H125/B125,"")</f>
        <v>0.5192920119128358</v>
      </c>
      <c r="L125" s="361">
        <f>IFERROR(I125/C125,"")</f>
        <v>0.52865104675558106</v>
      </c>
      <c r="M125" s="1512">
        <f t="shared" si="8"/>
        <v>4</v>
      </c>
      <c r="N125" s="1513">
        <f t="shared" si="8"/>
        <v>7</v>
      </c>
      <c r="O125" s="1513">
        <f t="shared" si="8"/>
        <v>6</v>
      </c>
      <c r="P125" s="1513">
        <f t="shared" si="8"/>
        <v>0</v>
      </c>
      <c r="Q125" s="1521">
        <f t="shared" si="8"/>
        <v>0</v>
      </c>
      <c r="R125" s="949"/>
      <c r="S125" s="949"/>
      <c r="T125" s="949"/>
      <c r="U125" s="1013"/>
    </row>
    <row r="126" spans="1:21">
      <c r="A126" s="1497" t="s">
        <v>114</v>
      </c>
      <c r="B126" s="1476">
        <f t="shared" ref="B126:J126" si="9">SUM(B124:B125)</f>
        <v>2103.8000000000002</v>
      </c>
      <c r="C126" s="1489">
        <f t="shared" si="9"/>
        <v>132673903.5</v>
      </c>
      <c r="D126" s="1437">
        <f t="shared" si="9"/>
        <v>44</v>
      </c>
      <c r="E126" s="1474">
        <f t="shared" si="9"/>
        <v>1451.63</v>
      </c>
      <c r="F126" s="1462">
        <f t="shared" si="9"/>
        <v>91378764.010000005</v>
      </c>
      <c r="G126" s="1463">
        <f t="shared" si="9"/>
        <v>30</v>
      </c>
      <c r="H126" s="1476">
        <f t="shared" si="9"/>
        <v>1412.31</v>
      </c>
      <c r="I126" s="1462">
        <f t="shared" si="9"/>
        <v>87571119.780000001</v>
      </c>
      <c r="J126" s="1462">
        <f t="shared" si="9"/>
        <v>3</v>
      </c>
      <c r="K126" s="1183">
        <f>H126/B126</f>
        <v>0.67131381310010452</v>
      </c>
      <c r="L126" s="1184">
        <f>IFERROR(I126/C126,"")</f>
        <v>0.66004781249237909</v>
      </c>
      <c r="M126" s="1439">
        <f>SUM(M124:M125)</f>
        <v>5</v>
      </c>
      <c r="N126" s="1437">
        <f>SUM(N124:N125)</f>
        <v>8</v>
      </c>
      <c r="O126" s="1437">
        <f>SUM(O124:O125)</f>
        <v>13</v>
      </c>
      <c r="P126" s="1437">
        <f>SUM(P124:P125)</f>
        <v>3</v>
      </c>
      <c r="Q126" s="1464">
        <f>SUM(Q124:Q125)</f>
        <v>0</v>
      </c>
      <c r="R126" s="949"/>
      <c r="S126" s="949"/>
      <c r="T126" s="949"/>
      <c r="U126" s="1013"/>
    </row>
    <row r="127" spans="1:21">
      <c r="A127" s="65"/>
      <c r="B127" s="65"/>
      <c r="C127" s="65"/>
      <c r="D127" s="65"/>
      <c r="E127" s="390"/>
      <c r="F127" s="949"/>
      <c r="G127" s="65"/>
      <c r="H127" s="65"/>
      <c r="I127" s="1013"/>
      <c r="J127" s="65"/>
      <c r="K127" s="65"/>
      <c r="L127" s="65"/>
      <c r="M127" s="949"/>
      <c r="N127" s="94"/>
      <c r="O127" s="949"/>
      <c r="P127" s="949"/>
      <c r="Q127" s="86"/>
      <c r="R127" s="949"/>
      <c r="S127" s="949"/>
      <c r="T127" s="949"/>
      <c r="U127" s="1013"/>
    </row>
    <row r="128" spans="1:21">
      <c r="A128" s="65"/>
      <c r="B128" s="65"/>
      <c r="C128" s="65"/>
      <c r="D128" s="65"/>
      <c r="E128" s="390"/>
      <c r="F128" s="949"/>
      <c r="G128" s="65"/>
      <c r="H128" s="65"/>
      <c r="I128" s="1013"/>
      <c r="J128" s="65"/>
      <c r="K128" s="65"/>
      <c r="L128" s="65"/>
      <c r="M128" s="949"/>
      <c r="N128" s="94"/>
      <c r="O128" s="949"/>
      <c r="P128" s="949"/>
      <c r="Q128" s="86"/>
      <c r="R128" s="949"/>
      <c r="S128" s="949"/>
      <c r="T128" s="949"/>
      <c r="U128" s="1013"/>
    </row>
    <row r="129" spans="1:21">
      <c r="A129" s="65"/>
      <c r="B129" s="65"/>
      <c r="C129" s="65"/>
      <c r="D129" s="65"/>
      <c r="E129" s="390"/>
      <c r="F129" s="949"/>
      <c r="G129" s="65"/>
      <c r="H129" s="65"/>
      <c r="I129" s="1013"/>
      <c r="J129" s="65"/>
      <c r="K129" s="65"/>
      <c r="L129" s="65"/>
      <c r="M129" s="949"/>
      <c r="N129" s="94"/>
      <c r="O129" s="949"/>
      <c r="P129" s="949"/>
      <c r="Q129" s="86"/>
      <c r="R129" s="949"/>
      <c r="S129" s="949"/>
      <c r="T129" s="949"/>
      <c r="U129" s="1013"/>
    </row>
    <row r="130" spans="1:21">
      <c r="A130" s="65"/>
      <c r="B130" s="65"/>
      <c r="C130" s="65"/>
      <c r="D130" s="65"/>
      <c r="E130" s="390"/>
      <c r="F130" s="949"/>
      <c r="G130" s="65"/>
      <c r="H130" s="65"/>
      <c r="I130" s="1013"/>
      <c r="J130" s="65"/>
      <c r="K130" s="65"/>
      <c r="L130" s="65"/>
      <c r="M130" s="949"/>
      <c r="N130" s="94"/>
      <c r="O130" s="949"/>
      <c r="P130" s="949"/>
      <c r="Q130" s="86"/>
      <c r="R130" s="949"/>
      <c r="S130" s="949"/>
      <c r="T130" s="949"/>
      <c r="U130" s="1013"/>
    </row>
    <row r="131" spans="1:21">
      <c r="A131" s="65"/>
      <c r="B131" s="65"/>
      <c r="C131" s="65"/>
      <c r="D131" s="65"/>
      <c r="E131" s="390"/>
      <c r="F131" s="949"/>
      <c r="G131" s="65"/>
      <c r="H131" s="65"/>
      <c r="I131" s="1013"/>
      <c r="J131" s="65"/>
      <c r="K131" s="65"/>
      <c r="L131" s="65"/>
      <c r="M131" s="949"/>
      <c r="N131" s="94"/>
      <c r="O131" s="949"/>
      <c r="P131" s="949"/>
      <c r="Q131" s="86"/>
      <c r="R131" s="949"/>
      <c r="S131" s="949"/>
      <c r="T131" s="949"/>
      <c r="U131" s="1013"/>
    </row>
    <row r="132" spans="1:21">
      <c r="A132" s="65"/>
      <c r="B132" s="65"/>
      <c r="C132" s="65"/>
      <c r="D132" s="65"/>
      <c r="E132" s="390"/>
      <c r="F132" s="949"/>
      <c r="G132" s="65"/>
      <c r="H132" s="65"/>
      <c r="I132" s="1013"/>
      <c r="J132" s="65"/>
      <c r="K132" s="65"/>
      <c r="L132" s="65"/>
      <c r="M132" s="949"/>
      <c r="N132" s="94"/>
      <c r="O132" s="949"/>
      <c r="P132" s="949"/>
      <c r="Q132" s="86"/>
      <c r="R132" s="949"/>
      <c r="S132" s="949"/>
      <c r="T132" s="949"/>
      <c r="U132" s="1013"/>
    </row>
    <row r="133" spans="1:21">
      <c r="A133" s="65"/>
      <c r="B133" s="65"/>
      <c r="C133" s="65"/>
      <c r="D133" s="65"/>
      <c r="E133" s="390"/>
      <c r="F133" s="949"/>
      <c r="G133" s="65"/>
      <c r="H133" s="65"/>
      <c r="I133" s="1013"/>
      <c r="J133" s="65"/>
      <c r="K133" s="65"/>
      <c r="L133" s="65"/>
      <c r="M133" s="949"/>
      <c r="N133" s="94"/>
      <c r="O133" s="949"/>
      <c r="P133" s="949"/>
      <c r="Q133" s="86"/>
      <c r="R133" s="949"/>
      <c r="S133" s="949"/>
      <c r="T133" s="949"/>
      <c r="U133" s="1013"/>
    </row>
    <row r="134" spans="1:21">
      <c r="A134" s="65"/>
      <c r="B134" s="65"/>
      <c r="C134" s="65"/>
      <c r="D134" s="65"/>
      <c r="E134" s="390"/>
      <c r="F134" s="949"/>
      <c r="G134" s="65"/>
      <c r="H134" s="65"/>
      <c r="I134" s="1013"/>
      <c r="J134" s="65"/>
      <c r="K134" s="65"/>
      <c r="L134" s="65"/>
      <c r="M134" s="949"/>
      <c r="N134" s="94"/>
      <c r="O134" s="949"/>
      <c r="P134" s="949"/>
      <c r="Q134" s="86"/>
      <c r="R134" s="949"/>
      <c r="S134" s="949"/>
      <c r="T134" s="949"/>
      <c r="U134" s="1013"/>
    </row>
    <row r="135" spans="1:21">
      <c r="A135" s="65"/>
      <c r="B135" s="65"/>
      <c r="C135" s="65"/>
      <c r="D135" s="65"/>
      <c r="E135" s="390"/>
      <c r="F135" s="949"/>
      <c r="G135" s="65"/>
      <c r="H135" s="65"/>
      <c r="I135" s="1013"/>
      <c r="J135" s="65"/>
      <c r="K135" s="65"/>
      <c r="L135" s="65"/>
      <c r="M135" s="949"/>
      <c r="N135" s="94"/>
      <c r="O135" s="949"/>
      <c r="P135" s="949"/>
      <c r="Q135" s="86"/>
      <c r="R135" s="949"/>
      <c r="S135" s="949"/>
      <c r="T135" s="949"/>
      <c r="U135" s="1013"/>
    </row>
    <row r="136" spans="1:21">
      <c r="A136" s="65"/>
      <c r="B136" s="65"/>
      <c r="C136" s="65"/>
      <c r="D136" s="65"/>
      <c r="E136" s="390"/>
      <c r="F136" s="949"/>
      <c r="G136" s="65"/>
      <c r="H136" s="65"/>
      <c r="I136" s="1013"/>
      <c r="J136" s="65"/>
      <c r="K136" s="65"/>
      <c r="L136" s="65"/>
      <c r="M136" s="949"/>
      <c r="N136" s="94"/>
      <c r="O136" s="949"/>
      <c r="P136" s="949"/>
      <c r="Q136" s="86"/>
      <c r="R136" s="949"/>
      <c r="S136" s="949"/>
      <c r="T136" s="949"/>
      <c r="U136" s="1013"/>
    </row>
    <row r="137" spans="1:21">
      <c r="A137" s="65"/>
      <c r="B137" s="65"/>
      <c r="C137" s="65"/>
      <c r="D137" s="65"/>
      <c r="E137" s="390"/>
      <c r="F137" s="949"/>
      <c r="G137" s="65"/>
      <c r="H137" s="65"/>
      <c r="I137" s="1013"/>
      <c r="J137" s="65"/>
      <c r="K137" s="65"/>
      <c r="L137" s="65"/>
      <c r="M137" s="949"/>
      <c r="N137" s="94"/>
      <c r="O137" s="949"/>
      <c r="P137" s="949"/>
      <c r="Q137" s="86"/>
      <c r="R137" s="949"/>
      <c r="S137" s="949"/>
      <c r="T137" s="949"/>
      <c r="U137" s="1013"/>
    </row>
    <row r="138" spans="1:21">
      <c r="A138" s="65"/>
      <c r="B138" s="65"/>
      <c r="C138" s="65"/>
      <c r="D138" s="65"/>
      <c r="E138" s="390"/>
      <c r="F138" s="949"/>
      <c r="G138" s="65"/>
      <c r="H138" s="65"/>
      <c r="I138" s="1013"/>
      <c r="J138" s="65"/>
      <c r="K138" s="65"/>
      <c r="L138" s="65"/>
      <c r="M138" s="949"/>
      <c r="N138" s="94"/>
      <c r="O138" s="949"/>
      <c r="P138" s="949"/>
      <c r="Q138" s="86"/>
      <c r="R138" s="949"/>
      <c r="S138" s="949"/>
      <c r="T138" s="949"/>
      <c r="U138" s="1013"/>
    </row>
    <row r="139" spans="1:21">
      <c r="A139" s="65"/>
      <c r="B139" s="65"/>
      <c r="C139" s="65"/>
      <c r="D139" s="65"/>
      <c r="E139" s="390"/>
      <c r="F139" s="949"/>
      <c r="G139" s="65"/>
      <c r="H139" s="65"/>
      <c r="I139" s="1013"/>
      <c r="J139" s="65"/>
      <c r="K139" s="65"/>
      <c r="L139" s="65"/>
      <c r="M139" s="949"/>
      <c r="N139" s="94"/>
      <c r="O139" s="949"/>
      <c r="P139" s="949"/>
      <c r="Q139" s="86"/>
      <c r="R139" s="949"/>
      <c r="S139" s="949"/>
      <c r="T139" s="949"/>
      <c r="U139" s="1013"/>
    </row>
    <row r="140" spans="1:21">
      <c r="A140" s="65"/>
      <c r="B140" s="65"/>
      <c r="C140" s="65"/>
      <c r="D140" s="65"/>
      <c r="E140" s="390"/>
      <c r="F140" s="949"/>
      <c r="G140" s="65"/>
      <c r="H140" s="65"/>
      <c r="I140" s="1013"/>
      <c r="J140" s="65"/>
      <c r="K140" s="65"/>
      <c r="L140" s="65"/>
      <c r="M140" s="949"/>
      <c r="N140" s="94"/>
      <c r="O140" s="949"/>
      <c r="P140" s="949"/>
      <c r="Q140" s="86"/>
      <c r="R140" s="949"/>
      <c r="S140" s="949"/>
      <c r="T140" s="949"/>
      <c r="U140" s="1013"/>
    </row>
    <row r="141" spans="1:21">
      <c r="A141" s="65"/>
      <c r="B141" s="65"/>
      <c r="C141" s="65"/>
      <c r="D141" s="65"/>
      <c r="E141" s="390"/>
      <c r="F141" s="949"/>
      <c r="G141" s="65"/>
      <c r="H141" s="65"/>
      <c r="I141" s="1013"/>
      <c r="J141" s="65"/>
      <c r="K141" s="65"/>
      <c r="L141" s="65"/>
      <c r="M141" s="949"/>
      <c r="N141" s="94"/>
      <c r="O141" s="949"/>
      <c r="P141" s="949"/>
      <c r="Q141" s="86"/>
      <c r="R141" s="949"/>
      <c r="S141" s="949"/>
      <c r="T141" s="949"/>
      <c r="U141" s="1013"/>
    </row>
    <row r="142" spans="1:21">
      <c r="A142" s="65"/>
      <c r="B142" s="65"/>
      <c r="C142" s="65"/>
      <c r="D142" s="65"/>
      <c r="E142" s="390"/>
      <c r="F142" s="949"/>
      <c r="G142" s="65"/>
      <c r="H142" s="65"/>
      <c r="I142" s="1013"/>
      <c r="J142" s="65"/>
      <c r="K142" s="65"/>
      <c r="L142" s="65"/>
      <c r="M142" s="949"/>
      <c r="N142" s="94"/>
      <c r="O142" s="949"/>
      <c r="P142" s="949"/>
      <c r="Q142" s="86"/>
      <c r="R142" s="949"/>
      <c r="S142" s="949"/>
      <c r="T142" s="949"/>
      <c r="U142" s="1013"/>
    </row>
    <row r="143" spans="1:21">
      <c r="A143" s="65"/>
      <c r="B143" s="65"/>
      <c r="C143" s="65"/>
      <c r="D143" s="65"/>
      <c r="E143" s="390"/>
      <c r="F143" s="949"/>
      <c r="G143" s="65"/>
      <c r="H143" s="65"/>
      <c r="I143" s="1013"/>
      <c r="J143" s="65"/>
      <c r="K143" s="65"/>
      <c r="L143" s="65"/>
      <c r="M143" s="949"/>
      <c r="N143" s="94"/>
      <c r="O143" s="949"/>
      <c r="P143" s="949"/>
      <c r="Q143" s="86"/>
      <c r="R143" s="949"/>
      <c r="S143" s="949"/>
      <c r="T143" s="949"/>
      <c r="U143" s="1013"/>
    </row>
    <row r="144" spans="1:21">
      <c r="A144" s="65"/>
      <c r="B144" s="65"/>
      <c r="C144" s="65"/>
      <c r="D144" s="65"/>
      <c r="E144" s="390"/>
      <c r="F144" s="949"/>
      <c r="G144" s="65"/>
      <c r="H144" s="65"/>
      <c r="I144" s="1013"/>
      <c r="J144" s="65"/>
      <c r="K144" s="65"/>
      <c r="L144" s="65"/>
      <c r="M144" s="949"/>
      <c r="N144" s="94"/>
      <c r="O144" s="949"/>
      <c r="P144" s="949"/>
      <c r="Q144" s="86"/>
      <c r="R144" s="949"/>
      <c r="S144" s="949"/>
      <c r="T144" s="949"/>
      <c r="U144" s="1013"/>
    </row>
    <row r="145" spans="1:21">
      <c r="A145" s="65"/>
      <c r="B145" s="65"/>
      <c r="C145" s="65"/>
      <c r="D145" s="65"/>
      <c r="E145" s="390"/>
      <c r="F145" s="949"/>
      <c r="G145" s="65"/>
      <c r="H145" s="65"/>
      <c r="I145" s="1013"/>
      <c r="J145" s="65"/>
      <c r="K145" s="65"/>
      <c r="L145" s="65"/>
      <c r="M145" s="949"/>
      <c r="N145" s="94"/>
      <c r="O145" s="949"/>
      <c r="P145" s="949"/>
      <c r="Q145" s="86"/>
      <c r="R145" s="949"/>
      <c r="S145" s="949"/>
      <c r="T145" s="949"/>
      <c r="U145" s="1013"/>
    </row>
    <row r="146" spans="1:21">
      <c r="A146" s="65"/>
      <c r="B146" s="65"/>
      <c r="C146" s="65"/>
      <c r="D146" s="65"/>
      <c r="E146" s="390"/>
      <c r="F146" s="949"/>
      <c r="G146" s="65"/>
      <c r="H146" s="65"/>
      <c r="I146" s="1013"/>
      <c r="J146" s="65"/>
      <c r="K146" s="65"/>
      <c r="L146" s="65"/>
      <c r="M146" s="949"/>
      <c r="N146" s="94"/>
      <c r="O146" s="949"/>
      <c r="P146" s="949"/>
      <c r="Q146" s="86"/>
      <c r="R146" s="949"/>
      <c r="S146" s="949"/>
      <c r="T146" s="949"/>
      <c r="U146" s="1013"/>
    </row>
    <row r="147" spans="1:21">
      <c r="A147" s="65"/>
      <c r="B147" s="65"/>
      <c r="C147" s="65"/>
      <c r="D147" s="65"/>
      <c r="E147" s="390"/>
      <c r="F147" s="949"/>
      <c r="G147" s="65"/>
      <c r="H147" s="65"/>
      <c r="I147" s="1013"/>
      <c r="J147" s="65"/>
      <c r="K147" s="65"/>
      <c r="L147" s="65"/>
      <c r="M147" s="949"/>
      <c r="N147" s="94"/>
      <c r="O147" s="949"/>
      <c r="P147" s="949"/>
      <c r="Q147" s="86"/>
      <c r="R147" s="949"/>
      <c r="S147" s="949"/>
      <c r="T147" s="949"/>
      <c r="U147" s="1013"/>
    </row>
    <row r="148" spans="1:21">
      <c r="A148" s="65"/>
      <c r="B148" s="65"/>
      <c r="C148" s="65"/>
      <c r="D148" s="65"/>
      <c r="E148" s="390"/>
      <c r="F148" s="949"/>
      <c r="G148" s="65"/>
      <c r="H148" s="65"/>
      <c r="I148" s="1013"/>
      <c r="J148" s="65"/>
      <c r="K148" s="65"/>
      <c r="L148" s="65"/>
      <c r="M148" s="949"/>
      <c r="N148" s="94"/>
      <c r="O148" s="949"/>
      <c r="P148" s="949"/>
      <c r="Q148" s="86"/>
      <c r="R148" s="949"/>
      <c r="S148" s="949"/>
      <c r="T148" s="949"/>
      <c r="U148" s="1013"/>
    </row>
    <row r="149" spans="1:21">
      <c r="A149" s="65"/>
      <c r="B149" s="65"/>
      <c r="C149" s="65"/>
      <c r="D149" s="65"/>
      <c r="E149" s="390"/>
      <c r="F149" s="949"/>
      <c r="G149" s="65"/>
      <c r="H149" s="65"/>
      <c r="I149" s="1013"/>
      <c r="J149" s="65"/>
      <c r="K149" s="65"/>
      <c r="L149" s="65"/>
      <c r="M149" s="949"/>
      <c r="N149" s="94"/>
      <c r="O149" s="949"/>
      <c r="P149" s="949"/>
      <c r="Q149" s="86"/>
      <c r="R149" s="949"/>
      <c r="S149" s="949"/>
      <c r="T149" s="949"/>
      <c r="U149" s="1013"/>
    </row>
    <row r="150" spans="1:21">
      <c r="A150" s="65"/>
      <c r="B150" s="65"/>
      <c r="C150" s="65"/>
      <c r="D150" s="65"/>
      <c r="E150" s="390"/>
      <c r="F150" s="949"/>
      <c r="G150" s="65"/>
      <c r="H150" s="65"/>
      <c r="I150" s="1013"/>
      <c r="J150" s="65"/>
      <c r="K150" s="65"/>
      <c r="L150" s="65"/>
      <c r="M150" s="949"/>
      <c r="N150" s="94"/>
      <c r="O150" s="949"/>
      <c r="P150" s="949"/>
      <c r="Q150" s="86"/>
      <c r="R150" s="949"/>
      <c r="S150" s="949"/>
      <c r="T150" s="949"/>
      <c r="U150" s="1013"/>
    </row>
    <row r="151" spans="1:21">
      <c r="A151" s="65"/>
      <c r="B151" s="65"/>
      <c r="C151" s="65"/>
      <c r="D151" s="65"/>
      <c r="E151" s="390"/>
      <c r="F151" s="949"/>
      <c r="G151" s="65"/>
      <c r="H151" s="65"/>
      <c r="I151" s="1013"/>
      <c r="J151" s="65"/>
      <c r="K151" s="65"/>
      <c r="L151" s="65"/>
      <c r="M151" s="949"/>
      <c r="N151" s="94"/>
      <c r="O151" s="949"/>
      <c r="P151" s="949"/>
      <c r="Q151" s="86"/>
      <c r="R151" s="949"/>
      <c r="S151" s="949"/>
      <c r="T151" s="949"/>
      <c r="U151" s="1013"/>
    </row>
    <row r="152" spans="1:21">
      <c r="A152" s="65"/>
      <c r="B152" s="65"/>
      <c r="C152" s="65"/>
      <c r="D152" s="65"/>
      <c r="E152" s="390"/>
      <c r="F152" s="949"/>
      <c r="G152" s="65"/>
      <c r="H152" s="65"/>
      <c r="I152" s="1013"/>
      <c r="J152" s="65"/>
      <c r="K152" s="65"/>
      <c r="L152" s="65"/>
      <c r="M152" s="949"/>
      <c r="N152" s="94"/>
      <c r="O152" s="949"/>
      <c r="P152" s="949"/>
      <c r="Q152" s="86"/>
      <c r="R152" s="949"/>
      <c r="S152" s="949"/>
      <c r="T152" s="949"/>
      <c r="U152" s="1013"/>
    </row>
    <row r="153" spans="1:21">
      <c r="A153" s="65"/>
      <c r="B153" s="65"/>
      <c r="C153" s="65"/>
      <c r="D153" s="65"/>
      <c r="E153" s="390"/>
      <c r="F153" s="949"/>
      <c r="G153" s="65"/>
      <c r="H153" s="65"/>
      <c r="I153" s="1013"/>
      <c r="J153" s="65"/>
      <c r="K153" s="65"/>
      <c r="L153" s="65"/>
      <c r="M153" s="949"/>
      <c r="N153" s="94"/>
      <c r="O153" s="949"/>
      <c r="P153" s="949"/>
      <c r="Q153" s="86"/>
      <c r="R153" s="949"/>
      <c r="S153" s="949"/>
      <c r="T153" s="949"/>
      <c r="U153" s="1013"/>
    </row>
    <row r="154" spans="1:21">
      <c r="A154" s="65"/>
      <c r="B154" s="65"/>
      <c r="C154" s="65"/>
      <c r="D154" s="65"/>
      <c r="E154" s="390"/>
      <c r="F154" s="949"/>
      <c r="G154" s="65"/>
      <c r="H154" s="65"/>
      <c r="I154" s="1013"/>
      <c r="J154" s="65"/>
      <c r="K154" s="65"/>
      <c r="L154" s="65"/>
      <c r="M154" s="949"/>
      <c r="N154" s="94"/>
      <c r="O154" s="949"/>
      <c r="P154" s="949"/>
      <c r="Q154" s="86"/>
      <c r="R154" s="949"/>
      <c r="S154" s="949"/>
      <c r="T154" s="949"/>
      <c r="U154" s="1013"/>
    </row>
    <row r="155" spans="1:21">
      <c r="A155" s="65"/>
      <c r="B155" s="65"/>
      <c r="C155" s="65"/>
      <c r="D155" s="65"/>
      <c r="E155" s="390"/>
      <c r="F155" s="949"/>
      <c r="G155" s="65"/>
      <c r="H155" s="65"/>
      <c r="I155" s="1013"/>
      <c r="J155" s="65"/>
      <c r="K155" s="65"/>
      <c r="L155" s="65"/>
      <c r="M155" s="949"/>
      <c r="N155" s="94"/>
      <c r="O155" s="949"/>
      <c r="P155" s="949"/>
      <c r="Q155" s="86"/>
      <c r="R155" s="949"/>
      <c r="S155" s="949"/>
      <c r="T155" s="949"/>
      <c r="U155" s="1013"/>
    </row>
    <row r="156" spans="1:21">
      <c r="A156" s="65"/>
      <c r="B156" s="65"/>
      <c r="C156" s="65"/>
      <c r="D156" s="65"/>
      <c r="E156" s="390"/>
      <c r="F156" s="949"/>
      <c r="G156" s="65"/>
      <c r="H156" s="65"/>
      <c r="I156" s="1013"/>
      <c r="J156" s="65"/>
      <c r="K156" s="65"/>
      <c r="L156" s="65"/>
      <c r="M156" s="949"/>
      <c r="N156" s="94"/>
      <c r="O156" s="949"/>
      <c r="P156" s="949"/>
      <c r="Q156" s="86"/>
      <c r="R156" s="949"/>
      <c r="S156" s="949"/>
      <c r="T156" s="949"/>
      <c r="U156" s="1013"/>
    </row>
    <row r="157" spans="1:21">
      <c r="A157" s="65"/>
      <c r="B157" s="65"/>
      <c r="C157" s="65"/>
      <c r="D157" s="65"/>
      <c r="E157" s="390"/>
      <c r="F157" s="949"/>
      <c r="G157" s="65"/>
      <c r="H157" s="65"/>
      <c r="I157" s="1013"/>
      <c r="J157" s="65"/>
      <c r="K157" s="65"/>
      <c r="L157" s="65"/>
      <c r="M157" s="949"/>
      <c r="N157" s="94"/>
      <c r="O157" s="949"/>
      <c r="P157" s="949"/>
      <c r="Q157" s="86"/>
      <c r="R157" s="949"/>
      <c r="S157" s="949"/>
      <c r="T157" s="949"/>
      <c r="U157" s="1013"/>
    </row>
    <row r="158" spans="1:21">
      <c r="A158" s="65"/>
      <c r="B158" s="65"/>
      <c r="C158" s="65"/>
      <c r="D158" s="65"/>
      <c r="E158" s="390"/>
      <c r="F158" s="949"/>
      <c r="G158" s="65"/>
      <c r="H158" s="65"/>
      <c r="I158" s="1013"/>
      <c r="J158" s="65"/>
      <c r="K158" s="65"/>
      <c r="L158" s="65"/>
      <c r="M158" s="949"/>
      <c r="N158" s="94"/>
      <c r="O158" s="949"/>
      <c r="P158" s="949"/>
      <c r="Q158" s="86"/>
      <c r="R158" s="949"/>
      <c r="S158" s="949"/>
      <c r="T158" s="949"/>
      <c r="U158" s="1013"/>
    </row>
    <row r="159" spans="1:21">
      <c r="A159" s="65"/>
      <c r="B159" s="65"/>
      <c r="C159" s="65"/>
      <c r="D159" s="65"/>
      <c r="E159" s="390"/>
      <c r="F159" s="949"/>
      <c r="G159" s="65"/>
      <c r="H159" s="65"/>
      <c r="I159" s="1013"/>
      <c r="J159" s="65"/>
      <c r="K159" s="65"/>
      <c r="L159" s="65"/>
      <c r="M159" s="949"/>
      <c r="N159" s="94"/>
      <c r="O159" s="949"/>
      <c r="P159" s="949"/>
      <c r="Q159" s="86"/>
      <c r="R159" s="949"/>
      <c r="S159" s="949"/>
      <c r="T159" s="949"/>
      <c r="U159" s="1013"/>
    </row>
    <row r="160" spans="1:21">
      <c r="A160" s="65"/>
      <c r="B160" s="65"/>
      <c r="C160" s="65"/>
      <c r="D160" s="65"/>
      <c r="E160" s="390"/>
      <c r="F160" s="949"/>
      <c r="G160" s="65"/>
      <c r="H160" s="65"/>
      <c r="I160" s="1013"/>
      <c r="J160" s="65"/>
      <c r="K160" s="65"/>
      <c r="L160" s="65"/>
      <c r="M160" s="949"/>
      <c r="N160" s="94"/>
      <c r="O160" s="949"/>
      <c r="P160" s="949"/>
      <c r="Q160" s="86"/>
      <c r="R160" s="949"/>
      <c r="S160" s="949"/>
      <c r="T160" s="949"/>
      <c r="U160" s="1013"/>
    </row>
    <row r="161" spans="1:21">
      <c r="A161" s="65"/>
      <c r="B161" s="65"/>
      <c r="C161" s="65"/>
      <c r="D161" s="65"/>
      <c r="E161" s="390"/>
      <c r="F161" s="949"/>
      <c r="G161" s="65"/>
      <c r="H161" s="65"/>
      <c r="I161" s="1013"/>
      <c r="J161" s="65"/>
      <c r="K161" s="65"/>
      <c r="L161" s="65"/>
      <c r="M161" s="949"/>
      <c r="N161" s="94"/>
      <c r="O161" s="949"/>
      <c r="P161" s="949"/>
      <c r="Q161" s="86"/>
      <c r="R161" s="949"/>
      <c r="S161" s="949"/>
      <c r="T161" s="949"/>
      <c r="U161" s="1013"/>
    </row>
    <row r="162" spans="1:21">
      <c r="A162" s="65"/>
      <c r="B162" s="65"/>
      <c r="C162" s="65"/>
      <c r="D162" s="65"/>
      <c r="E162" s="390"/>
      <c r="F162" s="949"/>
      <c r="G162" s="65"/>
      <c r="H162" s="65"/>
      <c r="I162" s="1013"/>
      <c r="J162" s="65"/>
      <c r="K162" s="65"/>
      <c r="L162" s="65"/>
      <c r="M162" s="949"/>
      <c r="N162" s="94"/>
      <c r="O162" s="949"/>
      <c r="P162" s="949"/>
      <c r="Q162" s="86"/>
      <c r="R162" s="949"/>
      <c r="S162" s="949"/>
      <c r="T162" s="949"/>
      <c r="U162" s="1013"/>
    </row>
    <row r="163" spans="1:21">
      <c r="A163" s="65"/>
      <c r="B163" s="65"/>
      <c r="C163" s="65"/>
      <c r="D163" s="65"/>
      <c r="E163" s="390"/>
      <c r="F163" s="949"/>
      <c r="G163" s="65"/>
      <c r="H163" s="65"/>
      <c r="I163" s="1013"/>
      <c r="J163" s="65"/>
      <c r="K163" s="65"/>
      <c r="L163" s="65"/>
      <c r="M163" s="949"/>
      <c r="N163" s="94"/>
      <c r="O163" s="949"/>
      <c r="P163" s="949"/>
      <c r="Q163" s="86"/>
      <c r="R163" s="949"/>
      <c r="S163" s="949"/>
      <c r="T163" s="949"/>
      <c r="U163" s="1013"/>
    </row>
    <row r="164" spans="1:21">
      <c r="A164" s="65"/>
      <c r="B164" s="65"/>
      <c r="C164" s="65"/>
      <c r="D164" s="65"/>
      <c r="E164" s="390"/>
      <c r="F164" s="949"/>
      <c r="G164" s="65"/>
      <c r="H164" s="65"/>
      <c r="I164" s="1013"/>
      <c r="J164" s="65"/>
      <c r="K164" s="65"/>
      <c r="L164" s="65"/>
      <c r="M164" s="949"/>
      <c r="N164" s="94"/>
      <c r="O164" s="949"/>
      <c r="P164" s="949"/>
      <c r="Q164" s="86"/>
      <c r="R164" s="949"/>
      <c r="S164" s="949"/>
      <c r="T164" s="949"/>
      <c r="U164" s="1013"/>
    </row>
    <row r="165" spans="1:21">
      <c r="A165" s="65"/>
      <c r="B165" s="65"/>
      <c r="C165" s="65"/>
      <c r="D165" s="65"/>
      <c r="E165" s="390"/>
      <c r="F165" s="949"/>
      <c r="G165" s="65"/>
      <c r="H165" s="65"/>
      <c r="I165" s="1013"/>
      <c r="J165" s="65"/>
      <c r="K165" s="65"/>
      <c r="L165" s="65"/>
      <c r="M165" s="949"/>
      <c r="N165" s="94"/>
      <c r="O165" s="949"/>
      <c r="P165" s="949"/>
      <c r="Q165" s="86"/>
      <c r="R165" s="949"/>
      <c r="S165" s="949"/>
      <c r="T165" s="949"/>
      <c r="U165" s="1013"/>
    </row>
    <row r="166" spans="1:21">
      <c r="A166" s="65"/>
      <c r="B166" s="65"/>
      <c r="C166" s="65"/>
      <c r="D166" s="65"/>
      <c r="E166" s="390"/>
      <c r="F166" s="949"/>
      <c r="G166" s="65"/>
      <c r="H166" s="65"/>
      <c r="I166" s="1013"/>
      <c r="J166" s="65"/>
      <c r="K166" s="65"/>
      <c r="L166" s="65"/>
      <c r="M166" s="949"/>
      <c r="N166" s="94"/>
      <c r="O166" s="949"/>
      <c r="P166" s="949"/>
      <c r="Q166" s="86"/>
      <c r="R166" s="949"/>
      <c r="S166" s="949"/>
      <c r="T166" s="949"/>
      <c r="U166" s="1013"/>
    </row>
    <row r="167" spans="1:21">
      <c r="A167" s="65"/>
      <c r="B167" s="65"/>
      <c r="C167" s="65"/>
      <c r="D167" s="65"/>
      <c r="E167" s="390"/>
      <c r="F167" s="949"/>
      <c r="G167" s="65"/>
      <c r="H167" s="65"/>
      <c r="I167" s="1013"/>
      <c r="J167" s="65"/>
      <c r="K167" s="65"/>
      <c r="L167" s="65"/>
      <c r="M167" s="949"/>
      <c r="N167" s="94"/>
      <c r="O167" s="949"/>
      <c r="P167" s="949"/>
      <c r="Q167" s="86"/>
      <c r="R167" s="949"/>
      <c r="S167" s="949"/>
      <c r="T167" s="949"/>
      <c r="U167" s="1013"/>
    </row>
    <row r="168" spans="1:21">
      <c r="A168" s="65"/>
      <c r="B168" s="65"/>
      <c r="C168" s="65"/>
      <c r="D168" s="65"/>
      <c r="E168" s="390"/>
      <c r="F168" s="949"/>
      <c r="G168" s="65"/>
      <c r="H168" s="65"/>
      <c r="I168" s="1013"/>
      <c r="J168" s="65"/>
      <c r="K168" s="65"/>
      <c r="L168" s="65"/>
      <c r="M168" s="949"/>
      <c r="N168" s="94"/>
      <c r="O168" s="949"/>
      <c r="P168" s="949"/>
      <c r="Q168" s="86"/>
      <c r="R168" s="949"/>
      <c r="S168" s="949"/>
      <c r="T168" s="949"/>
      <c r="U168" s="1013"/>
    </row>
    <row r="169" spans="1:21">
      <c r="A169" s="65"/>
      <c r="B169" s="65"/>
      <c r="C169" s="65"/>
      <c r="D169" s="65"/>
      <c r="E169" s="390"/>
      <c r="F169" s="949"/>
      <c r="G169" s="65"/>
      <c r="H169" s="65"/>
      <c r="I169" s="1013"/>
      <c r="J169" s="65"/>
      <c r="K169" s="65"/>
      <c r="L169" s="65"/>
      <c r="M169" s="949"/>
      <c r="N169" s="94"/>
      <c r="O169" s="949"/>
      <c r="P169" s="949"/>
      <c r="Q169" s="86"/>
      <c r="R169" s="949"/>
      <c r="S169" s="949"/>
      <c r="T169" s="949"/>
      <c r="U169" s="1013"/>
    </row>
    <row r="170" spans="1:21">
      <c r="A170" s="65"/>
      <c r="B170" s="65"/>
      <c r="C170" s="65"/>
      <c r="D170" s="65"/>
      <c r="E170" s="390"/>
      <c r="F170" s="949"/>
      <c r="G170" s="65"/>
      <c r="H170" s="65"/>
      <c r="I170" s="1013"/>
      <c r="J170" s="65"/>
      <c r="K170" s="65"/>
      <c r="L170" s="65"/>
      <c r="M170" s="949"/>
      <c r="N170" s="94"/>
      <c r="O170" s="949"/>
      <c r="P170" s="949"/>
      <c r="Q170" s="86"/>
      <c r="R170" s="949"/>
      <c r="S170" s="949"/>
      <c r="T170" s="949"/>
      <c r="U170" s="1013"/>
    </row>
    <row r="171" spans="1:21">
      <c r="A171" s="65"/>
      <c r="B171" s="65"/>
      <c r="C171" s="65"/>
      <c r="D171" s="65"/>
      <c r="E171" s="390"/>
      <c r="F171" s="949"/>
      <c r="G171" s="65"/>
      <c r="H171" s="65"/>
      <c r="I171" s="1013"/>
      <c r="J171" s="65"/>
      <c r="K171" s="65"/>
      <c r="L171" s="65"/>
      <c r="M171" s="949"/>
      <c r="N171" s="94"/>
      <c r="O171" s="949"/>
      <c r="P171" s="949"/>
      <c r="Q171" s="86"/>
      <c r="R171" s="949"/>
      <c r="S171" s="949"/>
      <c r="T171" s="949"/>
      <c r="U171" s="1013"/>
    </row>
    <row r="172" spans="1:21">
      <c r="A172" s="65"/>
      <c r="B172" s="65"/>
      <c r="C172" s="65"/>
      <c r="D172" s="65"/>
      <c r="E172" s="390"/>
      <c r="F172" s="949"/>
      <c r="G172" s="65"/>
      <c r="H172" s="65"/>
      <c r="I172" s="1013"/>
      <c r="J172" s="65"/>
      <c r="K172" s="65"/>
      <c r="L172" s="65"/>
      <c r="M172" s="949"/>
      <c r="N172" s="94"/>
      <c r="O172" s="949"/>
      <c r="P172" s="949"/>
      <c r="Q172" s="86"/>
      <c r="R172" s="949"/>
      <c r="S172" s="949"/>
      <c r="T172" s="949"/>
      <c r="U172" s="1013"/>
    </row>
    <row r="173" spans="1:21">
      <c r="A173" s="65"/>
      <c r="B173" s="65"/>
      <c r="C173" s="65"/>
      <c r="D173" s="65"/>
      <c r="E173" s="390"/>
      <c r="F173" s="949"/>
      <c r="G173" s="65"/>
      <c r="H173" s="65"/>
      <c r="I173" s="1013"/>
      <c r="J173" s="65"/>
      <c r="K173" s="65"/>
      <c r="L173" s="65"/>
      <c r="M173" s="949"/>
      <c r="N173" s="94"/>
      <c r="O173" s="949"/>
      <c r="P173" s="949"/>
      <c r="Q173" s="86"/>
      <c r="R173" s="949"/>
      <c r="S173" s="949"/>
      <c r="T173" s="949"/>
      <c r="U173" s="1013"/>
    </row>
    <row r="174" spans="1:21">
      <c r="A174" s="65"/>
      <c r="B174" s="65"/>
      <c r="C174" s="65"/>
      <c r="D174" s="65"/>
      <c r="E174" s="390"/>
      <c r="F174" s="949"/>
      <c r="G174" s="65"/>
      <c r="H174" s="65"/>
      <c r="I174" s="1013"/>
      <c r="J174" s="65"/>
      <c r="K174" s="65"/>
      <c r="L174" s="65"/>
      <c r="M174" s="949"/>
      <c r="N174" s="94"/>
      <c r="O174" s="949"/>
      <c r="P174" s="949"/>
      <c r="Q174" s="86"/>
      <c r="R174" s="949"/>
      <c r="S174" s="949"/>
      <c r="T174" s="949"/>
      <c r="U174" s="1013"/>
    </row>
    <row r="175" spans="1:21">
      <c r="A175" s="65"/>
      <c r="B175" s="65"/>
      <c r="C175" s="65"/>
      <c r="D175" s="65"/>
      <c r="E175" s="390"/>
      <c r="F175" s="949"/>
      <c r="G175" s="65"/>
      <c r="H175" s="65"/>
      <c r="I175" s="1013"/>
      <c r="J175" s="65"/>
      <c r="K175" s="65"/>
      <c r="L175" s="65"/>
      <c r="M175" s="949"/>
      <c r="N175" s="94"/>
      <c r="O175" s="949"/>
      <c r="P175" s="949"/>
      <c r="Q175" s="86"/>
      <c r="R175" s="949"/>
      <c r="S175" s="949"/>
      <c r="T175" s="949"/>
      <c r="U175" s="1013"/>
    </row>
    <row r="176" spans="1:21">
      <c r="A176" s="65"/>
      <c r="B176" s="65"/>
      <c r="C176" s="65"/>
      <c r="D176" s="65"/>
      <c r="E176" s="390"/>
      <c r="F176" s="949"/>
      <c r="G176" s="65"/>
      <c r="H176" s="65"/>
      <c r="I176" s="1013"/>
      <c r="J176" s="65"/>
      <c r="K176" s="65"/>
      <c r="L176" s="65"/>
      <c r="M176" s="949"/>
      <c r="N176" s="94"/>
      <c r="O176" s="949"/>
      <c r="P176" s="949"/>
      <c r="Q176" s="86"/>
      <c r="R176" s="949"/>
      <c r="S176" s="949"/>
      <c r="T176" s="949"/>
      <c r="U176" s="1013"/>
    </row>
    <row r="177" spans="1:21">
      <c r="A177" s="65"/>
      <c r="B177" s="65"/>
      <c r="C177" s="65"/>
      <c r="D177" s="65"/>
      <c r="E177" s="390"/>
      <c r="F177" s="949"/>
      <c r="G177" s="65"/>
      <c r="H177" s="65"/>
      <c r="I177" s="1013"/>
      <c r="J177" s="65"/>
      <c r="K177" s="65"/>
      <c r="L177" s="65"/>
      <c r="M177" s="949"/>
      <c r="N177" s="94"/>
      <c r="O177" s="949"/>
      <c r="P177" s="949"/>
      <c r="Q177" s="86"/>
      <c r="R177" s="949"/>
      <c r="S177" s="949"/>
      <c r="T177" s="949"/>
      <c r="U177" s="1013"/>
    </row>
    <row r="178" spans="1:21">
      <c r="A178" s="65"/>
      <c r="B178" s="65"/>
      <c r="C178" s="65"/>
      <c r="D178" s="65"/>
      <c r="E178" s="390"/>
      <c r="F178" s="949"/>
      <c r="G178" s="65"/>
      <c r="H178" s="65"/>
      <c r="I178" s="1013"/>
      <c r="J178" s="65"/>
      <c r="K178" s="65"/>
      <c r="L178" s="65"/>
      <c r="M178" s="949"/>
      <c r="N178" s="94"/>
      <c r="O178" s="949"/>
      <c r="P178" s="949"/>
      <c r="Q178" s="86"/>
      <c r="R178" s="949"/>
      <c r="S178" s="949"/>
      <c r="T178" s="949"/>
      <c r="U178" s="1013"/>
    </row>
    <row r="179" spans="1:21">
      <c r="A179" s="65"/>
      <c r="B179" s="65"/>
      <c r="C179" s="65"/>
      <c r="D179" s="65"/>
      <c r="E179" s="390"/>
      <c r="F179" s="949"/>
      <c r="G179" s="65"/>
      <c r="H179" s="65"/>
      <c r="I179" s="1013"/>
      <c r="J179" s="65"/>
      <c r="K179" s="65"/>
      <c r="L179" s="65"/>
      <c r="M179" s="949"/>
      <c r="N179" s="94"/>
      <c r="O179" s="949"/>
      <c r="P179" s="949"/>
      <c r="Q179" s="86"/>
      <c r="R179" s="949"/>
      <c r="S179" s="949"/>
      <c r="T179" s="949"/>
      <c r="U179" s="1013"/>
    </row>
    <row r="180" spans="1:21">
      <c r="A180" s="65"/>
      <c r="B180" s="65"/>
      <c r="C180" s="65"/>
      <c r="D180" s="65"/>
      <c r="E180" s="390"/>
      <c r="F180" s="949"/>
      <c r="G180" s="65"/>
      <c r="H180" s="65"/>
      <c r="I180" s="1013"/>
      <c r="J180" s="65"/>
      <c r="K180" s="65"/>
      <c r="L180" s="65"/>
      <c r="M180" s="949"/>
      <c r="N180" s="94"/>
      <c r="O180" s="949"/>
      <c r="P180" s="949"/>
      <c r="Q180" s="86"/>
      <c r="R180" s="949"/>
      <c r="S180" s="949"/>
      <c r="T180" s="949"/>
      <c r="U180" s="1013"/>
    </row>
    <row r="181" spans="1:21">
      <c r="A181" s="65"/>
      <c r="B181" s="65"/>
      <c r="C181" s="65"/>
      <c r="D181" s="65"/>
      <c r="E181" s="390"/>
      <c r="F181" s="949"/>
      <c r="G181" s="65"/>
      <c r="H181" s="65"/>
      <c r="I181" s="1013"/>
      <c r="J181" s="65"/>
      <c r="K181" s="65"/>
      <c r="L181" s="65"/>
      <c r="M181" s="949"/>
      <c r="N181" s="94"/>
      <c r="O181" s="949"/>
      <c r="P181" s="949"/>
      <c r="Q181" s="86"/>
      <c r="R181" s="949"/>
      <c r="S181" s="949"/>
      <c r="T181" s="949"/>
      <c r="U181" s="1013"/>
    </row>
    <row r="182" spans="1:21">
      <c r="A182" s="65"/>
      <c r="B182" s="65"/>
      <c r="C182" s="65"/>
      <c r="D182" s="65"/>
      <c r="E182" s="390"/>
      <c r="F182" s="949"/>
      <c r="G182" s="65"/>
      <c r="H182" s="65"/>
      <c r="I182" s="1013"/>
      <c r="J182" s="65"/>
      <c r="K182" s="65"/>
      <c r="L182" s="65"/>
      <c r="M182" s="949"/>
      <c r="N182" s="94"/>
      <c r="O182" s="949"/>
      <c r="P182" s="949"/>
      <c r="Q182" s="86"/>
      <c r="R182" s="949"/>
      <c r="S182" s="949"/>
      <c r="T182" s="949"/>
      <c r="U182" s="1013"/>
    </row>
    <row r="183" spans="1:21">
      <c r="A183" s="65"/>
      <c r="B183" s="65"/>
      <c r="C183" s="65"/>
      <c r="D183" s="65"/>
      <c r="E183" s="390"/>
      <c r="F183" s="949"/>
      <c r="G183" s="65"/>
      <c r="H183" s="65"/>
      <c r="I183" s="1013"/>
      <c r="J183" s="65"/>
      <c r="K183" s="65"/>
      <c r="L183" s="65"/>
      <c r="M183" s="949"/>
      <c r="N183" s="94"/>
      <c r="O183" s="949"/>
      <c r="P183" s="949"/>
      <c r="Q183" s="86"/>
      <c r="R183" s="949"/>
      <c r="S183" s="949"/>
      <c r="T183" s="949"/>
      <c r="U183" s="1013"/>
    </row>
    <row r="184" spans="1:21">
      <c r="A184" s="65"/>
      <c r="B184" s="65"/>
      <c r="C184" s="65"/>
      <c r="D184" s="65"/>
      <c r="E184" s="390"/>
      <c r="F184" s="949"/>
      <c r="G184" s="65"/>
      <c r="H184" s="65"/>
      <c r="I184" s="1013"/>
      <c r="J184" s="65"/>
      <c r="K184" s="65"/>
      <c r="L184" s="65"/>
      <c r="M184" s="949"/>
      <c r="N184" s="94"/>
      <c r="O184" s="949"/>
      <c r="P184" s="949"/>
      <c r="Q184" s="86"/>
      <c r="R184" s="949"/>
      <c r="S184" s="949"/>
      <c r="T184" s="949"/>
      <c r="U184" s="1013"/>
    </row>
    <row r="185" spans="1:21">
      <c r="A185" s="65"/>
      <c r="B185" s="65"/>
      <c r="C185" s="65"/>
      <c r="D185" s="65"/>
      <c r="E185" s="390"/>
      <c r="F185" s="949"/>
      <c r="G185" s="65"/>
      <c r="H185" s="65"/>
      <c r="I185" s="1013"/>
      <c r="J185" s="65"/>
      <c r="K185" s="65"/>
      <c r="L185" s="65"/>
      <c r="M185" s="949"/>
      <c r="N185" s="94"/>
      <c r="O185" s="949"/>
      <c r="P185" s="949"/>
      <c r="Q185" s="86"/>
      <c r="R185" s="949"/>
      <c r="S185" s="949"/>
      <c r="T185" s="949"/>
      <c r="U185" s="1013"/>
    </row>
    <row r="186" spans="1:21">
      <c r="A186" s="65"/>
      <c r="B186" s="65"/>
      <c r="C186" s="65"/>
      <c r="D186" s="65"/>
      <c r="E186" s="390"/>
      <c r="F186" s="949"/>
      <c r="G186" s="65"/>
      <c r="H186" s="65"/>
      <c r="I186" s="1013"/>
      <c r="J186" s="65"/>
      <c r="K186" s="65"/>
      <c r="L186" s="65"/>
      <c r="M186" s="949"/>
      <c r="N186" s="94"/>
      <c r="O186" s="949"/>
      <c r="P186" s="949"/>
      <c r="Q186" s="86"/>
      <c r="R186" s="949"/>
      <c r="S186" s="949"/>
      <c r="T186" s="949"/>
      <c r="U186" s="1013"/>
    </row>
    <row r="187" spans="1:21">
      <c r="A187" s="65"/>
      <c r="B187" s="65"/>
      <c r="C187" s="65"/>
      <c r="D187" s="65"/>
      <c r="E187" s="390"/>
      <c r="F187" s="949"/>
      <c r="G187" s="65"/>
      <c r="H187" s="65"/>
      <c r="I187" s="1013"/>
      <c r="J187" s="65"/>
      <c r="K187" s="65"/>
      <c r="L187" s="65"/>
      <c r="M187" s="949"/>
      <c r="N187" s="94"/>
      <c r="O187" s="949"/>
      <c r="P187" s="949"/>
      <c r="Q187" s="86"/>
      <c r="R187" s="949"/>
      <c r="S187" s="949"/>
      <c r="T187" s="949"/>
      <c r="U187" s="1013"/>
    </row>
    <row r="188" spans="1:21">
      <c r="A188" s="65"/>
      <c r="B188" s="65"/>
      <c r="C188" s="65"/>
      <c r="D188" s="65"/>
      <c r="E188" s="390"/>
      <c r="F188" s="949"/>
      <c r="G188" s="65"/>
      <c r="H188" s="65"/>
      <c r="I188" s="1013"/>
      <c r="J188" s="65"/>
      <c r="K188" s="65"/>
      <c r="L188" s="65"/>
      <c r="M188" s="949"/>
      <c r="N188" s="94"/>
      <c r="O188" s="949"/>
      <c r="P188" s="949"/>
      <c r="Q188" s="86"/>
      <c r="R188" s="949"/>
      <c r="S188" s="949"/>
      <c r="T188" s="949"/>
      <c r="U188" s="1013"/>
    </row>
    <row r="189" spans="1:21">
      <c r="A189" s="65"/>
      <c r="B189" s="65"/>
      <c r="C189" s="65"/>
      <c r="D189" s="65"/>
      <c r="E189" s="390"/>
      <c r="F189" s="949"/>
      <c r="G189" s="65"/>
      <c r="H189" s="65"/>
      <c r="I189" s="1013"/>
      <c r="J189" s="65"/>
      <c r="K189" s="65"/>
      <c r="L189" s="65"/>
      <c r="M189" s="949"/>
      <c r="N189" s="94"/>
      <c r="O189" s="949"/>
      <c r="P189" s="949"/>
      <c r="Q189" s="86"/>
      <c r="R189" s="949"/>
      <c r="S189" s="949"/>
      <c r="T189" s="949"/>
      <c r="U189" s="1013"/>
    </row>
    <row r="190" spans="1:21">
      <c r="A190" s="65"/>
      <c r="B190" s="65"/>
      <c r="C190" s="65"/>
      <c r="D190" s="65"/>
      <c r="E190" s="390"/>
      <c r="F190" s="949"/>
      <c r="G190" s="65"/>
      <c r="H190" s="65"/>
      <c r="I190" s="1013"/>
      <c r="J190" s="65"/>
      <c r="K190" s="65"/>
      <c r="L190" s="65"/>
      <c r="M190" s="949"/>
      <c r="N190" s="94"/>
      <c r="O190" s="949"/>
      <c r="P190" s="949"/>
      <c r="Q190" s="86"/>
      <c r="R190" s="949"/>
      <c r="S190" s="949"/>
      <c r="T190" s="949"/>
      <c r="U190" s="1013"/>
    </row>
    <row r="191" spans="1:21">
      <c r="A191" s="65"/>
      <c r="B191" s="65"/>
      <c r="C191" s="65"/>
      <c r="D191" s="65"/>
      <c r="E191" s="390"/>
      <c r="F191" s="949"/>
      <c r="G191" s="65"/>
      <c r="H191" s="65"/>
      <c r="I191" s="1013"/>
      <c r="J191" s="65"/>
      <c r="K191" s="65"/>
      <c r="L191" s="65"/>
      <c r="M191" s="949"/>
      <c r="N191" s="94"/>
      <c r="O191" s="949"/>
      <c r="P191" s="949"/>
      <c r="Q191" s="86"/>
      <c r="R191" s="949"/>
      <c r="S191" s="949"/>
      <c r="T191" s="949"/>
      <c r="U191" s="1013"/>
    </row>
    <row r="192" spans="1:21">
      <c r="A192" s="65"/>
      <c r="B192" s="65"/>
      <c r="C192" s="65"/>
      <c r="D192" s="65"/>
      <c r="E192" s="390"/>
      <c r="F192" s="949"/>
      <c r="G192" s="65"/>
      <c r="H192" s="65"/>
      <c r="I192" s="1013"/>
      <c r="J192" s="65"/>
      <c r="K192" s="65"/>
      <c r="L192" s="65"/>
      <c r="M192" s="949"/>
      <c r="N192" s="94"/>
      <c r="O192" s="949"/>
      <c r="P192" s="949"/>
      <c r="Q192" s="86"/>
      <c r="R192" s="949"/>
      <c r="S192" s="949"/>
      <c r="T192" s="949"/>
      <c r="U192" s="1013"/>
    </row>
    <row r="193" spans="1:21">
      <c r="A193" s="65"/>
      <c r="B193" s="65"/>
      <c r="C193" s="65"/>
      <c r="D193" s="65"/>
      <c r="E193" s="390"/>
      <c r="F193" s="949"/>
      <c r="G193" s="65"/>
      <c r="H193" s="65"/>
      <c r="I193" s="1013"/>
      <c r="J193" s="65"/>
      <c r="K193" s="65"/>
      <c r="L193" s="65"/>
      <c r="M193" s="949"/>
      <c r="N193" s="94"/>
      <c r="O193" s="949"/>
      <c r="P193" s="949"/>
      <c r="Q193" s="86"/>
      <c r="R193" s="949"/>
      <c r="S193" s="949"/>
      <c r="T193" s="949"/>
      <c r="U193" s="1013"/>
    </row>
    <row r="194" spans="1:21">
      <c r="A194" s="65"/>
      <c r="B194" s="65"/>
      <c r="C194" s="65"/>
      <c r="D194" s="65"/>
      <c r="E194" s="390"/>
      <c r="F194" s="949"/>
      <c r="G194" s="65"/>
      <c r="H194" s="65"/>
      <c r="I194" s="1013"/>
      <c r="J194" s="65"/>
      <c r="K194" s="65"/>
      <c r="L194" s="65"/>
      <c r="M194" s="949"/>
      <c r="N194" s="94"/>
      <c r="O194" s="949"/>
      <c r="P194" s="949"/>
      <c r="Q194" s="86"/>
      <c r="R194" s="949"/>
      <c r="S194" s="949"/>
      <c r="T194" s="949"/>
      <c r="U194" s="1013"/>
    </row>
    <row r="195" spans="1:21">
      <c r="A195" s="65"/>
      <c r="B195" s="65"/>
      <c r="C195" s="65"/>
      <c r="D195" s="65"/>
      <c r="E195" s="390"/>
      <c r="F195" s="949"/>
      <c r="G195" s="65"/>
      <c r="H195" s="65"/>
      <c r="I195" s="1013"/>
      <c r="J195" s="65"/>
      <c r="K195" s="65"/>
      <c r="L195" s="65"/>
      <c r="M195" s="949"/>
      <c r="N195" s="94"/>
      <c r="O195" s="949"/>
      <c r="P195" s="949"/>
      <c r="Q195" s="86"/>
      <c r="R195" s="949"/>
      <c r="S195" s="949"/>
      <c r="T195" s="949"/>
      <c r="U195" s="1013"/>
    </row>
    <row r="196" spans="1:21">
      <c r="A196" s="65"/>
      <c r="B196" s="65"/>
      <c r="C196" s="65"/>
      <c r="D196" s="65"/>
      <c r="E196" s="390"/>
      <c r="F196" s="949"/>
      <c r="G196" s="65"/>
      <c r="H196" s="65"/>
      <c r="I196" s="1013"/>
      <c r="J196" s="65"/>
      <c r="K196" s="65"/>
      <c r="L196" s="65"/>
      <c r="M196" s="949"/>
      <c r="N196" s="94"/>
      <c r="O196" s="949"/>
      <c r="P196" s="949"/>
      <c r="Q196" s="86"/>
      <c r="R196" s="949"/>
      <c r="S196" s="949"/>
      <c r="T196" s="949"/>
      <c r="U196" s="1013"/>
    </row>
    <row r="197" spans="1:21">
      <c r="A197" s="65"/>
      <c r="B197" s="65"/>
      <c r="C197" s="65"/>
      <c r="D197" s="65"/>
      <c r="E197" s="390"/>
      <c r="F197" s="949"/>
      <c r="G197" s="65"/>
      <c r="H197" s="65"/>
      <c r="I197" s="1013"/>
      <c r="J197" s="65"/>
      <c r="K197" s="65"/>
      <c r="L197" s="65"/>
      <c r="M197" s="949"/>
      <c r="N197" s="94"/>
      <c r="O197" s="949"/>
      <c r="P197" s="949"/>
      <c r="Q197" s="86"/>
      <c r="R197" s="949"/>
      <c r="S197" s="949"/>
      <c r="T197" s="949"/>
      <c r="U197" s="1013"/>
    </row>
    <row r="198" spans="1:21">
      <c r="A198" s="65"/>
      <c r="B198" s="65"/>
      <c r="C198" s="65"/>
      <c r="D198" s="65"/>
      <c r="E198" s="390"/>
      <c r="F198" s="949"/>
      <c r="G198" s="65"/>
      <c r="H198" s="65"/>
      <c r="I198" s="1013"/>
      <c r="J198" s="65"/>
      <c r="K198" s="65"/>
      <c r="L198" s="65"/>
      <c r="M198" s="949"/>
      <c r="N198" s="94"/>
      <c r="O198" s="949"/>
      <c r="P198" s="949"/>
      <c r="Q198" s="86"/>
      <c r="R198" s="949"/>
      <c r="S198" s="949"/>
      <c r="T198" s="949"/>
      <c r="U198" s="1013"/>
    </row>
    <row r="199" spans="1:21">
      <c r="A199" s="65"/>
      <c r="B199" s="65"/>
      <c r="C199" s="65"/>
      <c r="D199" s="65"/>
      <c r="E199" s="390"/>
      <c r="F199" s="949"/>
      <c r="G199" s="65"/>
      <c r="H199" s="65"/>
      <c r="I199" s="1013"/>
      <c r="J199" s="65"/>
      <c r="K199" s="65"/>
      <c r="L199" s="65"/>
      <c r="M199" s="949"/>
      <c r="N199" s="94"/>
      <c r="O199" s="949"/>
      <c r="P199" s="949"/>
      <c r="Q199" s="86"/>
      <c r="R199" s="949"/>
      <c r="S199" s="949"/>
      <c r="T199" s="949"/>
      <c r="U199" s="1013"/>
    </row>
    <row r="200" spans="1:21">
      <c r="A200" s="65"/>
      <c r="B200" s="65"/>
      <c r="C200" s="65"/>
      <c r="D200" s="65"/>
      <c r="E200" s="390"/>
      <c r="F200" s="949"/>
      <c r="G200" s="65"/>
      <c r="H200" s="65"/>
      <c r="I200" s="1013"/>
      <c r="J200" s="65"/>
      <c r="K200" s="65"/>
      <c r="L200" s="65"/>
      <c r="M200" s="949"/>
      <c r="N200" s="94"/>
      <c r="O200" s="949"/>
      <c r="P200" s="949"/>
      <c r="Q200" s="86"/>
      <c r="R200" s="949"/>
      <c r="S200" s="949"/>
      <c r="T200" s="949"/>
      <c r="U200" s="1013"/>
    </row>
    <row r="201" spans="1:21">
      <c r="A201" s="65"/>
      <c r="B201" s="65"/>
      <c r="C201" s="65"/>
      <c r="D201" s="65"/>
      <c r="E201" s="390"/>
      <c r="F201" s="949"/>
      <c r="G201" s="65"/>
      <c r="H201" s="65"/>
      <c r="I201" s="1013"/>
      <c r="J201" s="65"/>
      <c r="K201" s="65"/>
      <c r="L201" s="65"/>
      <c r="M201" s="949"/>
      <c r="N201" s="94"/>
      <c r="O201" s="949"/>
      <c r="P201" s="949"/>
      <c r="Q201" s="86"/>
      <c r="R201" s="949"/>
      <c r="S201" s="949"/>
      <c r="T201" s="949"/>
      <c r="U201" s="1013"/>
    </row>
    <row r="202" spans="1:21">
      <c r="A202" s="65"/>
      <c r="B202" s="65"/>
      <c r="C202" s="65"/>
      <c r="D202" s="65"/>
      <c r="E202" s="390"/>
      <c r="F202" s="949"/>
      <c r="G202" s="65"/>
      <c r="H202" s="65"/>
      <c r="I202" s="1013"/>
      <c r="J202" s="65"/>
      <c r="K202" s="65"/>
      <c r="L202" s="65"/>
      <c r="M202" s="949"/>
      <c r="N202" s="94"/>
      <c r="O202" s="949"/>
      <c r="P202" s="949"/>
      <c r="Q202" s="86"/>
      <c r="R202" s="949"/>
      <c r="S202" s="949"/>
      <c r="T202" s="949"/>
      <c r="U202" s="1013"/>
    </row>
    <row r="203" spans="1:21">
      <c r="A203" s="65"/>
      <c r="B203" s="65"/>
      <c r="C203" s="65"/>
      <c r="D203" s="65"/>
      <c r="E203" s="390"/>
      <c r="F203" s="949"/>
      <c r="G203" s="65"/>
      <c r="H203" s="65"/>
      <c r="I203" s="1013"/>
      <c r="J203" s="65"/>
      <c r="K203" s="65"/>
      <c r="L203" s="65"/>
      <c r="M203" s="949"/>
      <c r="N203" s="94"/>
      <c r="O203" s="949"/>
      <c r="P203" s="949"/>
      <c r="Q203" s="86"/>
      <c r="R203" s="949"/>
      <c r="S203" s="949"/>
      <c r="T203" s="949"/>
      <c r="U203" s="1013"/>
    </row>
    <row r="204" spans="1:21">
      <c r="A204" s="65"/>
      <c r="B204" s="65"/>
      <c r="C204" s="65"/>
      <c r="D204" s="65"/>
      <c r="E204" s="390"/>
      <c r="F204" s="949"/>
      <c r="G204" s="65"/>
      <c r="H204" s="65"/>
      <c r="I204" s="1013"/>
      <c r="J204" s="65"/>
      <c r="K204" s="65"/>
      <c r="L204" s="65"/>
      <c r="M204" s="949"/>
      <c r="N204" s="94"/>
      <c r="O204" s="949"/>
      <c r="P204" s="949"/>
      <c r="Q204" s="86"/>
      <c r="R204" s="949"/>
      <c r="S204" s="949"/>
      <c r="T204" s="949"/>
      <c r="U204" s="1013"/>
    </row>
    <row r="205" spans="1:21">
      <c r="A205" s="65"/>
      <c r="B205" s="65"/>
      <c r="C205" s="65"/>
      <c r="D205" s="65"/>
      <c r="E205" s="390"/>
      <c r="F205" s="949"/>
      <c r="G205" s="65"/>
      <c r="H205" s="65"/>
      <c r="I205" s="1013"/>
      <c r="J205" s="65"/>
      <c r="K205" s="65"/>
      <c r="L205" s="65"/>
      <c r="M205" s="949"/>
      <c r="N205" s="94"/>
      <c r="O205" s="949"/>
      <c r="P205" s="949"/>
      <c r="Q205" s="86"/>
      <c r="R205" s="949"/>
      <c r="S205" s="949"/>
      <c r="T205" s="949"/>
      <c r="U205" s="1013"/>
    </row>
    <row r="206" spans="1:21">
      <c r="A206" s="65"/>
      <c r="B206" s="65"/>
      <c r="C206" s="65"/>
      <c r="D206" s="65"/>
      <c r="E206" s="390"/>
      <c r="F206" s="949"/>
      <c r="G206" s="65"/>
      <c r="H206" s="65"/>
      <c r="I206" s="1013"/>
      <c r="J206" s="65"/>
      <c r="K206" s="65"/>
      <c r="L206" s="65"/>
      <c r="M206" s="949"/>
      <c r="N206" s="94"/>
      <c r="O206" s="949"/>
      <c r="P206" s="949"/>
      <c r="Q206" s="86"/>
      <c r="R206" s="949"/>
      <c r="S206" s="949"/>
      <c r="T206" s="949"/>
      <c r="U206" s="1013"/>
    </row>
    <row r="207" spans="1:21">
      <c r="A207" s="65"/>
      <c r="B207" s="65"/>
      <c r="C207" s="65"/>
      <c r="D207" s="65"/>
      <c r="E207" s="390"/>
      <c r="F207" s="949"/>
      <c r="G207" s="65"/>
      <c r="H207" s="65"/>
      <c r="I207" s="1013"/>
      <c r="J207" s="65"/>
      <c r="K207" s="65"/>
      <c r="L207" s="65"/>
      <c r="M207" s="949"/>
      <c r="N207" s="94"/>
      <c r="O207" s="949"/>
      <c r="P207" s="949"/>
      <c r="Q207" s="86"/>
      <c r="R207" s="949"/>
      <c r="S207" s="949"/>
      <c r="T207" s="949"/>
      <c r="U207" s="1013"/>
    </row>
    <row r="208" spans="1:21">
      <c r="A208" s="65"/>
      <c r="B208" s="65"/>
      <c r="C208" s="65"/>
      <c r="D208" s="65"/>
      <c r="E208" s="390"/>
      <c r="F208" s="949"/>
      <c r="G208" s="65"/>
      <c r="H208" s="65"/>
      <c r="I208" s="1013"/>
      <c r="J208" s="65"/>
      <c r="K208" s="65"/>
      <c r="L208" s="65"/>
      <c r="M208" s="949"/>
      <c r="N208" s="94"/>
      <c r="O208" s="949"/>
      <c r="P208" s="949"/>
      <c r="Q208" s="86"/>
      <c r="R208" s="949"/>
      <c r="S208" s="949"/>
      <c r="T208" s="949"/>
      <c r="U208" s="1013"/>
    </row>
    <row r="209" spans="1:21">
      <c r="A209" s="65"/>
      <c r="B209" s="65"/>
      <c r="C209" s="65"/>
      <c r="D209" s="65"/>
      <c r="E209" s="390"/>
      <c r="F209" s="949"/>
      <c r="G209" s="65"/>
      <c r="H209" s="65"/>
      <c r="I209" s="1013"/>
      <c r="J209" s="65"/>
      <c r="K209" s="65"/>
      <c r="L209" s="65"/>
      <c r="M209" s="949"/>
      <c r="N209" s="94"/>
      <c r="O209" s="949"/>
      <c r="P209" s="949"/>
      <c r="Q209" s="86"/>
      <c r="R209" s="949"/>
      <c r="S209" s="949"/>
      <c r="T209" s="949"/>
      <c r="U209" s="1013"/>
    </row>
    <row r="210" spans="1:21">
      <c r="A210" s="65"/>
      <c r="B210" s="65"/>
      <c r="C210" s="65"/>
      <c r="D210" s="65"/>
      <c r="E210" s="390"/>
      <c r="F210" s="949"/>
      <c r="G210" s="65"/>
      <c r="H210" s="65"/>
      <c r="I210" s="1013"/>
      <c r="J210" s="65"/>
      <c r="K210" s="65"/>
      <c r="L210" s="65"/>
      <c r="M210" s="949"/>
      <c r="N210" s="94"/>
      <c r="O210" s="949"/>
      <c r="P210" s="949"/>
      <c r="Q210" s="86"/>
      <c r="R210" s="949"/>
      <c r="S210" s="949"/>
      <c r="T210" s="949"/>
      <c r="U210" s="1013"/>
    </row>
    <row r="211" spans="1:21">
      <c r="A211" s="65"/>
      <c r="B211" s="65"/>
      <c r="C211" s="65"/>
      <c r="D211" s="65"/>
      <c r="E211" s="390"/>
      <c r="F211" s="949"/>
      <c r="G211" s="65"/>
      <c r="H211" s="65"/>
      <c r="I211" s="1013"/>
      <c r="J211" s="65"/>
      <c r="K211" s="65"/>
      <c r="L211" s="65"/>
      <c r="M211" s="949"/>
      <c r="N211" s="94"/>
      <c r="O211" s="949"/>
      <c r="P211" s="949"/>
      <c r="Q211" s="86"/>
      <c r="R211" s="949"/>
      <c r="S211" s="949"/>
      <c r="T211" s="949"/>
      <c r="U211" s="1013"/>
    </row>
    <row r="212" spans="1:21">
      <c r="A212" s="65"/>
      <c r="B212" s="65"/>
      <c r="C212" s="65"/>
      <c r="D212" s="65"/>
      <c r="E212" s="390"/>
      <c r="F212" s="949"/>
      <c r="G212" s="65"/>
      <c r="H212" s="65"/>
      <c r="I212" s="1013"/>
      <c r="J212" s="65"/>
      <c r="K212" s="65"/>
      <c r="L212" s="65"/>
      <c r="M212" s="949"/>
      <c r="N212" s="94"/>
      <c r="O212" s="949"/>
      <c r="P212" s="949"/>
      <c r="Q212" s="86"/>
      <c r="R212" s="949"/>
      <c r="S212" s="949"/>
      <c r="T212" s="949"/>
      <c r="U212" s="1013"/>
    </row>
    <row r="213" spans="1:21">
      <c r="A213" s="65"/>
      <c r="B213" s="65"/>
      <c r="C213" s="65"/>
      <c r="D213" s="65"/>
      <c r="E213" s="390"/>
      <c r="F213" s="949"/>
      <c r="G213" s="65"/>
      <c r="H213" s="65"/>
      <c r="I213" s="1013"/>
      <c r="J213" s="65"/>
      <c r="K213" s="65"/>
      <c r="L213" s="65"/>
      <c r="M213" s="949"/>
      <c r="N213" s="94"/>
      <c r="O213" s="949"/>
      <c r="P213" s="949"/>
      <c r="Q213" s="86"/>
      <c r="R213" s="949"/>
      <c r="S213" s="949"/>
      <c r="T213" s="949"/>
      <c r="U213" s="1013"/>
    </row>
    <row r="214" spans="1:21">
      <c r="A214" s="65"/>
      <c r="B214" s="65"/>
      <c r="C214" s="65"/>
      <c r="D214" s="65"/>
      <c r="E214" s="390"/>
      <c r="F214" s="949"/>
      <c r="G214" s="65"/>
      <c r="H214" s="65"/>
      <c r="I214" s="1013"/>
      <c r="J214" s="65"/>
      <c r="K214" s="65"/>
      <c r="L214" s="65"/>
      <c r="M214" s="949"/>
      <c r="N214" s="94"/>
      <c r="O214" s="949"/>
      <c r="P214" s="949"/>
      <c r="Q214" s="86"/>
      <c r="R214" s="949"/>
      <c r="S214" s="949"/>
      <c r="T214" s="949"/>
      <c r="U214" s="1013"/>
    </row>
    <row r="215" spans="1:21">
      <c r="A215" s="65"/>
      <c r="B215" s="65"/>
      <c r="C215" s="65"/>
      <c r="D215" s="65"/>
      <c r="E215" s="390"/>
      <c r="F215" s="949"/>
      <c r="G215" s="65"/>
      <c r="H215" s="65"/>
      <c r="I215" s="1013"/>
      <c r="J215" s="65"/>
      <c r="K215" s="65"/>
      <c r="L215" s="65"/>
      <c r="M215" s="949"/>
      <c r="N215" s="94"/>
      <c r="O215" s="949"/>
      <c r="P215" s="949"/>
      <c r="Q215" s="86"/>
      <c r="R215" s="949"/>
      <c r="S215" s="949"/>
      <c r="T215" s="949"/>
      <c r="U215" s="1013"/>
    </row>
    <row r="216" spans="1:21">
      <c r="A216" s="65"/>
      <c r="B216" s="65"/>
      <c r="C216" s="65"/>
      <c r="D216" s="65"/>
      <c r="E216" s="390"/>
      <c r="F216" s="949"/>
      <c r="G216" s="65"/>
      <c r="H216" s="65"/>
      <c r="I216" s="1013"/>
      <c r="J216" s="65"/>
      <c r="K216" s="65"/>
      <c r="L216" s="65"/>
      <c r="M216" s="949"/>
      <c r="N216" s="94"/>
      <c r="O216" s="949"/>
      <c r="P216" s="949"/>
      <c r="Q216" s="86"/>
      <c r="R216" s="949"/>
      <c r="S216" s="949"/>
      <c r="T216" s="949"/>
      <c r="U216" s="1013"/>
    </row>
    <row r="217" spans="1:21">
      <c r="A217" s="65"/>
      <c r="B217" s="65"/>
      <c r="C217" s="65"/>
      <c r="D217" s="65"/>
      <c r="E217" s="390"/>
      <c r="F217" s="949"/>
      <c r="G217" s="65"/>
      <c r="H217" s="65"/>
      <c r="I217" s="1013"/>
      <c r="J217" s="65"/>
      <c r="K217" s="65"/>
      <c r="L217" s="65"/>
      <c r="M217" s="949"/>
      <c r="N217" s="94"/>
      <c r="O217" s="949"/>
      <c r="P217" s="949"/>
      <c r="Q217" s="86"/>
      <c r="R217" s="949"/>
      <c r="S217" s="949"/>
      <c r="T217" s="949"/>
      <c r="U217" s="1013"/>
    </row>
    <row r="218" spans="1:21">
      <c r="A218" s="65"/>
      <c r="B218" s="65"/>
      <c r="C218" s="65"/>
      <c r="D218" s="65"/>
      <c r="E218" s="390"/>
      <c r="F218" s="949"/>
      <c r="G218" s="65"/>
      <c r="H218" s="65"/>
      <c r="I218" s="1013"/>
      <c r="J218" s="65"/>
      <c r="K218" s="65"/>
      <c r="L218" s="65"/>
      <c r="M218" s="949"/>
      <c r="N218" s="94"/>
      <c r="O218" s="949"/>
      <c r="P218" s="949"/>
      <c r="Q218" s="86"/>
      <c r="R218" s="949"/>
      <c r="S218" s="949"/>
      <c r="T218" s="949"/>
      <c r="U218" s="1013"/>
    </row>
    <row r="219" spans="1:21">
      <c r="A219" s="65"/>
      <c r="B219" s="65"/>
      <c r="C219" s="65"/>
      <c r="D219" s="65"/>
      <c r="E219" s="390"/>
      <c r="F219" s="949"/>
      <c r="G219" s="65"/>
      <c r="H219" s="65"/>
      <c r="I219" s="1013"/>
      <c r="J219" s="65"/>
      <c r="K219" s="65"/>
      <c r="L219" s="65"/>
      <c r="M219" s="949"/>
      <c r="N219" s="94"/>
      <c r="O219" s="949"/>
      <c r="P219" s="949"/>
      <c r="Q219" s="86"/>
      <c r="R219" s="949"/>
      <c r="S219" s="949"/>
      <c r="T219" s="949"/>
      <c r="U219" s="1013"/>
    </row>
    <row r="220" spans="1:21">
      <c r="A220" s="65"/>
      <c r="B220" s="65"/>
      <c r="C220" s="65"/>
      <c r="D220" s="65"/>
      <c r="E220" s="390"/>
      <c r="F220" s="949"/>
      <c r="G220" s="65"/>
      <c r="H220" s="65"/>
      <c r="I220" s="1013"/>
      <c r="J220" s="65"/>
      <c r="K220" s="65"/>
      <c r="L220" s="65"/>
      <c r="M220" s="949"/>
      <c r="N220" s="94"/>
      <c r="O220" s="949"/>
      <c r="P220" s="949"/>
      <c r="Q220" s="86"/>
      <c r="R220" s="949"/>
      <c r="S220" s="949"/>
      <c r="T220" s="949"/>
      <c r="U220" s="1013"/>
    </row>
    <row r="221" spans="1:21">
      <c r="A221" s="65"/>
      <c r="B221" s="65"/>
      <c r="C221" s="65"/>
      <c r="D221" s="65"/>
      <c r="E221" s="390"/>
      <c r="F221" s="949"/>
      <c r="G221" s="65"/>
      <c r="H221" s="65"/>
      <c r="I221" s="1013"/>
      <c r="J221" s="65"/>
      <c r="K221" s="65"/>
      <c r="L221" s="65"/>
      <c r="M221" s="949"/>
      <c r="N221" s="94"/>
      <c r="O221" s="949"/>
      <c r="P221" s="949"/>
      <c r="Q221" s="86"/>
      <c r="R221" s="949"/>
      <c r="S221" s="949"/>
      <c r="T221" s="949"/>
      <c r="U221" s="1013"/>
    </row>
    <row r="222" spans="1:21">
      <c r="A222" s="65"/>
      <c r="B222" s="65"/>
      <c r="C222" s="65"/>
      <c r="D222" s="65"/>
      <c r="E222" s="390"/>
      <c r="F222" s="949"/>
      <c r="G222" s="65"/>
      <c r="H222" s="65"/>
      <c r="I222" s="1013"/>
      <c r="J222" s="65"/>
      <c r="K222" s="65"/>
      <c r="L222" s="65"/>
      <c r="M222" s="949"/>
      <c r="N222" s="94"/>
      <c r="O222" s="949"/>
      <c r="P222" s="949"/>
      <c r="Q222" s="86"/>
      <c r="R222" s="949"/>
      <c r="S222" s="949"/>
      <c r="T222" s="949"/>
      <c r="U222" s="1013"/>
    </row>
    <row r="223" spans="1:21">
      <c r="A223" s="65"/>
      <c r="B223" s="65"/>
      <c r="C223" s="65"/>
      <c r="D223" s="65"/>
      <c r="E223" s="390"/>
      <c r="F223" s="949"/>
      <c r="G223" s="65"/>
      <c r="H223" s="65"/>
      <c r="I223" s="1013"/>
      <c r="J223" s="65"/>
      <c r="K223" s="65"/>
      <c r="L223" s="65"/>
      <c r="M223" s="949"/>
      <c r="N223" s="94"/>
      <c r="O223" s="949"/>
      <c r="P223" s="949"/>
      <c r="Q223" s="86"/>
      <c r="R223" s="949"/>
      <c r="S223" s="949"/>
      <c r="T223" s="949"/>
      <c r="U223" s="1013"/>
    </row>
    <row r="224" spans="1:21">
      <c r="A224" s="65"/>
      <c r="B224" s="65"/>
      <c r="C224" s="65"/>
      <c r="D224" s="65"/>
      <c r="E224" s="390"/>
      <c r="F224" s="949"/>
      <c r="G224" s="65"/>
      <c r="H224" s="65"/>
      <c r="I224" s="1013"/>
      <c r="J224" s="65"/>
      <c r="K224" s="65"/>
      <c r="L224" s="65"/>
      <c r="M224" s="949"/>
      <c r="N224" s="94"/>
      <c r="O224" s="949"/>
      <c r="P224" s="949"/>
      <c r="Q224" s="86"/>
      <c r="R224" s="949"/>
      <c r="S224" s="949"/>
      <c r="T224" s="949"/>
      <c r="U224" s="1013"/>
    </row>
    <row r="225" spans="1:21">
      <c r="A225" s="65"/>
      <c r="B225" s="65"/>
      <c r="C225" s="65"/>
      <c r="D225" s="65"/>
      <c r="E225" s="390"/>
      <c r="F225" s="949"/>
      <c r="G225" s="65"/>
      <c r="H225" s="65"/>
      <c r="I225" s="1013"/>
      <c r="J225" s="65"/>
      <c r="K225" s="65"/>
      <c r="L225" s="65"/>
      <c r="M225" s="949"/>
      <c r="N225" s="94"/>
      <c r="O225" s="949"/>
      <c r="P225" s="949"/>
      <c r="Q225" s="86"/>
      <c r="R225" s="949"/>
      <c r="S225" s="949"/>
      <c r="T225" s="949"/>
      <c r="U225" s="1013"/>
    </row>
    <row r="226" spans="1:21">
      <c r="A226" s="65"/>
      <c r="B226" s="65"/>
      <c r="C226" s="65"/>
      <c r="D226" s="65"/>
      <c r="E226" s="390"/>
      <c r="F226" s="949"/>
      <c r="G226" s="65"/>
      <c r="H226" s="65"/>
      <c r="I226" s="1013"/>
      <c r="J226" s="65"/>
      <c r="K226" s="65"/>
      <c r="L226" s="65"/>
      <c r="M226" s="949"/>
      <c r="N226" s="94"/>
      <c r="O226" s="949"/>
      <c r="P226" s="949"/>
      <c r="Q226" s="86"/>
      <c r="R226" s="949"/>
      <c r="S226" s="949"/>
      <c r="T226" s="949"/>
      <c r="U226" s="1013"/>
    </row>
    <row r="227" spans="1:21">
      <c r="A227" s="65"/>
      <c r="B227" s="65"/>
      <c r="C227" s="65"/>
      <c r="D227" s="65"/>
      <c r="E227" s="390"/>
      <c r="F227" s="949"/>
      <c r="G227" s="65"/>
      <c r="H227" s="65"/>
      <c r="I227" s="1013"/>
      <c r="J227" s="65"/>
      <c r="K227" s="65"/>
      <c r="L227" s="65"/>
      <c r="M227" s="949"/>
      <c r="N227" s="94"/>
      <c r="O227" s="949"/>
      <c r="P227" s="949"/>
      <c r="Q227" s="86"/>
      <c r="R227" s="949"/>
      <c r="S227" s="949"/>
      <c r="T227" s="949"/>
      <c r="U227" s="1013"/>
    </row>
    <row r="228" spans="1:21">
      <c r="A228" s="65"/>
      <c r="B228" s="65"/>
      <c r="C228" s="65"/>
      <c r="D228" s="65"/>
      <c r="E228" s="390"/>
      <c r="F228" s="949"/>
      <c r="G228" s="65"/>
      <c r="H228" s="65"/>
      <c r="I228" s="1013"/>
      <c r="J228" s="65"/>
      <c r="K228" s="65"/>
      <c r="L228" s="65"/>
      <c r="M228" s="949"/>
      <c r="N228" s="94"/>
      <c r="O228" s="949"/>
      <c r="P228" s="949"/>
      <c r="Q228" s="86"/>
      <c r="R228" s="949"/>
      <c r="S228" s="949"/>
      <c r="T228" s="949"/>
      <c r="U228" s="1013"/>
    </row>
    <row r="229" spans="1:21">
      <c r="A229" s="65"/>
      <c r="B229" s="65"/>
      <c r="C229" s="65"/>
      <c r="D229" s="65"/>
      <c r="E229" s="390"/>
      <c r="F229" s="949"/>
      <c r="G229" s="65"/>
      <c r="H229" s="65"/>
      <c r="I229" s="1013"/>
      <c r="J229" s="65"/>
      <c r="K229" s="65"/>
      <c r="L229" s="65"/>
      <c r="M229" s="949"/>
      <c r="N229" s="94"/>
      <c r="O229" s="949"/>
      <c r="P229" s="949"/>
      <c r="Q229" s="86"/>
      <c r="R229" s="949"/>
      <c r="S229" s="949"/>
      <c r="T229" s="949"/>
      <c r="U229" s="1013"/>
    </row>
    <row r="230" spans="1:21">
      <c r="A230" s="65"/>
      <c r="B230" s="65"/>
      <c r="C230" s="65"/>
      <c r="D230" s="65"/>
      <c r="E230" s="390"/>
      <c r="F230" s="949"/>
      <c r="G230" s="65"/>
      <c r="H230" s="65"/>
      <c r="I230" s="1013"/>
      <c r="J230" s="65"/>
      <c r="K230" s="65"/>
      <c r="L230" s="65"/>
      <c r="M230" s="949"/>
      <c r="N230" s="94"/>
      <c r="O230" s="949"/>
      <c r="P230" s="949"/>
      <c r="Q230" s="86"/>
      <c r="R230" s="949"/>
      <c r="S230" s="949"/>
      <c r="T230" s="949"/>
      <c r="U230" s="1013"/>
    </row>
    <row r="231" spans="1:21">
      <c r="A231" s="65"/>
      <c r="B231" s="65"/>
      <c r="C231" s="65"/>
      <c r="D231" s="65"/>
      <c r="E231" s="390"/>
      <c r="F231" s="949"/>
      <c r="G231" s="65"/>
      <c r="H231" s="65"/>
      <c r="I231" s="1013"/>
      <c r="J231" s="65"/>
      <c r="K231" s="65"/>
      <c r="L231" s="65"/>
      <c r="M231" s="949"/>
      <c r="N231" s="94"/>
      <c r="O231" s="949"/>
      <c r="P231" s="949"/>
      <c r="Q231" s="86"/>
      <c r="R231" s="949"/>
      <c r="S231" s="949"/>
      <c r="T231" s="949"/>
      <c r="U231" s="1013"/>
    </row>
    <row r="232" spans="1:21">
      <c r="A232" s="65"/>
      <c r="B232" s="65"/>
      <c r="C232" s="65"/>
      <c r="D232" s="65"/>
      <c r="E232" s="390"/>
      <c r="F232" s="949"/>
      <c r="G232" s="65"/>
      <c r="H232" s="65"/>
      <c r="I232" s="1013"/>
      <c r="J232" s="65"/>
      <c r="K232" s="65"/>
      <c r="L232" s="65"/>
      <c r="M232" s="949"/>
      <c r="N232" s="94"/>
      <c r="O232" s="949"/>
      <c r="P232" s="949"/>
      <c r="Q232" s="86"/>
      <c r="R232" s="949"/>
      <c r="S232" s="949"/>
      <c r="T232" s="949"/>
      <c r="U232" s="1013"/>
    </row>
    <row r="233" spans="1:21">
      <c r="A233" s="65"/>
      <c r="B233" s="65"/>
      <c r="C233" s="65"/>
      <c r="D233" s="65"/>
      <c r="E233" s="390"/>
      <c r="F233" s="949"/>
      <c r="G233" s="65"/>
      <c r="H233" s="65"/>
      <c r="I233" s="1013"/>
      <c r="J233" s="65"/>
      <c r="K233" s="65"/>
      <c r="L233" s="65"/>
      <c r="M233" s="949"/>
      <c r="N233" s="94"/>
      <c r="O233" s="949"/>
      <c r="P233" s="949"/>
      <c r="Q233" s="86"/>
      <c r="R233" s="949"/>
      <c r="S233" s="949"/>
      <c r="T233" s="949"/>
      <c r="U233" s="1013"/>
    </row>
    <row r="234" spans="1:21">
      <c r="A234" s="65"/>
      <c r="B234" s="65"/>
      <c r="C234" s="65"/>
      <c r="D234" s="65"/>
      <c r="E234" s="390"/>
      <c r="F234" s="949"/>
      <c r="G234" s="65"/>
      <c r="H234" s="65"/>
      <c r="I234" s="1013"/>
      <c r="J234" s="65"/>
      <c r="K234" s="65"/>
      <c r="L234" s="65"/>
      <c r="M234" s="949"/>
      <c r="N234" s="94"/>
      <c r="O234" s="949"/>
      <c r="P234" s="949"/>
      <c r="Q234" s="86"/>
      <c r="R234" s="949"/>
      <c r="S234" s="949"/>
      <c r="T234" s="949"/>
      <c r="U234" s="1013"/>
    </row>
    <row r="235" spans="1:21">
      <c r="A235" s="65"/>
      <c r="B235" s="65"/>
      <c r="C235" s="65"/>
      <c r="D235" s="65"/>
      <c r="E235" s="390"/>
      <c r="F235" s="949"/>
      <c r="G235" s="65"/>
      <c r="H235" s="65"/>
      <c r="I235" s="1013"/>
      <c r="J235" s="65"/>
      <c r="K235" s="65"/>
      <c r="L235" s="65"/>
      <c r="M235" s="949"/>
      <c r="N235" s="94"/>
      <c r="O235" s="949"/>
      <c r="P235" s="949"/>
      <c r="Q235" s="86"/>
      <c r="R235" s="949"/>
      <c r="S235" s="949"/>
      <c r="T235" s="949"/>
      <c r="U235" s="1013"/>
    </row>
    <row r="236" spans="1:21">
      <c r="A236" s="65"/>
      <c r="B236" s="65"/>
      <c r="C236" s="65"/>
      <c r="D236" s="65"/>
      <c r="E236" s="390"/>
      <c r="F236" s="949"/>
      <c r="G236" s="65"/>
      <c r="H236" s="65"/>
      <c r="I236" s="1013"/>
      <c r="J236" s="65"/>
      <c r="K236" s="65"/>
      <c r="L236" s="65"/>
      <c r="M236" s="949"/>
      <c r="N236" s="94"/>
      <c r="O236" s="949"/>
      <c r="P236" s="949"/>
      <c r="Q236" s="86"/>
      <c r="R236" s="949"/>
      <c r="S236" s="949"/>
      <c r="T236" s="949"/>
      <c r="U236" s="1013"/>
    </row>
    <row r="237" spans="1:21">
      <c r="A237" s="65"/>
      <c r="B237" s="65"/>
      <c r="C237" s="65"/>
      <c r="D237" s="65"/>
      <c r="E237" s="390"/>
      <c r="F237" s="949"/>
      <c r="G237" s="65"/>
      <c r="H237" s="65"/>
      <c r="I237" s="1013"/>
      <c r="J237" s="65"/>
      <c r="K237" s="65"/>
      <c r="L237" s="65"/>
      <c r="M237" s="949"/>
      <c r="N237" s="94"/>
      <c r="O237" s="949"/>
      <c r="P237" s="949"/>
      <c r="Q237" s="86"/>
      <c r="R237" s="949"/>
      <c r="S237" s="949"/>
      <c r="T237" s="949"/>
      <c r="U237" s="1013"/>
    </row>
    <row r="238" spans="1:21">
      <c r="A238" s="65"/>
      <c r="B238" s="65"/>
      <c r="C238" s="65"/>
      <c r="D238" s="65"/>
      <c r="E238" s="390"/>
      <c r="F238" s="949"/>
      <c r="G238" s="65"/>
      <c r="H238" s="65"/>
      <c r="I238" s="1013"/>
      <c r="J238" s="65"/>
      <c r="K238" s="65"/>
      <c r="L238" s="65"/>
      <c r="M238" s="949"/>
      <c r="N238" s="94"/>
      <c r="O238" s="949"/>
      <c r="P238" s="949"/>
      <c r="Q238" s="86"/>
      <c r="R238" s="949"/>
      <c r="S238" s="949"/>
      <c r="T238" s="949"/>
      <c r="U238" s="1013"/>
    </row>
    <row r="239" spans="1:21">
      <c r="A239" s="65"/>
      <c r="B239" s="65"/>
      <c r="C239" s="65"/>
      <c r="D239" s="65"/>
      <c r="E239" s="390"/>
      <c r="F239" s="949"/>
      <c r="G239" s="65"/>
      <c r="H239" s="65"/>
      <c r="I239" s="1013"/>
      <c r="J239" s="65"/>
      <c r="K239" s="65"/>
      <c r="L239" s="65"/>
      <c r="M239" s="949"/>
      <c r="N239" s="94"/>
      <c r="O239" s="949"/>
      <c r="P239" s="949"/>
      <c r="Q239" s="86"/>
      <c r="R239" s="949"/>
      <c r="S239" s="949"/>
      <c r="T239" s="949"/>
      <c r="U239" s="1013"/>
    </row>
    <row r="240" spans="1:21">
      <c r="A240" s="65"/>
      <c r="B240" s="65"/>
      <c r="C240" s="65"/>
      <c r="D240" s="65"/>
      <c r="E240" s="390"/>
      <c r="F240" s="949"/>
      <c r="G240" s="65"/>
      <c r="H240" s="65"/>
      <c r="I240" s="1013"/>
      <c r="J240" s="65"/>
      <c r="K240" s="65"/>
      <c r="L240" s="65"/>
      <c r="M240" s="949"/>
      <c r="N240" s="94"/>
      <c r="O240" s="949"/>
      <c r="P240" s="949"/>
      <c r="Q240" s="86"/>
      <c r="R240" s="949"/>
      <c r="S240" s="949"/>
      <c r="T240" s="949"/>
      <c r="U240" s="1013"/>
    </row>
    <row r="241" spans="1:21">
      <c r="A241" s="65"/>
      <c r="B241" s="65"/>
      <c r="C241" s="65"/>
      <c r="D241" s="65"/>
      <c r="E241" s="390"/>
      <c r="F241" s="949"/>
      <c r="G241" s="65"/>
      <c r="H241" s="65"/>
      <c r="I241" s="1013"/>
      <c r="J241" s="65"/>
      <c r="K241" s="65"/>
      <c r="L241" s="65"/>
      <c r="M241" s="949"/>
      <c r="N241" s="94"/>
      <c r="O241" s="949"/>
      <c r="P241" s="949"/>
      <c r="Q241" s="86"/>
      <c r="R241" s="949"/>
      <c r="S241" s="949"/>
      <c r="T241" s="949"/>
      <c r="U241" s="1013"/>
    </row>
    <row r="242" spans="1:21">
      <c r="A242" s="65"/>
      <c r="B242" s="65"/>
      <c r="C242" s="65"/>
      <c r="D242" s="65"/>
      <c r="E242" s="390"/>
      <c r="F242" s="949"/>
      <c r="G242" s="65"/>
      <c r="H242" s="65"/>
      <c r="I242" s="1013"/>
      <c r="J242" s="65"/>
      <c r="K242" s="65"/>
      <c r="L242" s="65"/>
      <c r="M242" s="949"/>
      <c r="N242" s="94"/>
      <c r="O242" s="949"/>
      <c r="P242" s="949"/>
      <c r="Q242" s="86"/>
      <c r="R242" s="949"/>
      <c r="S242" s="949"/>
      <c r="T242" s="949"/>
      <c r="U242" s="1013"/>
    </row>
    <row r="243" spans="1:21">
      <c r="A243" s="65"/>
      <c r="B243" s="65"/>
      <c r="C243" s="65"/>
      <c r="D243" s="65"/>
      <c r="E243" s="390"/>
      <c r="F243" s="949"/>
      <c r="G243" s="65"/>
      <c r="H243" s="65"/>
      <c r="I243" s="1013"/>
      <c r="J243" s="65"/>
      <c r="K243" s="65"/>
      <c r="L243" s="65"/>
      <c r="M243" s="949"/>
      <c r="N243" s="94"/>
      <c r="O243" s="949"/>
      <c r="P243" s="949"/>
      <c r="Q243" s="86"/>
      <c r="R243" s="949"/>
      <c r="S243" s="949"/>
      <c r="T243" s="949"/>
      <c r="U243" s="1013"/>
    </row>
    <row r="244" spans="1:21">
      <c r="A244" s="65"/>
      <c r="B244" s="65"/>
      <c r="C244" s="65"/>
      <c r="D244" s="65"/>
      <c r="E244" s="390"/>
      <c r="F244" s="949"/>
      <c r="G244" s="65"/>
      <c r="H244" s="65"/>
      <c r="I244" s="1013"/>
      <c r="J244" s="65"/>
      <c r="K244" s="65"/>
      <c r="L244" s="65"/>
      <c r="M244" s="949"/>
      <c r="N244" s="94"/>
      <c r="O244" s="949"/>
      <c r="P244" s="949"/>
      <c r="Q244" s="86"/>
      <c r="R244" s="949"/>
      <c r="S244" s="949"/>
      <c r="T244" s="949"/>
      <c r="U244" s="1013"/>
    </row>
    <row r="245" spans="1:21">
      <c r="A245" s="65"/>
      <c r="B245" s="65"/>
      <c r="C245" s="65"/>
      <c r="D245" s="65"/>
      <c r="E245" s="390"/>
      <c r="F245" s="949"/>
      <c r="G245" s="65"/>
      <c r="H245" s="65"/>
      <c r="I245" s="1013"/>
      <c r="J245" s="65"/>
      <c r="K245" s="65"/>
      <c r="L245" s="65"/>
      <c r="M245" s="949"/>
      <c r="N245" s="94"/>
      <c r="O245" s="949"/>
      <c r="P245" s="949"/>
      <c r="Q245" s="86"/>
      <c r="R245" s="949"/>
      <c r="S245" s="949"/>
      <c r="T245" s="949"/>
      <c r="U245" s="1013"/>
    </row>
    <row r="246" spans="1:21">
      <c r="A246" s="65"/>
      <c r="B246" s="65"/>
      <c r="C246" s="65"/>
      <c r="D246" s="65"/>
      <c r="E246" s="390"/>
      <c r="F246" s="949"/>
      <c r="G246" s="65"/>
      <c r="H246" s="65"/>
      <c r="I246" s="1013"/>
      <c r="J246" s="65"/>
      <c r="K246" s="65"/>
      <c r="L246" s="65"/>
      <c r="M246" s="949"/>
      <c r="N246" s="94"/>
      <c r="O246" s="949"/>
      <c r="P246" s="949"/>
      <c r="Q246" s="86"/>
      <c r="R246" s="949"/>
      <c r="S246" s="949"/>
      <c r="T246" s="949"/>
      <c r="U246" s="1013"/>
    </row>
    <row r="247" spans="1:21">
      <c r="A247" s="65"/>
      <c r="B247" s="65"/>
      <c r="C247" s="65"/>
      <c r="D247" s="65"/>
      <c r="E247" s="390"/>
      <c r="F247" s="949"/>
      <c r="G247" s="65"/>
      <c r="H247" s="65"/>
      <c r="I247" s="1013"/>
      <c r="J247" s="65"/>
      <c r="K247" s="65"/>
      <c r="L247" s="65"/>
      <c r="M247" s="949"/>
      <c r="N247" s="94"/>
      <c r="O247" s="949"/>
      <c r="P247" s="949"/>
      <c r="Q247" s="86"/>
      <c r="R247" s="949"/>
      <c r="S247" s="949"/>
      <c r="T247" s="949"/>
      <c r="U247" s="1013"/>
    </row>
    <row r="248" spans="1:21">
      <c r="A248" s="65"/>
      <c r="B248" s="65"/>
      <c r="C248" s="65"/>
      <c r="D248" s="65"/>
      <c r="E248" s="390"/>
      <c r="F248" s="949"/>
      <c r="G248" s="65"/>
      <c r="H248" s="65"/>
      <c r="I248" s="1013"/>
      <c r="J248" s="65"/>
      <c r="K248" s="65"/>
      <c r="L248" s="65"/>
      <c r="M248" s="949"/>
      <c r="N248" s="94"/>
      <c r="O248" s="949"/>
      <c r="P248" s="949"/>
      <c r="Q248" s="86"/>
      <c r="R248" s="949"/>
      <c r="S248" s="949"/>
      <c r="T248" s="949"/>
      <c r="U248" s="1013"/>
    </row>
    <row r="249" spans="1:21">
      <c r="A249" s="65"/>
      <c r="B249" s="65"/>
      <c r="C249" s="65"/>
      <c r="D249" s="65"/>
      <c r="E249" s="390"/>
      <c r="F249" s="949"/>
      <c r="G249" s="65"/>
      <c r="H249" s="65"/>
      <c r="I249" s="1013"/>
      <c r="J249" s="65"/>
      <c r="K249" s="65"/>
      <c r="L249" s="65"/>
      <c r="M249" s="949"/>
      <c r="N249" s="94"/>
      <c r="O249" s="949"/>
      <c r="P249" s="949"/>
      <c r="Q249" s="86"/>
      <c r="R249" s="949"/>
      <c r="S249" s="949"/>
      <c r="T249" s="949"/>
      <c r="U249" s="1013"/>
    </row>
    <row r="250" spans="1:21">
      <c r="A250" s="65"/>
      <c r="B250" s="65"/>
      <c r="C250" s="65"/>
      <c r="D250" s="65"/>
      <c r="E250" s="390"/>
      <c r="F250" s="949"/>
      <c r="G250" s="65"/>
      <c r="H250" s="65"/>
      <c r="I250" s="1013"/>
      <c r="J250" s="65"/>
      <c r="K250" s="65"/>
      <c r="L250" s="65"/>
      <c r="M250" s="949"/>
      <c r="N250" s="94"/>
      <c r="O250" s="949"/>
      <c r="P250" s="949"/>
      <c r="Q250" s="86"/>
      <c r="R250" s="949"/>
      <c r="S250" s="949"/>
      <c r="T250" s="949"/>
      <c r="U250" s="1013"/>
    </row>
    <row r="251" spans="1:21">
      <c r="A251" s="65"/>
      <c r="B251" s="65"/>
      <c r="C251" s="65"/>
      <c r="D251" s="65"/>
      <c r="E251" s="390"/>
      <c r="F251" s="949"/>
      <c r="G251" s="65"/>
      <c r="H251" s="65"/>
      <c r="I251" s="1013"/>
      <c r="J251" s="65"/>
      <c r="K251" s="65"/>
      <c r="L251" s="65"/>
      <c r="M251" s="949"/>
      <c r="N251" s="94"/>
      <c r="O251" s="949"/>
      <c r="P251" s="949"/>
      <c r="Q251" s="86"/>
      <c r="R251" s="949"/>
      <c r="S251" s="949"/>
      <c r="T251" s="949"/>
      <c r="U251" s="1013"/>
    </row>
    <row r="252" spans="1:21">
      <c r="A252" s="65"/>
      <c r="B252" s="65"/>
      <c r="C252" s="65"/>
      <c r="D252" s="65"/>
      <c r="E252" s="390"/>
      <c r="F252" s="949"/>
      <c r="G252" s="65"/>
      <c r="H252" s="65"/>
      <c r="I252" s="1013"/>
      <c r="J252" s="65"/>
      <c r="K252" s="65"/>
      <c r="L252" s="65"/>
      <c r="M252" s="949"/>
      <c r="N252" s="94"/>
      <c r="O252" s="949"/>
      <c r="P252" s="949"/>
      <c r="Q252" s="86"/>
      <c r="R252" s="949"/>
      <c r="S252" s="949"/>
      <c r="T252" s="949"/>
      <c r="U252" s="1013"/>
    </row>
    <row r="253" spans="1:21">
      <c r="A253" s="65"/>
      <c r="B253" s="65"/>
      <c r="C253" s="65"/>
      <c r="D253" s="65"/>
      <c r="E253" s="390"/>
      <c r="F253" s="949"/>
      <c r="G253" s="65"/>
      <c r="H253" s="65"/>
      <c r="I253" s="1013"/>
      <c r="J253" s="65"/>
      <c r="K253" s="65"/>
      <c r="L253" s="65"/>
      <c r="M253" s="949"/>
      <c r="N253" s="94"/>
      <c r="O253" s="949"/>
      <c r="P253" s="949"/>
      <c r="Q253" s="86"/>
      <c r="R253" s="949"/>
      <c r="S253" s="949"/>
      <c r="T253" s="949"/>
      <c r="U253" s="1013"/>
    </row>
    <row r="254" spans="1:21">
      <c r="A254" s="65"/>
      <c r="B254" s="65"/>
      <c r="C254" s="65"/>
      <c r="D254" s="65"/>
      <c r="E254" s="390"/>
      <c r="F254" s="949"/>
      <c r="G254" s="65"/>
      <c r="H254" s="65"/>
      <c r="I254" s="1013"/>
      <c r="J254" s="65"/>
      <c r="K254" s="65"/>
      <c r="L254" s="65"/>
      <c r="M254" s="949"/>
      <c r="N254" s="94"/>
      <c r="O254" s="949"/>
      <c r="P254" s="949"/>
      <c r="Q254" s="86"/>
      <c r="R254" s="949"/>
      <c r="S254" s="949"/>
      <c r="T254" s="949"/>
      <c r="U254" s="1013"/>
    </row>
    <row r="255" spans="1:21">
      <c r="A255" s="65"/>
      <c r="B255" s="65"/>
      <c r="C255" s="65"/>
      <c r="D255" s="65"/>
      <c r="E255" s="390"/>
      <c r="F255" s="949"/>
      <c r="G255" s="65"/>
      <c r="H255" s="65"/>
      <c r="I255" s="1013"/>
      <c r="J255" s="65"/>
      <c r="K255" s="65"/>
      <c r="L255" s="65"/>
      <c r="M255" s="949"/>
      <c r="N255" s="94"/>
      <c r="O255" s="949"/>
      <c r="P255" s="949"/>
      <c r="Q255" s="86"/>
      <c r="R255" s="949"/>
      <c r="S255" s="949"/>
      <c r="T255" s="949"/>
      <c r="U255" s="1013"/>
    </row>
    <row r="256" spans="1:21">
      <c r="A256" s="65"/>
      <c r="B256" s="65"/>
      <c r="C256" s="65"/>
      <c r="D256" s="65"/>
      <c r="E256" s="390"/>
      <c r="F256" s="949"/>
      <c r="G256" s="65"/>
      <c r="H256" s="65"/>
      <c r="I256" s="1013"/>
      <c r="J256" s="65"/>
      <c r="K256" s="65"/>
      <c r="L256" s="65"/>
      <c r="M256" s="949"/>
      <c r="N256" s="94"/>
      <c r="O256" s="949"/>
      <c r="P256" s="949"/>
      <c r="Q256" s="86"/>
      <c r="R256" s="949"/>
      <c r="S256" s="949"/>
      <c r="T256" s="949"/>
      <c r="U256" s="1013"/>
    </row>
    <row r="257" spans="1:21">
      <c r="A257" s="65"/>
      <c r="B257" s="65"/>
      <c r="C257" s="65"/>
      <c r="D257" s="65"/>
      <c r="E257" s="390"/>
      <c r="F257" s="949"/>
      <c r="G257" s="65"/>
      <c r="H257" s="65"/>
      <c r="I257" s="1013"/>
      <c r="J257" s="65"/>
      <c r="K257" s="65"/>
      <c r="L257" s="65"/>
      <c r="M257" s="949"/>
      <c r="N257" s="94"/>
      <c r="O257" s="949"/>
      <c r="P257" s="949"/>
      <c r="Q257" s="86"/>
      <c r="R257" s="949"/>
      <c r="S257" s="949"/>
      <c r="T257" s="949"/>
      <c r="U257" s="1013"/>
    </row>
    <row r="258" spans="1:21">
      <c r="A258" s="65"/>
      <c r="B258" s="65"/>
      <c r="C258" s="65"/>
      <c r="D258" s="65"/>
      <c r="E258" s="390"/>
      <c r="F258" s="949"/>
      <c r="G258" s="65"/>
      <c r="H258" s="65"/>
      <c r="I258" s="1013"/>
      <c r="J258" s="65"/>
      <c r="K258" s="65"/>
      <c r="L258" s="65"/>
      <c r="M258" s="949"/>
      <c r="N258" s="94"/>
      <c r="O258" s="949"/>
      <c r="P258" s="949"/>
      <c r="Q258" s="86"/>
      <c r="R258" s="949"/>
      <c r="S258" s="949"/>
      <c r="T258" s="949"/>
      <c r="U258" s="1013"/>
    </row>
    <row r="259" spans="1:21">
      <c r="A259" s="65"/>
      <c r="B259" s="65"/>
      <c r="C259" s="65"/>
      <c r="D259" s="65"/>
      <c r="E259" s="390"/>
      <c r="F259" s="949"/>
      <c r="G259" s="65"/>
      <c r="H259" s="65"/>
      <c r="I259" s="1013"/>
      <c r="J259" s="65"/>
      <c r="K259" s="65"/>
      <c r="L259" s="65"/>
      <c r="M259" s="949"/>
      <c r="N259" s="94"/>
      <c r="O259" s="949"/>
      <c r="P259" s="949"/>
      <c r="Q259" s="86"/>
      <c r="R259" s="949"/>
      <c r="S259" s="949"/>
      <c r="T259" s="949"/>
      <c r="U259" s="1013"/>
    </row>
    <row r="260" spans="1:21">
      <c r="A260" s="65"/>
      <c r="B260" s="65"/>
      <c r="C260" s="65"/>
      <c r="D260" s="65"/>
      <c r="E260" s="390"/>
      <c r="F260" s="949"/>
      <c r="G260" s="65"/>
      <c r="H260" s="65"/>
      <c r="I260" s="1013"/>
      <c r="J260" s="65"/>
      <c r="K260" s="65"/>
      <c r="L260" s="65"/>
      <c r="M260" s="949"/>
      <c r="N260" s="94"/>
      <c r="O260" s="949"/>
      <c r="P260" s="949"/>
      <c r="Q260" s="86"/>
      <c r="R260" s="949"/>
      <c r="S260" s="949"/>
      <c r="T260" s="949"/>
      <c r="U260" s="1013"/>
    </row>
    <row r="261" spans="1:21">
      <c r="A261" s="65"/>
      <c r="B261" s="65"/>
      <c r="C261" s="65"/>
      <c r="D261" s="65"/>
      <c r="E261" s="390"/>
      <c r="F261" s="949"/>
      <c r="G261" s="65"/>
      <c r="H261" s="65"/>
      <c r="I261" s="1013"/>
      <c r="J261" s="65"/>
      <c r="K261" s="65"/>
      <c r="L261" s="65"/>
      <c r="M261" s="949"/>
      <c r="N261" s="94"/>
      <c r="O261" s="949"/>
      <c r="P261" s="949"/>
      <c r="Q261" s="86"/>
      <c r="R261" s="949"/>
      <c r="S261" s="949"/>
      <c r="T261" s="949"/>
      <c r="U261" s="1013"/>
    </row>
    <row r="262" spans="1:21">
      <c r="A262" s="65"/>
      <c r="B262" s="65"/>
      <c r="C262" s="65"/>
      <c r="D262" s="65"/>
      <c r="E262" s="390"/>
      <c r="F262" s="949"/>
      <c r="G262" s="65"/>
      <c r="H262" s="65"/>
      <c r="I262" s="1013"/>
      <c r="J262" s="65"/>
      <c r="K262" s="65"/>
      <c r="L262" s="65"/>
      <c r="M262" s="949"/>
      <c r="N262" s="94"/>
      <c r="O262" s="949"/>
      <c r="P262" s="949"/>
      <c r="Q262" s="86"/>
      <c r="R262" s="949"/>
      <c r="S262" s="949"/>
      <c r="T262" s="949"/>
      <c r="U262" s="1013"/>
    </row>
    <row r="263" spans="1:21">
      <c r="A263" s="65"/>
      <c r="B263" s="65"/>
      <c r="C263" s="65"/>
      <c r="D263" s="65"/>
      <c r="E263" s="390"/>
      <c r="F263" s="949"/>
      <c r="G263" s="65"/>
      <c r="H263" s="65"/>
      <c r="I263" s="1013"/>
      <c r="J263" s="65"/>
      <c r="K263" s="65"/>
      <c r="L263" s="65"/>
      <c r="M263" s="949"/>
      <c r="N263" s="94"/>
      <c r="O263" s="949"/>
      <c r="P263" s="949"/>
      <c r="Q263" s="86"/>
      <c r="R263" s="949"/>
      <c r="S263" s="949"/>
      <c r="T263" s="949"/>
      <c r="U263" s="1013"/>
    </row>
    <row r="264" spans="1:21">
      <c r="A264" s="65"/>
      <c r="B264" s="65"/>
      <c r="C264" s="65"/>
      <c r="D264" s="65"/>
      <c r="E264" s="390"/>
      <c r="F264" s="949"/>
      <c r="G264" s="65"/>
      <c r="H264" s="65"/>
      <c r="I264" s="1013"/>
      <c r="J264" s="65"/>
      <c r="K264" s="65"/>
      <c r="L264" s="65"/>
      <c r="M264" s="949"/>
      <c r="N264" s="94"/>
      <c r="O264" s="949"/>
      <c r="P264" s="949"/>
      <c r="Q264" s="86"/>
      <c r="R264" s="949"/>
      <c r="S264" s="949"/>
      <c r="T264" s="949"/>
      <c r="U264" s="1013"/>
    </row>
    <row r="265" spans="1:21">
      <c r="A265" s="65"/>
      <c r="B265" s="65"/>
      <c r="C265" s="65"/>
      <c r="D265" s="65"/>
      <c r="E265" s="390"/>
      <c r="F265" s="949"/>
      <c r="G265" s="65"/>
      <c r="H265" s="65"/>
      <c r="I265" s="1013"/>
      <c r="J265" s="65"/>
      <c r="K265" s="65"/>
      <c r="L265" s="65"/>
      <c r="M265" s="949"/>
      <c r="N265" s="94"/>
      <c r="O265" s="949"/>
      <c r="P265" s="949"/>
      <c r="Q265" s="86"/>
      <c r="R265" s="949"/>
      <c r="S265" s="949"/>
      <c r="T265" s="949"/>
      <c r="U265" s="1013"/>
    </row>
    <row r="266" spans="1:21">
      <c r="A266" s="65"/>
      <c r="B266" s="65"/>
      <c r="C266" s="65"/>
      <c r="D266" s="65"/>
      <c r="E266" s="390"/>
      <c r="F266" s="949"/>
      <c r="G266" s="65"/>
      <c r="H266" s="65"/>
      <c r="I266" s="1013"/>
      <c r="J266" s="65"/>
      <c r="K266" s="65"/>
      <c r="L266" s="65"/>
      <c r="M266" s="949"/>
      <c r="N266" s="94"/>
      <c r="O266" s="949"/>
      <c r="P266" s="949"/>
      <c r="Q266" s="86"/>
      <c r="R266" s="949"/>
      <c r="S266" s="949"/>
      <c r="T266" s="949"/>
      <c r="U266" s="1013"/>
    </row>
    <row r="267" spans="1:21">
      <c r="A267" s="65"/>
      <c r="B267" s="65"/>
      <c r="C267" s="65"/>
      <c r="D267" s="65"/>
      <c r="E267" s="390"/>
      <c r="F267" s="949"/>
      <c r="G267" s="65"/>
      <c r="H267" s="65"/>
      <c r="I267" s="1013"/>
      <c r="J267" s="65"/>
      <c r="K267" s="65"/>
      <c r="L267" s="65"/>
      <c r="M267" s="949"/>
      <c r="N267" s="94"/>
      <c r="O267" s="949"/>
      <c r="P267" s="949"/>
      <c r="Q267" s="86"/>
      <c r="R267" s="949"/>
      <c r="S267" s="949"/>
      <c r="T267" s="949"/>
      <c r="U267" s="1013"/>
    </row>
    <row r="268" spans="1:21">
      <c r="A268" s="65"/>
      <c r="B268" s="65"/>
      <c r="C268" s="65"/>
      <c r="D268" s="65"/>
      <c r="E268" s="390"/>
      <c r="F268" s="949"/>
      <c r="G268" s="65"/>
      <c r="H268" s="65"/>
      <c r="I268" s="1013"/>
      <c r="J268" s="65"/>
      <c r="K268" s="65"/>
      <c r="L268" s="65"/>
      <c r="M268" s="949"/>
      <c r="N268" s="94"/>
      <c r="O268" s="949"/>
      <c r="P268" s="949"/>
      <c r="Q268" s="86"/>
      <c r="R268" s="949"/>
      <c r="S268" s="949"/>
      <c r="T268" s="949"/>
      <c r="U268" s="1013"/>
    </row>
    <row r="269" spans="1:21">
      <c r="A269" s="65"/>
      <c r="B269" s="65"/>
      <c r="C269" s="65"/>
      <c r="D269" s="65"/>
      <c r="E269" s="390"/>
      <c r="F269" s="949"/>
      <c r="G269" s="65"/>
      <c r="H269" s="65"/>
      <c r="I269" s="1013"/>
      <c r="J269" s="65"/>
      <c r="K269" s="65"/>
      <c r="L269" s="65"/>
      <c r="M269" s="949"/>
      <c r="N269" s="94"/>
      <c r="O269" s="949"/>
      <c r="P269" s="949"/>
      <c r="Q269" s="86"/>
      <c r="R269" s="949"/>
      <c r="S269" s="949"/>
      <c r="T269" s="949"/>
      <c r="U269" s="1013"/>
    </row>
  </sheetData>
  <sheetProtection formatCells="0" formatColumns="0" formatRows="0" insertColumns="0" insertRows="0" insertHyperlinks="0" deleteColumns="0" deleteRows="0" sort="0" autoFilter="0" pivotTables="0"/>
  <mergeCells count="9">
    <mergeCell ref="A100:B100"/>
    <mergeCell ref="D100:P100"/>
    <mergeCell ref="A114:B114"/>
    <mergeCell ref="D114:P114"/>
    <mergeCell ref="A1:S1"/>
    <mergeCell ref="A72:B72"/>
    <mergeCell ref="D72:P72"/>
    <mergeCell ref="A86:B86"/>
    <mergeCell ref="D86:P86"/>
  </mergeCells>
  <dataValidations count="1">
    <dataValidation type="list" allowBlank="1" showInputMessage="1" showErrorMessage="1" sqref="P4 P8 P18 P23" xr:uid="{00000000-0002-0000-0A00-000000000000}">
      <formula1>#REF!</formula1>
    </dataValidation>
  </dataValidations>
  <pageMargins left="0.25" right="0.25" top="0.75" bottom="0.75" header="0.3" footer="0.3"/>
  <pageSetup paperSize="9" scale="29" orientation="landscape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1000000}">
          <x14:formula1>
            <xm:f>Списки!$C$3:$C$7</xm:f>
          </x14:formula1>
          <xm:sqref>D3:D70</xm:sqref>
        </x14:dataValidation>
        <x14:dataValidation type="list" allowBlank="1" showInputMessage="1" showErrorMessage="1" xr:uid="{00000000-0002-0000-0A00-000002000000}">
          <x14:formula1>
            <xm:f>Списки!$D$2:$D$7</xm:f>
          </x14:formula1>
          <xm:sqref>F3:F70</xm:sqref>
        </x14:dataValidation>
        <x14:dataValidation type="list" allowBlank="1" showInputMessage="1" showErrorMessage="1" xr:uid="{00000000-0002-0000-0A00-000003000000}">
          <x14:formula1>
            <xm:f>Списки!$B$2:$B$5</xm:f>
          </x14:formula1>
          <xm:sqref>G3:G70</xm:sqref>
        </x14:dataValidation>
        <x14:dataValidation type="list" allowBlank="1" showInputMessage="1" showErrorMessage="1" xr:uid="{00000000-0002-0000-0A00-000004000000}">
          <x14:formula1>
            <xm:f>Списки!$E$2:$E$7</xm:f>
          </x14:formula1>
          <xm:sqref>H3:H70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6">
    <pageSetUpPr fitToPage="1"/>
  </sheetPr>
  <dimension ref="A1:U262"/>
  <sheetViews>
    <sheetView topLeftCell="A78" zoomScale="85" zoomScaleNormal="85" workbookViewId="0">
      <selection activeCell="F122" sqref="F122"/>
    </sheetView>
  </sheetViews>
  <sheetFormatPr defaultColWidth="9.140625" defaultRowHeight="12.75" outlineLevelRow="1"/>
  <cols>
    <col min="1" max="1" width="11.42578125" style="1118" customWidth="1"/>
    <col min="2" max="2" width="10.42578125" style="931" customWidth="1"/>
    <col min="3" max="3" width="13.85546875" style="931" customWidth="1"/>
    <col min="4" max="4" width="12.5703125" style="931" customWidth="1"/>
    <col min="5" max="5" width="12" style="931" customWidth="1"/>
    <col min="6" max="6" width="18.28515625" style="931" customWidth="1"/>
    <col min="7" max="7" width="10.140625" style="931" customWidth="1"/>
    <col min="8" max="8" width="13.28515625" style="931" customWidth="1"/>
    <col min="9" max="9" width="15.140625" style="931" customWidth="1"/>
    <col min="10" max="10" width="17.5703125" style="931" customWidth="1"/>
    <col min="11" max="11" width="20.42578125" style="931" customWidth="1"/>
    <col min="12" max="12" width="16.5703125" style="931" customWidth="1"/>
    <col min="13" max="13" width="11.140625" style="931" customWidth="1"/>
    <col min="14" max="14" width="14.140625" style="931" customWidth="1"/>
    <col min="15" max="15" width="25.5703125" style="931" customWidth="1"/>
    <col min="16" max="16" width="37.42578125" style="931" customWidth="1"/>
    <col min="17" max="17" width="33.42578125" style="931" customWidth="1"/>
    <col min="18" max="18" width="17.5703125" style="931" customWidth="1"/>
    <col min="19" max="19" width="12.5703125" style="931" customWidth="1"/>
    <col min="20" max="20" width="10.85546875" style="931" customWidth="1"/>
    <col min="21" max="21" width="14.28515625" style="43" customWidth="1"/>
    <col min="22" max="16384" width="9.140625" style="931"/>
  </cols>
  <sheetData>
    <row r="1" spans="1:21">
      <c r="A1" s="2297">
        <v>44530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21" ht="30" customHeight="1" outlineLevel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1" s="929" customFormat="1" outlineLevel="1">
      <c r="A3" s="62">
        <v>1</v>
      </c>
      <c r="B3" s="62">
        <v>784</v>
      </c>
      <c r="C3" s="62">
        <v>16492</v>
      </c>
      <c r="D3" s="117" t="s">
        <v>73</v>
      </c>
      <c r="E3" s="62">
        <v>100.26</v>
      </c>
      <c r="F3" s="945" t="s">
        <v>9</v>
      </c>
      <c r="G3" s="117" t="s">
        <v>27</v>
      </c>
      <c r="H3" s="117" t="s">
        <v>575</v>
      </c>
      <c r="I3" s="95">
        <v>5886311.9199999999</v>
      </c>
      <c r="J3" s="62">
        <v>4</v>
      </c>
      <c r="K3" s="117" t="s">
        <v>65</v>
      </c>
      <c r="L3" s="117" t="s">
        <v>12</v>
      </c>
      <c r="M3" s="92">
        <v>44515</v>
      </c>
      <c r="N3" s="117" t="s">
        <v>17</v>
      </c>
      <c r="O3" s="117" t="s">
        <v>720</v>
      </c>
      <c r="P3" s="892" t="s">
        <v>111</v>
      </c>
      <c r="Q3" s="892" t="s">
        <v>111</v>
      </c>
      <c r="R3" s="892" t="s">
        <v>73</v>
      </c>
      <c r="S3" s="945" t="s">
        <v>63</v>
      </c>
      <c r="T3" s="945" t="s">
        <v>73</v>
      </c>
      <c r="U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5886311.9199999999</v>
      </c>
    </row>
    <row r="4" spans="1:21" ht="11.25" customHeight="1" outlineLevel="1">
      <c r="A4" s="62">
        <v>2</v>
      </c>
      <c r="B4" s="62">
        <v>103</v>
      </c>
      <c r="C4" s="62">
        <v>16792</v>
      </c>
      <c r="D4" s="117" t="s">
        <v>20</v>
      </c>
      <c r="E4" s="62">
        <v>36.42</v>
      </c>
      <c r="F4" s="117" t="s">
        <v>9</v>
      </c>
      <c r="G4" s="117" t="s">
        <v>121</v>
      </c>
      <c r="H4" s="117" t="s">
        <v>10</v>
      </c>
      <c r="I4" s="95">
        <v>2725306.56</v>
      </c>
      <c r="J4" s="62">
        <v>1</v>
      </c>
      <c r="K4" s="117" t="s">
        <v>130</v>
      </c>
      <c r="L4" s="117" t="s">
        <v>18</v>
      </c>
      <c r="M4" s="92"/>
      <c r="N4" s="117" t="s">
        <v>17</v>
      </c>
      <c r="O4" s="117" t="s">
        <v>721</v>
      </c>
      <c r="P4" s="892" t="s">
        <v>111</v>
      </c>
      <c r="Q4" s="892" t="s">
        <v>111</v>
      </c>
      <c r="R4" s="945" t="s">
        <v>20</v>
      </c>
      <c r="S4" s="945" t="s">
        <v>20</v>
      </c>
      <c r="T4" s="945" t="s">
        <v>20</v>
      </c>
      <c r="U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2725306.56</v>
      </c>
    </row>
    <row r="5" spans="1:21" ht="11.25" customHeight="1" outlineLevel="1">
      <c r="A5" s="62">
        <v>3</v>
      </c>
      <c r="B5" s="62">
        <v>615</v>
      </c>
      <c r="C5" s="62">
        <v>16295</v>
      </c>
      <c r="D5" s="117" t="s">
        <v>20</v>
      </c>
      <c r="E5" s="62">
        <v>55.8</v>
      </c>
      <c r="F5" s="62" t="s">
        <v>9</v>
      </c>
      <c r="G5" s="62" t="s">
        <v>27</v>
      </c>
      <c r="H5" s="62" t="s">
        <v>16</v>
      </c>
      <c r="I5" s="95">
        <v>3179945.38</v>
      </c>
      <c r="J5" s="62">
        <v>2</v>
      </c>
      <c r="K5" s="117" t="s">
        <v>65</v>
      </c>
      <c r="L5" s="117" t="s">
        <v>18</v>
      </c>
      <c r="M5" s="92">
        <v>44503</v>
      </c>
      <c r="N5" s="117" t="s">
        <v>17</v>
      </c>
      <c r="O5" s="117" t="s">
        <v>722</v>
      </c>
      <c r="P5" s="892" t="s">
        <v>111</v>
      </c>
      <c r="Q5" s="892" t="s">
        <v>111</v>
      </c>
      <c r="R5" s="945" t="s">
        <v>20</v>
      </c>
      <c r="S5" s="945" t="s">
        <v>20</v>
      </c>
      <c r="T5" s="945" t="s">
        <v>20</v>
      </c>
      <c r="U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3179945.38</v>
      </c>
    </row>
    <row r="6" spans="1:21" outlineLevel="1">
      <c r="A6" s="62">
        <v>4</v>
      </c>
      <c r="B6" s="62">
        <v>44</v>
      </c>
      <c r="C6" s="62">
        <v>12961</v>
      </c>
      <c r="D6" s="62" t="s">
        <v>77</v>
      </c>
      <c r="E6" s="62">
        <v>77.8</v>
      </c>
      <c r="F6" s="941" t="s">
        <v>9</v>
      </c>
      <c r="G6" s="62" t="s">
        <v>74</v>
      </c>
      <c r="H6" s="62" t="s">
        <v>16</v>
      </c>
      <c r="I6" s="95">
        <v>4553880</v>
      </c>
      <c r="J6" s="62">
        <v>3</v>
      </c>
      <c r="K6" s="62" t="s">
        <v>65</v>
      </c>
      <c r="L6" s="117" t="s">
        <v>12</v>
      </c>
      <c r="M6" s="1232">
        <v>44513</v>
      </c>
      <c r="N6" s="62" t="s">
        <v>11</v>
      </c>
      <c r="O6" s="941" t="s">
        <v>723</v>
      </c>
      <c r="P6" s="892" t="s">
        <v>111</v>
      </c>
      <c r="Q6" s="892" t="s">
        <v>111</v>
      </c>
      <c r="R6" s="76" t="s">
        <v>77</v>
      </c>
      <c r="S6" s="62" t="s">
        <v>77</v>
      </c>
      <c r="T6" s="76" t="s">
        <v>77</v>
      </c>
      <c r="U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4553880</v>
      </c>
    </row>
    <row r="7" spans="1:21" ht="11.25" customHeight="1" outlineLevel="1">
      <c r="A7" s="62">
        <v>5</v>
      </c>
      <c r="B7" s="62">
        <v>434</v>
      </c>
      <c r="C7" s="62">
        <v>16522</v>
      </c>
      <c r="D7" s="62" t="s">
        <v>73</v>
      </c>
      <c r="E7" s="62">
        <v>23.54</v>
      </c>
      <c r="F7" s="62" t="s">
        <v>9</v>
      </c>
      <c r="G7" s="62" t="s">
        <v>27</v>
      </c>
      <c r="H7" s="62" t="s">
        <v>84</v>
      </c>
      <c r="I7" s="95">
        <v>1523861.9</v>
      </c>
      <c r="J7" s="62">
        <v>0</v>
      </c>
      <c r="K7" s="62" t="s">
        <v>85</v>
      </c>
      <c r="L7" s="117" t="s">
        <v>12</v>
      </c>
      <c r="M7" s="92">
        <v>44505</v>
      </c>
      <c r="N7" s="62" t="s">
        <v>17</v>
      </c>
      <c r="O7" s="62" t="s">
        <v>724</v>
      </c>
      <c r="P7" s="892" t="s">
        <v>111</v>
      </c>
      <c r="Q7" s="892" t="s">
        <v>111</v>
      </c>
      <c r="R7" s="941" t="s">
        <v>73</v>
      </c>
      <c r="S7" s="941" t="s">
        <v>73</v>
      </c>
      <c r="T7" s="941" t="s">
        <v>73</v>
      </c>
      <c r="U7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1523861.9</v>
      </c>
    </row>
    <row r="8" spans="1:21" ht="11.25" customHeight="1" outlineLevel="1">
      <c r="A8" s="62">
        <v>6</v>
      </c>
      <c r="B8" s="62">
        <v>418</v>
      </c>
      <c r="C8" s="62">
        <v>16353</v>
      </c>
      <c r="D8" s="62" t="s">
        <v>73</v>
      </c>
      <c r="E8" s="62">
        <v>23.54</v>
      </c>
      <c r="F8" s="62" t="s">
        <v>9</v>
      </c>
      <c r="G8" s="62" t="s">
        <v>27</v>
      </c>
      <c r="H8" s="62" t="s">
        <v>84</v>
      </c>
      <c r="I8" s="95">
        <v>1523861.9</v>
      </c>
      <c r="J8" s="62">
        <v>0</v>
      </c>
      <c r="K8" s="62" t="s">
        <v>85</v>
      </c>
      <c r="L8" s="117" t="s">
        <v>12</v>
      </c>
      <c r="M8" s="92">
        <v>44505</v>
      </c>
      <c r="N8" s="62" t="s">
        <v>17</v>
      </c>
      <c r="O8" s="62" t="s">
        <v>724</v>
      </c>
      <c r="P8" s="892" t="s">
        <v>111</v>
      </c>
      <c r="Q8" s="892" t="s">
        <v>111</v>
      </c>
      <c r="R8" s="941" t="s">
        <v>73</v>
      </c>
      <c r="S8" s="941" t="s">
        <v>73</v>
      </c>
      <c r="T8" s="941" t="s">
        <v>73</v>
      </c>
      <c r="U8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1523861.9</v>
      </c>
    </row>
    <row r="9" spans="1:21" s="929" customFormat="1" ht="11.25" customHeight="1" outlineLevel="1">
      <c r="A9" s="62">
        <v>7</v>
      </c>
      <c r="B9" s="62">
        <v>61</v>
      </c>
      <c r="C9" s="62">
        <v>16885</v>
      </c>
      <c r="D9" s="117" t="s">
        <v>73</v>
      </c>
      <c r="E9" s="62">
        <v>36.42</v>
      </c>
      <c r="F9" s="117" t="s">
        <v>9</v>
      </c>
      <c r="G9" s="117" t="s">
        <v>121</v>
      </c>
      <c r="H9" s="117" t="s">
        <v>575</v>
      </c>
      <c r="I9" s="95">
        <v>2725306.56</v>
      </c>
      <c r="J9" s="62">
        <v>1</v>
      </c>
      <c r="K9" s="117" t="s">
        <v>65</v>
      </c>
      <c r="L9" s="117" t="s">
        <v>18</v>
      </c>
      <c r="M9" s="92">
        <v>44508</v>
      </c>
      <c r="N9" s="117" t="s">
        <v>17</v>
      </c>
      <c r="O9" s="117" t="s">
        <v>725</v>
      </c>
      <c r="P9" s="892" t="s">
        <v>111</v>
      </c>
      <c r="Q9" s="892" t="s">
        <v>111</v>
      </c>
      <c r="R9" s="892" t="s">
        <v>73</v>
      </c>
      <c r="S9" s="892" t="s">
        <v>73</v>
      </c>
      <c r="T9" s="892" t="s">
        <v>73</v>
      </c>
      <c r="U9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2725306.56</v>
      </c>
    </row>
    <row r="10" spans="1:21" s="929" customFormat="1" ht="11.25" customHeight="1" outlineLevel="1">
      <c r="A10" s="62">
        <v>8</v>
      </c>
      <c r="B10" s="62">
        <v>216</v>
      </c>
      <c r="C10" s="62">
        <v>16994</v>
      </c>
      <c r="D10" s="117" t="s">
        <v>73</v>
      </c>
      <c r="E10" s="62">
        <v>25.85</v>
      </c>
      <c r="F10" s="117" t="s">
        <v>25</v>
      </c>
      <c r="G10" s="117" t="s">
        <v>121</v>
      </c>
      <c r="H10" s="117" t="s">
        <v>16</v>
      </c>
      <c r="I10" s="95">
        <v>2431802.89</v>
      </c>
      <c r="J10" s="62">
        <v>0</v>
      </c>
      <c r="K10" s="117" t="s">
        <v>65</v>
      </c>
      <c r="L10" s="117" t="s">
        <v>18</v>
      </c>
      <c r="M10" s="92">
        <v>44508</v>
      </c>
      <c r="N10" s="117" t="s">
        <v>17</v>
      </c>
      <c r="O10" s="117" t="s">
        <v>726</v>
      </c>
      <c r="P10" s="892" t="s">
        <v>111</v>
      </c>
      <c r="Q10" s="892" t="s">
        <v>111</v>
      </c>
      <c r="R10" s="892" t="s">
        <v>73</v>
      </c>
      <c r="S10" s="945" t="s">
        <v>73</v>
      </c>
      <c r="T10" s="945" t="s">
        <v>73</v>
      </c>
      <c r="U10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2018202.89</v>
      </c>
    </row>
    <row r="11" spans="1:21" s="929" customFormat="1" ht="12" customHeight="1" outlineLevel="1">
      <c r="A11" s="62">
        <v>9</v>
      </c>
      <c r="B11" s="62">
        <v>455</v>
      </c>
      <c r="C11" s="62">
        <v>17137</v>
      </c>
      <c r="D11" s="117" t="s">
        <v>73</v>
      </c>
      <c r="E11" s="62">
        <v>55.8</v>
      </c>
      <c r="F11" s="117" t="s">
        <v>9</v>
      </c>
      <c r="G11" s="117" t="s">
        <v>27</v>
      </c>
      <c r="H11" s="117" t="s">
        <v>575</v>
      </c>
      <c r="I11" s="95">
        <v>3480297.61</v>
      </c>
      <c r="J11" s="62">
        <v>2</v>
      </c>
      <c r="K11" s="117" t="s">
        <v>65</v>
      </c>
      <c r="L11" s="117" t="s">
        <v>18</v>
      </c>
      <c r="M11" s="92">
        <v>44510</v>
      </c>
      <c r="N11" s="117" t="s">
        <v>11</v>
      </c>
      <c r="O11" s="117" t="s">
        <v>727</v>
      </c>
      <c r="P11" s="892" t="s">
        <v>111</v>
      </c>
      <c r="Q11" s="892" t="s">
        <v>111</v>
      </c>
      <c r="R11" s="892" t="s">
        <v>73</v>
      </c>
      <c r="S11" s="945" t="s">
        <v>73</v>
      </c>
      <c r="T11" s="945" t="s">
        <v>73</v>
      </c>
      <c r="U11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3480297.61</v>
      </c>
    </row>
    <row r="12" spans="1:21" s="929" customFormat="1" ht="11.25" customHeight="1" outlineLevel="1">
      <c r="A12" s="62">
        <v>10</v>
      </c>
      <c r="B12" s="62">
        <v>607</v>
      </c>
      <c r="C12" s="62">
        <v>13089</v>
      </c>
      <c r="D12" s="117" t="s">
        <v>73</v>
      </c>
      <c r="E12" s="62">
        <v>55.8</v>
      </c>
      <c r="F12" s="117" t="s">
        <v>9</v>
      </c>
      <c r="G12" s="117" t="s">
        <v>27</v>
      </c>
      <c r="H12" s="117" t="s">
        <v>575</v>
      </c>
      <c r="I12" s="95">
        <v>3179945.38</v>
      </c>
      <c r="J12" s="62">
        <v>2</v>
      </c>
      <c r="K12" s="117" t="s">
        <v>65</v>
      </c>
      <c r="L12" s="117" t="s">
        <v>18</v>
      </c>
      <c r="M12" s="92">
        <v>44509</v>
      </c>
      <c r="N12" s="117" t="s">
        <v>17</v>
      </c>
      <c r="O12" s="117" t="s">
        <v>728</v>
      </c>
      <c r="P12" s="892" t="s">
        <v>111</v>
      </c>
      <c r="Q12" s="892" t="s">
        <v>111</v>
      </c>
      <c r="R12" s="892" t="s">
        <v>73</v>
      </c>
      <c r="S12" s="945" t="s">
        <v>73</v>
      </c>
      <c r="T12" s="945" t="s">
        <v>73</v>
      </c>
      <c r="U12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3179945.38</v>
      </c>
    </row>
    <row r="13" spans="1:21" s="929" customFormat="1" ht="11.25" customHeight="1" outlineLevel="1">
      <c r="A13" s="62">
        <v>11</v>
      </c>
      <c r="B13" s="62">
        <v>229</v>
      </c>
      <c r="C13" s="62">
        <v>17141</v>
      </c>
      <c r="D13" s="117" t="s">
        <v>73</v>
      </c>
      <c r="E13" s="62">
        <v>37.11</v>
      </c>
      <c r="F13" s="117" t="s">
        <v>15</v>
      </c>
      <c r="G13" s="117" t="s">
        <v>27</v>
      </c>
      <c r="H13" s="117" t="s">
        <v>10</v>
      </c>
      <c r="I13" s="95">
        <v>2669667.27</v>
      </c>
      <c r="J13" s="62">
        <v>1</v>
      </c>
      <c r="K13" s="1310" t="s">
        <v>85</v>
      </c>
      <c r="L13" s="117" t="s">
        <v>18</v>
      </c>
      <c r="M13" s="92">
        <v>44509</v>
      </c>
      <c r="N13" s="117" t="s">
        <v>17</v>
      </c>
      <c r="O13" s="117" t="s">
        <v>729</v>
      </c>
      <c r="P13" s="892" t="s">
        <v>111</v>
      </c>
      <c r="Q13" s="892" t="s">
        <v>111</v>
      </c>
      <c r="R13" s="892" t="s">
        <v>73</v>
      </c>
      <c r="S13" s="945" t="s">
        <v>73</v>
      </c>
      <c r="T13" s="945" t="s">
        <v>73</v>
      </c>
      <c r="U1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2465562.27</v>
      </c>
    </row>
    <row r="14" spans="1:21" s="929" customFormat="1" ht="11.25" customHeight="1" outlineLevel="1">
      <c r="A14" s="62">
        <v>12</v>
      </c>
      <c r="B14" s="62">
        <v>225</v>
      </c>
      <c r="C14" s="62">
        <v>17180</v>
      </c>
      <c r="D14" s="117" t="s">
        <v>73</v>
      </c>
      <c r="E14" s="62">
        <v>37.159999999999997</v>
      </c>
      <c r="F14" s="117" t="s">
        <v>9</v>
      </c>
      <c r="G14" s="117" t="s">
        <v>27</v>
      </c>
      <c r="H14" s="117" t="s">
        <v>16</v>
      </c>
      <c r="I14" s="95">
        <v>2673264.2400000002</v>
      </c>
      <c r="J14" s="62">
        <v>1</v>
      </c>
      <c r="K14" s="117" t="s">
        <v>65</v>
      </c>
      <c r="L14" s="117" t="s">
        <v>18</v>
      </c>
      <c r="M14" s="92">
        <v>44509</v>
      </c>
      <c r="N14" s="117" t="s">
        <v>17</v>
      </c>
      <c r="O14" s="117" t="s">
        <v>730</v>
      </c>
      <c r="P14" s="892" t="s">
        <v>111</v>
      </c>
      <c r="Q14" s="892" t="s">
        <v>111</v>
      </c>
      <c r="R14" s="892" t="s">
        <v>73</v>
      </c>
      <c r="S14" s="945" t="s">
        <v>73</v>
      </c>
      <c r="T14" s="945" t="s">
        <v>73</v>
      </c>
      <c r="U1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2673264.2400000002</v>
      </c>
    </row>
    <row r="15" spans="1:21" ht="11.25" customHeight="1" outlineLevel="1">
      <c r="A15" s="62">
        <v>13</v>
      </c>
      <c r="B15" s="62">
        <v>594</v>
      </c>
      <c r="C15" s="62">
        <v>16588</v>
      </c>
      <c r="D15" s="62" t="s">
        <v>77</v>
      </c>
      <c r="E15" s="62">
        <v>23.54</v>
      </c>
      <c r="F15" s="117" t="s">
        <v>9</v>
      </c>
      <c r="G15" s="117" t="s">
        <v>27</v>
      </c>
      <c r="H15" s="117" t="s">
        <v>575</v>
      </c>
      <c r="I15" s="95">
        <v>1702458.51</v>
      </c>
      <c r="J15" s="62">
        <v>0</v>
      </c>
      <c r="K15" s="62" t="s">
        <v>65</v>
      </c>
      <c r="L15" s="62" t="s">
        <v>18</v>
      </c>
      <c r="M15" s="942">
        <v>44505</v>
      </c>
      <c r="N15" s="62" t="s">
        <v>17</v>
      </c>
      <c r="O15" s="62" t="s">
        <v>731</v>
      </c>
      <c r="P15" s="892" t="s">
        <v>111</v>
      </c>
      <c r="Q15" s="892" t="s">
        <v>111</v>
      </c>
      <c r="R15" s="941" t="s">
        <v>77</v>
      </c>
      <c r="S15" s="941" t="s">
        <v>77</v>
      </c>
      <c r="T15" s="941" t="s">
        <v>77</v>
      </c>
      <c r="U1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1702458.5100000002</v>
      </c>
    </row>
    <row r="16" spans="1:21" ht="12.75" customHeight="1" outlineLevel="1">
      <c r="A16" s="62">
        <v>14</v>
      </c>
      <c r="B16" s="62">
        <v>67</v>
      </c>
      <c r="C16" s="62">
        <v>16570</v>
      </c>
      <c r="D16" s="62" t="s">
        <v>77</v>
      </c>
      <c r="E16" s="62">
        <v>36.86</v>
      </c>
      <c r="F16" s="941" t="s">
        <v>9</v>
      </c>
      <c r="G16" s="117" t="s">
        <v>121</v>
      </c>
      <c r="H16" s="62" t="s">
        <v>10</v>
      </c>
      <c r="I16" s="95">
        <v>2758231.73</v>
      </c>
      <c r="J16" s="62">
        <v>1</v>
      </c>
      <c r="K16" s="62" t="s">
        <v>130</v>
      </c>
      <c r="L16" s="62" t="s">
        <v>18</v>
      </c>
      <c r="M16" s="92">
        <v>44507</v>
      </c>
      <c r="N16" s="62" t="s">
        <v>17</v>
      </c>
      <c r="O16" s="62" t="s">
        <v>732</v>
      </c>
      <c r="P16" s="892" t="s">
        <v>111</v>
      </c>
      <c r="Q16" s="892" t="s">
        <v>111</v>
      </c>
      <c r="R16" s="941" t="s">
        <v>77</v>
      </c>
      <c r="S16" s="941" t="s">
        <v>77</v>
      </c>
      <c r="T16" s="941" t="s">
        <v>77</v>
      </c>
      <c r="U1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2758231.73</v>
      </c>
    </row>
    <row r="17" spans="1:21" s="929" customFormat="1" ht="12.75" customHeight="1" outlineLevel="1">
      <c r="A17" s="62">
        <v>15</v>
      </c>
      <c r="B17" s="62">
        <v>176</v>
      </c>
      <c r="C17" s="62">
        <v>11401</v>
      </c>
      <c r="D17" s="62" t="s">
        <v>77</v>
      </c>
      <c r="E17" s="62">
        <v>37.89</v>
      </c>
      <c r="F17" s="941" t="s">
        <v>15</v>
      </c>
      <c r="G17" s="62" t="s">
        <v>121</v>
      </c>
      <c r="H17" s="62" t="s">
        <v>16</v>
      </c>
      <c r="I17" s="95">
        <v>3111199.46</v>
      </c>
      <c r="J17" s="62">
        <v>1</v>
      </c>
      <c r="K17" s="62" t="s">
        <v>65</v>
      </c>
      <c r="L17" s="62" t="s">
        <v>18</v>
      </c>
      <c r="M17" s="92">
        <v>44509</v>
      </c>
      <c r="N17" s="62" t="s">
        <v>17</v>
      </c>
      <c r="O17" s="62" t="s">
        <v>733</v>
      </c>
      <c r="P17" s="892" t="s">
        <v>111</v>
      </c>
      <c r="Q17" s="892" t="s">
        <v>111</v>
      </c>
      <c r="R17" s="76" t="s">
        <v>77</v>
      </c>
      <c r="S17" s="76" t="s">
        <v>73</v>
      </c>
      <c r="T17" s="76" t="s">
        <v>77</v>
      </c>
      <c r="U17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2902804.46</v>
      </c>
    </row>
    <row r="18" spans="1:21" s="941" customFormat="1" ht="11.25" customHeight="1" outlineLevel="1">
      <c r="A18" s="62">
        <v>16</v>
      </c>
      <c r="B18" s="62">
        <v>471</v>
      </c>
      <c r="C18" s="62">
        <v>15652</v>
      </c>
      <c r="D18" s="62" t="s">
        <v>471</v>
      </c>
      <c r="E18" s="62">
        <v>55.8</v>
      </c>
      <c r="F18" s="941" t="s">
        <v>9</v>
      </c>
      <c r="G18" s="62" t="s">
        <v>27</v>
      </c>
      <c r="H18" s="62" t="s">
        <v>575</v>
      </c>
      <c r="I18" s="95">
        <v>3244345.23</v>
      </c>
      <c r="J18" s="62">
        <v>2</v>
      </c>
      <c r="K18" s="62" t="s">
        <v>65</v>
      </c>
      <c r="L18" s="62" t="s">
        <v>12</v>
      </c>
      <c r="M18" s="92">
        <v>44520</v>
      </c>
      <c r="N18" s="62" t="s">
        <v>17</v>
      </c>
      <c r="O18" s="62" t="s">
        <v>734</v>
      </c>
      <c r="P18" s="892" t="s">
        <v>111</v>
      </c>
      <c r="Q18" s="892" t="s">
        <v>111</v>
      </c>
      <c r="R18" s="76" t="s">
        <v>471</v>
      </c>
      <c r="S18" s="76" t="s">
        <v>471</v>
      </c>
      <c r="T18" s="76" t="s">
        <v>471</v>
      </c>
      <c r="U18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3244345.23</v>
      </c>
    </row>
    <row r="19" spans="1:21" s="929" customFormat="1" ht="11.25" customHeight="1" outlineLevel="1">
      <c r="A19" s="62">
        <v>17</v>
      </c>
      <c r="B19" s="62">
        <v>618</v>
      </c>
      <c r="C19" s="62">
        <v>16988</v>
      </c>
      <c r="D19" s="62" t="s">
        <v>471</v>
      </c>
      <c r="E19" s="62">
        <v>23.54</v>
      </c>
      <c r="F19" s="62" t="s">
        <v>15</v>
      </c>
      <c r="G19" s="62" t="s">
        <v>27</v>
      </c>
      <c r="H19" s="62" t="s">
        <v>575</v>
      </c>
      <c r="I19" s="95">
        <v>1831928.51</v>
      </c>
      <c r="J19" s="62">
        <v>0</v>
      </c>
      <c r="K19" s="62" t="s">
        <v>65</v>
      </c>
      <c r="L19" s="62" t="s">
        <v>12</v>
      </c>
      <c r="M19" s="92">
        <v>44516</v>
      </c>
      <c r="N19" s="62" t="s">
        <v>17</v>
      </c>
      <c r="O19" s="62" t="s">
        <v>735</v>
      </c>
      <c r="P19" s="892" t="s">
        <v>111</v>
      </c>
      <c r="Q19" s="892" t="s">
        <v>111</v>
      </c>
      <c r="R19" s="941" t="s">
        <v>471</v>
      </c>
      <c r="S19" s="941" t="s">
        <v>471</v>
      </c>
      <c r="T19" s="941" t="s">
        <v>471</v>
      </c>
      <c r="U19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1702458.5100000002</v>
      </c>
    </row>
    <row r="20" spans="1:21" s="929" customFormat="1" ht="12.75" customHeight="1" outlineLevel="1">
      <c r="A20" s="62">
        <v>18</v>
      </c>
      <c r="B20" s="62">
        <v>396</v>
      </c>
      <c r="C20" s="62">
        <v>17062</v>
      </c>
      <c r="D20" s="62" t="s">
        <v>471</v>
      </c>
      <c r="E20" s="62">
        <v>23.63</v>
      </c>
      <c r="F20" s="62" t="s">
        <v>9</v>
      </c>
      <c r="G20" s="62" t="s">
        <v>27</v>
      </c>
      <c r="H20" s="62" t="s">
        <v>10</v>
      </c>
      <c r="I20" s="95">
        <v>1606172.45</v>
      </c>
      <c r="J20" s="62">
        <v>0</v>
      </c>
      <c r="K20" s="62" t="s">
        <v>85</v>
      </c>
      <c r="L20" s="62" t="s">
        <v>18</v>
      </c>
      <c r="M20" s="942">
        <v>44513</v>
      </c>
      <c r="N20" s="62" t="s">
        <v>11</v>
      </c>
      <c r="O20" s="941" t="s">
        <v>736</v>
      </c>
      <c r="P20" s="892" t="s">
        <v>111</v>
      </c>
      <c r="Q20" s="892" t="s">
        <v>111</v>
      </c>
      <c r="R20" s="941" t="s">
        <v>471</v>
      </c>
      <c r="S20" s="941" t="s">
        <v>471</v>
      </c>
      <c r="T20" s="941" t="s">
        <v>471</v>
      </c>
      <c r="U20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1606172.4499999997</v>
      </c>
    </row>
    <row r="21" spans="1:21" s="929" customFormat="1" ht="12.75" customHeight="1" outlineLevel="1">
      <c r="A21" s="62">
        <v>19</v>
      </c>
      <c r="B21" s="62">
        <v>4</v>
      </c>
      <c r="C21" s="62">
        <v>17116</v>
      </c>
      <c r="D21" s="62" t="s">
        <v>471</v>
      </c>
      <c r="E21" s="62">
        <v>36.86</v>
      </c>
      <c r="F21" s="941" t="s">
        <v>25</v>
      </c>
      <c r="G21" s="62" t="s">
        <v>121</v>
      </c>
      <c r="H21" s="62" t="s">
        <v>575</v>
      </c>
      <c r="I21" s="91">
        <v>3347991.73</v>
      </c>
      <c r="J21" s="62">
        <v>1</v>
      </c>
      <c r="K21" s="62" t="s">
        <v>65</v>
      </c>
      <c r="L21" s="62" t="s">
        <v>18</v>
      </c>
      <c r="M21" s="942">
        <v>44517</v>
      </c>
      <c r="N21" s="62" t="s">
        <v>17</v>
      </c>
      <c r="O21" s="941" t="s">
        <v>737</v>
      </c>
      <c r="P21" s="892" t="s">
        <v>111</v>
      </c>
      <c r="Q21" s="892" t="s">
        <v>111</v>
      </c>
      <c r="R21" s="941" t="s">
        <v>471</v>
      </c>
      <c r="S21" s="941" t="s">
        <v>471</v>
      </c>
      <c r="T21" s="941" t="s">
        <v>471</v>
      </c>
      <c r="U21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2758231.73</v>
      </c>
    </row>
    <row r="22" spans="1:21" s="1213" customFormat="1" ht="18" customHeight="1" outlineLevel="1">
      <c r="A22" s="62">
        <v>20</v>
      </c>
      <c r="B22" s="117">
        <v>394</v>
      </c>
      <c r="C22" s="117">
        <v>17098</v>
      </c>
      <c r="D22" s="62" t="s">
        <v>471</v>
      </c>
      <c r="E22" s="117">
        <v>23.54</v>
      </c>
      <c r="F22" s="62" t="s">
        <v>9</v>
      </c>
      <c r="G22" s="62" t="s">
        <v>27</v>
      </c>
      <c r="H22" s="62" t="s">
        <v>10</v>
      </c>
      <c r="I22" s="1370">
        <v>1600055</v>
      </c>
      <c r="J22" s="117">
        <v>0</v>
      </c>
      <c r="K22" s="62" t="s">
        <v>85</v>
      </c>
      <c r="L22" s="62" t="s">
        <v>18</v>
      </c>
      <c r="M22" s="1016">
        <v>44511</v>
      </c>
      <c r="N22" s="62" t="s">
        <v>11</v>
      </c>
      <c r="O22" s="117" t="s">
        <v>738</v>
      </c>
      <c r="P22" s="892" t="s">
        <v>111</v>
      </c>
      <c r="Q22" s="892" t="s">
        <v>111</v>
      </c>
      <c r="R22" s="941" t="s">
        <v>471</v>
      </c>
      <c r="S22" s="941" t="s">
        <v>471</v>
      </c>
      <c r="T22" s="941" t="s">
        <v>471</v>
      </c>
      <c r="U22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1600055.0000000002</v>
      </c>
    </row>
    <row r="23" spans="1:21" s="929" customFormat="1" outlineLevel="1">
      <c r="A23" s="62">
        <v>21</v>
      </c>
      <c r="B23" s="62">
        <v>201</v>
      </c>
      <c r="C23" s="62">
        <v>17240</v>
      </c>
      <c r="D23" s="62" t="s">
        <v>77</v>
      </c>
      <c r="E23" s="62">
        <v>24.23</v>
      </c>
      <c r="F23" s="941" t="s">
        <v>25</v>
      </c>
      <c r="G23" s="62" t="s">
        <v>121</v>
      </c>
      <c r="H23" s="62" t="s">
        <v>16</v>
      </c>
      <c r="I23" s="95">
        <v>2264167.2000000002</v>
      </c>
      <c r="J23" s="62">
        <v>0</v>
      </c>
      <c r="K23" s="62" t="s">
        <v>65</v>
      </c>
      <c r="L23" s="62" t="s">
        <v>18</v>
      </c>
      <c r="M23" s="92">
        <v>44523</v>
      </c>
      <c r="N23" s="62" t="s">
        <v>17</v>
      </c>
      <c r="O23" s="62" t="s">
        <v>739</v>
      </c>
      <c r="P23" s="892" t="s">
        <v>111</v>
      </c>
      <c r="Q23" s="892" t="s">
        <v>111</v>
      </c>
      <c r="R23" s="941" t="s">
        <v>77</v>
      </c>
      <c r="S23" s="941" t="s">
        <v>77</v>
      </c>
      <c r="T23" s="941" t="s">
        <v>77</v>
      </c>
      <c r="U2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1876487.2000000004</v>
      </c>
    </row>
    <row r="24" spans="1:21" s="929" customFormat="1" outlineLevel="1">
      <c r="A24" s="62">
        <v>22</v>
      </c>
      <c r="B24" s="62">
        <v>551</v>
      </c>
      <c r="C24" s="62">
        <v>16927</v>
      </c>
      <c r="D24" s="62" t="s">
        <v>77</v>
      </c>
      <c r="E24" s="62">
        <v>55.8</v>
      </c>
      <c r="F24" s="941" t="s">
        <v>9</v>
      </c>
      <c r="G24" s="62" t="s">
        <v>27</v>
      </c>
      <c r="H24" s="62" t="s">
        <v>16</v>
      </c>
      <c r="I24" s="95">
        <v>3300465.31</v>
      </c>
      <c r="J24" s="62">
        <v>2</v>
      </c>
      <c r="K24" s="62" t="s">
        <v>65</v>
      </c>
      <c r="L24" s="62" t="s">
        <v>18</v>
      </c>
      <c r="M24" s="92">
        <v>44517</v>
      </c>
      <c r="N24" s="62" t="s">
        <v>17</v>
      </c>
      <c r="O24" s="62" t="s">
        <v>740</v>
      </c>
      <c r="P24" s="892" t="s">
        <v>111</v>
      </c>
      <c r="Q24" s="892" t="s">
        <v>111</v>
      </c>
      <c r="R24" s="76" t="s">
        <v>77</v>
      </c>
      <c r="S24" s="76" t="s">
        <v>77</v>
      </c>
      <c r="T24" s="76" t="s">
        <v>77</v>
      </c>
      <c r="U2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3300465.31</v>
      </c>
    </row>
    <row r="25" spans="1:21" s="929" customFormat="1" ht="12.75" customHeight="1" outlineLevel="1">
      <c r="A25" s="62">
        <v>23</v>
      </c>
      <c r="B25" s="62">
        <v>622</v>
      </c>
      <c r="C25" s="62">
        <v>17262</v>
      </c>
      <c r="D25" s="62" t="s">
        <v>73</v>
      </c>
      <c r="E25" s="62">
        <v>59.93</v>
      </c>
      <c r="F25" s="941" t="s">
        <v>9</v>
      </c>
      <c r="G25" s="62" t="s">
        <v>27</v>
      </c>
      <c r="H25" s="62" t="s">
        <v>16</v>
      </c>
      <c r="I25" s="95">
        <v>3770676.71</v>
      </c>
      <c r="J25" s="62">
        <v>2</v>
      </c>
      <c r="K25" s="62" t="s">
        <v>65</v>
      </c>
      <c r="L25" s="62" t="s">
        <v>18</v>
      </c>
      <c r="M25" s="92">
        <v>44510</v>
      </c>
      <c r="N25" s="62" t="s">
        <v>17</v>
      </c>
      <c r="O25" s="62" t="s">
        <v>741</v>
      </c>
      <c r="P25" s="892" t="s">
        <v>111</v>
      </c>
      <c r="Q25" s="892" t="s">
        <v>111</v>
      </c>
      <c r="R25" s="76" t="s">
        <v>73</v>
      </c>
      <c r="S25" s="76" t="s">
        <v>73</v>
      </c>
      <c r="T25" s="76" t="s">
        <v>73</v>
      </c>
      <c r="U2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3770676.71</v>
      </c>
    </row>
    <row r="26" spans="1:21" s="929" customFormat="1" outlineLevel="1">
      <c r="A26" s="62">
        <v>24</v>
      </c>
      <c r="B26" s="62">
        <v>70</v>
      </c>
      <c r="C26" s="62">
        <v>16719</v>
      </c>
      <c r="D26" s="62" t="s">
        <v>73</v>
      </c>
      <c r="E26" s="62">
        <v>58.17</v>
      </c>
      <c r="F26" s="941" t="s">
        <v>15</v>
      </c>
      <c r="G26" s="62" t="s">
        <v>121</v>
      </c>
      <c r="H26" s="62" t="s">
        <v>10</v>
      </c>
      <c r="I26" s="95">
        <v>4372209.42</v>
      </c>
      <c r="J26" s="62">
        <v>2</v>
      </c>
      <c r="K26" s="62" t="s">
        <v>85</v>
      </c>
      <c r="L26" s="62" t="s">
        <v>12</v>
      </c>
      <c r="M26" s="92">
        <v>44522</v>
      </c>
      <c r="N26" s="62" t="s">
        <v>17</v>
      </c>
      <c r="O26" s="62" t="s">
        <v>742</v>
      </c>
      <c r="P26" s="892" t="s">
        <v>111</v>
      </c>
      <c r="Q26" s="892" t="s">
        <v>111</v>
      </c>
      <c r="R26" s="76" t="s">
        <v>73</v>
      </c>
      <c r="S26" s="941" t="s">
        <v>73</v>
      </c>
      <c r="T26" s="76" t="s">
        <v>73</v>
      </c>
      <c r="U2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4052274.4199999995</v>
      </c>
    </row>
    <row r="27" spans="1:21" s="929" customFormat="1" ht="12.75" customHeight="1" outlineLevel="1">
      <c r="A27" s="62">
        <v>25</v>
      </c>
      <c r="B27" s="62">
        <v>431</v>
      </c>
      <c r="C27" s="62">
        <v>17021</v>
      </c>
      <c r="D27" s="62" t="s">
        <v>73</v>
      </c>
      <c r="E27" s="62">
        <v>55.8</v>
      </c>
      <c r="F27" s="941" t="s">
        <v>9</v>
      </c>
      <c r="G27" s="62" t="s">
        <v>27</v>
      </c>
      <c r="H27" s="62" t="s">
        <v>575</v>
      </c>
      <c r="I27" s="95">
        <v>3683918.44</v>
      </c>
      <c r="J27" s="62">
        <v>2</v>
      </c>
      <c r="K27" s="62" t="s">
        <v>65</v>
      </c>
      <c r="L27" s="62" t="s">
        <v>18</v>
      </c>
      <c r="M27" s="92">
        <v>44516</v>
      </c>
      <c r="N27" s="62" t="s">
        <v>11</v>
      </c>
      <c r="O27" s="62" t="s">
        <v>743</v>
      </c>
      <c r="P27" s="892" t="s">
        <v>111</v>
      </c>
      <c r="Q27" s="892" t="s">
        <v>111</v>
      </c>
      <c r="R27" s="76" t="s">
        <v>73</v>
      </c>
      <c r="S27" s="945" t="s">
        <v>73</v>
      </c>
      <c r="T27" s="76" t="s">
        <v>73</v>
      </c>
      <c r="U27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3683918.4400000004</v>
      </c>
    </row>
    <row r="28" spans="1:21" s="929" customFormat="1" outlineLevel="1">
      <c r="A28" s="62">
        <v>26</v>
      </c>
      <c r="B28" s="62">
        <v>102</v>
      </c>
      <c r="C28" s="62">
        <v>17122</v>
      </c>
      <c r="D28" s="117" t="s">
        <v>73</v>
      </c>
      <c r="E28" s="62">
        <v>36.86</v>
      </c>
      <c r="F28" s="945" t="s">
        <v>15</v>
      </c>
      <c r="G28" s="117" t="s">
        <v>121</v>
      </c>
      <c r="H28" s="117" t="s">
        <v>16</v>
      </c>
      <c r="I28" s="95">
        <v>2960961.73</v>
      </c>
      <c r="J28" s="62">
        <v>1</v>
      </c>
      <c r="K28" s="117" t="s">
        <v>65</v>
      </c>
      <c r="L28" s="117" t="s">
        <v>18</v>
      </c>
      <c r="M28" s="92">
        <v>44522</v>
      </c>
      <c r="N28" s="117" t="s">
        <v>11</v>
      </c>
      <c r="O28" s="117" t="s">
        <v>744</v>
      </c>
      <c r="P28" s="892" t="s">
        <v>111</v>
      </c>
      <c r="Q28" s="892" t="s">
        <v>111</v>
      </c>
      <c r="R28" s="892" t="s">
        <v>73</v>
      </c>
      <c r="S28" s="945" t="s">
        <v>73</v>
      </c>
      <c r="T28" s="945" t="s">
        <v>73</v>
      </c>
      <c r="U28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2758231.73</v>
      </c>
    </row>
    <row r="29" spans="1:21" s="929" customFormat="1" outlineLevel="1">
      <c r="A29" s="62">
        <v>27</v>
      </c>
      <c r="B29" s="62">
        <v>218</v>
      </c>
      <c r="C29" s="62">
        <v>3199</v>
      </c>
      <c r="D29" s="117" t="s">
        <v>73</v>
      </c>
      <c r="E29" s="62">
        <v>77.55</v>
      </c>
      <c r="F29" s="945" t="s">
        <v>25</v>
      </c>
      <c r="G29" s="117" t="s">
        <v>74</v>
      </c>
      <c r="H29" s="117" t="s">
        <v>16</v>
      </c>
      <c r="I29" s="1019">
        <v>5488368.5999999996</v>
      </c>
      <c r="J29" s="62">
        <v>3</v>
      </c>
      <c r="K29" s="117" t="s">
        <v>65</v>
      </c>
      <c r="L29" s="117" t="s">
        <v>18</v>
      </c>
      <c r="M29" s="92">
        <v>44525</v>
      </c>
      <c r="N29" s="117" t="s">
        <v>11</v>
      </c>
      <c r="O29" s="117" t="s">
        <v>745</v>
      </c>
      <c r="P29" s="892" t="s">
        <v>111</v>
      </c>
      <c r="Q29" s="892" t="s">
        <v>111</v>
      </c>
      <c r="R29" s="892" t="s">
        <v>73</v>
      </c>
      <c r="S29" s="945" t="s">
        <v>20</v>
      </c>
      <c r="T29" s="945" t="s">
        <v>73</v>
      </c>
      <c r="U29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Row],[Отделка]]="Чистовая",-15000,""))*Октябрь2126[[#This Row],[м2]],"")</f>
        <v>4325118.5999999996</v>
      </c>
    </row>
    <row r="30" spans="1:21" s="929" customFormat="1" ht="12.75" customHeight="1" outlineLevel="1">
      <c r="A30" s="62">
        <v>28</v>
      </c>
      <c r="B30" s="62">
        <v>304</v>
      </c>
      <c r="C30" s="62">
        <v>17296</v>
      </c>
      <c r="D30" s="62" t="s">
        <v>73</v>
      </c>
      <c r="E30" s="62">
        <v>25.85</v>
      </c>
      <c r="F30" s="941" t="s">
        <v>15</v>
      </c>
      <c r="G30" s="62" t="s">
        <v>121</v>
      </c>
      <c r="H30" s="62" t="s">
        <v>575</v>
      </c>
      <c r="I30" s="95">
        <v>2215620.89</v>
      </c>
      <c r="J30" s="62">
        <v>0</v>
      </c>
      <c r="K30" s="62" t="s">
        <v>65</v>
      </c>
      <c r="L30" s="62" t="s">
        <v>18</v>
      </c>
      <c r="M30" s="92">
        <v>44519</v>
      </c>
      <c r="N30" s="62" t="s">
        <v>17</v>
      </c>
      <c r="O30" s="62" t="s">
        <v>746</v>
      </c>
      <c r="P30" s="892" t="s">
        <v>111</v>
      </c>
      <c r="Q30" s="892" t="s">
        <v>111</v>
      </c>
      <c r="R30" s="76" t="s">
        <v>73</v>
      </c>
      <c r="S30" s="76" t="s">
        <v>73</v>
      </c>
      <c r="T30" s="76" t="s">
        <v>73</v>
      </c>
      <c r="U30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2073445.8900000001</v>
      </c>
    </row>
    <row r="31" spans="1:21" s="929" customFormat="1" outlineLevel="1">
      <c r="A31" s="62">
        <v>29</v>
      </c>
      <c r="B31" s="62">
        <v>481</v>
      </c>
      <c r="C31" s="62">
        <v>13860</v>
      </c>
      <c r="D31" s="62" t="s">
        <v>20</v>
      </c>
      <c r="E31" s="62">
        <v>37.159999999999997</v>
      </c>
      <c r="F31" s="945" t="s">
        <v>9</v>
      </c>
      <c r="G31" s="62" t="s">
        <v>27</v>
      </c>
      <c r="H31" s="62" t="s">
        <v>16</v>
      </c>
      <c r="I31" s="95">
        <v>2468884.2400000002</v>
      </c>
      <c r="J31" s="62">
        <v>1</v>
      </c>
      <c r="K31" s="62" t="s">
        <v>65</v>
      </c>
      <c r="L31" s="62" t="s">
        <v>12</v>
      </c>
      <c r="M31" s="92">
        <v>44519</v>
      </c>
      <c r="N31" s="62" t="s">
        <v>17</v>
      </c>
      <c r="O31" s="62" t="s">
        <v>747</v>
      </c>
      <c r="P31" s="892" t="s">
        <v>111</v>
      </c>
      <c r="Q31" s="892" t="s">
        <v>111</v>
      </c>
      <c r="R31" s="76" t="s">
        <v>20</v>
      </c>
      <c r="S31" s="76" t="s">
        <v>20</v>
      </c>
      <c r="T31" s="76" t="s">
        <v>73</v>
      </c>
      <c r="U31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2468884.2400000002</v>
      </c>
    </row>
    <row r="32" spans="1:21" ht="12.75" customHeight="1" outlineLevel="1">
      <c r="A32" s="62">
        <v>30</v>
      </c>
      <c r="B32" s="62">
        <v>608</v>
      </c>
      <c r="C32" s="62">
        <v>17251</v>
      </c>
      <c r="D32" s="62" t="s">
        <v>77</v>
      </c>
      <c r="E32" s="62">
        <v>82.27</v>
      </c>
      <c r="F32" s="945" t="s">
        <v>9</v>
      </c>
      <c r="G32" s="62" t="s">
        <v>27</v>
      </c>
      <c r="H32" s="62" t="s">
        <v>16</v>
      </c>
      <c r="I32" s="95">
        <v>4654991</v>
      </c>
      <c r="J32" s="62">
        <v>3</v>
      </c>
      <c r="K32" s="62" t="s">
        <v>65</v>
      </c>
      <c r="L32" s="62" t="s">
        <v>18</v>
      </c>
      <c r="M32" s="92">
        <v>44518</v>
      </c>
      <c r="N32" s="62" t="s">
        <v>17</v>
      </c>
      <c r="O32" s="941" t="s">
        <v>748</v>
      </c>
      <c r="P32" s="892" t="s">
        <v>111</v>
      </c>
      <c r="Q32" s="892" t="s">
        <v>111</v>
      </c>
      <c r="R32" s="76" t="s">
        <v>77</v>
      </c>
      <c r="S32" s="76" t="s">
        <v>77</v>
      </c>
      <c r="T32" s="76" t="s">
        <v>77</v>
      </c>
      <c r="U32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4654991</v>
      </c>
    </row>
    <row r="33" spans="1:21" s="929" customFormat="1" ht="12.75" customHeight="1" outlineLevel="1">
      <c r="A33" s="62">
        <v>31</v>
      </c>
      <c r="B33" s="62">
        <v>340</v>
      </c>
      <c r="C33" s="62">
        <v>17306</v>
      </c>
      <c r="D33" s="62" t="s">
        <v>77</v>
      </c>
      <c r="E33" s="62">
        <v>23.63</v>
      </c>
      <c r="F33" s="945" t="s">
        <v>9</v>
      </c>
      <c r="G33" s="62" t="s">
        <v>27</v>
      </c>
      <c r="H33" s="62" t="s">
        <v>16</v>
      </c>
      <c r="I33" s="91">
        <v>1828595.21</v>
      </c>
      <c r="J33" s="62">
        <v>0</v>
      </c>
      <c r="K33" s="62" t="s">
        <v>65</v>
      </c>
      <c r="L33" s="62" t="s">
        <v>18</v>
      </c>
      <c r="M33" s="92">
        <v>44519</v>
      </c>
      <c r="N33" s="62" t="s">
        <v>17</v>
      </c>
      <c r="O33" s="76" t="s">
        <v>749</v>
      </c>
      <c r="P33" s="892" t="s">
        <v>111</v>
      </c>
      <c r="Q33" s="892" t="s">
        <v>111</v>
      </c>
      <c r="R33" s="76"/>
      <c r="S33" s="76" t="s">
        <v>73</v>
      </c>
      <c r="T33" s="76" t="s">
        <v>77</v>
      </c>
      <c r="U3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1828595.2099999997</v>
      </c>
    </row>
    <row r="34" spans="1:21" s="929" customFormat="1" ht="12.75" customHeight="1" outlineLevel="1">
      <c r="A34" s="62">
        <v>32</v>
      </c>
      <c r="B34" s="75">
        <v>628</v>
      </c>
      <c r="C34" s="75">
        <v>17327</v>
      </c>
      <c r="D34" s="62" t="s">
        <v>77</v>
      </c>
      <c r="E34" s="62">
        <v>23.63</v>
      </c>
      <c r="F34" s="945" t="s">
        <v>9</v>
      </c>
      <c r="G34" s="62" t="s">
        <v>27</v>
      </c>
      <c r="H34" s="62" t="s">
        <v>10</v>
      </c>
      <c r="I34" s="95">
        <v>1718604.52</v>
      </c>
      <c r="J34" s="62">
        <v>0</v>
      </c>
      <c r="K34" s="62" t="s">
        <v>130</v>
      </c>
      <c r="L34" s="62" t="s">
        <v>18</v>
      </c>
      <c r="M34" s="92">
        <v>44523</v>
      </c>
      <c r="N34" s="62" t="s">
        <v>11</v>
      </c>
      <c r="O34" s="62" t="s">
        <v>750</v>
      </c>
      <c r="P34" s="892" t="s">
        <v>111</v>
      </c>
      <c r="Q34" s="892" t="s">
        <v>111</v>
      </c>
      <c r="R34" s="76" t="s">
        <v>77</v>
      </c>
      <c r="S34" s="76" t="s">
        <v>77</v>
      </c>
      <c r="T34" s="76" t="s">
        <v>77</v>
      </c>
      <c r="U3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1718604.5200000003</v>
      </c>
    </row>
    <row r="35" spans="1:21" s="929" customFormat="1" ht="12.75" customHeight="1" outlineLevel="1">
      <c r="A35" s="62">
        <v>33</v>
      </c>
      <c r="B35" s="75">
        <v>621</v>
      </c>
      <c r="C35" s="75">
        <v>17348</v>
      </c>
      <c r="D35" s="62" t="s">
        <v>77</v>
      </c>
      <c r="E35" s="62">
        <v>37.11</v>
      </c>
      <c r="F35" s="945" t="s">
        <v>9</v>
      </c>
      <c r="G35" s="62" t="s">
        <v>27</v>
      </c>
      <c r="H35" s="62" t="s">
        <v>10</v>
      </c>
      <c r="I35" s="95">
        <v>2528228.65</v>
      </c>
      <c r="J35" s="62">
        <v>1</v>
      </c>
      <c r="K35" s="62" t="s">
        <v>130</v>
      </c>
      <c r="L35" s="62" t="s">
        <v>18</v>
      </c>
      <c r="M35" s="92">
        <v>44523</v>
      </c>
      <c r="N35" s="62" t="s">
        <v>11</v>
      </c>
      <c r="O35" s="62" t="s">
        <v>750</v>
      </c>
      <c r="P35" s="892" t="s">
        <v>111</v>
      </c>
      <c r="Q35" s="892" t="s">
        <v>111</v>
      </c>
      <c r="R35" s="76" t="s">
        <v>77</v>
      </c>
      <c r="S35" s="76" t="s">
        <v>77</v>
      </c>
      <c r="T35" s="76" t="s">
        <v>77</v>
      </c>
      <c r="U3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2528228.6500000004</v>
      </c>
    </row>
    <row r="36" spans="1:21" s="929" customFormat="1" ht="12.75" customHeight="1" outlineLevel="1">
      <c r="A36" s="62">
        <v>34</v>
      </c>
      <c r="B36" s="75">
        <v>229</v>
      </c>
      <c r="C36" s="75">
        <v>16697</v>
      </c>
      <c r="D36" s="62" t="s">
        <v>20</v>
      </c>
      <c r="E36" s="62">
        <v>38.22</v>
      </c>
      <c r="F36" s="941" t="s">
        <v>15</v>
      </c>
      <c r="G36" s="62" t="s">
        <v>121</v>
      </c>
      <c r="H36" s="62" t="s">
        <v>575</v>
      </c>
      <c r="I36" s="95">
        <v>3302640.46</v>
      </c>
      <c r="J36" s="62">
        <v>1</v>
      </c>
      <c r="K36" s="62" t="s">
        <v>65</v>
      </c>
      <c r="L36" s="62" t="s">
        <v>18</v>
      </c>
      <c r="M36" s="92">
        <v>44525</v>
      </c>
      <c r="N36" s="62" t="s">
        <v>17</v>
      </c>
      <c r="O36" s="62" t="s">
        <v>751</v>
      </c>
      <c r="P36" s="892" t="s">
        <v>111</v>
      </c>
      <c r="Q36" s="892" t="s">
        <v>111</v>
      </c>
      <c r="R36" s="76" t="s">
        <v>20</v>
      </c>
      <c r="S36" s="76" t="s">
        <v>20</v>
      </c>
      <c r="T36" s="76" t="s">
        <v>77</v>
      </c>
      <c r="U3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3092430.46</v>
      </c>
    </row>
    <row r="37" spans="1:21" s="929" customFormat="1" ht="14.25" customHeight="1" outlineLevel="1">
      <c r="A37" s="62">
        <v>35</v>
      </c>
      <c r="B37" s="75">
        <v>46</v>
      </c>
      <c r="C37" s="75">
        <v>17316</v>
      </c>
      <c r="D37" s="62" t="s">
        <v>77</v>
      </c>
      <c r="E37" s="62">
        <v>36.86</v>
      </c>
      <c r="F37" s="941" t="s">
        <v>15</v>
      </c>
      <c r="G37" s="62" t="s">
        <v>121</v>
      </c>
      <c r="H37" s="62" t="s">
        <v>16</v>
      </c>
      <c r="I37" s="95">
        <v>2960961.73</v>
      </c>
      <c r="J37" s="62">
        <v>1</v>
      </c>
      <c r="K37" s="62" t="s">
        <v>65</v>
      </c>
      <c r="L37" s="62" t="s">
        <v>18</v>
      </c>
      <c r="M37" s="92">
        <v>44524</v>
      </c>
      <c r="N37" s="62" t="s">
        <v>17</v>
      </c>
      <c r="O37" s="62" t="s">
        <v>752</v>
      </c>
      <c r="P37" s="892" t="s">
        <v>111</v>
      </c>
      <c r="Q37" s="892" t="s">
        <v>111</v>
      </c>
      <c r="R37" s="76" t="s">
        <v>77</v>
      </c>
      <c r="S37" s="76" t="s">
        <v>77</v>
      </c>
      <c r="T37" s="76" t="s">
        <v>77</v>
      </c>
      <c r="U37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2758231.73</v>
      </c>
    </row>
    <row r="38" spans="1:21" ht="12.75" customHeight="1" outlineLevel="1">
      <c r="A38" s="62">
        <v>36</v>
      </c>
      <c r="B38" s="75">
        <v>342</v>
      </c>
      <c r="C38" s="75">
        <v>17202</v>
      </c>
      <c r="D38" s="62" t="s">
        <v>73</v>
      </c>
      <c r="E38" s="62">
        <v>59.93</v>
      </c>
      <c r="F38" s="941" t="s">
        <v>9</v>
      </c>
      <c r="G38" s="62" t="s">
        <v>27</v>
      </c>
      <c r="H38" s="62" t="s">
        <v>575</v>
      </c>
      <c r="I38" s="1021">
        <v>3965647.37</v>
      </c>
      <c r="J38" s="62">
        <v>2</v>
      </c>
      <c r="K38" s="62" t="s">
        <v>65</v>
      </c>
      <c r="L38" s="62" t="s">
        <v>12</v>
      </c>
      <c r="M38" s="92">
        <v>44518</v>
      </c>
      <c r="N38" s="62" t="s">
        <v>17</v>
      </c>
      <c r="O38" s="62" t="s">
        <v>753</v>
      </c>
      <c r="P38" s="892" t="s">
        <v>111</v>
      </c>
      <c r="Q38" s="892" t="s">
        <v>111</v>
      </c>
      <c r="R38" s="941" t="s">
        <v>73</v>
      </c>
      <c r="S38" s="941" t="s">
        <v>73</v>
      </c>
      <c r="T38" s="941" t="s">
        <v>73</v>
      </c>
      <c r="U38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3965647.37</v>
      </c>
    </row>
    <row r="39" spans="1:21" s="929" customFormat="1" outlineLevel="1">
      <c r="A39" s="62">
        <v>37</v>
      </c>
      <c r="B39" s="75">
        <v>56</v>
      </c>
      <c r="C39" s="75">
        <v>16929</v>
      </c>
      <c r="D39" s="62" t="s">
        <v>20</v>
      </c>
      <c r="E39" s="62">
        <v>58.17</v>
      </c>
      <c r="F39" s="941" t="s">
        <v>9</v>
      </c>
      <c r="G39" s="62" t="s">
        <v>121</v>
      </c>
      <c r="H39" s="62" t="s">
        <v>16</v>
      </c>
      <c r="I39" s="95">
        <v>3996042.99</v>
      </c>
      <c r="J39" s="62">
        <v>2</v>
      </c>
      <c r="K39" s="62" t="s">
        <v>65</v>
      </c>
      <c r="L39" s="62" t="s">
        <v>18</v>
      </c>
      <c r="M39" s="92">
        <v>44519</v>
      </c>
      <c r="N39" s="62" t="s">
        <v>17</v>
      </c>
      <c r="O39" s="62" t="s">
        <v>754</v>
      </c>
      <c r="P39" s="892" t="s">
        <v>111</v>
      </c>
      <c r="Q39" s="892" t="s">
        <v>111</v>
      </c>
      <c r="R39" s="941" t="s">
        <v>20</v>
      </c>
      <c r="S39" s="941" t="s">
        <v>73</v>
      </c>
      <c r="T39" s="941" t="s">
        <v>73</v>
      </c>
      <c r="U39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3996042.99</v>
      </c>
    </row>
    <row r="40" spans="1:21" ht="12.75" customHeight="1" outlineLevel="1">
      <c r="A40" s="62">
        <v>38</v>
      </c>
      <c r="B40" s="62">
        <v>548</v>
      </c>
      <c r="C40" s="75">
        <v>17414</v>
      </c>
      <c r="D40" s="62" t="s">
        <v>77</v>
      </c>
      <c r="E40" s="62">
        <v>23.63</v>
      </c>
      <c r="F40" s="941" t="s">
        <v>15</v>
      </c>
      <c r="G40" s="62" t="s">
        <v>27</v>
      </c>
      <c r="H40" s="62" t="s">
        <v>10</v>
      </c>
      <c r="I40" s="91">
        <v>1848569.52</v>
      </c>
      <c r="J40" s="62">
        <v>0</v>
      </c>
      <c r="K40" s="62" t="s">
        <v>130</v>
      </c>
      <c r="L40" s="62" t="s">
        <v>18</v>
      </c>
      <c r="M40" s="537">
        <v>44526</v>
      </c>
      <c r="N40" s="62" t="s">
        <v>17</v>
      </c>
      <c r="O40" s="76" t="s">
        <v>755</v>
      </c>
      <c r="P40" s="892" t="s">
        <v>111</v>
      </c>
      <c r="Q40" s="892" t="s">
        <v>111</v>
      </c>
      <c r="R40" s="76" t="s">
        <v>77</v>
      </c>
      <c r="S40" s="76" t="s">
        <v>77</v>
      </c>
      <c r="T40" s="76" t="s">
        <v>77</v>
      </c>
      <c r="U40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1718604.5200000003</v>
      </c>
    </row>
    <row r="41" spans="1:21" s="929" customFormat="1" ht="12.75" customHeight="1" outlineLevel="1">
      <c r="A41" s="62">
        <v>39</v>
      </c>
      <c r="B41" s="75">
        <v>16</v>
      </c>
      <c r="C41" s="75">
        <v>17415</v>
      </c>
      <c r="D41" s="62" t="s">
        <v>407</v>
      </c>
      <c r="E41" s="62">
        <v>60.06</v>
      </c>
      <c r="F41" s="941" t="s">
        <v>9</v>
      </c>
      <c r="G41" s="62" t="s">
        <v>27</v>
      </c>
      <c r="H41" s="62" t="s">
        <v>10</v>
      </c>
      <c r="I41" s="95">
        <v>3709299.67</v>
      </c>
      <c r="J41" s="62">
        <v>2</v>
      </c>
      <c r="K41" s="62" t="s">
        <v>85</v>
      </c>
      <c r="L41" s="62" t="s">
        <v>18</v>
      </c>
      <c r="M41" s="92">
        <v>44525</v>
      </c>
      <c r="N41" s="62" t="s">
        <v>11</v>
      </c>
      <c r="O41" s="62" t="s">
        <v>756</v>
      </c>
      <c r="P41" s="892" t="s">
        <v>111</v>
      </c>
      <c r="Q41" s="892" t="s">
        <v>111</v>
      </c>
      <c r="R41" s="941" t="s">
        <v>407</v>
      </c>
      <c r="S41" s="941" t="s">
        <v>407</v>
      </c>
      <c r="T41" s="941" t="s">
        <v>573</v>
      </c>
      <c r="U41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3709299.67</v>
      </c>
    </row>
    <row r="42" spans="1:21" s="929" customFormat="1" ht="12.75" customHeight="1" outlineLevel="1">
      <c r="A42" s="62">
        <v>40</v>
      </c>
      <c r="B42" s="75">
        <v>138</v>
      </c>
      <c r="C42" s="75">
        <v>17417</v>
      </c>
      <c r="D42" s="62" t="s">
        <v>73</v>
      </c>
      <c r="E42" s="62">
        <v>36.42</v>
      </c>
      <c r="F42" s="941" t="s">
        <v>15</v>
      </c>
      <c r="G42" s="62" t="s">
        <v>121</v>
      </c>
      <c r="H42" s="62" t="s">
        <v>84</v>
      </c>
      <c r="I42" s="95">
        <v>2812340.26</v>
      </c>
      <c r="J42" s="62">
        <v>1</v>
      </c>
      <c r="K42" s="62" t="s">
        <v>85</v>
      </c>
      <c r="L42" s="62" t="s">
        <v>18</v>
      </c>
      <c r="M42" s="92">
        <v>44530</v>
      </c>
      <c r="N42" s="62" t="s">
        <v>17</v>
      </c>
      <c r="O42" s="62" t="s">
        <v>757</v>
      </c>
      <c r="P42" s="892" t="s">
        <v>111</v>
      </c>
      <c r="Q42" s="892" t="s">
        <v>111</v>
      </c>
      <c r="R42" s="941" t="s">
        <v>73</v>
      </c>
      <c r="S42" s="941" t="s">
        <v>73</v>
      </c>
      <c r="T42" s="941" t="s">
        <v>73</v>
      </c>
      <c r="U42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2612030.2599999998</v>
      </c>
    </row>
    <row r="43" spans="1:21" s="929" customFormat="1" ht="12.75" customHeight="1" outlineLevel="1">
      <c r="A43" s="62">
        <v>41</v>
      </c>
      <c r="B43" s="75">
        <v>661</v>
      </c>
      <c r="C43" s="75">
        <v>16654</v>
      </c>
      <c r="D43" s="62" t="s">
        <v>20</v>
      </c>
      <c r="E43" s="62">
        <v>56.33</v>
      </c>
      <c r="F43" s="941" t="s">
        <v>9</v>
      </c>
      <c r="G43" s="62" t="s">
        <v>27</v>
      </c>
      <c r="H43" s="62" t="s">
        <v>16</v>
      </c>
      <c r="I43" s="95">
        <v>3679643.04</v>
      </c>
      <c r="J43" s="62">
        <v>2</v>
      </c>
      <c r="K43" s="62" t="s">
        <v>65</v>
      </c>
      <c r="L43" s="62" t="s">
        <v>18</v>
      </c>
      <c r="M43" s="92">
        <v>44469</v>
      </c>
      <c r="N43" s="62" t="s">
        <v>17</v>
      </c>
      <c r="O43" s="941" t="s">
        <v>758</v>
      </c>
      <c r="P43" s="892" t="s">
        <v>111</v>
      </c>
      <c r="Q43" s="892" t="s">
        <v>111</v>
      </c>
      <c r="R43" s="941" t="s">
        <v>20</v>
      </c>
      <c r="S43" s="941" t="s">
        <v>20</v>
      </c>
      <c r="T43" s="941" t="s">
        <v>20</v>
      </c>
      <c r="U4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3679643.04</v>
      </c>
    </row>
    <row r="44" spans="1:21" s="929" customFormat="1" ht="12.75" customHeight="1" outlineLevel="1">
      <c r="A44" s="62">
        <v>42</v>
      </c>
      <c r="B44" s="62">
        <v>863</v>
      </c>
      <c r="C44" s="75">
        <v>17430</v>
      </c>
      <c r="D44" s="62" t="s">
        <v>20</v>
      </c>
      <c r="E44" s="62">
        <v>54.28</v>
      </c>
      <c r="F44" s="941" t="s">
        <v>9</v>
      </c>
      <c r="G44" s="62" t="s">
        <v>27</v>
      </c>
      <c r="H44" s="62" t="s">
        <v>575</v>
      </c>
      <c r="I44" s="95">
        <v>3352327.44</v>
      </c>
      <c r="J44" s="62">
        <v>2</v>
      </c>
      <c r="K44" s="62" t="s">
        <v>65</v>
      </c>
      <c r="L44" s="62" t="s">
        <v>18</v>
      </c>
      <c r="M44" s="942">
        <v>44469</v>
      </c>
      <c r="N44" s="62" t="s">
        <v>17</v>
      </c>
      <c r="O44" s="941" t="s">
        <v>759</v>
      </c>
      <c r="P44" s="892" t="s">
        <v>111</v>
      </c>
      <c r="Q44" s="892" t="s">
        <v>111</v>
      </c>
      <c r="R44" s="941" t="s">
        <v>20</v>
      </c>
      <c r="S44" s="941" t="s">
        <v>20</v>
      </c>
      <c r="T44" s="941" t="s">
        <v>20</v>
      </c>
      <c r="U4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3352327.44</v>
      </c>
    </row>
    <row r="45" spans="1:21" s="929" customFormat="1" ht="12.75" customHeight="1" outlineLevel="1">
      <c r="A45" s="62">
        <v>43</v>
      </c>
      <c r="B45" s="75">
        <v>898</v>
      </c>
      <c r="C45" s="75">
        <v>17478</v>
      </c>
      <c r="D45" s="62" t="s">
        <v>20</v>
      </c>
      <c r="E45" s="62">
        <v>37.270000000000003</v>
      </c>
      <c r="F45" s="76" t="s">
        <v>9</v>
      </c>
      <c r="G45" s="62" t="s">
        <v>27</v>
      </c>
      <c r="H45" s="62" t="s">
        <v>16</v>
      </c>
      <c r="I45" s="91">
        <v>2539129.0699999998</v>
      </c>
      <c r="J45" s="62">
        <v>1</v>
      </c>
      <c r="K45" s="62" t="s">
        <v>65</v>
      </c>
      <c r="L45" s="62" t="s">
        <v>18</v>
      </c>
      <c r="M45" s="537">
        <v>44529</v>
      </c>
      <c r="N45" s="62" t="s">
        <v>17</v>
      </c>
      <c r="O45" s="76" t="s">
        <v>760</v>
      </c>
      <c r="P45" s="892" t="s">
        <v>111</v>
      </c>
      <c r="Q45" s="892" t="s">
        <v>111</v>
      </c>
      <c r="R45" s="941" t="s">
        <v>20</v>
      </c>
      <c r="S45" s="941" t="s">
        <v>20</v>
      </c>
      <c r="T45" s="941" t="s">
        <v>20</v>
      </c>
      <c r="U4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2539129.0699999998</v>
      </c>
    </row>
    <row r="46" spans="1:21" s="929" customFormat="1" ht="12.75" customHeight="1" outlineLevel="1">
      <c r="A46" s="62">
        <v>44</v>
      </c>
      <c r="B46" s="75">
        <v>544</v>
      </c>
      <c r="C46" s="75">
        <v>944</v>
      </c>
      <c r="D46" s="62" t="s">
        <v>471</v>
      </c>
      <c r="E46" s="62">
        <v>82.27</v>
      </c>
      <c r="F46" s="941" t="s">
        <v>25</v>
      </c>
      <c r="G46" s="62" t="s">
        <v>27</v>
      </c>
      <c r="H46" s="62" t="s">
        <v>575</v>
      </c>
      <c r="I46" s="95">
        <v>5831310.7699999996</v>
      </c>
      <c r="J46" s="62">
        <v>3</v>
      </c>
      <c r="K46" s="62" t="s">
        <v>65</v>
      </c>
      <c r="L46" s="62" t="s">
        <v>18</v>
      </c>
      <c r="M46" s="92">
        <v>44530</v>
      </c>
      <c r="N46" s="62" t="s">
        <v>17</v>
      </c>
      <c r="O46" s="62" t="s">
        <v>761</v>
      </c>
      <c r="P46" s="892" t="s">
        <v>111</v>
      </c>
      <c r="Q46" s="892" t="s">
        <v>111</v>
      </c>
      <c r="R46" s="941" t="s">
        <v>471</v>
      </c>
      <c r="S46" s="941" t="s">
        <v>471</v>
      </c>
      <c r="T46" s="941" t="s">
        <v>471</v>
      </c>
      <c r="U4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4514990.7700000005</v>
      </c>
    </row>
    <row r="47" spans="1:21" s="929" customFormat="1" ht="12.75" customHeight="1" outlineLevel="1">
      <c r="A47" s="62">
        <v>45</v>
      </c>
      <c r="B47" s="75">
        <v>51</v>
      </c>
      <c r="C47" s="75">
        <v>17453</v>
      </c>
      <c r="D47" s="62" t="s">
        <v>73</v>
      </c>
      <c r="E47" s="62">
        <v>54.67</v>
      </c>
      <c r="F47" s="941" t="s">
        <v>15</v>
      </c>
      <c r="G47" s="62" t="s">
        <v>27</v>
      </c>
      <c r="H47" s="62" t="s">
        <v>575</v>
      </c>
      <c r="I47" s="95">
        <v>3871891.9</v>
      </c>
      <c r="J47" s="62">
        <v>2</v>
      </c>
      <c r="K47" s="62" t="s">
        <v>65</v>
      </c>
      <c r="L47" s="62" t="s">
        <v>18</v>
      </c>
      <c r="M47" s="92">
        <v>44529</v>
      </c>
      <c r="N47" s="62" t="s">
        <v>17</v>
      </c>
      <c r="O47" s="62" t="s">
        <v>762</v>
      </c>
      <c r="P47" s="892" t="s">
        <v>111</v>
      </c>
      <c r="Q47" s="892" t="s">
        <v>111</v>
      </c>
      <c r="R47" s="941" t="s">
        <v>73</v>
      </c>
      <c r="S47" s="941" t="s">
        <v>73</v>
      </c>
      <c r="T47" s="941" t="s">
        <v>73</v>
      </c>
      <c r="U47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3571206.9</v>
      </c>
    </row>
    <row r="48" spans="1:21" s="929" customFormat="1" ht="12.75" customHeight="1" outlineLevel="1">
      <c r="A48" s="62">
        <v>46</v>
      </c>
      <c r="B48" s="75">
        <v>168</v>
      </c>
      <c r="C48" s="75">
        <v>17188</v>
      </c>
      <c r="D48" s="62" t="s">
        <v>471</v>
      </c>
      <c r="E48" s="62">
        <v>24.23</v>
      </c>
      <c r="F48" s="941" t="s">
        <v>25</v>
      </c>
      <c r="G48" s="62" t="s">
        <v>121</v>
      </c>
      <c r="H48" s="62" t="s">
        <v>16</v>
      </c>
      <c r="I48" s="95">
        <v>2264167.2000000002</v>
      </c>
      <c r="J48" s="62">
        <v>0</v>
      </c>
      <c r="K48" s="62" t="s">
        <v>65</v>
      </c>
      <c r="L48" s="62" t="s">
        <v>18</v>
      </c>
      <c r="M48" s="92">
        <v>44529</v>
      </c>
      <c r="N48" s="62" t="s">
        <v>11</v>
      </c>
      <c r="O48" s="62" t="s">
        <v>763</v>
      </c>
      <c r="P48" s="892" t="s">
        <v>111</v>
      </c>
      <c r="Q48" s="892" t="s">
        <v>111</v>
      </c>
      <c r="R48" s="941" t="s">
        <v>471</v>
      </c>
      <c r="S48" s="941" t="s">
        <v>471</v>
      </c>
      <c r="T48" s="941" t="s">
        <v>471</v>
      </c>
      <c r="U48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1876487.2000000004</v>
      </c>
    </row>
    <row r="49" spans="1:21" s="929" customFormat="1" ht="12.75" customHeight="1" outlineLevel="1">
      <c r="A49" s="62">
        <v>47</v>
      </c>
      <c r="B49" s="75">
        <v>838</v>
      </c>
      <c r="C49" s="75">
        <v>17216</v>
      </c>
      <c r="D49" s="62" t="s">
        <v>73</v>
      </c>
      <c r="E49" s="62">
        <v>23.09</v>
      </c>
      <c r="F49" s="941" t="s">
        <v>9</v>
      </c>
      <c r="G49" s="62" t="s">
        <v>27</v>
      </c>
      <c r="H49" s="62" t="s">
        <v>16</v>
      </c>
      <c r="I49" s="95">
        <v>1679330.45</v>
      </c>
      <c r="J49" s="62">
        <v>0</v>
      </c>
      <c r="K49" s="62" t="s">
        <v>65</v>
      </c>
      <c r="L49" s="62" t="s">
        <v>18</v>
      </c>
      <c r="M49" s="92">
        <v>44530</v>
      </c>
      <c r="N49" s="62" t="s">
        <v>17</v>
      </c>
      <c r="O49" s="62" t="s">
        <v>764</v>
      </c>
      <c r="P49" s="76" t="s">
        <v>111</v>
      </c>
      <c r="Q49" s="76" t="s">
        <v>111</v>
      </c>
      <c r="R49" s="941" t="s">
        <v>73</v>
      </c>
      <c r="S49" s="941" t="s">
        <v>73</v>
      </c>
      <c r="T49" s="941" t="s">
        <v>73</v>
      </c>
      <c r="U49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1679330.45</v>
      </c>
    </row>
    <row r="50" spans="1:21" s="929" customFormat="1" ht="12.75" customHeight="1" outlineLevel="1">
      <c r="A50" s="62">
        <v>48</v>
      </c>
      <c r="B50" s="75">
        <v>26</v>
      </c>
      <c r="C50" s="75">
        <v>17496</v>
      </c>
      <c r="D50" s="62" t="s">
        <v>77</v>
      </c>
      <c r="E50" s="62">
        <v>36.42</v>
      </c>
      <c r="F50" s="941" t="s">
        <v>15</v>
      </c>
      <c r="G50" s="62" t="s">
        <v>121</v>
      </c>
      <c r="H50" s="62" t="s">
        <v>10</v>
      </c>
      <c r="I50" s="95">
        <v>2925616.56</v>
      </c>
      <c r="J50" s="62">
        <v>1</v>
      </c>
      <c r="K50" s="62" t="s">
        <v>85</v>
      </c>
      <c r="L50" s="62" t="s">
        <v>18</v>
      </c>
      <c r="M50" s="92">
        <v>44530</v>
      </c>
      <c r="N50" s="62" t="s">
        <v>474</v>
      </c>
      <c r="O50" s="62" t="s">
        <v>765</v>
      </c>
      <c r="P50" s="76" t="s">
        <v>111</v>
      </c>
      <c r="Q50" s="76" t="s">
        <v>111</v>
      </c>
      <c r="R50" s="76" t="s">
        <v>77</v>
      </c>
      <c r="S50" s="76" t="s">
        <v>77</v>
      </c>
      <c r="T50" s="76" t="s">
        <v>77</v>
      </c>
      <c r="U50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2725306.56</v>
      </c>
    </row>
    <row r="51" spans="1:21" s="929" customFormat="1" ht="12.75" customHeight="1" outlineLevel="1">
      <c r="A51" s="62">
        <v>49</v>
      </c>
      <c r="B51" s="75">
        <v>311</v>
      </c>
      <c r="C51" s="75">
        <v>17480</v>
      </c>
      <c r="D51" s="62" t="s">
        <v>77</v>
      </c>
      <c r="E51" s="62">
        <v>24.23</v>
      </c>
      <c r="F51" s="941" t="s">
        <v>15</v>
      </c>
      <c r="G51" s="62" t="s">
        <v>121</v>
      </c>
      <c r="H51" s="62" t="s">
        <v>16</v>
      </c>
      <c r="I51" s="95">
        <v>2076769.6</v>
      </c>
      <c r="J51" s="62">
        <v>0</v>
      </c>
      <c r="K51" s="62" t="s">
        <v>65</v>
      </c>
      <c r="L51" s="62" t="s">
        <v>18</v>
      </c>
      <c r="M51" s="92">
        <v>44530</v>
      </c>
      <c r="N51" s="62" t="s">
        <v>17</v>
      </c>
      <c r="O51" s="62" t="s">
        <v>766</v>
      </c>
      <c r="P51" s="76" t="s">
        <v>111</v>
      </c>
      <c r="Q51" s="76" t="s">
        <v>111</v>
      </c>
      <c r="R51" s="76" t="s">
        <v>77</v>
      </c>
      <c r="S51" s="76" t="s">
        <v>77</v>
      </c>
      <c r="T51" s="76" t="s">
        <v>77</v>
      </c>
      <c r="U51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1943504.6</v>
      </c>
    </row>
    <row r="52" spans="1:21" s="929" customFormat="1" ht="12.75" customHeight="1" outlineLevel="1">
      <c r="A52" s="62">
        <v>50</v>
      </c>
      <c r="B52" s="75">
        <v>716</v>
      </c>
      <c r="C52" s="75">
        <v>17489</v>
      </c>
      <c r="D52" s="62" t="s">
        <v>77</v>
      </c>
      <c r="E52" s="62">
        <v>24.39</v>
      </c>
      <c r="F52" s="941" t="s">
        <v>15</v>
      </c>
      <c r="G52" s="62" t="s">
        <v>27</v>
      </c>
      <c r="H52" s="62" t="s">
        <v>575</v>
      </c>
      <c r="I52" s="95">
        <v>1908024.15</v>
      </c>
      <c r="J52" s="62">
        <v>0</v>
      </c>
      <c r="K52" s="62" t="s">
        <v>65</v>
      </c>
      <c r="L52" s="62" t="s">
        <v>18</v>
      </c>
      <c r="M52" s="92">
        <v>44530</v>
      </c>
      <c r="N52" s="62" t="s">
        <v>17</v>
      </c>
      <c r="O52" s="62" t="s">
        <v>767</v>
      </c>
      <c r="P52" s="76" t="s">
        <v>111</v>
      </c>
      <c r="Q52" s="76" t="s">
        <v>111</v>
      </c>
      <c r="R52" s="76" t="s">
        <v>77</v>
      </c>
      <c r="S52" s="76" t="s">
        <v>20</v>
      </c>
      <c r="T52" s="76" t="s">
        <v>77</v>
      </c>
      <c r="U52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1773879.1500000001</v>
      </c>
    </row>
    <row r="53" spans="1:21" s="929" customFormat="1" ht="12.75" customHeight="1" outlineLevel="1">
      <c r="A53" s="62">
        <v>51</v>
      </c>
      <c r="B53" s="75">
        <v>589</v>
      </c>
      <c r="C53" s="75">
        <v>17547</v>
      </c>
      <c r="D53" s="62" t="s">
        <v>77</v>
      </c>
      <c r="E53" s="62">
        <v>37.11</v>
      </c>
      <c r="F53" s="941" t="s">
        <v>9</v>
      </c>
      <c r="G53" s="62" t="s">
        <v>27</v>
      </c>
      <c r="H53" s="62" t="s">
        <v>10</v>
      </c>
      <c r="I53" s="91">
        <v>2528228.6</v>
      </c>
      <c r="J53" s="62">
        <v>1</v>
      </c>
      <c r="K53" s="62" t="s">
        <v>130</v>
      </c>
      <c r="L53" s="62" t="s">
        <v>18</v>
      </c>
      <c r="M53" s="537">
        <v>44530</v>
      </c>
      <c r="N53" s="62" t="s">
        <v>17</v>
      </c>
      <c r="O53" s="76" t="s">
        <v>732</v>
      </c>
      <c r="P53" s="76" t="s">
        <v>111</v>
      </c>
      <c r="Q53" s="76" t="s">
        <v>111</v>
      </c>
      <c r="R53" s="76" t="s">
        <v>77</v>
      </c>
      <c r="S53" s="76" t="s">
        <v>77</v>
      </c>
      <c r="T53" s="76" t="s">
        <v>77</v>
      </c>
      <c r="U53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2528228.6</v>
      </c>
    </row>
    <row r="54" spans="1:21" s="929" customFormat="1" ht="12.75" customHeight="1" outlineLevel="1">
      <c r="A54" s="62">
        <v>52</v>
      </c>
      <c r="B54" s="75">
        <v>124</v>
      </c>
      <c r="C54" s="75">
        <v>17509</v>
      </c>
      <c r="D54" s="62" t="s">
        <v>407</v>
      </c>
      <c r="E54" s="62">
        <v>36.42</v>
      </c>
      <c r="F54" s="941" t="s">
        <v>9</v>
      </c>
      <c r="G54" s="62" t="s">
        <v>121</v>
      </c>
      <c r="H54" s="62" t="s">
        <v>10</v>
      </c>
      <c r="I54" s="352">
        <v>2725306.56</v>
      </c>
      <c r="J54" s="62">
        <v>1</v>
      </c>
      <c r="K54" s="62" t="s">
        <v>85</v>
      </c>
      <c r="L54" s="62" t="s">
        <v>18</v>
      </c>
      <c r="M54" s="942">
        <v>44529</v>
      </c>
      <c r="N54" s="62" t="s">
        <v>17</v>
      </c>
      <c r="O54" s="941" t="s">
        <v>768</v>
      </c>
      <c r="P54" s="892" t="s">
        <v>111</v>
      </c>
      <c r="Q54" s="892" t="s">
        <v>111</v>
      </c>
      <c r="R54" s="941" t="s">
        <v>407</v>
      </c>
      <c r="S54" s="941" t="s">
        <v>407</v>
      </c>
      <c r="T54" s="941" t="s">
        <v>573</v>
      </c>
      <c r="U54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2725306.56</v>
      </c>
    </row>
    <row r="55" spans="1:21" s="929" customFormat="1" ht="12.75" customHeight="1" outlineLevel="1">
      <c r="A55" s="62">
        <v>53</v>
      </c>
      <c r="B55" s="75">
        <v>890</v>
      </c>
      <c r="C55" s="75">
        <v>17411</v>
      </c>
      <c r="D55" s="62" t="s">
        <v>73</v>
      </c>
      <c r="E55" s="62">
        <v>54.28</v>
      </c>
      <c r="F55" s="941" t="s">
        <v>9</v>
      </c>
      <c r="G55" s="62" t="s">
        <v>27</v>
      </c>
      <c r="H55" s="62" t="s">
        <v>84</v>
      </c>
      <c r="I55" s="95">
        <v>3084141.24</v>
      </c>
      <c r="J55" s="62">
        <v>2</v>
      </c>
      <c r="K55" s="62" t="s">
        <v>85</v>
      </c>
      <c r="L55" s="62" t="s">
        <v>18</v>
      </c>
      <c r="M55" s="92">
        <v>44530</v>
      </c>
      <c r="N55" s="62" t="s">
        <v>17</v>
      </c>
      <c r="O55" s="62" t="s">
        <v>769</v>
      </c>
      <c r="P55" s="892" t="s">
        <v>111</v>
      </c>
      <c r="Q55" s="892" t="s">
        <v>111</v>
      </c>
      <c r="R55" s="941" t="s">
        <v>73</v>
      </c>
      <c r="S55" s="941" t="s">
        <v>73</v>
      </c>
      <c r="T55" s="941" t="s">
        <v>73</v>
      </c>
      <c r="U55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3084141.24</v>
      </c>
    </row>
    <row r="56" spans="1:21" s="929" customFormat="1" ht="12.75" customHeight="1" outlineLevel="1">
      <c r="A56" s="62">
        <v>54</v>
      </c>
      <c r="B56" s="75">
        <v>734</v>
      </c>
      <c r="C56" s="75">
        <v>17474</v>
      </c>
      <c r="D56" s="62" t="s">
        <v>73</v>
      </c>
      <c r="E56" s="62">
        <v>24.39</v>
      </c>
      <c r="F56" s="941" t="s">
        <v>9</v>
      </c>
      <c r="G56" s="62" t="s">
        <v>27</v>
      </c>
      <c r="H56" s="62" t="s">
        <v>84</v>
      </c>
      <c r="I56" s="95">
        <v>1631968.82</v>
      </c>
      <c r="J56" s="62">
        <v>0</v>
      </c>
      <c r="K56" s="62" t="s">
        <v>85</v>
      </c>
      <c r="L56" s="62" t="s">
        <v>18</v>
      </c>
      <c r="M56" s="92">
        <v>44530</v>
      </c>
      <c r="N56" s="62" t="s">
        <v>17</v>
      </c>
      <c r="O56" s="62" t="s">
        <v>769</v>
      </c>
      <c r="P56" s="892" t="s">
        <v>111</v>
      </c>
      <c r="Q56" s="892" t="s">
        <v>111</v>
      </c>
      <c r="R56" s="941" t="s">
        <v>73</v>
      </c>
      <c r="S56" s="941" t="s">
        <v>73</v>
      </c>
      <c r="T56" s="941" t="s">
        <v>73</v>
      </c>
      <c r="U56" s="1372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>1631968.8199999998</v>
      </c>
    </row>
    <row r="57" spans="1:21" ht="12.75" customHeight="1" outlineLevel="1">
      <c r="A57" s="103">
        <v>55</v>
      </c>
      <c r="B57" s="79"/>
      <c r="C57" s="79"/>
      <c r="D57" s="65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949"/>
      <c r="P57" s="950"/>
      <c r="Q57" s="86"/>
      <c r="R57" s="949"/>
      <c r="S57" s="949"/>
      <c r="T57" s="949"/>
      <c r="U57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58" spans="1:21" ht="12.75" customHeight="1" outlineLevel="1">
      <c r="A58" s="103">
        <v>56</v>
      </c>
      <c r="B58" s="65"/>
      <c r="C58" s="79"/>
      <c r="D58" s="65"/>
      <c r="E58" s="65"/>
      <c r="F58" s="934"/>
      <c r="G58" s="65"/>
      <c r="H58" s="65"/>
      <c r="I58" s="105"/>
      <c r="J58" s="65"/>
      <c r="K58" s="65"/>
      <c r="L58" s="65"/>
      <c r="M58" s="1159"/>
      <c r="N58" s="65"/>
      <c r="O58" s="934"/>
      <c r="P58" s="1371"/>
      <c r="Q58" s="86"/>
      <c r="R58" s="949"/>
      <c r="S58" s="949"/>
      <c r="T58" s="949"/>
      <c r="U58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59" spans="1:21" ht="12.75" customHeight="1" outlineLevel="1">
      <c r="A59" s="103">
        <v>57</v>
      </c>
      <c r="B59" s="79"/>
      <c r="C59" s="79"/>
      <c r="D59" s="65"/>
      <c r="E59" s="65"/>
      <c r="F59" s="70"/>
      <c r="G59" s="65"/>
      <c r="H59" s="65"/>
      <c r="I59" s="544"/>
      <c r="J59" s="65"/>
      <c r="K59" s="65"/>
      <c r="L59" s="65"/>
      <c r="M59" s="1158"/>
      <c r="N59" s="65"/>
      <c r="O59" s="70"/>
      <c r="P59" s="70"/>
      <c r="Q59" s="86"/>
      <c r="R59" s="949"/>
      <c r="S59" s="949"/>
      <c r="T59" s="949"/>
      <c r="U59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60" spans="1:21" outlineLevel="1">
      <c r="A60" s="103">
        <v>58</v>
      </c>
      <c r="B60" s="79"/>
      <c r="C60" s="79"/>
      <c r="D60" s="65"/>
      <c r="E60" s="65"/>
      <c r="F60" s="949"/>
      <c r="G60" s="65"/>
      <c r="H60" s="65"/>
      <c r="I60" s="105"/>
      <c r="J60" s="65"/>
      <c r="K60" s="65"/>
      <c r="L60" s="65"/>
      <c r="M60" s="98"/>
      <c r="N60" s="65"/>
      <c r="O60" s="65"/>
      <c r="P60" s="65"/>
      <c r="Q60" s="86"/>
      <c r="R60" s="949"/>
      <c r="S60" s="949"/>
      <c r="T60" s="949"/>
      <c r="U60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61" spans="1:21" outlineLevel="1">
      <c r="A61" s="103">
        <v>59</v>
      </c>
      <c r="B61" s="79"/>
      <c r="C61" s="79"/>
      <c r="D61" s="65"/>
      <c r="E61" s="65"/>
      <c r="F61" s="949"/>
      <c r="G61" s="65"/>
      <c r="H61" s="65"/>
      <c r="I61" s="105"/>
      <c r="J61" s="65"/>
      <c r="K61" s="65"/>
      <c r="L61" s="65"/>
      <c r="M61" s="98"/>
      <c r="N61" s="65"/>
      <c r="O61" s="65"/>
      <c r="P61" s="65"/>
      <c r="Q61" s="86"/>
      <c r="R61" s="949"/>
      <c r="S61" s="949"/>
      <c r="T61" s="949"/>
      <c r="U61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62" spans="1:21" ht="12.75" customHeight="1" outlineLevel="1">
      <c r="A62" s="103">
        <v>60</v>
      </c>
      <c r="B62" s="79"/>
      <c r="C62" s="79"/>
      <c r="D62" s="65"/>
      <c r="E62" s="65"/>
      <c r="F62" s="949"/>
      <c r="G62" s="65"/>
      <c r="H62" s="65"/>
      <c r="I62" s="105"/>
      <c r="J62" s="65"/>
      <c r="K62" s="65"/>
      <c r="L62" s="65"/>
      <c r="M62" s="98"/>
      <c r="N62" s="65"/>
      <c r="O62" s="65"/>
      <c r="P62" s="65"/>
      <c r="Q62" s="86"/>
      <c r="R62" s="949"/>
      <c r="S62" s="949"/>
      <c r="T62" s="949"/>
      <c r="U62" s="930" t="str">
        <f>IFERROR(SUM(Октябрь2126[[#This Row],[сумма]]/Октябрь2126[[#This Row],[м2]],IF(Октябрь2126[[#This Row],[Отделка]]="Черновая",0,"")&amp;IF(Октябрь2126[[#This Row],[Отделка]]="Предчистовая",-5500,"")&amp;IF(Октябрь2126[[#This Row],[Отделка]]="Чистовая",-16000,""))*Октябрь2126[[#This Row],[м2]],"")</f>
        <v/>
      </c>
    </row>
    <row r="63" spans="1:21" ht="12.75" customHeight="1">
      <c r="A63" s="103"/>
      <c r="B63" s="79"/>
      <c r="C63" s="79"/>
      <c r="D63" s="65"/>
      <c r="E63" s="65"/>
      <c r="F63" s="949"/>
      <c r="G63" s="65"/>
      <c r="H63" s="65"/>
      <c r="I63" s="72"/>
      <c r="J63" s="65"/>
      <c r="K63" s="65"/>
      <c r="L63" s="65"/>
      <c r="M63" s="65"/>
      <c r="N63" s="65"/>
      <c r="O63" s="65"/>
      <c r="P63" s="65"/>
      <c r="Q63" s="86"/>
      <c r="R63" s="949"/>
      <c r="S63" s="949"/>
      <c r="T63" s="949"/>
      <c r="U63" s="930"/>
    </row>
    <row r="64" spans="1:21" ht="12.75" customHeight="1">
      <c r="A64" s="103"/>
      <c r="B64" s="79"/>
      <c r="C64" s="79"/>
      <c r="D64" s="65"/>
      <c r="E64" s="65"/>
      <c r="F64" s="949"/>
      <c r="G64" s="65"/>
      <c r="H64" s="65"/>
      <c r="I64" s="72"/>
      <c r="J64" s="65"/>
      <c r="K64" s="65"/>
      <c r="L64" s="65"/>
      <c r="M64" s="65"/>
      <c r="N64" s="65"/>
      <c r="O64" s="65"/>
      <c r="P64" s="65"/>
      <c r="Q64" s="86"/>
      <c r="R64" s="949"/>
      <c r="S64" s="949"/>
      <c r="T64" s="949"/>
      <c r="U64" s="930"/>
    </row>
    <row r="65" spans="1:21">
      <c r="A65" s="2290" t="s">
        <v>713</v>
      </c>
      <c r="B65" s="2294"/>
      <c r="C65" s="972" t="s">
        <v>74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930"/>
      <c r="R65" s="949"/>
      <c r="S65" s="949"/>
      <c r="T65" s="949"/>
    </row>
    <row r="66" spans="1:21" s="1214" customFormat="1" ht="25.5">
      <c r="A66" s="1313" t="s">
        <v>1</v>
      </c>
      <c r="B66" s="686" t="s">
        <v>100</v>
      </c>
      <c r="C66" s="687" t="s">
        <v>97</v>
      </c>
      <c r="D66" s="688" t="s">
        <v>714</v>
      </c>
      <c r="E66" s="1033" t="s">
        <v>494</v>
      </c>
      <c r="F66" s="1033" t="s">
        <v>495</v>
      </c>
      <c r="G66" s="1033" t="s">
        <v>496</v>
      </c>
      <c r="H66" s="1034" t="s">
        <v>101</v>
      </c>
      <c r="I66" s="1023" t="s">
        <v>98</v>
      </c>
      <c r="J66" s="1023" t="s">
        <v>96</v>
      </c>
      <c r="K66" s="1023" t="s">
        <v>715</v>
      </c>
      <c r="L66" s="1060" t="s">
        <v>716</v>
      </c>
      <c r="M66" s="1033">
        <v>0</v>
      </c>
      <c r="N66" s="1033">
        <v>1</v>
      </c>
      <c r="O66" s="1033">
        <v>2</v>
      </c>
      <c r="P66" s="1033">
        <v>3</v>
      </c>
      <c r="Q66" s="1104">
        <v>4</v>
      </c>
      <c r="R66" s="950"/>
      <c r="S66" s="950"/>
      <c r="T66" s="950"/>
      <c r="U66" s="951"/>
    </row>
    <row r="67" spans="1:21">
      <c r="A67" s="1322" t="s">
        <v>73</v>
      </c>
      <c r="B67" s="1109">
        <v>75.099999999999994</v>
      </c>
      <c r="C67" s="149">
        <v>4361869</v>
      </c>
      <c r="D67" s="1069">
        <v>1</v>
      </c>
      <c r="E67" s="145">
        <f>SUMIFS(Октябрь2126[м2],Октябрь2126[МОП],$A67,Октябрь2126[№ дома],$C$65)</f>
        <v>77.55</v>
      </c>
      <c r="F67" s="939">
        <v>4325118.5999999996</v>
      </c>
      <c r="G67" s="1038">
        <f>COUNTIFS(Октябрь2126[МОП],$A67,Октябрь2126[№ дома],$C$65)</f>
        <v>1</v>
      </c>
      <c r="H67" s="202" t="e">
        <f>SUMIFS(#REF!,#REF!,1,#REF!,A67,#REF!,"&lt;="&amp;$A$1,#REF!,"&gt;="&amp;DATE(YEAR($A$1),MONTH($A$1),1))</f>
        <v>#REF!</v>
      </c>
      <c r="I67" s="149" t="e">
        <f>SUMIFS(#REF!,#REF!,1,#REF!,A67,#REF!,"&lt;="&amp;$A$1,#REF!,"&gt;="&amp;DATE(YEAR($A$1),MONTH($A$1),1))</f>
        <v>#REF!</v>
      </c>
      <c r="J67" s="220" t="e">
        <f>COUNTIFS(#REF!,1,#REF!,A67,#REF!,"&lt;="&amp;$A$1,#REF!,"&gt;="&amp;DATE(YEAR($A$1),MONTH($A$1),1))</f>
        <v>#REF!</v>
      </c>
      <c r="K67" s="943" t="str">
        <f t="shared" ref="K67:L73" si="0">IFERROR(H67/B67,"")</f>
        <v/>
      </c>
      <c r="L67" s="1061" t="str">
        <f t="shared" si="0"/>
        <v/>
      </c>
      <c r="M67" s="339" t="e">
        <f>COUNTIFS(#REF!,$M$66,#REF!,$A67,#REF!,1,#REF!,"&lt;="&amp;$A$1,#REF!,"&gt;="&amp;DATE(YEAR($A$1),MONTH($A$1),1))</f>
        <v>#REF!</v>
      </c>
      <c r="N67" s="339" t="e">
        <f>COUNTIFS(#REF!,N$66,#REF!,$A67,#REF!,1,#REF!,"&lt;="&amp;$A$1,#REF!,"&gt;="&amp;DATE(YEAR($A$1),MONTH($A$1),1))</f>
        <v>#REF!</v>
      </c>
      <c r="O67" s="339" t="e">
        <f>COUNTIFS(#REF!,O$66,#REF!,$A67,#REF!,1,#REF!,"&lt;="&amp;$A$1,#REF!,"&gt;="&amp;DATE(YEAR($A$1),MONTH($A$1),1))</f>
        <v>#REF!</v>
      </c>
      <c r="P67" s="339" t="e">
        <f>COUNTIFS(#REF!,P$66,#REF!,$A67,#REF!,1,#REF!,"&lt;="&amp;$A$1,#REF!,"&gt;="&amp;DATE(YEAR($A$1),MONTH($A$1),1))</f>
        <v>#REF!</v>
      </c>
      <c r="Q67" s="1099" t="e">
        <f>COUNTIFS(#REF!,Q$66,#REF!,$A67,#REF!,1,#REF!,"&lt;="&amp;$A$1,#REF!,"&gt;="&amp;DATE(YEAR($A$1),MONTH($A$1),1))</f>
        <v>#REF!</v>
      </c>
      <c r="R67" s="949"/>
      <c r="S67" s="949"/>
      <c r="T67" s="949"/>
      <c r="U67" s="930"/>
    </row>
    <row r="68" spans="1:21">
      <c r="A68" s="1323" t="s">
        <v>407</v>
      </c>
      <c r="B68" s="1109">
        <v>0</v>
      </c>
      <c r="C68" s="939">
        <v>0</v>
      </c>
      <c r="D68" s="1041"/>
      <c r="E68" s="257">
        <f>SUMIFS(Октябрь2126[м2],Октябрь2126[МОП],$A68,Октябрь2126[№ дома],$C$65)</f>
        <v>0</v>
      </c>
      <c r="F68" s="954">
        <f>SUMIFS(Октябрь2126[сумма без отделки],Октябрь2126[МОП],$A68,Октябрь2126[№ дома],$C$65)</f>
        <v>0</v>
      </c>
      <c r="G68" s="1234">
        <f>COUNTIFS(Октябрь2126[МОП],$A68,Октябрь2126[№ дома],$C$65)</f>
        <v>0</v>
      </c>
      <c r="H68" s="202" t="e">
        <f>SUMIFS(#REF!,#REF!,1,#REF!,A68,#REF!,"&lt;="&amp;$A$1,#REF!,"&gt;="&amp;DATE(YEAR($A$1),MONTH($A$1),1))</f>
        <v>#REF!</v>
      </c>
      <c r="I68" s="149" t="e">
        <f>SUMIFS(#REF!,#REF!,1,#REF!,A68,#REF!,"&lt;="&amp;$A$1,#REF!,"&gt;="&amp;DATE(YEAR($A$1),MONTH($A$1),1))</f>
        <v>#REF!</v>
      </c>
      <c r="J68" s="220" t="e">
        <f>COUNTIFS(#REF!,1,#REF!,A68,#REF!,"&lt;="&amp;$A$1,#REF!,"&gt;="&amp;DATE(YEAR($A$1),MONTH($A$1),1))</f>
        <v>#REF!</v>
      </c>
      <c r="K68" s="987" t="str">
        <f t="shared" si="0"/>
        <v/>
      </c>
      <c r="L68" s="1062" t="str">
        <f t="shared" si="0"/>
        <v/>
      </c>
      <c r="M68" s="339" t="e">
        <f>COUNTIFS(#REF!,$M$66,#REF!,$A68,#REF!,1,#REF!,"&lt;="&amp;$A$1,#REF!,"&gt;="&amp;DATE(YEAR($A$1),MONTH($A$1),1))</f>
        <v>#REF!</v>
      </c>
      <c r="N68" s="339" t="e">
        <f>COUNTIFS(#REF!,N$66,#REF!,$A68,#REF!,1,#REF!,"&lt;="&amp;$A$1,#REF!,"&gt;="&amp;DATE(YEAR($A$1),MONTH($A$1),1))</f>
        <v>#REF!</v>
      </c>
      <c r="O68" s="339" t="e">
        <f>COUNTIFS(#REF!,O$66,#REF!,$A68,#REF!,1,#REF!,"&lt;="&amp;$A$1,#REF!,"&gt;="&amp;DATE(YEAR($A$1),MONTH($A$1),1))</f>
        <v>#REF!</v>
      </c>
      <c r="P68" s="339" t="e">
        <f>COUNTIFS(#REF!,P$66,#REF!,$A68,#REF!,1,#REF!,"&lt;="&amp;$A$1,#REF!,"&gt;="&amp;DATE(YEAR($A$1),MONTH($A$1),1))</f>
        <v>#REF!</v>
      </c>
      <c r="Q68" s="1099" t="e">
        <f>COUNTIFS(#REF!,Q$66,#REF!,$A68,#REF!,1,#REF!,"&lt;="&amp;$A$1,#REF!,"&gt;="&amp;DATE(YEAR($A$1),MONTH($A$1),1))</f>
        <v>#REF!</v>
      </c>
      <c r="R68" s="949"/>
      <c r="S68" s="949"/>
      <c r="T68" s="949"/>
      <c r="U68" s="930"/>
    </row>
    <row r="69" spans="1:21">
      <c r="A69" s="1323" t="s">
        <v>77</v>
      </c>
      <c r="B69" s="1109">
        <v>77.8</v>
      </c>
      <c r="C69" s="939">
        <v>4514980</v>
      </c>
      <c r="D69" s="1041">
        <v>1</v>
      </c>
      <c r="E69" s="257">
        <f>SUMIFS(Октябрь2126[м2],Октябрь2126[МОП],$A69,Октябрь2126[№ дома],$C$65)</f>
        <v>77.8</v>
      </c>
      <c r="F69" s="954">
        <f>SUMIFS(Октябрь2126[сумма без отделки],Октябрь2126[МОП],$A69,Октябрь2126[№ дома],$C$65)</f>
        <v>4553880</v>
      </c>
      <c r="G69" s="1234">
        <f>COUNTIFS(Октябрь2126[МОП],$A69,Октябрь2126[№ дома],$C$65)</f>
        <v>1</v>
      </c>
      <c r="H69" s="202" t="e">
        <f>SUMIFS(#REF!,#REF!,1,#REF!,A69,#REF!,"&lt;="&amp;$A$1,#REF!,"&gt;="&amp;DATE(YEAR($A$1),MONTH($A$1),1))</f>
        <v>#REF!</v>
      </c>
      <c r="I69" s="149" t="e">
        <f>SUMIFS(#REF!,#REF!,1,#REF!,A69,#REF!,"&lt;="&amp;$A$1,#REF!,"&gt;="&amp;DATE(YEAR($A$1),MONTH($A$1),1))</f>
        <v>#REF!</v>
      </c>
      <c r="J69" s="220" t="e">
        <f>COUNTIFS(#REF!,1,#REF!,A69,#REF!,"&lt;="&amp;$A$1,#REF!,"&gt;="&amp;DATE(YEAR($A$1),MONTH($A$1),1))</f>
        <v>#REF!</v>
      </c>
      <c r="K69" s="987" t="str">
        <f t="shared" si="0"/>
        <v/>
      </c>
      <c r="L69" s="1062" t="str">
        <f t="shared" si="0"/>
        <v/>
      </c>
      <c r="M69" s="339" t="e">
        <f>COUNTIFS(#REF!,$M$66,#REF!,$A69,#REF!,1,#REF!,"&lt;="&amp;$A$1,#REF!,"&gt;="&amp;DATE(YEAR($A$1),MONTH($A$1),1))</f>
        <v>#REF!</v>
      </c>
      <c r="N69" s="339" t="e">
        <f>COUNTIFS(#REF!,N$66,#REF!,$A69,#REF!,1,#REF!,"&lt;="&amp;$A$1,#REF!,"&gt;="&amp;DATE(YEAR($A$1),MONTH($A$1),1))</f>
        <v>#REF!</v>
      </c>
      <c r="O69" s="339" t="e">
        <f>COUNTIFS(#REF!,O$66,#REF!,$A69,#REF!,1,#REF!,"&lt;="&amp;$A$1,#REF!,"&gt;="&amp;DATE(YEAR($A$1),MONTH($A$1),1))</f>
        <v>#REF!</v>
      </c>
      <c r="P69" s="339" t="e">
        <f>COUNTIFS(#REF!,P$66,#REF!,$A69,#REF!,1,#REF!,"&lt;="&amp;$A$1,#REF!,"&gt;="&amp;DATE(YEAR($A$1),MONTH($A$1),1))</f>
        <v>#REF!</v>
      </c>
      <c r="Q69" s="1099" t="e">
        <f>COUNTIFS(#REF!,Q$66,#REF!,$A69,#REF!,1,#REF!,"&lt;="&amp;$A$1,#REF!,"&gt;="&amp;DATE(YEAR($A$1),MONTH($A$1),1))</f>
        <v>#REF!</v>
      </c>
      <c r="R69" s="949"/>
      <c r="S69" s="949"/>
      <c r="T69" s="949"/>
      <c r="U69" s="930"/>
    </row>
    <row r="70" spans="1:21">
      <c r="A70" s="1323" t="s">
        <v>471</v>
      </c>
      <c r="B70" s="1109">
        <v>0</v>
      </c>
      <c r="C70" s="939">
        <v>0</v>
      </c>
      <c r="D70" s="1041"/>
      <c r="E70" s="257">
        <f>SUMIFS(Октябрь2126[м2],Октябрь2126[МОП],$A70,Октябрь2126[№ дома],$C$65)</f>
        <v>0</v>
      </c>
      <c r="F70" s="954">
        <f>SUMIFS(Октябрь2126[сумма без отделки],Октябрь2126[МОП],$A70,Октябрь2126[№ дома],$C$65)</f>
        <v>0</v>
      </c>
      <c r="G70" s="1234">
        <f>COUNTIFS(Октябрь2126[МОП],$A70,Октябрь2126[№ дома],$C$65)</f>
        <v>0</v>
      </c>
      <c r="H70" s="202" t="e">
        <f>SUMIFS(#REF!,#REF!,1,#REF!,A70,#REF!,"&lt;="&amp;$A$1,#REF!,"&gt;="&amp;DATE(YEAR($A$1),MONTH($A$1),1))</f>
        <v>#REF!</v>
      </c>
      <c r="I70" s="149" t="e">
        <f>SUMIFS(#REF!,#REF!,1,#REF!,A70,#REF!,"&lt;="&amp;$A$1,#REF!,"&gt;="&amp;DATE(YEAR($A$1),MONTH($A$1),1))</f>
        <v>#REF!</v>
      </c>
      <c r="J70" s="220" t="e">
        <f>COUNTIFS(#REF!,1,#REF!,A70,#REF!,"&lt;="&amp;$A$1,#REF!,"&gt;="&amp;DATE(YEAR($A$1),MONTH($A$1),1))</f>
        <v>#REF!</v>
      </c>
      <c r="K70" s="987" t="str">
        <f t="shared" si="0"/>
        <v/>
      </c>
      <c r="L70" s="1062" t="str">
        <f t="shared" si="0"/>
        <v/>
      </c>
      <c r="M70" s="339" t="e">
        <f>COUNTIFS(#REF!,$M$66,#REF!,$A70,#REF!,1,#REF!,"&lt;="&amp;$A$1,#REF!,"&gt;="&amp;DATE(YEAR($A$1),MONTH($A$1),1))</f>
        <v>#REF!</v>
      </c>
      <c r="N70" s="339" t="e">
        <f>COUNTIFS(#REF!,N$66,#REF!,$A70,#REF!,1,#REF!,"&lt;="&amp;$A$1,#REF!,"&gt;="&amp;DATE(YEAR($A$1),MONTH($A$1),1))</f>
        <v>#REF!</v>
      </c>
      <c r="O70" s="339" t="e">
        <f>COUNTIFS(#REF!,O$66,#REF!,$A70,#REF!,1,#REF!,"&lt;="&amp;$A$1,#REF!,"&gt;="&amp;DATE(YEAR($A$1),MONTH($A$1),1))</f>
        <v>#REF!</v>
      </c>
      <c r="P70" s="339" t="e">
        <f>COUNTIFS(#REF!,P$66,#REF!,$A70,#REF!,1,#REF!,"&lt;="&amp;$A$1,#REF!,"&gt;="&amp;DATE(YEAR($A$1),MONTH($A$1),1))</f>
        <v>#REF!</v>
      </c>
      <c r="Q70" s="1099" t="e">
        <f>COUNTIFS(#REF!,Q$66,#REF!,$A70,#REF!,1,#REF!,"&lt;="&amp;$A$1,#REF!,"&gt;="&amp;DATE(YEAR($A$1),MONTH($A$1),1))</f>
        <v>#REF!</v>
      </c>
      <c r="R70" s="949"/>
      <c r="S70" s="949"/>
      <c r="T70" s="949"/>
      <c r="U70" s="930"/>
    </row>
    <row r="71" spans="1:21">
      <c r="A71" s="1323" t="s">
        <v>20</v>
      </c>
      <c r="B71" s="1109">
        <v>0</v>
      </c>
      <c r="C71" s="939">
        <v>0</v>
      </c>
      <c r="D71" s="1041"/>
      <c r="E71" s="257">
        <f>SUMIFS(Октябрь2126[м2],Октябрь2126[МОП],$A71,Октябрь2126[№ дома],$C$65)</f>
        <v>0</v>
      </c>
      <c r="F71" s="954">
        <f>SUMIFS(Октябрь2126[сумма без отделки],Октябрь2126[МОП],$A71,Октябрь2126[№ дома],$C$65)</f>
        <v>0</v>
      </c>
      <c r="G71" s="1234">
        <f>COUNTIFS(Октябрь2126[МОП],$A71,Октябрь2126[№ дома],$C$65)</f>
        <v>0</v>
      </c>
      <c r="H71" s="202" t="e">
        <f>SUMIFS(#REF!,#REF!,1,#REF!,A71,#REF!,"&lt;="&amp;$A$1,#REF!,"&gt;="&amp;DATE(YEAR($A$1),MONTH($A$1),1))</f>
        <v>#REF!</v>
      </c>
      <c r="I71" s="149" t="e">
        <f>SUMIFS(#REF!,#REF!,1,#REF!,A71,#REF!,"&lt;="&amp;$A$1,#REF!,"&gt;="&amp;DATE(YEAR($A$1),MONTH($A$1),1))</f>
        <v>#REF!</v>
      </c>
      <c r="J71" s="220" t="e">
        <f>COUNTIFS(#REF!,1,#REF!,A71,#REF!,"&lt;="&amp;$A$1,#REF!,"&gt;="&amp;DATE(YEAR($A$1),MONTH($A$1),1))</f>
        <v>#REF!</v>
      </c>
      <c r="K71" s="987" t="str">
        <f t="shared" si="0"/>
        <v/>
      </c>
      <c r="L71" s="1062" t="str">
        <f t="shared" si="0"/>
        <v/>
      </c>
      <c r="M71" s="339" t="e">
        <f>COUNTIFS(#REF!,$M$66,#REF!,$A71,#REF!,1,#REF!,"&lt;="&amp;$A$1,#REF!,"&gt;="&amp;DATE(YEAR($A$1),MONTH($A$1),1))</f>
        <v>#REF!</v>
      </c>
      <c r="N71" s="339" t="e">
        <f>COUNTIFS(#REF!,N$66,#REF!,$A71,#REF!,1,#REF!,"&lt;="&amp;$A$1,#REF!,"&gt;="&amp;DATE(YEAR($A$1),MONTH($A$1),1))</f>
        <v>#REF!</v>
      </c>
      <c r="O71" s="339" t="e">
        <f>COUNTIFS(#REF!,O$66,#REF!,$A71,#REF!,1,#REF!,"&lt;="&amp;$A$1,#REF!,"&gt;="&amp;DATE(YEAR($A$1),MONTH($A$1),1))</f>
        <v>#REF!</v>
      </c>
      <c r="P71" s="339" t="e">
        <f>COUNTIFS(#REF!,P$66,#REF!,$A71,#REF!,1,#REF!,"&lt;="&amp;$A$1,#REF!,"&gt;="&amp;DATE(YEAR($A$1),MONTH($A$1),1))</f>
        <v>#REF!</v>
      </c>
      <c r="Q71" s="1099" t="e">
        <f>COUNTIFS(#REF!,Q$66,#REF!,$A71,#REF!,1,#REF!,"&lt;="&amp;$A$1,#REF!,"&gt;="&amp;DATE(YEAR($A$1),MONTH($A$1),1))</f>
        <v>#REF!</v>
      </c>
      <c r="R71" s="949"/>
      <c r="S71" s="949"/>
      <c r="T71" s="949"/>
      <c r="U71" s="930"/>
    </row>
    <row r="72" spans="1:21">
      <c r="A72" s="1324" t="s">
        <v>63</v>
      </c>
      <c r="B72" s="1109">
        <v>0</v>
      </c>
      <c r="C72" s="939">
        <v>0</v>
      </c>
      <c r="D72" s="1054"/>
      <c r="E72" s="329">
        <f>SUMIFS(Октябрь2126[м2],Октябрь2126[МОП],$A72,Октябрь2126[№ дома],$C$65)</f>
        <v>0</v>
      </c>
      <c r="F72" s="958">
        <f>SUMIFS(Октябрь2126[сумма без отделки],Октябрь2126[МОП],$A72,Октябрь2126[№ дома],$C$65)</f>
        <v>0</v>
      </c>
      <c r="G72" s="983">
        <f>COUNTIFS(Октябрь2126[МОП],$A72,Октябрь2126[№ дома],$C$65)</f>
        <v>0</v>
      </c>
      <c r="H72" s="202" t="e">
        <f>SUMIFS(#REF!,#REF!,1,#REF!,A72,#REF!,"&lt;="&amp;$A$1,#REF!,"&gt;="&amp;DATE(YEAR($A$1),MONTH($A$1),1))</f>
        <v>#REF!</v>
      </c>
      <c r="I72" s="149" t="e">
        <f>SUMIFS(#REF!,#REF!,1,#REF!,A72,#REF!,"&lt;="&amp;$A$1,#REF!,"&gt;="&amp;DATE(YEAR($A$1),MONTH($A$1),1))</f>
        <v>#REF!</v>
      </c>
      <c r="J72" s="220" t="e">
        <f>COUNTIFS(#REF!,1,#REF!,A72,#REF!,"&lt;="&amp;$A$1,#REF!,"&gt;="&amp;DATE(YEAR($A$1),MONTH($A$1),1))</f>
        <v>#REF!</v>
      </c>
      <c r="K72" s="1063" t="str">
        <f t="shared" si="0"/>
        <v/>
      </c>
      <c r="L72" s="1064" t="str">
        <f t="shared" si="0"/>
        <v/>
      </c>
      <c r="M72" s="339" t="e">
        <f>COUNTIFS(#REF!,$M$66,#REF!,$A72,#REF!,1,#REF!,"&lt;="&amp;$A$1,#REF!,"&gt;="&amp;DATE(YEAR($A$1),MONTH($A$1),1))</f>
        <v>#REF!</v>
      </c>
      <c r="N72" s="339" t="e">
        <f>COUNTIFS(#REF!,N$66,#REF!,$A72,#REF!,1,#REF!,"&lt;="&amp;$A$1,#REF!,"&gt;="&amp;DATE(YEAR($A$1),MONTH($A$1),1))</f>
        <v>#REF!</v>
      </c>
      <c r="O72" s="339" t="e">
        <f>COUNTIFS(#REF!,O$66,#REF!,$A72,#REF!,1,#REF!,"&lt;="&amp;$A$1,#REF!,"&gt;="&amp;DATE(YEAR($A$1),MONTH($A$1),1))</f>
        <v>#REF!</v>
      </c>
      <c r="P72" s="339" t="e">
        <f>COUNTIFS(#REF!,P$66,#REF!,$A72,#REF!,1,#REF!,"&lt;="&amp;$A$1,#REF!,"&gt;="&amp;DATE(YEAR($A$1),MONTH($A$1),1))</f>
        <v>#REF!</v>
      </c>
      <c r="Q72" s="1099" t="e">
        <f>COUNTIFS(#REF!,Q$66,#REF!,$A72,#REF!,1,#REF!,"&lt;="&amp;$A$1,#REF!,"&gt;="&amp;DATE(YEAR($A$1),MONTH($A$1),1))</f>
        <v>#REF!</v>
      </c>
      <c r="R72" s="949"/>
      <c r="S72" s="949"/>
      <c r="T72" s="949"/>
      <c r="U72" s="930"/>
    </row>
    <row r="73" spans="1:21">
      <c r="A73" s="1317" t="s">
        <v>114</v>
      </c>
      <c r="B73" s="1373">
        <v>152.9</v>
      </c>
      <c r="C73" s="1374">
        <f>SUM(C67:C72)</f>
        <v>8876849</v>
      </c>
      <c r="D73" s="1375">
        <v>2</v>
      </c>
      <c r="E73" s="1123">
        <f>SUM(E67:E72)</f>
        <v>155.35</v>
      </c>
      <c r="F73" s="1163">
        <f>SUM(F67:F72)</f>
        <v>8878998.5999999996</v>
      </c>
      <c r="G73" s="1164">
        <f>SUM(G67:G72)</f>
        <v>2</v>
      </c>
      <c r="H73" s="906" t="e">
        <f t="shared" ref="H73:Q73" si="1">SUM(H67:H72)</f>
        <v>#REF!</v>
      </c>
      <c r="I73" s="1124" t="e">
        <f t="shared" si="1"/>
        <v>#REF!</v>
      </c>
      <c r="J73" s="1123" t="e">
        <f t="shared" si="1"/>
        <v>#REF!</v>
      </c>
      <c r="K73" s="1140" t="str">
        <f t="shared" si="0"/>
        <v/>
      </c>
      <c r="L73" s="1141" t="str">
        <f t="shared" si="0"/>
        <v/>
      </c>
      <c r="M73" s="1123" t="e">
        <f t="shared" si="1"/>
        <v>#REF!</v>
      </c>
      <c r="N73" s="1123" t="e">
        <f t="shared" si="1"/>
        <v>#REF!</v>
      </c>
      <c r="O73" s="1123" t="e">
        <f t="shared" si="1"/>
        <v>#REF!</v>
      </c>
      <c r="P73" s="1185" t="e">
        <f t="shared" si="1"/>
        <v>#REF!</v>
      </c>
      <c r="Q73" s="1167" t="e">
        <f t="shared" si="1"/>
        <v>#REF!</v>
      </c>
      <c r="R73" s="949"/>
      <c r="S73" s="949"/>
      <c r="T73" s="949"/>
      <c r="U73" s="930"/>
    </row>
    <row r="74" spans="1:21" s="1214" customFormat="1" ht="25.5">
      <c r="A74" s="1313" t="s">
        <v>115</v>
      </c>
      <c r="B74" s="1079" t="s">
        <v>100</v>
      </c>
      <c r="C74" s="1080" t="s">
        <v>97</v>
      </c>
      <c r="D74" s="715" t="s">
        <v>714</v>
      </c>
      <c r="E74" s="1033" t="s">
        <v>494</v>
      </c>
      <c r="F74" s="1033" t="s">
        <v>495</v>
      </c>
      <c r="G74" s="1033" t="s">
        <v>496</v>
      </c>
      <c r="H74" s="1034" t="s">
        <v>101</v>
      </c>
      <c r="I74" s="1023" t="s">
        <v>98</v>
      </c>
      <c r="J74" s="1023" t="s">
        <v>96</v>
      </c>
      <c r="K74" s="1186" t="s">
        <v>715</v>
      </c>
      <c r="L74" s="1187" t="s">
        <v>716</v>
      </c>
      <c r="M74" s="1033">
        <v>0</v>
      </c>
      <c r="N74" s="1033">
        <v>1</v>
      </c>
      <c r="O74" s="1033">
        <v>2</v>
      </c>
      <c r="P74" s="1033">
        <v>3</v>
      </c>
      <c r="Q74" s="1104">
        <v>4</v>
      </c>
      <c r="R74" s="950"/>
      <c r="S74" s="950"/>
      <c r="T74" s="950"/>
      <c r="U74" s="951"/>
    </row>
    <row r="75" spans="1:21">
      <c r="A75" s="1322" t="s">
        <v>16</v>
      </c>
      <c r="B75" s="1376">
        <v>152.9</v>
      </c>
      <c r="C75" s="1374">
        <f>C73</f>
        <v>8876849</v>
      </c>
      <c r="D75" s="1069">
        <v>1</v>
      </c>
      <c r="E75" s="1129">
        <f>SUMIFS(Октябрь2126[м2],Октябрь2126[ИМ],A75,Октябрь2126[№ дома],$C$65)</f>
        <v>155.35</v>
      </c>
      <c r="F75" s="149">
        <f>SUMIFS(Октябрь2126[сумма без отделки],Октябрь2126[ИМ],$A75,Октябрь2126[№ дома],$C$65)</f>
        <v>8878998.5999999996</v>
      </c>
      <c r="G75" s="1038">
        <f>COUNTIFS(Октябрь2126[ИМ],$A75,Октябрь2126[№ дома],$C$65)</f>
        <v>2</v>
      </c>
      <c r="H75" s="148" t="e">
        <f>SUMIFS(#REF!,#REF!,1,#REF!,A75,#REF!,"&lt;="&amp;$A$1,#REF!,"&gt;="&amp;DATE(YEAR($A$1),MONTH($A$1),1))</f>
        <v>#REF!</v>
      </c>
      <c r="I75" s="149" t="e">
        <f>SUMIFS(#REF!,#REF!,1,#REF!,A75,#REF!,"&lt;="&amp;$A$1,#REF!,"&gt;="&amp;DATE(YEAR($A$1),MONTH($A$1),1))</f>
        <v>#REF!</v>
      </c>
      <c r="J75" s="220" t="e">
        <f>COUNTIFS(#REF!,1,#REF!,A75,#REF!,"&lt;="&amp;$A$1,#REF!,"&gt;="&amp;DATE(YEAR($A$1),MONTH($A$1),1))</f>
        <v>#REF!</v>
      </c>
      <c r="K75" s="943" t="str">
        <f>IFERROR(H75/B75,"")</f>
        <v/>
      </c>
      <c r="L75" s="1061" t="str">
        <f>IFERROR(I75/C75,"")</f>
        <v/>
      </c>
      <c r="M75" s="339" t="e">
        <f>COUNTIFS(#REF!,M$74,#REF!,$A75,#REF!,1,#REF!,"&lt;="&amp;$A$1,#REF!,"&gt;="&amp;DATE(YEAR($A$1),MONTH($A$1),1))</f>
        <v>#REF!</v>
      </c>
      <c r="N75" s="339" t="e">
        <f>COUNTIFS(#REF!,N$74,#REF!,$A75,#REF!,1,#REF!,"&lt;="&amp;$A$1,#REF!,"&gt;="&amp;DATE(YEAR($A$1),MONTH($A$1),1))</f>
        <v>#REF!</v>
      </c>
      <c r="O75" s="339" t="e">
        <f>COUNTIFS(#REF!,O$74,#REF!,$A75,#REF!,1,#REF!,"&lt;="&amp;$A$1,#REF!,"&gt;="&amp;DATE(YEAR($A$1),MONTH($A$1),1))</f>
        <v>#REF!</v>
      </c>
      <c r="P75" s="339" t="e">
        <f>COUNTIFS(#REF!,P$74,#REF!,$A75,#REF!,1,#REF!,"&lt;="&amp;$A$1,#REF!,"&gt;="&amp;DATE(YEAR($A$1),MONTH($A$1),1))</f>
        <v>#REF!</v>
      </c>
      <c r="Q75" s="1099" t="e">
        <f>COUNTIFS(#REF!,Q$74,#REF!,$A75,#REF!,1,#REF!,"&lt;="&amp;$A$1,#REF!,"&gt;="&amp;DATE(YEAR($A$1),MONTH($A$1),1))</f>
        <v>#REF!</v>
      </c>
      <c r="R75" s="949"/>
      <c r="S75" s="949"/>
      <c r="T75" s="949"/>
      <c r="U75" s="930"/>
    </row>
    <row r="76" spans="1:21" s="949" customFormat="1">
      <c r="A76" s="1324" t="s">
        <v>575</v>
      </c>
      <c r="B76" s="1376"/>
      <c r="C76" s="15"/>
      <c r="D76" s="1054"/>
      <c r="E76" s="1129">
        <f>SUMIFS(Октябрь2126[м2],Октябрь2126[ИМ],A76,Октябрь2126[№ дома],$C$65)</f>
        <v>0</v>
      </c>
      <c r="F76" s="149">
        <f>SUMIFS(Октябрь2126[сумма без отделки],Октябрь2126[ИМ],$A76,Октябрь2126[№ дома],$C$65)</f>
        <v>0</v>
      </c>
      <c r="G76" s="1038">
        <f>COUNTIFS(Октябрь2126[ИМ],$A76,Октябрь2126[№ дома],$C$65)</f>
        <v>0</v>
      </c>
      <c r="H76" s="967" t="e">
        <f>SUMIFS(#REF!,#REF!,1,#REF!,A76,#REF!,"&lt;="&amp;$A$1,#REF!,"&gt;="&amp;DATE(YEAR($A$1),MONTH($A$1),1))</f>
        <v>#REF!</v>
      </c>
      <c r="I76" s="1224" t="e">
        <f>SUMIFS(#REF!,#REF!,1,#REF!,A76,#REF!,"&lt;="&amp;$A$1,#REF!,"&gt;="&amp;DATE(YEAR($A$1),MONTH($A$1),1))</f>
        <v>#REF!</v>
      </c>
      <c r="J76" s="1223" t="e">
        <f>COUNTIFS(#REF!,1,#REF!,A76,#REF!,"&lt;="&amp;$A$1,#REF!,"&gt;="&amp;DATE(YEAR($A$1),MONTH($A$1),1))</f>
        <v>#REF!</v>
      </c>
      <c r="K76" s="1063" t="str">
        <f>IFERROR(H76/B76,"")</f>
        <v/>
      </c>
      <c r="L76" s="1064" t="str">
        <f>IFERROR(I76/C76,"")</f>
        <v/>
      </c>
      <c r="M76" s="339" t="e">
        <f>COUNTIFS(#REF!,M$74,#REF!,$A76,#REF!,1,#REF!,"&lt;="&amp;$A$1,#REF!,"&gt;="&amp;DATE(YEAR($A$1),MONTH($A$1),1))</f>
        <v>#REF!</v>
      </c>
      <c r="N76" s="339" t="e">
        <f>COUNTIFS(#REF!,N$74,#REF!,$A76,#REF!,1,#REF!,"&lt;="&amp;$A$1,#REF!,"&gt;="&amp;DATE(YEAR($A$1),MONTH($A$1),1))</f>
        <v>#REF!</v>
      </c>
      <c r="O76" s="339" t="e">
        <f>COUNTIFS(#REF!,O$74,#REF!,$A76,#REF!,1,#REF!,"&lt;="&amp;$A$1,#REF!,"&gt;="&amp;DATE(YEAR($A$1),MONTH($A$1),1))</f>
        <v>#REF!</v>
      </c>
      <c r="P76" s="339" t="e">
        <f>COUNTIFS(#REF!,P$74,#REF!,$A76,#REF!,1,#REF!,"&lt;="&amp;$A$1,#REF!,"&gt;="&amp;DATE(YEAR($A$1),MONTH($A$1),1))</f>
        <v>#REF!</v>
      </c>
      <c r="Q76" s="1099" t="e">
        <f>COUNTIFS(#REF!,Q$74,#REF!,$A76,#REF!,1,#REF!,"&lt;="&amp;$A$1,#REF!,"&gt;="&amp;DATE(YEAR($A$1),MONTH($A$1),1))</f>
        <v>#REF!</v>
      </c>
      <c r="U76" s="930"/>
    </row>
    <row r="77" spans="1:21">
      <c r="A77" s="1317" t="s">
        <v>114</v>
      </c>
      <c r="B77" s="1377">
        <f>SUM(B75:B76)</f>
        <v>152.9</v>
      </c>
      <c r="C77" s="1169">
        <f>SUM(C75:C76)</f>
        <v>8876849</v>
      </c>
      <c r="D77" s="1170">
        <v>2</v>
      </c>
      <c r="E77" s="1164">
        <f t="shared" ref="E77:J77" si="2">SUM(E75:E76)</f>
        <v>155.35</v>
      </c>
      <c r="F77" s="1163">
        <f t="shared" si="2"/>
        <v>8878998.5999999996</v>
      </c>
      <c r="G77" s="1164">
        <f t="shared" si="2"/>
        <v>2</v>
      </c>
      <c r="H77" s="984" t="e">
        <f t="shared" si="2"/>
        <v>#REF!</v>
      </c>
      <c r="I77" s="1163" t="e">
        <f t="shared" si="2"/>
        <v>#REF!</v>
      </c>
      <c r="J77" s="1164" t="e">
        <f t="shared" si="2"/>
        <v>#REF!</v>
      </c>
      <c r="K77" s="1380" t="e">
        <f>H77/B77</f>
        <v>#REF!</v>
      </c>
      <c r="L77" s="1141" t="str">
        <f>IFERROR(I77/C77,"")</f>
        <v/>
      </c>
      <c r="M77" s="1123" t="e">
        <f>SUM(M75:M75)</f>
        <v>#REF!</v>
      </c>
      <c r="N77" s="1123" t="e">
        <f>SUM(N75:N75)</f>
        <v>#REF!</v>
      </c>
      <c r="O77" s="1123" t="e">
        <f>SUM(O75:O75)</f>
        <v>#REF!</v>
      </c>
      <c r="P77" s="1185" t="e">
        <f>SUM(P75:P75)</f>
        <v>#REF!</v>
      </c>
      <c r="Q77" s="1167" t="e">
        <f>SUM(Q75:Q75)</f>
        <v>#REF!</v>
      </c>
      <c r="R77" s="949"/>
      <c r="S77" s="949"/>
      <c r="T77" s="949"/>
      <c r="U77" s="930"/>
    </row>
    <row r="78" spans="1:21">
      <c r="A78" s="1321"/>
      <c r="B78" s="968"/>
      <c r="C78" s="968"/>
      <c r="D78" s="7"/>
      <c r="E78" s="7"/>
      <c r="F78" s="7"/>
      <c r="G78" s="7"/>
      <c r="H78" s="134"/>
      <c r="I78" s="134"/>
      <c r="J78" s="134"/>
      <c r="K78" s="7"/>
      <c r="L78" s="994"/>
      <c r="M78" s="134"/>
      <c r="N78" s="134"/>
      <c r="O78" s="134"/>
      <c r="P78" s="262"/>
      <c r="Q78" s="134"/>
      <c r="R78" s="949"/>
      <c r="S78" s="949"/>
      <c r="T78" s="949"/>
      <c r="U78" s="930"/>
    </row>
    <row r="79" spans="1:21">
      <c r="A79" s="2293" t="s">
        <v>713</v>
      </c>
      <c r="B79" s="2294"/>
      <c r="C79" s="972" t="s">
        <v>121</v>
      </c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930"/>
      <c r="R79" s="949"/>
      <c r="S79" s="949"/>
      <c r="T79" s="949"/>
    </row>
    <row r="80" spans="1:21" s="1214" customFormat="1" ht="25.5">
      <c r="A80" s="1313" t="s">
        <v>1</v>
      </c>
      <c r="B80" s="686" t="s">
        <v>100</v>
      </c>
      <c r="C80" s="687" t="s">
        <v>97</v>
      </c>
      <c r="D80" s="688" t="s">
        <v>714</v>
      </c>
      <c r="E80" s="1033" t="s">
        <v>494</v>
      </c>
      <c r="F80" s="1033" t="s">
        <v>495</v>
      </c>
      <c r="G80" s="1033" t="s">
        <v>496</v>
      </c>
      <c r="H80" s="1034" t="s">
        <v>101</v>
      </c>
      <c r="I80" s="1023" t="s">
        <v>98</v>
      </c>
      <c r="J80" s="1023" t="s">
        <v>96</v>
      </c>
      <c r="K80" s="1023" t="s">
        <v>715</v>
      </c>
      <c r="L80" s="1060" t="s">
        <v>716</v>
      </c>
      <c r="M80" s="1033">
        <v>0</v>
      </c>
      <c r="N80" s="1033">
        <v>1</v>
      </c>
      <c r="O80" s="1033">
        <v>2</v>
      </c>
      <c r="P80" s="1033">
        <v>3</v>
      </c>
      <c r="Q80" s="1104">
        <v>4</v>
      </c>
      <c r="R80" s="950"/>
      <c r="S80" s="950"/>
      <c r="T80" s="950"/>
      <c r="U80" s="951"/>
    </row>
    <row r="81" spans="1:21">
      <c r="A81" s="1314" t="s">
        <v>73</v>
      </c>
      <c r="B81" s="1109">
        <v>137</v>
      </c>
      <c r="C81" s="939">
        <v>9364361</v>
      </c>
      <c r="D81" s="1069">
        <v>3</v>
      </c>
      <c r="E81" s="145">
        <f>SUMIFS(Октябрь2126[м2],Октябрь2126[МОП],$A81,Октябрь2126[№ дома],$C$79)</f>
        <v>219.57</v>
      </c>
      <c r="F81" s="939">
        <f>SUMIFS(Октябрь2126[сумма без отделки],Октябрь2126[МОП],$A81,Октябрь2126[№ дома],$C$79)</f>
        <v>16239491.75</v>
      </c>
      <c r="G81" s="1038">
        <f>COUNTIFS(Октябрь2126[МОП],$A81,Октябрь2126[№ дома],$C$79)</f>
        <v>6</v>
      </c>
      <c r="H81" s="148" t="e">
        <f>SUMIFS(#REF!,#REF!,2,#REF!,A81,#REF!,"&lt;="&amp;$A$1,#REF!,"&gt;="&amp;DATE(YEAR($A$1),MONTH($A$1),1))</f>
        <v>#REF!</v>
      </c>
      <c r="I81" s="149" t="e">
        <f>SUMIFS(#REF!,#REF!,2,#REF!,A81,#REF!,"&lt;="&amp;$A$1,#REF!,"&gt;="&amp;DATE(YEAR($A$1),MONTH($A$1),1))</f>
        <v>#REF!</v>
      </c>
      <c r="J81" s="220" t="e">
        <f>COUNTIFS(#REF!,2,#REF!,A81,#REF!,"&lt;="&amp;$A$1,#REF!,"&gt;="&amp;DATE(YEAR($A$1),MONTH($A$1),1))</f>
        <v>#REF!</v>
      </c>
      <c r="K81" s="943" t="str">
        <f t="shared" ref="K81:L87" si="3">IFERROR(H81/B81,"")</f>
        <v/>
      </c>
      <c r="L81" s="1061" t="str">
        <f t="shared" si="3"/>
        <v/>
      </c>
      <c r="M81" s="339" t="e">
        <f>COUNTIFS(#REF!,M$80,#REF!,$A81,#REF!,2,#REF!,"&lt;="&amp;$A$1,#REF!,"&gt;="&amp;DATE(YEAR($A$1),MONTH($A$1),1))</f>
        <v>#REF!</v>
      </c>
      <c r="N81" s="339" t="e">
        <f>COUNTIFS(#REF!,N$80,#REF!,$A81,#REF!,2,#REF!,"&lt;="&amp;$A$1,#REF!,"&gt;="&amp;DATE(YEAR($A$1),MONTH($A$1),1))</f>
        <v>#REF!</v>
      </c>
      <c r="O81" s="339" t="e">
        <f>COUNTIFS(#REF!,O$80,#REF!,$A81,#REF!,2,#REF!,"&lt;="&amp;$A$1,#REF!,"&gt;="&amp;DATE(YEAR($A$1),MONTH($A$1),1))</f>
        <v>#REF!</v>
      </c>
      <c r="P81" s="339" t="e">
        <f>COUNTIFS(#REF!,P$80,#REF!,$A81,#REF!,2,#REF!,"&lt;="&amp;$A$1,#REF!,"&gt;="&amp;DATE(YEAR($A$1),MONTH($A$1),1))</f>
        <v>#REF!</v>
      </c>
      <c r="Q81" s="1099" t="e">
        <f>COUNTIFS(#REF!,Q$80,#REF!,$A81,#REF!,2,#REF!,"&lt;="&amp;$A$1,#REF!,"&gt;="&amp;DATE(YEAR($A$1),MONTH($A$1),1))</f>
        <v>#REF!</v>
      </c>
      <c r="R81" s="949"/>
      <c r="S81" s="949"/>
      <c r="T81" s="949"/>
      <c r="U81" s="930"/>
    </row>
    <row r="82" spans="1:21">
      <c r="A82" s="1315" t="s">
        <v>407</v>
      </c>
      <c r="B82" s="1127">
        <v>137</v>
      </c>
      <c r="C82" s="954">
        <v>9364361</v>
      </c>
      <c r="D82" s="1069">
        <v>3</v>
      </c>
      <c r="E82" s="257">
        <f>SUMIFS(Октябрь2126[м2],Октябрь2126[МОП],$A82,Октябрь2126[№ дома],$C$79)</f>
        <v>36.42</v>
      </c>
      <c r="F82" s="954">
        <f>SUMIFS(Октябрь2126[сумма без отделки],Октябрь2126[МОП],$A82,Октябрь2126[№ дома],$C$79)</f>
        <v>2725306.56</v>
      </c>
      <c r="G82" s="1234">
        <f>COUNTIFS(Октябрь2126[МОП],$A82,Октябрь2126[№ дома],$C$79)</f>
        <v>1</v>
      </c>
      <c r="H82" s="202" t="e">
        <f>SUMIFS(#REF!,#REF!,2,#REF!,A82,#REF!,"&lt;="&amp;$A$1,#REF!,"&gt;="&amp;DATE(YEAR($A$1),MONTH($A$1),1))</f>
        <v>#REF!</v>
      </c>
      <c r="I82" s="203" t="e">
        <f>SUMIFS(#REF!,#REF!,2,#REF!,A82,#REF!,"&lt;="&amp;$A$1,#REF!,"&gt;="&amp;DATE(YEAR($A$1),MONTH($A$1),1))</f>
        <v>#REF!</v>
      </c>
      <c r="J82" s="226" t="e">
        <f>COUNTIFS(#REF!,2,#REF!,A82,#REF!,"&lt;="&amp;$A$1,#REF!,"&gt;="&amp;DATE(YEAR($A$1),MONTH($A$1),1))</f>
        <v>#REF!</v>
      </c>
      <c r="K82" s="987" t="str">
        <f t="shared" si="3"/>
        <v/>
      </c>
      <c r="L82" s="1062" t="str">
        <f t="shared" si="3"/>
        <v/>
      </c>
      <c r="M82" s="339" t="e">
        <f>COUNTIFS(#REF!,M$80,#REF!,$A82,#REF!,2,#REF!,"&lt;="&amp;$A$1,#REF!,"&gt;="&amp;DATE(YEAR($A$1),MONTH($A$1),1))</f>
        <v>#REF!</v>
      </c>
      <c r="N82" s="339" t="e">
        <f>COUNTIFS(#REF!,N$80,#REF!,$A82,#REF!,2,#REF!,"&lt;="&amp;$A$1,#REF!,"&gt;="&amp;DATE(YEAR($A$1),MONTH($A$1),1))</f>
        <v>#REF!</v>
      </c>
      <c r="O82" s="339" t="e">
        <f>COUNTIFS(#REF!,O$80,#REF!,$A82,#REF!,2,#REF!,"&lt;="&amp;$A$1,#REF!,"&gt;="&amp;DATE(YEAR($A$1),MONTH($A$1),1))</f>
        <v>#REF!</v>
      </c>
      <c r="P82" s="339" t="e">
        <f>COUNTIFS(#REF!,P$80,#REF!,$A82,#REF!,2,#REF!,"&lt;="&amp;$A$1,#REF!,"&gt;="&amp;DATE(YEAR($A$1),MONTH($A$1),1))</f>
        <v>#REF!</v>
      </c>
      <c r="Q82" s="1099" t="e">
        <f>COUNTIFS(#REF!,Q$80,#REF!,$A82,#REF!,2,#REF!,"&lt;="&amp;$A$1,#REF!,"&gt;="&amp;DATE(YEAR($A$1),MONTH($A$1),1))</f>
        <v>#REF!</v>
      </c>
      <c r="R82" s="949"/>
      <c r="S82" s="949"/>
      <c r="T82" s="949"/>
      <c r="U82" s="930"/>
    </row>
    <row r="83" spans="1:21">
      <c r="A83" s="1315" t="s">
        <v>77</v>
      </c>
      <c r="B83" s="1127">
        <v>137</v>
      </c>
      <c r="C83" s="954">
        <v>9364361</v>
      </c>
      <c r="D83" s="1069">
        <v>3</v>
      </c>
      <c r="E83" s="257">
        <f>SUMIFS(Октябрь2126[м2],Октябрь2126[МОП],$A83,Октябрь2126[№ дома],$C$79)</f>
        <v>196.48999999999998</v>
      </c>
      <c r="F83" s="954">
        <f>SUMIFS(Октябрь2126[сумма без отделки],Октябрь2126[МОП],$A83,Октябрь2126[№ дома],$C$79)</f>
        <v>14964566.279999999</v>
      </c>
      <c r="G83" s="1234">
        <f>COUNTIFS(Октябрь2126[МОП],$A83,Октябрь2126[№ дома],$C$79)</f>
        <v>6</v>
      </c>
      <c r="H83" s="202" t="e">
        <f>SUMIFS(#REF!,#REF!,2,#REF!,A83,#REF!,"&lt;="&amp;$A$1,#REF!,"&gt;="&amp;DATE(YEAR($A$1),MONTH($A$1),1))</f>
        <v>#REF!</v>
      </c>
      <c r="I83" s="203" t="e">
        <f>SUMIFS(#REF!,#REF!,2,#REF!,A83,#REF!,"&lt;="&amp;$A$1,#REF!,"&gt;="&amp;DATE(YEAR($A$1),MONTH($A$1),1))</f>
        <v>#REF!</v>
      </c>
      <c r="J83" s="226" t="e">
        <f>COUNTIFS(#REF!,2,#REF!,A83,#REF!,"&lt;="&amp;$A$1,#REF!,"&gt;="&amp;DATE(YEAR($A$1),MONTH($A$1),1))</f>
        <v>#REF!</v>
      </c>
      <c r="K83" s="987" t="str">
        <f t="shared" si="3"/>
        <v/>
      </c>
      <c r="L83" s="1062" t="str">
        <f t="shared" si="3"/>
        <v/>
      </c>
      <c r="M83" s="339" t="e">
        <f>COUNTIFS(#REF!,M$80,#REF!,$A83,#REF!,2,#REF!,"&lt;="&amp;$A$1,#REF!,"&gt;="&amp;DATE(YEAR($A$1),MONTH($A$1),1))</f>
        <v>#REF!</v>
      </c>
      <c r="N83" s="339" t="e">
        <f>COUNTIFS(#REF!,N$80,#REF!,$A83,#REF!,2,#REF!,"&lt;="&amp;$A$1,#REF!,"&gt;="&amp;DATE(YEAR($A$1),MONTH($A$1),1))</f>
        <v>#REF!</v>
      </c>
      <c r="O83" s="339" t="e">
        <f>COUNTIFS(#REF!,O$80,#REF!,$A83,#REF!,2,#REF!,"&lt;="&amp;$A$1,#REF!,"&gt;="&amp;DATE(YEAR($A$1),MONTH($A$1),1))</f>
        <v>#REF!</v>
      </c>
      <c r="P83" s="339" t="e">
        <f>COUNTIFS(#REF!,P$80,#REF!,$A83,#REF!,2,#REF!,"&lt;="&amp;$A$1,#REF!,"&gt;="&amp;DATE(YEAR($A$1),MONTH($A$1),1))</f>
        <v>#REF!</v>
      </c>
      <c r="Q83" s="1099" t="e">
        <f>COUNTIFS(#REF!,Q$80,#REF!,$A83,#REF!,2,#REF!,"&lt;="&amp;$A$1,#REF!,"&gt;="&amp;DATE(YEAR($A$1),MONTH($A$1),1))</f>
        <v>#REF!</v>
      </c>
      <c r="R83" s="949"/>
      <c r="S83" s="949"/>
      <c r="T83" s="949"/>
      <c r="U83" s="930"/>
    </row>
    <row r="84" spans="1:21">
      <c r="A84" s="1315" t="s">
        <v>471</v>
      </c>
      <c r="B84" s="1127">
        <v>137</v>
      </c>
      <c r="C84" s="954">
        <v>9364361</v>
      </c>
      <c r="D84" s="1069">
        <v>3</v>
      </c>
      <c r="E84" s="257">
        <f>SUMIFS(Октябрь2126[м2],Октябрь2126[МОП],$A84,Октябрь2126[№ дома],$C$79)</f>
        <v>61.09</v>
      </c>
      <c r="F84" s="954">
        <f>SUMIFS(Октябрь2126[сумма без отделки],Октябрь2126[МОП],$A84,Октябрь2126[№ дома],$C$79)</f>
        <v>4634718.9300000006</v>
      </c>
      <c r="G84" s="1234">
        <f>COUNTIFS(Октябрь2126[МОП],$A84,Октябрь2126[№ дома],$C$79)</f>
        <v>2</v>
      </c>
      <c r="H84" s="202" t="e">
        <f>SUMIFS(#REF!,#REF!,2,#REF!,A84,#REF!,"&lt;="&amp;$A$1,#REF!,"&gt;="&amp;DATE(YEAR($A$1),MONTH($A$1),1))</f>
        <v>#REF!</v>
      </c>
      <c r="I84" s="203" t="e">
        <f>SUMIFS(#REF!,#REF!,2,#REF!,A84,#REF!,"&lt;="&amp;$A$1,#REF!,"&gt;="&amp;DATE(YEAR($A$1),MONTH($A$1),1))</f>
        <v>#REF!</v>
      </c>
      <c r="J84" s="226" t="e">
        <f>COUNTIFS(#REF!,2,#REF!,A84,#REF!,"&lt;="&amp;$A$1,#REF!,"&gt;="&amp;DATE(YEAR($A$1),MONTH($A$1),1))</f>
        <v>#REF!</v>
      </c>
      <c r="K84" s="987" t="str">
        <f t="shared" si="3"/>
        <v/>
      </c>
      <c r="L84" s="1062" t="str">
        <f t="shared" si="3"/>
        <v/>
      </c>
      <c r="M84" s="339" t="e">
        <f>COUNTIFS(#REF!,M$80,#REF!,$A84,#REF!,2,#REF!,"&lt;="&amp;$A$1,#REF!,"&gt;="&amp;DATE(YEAR($A$1),MONTH($A$1),1))</f>
        <v>#REF!</v>
      </c>
      <c r="N84" s="339" t="e">
        <f>COUNTIFS(#REF!,N$80,#REF!,$A84,#REF!,2,#REF!,"&lt;="&amp;$A$1,#REF!,"&gt;="&amp;DATE(YEAR($A$1),MONTH($A$1),1))</f>
        <v>#REF!</v>
      </c>
      <c r="O84" s="339" t="e">
        <f>COUNTIFS(#REF!,O$80,#REF!,$A84,#REF!,2,#REF!,"&lt;="&amp;$A$1,#REF!,"&gt;="&amp;DATE(YEAR($A$1),MONTH($A$1),1))</f>
        <v>#REF!</v>
      </c>
      <c r="P84" s="339" t="e">
        <f>COUNTIFS(#REF!,P$80,#REF!,$A84,#REF!,2,#REF!,"&lt;="&amp;$A$1,#REF!,"&gt;="&amp;DATE(YEAR($A$1),MONTH($A$1),1))</f>
        <v>#REF!</v>
      </c>
      <c r="Q84" s="1099" t="e">
        <f>COUNTIFS(#REF!,Q$80,#REF!,$A84,#REF!,2,#REF!,"&lt;="&amp;$A$1,#REF!,"&gt;="&amp;DATE(YEAR($A$1),MONTH($A$1),1))</f>
        <v>#REF!</v>
      </c>
      <c r="R84" s="949"/>
      <c r="S84" s="949"/>
      <c r="T84" s="949"/>
      <c r="U84" s="930"/>
    </row>
    <row r="85" spans="1:21">
      <c r="A85" s="1315" t="s">
        <v>20</v>
      </c>
      <c r="B85" s="1127">
        <v>101</v>
      </c>
      <c r="C85" s="954">
        <v>6903573</v>
      </c>
      <c r="D85" s="1069">
        <v>3</v>
      </c>
      <c r="E85" s="257">
        <f>SUMIFS(Октябрь2126[м2],Октябрь2126[МОП],$A85,Октябрь2126[№ дома],$C$79)</f>
        <v>132.81</v>
      </c>
      <c r="F85" s="954">
        <f>SUMIFS(Октябрь2126[сумма без отделки],Октябрь2126[МОП],$A85,Октябрь2126[№ дома],$C$79)</f>
        <v>9813780.0099999998</v>
      </c>
      <c r="G85" s="1234">
        <f>COUNTIFS(Октябрь2126[МОП],$A85,Октябрь2126[№ дома],$C$79)</f>
        <v>3</v>
      </c>
      <c r="H85" s="202" t="e">
        <f>SUMIFS(#REF!,#REF!,2,#REF!,A85,#REF!,"&lt;="&amp;$A$1,#REF!,"&gt;="&amp;DATE(YEAR($A$1),MONTH($A$1),1))</f>
        <v>#REF!</v>
      </c>
      <c r="I85" s="203" t="e">
        <f>SUMIFS(#REF!,#REF!,2,#REF!,A85,#REF!,"&lt;="&amp;$A$1,#REF!,"&gt;="&amp;DATE(YEAR($A$1),MONTH($A$1),1))</f>
        <v>#REF!</v>
      </c>
      <c r="J85" s="226" t="e">
        <f>COUNTIFS(#REF!,2,#REF!,A85,#REF!,"&lt;="&amp;$A$1,#REF!,"&gt;="&amp;DATE(YEAR($A$1),MONTH($A$1),1))</f>
        <v>#REF!</v>
      </c>
      <c r="K85" s="987" t="str">
        <f t="shared" si="3"/>
        <v/>
      </c>
      <c r="L85" s="1062" t="str">
        <f t="shared" si="3"/>
        <v/>
      </c>
      <c r="M85" s="339" t="e">
        <f>COUNTIFS(#REF!,M$80,#REF!,$A85,#REF!,2,#REF!,"&lt;="&amp;$A$1,#REF!,"&gt;="&amp;DATE(YEAR($A$1),MONTH($A$1),1))</f>
        <v>#REF!</v>
      </c>
      <c r="N85" s="339" t="e">
        <f>COUNTIFS(#REF!,N$80,#REF!,$A85,#REF!,2,#REF!,"&lt;="&amp;$A$1,#REF!,"&gt;="&amp;DATE(YEAR($A$1),MONTH($A$1),1))</f>
        <v>#REF!</v>
      </c>
      <c r="O85" s="339" t="e">
        <f>COUNTIFS(#REF!,O$80,#REF!,$A85,#REF!,2,#REF!,"&lt;="&amp;$A$1,#REF!,"&gt;="&amp;DATE(YEAR($A$1),MONTH($A$1),1))</f>
        <v>#REF!</v>
      </c>
      <c r="P85" s="339" t="e">
        <f>COUNTIFS(#REF!,P$80,#REF!,$A85,#REF!,2,#REF!,"&lt;="&amp;$A$1,#REF!,"&gt;="&amp;DATE(YEAR($A$1),MONTH($A$1),1))</f>
        <v>#REF!</v>
      </c>
      <c r="Q85" s="1099" t="e">
        <f>COUNTIFS(#REF!,Q$80,#REF!,$A85,#REF!,2,#REF!,"&lt;="&amp;$A$1,#REF!,"&gt;="&amp;DATE(YEAR($A$1),MONTH($A$1),1))</f>
        <v>#REF!</v>
      </c>
      <c r="R85" s="949"/>
      <c r="S85" s="949"/>
      <c r="T85" s="949"/>
      <c r="U85" s="930"/>
    </row>
    <row r="86" spans="1:21">
      <c r="A86" s="1316" t="s">
        <v>63</v>
      </c>
      <c r="B86" s="1128">
        <v>101</v>
      </c>
      <c r="C86" s="954">
        <v>6903573</v>
      </c>
      <c r="D86" s="1069">
        <v>3</v>
      </c>
      <c r="E86" s="329">
        <f>SUMIFS(Октябрь2126[м2],Октябрь2126[МОП],$A86,Октябрь2126[№ дома],$C$79)</f>
        <v>0</v>
      </c>
      <c r="F86" s="958">
        <f>SUMIFS(Октябрь2126[сумма без отделки],Октябрь2126[МОП],$A86,Октябрь2126[№ дома],$C$79)</f>
        <v>0</v>
      </c>
      <c r="G86" s="983">
        <f>COUNTIFS(Октябрь2126[МОП],$A86,Октябрь2126[№ дома],$C$79)</f>
        <v>0</v>
      </c>
      <c r="H86" s="358" t="e">
        <f>SUMIFS(#REF!,#REF!,2,#REF!,A86,#REF!,"&lt;="&amp;$A$1,#REF!,"&gt;="&amp;DATE(YEAR($A$1),MONTH($A$1),1))</f>
        <v>#REF!</v>
      </c>
      <c r="I86" s="359" t="e">
        <f>SUMIFS(#REF!,#REF!,2,#REF!,A86,#REF!,"&lt;="&amp;$A$1,#REF!,"&gt;="&amp;DATE(YEAR($A$1),MONTH($A$1),1))</f>
        <v>#REF!</v>
      </c>
      <c r="J86" s="330" t="e">
        <f>COUNTIFS(#REF!,2,#REF!,A86,#REF!,"&lt;="&amp;$A$1,#REF!,"&gt;="&amp;DATE(YEAR($A$1),MONTH($A$1),1))</f>
        <v>#REF!</v>
      </c>
      <c r="K86" s="1063" t="str">
        <f t="shared" si="3"/>
        <v/>
      </c>
      <c r="L86" s="1064" t="str">
        <f t="shared" si="3"/>
        <v/>
      </c>
      <c r="M86" s="339" t="e">
        <f>COUNTIFS(#REF!,M$80,#REF!,$A86,#REF!,2,#REF!,"&lt;="&amp;$A$1,#REF!,"&gt;="&amp;DATE(YEAR($A$1),MONTH($A$1),1))</f>
        <v>#REF!</v>
      </c>
      <c r="N86" s="339" t="e">
        <f>COUNTIFS(#REF!,N$80,#REF!,$A86,#REF!,2,#REF!,"&lt;="&amp;$A$1,#REF!,"&gt;="&amp;DATE(YEAR($A$1),MONTH($A$1),1))</f>
        <v>#REF!</v>
      </c>
      <c r="O86" s="339" t="e">
        <f>COUNTIFS(#REF!,O$80,#REF!,$A86,#REF!,2,#REF!,"&lt;="&amp;$A$1,#REF!,"&gt;="&amp;DATE(YEAR($A$1),MONTH($A$1),1))</f>
        <v>#REF!</v>
      </c>
      <c r="P86" s="339" t="e">
        <f>COUNTIFS(#REF!,P$80,#REF!,$A86,#REF!,2,#REF!,"&lt;="&amp;$A$1,#REF!,"&gt;="&amp;DATE(YEAR($A$1),MONTH($A$1),1))</f>
        <v>#REF!</v>
      </c>
      <c r="Q86" s="1099" t="e">
        <f>COUNTIFS(#REF!,Q$80,#REF!,$A86,#REF!,2,#REF!,"&lt;="&amp;$A$1,#REF!,"&gt;="&amp;DATE(YEAR($A$1),MONTH($A$1),1))</f>
        <v>#REF!</v>
      </c>
      <c r="R86" s="949"/>
      <c r="S86" s="949"/>
      <c r="T86" s="949"/>
      <c r="U86" s="930"/>
    </row>
    <row r="87" spans="1:21">
      <c r="A87" s="1317" t="s">
        <v>114</v>
      </c>
      <c r="B87" s="1195">
        <v>750</v>
      </c>
      <c r="C87" s="1196">
        <v>51264590</v>
      </c>
      <c r="D87" s="1162">
        <v>18</v>
      </c>
      <c r="E87" s="1123">
        <f t="shared" ref="E87:J87" si="4">SUM(E81:E86)</f>
        <v>646.38000000000011</v>
      </c>
      <c r="F87" s="1163">
        <f t="shared" si="4"/>
        <v>48377863.529999994</v>
      </c>
      <c r="G87" s="1164">
        <f t="shared" si="4"/>
        <v>18</v>
      </c>
      <c r="H87" s="906" t="e">
        <f t="shared" si="4"/>
        <v>#REF!</v>
      </c>
      <c r="I87" s="1124" t="e">
        <f t="shared" si="4"/>
        <v>#REF!</v>
      </c>
      <c r="J87" s="1123" t="e">
        <f t="shared" si="4"/>
        <v>#REF!</v>
      </c>
      <c r="K87" s="1140" t="str">
        <f t="shared" si="3"/>
        <v/>
      </c>
      <c r="L87" s="1141" t="str">
        <f t="shared" si="3"/>
        <v/>
      </c>
      <c r="M87" s="1123" t="e">
        <f>SUM(M81:M86)</f>
        <v>#REF!</v>
      </c>
      <c r="N87" s="1123" t="e">
        <f>SUM(N81:N86)</f>
        <v>#REF!</v>
      </c>
      <c r="O87" s="1123" t="e">
        <f>SUM(O81:O86)</f>
        <v>#REF!</v>
      </c>
      <c r="P87" s="1185" t="e">
        <f>SUM(P81:P86)</f>
        <v>#REF!</v>
      </c>
      <c r="Q87" s="1167" t="e">
        <f>SUM(Q81:Q86)</f>
        <v>#REF!</v>
      </c>
      <c r="R87" s="949"/>
      <c r="S87" s="949"/>
      <c r="T87" s="949"/>
      <c r="U87" s="930"/>
    </row>
    <row r="88" spans="1:21" s="1214" customFormat="1" ht="25.5">
      <c r="A88" s="1313" t="s">
        <v>115</v>
      </c>
      <c r="B88" s="686" t="s">
        <v>100</v>
      </c>
      <c r="C88" s="693" t="s">
        <v>97</v>
      </c>
      <c r="D88" s="688" t="s">
        <v>714</v>
      </c>
      <c r="E88" s="1033" t="s">
        <v>494</v>
      </c>
      <c r="F88" s="1033" t="s">
        <v>495</v>
      </c>
      <c r="G88" s="1104" t="s">
        <v>496</v>
      </c>
      <c r="H88" s="1034" t="s">
        <v>101</v>
      </c>
      <c r="I88" s="1023" t="s">
        <v>98</v>
      </c>
      <c r="J88" s="1023" t="s">
        <v>96</v>
      </c>
      <c r="K88" s="1186" t="s">
        <v>715</v>
      </c>
      <c r="L88" s="1187" t="s">
        <v>716</v>
      </c>
      <c r="M88" s="1033">
        <v>0</v>
      </c>
      <c r="N88" s="1033">
        <v>1</v>
      </c>
      <c r="O88" s="1033">
        <v>2</v>
      </c>
      <c r="P88" s="1033">
        <v>3</v>
      </c>
      <c r="Q88" s="1104">
        <v>4</v>
      </c>
      <c r="R88" s="950"/>
      <c r="S88" s="950"/>
      <c r="T88" s="950"/>
      <c r="U88" s="951"/>
    </row>
    <row r="89" spans="1:21">
      <c r="A89" s="1314" t="s">
        <v>16</v>
      </c>
      <c r="B89" s="1109">
        <v>300</v>
      </c>
      <c r="C89" s="939">
        <v>20505836</v>
      </c>
      <c r="D89" s="1069">
        <v>8</v>
      </c>
      <c r="E89" s="1129">
        <f>SUMIFS(Октябрь2126[м2],Октябрь2126[ИМ],A89,Октябрь2126[№ дома],$C$79)</f>
        <v>268.32</v>
      </c>
      <c r="F89" s="149">
        <f>SUMIFS(Октябрь2126[сумма без отделки],Октябрь2126[ИМ],$A89,Октябрь2126[№ дома],$C$79)</f>
        <v>20129992.800000001</v>
      </c>
      <c r="G89" s="940">
        <f>COUNTIFS(Октябрь2126[ИМ],$A89,Октябрь2126[№ дома],$C$79)</f>
        <v>8</v>
      </c>
      <c r="H89" s="148" t="e">
        <f>SUMIFS(#REF!,#REF!,2,#REF!,A89,#REF!,"&lt;="&amp;$A$1,#REF!,"&gt;="&amp;DATE(YEAR($A$1),MONTH($A$1),1))</f>
        <v>#REF!</v>
      </c>
      <c r="I89" s="220" t="e">
        <f>SUMIFS(#REF!,#REF!,2,#REF!,A89,#REF!,"&lt;="&amp;$A$1,#REF!,"&gt;="&amp;DATE(YEAR($A$1),MONTH($A$1),1))</f>
        <v>#REF!</v>
      </c>
      <c r="J89" s="220" t="e">
        <f>COUNTIFS(#REF!,2,#REF!,A89,#REF!,"&lt;="&amp;$A$1,#REF!,"&gt;="&amp;DATE(YEAR($A$1),MONTH($A$1),1))</f>
        <v>#REF!</v>
      </c>
      <c r="K89" s="943" t="str">
        <f>IFERROR(H89/B89,"")</f>
        <v/>
      </c>
      <c r="L89" s="1061" t="str">
        <f>IFERROR(I89/C89,"")</f>
        <v/>
      </c>
      <c r="M89" s="339" t="e">
        <f>COUNTIFS(#REF!,M$88,#REF!,$A89,#REF!,2,#REF!,"&lt;="&amp;$A$1,#REF!,"&gt;="&amp;DATE(YEAR($A$1),MONTH($A$1),1))</f>
        <v>#REF!</v>
      </c>
      <c r="N89" s="339" t="e">
        <f>COUNTIFS(#REF!,N$88,#REF!,$A89,#REF!,2,#REF!,"&lt;="&amp;$A$1,#REF!,"&gt;="&amp;DATE(YEAR($A$1),MONTH($A$1),1))</f>
        <v>#REF!</v>
      </c>
      <c r="O89" s="339" t="e">
        <f>COUNTIFS(#REF!,O$88,#REF!,$A89,#REF!,2,#REF!,"&lt;="&amp;$A$1,#REF!,"&gt;="&amp;DATE(YEAR($A$1),MONTH($A$1),1))</f>
        <v>#REF!</v>
      </c>
      <c r="P89" s="339" t="e">
        <f>COUNTIFS(#REF!,P$88,#REF!,$A89,#REF!,2,#REF!,"&lt;="&amp;$A$1,#REF!,"&gt;="&amp;DATE(YEAR($A$1),MONTH($A$1),1))</f>
        <v>#REF!</v>
      </c>
      <c r="Q89" s="1099" t="e">
        <f>COUNTIFS(#REF!,Q$88,#REF!,$A89,#REF!,2,#REF!,"&lt;="&amp;$A$1,#REF!,"&gt;="&amp;DATE(YEAR($A$1),MONTH($A$1),1))</f>
        <v>#REF!</v>
      </c>
      <c r="R89" s="949"/>
      <c r="S89" s="949"/>
      <c r="T89" s="949"/>
      <c r="U89" s="930"/>
    </row>
    <row r="90" spans="1:21">
      <c r="A90" s="1316" t="s">
        <v>575</v>
      </c>
      <c r="B90" s="1128">
        <v>300</v>
      </c>
      <c r="C90" s="958">
        <v>20505836</v>
      </c>
      <c r="D90" s="1054">
        <v>8</v>
      </c>
      <c r="E90" s="1222">
        <f>SUMIFS(Октябрь2126[м2],Октябрь2126[ИМ],A90,Октябрь2126[№ дома],$C$79)</f>
        <v>137.35</v>
      </c>
      <c r="F90" s="359">
        <f>SUMIFS(Октябрь2126[сумма без отделки],Октябрь2126[ИМ],$A90,Октябрь2126[№ дома],$C$79)</f>
        <v>10649414.640000001</v>
      </c>
      <c r="G90" s="959">
        <f>COUNTIFS(Октябрь2126[ИМ],$A90,Октябрь2126[№ дома],$C$79)</f>
        <v>4</v>
      </c>
      <c r="H90" s="967" t="e">
        <f>SUMIFS(#REF!,#REF!,2,#REF!,A90,#REF!,"&lt;="&amp;$A$1,#REF!,"&gt;="&amp;DATE(YEAR($A$1),MONTH($A$1),1))</f>
        <v>#REF!</v>
      </c>
      <c r="I90" s="1223" t="e">
        <f>SUMIFS(#REF!,#REF!,2,#REF!,A90,#REF!,"&lt;="&amp;$A$1,#REF!,"&gt;="&amp;DATE(YEAR($A$1),MONTH($A$1),1))</f>
        <v>#REF!</v>
      </c>
      <c r="J90" s="1223" t="e">
        <f>COUNTIFS(#REF!,2,#REF!,A90,#REF!,"&lt;="&amp;$A$1,#REF!,"&gt;="&amp;DATE(YEAR($A$1),MONTH($A$1),1))</f>
        <v>#REF!</v>
      </c>
      <c r="K90" s="1063" t="str">
        <f>IFERROR(H90/B90,"")</f>
        <v/>
      </c>
      <c r="L90" s="1064" t="str">
        <f>IFERROR(I90/C90,"")</f>
        <v/>
      </c>
      <c r="M90" s="339" t="e">
        <f>COUNTIFS(#REF!,M$88,#REF!,$A90,#REF!,2,#REF!,"&lt;="&amp;$A$1,#REF!,"&gt;="&amp;DATE(YEAR($A$1),MONTH($A$1),1))</f>
        <v>#REF!</v>
      </c>
      <c r="N90" s="339" t="e">
        <f>COUNTIFS(#REF!,N$88,#REF!,$A90,#REF!,2,#REF!,"&lt;="&amp;$A$1,#REF!,"&gt;="&amp;DATE(YEAR($A$1),MONTH($A$1),1))</f>
        <v>#REF!</v>
      </c>
      <c r="O90" s="339" t="e">
        <f>COUNTIFS(#REF!,O$88,#REF!,$A90,#REF!,2,#REF!,"&lt;="&amp;$A$1,#REF!,"&gt;="&amp;DATE(YEAR($A$1),MONTH($A$1),1))</f>
        <v>#REF!</v>
      </c>
      <c r="P90" s="339" t="e">
        <f>COUNTIFS(#REF!,P$88,#REF!,$A90,#REF!,2,#REF!,"&lt;="&amp;$A$1,#REF!,"&gt;="&amp;DATE(YEAR($A$1),MONTH($A$1),1))</f>
        <v>#REF!</v>
      </c>
      <c r="Q90" s="1099" t="e">
        <f>COUNTIFS(#REF!,Q$88,#REF!,$A90,#REF!,2,#REF!,"&lt;="&amp;$A$1,#REF!,"&gt;="&amp;DATE(YEAR($A$1),MONTH($A$1),1))</f>
        <v>#REF!</v>
      </c>
      <c r="R90" s="949"/>
      <c r="S90" s="949"/>
      <c r="T90" s="949"/>
      <c r="U90" s="930"/>
    </row>
    <row r="91" spans="1:21" s="65" customFormat="1">
      <c r="A91" s="1319" t="s">
        <v>114</v>
      </c>
      <c r="B91" s="1195">
        <v>600</v>
      </c>
      <c r="C91" s="1165">
        <v>41011672</v>
      </c>
      <c r="D91" s="1166">
        <v>16</v>
      </c>
      <c r="E91" s="1123">
        <f t="shared" ref="E91:J91" si="5">SUM(E89:E90)</f>
        <v>405.66999999999996</v>
      </c>
      <c r="F91" s="1124">
        <f t="shared" si="5"/>
        <v>30779407.440000001</v>
      </c>
      <c r="G91" s="1167">
        <f t="shared" si="5"/>
        <v>12</v>
      </c>
      <c r="H91" s="906" t="e">
        <f t="shared" si="5"/>
        <v>#REF!</v>
      </c>
      <c r="I91" s="1123" t="e">
        <f t="shared" si="5"/>
        <v>#REF!</v>
      </c>
      <c r="J91" s="1123" t="e">
        <f t="shared" si="5"/>
        <v>#REF!</v>
      </c>
      <c r="K91" s="1199" t="e">
        <f>H91/B91</f>
        <v>#REF!</v>
      </c>
      <c r="L91" s="1200" t="str">
        <f>IFERROR(I91/C91,"")</f>
        <v/>
      </c>
      <c r="M91" s="1123" t="e">
        <f>SUM(M89:M90)</f>
        <v>#REF!</v>
      </c>
      <c r="N91" s="1123" t="e">
        <f>SUM(N89:N90)</f>
        <v>#REF!</v>
      </c>
      <c r="O91" s="1123" t="e">
        <f>SUM(O89:O90)</f>
        <v>#REF!</v>
      </c>
      <c r="P91" s="1123" t="e">
        <f>SUM(P89:P90)</f>
        <v>#REF!</v>
      </c>
      <c r="Q91" s="1167" t="e">
        <f>SUM(Q89:Q90)</f>
        <v>#REF!</v>
      </c>
      <c r="U91" s="339"/>
    </row>
    <row r="92" spans="1:21">
      <c r="A92" s="1321"/>
      <c r="B92" s="968"/>
      <c r="C92" s="968"/>
      <c r="D92" s="7"/>
      <c r="E92" s="7"/>
      <c r="F92" s="7"/>
      <c r="G92" s="7"/>
      <c r="H92" s="134"/>
      <c r="I92" s="134"/>
      <c r="J92" s="134"/>
      <c r="K92" s="7"/>
      <c r="L92" s="994"/>
      <c r="M92" s="134"/>
      <c r="N92" s="134"/>
      <c r="O92" s="134"/>
      <c r="P92" s="262"/>
      <c r="Q92" s="134"/>
      <c r="R92" s="949"/>
      <c r="S92" s="949"/>
      <c r="T92" s="949"/>
      <c r="U92" s="930"/>
    </row>
    <row r="93" spans="1:21">
      <c r="A93" s="2290" t="s">
        <v>713</v>
      </c>
      <c r="B93" s="2291"/>
      <c r="C93" s="935" t="s">
        <v>27</v>
      </c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7"/>
      <c r="R93" s="949"/>
      <c r="S93" s="949"/>
      <c r="T93" s="949"/>
      <c r="U93" s="930"/>
    </row>
    <row r="94" spans="1:21" s="1214" customFormat="1" ht="25.5">
      <c r="A94" s="1313" t="s">
        <v>1</v>
      </c>
      <c r="B94" s="686" t="s">
        <v>100</v>
      </c>
      <c r="C94" s="688" t="s">
        <v>97</v>
      </c>
      <c r="D94" s="688" t="s">
        <v>714</v>
      </c>
      <c r="E94" s="1022" t="s">
        <v>494</v>
      </c>
      <c r="F94" s="138" t="s">
        <v>495</v>
      </c>
      <c r="G94" s="139" t="s">
        <v>496</v>
      </c>
      <c r="H94" s="140" t="s">
        <v>101</v>
      </c>
      <c r="I94" s="141" t="s">
        <v>98</v>
      </c>
      <c r="J94" s="141" t="s">
        <v>96</v>
      </c>
      <c r="K94" s="141" t="s">
        <v>715</v>
      </c>
      <c r="L94" s="1026" t="s">
        <v>716</v>
      </c>
      <c r="M94" s="1087">
        <v>0</v>
      </c>
      <c r="N94" s="1033">
        <v>1</v>
      </c>
      <c r="O94" s="1033">
        <v>2</v>
      </c>
      <c r="P94" s="1033">
        <v>3</v>
      </c>
      <c r="Q94" s="1104">
        <v>4</v>
      </c>
      <c r="R94" s="950"/>
      <c r="S94" s="950"/>
      <c r="T94" s="950"/>
      <c r="U94" s="951"/>
    </row>
    <row r="95" spans="1:21">
      <c r="A95" s="1322" t="s">
        <v>73</v>
      </c>
      <c r="B95" s="1126">
        <v>339</v>
      </c>
      <c r="C95" s="1059">
        <v>21569892</v>
      </c>
      <c r="D95" s="1074">
        <v>7</v>
      </c>
      <c r="E95" s="145">
        <f>SUMIFS(Октябрь2126[м2],Октябрь2126[МОП],$A95,Октябрь2126[№ дома],$C$93)</f>
        <v>665.30000000000007</v>
      </c>
      <c r="F95" s="939">
        <f>SUMIFS(Октябрь2126[сумма без отделки],Октябрь2126[МОП],$A95,Октябрь2126[№ дома],$C$93)</f>
        <v>42119995.150000006</v>
      </c>
      <c r="G95" s="940">
        <f>COUNTIFS(Октябрь2126[МОП],$A95,Октябрь2126[№ дома],$C$93)</f>
        <v>14</v>
      </c>
      <c r="H95" s="148" t="e">
        <f>SUMIFS(#REF!,#REF!,3,#REF!,A95,#REF!,"&lt;="&amp;$A$1,#REF!,"&gt;="&amp;DATE(YEAR($A$1),MONTH($A$1),1))</f>
        <v>#REF!</v>
      </c>
      <c r="I95" s="149" t="e">
        <f>SUMIFS(#REF!,#REF!,3,#REF!,A95,#REF!,"&lt;="&amp;$A$1,#REF!,"&gt;="&amp;DATE(YEAR($A$1),MONTH($A$1),1))</f>
        <v>#REF!</v>
      </c>
      <c r="J95" s="220" t="e">
        <f>COUNTIFS(#REF!,3,#REF!,A95,#REF!,"&lt;="&amp;$A$1,#REF!,"&gt;="&amp;DATE(YEAR($A$1),MONTH($A$1),1))</f>
        <v>#REF!</v>
      </c>
      <c r="K95" s="943" t="str">
        <f t="shared" ref="K95:L101" si="6">IFERROR(H95/B95,"")</f>
        <v/>
      </c>
      <c r="L95" s="1061" t="str">
        <f t="shared" si="6"/>
        <v/>
      </c>
      <c r="M95" s="1090" t="e">
        <f>COUNTIFS(#REF!,M$94,#REF!,$A95,#REF!,3,#REF!,"&lt;="&amp;$A$1,#REF!,"&gt;="&amp;DATE(YEAR($A$1),MONTH($A$1),1))</f>
        <v>#REF!</v>
      </c>
      <c r="N95" s="339" t="e">
        <f>COUNTIFS(#REF!,N$94,#REF!,$A95,#REF!,3,#REF!,"&lt;="&amp;$A$1,#REF!,"&gt;="&amp;DATE(YEAR($A$1),MONTH($A$1),1))</f>
        <v>#REF!</v>
      </c>
      <c r="O95" s="339" t="e">
        <f>COUNTIFS(#REF!,O$94,#REF!,$A95,#REF!,3,#REF!,"&lt;="&amp;$A$1,#REF!,"&gt;="&amp;DATE(YEAR($A$1),MONTH($A$1),1))</f>
        <v>#REF!</v>
      </c>
      <c r="P95" s="339" t="e">
        <f>COUNTIFS(#REF!,P$94,#REF!,$A95,#REF!,3,#REF!,"&lt;="&amp;$A$1,#REF!,"&gt;="&amp;DATE(YEAR($A$1),MONTH($A$1),1))</f>
        <v>#REF!</v>
      </c>
      <c r="Q95" s="1099" t="e">
        <f>COUNTIFS(#REF!,Q$94,#REF!,$A95,#REF!,3,#REF!,"&lt;="&amp;$A$1,#REF!,"&gt;="&amp;DATE(YEAR($A$1),MONTH($A$1),1))</f>
        <v>#REF!</v>
      </c>
      <c r="R95" s="949"/>
      <c r="S95" s="949"/>
      <c r="T95" s="949"/>
      <c r="U95" s="930"/>
    </row>
    <row r="96" spans="1:21">
      <c r="A96" s="1323" t="s">
        <v>407</v>
      </c>
      <c r="B96" s="1127">
        <v>337</v>
      </c>
      <c r="C96" s="954">
        <v>21442636</v>
      </c>
      <c r="D96" s="1041">
        <v>6</v>
      </c>
      <c r="E96" s="257">
        <f>SUMIFS(Октябрь2126[м2],Октябрь2126[МОП],$A96,Октябрь2126[№ дома],$C$93)</f>
        <v>60.06</v>
      </c>
      <c r="F96" s="954">
        <f>SUMIFS(Октябрь2126[сумма без отделки],Октябрь2126[МОП],$A96,Октябрь2126[№ дома],$C$93)</f>
        <v>3709299.67</v>
      </c>
      <c r="G96" s="955">
        <f>COUNTIFS(Октябрь2126[МОП],$A96,Октябрь2126[№ дома],$C$93)</f>
        <v>1</v>
      </c>
      <c r="H96" s="202" t="e">
        <f>SUMIFS(#REF!,#REF!,3,#REF!,A96,#REF!,"&lt;="&amp;$A$1,#REF!,"&gt;="&amp;DATE(YEAR($A$1),MONTH($A$1),1))</f>
        <v>#REF!</v>
      </c>
      <c r="I96" s="203" t="e">
        <f>SUMIFS(#REF!,#REF!,3,#REF!,A96,#REF!,"&lt;="&amp;$A$1,#REF!,"&gt;="&amp;DATE(YEAR($A$1),MONTH($A$1),1))</f>
        <v>#REF!</v>
      </c>
      <c r="J96" s="226" t="e">
        <f>COUNTIFS(#REF!,3,#REF!,A96,#REF!,"&lt;="&amp;$A$1,#REF!,"&gt;="&amp;DATE(YEAR($A$1),MONTH($A$1),1))</f>
        <v>#REF!</v>
      </c>
      <c r="K96" s="987" t="str">
        <f t="shared" si="6"/>
        <v/>
      </c>
      <c r="L96" s="1062" t="str">
        <f t="shared" si="6"/>
        <v/>
      </c>
      <c r="M96" s="1090" t="e">
        <f>COUNTIFS(#REF!,M$94,#REF!,$A96,#REF!,3,#REF!,"&lt;="&amp;$A$1,#REF!,"&gt;="&amp;DATE(YEAR($A$1),MONTH($A$1),1))</f>
        <v>#REF!</v>
      </c>
      <c r="N96" s="339" t="e">
        <f>COUNTIFS(#REF!,N$94,#REF!,$A96,#REF!,3,#REF!,"&lt;="&amp;$A$1,#REF!,"&gt;="&amp;DATE(YEAR($A$1),MONTH($A$1),1))</f>
        <v>#REF!</v>
      </c>
      <c r="O96" s="339" t="e">
        <f>COUNTIFS(#REF!,O$94,#REF!,$A96,#REF!,3,#REF!,"&lt;="&amp;$A$1,#REF!,"&gt;="&amp;DATE(YEAR($A$1),MONTH($A$1),1))</f>
        <v>#REF!</v>
      </c>
      <c r="P96" s="339" t="e">
        <f>COUNTIFS(#REF!,P$94,#REF!,$A96,#REF!,3,#REF!,"&lt;="&amp;$A$1,#REF!,"&gt;="&amp;DATE(YEAR($A$1),MONTH($A$1),1))</f>
        <v>#REF!</v>
      </c>
      <c r="Q96" s="1099" t="e">
        <f>COUNTIFS(#REF!,Q$94,#REF!,$A96,#REF!,3,#REF!,"&lt;="&amp;$A$1,#REF!,"&gt;="&amp;DATE(YEAR($A$1),MONTH($A$1),1))</f>
        <v>#REF!</v>
      </c>
      <c r="R96" s="949"/>
      <c r="S96" s="949"/>
      <c r="T96" s="949"/>
      <c r="U96" s="930"/>
    </row>
    <row r="97" spans="1:21">
      <c r="A97" s="1323" t="s">
        <v>77</v>
      </c>
      <c r="B97" s="1127">
        <v>339</v>
      </c>
      <c r="C97" s="954">
        <v>21569892</v>
      </c>
      <c r="D97" s="1041">
        <v>7</v>
      </c>
      <c r="E97" s="257">
        <f>SUMIFS(Октябрь2126[м2],Октябрь2126[МОП],$A97,Октябрь2126[№ дома],$C$93)</f>
        <v>331.11</v>
      </c>
      <c r="F97" s="954">
        <f>SUMIFS(Октябрь2126[сумма без отделки],Октябрь2126[МОП],$A97,Октябрь2126[№ дома],$C$93)</f>
        <v>21754055.469999999</v>
      </c>
      <c r="G97" s="955">
        <f>COUNTIFS(Октябрь2126[МОП],$A97,Октябрь2126[№ дома],$C$93)</f>
        <v>9</v>
      </c>
      <c r="H97" s="202" t="e">
        <f>SUMIFS(#REF!,#REF!,3,#REF!,A97,#REF!,"&lt;="&amp;$A$1,#REF!,"&gt;="&amp;DATE(YEAR($A$1),MONTH($A$1),1))</f>
        <v>#REF!</v>
      </c>
      <c r="I97" s="203" t="e">
        <f>SUMIFS(#REF!,#REF!,3,#REF!,A97,#REF!,"&lt;="&amp;$A$1,#REF!,"&gt;="&amp;DATE(YEAR($A$1),MONTH($A$1),1))</f>
        <v>#REF!</v>
      </c>
      <c r="J97" s="226" t="e">
        <f>COUNTIFS(#REF!,3,#REF!,A97,#REF!,"&lt;="&amp;$A$1,#REF!,"&gt;="&amp;DATE(YEAR($A$1),MONTH($A$1),1))</f>
        <v>#REF!</v>
      </c>
      <c r="K97" s="987" t="str">
        <f t="shared" si="6"/>
        <v/>
      </c>
      <c r="L97" s="1062" t="str">
        <f t="shared" si="6"/>
        <v/>
      </c>
      <c r="M97" s="1090" t="e">
        <f>COUNTIFS(#REF!,M$94,#REF!,$A97,#REF!,3,#REF!,"&lt;="&amp;$A$1,#REF!,"&gt;="&amp;DATE(YEAR($A$1),MONTH($A$1),1))</f>
        <v>#REF!</v>
      </c>
      <c r="N97" s="339" t="e">
        <f>COUNTIFS(#REF!,N$94,#REF!,$A97,#REF!,3,#REF!,"&lt;="&amp;$A$1,#REF!,"&gt;="&amp;DATE(YEAR($A$1),MONTH($A$1),1))</f>
        <v>#REF!</v>
      </c>
      <c r="O97" s="339" t="e">
        <f>COUNTIFS(#REF!,O$94,#REF!,$A97,#REF!,3,#REF!,"&lt;="&amp;$A$1,#REF!,"&gt;="&amp;DATE(YEAR($A$1),MONTH($A$1),1))</f>
        <v>#REF!</v>
      </c>
      <c r="P97" s="339" t="e">
        <f>COUNTIFS(#REF!,P$94,#REF!,$A97,#REF!,3,#REF!,"&lt;="&amp;$A$1,#REF!,"&gt;="&amp;DATE(YEAR($A$1),MONTH($A$1),1))</f>
        <v>#REF!</v>
      </c>
      <c r="Q97" s="1099" t="e">
        <f>COUNTIFS(#REF!,Q$94,#REF!,$A97,#REF!,3,#REF!,"&lt;="&amp;$A$1,#REF!,"&gt;="&amp;DATE(YEAR($A$1),MONTH($A$1),1))</f>
        <v>#REF!</v>
      </c>
      <c r="R97" s="949"/>
      <c r="S97" s="949"/>
      <c r="T97" s="949"/>
      <c r="U97" s="930"/>
    </row>
    <row r="98" spans="1:21">
      <c r="A98" s="1323" t="s">
        <v>471</v>
      </c>
      <c r="B98" s="1127">
        <v>337</v>
      </c>
      <c r="C98" s="954">
        <v>21442636</v>
      </c>
      <c r="D98" s="1041">
        <v>7</v>
      </c>
      <c r="E98" s="257">
        <f>SUMIFS(Октябрь2126[м2],Октябрь2126[МОП],$A98,Октябрь2126[№ дома],$C$93)</f>
        <v>208.77999999999997</v>
      </c>
      <c r="F98" s="954">
        <f>SUMIFS(Октябрь2126[сумма без отделки],Октябрь2126[МОП],$A98,Октябрь2126[№ дома],$C$93)</f>
        <v>12668021.960000001</v>
      </c>
      <c r="G98" s="955">
        <f>COUNTIFS(Октябрь2126[МОП],$A98,Октябрь2126[№ дома],$C$93)</f>
        <v>5</v>
      </c>
      <c r="H98" s="202" t="e">
        <f>SUMIFS(#REF!,#REF!,3,#REF!,A98,#REF!,"&lt;="&amp;$A$1,#REF!,"&gt;="&amp;DATE(YEAR($A$1),MONTH($A$1),1))</f>
        <v>#REF!</v>
      </c>
      <c r="I98" s="203" t="e">
        <f>SUMIFS(#REF!,#REF!,3,#REF!,A98,#REF!,"&lt;="&amp;$A$1,#REF!,"&gt;="&amp;DATE(YEAR($A$1),MONTH($A$1),1))</f>
        <v>#REF!</v>
      </c>
      <c r="J98" s="226" t="e">
        <f>COUNTIFS(#REF!,3,#REF!,A98,#REF!,"&lt;="&amp;$A$1,#REF!,"&gt;="&amp;DATE(YEAR($A$1),MONTH($A$1),1))</f>
        <v>#REF!</v>
      </c>
      <c r="K98" s="987" t="str">
        <f t="shared" si="6"/>
        <v/>
      </c>
      <c r="L98" s="1062" t="str">
        <f t="shared" si="6"/>
        <v/>
      </c>
      <c r="M98" s="1090" t="e">
        <f>COUNTIFS(#REF!,M$94,#REF!,$A98,#REF!,3,#REF!,"&lt;="&amp;$A$1,#REF!,"&gt;="&amp;DATE(YEAR($A$1),MONTH($A$1),1))</f>
        <v>#REF!</v>
      </c>
      <c r="N98" s="339" t="e">
        <f>COUNTIFS(#REF!,N$94,#REF!,$A98,#REF!,3,#REF!,"&lt;="&amp;$A$1,#REF!,"&gt;="&amp;DATE(YEAR($A$1),MONTH($A$1),1))</f>
        <v>#REF!</v>
      </c>
      <c r="O98" s="339" t="e">
        <f>COUNTIFS(#REF!,O$94,#REF!,$A98,#REF!,3,#REF!,"&lt;="&amp;$A$1,#REF!,"&gt;="&amp;DATE(YEAR($A$1),MONTH($A$1),1))</f>
        <v>#REF!</v>
      </c>
      <c r="P98" s="339" t="e">
        <f>COUNTIFS(#REF!,P$94,#REF!,$A98,#REF!,3,#REF!,"&lt;="&amp;$A$1,#REF!,"&gt;="&amp;DATE(YEAR($A$1),MONTH($A$1),1))</f>
        <v>#REF!</v>
      </c>
      <c r="Q98" s="1099" t="e">
        <f>COUNTIFS(#REF!,Q$94,#REF!,$A98,#REF!,3,#REF!,"&lt;="&amp;$A$1,#REF!,"&gt;="&amp;DATE(YEAR($A$1),MONTH($A$1),1))</f>
        <v>#REF!</v>
      </c>
      <c r="R98" s="949"/>
      <c r="S98" s="949"/>
      <c r="T98" s="949"/>
      <c r="U98" s="930"/>
    </row>
    <row r="99" spans="1:21">
      <c r="A99" s="1323" t="s">
        <v>20</v>
      </c>
      <c r="B99" s="1127">
        <v>200</v>
      </c>
      <c r="C99" s="954">
        <v>12725600</v>
      </c>
      <c r="D99" s="1041">
        <v>5</v>
      </c>
      <c r="E99" s="257">
        <f>SUMIFS(Октябрь2126[м2],Октябрь2126[МОП],$A99,Октябрь2126[№ дома],$C$93)</f>
        <v>240.84</v>
      </c>
      <c r="F99" s="954">
        <f>SUMIFS(Октябрь2126[сумма без отделки],Октябрь2126[МОП],$A99,Октябрь2126[№ дома],$C$93)</f>
        <v>15219929.17</v>
      </c>
      <c r="G99" s="955">
        <f>COUNTIFS(Октябрь2126[МОП],$A99,Октябрь2126[№ дома],$C$93)</f>
        <v>5</v>
      </c>
      <c r="H99" s="202" t="e">
        <f>SUMIFS(#REF!,#REF!,3,#REF!,A99,#REF!,"&lt;="&amp;$A$1,#REF!,"&gt;="&amp;DATE(YEAR($A$1),MONTH($A$1),1))</f>
        <v>#REF!</v>
      </c>
      <c r="I99" s="203" t="e">
        <f>SUMIFS(#REF!,#REF!,3,#REF!,A99,#REF!,"&lt;="&amp;$A$1,#REF!,"&gt;="&amp;DATE(YEAR($A$1),MONTH($A$1),1))</f>
        <v>#REF!</v>
      </c>
      <c r="J99" s="226" t="e">
        <f>COUNTIFS(#REF!,3,#REF!,A99,#REF!,"&lt;="&amp;$A$1,#REF!,"&gt;="&amp;DATE(YEAR($A$1),MONTH($A$1),1))</f>
        <v>#REF!</v>
      </c>
      <c r="K99" s="987" t="str">
        <f t="shared" si="6"/>
        <v/>
      </c>
      <c r="L99" s="1062" t="str">
        <f t="shared" si="6"/>
        <v/>
      </c>
      <c r="M99" s="1090" t="e">
        <f>COUNTIFS(#REF!,M$94,#REF!,$A99,#REF!,3,#REF!,"&lt;="&amp;$A$1,#REF!,"&gt;="&amp;DATE(YEAR($A$1),MONTH($A$1),1))</f>
        <v>#REF!</v>
      </c>
      <c r="N99" s="339" t="e">
        <f>COUNTIFS(#REF!,N$94,#REF!,$A99,#REF!,3,#REF!,"&lt;="&amp;$A$1,#REF!,"&gt;="&amp;DATE(YEAR($A$1),MONTH($A$1),1))</f>
        <v>#REF!</v>
      </c>
      <c r="O99" s="339" t="e">
        <f>COUNTIFS(#REF!,O$94,#REF!,$A99,#REF!,3,#REF!,"&lt;="&amp;$A$1,#REF!,"&gt;="&amp;DATE(YEAR($A$1),MONTH($A$1),1))</f>
        <v>#REF!</v>
      </c>
      <c r="P99" s="339" t="e">
        <f>COUNTIFS(#REF!,P$94,#REF!,$A99,#REF!,3,#REF!,"&lt;="&amp;$A$1,#REF!,"&gt;="&amp;DATE(YEAR($A$1),MONTH($A$1),1))</f>
        <v>#REF!</v>
      </c>
      <c r="Q99" s="1099" t="e">
        <f>COUNTIFS(#REF!,Q$94,#REF!,$A99,#REF!,3,#REF!,"&lt;="&amp;$A$1,#REF!,"&gt;="&amp;DATE(YEAR($A$1),MONTH($A$1),1))</f>
        <v>#REF!</v>
      </c>
      <c r="R99" s="949"/>
      <c r="S99" s="949"/>
      <c r="T99" s="949"/>
      <c r="U99" s="930"/>
    </row>
    <row r="100" spans="1:21">
      <c r="A100" s="1324" t="s">
        <v>63</v>
      </c>
      <c r="B100" s="1128">
        <v>200</v>
      </c>
      <c r="C100" s="958">
        <v>12725600</v>
      </c>
      <c r="D100" s="1054">
        <v>5</v>
      </c>
      <c r="E100" s="329">
        <f>SUMIFS(Октябрь2126[м2],Октябрь2126[МОП],$A100,Октябрь2126[№ дома],$C$93)</f>
        <v>0</v>
      </c>
      <c r="F100" s="958">
        <f>SUMIFS(Октябрь2126[сумма без отделки],Октябрь2126[МОП],$A100,Октябрь2126[№ дома],$C$93)</f>
        <v>0</v>
      </c>
      <c r="G100" s="959">
        <f>COUNTIFS(Октябрь2126[МОП],$A100,Октябрь2126[№ дома],$C$93)</f>
        <v>0</v>
      </c>
      <c r="H100" s="358" t="e">
        <f>SUMIFS(#REF!,#REF!,3,#REF!,A100,#REF!,"&lt;="&amp;$A$1,#REF!,"&gt;="&amp;DATE(YEAR($A$1),MONTH($A$1),1))</f>
        <v>#REF!</v>
      </c>
      <c r="I100" s="359" t="e">
        <f>SUMIFS(#REF!,#REF!,3,#REF!,A100,#REF!,"&lt;="&amp;$A$1,#REF!,"&gt;="&amp;DATE(YEAR($A$1),MONTH($A$1),1))</f>
        <v>#REF!</v>
      </c>
      <c r="J100" s="330" t="e">
        <f>COUNTIFS(#REF!,3,#REF!,A100,#REF!,"&lt;="&amp;$A$1,#REF!,"&gt;="&amp;DATE(YEAR($A$1),MONTH($A$1),1))</f>
        <v>#REF!</v>
      </c>
      <c r="K100" s="1063" t="str">
        <f t="shared" si="6"/>
        <v/>
      </c>
      <c r="L100" s="1064" t="str">
        <f t="shared" si="6"/>
        <v/>
      </c>
      <c r="M100" s="1090" t="e">
        <f>COUNTIFS(#REF!,M$94,#REF!,$A100,#REF!,3,#REF!,"&lt;="&amp;$A$1,#REF!,"&gt;="&amp;DATE(YEAR($A$1),MONTH($A$1),1))</f>
        <v>#REF!</v>
      </c>
      <c r="N100" s="339" t="e">
        <f>COUNTIFS(#REF!,N$94,#REF!,$A100,#REF!,3,#REF!,"&lt;="&amp;$A$1,#REF!,"&gt;="&amp;DATE(YEAR($A$1),MONTH($A$1),1))</f>
        <v>#REF!</v>
      </c>
      <c r="O100" s="339" t="e">
        <f>COUNTIFS(#REF!,O$94,#REF!,$A100,#REF!,3,#REF!,"&lt;="&amp;$A$1,#REF!,"&gt;="&amp;DATE(YEAR($A$1),MONTH($A$1),1))</f>
        <v>#REF!</v>
      </c>
      <c r="P100" s="339" t="e">
        <f>COUNTIFS(#REF!,P$94,#REF!,$A100,#REF!,3,#REF!,"&lt;="&amp;$A$1,#REF!,"&gt;="&amp;DATE(YEAR($A$1),MONTH($A$1),1))</f>
        <v>#REF!</v>
      </c>
      <c r="Q100" s="1099" t="e">
        <f>COUNTIFS(#REF!,Q$94,#REF!,$A100,#REF!,3,#REF!,"&lt;="&amp;$A$1,#REF!,"&gt;="&amp;DATE(YEAR($A$1),MONTH($A$1),1))</f>
        <v>#REF!</v>
      </c>
      <c r="R100" s="949"/>
      <c r="S100" s="949"/>
      <c r="T100" s="949"/>
      <c r="U100" s="930"/>
    </row>
    <row r="101" spans="1:21">
      <c r="A101" s="1317" t="s">
        <v>114</v>
      </c>
      <c r="B101" s="1195">
        <v>1752</v>
      </c>
      <c r="C101" s="1196">
        <v>111476256</v>
      </c>
      <c r="D101" s="1162">
        <v>37</v>
      </c>
      <c r="E101" s="1168">
        <f t="shared" ref="E101:J101" si="7">SUM(E95:E100)</f>
        <v>1506.0900000000001</v>
      </c>
      <c r="F101" s="1169">
        <f t="shared" si="7"/>
        <v>95471301.420000002</v>
      </c>
      <c r="G101" s="1170">
        <f t="shared" si="7"/>
        <v>34</v>
      </c>
      <c r="H101" s="1171" t="e">
        <f t="shared" si="7"/>
        <v>#REF!</v>
      </c>
      <c r="I101" s="1165" t="e">
        <f t="shared" si="7"/>
        <v>#REF!</v>
      </c>
      <c r="J101" s="1182" t="e">
        <f t="shared" si="7"/>
        <v>#REF!</v>
      </c>
      <c r="K101" s="1201" t="str">
        <f t="shared" si="6"/>
        <v/>
      </c>
      <c r="L101" s="1202" t="str">
        <f t="shared" si="6"/>
        <v/>
      </c>
      <c r="M101" s="906" t="e">
        <f>SUM(M95:M100)</f>
        <v>#REF!</v>
      </c>
      <c r="N101" s="1123" t="e">
        <f>SUM(N95:N100)</f>
        <v>#REF!</v>
      </c>
      <c r="O101" s="1123" t="e">
        <f>SUM(O95:O100)</f>
        <v>#REF!</v>
      </c>
      <c r="P101" s="1185" t="e">
        <f>SUM(P95:P100)</f>
        <v>#REF!</v>
      </c>
      <c r="Q101" s="1167" t="e">
        <f>SUM(Q95:Q100)</f>
        <v>#REF!</v>
      </c>
      <c r="R101" s="949"/>
      <c r="S101" s="949"/>
      <c r="T101" s="949"/>
      <c r="U101" s="930"/>
    </row>
    <row r="102" spans="1:21" s="1214" customFormat="1" ht="25.5">
      <c r="A102" s="1313" t="s">
        <v>115</v>
      </c>
      <c r="B102" s="686" t="s">
        <v>100</v>
      </c>
      <c r="C102" s="693" t="s">
        <v>97</v>
      </c>
      <c r="D102" s="688" t="s">
        <v>714</v>
      </c>
      <c r="E102" s="1051" t="s">
        <v>494</v>
      </c>
      <c r="F102" s="138" t="s">
        <v>495</v>
      </c>
      <c r="G102" s="139" t="s">
        <v>496</v>
      </c>
      <c r="H102" s="140" t="s">
        <v>101</v>
      </c>
      <c r="I102" s="141" t="s">
        <v>98</v>
      </c>
      <c r="J102" s="141" t="s">
        <v>96</v>
      </c>
      <c r="K102" s="495" t="s">
        <v>715</v>
      </c>
      <c r="L102" s="1027" t="s">
        <v>716</v>
      </c>
      <c r="M102" s="1087">
        <v>0</v>
      </c>
      <c r="N102" s="1033">
        <v>1</v>
      </c>
      <c r="O102" s="1033">
        <v>2</v>
      </c>
      <c r="P102" s="1033">
        <v>3</v>
      </c>
      <c r="Q102" s="1104">
        <v>4</v>
      </c>
      <c r="R102" s="950"/>
      <c r="S102" s="950"/>
      <c r="T102" s="950"/>
      <c r="U102" s="951"/>
    </row>
    <row r="103" spans="1:21">
      <c r="A103" s="1322" t="s">
        <v>16</v>
      </c>
      <c r="B103" s="1109">
        <v>700.4</v>
      </c>
      <c r="C103" s="939">
        <v>44565146</v>
      </c>
      <c r="D103" s="1069">
        <v>15</v>
      </c>
      <c r="E103" s="1129">
        <f>SUMIFS(Октябрь2126[м2],Октябрь2126[ИМ],A103,Октябрь2126[№ дома],$C$93)</f>
        <v>468.43999999999994</v>
      </c>
      <c r="F103" s="149">
        <f>SUMIFS(Октябрь2126[сумма без отделки],Октябрь2126[ИМ],$A103,Октябрь2126[№ дома],$C$93)</f>
        <v>29774924.650000002</v>
      </c>
      <c r="G103" s="940">
        <f>COUNTIFS(Октябрь2126[ИМ],$A103,Октябрь2126[№ дома],$C$93)</f>
        <v>10</v>
      </c>
      <c r="H103" s="148" t="e">
        <f>SUMIFS(#REF!,#REF!,3,#REF!,A103,#REF!,"&lt;="&amp;$A$1,#REF!,"&gt;="&amp;DATE(YEAR($A$1),MONTH($A$1),1))</f>
        <v>#REF!</v>
      </c>
      <c r="I103" s="149" t="e">
        <f>SUMIFS(#REF!,#REF!,3,#REF!,A103,#REF!,"&lt;="&amp;$A$1,#REF!,"&gt;="&amp;DATE(YEAR($A$1),MONTH($A$1),1))</f>
        <v>#REF!</v>
      </c>
      <c r="J103" s="220" t="e">
        <f>COUNTIFS(#REF!,3,#REF!,A103,#REF!,"&lt;="&amp;$A$1,#REF!,"&gt;="&amp;DATE(YEAR($A$1),MONTH($A$1),1))</f>
        <v>#REF!</v>
      </c>
      <c r="K103" s="943" t="str">
        <f>IFERROR(H103/B103,"")</f>
        <v/>
      </c>
      <c r="L103" s="1061" t="str">
        <f>IFERROR(I103/C103,"")</f>
        <v/>
      </c>
      <c r="M103" s="1090" t="e">
        <f>COUNTIFS(#REF!,M$94,#REF!,$A103,#REF!,3,#REF!,"&lt;="&amp;$A$1,#REF!,"&gt;="&amp;DATE(YEAR($A$1),MONTH($A$1),1))</f>
        <v>#REF!</v>
      </c>
      <c r="N103" s="339" t="e">
        <f>COUNTIFS(#REF!,N$94,#REF!,$A103,#REF!,3,#REF!,"&lt;="&amp;$A$1,#REF!,"&gt;="&amp;DATE(YEAR($A$1),MONTH($A$1),1))</f>
        <v>#REF!</v>
      </c>
      <c r="O103" s="339" t="e">
        <f>COUNTIFS(#REF!,O$94,#REF!,$A103,#REF!,3,#REF!,"&lt;="&amp;$A$1,#REF!,"&gt;="&amp;DATE(YEAR($A$1),MONTH($A$1),1))</f>
        <v>#REF!</v>
      </c>
      <c r="P103" s="339" t="e">
        <f>COUNTIFS(#REF!,P$94,#REF!,$A103,#REF!,3,#REF!,"&lt;="&amp;$A$1,#REF!,"&gt;="&amp;DATE(YEAR($A$1),MONTH($A$1),1))</f>
        <v>#REF!</v>
      </c>
      <c r="Q103" s="1099" t="e">
        <f>COUNTIFS(#REF!,Q$94,#REF!,$A103,#REF!,3,#REF!,"&lt;="&amp;$A$1,#REF!,"&gt;="&amp;DATE(YEAR($A$1),MONTH($A$1),1))</f>
        <v>#REF!</v>
      </c>
      <c r="R103" s="949"/>
      <c r="S103" s="949"/>
      <c r="T103" s="949"/>
      <c r="U103" s="930"/>
    </row>
    <row r="104" spans="1:21">
      <c r="A104" s="1324" t="s">
        <v>575</v>
      </c>
      <c r="B104" s="1128">
        <v>700.4</v>
      </c>
      <c r="C104" s="958">
        <v>44565146</v>
      </c>
      <c r="D104" s="1054">
        <v>15</v>
      </c>
      <c r="E104" s="1222">
        <f>SUMIFS(Октябрь2126[м2],Октябрь2126[ИМ],A104,Октябрь2126[№ дома],$C$93)</f>
        <v>646.07999999999993</v>
      </c>
      <c r="F104" s="359">
        <f>SUMIFS(Октябрь2126[сумма без отделки],Октябрь2126[ИМ],$A104,Октябрь2126[№ дома],$C$93)</f>
        <v>40057787.230000004</v>
      </c>
      <c r="G104" s="959">
        <f>COUNTIFS(Октябрь2126[ИМ],$A104,Октябрь2126[№ дома],$C$93)</f>
        <v>12</v>
      </c>
      <c r="H104" s="967" t="e">
        <f>SUMIFS(#REF!,#REF!,3,#REF!,A104,#REF!,"&lt;="&amp;$A$1,#REF!,"&gt;="&amp;DATE(YEAR($A$1),MONTH($A$1),1))</f>
        <v>#REF!</v>
      </c>
      <c r="I104" s="1224" t="e">
        <f>SUMIFS(#REF!,#REF!,3,#REF!,A104,#REF!,"&lt;="&amp;$A$1,#REF!,"&gt;="&amp;DATE(YEAR($A$1),MONTH($A$1),1))</f>
        <v>#REF!</v>
      </c>
      <c r="J104" s="1223" t="e">
        <f>COUNTIFS(#REF!,3,#REF!,A104,#REF!,"&lt;="&amp;$A$1,#REF!,"&gt;="&amp;DATE(YEAR($A$1),MONTH($A$1),1))</f>
        <v>#REF!</v>
      </c>
      <c r="K104" s="1063" t="str">
        <f>IFERROR(H104/B104,"")</f>
        <v/>
      </c>
      <c r="L104" s="1064" t="str">
        <f>IFERROR(I104/C104,"")</f>
        <v/>
      </c>
      <c r="M104" s="1225" t="e">
        <f>COUNTIFS(#REF!,M$94,#REF!,$A104,#REF!,3,#REF!,"&lt;="&amp;$A$1,#REF!,"&gt;="&amp;DATE(YEAR($A$1),MONTH($A$1),1))</f>
        <v>#REF!</v>
      </c>
      <c r="N104" s="930" t="e">
        <f>COUNTIFS(#REF!,N$94,#REF!,$A104,#REF!,3,#REF!,"&lt;="&amp;$A$1,#REF!,"&gt;="&amp;DATE(YEAR($A$1),MONTH($A$1),1))</f>
        <v>#REF!</v>
      </c>
      <c r="O104" s="930" t="e">
        <f>COUNTIFS(#REF!,O$94,#REF!,$A104,#REF!,3,#REF!,"&lt;="&amp;$A$1,#REF!,"&gt;="&amp;DATE(YEAR($A$1),MONTH($A$1),1))</f>
        <v>#REF!</v>
      </c>
      <c r="P104" s="930" t="e">
        <f>COUNTIFS(#REF!,P$94,#REF!,$A104,#REF!,3,#REF!,"&lt;="&amp;$A$1,#REF!,"&gt;="&amp;DATE(YEAR($A$1),MONTH($A$1),1))</f>
        <v>#REF!</v>
      </c>
      <c r="Q104" s="1226" t="e">
        <f>COUNTIFS(#REF!,Q$94,#REF!,$A104,#REF!,3,#REF!,"&lt;="&amp;$A$1,#REF!,"&gt;="&amp;DATE(YEAR($A$1),MONTH($A$1),1))</f>
        <v>#REF!</v>
      </c>
      <c r="R104" s="949"/>
      <c r="S104" s="949"/>
      <c r="T104" s="949"/>
      <c r="U104" s="930"/>
    </row>
    <row r="105" spans="1:21">
      <c r="A105" s="1319" t="s">
        <v>114</v>
      </c>
      <c r="B105" s="1171">
        <v>1400.8</v>
      </c>
      <c r="C105" s="1165">
        <v>89130292</v>
      </c>
      <c r="D105" s="1166">
        <v>30</v>
      </c>
      <c r="E105" s="1173">
        <f t="shared" ref="E105:J105" si="8">SUM(E103:E104)</f>
        <v>1114.52</v>
      </c>
      <c r="F105" s="1165">
        <f t="shared" si="8"/>
        <v>69832711.88000001</v>
      </c>
      <c r="G105" s="1166">
        <f t="shared" si="8"/>
        <v>22</v>
      </c>
      <c r="H105" s="1171" t="e">
        <f t="shared" si="8"/>
        <v>#REF!</v>
      </c>
      <c r="I105" s="1165" t="e">
        <f t="shared" si="8"/>
        <v>#REF!</v>
      </c>
      <c r="J105" s="1182" t="e">
        <f t="shared" si="8"/>
        <v>#REF!</v>
      </c>
      <c r="K105" s="1183" t="e">
        <f>H105/B105</f>
        <v>#REF!</v>
      </c>
      <c r="L105" s="1184" t="str">
        <f>IFERROR(I105/C105,"")</f>
        <v/>
      </c>
      <c r="M105" s="906" t="e">
        <f>SUM(M103:M104)</f>
        <v>#REF!</v>
      </c>
      <c r="N105" s="1123" t="e">
        <f>SUM(N103:N104)</f>
        <v>#REF!</v>
      </c>
      <c r="O105" s="1123" t="e">
        <f>SUM(O103:O104)</f>
        <v>#REF!</v>
      </c>
      <c r="P105" s="1123" t="e">
        <f>SUM(P103:P104)</f>
        <v>#REF!</v>
      </c>
      <c r="Q105" s="1167" t="e">
        <f>SUM(Q103:Q104)</f>
        <v>#REF!</v>
      </c>
      <c r="R105" s="949"/>
      <c r="S105" s="949"/>
      <c r="T105" s="949"/>
      <c r="U105" s="930"/>
    </row>
    <row r="106" spans="1:21">
      <c r="A106" s="1321"/>
      <c r="B106" s="968"/>
      <c r="C106" s="968"/>
      <c r="D106" s="969"/>
      <c r="E106" s="7"/>
      <c r="F106" s="7"/>
      <c r="G106" s="7"/>
      <c r="H106" s="134"/>
      <c r="I106" s="134"/>
      <c r="J106" s="134"/>
      <c r="K106" s="7"/>
      <c r="L106" s="994"/>
      <c r="M106" s="134"/>
      <c r="N106" s="134"/>
      <c r="O106" s="134"/>
      <c r="P106" s="262"/>
      <c r="Q106" s="134"/>
      <c r="R106" s="949"/>
      <c r="S106" s="949"/>
      <c r="T106" s="949"/>
      <c r="U106" s="930"/>
    </row>
    <row r="107" spans="1:21">
      <c r="A107" s="2293" t="s">
        <v>713</v>
      </c>
      <c r="B107" s="2294"/>
      <c r="C107" s="972" t="s">
        <v>718</v>
      </c>
      <c r="D107" s="979"/>
      <c r="E107" s="974"/>
      <c r="F107" s="974"/>
      <c r="G107" s="974"/>
      <c r="H107" s="974"/>
      <c r="I107" s="974"/>
      <c r="J107" s="974"/>
      <c r="K107" s="974"/>
      <c r="L107" s="974"/>
      <c r="M107" s="974"/>
      <c r="N107" s="974"/>
      <c r="O107" s="974"/>
      <c r="P107" s="974"/>
      <c r="Q107" s="7"/>
      <c r="R107" s="949"/>
      <c r="S107" s="949"/>
      <c r="T107" s="949"/>
      <c r="U107" s="930"/>
    </row>
    <row r="108" spans="1:21" s="1214" customFormat="1" ht="25.5">
      <c r="A108" s="1326" t="s">
        <v>1</v>
      </c>
      <c r="B108" s="723" t="s">
        <v>100</v>
      </c>
      <c r="C108" s="724" t="s">
        <v>97</v>
      </c>
      <c r="D108" s="688" t="s">
        <v>714</v>
      </c>
      <c r="E108" s="1022" t="s">
        <v>494</v>
      </c>
      <c r="F108" s="138" t="s">
        <v>495</v>
      </c>
      <c r="G108" s="1082" t="s">
        <v>496</v>
      </c>
      <c r="H108" s="980" t="s">
        <v>101</v>
      </c>
      <c r="I108" s="141" t="s">
        <v>98</v>
      </c>
      <c r="J108" s="141" t="s">
        <v>96</v>
      </c>
      <c r="K108" s="141" t="s">
        <v>715</v>
      </c>
      <c r="L108" s="1026" t="s">
        <v>716</v>
      </c>
      <c r="M108" s="1087">
        <v>0</v>
      </c>
      <c r="N108" s="1033">
        <v>1</v>
      </c>
      <c r="O108" s="1033">
        <v>2</v>
      </c>
      <c r="P108" s="1033">
        <v>3</v>
      </c>
      <c r="Q108" s="1104">
        <v>4</v>
      </c>
      <c r="R108" s="950"/>
      <c r="S108" s="950"/>
      <c r="T108" s="950"/>
      <c r="U108" s="951"/>
    </row>
    <row r="109" spans="1:21">
      <c r="A109" s="1327" t="s">
        <v>73</v>
      </c>
      <c r="B109" s="514">
        <f t="shared" ref="B109:C114" si="9">B67+B81+B95</f>
        <v>551.1</v>
      </c>
      <c r="C109" s="549">
        <f t="shared" si="9"/>
        <v>35296122</v>
      </c>
      <c r="D109" s="1174">
        <v>11</v>
      </c>
      <c r="E109" s="267">
        <f t="shared" ref="E109:J114" si="10">E67+E81+E95</f>
        <v>962.42000000000007</v>
      </c>
      <c r="F109" s="146">
        <f t="shared" si="10"/>
        <v>62684605.500000007</v>
      </c>
      <c r="G109" s="702">
        <f t="shared" si="10"/>
        <v>21</v>
      </c>
      <c r="H109" s="514" t="e">
        <f t="shared" si="10"/>
        <v>#REF!</v>
      </c>
      <c r="I109" s="146" t="e">
        <f t="shared" ref="I109:I114" si="11">I67+I81+I95</f>
        <v>#REF!</v>
      </c>
      <c r="J109" s="1190" t="e">
        <f t="shared" si="10"/>
        <v>#REF!</v>
      </c>
      <c r="K109" s="943" t="str">
        <f t="shared" ref="K109:L115" si="12">IFERROR(H109/B109,"")</f>
        <v/>
      </c>
      <c r="L109" s="1061" t="str">
        <f t="shared" si="12"/>
        <v/>
      </c>
      <c r="M109" s="1148" t="e">
        <f t="shared" ref="M109:Q114" si="13">M67+M81+M95</f>
        <v>#REF!</v>
      </c>
      <c r="N109" s="1008" t="e">
        <f t="shared" si="13"/>
        <v>#REF!</v>
      </c>
      <c r="O109" s="1008" t="e">
        <f t="shared" si="13"/>
        <v>#REF!</v>
      </c>
      <c r="P109" s="1008" t="e">
        <f t="shared" si="13"/>
        <v>#REF!</v>
      </c>
      <c r="Q109" s="1106" t="e">
        <f t="shared" si="13"/>
        <v>#REF!</v>
      </c>
      <c r="R109" s="949"/>
      <c r="S109" s="949"/>
      <c r="T109" s="949"/>
      <c r="U109" s="930"/>
    </row>
    <row r="110" spans="1:21">
      <c r="A110" s="1328" t="s">
        <v>407</v>
      </c>
      <c r="B110" s="514">
        <f t="shared" si="9"/>
        <v>474</v>
      </c>
      <c r="C110" s="549">
        <f t="shared" si="9"/>
        <v>30806997</v>
      </c>
      <c r="D110" s="1174">
        <v>9</v>
      </c>
      <c r="E110" s="271">
        <f t="shared" si="10"/>
        <v>96.48</v>
      </c>
      <c r="F110" s="52">
        <f t="shared" si="10"/>
        <v>6434606.2300000004</v>
      </c>
      <c r="G110" s="717">
        <f t="shared" si="10"/>
        <v>2</v>
      </c>
      <c r="H110" s="514" t="e">
        <f>H68+H82+H96</f>
        <v>#REF!</v>
      </c>
      <c r="I110" s="146" t="e">
        <f t="shared" si="11"/>
        <v>#REF!</v>
      </c>
      <c r="J110" s="1190" t="e">
        <f>J68+J82+J96</f>
        <v>#REF!</v>
      </c>
      <c r="K110" s="943" t="str">
        <f t="shared" si="12"/>
        <v/>
      </c>
      <c r="L110" s="1061" t="str">
        <f t="shared" si="12"/>
        <v/>
      </c>
      <c r="M110" s="1148" t="e">
        <f t="shared" si="13"/>
        <v>#REF!</v>
      </c>
      <c r="N110" s="1008" t="e">
        <f t="shared" si="13"/>
        <v>#REF!</v>
      </c>
      <c r="O110" s="1008" t="e">
        <f t="shared" si="13"/>
        <v>#REF!</v>
      </c>
      <c r="P110" s="1008" t="e">
        <f t="shared" si="13"/>
        <v>#REF!</v>
      </c>
      <c r="Q110" s="1106" t="e">
        <f t="shared" si="13"/>
        <v>#REF!</v>
      </c>
      <c r="R110" s="949"/>
      <c r="S110" s="949"/>
      <c r="T110" s="949"/>
      <c r="U110" s="930"/>
    </row>
    <row r="111" spans="1:21">
      <c r="A111" s="1328" t="s">
        <v>77</v>
      </c>
      <c r="B111" s="514">
        <f t="shared" si="9"/>
        <v>553.79999999999995</v>
      </c>
      <c r="C111" s="549">
        <f t="shared" si="9"/>
        <v>35449233</v>
      </c>
      <c r="D111" s="1174">
        <v>11</v>
      </c>
      <c r="E111" s="271">
        <f t="shared" si="10"/>
        <v>605.4</v>
      </c>
      <c r="F111" s="52">
        <f t="shared" si="10"/>
        <v>41272501.75</v>
      </c>
      <c r="G111" s="717">
        <f t="shared" si="10"/>
        <v>16</v>
      </c>
      <c r="H111" s="514" t="e">
        <f>H69+H83+H97</f>
        <v>#REF!</v>
      </c>
      <c r="I111" s="146" t="e">
        <f t="shared" si="11"/>
        <v>#REF!</v>
      </c>
      <c r="J111" s="1190" t="e">
        <f>J69+J83+J97</f>
        <v>#REF!</v>
      </c>
      <c r="K111" s="943" t="str">
        <f t="shared" si="12"/>
        <v/>
      </c>
      <c r="L111" s="1061" t="str">
        <f t="shared" si="12"/>
        <v/>
      </c>
      <c r="M111" s="1148" t="e">
        <f t="shared" si="13"/>
        <v>#REF!</v>
      </c>
      <c r="N111" s="1008" t="e">
        <f t="shared" si="13"/>
        <v>#REF!</v>
      </c>
      <c r="O111" s="1008" t="e">
        <f t="shared" si="13"/>
        <v>#REF!</v>
      </c>
      <c r="P111" s="1008" t="e">
        <f t="shared" si="13"/>
        <v>#REF!</v>
      </c>
      <c r="Q111" s="1106" t="e">
        <f t="shared" si="13"/>
        <v>#REF!</v>
      </c>
      <c r="R111" s="949"/>
      <c r="S111" s="949"/>
      <c r="T111" s="949"/>
      <c r="U111" s="930"/>
    </row>
    <row r="112" spans="1:21">
      <c r="A112" s="1328" t="s">
        <v>471</v>
      </c>
      <c r="B112" s="514">
        <f t="shared" si="9"/>
        <v>474</v>
      </c>
      <c r="C112" s="549">
        <f t="shared" si="9"/>
        <v>30806997</v>
      </c>
      <c r="D112" s="1174">
        <v>10</v>
      </c>
      <c r="E112" s="271">
        <f t="shared" si="10"/>
        <v>269.87</v>
      </c>
      <c r="F112" s="52">
        <f t="shared" si="10"/>
        <v>17302740.890000001</v>
      </c>
      <c r="G112" s="717">
        <f t="shared" si="10"/>
        <v>7</v>
      </c>
      <c r="H112" s="514" t="e">
        <f>H70+H84+H98</f>
        <v>#REF!</v>
      </c>
      <c r="I112" s="146" t="e">
        <f t="shared" si="11"/>
        <v>#REF!</v>
      </c>
      <c r="J112" s="1190" t="e">
        <f>J70+J84+J98</f>
        <v>#REF!</v>
      </c>
      <c r="K112" s="943" t="str">
        <f t="shared" si="12"/>
        <v/>
      </c>
      <c r="L112" s="1061" t="str">
        <f t="shared" si="12"/>
        <v/>
      </c>
      <c r="M112" s="1148" t="e">
        <f t="shared" si="13"/>
        <v>#REF!</v>
      </c>
      <c r="N112" s="1008" t="e">
        <f t="shared" si="13"/>
        <v>#REF!</v>
      </c>
      <c r="O112" s="1008" t="e">
        <f t="shared" si="13"/>
        <v>#REF!</v>
      </c>
      <c r="P112" s="1008" t="e">
        <f t="shared" si="13"/>
        <v>#REF!</v>
      </c>
      <c r="Q112" s="1106" t="e">
        <f t="shared" si="13"/>
        <v>#REF!</v>
      </c>
      <c r="R112" s="949"/>
      <c r="S112" s="949"/>
      <c r="T112" s="949"/>
      <c r="U112" s="930"/>
    </row>
    <row r="113" spans="1:21">
      <c r="A113" s="1328" t="s">
        <v>20</v>
      </c>
      <c r="B113" s="514">
        <f t="shared" si="9"/>
        <v>301</v>
      </c>
      <c r="C113" s="549">
        <f t="shared" si="9"/>
        <v>19629173</v>
      </c>
      <c r="D113" s="1174">
        <v>8</v>
      </c>
      <c r="E113" s="271">
        <f t="shared" si="10"/>
        <v>373.65</v>
      </c>
      <c r="F113" s="52">
        <f t="shared" si="10"/>
        <v>25033709.18</v>
      </c>
      <c r="G113" s="717">
        <f t="shared" si="10"/>
        <v>8</v>
      </c>
      <c r="H113" s="514" t="e">
        <f>H71+H85+H99</f>
        <v>#REF!</v>
      </c>
      <c r="I113" s="146" t="e">
        <f t="shared" si="11"/>
        <v>#REF!</v>
      </c>
      <c r="J113" s="1190" t="e">
        <f>J71+J85+J99</f>
        <v>#REF!</v>
      </c>
      <c r="K113" s="943" t="str">
        <f t="shared" si="12"/>
        <v/>
      </c>
      <c r="L113" s="1061" t="str">
        <f t="shared" si="12"/>
        <v/>
      </c>
      <c r="M113" s="1148" t="e">
        <f t="shared" si="13"/>
        <v>#REF!</v>
      </c>
      <c r="N113" s="1008" t="e">
        <f t="shared" si="13"/>
        <v>#REF!</v>
      </c>
      <c r="O113" s="1008" t="e">
        <f t="shared" si="13"/>
        <v>#REF!</v>
      </c>
      <c r="P113" s="1008" t="e">
        <f t="shared" si="13"/>
        <v>#REF!</v>
      </c>
      <c r="Q113" s="1106" t="e">
        <f t="shared" si="13"/>
        <v>#REF!</v>
      </c>
      <c r="R113" s="949"/>
      <c r="S113" s="949"/>
      <c r="T113" s="949"/>
      <c r="U113" s="930"/>
    </row>
    <row r="114" spans="1:21">
      <c r="A114" s="1329" t="s">
        <v>63</v>
      </c>
      <c r="B114" s="514">
        <f t="shared" si="9"/>
        <v>301</v>
      </c>
      <c r="C114" s="549">
        <f t="shared" si="9"/>
        <v>19629173</v>
      </c>
      <c r="D114" s="1174">
        <v>8</v>
      </c>
      <c r="E114" s="315">
        <f t="shared" si="10"/>
        <v>0</v>
      </c>
      <c r="F114" s="363">
        <f t="shared" si="10"/>
        <v>0</v>
      </c>
      <c r="G114" s="703">
        <f t="shared" si="10"/>
        <v>0</v>
      </c>
      <c r="H114" s="1175" t="e">
        <f>H72+H86+H100</f>
        <v>#REF!</v>
      </c>
      <c r="I114" s="403" t="e">
        <f t="shared" si="11"/>
        <v>#REF!</v>
      </c>
      <c r="J114" s="1191" t="e">
        <f>J72+J86+J100</f>
        <v>#REF!</v>
      </c>
      <c r="K114" s="1192" t="str">
        <f t="shared" si="12"/>
        <v/>
      </c>
      <c r="L114" s="1061" t="str">
        <f t="shared" si="12"/>
        <v/>
      </c>
      <c r="M114" s="1148" t="e">
        <f t="shared" si="13"/>
        <v>#REF!</v>
      </c>
      <c r="N114" s="1008" t="e">
        <f t="shared" si="13"/>
        <v>#REF!</v>
      </c>
      <c r="O114" s="1008" t="e">
        <f t="shared" si="13"/>
        <v>#REF!</v>
      </c>
      <c r="P114" s="1008" t="e">
        <f t="shared" si="13"/>
        <v>#REF!</v>
      </c>
      <c r="Q114" s="1106" t="e">
        <f t="shared" si="13"/>
        <v>#REF!</v>
      </c>
      <c r="R114" s="949"/>
      <c r="S114" s="949"/>
      <c r="T114" s="949"/>
      <c r="U114" s="930"/>
    </row>
    <row r="115" spans="1:21">
      <c r="A115" s="1330" t="s">
        <v>114</v>
      </c>
      <c r="B115" s="1177">
        <v>2654.9</v>
      </c>
      <c r="C115" s="1178">
        <f>C73+C87+C101</f>
        <v>171617695</v>
      </c>
      <c r="D115" s="1179">
        <v>57</v>
      </c>
      <c r="E115" s="1172">
        <f t="shared" ref="E115:J115" si="14">SUM(E109:E114)</f>
        <v>2307.8200000000002</v>
      </c>
      <c r="F115" s="1165">
        <f t="shared" si="14"/>
        <v>152728163.55000001</v>
      </c>
      <c r="G115" s="1180">
        <f t="shared" si="14"/>
        <v>54</v>
      </c>
      <c r="H115" s="1172" t="e">
        <f t="shared" si="14"/>
        <v>#REF!</v>
      </c>
      <c r="I115" s="1165" t="e">
        <f t="shared" si="14"/>
        <v>#REF!</v>
      </c>
      <c r="J115" s="1193" t="e">
        <f t="shared" si="14"/>
        <v>#REF!</v>
      </c>
      <c r="K115" s="1201" t="str">
        <f t="shared" si="12"/>
        <v/>
      </c>
      <c r="L115" s="1061" t="str">
        <f t="shared" si="12"/>
        <v/>
      </c>
      <c r="M115" s="906" t="e">
        <f>SUM(M109:M114)</f>
        <v>#REF!</v>
      </c>
      <c r="N115" s="1123" t="e">
        <f>SUM(N109:N114)</f>
        <v>#REF!</v>
      </c>
      <c r="O115" s="1123" t="e">
        <f>SUM(O109:O114)</f>
        <v>#REF!</v>
      </c>
      <c r="P115" s="1185" t="e">
        <f>SUM(P109:P114)</f>
        <v>#REF!</v>
      </c>
      <c r="Q115" s="1167" t="e">
        <f>SUM(Q109:Q114)</f>
        <v>#REF!</v>
      </c>
      <c r="R115" s="949"/>
      <c r="S115" s="949"/>
      <c r="T115" s="949"/>
      <c r="U115" s="930"/>
    </row>
    <row r="116" spans="1:21" s="1214" customFormat="1" ht="25.5">
      <c r="A116" s="1326" t="s">
        <v>115</v>
      </c>
      <c r="B116" s="723" t="s">
        <v>100</v>
      </c>
      <c r="C116" s="1086" t="s">
        <v>97</v>
      </c>
      <c r="D116" s="688" t="s">
        <v>714</v>
      </c>
      <c r="E116" s="1022" t="s">
        <v>494</v>
      </c>
      <c r="F116" s="138" t="s">
        <v>495</v>
      </c>
      <c r="G116" s="139" t="s">
        <v>496</v>
      </c>
      <c r="H116" s="980" t="s">
        <v>101</v>
      </c>
      <c r="I116" s="141" t="s">
        <v>98</v>
      </c>
      <c r="J116" s="141" t="s">
        <v>96</v>
      </c>
      <c r="K116" s="141" t="s">
        <v>715</v>
      </c>
      <c r="L116" s="1026" t="s">
        <v>716</v>
      </c>
      <c r="M116" s="1087">
        <v>0</v>
      </c>
      <c r="N116" s="1033">
        <v>1</v>
      </c>
      <c r="O116" s="1033">
        <v>2</v>
      </c>
      <c r="P116" s="1033">
        <v>3</v>
      </c>
      <c r="Q116" s="1104">
        <v>4</v>
      </c>
      <c r="R116" s="950"/>
      <c r="S116" s="950"/>
      <c r="T116" s="950"/>
      <c r="U116" s="951"/>
    </row>
    <row r="117" spans="1:21">
      <c r="A117" s="1327" t="s">
        <v>16</v>
      </c>
      <c r="B117" s="877">
        <f t="shared" ref="B117:C119" si="15">B75+B89+B103</f>
        <v>1153.3</v>
      </c>
      <c r="C117" s="549">
        <f t="shared" si="15"/>
        <v>73947831</v>
      </c>
      <c r="D117" s="1181">
        <v>24</v>
      </c>
      <c r="E117" s="997">
        <f t="shared" ref="E117:J118" si="16">E75+E89+E103</f>
        <v>892.1099999999999</v>
      </c>
      <c r="F117" s="878">
        <f t="shared" si="16"/>
        <v>58783916.049999997</v>
      </c>
      <c r="G117" s="689">
        <f t="shared" si="16"/>
        <v>20</v>
      </c>
      <c r="H117" s="877" t="e">
        <f t="shared" si="16"/>
        <v>#REF!</v>
      </c>
      <c r="I117" s="878" t="e">
        <f t="shared" si="16"/>
        <v>#REF!</v>
      </c>
      <c r="J117" s="878" t="e">
        <f t="shared" si="16"/>
        <v>#REF!</v>
      </c>
      <c r="K117" s="221" t="str">
        <f>IFERROR(H117/B117,"")</f>
        <v/>
      </c>
      <c r="L117" s="222" t="str">
        <f>IFERROR(I117/C117,"")</f>
        <v/>
      </c>
      <c r="M117" s="1148" t="e">
        <f t="shared" ref="M117:Q118" si="17">M75+M89+M103</f>
        <v>#REF!</v>
      </c>
      <c r="N117" s="1008" t="e">
        <f t="shared" si="17"/>
        <v>#REF!</v>
      </c>
      <c r="O117" s="1008" t="e">
        <f t="shared" si="17"/>
        <v>#REF!</v>
      </c>
      <c r="P117" s="1008" t="e">
        <f t="shared" si="17"/>
        <v>#REF!</v>
      </c>
      <c r="Q117" s="1106" t="e">
        <f t="shared" si="17"/>
        <v>#REF!</v>
      </c>
      <c r="R117" s="949"/>
      <c r="S117" s="949"/>
      <c r="T117" s="949"/>
      <c r="U117" s="930"/>
    </row>
    <row r="118" spans="1:21">
      <c r="A118" s="1329" t="s">
        <v>575</v>
      </c>
      <c r="B118" s="1378">
        <f t="shared" si="15"/>
        <v>1000.4</v>
      </c>
      <c r="C118" s="549">
        <f t="shared" si="15"/>
        <v>65070982</v>
      </c>
      <c r="D118" s="1181">
        <v>24</v>
      </c>
      <c r="E118" s="999">
        <f t="shared" si="16"/>
        <v>783.43</v>
      </c>
      <c r="F118" s="365">
        <f t="shared" si="16"/>
        <v>50707201.870000005</v>
      </c>
      <c r="G118" s="366">
        <f t="shared" si="16"/>
        <v>16</v>
      </c>
      <c r="H118" s="364" t="e">
        <f t="shared" si="16"/>
        <v>#REF!</v>
      </c>
      <c r="I118" s="365" t="e">
        <f t="shared" si="16"/>
        <v>#REF!</v>
      </c>
      <c r="J118" s="365" t="e">
        <f t="shared" si="16"/>
        <v>#REF!</v>
      </c>
      <c r="K118" s="360" t="str">
        <f>IFERROR(H118/B118,"")</f>
        <v/>
      </c>
      <c r="L118" s="361" t="str">
        <f>IFERROR(I118/C118,"")</f>
        <v/>
      </c>
      <c r="M118" s="1148" t="e">
        <f t="shared" si="17"/>
        <v>#REF!</v>
      </c>
      <c r="N118" s="1008" t="e">
        <f t="shared" si="17"/>
        <v>#REF!</v>
      </c>
      <c r="O118" s="1008" t="e">
        <f t="shared" si="17"/>
        <v>#REF!</v>
      </c>
      <c r="P118" s="1008" t="e">
        <f t="shared" si="17"/>
        <v>#REF!</v>
      </c>
      <c r="Q118" s="1106" t="e">
        <f t="shared" si="17"/>
        <v>#REF!</v>
      </c>
      <c r="R118" s="949"/>
      <c r="S118" s="949"/>
      <c r="T118" s="949"/>
      <c r="U118" s="930"/>
    </row>
    <row r="119" spans="1:21">
      <c r="A119" s="1331" t="s">
        <v>114</v>
      </c>
      <c r="B119" s="1379">
        <f t="shared" si="15"/>
        <v>2153.6999999999998</v>
      </c>
      <c r="C119" s="1124">
        <f t="shared" si="15"/>
        <v>139018813</v>
      </c>
      <c r="D119" s="1123">
        <v>48</v>
      </c>
      <c r="E119" s="1171">
        <f t="shared" ref="E119:J119" si="18">SUM(E117:E118)</f>
        <v>1675.54</v>
      </c>
      <c r="F119" s="1182">
        <f t="shared" si="18"/>
        <v>109491117.92</v>
      </c>
      <c r="G119" s="1166">
        <f t="shared" si="18"/>
        <v>36</v>
      </c>
      <c r="H119" s="1173" t="e">
        <f t="shared" si="18"/>
        <v>#REF!</v>
      </c>
      <c r="I119" s="1182" t="e">
        <f t="shared" si="18"/>
        <v>#REF!</v>
      </c>
      <c r="J119" s="1182" t="e">
        <f t="shared" si="18"/>
        <v>#REF!</v>
      </c>
      <c r="K119" s="1183" t="e">
        <f>H119/B119</f>
        <v>#REF!</v>
      </c>
      <c r="L119" s="1184" t="str">
        <f>IFERROR(I119/C119,"")</f>
        <v/>
      </c>
      <c r="M119" s="906" t="e">
        <f>SUM(M117:M118)</f>
        <v>#REF!</v>
      </c>
      <c r="N119" s="1123" t="e">
        <f>SUM(N117:N118)</f>
        <v>#REF!</v>
      </c>
      <c r="O119" s="1123" t="e">
        <f>SUM(O117:O118)</f>
        <v>#REF!</v>
      </c>
      <c r="P119" s="1123" t="e">
        <f>SUM(P117:P118)</f>
        <v>#REF!</v>
      </c>
      <c r="Q119" s="1167" t="e">
        <f>SUM(Q117:Q118)</f>
        <v>#REF!</v>
      </c>
      <c r="R119" s="949"/>
      <c r="S119" s="949"/>
      <c r="T119" s="949"/>
      <c r="U119" s="930"/>
    </row>
    <row r="120" spans="1:21">
      <c r="A120" s="103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T120" s="949"/>
      <c r="U120" s="930"/>
    </row>
    <row r="121" spans="1:21">
      <c r="A121" s="103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30"/>
    </row>
    <row r="122" spans="1:21">
      <c r="A122" s="103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30"/>
    </row>
    <row r="123" spans="1:21">
      <c r="A123" s="103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  <c r="U123" s="930"/>
    </row>
    <row r="124" spans="1:21">
      <c r="A124" s="103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30"/>
    </row>
    <row r="125" spans="1:21">
      <c r="A125" s="103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30"/>
    </row>
    <row r="126" spans="1:21">
      <c r="A126" s="103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30"/>
    </row>
    <row r="127" spans="1:21">
      <c r="A127" s="103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30"/>
    </row>
    <row r="128" spans="1:21">
      <c r="A128" s="103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30"/>
    </row>
    <row r="129" spans="1:21">
      <c r="A129" s="103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30"/>
    </row>
    <row r="130" spans="1:21">
      <c r="A130" s="103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30"/>
    </row>
    <row r="131" spans="1:21">
      <c r="A131" s="103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30"/>
    </row>
    <row r="132" spans="1:21">
      <c r="A132" s="103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30"/>
    </row>
    <row r="133" spans="1:21">
      <c r="A133" s="103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30"/>
    </row>
    <row r="134" spans="1:21">
      <c r="A134" s="103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30"/>
    </row>
    <row r="135" spans="1:21">
      <c r="A135" s="103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103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103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103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103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103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103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103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103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103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103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103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103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103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103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103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103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103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103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103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103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103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103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103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103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103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103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103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103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103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103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103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103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103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103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103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103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103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103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103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103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103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103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103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103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103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103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103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103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103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103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103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103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103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103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103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103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103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103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103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103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103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103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103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103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103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103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103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103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103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103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103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103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103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103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103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103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103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103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103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103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103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103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103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103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103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103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103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103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103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103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103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103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103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103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103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103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103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103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103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103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103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103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103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103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103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1">
      <c r="A241" s="103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1">
      <c r="A242" s="103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1">
      <c r="A243" s="103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1">
      <c r="A244" s="103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1">
      <c r="A245" s="103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1">
      <c r="A246" s="103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1">
      <c r="A247" s="103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</row>
    <row r="248" spans="1:21">
      <c r="A248" s="103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U248" s="930"/>
    </row>
    <row r="249" spans="1:21">
      <c r="A249" s="103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U249" s="930"/>
    </row>
    <row r="250" spans="1:21">
      <c r="A250" s="103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U250" s="930"/>
    </row>
    <row r="251" spans="1:21">
      <c r="A251" s="103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U251" s="930"/>
    </row>
    <row r="252" spans="1:21">
      <c r="A252" s="103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U252" s="930"/>
    </row>
    <row r="253" spans="1:21">
      <c r="A253" s="103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U253" s="930"/>
    </row>
    <row r="254" spans="1:21">
      <c r="A254" s="103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U254" s="930"/>
    </row>
    <row r="255" spans="1:21">
      <c r="A255" s="103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U255" s="930"/>
    </row>
    <row r="256" spans="1:21">
      <c r="A256" s="103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U256" s="930"/>
    </row>
    <row r="257" spans="1:21">
      <c r="A257" s="103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T257" s="949"/>
      <c r="U257" s="930"/>
    </row>
    <row r="258" spans="1:21">
      <c r="A258" s="103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T258" s="949"/>
      <c r="U258" s="930"/>
    </row>
    <row r="259" spans="1:21">
      <c r="A259" s="103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T259" s="949"/>
      <c r="U259" s="930"/>
    </row>
    <row r="260" spans="1:21">
      <c r="A260" s="103"/>
      <c r="B260" s="65"/>
      <c r="C260" s="65"/>
      <c r="D260" s="65"/>
      <c r="E260" s="65"/>
      <c r="F260" s="949"/>
      <c r="G260" s="65"/>
      <c r="H260" s="65"/>
      <c r="I260" s="949"/>
      <c r="J260" s="65"/>
      <c r="K260" s="65"/>
      <c r="L260" s="65"/>
      <c r="M260" s="949"/>
      <c r="N260" s="65"/>
      <c r="O260" s="949"/>
      <c r="P260" s="949"/>
      <c r="Q260" s="86"/>
      <c r="R260" s="949"/>
      <c r="S260" s="949"/>
      <c r="T260" s="949"/>
      <c r="U260" s="930"/>
    </row>
    <row r="261" spans="1:21">
      <c r="A261" s="103"/>
      <c r="B261" s="65"/>
      <c r="C261" s="65"/>
      <c r="D261" s="65"/>
      <c r="E261" s="65"/>
      <c r="F261" s="949"/>
      <c r="G261" s="65"/>
      <c r="H261" s="65"/>
      <c r="I261" s="949"/>
      <c r="J261" s="65"/>
      <c r="K261" s="65"/>
      <c r="L261" s="65"/>
      <c r="M261" s="949"/>
      <c r="N261" s="65"/>
      <c r="O261" s="949"/>
      <c r="P261" s="949"/>
      <c r="Q261" s="86"/>
      <c r="R261" s="949"/>
      <c r="S261" s="949"/>
      <c r="T261" s="949"/>
      <c r="U261" s="930"/>
    </row>
    <row r="262" spans="1:21">
      <c r="A262" s="103"/>
      <c r="B262" s="65"/>
      <c r="C262" s="65"/>
      <c r="D262" s="65"/>
      <c r="E262" s="65"/>
      <c r="F262" s="949"/>
      <c r="G262" s="65"/>
      <c r="H262" s="65"/>
      <c r="I262" s="949"/>
      <c r="J262" s="65"/>
      <c r="K262" s="65"/>
      <c r="L262" s="65"/>
      <c r="M262" s="949"/>
      <c r="N262" s="65"/>
      <c r="O262" s="949"/>
      <c r="P262" s="949"/>
      <c r="Q262" s="86"/>
      <c r="R262" s="949"/>
      <c r="S262" s="949"/>
      <c r="T262" s="949"/>
      <c r="U262" s="930"/>
    </row>
  </sheetData>
  <sheetProtection formatCells="0" formatColumns="0" formatRows="0" sort="0" autoFilter="0" pivotTables="0"/>
  <mergeCells count="5">
    <mergeCell ref="A1:S1"/>
    <mergeCell ref="A65:B65"/>
    <mergeCell ref="A79:B79"/>
    <mergeCell ref="A93:B93"/>
    <mergeCell ref="A107:B107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B00-000000000000}">
          <x14:formula1>
            <xm:f>Списки!$C$3:$C$7</xm:f>
          </x14:formula1>
          <xm:sqref>D3:D62</xm:sqref>
        </x14:dataValidation>
        <x14:dataValidation type="list" allowBlank="1" showInputMessage="1" showErrorMessage="1" xr:uid="{00000000-0002-0000-0B00-000001000000}">
          <x14:formula1>
            <xm:f>Списки!$D$2:$D$7</xm:f>
          </x14:formula1>
          <xm:sqref>F3:F62</xm:sqref>
        </x14:dataValidation>
        <x14:dataValidation type="list" allowBlank="1" showInputMessage="1" showErrorMessage="1" xr:uid="{00000000-0002-0000-0B00-000002000000}">
          <x14:formula1>
            <xm:f>Списки!$B$2:$B$5</xm:f>
          </x14:formula1>
          <xm:sqref>G3:G62</xm:sqref>
        </x14:dataValidation>
        <x14:dataValidation type="list" allowBlank="1" showInputMessage="1" showErrorMessage="1" xr:uid="{00000000-0002-0000-0B00-000003000000}">
          <x14:formula1>
            <xm:f>Списки!$E$2:$E$7</xm:f>
          </x14:formula1>
          <xm:sqref>H3:H62</xm:sqref>
        </x14:dataValidation>
        <x14:dataValidation type="list" allowBlank="1" showInputMessage="1" showErrorMessage="1" xr:uid="{00000000-0002-0000-0B00-000004000000}">
          <x14:formula1>
            <xm:f>Списки!$G$2:$G$3</xm:f>
          </x14:formula1>
          <xm:sqref>L3:L62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BF247"/>
  <sheetViews>
    <sheetView topLeftCell="A46" zoomScale="85" zoomScaleNormal="85" workbookViewId="0">
      <selection activeCell="F122" sqref="F122"/>
    </sheetView>
  </sheetViews>
  <sheetFormatPr defaultColWidth="9.140625" defaultRowHeight="12.75" outlineLevelRow="1"/>
  <cols>
    <col min="1" max="1" width="9.140625" style="1118" customWidth="1"/>
    <col min="2" max="2" width="8.42578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7.2851562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7.85546875" style="931" customWidth="1"/>
    <col min="15" max="15" width="25.5703125" style="931" customWidth="1"/>
    <col min="16" max="16" width="41.85546875" style="931" customWidth="1"/>
    <col min="17" max="17" width="66.140625" style="931" customWidth="1"/>
    <col min="18" max="18" width="17.5703125" style="931" customWidth="1"/>
    <col min="19" max="19" width="12.5703125" style="931" customWidth="1"/>
    <col min="20" max="20" width="10.85546875" style="931" customWidth="1"/>
    <col min="21" max="21" width="14.28515625" style="43" customWidth="1"/>
    <col min="22" max="58" width="9.140625" style="1118"/>
    <col min="59" max="16384" width="9.140625" style="931"/>
  </cols>
  <sheetData>
    <row r="1" spans="1:58">
      <c r="A1" s="2297">
        <v>44561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58" s="949" customFormat="1" ht="30" customHeight="1" outlineLevel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  <c r="V2" s="1348"/>
      <c r="W2" s="1348"/>
      <c r="X2" s="1348"/>
      <c r="Y2" s="1348"/>
      <c r="Z2" s="1348"/>
      <c r="AA2" s="1348"/>
      <c r="AB2" s="1348"/>
      <c r="AC2" s="1348"/>
      <c r="AD2" s="1348"/>
      <c r="AE2" s="1348"/>
      <c r="AF2" s="1348"/>
      <c r="AG2" s="1348"/>
      <c r="AH2" s="1348"/>
      <c r="AI2" s="1348"/>
      <c r="AJ2" s="1348"/>
      <c r="AK2" s="1348"/>
      <c r="AL2" s="1348"/>
      <c r="AM2" s="1348"/>
      <c r="AN2" s="1348"/>
      <c r="AO2" s="1348"/>
      <c r="AP2" s="1348"/>
      <c r="AQ2" s="1348"/>
      <c r="AR2" s="1348"/>
      <c r="AS2" s="1348"/>
      <c r="AT2" s="1348"/>
      <c r="AU2" s="1348"/>
      <c r="AV2" s="1348"/>
      <c r="AW2" s="1348"/>
      <c r="AX2" s="1348"/>
      <c r="AY2" s="1348"/>
      <c r="AZ2" s="1348"/>
      <c r="BA2" s="1348"/>
      <c r="BB2" s="1348"/>
      <c r="BC2" s="1348"/>
      <c r="BD2" s="1348"/>
      <c r="BE2" s="1348"/>
      <c r="BF2" s="1348"/>
    </row>
    <row r="3" spans="1:58" s="929" customFormat="1" outlineLevel="1">
      <c r="A3" s="62">
        <v>1</v>
      </c>
      <c r="B3" s="62">
        <v>189</v>
      </c>
      <c r="C3" s="62">
        <v>2602</v>
      </c>
      <c r="D3" s="117" t="s">
        <v>63</v>
      </c>
      <c r="E3" s="62">
        <v>60.24</v>
      </c>
      <c r="F3" s="945" t="s">
        <v>9</v>
      </c>
      <c r="G3" s="117" t="s">
        <v>121</v>
      </c>
      <c r="H3" s="117" t="s">
        <v>84</v>
      </c>
      <c r="I3" s="95">
        <v>3066691.19</v>
      </c>
      <c r="J3" s="62">
        <v>2</v>
      </c>
      <c r="K3" s="117" t="s">
        <v>770</v>
      </c>
      <c r="L3" s="117" t="s">
        <v>18</v>
      </c>
      <c r="M3" s="92">
        <v>44546</v>
      </c>
      <c r="N3" s="117" t="s">
        <v>11</v>
      </c>
      <c r="O3" s="117" t="s">
        <v>771</v>
      </c>
      <c r="P3" s="892" t="s">
        <v>111</v>
      </c>
      <c r="Q3" s="892" t="s">
        <v>111</v>
      </c>
      <c r="R3" s="892" t="s">
        <v>63</v>
      </c>
      <c r="S3" s="945" t="s">
        <v>20</v>
      </c>
      <c r="T3" s="945" t="s">
        <v>63</v>
      </c>
      <c r="U3" s="946">
        <v>3066691.19</v>
      </c>
      <c r="V3" s="1118"/>
      <c r="W3" s="1118"/>
      <c r="X3" s="1118"/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/>
      <c r="BC3" s="1118"/>
      <c r="BD3" s="1118"/>
      <c r="BE3" s="1118"/>
      <c r="BF3" s="1118"/>
    </row>
    <row r="4" spans="1:58" s="929" customFormat="1" ht="11.25" customHeight="1" outlineLevel="1">
      <c r="A4" s="62">
        <v>2</v>
      </c>
      <c r="B4" s="62">
        <v>493</v>
      </c>
      <c r="C4" s="62">
        <v>17560</v>
      </c>
      <c r="D4" s="62" t="s">
        <v>20</v>
      </c>
      <c r="E4" s="62">
        <v>37.11</v>
      </c>
      <c r="F4" s="62" t="s">
        <v>15</v>
      </c>
      <c r="G4" s="62" t="s">
        <v>27</v>
      </c>
      <c r="H4" s="62" t="s">
        <v>575</v>
      </c>
      <c r="I4" s="95">
        <v>2732333.6</v>
      </c>
      <c r="J4" s="62">
        <v>1</v>
      </c>
      <c r="K4" s="62" t="s">
        <v>65</v>
      </c>
      <c r="L4" s="62" t="s">
        <v>18</v>
      </c>
      <c r="M4" s="92">
        <v>44533</v>
      </c>
      <c r="N4" s="117" t="s">
        <v>17</v>
      </c>
      <c r="O4" s="62" t="s">
        <v>772</v>
      </c>
      <c r="P4" s="892" t="s">
        <v>111</v>
      </c>
      <c r="Q4" s="892" t="s">
        <v>111</v>
      </c>
      <c r="R4" s="892" t="s">
        <v>20</v>
      </c>
      <c r="S4" s="945" t="s">
        <v>20</v>
      </c>
      <c r="T4" s="945" t="s">
        <v>73</v>
      </c>
      <c r="U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2528228.6</v>
      </c>
      <c r="V4" s="1118"/>
      <c r="W4" s="1118"/>
      <c r="X4" s="1118"/>
      <c r="Y4" s="1118"/>
      <c r="Z4" s="1118"/>
      <c r="AA4" s="1118"/>
      <c r="AB4" s="1118"/>
      <c r="AC4" s="1118"/>
      <c r="AD4" s="1118"/>
      <c r="AE4" s="1118"/>
      <c r="AF4" s="1118"/>
      <c r="AG4" s="1118"/>
      <c r="AH4" s="1118"/>
      <c r="AI4" s="1118"/>
      <c r="AJ4" s="1118"/>
      <c r="AK4" s="1118"/>
      <c r="AL4" s="1118"/>
      <c r="AM4" s="1118"/>
      <c r="AN4" s="1118"/>
      <c r="AO4" s="1118"/>
      <c r="AP4" s="1118"/>
      <c r="AQ4" s="1118"/>
      <c r="AR4" s="1118"/>
      <c r="AS4" s="1118"/>
      <c r="AT4" s="1118"/>
      <c r="AU4" s="1118"/>
      <c r="AV4" s="1118"/>
      <c r="AW4" s="1118"/>
      <c r="AX4" s="1118"/>
      <c r="AY4" s="1118"/>
      <c r="AZ4" s="1118"/>
      <c r="BA4" s="1118"/>
      <c r="BB4" s="1118"/>
      <c r="BC4" s="1118"/>
      <c r="BD4" s="1118"/>
      <c r="BE4" s="1118"/>
      <c r="BF4" s="1118"/>
    </row>
    <row r="5" spans="1:58" s="929" customFormat="1" ht="11.25" customHeight="1" outlineLevel="1">
      <c r="A5" s="62">
        <v>3</v>
      </c>
      <c r="B5" s="62">
        <v>88</v>
      </c>
      <c r="C5" s="62">
        <v>16895</v>
      </c>
      <c r="D5" s="117" t="s">
        <v>77</v>
      </c>
      <c r="E5" s="62">
        <v>36.86</v>
      </c>
      <c r="F5" s="62" t="s">
        <v>15</v>
      </c>
      <c r="G5" s="117" t="s">
        <v>121</v>
      </c>
      <c r="H5" s="117" t="s">
        <v>16</v>
      </c>
      <c r="I5" s="95">
        <v>2960961.73</v>
      </c>
      <c r="J5" s="62">
        <v>1</v>
      </c>
      <c r="K5" s="117" t="s">
        <v>65</v>
      </c>
      <c r="L5" s="62" t="s">
        <v>18</v>
      </c>
      <c r="M5" s="92">
        <v>44540</v>
      </c>
      <c r="N5" s="117" t="s">
        <v>17</v>
      </c>
      <c r="O5" s="117" t="s">
        <v>773</v>
      </c>
      <c r="P5" s="892" t="s">
        <v>111</v>
      </c>
      <c r="Q5" s="892" t="s">
        <v>111</v>
      </c>
      <c r="R5" s="892" t="s">
        <v>77</v>
      </c>
      <c r="S5" s="945" t="s">
        <v>77</v>
      </c>
      <c r="T5" s="945" t="s">
        <v>77</v>
      </c>
      <c r="U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2758231.73</v>
      </c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1118"/>
      <c r="BB5" s="1118"/>
      <c r="BC5" s="1118"/>
      <c r="BD5" s="1118"/>
      <c r="BE5" s="1118"/>
      <c r="BF5" s="1118"/>
    </row>
    <row r="6" spans="1:58" s="929" customFormat="1" ht="11.25" customHeight="1" outlineLevel="1">
      <c r="A6" s="62">
        <v>4</v>
      </c>
      <c r="B6" s="62">
        <v>250</v>
      </c>
      <c r="C6" s="62">
        <v>17483</v>
      </c>
      <c r="D6" s="117" t="s">
        <v>77</v>
      </c>
      <c r="E6" s="62">
        <v>23.54</v>
      </c>
      <c r="F6" s="945" t="s">
        <v>9</v>
      </c>
      <c r="G6" s="62" t="s">
        <v>27</v>
      </c>
      <c r="H6" s="117" t="s">
        <v>16</v>
      </c>
      <c r="I6" s="95">
        <v>1712058.84</v>
      </c>
      <c r="J6" s="62">
        <v>0</v>
      </c>
      <c r="K6" s="117" t="s">
        <v>65</v>
      </c>
      <c r="L6" s="62" t="s">
        <v>18</v>
      </c>
      <c r="M6" s="92">
        <v>44538</v>
      </c>
      <c r="N6" s="117" t="s">
        <v>17</v>
      </c>
      <c r="O6" s="117" t="s">
        <v>739</v>
      </c>
      <c r="P6" s="892" t="s">
        <v>111</v>
      </c>
      <c r="Q6" s="892" t="s">
        <v>111</v>
      </c>
      <c r="R6" s="892" t="s">
        <v>77</v>
      </c>
      <c r="S6" s="945" t="s">
        <v>77</v>
      </c>
      <c r="T6" s="945" t="s">
        <v>77</v>
      </c>
      <c r="U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1712058.84</v>
      </c>
      <c r="V6" s="1118"/>
      <c r="W6" s="1118"/>
      <c r="X6" s="1118"/>
      <c r="Y6" s="1118"/>
      <c r="Z6" s="1118"/>
      <c r="AA6" s="1118"/>
      <c r="AB6" s="1118"/>
      <c r="AC6" s="1118"/>
      <c r="AD6" s="1118"/>
      <c r="AE6" s="1118"/>
      <c r="AF6" s="1118"/>
      <c r="AG6" s="1118"/>
      <c r="AH6" s="1118"/>
      <c r="AI6" s="1118"/>
      <c r="AJ6" s="1118"/>
      <c r="AK6" s="1118"/>
      <c r="AL6" s="1118"/>
      <c r="AM6" s="1118"/>
      <c r="AN6" s="1118"/>
      <c r="AO6" s="1118"/>
      <c r="AP6" s="1118"/>
      <c r="AQ6" s="1118"/>
      <c r="AR6" s="1118"/>
      <c r="AS6" s="1118"/>
      <c r="AT6" s="1118"/>
      <c r="AU6" s="1118"/>
      <c r="AV6" s="1118"/>
      <c r="AW6" s="1118"/>
      <c r="AX6" s="1118"/>
      <c r="AY6" s="1118"/>
      <c r="AZ6" s="1118"/>
      <c r="BA6" s="1118"/>
      <c r="BB6" s="1118"/>
      <c r="BC6" s="1118"/>
      <c r="BD6" s="1118"/>
      <c r="BE6" s="1118"/>
      <c r="BF6" s="1118"/>
    </row>
    <row r="7" spans="1:58" s="929" customFormat="1" outlineLevel="1">
      <c r="A7" s="62">
        <v>5</v>
      </c>
      <c r="B7" s="62">
        <v>634</v>
      </c>
      <c r="C7" s="62">
        <v>15311</v>
      </c>
      <c r="D7" s="62" t="s">
        <v>471</v>
      </c>
      <c r="E7" s="62">
        <v>54.28</v>
      </c>
      <c r="F7" s="941" t="s">
        <v>9</v>
      </c>
      <c r="G7" s="62" t="s">
        <v>27</v>
      </c>
      <c r="H7" s="62" t="s">
        <v>16</v>
      </c>
      <c r="I7" s="95">
        <v>3679643.04</v>
      </c>
      <c r="J7" s="62">
        <v>2</v>
      </c>
      <c r="K7" s="62" t="s">
        <v>65</v>
      </c>
      <c r="L7" s="117" t="s">
        <v>18</v>
      </c>
      <c r="M7" s="1232">
        <v>44546</v>
      </c>
      <c r="N7" s="117" t="s">
        <v>17</v>
      </c>
      <c r="O7" s="941" t="s">
        <v>774</v>
      </c>
      <c r="P7" s="892" t="s">
        <v>111</v>
      </c>
      <c r="Q7" s="892" t="s">
        <v>111</v>
      </c>
      <c r="R7" s="892" t="s">
        <v>471</v>
      </c>
      <c r="S7" s="945" t="s">
        <v>63</v>
      </c>
      <c r="T7" s="945" t="s">
        <v>471</v>
      </c>
      <c r="U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3679643.0400000005</v>
      </c>
      <c r="V7" s="1118"/>
      <c r="W7" s="1118"/>
      <c r="X7" s="1118"/>
      <c r="Y7" s="1118"/>
      <c r="Z7" s="1118"/>
      <c r="AA7" s="1118"/>
      <c r="AB7" s="1118"/>
      <c r="AC7" s="1118"/>
      <c r="AD7" s="1118"/>
      <c r="AE7" s="1118"/>
      <c r="AF7" s="1118"/>
      <c r="AG7" s="1118"/>
      <c r="AH7" s="1118"/>
      <c r="AI7" s="1118"/>
      <c r="AJ7" s="1118"/>
      <c r="AK7" s="1118"/>
      <c r="AL7" s="1118"/>
      <c r="AM7" s="1118"/>
      <c r="AN7" s="1118"/>
      <c r="AO7" s="1118"/>
      <c r="AP7" s="1118"/>
      <c r="AQ7" s="1118"/>
      <c r="AR7" s="1118"/>
      <c r="AS7" s="1118"/>
      <c r="AT7" s="1118"/>
      <c r="AU7" s="1118"/>
      <c r="AV7" s="1118"/>
      <c r="AW7" s="1118"/>
      <c r="AX7" s="1118"/>
      <c r="AY7" s="1118"/>
      <c r="AZ7" s="1118"/>
      <c r="BA7" s="1118"/>
      <c r="BB7" s="1118"/>
      <c r="BC7" s="1118"/>
      <c r="BD7" s="1118"/>
      <c r="BE7" s="1118"/>
      <c r="BF7" s="1118"/>
    </row>
    <row r="8" spans="1:58" s="929" customFormat="1" ht="11.25" customHeight="1" outlineLevel="1">
      <c r="A8" s="62">
        <v>6</v>
      </c>
      <c r="B8" s="62">
        <v>114</v>
      </c>
      <c r="C8" s="62">
        <v>13680</v>
      </c>
      <c r="D8" s="62" t="s">
        <v>471</v>
      </c>
      <c r="E8" s="62">
        <v>58.99</v>
      </c>
      <c r="F8" s="62" t="s">
        <v>15</v>
      </c>
      <c r="G8" s="62" t="s">
        <v>121</v>
      </c>
      <c r="H8" s="62" t="s">
        <v>16</v>
      </c>
      <c r="I8" s="95">
        <v>4657474.07</v>
      </c>
      <c r="J8" s="62">
        <v>2</v>
      </c>
      <c r="K8" s="62" t="s">
        <v>65</v>
      </c>
      <c r="L8" s="117" t="s">
        <v>18</v>
      </c>
      <c r="M8" s="92">
        <v>44537</v>
      </c>
      <c r="N8" s="117" t="s">
        <v>11</v>
      </c>
      <c r="O8" s="62" t="s">
        <v>775</v>
      </c>
      <c r="P8" s="892" t="s">
        <v>111</v>
      </c>
      <c r="Q8" s="892" t="s">
        <v>111</v>
      </c>
      <c r="R8" s="892" t="s">
        <v>471</v>
      </c>
      <c r="S8" s="945" t="s">
        <v>471</v>
      </c>
      <c r="T8" s="945" t="s">
        <v>471</v>
      </c>
      <c r="U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4333029.07</v>
      </c>
      <c r="V8" s="1118"/>
      <c r="W8" s="1118"/>
      <c r="X8" s="1118"/>
      <c r="Y8" s="1118"/>
      <c r="Z8" s="1118"/>
      <c r="AA8" s="1118"/>
      <c r="AB8" s="1118"/>
      <c r="AC8" s="1118"/>
      <c r="AD8" s="1118"/>
      <c r="AE8" s="1118"/>
      <c r="AF8" s="1118"/>
      <c r="AG8" s="1118"/>
      <c r="AH8" s="1118"/>
      <c r="AI8" s="1118"/>
      <c r="AJ8" s="1118"/>
      <c r="AK8" s="1118"/>
      <c r="AL8" s="1118"/>
      <c r="AM8" s="1118"/>
      <c r="AN8" s="1118"/>
      <c r="AO8" s="1118"/>
      <c r="AP8" s="1118"/>
      <c r="AQ8" s="1118"/>
      <c r="AR8" s="1118"/>
      <c r="AS8" s="1118"/>
      <c r="AT8" s="1118"/>
      <c r="AU8" s="1118"/>
      <c r="AV8" s="1118"/>
      <c r="AW8" s="1118"/>
      <c r="AX8" s="1118"/>
      <c r="AY8" s="1118"/>
      <c r="AZ8" s="1118"/>
      <c r="BA8" s="1118"/>
      <c r="BB8" s="1118"/>
      <c r="BC8" s="1118"/>
      <c r="BD8" s="1118"/>
      <c r="BE8" s="1118"/>
      <c r="BF8" s="1118"/>
    </row>
    <row r="9" spans="1:58" s="929" customFormat="1" ht="11.25" customHeight="1" outlineLevel="1">
      <c r="A9" s="62">
        <v>7</v>
      </c>
      <c r="B9" s="62">
        <v>163</v>
      </c>
      <c r="C9" s="62">
        <v>14931</v>
      </c>
      <c r="D9" s="62" t="s">
        <v>471</v>
      </c>
      <c r="E9" s="62">
        <v>38.22</v>
      </c>
      <c r="F9" s="62" t="s">
        <v>25</v>
      </c>
      <c r="G9" s="62" t="s">
        <v>121</v>
      </c>
      <c r="H9" s="62"/>
      <c r="I9" s="95">
        <v>3748863.5</v>
      </c>
      <c r="J9" s="62">
        <v>1</v>
      </c>
      <c r="K9" s="62" t="s">
        <v>85</v>
      </c>
      <c r="L9" s="117" t="s">
        <v>18</v>
      </c>
      <c r="M9" s="92">
        <v>44554</v>
      </c>
      <c r="N9" s="117" t="s">
        <v>11</v>
      </c>
      <c r="O9" s="62" t="s">
        <v>776</v>
      </c>
      <c r="P9" s="892" t="s">
        <v>111</v>
      </c>
      <c r="Q9" s="892" t="s">
        <v>111</v>
      </c>
      <c r="R9" s="892" t="s">
        <v>471</v>
      </c>
      <c r="S9" s="945" t="s">
        <v>471</v>
      </c>
      <c r="T9" s="945" t="s">
        <v>471</v>
      </c>
      <c r="U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3137343.5</v>
      </c>
      <c r="V9" s="1118"/>
      <c r="W9" s="1118"/>
      <c r="X9" s="1118"/>
      <c r="Y9" s="1118"/>
      <c r="Z9" s="1118"/>
      <c r="AA9" s="1118"/>
      <c r="AB9" s="1118"/>
      <c r="AC9" s="1118"/>
      <c r="AD9" s="1118"/>
      <c r="AE9" s="1118"/>
      <c r="AF9" s="1118"/>
      <c r="AG9" s="1118"/>
      <c r="AH9" s="1118"/>
      <c r="AI9" s="1118"/>
      <c r="AJ9" s="1118"/>
      <c r="AK9" s="1118"/>
      <c r="AL9" s="1118"/>
      <c r="AM9" s="1118"/>
      <c r="AN9" s="1118"/>
      <c r="AO9" s="1118"/>
      <c r="AP9" s="1118"/>
      <c r="AQ9" s="1118"/>
      <c r="AR9" s="1118"/>
      <c r="AS9" s="1118"/>
      <c r="AT9" s="1118"/>
      <c r="AU9" s="1118"/>
      <c r="AV9" s="1118"/>
      <c r="AW9" s="1118"/>
      <c r="AX9" s="1118"/>
      <c r="AY9" s="1118"/>
      <c r="AZ9" s="1118"/>
      <c r="BA9" s="1118"/>
      <c r="BB9" s="1118"/>
      <c r="BC9" s="1118"/>
      <c r="BD9" s="1118"/>
      <c r="BE9" s="1118"/>
      <c r="BF9" s="1118"/>
    </row>
    <row r="10" spans="1:58" s="929" customFormat="1" ht="11.25" customHeight="1" outlineLevel="1">
      <c r="A10" s="62">
        <v>8</v>
      </c>
      <c r="B10" s="62">
        <v>425</v>
      </c>
      <c r="C10" s="62">
        <v>17626</v>
      </c>
      <c r="D10" s="117" t="s">
        <v>471</v>
      </c>
      <c r="E10" s="62">
        <v>37.159999999999997</v>
      </c>
      <c r="F10" s="117" t="s">
        <v>9</v>
      </c>
      <c r="G10" s="117" t="s">
        <v>27</v>
      </c>
      <c r="H10" s="117"/>
      <c r="I10" s="95">
        <v>2641706.2599999998</v>
      </c>
      <c r="J10" s="62">
        <v>1</v>
      </c>
      <c r="K10" s="117" t="s">
        <v>65</v>
      </c>
      <c r="L10" s="117" t="s">
        <v>18</v>
      </c>
      <c r="M10" s="92">
        <v>44545</v>
      </c>
      <c r="N10" s="117" t="s">
        <v>17</v>
      </c>
      <c r="O10" s="117" t="s">
        <v>777</v>
      </c>
      <c r="P10" s="892" t="s">
        <v>111</v>
      </c>
      <c r="Q10" s="892" t="s">
        <v>111</v>
      </c>
      <c r="R10" s="892" t="s">
        <v>471</v>
      </c>
      <c r="S10" s="945" t="s">
        <v>471</v>
      </c>
      <c r="T10" s="945" t="s">
        <v>471</v>
      </c>
      <c r="U1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2641706.2599999998</v>
      </c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1118"/>
      <c r="AQ10" s="1118"/>
      <c r="AR10" s="1118"/>
      <c r="AS10" s="1118"/>
      <c r="AT10" s="1118"/>
      <c r="AU10" s="1118"/>
      <c r="AV10" s="1118"/>
      <c r="AW10" s="1118"/>
      <c r="AX10" s="1118"/>
      <c r="AY10" s="1118"/>
      <c r="AZ10" s="1118"/>
      <c r="BA10" s="1118"/>
      <c r="BB10" s="1118"/>
      <c r="BC10" s="1118"/>
      <c r="BD10" s="1118"/>
      <c r="BE10" s="1118"/>
      <c r="BF10" s="1118"/>
    </row>
    <row r="11" spans="1:58" s="929" customFormat="1" ht="11.25" customHeight="1" outlineLevel="1">
      <c r="A11" s="62">
        <v>9</v>
      </c>
      <c r="B11" s="62">
        <v>47</v>
      </c>
      <c r="C11" s="62">
        <v>17530</v>
      </c>
      <c r="D11" s="117" t="s">
        <v>20</v>
      </c>
      <c r="E11" s="62">
        <v>36.42</v>
      </c>
      <c r="F11" s="117" t="s">
        <v>15</v>
      </c>
      <c r="G11" s="117" t="s">
        <v>121</v>
      </c>
      <c r="H11" s="117" t="s">
        <v>16</v>
      </c>
      <c r="I11" s="95">
        <v>2925616.56</v>
      </c>
      <c r="J11" s="62">
        <v>1</v>
      </c>
      <c r="K11" s="117" t="s">
        <v>65</v>
      </c>
      <c r="L11" s="117" t="s">
        <v>18</v>
      </c>
      <c r="M11" s="92">
        <v>44540</v>
      </c>
      <c r="N11" s="117" t="s">
        <v>17</v>
      </c>
      <c r="O11" s="117" t="s">
        <v>778</v>
      </c>
      <c r="P11" s="892" t="s">
        <v>111</v>
      </c>
      <c r="Q11" s="892" t="s">
        <v>111</v>
      </c>
      <c r="R11" s="892" t="s">
        <v>20</v>
      </c>
      <c r="S11" s="945" t="s">
        <v>20</v>
      </c>
      <c r="T11" s="945" t="s">
        <v>20</v>
      </c>
      <c r="U1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2725306.56</v>
      </c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1118"/>
      <c r="BD11" s="1118"/>
      <c r="BE11" s="1118"/>
      <c r="BF11" s="1118"/>
    </row>
    <row r="12" spans="1:58" s="929" customFormat="1" ht="12" customHeight="1" outlineLevel="1">
      <c r="A12" s="62">
        <v>10</v>
      </c>
      <c r="B12" s="62">
        <v>836</v>
      </c>
      <c r="C12" s="62">
        <v>14902</v>
      </c>
      <c r="D12" s="117" t="s">
        <v>20</v>
      </c>
      <c r="E12" s="62">
        <v>54.28</v>
      </c>
      <c r="F12" s="117" t="s">
        <v>9</v>
      </c>
      <c r="G12" s="117" t="s">
        <v>27</v>
      </c>
      <c r="H12" s="117" t="s">
        <v>10</v>
      </c>
      <c r="I12" s="95">
        <v>3352327.44</v>
      </c>
      <c r="J12" s="62">
        <v>2</v>
      </c>
      <c r="K12" s="117" t="s">
        <v>85</v>
      </c>
      <c r="L12" s="117" t="s">
        <v>12</v>
      </c>
      <c r="M12" s="92">
        <v>44551</v>
      </c>
      <c r="N12" s="117" t="s">
        <v>11</v>
      </c>
      <c r="O12" s="117" t="s">
        <v>779</v>
      </c>
      <c r="P12" s="892" t="s">
        <v>111</v>
      </c>
      <c r="Q12" s="892" t="s">
        <v>111</v>
      </c>
      <c r="R12" s="892" t="s">
        <v>20</v>
      </c>
      <c r="S12" s="945" t="s">
        <v>77</v>
      </c>
      <c r="T12" s="945" t="s">
        <v>20</v>
      </c>
      <c r="U1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3352327.44</v>
      </c>
      <c r="V12" s="1118"/>
      <c r="W12" s="1118"/>
      <c r="X12" s="1118"/>
      <c r="Y12" s="1118"/>
      <c r="Z12" s="1118"/>
      <c r="AA12" s="1118"/>
      <c r="AB12" s="1118"/>
      <c r="AC12" s="1118"/>
      <c r="AD12" s="1118"/>
      <c r="AE12" s="1118"/>
      <c r="AF12" s="1118"/>
      <c r="AG12" s="1118"/>
      <c r="AH12" s="1118"/>
      <c r="AI12" s="1118"/>
      <c r="AJ12" s="1118"/>
      <c r="AK12" s="1118"/>
      <c r="AL12" s="1118"/>
      <c r="AM12" s="1118"/>
      <c r="AN12" s="1118"/>
      <c r="AO12" s="1118"/>
      <c r="AP12" s="1118"/>
      <c r="AQ12" s="1118"/>
      <c r="AR12" s="1118"/>
      <c r="AS12" s="1118"/>
      <c r="AT12" s="1118"/>
      <c r="AU12" s="1118"/>
      <c r="AV12" s="1118"/>
      <c r="AW12" s="1118"/>
      <c r="AX12" s="1118"/>
      <c r="AY12" s="1118"/>
      <c r="AZ12" s="1118"/>
      <c r="BA12" s="1118"/>
      <c r="BB12" s="1118"/>
      <c r="BC12" s="1118"/>
      <c r="BD12" s="1118"/>
      <c r="BE12" s="1118"/>
      <c r="BF12" s="1118"/>
    </row>
    <row r="13" spans="1:58" s="929" customFormat="1" ht="11.25" customHeight="1" outlineLevel="1">
      <c r="A13" s="62">
        <v>11</v>
      </c>
      <c r="B13" s="62">
        <v>105</v>
      </c>
      <c r="C13" s="62">
        <v>17631</v>
      </c>
      <c r="D13" s="117" t="s">
        <v>77</v>
      </c>
      <c r="E13" s="62">
        <v>54.67</v>
      </c>
      <c r="F13" s="117" t="s">
        <v>15</v>
      </c>
      <c r="G13" s="117" t="s">
        <v>27</v>
      </c>
      <c r="H13" s="117" t="s">
        <v>575</v>
      </c>
      <c r="I13" s="95">
        <v>3571206.9</v>
      </c>
      <c r="J13" s="62">
        <v>2</v>
      </c>
      <c r="K13" s="117" t="s">
        <v>65</v>
      </c>
      <c r="L13" s="117" t="s">
        <v>18</v>
      </c>
      <c r="M13" s="92">
        <v>44537</v>
      </c>
      <c r="N13" s="117" t="s">
        <v>17</v>
      </c>
      <c r="O13" s="117" t="s">
        <v>780</v>
      </c>
      <c r="P13" s="892" t="s">
        <v>111</v>
      </c>
      <c r="Q13" s="892" t="s">
        <v>111</v>
      </c>
      <c r="R13" s="892" t="s">
        <v>77</v>
      </c>
      <c r="S13" s="945" t="s">
        <v>77</v>
      </c>
      <c r="T13" s="945" t="s">
        <v>77</v>
      </c>
      <c r="U1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3270521.9</v>
      </c>
      <c r="V13" s="1118"/>
      <c r="W13" s="1118"/>
      <c r="X13" s="1118"/>
      <c r="Y13" s="1118"/>
      <c r="Z13" s="1118"/>
      <c r="AA13" s="1118"/>
      <c r="AB13" s="1118"/>
      <c r="AC13" s="1118"/>
      <c r="AD13" s="1118"/>
      <c r="AE13" s="1118"/>
      <c r="AF13" s="1118"/>
      <c r="AG13" s="1118"/>
      <c r="AH13" s="1118"/>
      <c r="AI13" s="1118"/>
      <c r="AJ13" s="1118"/>
      <c r="AK13" s="1118"/>
      <c r="AL13" s="1118"/>
      <c r="AM13" s="1118"/>
      <c r="AN13" s="1118"/>
      <c r="AO13" s="1118"/>
      <c r="AP13" s="1118"/>
      <c r="AQ13" s="1118"/>
      <c r="AR13" s="1118"/>
      <c r="AS13" s="1118"/>
      <c r="AT13" s="1118"/>
      <c r="AU13" s="1118"/>
      <c r="AV13" s="1118"/>
      <c r="AW13" s="1118"/>
      <c r="AX13" s="1118"/>
      <c r="AY13" s="1118"/>
      <c r="AZ13" s="1118"/>
      <c r="BA13" s="1118"/>
      <c r="BB13" s="1118"/>
      <c r="BC13" s="1118"/>
      <c r="BD13" s="1118"/>
      <c r="BE13" s="1118"/>
      <c r="BF13" s="1118"/>
    </row>
    <row r="14" spans="1:58" s="929" customFormat="1" ht="11.25" customHeight="1" outlineLevel="1">
      <c r="A14" s="62">
        <v>12</v>
      </c>
      <c r="B14" s="62">
        <v>707</v>
      </c>
      <c r="C14" s="62">
        <v>17613</v>
      </c>
      <c r="D14" s="117" t="s">
        <v>73</v>
      </c>
      <c r="E14" s="62">
        <v>24.39</v>
      </c>
      <c r="F14" s="117" t="s">
        <v>9</v>
      </c>
      <c r="G14" s="117" t="s">
        <v>27</v>
      </c>
      <c r="H14" s="117" t="s">
        <v>16</v>
      </c>
      <c r="I14" s="95">
        <v>1887407.47</v>
      </c>
      <c r="J14" s="62">
        <v>0</v>
      </c>
      <c r="K14" s="1310" t="s">
        <v>65</v>
      </c>
      <c r="L14" s="117" t="s">
        <v>18</v>
      </c>
      <c r="M14" s="92">
        <v>44538</v>
      </c>
      <c r="N14" s="117" t="s">
        <v>17</v>
      </c>
      <c r="O14" s="117" t="s">
        <v>781</v>
      </c>
      <c r="P14" s="892" t="s">
        <v>111</v>
      </c>
      <c r="Q14" s="892" t="s">
        <v>111</v>
      </c>
      <c r="R14" s="892" t="s">
        <v>73</v>
      </c>
      <c r="S14" s="945" t="s">
        <v>73</v>
      </c>
      <c r="T14" s="945" t="s">
        <v>73</v>
      </c>
      <c r="U1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1887407.47</v>
      </c>
      <c r="V14" s="1118"/>
      <c r="W14" s="1118"/>
      <c r="X14" s="1118"/>
      <c r="Y14" s="1118"/>
      <c r="Z14" s="1118"/>
      <c r="AA14" s="1118"/>
      <c r="AB14" s="1118"/>
      <c r="AC14" s="1118"/>
      <c r="AD14" s="1118"/>
      <c r="AE14" s="1118"/>
      <c r="AF14" s="1118"/>
      <c r="AG14" s="1118"/>
      <c r="AH14" s="1118"/>
      <c r="AI14" s="1118"/>
      <c r="AJ14" s="1118"/>
      <c r="AK14" s="1118"/>
      <c r="AL14" s="1118"/>
      <c r="AM14" s="1118"/>
      <c r="AN14" s="1118"/>
      <c r="AO14" s="1118"/>
      <c r="AP14" s="1118"/>
      <c r="AQ14" s="1118"/>
      <c r="AR14" s="1118"/>
      <c r="AS14" s="1118"/>
      <c r="AT14" s="1118"/>
      <c r="AU14" s="1118"/>
      <c r="AV14" s="1118"/>
      <c r="AW14" s="1118"/>
      <c r="AX14" s="1118"/>
      <c r="AY14" s="1118"/>
      <c r="AZ14" s="1118"/>
      <c r="BA14" s="1118"/>
      <c r="BB14" s="1118"/>
      <c r="BC14" s="1118"/>
      <c r="BD14" s="1118"/>
      <c r="BE14" s="1118"/>
      <c r="BF14" s="1118"/>
    </row>
    <row r="15" spans="1:58" s="929" customFormat="1" ht="11.25" customHeight="1" outlineLevel="1">
      <c r="A15" s="62">
        <v>13</v>
      </c>
      <c r="B15" s="62">
        <v>59</v>
      </c>
      <c r="C15" s="62">
        <v>17529</v>
      </c>
      <c r="D15" s="117" t="s">
        <v>73</v>
      </c>
      <c r="E15" s="62">
        <v>24.47</v>
      </c>
      <c r="F15" s="117" t="s">
        <v>15</v>
      </c>
      <c r="G15" s="117" t="s">
        <v>27</v>
      </c>
      <c r="H15" s="117" t="s">
        <v>575</v>
      </c>
      <c r="I15" s="95">
        <v>2070895.86</v>
      </c>
      <c r="J15" s="62">
        <v>0</v>
      </c>
      <c r="K15" s="117" t="s">
        <v>65</v>
      </c>
      <c r="L15" s="117" t="s">
        <v>18</v>
      </c>
      <c r="M15" s="92">
        <v>44539</v>
      </c>
      <c r="N15" s="117" t="s">
        <v>17</v>
      </c>
      <c r="O15" s="117" t="s">
        <v>782</v>
      </c>
      <c r="P15" s="892" t="s">
        <v>111</v>
      </c>
      <c r="Q15" s="892" t="s">
        <v>111</v>
      </c>
      <c r="R15" s="892" t="s">
        <v>73</v>
      </c>
      <c r="S15" s="945" t="s">
        <v>73</v>
      </c>
      <c r="T15" s="945" t="s">
        <v>73</v>
      </c>
      <c r="U1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1936310.8599999999</v>
      </c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1118"/>
      <c r="AH15" s="1118"/>
      <c r="AI15" s="1118"/>
      <c r="AJ15" s="1118"/>
      <c r="AK15" s="1118"/>
      <c r="AL15" s="1118"/>
      <c r="AM15" s="1118"/>
      <c r="AN15" s="1118"/>
      <c r="AO15" s="1118"/>
      <c r="AP15" s="1118"/>
      <c r="AQ15" s="1118"/>
      <c r="AR15" s="1118"/>
      <c r="AS15" s="1118"/>
      <c r="AT15" s="1118"/>
      <c r="AU15" s="1118"/>
      <c r="AV15" s="1118"/>
      <c r="AW15" s="1118"/>
      <c r="AX15" s="1118"/>
      <c r="AY15" s="1118"/>
      <c r="AZ15" s="1118"/>
      <c r="BA15" s="1118"/>
      <c r="BB15" s="1118"/>
      <c r="BC15" s="1118"/>
      <c r="BD15" s="1118"/>
      <c r="BE15" s="1118"/>
      <c r="BF15" s="1118"/>
    </row>
    <row r="16" spans="1:58" s="929" customFormat="1" ht="11.25" customHeight="1" outlineLevel="1">
      <c r="A16" s="62">
        <v>14</v>
      </c>
      <c r="B16" s="62">
        <v>319</v>
      </c>
      <c r="C16" s="62">
        <v>7600</v>
      </c>
      <c r="D16" s="62" t="s">
        <v>63</v>
      </c>
      <c r="E16" s="62">
        <v>55.8</v>
      </c>
      <c r="F16" s="117" t="s">
        <v>9</v>
      </c>
      <c r="G16" s="117" t="s">
        <v>27</v>
      </c>
      <c r="H16" s="117" t="s">
        <v>10</v>
      </c>
      <c r="I16" s="95">
        <v>3645021.86</v>
      </c>
      <c r="J16" s="62">
        <v>2</v>
      </c>
      <c r="K16" s="62" t="s">
        <v>85</v>
      </c>
      <c r="L16" s="62" t="s">
        <v>18</v>
      </c>
      <c r="M16" s="942">
        <v>44544</v>
      </c>
      <c r="N16" s="117" t="s">
        <v>11</v>
      </c>
      <c r="O16" s="62" t="s">
        <v>783</v>
      </c>
      <c r="P16" s="892" t="s">
        <v>111</v>
      </c>
      <c r="Q16" s="892" t="s">
        <v>111</v>
      </c>
      <c r="R16" s="892" t="s">
        <v>63</v>
      </c>
      <c r="S16" s="945" t="s">
        <v>63</v>
      </c>
      <c r="T16" s="945" t="s">
        <v>63</v>
      </c>
      <c r="U1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3645021.86</v>
      </c>
      <c r="V16" s="1118"/>
      <c r="W16" s="1118"/>
      <c r="X16" s="1118"/>
      <c r="Y16" s="1118"/>
      <c r="Z16" s="1118"/>
      <c r="AA16" s="1118"/>
      <c r="AB16" s="1118"/>
      <c r="AC16" s="1118"/>
      <c r="AD16" s="1118"/>
      <c r="AE16" s="1118"/>
      <c r="AF16" s="1118"/>
      <c r="AG16" s="1118"/>
      <c r="AH16" s="1118"/>
      <c r="AI16" s="1118"/>
      <c r="AJ16" s="1118"/>
      <c r="AK16" s="1118"/>
      <c r="AL16" s="1118"/>
      <c r="AM16" s="1118"/>
      <c r="AN16" s="1118"/>
      <c r="AO16" s="1118"/>
      <c r="AP16" s="1118"/>
      <c r="AQ16" s="1118"/>
      <c r="AR16" s="1118"/>
      <c r="AS16" s="1118"/>
      <c r="AT16" s="1118"/>
      <c r="AU16" s="1118"/>
      <c r="AV16" s="1118"/>
      <c r="AW16" s="1118"/>
      <c r="AX16" s="1118"/>
      <c r="AY16" s="1118"/>
      <c r="AZ16" s="1118"/>
      <c r="BA16" s="1118"/>
      <c r="BB16" s="1118"/>
      <c r="BC16" s="1118"/>
      <c r="BD16" s="1118"/>
      <c r="BE16" s="1118"/>
      <c r="BF16" s="1118"/>
    </row>
    <row r="17" spans="1:58" s="929" customFormat="1" ht="12.75" customHeight="1" outlineLevel="1">
      <c r="A17" s="62">
        <v>15</v>
      </c>
      <c r="B17" s="62">
        <v>177</v>
      </c>
      <c r="C17" s="62">
        <v>17060</v>
      </c>
      <c r="D17" s="62" t="s">
        <v>63</v>
      </c>
      <c r="E17" s="62">
        <v>58.17</v>
      </c>
      <c r="F17" s="941" t="s">
        <v>9</v>
      </c>
      <c r="G17" s="117" t="s">
        <v>121</v>
      </c>
      <c r="H17" s="62" t="s">
        <v>16</v>
      </c>
      <c r="I17" s="95">
        <v>4131003.05</v>
      </c>
      <c r="J17" s="62">
        <v>2</v>
      </c>
      <c r="K17" s="62" t="s">
        <v>65</v>
      </c>
      <c r="L17" s="62" t="s">
        <v>18</v>
      </c>
      <c r="M17" s="92">
        <v>44552</v>
      </c>
      <c r="N17" s="117" t="s">
        <v>17</v>
      </c>
      <c r="O17" s="62" t="s">
        <v>784</v>
      </c>
      <c r="P17" s="892" t="s">
        <v>111</v>
      </c>
      <c r="Q17" s="892" t="s">
        <v>111</v>
      </c>
      <c r="R17" s="892" t="s">
        <v>63</v>
      </c>
      <c r="S17" s="945" t="s">
        <v>471</v>
      </c>
      <c r="T17" s="945" t="s">
        <v>63</v>
      </c>
      <c r="U1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4131003.05</v>
      </c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  <c r="BC17" s="1118"/>
      <c r="BD17" s="1118"/>
      <c r="BE17" s="1118"/>
      <c r="BF17" s="1118"/>
    </row>
    <row r="18" spans="1:58" s="929" customFormat="1" ht="23.25" customHeight="1" outlineLevel="1">
      <c r="A18" s="62">
        <v>16</v>
      </c>
      <c r="B18" s="62">
        <v>673</v>
      </c>
      <c r="C18" s="62">
        <v>17594</v>
      </c>
      <c r="D18" s="62" t="s">
        <v>63</v>
      </c>
      <c r="E18" s="62">
        <v>61.95</v>
      </c>
      <c r="F18" s="117" t="s">
        <v>15</v>
      </c>
      <c r="G18" s="62" t="s">
        <v>27</v>
      </c>
      <c r="H18" s="62" t="s">
        <v>10</v>
      </c>
      <c r="I18" s="95">
        <v>4193912.78</v>
      </c>
      <c r="J18" s="62">
        <v>2</v>
      </c>
      <c r="K18" s="62" t="s">
        <v>85</v>
      </c>
      <c r="L18" s="62" t="s">
        <v>18</v>
      </c>
      <c r="M18" s="92">
        <v>44546</v>
      </c>
      <c r="N18" s="117" t="s">
        <v>11</v>
      </c>
      <c r="O18" s="62" t="s">
        <v>785</v>
      </c>
      <c r="P18" s="892" t="s">
        <v>111</v>
      </c>
      <c r="Q18" s="892" t="s">
        <v>111</v>
      </c>
      <c r="R18" s="892" t="s">
        <v>63</v>
      </c>
      <c r="S18" s="945" t="s">
        <v>63</v>
      </c>
      <c r="T18" s="945" t="s">
        <v>63</v>
      </c>
      <c r="U1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3853187.78</v>
      </c>
      <c r="V18" s="1118"/>
      <c r="W18" s="1118"/>
      <c r="X18" s="1118"/>
      <c r="Y18" s="1118"/>
      <c r="Z18" s="1118"/>
      <c r="AA18" s="1118"/>
      <c r="AB18" s="1118"/>
      <c r="AC18" s="1118"/>
      <c r="AD18" s="1118"/>
      <c r="AE18" s="1118"/>
      <c r="AF18" s="1118"/>
      <c r="AG18" s="1118"/>
      <c r="AH18" s="1118"/>
      <c r="AI18" s="1118"/>
      <c r="AJ18" s="1118"/>
      <c r="AK18" s="1118"/>
      <c r="AL18" s="1118"/>
      <c r="AM18" s="1118"/>
      <c r="AN18" s="1118"/>
      <c r="AO18" s="1118"/>
      <c r="AP18" s="1118"/>
      <c r="AQ18" s="1118"/>
      <c r="AR18" s="1118"/>
      <c r="AS18" s="1118"/>
      <c r="AT18" s="1118"/>
      <c r="AU18" s="1118"/>
      <c r="AV18" s="1118"/>
      <c r="AW18" s="1118"/>
      <c r="AX18" s="1118"/>
      <c r="AY18" s="1118"/>
      <c r="AZ18" s="1118"/>
      <c r="BA18" s="1118"/>
      <c r="BB18" s="1118"/>
      <c r="BC18" s="1118"/>
      <c r="BD18" s="1118"/>
      <c r="BE18" s="1118"/>
      <c r="BF18" s="1118"/>
    </row>
    <row r="19" spans="1:58" s="941" customFormat="1" ht="11.25" customHeight="1" outlineLevel="1">
      <c r="A19" s="62">
        <v>17</v>
      </c>
      <c r="B19" s="62">
        <v>145</v>
      </c>
      <c r="C19" s="62">
        <v>17598</v>
      </c>
      <c r="D19" s="62" t="s">
        <v>63</v>
      </c>
      <c r="E19" s="62">
        <v>36.42</v>
      </c>
      <c r="F19" s="941" t="s">
        <v>15</v>
      </c>
      <c r="G19" s="62" t="s">
        <v>121</v>
      </c>
      <c r="H19" s="62" t="s">
        <v>16</v>
      </c>
      <c r="I19" s="95">
        <v>3080573.57</v>
      </c>
      <c r="J19" s="62">
        <v>1</v>
      </c>
      <c r="K19" s="62" t="s">
        <v>65</v>
      </c>
      <c r="L19" s="62" t="s">
        <v>12</v>
      </c>
      <c r="M19" s="92">
        <v>44550</v>
      </c>
      <c r="N19" s="117" t="s">
        <v>17</v>
      </c>
      <c r="O19" s="62" t="s">
        <v>786</v>
      </c>
      <c r="P19" s="892" t="s">
        <v>111</v>
      </c>
      <c r="Q19" s="892" t="s">
        <v>111</v>
      </c>
      <c r="R19" s="892" t="s">
        <v>63</v>
      </c>
      <c r="S19" s="945" t="s">
        <v>63</v>
      </c>
      <c r="T19" s="945" t="s">
        <v>63</v>
      </c>
      <c r="U1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2880263.57</v>
      </c>
      <c r="V19" s="1348"/>
      <c r="W19" s="1348"/>
      <c r="X19" s="1348"/>
      <c r="Y19" s="1348"/>
      <c r="Z19" s="1348"/>
      <c r="AA19" s="1348"/>
      <c r="AB19" s="1348"/>
      <c r="AC19" s="1348"/>
      <c r="AD19" s="1348"/>
      <c r="AE19" s="1348"/>
      <c r="AF19" s="1348"/>
      <c r="AG19" s="1348"/>
      <c r="AH19" s="1348"/>
      <c r="AI19" s="1348"/>
      <c r="AJ19" s="1348"/>
      <c r="AK19" s="1348"/>
      <c r="AL19" s="1348"/>
      <c r="AM19" s="1348"/>
      <c r="AN19" s="1348"/>
      <c r="AO19" s="1348"/>
      <c r="AP19" s="1348"/>
      <c r="AQ19" s="1348"/>
      <c r="AR19" s="1348"/>
      <c r="AS19" s="1348"/>
      <c r="AT19" s="1348"/>
      <c r="AU19" s="1348"/>
      <c r="AV19" s="1348"/>
      <c r="AW19" s="1348"/>
      <c r="AX19" s="1348"/>
      <c r="AY19" s="1348"/>
      <c r="AZ19" s="1348"/>
      <c r="BA19" s="1348"/>
      <c r="BB19" s="1348"/>
      <c r="BC19" s="1348"/>
      <c r="BD19" s="1348"/>
      <c r="BE19" s="1348"/>
      <c r="BF19" s="1348"/>
    </row>
    <row r="20" spans="1:58" s="929" customFormat="1" ht="11.25" customHeight="1" outlineLevel="1">
      <c r="A20" s="62">
        <v>18</v>
      </c>
      <c r="B20" s="62">
        <v>733</v>
      </c>
      <c r="C20" s="62">
        <v>17602</v>
      </c>
      <c r="D20" s="62" t="s">
        <v>73</v>
      </c>
      <c r="E20" s="62">
        <v>56.33</v>
      </c>
      <c r="F20" s="62" t="s">
        <v>9</v>
      </c>
      <c r="G20" s="62" t="s">
        <v>27</v>
      </c>
      <c r="H20" s="62" t="s">
        <v>16</v>
      </c>
      <c r="I20" s="95">
        <v>3846899.54</v>
      </c>
      <c r="J20" s="62">
        <v>2</v>
      </c>
      <c r="K20" s="62" t="s">
        <v>65</v>
      </c>
      <c r="L20" s="62" t="s">
        <v>18</v>
      </c>
      <c r="M20" s="92">
        <v>44539</v>
      </c>
      <c r="N20" s="117" t="s">
        <v>17</v>
      </c>
      <c r="O20" s="62" t="s">
        <v>787</v>
      </c>
      <c r="P20" s="892" t="s">
        <v>111</v>
      </c>
      <c r="Q20" s="892" t="s">
        <v>111</v>
      </c>
      <c r="R20" s="892" t="s">
        <v>73</v>
      </c>
      <c r="S20" s="945" t="s">
        <v>20</v>
      </c>
      <c r="T20" s="945" t="s">
        <v>73</v>
      </c>
      <c r="U2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3846899.54</v>
      </c>
      <c r="V20" s="1118"/>
      <c r="W20" s="1118"/>
      <c r="X20" s="1118"/>
      <c r="Y20" s="1118"/>
      <c r="Z20" s="1118"/>
      <c r="AA20" s="1118"/>
      <c r="AB20" s="1118"/>
      <c r="AC20" s="1118"/>
      <c r="AD20" s="1118"/>
      <c r="AE20" s="1118"/>
      <c r="AF20" s="1118"/>
      <c r="AG20" s="1118"/>
      <c r="AH20" s="1118"/>
      <c r="AI20" s="1118"/>
      <c r="AJ20" s="1118"/>
      <c r="AK20" s="1118"/>
      <c r="AL20" s="1118"/>
      <c r="AM20" s="1118"/>
      <c r="AN20" s="1118"/>
      <c r="AO20" s="1118"/>
      <c r="AP20" s="1118"/>
      <c r="AQ20" s="1118"/>
      <c r="AR20" s="1118"/>
      <c r="AS20" s="1118"/>
      <c r="AT20" s="1118"/>
      <c r="AU20" s="1118"/>
      <c r="AV20" s="1118"/>
      <c r="AW20" s="1118"/>
      <c r="AX20" s="1118"/>
      <c r="AY20" s="1118"/>
      <c r="AZ20" s="1118"/>
      <c r="BA20" s="1118"/>
      <c r="BB20" s="1118"/>
      <c r="BC20" s="1118"/>
      <c r="BD20" s="1118"/>
      <c r="BE20" s="1118"/>
      <c r="BF20" s="1118"/>
    </row>
    <row r="21" spans="1:58" s="929" customFormat="1" ht="12.75" customHeight="1" outlineLevel="1">
      <c r="A21" s="62">
        <v>19</v>
      </c>
      <c r="B21" s="62">
        <v>299</v>
      </c>
      <c r="C21" s="62">
        <v>16951</v>
      </c>
      <c r="D21" s="62" t="s">
        <v>471</v>
      </c>
      <c r="E21" s="62">
        <v>40</v>
      </c>
      <c r="F21" s="62" t="s">
        <v>15</v>
      </c>
      <c r="G21" s="62" t="s">
        <v>27</v>
      </c>
      <c r="H21" s="62" t="s">
        <v>16</v>
      </c>
      <c r="I21" s="95">
        <v>3063602</v>
      </c>
      <c r="J21" s="62">
        <v>1</v>
      </c>
      <c r="K21" s="62" t="s">
        <v>65</v>
      </c>
      <c r="L21" s="62" t="s">
        <v>18</v>
      </c>
      <c r="M21" s="942">
        <v>44558</v>
      </c>
      <c r="N21" s="117" t="s">
        <v>17</v>
      </c>
      <c r="O21" s="941" t="s">
        <v>788</v>
      </c>
      <c r="P21" s="892" t="s">
        <v>111</v>
      </c>
      <c r="Q21" s="892" t="s">
        <v>789</v>
      </c>
      <c r="R21" s="892" t="s">
        <v>471</v>
      </c>
      <c r="S21" s="945" t="s">
        <v>471</v>
      </c>
      <c r="T21" s="945" t="s">
        <v>471</v>
      </c>
      <c r="U2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2843602</v>
      </c>
    </row>
    <row r="22" spans="1:58" s="929" customFormat="1" ht="12.75" customHeight="1" outlineLevel="1">
      <c r="A22" s="62">
        <v>20</v>
      </c>
      <c r="B22" s="62">
        <v>233</v>
      </c>
      <c r="C22" s="62">
        <v>17652</v>
      </c>
      <c r="D22" s="62" t="s">
        <v>73</v>
      </c>
      <c r="E22" s="62">
        <v>60.24</v>
      </c>
      <c r="F22" s="941" t="s">
        <v>9</v>
      </c>
      <c r="G22" s="62" t="s">
        <v>121</v>
      </c>
      <c r="H22" s="62" t="s">
        <v>16</v>
      </c>
      <c r="I22" s="91">
        <v>3939023.76</v>
      </c>
      <c r="J22" s="62">
        <v>2</v>
      </c>
      <c r="K22" s="62" t="s">
        <v>65</v>
      </c>
      <c r="L22" s="62" t="s">
        <v>18</v>
      </c>
      <c r="M22" s="942">
        <v>44540</v>
      </c>
      <c r="N22" s="117" t="s">
        <v>17</v>
      </c>
      <c r="O22" s="941" t="s">
        <v>790</v>
      </c>
      <c r="P22" s="892" t="s">
        <v>791</v>
      </c>
      <c r="Q22" s="892" t="s">
        <v>111</v>
      </c>
      <c r="R22" s="892" t="s">
        <v>73</v>
      </c>
      <c r="S22" s="945" t="s">
        <v>73</v>
      </c>
      <c r="T22" s="945" t="s">
        <v>73</v>
      </c>
      <c r="U2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3939023.76</v>
      </c>
      <c r="V22" s="1118"/>
      <c r="W22" s="1118"/>
      <c r="X22" s="1118"/>
      <c r="Y22" s="1118"/>
      <c r="Z22" s="1118"/>
      <c r="AA22" s="1118"/>
      <c r="AB22" s="1118"/>
      <c r="AC22" s="1118"/>
      <c r="AD22" s="1118"/>
      <c r="AE22" s="1118"/>
      <c r="AF22" s="1118"/>
      <c r="AG22" s="1118"/>
      <c r="AH22" s="1118"/>
      <c r="AI22" s="1118"/>
      <c r="AJ22" s="1118"/>
      <c r="AK22" s="1118"/>
      <c r="AL22" s="1118"/>
      <c r="AM22" s="1118"/>
      <c r="AN22" s="1118"/>
      <c r="AO22" s="1118"/>
      <c r="AP22" s="1118"/>
      <c r="AQ22" s="1118"/>
      <c r="AR22" s="1118"/>
      <c r="AS22" s="1118"/>
      <c r="AT22" s="1118"/>
      <c r="AU22" s="1118"/>
      <c r="AV22" s="1118"/>
      <c r="AW22" s="1118"/>
      <c r="AX22" s="1118"/>
      <c r="AY22" s="1118"/>
      <c r="AZ22" s="1118"/>
      <c r="BA22" s="1118"/>
      <c r="BB22" s="1118"/>
      <c r="BC22" s="1118"/>
      <c r="BD22" s="1118"/>
      <c r="BE22" s="1118"/>
      <c r="BF22" s="1118"/>
    </row>
    <row r="23" spans="1:58" s="1213" customFormat="1" ht="18" customHeight="1" outlineLevel="1">
      <c r="A23" s="62">
        <v>21</v>
      </c>
      <c r="B23" s="62">
        <v>761</v>
      </c>
      <c r="C23" s="62">
        <v>17581</v>
      </c>
      <c r="D23" s="62" t="s">
        <v>73</v>
      </c>
      <c r="E23" s="62">
        <v>24.39</v>
      </c>
      <c r="F23" s="941" t="s">
        <v>25</v>
      </c>
      <c r="G23" s="62" t="s">
        <v>27</v>
      </c>
      <c r="H23" s="62" t="s">
        <v>84</v>
      </c>
      <c r="I23" s="95">
        <v>2164119.15</v>
      </c>
      <c r="J23" s="62">
        <v>0</v>
      </c>
      <c r="K23" s="62" t="s">
        <v>130</v>
      </c>
      <c r="L23" s="62" t="s">
        <v>18</v>
      </c>
      <c r="M23" s="1016">
        <v>44540</v>
      </c>
      <c r="N23" s="117" t="s">
        <v>17</v>
      </c>
      <c r="O23" s="62" t="s">
        <v>792</v>
      </c>
      <c r="P23" s="892" t="s">
        <v>111</v>
      </c>
      <c r="Q23" s="892" t="s">
        <v>111</v>
      </c>
      <c r="R23" s="892" t="s">
        <v>73</v>
      </c>
      <c r="S23" s="945" t="s">
        <v>73</v>
      </c>
      <c r="T23" s="945" t="s">
        <v>73</v>
      </c>
      <c r="U2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1773879.1500000001</v>
      </c>
      <c r="V23" s="1349"/>
      <c r="W23" s="1349"/>
      <c r="X23" s="1349"/>
      <c r="Y23" s="1349"/>
      <c r="Z23" s="1349"/>
      <c r="AA23" s="1349"/>
      <c r="AB23" s="1349"/>
      <c r="AC23" s="1349"/>
      <c r="AD23" s="1349"/>
      <c r="AE23" s="1349"/>
      <c r="AF23" s="1349"/>
      <c r="AG23" s="1349"/>
      <c r="AH23" s="1349"/>
      <c r="AI23" s="1349"/>
      <c r="AJ23" s="1349"/>
      <c r="AK23" s="1349"/>
      <c r="AL23" s="1349"/>
      <c r="AM23" s="1349"/>
      <c r="AN23" s="1349"/>
      <c r="AO23" s="1349"/>
      <c r="AP23" s="1349"/>
      <c r="AQ23" s="1349"/>
      <c r="AR23" s="1349"/>
      <c r="AS23" s="1349"/>
      <c r="AT23" s="1349"/>
      <c r="AU23" s="1349"/>
      <c r="AV23" s="1349"/>
      <c r="AW23" s="1349"/>
      <c r="AX23" s="1349"/>
      <c r="AY23" s="1349"/>
      <c r="AZ23" s="1349"/>
      <c r="BA23" s="1349"/>
      <c r="BB23" s="1349"/>
      <c r="BC23" s="1349"/>
      <c r="BD23" s="1349"/>
      <c r="BE23" s="1349"/>
      <c r="BF23" s="1349"/>
    </row>
    <row r="24" spans="1:58" s="929" customFormat="1" outlineLevel="1">
      <c r="A24" s="62">
        <v>22</v>
      </c>
      <c r="B24" s="62">
        <v>717</v>
      </c>
      <c r="C24" s="62">
        <v>17630</v>
      </c>
      <c r="D24" s="62" t="s">
        <v>20</v>
      </c>
      <c r="E24" s="62">
        <v>38.96</v>
      </c>
      <c r="F24" s="941" t="s">
        <v>15</v>
      </c>
      <c r="G24" s="62" t="s">
        <v>27</v>
      </c>
      <c r="H24" s="62" t="s">
        <v>16</v>
      </c>
      <c r="I24" s="95">
        <v>2983948.22</v>
      </c>
      <c r="J24" s="62">
        <v>1</v>
      </c>
      <c r="K24" s="62" t="s">
        <v>65</v>
      </c>
      <c r="L24" s="62" t="s">
        <v>18</v>
      </c>
      <c r="M24" s="92">
        <v>44541</v>
      </c>
      <c r="N24" s="117" t="s">
        <v>17</v>
      </c>
      <c r="O24" s="62" t="s">
        <v>793</v>
      </c>
      <c r="P24" s="892" t="s">
        <v>111</v>
      </c>
      <c r="Q24" s="892" t="s">
        <v>111</v>
      </c>
      <c r="R24" s="892" t="s">
        <v>20</v>
      </c>
      <c r="S24" s="945" t="s">
        <v>44</v>
      </c>
      <c r="T24" s="945" t="s">
        <v>20</v>
      </c>
      <c r="U2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2769668.22</v>
      </c>
      <c r="V24" s="1118"/>
      <c r="W24" s="1118"/>
      <c r="X24" s="1118"/>
      <c r="Y24" s="1118"/>
      <c r="Z24" s="1118"/>
      <c r="AA24" s="1118"/>
      <c r="AB24" s="1118"/>
      <c r="AC24" s="1118"/>
      <c r="AD24" s="1118"/>
      <c r="AE24" s="1118"/>
      <c r="AF24" s="1118"/>
      <c r="AG24" s="1118"/>
      <c r="AH24" s="1118"/>
      <c r="AI24" s="1118"/>
      <c r="AJ24" s="1118"/>
      <c r="AK24" s="1118"/>
      <c r="AL24" s="1118"/>
      <c r="AM24" s="1118"/>
      <c r="AN24" s="1118"/>
      <c r="AO24" s="1118"/>
      <c r="AP24" s="1118"/>
      <c r="AQ24" s="1118"/>
      <c r="AR24" s="1118"/>
      <c r="AS24" s="1118"/>
      <c r="AT24" s="1118"/>
      <c r="AU24" s="1118"/>
      <c r="AV24" s="1118"/>
      <c r="AW24" s="1118"/>
      <c r="AX24" s="1118"/>
      <c r="AY24" s="1118"/>
      <c r="AZ24" s="1118"/>
      <c r="BA24" s="1118"/>
      <c r="BB24" s="1118"/>
      <c r="BC24" s="1118"/>
      <c r="BD24" s="1118"/>
      <c r="BE24" s="1118"/>
      <c r="BF24" s="1118"/>
    </row>
    <row r="25" spans="1:58" s="929" customFormat="1" outlineLevel="1">
      <c r="A25" s="62">
        <v>23</v>
      </c>
      <c r="B25" s="62">
        <v>24</v>
      </c>
      <c r="C25" s="62">
        <v>17612</v>
      </c>
      <c r="D25" s="62" t="s">
        <v>77</v>
      </c>
      <c r="E25" s="62">
        <v>54.67</v>
      </c>
      <c r="F25" s="941" t="s">
        <v>15</v>
      </c>
      <c r="G25" s="62" t="s">
        <v>27</v>
      </c>
      <c r="H25" s="62" t="s">
        <v>575</v>
      </c>
      <c r="I25" s="95">
        <v>3571206.77</v>
      </c>
      <c r="J25" s="62">
        <v>2</v>
      </c>
      <c r="K25" s="62" t="s">
        <v>65</v>
      </c>
      <c r="L25" s="62" t="s">
        <v>18</v>
      </c>
      <c r="M25" s="1016">
        <v>44544</v>
      </c>
      <c r="N25" s="117" t="s">
        <v>17</v>
      </c>
      <c r="O25" s="62" t="s">
        <v>794</v>
      </c>
      <c r="P25" s="892" t="s">
        <v>111</v>
      </c>
      <c r="Q25" s="892" t="s">
        <v>111</v>
      </c>
      <c r="R25" s="892" t="s">
        <v>77</v>
      </c>
      <c r="S25" s="945" t="s">
        <v>73</v>
      </c>
      <c r="T25" s="945" t="s">
        <v>77</v>
      </c>
      <c r="U2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3270521.77</v>
      </c>
      <c r="V25" s="1118"/>
      <c r="W25" s="1118"/>
      <c r="X25" s="1118"/>
      <c r="Y25" s="1118"/>
      <c r="Z25" s="1118"/>
      <c r="AA25" s="1118"/>
      <c r="AB25" s="1118"/>
      <c r="AC25" s="1118"/>
      <c r="AD25" s="1118"/>
      <c r="AE25" s="1118"/>
      <c r="AF25" s="1118"/>
      <c r="AG25" s="1118"/>
      <c r="AH25" s="1118"/>
      <c r="AI25" s="1118"/>
      <c r="AJ25" s="1118"/>
      <c r="AK25" s="1118"/>
      <c r="AL25" s="1118"/>
      <c r="AM25" s="1118"/>
      <c r="AN25" s="1118"/>
      <c r="AO25" s="1118"/>
      <c r="AP25" s="1118"/>
      <c r="AQ25" s="1118"/>
      <c r="AR25" s="1118"/>
      <c r="AS25" s="1118"/>
      <c r="AT25" s="1118"/>
      <c r="AU25" s="1118"/>
      <c r="AV25" s="1118"/>
      <c r="AW25" s="1118"/>
      <c r="AX25" s="1118"/>
      <c r="AY25" s="1118"/>
      <c r="AZ25" s="1118"/>
      <c r="BA25" s="1118"/>
      <c r="BB25" s="1118"/>
      <c r="BC25" s="1118"/>
      <c r="BD25" s="1118"/>
      <c r="BE25" s="1118"/>
      <c r="BF25" s="1118"/>
    </row>
    <row r="26" spans="1:58" s="929" customFormat="1" ht="13.5" customHeight="1" outlineLevel="1">
      <c r="A26" s="62">
        <v>24</v>
      </c>
      <c r="B26" s="62">
        <v>54</v>
      </c>
      <c r="C26" s="62">
        <v>17754</v>
      </c>
      <c r="D26" s="62" t="s">
        <v>77</v>
      </c>
      <c r="E26" s="62">
        <v>36.42</v>
      </c>
      <c r="F26" s="941" t="s">
        <v>15</v>
      </c>
      <c r="G26" s="62" t="s">
        <v>121</v>
      </c>
      <c r="H26" s="62" t="s">
        <v>16</v>
      </c>
      <c r="I26" s="95">
        <v>2403633.4</v>
      </c>
      <c r="J26" s="62">
        <v>1</v>
      </c>
      <c r="K26" s="62" t="s">
        <v>65</v>
      </c>
      <c r="L26" s="62" t="s">
        <v>18</v>
      </c>
      <c r="M26" s="92">
        <v>44547</v>
      </c>
      <c r="N26" s="117" t="s">
        <v>17</v>
      </c>
      <c r="O26" s="62" t="s">
        <v>795</v>
      </c>
      <c r="P26" s="892" t="s">
        <v>111</v>
      </c>
      <c r="Q26" s="892" t="s">
        <v>111</v>
      </c>
      <c r="R26" s="892"/>
      <c r="S26" s="945"/>
      <c r="T26" s="945"/>
      <c r="U2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2203323.4</v>
      </c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  <c r="BC26" s="1118"/>
      <c r="BD26" s="1118"/>
      <c r="BE26" s="1118"/>
      <c r="BF26" s="1118"/>
    </row>
    <row r="27" spans="1:58" s="929" customFormat="1" outlineLevel="1">
      <c r="A27" s="62">
        <v>25</v>
      </c>
      <c r="B27" s="62">
        <v>899</v>
      </c>
      <c r="C27" s="62">
        <v>17769</v>
      </c>
      <c r="D27" s="62" t="s">
        <v>20</v>
      </c>
      <c r="E27" s="62">
        <v>54.28</v>
      </c>
      <c r="F27" s="117" t="s">
        <v>15</v>
      </c>
      <c r="G27" s="62" t="s">
        <v>27</v>
      </c>
      <c r="H27" s="62" t="s">
        <v>16</v>
      </c>
      <c r="I27" s="95">
        <v>3610198.78</v>
      </c>
      <c r="J27" s="62">
        <v>2</v>
      </c>
      <c r="K27" s="62" t="s">
        <v>65</v>
      </c>
      <c r="L27" s="62" t="s">
        <v>18</v>
      </c>
      <c r="M27" s="92">
        <v>44544</v>
      </c>
      <c r="N27" s="117" t="s">
        <v>17</v>
      </c>
      <c r="O27" s="62" t="s">
        <v>760</v>
      </c>
      <c r="P27" s="892" t="s">
        <v>111</v>
      </c>
      <c r="Q27" s="892" t="s">
        <v>111</v>
      </c>
      <c r="R27" s="892" t="s">
        <v>20</v>
      </c>
      <c r="S27" s="945" t="s">
        <v>20</v>
      </c>
      <c r="T27" s="945" t="s">
        <v>20</v>
      </c>
      <c r="U2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3311658.7799999993</v>
      </c>
      <c r="V27" s="1369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  <c r="BC27" s="1118"/>
      <c r="BD27" s="1118"/>
      <c r="BE27" s="1118"/>
      <c r="BF27" s="1118"/>
    </row>
    <row r="28" spans="1:58" s="929" customFormat="1" ht="12.75" customHeight="1" outlineLevel="1">
      <c r="A28" s="62">
        <v>26</v>
      </c>
      <c r="B28" s="62">
        <v>443</v>
      </c>
      <c r="C28" s="62">
        <v>17911</v>
      </c>
      <c r="D28" s="62" t="s">
        <v>73</v>
      </c>
      <c r="E28" s="62">
        <v>40</v>
      </c>
      <c r="F28" s="941" t="s">
        <v>15</v>
      </c>
      <c r="G28" s="62" t="s">
        <v>27</v>
      </c>
      <c r="H28" s="62" t="s">
        <v>16</v>
      </c>
      <c r="I28" s="95">
        <v>3063601.87</v>
      </c>
      <c r="J28" s="62">
        <v>1</v>
      </c>
      <c r="K28" s="62" t="s">
        <v>65</v>
      </c>
      <c r="L28" s="62" t="s">
        <v>18</v>
      </c>
      <c r="M28" s="92">
        <v>44545</v>
      </c>
      <c r="N28" s="117" t="s">
        <v>17</v>
      </c>
      <c r="O28" s="62" t="s">
        <v>796</v>
      </c>
      <c r="P28" s="892" t="s">
        <v>111</v>
      </c>
      <c r="Q28" s="892" t="s">
        <v>111</v>
      </c>
      <c r="R28" s="892" t="s">
        <v>73</v>
      </c>
      <c r="S28" s="945" t="s">
        <v>73</v>
      </c>
      <c r="T28" s="945" t="s">
        <v>73</v>
      </c>
      <c r="U2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2843601.87</v>
      </c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  <c r="BC28" s="1118"/>
      <c r="BD28" s="1118"/>
      <c r="BE28" s="1118"/>
      <c r="BF28" s="1118"/>
    </row>
    <row r="29" spans="1:58" s="929" customFormat="1" outlineLevel="1">
      <c r="A29" s="62">
        <v>27</v>
      </c>
      <c r="B29" s="62">
        <v>848</v>
      </c>
      <c r="C29" s="62">
        <v>17976</v>
      </c>
      <c r="D29" s="117" t="s">
        <v>471</v>
      </c>
      <c r="E29" s="62">
        <v>23.09</v>
      </c>
      <c r="F29" s="945" t="s">
        <v>9</v>
      </c>
      <c r="G29" s="117" t="s">
        <v>27</v>
      </c>
      <c r="H29" s="117" t="s">
        <v>575</v>
      </c>
      <c r="I29" s="95">
        <v>1786807.64</v>
      </c>
      <c r="J29" s="62">
        <v>0</v>
      </c>
      <c r="K29" s="117" t="s">
        <v>65</v>
      </c>
      <c r="L29" s="117" t="s">
        <v>18</v>
      </c>
      <c r="M29" s="92">
        <v>44559</v>
      </c>
      <c r="N29" s="117" t="s">
        <v>17</v>
      </c>
      <c r="O29" s="117" t="s">
        <v>797</v>
      </c>
      <c r="P29" s="892" t="s">
        <v>111</v>
      </c>
      <c r="Q29" s="892" t="s">
        <v>111</v>
      </c>
      <c r="R29" s="892" t="s">
        <v>471</v>
      </c>
      <c r="S29" s="945" t="s">
        <v>471</v>
      </c>
      <c r="T29" s="945" t="s">
        <v>471</v>
      </c>
      <c r="U2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1786807.64</v>
      </c>
    </row>
    <row r="30" spans="1:58" s="929" customFormat="1" outlineLevel="1">
      <c r="A30" s="62">
        <v>28</v>
      </c>
      <c r="B30" s="62">
        <v>21</v>
      </c>
      <c r="C30" s="62">
        <v>16029</v>
      </c>
      <c r="D30" s="117" t="s">
        <v>73</v>
      </c>
      <c r="E30" s="62">
        <v>41.06</v>
      </c>
      <c r="F30" s="945" t="s">
        <v>9</v>
      </c>
      <c r="G30" s="117" t="s">
        <v>27</v>
      </c>
      <c r="H30" s="117" t="s">
        <v>84</v>
      </c>
      <c r="I30" s="1019">
        <v>2797334.1</v>
      </c>
      <c r="J30" s="62">
        <v>1</v>
      </c>
      <c r="K30" s="117" t="s">
        <v>130</v>
      </c>
      <c r="L30" s="117" t="s">
        <v>18</v>
      </c>
      <c r="M30" s="92">
        <v>44546</v>
      </c>
      <c r="N30" s="117" t="s">
        <v>11</v>
      </c>
      <c r="O30" s="117" t="s">
        <v>798</v>
      </c>
      <c r="P30" s="892" t="s">
        <v>111</v>
      </c>
      <c r="Q30" s="892" t="s">
        <v>111</v>
      </c>
      <c r="R30" s="892" t="s">
        <v>73</v>
      </c>
      <c r="S30" s="945" t="s">
        <v>73</v>
      </c>
      <c r="T30" s="945" t="s">
        <v>73</v>
      </c>
      <c r="U3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2797334.1</v>
      </c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1118"/>
      <c r="BB30" s="1118"/>
      <c r="BC30" s="1118"/>
      <c r="BD30" s="1118"/>
      <c r="BE30" s="1118"/>
      <c r="BF30" s="1118"/>
    </row>
    <row r="31" spans="1:58" s="929" customFormat="1" ht="12.75" customHeight="1" outlineLevel="1">
      <c r="A31" s="62">
        <v>29</v>
      </c>
      <c r="B31" s="62">
        <v>136</v>
      </c>
      <c r="C31" s="62">
        <v>17794</v>
      </c>
      <c r="D31" s="62" t="s">
        <v>73</v>
      </c>
      <c r="E31" s="62">
        <v>82.71</v>
      </c>
      <c r="F31" s="941" t="s">
        <v>15</v>
      </c>
      <c r="G31" s="62" t="s">
        <v>27</v>
      </c>
      <c r="H31" s="62" t="s">
        <v>16</v>
      </c>
      <c r="I31" s="95">
        <v>4912981.1500000004</v>
      </c>
      <c r="J31" s="62">
        <v>3</v>
      </c>
      <c r="K31" s="62" t="s">
        <v>65</v>
      </c>
      <c r="L31" s="62" t="s">
        <v>18</v>
      </c>
      <c r="M31" s="92">
        <v>44550</v>
      </c>
      <c r="N31" s="117" t="s">
        <v>17</v>
      </c>
      <c r="O31" s="62" t="s">
        <v>799</v>
      </c>
      <c r="P31" s="892" t="s">
        <v>111</v>
      </c>
      <c r="Q31" s="892" t="s">
        <v>111</v>
      </c>
      <c r="R31" s="892" t="s">
        <v>73</v>
      </c>
      <c r="S31" s="945" t="s">
        <v>73</v>
      </c>
      <c r="T31" s="945" t="s">
        <v>73</v>
      </c>
      <c r="U3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4458076.1500000004</v>
      </c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1118"/>
      <c r="AZ31" s="1118"/>
      <c r="BA31" s="1118"/>
      <c r="BB31" s="1118"/>
      <c r="BC31" s="1118"/>
      <c r="BD31" s="1118"/>
      <c r="BE31" s="1118"/>
      <c r="BF31" s="1118"/>
    </row>
    <row r="32" spans="1:58" s="929" customFormat="1" outlineLevel="1">
      <c r="A32" s="62">
        <v>30</v>
      </c>
      <c r="B32" s="62">
        <v>662</v>
      </c>
      <c r="C32" s="62">
        <v>17855</v>
      </c>
      <c r="D32" s="62" t="s">
        <v>63</v>
      </c>
      <c r="E32" s="62">
        <v>24.39</v>
      </c>
      <c r="F32" s="945" t="s">
        <v>15</v>
      </c>
      <c r="G32" s="62" t="s">
        <v>27</v>
      </c>
      <c r="H32" s="62" t="s">
        <v>84</v>
      </c>
      <c r="I32" s="95">
        <v>1908024.09</v>
      </c>
      <c r="J32" s="62">
        <v>0</v>
      </c>
      <c r="K32" s="62" t="s">
        <v>85</v>
      </c>
      <c r="L32" s="62" t="s">
        <v>18</v>
      </c>
      <c r="M32" s="92">
        <v>44546</v>
      </c>
      <c r="N32" s="117" t="s">
        <v>11</v>
      </c>
      <c r="O32" s="62" t="s">
        <v>800</v>
      </c>
      <c r="P32" s="892" t="s">
        <v>111</v>
      </c>
      <c r="Q32" s="892" t="s">
        <v>111</v>
      </c>
      <c r="R32" s="892" t="s">
        <v>63</v>
      </c>
      <c r="S32" s="945" t="s">
        <v>63</v>
      </c>
      <c r="T32" s="945" t="s">
        <v>63</v>
      </c>
      <c r="U3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1773879.09</v>
      </c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  <c r="BC32" s="1118"/>
      <c r="BD32" s="1118"/>
      <c r="BE32" s="1118"/>
      <c r="BF32" s="1118"/>
    </row>
    <row r="33" spans="1:58" ht="12.75" customHeight="1" outlineLevel="1">
      <c r="A33" s="62">
        <v>31</v>
      </c>
      <c r="B33" s="62">
        <v>671</v>
      </c>
      <c r="C33" s="62">
        <v>17711</v>
      </c>
      <c r="D33" s="62" t="s">
        <v>63</v>
      </c>
      <c r="E33" s="62">
        <v>24.39</v>
      </c>
      <c r="F33" s="945" t="s">
        <v>9</v>
      </c>
      <c r="G33" s="62" t="s">
        <v>27</v>
      </c>
      <c r="H33" s="62" t="s">
        <v>16</v>
      </c>
      <c r="I33" s="95">
        <v>1887407.47</v>
      </c>
      <c r="J33" s="62">
        <v>0</v>
      </c>
      <c r="K33" s="62" t="s">
        <v>65</v>
      </c>
      <c r="L33" s="62" t="s">
        <v>18</v>
      </c>
      <c r="M33" s="92">
        <v>44552</v>
      </c>
      <c r="N33" s="117" t="s">
        <v>11</v>
      </c>
      <c r="O33" s="941" t="s">
        <v>801</v>
      </c>
      <c r="P33" s="892" t="s">
        <v>111</v>
      </c>
      <c r="Q33" s="892" t="s">
        <v>111</v>
      </c>
      <c r="R33" s="892" t="s">
        <v>63</v>
      </c>
      <c r="S33" s="945" t="s">
        <v>63</v>
      </c>
      <c r="T33" s="945" t="s">
        <v>63</v>
      </c>
      <c r="U3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1887407.47</v>
      </c>
    </row>
    <row r="34" spans="1:58" ht="12.75" customHeight="1" outlineLevel="1">
      <c r="A34" s="62">
        <v>32</v>
      </c>
      <c r="B34" s="62">
        <v>907</v>
      </c>
      <c r="C34" s="62">
        <v>17713.177110000001</v>
      </c>
      <c r="D34" s="62" t="s">
        <v>63</v>
      </c>
      <c r="E34" s="62">
        <v>37.270000000000003</v>
      </c>
      <c r="F34" s="945" t="s">
        <v>15</v>
      </c>
      <c r="G34" s="62" t="s">
        <v>27</v>
      </c>
      <c r="H34" s="62" t="s">
        <v>16</v>
      </c>
      <c r="I34" s="91">
        <v>2871070.58</v>
      </c>
      <c r="J34" s="62">
        <v>1</v>
      </c>
      <c r="K34" s="62" t="s">
        <v>65</v>
      </c>
      <c r="L34" s="62" t="s">
        <v>18</v>
      </c>
      <c r="M34" s="92">
        <v>44552</v>
      </c>
      <c r="N34" s="117" t="s">
        <v>11</v>
      </c>
      <c r="O34" s="76" t="s">
        <v>801</v>
      </c>
      <c r="P34" s="892" t="s">
        <v>111</v>
      </c>
      <c r="Q34" s="892" t="s">
        <v>111</v>
      </c>
      <c r="R34" s="892" t="s">
        <v>63</v>
      </c>
      <c r="S34" s="945" t="s">
        <v>63</v>
      </c>
      <c r="T34" s="945" t="s">
        <v>63</v>
      </c>
      <c r="U3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2666085.58</v>
      </c>
    </row>
    <row r="35" spans="1:58" ht="12.75" customHeight="1" outlineLevel="1">
      <c r="A35" s="62">
        <v>33</v>
      </c>
      <c r="B35" s="75">
        <v>871</v>
      </c>
      <c r="C35" s="75">
        <v>17714.177110000001</v>
      </c>
      <c r="D35" s="62" t="s">
        <v>63</v>
      </c>
      <c r="E35" s="62">
        <v>37.270000000000003</v>
      </c>
      <c r="F35" s="945" t="s">
        <v>9</v>
      </c>
      <c r="G35" s="62" t="s">
        <v>27</v>
      </c>
      <c r="H35" s="62" t="s">
        <v>16</v>
      </c>
      <c r="I35" s="95">
        <v>2666085.6</v>
      </c>
      <c r="J35" s="62">
        <v>1</v>
      </c>
      <c r="K35" s="62" t="s">
        <v>65</v>
      </c>
      <c r="L35" s="62" t="s">
        <v>18</v>
      </c>
      <c r="M35" s="92">
        <v>44552</v>
      </c>
      <c r="N35" s="117" t="s">
        <v>11</v>
      </c>
      <c r="O35" s="62" t="s">
        <v>801</v>
      </c>
      <c r="P35" s="892" t="s">
        <v>111</v>
      </c>
      <c r="Q35" s="892" t="s">
        <v>111</v>
      </c>
      <c r="R35" s="892" t="s">
        <v>63</v>
      </c>
      <c r="S35" s="945" t="s">
        <v>63</v>
      </c>
      <c r="T35" s="945" t="s">
        <v>63</v>
      </c>
      <c r="U3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2666085.6</v>
      </c>
    </row>
    <row r="36" spans="1:58" s="929" customFormat="1" ht="12.75" customHeight="1" outlineLevel="1">
      <c r="A36" s="62">
        <v>34</v>
      </c>
      <c r="B36" s="75">
        <v>908</v>
      </c>
      <c r="C36" s="75">
        <v>17715.177110000001</v>
      </c>
      <c r="D36" s="62" t="s">
        <v>63</v>
      </c>
      <c r="E36" s="62">
        <v>54.28</v>
      </c>
      <c r="F36" s="117" t="s">
        <v>15</v>
      </c>
      <c r="G36" s="62" t="s">
        <v>27</v>
      </c>
      <c r="H36" s="62" t="s">
        <v>16</v>
      </c>
      <c r="I36" s="95">
        <v>3610198.78</v>
      </c>
      <c r="J36" s="62">
        <v>2</v>
      </c>
      <c r="K36" s="62" t="s">
        <v>65</v>
      </c>
      <c r="L36" s="62" t="s">
        <v>18</v>
      </c>
      <c r="M36" s="92">
        <v>44553</v>
      </c>
      <c r="N36" s="117" t="s">
        <v>17</v>
      </c>
      <c r="O36" s="62" t="s">
        <v>801</v>
      </c>
      <c r="P36" s="892" t="s">
        <v>111</v>
      </c>
      <c r="Q36" s="892" t="s">
        <v>111</v>
      </c>
      <c r="R36" s="892" t="s">
        <v>63</v>
      </c>
      <c r="S36" s="945" t="s">
        <v>63</v>
      </c>
      <c r="T36" s="945" t="s">
        <v>63</v>
      </c>
      <c r="U3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3311658.7799999993</v>
      </c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  <c r="BC36" s="1118"/>
      <c r="BD36" s="1118"/>
      <c r="BE36" s="1118"/>
      <c r="BF36" s="1118"/>
    </row>
    <row r="37" spans="1:58" s="929" customFormat="1" ht="14.25" customHeight="1" outlineLevel="1">
      <c r="A37" s="62">
        <v>35</v>
      </c>
      <c r="B37" s="75">
        <v>550</v>
      </c>
      <c r="C37" s="75">
        <v>17662</v>
      </c>
      <c r="D37" s="62" t="s">
        <v>63</v>
      </c>
      <c r="E37" s="62">
        <v>59.93</v>
      </c>
      <c r="F37" s="941" t="s">
        <v>15</v>
      </c>
      <c r="G37" s="62" t="s">
        <v>27</v>
      </c>
      <c r="H37" s="62" t="s">
        <v>16</v>
      </c>
      <c r="I37" s="95">
        <v>4288825.54</v>
      </c>
      <c r="J37" s="62">
        <v>2</v>
      </c>
      <c r="K37" s="62" t="s">
        <v>65</v>
      </c>
      <c r="L37" s="62" t="s">
        <v>18</v>
      </c>
      <c r="M37" s="92">
        <v>44548</v>
      </c>
      <c r="N37" s="117" t="s">
        <v>17</v>
      </c>
      <c r="O37" s="62" t="s">
        <v>802</v>
      </c>
      <c r="P37" s="892" t="s">
        <v>111</v>
      </c>
      <c r="Q37" s="892" t="s">
        <v>111</v>
      </c>
      <c r="R37" s="892" t="s">
        <v>63</v>
      </c>
      <c r="S37" s="945" t="s">
        <v>77</v>
      </c>
      <c r="T37" s="945" t="s">
        <v>63</v>
      </c>
      <c r="U3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3959210.5400000005</v>
      </c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  <c r="BC37" s="1118"/>
      <c r="BD37" s="1118"/>
      <c r="BE37" s="1118"/>
      <c r="BF37" s="1118"/>
    </row>
    <row r="38" spans="1:58" s="929" customFormat="1" ht="12.75" customHeight="1" outlineLevel="1">
      <c r="A38" s="62">
        <v>36</v>
      </c>
      <c r="B38" s="75">
        <v>102</v>
      </c>
      <c r="C38" s="75">
        <v>17851</v>
      </c>
      <c r="D38" s="62" t="s">
        <v>63</v>
      </c>
      <c r="E38" s="62">
        <v>41.06</v>
      </c>
      <c r="F38" s="941" t="s">
        <v>25</v>
      </c>
      <c r="G38" s="62" t="s">
        <v>27</v>
      </c>
      <c r="H38" s="62" t="s">
        <v>16</v>
      </c>
      <c r="I38" s="1021">
        <v>3454294.1</v>
      </c>
      <c r="J38" s="62">
        <v>1</v>
      </c>
      <c r="K38" s="62" t="s">
        <v>65</v>
      </c>
      <c r="L38" s="62" t="s">
        <v>18</v>
      </c>
      <c r="M38" s="92">
        <v>44545</v>
      </c>
      <c r="N38" s="117" t="s">
        <v>17</v>
      </c>
      <c r="O38" s="62" t="s">
        <v>803</v>
      </c>
      <c r="P38" s="892" t="s">
        <v>111</v>
      </c>
      <c r="Q38" s="892" t="s">
        <v>111</v>
      </c>
      <c r="R38" s="892" t="s">
        <v>63</v>
      </c>
      <c r="S38" s="945" t="s">
        <v>20</v>
      </c>
      <c r="T38" s="945" t="s">
        <v>63</v>
      </c>
      <c r="U3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2797334.1</v>
      </c>
      <c r="V38" s="1118"/>
      <c r="W38" s="1118"/>
      <c r="X38" s="1118"/>
      <c r="Y38" s="1118"/>
      <c r="Z38" s="1118"/>
      <c r="AA38" s="1118"/>
      <c r="AB38" s="1118"/>
      <c r="AC38" s="1118"/>
      <c r="AD38" s="1118"/>
      <c r="AE38" s="1118"/>
      <c r="AF38" s="1118"/>
      <c r="AG38" s="1118"/>
      <c r="AH38" s="1118"/>
      <c r="AI38" s="1118"/>
      <c r="AJ38" s="1118"/>
      <c r="AK38" s="1118"/>
      <c r="AL38" s="1118"/>
      <c r="AM38" s="1118"/>
      <c r="AN38" s="1118"/>
      <c r="AO38" s="1118"/>
      <c r="AP38" s="1118"/>
      <c r="AQ38" s="1118"/>
      <c r="AR38" s="1118"/>
      <c r="AS38" s="1118"/>
      <c r="AT38" s="1118"/>
      <c r="AU38" s="1118"/>
      <c r="AV38" s="1118"/>
      <c r="AW38" s="1118"/>
      <c r="AX38" s="1118"/>
      <c r="AY38" s="1118"/>
      <c r="AZ38" s="1118"/>
      <c r="BA38" s="1118"/>
      <c r="BB38" s="1118"/>
      <c r="BC38" s="1118"/>
      <c r="BD38" s="1118"/>
      <c r="BE38" s="1118"/>
      <c r="BF38" s="1118"/>
    </row>
    <row r="39" spans="1:58" s="929" customFormat="1" ht="12.75" customHeight="1" outlineLevel="1">
      <c r="A39" s="62">
        <v>38</v>
      </c>
      <c r="B39" s="75">
        <v>173</v>
      </c>
      <c r="C39" s="75" t="s">
        <v>804</v>
      </c>
      <c r="D39" s="62" t="s">
        <v>20</v>
      </c>
      <c r="E39" s="62">
        <v>38.83</v>
      </c>
      <c r="F39" s="941" t="s">
        <v>15</v>
      </c>
      <c r="G39" s="62" t="s">
        <v>121</v>
      </c>
      <c r="H39" s="62" t="s">
        <v>575</v>
      </c>
      <c r="I39" s="95">
        <v>3400981.23</v>
      </c>
      <c r="J39" s="62">
        <v>1</v>
      </c>
      <c r="K39" s="62" t="s">
        <v>65</v>
      </c>
      <c r="L39" s="62" t="s">
        <v>18</v>
      </c>
      <c r="M39" s="92">
        <v>44555</v>
      </c>
      <c r="N39" s="117" t="s">
        <v>17</v>
      </c>
      <c r="O39" s="62" t="s">
        <v>805</v>
      </c>
      <c r="P39" s="892" t="s">
        <v>111</v>
      </c>
      <c r="Q39" s="892" t="s">
        <v>111</v>
      </c>
      <c r="R39" s="892" t="s">
        <v>20</v>
      </c>
      <c r="S39" s="945" t="s">
        <v>20</v>
      </c>
      <c r="T39" s="945" t="s">
        <v>20</v>
      </c>
      <c r="U3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3187416.23</v>
      </c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  <c r="BC39" s="1118"/>
      <c r="BD39" s="1118"/>
      <c r="BE39" s="1118"/>
      <c r="BF39" s="1118"/>
    </row>
    <row r="40" spans="1:58" s="929" customFormat="1" ht="12.75" customHeight="1" outlineLevel="1">
      <c r="A40" s="62">
        <v>39</v>
      </c>
      <c r="B40" s="75">
        <v>706</v>
      </c>
      <c r="C40" s="75">
        <v>17497</v>
      </c>
      <c r="D40" s="62" t="s">
        <v>20</v>
      </c>
      <c r="E40" s="62">
        <v>56.33</v>
      </c>
      <c r="F40" s="117" t="s">
        <v>15</v>
      </c>
      <c r="G40" s="62" t="s">
        <v>27</v>
      </c>
      <c r="H40" s="62" t="s">
        <v>575</v>
      </c>
      <c r="I40" s="95">
        <v>3947253.21</v>
      </c>
      <c r="J40" s="62">
        <v>2</v>
      </c>
      <c r="K40" s="62" t="s">
        <v>65</v>
      </c>
      <c r="L40" s="62" t="s">
        <v>18</v>
      </c>
      <c r="M40" s="92">
        <v>44551</v>
      </c>
      <c r="N40" s="117" t="s">
        <v>17</v>
      </c>
      <c r="O40" s="62" t="s">
        <v>805</v>
      </c>
      <c r="P40" s="892" t="s">
        <v>111</v>
      </c>
      <c r="Q40" s="892" t="s">
        <v>111</v>
      </c>
      <c r="R40" s="892" t="s">
        <v>20</v>
      </c>
      <c r="S40" s="945" t="s">
        <v>20</v>
      </c>
      <c r="T40" s="945" t="s">
        <v>73</v>
      </c>
      <c r="U4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3637438.21</v>
      </c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  <c r="BC40" s="1118"/>
      <c r="BD40" s="1118"/>
      <c r="BE40" s="1118"/>
      <c r="BF40" s="1118"/>
    </row>
    <row r="41" spans="1:58" s="929" customFormat="1" ht="12.75" customHeight="1" outlineLevel="1">
      <c r="A41" s="62">
        <v>40</v>
      </c>
      <c r="B41" s="75">
        <v>884</v>
      </c>
      <c r="C41" s="75">
        <v>17922</v>
      </c>
      <c r="D41" s="62" t="s">
        <v>20</v>
      </c>
      <c r="E41" s="62">
        <v>23.09</v>
      </c>
      <c r="F41" s="941" t="s">
        <v>15</v>
      </c>
      <c r="G41" s="62" t="s">
        <v>27</v>
      </c>
      <c r="H41" s="62" t="s">
        <v>84</v>
      </c>
      <c r="I41" s="95">
        <v>1913802.64</v>
      </c>
      <c r="J41" s="62">
        <v>0</v>
      </c>
      <c r="K41" s="62" t="s">
        <v>85</v>
      </c>
      <c r="L41" s="62" t="s">
        <v>18</v>
      </c>
      <c r="M41" s="92">
        <v>44551</v>
      </c>
      <c r="N41" s="117" t="s">
        <v>17</v>
      </c>
      <c r="O41" s="941" t="s">
        <v>806</v>
      </c>
      <c r="P41" s="892" t="s">
        <v>111</v>
      </c>
      <c r="Q41" s="892" t="s">
        <v>111</v>
      </c>
      <c r="R41" s="892" t="s">
        <v>20</v>
      </c>
      <c r="S41" s="945" t="s">
        <v>20</v>
      </c>
      <c r="T41" s="945" t="s">
        <v>20</v>
      </c>
      <c r="U4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1786807.64</v>
      </c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  <c r="BC41" s="1118"/>
      <c r="BD41" s="1118"/>
      <c r="BE41" s="1118"/>
      <c r="BF41" s="1118"/>
    </row>
    <row r="42" spans="1:58" s="929" customFormat="1" ht="12.75" customHeight="1" outlineLevel="1">
      <c r="A42" s="62">
        <v>41</v>
      </c>
      <c r="B42" s="62">
        <v>242</v>
      </c>
      <c r="C42" s="75">
        <v>18059</v>
      </c>
      <c r="D42" s="62" t="s">
        <v>20</v>
      </c>
      <c r="E42" s="62">
        <v>37.89</v>
      </c>
      <c r="F42" s="941" t="s">
        <v>15</v>
      </c>
      <c r="G42" s="62" t="s">
        <v>121</v>
      </c>
      <c r="H42" s="62" t="s">
        <v>16</v>
      </c>
      <c r="I42" s="95">
        <v>3256339.68</v>
      </c>
      <c r="J42" s="62">
        <v>1</v>
      </c>
      <c r="K42" s="62" t="s">
        <v>65</v>
      </c>
      <c r="L42" s="62" t="s">
        <v>18</v>
      </c>
      <c r="M42" s="942">
        <v>44558</v>
      </c>
      <c r="N42" s="117" t="s">
        <v>17</v>
      </c>
      <c r="O42" s="941" t="s">
        <v>807</v>
      </c>
      <c r="P42" s="892" t="s">
        <v>111</v>
      </c>
      <c r="Q42" s="892" t="s">
        <v>111</v>
      </c>
      <c r="R42" s="892" t="s">
        <v>20</v>
      </c>
      <c r="S42" s="945" t="s">
        <v>20</v>
      </c>
      <c r="T42" s="945" t="s">
        <v>20</v>
      </c>
      <c r="U4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3047944.6799999997</v>
      </c>
    </row>
    <row r="43" spans="1:58" s="929" customFormat="1" ht="12.75" customHeight="1" outlineLevel="1">
      <c r="A43" s="62">
        <v>42</v>
      </c>
      <c r="B43" s="75">
        <v>646</v>
      </c>
      <c r="C43" s="75">
        <v>17717</v>
      </c>
      <c r="D43" s="62" t="s">
        <v>20</v>
      </c>
      <c r="E43" s="62">
        <v>61.95</v>
      </c>
      <c r="F43" s="76" t="s">
        <v>15</v>
      </c>
      <c r="G43" s="62" t="s">
        <v>27</v>
      </c>
      <c r="H43" s="62" t="s">
        <v>575</v>
      </c>
      <c r="I43" s="91">
        <v>4534637.99</v>
      </c>
      <c r="J43" s="62">
        <v>2</v>
      </c>
      <c r="K43" s="62" t="s">
        <v>65</v>
      </c>
      <c r="L43" s="62" t="s">
        <v>18</v>
      </c>
      <c r="M43" s="537">
        <v>44550</v>
      </c>
      <c r="N43" s="117" t="s">
        <v>17</v>
      </c>
      <c r="O43" s="76" t="s">
        <v>808</v>
      </c>
      <c r="P43" s="892" t="s">
        <v>111</v>
      </c>
      <c r="Q43" s="892" t="s">
        <v>111</v>
      </c>
      <c r="R43" s="892" t="s">
        <v>20</v>
      </c>
      <c r="S43" s="945" t="s">
        <v>63</v>
      </c>
      <c r="T43" s="945" t="s">
        <v>20</v>
      </c>
      <c r="U4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4193912.9899999998</v>
      </c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  <c r="BC43" s="1118"/>
      <c r="BD43" s="1118"/>
      <c r="BE43" s="1118"/>
      <c r="BF43" s="1118"/>
    </row>
    <row r="44" spans="1:58" s="929" customFormat="1" ht="12.75" customHeight="1" outlineLevel="1">
      <c r="A44" s="62">
        <v>43</v>
      </c>
      <c r="B44" s="75">
        <v>397</v>
      </c>
      <c r="C44" s="75">
        <v>17646</v>
      </c>
      <c r="D44" s="62" t="s">
        <v>20</v>
      </c>
      <c r="E44" s="62">
        <v>37.11</v>
      </c>
      <c r="F44" s="941" t="s">
        <v>15</v>
      </c>
      <c r="G44" s="62" t="s">
        <v>27</v>
      </c>
      <c r="H44" s="62" t="s">
        <v>575</v>
      </c>
      <c r="I44" s="95">
        <v>2732333.6</v>
      </c>
      <c r="J44" s="62">
        <v>1</v>
      </c>
      <c r="K44" s="62" t="s">
        <v>65</v>
      </c>
      <c r="L44" s="62" t="s">
        <v>18</v>
      </c>
      <c r="M44" s="92">
        <v>44557</v>
      </c>
      <c r="N44" s="117" t="s">
        <v>17</v>
      </c>
      <c r="O44" s="62" t="s">
        <v>809</v>
      </c>
      <c r="P44" s="892" t="s">
        <v>111</v>
      </c>
      <c r="Q44" s="892" t="s">
        <v>111</v>
      </c>
      <c r="R44" s="892" t="s">
        <v>20</v>
      </c>
      <c r="S44" s="945" t="s">
        <v>20</v>
      </c>
      <c r="T44" s="945" t="s">
        <v>20</v>
      </c>
      <c r="U4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2528228.6</v>
      </c>
    </row>
    <row r="45" spans="1:58" s="929" customFormat="1" ht="12.75" customHeight="1" outlineLevel="1">
      <c r="A45" s="62">
        <v>44</v>
      </c>
      <c r="B45" s="75">
        <v>30</v>
      </c>
      <c r="C45" s="75">
        <v>14659</v>
      </c>
      <c r="D45" s="62" t="s">
        <v>20</v>
      </c>
      <c r="E45" s="62">
        <v>58.99</v>
      </c>
      <c r="F45" s="941" t="s">
        <v>15</v>
      </c>
      <c r="G45" s="62" t="s">
        <v>121</v>
      </c>
      <c r="H45" s="62" t="s">
        <v>16</v>
      </c>
      <c r="I45" s="95">
        <v>4552383.9800000004</v>
      </c>
      <c r="J45" s="62">
        <v>2</v>
      </c>
      <c r="K45" s="62" t="s">
        <v>65</v>
      </c>
      <c r="L45" s="62" t="s">
        <v>18</v>
      </c>
      <c r="M45" s="92">
        <v>44555</v>
      </c>
      <c r="N45" s="117" t="s">
        <v>11</v>
      </c>
      <c r="O45" s="62" t="s">
        <v>810</v>
      </c>
      <c r="P45" s="892" t="s">
        <v>111</v>
      </c>
      <c r="Q45" s="892" t="s">
        <v>111</v>
      </c>
      <c r="R45" s="892" t="s">
        <v>20</v>
      </c>
      <c r="S45" s="945" t="s">
        <v>20</v>
      </c>
      <c r="T45" s="945" t="s">
        <v>20</v>
      </c>
      <c r="U4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4227938.9800000004</v>
      </c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  <c r="BC45" s="1118"/>
      <c r="BD45" s="1118"/>
      <c r="BE45" s="1118"/>
      <c r="BF45" s="1118"/>
    </row>
    <row r="46" spans="1:58" s="929" customFormat="1" ht="12.75" customHeight="1" outlineLevel="1">
      <c r="A46" s="62">
        <v>45</v>
      </c>
      <c r="B46" s="75">
        <v>90</v>
      </c>
      <c r="C46" s="75">
        <v>17980</v>
      </c>
      <c r="D46" s="62" t="s">
        <v>63</v>
      </c>
      <c r="E46" s="62">
        <v>37.94</v>
      </c>
      <c r="F46" s="941" t="s">
        <v>9</v>
      </c>
      <c r="G46" s="62" t="s">
        <v>27</v>
      </c>
      <c r="H46" s="62" t="s">
        <v>84</v>
      </c>
      <c r="I46" s="95">
        <v>2584774.86</v>
      </c>
      <c r="J46" s="62">
        <v>1</v>
      </c>
      <c r="K46" s="62" t="s">
        <v>85</v>
      </c>
      <c r="L46" s="62" t="s">
        <v>12</v>
      </c>
      <c r="M46" s="92">
        <v>44559</v>
      </c>
      <c r="N46" s="117" t="s">
        <v>11</v>
      </c>
      <c r="O46" s="62" t="s">
        <v>811</v>
      </c>
      <c r="P46" s="76" t="s">
        <v>111</v>
      </c>
      <c r="Q46" s="76" t="s">
        <v>111</v>
      </c>
      <c r="R46" s="892" t="s">
        <v>63</v>
      </c>
      <c r="S46" s="945" t="s">
        <v>63</v>
      </c>
      <c r="T46" s="945" t="s">
        <v>63</v>
      </c>
      <c r="U4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2584774.86</v>
      </c>
    </row>
    <row r="47" spans="1:58" ht="12.75" customHeight="1" outlineLevel="1">
      <c r="A47" s="62">
        <v>46</v>
      </c>
      <c r="B47" s="75">
        <v>50</v>
      </c>
      <c r="C47" s="75">
        <v>17741</v>
      </c>
      <c r="D47" s="62" t="s">
        <v>77</v>
      </c>
      <c r="E47" s="62">
        <v>59.52</v>
      </c>
      <c r="F47" s="941" t="s">
        <v>15</v>
      </c>
      <c r="G47" s="62" t="s">
        <v>121</v>
      </c>
      <c r="H47" s="62" t="s">
        <v>16</v>
      </c>
      <c r="I47" s="352">
        <v>4735504.7</v>
      </c>
      <c r="J47" s="62">
        <v>2</v>
      </c>
      <c r="K47" s="62" t="s">
        <v>65</v>
      </c>
      <c r="L47" s="62" t="s">
        <v>18</v>
      </c>
      <c r="M47" s="92">
        <v>44553</v>
      </c>
      <c r="N47" s="117" t="s">
        <v>11</v>
      </c>
      <c r="O47" s="62" t="s">
        <v>812</v>
      </c>
      <c r="P47" s="62" t="s">
        <v>111</v>
      </c>
      <c r="Q47" s="892" t="s">
        <v>111</v>
      </c>
      <c r="R47" s="892" t="s">
        <v>77</v>
      </c>
      <c r="S47" s="892" t="s">
        <v>77</v>
      </c>
      <c r="T47" s="892" t="s">
        <v>77</v>
      </c>
      <c r="U4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4408144.7</v>
      </c>
    </row>
    <row r="48" spans="1:58" s="929" customFormat="1" ht="12.75" customHeight="1" outlineLevel="1">
      <c r="A48" s="62">
        <v>47</v>
      </c>
      <c r="B48" s="75">
        <v>339</v>
      </c>
      <c r="C48" s="75">
        <v>17998</v>
      </c>
      <c r="D48" s="62" t="s">
        <v>77</v>
      </c>
      <c r="E48" s="62">
        <v>40</v>
      </c>
      <c r="F48" s="941" t="s">
        <v>15</v>
      </c>
      <c r="G48" s="62" t="s">
        <v>27</v>
      </c>
      <c r="H48" s="62" t="s">
        <v>84</v>
      </c>
      <c r="I48" s="352">
        <v>3253175.33</v>
      </c>
      <c r="J48" s="62">
        <v>1</v>
      </c>
      <c r="K48" s="62" t="s">
        <v>130</v>
      </c>
      <c r="L48" s="62" t="s">
        <v>18</v>
      </c>
      <c r="M48" s="92">
        <v>44553</v>
      </c>
      <c r="N48" s="117" t="s">
        <v>11</v>
      </c>
      <c r="O48" s="62" t="s">
        <v>813</v>
      </c>
      <c r="P48" s="892" t="s">
        <v>111</v>
      </c>
      <c r="Q48" s="892" t="s">
        <v>111</v>
      </c>
      <c r="R48" s="892" t="s">
        <v>77</v>
      </c>
      <c r="S48" s="892" t="s">
        <v>77</v>
      </c>
      <c r="T48" s="892" t="s">
        <v>77</v>
      </c>
      <c r="U4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3033175.33</v>
      </c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  <c r="BC48" s="1118"/>
      <c r="BD48" s="1118"/>
      <c r="BE48" s="1118"/>
      <c r="BF48" s="1118"/>
    </row>
    <row r="49" spans="1:58" ht="12.75" customHeight="1" outlineLevel="1">
      <c r="A49" s="62">
        <v>48</v>
      </c>
      <c r="B49" s="75">
        <v>623</v>
      </c>
      <c r="C49" s="75">
        <v>17620</v>
      </c>
      <c r="D49" s="62" t="s">
        <v>63</v>
      </c>
      <c r="E49" s="62">
        <v>55.8</v>
      </c>
      <c r="F49" s="941" t="s">
        <v>15</v>
      </c>
      <c r="G49" s="62" t="s">
        <v>27</v>
      </c>
      <c r="H49" s="62" t="s">
        <v>16</v>
      </c>
      <c r="I49" s="352">
        <v>3879568.66</v>
      </c>
      <c r="J49" s="62">
        <v>2</v>
      </c>
      <c r="K49" s="62" t="s">
        <v>65</v>
      </c>
      <c r="L49" s="62" t="s">
        <v>18</v>
      </c>
      <c r="M49" s="539">
        <v>44554</v>
      </c>
      <c r="N49" s="117" t="s">
        <v>17</v>
      </c>
      <c r="O49" s="62" t="s">
        <v>814</v>
      </c>
      <c r="P49" s="892" t="s">
        <v>111</v>
      </c>
      <c r="Q49" s="892" t="s">
        <v>111</v>
      </c>
      <c r="R49" s="892" t="s">
        <v>63</v>
      </c>
      <c r="S49" s="945" t="s">
        <v>63</v>
      </c>
      <c r="T49" s="945" t="s">
        <v>63</v>
      </c>
      <c r="U4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3572668.6599999997</v>
      </c>
    </row>
    <row r="50" spans="1:58" ht="12.75" customHeight="1" outlineLevel="1">
      <c r="A50" s="62">
        <v>49</v>
      </c>
      <c r="B50" s="75">
        <v>217</v>
      </c>
      <c r="C50" s="75">
        <v>13845</v>
      </c>
      <c r="D50" s="62" t="s">
        <v>63</v>
      </c>
      <c r="E50" s="62">
        <v>37.159999999999997</v>
      </c>
      <c r="F50" s="941" t="s">
        <v>25</v>
      </c>
      <c r="G50" s="62" t="s">
        <v>27</v>
      </c>
      <c r="H50" s="62" t="s">
        <v>16</v>
      </c>
      <c r="I50" s="881">
        <v>3236266.26</v>
      </c>
      <c r="J50" s="62">
        <v>1</v>
      </c>
      <c r="K50" s="62" t="s">
        <v>65</v>
      </c>
      <c r="L50" s="62" t="s">
        <v>18</v>
      </c>
      <c r="M50" s="1231">
        <v>44553</v>
      </c>
      <c r="N50" s="117" t="s">
        <v>17</v>
      </c>
      <c r="O50" s="76" t="s">
        <v>815</v>
      </c>
      <c r="P50" s="892" t="s">
        <v>111</v>
      </c>
      <c r="Q50" s="892" t="s">
        <v>111</v>
      </c>
      <c r="R50" s="892" t="s">
        <v>63</v>
      </c>
      <c r="S50" s="945" t="s">
        <v>63</v>
      </c>
      <c r="T50" s="945" t="s">
        <v>63</v>
      </c>
      <c r="U5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2641706.2599999998</v>
      </c>
    </row>
    <row r="51" spans="1:58" s="929" customFormat="1" ht="12.75" customHeight="1" outlineLevel="1">
      <c r="A51" s="62">
        <v>50</v>
      </c>
      <c r="B51" s="75">
        <v>321</v>
      </c>
      <c r="C51" s="75">
        <v>11073</v>
      </c>
      <c r="D51" s="62" t="s">
        <v>77</v>
      </c>
      <c r="E51" s="62">
        <v>37.159999999999997</v>
      </c>
      <c r="F51" s="941" t="s">
        <v>9</v>
      </c>
      <c r="G51" s="62" t="s">
        <v>27</v>
      </c>
      <c r="H51" s="62" t="s">
        <v>16</v>
      </c>
      <c r="I51" s="352">
        <v>2641706.2599999998</v>
      </c>
      <c r="J51" s="62">
        <v>1</v>
      </c>
      <c r="K51" s="62" t="s">
        <v>65</v>
      </c>
      <c r="L51" s="62" t="s">
        <v>18</v>
      </c>
      <c r="M51" s="92">
        <v>44558</v>
      </c>
      <c r="N51" s="117" t="s">
        <v>17</v>
      </c>
      <c r="O51" s="62" t="s">
        <v>816</v>
      </c>
      <c r="P51" s="76" t="s">
        <v>111</v>
      </c>
      <c r="Q51" s="76" t="s">
        <v>111</v>
      </c>
      <c r="R51" s="892" t="s">
        <v>77</v>
      </c>
      <c r="S51" s="892" t="s">
        <v>77</v>
      </c>
      <c r="T51" s="892" t="s">
        <v>77</v>
      </c>
      <c r="U5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2641706.2599999998</v>
      </c>
    </row>
    <row r="52" spans="1:58" s="929" customFormat="1" ht="12.75" customHeight="1" outlineLevel="1">
      <c r="A52" s="62">
        <v>51</v>
      </c>
      <c r="B52" s="75">
        <v>742</v>
      </c>
      <c r="C52" s="75">
        <v>18140</v>
      </c>
      <c r="D52" s="62" t="s">
        <v>77</v>
      </c>
      <c r="E52" s="62">
        <v>56.33</v>
      </c>
      <c r="F52" s="1007" t="s">
        <v>15</v>
      </c>
      <c r="G52" s="62" t="s">
        <v>27</v>
      </c>
      <c r="H52" s="62" t="s">
        <v>575</v>
      </c>
      <c r="I52" s="352">
        <v>4654636.9000000004</v>
      </c>
      <c r="J52" s="62">
        <v>2</v>
      </c>
      <c r="K52" s="62" t="s">
        <v>65</v>
      </c>
      <c r="L52" s="62" t="s">
        <v>18</v>
      </c>
      <c r="M52" s="92">
        <v>44555</v>
      </c>
      <c r="N52" s="117" t="s">
        <v>17</v>
      </c>
      <c r="O52" s="348" t="s">
        <v>817</v>
      </c>
      <c r="P52" s="892" t="s">
        <v>111</v>
      </c>
      <c r="Q52" s="76" t="s">
        <v>111</v>
      </c>
      <c r="R52" s="892" t="s">
        <v>77</v>
      </c>
      <c r="S52" s="892" t="s">
        <v>77</v>
      </c>
      <c r="T52" s="892" t="s">
        <v>77</v>
      </c>
      <c r="U5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4344821.9000000004</v>
      </c>
      <c r="V52" s="1118"/>
      <c r="W52" s="1118"/>
      <c r="X52" s="1118"/>
      <c r="Y52" s="1118"/>
      <c r="Z52" s="1118"/>
      <c r="AA52" s="1118"/>
      <c r="AB52" s="1118"/>
      <c r="AC52" s="1118"/>
      <c r="AD52" s="1118"/>
      <c r="AE52" s="1118"/>
      <c r="AF52" s="1118"/>
      <c r="AG52" s="1118"/>
      <c r="AH52" s="1118"/>
      <c r="AI52" s="1118"/>
      <c r="AJ52" s="1118"/>
      <c r="AK52" s="1118"/>
      <c r="AL52" s="1118"/>
      <c r="AM52" s="1118"/>
      <c r="AN52" s="1118"/>
      <c r="AO52" s="1118"/>
      <c r="AP52" s="1118"/>
      <c r="AQ52" s="1118"/>
      <c r="AR52" s="1118"/>
      <c r="AS52" s="1118"/>
      <c r="AT52" s="1118"/>
      <c r="AU52" s="1118"/>
      <c r="AV52" s="1118"/>
      <c r="AW52" s="1118"/>
      <c r="AX52" s="1118"/>
      <c r="AY52" s="1118"/>
      <c r="AZ52" s="1118"/>
      <c r="BA52" s="1118"/>
      <c r="BB52" s="1118"/>
      <c r="BC52" s="1118"/>
      <c r="BD52" s="1118"/>
      <c r="BE52" s="1118"/>
      <c r="BF52" s="1118"/>
    </row>
    <row r="53" spans="1:58" s="929" customFormat="1" ht="12.75" customHeight="1" outlineLevel="1">
      <c r="A53" s="62">
        <v>52</v>
      </c>
      <c r="B53" s="75">
        <v>49</v>
      </c>
      <c r="C53" s="75">
        <v>18153</v>
      </c>
      <c r="D53" s="62" t="s">
        <v>20</v>
      </c>
      <c r="E53" s="62">
        <v>24.39</v>
      </c>
      <c r="F53" s="1007" t="s">
        <v>9</v>
      </c>
      <c r="G53" s="62" t="s">
        <v>27</v>
      </c>
      <c r="H53" s="62" t="s">
        <v>575</v>
      </c>
      <c r="I53" s="352">
        <v>1816452.32</v>
      </c>
      <c r="J53" s="62">
        <v>0</v>
      </c>
      <c r="K53" s="62" t="s">
        <v>65</v>
      </c>
      <c r="L53" s="62" t="s">
        <v>18</v>
      </c>
      <c r="M53" s="539">
        <v>44559</v>
      </c>
      <c r="N53" s="117" t="s">
        <v>17</v>
      </c>
      <c r="O53" s="941" t="s">
        <v>818</v>
      </c>
      <c r="P53" s="1311" t="s">
        <v>111</v>
      </c>
      <c r="Q53" s="76" t="s">
        <v>111</v>
      </c>
      <c r="R53" s="892" t="s">
        <v>20</v>
      </c>
      <c r="S53" s="945" t="s">
        <v>20</v>
      </c>
      <c r="T53" s="945" t="s">
        <v>20</v>
      </c>
      <c r="U5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1816452.3200000003</v>
      </c>
    </row>
    <row r="54" spans="1:58" s="929" customFormat="1" ht="12.75" customHeight="1" outlineLevel="1">
      <c r="A54" s="62">
        <v>53</v>
      </c>
      <c r="B54" s="62">
        <v>207</v>
      </c>
      <c r="C54" s="75">
        <v>18184</v>
      </c>
      <c r="D54" s="62" t="s">
        <v>20</v>
      </c>
      <c r="E54" s="62">
        <v>38.22</v>
      </c>
      <c r="F54" s="1007" t="s">
        <v>15</v>
      </c>
      <c r="G54" s="62" t="s">
        <v>121</v>
      </c>
      <c r="H54" s="62" t="s">
        <v>16</v>
      </c>
      <c r="I54" s="352">
        <v>3457261.99</v>
      </c>
      <c r="J54" s="62">
        <v>1</v>
      </c>
      <c r="K54" s="62" t="s">
        <v>65</v>
      </c>
      <c r="L54" s="62" t="s">
        <v>18</v>
      </c>
      <c r="M54" s="1232">
        <v>44554</v>
      </c>
      <c r="N54" s="117" t="s">
        <v>17</v>
      </c>
      <c r="O54" s="1007" t="s">
        <v>819</v>
      </c>
      <c r="P54" s="892" t="s">
        <v>111</v>
      </c>
      <c r="Q54" s="892" t="s">
        <v>111</v>
      </c>
      <c r="R54" s="892" t="s">
        <v>20</v>
      </c>
      <c r="S54" s="945" t="s">
        <v>77</v>
      </c>
      <c r="T54" s="945" t="s">
        <v>20</v>
      </c>
      <c r="U5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3247051.99</v>
      </c>
      <c r="V54" s="1118"/>
      <c r="W54" s="1118"/>
      <c r="X54" s="1118"/>
      <c r="Y54" s="1118"/>
      <c r="Z54" s="1118"/>
      <c r="AA54" s="1118"/>
      <c r="AB54" s="1118"/>
      <c r="AC54" s="1118"/>
      <c r="AD54" s="1118"/>
      <c r="AE54" s="1118"/>
      <c r="AF54" s="1118"/>
      <c r="AG54" s="1118"/>
      <c r="AH54" s="1118"/>
      <c r="AI54" s="1118"/>
      <c r="AJ54" s="1118"/>
      <c r="AK54" s="1118"/>
      <c r="AL54" s="1118"/>
      <c r="AM54" s="1118"/>
      <c r="AN54" s="1118"/>
      <c r="AO54" s="1118"/>
      <c r="AP54" s="1118"/>
      <c r="AQ54" s="1118"/>
      <c r="AR54" s="1118"/>
      <c r="AS54" s="1118"/>
      <c r="AT54" s="1118"/>
      <c r="AU54" s="1118"/>
      <c r="AV54" s="1118"/>
      <c r="AW54" s="1118"/>
      <c r="AX54" s="1118"/>
      <c r="AY54" s="1118"/>
      <c r="AZ54" s="1118"/>
      <c r="BA54" s="1118"/>
      <c r="BB54" s="1118"/>
      <c r="BC54" s="1118"/>
      <c r="BD54" s="1118"/>
      <c r="BE54" s="1118"/>
      <c r="BF54" s="1118"/>
    </row>
    <row r="55" spans="1:58" s="929" customFormat="1" ht="12.75" customHeight="1" outlineLevel="1">
      <c r="A55" s="62">
        <v>54</v>
      </c>
      <c r="B55" s="75">
        <v>50</v>
      </c>
      <c r="C55" s="75">
        <v>18064</v>
      </c>
      <c r="D55" s="62" t="s">
        <v>20</v>
      </c>
      <c r="E55" s="62">
        <v>24.47</v>
      </c>
      <c r="F55" s="866" t="s">
        <v>25</v>
      </c>
      <c r="G55" s="62" t="s">
        <v>27</v>
      </c>
      <c r="H55" s="62" t="s">
        <v>16</v>
      </c>
      <c r="I55" s="881">
        <v>2213930.3462999999</v>
      </c>
      <c r="J55" s="62">
        <v>0</v>
      </c>
      <c r="K55" s="62" t="s">
        <v>65</v>
      </c>
      <c r="L55" s="62" t="s">
        <v>18</v>
      </c>
      <c r="M55" s="1231">
        <v>44559</v>
      </c>
      <c r="N55" s="117" t="s">
        <v>17</v>
      </c>
      <c r="O55" s="866" t="s">
        <v>820</v>
      </c>
      <c r="P55" s="76" t="s">
        <v>111</v>
      </c>
      <c r="Q55" s="76" t="s">
        <v>111</v>
      </c>
      <c r="R55" s="892" t="s">
        <v>20</v>
      </c>
      <c r="S55" s="945" t="s">
        <v>20</v>
      </c>
      <c r="T55" s="945" t="s">
        <v>20</v>
      </c>
      <c r="U55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1822410.3462999999</v>
      </c>
    </row>
    <row r="56" spans="1:58" s="929" customFormat="1" outlineLevel="1">
      <c r="A56" s="62">
        <v>55</v>
      </c>
      <c r="B56" s="75">
        <v>332</v>
      </c>
      <c r="C56" s="75">
        <v>18189</v>
      </c>
      <c r="D56" s="62" t="s">
        <v>63</v>
      </c>
      <c r="E56" s="62">
        <v>23.63</v>
      </c>
      <c r="F56" s="941" t="s">
        <v>25</v>
      </c>
      <c r="G56" s="62" t="s">
        <v>27</v>
      </c>
      <c r="H56" s="62" t="s">
        <v>16</v>
      </c>
      <c r="I56" s="352">
        <v>2206675.2599999998</v>
      </c>
      <c r="J56" s="62">
        <v>0</v>
      </c>
      <c r="K56" s="62" t="s">
        <v>65</v>
      </c>
      <c r="L56" s="62" t="s">
        <v>18</v>
      </c>
      <c r="M56" s="92">
        <v>44558</v>
      </c>
      <c r="N56" s="117" t="s">
        <v>17</v>
      </c>
      <c r="O56" s="62" t="s">
        <v>821</v>
      </c>
      <c r="P56" s="76" t="s">
        <v>111</v>
      </c>
      <c r="Q56" s="76" t="s">
        <v>111</v>
      </c>
      <c r="R56" s="892" t="s">
        <v>63</v>
      </c>
      <c r="S56" s="945" t="s">
        <v>63</v>
      </c>
      <c r="T56" s="945" t="s">
        <v>63</v>
      </c>
      <c r="U56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1828595.2599999998</v>
      </c>
    </row>
    <row r="57" spans="1:58" s="929" customFormat="1" outlineLevel="1">
      <c r="A57" s="62">
        <v>56</v>
      </c>
      <c r="B57" s="75">
        <v>26</v>
      </c>
      <c r="C57" s="75">
        <v>17969</v>
      </c>
      <c r="D57" s="62" t="s">
        <v>63</v>
      </c>
      <c r="E57" s="62">
        <v>37.69</v>
      </c>
      <c r="F57" s="941" t="s">
        <v>9</v>
      </c>
      <c r="G57" s="62" t="s">
        <v>27</v>
      </c>
      <c r="H57" s="62" t="s">
        <v>84</v>
      </c>
      <c r="I57" s="352">
        <v>2679383.86</v>
      </c>
      <c r="J57" s="62">
        <v>1</v>
      </c>
      <c r="K57" s="62" t="s">
        <v>130</v>
      </c>
      <c r="L57" s="62" t="s">
        <v>12</v>
      </c>
      <c r="M57" s="92">
        <v>44558</v>
      </c>
      <c r="N57" s="117" t="s">
        <v>17</v>
      </c>
      <c r="O57" s="62" t="s">
        <v>822</v>
      </c>
      <c r="P57" s="76" t="s">
        <v>111</v>
      </c>
      <c r="Q57" s="76" t="s">
        <v>111</v>
      </c>
      <c r="R57" s="892" t="s">
        <v>63</v>
      </c>
      <c r="S57" s="945" t="s">
        <v>63</v>
      </c>
      <c r="T57" s="945" t="s">
        <v>63</v>
      </c>
      <c r="U57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2679383.86</v>
      </c>
    </row>
    <row r="58" spans="1:58" s="929" customFormat="1" ht="14.25" customHeight="1" outlineLevel="1">
      <c r="A58" s="62">
        <v>57</v>
      </c>
      <c r="B58" s="75">
        <v>62</v>
      </c>
      <c r="C58" s="75">
        <v>18267</v>
      </c>
      <c r="D58" s="117" t="s">
        <v>20</v>
      </c>
      <c r="E58" s="62">
        <v>37.69</v>
      </c>
      <c r="F58" s="941" t="s">
        <v>25</v>
      </c>
      <c r="G58" s="62" t="s">
        <v>27</v>
      </c>
      <c r="H58" s="62" t="s">
        <v>16</v>
      </c>
      <c r="I58" s="352">
        <v>3282423.98</v>
      </c>
      <c r="J58" s="62">
        <v>1</v>
      </c>
      <c r="K58" s="117" t="s">
        <v>65</v>
      </c>
      <c r="L58" s="117" t="s">
        <v>18</v>
      </c>
      <c r="M58" s="92">
        <v>44559</v>
      </c>
      <c r="N58" s="62" t="s">
        <v>17</v>
      </c>
      <c r="O58" s="117" t="s">
        <v>823</v>
      </c>
      <c r="P58" s="892" t="s">
        <v>111</v>
      </c>
      <c r="Q58" s="892" t="s">
        <v>111</v>
      </c>
      <c r="R58" s="892" t="s">
        <v>20</v>
      </c>
      <c r="S58" s="945" t="s">
        <v>20</v>
      </c>
      <c r="T58" s="945" t="s">
        <v>20</v>
      </c>
      <c r="U58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2679383.98</v>
      </c>
    </row>
    <row r="59" spans="1:58" s="929" customFormat="1" ht="14.25" customHeight="1" outlineLevel="1">
      <c r="A59" s="62">
        <v>58</v>
      </c>
      <c r="B59" s="75">
        <v>110</v>
      </c>
      <c r="C59" s="75">
        <v>11231</v>
      </c>
      <c r="D59" s="117" t="s">
        <v>20</v>
      </c>
      <c r="E59" s="62">
        <v>36.42</v>
      </c>
      <c r="F59" s="941" t="s">
        <v>9</v>
      </c>
      <c r="G59" s="62" t="s">
        <v>121</v>
      </c>
      <c r="H59" s="62" t="s">
        <v>16</v>
      </c>
      <c r="I59" s="352">
        <v>2861571.88</v>
      </c>
      <c r="J59" s="62">
        <v>1</v>
      </c>
      <c r="K59" s="117" t="s">
        <v>65</v>
      </c>
      <c r="L59" s="117" t="s">
        <v>18</v>
      </c>
      <c r="M59" s="92">
        <v>44557</v>
      </c>
      <c r="N59" s="62" t="s">
        <v>17</v>
      </c>
      <c r="O59" s="117" t="s">
        <v>824</v>
      </c>
      <c r="P59" s="892" t="s">
        <v>111</v>
      </c>
      <c r="Q59" s="892" t="s">
        <v>111</v>
      </c>
      <c r="R59" s="892" t="s">
        <v>20</v>
      </c>
      <c r="S59" s="945" t="s">
        <v>20</v>
      </c>
      <c r="T59" s="945" t="s">
        <v>20</v>
      </c>
      <c r="U59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2861571.88</v>
      </c>
    </row>
    <row r="60" spans="1:58" s="929" customFormat="1" ht="12.75" customHeight="1" outlineLevel="1">
      <c r="A60" s="62">
        <v>59</v>
      </c>
      <c r="B60" s="75">
        <v>278</v>
      </c>
      <c r="C60" s="75">
        <v>18130</v>
      </c>
      <c r="D60" s="62" t="s">
        <v>77</v>
      </c>
      <c r="E60" s="62">
        <v>24.23</v>
      </c>
      <c r="F60" s="941" t="s">
        <v>25</v>
      </c>
      <c r="G60" s="62" t="s">
        <v>121</v>
      </c>
      <c r="H60" s="62" t="s">
        <v>16</v>
      </c>
      <c r="I60" s="352">
        <v>2513211.69</v>
      </c>
      <c r="J60" s="62">
        <v>0</v>
      </c>
      <c r="K60" s="62" t="s">
        <v>65</v>
      </c>
      <c r="L60" s="62" t="s">
        <v>18</v>
      </c>
      <c r="M60" s="92">
        <v>44558</v>
      </c>
      <c r="N60" s="117" t="s">
        <v>17</v>
      </c>
      <c r="O60" s="62" t="s">
        <v>825</v>
      </c>
      <c r="P60" s="892" t="s">
        <v>111</v>
      </c>
      <c r="Q60" s="892" t="s">
        <v>111</v>
      </c>
      <c r="R60" s="892" t="s">
        <v>77</v>
      </c>
      <c r="S60" s="945" t="s">
        <v>77</v>
      </c>
      <c r="T60" s="945" t="s">
        <v>471</v>
      </c>
      <c r="U60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2125531.69</v>
      </c>
    </row>
    <row r="61" spans="1:58" ht="12.75" customHeight="1" outlineLevel="1">
      <c r="A61" s="62">
        <v>60</v>
      </c>
      <c r="B61" s="75">
        <v>27</v>
      </c>
      <c r="C61" s="75">
        <v>18236</v>
      </c>
      <c r="D61" s="117" t="s">
        <v>77</v>
      </c>
      <c r="E61" s="62">
        <v>37.94</v>
      </c>
      <c r="F61" s="941" t="s">
        <v>9</v>
      </c>
      <c r="G61" s="62" t="s">
        <v>27</v>
      </c>
      <c r="H61" s="62" t="s">
        <v>10</v>
      </c>
      <c r="I61" s="352">
        <v>2584774.7999999998</v>
      </c>
      <c r="J61" s="62">
        <v>1</v>
      </c>
      <c r="K61" s="117" t="s">
        <v>130</v>
      </c>
      <c r="L61" s="62" t="s">
        <v>18</v>
      </c>
      <c r="M61" s="92">
        <v>44560</v>
      </c>
      <c r="N61" s="62" t="s">
        <v>17</v>
      </c>
      <c r="O61" s="117" t="s">
        <v>826</v>
      </c>
      <c r="P61" s="892" t="s">
        <v>111</v>
      </c>
      <c r="Q61" s="892" t="s">
        <v>111</v>
      </c>
      <c r="R61" s="892" t="s">
        <v>77</v>
      </c>
      <c r="S61" s="945" t="s">
        <v>20</v>
      </c>
      <c r="T61" s="945" t="s">
        <v>77</v>
      </c>
      <c r="U61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2584774.7999999998</v>
      </c>
      <c r="V61" s="931"/>
      <c r="W61" s="931"/>
      <c r="X61" s="931"/>
      <c r="Y61" s="931"/>
      <c r="Z61" s="931"/>
      <c r="AA61" s="931"/>
      <c r="AB61" s="931"/>
      <c r="AC61" s="931"/>
      <c r="AD61" s="931"/>
      <c r="AE61" s="931"/>
      <c r="AF61" s="931"/>
      <c r="AG61" s="931"/>
      <c r="AH61" s="931"/>
      <c r="AI61" s="931"/>
      <c r="AJ61" s="931"/>
      <c r="AK61" s="931"/>
      <c r="AL61" s="931"/>
      <c r="AM61" s="931"/>
      <c r="AN61" s="931"/>
      <c r="AO61" s="931"/>
      <c r="AP61" s="931"/>
      <c r="AQ61" s="931"/>
      <c r="AR61" s="931"/>
      <c r="AS61" s="931"/>
      <c r="AT61" s="931"/>
      <c r="AU61" s="931"/>
      <c r="AV61" s="931"/>
      <c r="AW61" s="931"/>
      <c r="AX61" s="931"/>
      <c r="AY61" s="931"/>
      <c r="AZ61" s="931"/>
      <c r="BA61" s="931"/>
      <c r="BB61" s="931"/>
      <c r="BC61" s="931"/>
      <c r="BD61" s="931"/>
      <c r="BE61" s="931"/>
      <c r="BF61" s="931"/>
    </row>
    <row r="62" spans="1:58" outlineLevel="1">
      <c r="A62" s="62">
        <v>62</v>
      </c>
      <c r="B62" s="75">
        <v>329</v>
      </c>
      <c r="C62" s="75">
        <v>17582</v>
      </c>
      <c r="D62" s="117" t="s">
        <v>73</v>
      </c>
      <c r="E62" s="62">
        <v>37.159999999999997</v>
      </c>
      <c r="F62" s="941" t="s">
        <v>15</v>
      </c>
      <c r="G62" s="62" t="s">
        <v>27</v>
      </c>
      <c r="H62" s="62" t="s">
        <v>84</v>
      </c>
      <c r="I62" s="352">
        <v>2846086.26</v>
      </c>
      <c r="J62" s="62">
        <v>1</v>
      </c>
      <c r="K62" s="117" t="s">
        <v>85</v>
      </c>
      <c r="L62" s="117" t="s">
        <v>18</v>
      </c>
      <c r="M62" s="92">
        <v>44553</v>
      </c>
      <c r="N62" s="117" t="s">
        <v>17</v>
      </c>
      <c r="O62" s="117" t="s">
        <v>827</v>
      </c>
      <c r="P62" s="892" t="s">
        <v>111</v>
      </c>
      <c r="Q62" s="892" t="s">
        <v>111</v>
      </c>
      <c r="R62" s="892" t="s">
        <v>73</v>
      </c>
      <c r="S62" s="945" t="s">
        <v>73</v>
      </c>
      <c r="T62" s="945" t="s">
        <v>73</v>
      </c>
      <c r="U62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2641706.2599999998</v>
      </c>
      <c r="V62" s="931"/>
      <c r="W62" s="931"/>
      <c r="X62" s="931"/>
      <c r="Y62" s="931"/>
      <c r="Z62" s="931"/>
      <c r="AA62" s="931"/>
      <c r="AB62" s="931"/>
      <c r="AC62" s="931"/>
      <c r="AD62" s="931"/>
      <c r="AE62" s="931"/>
      <c r="AF62" s="931"/>
      <c r="AG62" s="931"/>
      <c r="AH62" s="931"/>
      <c r="AI62" s="931"/>
      <c r="AJ62" s="931"/>
      <c r="AK62" s="931"/>
      <c r="AL62" s="931"/>
      <c r="AM62" s="931"/>
      <c r="AN62" s="931"/>
      <c r="AO62" s="931"/>
      <c r="AP62" s="931"/>
      <c r="AQ62" s="931"/>
      <c r="AR62" s="931"/>
      <c r="AS62" s="931"/>
      <c r="AT62" s="931"/>
      <c r="AU62" s="931"/>
      <c r="AV62" s="931"/>
      <c r="AW62" s="931"/>
      <c r="AX62" s="931"/>
      <c r="AY62" s="931"/>
      <c r="AZ62" s="931"/>
      <c r="BA62" s="931"/>
      <c r="BB62" s="931"/>
      <c r="BC62" s="931"/>
      <c r="BD62" s="931"/>
      <c r="BE62" s="931"/>
      <c r="BF62" s="931"/>
    </row>
    <row r="63" spans="1:58" s="929" customFormat="1" ht="12.75" customHeight="1" outlineLevel="1">
      <c r="A63" s="62">
        <v>63</v>
      </c>
      <c r="B63" s="75">
        <v>4</v>
      </c>
      <c r="C63" s="75">
        <v>18293</v>
      </c>
      <c r="D63" s="62" t="s">
        <v>63</v>
      </c>
      <c r="E63" s="62">
        <v>24.39</v>
      </c>
      <c r="F63" s="941" t="s">
        <v>15</v>
      </c>
      <c r="G63" s="62" t="s">
        <v>27</v>
      </c>
      <c r="H63" s="62" t="s">
        <v>16</v>
      </c>
      <c r="I63" s="352">
        <v>2064125.46</v>
      </c>
      <c r="J63" s="62">
        <v>0</v>
      </c>
      <c r="K63" s="62" t="s">
        <v>65</v>
      </c>
      <c r="L63" s="62" t="s">
        <v>18</v>
      </c>
      <c r="M63" s="92">
        <v>44559</v>
      </c>
      <c r="N63" s="62" t="s">
        <v>17</v>
      </c>
      <c r="O63" s="62" t="s">
        <v>828</v>
      </c>
      <c r="P63" s="892" t="s">
        <v>111</v>
      </c>
      <c r="Q63" s="892" t="s">
        <v>111</v>
      </c>
      <c r="R63" s="76" t="s">
        <v>63</v>
      </c>
      <c r="S63" s="941" t="s">
        <v>63</v>
      </c>
      <c r="T63" s="941" t="s">
        <v>63</v>
      </c>
      <c r="U63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1929980.4600000002</v>
      </c>
    </row>
    <row r="64" spans="1:58" ht="12.75" customHeight="1" outlineLevel="1">
      <c r="A64" s="62">
        <v>64</v>
      </c>
      <c r="B64" s="75">
        <v>697</v>
      </c>
      <c r="C64" s="75">
        <v>12783</v>
      </c>
      <c r="D64" s="62" t="s">
        <v>73</v>
      </c>
      <c r="E64" s="62">
        <v>56.33</v>
      </c>
      <c r="F64" s="941" t="s">
        <v>9</v>
      </c>
      <c r="G64" s="62" t="s">
        <v>27</v>
      </c>
      <c r="H64" s="62" t="s">
        <v>16</v>
      </c>
      <c r="I64" s="352">
        <v>4144616.07</v>
      </c>
      <c r="J64" s="62">
        <v>2</v>
      </c>
      <c r="K64" s="62" t="s">
        <v>65</v>
      </c>
      <c r="L64" s="62" t="s">
        <v>18</v>
      </c>
      <c r="M64" s="92">
        <v>44560</v>
      </c>
      <c r="N64" s="62" t="s">
        <v>17</v>
      </c>
      <c r="O64" s="62" t="s">
        <v>829</v>
      </c>
      <c r="P64" s="892" t="s">
        <v>111</v>
      </c>
      <c r="Q64" s="892" t="s">
        <v>111</v>
      </c>
      <c r="R64" s="76" t="s">
        <v>73</v>
      </c>
      <c r="S64" s="941" t="s">
        <v>73</v>
      </c>
      <c r="T64" s="941" t="s">
        <v>73</v>
      </c>
      <c r="U64" s="946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>4144616.0699999994</v>
      </c>
      <c r="V64" s="931"/>
      <c r="W64" s="931"/>
      <c r="X64" s="931"/>
      <c r="Y64" s="931"/>
      <c r="Z64" s="931"/>
      <c r="AA64" s="931"/>
      <c r="AB64" s="931"/>
      <c r="AC64" s="931"/>
      <c r="AD64" s="931"/>
      <c r="AE64" s="931"/>
      <c r="AF64" s="931"/>
      <c r="AG64" s="931"/>
      <c r="AH64" s="931"/>
      <c r="AI64" s="931"/>
      <c r="AJ64" s="931"/>
      <c r="AK64" s="931"/>
      <c r="AL64" s="931"/>
      <c r="AM64" s="931"/>
      <c r="AN64" s="931"/>
      <c r="AO64" s="931"/>
      <c r="AP64" s="931"/>
      <c r="AQ64" s="931"/>
      <c r="AR64" s="931"/>
      <c r="AS64" s="931"/>
      <c r="AT64" s="931"/>
      <c r="AU64" s="931"/>
      <c r="AV64" s="931"/>
      <c r="AW64" s="931"/>
      <c r="AX64" s="931"/>
      <c r="AY64" s="931"/>
      <c r="AZ64" s="931"/>
      <c r="BA64" s="931"/>
      <c r="BB64" s="931"/>
      <c r="BC64" s="931"/>
      <c r="BD64" s="931"/>
      <c r="BE64" s="931"/>
      <c r="BF64" s="931"/>
    </row>
    <row r="65" spans="1:58" ht="12.75" customHeight="1" outlineLevel="1">
      <c r="A65" s="103"/>
      <c r="B65" s="79"/>
      <c r="C65" s="79"/>
      <c r="D65" s="65"/>
      <c r="E65" s="65"/>
      <c r="F65" s="949"/>
      <c r="G65" s="65"/>
      <c r="H65" s="65"/>
      <c r="I65" s="105"/>
      <c r="J65" s="65"/>
      <c r="K65" s="65"/>
      <c r="L65" s="65"/>
      <c r="M65" s="98"/>
      <c r="N65" s="65"/>
      <c r="O65" s="65"/>
      <c r="P65" s="86"/>
      <c r="Q65" s="86"/>
      <c r="R65" s="86"/>
      <c r="S65" s="949"/>
      <c r="T65" s="949"/>
      <c r="U65" s="948" t="str">
        <f>IFERROR(SUM(декабрь21[[#This Row],[сумма]]/декабрь21[[#This Row],[м2]],IF(декабрь21[[#This Row],[Отделка]]="Черновая",0,"")&amp;IF(декабрь21[[#This Row],[Отделка]]="Предчистовая",-5500,"")&amp;IF(декабрь21[[#This Row],[Отделка]]="Чистовая",-16000,""))*декабрь21[[#This Row],[м2]],"")</f>
        <v/>
      </c>
      <c r="V65" s="931"/>
      <c r="W65" s="931"/>
      <c r="X65" s="931"/>
      <c r="Y65" s="931"/>
      <c r="Z65" s="931"/>
      <c r="AA65" s="931"/>
      <c r="AB65" s="931"/>
      <c r="AC65" s="931"/>
      <c r="AD65" s="931"/>
      <c r="AE65" s="931"/>
      <c r="AF65" s="931"/>
      <c r="AG65" s="931"/>
      <c r="AH65" s="931"/>
      <c r="AI65" s="931"/>
      <c r="AJ65" s="931"/>
      <c r="AK65" s="931"/>
      <c r="AL65" s="931"/>
      <c r="AM65" s="931"/>
      <c r="AN65" s="931"/>
      <c r="AO65" s="931"/>
      <c r="AP65" s="931"/>
      <c r="AQ65" s="931"/>
      <c r="AR65" s="931"/>
      <c r="AS65" s="931"/>
      <c r="AT65" s="931"/>
      <c r="AU65" s="931"/>
      <c r="AV65" s="931"/>
      <c r="AW65" s="931"/>
      <c r="AX65" s="931"/>
      <c r="AY65" s="931"/>
      <c r="AZ65" s="931"/>
      <c r="BA65" s="931"/>
      <c r="BB65" s="931"/>
      <c r="BC65" s="931"/>
      <c r="BD65" s="931"/>
      <c r="BE65" s="931"/>
      <c r="BF65" s="931"/>
    </row>
    <row r="66" spans="1:58">
      <c r="A66" s="1321"/>
      <c r="B66" s="968"/>
      <c r="C66" s="968"/>
      <c r="D66" s="7"/>
      <c r="E66" s="7"/>
      <c r="F66" s="7"/>
      <c r="G66" s="7"/>
      <c r="H66" s="134"/>
      <c r="I66" s="134"/>
      <c r="J66" s="134"/>
      <c r="K66" s="7"/>
      <c r="L66" s="994"/>
      <c r="M66" s="134"/>
      <c r="N66" s="134"/>
      <c r="O66" s="134"/>
      <c r="P66" s="262"/>
      <c r="Q66" s="134"/>
      <c r="R66" s="949"/>
      <c r="S66" s="949"/>
      <c r="T66" s="949"/>
      <c r="U66" s="930"/>
    </row>
    <row r="67" spans="1:58">
      <c r="A67" s="2293" t="s">
        <v>713</v>
      </c>
      <c r="B67" s="2294"/>
      <c r="C67" s="972" t="s">
        <v>121</v>
      </c>
      <c r="D67" s="2292"/>
      <c r="E67" s="2292"/>
      <c r="F67" s="2292"/>
      <c r="G67" s="2292"/>
      <c r="H67" s="2292"/>
      <c r="I67" s="2292"/>
      <c r="J67" s="2292"/>
      <c r="K67" s="2292"/>
      <c r="L67" s="2292"/>
      <c r="M67" s="2292"/>
      <c r="N67" s="2292"/>
      <c r="O67" s="2292"/>
      <c r="P67" s="2292"/>
      <c r="Q67" s="930"/>
      <c r="R67" s="949"/>
      <c r="S67" s="949"/>
      <c r="T67" s="949"/>
    </row>
    <row r="68" spans="1:58" s="1214" customFormat="1" ht="25.5">
      <c r="A68" s="1313" t="s">
        <v>1</v>
      </c>
      <c r="B68" s="686" t="s">
        <v>100</v>
      </c>
      <c r="C68" s="687" t="s">
        <v>97</v>
      </c>
      <c r="D68" s="688" t="s">
        <v>95</v>
      </c>
      <c r="E68" s="1033" t="s">
        <v>494</v>
      </c>
      <c r="F68" s="1033" t="s">
        <v>495</v>
      </c>
      <c r="G68" s="1033" t="s">
        <v>496</v>
      </c>
      <c r="H68" s="1034" t="s">
        <v>101</v>
      </c>
      <c r="I68" s="1023" t="s">
        <v>98</v>
      </c>
      <c r="J68" s="1023" t="s">
        <v>96</v>
      </c>
      <c r="K68" s="1023" t="s">
        <v>715</v>
      </c>
      <c r="L68" s="1060" t="s">
        <v>716</v>
      </c>
      <c r="M68" s="1033">
        <v>0</v>
      </c>
      <c r="N68" s="1033">
        <v>1</v>
      </c>
      <c r="O68" s="1033">
        <v>2</v>
      </c>
      <c r="P68" s="1033">
        <v>3</v>
      </c>
      <c r="Q68" s="1104">
        <v>4</v>
      </c>
      <c r="R68" s="950"/>
      <c r="S68" s="950"/>
      <c r="T68" s="950"/>
      <c r="U68" s="951"/>
      <c r="V68" s="1350"/>
      <c r="W68" s="1350"/>
      <c r="X68" s="1350"/>
      <c r="Y68" s="1350"/>
      <c r="Z68" s="1350"/>
      <c r="AA68" s="1350"/>
      <c r="AB68" s="1350"/>
      <c r="AC68" s="1350"/>
      <c r="AD68" s="1350"/>
      <c r="AE68" s="1350"/>
      <c r="AF68" s="1350"/>
      <c r="AG68" s="1350"/>
      <c r="AH68" s="1350"/>
      <c r="AI68" s="1350"/>
      <c r="AJ68" s="1350"/>
      <c r="AK68" s="1350"/>
      <c r="AL68" s="1350"/>
      <c r="AM68" s="1350"/>
      <c r="AN68" s="1350"/>
      <c r="AO68" s="1350"/>
      <c r="AP68" s="1350"/>
      <c r="AQ68" s="1350"/>
      <c r="AR68" s="1350"/>
      <c r="AS68" s="1350"/>
      <c r="AT68" s="1350"/>
      <c r="AU68" s="1350"/>
      <c r="AV68" s="1350"/>
      <c r="AW68" s="1350"/>
      <c r="AX68" s="1350"/>
      <c r="AY68" s="1350"/>
      <c r="AZ68" s="1350"/>
      <c r="BA68" s="1350"/>
      <c r="BB68" s="1350"/>
      <c r="BC68" s="1350"/>
      <c r="BD68" s="1350"/>
      <c r="BE68" s="1350"/>
      <c r="BF68" s="1350"/>
    </row>
    <row r="69" spans="1:58">
      <c r="A69" s="1314" t="s">
        <v>73</v>
      </c>
      <c r="B69" s="1109">
        <v>200</v>
      </c>
      <c r="C69" s="939">
        <v>12820260</v>
      </c>
      <c r="D69" s="1069">
        <v>5</v>
      </c>
      <c r="E69" s="145">
        <v>60.24</v>
      </c>
      <c r="F69" s="939">
        <v>3939023.76</v>
      </c>
      <c r="G69" s="1038">
        <v>1</v>
      </c>
      <c r="H69" s="148">
        <v>60.24</v>
      </c>
      <c r="I69" s="149">
        <v>3939023.76</v>
      </c>
      <c r="J69" s="220">
        <v>1</v>
      </c>
      <c r="K69" s="943">
        <v>0.30120000000000002</v>
      </c>
      <c r="L69" s="1061">
        <v>0.30724991224826997</v>
      </c>
      <c r="M69" s="339">
        <v>0</v>
      </c>
      <c r="N69" s="339">
        <v>0</v>
      </c>
      <c r="O69" s="339">
        <v>1</v>
      </c>
      <c r="P69" s="339">
        <v>0</v>
      </c>
      <c r="Q69" s="1099">
        <v>0</v>
      </c>
      <c r="R69" s="949"/>
      <c r="S69" s="949"/>
      <c r="T69" s="949"/>
      <c r="U69" s="930"/>
    </row>
    <row r="70" spans="1:58">
      <c r="A70" s="1315" t="s">
        <v>77</v>
      </c>
      <c r="B70" s="1109">
        <v>200</v>
      </c>
      <c r="C70" s="939">
        <v>12820260</v>
      </c>
      <c r="D70" s="1069">
        <v>5</v>
      </c>
      <c r="E70" s="257">
        <v>157.03</v>
      </c>
      <c r="F70" s="954">
        <v>11495231.52</v>
      </c>
      <c r="G70" s="1234">
        <v>4</v>
      </c>
      <c r="H70" s="202">
        <v>157.03</v>
      </c>
      <c r="I70" s="203">
        <v>11495231.52</v>
      </c>
      <c r="J70" s="226">
        <v>4</v>
      </c>
      <c r="K70" s="987">
        <v>0.78515000000000001</v>
      </c>
      <c r="L70" s="1062">
        <v>0.89664574041400102</v>
      </c>
      <c r="M70" s="339">
        <v>1</v>
      </c>
      <c r="N70" s="339">
        <v>2</v>
      </c>
      <c r="O70" s="339">
        <v>1</v>
      </c>
      <c r="P70" s="339">
        <v>0</v>
      </c>
      <c r="Q70" s="1099">
        <v>0</v>
      </c>
      <c r="R70" s="949"/>
      <c r="S70" s="949"/>
      <c r="T70" s="949"/>
      <c r="U70" s="930"/>
    </row>
    <row r="71" spans="1:58">
      <c r="A71" s="1315" t="s">
        <v>471</v>
      </c>
      <c r="B71" s="1109">
        <v>125</v>
      </c>
      <c r="C71" s="939">
        <v>8012662.5</v>
      </c>
      <c r="D71" s="1069">
        <v>2</v>
      </c>
      <c r="E71" s="257">
        <v>97.21</v>
      </c>
      <c r="F71" s="954">
        <v>7470372.5700000003</v>
      </c>
      <c r="G71" s="1234">
        <v>2</v>
      </c>
      <c r="H71" s="202">
        <v>97.21</v>
      </c>
      <c r="I71" s="203">
        <v>7470372.5700000003</v>
      </c>
      <c r="J71" s="226">
        <v>2</v>
      </c>
      <c r="K71" s="987">
        <v>0.77768000000000004</v>
      </c>
      <c r="L71" s="1062">
        <v>0.93232088210379505</v>
      </c>
      <c r="M71" s="339">
        <v>0</v>
      </c>
      <c r="N71" s="339">
        <v>1</v>
      </c>
      <c r="O71" s="339">
        <v>1</v>
      </c>
      <c r="P71" s="339">
        <v>0</v>
      </c>
      <c r="Q71" s="1099">
        <v>0</v>
      </c>
      <c r="R71" s="949"/>
      <c r="S71" s="949"/>
      <c r="T71" s="949"/>
      <c r="U71" s="930"/>
    </row>
    <row r="72" spans="1:58">
      <c r="A72" s="1315" t="s">
        <v>20</v>
      </c>
      <c r="B72" s="1109">
        <v>230</v>
      </c>
      <c r="C72" s="939">
        <v>14743299</v>
      </c>
      <c r="D72" s="1069">
        <v>6</v>
      </c>
      <c r="E72" s="257">
        <v>246.77</v>
      </c>
      <c r="F72" s="954">
        <v>19297230.32</v>
      </c>
      <c r="G72" s="1234">
        <v>6</v>
      </c>
      <c r="H72" s="202">
        <v>246.77</v>
      </c>
      <c r="I72" s="203">
        <v>19297230.32</v>
      </c>
      <c r="J72" s="226">
        <v>6</v>
      </c>
      <c r="K72" s="987">
        <v>1.0729130434782601</v>
      </c>
      <c r="L72" s="1062">
        <v>1.3088814328462</v>
      </c>
      <c r="M72" s="339">
        <v>0</v>
      </c>
      <c r="N72" s="339">
        <v>5</v>
      </c>
      <c r="O72" s="339">
        <v>1</v>
      </c>
      <c r="P72" s="339">
        <v>0</v>
      </c>
      <c r="Q72" s="1099">
        <v>0</v>
      </c>
      <c r="R72" s="949"/>
      <c r="S72" s="949"/>
      <c r="T72" s="949"/>
      <c r="U72" s="930"/>
    </row>
    <row r="73" spans="1:58">
      <c r="A73" s="1316" t="s">
        <v>63</v>
      </c>
      <c r="B73" s="1109">
        <v>200</v>
      </c>
      <c r="C73" s="939">
        <v>12820260</v>
      </c>
      <c r="D73" s="1069">
        <v>5</v>
      </c>
      <c r="E73" s="329">
        <v>154.83000000000001</v>
      </c>
      <c r="F73" s="958">
        <v>10077957.810000001</v>
      </c>
      <c r="G73" s="983">
        <v>3</v>
      </c>
      <c r="H73" s="358">
        <v>156.85</v>
      </c>
      <c r="I73" s="359">
        <v>9882709.0700000003</v>
      </c>
      <c r="J73" s="330">
        <v>3</v>
      </c>
      <c r="K73" s="1063">
        <v>0.78425</v>
      </c>
      <c r="L73" s="1064">
        <v>0.77086650894755604</v>
      </c>
      <c r="M73" s="339">
        <v>0</v>
      </c>
      <c r="N73" s="339">
        <v>1</v>
      </c>
      <c r="O73" s="339">
        <v>2</v>
      </c>
      <c r="P73" s="339">
        <v>0</v>
      </c>
      <c r="Q73" s="1099">
        <v>0</v>
      </c>
      <c r="R73" s="949"/>
      <c r="S73" s="949"/>
      <c r="T73" s="949"/>
      <c r="U73" s="930"/>
    </row>
    <row r="74" spans="1:58">
      <c r="A74" s="1317" t="s">
        <v>114</v>
      </c>
      <c r="B74" s="1195">
        <v>955</v>
      </c>
      <c r="C74" s="1196">
        <v>61216741.5</v>
      </c>
      <c r="D74" s="1162">
        <v>23</v>
      </c>
      <c r="E74" s="1123">
        <v>716.08</v>
      </c>
      <c r="F74" s="1163">
        <v>52279815.979999997</v>
      </c>
      <c r="G74" s="1164">
        <v>16</v>
      </c>
      <c r="H74" s="906">
        <v>718.1</v>
      </c>
      <c r="I74" s="1124">
        <v>52084567.240000002</v>
      </c>
      <c r="J74" s="1123">
        <v>16</v>
      </c>
      <c r="K74" s="1140">
        <v>0.75193717277486904</v>
      </c>
      <c r="L74" s="1141">
        <v>0.85082227449169301</v>
      </c>
      <c r="M74" s="1123">
        <v>1</v>
      </c>
      <c r="N74" s="1123">
        <v>9</v>
      </c>
      <c r="O74" s="1123">
        <v>6</v>
      </c>
      <c r="P74" s="1185">
        <v>0</v>
      </c>
      <c r="Q74" s="1167">
        <v>0</v>
      </c>
      <c r="R74" s="949"/>
      <c r="S74" s="949"/>
      <c r="T74" s="949"/>
      <c r="U74" s="930"/>
    </row>
    <row r="75" spans="1:58" s="1214" customFormat="1" ht="25.5">
      <c r="A75" s="1313" t="s">
        <v>115</v>
      </c>
      <c r="B75" s="686" t="s">
        <v>100</v>
      </c>
      <c r="C75" s="693" t="s">
        <v>97</v>
      </c>
      <c r="D75" s="688" t="s">
        <v>95</v>
      </c>
      <c r="E75" s="1033" t="s">
        <v>494</v>
      </c>
      <c r="F75" s="1033" t="s">
        <v>495</v>
      </c>
      <c r="G75" s="1104" t="s">
        <v>496</v>
      </c>
      <c r="H75" s="1034" t="s">
        <v>101</v>
      </c>
      <c r="I75" s="1023" t="s">
        <v>98</v>
      </c>
      <c r="J75" s="1023" t="s">
        <v>96</v>
      </c>
      <c r="K75" s="1186" t="s">
        <v>715</v>
      </c>
      <c r="L75" s="1187" t="s">
        <v>716</v>
      </c>
      <c r="M75" s="1033">
        <v>0</v>
      </c>
      <c r="N75" s="1033">
        <v>1</v>
      </c>
      <c r="O75" s="1033">
        <v>2</v>
      </c>
      <c r="P75" s="1033">
        <v>3</v>
      </c>
      <c r="Q75" s="1104">
        <v>4</v>
      </c>
      <c r="R75" s="950"/>
      <c r="S75" s="950"/>
      <c r="T75" s="950"/>
      <c r="U75" s="951"/>
      <c r="V75" s="1350"/>
      <c r="W75" s="1350"/>
      <c r="X75" s="1350"/>
      <c r="Y75" s="1350"/>
      <c r="Z75" s="1350"/>
      <c r="AA75" s="1350"/>
      <c r="AB75" s="1350"/>
      <c r="AC75" s="1350"/>
      <c r="AD75" s="1350"/>
      <c r="AE75" s="1350"/>
      <c r="AF75" s="1350"/>
      <c r="AG75" s="1350"/>
      <c r="AH75" s="1350"/>
      <c r="AI75" s="1350"/>
      <c r="AJ75" s="1350"/>
      <c r="AK75" s="1350"/>
      <c r="AL75" s="1350"/>
      <c r="AM75" s="1350"/>
      <c r="AN75" s="1350"/>
      <c r="AO75" s="1350"/>
      <c r="AP75" s="1350"/>
      <c r="AQ75" s="1350"/>
      <c r="AR75" s="1350"/>
      <c r="AS75" s="1350"/>
      <c r="AT75" s="1350"/>
      <c r="AU75" s="1350"/>
      <c r="AV75" s="1350"/>
      <c r="AW75" s="1350"/>
      <c r="AX75" s="1350"/>
      <c r="AY75" s="1350"/>
      <c r="AZ75" s="1350"/>
      <c r="BA75" s="1350"/>
      <c r="BB75" s="1350"/>
      <c r="BC75" s="1350"/>
      <c r="BD75" s="1350"/>
      <c r="BE75" s="1350"/>
      <c r="BF75" s="1350"/>
    </row>
    <row r="76" spans="1:58">
      <c r="A76" s="1314" t="s">
        <v>16</v>
      </c>
      <c r="B76" s="1197">
        <v>355</v>
      </c>
      <c r="C76" s="939">
        <v>22755500</v>
      </c>
      <c r="D76" s="1069">
        <v>9</v>
      </c>
      <c r="E76" s="1129">
        <v>578.79</v>
      </c>
      <c r="F76" s="149">
        <v>42888365.060000002</v>
      </c>
      <c r="G76" s="940">
        <v>13</v>
      </c>
      <c r="H76" s="148">
        <v>580.80999999999995</v>
      </c>
      <c r="I76" s="220">
        <v>42693116.32</v>
      </c>
      <c r="J76" s="220">
        <v>13</v>
      </c>
      <c r="K76" s="943">
        <v>1.6360845070422501</v>
      </c>
      <c r="L76" s="1061">
        <v>1.8761669187668899</v>
      </c>
      <c r="M76" s="339">
        <v>1</v>
      </c>
      <c r="N76" s="339">
        <v>7</v>
      </c>
      <c r="O76" s="339">
        <v>5</v>
      </c>
      <c r="P76" s="339">
        <v>0</v>
      </c>
      <c r="Q76" s="1099">
        <v>0</v>
      </c>
      <c r="R76" s="949"/>
      <c r="S76" s="949"/>
      <c r="T76" s="949"/>
      <c r="U76" s="930"/>
    </row>
    <row r="77" spans="1:58">
      <c r="A77" s="1316" t="s">
        <v>575</v>
      </c>
      <c r="B77" s="1197">
        <v>314</v>
      </c>
      <c r="C77" s="958">
        <v>20096219</v>
      </c>
      <c r="D77" s="1054">
        <v>7</v>
      </c>
      <c r="E77" s="1222">
        <v>38.83</v>
      </c>
      <c r="F77" s="359">
        <v>3187416.23</v>
      </c>
      <c r="G77" s="959">
        <v>1</v>
      </c>
      <c r="H77" s="967">
        <v>38.83</v>
      </c>
      <c r="I77" s="1223">
        <v>3187416.23</v>
      </c>
      <c r="J77" s="1223">
        <v>1</v>
      </c>
      <c r="K77" s="1063">
        <v>0.123662420382166</v>
      </c>
      <c r="L77" s="1064">
        <v>0.15860775750901199</v>
      </c>
      <c r="M77" s="339">
        <v>0</v>
      </c>
      <c r="N77" s="339">
        <v>1</v>
      </c>
      <c r="O77" s="339">
        <v>0</v>
      </c>
      <c r="P77" s="339">
        <v>0</v>
      </c>
      <c r="Q77" s="1099">
        <v>0</v>
      </c>
      <c r="R77" s="949"/>
      <c r="S77" s="949"/>
      <c r="T77" s="949"/>
      <c r="U77" s="930"/>
    </row>
    <row r="78" spans="1:58" s="65" customFormat="1">
      <c r="A78" s="1319" t="s">
        <v>114</v>
      </c>
      <c r="B78" s="1198">
        <v>669</v>
      </c>
      <c r="C78" s="1165">
        <v>42851719</v>
      </c>
      <c r="D78" s="1166">
        <v>16</v>
      </c>
      <c r="E78" s="1123">
        <v>617.62</v>
      </c>
      <c r="F78" s="1124">
        <v>46075781.289999999</v>
      </c>
      <c r="G78" s="1167">
        <v>14</v>
      </c>
      <c r="H78" s="906">
        <v>619.64</v>
      </c>
      <c r="I78" s="1123">
        <v>45880532.549999997</v>
      </c>
      <c r="J78" s="1123">
        <v>14</v>
      </c>
      <c r="K78" s="1199">
        <v>0.92621823617339305</v>
      </c>
      <c r="L78" s="1200">
        <v>1.0706812613515</v>
      </c>
      <c r="M78" s="1123">
        <v>1</v>
      </c>
      <c r="N78" s="1123">
        <v>8</v>
      </c>
      <c r="O78" s="1123">
        <v>5</v>
      </c>
      <c r="P78" s="1123">
        <v>0</v>
      </c>
      <c r="Q78" s="1167">
        <v>0</v>
      </c>
      <c r="U78" s="339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</row>
    <row r="79" spans="1:58">
      <c r="A79" s="1321"/>
      <c r="B79" s="968"/>
      <c r="C79" s="968"/>
      <c r="D79" s="7"/>
      <c r="E79" s="7"/>
      <c r="F79" s="7"/>
      <c r="G79" s="7"/>
      <c r="H79" s="134"/>
      <c r="I79" s="134"/>
      <c r="J79" s="134"/>
      <c r="K79" s="7"/>
      <c r="L79" s="994"/>
      <c r="M79" s="134"/>
      <c r="N79" s="134"/>
      <c r="O79" s="134"/>
      <c r="P79" s="262"/>
      <c r="Q79" s="134"/>
      <c r="R79" s="949"/>
      <c r="S79" s="949"/>
      <c r="T79" s="949"/>
      <c r="U79" s="930"/>
    </row>
    <row r="80" spans="1:58">
      <c r="A80" s="2290" t="s">
        <v>713</v>
      </c>
      <c r="B80" s="2291"/>
      <c r="C80" s="935" t="s">
        <v>27</v>
      </c>
      <c r="D80" s="2292"/>
      <c r="E80" s="2292"/>
      <c r="F80" s="2292"/>
      <c r="G80" s="2292"/>
      <c r="H80" s="2292"/>
      <c r="I80" s="2292"/>
      <c r="J80" s="2292"/>
      <c r="K80" s="2292"/>
      <c r="L80" s="2292"/>
      <c r="M80" s="2292"/>
      <c r="N80" s="2292"/>
      <c r="O80" s="2292"/>
      <c r="P80" s="2292"/>
      <c r="Q80" s="7"/>
      <c r="R80" s="949"/>
      <c r="S80" s="949"/>
      <c r="T80" s="949"/>
      <c r="U80" s="930"/>
    </row>
    <row r="81" spans="1:58" s="1214" customFormat="1" ht="25.5">
      <c r="A81" s="1313" t="s">
        <v>1</v>
      </c>
      <c r="B81" s="686" t="s">
        <v>100</v>
      </c>
      <c r="C81" s="688" t="s">
        <v>97</v>
      </c>
      <c r="D81" s="688" t="s">
        <v>95</v>
      </c>
      <c r="E81" s="1022" t="s">
        <v>494</v>
      </c>
      <c r="F81" s="138" t="s">
        <v>495</v>
      </c>
      <c r="G81" s="139" t="s">
        <v>496</v>
      </c>
      <c r="H81" s="140" t="s">
        <v>101</v>
      </c>
      <c r="I81" s="141" t="s">
        <v>98</v>
      </c>
      <c r="J81" s="141" t="s">
        <v>96</v>
      </c>
      <c r="K81" s="141" t="s">
        <v>715</v>
      </c>
      <c r="L81" s="1026" t="s">
        <v>716</v>
      </c>
      <c r="M81" s="1087">
        <v>0</v>
      </c>
      <c r="N81" s="1033">
        <v>1</v>
      </c>
      <c r="O81" s="1033">
        <v>2</v>
      </c>
      <c r="P81" s="1033">
        <v>3</v>
      </c>
      <c r="Q81" s="1104">
        <v>4</v>
      </c>
      <c r="R81" s="950"/>
      <c r="S81" s="950"/>
      <c r="T81" s="950"/>
      <c r="U81" s="951"/>
      <c r="V81" s="1350"/>
      <c r="W81" s="1350"/>
      <c r="X81" s="1350"/>
      <c r="Y81" s="1350"/>
      <c r="Z81" s="1350"/>
      <c r="AA81" s="1350"/>
      <c r="AB81" s="1350"/>
      <c r="AC81" s="1350"/>
      <c r="AD81" s="1350"/>
      <c r="AE81" s="1350"/>
      <c r="AF81" s="1350"/>
      <c r="AG81" s="1350"/>
      <c r="AH81" s="1350"/>
      <c r="AI81" s="1350"/>
      <c r="AJ81" s="1350"/>
      <c r="AK81" s="1350"/>
      <c r="AL81" s="1350"/>
      <c r="AM81" s="1350"/>
      <c r="AN81" s="1350"/>
      <c r="AO81" s="1350"/>
      <c r="AP81" s="1350"/>
      <c r="AQ81" s="1350"/>
      <c r="AR81" s="1350"/>
      <c r="AS81" s="1350"/>
      <c r="AT81" s="1350"/>
      <c r="AU81" s="1350"/>
      <c r="AV81" s="1350"/>
      <c r="AW81" s="1350"/>
      <c r="AX81" s="1350"/>
      <c r="AY81" s="1350"/>
      <c r="AZ81" s="1350"/>
      <c r="BA81" s="1350"/>
      <c r="BB81" s="1350"/>
      <c r="BC81" s="1350"/>
      <c r="BD81" s="1350"/>
      <c r="BE81" s="1350"/>
      <c r="BF81" s="1350"/>
    </row>
    <row r="82" spans="1:58">
      <c r="A82" s="1322" t="s">
        <v>73</v>
      </c>
      <c r="B82" s="1126">
        <v>430</v>
      </c>
      <c r="C82" s="1059">
        <v>27535910</v>
      </c>
      <c r="D82" s="1074">
        <v>6</v>
      </c>
      <c r="E82" s="145">
        <v>386.84</v>
      </c>
      <c r="F82" s="939">
        <v>26329831.469999999</v>
      </c>
      <c r="G82" s="940">
        <v>9</v>
      </c>
      <c r="H82" s="148">
        <v>386.87</v>
      </c>
      <c r="I82" s="149">
        <v>26784736.82</v>
      </c>
      <c r="J82" s="220">
        <v>9</v>
      </c>
      <c r="K82" s="943">
        <v>0.89969767441860404</v>
      </c>
      <c r="L82" s="1061">
        <v>0.97272023405073604</v>
      </c>
      <c r="M82" s="1090">
        <v>3</v>
      </c>
      <c r="N82" s="339">
        <v>3</v>
      </c>
      <c r="O82" s="339">
        <v>2</v>
      </c>
      <c r="P82" s="339">
        <v>1</v>
      </c>
      <c r="Q82" s="1099">
        <v>0</v>
      </c>
      <c r="R82" s="949"/>
      <c r="S82" s="949"/>
      <c r="T82" s="949"/>
      <c r="U82" s="930"/>
    </row>
    <row r="83" spans="1:58">
      <c r="A83" s="1323" t="s">
        <v>77</v>
      </c>
      <c r="B83" s="1127">
        <v>430</v>
      </c>
      <c r="C83" s="954">
        <v>27535910</v>
      </c>
      <c r="D83" s="1041">
        <v>6</v>
      </c>
      <c r="E83" s="257">
        <v>304.31</v>
      </c>
      <c r="F83" s="954">
        <v>20857580.800000001</v>
      </c>
      <c r="G83" s="955">
        <v>7</v>
      </c>
      <c r="H83" s="202">
        <v>304.31</v>
      </c>
      <c r="I83" s="203">
        <v>21458950.800000001</v>
      </c>
      <c r="J83" s="226">
        <v>7</v>
      </c>
      <c r="K83" s="987">
        <v>0.70769767441860498</v>
      </c>
      <c r="L83" s="1062">
        <v>0.77930784927754304</v>
      </c>
      <c r="M83" s="1090">
        <v>1</v>
      </c>
      <c r="N83" s="339">
        <v>3</v>
      </c>
      <c r="O83" s="339">
        <v>3</v>
      </c>
      <c r="P83" s="339">
        <v>0</v>
      </c>
      <c r="Q83" s="1099">
        <v>0</v>
      </c>
      <c r="R83" s="949"/>
      <c r="S83" s="949"/>
      <c r="T83" s="949"/>
      <c r="U83" s="930"/>
    </row>
    <row r="84" spans="1:58">
      <c r="A84" s="1323" t="s">
        <v>471</v>
      </c>
      <c r="B84" s="1127">
        <v>346</v>
      </c>
      <c r="C84" s="954">
        <v>22156802</v>
      </c>
      <c r="D84" s="1041">
        <v>4</v>
      </c>
      <c r="E84" s="257">
        <v>154.53</v>
      </c>
      <c r="F84" s="954">
        <v>10951758.939999999</v>
      </c>
      <c r="G84" s="955">
        <v>4</v>
      </c>
      <c r="H84" s="202">
        <v>156.58000000000001</v>
      </c>
      <c r="I84" s="203">
        <v>10824763.800000001</v>
      </c>
      <c r="J84" s="226">
        <v>4</v>
      </c>
      <c r="K84" s="987">
        <v>0.45254335260115602</v>
      </c>
      <c r="L84" s="1062">
        <v>0.488552625961093</v>
      </c>
      <c r="M84" s="1090">
        <v>1</v>
      </c>
      <c r="N84" s="339">
        <v>2</v>
      </c>
      <c r="O84" s="339">
        <v>1</v>
      </c>
      <c r="P84" s="339">
        <v>0</v>
      </c>
      <c r="Q84" s="1099">
        <v>0</v>
      </c>
      <c r="R84" s="949"/>
      <c r="S84" s="949"/>
      <c r="T84" s="949"/>
      <c r="U84" s="930"/>
    </row>
    <row r="85" spans="1:58">
      <c r="A85" s="1323" t="s">
        <v>20</v>
      </c>
      <c r="B85" s="1127">
        <v>460</v>
      </c>
      <c r="C85" s="954">
        <v>29457020</v>
      </c>
      <c r="D85" s="1041">
        <v>8</v>
      </c>
      <c r="E85" s="257">
        <v>449.66</v>
      </c>
      <c r="F85" s="954">
        <v>30426517.1263</v>
      </c>
      <c r="G85" s="955">
        <v>11</v>
      </c>
      <c r="H85" s="202">
        <v>449.66</v>
      </c>
      <c r="I85" s="203">
        <v>31034872.129999999</v>
      </c>
      <c r="J85" s="226">
        <v>11</v>
      </c>
      <c r="K85" s="987">
        <v>0.97752173913043505</v>
      </c>
      <c r="L85" s="1062">
        <v>1.05356455371249</v>
      </c>
      <c r="M85" s="1090">
        <v>3</v>
      </c>
      <c r="N85" s="339">
        <v>4</v>
      </c>
      <c r="O85" s="339">
        <v>4</v>
      </c>
      <c r="P85" s="339">
        <v>0</v>
      </c>
      <c r="Q85" s="1099">
        <v>0</v>
      </c>
      <c r="R85" s="949"/>
      <c r="S85" s="949"/>
      <c r="T85" s="949"/>
      <c r="U85" s="930"/>
    </row>
    <row r="86" spans="1:58">
      <c r="A86" s="1324" t="s">
        <v>63</v>
      </c>
      <c r="B86" s="1128">
        <v>430</v>
      </c>
      <c r="C86" s="958">
        <v>27535910</v>
      </c>
      <c r="D86" s="1054">
        <v>6</v>
      </c>
      <c r="E86" s="329">
        <v>612.95000000000005</v>
      </c>
      <c r="F86" s="958">
        <v>41796980.159999996</v>
      </c>
      <c r="G86" s="959">
        <v>15</v>
      </c>
      <c r="H86" s="358">
        <v>612.95000000000005</v>
      </c>
      <c r="I86" s="359">
        <v>42436245.159999996</v>
      </c>
      <c r="J86" s="330">
        <v>15</v>
      </c>
      <c r="K86" s="1063">
        <v>1.4254651162790699</v>
      </c>
      <c r="L86" s="1064">
        <v>1.54112376020985</v>
      </c>
      <c r="M86" s="1090">
        <v>4</v>
      </c>
      <c r="N86" s="339">
        <v>6</v>
      </c>
      <c r="O86" s="339">
        <v>5</v>
      </c>
      <c r="P86" s="339">
        <v>0</v>
      </c>
      <c r="Q86" s="1099">
        <v>0</v>
      </c>
      <c r="R86" s="949"/>
      <c r="S86" s="949"/>
      <c r="T86" s="949"/>
      <c r="U86" s="930"/>
    </row>
    <row r="87" spans="1:58">
      <c r="A87" s="1317" t="s">
        <v>114</v>
      </c>
      <c r="B87" s="1195">
        <v>2096</v>
      </c>
      <c r="C87" s="1196">
        <v>134221552</v>
      </c>
      <c r="D87" s="1162">
        <v>37</v>
      </c>
      <c r="E87" s="1168">
        <v>1908.29</v>
      </c>
      <c r="F87" s="1169">
        <v>130362668.4963</v>
      </c>
      <c r="G87" s="1170">
        <v>46</v>
      </c>
      <c r="H87" s="1171">
        <v>1910.37</v>
      </c>
      <c r="I87" s="1165">
        <v>132539568.70999999</v>
      </c>
      <c r="J87" s="1182">
        <v>46</v>
      </c>
      <c r="K87" s="1201">
        <v>0.91143606870228999</v>
      </c>
      <c r="L87" s="1202">
        <v>0.98746860496740496</v>
      </c>
      <c r="M87" s="906">
        <v>12</v>
      </c>
      <c r="N87" s="1123">
        <v>18</v>
      </c>
      <c r="O87" s="1123">
        <v>15</v>
      </c>
      <c r="P87" s="1185">
        <v>1</v>
      </c>
      <c r="Q87" s="1167">
        <v>0</v>
      </c>
      <c r="R87" s="949"/>
      <c r="S87" s="949"/>
      <c r="T87" s="949"/>
      <c r="U87" s="930"/>
    </row>
    <row r="88" spans="1:58" s="1214" customFormat="1" ht="25.5">
      <c r="A88" s="1313" t="s">
        <v>115</v>
      </c>
      <c r="B88" s="686" t="s">
        <v>100</v>
      </c>
      <c r="C88" s="693" t="s">
        <v>97</v>
      </c>
      <c r="D88" s="688" t="s">
        <v>95</v>
      </c>
      <c r="E88" s="1051" t="s">
        <v>494</v>
      </c>
      <c r="F88" s="138" t="s">
        <v>495</v>
      </c>
      <c r="G88" s="139" t="s">
        <v>496</v>
      </c>
      <c r="H88" s="140" t="s">
        <v>101</v>
      </c>
      <c r="I88" s="141" t="s">
        <v>98</v>
      </c>
      <c r="J88" s="141" t="s">
        <v>96</v>
      </c>
      <c r="K88" s="495" t="s">
        <v>715</v>
      </c>
      <c r="L88" s="1027" t="s">
        <v>716</v>
      </c>
      <c r="M88" s="1087">
        <v>0</v>
      </c>
      <c r="N88" s="1033">
        <v>1</v>
      </c>
      <c r="O88" s="1033">
        <v>2</v>
      </c>
      <c r="P88" s="1033">
        <v>3</v>
      </c>
      <c r="Q88" s="1104">
        <v>4</v>
      </c>
      <c r="R88" s="950"/>
      <c r="S88" s="950"/>
      <c r="T88" s="950"/>
      <c r="U88" s="951"/>
      <c r="V88" s="1350"/>
      <c r="W88" s="1350"/>
      <c r="X88" s="1350"/>
      <c r="Y88" s="1350"/>
      <c r="Z88" s="1350"/>
      <c r="AA88" s="1350"/>
      <c r="AB88" s="1350"/>
      <c r="AC88" s="1350"/>
      <c r="AD88" s="1350"/>
      <c r="AE88" s="1350"/>
      <c r="AF88" s="1350"/>
      <c r="AG88" s="1350"/>
      <c r="AH88" s="1350"/>
      <c r="AI88" s="1350"/>
      <c r="AJ88" s="1350"/>
      <c r="AK88" s="1350"/>
      <c r="AL88" s="1350"/>
      <c r="AM88" s="1350"/>
      <c r="AN88" s="1350"/>
      <c r="AO88" s="1350"/>
      <c r="AP88" s="1350"/>
      <c r="AQ88" s="1350"/>
      <c r="AR88" s="1350"/>
      <c r="AS88" s="1350"/>
      <c r="AT88" s="1350"/>
      <c r="AU88" s="1350"/>
      <c r="AV88" s="1350"/>
      <c r="AW88" s="1350"/>
      <c r="AX88" s="1350"/>
      <c r="AY88" s="1350"/>
      <c r="AZ88" s="1350"/>
      <c r="BA88" s="1350"/>
      <c r="BB88" s="1350"/>
      <c r="BC88" s="1350"/>
      <c r="BD88" s="1350"/>
      <c r="BE88" s="1350"/>
      <c r="BF88" s="1350"/>
    </row>
    <row r="89" spans="1:58">
      <c r="A89" s="1322" t="s">
        <v>16</v>
      </c>
      <c r="B89" s="1197">
        <v>743</v>
      </c>
      <c r="C89" s="939">
        <v>47579491</v>
      </c>
      <c r="D89" s="1069">
        <v>15</v>
      </c>
      <c r="E89" s="1129">
        <v>965.32</v>
      </c>
      <c r="F89" s="149">
        <v>65901465.276299998</v>
      </c>
      <c r="G89" s="940">
        <v>23</v>
      </c>
      <c r="H89" s="148">
        <v>967.37</v>
      </c>
      <c r="I89" s="149">
        <v>66953450.43</v>
      </c>
      <c r="J89" s="220">
        <v>23</v>
      </c>
      <c r="K89" s="943">
        <v>1.30197846567968</v>
      </c>
      <c r="L89" s="1061">
        <v>1.4071913974447501</v>
      </c>
      <c r="M89" s="1090">
        <v>6</v>
      </c>
      <c r="N89" s="339">
        <v>9</v>
      </c>
      <c r="O89" s="339">
        <v>7</v>
      </c>
      <c r="P89" s="339">
        <v>1</v>
      </c>
      <c r="Q89" s="1099">
        <v>0</v>
      </c>
      <c r="R89" s="949"/>
      <c r="S89" s="949"/>
      <c r="T89" s="949"/>
      <c r="U89" s="930"/>
    </row>
    <row r="90" spans="1:58">
      <c r="A90" s="1324" t="s">
        <v>575</v>
      </c>
      <c r="B90" s="1128">
        <v>724</v>
      </c>
      <c r="C90" s="958">
        <v>46375595</v>
      </c>
      <c r="D90" s="1054">
        <v>11</v>
      </c>
      <c r="E90" s="1222">
        <v>430.12</v>
      </c>
      <c r="F90" s="359">
        <v>29313244.789999999</v>
      </c>
      <c r="G90" s="959">
        <v>10</v>
      </c>
      <c r="H90" s="967">
        <v>467.28</v>
      </c>
      <c r="I90" s="1224">
        <v>32739141.109999999</v>
      </c>
      <c r="J90" s="1223">
        <v>11</v>
      </c>
      <c r="K90" s="1063">
        <v>0.64541436464088398</v>
      </c>
      <c r="L90" s="1064">
        <v>0.70595624940229895</v>
      </c>
      <c r="M90" s="1225">
        <v>3</v>
      </c>
      <c r="N90" s="930">
        <v>3</v>
      </c>
      <c r="O90" s="930">
        <v>5</v>
      </c>
      <c r="P90" s="930">
        <v>0</v>
      </c>
      <c r="Q90" s="1226">
        <v>0</v>
      </c>
      <c r="R90" s="949"/>
      <c r="S90" s="949"/>
      <c r="T90" s="949"/>
      <c r="U90" s="930"/>
    </row>
    <row r="91" spans="1:58">
      <c r="A91" s="1319" t="s">
        <v>114</v>
      </c>
      <c r="B91" s="1171">
        <v>1467</v>
      </c>
      <c r="C91" s="1165">
        <v>93955086</v>
      </c>
      <c r="D91" s="1166">
        <v>26</v>
      </c>
      <c r="E91" s="1173">
        <v>1395.44</v>
      </c>
      <c r="F91" s="1165">
        <v>95214710.066300005</v>
      </c>
      <c r="G91" s="1166">
        <v>33</v>
      </c>
      <c r="H91" s="1171">
        <v>1434.65</v>
      </c>
      <c r="I91" s="1165">
        <v>99692591.540000007</v>
      </c>
      <c r="J91" s="1182">
        <v>34</v>
      </c>
      <c r="K91" s="1183">
        <v>0.97794819359236496</v>
      </c>
      <c r="L91" s="1184">
        <v>1.06106647105831</v>
      </c>
      <c r="M91" s="906">
        <v>9</v>
      </c>
      <c r="N91" s="1123">
        <v>12</v>
      </c>
      <c r="O91" s="1123">
        <v>12</v>
      </c>
      <c r="P91" s="1123">
        <v>1</v>
      </c>
      <c r="Q91" s="1167">
        <v>0</v>
      </c>
      <c r="R91" s="949"/>
      <c r="S91" s="949"/>
      <c r="T91" s="949"/>
      <c r="U91" s="930"/>
    </row>
    <row r="92" spans="1:58">
      <c r="A92" s="1321"/>
      <c r="B92" s="968"/>
      <c r="C92" s="968"/>
      <c r="D92" s="969"/>
      <c r="E92" s="7"/>
      <c r="F92" s="7"/>
      <c r="G92" s="7"/>
      <c r="H92" s="134"/>
      <c r="I92" s="134"/>
      <c r="J92" s="134"/>
      <c r="K92" s="7"/>
      <c r="L92" s="994"/>
      <c r="M92" s="134"/>
      <c r="N92" s="134"/>
      <c r="O92" s="134"/>
      <c r="P92" s="262"/>
      <c r="Q92" s="134"/>
      <c r="R92" s="949"/>
      <c r="S92" s="949"/>
      <c r="T92" s="949"/>
      <c r="U92" s="930"/>
    </row>
    <row r="93" spans="1:58">
      <c r="A93" s="2293" t="s">
        <v>713</v>
      </c>
      <c r="B93" s="2294"/>
      <c r="C93" s="972" t="s">
        <v>718</v>
      </c>
      <c r="D93" s="2295"/>
      <c r="E93" s="2296"/>
      <c r="F93" s="2296"/>
      <c r="G93" s="2296"/>
      <c r="H93" s="2296"/>
      <c r="I93" s="2296"/>
      <c r="J93" s="2296"/>
      <c r="K93" s="2296"/>
      <c r="L93" s="2296"/>
      <c r="M93" s="2296"/>
      <c r="N93" s="2296"/>
      <c r="O93" s="2296"/>
      <c r="P93" s="2296"/>
      <c r="Q93" s="7"/>
      <c r="R93" s="949"/>
      <c r="S93" s="949"/>
      <c r="T93" s="949"/>
      <c r="U93" s="930"/>
    </row>
    <row r="94" spans="1:58" s="1214" customFormat="1" ht="25.5">
      <c r="A94" s="1326" t="s">
        <v>1</v>
      </c>
      <c r="B94" s="723" t="s">
        <v>100</v>
      </c>
      <c r="C94" s="724" t="s">
        <v>97</v>
      </c>
      <c r="D94" s="688" t="s">
        <v>95</v>
      </c>
      <c r="E94" s="1022" t="s">
        <v>494</v>
      </c>
      <c r="F94" s="138" t="s">
        <v>495</v>
      </c>
      <c r="G94" s="1082" t="s">
        <v>496</v>
      </c>
      <c r="H94" s="980" t="s">
        <v>101</v>
      </c>
      <c r="I94" s="141" t="s">
        <v>98</v>
      </c>
      <c r="J94" s="141" t="s">
        <v>96</v>
      </c>
      <c r="K94" s="141" t="s">
        <v>715</v>
      </c>
      <c r="L94" s="1026" t="s">
        <v>716</v>
      </c>
      <c r="M94" s="1087">
        <v>0</v>
      </c>
      <c r="N94" s="1033">
        <v>1</v>
      </c>
      <c r="O94" s="1033">
        <v>2</v>
      </c>
      <c r="P94" s="1033">
        <v>3</v>
      </c>
      <c r="Q94" s="1104">
        <v>4</v>
      </c>
      <c r="R94" s="950"/>
      <c r="S94" s="950"/>
      <c r="T94" s="950"/>
      <c r="U94" s="951"/>
      <c r="V94" s="1350"/>
      <c r="W94" s="1350"/>
      <c r="X94" s="1350"/>
      <c r="Y94" s="1350"/>
      <c r="Z94" s="1350"/>
      <c r="AA94" s="1350"/>
      <c r="AB94" s="1350"/>
      <c r="AC94" s="1350"/>
      <c r="AD94" s="1350"/>
      <c r="AE94" s="1350"/>
      <c r="AF94" s="1350"/>
      <c r="AG94" s="1350"/>
      <c r="AH94" s="1350"/>
      <c r="AI94" s="1350"/>
      <c r="AJ94" s="1350"/>
      <c r="AK94" s="1350"/>
      <c r="AL94" s="1350"/>
      <c r="AM94" s="1350"/>
      <c r="AN94" s="1350"/>
      <c r="AO94" s="1350"/>
      <c r="AP94" s="1350"/>
      <c r="AQ94" s="1350"/>
      <c r="AR94" s="1350"/>
      <c r="AS94" s="1350"/>
      <c r="AT94" s="1350"/>
      <c r="AU94" s="1350"/>
      <c r="AV94" s="1350"/>
      <c r="AW94" s="1350"/>
      <c r="AX94" s="1350"/>
      <c r="AY94" s="1350"/>
      <c r="AZ94" s="1350"/>
      <c r="BA94" s="1350"/>
      <c r="BB94" s="1350"/>
      <c r="BC94" s="1350"/>
      <c r="BD94" s="1350"/>
      <c r="BE94" s="1350"/>
      <c r="BF94" s="1350"/>
    </row>
    <row r="95" spans="1:58">
      <c r="A95" s="1327" t="s">
        <v>73</v>
      </c>
      <c r="B95" s="514">
        <v>630</v>
      </c>
      <c r="C95" s="549">
        <v>40356170</v>
      </c>
      <c r="D95" s="1174">
        <v>11</v>
      </c>
      <c r="E95" s="267">
        <v>447.08</v>
      </c>
      <c r="F95" s="146">
        <v>30268855.23</v>
      </c>
      <c r="G95" s="702">
        <v>10</v>
      </c>
      <c r="H95" s="514">
        <v>447.11</v>
      </c>
      <c r="I95" s="146">
        <v>30723760.579999998</v>
      </c>
      <c r="J95" s="1190">
        <v>10</v>
      </c>
      <c r="K95" s="943">
        <v>0.70969841269841305</v>
      </c>
      <c r="L95" s="1061">
        <v>0.76131507474569604</v>
      </c>
      <c r="M95" s="1148">
        <v>3</v>
      </c>
      <c r="N95" s="1008">
        <v>3</v>
      </c>
      <c r="O95" s="1008">
        <v>3</v>
      </c>
      <c r="P95" s="1008">
        <v>1</v>
      </c>
      <c r="Q95" s="1106">
        <v>0</v>
      </c>
      <c r="R95" s="949"/>
      <c r="S95" s="949"/>
      <c r="T95" s="949"/>
      <c r="U95" s="930"/>
    </row>
    <row r="96" spans="1:58">
      <c r="A96" s="1328" t="s">
        <v>77</v>
      </c>
      <c r="B96" s="514">
        <v>630</v>
      </c>
      <c r="C96" s="549">
        <v>40356170</v>
      </c>
      <c r="D96" s="1174">
        <v>11</v>
      </c>
      <c r="E96" s="271">
        <v>461.34</v>
      </c>
      <c r="F96" s="52">
        <v>32352812.32</v>
      </c>
      <c r="G96" s="717">
        <v>11</v>
      </c>
      <c r="H96" s="514">
        <v>461.34</v>
      </c>
      <c r="I96" s="146">
        <v>32954182.32</v>
      </c>
      <c r="J96" s="1190">
        <v>11</v>
      </c>
      <c r="K96" s="943">
        <v>0.73228571428571398</v>
      </c>
      <c r="L96" s="1061">
        <v>0.81658349441981204</v>
      </c>
      <c r="M96" s="1148">
        <v>2</v>
      </c>
      <c r="N96" s="1008">
        <v>5</v>
      </c>
      <c r="O96" s="1008">
        <v>4</v>
      </c>
      <c r="P96" s="1008">
        <v>0</v>
      </c>
      <c r="Q96" s="1106">
        <v>0</v>
      </c>
      <c r="R96" s="949"/>
      <c r="S96" s="949"/>
      <c r="T96" s="949"/>
      <c r="U96" s="930"/>
    </row>
    <row r="97" spans="1:58">
      <c r="A97" s="1328" t="s">
        <v>471</v>
      </c>
      <c r="B97" s="514">
        <v>471</v>
      </c>
      <c r="C97" s="549">
        <v>30169464.5</v>
      </c>
      <c r="D97" s="1174">
        <v>6</v>
      </c>
      <c r="E97" s="271">
        <v>251.74</v>
      </c>
      <c r="F97" s="52">
        <v>18422131.510000002</v>
      </c>
      <c r="G97" s="717">
        <v>6</v>
      </c>
      <c r="H97" s="514">
        <v>253.79</v>
      </c>
      <c r="I97" s="146">
        <v>18295136.370000001</v>
      </c>
      <c r="J97" s="1190">
        <v>6</v>
      </c>
      <c r="K97" s="943">
        <v>0.53883227176220805</v>
      </c>
      <c r="L97" s="1061">
        <v>0.60641236671602206</v>
      </c>
      <c r="M97" s="1148">
        <v>1</v>
      </c>
      <c r="N97" s="1008">
        <v>3</v>
      </c>
      <c r="O97" s="1008">
        <v>2</v>
      </c>
      <c r="P97" s="1008">
        <v>0</v>
      </c>
      <c r="Q97" s="1106">
        <v>0</v>
      </c>
      <c r="R97" s="949"/>
      <c r="S97" s="949"/>
      <c r="T97" s="949"/>
      <c r="U97" s="930"/>
    </row>
    <row r="98" spans="1:58">
      <c r="A98" s="1328" t="s">
        <v>20</v>
      </c>
      <c r="B98" s="514">
        <v>690</v>
      </c>
      <c r="C98" s="549">
        <v>44200319</v>
      </c>
      <c r="D98" s="1174">
        <v>14</v>
      </c>
      <c r="E98" s="271">
        <v>696.43</v>
      </c>
      <c r="F98" s="52">
        <v>49723747.4463</v>
      </c>
      <c r="G98" s="717">
        <v>17</v>
      </c>
      <c r="H98" s="514">
        <v>696.43</v>
      </c>
      <c r="I98" s="146">
        <v>50332102.450000003</v>
      </c>
      <c r="J98" s="1190">
        <v>17</v>
      </c>
      <c r="K98" s="943">
        <v>1.00931884057971</v>
      </c>
      <c r="L98" s="1061">
        <v>1.13872713113224</v>
      </c>
      <c r="M98" s="1148">
        <v>3</v>
      </c>
      <c r="N98" s="1008">
        <v>9</v>
      </c>
      <c r="O98" s="1008">
        <v>5</v>
      </c>
      <c r="P98" s="1008">
        <v>0</v>
      </c>
      <c r="Q98" s="1106">
        <v>0</v>
      </c>
      <c r="R98" s="949"/>
      <c r="S98" s="949"/>
      <c r="T98" s="949"/>
      <c r="U98" s="930"/>
    </row>
    <row r="99" spans="1:58">
      <c r="A99" s="1329" t="s">
        <v>63</v>
      </c>
      <c r="B99" s="514">
        <v>630</v>
      </c>
      <c r="C99" s="549">
        <v>40356170</v>
      </c>
      <c r="D99" s="1174">
        <v>11</v>
      </c>
      <c r="E99" s="315">
        <v>767.78</v>
      </c>
      <c r="F99" s="363">
        <v>51874937.969999999</v>
      </c>
      <c r="G99" s="703">
        <v>18</v>
      </c>
      <c r="H99" s="1175">
        <v>769.8</v>
      </c>
      <c r="I99" s="403">
        <v>52318954.229999997</v>
      </c>
      <c r="J99" s="1191">
        <v>18</v>
      </c>
      <c r="K99" s="1192">
        <v>1.2219047619047601</v>
      </c>
      <c r="L99" s="1061">
        <v>1.2964301178729301</v>
      </c>
      <c r="M99" s="1148">
        <v>4</v>
      </c>
      <c r="N99" s="1008">
        <v>7</v>
      </c>
      <c r="O99" s="1008">
        <v>7</v>
      </c>
      <c r="P99" s="1008">
        <v>0</v>
      </c>
      <c r="Q99" s="1106">
        <v>0</v>
      </c>
      <c r="R99" s="949"/>
      <c r="S99" s="949"/>
      <c r="T99" s="949"/>
      <c r="U99" s="930"/>
    </row>
    <row r="100" spans="1:58">
      <c r="A100" s="1330" t="s">
        <v>114</v>
      </c>
      <c r="B100" s="1177">
        <v>3051</v>
      </c>
      <c r="C100" s="1178">
        <v>195438293.5</v>
      </c>
      <c r="D100" s="1179">
        <v>53</v>
      </c>
      <c r="E100" s="1172">
        <v>2624.37</v>
      </c>
      <c r="F100" s="1165">
        <v>182642484.4763</v>
      </c>
      <c r="G100" s="1180">
        <v>62</v>
      </c>
      <c r="H100" s="1172">
        <v>2628.47</v>
      </c>
      <c r="I100" s="1165">
        <v>184624135.94999999</v>
      </c>
      <c r="J100" s="1193">
        <v>62</v>
      </c>
      <c r="K100" s="1201">
        <v>0.86151098000655502</v>
      </c>
      <c r="L100" s="1061">
        <v>0.94466715116912303</v>
      </c>
      <c r="M100" s="906">
        <v>13</v>
      </c>
      <c r="N100" s="1123">
        <v>27</v>
      </c>
      <c r="O100" s="1123">
        <v>21</v>
      </c>
      <c r="P100" s="1185">
        <v>1</v>
      </c>
      <c r="Q100" s="1167">
        <v>0</v>
      </c>
      <c r="R100" s="949"/>
      <c r="S100" s="949"/>
      <c r="T100" s="949"/>
      <c r="U100" s="930"/>
    </row>
    <row r="101" spans="1:58" s="1214" customFormat="1" ht="25.5">
      <c r="A101" s="1326" t="s">
        <v>115</v>
      </c>
      <c r="B101" s="723" t="s">
        <v>100</v>
      </c>
      <c r="C101" s="1086" t="s">
        <v>97</v>
      </c>
      <c r="D101" s="688" t="s">
        <v>95</v>
      </c>
      <c r="E101" s="1022" t="s">
        <v>494</v>
      </c>
      <c r="F101" s="138" t="s">
        <v>495</v>
      </c>
      <c r="G101" s="139" t="s">
        <v>496</v>
      </c>
      <c r="H101" s="980" t="s">
        <v>101</v>
      </c>
      <c r="I101" s="141" t="s">
        <v>98</v>
      </c>
      <c r="J101" s="141" t="s">
        <v>96</v>
      </c>
      <c r="K101" s="141" t="s">
        <v>715</v>
      </c>
      <c r="L101" s="1026" t="s">
        <v>716</v>
      </c>
      <c r="M101" s="1087">
        <v>0</v>
      </c>
      <c r="N101" s="1033">
        <v>1</v>
      </c>
      <c r="O101" s="1033">
        <v>2</v>
      </c>
      <c r="P101" s="1033">
        <v>3</v>
      </c>
      <c r="Q101" s="1104">
        <v>4</v>
      </c>
      <c r="R101" s="950"/>
      <c r="S101" s="950"/>
      <c r="T101" s="950"/>
      <c r="U101" s="951"/>
      <c r="V101" s="1350"/>
      <c r="W101" s="1350"/>
      <c r="X101" s="1350"/>
      <c r="Y101" s="1350"/>
      <c r="Z101" s="1350"/>
      <c r="AA101" s="1350"/>
      <c r="AB101" s="1350"/>
      <c r="AC101" s="1350"/>
      <c r="AD101" s="1350"/>
      <c r="AE101" s="1350"/>
      <c r="AF101" s="1350"/>
      <c r="AG101" s="1350"/>
      <c r="AH101" s="1350"/>
      <c r="AI101" s="1350"/>
      <c r="AJ101" s="1350"/>
      <c r="AK101" s="1350"/>
      <c r="AL101" s="1350"/>
      <c r="AM101" s="1350"/>
      <c r="AN101" s="1350"/>
      <c r="AO101" s="1350"/>
      <c r="AP101" s="1350"/>
      <c r="AQ101" s="1350"/>
      <c r="AR101" s="1350"/>
      <c r="AS101" s="1350"/>
      <c r="AT101" s="1350"/>
      <c r="AU101" s="1350"/>
      <c r="AV101" s="1350"/>
      <c r="AW101" s="1350"/>
      <c r="AX101" s="1350"/>
      <c r="AY101" s="1350"/>
      <c r="AZ101" s="1350"/>
      <c r="BA101" s="1350"/>
      <c r="BB101" s="1350"/>
      <c r="BC101" s="1350"/>
      <c r="BD101" s="1350"/>
      <c r="BE101" s="1350"/>
      <c r="BF101" s="1350"/>
    </row>
    <row r="102" spans="1:58">
      <c r="A102" s="1327" t="s">
        <v>16</v>
      </c>
      <c r="B102" s="1132">
        <v>1098</v>
      </c>
      <c r="C102" s="549">
        <v>70334991</v>
      </c>
      <c r="D102" s="1181">
        <v>24</v>
      </c>
      <c r="E102" s="997">
        <v>1544.11</v>
      </c>
      <c r="F102" s="146">
        <v>108789830.3363</v>
      </c>
      <c r="G102" s="689">
        <v>36</v>
      </c>
      <c r="H102" s="877">
        <v>1548.18</v>
      </c>
      <c r="I102" s="146">
        <v>109646566.75</v>
      </c>
      <c r="J102" s="878">
        <v>36</v>
      </c>
      <c r="K102" s="221">
        <v>1.41</v>
      </c>
      <c r="L102" s="222">
        <v>1.5589191836251199</v>
      </c>
      <c r="M102" s="1148">
        <v>7</v>
      </c>
      <c r="N102" s="1008">
        <v>16</v>
      </c>
      <c r="O102" s="1008">
        <v>12</v>
      </c>
      <c r="P102" s="1008">
        <v>1</v>
      </c>
      <c r="Q102" s="1106">
        <v>0</v>
      </c>
      <c r="R102" s="949"/>
      <c r="S102" s="949"/>
      <c r="T102" s="949"/>
      <c r="U102" s="930"/>
    </row>
    <row r="103" spans="1:58">
      <c r="A103" s="1329" t="s">
        <v>575</v>
      </c>
      <c r="B103" s="362">
        <v>1038</v>
      </c>
      <c r="C103" s="550">
        <v>66471814</v>
      </c>
      <c r="D103" s="1181">
        <v>18</v>
      </c>
      <c r="E103" s="999">
        <v>468.95</v>
      </c>
      <c r="F103" s="363">
        <v>32500661.02</v>
      </c>
      <c r="G103" s="366">
        <v>11</v>
      </c>
      <c r="H103" s="364">
        <v>506.11</v>
      </c>
      <c r="I103" s="363">
        <v>35926557.340000004</v>
      </c>
      <c r="J103" s="365">
        <v>12</v>
      </c>
      <c r="K103" s="360">
        <v>0.48758188824662801</v>
      </c>
      <c r="L103" s="361">
        <v>0.54047806398062204</v>
      </c>
      <c r="M103" s="1148">
        <v>3</v>
      </c>
      <c r="N103" s="1008">
        <v>4</v>
      </c>
      <c r="O103" s="1008">
        <v>5</v>
      </c>
      <c r="P103" s="1008">
        <v>0</v>
      </c>
      <c r="Q103" s="1106">
        <v>0</v>
      </c>
      <c r="R103" s="949"/>
      <c r="S103" s="949"/>
      <c r="T103" s="949"/>
      <c r="U103" s="930"/>
    </row>
    <row r="104" spans="1:58">
      <c r="A104" s="1331" t="s">
        <v>114</v>
      </c>
      <c r="B104" s="1177">
        <v>2136</v>
      </c>
      <c r="C104" s="1178">
        <v>136806805</v>
      </c>
      <c r="D104" s="1123">
        <v>42</v>
      </c>
      <c r="E104" s="1171">
        <v>2013.06</v>
      </c>
      <c r="F104" s="1182">
        <v>141290491.3563</v>
      </c>
      <c r="G104" s="1166">
        <v>47</v>
      </c>
      <c r="H104" s="1173">
        <v>2054.29</v>
      </c>
      <c r="I104" s="1182">
        <v>145573124.09</v>
      </c>
      <c r="J104" s="1182">
        <v>48</v>
      </c>
      <c r="K104" s="1183">
        <v>0.96174625468164798</v>
      </c>
      <c r="L104" s="1184">
        <v>1.0640780923872899</v>
      </c>
      <c r="M104" s="906">
        <v>10</v>
      </c>
      <c r="N104" s="1123">
        <v>20</v>
      </c>
      <c r="O104" s="1123">
        <v>17</v>
      </c>
      <c r="P104" s="1123">
        <v>1</v>
      </c>
      <c r="Q104" s="1167">
        <v>0</v>
      </c>
      <c r="R104" s="949"/>
      <c r="S104" s="949"/>
      <c r="T104" s="949"/>
      <c r="U104" s="930"/>
    </row>
    <row r="105" spans="1:58">
      <c r="A105" s="103"/>
      <c r="B105" s="65"/>
      <c r="C105" s="65"/>
      <c r="D105" s="65"/>
      <c r="E105" s="65"/>
      <c r="F105" s="949"/>
      <c r="G105" s="65"/>
      <c r="H105" s="65"/>
      <c r="I105" s="949"/>
      <c r="J105" s="65"/>
      <c r="K105" s="65"/>
      <c r="L105" s="65"/>
      <c r="M105" s="949"/>
      <c r="N105" s="65"/>
      <c r="O105" s="949"/>
      <c r="P105" s="949"/>
      <c r="Q105" s="86"/>
      <c r="R105" s="949"/>
      <c r="S105" s="949"/>
      <c r="T105" s="949"/>
      <c r="U105" s="930"/>
    </row>
    <row r="106" spans="1:58">
      <c r="A106" s="103"/>
      <c r="B106" s="65"/>
      <c r="C106" s="65"/>
      <c r="D106" s="65"/>
      <c r="E106" s="65"/>
      <c r="F106" s="949"/>
      <c r="G106" s="65"/>
      <c r="H106" s="65"/>
      <c r="I106" s="949"/>
      <c r="J106" s="65"/>
      <c r="K106" s="65"/>
      <c r="L106" s="65"/>
      <c r="M106" s="949"/>
      <c r="N106" s="65"/>
      <c r="O106" s="949"/>
      <c r="P106" s="949"/>
      <c r="Q106" s="86"/>
      <c r="R106" s="949"/>
      <c r="S106" s="949"/>
      <c r="T106" s="949"/>
      <c r="U106" s="930"/>
    </row>
    <row r="107" spans="1:58">
      <c r="A107" s="103"/>
      <c r="B107" s="65"/>
      <c r="C107" s="65"/>
      <c r="D107" s="65"/>
      <c r="E107" s="65"/>
      <c r="F107" s="949"/>
      <c r="G107" s="65"/>
      <c r="H107" s="65"/>
      <c r="I107" s="949"/>
      <c r="J107" s="65"/>
      <c r="K107" s="65"/>
      <c r="L107" s="65"/>
      <c r="M107" s="949"/>
      <c r="N107" s="65"/>
      <c r="O107" s="949"/>
      <c r="P107" s="949"/>
      <c r="Q107" s="86"/>
      <c r="R107" s="949"/>
      <c r="S107" s="949"/>
      <c r="T107" s="949"/>
      <c r="U107" s="930"/>
    </row>
    <row r="108" spans="1:58">
      <c r="A108" s="103"/>
      <c r="B108" s="65"/>
      <c r="C108" s="65"/>
      <c r="D108" s="65"/>
      <c r="E108" s="65"/>
      <c r="F108" s="949"/>
      <c r="G108" s="65"/>
      <c r="H108" s="65"/>
      <c r="I108" s="949"/>
      <c r="J108" s="65"/>
      <c r="K108" s="65"/>
      <c r="L108" s="65"/>
      <c r="M108" s="949"/>
      <c r="N108" s="65"/>
      <c r="O108" s="949"/>
      <c r="P108" s="949"/>
      <c r="Q108" s="86"/>
      <c r="R108" s="949"/>
      <c r="S108" s="949"/>
      <c r="T108" s="949"/>
      <c r="U108" s="930"/>
    </row>
    <row r="109" spans="1:58">
      <c r="A109" s="103"/>
      <c r="B109" s="65"/>
      <c r="C109" s="65"/>
      <c r="D109" s="65"/>
      <c r="E109" s="65"/>
      <c r="F109" s="949"/>
      <c r="G109" s="65"/>
      <c r="H109" s="65"/>
      <c r="I109" s="949"/>
      <c r="J109" s="65"/>
      <c r="K109" s="65"/>
      <c r="L109" s="65"/>
      <c r="M109" s="949"/>
      <c r="N109" s="65"/>
      <c r="O109" s="949"/>
      <c r="P109" s="949"/>
      <c r="Q109" s="86"/>
      <c r="R109" s="949"/>
      <c r="S109" s="949"/>
      <c r="T109" s="949"/>
      <c r="U109" s="930"/>
    </row>
    <row r="110" spans="1:58">
      <c r="A110" s="103"/>
      <c r="B110" s="65"/>
      <c r="C110" s="65"/>
      <c r="D110" s="65"/>
      <c r="E110" s="65"/>
      <c r="F110" s="949"/>
      <c r="G110" s="65"/>
      <c r="H110" s="65"/>
      <c r="I110" s="949"/>
      <c r="J110" s="65"/>
      <c r="K110" s="65"/>
      <c r="L110" s="65"/>
      <c r="M110" s="949"/>
      <c r="N110" s="65"/>
      <c r="O110" s="949"/>
      <c r="P110" s="949"/>
      <c r="Q110" s="86"/>
      <c r="R110" s="949"/>
      <c r="S110" s="949"/>
      <c r="T110" s="949"/>
      <c r="U110" s="930"/>
    </row>
    <row r="111" spans="1:58">
      <c r="A111" s="103"/>
      <c r="B111" s="65"/>
      <c r="C111" s="65"/>
      <c r="D111" s="65"/>
      <c r="E111" s="65"/>
      <c r="F111" s="949"/>
      <c r="G111" s="65"/>
      <c r="H111" s="65"/>
      <c r="I111" s="949"/>
      <c r="J111" s="65"/>
      <c r="K111" s="65"/>
      <c r="L111" s="65"/>
      <c r="M111" s="949"/>
      <c r="N111" s="65"/>
      <c r="O111" s="949"/>
      <c r="P111" s="949"/>
      <c r="Q111" s="86"/>
      <c r="R111" s="949"/>
      <c r="S111" s="949"/>
      <c r="T111" s="949"/>
      <c r="U111" s="930"/>
    </row>
    <row r="112" spans="1:58">
      <c r="A112" s="103"/>
      <c r="B112" s="65"/>
      <c r="C112" s="65"/>
      <c r="D112" s="65"/>
      <c r="E112" s="65"/>
      <c r="F112" s="949"/>
      <c r="G112" s="65"/>
      <c r="H112" s="65"/>
      <c r="I112" s="949"/>
      <c r="J112" s="65"/>
      <c r="K112" s="65"/>
      <c r="L112" s="65"/>
      <c r="M112" s="949"/>
      <c r="N112" s="65"/>
      <c r="O112" s="949"/>
      <c r="P112" s="949"/>
      <c r="Q112" s="86"/>
      <c r="R112" s="949"/>
      <c r="S112" s="949"/>
      <c r="T112" s="949"/>
      <c r="U112" s="930"/>
    </row>
    <row r="113" spans="1:21">
      <c r="A113" s="103"/>
      <c r="B113" s="65"/>
      <c r="C113" s="65"/>
      <c r="D113" s="65"/>
      <c r="E113" s="65"/>
      <c r="F113" s="949"/>
      <c r="G113" s="65"/>
      <c r="H113" s="65"/>
      <c r="I113" s="949"/>
      <c r="J113" s="65"/>
      <c r="K113" s="65"/>
      <c r="L113" s="65"/>
      <c r="M113" s="949"/>
      <c r="N113" s="65"/>
      <c r="O113" s="949"/>
      <c r="P113" s="949"/>
      <c r="Q113" s="86"/>
      <c r="R113" s="949"/>
      <c r="S113" s="949"/>
      <c r="T113" s="949"/>
      <c r="U113" s="930"/>
    </row>
    <row r="114" spans="1:21">
      <c r="A114" s="103"/>
      <c r="B114" s="65"/>
      <c r="C114" s="65"/>
      <c r="D114" s="65"/>
      <c r="E114" s="65"/>
      <c r="F114" s="949"/>
      <c r="G114" s="65"/>
      <c r="H114" s="65"/>
      <c r="I114" s="949"/>
      <c r="J114" s="65"/>
      <c r="K114" s="65"/>
      <c r="L114" s="65"/>
      <c r="M114" s="949"/>
      <c r="N114" s="65"/>
      <c r="O114" s="949"/>
      <c r="P114" s="949"/>
      <c r="Q114" s="86"/>
      <c r="R114" s="949"/>
      <c r="S114" s="949"/>
      <c r="T114" s="949"/>
      <c r="U114" s="930"/>
    </row>
    <row r="115" spans="1:21">
      <c r="A115" s="103"/>
      <c r="B115" s="65"/>
      <c r="C115" s="65"/>
      <c r="D115" s="65"/>
      <c r="E115" s="65"/>
      <c r="F115" s="949"/>
      <c r="G115" s="65"/>
      <c r="H115" s="65"/>
      <c r="I115" s="949"/>
      <c r="J115" s="65"/>
      <c r="K115" s="65"/>
      <c r="L115" s="65"/>
      <c r="M115" s="949"/>
      <c r="N115" s="65"/>
      <c r="O115" s="949"/>
      <c r="P115" s="949"/>
      <c r="Q115" s="86"/>
      <c r="R115" s="949"/>
      <c r="S115" s="949"/>
      <c r="T115" s="949"/>
      <c r="U115" s="930"/>
    </row>
    <row r="116" spans="1:21">
      <c r="A116" s="103"/>
      <c r="B116" s="65"/>
      <c r="C116" s="65"/>
      <c r="D116" s="65"/>
      <c r="E116" s="65"/>
      <c r="F116" s="949"/>
      <c r="G116" s="65"/>
      <c r="H116" s="65"/>
      <c r="I116" s="949"/>
      <c r="J116" s="65"/>
      <c r="K116" s="65"/>
      <c r="L116" s="65"/>
      <c r="M116" s="949"/>
      <c r="N116" s="65"/>
      <c r="O116" s="949"/>
      <c r="P116" s="949"/>
      <c r="Q116" s="86"/>
      <c r="R116" s="949"/>
      <c r="S116" s="949"/>
      <c r="T116" s="949"/>
      <c r="U116" s="930"/>
    </row>
    <row r="117" spans="1:21">
      <c r="A117" s="103"/>
      <c r="B117" s="65"/>
      <c r="C117" s="65"/>
      <c r="D117" s="65"/>
      <c r="E117" s="65"/>
      <c r="F117" s="949"/>
      <c r="G117" s="65"/>
      <c r="H117" s="65"/>
      <c r="I117" s="949"/>
      <c r="J117" s="65"/>
      <c r="K117" s="65"/>
      <c r="L117" s="65"/>
      <c r="M117" s="949"/>
      <c r="N117" s="65"/>
      <c r="O117" s="949"/>
      <c r="P117" s="949"/>
      <c r="Q117" s="86"/>
      <c r="R117" s="949"/>
      <c r="S117" s="949"/>
      <c r="T117" s="949"/>
      <c r="U117" s="930"/>
    </row>
    <row r="118" spans="1:21">
      <c r="A118" s="103"/>
      <c r="B118" s="65"/>
      <c r="C118" s="65"/>
      <c r="D118" s="65"/>
      <c r="E118" s="65"/>
      <c r="F118" s="949"/>
      <c r="G118" s="65"/>
      <c r="H118" s="65"/>
      <c r="I118" s="949"/>
      <c r="J118" s="65"/>
      <c r="K118" s="65"/>
      <c r="L118" s="65"/>
      <c r="M118" s="949"/>
      <c r="N118" s="65"/>
      <c r="O118" s="949"/>
      <c r="P118" s="949"/>
      <c r="Q118" s="86"/>
      <c r="R118" s="949"/>
      <c r="S118" s="949"/>
      <c r="T118" s="949"/>
      <c r="U118" s="930"/>
    </row>
    <row r="119" spans="1:21">
      <c r="A119" s="103"/>
      <c r="B119" s="65"/>
      <c r="C119" s="65"/>
      <c r="D119" s="65"/>
      <c r="E119" s="65"/>
      <c r="F119" s="949"/>
      <c r="G119" s="65"/>
      <c r="H119" s="65"/>
      <c r="I119" s="949"/>
      <c r="J119" s="65"/>
      <c r="K119" s="65"/>
      <c r="L119" s="65"/>
      <c r="M119" s="949"/>
      <c r="N119" s="65"/>
      <c r="O119" s="949"/>
      <c r="P119" s="949"/>
      <c r="Q119" s="86"/>
      <c r="R119" s="949"/>
      <c r="S119" s="949"/>
      <c r="T119" s="949"/>
      <c r="U119" s="930"/>
    </row>
    <row r="120" spans="1:21">
      <c r="A120" s="103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T120" s="949"/>
      <c r="U120" s="930"/>
    </row>
    <row r="121" spans="1:21">
      <c r="A121" s="103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30"/>
    </row>
    <row r="122" spans="1:21">
      <c r="A122" s="103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30"/>
    </row>
    <row r="123" spans="1:21">
      <c r="A123" s="103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  <c r="U123" s="930"/>
    </row>
    <row r="124" spans="1:21">
      <c r="A124" s="103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30"/>
    </row>
    <row r="125" spans="1:21">
      <c r="A125" s="103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30"/>
    </row>
    <row r="126" spans="1:21">
      <c r="A126" s="103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30"/>
    </row>
    <row r="127" spans="1:21">
      <c r="A127" s="103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30"/>
    </row>
    <row r="128" spans="1:21">
      <c r="A128" s="103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30"/>
    </row>
    <row r="129" spans="1:21">
      <c r="A129" s="103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30"/>
    </row>
    <row r="130" spans="1:21">
      <c r="A130" s="103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30"/>
    </row>
    <row r="131" spans="1:21">
      <c r="A131" s="103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30"/>
    </row>
    <row r="132" spans="1:21">
      <c r="A132" s="103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30"/>
    </row>
    <row r="133" spans="1:21">
      <c r="A133" s="103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30"/>
    </row>
    <row r="134" spans="1:21">
      <c r="A134" s="103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30"/>
    </row>
    <row r="135" spans="1:21">
      <c r="A135" s="103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103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103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103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103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103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103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103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103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103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103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103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103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103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103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103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103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103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103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103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103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103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103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103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103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103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103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103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103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103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103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103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103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103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103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103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103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103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103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103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103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103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103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103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103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103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103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103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103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103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103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103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103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103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103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103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103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103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103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103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103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103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103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103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103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103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103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103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103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103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103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103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103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103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103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103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103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103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103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103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103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103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103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103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103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103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103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103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103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103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103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103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103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103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103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103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103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103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103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103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103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103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103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103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103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103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2">
      <c r="A241" s="103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2">
      <c r="A242" s="103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2">
      <c r="A243" s="103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2">
      <c r="A244" s="103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2">
      <c r="A245" s="103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2">
      <c r="A246" s="103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2">
      <c r="A247" s="103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  <c r="V247" s="1118" t="s">
        <v>830</v>
      </c>
    </row>
  </sheetData>
  <sheetProtection formatCells="0" formatColumns="0" formatRows="0" sort="0" autoFilter="0" pivotTables="0"/>
  <mergeCells count="7">
    <mergeCell ref="A93:B93"/>
    <mergeCell ref="D93:P93"/>
    <mergeCell ref="A1:S1"/>
    <mergeCell ref="A67:B67"/>
    <mergeCell ref="D67:P67"/>
    <mergeCell ref="A80:B80"/>
    <mergeCell ref="D80:P80"/>
  </mergeCells>
  <dataValidations count="1">
    <dataValidation type="list" allowBlank="1" showInputMessage="1" showErrorMessage="1" sqref="P4" xr:uid="{00000000-0002-0000-0C00-000000000000}">
      <formula1>#REF!</formula1>
    </dataValidation>
  </dataValidation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C00-000001000000}">
          <x14:formula1>
            <xm:f>Списки!$C$3:$C$7</xm:f>
          </x14:formula1>
          <xm:sqref>R48:T48 D3:D65 T51:T52 R3:S47 R49:S65</xm:sqref>
        </x14:dataValidation>
        <x14:dataValidation type="list" allowBlank="1" showInputMessage="1" showErrorMessage="1" xr:uid="{00000000-0002-0000-0C00-000002000000}">
          <x14:formula1>
            <xm:f>Списки!$D$2:$D$7</xm:f>
          </x14:formula1>
          <xm:sqref>F3:F65</xm:sqref>
        </x14:dataValidation>
        <x14:dataValidation type="list" allowBlank="1" showInputMessage="1" showErrorMessage="1" xr:uid="{00000000-0002-0000-0C00-000003000000}">
          <x14:formula1>
            <xm:f>Списки!$B$2:$B$5</xm:f>
          </x14:formula1>
          <xm:sqref>G3:G65</xm:sqref>
        </x14:dataValidation>
        <x14:dataValidation type="list" allowBlank="1" showInputMessage="1" showErrorMessage="1" xr:uid="{00000000-0002-0000-0C00-000004000000}">
          <x14:formula1>
            <xm:f>Списки!$E$2:$E$7</xm:f>
          </x14:formula1>
          <xm:sqref>H3:H65</xm:sqref>
        </x14:dataValidation>
        <x14:dataValidation type="list" allowBlank="1" showInputMessage="1" showErrorMessage="1" xr:uid="{00000000-0002-0000-0C00-000005000000}">
          <x14:formula1>
            <xm:f>Списки!$G$2:$G$3</xm:f>
          </x14:formula1>
          <xm:sqref>L3:L65</xm:sqref>
        </x14:dataValidation>
        <x14:dataValidation type="list" allowBlank="1" showInputMessage="1" showErrorMessage="1" xr:uid="{00000000-0002-0000-0C00-000006000000}">
          <x14:formula1>
            <xm:f>Списки!$F$2:$F$3</xm:f>
          </x14:formula1>
          <xm:sqref>N3:N65</xm:sqref>
        </x14:dataValidation>
        <x14:dataValidation type="list" allowBlank="1" showInputMessage="1" showErrorMessage="1" xr:uid="{00000000-0002-0000-0C00-000007000000}">
          <x14:formula1>
            <xm:f>Списки!$C$3:$C$10</xm:f>
          </x14:formula1>
          <xm:sqref>T3:T47 T49:T50 T53:T65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CL239"/>
  <sheetViews>
    <sheetView topLeftCell="A62" zoomScale="85" zoomScaleNormal="85" workbookViewId="0">
      <selection activeCell="F122" sqref="F122"/>
    </sheetView>
  </sheetViews>
  <sheetFormatPr defaultColWidth="9.140625" defaultRowHeight="12.75" outlineLevelRow="1"/>
  <cols>
    <col min="1" max="1" width="11.7109375" style="931" customWidth="1"/>
    <col min="2" max="2" width="8.42578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7.2851562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7.85546875" style="931" customWidth="1"/>
    <col min="15" max="15" width="25.5703125" style="931" customWidth="1"/>
    <col min="16" max="16" width="21.42578125" style="931" customWidth="1"/>
    <col min="17" max="17" width="30.85546875" style="931" customWidth="1"/>
    <col min="18" max="18" width="17.5703125" style="931" customWidth="1"/>
    <col min="19" max="19" width="12.5703125" style="931" customWidth="1"/>
    <col min="20" max="20" width="10.85546875" style="931" customWidth="1"/>
    <col min="21" max="21" width="14.28515625" style="43" customWidth="1"/>
    <col min="22" max="82" width="9.140625" style="931"/>
    <col min="83" max="90" width="9.140625" style="1118"/>
    <col min="91" max="16384" width="9.140625" style="931"/>
  </cols>
  <sheetData>
    <row r="1" spans="1:90">
      <c r="A1" s="2297">
        <v>44592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90" s="949" customFormat="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  <c r="CE2" s="1348"/>
      <c r="CF2" s="1348"/>
      <c r="CG2" s="1348"/>
      <c r="CH2" s="1348"/>
      <c r="CI2" s="1348"/>
      <c r="CJ2" s="1348"/>
      <c r="CK2" s="1348"/>
      <c r="CL2" s="1348"/>
    </row>
    <row r="3" spans="1:90" hidden="1" outlineLevel="1">
      <c r="A3" s="62">
        <v>1</v>
      </c>
      <c r="B3" s="62">
        <v>268</v>
      </c>
      <c r="C3" s="62">
        <v>17698</v>
      </c>
      <c r="D3" s="117" t="s">
        <v>63</v>
      </c>
      <c r="E3" s="62">
        <v>23.63</v>
      </c>
      <c r="F3" s="945" t="s">
        <v>25</v>
      </c>
      <c r="G3" s="117" t="s">
        <v>27</v>
      </c>
      <c r="H3" s="117" t="s">
        <v>16</v>
      </c>
      <c r="I3" s="95">
        <v>2206675.2599999998</v>
      </c>
      <c r="J3" s="62">
        <v>0</v>
      </c>
      <c r="K3" s="117" t="s">
        <v>65</v>
      </c>
      <c r="L3" s="117" t="s">
        <v>12</v>
      </c>
      <c r="M3" s="92">
        <v>44576</v>
      </c>
      <c r="N3" s="117" t="s">
        <v>17</v>
      </c>
      <c r="O3" s="117" t="s">
        <v>831</v>
      </c>
      <c r="P3" s="892" t="s">
        <v>67</v>
      </c>
      <c r="Q3" s="892" t="s">
        <v>67</v>
      </c>
      <c r="R3" s="892" t="s">
        <v>63</v>
      </c>
      <c r="S3" s="117" t="s">
        <v>63</v>
      </c>
      <c r="T3" s="117" t="s">
        <v>63</v>
      </c>
      <c r="U3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</row>
    <row r="4" spans="1:90" ht="11.25" hidden="1" customHeight="1" outlineLevel="1">
      <c r="A4" s="62">
        <v>2</v>
      </c>
      <c r="B4" s="62">
        <v>881</v>
      </c>
      <c r="C4" s="75">
        <v>18008.177110000001</v>
      </c>
      <c r="D4" s="62" t="s">
        <v>63</v>
      </c>
      <c r="E4" s="62">
        <v>54.28</v>
      </c>
      <c r="F4" s="941" t="s">
        <v>9</v>
      </c>
      <c r="G4" s="62" t="s">
        <v>27</v>
      </c>
      <c r="H4" s="62" t="s">
        <v>16</v>
      </c>
      <c r="I4" s="91">
        <v>3610198.78</v>
      </c>
      <c r="J4" s="62">
        <v>2</v>
      </c>
      <c r="K4" s="62" t="s">
        <v>65</v>
      </c>
      <c r="L4" s="62" t="s">
        <v>18</v>
      </c>
      <c r="M4" s="1231">
        <v>44582</v>
      </c>
      <c r="N4" s="117" t="s">
        <v>17</v>
      </c>
      <c r="O4" s="62" t="s">
        <v>801</v>
      </c>
      <c r="P4" s="892" t="s">
        <v>67</v>
      </c>
      <c r="Q4" s="892" t="s">
        <v>67</v>
      </c>
      <c r="R4" s="892" t="s">
        <v>63</v>
      </c>
      <c r="S4" s="117" t="s">
        <v>63</v>
      </c>
      <c r="T4" s="117" t="s">
        <v>63</v>
      </c>
      <c r="U4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3610198.7799999993</v>
      </c>
    </row>
    <row r="5" spans="1:90" s="929" customFormat="1" hidden="1" outlineLevel="1">
      <c r="A5" s="62">
        <v>3</v>
      </c>
      <c r="B5" s="62">
        <v>20</v>
      </c>
      <c r="C5" s="62">
        <v>18315</v>
      </c>
      <c r="D5" s="62" t="s">
        <v>20</v>
      </c>
      <c r="E5" s="62">
        <v>37.94</v>
      </c>
      <c r="F5" s="941" t="s">
        <v>15</v>
      </c>
      <c r="G5" s="62" t="s">
        <v>27</v>
      </c>
      <c r="H5" s="62" t="s">
        <v>16</v>
      </c>
      <c r="I5" s="95">
        <v>2851883.37</v>
      </c>
      <c r="J5" s="62">
        <v>1</v>
      </c>
      <c r="K5" s="62" t="s">
        <v>65</v>
      </c>
      <c r="L5" s="117" t="s">
        <v>18</v>
      </c>
      <c r="M5" s="1232">
        <v>44579</v>
      </c>
      <c r="N5" s="117" t="s">
        <v>17</v>
      </c>
      <c r="O5" s="941" t="s">
        <v>218</v>
      </c>
      <c r="P5" s="892" t="s">
        <v>67</v>
      </c>
      <c r="Q5" s="892" t="s">
        <v>67</v>
      </c>
      <c r="R5" s="892" t="s">
        <v>20</v>
      </c>
      <c r="S5" s="117" t="s">
        <v>20</v>
      </c>
      <c r="T5" s="117" t="s">
        <v>73</v>
      </c>
      <c r="U5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2643213.37</v>
      </c>
      <c r="V5" s="931"/>
      <c r="W5" s="931"/>
      <c r="X5" s="931"/>
      <c r="Y5" s="931"/>
      <c r="Z5" s="931"/>
      <c r="AA5" s="931"/>
      <c r="AB5" s="931"/>
      <c r="AC5" s="931"/>
      <c r="AD5" s="931"/>
      <c r="AE5" s="931"/>
      <c r="AF5" s="931"/>
      <c r="AG5" s="931"/>
      <c r="AH5" s="931"/>
      <c r="AI5" s="931"/>
      <c r="AJ5" s="931"/>
      <c r="AK5" s="931"/>
      <c r="AL5" s="931"/>
      <c r="AM5" s="931"/>
      <c r="AN5" s="931"/>
      <c r="AO5" s="931"/>
      <c r="AP5" s="931"/>
      <c r="AQ5" s="931"/>
      <c r="AR5" s="931"/>
      <c r="AS5" s="931"/>
      <c r="AT5" s="931"/>
      <c r="AU5" s="931"/>
      <c r="AV5" s="931"/>
      <c r="AW5" s="931"/>
      <c r="AX5" s="931"/>
      <c r="AY5" s="931"/>
      <c r="AZ5" s="931"/>
      <c r="BA5" s="931"/>
      <c r="BB5" s="931"/>
      <c r="BC5" s="931"/>
      <c r="BD5" s="931"/>
      <c r="BE5" s="931"/>
      <c r="BF5" s="931"/>
      <c r="BG5" s="931"/>
      <c r="BH5" s="931"/>
      <c r="BI5" s="931"/>
      <c r="BJ5" s="931"/>
      <c r="BK5" s="931"/>
      <c r="BL5" s="931"/>
      <c r="BM5" s="931"/>
      <c r="BN5" s="931"/>
      <c r="BO5" s="931"/>
      <c r="BP5" s="931"/>
      <c r="BQ5" s="931"/>
      <c r="BR5" s="931"/>
      <c r="BS5" s="931"/>
      <c r="BT5" s="931"/>
      <c r="BU5" s="931"/>
      <c r="BV5" s="931"/>
      <c r="BW5" s="931"/>
      <c r="BX5" s="931"/>
      <c r="BY5" s="931"/>
      <c r="BZ5" s="931"/>
      <c r="CA5" s="931"/>
      <c r="CB5" s="931"/>
      <c r="CC5" s="931"/>
      <c r="CD5" s="931"/>
      <c r="CE5" s="1118"/>
      <c r="CF5" s="1118"/>
      <c r="CG5" s="1118"/>
      <c r="CH5" s="1118"/>
      <c r="CI5" s="1118"/>
      <c r="CJ5" s="1118"/>
      <c r="CK5" s="1118"/>
      <c r="CL5" s="1118"/>
    </row>
    <row r="6" spans="1:90" s="929" customFormat="1" ht="11.25" hidden="1" customHeight="1" outlineLevel="1">
      <c r="A6" s="62">
        <v>4</v>
      </c>
      <c r="B6" s="62">
        <v>652</v>
      </c>
      <c r="C6" s="62">
        <v>17607</v>
      </c>
      <c r="D6" s="62" t="s">
        <v>73</v>
      </c>
      <c r="E6" s="62">
        <v>56.33</v>
      </c>
      <c r="F6" s="62" t="s">
        <v>9</v>
      </c>
      <c r="G6" s="62" t="s">
        <v>27</v>
      </c>
      <c r="H6" s="62" t="s">
        <v>84</v>
      </c>
      <c r="I6" s="95">
        <v>4144616.07</v>
      </c>
      <c r="J6" s="62">
        <v>2</v>
      </c>
      <c r="K6" s="62" t="s">
        <v>85</v>
      </c>
      <c r="L6" s="117" t="s">
        <v>12</v>
      </c>
      <c r="M6" s="92">
        <v>44588</v>
      </c>
      <c r="N6" s="117" t="s">
        <v>11</v>
      </c>
      <c r="O6" s="62" t="s">
        <v>832</v>
      </c>
      <c r="P6" s="892" t="s">
        <v>67</v>
      </c>
      <c r="Q6" s="892" t="s">
        <v>67</v>
      </c>
      <c r="R6" s="892" t="s">
        <v>73</v>
      </c>
      <c r="S6" s="117" t="s">
        <v>73</v>
      </c>
      <c r="T6" s="117" t="s">
        <v>73</v>
      </c>
      <c r="U6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4144616.0699999994</v>
      </c>
      <c r="V6" s="931"/>
      <c r="W6" s="931"/>
      <c r="X6" s="931"/>
      <c r="Y6" s="931"/>
      <c r="Z6" s="931"/>
      <c r="AA6" s="931"/>
      <c r="AB6" s="931"/>
      <c r="AC6" s="931"/>
      <c r="AD6" s="931"/>
      <c r="AE6" s="931"/>
      <c r="AF6" s="931"/>
      <c r="AG6" s="931"/>
      <c r="AH6" s="931"/>
      <c r="AI6" s="931"/>
      <c r="AJ6" s="931"/>
      <c r="AK6" s="931"/>
      <c r="AL6" s="931"/>
      <c r="AM6" s="931"/>
      <c r="AN6" s="931"/>
      <c r="AO6" s="931"/>
      <c r="AP6" s="931"/>
      <c r="AQ6" s="931"/>
      <c r="AR6" s="931"/>
      <c r="AS6" s="931"/>
      <c r="AT6" s="931"/>
      <c r="AU6" s="931"/>
      <c r="AV6" s="931"/>
      <c r="AW6" s="931"/>
      <c r="AX6" s="931"/>
      <c r="AY6" s="931"/>
      <c r="AZ6" s="931"/>
      <c r="BA6" s="931"/>
      <c r="BB6" s="931"/>
      <c r="BC6" s="931"/>
      <c r="BD6" s="931"/>
      <c r="BE6" s="931"/>
      <c r="BF6" s="931"/>
      <c r="BG6" s="931"/>
      <c r="BH6" s="931"/>
      <c r="BI6" s="931"/>
      <c r="BJ6" s="931"/>
      <c r="BK6" s="931"/>
      <c r="BL6" s="931"/>
      <c r="BM6" s="931"/>
      <c r="BN6" s="931"/>
      <c r="BO6" s="931"/>
      <c r="BP6" s="931"/>
      <c r="BQ6" s="931"/>
      <c r="BR6" s="931"/>
      <c r="BS6" s="931"/>
      <c r="BT6" s="931"/>
      <c r="BU6" s="931"/>
      <c r="BV6" s="931"/>
      <c r="BW6" s="931"/>
      <c r="BX6" s="931"/>
      <c r="BY6" s="931"/>
      <c r="BZ6" s="931"/>
      <c r="CA6" s="931"/>
      <c r="CB6" s="931"/>
      <c r="CC6" s="931"/>
      <c r="CD6" s="931"/>
      <c r="CE6" s="1118"/>
      <c r="CF6" s="1118"/>
      <c r="CG6" s="1118"/>
      <c r="CH6" s="1118"/>
      <c r="CI6" s="1118"/>
      <c r="CJ6" s="1118"/>
      <c r="CK6" s="1118"/>
      <c r="CL6" s="1118"/>
    </row>
    <row r="7" spans="1:90" ht="11.25" hidden="1" customHeight="1" outlineLevel="1">
      <c r="A7" s="62">
        <v>5</v>
      </c>
      <c r="B7" s="62">
        <v>131</v>
      </c>
      <c r="C7" s="62">
        <v>17981</v>
      </c>
      <c r="D7" s="62" t="s">
        <v>73</v>
      </c>
      <c r="E7" s="62">
        <v>36.42</v>
      </c>
      <c r="F7" s="62" t="s">
        <v>15</v>
      </c>
      <c r="G7" s="62" t="s">
        <v>121</v>
      </c>
      <c r="H7" s="62" t="s">
        <v>16</v>
      </c>
      <c r="I7" s="95">
        <v>3224586.75</v>
      </c>
      <c r="J7" s="62">
        <v>1</v>
      </c>
      <c r="K7" s="62" t="s">
        <v>65</v>
      </c>
      <c r="L7" s="117" t="s">
        <v>18</v>
      </c>
      <c r="M7" s="92">
        <v>44573</v>
      </c>
      <c r="N7" s="117" t="s">
        <v>17</v>
      </c>
      <c r="O7" s="62" t="s">
        <v>833</v>
      </c>
      <c r="P7" s="892" t="s">
        <v>67</v>
      </c>
      <c r="Q7" s="1347" t="s">
        <v>67</v>
      </c>
      <c r="R7" s="892" t="s">
        <v>73</v>
      </c>
      <c r="S7" s="117" t="s">
        <v>73</v>
      </c>
      <c r="T7" s="117" t="s">
        <v>73</v>
      </c>
      <c r="U7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3024276.75</v>
      </c>
    </row>
    <row r="8" spans="1:90" s="929" customFormat="1" ht="11.25" hidden="1" customHeight="1" outlineLevel="1">
      <c r="A8" s="62">
        <v>6</v>
      </c>
      <c r="B8" s="62">
        <v>854</v>
      </c>
      <c r="C8" s="62">
        <v>15550</v>
      </c>
      <c r="D8" s="117" t="s">
        <v>471</v>
      </c>
      <c r="E8" s="62">
        <v>54.28</v>
      </c>
      <c r="F8" s="117" t="s">
        <v>15</v>
      </c>
      <c r="G8" s="117" t="s">
        <v>27</v>
      </c>
      <c r="H8" s="117"/>
      <c r="I8" s="95">
        <v>3908738.78</v>
      </c>
      <c r="J8" s="62">
        <v>2</v>
      </c>
      <c r="K8" s="117" t="s">
        <v>85</v>
      </c>
      <c r="L8" s="117" t="s">
        <v>12</v>
      </c>
      <c r="M8" s="92">
        <v>44586</v>
      </c>
      <c r="N8" s="117" t="s">
        <v>11</v>
      </c>
      <c r="O8" s="117" t="s">
        <v>834</v>
      </c>
      <c r="P8" s="892" t="s">
        <v>67</v>
      </c>
      <c r="Q8" s="892" t="s">
        <v>67</v>
      </c>
      <c r="R8" s="892" t="s">
        <v>471</v>
      </c>
      <c r="S8" s="117" t="s">
        <v>471</v>
      </c>
      <c r="T8" s="117" t="s">
        <v>471</v>
      </c>
      <c r="U8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3610198.7799999993</v>
      </c>
      <c r="V8" s="931"/>
      <c r="W8" s="931"/>
      <c r="X8" s="931"/>
      <c r="Y8" s="931"/>
      <c r="Z8" s="931"/>
      <c r="AA8" s="931"/>
      <c r="AB8" s="931"/>
      <c r="AC8" s="931"/>
      <c r="AD8" s="931"/>
      <c r="AE8" s="931"/>
      <c r="AF8" s="931"/>
      <c r="AG8" s="931"/>
      <c r="AH8" s="931"/>
      <c r="AI8" s="931"/>
      <c r="AJ8" s="931"/>
      <c r="AK8" s="931"/>
      <c r="AL8" s="931"/>
      <c r="AM8" s="931"/>
      <c r="AN8" s="931"/>
      <c r="AO8" s="931"/>
      <c r="AP8" s="931"/>
      <c r="AQ8" s="931"/>
      <c r="AR8" s="931"/>
      <c r="AS8" s="931"/>
      <c r="AT8" s="931"/>
      <c r="AU8" s="931"/>
      <c r="AV8" s="931"/>
      <c r="AW8" s="931"/>
      <c r="AX8" s="931"/>
      <c r="AY8" s="931"/>
      <c r="AZ8" s="931"/>
      <c r="BA8" s="931"/>
      <c r="BB8" s="931"/>
      <c r="BC8" s="931"/>
      <c r="BD8" s="931"/>
      <c r="BE8" s="931"/>
      <c r="BF8" s="931"/>
      <c r="BG8" s="931"/>
      <c r="BH8" s="931"/>
      <c r="BI8" s="931"/>
      <c r="BJ8" s="931"/>
      <c r="BK8" s="931"/>
      <c r="BL8" s="931"/>
      <c r="BM8" s="931"/>
      <c r="BN8" s="931"/>
      <c r="BO8" s="931"/>
      <c r="BP8" s="931"/>
      <c r="BQ8" s="931"/>
      <c r="BR8" s="931"/>
      <c r="BS8" s="931"/>
      <c r="BT8" s="931"/>
      <c r="BU8" s="931"/>
      <c r="BV8" s="931"/>
      <c r="BW8" s="931"/>
      <c r="BX8" s="931"/>
      <c r="BY8" s="931"/>
      <c r="BZ8" s="931"/>
      <c r="CA8" s="931"/>
      <c r="CB8" s="931"/>
      <c r="CC8" s="931"/>
      <c r="CD8" s="931"/>
      <c r="CE8" s="1118"/>
      <c r="CF8" s="1118"/>
      <c r="CG8" s="1118"/>
      <c r="CH8" s="1118"/>
      <c r="CI8" s="1118"/>
      <c r="CJ8" s="1118"/>
      <c r="CK8" s="1118"/>
      <c r="CL8" s="1118"/>
    </row>
    <row r="9" spans="1:90" ht="11.25" hidden="1" customHeight="1" outlineLevel="1">
      <c r="A9" s="62">
        <v>7</v>
      </c>
      <c r="B9" s="62">
        <v>845</v>
      </c>
      <c r="C9" s="62">
        <v>18398</v>
      </c>
      <c r="D9" s="117" t="s">
        <v>471</v>
      </c>
      <c r="E9" s="62">
        <v>54.28</v>
      </c>
      <c r="F9" s="117" t="s">
        <v>9</v>
      </c>
      <c r="G9" s="117" t="s">
        <v>27</v>
      </c>
      <c r="H9" s="117" t="s">
        <v>575</v>
      </c>
      <c r="I9" s="95">
        <v>3610198.78</v>
      </c>
      <c r="J9" s="62">
        <v>2</v>
      </c>
      <c r="K9" s="117" t="s">
        <v>65</v>
      </c>
      <c r="L9" s="117" t="s">
        <v>18</v>
      </c>
      <c r="M9" s="92">
        <v>44575</v>
      </c>
      <c r="N9" s="117" t="s">
        <v>17</v>
      </c>
      <c r="O9" s="117" t="s">
        <v>835</v>
      </c>
      <c r="P9" s="892" t="s">
        <v>67</v>
      </c>
      <c r="Q9" s="892" t="s">
        <v>67</v>
      </c>
      <c r="R9" s="892" t="s">
        <v>471</v>
      </c>
      <c r="S9" s="117" t="s">
        <v>471</v>
      </c>
      <c r="T9" s="117" t="s">
        <v>471</v>
      </c>
      <c r="U9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3610198.7799999993</v>
      </c>
    </row>
    <row r="10" spans="1:90" ht="12" hidden="1" customHeight="1" outlineLevel="1">
      <c r="A10" s="62">
        <v>8</v>
      </c>
      <c r="B10" s="62">
        <v>119</v>
      </c>
      <c r="C10" s="62">
        <v>18548</v>
      </c>
      <c r="D10" s="117" t="s">
        <v>471</v>
      </c>
      <c r="E10" s="62">
        <v>58.17</v>
      </c>
      <c r="F10" s="117" t="s">
        <v>9</v>
      </c>
      <c r="G10" s="117" t="s">
        <v>121</v>
      </c>
      <c r="H10" s="117" t="s">
        <v>16</v>
      </c>
      <c r="I10" s="95">
        <v>4467632.55</v>
      </c>
      <c r="J10" s="62">
        <v>2</v>
      </c>
      <c r="K10" s="117" t="s">
        <v>65</v>
      </c>
      <c r="L10" s="117" t="s">
        <v>18</v>
      </c>
      <c r="M10" s="92">
        <v>44573</v>
      </c>
      <c r="N10" s="117" t="s">
        <v>17</v>
      </c>
      <c r="O10" s="117" t="s">
        <v>836</v>
      </c>
      <c r="P10" s="892" t="s">
        <v>67</v>
      </c>
      <c r="Q10" s="892" t="s">
        <v>67</v>
      </c>
      <c r="R10" s="892" t="s">
        <v>471</v>
      </c>
      <c r="S10" s="117" t="s">
        <v>471</v>
      </c>
      <c r="T10" s="117" t="s">
        <v>471</v>
      </c>
      <c r="U10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4467632.55</v>
      </c>
    </row>
    <row r="11" spans="1:90" s="929" customFormat="1" ht="11.25" hidden="1" customHeight="1" outlineLevel="1">
      <c r="A11" s="62">
        <v>9</v>
      </c>
      <c r="B11" s="62">
        <v>631</v>
      </c>
      <c r="C11" s="62">
        <v>18459</v>
      </c>
      <c r="D11" s="117" t="s">
        <v>471</v>
      </c>
      <c r="E11" s="62">
        <v>55.8</v>
      </c>
      <c r="F11" s="117" t="s">
        <v>15</v>
      </c>
      <c r="G11" s="117" t="s">
        <v>27</v>
      </c>
      <c r="H11" s="117" t="s">
        <v>16</v>
      </c>
      <c r="I11" s="95">
        <v>3879568.66</v>
      </c>
      <c r="J11" s="62">
        <v>2</v>
      </c>
      <c r="K11" s="117" t="s">
        <v>65</v>
      </c>
      <c r="L11" s="117" t="s">
        <v>18</v>
      </c>
      <c r="M11" s="92">
        <v>44589</v>
      </c>
      <c r="N11" s="117" t="s">
        <v>17</v>
      </c>
      <c r="O11" s="117" t="s">
        <v>837</v>
      </c>
      <c r="P11" s="892" t="s">
        <v>67</v>
      </c>
      <c r="Q11" s="892" t="s">
        <v>67</v>
      </c>
      <c r="R11" s="892" t="s">
        <v>471</v>
      </c>
      <c r="S11" s="117" t="s">
        <v>471</v>
      </c>
      <c r="T11" s="117" t="s">
        <v>471</v>
      </c>
      <c r="U11" s="946">
        <v>3572668.66</v>
      </c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1118"/>
      <c r="CF11" s="1118"/>
      <c r="CG11" s="1118"/>
      <c r="CH11" s="1118"/>
      <c r="CI11" s="1118"/>
      <c r="CJ11" s="1118"/>
      <c r="CK11" s="1118"/>
      <c r="CL11" s="1118"/>
    </row>
    <row r="12" spans="1:90" ht="10.5" hidden="1" customHeight="1" outlineLevel="1">
      <c r="A12" s="62">
        <v>10</v>
      </c>
      <c r="B12" s="62">
        <v>96</v>
      </c>
      <c r="C12" s="62">
        <v>18592</v>
      </c>
      <c r="D12" s="117" t="s">
        <v>471</v>
      </c>
      <c r="E12" s="62">
        <v>36.42</v>
      </c>
      <c r="F12" s="117" t="s">
        <v>9</v>
      </c>
      <c r="G12" s="117" t="s">
        <v>121</v>
      </c>
      <c r="H12" s="117" t="s">
        <v>16</v>
      </c>
      <c r="I12" s="95">
        <v>2861571.88</v>
      </c>
      <c r="J12" s="62">
        <v>1</v>
      </c>
      <c r="K12" s="1310" t="s">
        <v>65</v>
      </c>
      <c r="L12" s="117" t="s">
        <v>18</v>
      </c>
      <c r="M12" s="92">
        <v>44573</v>
      </c>
      <c r="N12" s="117" t="s">
        <v>17</v>
      </c>
      <c r="O12" s="117" t="s">
        <v>838</v>
      </c>
      <c r="P12" s="892" t="s">
        <v>67</v>
      </c>
      <c r="Q12" s="892" t="s">
        <v>67</v>
      </c>
      <c r="R12" s="892" t="s">
        <v>471</v>
      </c>
      <c r="S12" s="117" t="s">
        <v>471</v>
      </c>
      <c r="T12" s="117" t="s">
        <v>471</v>
      </c>
      <c r="U12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2861571.88</v>
      </c>
    </row>
    <row r="13" spans="1:90" ht="10.5" hidden="1" customHeight="1" outlineLevel="1">
      <c r="A13" s="62">
        <v>11</v>
      </c>
      <c r="B13" s="62">
        <v>554</v>
      </c>
      <c r="C13" s="62">
        <v>18414</v>
      </c>
      <c r="D13" s="117" t="s">
        <v>73</v>
      </c>
      <c r="E13" s="62">
        <v>23.54</v>
      </c>
      <c r="F13" s="117" t="s">
        <v>15</v>
      </c>
      <c r="G13" s="117" t="s">
        <v>27</v>
      </c>
      <c r="H13" s="117" t="s">
        <v>84</v>
      </c>
      <c r="I13" s="95">
        <v>1951100.66</v>
      </c>
      <c r="J13" s="62">
        <v>0</v>
      </c>
      <c r="K13" s="117" t="s">
        <v>85</v>
      </c>
      <c r="L13" s="117" t="s">
        <v>18</v>
      </c>
      <c r="M13" s="92">
        <v>44573</v>
      </c>
      <c r="N13" s="117" t="s">
        <v>11</v>
      </c>
      <c r="O13" s="117" t="s">
        <v>839</v>
      </c>
      <c r="P13" s="941" t="s">
        <v>67</v>
      </c>
      <c r="Q13" s="892" t="s">
        <v>67</v>
      </c>
      <c r="R13" s="892" t="s">
        <v>73</v>
      </c>
      <c r="S13" s="117" t="s">
        <v>73</v>
      </c>
      <c r="T13" s="117" t="s">
        <v>73</v>
      </c>
      <c r="U13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1821630.6600000001</v>
      </c>
    </row>
    <row r="14" spans="1:90" ht="11.25" hidden="1" customHeight="1" outlineLevel="1">
      <c r="A14" s="62">
        <v>12</v>
      </c>
      <c r="B14" s="62">
        <v>568</v>
      </c>
      <c r="C14" s="62">
        <v>18490</v>
      </c>
      <c r="D14" s="62" t="s">
        <v>73</v>
      </c>
      <c r="E14" s="62">
        <v>82.27</v>
      </c>
      <c r="F14" s="117" t="s">
        <v>9</v>
      </c>
      <c r="G14" s="117" t="s">
        <v>27</v>
      </c>
      <c r="H14" s="117" t="s">
        <v>16</v>
      </c>
      <c r="I14" s="95">
        <v>4654990.4400000004</v>
      </c>
      <c r="J14" s="62">
        <v>3</v>
      </c>
      <c r="K14" s="62" t="s">
        <v>65</v>
      </c>
      <c r="L14" s="62" t="s">
        <v>18</v>
      </c>
      <c r="M14" s="942">
        <v>44573</v>
      </c>
      <c r="N14" s="117" t="s">
        <v>17</v>
      </c>
      <c r="O14" s="62" t="s">
        <v>840</v>
      </c>
      <c r="P14" s="892" t="s">
        <v>67</v>
      </c>
      <c r="Q14" s="892" t="s">
        <v>67</v>
      </c>
      <c r="R14" s="892" t="s">
        <v>73</v>
      </c>
      <c r="S14" s="117" t="s">
        <v>73</v>
      </c>
      <c r="T14" s="117" t="s">
        <v>73</v>
      </c>
      <c r="U14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4654990.4400000004</v>
      </c>
    </row>
    <row r="15" spans="1:90" ht="12.75" hidden="1" customHeight="1" outlineLevel="1">
      <c r="A15" s="62">
        <v>13</v>
      </c>
      <c r="B15" s="62">
        <v>309</v>
      </c>
      <c r="C15" s="62">
        <v>18468</v>
      </c>
      <c r="D15" s="62" t="s">
        <v>471</v>
      </c>
      <c r="E15" s="62">
        <v>60.19</v>
      </c>
      <c r="F15" s="941" t="s">
        <v>25</v>
      </c>
      <c r="G15" s="117" t="s">
        <v>121</v>
      </c>
      <c r="H15" s="62" t="s">
        <v>575</v>
      </c>
      <c r="I15" s="95">
        <v>5175825.5599999996</v>
      </c>
      <c r="J15" s="62">
        <v>2</v>
      </c>
      <c r="K15" s="62" t="s">
        <v>65</v>
      </c>
      <c r="L15" s="62" t="s">
        <v>18</v>
      </c>
      <c r="M15" s="92">
        <v>44574</v>
      </c>
      <c r="N15" s="117" t="s">
        <v>17</v>
      </c>
      <c r="O15" s="62" t="s">
        <v>841</v>
      </c>
      <c r="P15" s="892" t="s">
        <v>67</v>
      </c>
      <c r="Q15" s="892" t="s">
        <v>67</v>
      </c>
      <c r="R15" s="892" t="s">
        <v>471</v>
      </c>
      <c r="S15" s="117" t="s">
        <v>471</v>
      </c>
      <c r="T15" s="117" t="s">
        <v>471</v>
      </c>
      <c r="U15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4212785.5599999996</v>
      </c>
    </row>
    <row r="16" spans="1:90" hidden="1" outlineLevel="1">
      <c r="A16" s="62">
        <v>14</v>
      </c>
      <c r="B16" s="62">
        <v>94</v>
      </c>
      <c r="C16" s="62">
        <v>15355</v>
      </c>
      <c r="D16" s="62" t="s">
        <v>20</v>
      </c>
      <c r="E16" s="62">
        <v>76.56</v>
      </c>
      <c r="F16" s="117" t="s">
        <v>15</v>
      </c>
      <c r="G16" s="62" t="s">
        <v>121</v>
      </c>
      <c r="H16" s="62" t="s">
        <v>575</v>
      </c>
      <c r="I16" s="95">
        <v>5868742.8499999996</v>
      </c>
      <c r="J16" s="62">
        <v>3</v>
      </c>
      <c r="K16" s="62" t="s">
        <v>65</v>
      </c>
      <c r="L16" s="62" t="s">
        <v>18</v>
      </c>
      <c r="M16" s="92">
        <v>44575</v>
      </c>
      <c r="N16" s="117" t="s">
        <v>17</v>
      </c>
      <c r="O16" s="62" t="s">
        <v>842</v>
      </c>
      <c r="P16" s="892" t="s">
        <v>67</v>
      </c>
      <c r="Q16" s="892" t="s">
        <v>67</v>
      </c>
      <c r="R16" s="892" t="s">
        <v>20</v>
      </c>
      <c r="S16" s="892" t="s">
        <v>73</v>
      </c>
      <c r="T16" s="892" t="s">
        <v>73</v>
      </c>
      <c r="U16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5447662.8500000006</v>
      </c>
    </row>
    <row r="17" spans="1:90" ht="12.75" hidden="1" customHeight="1" outlineLevel="1">
      <c r="A17" s="62">
        <v>15</v>
      </c>
      <c r="B17" s="62">
        <v>152</v>
      </c>
      <c r="C17" s="62">
        <v>18600</v>
      </c>
      <c r="D17" s="62" t="s">
        <v>471</v>
      </c>
      <c r="E17" s="62">
        <v>36.42</v>
      </c>
      <c r="F17" s="62" t="s">
        <v>25</v>
      </c>
      <c r="G17" s="62" t="s">
        <v>121</v>
      </c>
      <c r="H17" s="62" t="s">
        <v>575</v>
      </c>
      <c r="I17" s="95">
        <v>3606996.75</v>
      </c>
      <c r="J17" s="62">
        <v>1</v>
      </c>
      <c r="K17" s="62" t="s">
        <v>65</v>
      </c>
      <c r="L17" s="62" t="s">
        <v>18</v>
      </c>
      <c r="M17" s="942">
        <v>44574</v>
      </c>
      <c r="N17" s="117" t="s">
        <v>17</v>
      </c>
      <c r="O17" s="941" t="s">
        <v>843</v>
      </c>
      <c r="P17" s="892" t="s">
        <v>67</v>
      </c>
      <c r="Q17" s="892" t="s">
        <v>67</v>
      </c>
      <c r="R17" s="892" t="s">
        <v>471</v>
      </c>
      <c r="S17" s="117" t="s">
        <v>471</v>
      </c>
      <c r="T17" s="117" t="s">
        <v>471</v>
      </c>
      <c r="U17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3024276.75</v>
      </c>
    </row>
    <row r="18" spans="1:90" ht="12.75" hidden="1" customHeight="1" outlineLevel="1">
      <c r="A18" s="62">
        <v>16</v>
      </c>
      <c r="B18" s="62">
        <v>316</v>
      </c>
      <c r="C18" s="62">
        <v>18817</v>
      </c>
      <c r="D18" s="62" t="s">
        <v>63</v>
      </c>
      <c r="E18" s="62">
        <v>23.63</v>
      </c>
      <c r="F18" s="941" t="s">
        <v>15</v>
      </c>
      <c r="G18" s="62" t="s">
        <v>27</v>
      </c>
      <c r="H18" s="62" t="s">
        <v>16</v>
      </c>
      <c r="I18" s="91">
        <v>1958560.26</v>
      </c>
      <c r="J18" s="62">
        <v>0</v>
      </c>
      <c r="K18" s="62" t="s">
        <v>65</v>
      </c>
      <c r="L18" s="62" t="s">
        <v>18</v>
      </c>
      <c r="M18" s="942">
        <v>44582</v>
      </c>
      <c r="N18" s="117" t="s">
        <v>17</v>
      </c>
      <c r="O18" s="941" t="s">
        <v>844</v>
      </c>
      <c r="P18" s="892" t="s">
        <v>67</v>
      </c>
      <c r="Q18" s="892" t="s">
        <v>67</v>
      </c>
      <c r="R18" s="892" t="s">
        <v>63</v>
      </c>
      <c r="S18" s="117" t="s">
        <v>63</v>
      </c>
      <c r="T18" s="117" t="s">
        <v>63</v>
      </c>
      <c r="U18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</row>
    <row r="19" spans="1:90" s="1228" customFormat="1" hidden="1" outlineLevel="1">
      <c r="A19" s="62">
        <v>17</v>
      </c>
      <c r="B19" s="62">
        <v>63</v>
      </c>
      <c r="C19" s="62">
        <v>17586</v>
      </c>
      <c r="D19" s="62" t="s">
        <v>63</v>
      </c>
      <c r="E19" s="62">
        <v>37.94</v>
      </c>
      <c r="F19" s="941" t="s">
        <v>9</v>
      </c>
      <c r="G19" s="62" t="s">
        <v>27</v>
      </c>
      <c r="H19" s="62" t="s">
        <v>84</v>
      </c>
      <c r="I19" s="95">
        <v>2584774.86</v>
      </c>
      <c r="J19" s="62">
        <v>1</v>
      </c>
      <c r="K19" s="62" t="s">
        <v>85</v>
      </c>
      <c r="L19" s="62" t="s">
        <v>12</v>
      </c>
      <c r="M19" s="1016">
        <v>44590</v>
      </c>
      <c r="N19" s="117" t="s">
        <v>11</v>
      </c>
      <c r="O19" s="62" t="s">
        <v>827</v>
      </c>
      <c r="P19" s="892"/>
      <c r="Q19" s="892" t="s">
        <v>67</v>
      </c>
      <c r="R19" s="892" t="s">
        <v>63</v>
      </c>
      <c r="S19" s="117" t="s">
        <v>63</v>
      </c>
      <c r="T19" s="117" t="s">
        <v>63</v>
      </c>
      <c r="U19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2584774.86</v>
      </c>
      <c r="CE19" s="1349"/>
      <c r="CF19" s="1349"/>
      <c r="CG19" s="1349"/>
      <c r="CH19" s="1349"/>
      <c r="CI19" s="1349"/>
      <c r="CJ19" s="1349"/>
      <c r="CK19" s="1349"/>
      <c r="CL19" s="1349"/>
    </row>
    <row r="20" spans="1:90" s="929" customFormat="1" hidden="1" outlineLevel="1">
      <c r="A20" s="62">
        <v>18</v>
      </c>
      <c r="B20" s="62">
        <v>520</v>
      </c>
      <c r="C20" s="62">
        <v>8181</v>
      </c>
      <c r="D20" s="62" t="s">
        <v>471</v>
      </c>
      <c r="E20" s="62">
        <v>82.27</v>
      </c>
      <c r="F20" s="941" t="s">
        <v>15</v>
      </c>
      <c r="G20" s="62" t="s">
        <v>27</v>
      </c>
      <c r="H20" s="62" t="s">
        <v>16</v>
      </c>
      <c r="I20" s="95">
        <v>5107475.4400000004</v>
      </c>
      <c r="J20" s="62">
        <v>3</v>
      </c>
      <c r="K20" s="62" t="s">
        <v>65</v>
      </c>
      <c r="L20" s="62" t="s">
        <v>18</v>
      </c>
      <c r="M20" s="92">
        <v>44585</v>
      </c>
      <c r="N20" s="117" t="s">
        <v>17</v>
      </c>
      <c r="O20" s="62" t="s">
        <v>845</v>
      </c>
      <c r="P20" s="892" t="s">
        <v>67</v>
      </c>
      <c r="Q20" s="892" t="s">
        <v>67</v>
      </c>
      <c r="R20" s="892" t="s">
        <v>471</v>
      </c>
      <c r="S20" s="117" t="s">
        <v>471</v>
      </c>
      <c r="T20" s="117" t="s">
        <v>471</v>
      </c>
      <c r="U20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4654990.4400000004</v>
      </c>
      <c r="V20" s="931"/>
      <c r="W20" s="931"/>
      <c r="X20" s="931"/>
      <c r="Y20" s="931"/>
      <c r="Z20" s="931"/>
      <c r="AA20" s="931"/>
      <c r="AB20" s="931"/>
      <c r="AC20" s="931"/>
      <c r="AD20" s="931"/>
      <c r="AE20" s="931"/>
      <c r="AF20" s="931"/>
      <c r="AG20" s="931"/>
      <c r="AH20" s="931"/>
      <c r="AI20" s="931"/>
      <c r="AJ20" s="931"/>
      <c r="AK20" s="931"/>
      <c r="AL20" s="931"/>
      <c r="AM20" s="931"/>
      <c r="AN20" s="931"/>
      <c r="AO20" s="931"/>
      <c r="AP20" s="931"/>
      <c r="AQ20" s="931"/>
      <c r="AR20" s="931"/>
      <c r="AS20" s="931"/>
      <c r="AT20" s="931"/>
      <c r="AU20" s="931"/>
      <c r="AV20" s="931"/>
      <c r="AW20" s="931"/>
      <c r="AX20" s="931"/>
      <c r="AY20" s="931"/>
      <c r="AZ20" s="931"/>
      <c r="BA20" s="931"/>
      <c r="BB20" s="931"/>
      <c r="BC20" s="931"/>
      <c r="BD20" s="931"/>
      <c r="BE20" s="931"/>
      <c r="BF20" s="931"/>
      <c r="BG20" s="931"/>
      <c r="BH20" s="931"/>
      <c r="BI20" s="931"/>
      <c r="BJ20" s="931"/>
      <c r="BK20" s="931"/>
      <c r="BL20" s="931"/>
      <c r="BM20" s="931"/>
      <c r="BN20" s="931"/>
      <c r="BO20" s="931"/>
      <c r="BP20" s="931"/>
      <c r="BQ20" s="931"/>
      <c r="BR20" s="931"/>
      <c r="BS20" s="931"/>
      <c r="BT20" s="931"/>
      <c r="BU20" s="931"/>
      <c r="BV20" s="931"/>
      <c r="BW20" s="931"/>
      <c r="BX20" s="931"/>
      <c r="BY20" s="931"/>
      <c r="BZ20" s="931"/>
      <c r="CA20" s="931"/>
      <c r="CB20" s="931"/>
      <c r="CC20" s="931"/>
      <c r="CD20" s="931"/>
      <c r="CE20" s="1118"/>
      <c r="CF20" s="1118"/>
      <c r="CG20" s="1118"/>
      <c r="CH20" s="1118"/>
      <c r="CI20" s="1118"/>
      <c r="CJ20" s="1118"/>
      <c r="CK20" s="1118"/>
      <c r="CL20" s="1118"/>
    </row>
    <row r="21" spans="1:90" s="929" customFormat="1" hidden="1" outlineLevel="1">
      <c r="A21" s="62">
        <v>19</v>
      </c>
      <c r="B21" s="62">
        <v>528</v>
      </c>
      <c r="C21" s="62">
        <v>18664</v>
      </c>
      <c r="D21" s="62" t="s">
        <v>20</v>
      </c>
      <c r="E21" s="62">
        <v>82.27</v>
      </c>
      <c r="F21" s="941" t="s">
        <v>9</v>
      </c>
      <c r="G21" s="62" t="s">
        <v>27</v>
      </c>
      <c r="H21" s="62" t="s">
        <v>16</v>
      </c>
      <c r="I21" s="95">
        <v>4654990.4400000004</v>
      </c>
      <c r="J21" s="62">
        <v>3</v>
      </c>
      <c r="K21" s="62" t="s">
        <v>65</v>
      </c>
      <c r="L21" s="62" t="s">
        <v>18</v>
      </c>
      <c r="M21" s="1016">
        <v>44579</v>
      </c>
      <c r="N21" s="117" t="s">
        <v>17</v>
      </c>
      <c r="O21" s="62" t="s">
        <v>846</v>
      </c>
      <c r="P21" s="892" t="s">
        <v>67</v>
      </c>
      <c r="Q21" s="892" t="s">
        <v>67</v>
      </c>
      <c r="R21" s="892" t="s">
        <v>20</v>
      </c>
      <c r="S21" s="117" t="s">
        <v>20</v>
      </c>
      <c r="T21" s="117" t="s">
        <v>73</v>
      </c>
      <c r="U21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4654990.4400000004</v>
      </c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31"/>
      <c r="BV21" s="931"/>
      <c r="BW21" s="931"/>
      <c r="BX21" s="931"/>
      <c r="BY21" s="931"/>
      <c r="BZ21" s="931"/>
      <c r="CA21" s="931"/>
      <c r="CB21" s="931"/>
      <c r="CC21" s="931"/>
      <c r="CD21" s="931"/>
      <c r="CE21" s="1118"/>
      <c r="CF21" s="1118"/>
      <c r="CG21" s="1118"/>
      <c r="CH21" s="1118"/>
      <c r="CI21" s="1118"/>
      <c r="CJ21" s="1118"/>
      <c r="CK21" s="1118"/>
      <c r="CL21" s="1118"/>
    </row>
    <row r="22" spans="1:90" s="929" customFormat="1" hidden="1" outlineLevel="1">
      <c r="A22" s="62">
        <v>20</v>
      </c>
      <c r="B22" s="62">
        <v>137</v>
      </c>
      <c r="C22" s="62">
        <v>17745</v>
      </c>
      <c r="D22" s="62" t="s">
        <v>20</v>
      </c>
      <c r="E22" s="62">
        <v>36.86</v>
      </c>
      <c r="F22" s="117" t="s">
        <v>9</v>
      </c>
      <c r="G22" s="62" t="s">
        <v>121</v>
      </c>
      <c r="H22" s="62" t="s">
        <v>575</v>
      </c>
      <c r="I22" s="95">
        <v>2800418.94</v>
      </c>
      <c r="J22" s="62">
        <v>1</v>
      </c>
      <c r="K22" s="62" t="s">
        <v>65</v>
      </c>
      <c r="L22" s="62" t="s">
        <v>18</v>
      </c>
      <c r="M22" s="92">
        <v>44586</v>
      </c>
      <c r="N22" s="117" t="s">
        <v>17</v>
      </c>
      <c r="O22" s="62" t="s">
        <v>847</v>
      </c>
      <c r="P22" s="892" t="s">
        <v>67</v>
      </c>
      <c r="Q22" s="892" t="s">
        <v>67</v>
      </c>
      <c r="R22" s="892" t="s">
        <v>20</v>
      </c>
      <c r="S22" s="117" t="s">
        <v>20</v>
      </c>
      <c r="T22" s="117" t="s">
        <v>20</v>
      </c>
      <c r="U22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2800418.94</v>
      </c>
      <c r="V22" s="1221"/>
      <c r="W22" s="931"/>
      <c r="X22" s="931"/>
      <c r="Y22" s="931"/>
      <c r="Z22" s="931"/>
      <c r="AA22" s="931"/>
      <c r="AB22" s="931"/>
      <c r="AC22" s="931"/>
      <c r="AD22" s="931"/>
      <c r="AE22" s="931"/>
      <c r="AF22" s="931"/>
      <c r="AG22" s="931"/>
      <c r="AH22" s="931"/>
      <c r="AI22" s="931"/>
      <c r="AJ22" s="931"/>
      <c r="AK22" s="931"/>
      <c r="AL22" s="931"/>
      <c r="AM22" s="931"/>
      <c r="AN22" s="931"/>
      <c r="AO22" s="931"/>
      <c r="AP22" s="931"/>
      <c r="AQ22" s="931"/>
      <c r="AR22" s="931"/>
      <c r="AS22" s="931"/>
      <c r="AT22" s="931"/>
      <c r="AU22" s="931"/>
      <c r="AV22" s="931"/>
      <c r="AW22" s="931"/>
      <c r="AX22" s="931"/>
      <c r="AY22" s="931"/>
      <c r="AZ22" s="931"/>
      <c r="BA22" s="931"/>
      <c r="BB22" s="931"/>
      <c r="BC22" s="931"/>
      <c r="BD22" s="931"/>
      <c r="BE22" s="931"/>
      <c r="BF22" s="931"/>
      <c r="BG22" s="931"/>
      <c r="BH22" s="931"/>
      <c r="BI22" s="931"/>
      <c r="BJ22" s="931"/>
      <c r="BK22" s="931"/>
      <c r="BL22" s="931"/>
      <c r="BM22" s="931"/>
      <c r="BN22" s="931"/>
      <c r="BO22" s="931"/>
      <c r="BP22" s="931"/>
      <c r="BQ22" s="931"/>
      <c r="BR22" s="931"/>
      <c r="BS22" s="931"/>
      <c r="BT22" s="931"/>
      <c r="BU22" s="931"/>
      <c r="BV22" s="931"/>
      <c r="BW22" s="931"/>
      <c r="BX22" s="931"/>
      <c r="BY22" s="931"/>
      <c r="BZ22" s="931"/>
      <c r="CA22" s="931"/>
      <c r="CB22" s="931"/>
      <c r="CC22" s="931"/>
      <c r="CD22" s="931"/>
      <c r="CE22" s="1118"/>
      <c r="CF22" s="1118"/>
      <c r="CG22" s="1118"/>
      <c r="CH22" s="1118"/>
      <c r="CI22" s="1118"/>
      <c r="CJ22" s="1118"/>
      <c r="CK22" s="1118"/>
      <c r="CL22" s="1118"/>
    </row>
    <row r="23" spans="1:90" s="929" customFormat="1" ht="12.75" hidden="1" customHeight="1" outlineLevel="1">
      <c r="A23" s="62">
        <v>21</v>
      </c>
      <c r="B23" s="62">
        <v>91</v>
      </c>
      <c r="C23" s="62">
        <v>18729</v>
      </c>
      <c r="D23" s="62"/>
      <c r="E23" s="62">
        <v>82.71</v>
      </c>
      <c r="F23" s="941" t="s">
        <v>15</v>
      </c>
      <c r="G23" s="62" t="s">
        <v>27</v>
      </c>
      <c r="H23" s="62"/>
      <c r="I23" s="95">
        <v>5367886.4400000004</v>
      </c>
      <c r="J23" s="62">
        <v>3</v>
      </c>
      <c r="K23" s="62" t="s">
        <v>65</v>
      </c>
      <c r="L23" s="62" t="s">
        <v>18</v>
      </c>
      <c r="M23" s="92">
        <v>44581</v>
      </c>
      <c r="N23" s="117" t="s">
        <v>17</v>
      </c>
      <c r="O23" s="62" t="s">
        <v>848</v>
      </c>
      <c r="P23" s="892" t="s">
        <v>67</v>
      </c>
      <c r="Q23" s="892" t="s">
        <v>67</v>
      </c>
      <c r="R23" s="892"/>
      <c r="S23" s="117" t="s">
        <v>73</v>
      </c>
      <c r="T23" s="117" t="s">
        <v>73</v>
      </c>
      <c r="U23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4912981.4400000004</v>
      </c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  <c r="AF23" s="931"/>
      <c r="AG23" s="931"/>
      <c r="AH23" s="931"/>
      <c r="AI23" s="931"/>
      <c r="AJ23" s="931"/>
      <c r="AK23" s="931"/>
      <c r="AL23" s="931"/>
      <c r="AM23" s="931"/>
      <c r="AN23" s="931"/>
      <c r="AO23" s="931"/>
      <c r="AP23" s="931"/>
      <c r="AQ23" s="931"/>
      <c r="AR23" s="931"/>
      <c r="AS23" s="931"/>
      <c r="AT23" s="931"/>
      <c r="AU23" s="931"/>
      <c r="AV23" s="931"/>
      <c r="AW23" s="931"/>
      <c r="AX23" s="931"/>
      <c r="AY23" s="931"/>
      <c r="AZ23" s="931"/>
      <c r="BA23" s="931"/>
      <c r="BB23" s="931"/>
      <c r="BC23" s="931"/>
      <c r="BD23" s="931"/>
      <c r="BE23" s="931"/>
      <c r="BF23" s="931"/>
      <c r="BG23" s="931"/>
      <c r="BH23" s="931"/>
      <c r="BI23" s="931"/>
      <c r="BJ23" s="931"/>
      <c r="BK23" s="931"/>
      <c r="BL23" s="931"/>
      <c r="BM23" s="931"/>
      <c r="BN23" s="931"/>
      <c r="BO23" s="931"/>
      <c r="BP23" s="931"/>
      <c r="BQ23" s="931"/>
      <c r="BR23" s="931"/>
      <c r="BS23" s="931"/>
      <c r="BT23" s="931"/>
      <c r="BU23" s="931"/>
      <c r="BV23" s="931"/>
      <c r="BW23" s="931"/>
      <c r="BX23" s="931"/>
      <c r="BY23" s="931"/>
      <c r="BZ23" s="931"/>
      <c r="CA23" s="931"/>
      <c r="CB23" s="931"/>
      <c r="CC23" s="931"/>
      <c r="CD23" s="931"/>
      <c r="CE23" s="1118"/>
      <c r="CF23" s="1118"/>
      <c r="CG23" s="1118"/>
      <c r="CH23" s="1118"/>
      <c r="CI23" s="1118"/>
      <c r="CJ23" s="1118"/>
      <c r="CK23" s="1118"/>
      <c r="CL23" s="1118"/>
    </row>
    <row r="24" spans="1:90" s="929" customFormat="1" ht="15.75" hidden="1" customHeight="1" outlineLevel="1">
      <c r="A24" s="62">
        <v>22</v>
      </c>
      <c r="B24" s="62">
        <v>280</v>
      </c>
      <c r="C24" s="62">
        <v>10867</v>
      </c>
      <c r="D24" s="117" t="s">
        <v>77</v>
      </c>
      <c r="E24" s="62">
        <v>60.3</v>
      </c>
      <c r="F24" s="117" t="s">
        <v>15</v>
      </c>
      <c r="G24" s="117" t="s">
        <v>121</v>
      </c>
      <c r="H24" s="117" t="s">
        <v>16</v>
      </c>
      <c r="I24" s="1019">
        <v>4653546.29</v>
      </c>
      <c r="J24" s="62">
        <v>2</v>
      </c>
      <c r="K24" s="117" t="s">
        <v>65</v>
      </c>
      <c r="L24" s="117" t="s">
        <v>18</v>
      </c>
      <c r="M24" s="92">
        <v>44586</v>
      </c>
      <c r="N24" s="117" t="s">
        <v>17</v>
      </c>
      <c r="O24" s="117" t="s">
        <v>849</v>
      </c>
      <c r="P24" s="892" t="s">
        <v>67</v>
      </c>
      <c r="Q24" s="892" t="s">
        <v>67</v>
      </c>
      <c r="R24" s="892" t="s">
        <v>77</v>
      </c>
      <c r="S24" s="892" t="s">
        <v>77</v>
      </c>
      <c r="T24" s="892" t="s">
        <v>77</v>
      </c>
      <c r="U24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4321896.29</v>
      </c>
      <c r="V24" s="931"/>
      <c r="W24" s="931"/>
      <c r="X24" s="931"/>
      <c r="Y24" s="931"/>
      <c r="Z24" s="931"/>
      <c r="AA24" s="931"/>
      <c r="AB24" s="931"/>
      <c r="AC24" s="931"/>
      <c r="AD24" s="931"/>
      <c r="AE24" s="931"/>
      <c r="AF24" s="931"/>
      <c r="AG24" s="931"/>
      <c r="AH24" s="931"/>
      <c r="AI24" s="931"/>
      <c r="AJ24" s="931"/>
      <c r="AK24" s="931"/>
      <c r="AL24" s="931"/>
      <c r="AM24" s="931"/>
      <c r="AN24" s="931"/>
      <c r="AO24" s="931"/>
      <c r="AP24" s="931"/>
      <c r="AQ24" s="931"/>
      <c r="AR24" s="931"/>
      <c r="AS24" s="931"/>
      <c r="AT24" s="931"/>
      <c r="AU24" s="931"/>
      <c r="AV24" s="931"/>
      <c r="AW24" s="931"/>
      <c r="AX24" s="931"/>
      <c r="AY24" s="931"/>
      <c r="AZ24" s="931"/>
      <c r="BA24" s="931"/>
      <c r="BB24" s="931"/>
      <c r="BC24" s="931"/>
      <c r="BD24" s="931"/>
      <c r="BE24" s="931"/>
      <c r="BF24" s="931"/>
      <c r="BG24" s="931"/>
      <c r="BH24" s="931"/>
      <c r="BI24" s="931"/>
      <c r="BJ24" s="931"/>
      <c r="BK24" s="931"/>
      <c r="BL24" s="931"/>
      <c r="BM24" s="931"/>
      <c r="BN24" s="931"/>
      <c r="BO24" s="931"/>
      <c r="BP24" s="931"/>
      <c r="BQ24" s="931"/>
      <c r="BR24" s="931"/>
      <c r="BS24" s="931"/>
      <c r="BT24" s="931"/>
      <c r="BU24" s="931"/>
      <c r="BV24" s="931"/>
      <c r="BW24" s="931"/>
      <c r="BX24" s="931"/>
      <c r="BY24" s="931"/>
      <c r="BZ24" s="931"/>
      <c r="CA24" s="931"/>
      <c r="CB24" s="931"/>
      <c r="CC24" s="931"/>
      <c r="CD24" s="931"/>
      <c r="CE24" s="1118"/>
      <c r="CF24" s="1118"/>
      <c r="CG24" s="1118"/>
      <c r="CH24" s="1118"/>
      <c r="CI24" s="1118"/>
      <c r="CJ24" s="1118"/>
      <c r="CK24" s="1118"/>
      <c r="CL24" s="1118"/>
    </row>
    <row r="25" spans="1:90" s="929" customFormat="1" ht="12.75" hidden="1" customHeight="1" outlineLevel="1">
      <c r="A25" s="62">
        <v>23</v>
      </c>
      <c r="B25" s="62">
        <v>99</v>
      </c>
      <c r="C25" s="62">
        <v>14096</v>
      </c>
      <c r="D25" s="62" t="s">
        <v>20</v>
      </c>
      <c r="E25" s="62">
        <v>37.94</v>
      </c>
      <c r="F25" s="941" t="s">
        <v>15</v>
      </c>
      <c r="G25" s="62" t="s">
        <v>27</v>
      </c>
      <c r="H25" s="62" t="s">
        <v>575</v>
      </c>
      <c r="I25" s="95">
        <v>2917963.65</v>
      </c>
      <c r="J25" s="62">
        <v>1</v>
      </c>
      <c r="K25" s="62" t="s">
        <v>65</v>
      </c>
      <c r="L25" s="62" t="s">
        <v>18</v>
      </c>
      <c r="M25" s="92">
        <v>44585</v>
      </c>
      <c r="N25" s="117" t="s">
        <v>17</v>
      </c>
      <c r="O25" s="62" t="s">
        <v>850</v>
      </c>
      <c r="P25" s="892" t="s">
        <v>67</v>
      </c>
      <c r="Q25" s="892" t="s">
        <v>67</v>
      </c>
      <c r="R25" s="892" t="s">
        <v>20</v>
      </c>
      <c r="S25" s="945" t="s">
        <v>20</v>
      </c>
      <c r="T25" s="945" t="s">
        <v>20</v>
      </c>
      <c r="U25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2709293.6500000004</v>
      </c>
      <c r="V25" s="931"/>
      <c r="W25" s="931"/>
      <c r="X25" s="931"/>
      <c r="Y25" s="931"/>
      <c r="Z25" s="931"/>
      <c r="AA25" s="931"/>
      <c r="AB25" s="931"/>
      <c r="AC25" s="931"/>
      <c r="AD25" s="931"/>
      <c r="AE25" s="931"/>
      <c r="AF25" s="931"/>
      <c r="AG25" s="931"/>
      <c r="AH25" s="931"/>
      <c r="AI25" s="931"/>
      <c r="AJ25" s="931"/>
      <c r="AK25" s="931"/>
      <c r="AL25" s="931"/>
      <c r="AM25" s="931"/>
      <c r="AN25" s="931"/>
      <c r="AO25" s="931"/>
      <c r="AP25" s="931"/>
      <c r="AQ25" s="931"/>
      <c r="AR25" s="931"/>
      <c r="AS25" s="931"/>
      <c r="AT25" s="931"/>
      <c r="AU25" s="931"/>
      <c r="AV25" s="931"/>
      <c r="AW25" s="931"/>
      <c r="AX25" s="931"/>
      <c r="AY25" s="931"/>
      <c r="AZ25" s="931"/>
      <c r="BA25" s="931"/>
      <c r="BB25" s="931"/>
      <c r="BC25" s="931"/>
      <c r="BD25" s="931"/>
      <c r="BE25" s="931"/>
      <c r="BF25" s="931"/>
      <c r="BG25" s="931"/>
      <c r="BH25" s="931"/>
      <c r="BI25" s="931"/>
      <c r="BJ25" s="931"/>
      <c r="BK25" s="931"/>
      <c r="BL25" s="931"/>
      <c r="BM25" s="931"/>
      <c r="BN25" s="931"/>
      <c r="BO25" s="931"/>
      <c r="BP25" s="931"/>
      <c r="BQ25" s="931"/>
      <c r="BR25" s="931"/>
      <c r="BS25" s="931"/>
      <c r="BT25" s="931"/>
      <c r="BU25" s="931"/>
      <c r="BV25" s="931"/>
      <c r="BW25" s="931"/>
      <c r="BX25" s="931"/>
      <c r="BY25" s="931"/>
      <c r="BZ25" s="931"/>
      <c r="CA25" s="931"/>
      <c r="CB25" s="931"/>
      <c r="CC25" s="931"/>
      <c r="CD25" s="931"/>
      <c r="CE25" s="1118"/>
      <c r="CF25" s="1118"/>
      <c r="CG25" s="1118"/>
      <c r="CH25" s="1118"/>
      <c r="CI25" s="1118"/>
      <c r="CJ25" s="1118"/>
      <c r="CK25" s="1118"/>
      <c r="CL25" s="1118"/>
    </row>
    <row r="26" spans="1:90" s="929" customFormat="1" hidden="1" outlineLevel="1">
      <c r="A26" s="62">
        <v>24</v>
      </c>
      <c r="B26" s="62">
        <v>260</v>
      </c>
      <c r="C26" s="62">
        <v>18797</v>
      </c>
      <c r="D26" s="62" t="s">
        <v>20</v>
      </c>
      <c r="E26" s="62">
        <v>23.63</v>
      </c>
      <c r="F26" s="945" t="s">
        <v>15</v>
      </c>
      <c r="G26" s="62" t="s">
        <v>27</v>
      </c>
      <c r="H26" s="62" t="s">
        <v>575</v>
      </c>
      <c r="I26" s="95">
        <v>1958560.26</v>
      </c>
      <c r="J26" s="62">
        <v>0</v>
      </c>
      <c r="K26" s="62" t="s">
        <v>65</v>
      </c>
      <c r="L26" s="62" t="s">
        <v>18</v>
      </c>
      <c r="M26" s="92">
        <v>44587</v>
      </c>
      <c r="N26" s="117" t="s">
        <v>17</v>
      </c>
      <c r="O26" s="62" t="s">
        <v>851</v>
      </c>
      <c r="P26" s="892" t="s">
        <v>67</v>
      </c>
      <c r="Q26" s="892" t="s">
        <v>67</v>
      </c>
      <c r="R26" s="892" t="s">
        <v>20</v>
      </c>
      <c r="S26" s="945" t="s">
        <v>20</v>
      </c>
      <c r="T26" s="945" t="s">
        <v>20</v>
      </c>
      <c r="U26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  <c r="V26" s="931"/>
      <c r="W26" s="931"/>
      <c r="X26" s="931"/>
      <c r="Y26" s="931"/>
      <c r="Z26" s="931"/>
      <c r="AA26" s="931"/>
      <c r="AB26" s="931"/>
      <c r="AC26" s="931"/>
      <c r="AD26" s="931"/>
      <c r="AE26" s="931"/>
      <c r="AF26" s="931"/>
      <c r="AG26" s="931"/>
      <c r="AH26" s="931"/>
      <c r="AI26" s="931"/>
      <c r="AJ26" s="931"/>
      <c r="AK26" s="931"/>
      <c r="AL26" s="931"/>
      <c r="AM26" s="931"/>
      <c r="AN26" s="931"/>
      <c r="AO26" s="931"/>
      <c r="AP26" s="931"/>
      <c r="AQ26" s="931"/>
      <c r="AR26" s="931"/>
      <c r="AS26" s="931"/>
      <c r="AT26" s="931"/>
      <c r="AU26" s="931"/>
      <c r="AV26" s="931"/>
      <c r="AW26" s="931"/>
      <c r="AX26" s="931"/>
      <c r="AY26" s="931"/>
      <c r="AZ26" s="931"/>
      <c r="BA26" s="931"/>
      <c r="BB26" s="931"/>
      <c r="BC26" s="931"/>
      <c r="BD26" s="931"/>
      <c r="BE26" s="931"/>
      <c r="BF26" s="931"/>
      <c r="BG26" s="931"/>
      <c r="BH26" s="931"/>
      <c r="BI26" s="931"/>
      <c r="BJ26" s="931"/>
      <c r="BK26" s="931"/>
      <c r="BL26" s="931"/>
      <c r="BM26" s="931"/>
      <c r="BN26" s="931"/>
      <c r="BO26" s="931"/>
      <c r="BP26" s="931"/>
      <c r="BQ26" s="931"/>
      <c r="BR26" s="931"/>
      <c r="BS26" s="931"/>
      <c r="BT26" s="931"/>
      <c r="BU26" s="931"/>
      <c r="BV26" s="931"/>
      <c r="BW26" s="931"/>
      <c r="BX26" s="931"/>
      <c r="BY26" s="931"/>
      <c r="BZ26" s="931"/>
      <c r="CA26" s="931"/>
      <c r="CB26" s="931"/>
      <c r="CC26" s="931"/>
      <c r="CD26" s="931"/>
      <c r="CE26" s="1118"/>
      <c r="CF26" s="1118"/>
      <c r="CG26" s="1118"/>
      <c r="CH26" s="1118"/>
      <c r="CI26" s="1118"/>
      <c r="CJ26" s="1118"/>
      <c r="CK26" s="1118"/>
      <c r="CL26" s="1118"/>
    </row>
    <row r="27" spans="1:90" s="929" customFormat="1" ht="12.75" hidden="1" customHeight="1" outlineLevel="1">
      <c r="A27" s="62">
        <v>25</v>
      </c>
      <c r="B27" s="62">
        <v>244</v>
      </c>
      <c r="C27" s="62">
        <v>18869</v>
      </c>
      <c r="D27" s="1344" t="s">
        <v>29</v>
      </c>
      <c r="E27" s="62">
        <v>23.63</v>
      </c>
      <c r="F27" s="945" t="s">
        <v>9</v>
      </c>
      <c r="G27" s="62" t="s">
        <v>27</v>
      </c>
      <c r="H27" s="62"/>
      <c r="I27" s="95">
        <v>1828595.26</v>
      </c>
      <c r="J27" s="62">
        <v>0</v>
      </c>
      <c r="K27" s="62" t="s">
        <v>65</v>
      </c>
      <c r="L27" s="62" t="s">
        <v>18</v>
      </c>
      <c r="M27" s="92">
        <v>44586</v>
      </c>
      <c r="N27" s="117" t="s">
        <v>17</v>
      </c>
      <c r="O27" s="941" t="s">
        <v>852</v>
      </c>
      <c r="P27" s="892" t="s">
        <v>67</v>
      </c>
      <c r="Q27" s="892" t="s">
        <v>67</v>
      </c>
      <c r="R27" s="892"/>
      <c r="S27" s="945"/>
      <c r="T27" s="945"/>
      <c r="U27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  <c r="V27" s="931"/>
      <c r="W27" s="931"/>
      <c r="X27" s="931"/>
      <c r="Y27" s="931"/>
      <c r="Z27" s="931"/>
      <c r="AA27" s="931"/>
      <c r="AB27" s="931"/>
      <c r="AC27" s="931"/>
      <c r="AD27" s="931"/>
      <c r="AE27" s="931"/>
      <c r="AF27" s="931"/>
      <c r="AG27" s="931"/>
      <c r="AH27" s="931"/>
      <c r="AI27" s="931"/>
      <c r="AJ27" s="931"/>
      <c r="AK27" s="931"/>
      <c r="AL27" s="931"/>
      <c r="AM27" s="931"/>
      <c r="AN27" s="931"/>
      <c r="AO27" s="931"/>
      <c r="AP27" s="931"/>
      <c r="AQ27" s="931"/>
      <c r="AR27" s="931"/>
      <c r="AS27" s="931"/>
      <c r="AT27" s="931"/>
      <c r="AU27" s="931"/>
      <c r="AV27" s="931"/>
      <c r="AW27" s="931"/>
      <c r="AX27" s="931"/>
      <c r="AY27" s="931"/>
      <c r="AZ27" s="931"/>
      <c r="BA27" s="931"/>
      <c r="BB27" s="931"/>
      <c r="BC27" s="931"/>
      <c r="BD27" s="931"/>
      <c r="BE27" s="931"/>
      <c r="BF27" s="931"/>
      <c r="BG27" s="931"/>
      <c r="BH27" s="931"/>
      <c r="BI27" s="931"/>
      <c r="BJ27" s="931"/>
      <c r="BK27" s="931"/>
      <c r="BL27" s="931"/>
      <c r="BM27" s="931"/>
      <c r="BN27" s="931"/>
      <c r="BO27" s="931"/>
      <c r="BP27" s="931"/>
      <c r="BQ27" s="931"/>
      <c r="BR27" s="931"/>
      <c r="BS27" s="931"/>
      <c r="BT27" s="931"/>
      <c r="BU27" s="931"/>
      <c r="BV27" s="931"/>
      <c r="BW27" s="931"/>
      <c r="BX27" s="931"/>
      <c r="BY27" s="931"/>
      <c r="BZ27" s="931"/>
      <c r="CA27" s="931"/>
      <c r="CB27" s="931"/>
      <c r="CC27" s="931"/>
      <c r="CD27" s="931"/>
      <c r="CE27" s="1118"/>
      <c r="CF27" s="1118"/>
      <c r="CG27" s="1118"/>
      <c r="CH27" s="1118"/>
      <c r="CI27" s="1118"/>
      <c r="CJ27" s="1118"/>
      <c r="CK27" s="1118"/>
      <c r="CL27" s="1118"/>
    </row>
    <row r="28" spans="1:90" s="929" customFormat="1" ht="12.75" hidden="1" customHeight="1" outlineLevel="1">
      <c r="A28" s="62">
        <v>26</v>
      </c>
      <c r="B28" s="62">
        <v>452</v>
      </c>
      <c r="C28" s="62">
        <v>18868</v>
      </c>
      <c r="D28" s="1344" t="s">
        <v>29</v>
      </c>
      <c r="E28" s="62">
        <v>23.63</v>
      </c>
      <c r="F28" s="945" t="s">
        <v>9</v>
      </c>
      <c r="G28" s="62" t="s">
        <v>27</v>
      </c>
      <c r="H28" s="62"/>
      <c r="I28" s="91">
        <v>1828595.26</v>
      </c>
      <c r="J28" s="62">
        <v>0</v>
      </c>
      <c r="K28" s="371" t="s">
        <v>65</v>
      </c>
      <c r="L28" s="62" t="s">
        <v>18</v>
      </c>
      <c r="M28" s="92">
        <v>44592</v>
      </c>
      <c r="N28" s="117" t="s">
        <v>17</v>
      </c>
      <c r="O28" s="76" t="s">
        <v>853</v>
      </c>
      <c r="P28" s="892" t="s">
        <v>67</v>
      </c>
      <c r="Q28" s="892" t="s">
        <v>67</v>
      </c>
      <c r="R28" s="892"/>
      <c r="S28" s="945"/>
      <c r="T28" s="945"/>
      <c r="U28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  <c r="V28" s="931"/>
      <c r="W28" s="931"/>
      <c r="X28" s="931"/>
      <c r="Y28" s="931"/>
      <c r="Z28" s="931"/>
      <c r="AA28" s="931"/>
      <c r="AB28" s="931"/>
      <c r="AC28" s="931"/>
      <c r="AD28" s="931"/>
      <c r="AE28" s="931"/>
      <c r="AF28" s="931"/>
      <c r="AG28" s="931"/>
      <c r="AH28" s="931"/>
      <c r="AI28" s="931"/>
      <c r="AJ28" s="931"/>
      <c r="AK28" s="931"/>
      <c r="AL28" s="931"/>
      <c r="AM28" s="931"/>
      <c r="AN28" s="931"/>
      <c r="AO28" s="931"/>
      <c r="AP28" s="931"/>
      <c r="AQ28" s="931"/>
      <c r="AR28" s="931"/>
      <c r="AS28" s="931"/>
      <c r="AT28" s="931"/>
      <c r="AU28" s="931"/>
      <c r="AV28" s="931"/>
      <c r="AW28" s="931"/>
      <c r="AX28" s="931"/>
      <c r="AY28" s="931"/>
      <c r="AZ28" s="931"/>
      <c r="BA28" s="931"/>
      <c r="BB28" s="931"/>
      <c r="BC28" s="931"/>
      <c r="BD28" s="931"/>
      <c r="BE28" s="931"/>
      <c r="BF28" s="931"/>
      <c r="BG28" s="931"/>
      <c r="BH28" s="931"/>
      <c r="BI28" s="931"/>
      <c r="BJ28" s="931"/>
      <c r="BK28" s="931"/>
      <c r="BL28" s="931"/>
      <c r="BM28" s="931"/>
      <c r="BN28" s="931"/>
      <c r="BO28" s="931"/>
      <c r="BP28" s="931"/>
      <c r="BQ28" s="931"/>
      <c r="BR28" s="931"/>
      <c r="BS28" s="931"/>
      <c r="BT28" s="931"/>
      <c r="BU28" s="931"/>
      <c r="BV28" s="931"/>
      <c r="BW28" s="931"/>
      <c r="BX28" s="931"/>
      <c r="BY28" s="931"/>
      <c r="BZ28" s="931"/>
      <c r="CA28" s="931"/>
      <c r="CB28" s="931"/>
      <c r="CC28" s="931"/>
      <c r="CD28" s="931"/>
      <c r="CE28" s="1118"/>
      <c r="CF28" s="1118"/>
      <c r="CG28" s="1118"/>
      <c r="CH28" s="1118"/>
      <c r="CI28" s="1118"/>
      <c r="CJ28" s="1118"/>
      <c r="CK28" s="1118"/>
      <c r="CL28" s="1118"/>
    </row>
    <row r="29" spans="1:90" s="929" customFormat="1" ht="12.75" hidden="1" customHeight="1" outlineLevel="1">
      <c r="A29" s="62">
        <v>27</v>
      </c>
      <c r="B29" s="75">
        <v>460</v>
      </c>
      <c r="C29" s="75">
        <v>18862</v>
      </c>
      <c r="D29" s="1344" t="s">
        <v>29</v>
      </c>
      <c r="E29" s="62">
        <v>23.63</v>
      </c>
      <c r="F29" s="117" t="s">
        <v>9</v>
      </c>
      <c r="G29" s="62" t="s">
        <v>27</v>
      </c>
      <c r="H29" s="62"/>
      <c r="I29" s="91">
        <v>1828595.26</v>
      </c>
      <c r="J29" s="62">
        <v>0</v>
      </c>
      <c r="K29" s="62" t="s">
        <v>65</v>
      </c>
      <c r="L29" s="62" t="s">
        <v>18</v>
      </c>
      <c r="M29" s="92">
        <v>44592</v>
      </c>
      <c r="N29" s="117" t="s">
        <v>17</v>
      </c>
      <c r="O29" s="62" t="s">
        <v>854</v>
      </c>
      <c r="P29" s="892" t="s">
        <v>67</v>
      </c>
      <c r="Q29" s="892" t="s">
        <v>67</v>
      </c>
      <c r="R29" s="892"/>
      <c r="S29" s="945"/>
      <c r="T29" s="945"/>
      <c r="U29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931"/>
      <c r="BB29" s="931"/>
      <c r="BC29" s="931"/>
      <c r="BD29" s="931"/>
      <c r="BE29" s="931"/>
      <c r="BF29" s="931"/>
      <c r="BG29" s="931"/>
      <c r="BH29" s="931"/>
      <c r="BI29" s="931"/>
      <c r="BJ29" s="931"/>
      <c r="BK29" s="931"/>
      <c r="BL29" s="931"/>
      <c r="BM29" s="931"/>
      <c r="BN29" s="931"/>
      <c r="BO29" s="931"/>
      <c r="BP29" s="931"/>
      <c r="BQ29" s="931"/>
      <c r="BR29" s="931"/>
      <c r="BS29" s="931"/>
      <c r="BT29" s="931"/>
      <c r="BU29" s="931"/>
      <c r="BV29" s="931"/>
      <c r="BW29" s="931"/>
      <c r="BX29" s="931"/>
      <c r="BY29" s="931"/>
      <c r="BZ29" s="931"/>
      <c r="CA29" s="931"/>
      <c r="CB29" s="931"/>
      <c r="CC29" s="931"/>
      <c r="CD29" s="931"/>
      <c r="CE29" s="1118"/>
      <c r="CF29" s="1118"/>
      <c r="CG29" s="1118"/>
      <c r="CH29" s="1118"/>
      <c r="CI29" s="1118"/>
      <c r="CJ29" s="1118"/>
      <c r="CK29" s="1118"/>
      <c r="CL29" s="1118"/>
    </row>
    <row r="30" spans="1:90" s="929" customFormat="1" hidden="1" outlineLevel="1">
      <c r="A30" s="62">
        <v>28</v>
      </c>
      <c r="B30" s="75">
        <v>325</v>
      </c>
      <c r="C30" s="75">
        <v>18747</v>
      </c>
      <c r="D30" s="1344" t="s">
        <v>29</v>
      </c>
      <c r="E30" s="62">
        <v>37.11</v>
      </c>
      <c r="F30" s="941" t="s">
        <v>9</v>
      </c>
      <c r="G30" s="62" t="s">
        <v>27</v>
      </c>
      <c r="H30" s="62"/>
      <c r="I30" s="95">
        <v>2638151.7599999998</v>
      </c>
      <c r="J30" s="62">
        <v>1</v>
      </c>
      <c r="K30" s="62" t="s">
        <v>65</v>
      </c>
      <c r="L30" s="62" t="s">
        <v>18</v>
      </c>
      <c r="M30" s="92">
        <v>44586</v>
      </c>
      <c r="N30" s="117" t="s">
        <v>17</v>
      </c>
      <c r="O30" s="62" t="s">
        <v>855</v>
      </c>
      <c r="P30" s="892" t="s">
        <v>67</v>
      </c>
      <c r="Q30" s="892" t="s">
        <v>67</v>
      </c>
      <c r="R30" s="892"/>
      <c r="S30" s="945"/>
      <c r="T30" s="945"/>
      <c r="U30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2638151.7599999998</v>
      </c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31"/>
      <c r="BU30" s="931"/>
      <c r="BV30" s="931"/>
      <c r="BW30" s="931"/>
      <c r="BX30" s="931"/>
      <c r="BY30" s="931"/>
      <c r="BZ30" s="931"/>
      <c r="CA30" s="931"/>
      <c r="CB30" s="931"/>
      <c r="CC30" s="931"/>
      <c r="CD30" s="931"/>
      <c r="CE30" s="1118"/>
      <c r="CF30" s="1118"/>
      <c r="CG30" s="1118"/>
      <c r="CH30" s="1118"/>
      <c r="CI30" s="1118"/>
      <c r="CJ30" s="1118"/>
      <c r="CK30" s="1118"/>
      <c r="CL30" s="1118"/>
    </row>
    <row r="31" spans="1:90" ht="12.75" hidden="1" customHeight="1" outlineLevel="1">
      <c r="A31" s="62">
        <v>29</v>
      </c>
      <c r="B31" s="62">
        <v>308</v>
      </c>
      <c r="C31" s="75">
        <v>10682</v>
      </c>
      <c r="D31" s="62" t="s">
        <v>63</v>
      </c>
      <c r="E31" s="62">
        <v>23.63</v>
      </c>
      <c r="F31" s="941" t="s">
        <v>9</v>
      </c>
      <c r="G31" s="62" t="s">
        <v>27</v>
      </c>
      <c r="H31" s="62" t="s">
        <v>84</v>
      </c>
      <c r="I31" s="91">
        <v>1828595.26</v>
      </c>
      <c r="J31" s="62">
        <v>0</v>
      </c>
      <c r="K31" s="62" t="s">
        <v>85</v>
      </c>
      <c r="L31" s="62" t="s">
        <v>18</v>
      </c>
      <c r="M31" s="1231">
        <v>44585</v>
      </c>
      <c r="N31" s="117" t="s">
        <v>11</v>
      </c>
      <c r="O31" s="62" t="s">
        <v>856</v>
      </c>
      <c r="P31" s="892" t="s">
        <v>67</v>
      </c>
      <c r="Q31" s="892" t="s">
        <v>67</v>
      </c>
      <c r="R31" s="892" t="s">
        <v>63</v>
      </c>
      <c r="S31" s="945" t="s">
        <v>73</v>
      </c>
      <c r="T31" s="945" t="s">
        <v>63</v>
      </c>
      <c r="U31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</row>
    <row r="32" spans="1:90" s="929" customFormat="1" ht="12.75" hidden="1" customHeight="1" outlineLevel="1">
      <c r="A32" s="62">
        <v>30</v>
      </c>
      <c r="B32" s="75">
        <v>60</v>
      </c>
      <c r="C32" s="75">
        <v>18786</v>
      </c>
      <c r="D32" s="117" t="s">
        <v>77</v>
      </c>
      <c r="E32" s="62">
        <v>36.86</v>
      </c>
      <c r="F32" s="117" t="s">
        <v>15</v>
      </c>
      <c r="G32" s="117" t="s">
        <v>121</v>
      </c>
      <c r="H32" s="117" t="s">
        <v>16</v>
      </c>
      <c r="I32" s="95">
        <v>3098873.32</v>
      </c>
      <c r="J32" s="62">
        <v>1</v>
      </c>
      <c r="K32" s="62" t="s">
        <v>65</v>
      </c>
      <c r="L32" s="62" t="s">
        <v>18</v>
      </c>
      <c r="M32" s="92">
        <v>44588</v>
      </c>
      <c r="N32" s="117" t="s">
        <v>17</v>
      </c>
      <c r="O32" s="62" t="s">
        <v>857</v>
      </c>
      <c r="P32" s="892" t="s">
        <v>67</v>
      </c>
      <c r="Q32" s="892" t="s">
        <v>67</v>
      </c>
      <c r="R32" s="892" t="s">
        <v>77</v>
      </c>
      <c r="S32" s="892" t="s">
        <v>77</v>
      </c>
      <c r="T32" s="892" t="s">
        <v>77</v>
      </c>
      <c r="U32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2896143.32</v>
      </c>
      <c r="V32" s="931"/>
      <c r="W32" s="931"/>
      <c r="X32" s="931"/>
      <c r="Y32" s="931"/>
      <c r="Z32" s="931"/>
      <c r="AA32" s="931"/>
      <c r="AB32" s="931"/>
      <c r="AC32" s="931"/>
      <c r="AD32" s="931"/>
      <c r="AE32" s="931"/>
      <c r="AF32" s="931"/>
      <c r="AG32" s="931"/>
      <c r="AH32" s="931"/>
      <c r="AI32" s="931"/>
      <c r="AJ32" s="931"/>
      <c r="AK32" s="931"/>
      <c r="AL32" s="931"/>
      <c r="AM32" s="931"/>
      <c r="AN32" s="931"/>
      <c r="AO32" s="931"/>
      <c r="AP32" s="931"/>
      <c r="AQ32" s="931"/>
      <c r="AR32" s="931"/>
      <c r="AS32" s="931"/>
      <c r="AT32" s="931"/>
      <c r="AU32" s="931"/>
      <c r="AV32" s="931"/>
      <c r="AW32" s="931"/>
      <c r="AX32" s="931"/>
      <c r="AY32" s="931"/>
      <c r="AZ32" s="931"/>
      <c r="BA32" s="931"/>
      <c r="BB32" s="931"/>
      <c r="BC32" s="931"/>
      <c r="BD32" s="931"/>
      <c r="BE32" s="931"/>
      <c r="BF32" s="931"/>
      <c r="BG32" s="931"/>
      <c r="BH32" s="931"/>
      <c r="BI32" s="931"/>
      <c r="BJ32" s="931"/>
      <c r="BK32" s="931"/>
      <c r="BL32" s="931"/>
      <c r="BM32" s="931"/>
      <c r="BN32" s="931"/>
      <c r="BO32" s="931"/>
      <c r="BP32" s="931"/>
      <c r="BQ32" s="931"/>
      <c r="BR32" s="931"/>
      <c r="BS32" s="931"/>
      <c r="BT32" s="931"/>
      <c r="BU32" s="931"/>
      <c r="BV32" s="931"/>
      <c r="BW32" s="931"/>
      <c r="BX32" s="931"/>
      <c r="BY32" s="931"/>
      <c r="BZ32" s="931"/>
      <c r="CA32" s="931"/>
      <c r="CB32" s="931"/>
      <c r="CC32" s="931"/>
      <c r="CD32" s="931"/>
      <c r="CE32" s="1118"/>
      <c r="CF32" s="1118"/>
      <c r="CG32" s="1118"/>
      <c r="CH32" s="1118"/>
      <c r="CI32" s="1118"/>
      <c r="CJ32" s="1118"/>
      <c r="CK32" s="1118"/>
      <c r="CL32" s="1118"/>
    </row>
    <row r="33" spans="1:90" s="929" customFormat="1" ht="12.75" hidden="1" customHeight="1" outlineLevel="1">
      <c r="A33" s="62">
        <v>31</v>
      </c>
      <c r="B33" s="75">
        <v>644</v>
      </c>
      <c r="C33" s="75">
        <v>18865</v>
      </c>
      <c r="D33" s="62" t="s">
        <v>20</v>
      </c>
      <c r="E33" s="62">
        <v>24.39</v>
      </c>
      <c r="F33" s="941" t="s">
        <v>9</v>
      </c>
      <c r="G33" s="62" t="s">
        <v>27</v>
      </c>
      <c r="H33" s="62" t="s">
        <v>575</v>
      </c>
      <c r="I33" s="95">
        <v>1887407.47</v>
      </c>
      <c r="J33" s="62">
        <v>0</v>
      </c>
      <c r="K33" s="62" t="s">
        <v>65</v>
      </c>
      <c r="L33" s="62" t="s">
        <v>18</v>
      </c>
      <c r="M33" s="92">
        <v>44589</v>
      </c>
      <c r="N33" s="117" t="s">
        <v>17</v>
      </c>
      <c r="O33" s="62" t="s">
        <v>858</v>
      </c>
      <c r="P33" s="892" t="s">
        <v>67</v>
      </c>
      <c r="Q33" s="892" t="s">
        <v>67</v>
      </c>
      <c r="R33" s="892" t="s">
        <v>20</v>
      </c>
      <c r="S33" s="945" t="s">
        <v>20</v>
      </c>
      <c r="T33" s="945" t="s">
        <v>20</v>
      </c>
      <c r="U33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1887407.47</v>
      </c>
      <c r="V33" s="931"/>
      <c r="W33" s="931"/>
      <c r="X33" s="931"/>
      <c r="Y33" s="931"/>
      <c r="Z33" s="931"/>
      <c r="AA33" s="931"/>
      <c r="AB33" s="931"/>
      <c r="AC33" s="931"/>
      <c r="AD33" s="931"/>
      <c r="AE33" s="931"/>
      <c r="AF33" s="931"/>
      <c r="AG33" s="931"/>
      <c r="AH33" s="931"/>
      <c r="AI33" s="931"/>
      <c r="AJ33" s="931"/>
      <c r="AK33" s="931"/>
      <c r="AL33" s="931"/>
      <c r="AM33" s="931"/>
      <c r="AN33" s="931"/>
      <c r="AO33" s="931"/>
      <c r="AP33" s="931"/>
      <c r="AQ33" s="931"/>
      <c r="AR33" s="931"/>
      <c r="AS33" s="931"/>
      <c r="AT33" s="931"/>
      <c r="AU33" s="931"/>
      <c r="AV33" s="931"/>
      <c r="AW33" s="931"/>
      <c r="AX33" s="931"/>
      <c r="AY33" s="931"/>
      <c r="AZ33" s="931"/>
      <c r="BA33" s="931"/>
      <c r="BB33" s="931"/>
      <c r="BC33" s="931"/>
      <c r="BD33" s="931"/>
      <c r="BE33" s="931"/>
      <c r="BF33" s="931"/>
      <c r="BG33" s="931"/>
      <c r="BH33" s="931"/>
      <c r="BI33" s="931"/>
      <c r="BJ33" s="931"/>
      <c r="BK33" s="931"/>
      <c r="BL33" s="931"/>
      <c r="BM33" s="931"/>
      <c r="BN33" s="931"/>
      <c r="BO33" s="931"/>
      <c r="BP33" s="931"/>
      <c r="BQ33" s="931"/>
      <c r="BR33" s="931"/>
      <c r="BS33" s="931"/>
      <c r="BT33" s="931"/>
      <c r="BU33" s="931"/>
      <c r="BV33" s="931"/>
      <c r="BW33" s="931"/>
      <c r="BX33" s="931"/>
      <c r="BY33" s="931"/>
      <c r="BZ33" s="931"/>
      <c r="CA33" s="931"/>
      <c r="CB33" s="931"/>
      <c r="CC33" s="931"/>
      <c r="CD33" s="931"/>
      <c r="CE33" s="1118"/>
      <c r="CF33" s="1118"/>
      <c r="CG33" s="1118"/>
      <c r="CH33" s="1118"/>
      <c r="CI33" s="1118"/>
      <c r="CJ33" s="1118"/>
      <c r="CK33" s="1118"/>
      <c r="CL33" s="1118"/>
    </row>
    <row r="34" spans="1:90" s="929" customFormat="1" ht="12.75" hidden="1" customHeight="1" outlineLevel="1">
      <c r="A34" s="62">
        <v>32</v>
      </c>
      <c r="B34" s="75">
        <v>265</v>
      </c>
      <c r="C34" s="75">
        <v>18965</v>
      </c>
      <c r="D34" s="62" t="s">
        <v>20</v>
      </c>
      <c r="E34" s="62">
        <v>37.159999999999997</v>
      </c>
      <c r="F34" s="941" t="s">
        <v>15</v>
      </c>
      <c r="G34" s="62" t="s">
        <v>27</v>
      </c>
      <c r="H34" s="62" t="s">
        <v>10</v>
      </c>
      <c r="I34" s="95">
        <v>2846086.26</v>
      </c>
      <c r="J34" s="62">
        <v>1</v>
      </c>
      <c r="K34" s="62" t="s">
        <v>130</v>
      </c>
      <c r="L34" s="62" t="s">
        <v>18</v>
      </c>
      <c r="M34" s="92">
        <v>44589</v>
      </c>
      <c r="N34" s="117" t="s">
        <v>11</v>
      </c>
      <c r="O34" s="941" t="s">
        <v>859</v>
      </c>
      <c r="P34" s="892" t="s">
        <v>67</v>
      </c>
      <c r="Q34" s="892" t="s">
        <v>67</v>
      </c>
      <c r="R34" s="892" t="s">
        <v>20</v>
      </c>
      <c r="S34" s="945" t="s">
        <v>20</v>
      </c>
      <c r="T34" s="945" t="s">
        <v>20</v>
      </c>
      <c r="U34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2641706.2599999998</v>
      </c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931"/>
      <c r="BB34" s="931"/>
      <c r="BC34" s="931"/>
      <c r="BD34" s="931"/>
      <c r="BE34" s="931"/>
      <c r="BF34" s="931"/>
      <c r="BG34" s="931"/>
      <c r="BH34" s="931"/>
      <c r="BI34" s="931"/>
      <c r="BJ34" s="931"/>
      <c r="BK34" s="931"/>
      <c r="BL34" s="931"/>
      <c r="BM34" s="931"/>
      <c r="BN34" s="931"/>
      <c r="BO34" s="931"/>
      <c r="BP34" s="931"/>
      <c r="BQ34" s="931"/>
      <c r="BR34" s="931"/>
      <c r="BS34" s="931"/>
      <c r="BT34" s="931"/>
      <c r="BU34" s="931"/>
      <c r="BV34" s="931"/>
      <c r="BW34" s="931"/>
      <c r="BX34" s="931"/>
      <c r="BY34" s="931"/>
      <c r="BZ34" s="931"/>
      <c r="CA34" s="931"/>
      <c r="CB34" s="931"/>
      <c r="CC34" s="931"/>
      <c r="CD34" s="931"/>
      <c r="CE34" s="1118"/>
      <c r="CF34" s="1118"/>
      <c r="CG34" s="1118"/>
      <c r="CH34" s="1118"/>
      <c r="CI34" s="1118"/>
      <c r="CJ34" s="1118"/>
      <c r="CK34" s="1118"/>
      <c r="CL34" s="1118"/>
    </row>
    <row r="35" spans="1:90" s="929" customFormat="1" ht="12.75" hidden="1" customHeight="1" outlineLevel="1">
      <c r="A35" s="62">
        <v>33</v>
      </c>
      <c r="B35" s="62">
        <v>93</v>
      </c>
      <c r="C35" s="75">
        <v>18796</v>
      </c>
      <c r="D35" s="62" t="s">
        <v>20</v>
      </c>
      <c r="E35" s="62">
        <v>41.06</v>
      </c>
      <c r="F35" s="941" t="s">
        <v>9</v>
      </c>
      <c r="G35" s="62" t="s">
        <v>27</v>
      </c>
      <c r="H35" s="62" t="s">
        <v>10</v>
      </c>
      <c r="I35" s="95">
        <v>2962012.02</v>
      </c>
      <c r="J35" s="62">
        <v>1</v>
      </c>
      <c r="K35" s="62" t="s">
        <v>130</v>
      </c>
      <c r="L35" s="62" t="s">
        <v>18</v>
      </c>
      <c r="M35" s="942">
        <v>44592</v>
      </c>
      <c r="N35" s="117" t="s">
        <v>17</v>
      </c>
      <c r="O35" s="941" t="s">
        <v>860</v>
      </c>
      <c r="P35" s="892" t="s">
        <v>67</v>
      </c>
      <c r="Q35" s="892" t="s">
        <v>67</v>
      </c>
      <c r="R35" s="892" t="s">
        <v>20</v>
      </c>
      <c r="S35" s="945" t="s">
        <v>20</v>
      </c>
      <c r="T35" s="945" t="s">
        <v>20</v>
      </c>
      <c r="U35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2962012.02</v>
      </c>
      <c r="V35" s="931"/>
      <c r="W35" s="931"/>
      <c r="X35" s="931"/>
      <c r="Y35" s="931"/>
      <c r="Z35" s="931"/>
      <c r="AA35" s="931"/>
      <c r="AB35" s="931"/>
      <c r="AC35" s="931"/>
      <c r="AD35" s="931"/>
      <c r="AE35" s="931"/>
      <c r="AF35" s="931"/>
      <c r="AG35" s="931"/>
      <c r="AH35" s="931"/>
      <c r="AI35" s="931"/>
      <c r="AJ35" s="931"/>
      <c r="AK35" s="931"/>
      <c r="AL35" s="931"/>
      <c r="AM35" s="931"/>
      <c r="AN35" s="931"/>
      <c r="AO35" s="931"/>
      <c r="AP35" s="931"/>
      <c r="AQ35" s="931"/>
      <c r="AR35" s="931"/>
      <c r="AS35" s="931"/>
      <c r="AT35" s="931"/>
      <c r="AU35" s="931"/>
      <c r="AV35" s="931"/>
      <c r="AW35" s="931"/>
      <c r="AX35" s="931"/>
      <c r="AY35" s="931"/>
      <c r="AZ35" s="931"/>
      <c r="BA35" s="931"/>
      <c r="BB35" s="931"/>
      <c r="BC35" s="931"/>
      <c r="BD35" s="931"/>
      <c r="BE35" s="931"/>
      <c r="BF35" s="931"/>
      <c r="BG35" s="931"/>
      <c r="BH35" s="931"/>
      <c r="BI35" s="931"/>
      <c r="BJ35" s="931"/>
      <c r="BK35" s="931"/>
      <c r="BL35" s="931"/>
      <c r="BM35" s="931"/>
      <c r="BN35" s="931"/>
      <c r="BO35" s="931"/>
      <c r="BP35" s="931"/>
      <c r="BQ35" s="931"/>
      <c r="BR35" s="931"/>
      <c r="BS35" s="931"/>
      <c r="BT35" s="931"/>
      <c r="BU35" s="931"/>
      <c r="BV35" s="931"/>
      <c r="BW35" s="931"/>
      <c r="BX35" s="931"/>
      <c r="BY35" s="931"/>
      <c r="BZ35" s="931"/>
      <c r="CA35" s="931"/>
      <c r="CB35" s="931"/>
      <c r="CC35" s="931"/>
      <c r="CD35" s="931"/>
      <c r="CE35" s="1118"/>
      <c r="CF35" s="1118"/>
      <c r="CG35" s="1118"/>
      <c r="CH35" s="1118"/>
      <c r="CI35" s="1118"/>
      <c r="CJ35" s="1118"/>
      <c r="CK35" s="1118"/>
      <c r="CL35" s="1118"/>
    </row>
    <row r="36" spans="1:90" s="929" customFormat="1" ht="12.75" hidden="1" customHeight="1" outlineLevel="1">
      <c r="A36" s="62">
        <v>34</v>
      </c>
      <c r="B36" s="75">
        <v>476</v>
      </c>
      <c r="C36" s="75">
        <v>19000</v>
      </c>
      <c r="D36" s="1344" t="s">
        <v>29</v>
      </c>
      <c r="E36" s="62">
        <v>23.63</v>
      </c>
      <c r="F36" s="76" t="s">
        <v>9</v>
      </c>
      <c r="G36" s="62" t="s">
        <v>27</v>
      </c>
      <c r="H36" s="62"/>
      <c r="I36" s="91">
        <v>1828595.26</v>
      </c>
      <c r="J36" s="62">
        <v>0</v>
      </c>
      <c r="K36" s="62" t="s">
        <v>65</v>
      </c>
      <c r="L36" s="62" t="s">
        <v>18</v>
      </c>
      <c r="M36" s="537">
        <v>44592</v>
      </c>
      <c r="N36" s="117" t="s">
        <v>17</v>
      </c>
      <c r="O36" s="76" t="s">
        <v>861</v>
      </c>
      <c r="P36" s="892" t="s">
        <v>67</v>
      </c>
      <c r="Q36" s="892" t="s">
        <v>67</v>
      </c>
      <c r="R36" s="892"/>
      <c r="S36" s="945"/>
      <c r="T36" s="945"/>
      <c r="U36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  <c r="V36" s="931"/>
      <c r="W36" s="931"/>
      <c r="X36" s="931"/>
      <c r="Y36" s="931"/>
      <c r="Z36" s="931"/>
      <c r="AA36" s="931"/>
      <c r="AB36" s="931"/>
      <c r="AC36" s="931"/>
      <c r="AD36" s="931"/>
      <c r="AE36" s="931"/>
      <c r="AF36" s="931"/>
      <c r="AG36" s="931"/>
      <c r="AH36" s="931"/>
      <c r="AI36" s="931"/>
      <c r="AJ36" s="931"/>
      <c r="AK36" s="931"/>
      <c r="AL36" s="931"/>
      <c r="AM36" s="931"/>
      <c r="AN36" s="931"/>
      <c r="AO36" s="931"/>
      <c r="AP36" s="931"/>
      <c r="AQ36" s="931"/>
      <c r="AR36" s="931"/>
      <c r="AS36" s="931"/>
      <c r="AT36" s="931"/>
      <c r="AU36" s="931"/>
      <c r="AV36" s="931"/>
      <c r="AW36" s="931"/>
      <c r="AX36" s="931"/>
      <c r="AY36" s="931"/>
      <c r="AZ36" s="931"/>
      <c r="BA36" s="931"/>
      <c r="BB36" s="931"/>
      <c r="BC36" s="931"/>
      <c r="BD36" s="931"/>
      <c r="BE36" s="931"/>
      <c r="BF36" s="931"/>
      <c r="BG36" s="931"/>
      <c r="BH36" s="931"/>
      <c r="BI36" s="931"/>
      <c r="BJ36" s="931"/>
      <c r="BK36" s="931"/>
      <c r="BL36" s="931"/>
      <c r="BM36" s="931"/>
      <c r="BN36" s="931"/>
      <c r="BO36" s="931"/>
      <c r="BP36" s="931"/>
      <c r="BQ36" s="931"/>
      <c r="BR36" s="931"/>
      <c r="BS36" s="931"/>
      <c r="BT36" s="931"/>
      <c r="BU36" s="931"/>
      <c r="BV36" s="931"/>
      <c r="BW36" s="931"/>
      <c r="BX36" s="931"/>
      <c r="BY36" s="931"/>
      <c r="BZ36" s="931"/>
      <c r="CA36" s="931"/>
      <c r="CB36" s="931"/>
      <c r="CC36" s="931"/>
      <c r="CD36" s="931"/>
      <c r="CE36" s="1118"/>
      <c r="CF36" s="1118"/>
      <c r="CG36" s="1118"/>
      <c r="CH36" s="1118"/>
      <c r="CI36" s="1118"/>
      <c r="CJ36" s="1118"/>
      <c r="CK36" s="1118"/>
      <c r="CL36" s="1118"/>
    </row>
    <row r="37" spans="1:90" ht="12.75" hidden="1" customHeight="1" outlineLevel="1">
      <c r="A37" s="62">
        <v>35</v>
      </c>
      <c r="B37" s="75">
        <v>154</v>
      </c>
      <c r="C37" s="75">
        <v>18954</v>
      </c>
      <c r="D37" s="62" t="s">
        <v>63</v>
      </c>
      <c r="E37" s="62">
        <v>82.71</v>
      </c>
      <c r="F37" s="941" t="s">
        <v>9</v>
      </c>
      <c r="G37" s="62" t="s">
        <v>27</v>
      </c>
      <c r="H37" s="62" t="s">
        <v>16</v>
      </c>
      <c r="I37" s="95">
        <v>5123657.87</v>
      </c>
      <c r="J37" s="62">
        <v>3</v>
      </c>
      <c r="K37" s="62" t="s">
        <v>65</v>
      </c>
      <c r="L37" s="62" t="s">
        <v>18</v>
      </c>
      <c r="M37" s="92">
        <v>44589</v>
      </c>
      <c r="N37" s="117" t="s">
        <v>17</v>
      </c>
      <c r="O37" s="62" t="s">
        <v>862</v>
      </c>
      <c r="P37" s="892" t="s">
        <v>67</v>
      </c>
      <c r="Q37" s="892" t="s">
        <v>67</v>
      </c>
      <c r="R37" s="892" t="s">
        <v>63</v>
      </c>
      <c r="S37" s="945" t="s">
        <v>63</v>
      </c>
      <c r="T37" s="945" t="s">
        <v>63</v>
      </c>
      <c r="U37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5123657.87</v>
      </c>
    </row>
    <row r="38" spans="1:90" s="929" customFormat="1" hidden="1" outlineLevel="1">
      <c r="A38" s="62">
        <v>36</v>
      </c>
      <c r="B38" s="75">
        <v>198</v>
      </c>
      <c r="C38" s="75">
        <v>18685</v>
      </c>
      <c r="D38" s="62" t="s">
        <v>73</v>
      </c>
      <c r="E38" s="62">
        <v>37.89</v>
      </c>
      <c r="F38" s="941" t="s">
        <v>25</v>
      </c>
      <c r="G38" s="62" t="s">
        <v>121</v>
      </c>
      <c r="H38" s="62" t="s">
        <v>575</v>
      </c>
      <c r="I38" s="95">
        <v>3654184.68</v>
      </c>
      <c r="J38" s="62">
        <v>1</v>
      </c>
      <c r="K38" s="62" t="s">
        <v>65</v>
      </c>
      <c r="L38" s="62" t="s">
        <v>18</v>
      </c>
      <c r="M38" s="92">
        <v>44589</v>
      </c>
      <c r="N38" s="117" t="s">
        <v>17</v>
      </c>
      <c r="O38" s="62" t="s">
        <v>863</v>
      </c>
      <c r="P38" s="892" t="s">
        <v>67</v>
      </c>
      <c r="Q38" s="892" t="s">
        <v>67</v>
      </c>
      <c r="R38" s="892" t="s">
        <v>73</v>
      </c>
      <c r="S38" s="945" t="s">
        <v>77</v>
      </c>
      <c r="T38" s="945" t="s">
        <v>77</v>
      </c>
      <c r="U38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3047944.6799999997</v>
      </c>
      <c r="V38" s="931"/>
      <c r="W38" s="931"/>
      <c r="X38" s="931"/>
      <c r="Y38" s="931"/>
      <c r="Z38" s="931"/>
      <c r="AA38" s="931"/>
      <c r="AB38" s="931"/>
      <c r="AC38" s="931"/>
      <c r="AD38" s="931"/>
      <c r="AE38" s="931"/>
      <c r="AF38" s="931"/>
      <c r="AG38" s="931"/>
      <c r="AH38" s="931"/>
      <c r="AI38" s="931"/>
      <c r="AJ38" s="931"/>
      <c r="AK38" s="931"/>
      <c r="AL38" s="931"/>
      <c r="AM38" s="931"/>
      <c r="AN38" s="931"/>
      <c r="AO38" s="931"/>
      <c r="AP38" s="931"/>
      <c r="AQ38" s="931"/>
      <c r="AR38" s="931"/>
      <c r="AS38" s="931"/>
      <c r="AT38" s="931"/>
      <c r="AU38" s="931"/>
      <c r="AV38" s="931"/>
      <c r="AW38" s="931"/>
      <c r="AX38" s="931"/>
      <c r="AY38" s="931"/>
      <c r="AZ38" s="931"/>
      <c r="BA38" s="931"/>
      <c r="BB38" s="931"/>
      <c r="BC38" s="931"/>
      <c r="BD38" s="931"/>
      <c r="BE38" s="931"/>
      <c r="BF38" s="931"/>
      <c r="BG38" s="931"/>
      <c r="BH38" s="931"/>
      <c r="BI38" s="931"/>
      <c r="BJ38" s="931"/>
      <c r="BK38" s="931"/>
      <c r="BL38" s="931"/>
      <c r="BM38" s="931"/>
      <c r="BN38" s="931"/>
      <c r="BO38" s="931"/>
      <c r="BP38" s="931"/>
      <c r="BQ38" s="931"/>
      <c r="BR38" s="931"/>
      <c r="BS38" s="931"/>
      <c r="BT38" s="931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1118"/>
      <c r="CF38" s="1118"/>
      <c r="CG38" s="1118"/>
      <c r="CH38" s="1118"/>
      <c r="CI38" s="1118"/>
      <c r="CJ38" s="1118"/>
      <c r="CK38" s="1118"/>
      <c r="CL38" s="1118"/>
    </row>
    <row r="39" spans="1:90" s="929" customFormat="1" ht="12.75" hidden="1" customHeight="1" outlineLevel="1">
      <c r="A39" s="62">
        <v>37</v>
      </c>
      <c r="B39" s="75">
        <v>22</v>
      </c>
      <c r="C39" s="75">
        <v>14207</v>
      </c>
      <c r="D39" s="62" t="s">
        <v>73</v>
      </c>
      <c r="E39" s="62">
        <v>24.39</v>
      </c>
      <c r="F39" s="941" t="s">
        <v>25</v>
      </c>
      <c r="G39" s="62" t="s">
        <v>27</v>
      </c>
      <c r="H39" s="62" t="s">
        <v>84</v>
      </c>
      <c r="I39" s="95">
        <v>2206692.3199999998</v>
      </c>
      <c r="J39" s="62">
        <v>0</v>
      </c>
      <c r="K39" s="62" t="s">
        <v>85</v>
      </c>
      <c r="L39" s="62" t="s">
        <v>18</v>
      </c>
      <c r="M39" s="92">
        <v>44589</v>
      </c>
      <c r="N39" s="117" t="s">
        <v>11</v>
      </c>
      <c r="O39" s="62" t="s">
        <v>864</v>
      </c>
      <c r="P39" s="892" t="s">
        <v>67</v>
      </c>
      <c r="Q39" s="892" t="s">
        <v>67</v>
      </c>
      <c r="R39" s="892" t="s">
        <v>73</v>
      </c>
      <c r="S39" s="892" t="s">
        <v>73</v>
      </c>
      <c r="T39" s="892" t="s">
        <v>73</v>
      </c>
      <c r="U39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1816452.3199999998</v>
      </c>
      <c r="V39" s="931"/>
      <c r="W39" s="931"/>
      <c r="X39" s="931"/>
      <c r="Y39" s="931"/>
      <c r="Z39" s="931"/>
      <c r="AA39" s="931"/>
      <c r="AB39" s="931"/>
      <c r="AC39" s="931"/>
      <c r="AD39" s="931"/>
      <c r="AE39" s="931"/>
      <c r="AF39" s="931"/>
      <c r="AG39" s="931"/>
      <c r="AH39" s="931"/>
      <c r="AI39" s="931"/>
      <c r="AJ39" s="931"/>
      <c r="AK39" s="931"/>
      <c r="AL39" s="931"/>
      <c r="AM39" s="931"/>
      <c r="AN39" s="931"/>
      <c r="AO39" s="931"/>
      <c r="AP39" s="931"/>
      <c r="AQ39" s="931"/>
      <c r="AR39" s="931"/>
      <c r="AS39" s="931"/>
      <c r="AT39" s="931"/>
      <c r="AU39" s="931"/>
      <c r="AV39" s="931"/>
      <c r="AW39" s="931"/>
      <c r="AX39" s="931"/>
      <c r="AY39" s="931"/>
      <c r="AZ39" s="931"/>
      <c r="BA39" s="931"/>
      <c r="BB39" s="931"/>
      <c r="BC39" s="931"/>
      <c r="BD39" s="931"/>
      <c r="BE39" s="931"/>
      <c r="BF39" s="931"/>
      <c r="BG39" s="931"/>
      <c r="BH39" s="931"/>
      <c r="BI39" s="931"/>
      <c r="BJ39" s="931"/>
      <c r="BK39" s="931"/>
      <c r="BL39" s="931"/>
      <c r="BM39" s="931"/>
      <c r="BN39" s="931"/>
      <c r="BO39" s="931"/>
      <c r="BP39" s="931"/>
      <c r="BQ39" s="931"/>
      <c r="BR39" s="931"/>
      <c r="BS39" s="931"/>
      <c r="BT39" s="931"/>
      <c r="BU39" s="931"/>
      <c r="BV39" s="931"/>
      <c r="BW39" s="931"/>
      <c r="BX39" s="931"/>
      <c r="BY39" s="931"/>
      <c r="BZ39" s="931"/>
      <c r="CA39" s="931"/>
      <c r="CB39" s="931"/>
      <c r="CC39" s="931"/>
      <c r="CD39" s="931"/>
      <c r="CE39" s="1118"/>
      <c r="CF39" s="1118"/>
      <c r="CG39" s="1118"/>
      <c r="CH39" s="1118"/>
      <c r="CI39" s="1118"/>
      <c r="CJ39" s="1118"/>
      <c r="CK39" s="1118"/>
      <c r="CL39" s="1118"/>
    </row>
    <row r="40" spans="1:90" s="929" customFormat="1" ht="12.75" hidden="1" customHeight="1" outlineLevel="1">
      <c r="A40" s="62">
        <v>38</v>
      </c>
      <c r="B40" s="75">
        <v>268</v>
      </c>
      <c r="C40" s="75">
        <v>19013</v>
      </c>
      <c r="D40" s="62" t="s">
        <v>63</v>
      </c>
      <c r="E40" s="62">
        <v>56.93</v>
      </c>
      <c r="F40" s="941" t="s">
        <v>9</v>
      </c>
      <c r="G40" s="62" t="s">
        <v>121</v>
      </c>
      <c r="H40" s="62" t="s">
        <v>575</v>
      </c>
      <c r="I40" s="95">
        <v>4210512.32</v>
      </c>
      <c r="J40" s="62">
        <v>2</v>
      </c>
      <c r="K40" s="62" t="s">
        <v>65</v>
      </c>
      <c r="L40" s="62" t="s">
        <v>18</v>
      </c>
      <c r="M40" s="92">
        <v>44589</v>
      </c>
      <c r="N40" s="117" t="s">
        <v>17</v>
      </c>
      <c r="O40" s="62" t="s">
        <v>865</v>
      </c>
      <c r="P40" s="892" t="s">
        <v>67</v>
      </c>
      <c r="Q40" s="892" t="s">
        <v>67</v>
      </c>
      <c r="R40" s="892" t="s">
        <v>63</v>
      </c>
      <c r="S40" s="892" t="s">
        <v>63</v>
      </c>
      <c r="T40" s="892" t="s">
        <v>63</v>
      </c>
      <c r="U40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4210512.32</v>
      </c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  <c r="AF40" s="931"/>
      <c r="AG40" s="931"/>
      <c r="AH40" s="931"/>
      <c r="AI40" s="931"/>
      <c r="AJ40" s="931"/>
      <c r="AK40" s="931"/>
      <c r="AL40" s="931"/>
      <c r="AM40" s="931"/>
      <c r="AN40" s="931"/>
      <c r="AO40" s="931"/>
      <c r="AP40" s="931"/>
      <c r="AQ40" s="931"/>
      <c r="AR40" s="931"/>
      <c r="AS40" s="931"/>
      <c r="AT40" s="931"/>
      <c r="AU40" s="931"/>
      <c r="AV40" s="931"/>
      <c r="AW40" s="931"/>
      <c r="AX40" s="931"/>
      <c r="AY40" s="931"/>
      <c r="AZ40" s="931"/>
      <c r="BA40" s="931"/>
      <c r="BB40" s="931"/>
      <c r="BC40" s="931"/>
      <c r="BD40" s="931"/>
      <c r="BE40" s="931"/>
      <c r="BF40" s="931"/>
      <c r="BG40" s="931"/>
      <c r="BH40" s="931"/>
      <c r="BI40" s="931"/>
      <c r="BJ40" s="931"/>
      <c r="BK40" s="931"/>
      <c r="BL40" s="931"/>
      <c r="BM40" s="931"/>
      <c r="BN40" s="931"/>
      <c r="BO40" s="931"/>
      <c r="BP40" s="931"/>
      <c r="BQ40" s="931"/>
      <c r="BR40" s="931"/>
      <c r="BS40" s="931"/>
      <c r="BT40" s="931"/>
      <c r="BU40" s="931"/>
      <c r="BV40" s="931"/>
      <c r="BW40" s="931"/>
      <c r="BX40" s="931"/>
      <c r="BY40" s="931"/>
      <c r="BZ40" s="931"/>
      <c r="CA40" s="931"/>
      <c r="CB40" s="931"/>
      <c r="CC40" s="931"/>
      <c r="CD40" s="931"/>
      <c r="CE40" s="1118"/>
      <c r="CF40" s="1118"/>
      <c r="CG40" s="1118"/>
      <c r="CH40" s="1118"/>
      <c r="CI40" s="1118"/>
      <c r="CJ40" s="1118"/>
      <c r="CK40" s="1118"/>
      <c r="CL40" s="1118"/>
    </row>
    <row r="41" spans="1:90" s="929" customFormat="1" ht="12.75" hidden="1" customHeight="1" outlineLevel="1">
      <c r="A41" s="62">
        <v>39</v>
      </c>
      <c r="B41" s="75">
        <v>18</v>
      </c>
      <c r="C41" s="75">
        <v>18998</v>
      </c>
      <c r="D41" s="62" t="s">
        <v>471</v>
      </c>
      <c r="E41" s="62">
        <v>37.94</v>
      </c>
      <c r="F41" s="941" t="s">
        <v>15</v>
      </c>
      <c r="G41" s="62" t="s">
        <v>27</v>
      </c>
      <c r="H41" s="62" t="s">
        <v>575</v>
      </c>
      <c r="I41" s="95">
        <v>2793444.8</v>
      </c>
      <c r="J41" s="62">
        <v>1</v>
      </c>
      <c r="K41" s="62" t="s">
        <v>65</v>
      </c>
      <c r="L41" s="62" t="s">
        <v>18</v>
      </c>
      <c r="M41" s="539">
        <v>44587</v>
      </c>
      <c r="N41" s="117" t="s">
        <v>17</v>
      </c>
      <c r="O41" s="62" t="s">
        <v>866</v>
      </c>
      <c r="P41" s="62" t="s">
        <v>67</v>
      </c>
      <c r="Q41" s="62" t="s">
        <v>67</v>
      </c>
      <c r="R41" s="892" t="s">
        <v>471</v>
      </c>
      <c r="S41" s="945" t="s">
        <v>471</v>
      </c>
      <c r="T41" s="945" t="s">
        <v>471</v>
      </c>
      <c r="U41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2584774.7999999998</v>
      </c>
      <c r="V41" s="931"/>
      <c r="W41" s="931"/>
      <c r="X41" s="931"/>
      <c r="Y41" s="931"/>
      <c r="Z41" s="931"/>
      <c r="AA41" s="931"/>
      <c r="AB41" s="931"/>
      <c r="AC41" s="931"/>
      <c r="AD41" s="931"/>
      <c r="AE41" s="931"/>
      <c r="AF41" s="931"/>
      <c r="AG41" s="931"/>
      <c r="AH41" s="931"/>
      <c r="AI41" s="931"/>
      <c r="AJ41" s="931"/>
      <c r="AK41" s="931"/>
      <c r="AL41" s="931"/>
      <c r="AM41" s="931"/>
      <c r="AN41" s="931"/>
      <c r="AO41" s="931"/>
      <c r="AP41" s="931"/>
      <c r="AQ41" s="931"/>
      <c r="AR41" s="931"/>
      <c r="AS41" s="931"/>
      <c r="AT41" s="931"/>
      <c r="AU41" s="931"/>
      <c r="AV41" s="931"/>
      <c r="AW41" s="931"/>
      <c r="AX41" s="931"/>
      <c r="AY41" s="931"/>
      <c r="AZ41" s="931"/>
      <c r="BA41" s="931"/>
      <c r="BB41" s="931"/>
      <c r="BC41" s="931"/>
      <c r="BD41" s="931"/>
      <c r="BE41" s="931"/>
      <c r="BF41" s="931"/>
      <c r="BG41" s="931"/>
      <c r="BH41" s="931"/>
      <c r="BI41" s="931"/>
      <c r="BJ41" s="931"/>
      <c r="BK41" s="931"/>
      <c r="BL41" s="931"/>
      <c r="BM41" s="931"/>
      <c r="BN41" s="931"/>
      <c r="BO41" s="931"/>
      <c r="BP41" s="931"/>
      <c r="BQ41" s="931"/>
      <c r="BR41" s="931"/>
      <c r="BS41" s="931"/>
      <c r="BT41" s="931"/>
      <c r="BU41" s="931"/>
      <c r="BV41" s="931"/>
      <c r="BW41" s="931"/>
      <c r="BX41" s="931"/>
      <c r="BY41" s="931"/>
      <c r="BZ41" s="931"/>
      <c r="CA41" s="931"/>
      <c r="CB41" s="931"/>
      <c r="CC41" s="931"/>
      <c r="CD41" s="931"/>
      <c r="CE41" s="1118"/>
      <c r="CF41" s="1118"/>
      <c r="CG41" s="1118"/>
      <c r="CH41" s="1118"/>
      <c r="CI41" s="1118"/>
      <c r="CJ41" s="1118"/>
      <c r="CK41" s="1118"/>
      <c r="CL41" s="1118"/>
    </row>
    <row r="42" spans="1:90" ht="12.75" hidden="1" customHeight="1" outlineLevel="1">
      <c r="A42" s="62">
        <v>40</v>
      </c>
      <c r="B42" s="75">
        <v>305</v>
      </c>
      <c r="C42" s="75">
        <v>19046</v>
      </c>
      <c r="D42" s="1344" t="s">
        <v>29</v>
      </c>
      <c r="E42" s="62">
        <v>37.159999999999997</v>
      </c>
      <c r="F42" s="941" t="s">
        <v>9</v>
      </c>
      <c r="G42" s="62" t="s">
        <v>27</v>
      </c>
      <c r="H42" s="62" t="s">
        <v>10</v>
      </c>
      <c r="I42" s="91">
        <v>2641706.2599999998</v>
      </c>
      <c r="J42" s="62">
        <v>1</v>
      </c>
      <c r="K42" s="62" t="s">
        <v>85</v>
      </c>
      <c r="L42" s="62" t="s">
        <v>18</v>
      </c>
      <c r="M42" s="1231">
        <v>44589</v>
      </c>
      <c r="N42" s="117" t="s">
        <v>11</v>
      </c>
      <c r="O42" s="76" t="s">
        <v>867</v>
      </c>
      <c r="P42" s="62" t="s">
        <v>67</v>
      </c>
      <c r="Q42" s="62" t="s">
        <v>67</v>
      </c>
      <c r="R42" s="892"/>
      <c r="S42" s="945"/>
      <c r="T42" s="945"/>
      <c r="U42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2641706.2599999998</v>
      </c>
    </row>
    <row r="43" spans="1:90" hidden="1" outlineLevel="1">
      <c r="A43" s="62">
        <v>41</v>
      </c>
      <c r="B43" s="75">
        <v>116</v>
      </c>
      <c r="C43" s="75">
        <v>19060</v>
      </c>
      <c r="D43" s="62" t="s">
        <v>63</v>
      </c>
      <c r="E43" s="62">
        <v>36.86</v>
      </c>
      <c r="F43" s="941" t="s">
        <v>9</v>
      </c>
      <c r="G43" s="62" t="s">
        <v>121</v>
      </c>
      <c r="H43" s="62" t="s">
        <v>16</v>
      </c>
      <c r="I43" s="95">
        <v>2896143.32</v>
      </c>
      <c r="J43" s="62">
        <v>1</v>
      </c>
      <c r="K43" s="62" t="s">
        <v>65</v>
      </c>
      <c r="L43" s="62" t="s">
        <v>18</v>
      </c>
      <c r="M43" s="92">
        <v>44592</v>
      </c>
      <c r="N43" s="117" t="s">
        <v>17</v>
      </c>
      <c r="O43" s="348" t="s">
        <v>868</v>
      </c>
      <c r="P43" s="62" t="s">
        <v>67</v>
      </c>
      <c r="Q43" s="62" t="s">
        <v>67</v>
      </c>
      <c r="R43" s="892" t="s">
        <v>63</v>
      </c>
      <c r="S43" s="892" t="s">
        <v>63</v>
      </c>
      <c r="T43" s="892" t="s">
        <v>63</v>
      </c>
      <c r="U43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2896143.32</v>
      </c>
    </row>
    <row r="44" spans="1:90" hidden="1" outlineLevel="1">
      <c r="A44" s="62">
        <v>42</v>
      </c>
      <c r="B44" s="75">
        <v>449</v>
      </c>
      <c r="C44" s="75">
        <v>18953</v>
      </c>
      <c r="D44" s="62" t="s">
        <v>63</v>
      </c>
      <c r="E44" s="62">
        <v>37.159999999999997</v>
      </c>
      <c r="F44" s="941" t="s">
        <v>15</v>
      </c>
      <c r="G44" s="62" t="s">
        <v>27</v>
      </c>
      <c r="H44" s="62" t="s">
        <v>10</v>
      </c>
      <c r="I44" s="95">
        <v>2846086.26</v>
      </c>
      <c r="J44" s="62">
        <v>1</v>
      </c>
      <c r="K44" s="62" t="s">
        <v>85</v>
      </c>
      <c r="L44" s="62" t="s">
        <v>12</v>
      </c>
      <c r="M44" s="539">
        <v>44589</v>
      </c>
      <c r="N44" s="117" t="s">
        <v>11</v>
      </c>
      <c r="O44" s="941" t="s">
        <v>869</v>
      </c>
      <c r="P44" s="62" t="s">
        <v>67</v>
      </c>
      <c r="Q44" s="62" t="s">
        <v>67</v>
      </c>
      <c r="R44" s="892" t="s">
        <v>63</v>
      </c>
      <c r="S44" s="945" t="s">
        <v>77</v>
      </c>
      <c r="T44" s="945" t="s">
        <v>63</v>
      </c>
      <c r="U44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2641706.2599999998</v>
      </c>
    </row>
    <row r="45" spans="1:90" s="929" customFormat="1" hidden="1" outlineLevel="1">
      <c r="A45" s="62">
        <v>43</v>
      </c>
      <c r="B45" s="62">
        <v>45</v>
      </c>
      <c r="C45" s="75">
        <v>19001</v>
      </c>
      <c r="D45" s="62" t="s">
        <v>73</v>
      </c>
      <c r="E45" s="62">
        <v>76.56</v>
      </c>
      <c r="F45" s="941" t="s">
        <v>9</v>
      </c>
      <c r="G45" s="62" t="s">
        <v>121</v>
      </c>
      <c r="H45" s="62" t="s">
        <v>16</v>
      </c>
      <c r="I45" s="95">
        <v>5447662.8499999996</v>
      </c>
      <c r="J45" s="62">
        <v>3</v>
      </c>
      <c r="K45" s="62" t="s">
        <v>65</v>
      </c>
      <c r="L45" s="62" t="s">
        <v>18</v>
      </c>
      <c r="M45" s="942">
        <v>44589</v>
      </c>
      <c r="N45" s="62" t="s">
        <v>11</v>
      </c>
      <c r="O45" s="941" t="s">
        <v>870</v>
      </c>
      <c r="P45" s="62" t="s">
        <v>67</v>
      </c>
      <c r="Q45" s="62" t="s">
        <v>67</v>
      </c>
      <c r="R45" s="76" t="s">
        <v>73</v>
      </c>
      <c r="S45" s="941" t="s">
        <v>73</v>
      </c>
      <c r="T45" s="941" t="s">
        <v>73</v>
      </c>
      <c r="U45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5447662.8500000006</v>
      </c>
      <c r="V45" s="931"/>
      <c r="W45" s="931"/>
      <c r="X45" s="931"/>
      <c r="Y45" s="931"/>
      <c r="Z45" s="931"/>
      <c r="AA45" s="931"/>
      <c r="AB45" s="931"/>
      <c r="AC45" s="931"/>
      <c r="AD45" s="931"/>
      <c r="AE45" s="931"/>
      <c r="AF45" s="931"/>
      <c r="AG45" s="931"/>
      <c r="AH45" s="931"/>
      <c r="AI45" s="931"/>
      <c r="AJ45" s="931"/>
      <c r="AK45" s="931"/>
      <c r="AL45" s="931"/>
      <c r="AM45" s="931"/>
      <c r="AN45" s="931"/>
      <c r="AO45" s="931"/>
      <c r="AP45" s="931"/>
      <c r="AQ45" s="931"/>
      <c r="AR45" s="931"/>
      <c r="AS45" s="931"/>
      <c r="AT45" s="931"/>
      <c r="AU45" s="931"/>
      <c r="AV45" s="931"/>
      <c r="AW45" s="931"/>
      <c r="AX45" s="931"/>
      <c r="AY45" s="931"/>
      <c r="AZ45" s="931"/>
      <c r="BA45" s="931"/>
      <c r="BB45" s="931"/>
      <c r="BC45" s="931"/>
      <c r="BD45" s="931"/>
      <c r="BE45" s="931"/>
      <c r="BF45" s="931"/>
      <c r="BG45" s="931"/>
      <c r="BH45" s="931"/>
      <c r="BI45" s="931"/>
      <c r="BJ45" s="931"/>
      <c r="BK45" s="931"/>
      <c r="BL45" s="931"/>
      <c r="BM45" s="931"/>
      <c r="BN45" s="931"/>
      <c r="BO45" s="931"/>
      <c r="BP45" s="931"/>
      <c r="BQ45" s="931"/>
      <c r="BR45" s="931"/>
      <c r="BS45" s="931"/>
      <c r="BT45" s="931"/>
      <c r="BU45" s="931"/>
      <c r="BV45" s="931"/>
      <c r="BW45" s="931"/>
      <c r="BX45" s="931"/>
      <c r="BY45" s="931"/>
      <c r="BZ45" s="931"/>
      <c r="CA45" s="931"/>
      <c r="CB45" s="931"/>
      <c r="CC45" s="931"/>
      <c r="CD45" s="931"/>
      <c r="CE45" s="1118"/>
      <c r="CF45" s="1118"/>
      <c r="CG45" s="1118"/>
      <c r="CH45" s="1118"/>
      <c r="CI45" s="1118"/>
      <c r="CJ45" s="1118"/>
      <c r="CK45" s="1118"/>
      <c r="CL45" s="1118"/>
    </row>
    <row r="46" spans="1:90" hidden="1" outlineLevel="1">
      <c r="A46" s="62">
        <v>44</v>
      </c>
      <c r="B46" s="75">
        <v>68</v>
      </c>
      <c r="C46" s="75">
        <v>13570</v>
      </c>
      <c r="D46" s="62" t="s">
        <v>73</v>
      </c>
      <c r="E46" s="62">
        <v>36.42</v>
      </c>
      <c r="F46" s="76" t="s">
        <v>9</v>
      </c>
      <c r="G46" s="62" t="s">
        <v>121</v>
      </c>
      <c r="H46" s="62" t="s">
        <v>16</v>
      </c>
      <c r="I46" s="91">
        <v>2861571.88</v>
      </c>
      <c r="J46" s="62">
        <v>1</v>
      </c>
      <c r="K46" s="62" t="s">
        <v>65</v>
      </c>
      <c r="L46" s="62" t="s">
        <v>18</v>
      </c>
      <c r="M46" s="537">
        <v>44592</v>
      </c>
      <c r="N46" s="62" t="s">
        <v>17</v>
      </c>
      <c r="O46" s="76" t="s">
        <v>871</v>
      </c>
      <c r="P46" s="62" t="s">
        <v>67</v>
      </c>
      <c r="Q46" s="62" t="s">
        <v>67</v>
      </c>
      <c r="R46" s="76" t="s">
        <v>73</v>
      </c>
      <c r="S46" s="941" t="s">
        <v>77</v>
      </c>
      <c r="T46" s="941" t="s">
        <v>77</v>
      </c>
      <c r="U46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2861571.88</v>
      </c>
    </row>
    <row r="47" spans="1:90" hidden="1" outlineLevel="1">
      <c r="A47" s="62">
        <v>45</v>
      </c>
      <c r="B47" s="75">
        <v>158</v>
      </c>
      <c r="C47" s="75">
        <v>9380</v>
      </c>
      <c r="D47" s="62" t="s">
        <v>77</v>
      </c>
      <c r="E47" s="62">
        <v>36.86</v>
      </c>
      <c r="F47" s="941" t="s">
        <v>15</v>
      </c>
      <c r="G47" s="62" t="s">
        <v>121</v>
      </c>
      <c r="H47" s="62" t="s">
        <v>16</v>
      </c>
      <c r="I47" s="352">
        <v>3263543.87</v>
      </c>
      <c r="J47" s="62">
        <v>1</v>
      </c>
      <c r="K47" s="62" t="s">
        <v>65</v>
      </c>
      <c r="L47" s="62" t="s">
        <v>18</v>
      </c>
      <c r="M47" s="92"/>
      <c r="N47" s="117" t="s">
        <v>17</v>
      </c>
      <c r="O47" s="62" t="s">
        <v>872</v>
      </c>
      <c r="P47" s="62" t="s">
        <v>67</v>
      </c>
      <c r="Q47" s="62" t="s">
        <v>67</v>
      </c>
      <c r="R47" s="941" t="s">
        <v>77</v>
      </c>
      <c r="S47" s="941" t="s">
        <v>77</v>
      </c>
      <c r="T47" s="941" t="s">
        <v>77</v>
      </c>
      <c r="U47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3060813.87</v>
      </c>
    </row>
    <row r="48" spans="1:90" hidden="1" outlineLevel="1">
      <c r="A48" s="62">
        <v>46</v>
      </c>
      <c r="B48" s="75">
        <v>48</v>
      </c>
      <c r="C48" s="75">
        <v>19104</v>
      </c>
      <c r="D48" s="62" t="s">
        <v>20</v>
      </c>
      <c r="E48" s="62">
        <v>59.96</v>
      </c>
      <c r="F48" s="941" t="s">
        <v>15</v>
      </c>
      <c r="G48" s="62" t="s">
        <v>121</v>
      </c>
      <c r="H48" s="62" t="s">
        <v>16</v>
      </c>
      <c r="I48" s="352">
        <v>4704735.68</v>
      </c>
      <c r="J48" s="62">
        <v>2</v>
      </c>
      <c r="K48" s="62" t="s">
        <v>65</v>
      </c>
      <c r="L48" s="62" t="s">
        <v>18</v>
      </c>
      <c r="M48" s="92">
        <v>44592</v>
      </c>
      <c r="N48" s="117" t="s">
        <v>17</v>
      </c>
      <c r="O48" s="62" t="s">
        <v>873</v>
      </c>
      <c r="P48" s="62" t="s">
        <v>67</v>
      </c>
      <c r="Q48" s="62" t="s">
        <v>67</v>
      </c>
      <c r="R48" s="892" t="s">
        <v>20</v>
      </c>
      <c r="S48" s="945" t="s">
        <v>20</v>
      </c>
      <c r="T48" s="945" t="s">
        <v>20</v>
      </c>
      <c r="U48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4374955.68</v>
      </c>
    </row>
    <row r="49" spans="1:90" s="929" customFormat="1" hidden="1" outlineLevel="1">
      <c r="A49" s="62">
        <v>47</v>
      </c>
      <c r="B49" s="75">
        <v>864</v>
      </c>
      <c r="C49" s="75">
        <v>19101</v>
      </c>
      <c r="D49" s="62" t="s">
        <v>20</v>
      </c>
      <c r="E49" s="62">
        <v>62.69</v>
      </c>
      <c r="F49" s="941" t="s">
        <v>9</v>
      </c>
      <c r="G49" s="62" t="s">
        <v>27</v>
      </c>
      <c r="H49" s="62" t="s">
        <v>16</v>
      </c>
      <c r="I49" s="352">
        <v>4122646.1</v>
      </c>
      <c r="J49" s="62">
        <v>2</v>
      </c>
      <c r="K49" s="62" t="s">
        <v>65</v>
      </c>
      <c r="L49" s="62" t="s">
        <v>18</v>
      </c>
      <c r="M49" s="92">
        <v>44592</v>
      </c>
      <c r="N49" s="117" t="s">
        <v>17</v>
      </c>
      <c r="O49" s="62" t="s">
        <v>874</v>
      </c>
      <c r="P49" s="62" t="s">
        <v>67</v>
      </c>
      <c r="Q49" s="62" t="s">
        <v>67</v>
      </c>
      <c r="R49" s="892" t="s">
        <v>20</v>
      </c>
      <c r="S49" s="945" t="s">
        <v>20</v>
      </c>
      <c r="T49" s="945" t="s">
        <v>20</v>
      </c>
      <c r="U49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4122646.1</v>
      </c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</row>
    <row r="50" spans="1:90" hidden="1" outlineLevel="1">
      <c r="A50" s="62">
        <v>48</v>
      </c>
      <c r="B50" s="75">
        <v>428</v>
      </c>
      <c r="C50" s="75">
        <v>19125</v>
      </c>
      <c r="D50" s="348" t="s">
        <v>29</v>
      </c>
      <c r="E50" s="62">
        <v>23.63</v>
      </c>
      <c r="F50" s="1345" t="s">
        <v>9</v>
      </c>
      <c r="G50" s="117" t="s">
        <v>27</v>
      </c>
      <c r="H50" s="117" t="s">
        <v>84</v>
      </c>
      <c r="I50" s="352">
        <v>1828595.26</v>
      </c>
      <c r="J50" s="62">
        <v>0</v>
      </c>
      <c r="K50" s="117" t="s">
        <v>85</v>
      </c>
      <c r="L50" s="1346" t="s">
        <v>18</v>
      </c>
      <c r="M50" s="539">
        <v>44592</v>
      </c>
      <c r="N50" s="117" t="s">
        <v>11</v>
      </c>
      <c r="O50" s="396" t="s">
        <v>875</v>
      </c>
      <c r="P50" s="62" t="s">
        <v>67</v>
      </c>
      <c r="Q50" s="62" t="s">
        <v>67</v>
      </c>
      <c r="R50" s="941"/>
      <c r="S50" s="941"/>
      <c r="T50" s="941"/>
      <c r="U50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1828595.2599999998</v>
      </c>
    </row>
    <row r="51" spans="1:90" s="929" customFormat="1" hidden="1" outlineLevel="1">
      <c r="A51" s="62">
        <v>49</v>
      </c>
      <c r="B51" s="75">
        <v>90</v>
      </c>
      <c r="C51" s="75">
        <v>14074</v>
      </c>
      <c r="D51" s="62" t="s">
        <v>471</v>
      </c>
      <c r="E51" s="62">
        <v>59.96</v>
      </c>
      <c r="F51" s="1007" t="s">
        <v>9</v>
      </c>
      <c r="G51" s="62" t="s">
        <v>121</v>
      </c>
      <c r="H51" s="62" t="s">
        <v>16</v>
      </c>
      <c r="I51" s="352">
        <v>4464240.49</v>
      </c>
      <c r="J51" s="62">
        <v>2</v>
      </c>
      <c r="K51" s="62" t="s">
        <v>65</v>
      </c>
      <c r="L51" s="431" t="s">
        <v>18</v>
      </c>
      <c r="M51" s="539">
        <v>44592</v>
      </c>
      <c r="N51" s="62" t="s">
        <v>17</v>
      </c>
      <c r="O51" s="348" t="s">
        <v>876</v>
      </c>
      <c r="P51" s="62" t="s">
        <v>67</v>
      </c>
      <c r="Q51" s="62" t="s">
        <v>67</v>
      </c>
      <c r="R51" s="941" t="s">
        <v>471</v>
      </c>
      <c r="S51" s="941" t="s">
        <v>471</v>
      </c>
      <c r="T51" s="941" t="s">
        <v>471</v>
      </c>
      <c r="U51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4464240.49</v>
      </c>
      <c r="V51" s="931"/>
      <c r="W51" s="931"/>
      <c r="X51" s="931"/>
      <c r="Y51" s="931"/>
      <c r="Z51" s="931"/>
      <c r="AA51" s="931"/>
      <c r="AB51" s="931"/>
      <c r="AC51" s="931"/>
      <c r="AD51" s="931"/>
      <c r="AE51" s="931"/>
      <c r="AF51" s="931"/>
      <c r="AG51" s="931"/>
      <c r="AH51" s="931"/>
      <c r="AI51" s="931"/>
      <c r="AJ51" s="931"/>
      <c r="AK51" s="931"/>
      <c r="AL51" s="931"/>
      <c r="AM51" s="931"/>
      <c r="AN51" s="931"/>
      <c r="AO51" s="931"/>
      <c r="AP51" s="931"/>
      <c r="AQ51" s="931"/>
      <c r="AR51" s="931"/>
      <c r="AS51" s="931"/>
      <c r="AT51" s="931"/>
      <c r="AU51" s="931"/>
      <c r="AV51" s="931"/>
      <c r="AW51" s="931"/>
    </row>
    <row r="52" spans="1:90" hidden="1" outlineLevel="1">
      <c r="A52" s="62">
        <v>50</v>
      </c>
      <c r="B52" s="75">
        <v>273</v>
      </c>
      <c r="C52" s="62">
        <v>18937</v>
      </c>
      <c r="D52" s="62"/>
      <c r="E52" s="62">
        <v>37.159999999999997</v>
      </c>
      <c r="F52" s="1007" t="s">
        <v>9</v>
      </c>
      <c r="G52" s="62" t="s">
        <v>27</v>
      </c>
      <c r="H52" s="62" t="s">
        <v>84</v>
      </c>
      <c r="I52" s="352">
        <v>2641706.2599999998</v>
      </c>
      <c r="J52" s="62">
        <v>1</v>
      </c>
      <c r="K52" s="62" t="s">
        <v>85</v>
      </c>
      <c r="L52" s="431" t="s">
        <v>18</v>
      </c>
      <c r="M52" s="539">
        <v>44592</v>
      </c>
      <c r="N52" s="62" t="s">
        <v>17</v>
      </c>
      <c r="O52" s="348" t="s">
        <v>877</v>
      </c>
      <c r="P52" s="62" t="s">
        <v>67</v>
      </c>
      <c r="Q52" s="62" t="s">
        <v>67</v>
      </c>
      <c r="R52" s="941"/>
      <c r="S52" s="941" t="s">
        <v>63</v>
      </c>
      <c r="T52" s="941" t="s">
        <v>878</v>
      </c>
      <c r="U52" s="946">
        <f>IFERROR(SUM(декабрь2128[[#This Row],[сумма]]/декабрь2128[[#This Row],[м2]],IF(декабрь2128[[#This Row],[Отделка]]="Черновая",0,"")&amp;IF(декабрь2128[[#This Row],[Отделка]]="Предчистовая",-5500,"")&amp;IF(декабрь2128[[#This Row],[Отделка]]="Чистовая",-16000,""))*декабрь2128[[#This Row],[м2]],"")</f>
        <v>2641706.2599999998</v>
      </c>
    </row>
    <row r="53" spans="1:90" collapsed="1">
      <c r="A53" s="2293" t="s">
        <v>713</v>
      </c>
      <c r="B53" s="2294"/>
      <c r="C53" s="972" t="s">
        <v>121</v>
      </c>
      <c r="D53" s="2292"/>
      <c r="E53" s="2292"/>
      <c r="F53" s="2292"/>
      <c r="G53" s="2292"/>
      <c r="H53" s="2292"/>
      <c r="I53" s="2292"/>
      <c r="J53" s="2292"/>
      <c r="K53" s="2292"/>
      <c r="L53" s="2292"/>
      <c r="M53" s="2292"/>
      <c r="N53" s="2292"/>
      <c r="O53" s="2292"/>
      <c r="P53" s="2292"/>
      <c r="Q53" s="930"/>
      <c r="R53" s="949"/>
      <c r="S53" s="949"/>
      <c r="T53" s="949"/>
    </row>
    <row r="54" spans="1:90" s="1214" customFormat="1" ht="25.5">
      <c r="A54" s="1313" t="s">
        <v>1</v>
      </c>
      <c r="B54" s="686" t="s">
        <v>100</v>
      </c>
      <c r="C54" s="687" t="s">
        <v>97</v>
      </c>
      <c r="D54" s="688" t="s">
        <v>95</v>
      </c>
      <c r="E54" s="1033" t="s">
        <v>494</v>
      </c>
      <c r="F54" s="1033" t="s">
        <v>495</v>
      </c>
      <c r="G54" s="1033" t="s">
        <v>496</v>
      </c>
      <c r="H54" s="1034" t="s">
        <v>101</v>
      </c>
      <c r="I54" s="1023" t="s">
        <v>98</v>
      </c>
      <c r="J54" s="1023" t="s">
        <v>96</v>
      </c>
      <c r="K54" s="1023" t="s">
        <v>715</v>
      </c>
      <c r="L54" s="1060" t="s">
        <v>716</v>
      </c>
      <c r="M54" s="1033">
        <v>0</v>
      </c>
      <c r="N54" s="1033">
        <v>1</v>
      </c>
      <c r="O54" s="1033">
        <v>2</v>
      </c>
      <c r="P54" s="1033">
        <v>3</v>
      </c>
      <c r="Q54" s="1104">
        <v>4</v>
      </c>
      <c r="R54" s="950"/>
      <c r="S54" s="950"/>
      <c r="T54" s="950"/>
      <c r="U54" s="951"/>
      <c r="CE54" s="1350"/>
      <c r="CF54" s="1350"/>
      <c r="CG54" s="1350"/>
      <c r="CH54" s="1350"/>
      <c r="CI54" s="1350"/>
      <c r="CJ54" s="1350"/>
      <c r="CK54" s="1350"/>
      <c r="CL54" s="1350"/>
    </row>
    <row r="55" spans="1:90">
      <c r="A55" s="1314" t="s">
        <v>73</v>
      </c>
      <c r="B55" s="1109">
        <v>175</v>
      </c>
      <c r="C55" s="939">
        <v>13386395.609999999</v>
      </c>
      <c r="D55" s="1069">
        <v>3</v>
      </c>
      <c r="E55" s="145">
        <v>187.29</v>
      </c>
      <c r="F55" s="939">
        <v>14381456.16</v>
      </c>
      <c r="G55" s="1038">
        <v>4</v>
      </c>
      <c r="H55" s="148">
        <v>187.29</v>
      </c>
      <c r="I55" s="149">
        <v>14381456.16</v>
      </c>
      <c r="J55" s="220">
        <v>4</v>
      </c>
      <c r="K55" s="943">
        <v>1.07022857142857</v>
      </c>
      <c r="L55" s="1061">
        <v>1.0743337175286101</v>
      </c>
      <c r="M55" s="339">
        <v>0</v>
      </c>
      <c r="N55" s="339">
        <v>3</v>
      </c>
      <c r="O55" s="339">
        <v>0</v>
      </c>
      <c r="P55" s="339">
        <v>1</v>
      </c>
      <c r="Q55" s="1099">
        <v>0</v>
      </c>
      <c r="R55" s="949"/>
      <c r="S55" s="949"/>
      <c r="T55" s="949"/>
      <c r="U55" s="930"/>
    </row>
    <row r="56" spans="1:90">
      <c r="A56" s="1315" t="s">
        <v>77</v>
      </c>
      <c r="B56" s="1109">
        <v>60</v>
      </c>
      <c r="C56" s="939">
        <v>4589621.352</v>
      </c>
      <c r="D56" s="1069">
        <v>2</v>
      </c>
      <c r="E56" s="257">
        <v>134.02000000000001</v>
      </c>
      <c r="F56" s="954">
        <v>10278853.48</v>
      </c>
      <c r="G56" s="1234">
        <v>3</v>
      </c>
      <c r="H56" s="202">
        <v>134.02000000000001</v>
      </c>
      <c r="I56" s="203">
        <v>10278853.48</v>
      </c>
      <c r="J56" s="226">
        <v>3</v>
      </c>
      <c r="K56" s="987">
        <v>2.2336666666666698</v>
      </c>
      <c r="L56" s="1062">
        <v>2.23958638233213</v>
      </c>
      <c r="M56" s="339">
        <v>0</v>
      </c>
      <c r="N56" s="339">
        <v>2</v>
      </c>
      <c r="O56" s="339">
        <v>1</v>
      </c>
      <c r="P56" s="339">
        <v>0</v>
      </c>
      <c r="Q56" s="1099">
        <v>0</v>
      </c>
      <c r="R56" s="949"/>
      <c r="S56" s="949"/>
      <c r="T56" s="949"/>
      <c r="U56" s="930"/>
    </row>
    <row r="57" spans="1:90">
      <c r="A57" s="1315" t="s">
        <v>471</v>
      </c>
      <c r="B57" s="1109">
        <v>200</v>
      </c>
      <c r="C57" s="939">
        <v>15298737.84</v>
      </c>
      <c r="D57" s="1069">
        <v>4</v>
      </c>
      <c r="E57" s="257">
        <v>251.16</v>
      </c>
      <c r="F57" s="954">
        <v>19030507.23</v>
      </c>
      <c r="G57" s="1234">
        <v>5</v>
      </c>
      <c r="H57" s="202">
        <v>251.16</v>
      </c>
      <c r="I57" s="203">
        <v>19030507.23</v>
      </c>
      <c r="J57" s="226">
        <v>5</v>
      </c>
      <c r="K57" s="987">
        <v>1.2558</v>
      </c>
      <c r="L57" s="1062">
        <v>1.2439266185896001</v>
      </c>
      <c r="M57" s="339">
        <v>0</v>
      </c>
      <c r="N57" s="339">
        <v>2</v>
      </c>
      <c r="O57" s="339">
        <v>3</v>
      </c>
      <c r="P57" s="339">
        <v>0</v>
      </c>
      <c r="Q57" s="1099">
        <v>0</v>
      </c>
      <c r="R57" s="949"/>
      <c r="S57" s="949"/>
      <c r="T57" s="949"/>
      <c r="U57" s="930"/>
    </row>
    <row r="58" spans="1:90">
      <c r="A58" s="1315" t="s">
        <v>20</v>
      </c>
      <c r="B58" s="1109">
        <v>155</v>
      </c>
      <c r="C58" s="939">
        <v>11856521.825999999</v>
      </c>
      <c r="D58" s="1069">
        <v>3</v>
      </c>
      <c r="E58" s="257">
        <v>173.38</v>
      </c>
      <c r="F58" s="954">
        <v>12623037.470000001</v>
      </c>
      <c r="G58" s="1234">
        <v>3</v>
      </c>
      <c r="H58" s="202">
        <v>173.38</v>
      </c>
      <c r="I58" s="203">
        <v>12623037.470000001</v>
      </c>
      <c r="J58" s="226">
        <v>3</v>
      </c>
      <c r="K58" s="987">
        <v>1.1185806451612901</v>
      </c>
      <c r="L58" s="1062">
        <v>1.06464928376542</v>
      </c>
      <c r="M58" s="339">
        <v>0</v>
      </c>
      <c r="N58" s="339">
        <v>1</v>
      </c>
      <c r="O58" s="339">
        <v>1</v>
      </c>
      <c r="P58" s="339">
        <v>1</v>
      </c>
      <c r="Q58" s="1099">
        <v>0</v>
      </c>
      <c r="R58" s="949"/>
      <c r="S58" s="949"/>
      <c r="T58" s="949"/>
      <c r="U58" s="930"/>
    </row>
    <row r="59" spans="1:90">
      <c r="A59" s="1316" t="s">
        <v>63</v>
      </c>
      <c r="B59" s="1109">
        <v>60</v>
      </c>
      <c r="C59" s="939">
        <v>4589621.352</v>
      </c>
      <c r="D59" s="1069">
        <v>2</v>
      </c>
      <c r="E59" s="329">
        <v>93.79</v>
      </c>
      <c r="F59" s="958">
        <v>7106655.6399999997</v>
      </c>
      <c r="G59" s="983">
        <v>2</v>
      </c>
      <c r="H59" s="358">
        <v>93.79</v>
      </c>
      <c r="I59" s="359">
        <v>7106655.6399999997</v>
      </c>
      <c r="J59" s="330">
        <v>2</v>
      </c>
      <c r="K59" s="1063">
        <v>1.5631666666666699</v>
      </c>
      <c r="L59" s="1064">
        <v>1.54841872454318</v>
      </c>
      <c r="M59" s="339">
        <v>0</v>
      </c>
      <c r="N59" s="339">
        <v>1</v>
      </c>
      <c r="O59" s="339">
        <v>1</v>
      </c>
      <c r="P59" s="339">
        <v>0</v>
      </c>
      <c r="Q59" s="1099">
        <v>0</v>
      </c>
      <c r="R59" s="949"/>
      <c r="S59" s="949"/>
      <c r="T59" s="949"/>
      <c r="U59" s="930"/>
    </row>
    <row r="60" spans="1:90">
      <c r="A60" s="1317" t="s">
        <v>114</v>
      </c>
      <c r="B60" s="1195">
        <v>650</v>
      </c>
      <c r="C60" s="1196">
        <v>49720897.979999997</v>
      </c>
      <c r="D60" s="1162">
        <v>14</v>
      </c>
      <c r="E60" s="1123">
        <v>839.64</v>
      </c>
      <c r="F60" s="1163">
        <v>63420509.979999997</v>
      </c>
      <c r="G60" s="1164">
        <v>17</v>
      </c>
      <c r="H60" s="906">
        <v>839.64</v>
      </c>
      <c r="I60" s="1124">
        <v>63420509.979999997</v>
      </c>
      <c r="J60" s="1123">
        <v>17</v>
      </c>
      <c r="K60" s="1140">
        <v>1.29175384615385</v>
      </c>
      <c r="L60" s="1141">
        <v>1.2755302610485999</v>
      </c>
      <c r="M60" s="1123">
        <v>0</v>
      </c>
      <c r="N60" s="1123">
        <v>9</v>
      </c>
      <c r="O60" s="1123">
        <v>6</v>
      </c>
      <c r="P60" s="1185">
        <v>2</v>
      </c>
      <c r="Q60" s="1167">
        <v>0</v>
      </c>
      <c r="R60" s="949"/>
      <c r="S60" s="949"/>
      <c r="T60" s="949"/>
      <c r="U60" s="930"/>
    </row>
    <row r="61" spans="1:90" s="1214" customFormat="1" ht="25.5">
      <c r="A61" s="1313" t="s">
        <v>115</v>
      </c>
      <c r="B61" s="686" t="s">
        <v>100</v>
      </c>
      <c r="C61" s="693" t="s">
        <v>97</v>
      </c>
      <c r="D61" s="688" t="s">
        <v>95</v>
      </c>
      <c r="E61" s="1033" t="s">
        <v>494</v>
      </c>
      <c r="F61" s="1033" t="s">
        <v>495</v>
      </c>
      <c r="G61" s="1104" t="s">
        <v>496</v>
      </c>
      <c r="H61" s="1034" t="s">
        <v>101</v>
      </c>
      <c r="I61" s="1023" t="s">
        <v>98</v>
      </c>
      <c r="J61" s="1023" t="s">
        <v>96</v>
      </c>
      <c r="K61" s="1186" t="s">
        <v>715</v>
      </c>
      <c r="L61" s="1187" t="s">
        <v>716</v>
      </c>
      <c r="M61" s="1033">
        <v>0</v>
      </c>
      <c r="N61" s="1033">
        <v>1</v>
      </c>
      <c r="O61" s="1033">
        <v>2</v>
      </c>
      <c r="P61" s="1033">
        <v>3</v>
      </c>
      <c r="Q61" s="1104">
        <v>4</v>
      </c>
      <c r="R61" s="950"/>
      <c r="S61" s="950"/>
      <c r="T61" s="950"/>
      <c r="U61" s="951"/>
      <c r="CE61" s="1350"/>
      <c r="CF61" s="1350"/>
      <c r="CG61" s="1350"/>
      <c r="CH61" s="1350"/>
      <c r="CI61" s="1350"/>
      <c r="CJ61" s="1350"/>
      <c r="CK61" s="1350"/>
      <c r="CL61" s="1350"/>
    </row>
    <row r="62" spans="1:90">
      <c r="A62" s="1314" t="s">
        <v>16</v>
      </c>
      <c r="B62" s="1197">
        <v>227.5</v>
      </c>
      <c r="C62" s="939">
        <v>17402314.293000001</v>
      </c>
      <c r="D62" s="1069">
        <v>4</v>
      </c>
      <c r="E62" s="1129">
        <v>534.79</v>
      </c>
      <c r="F62" s="149">
        <v>40676908.880000003</v>
      </c>
      <c r="G62" s="940">
        <v>11</v>
      </c>
      <c r="H62" s="148">
        <v>534.79</v>
      </c>
      <c r="I62" s="220">
        <v>40676908.880000003</v>
      </c>
      <c r="J62" s="220">
        <v>11</v>
      </c>
      <c r="K62" s="943">
        <v>2.3507252747252698</v>
      </c>
      <c r="L62" s="1061">
        <v>2.33744249156344</v>
      </c>
      <c r="M62" s="339">
        <v>0</v>
      </c>
      <c r="N62" s="339">
        <v>6</v>
      </c>
      <c r="O62" s="339">
        <v>4</v>
      </c>
      <c r="P62" s="339">
        <v>1</v>
      </c>
      <c r="Q62" s="1099">
        <v>0</v>
      </c>
      <c r="R62" s="949"/>
      <c r="S62" s="949"/>
      <c r="T62" s="949"/>
      <c r="U62" s="930"/>
    </row>
    <row r="63" spans="1:90">
      <c r="A63" s="1316" t="s">
        <v>575</v>
      </c>
      <c r="B63" s="1197">
        <v>227</v>
      </c>
      <c r="C63" s="958">
        <v>17402314.293000001</v>
      </c>
      <c r="D63" s="1054">
        <v>4</v>
      </c>
      <c r="E63" s="1222">
        <v>304.85000000000002</v>
      </c>
      <c r="F63" s="359">
        <v>22743601.100000001</v>
      </c>
      <c r="G63" s="959">
        <v>6</v>
      </c>
      <c r="H63" s="967">
        <v>304.85000000000002</v>
      </c>
      <c r="I63" s="1223">
        <v>22743601.100000001</v>
      </c>
      <c r="J63" s="1223">
        <v>6</v>
      </c>
      <c r="K63" s="1063">
        <v>1.34295154185022</v>
      </c>
      <c r="L63" s="1064">
        <v>1.3069296828611201</v>
      </c>
      <c r="M63" s="339">
        <v>0</v>
      </c>
      <c r="N63" s="339">
        <v>3</v>
      </c>
      <c r="O63" s="339">
        <v>2</v>
      </c>
      <c r="P63" s="339">
        <v>1</v>
      </c>
      <c r="Q63" s="1099">
        <v>0</v>
      </c>
      <c r="R63" s="949"/>
      <c r="S63" s="949"/>
      <c r="T63" s="949"/>
      <c r="U63" s="930"/>
    </row>
    <row r="64" spans="1:90" s="65" customFormat="1">
      <c r="A64" s="1319" t="s">
        <v>114</v>
      </c>
      <c r="B64" s="1198">
        <v>454.5</v>
      </c>
      <c r="C64" s="1165">
        <v>34804628.586000003</v>
      </c>
      <c r="D64" s="1166">
        <v>8</v>
      </c>
      <c r="E64" s="1123">
        <v>839.64</v>
      </c>
      <c r="F64" s="1124">
        <v>63420509.979999997</v>
      </c>
      <c r="G64" s="1167">
        <v>17</v>
      </c>
      <c r="H64" s="906">
        <v>839.64</v>
      </c>
      <c r="I64" s="1123">
        <v>63420509.979999997</v>
      </c>
      <c r="J64" s="1123">
        <v>17</v>
      </c>
      <c r="K64" s="1199">
        <v>1.84739273927393</v>
      </c>
      <c r="L64" s="1200">
        <v>1.8221860872122799</v>
      </c>
      <c r="M64" s="1123">
        <v>0</v>
      </c>
      <c r="N64" s="1123">
        <v>9</v>
      </c>
      <c r="O64" s="1123">
        <v>6</v>
      </c>
      <c r="P64" s="1123">
        <v>2</v>
      </c>
      <c r="Q64" s="1167">
        <v>0</v>
      </c>
      <c r="U64" s="339"/>
      <c r="CE64" s="103"/>
      <c r="CF64" s="103"/>
      <c r="CG64" s="103"/>
      <c r="CH64" s="103"/>
      <c r="CI64" s="103"/>
      <c r="CJ64" s="103"/>
      <c r="CK64" s="103"/>
      <c r="CL64" s="103"/>
    </row>
    <row r="65" spans="1:90">
      <c r="A65" s="1321"/>
      <c r="B65" s="968"/>
      <c r="C65" s="968"/>
      <c r="D65" s="7"/>
      <c r="E65" s="7"/>
      <c r="F65" s="7"/>
      <c r="G65" s="7"/>
      <c r="H65" s="134"/>
      <c r="I65" s="134"/>
      <c r="J65" s="134"/>
      <c r="K65" s="7"/>
      <c r="L65" s="994"/>
      <c r="M65" s="134"/>
      <c r="N65" s="134"/>
      <c r="O65" s="134"/>
      <c r="P65" s="262"/>
      <c r="Q65" s="134"/>
      <c r="R65" s="949"/>
      <c r="S65" s="949"/>
      <c r="T65" s="949"/>
      <c r="U65" s="930"/>
    </row>
    <row r="66" spans="1:90">
      <c r="A66" s="2290" t="s">
        <v>713</v>
      </c>
      <c r="B66" s="2291"/>
      <c r="C66" s="935" t="s">
        <v>27</v>
      </c>
      <c r="D66" s="2292"/>
      <c r="E66" s="2292"/>
      <c r="F66" s="2292"/>
      <c r="G66" s="2292"/>
      <c r="H66" s="2292"/>
      <c r="I66" s="2292"/>
      <c r="J66" s="2292"/>
      <c r="K66" s="2292"/>
      <c r="L66" s="2292"/>
      <c r="M66" s="2292"/>
      <c r="N66" s="2292"/>
      <c r="O66" s="2292"/>
      <c r="P66" s="2292"/>
      <c r="Q66" s="7"/>
      <c r="R66" s="949"/>
      <c r="S66" s="949"/>
      <c r="T66" s="949"/>
      <c r="U66" s="930"/>
    </row>
    <row r="67" spans="1:90" s="1214" customFormat="1" ht="25.5">
      <c r="A67" s="1313" t="s">
        <v>1</v>
      </c>
      <c r="B67" s="686" t="s">
        <v>100</v>
      </c>
      <c r="C67" s="688" t="s">
        <v>97</v>
      </c>
      <c r="D67" s="688" t="s">
        <v>95</v>
      </c>
      <c r="E67" s="1022" t="s">
        <v>494</v>
      </c>
      <c r="F67" s="138" t="s">
        <v>495</v>
      </c>
      <c r="G67" s="139" t="s">
        <v>496</v>
      </c>
      <c r="H67" s="140" t="s">
        <v>101</v>
      </c>
      <c r="I67" s="141" t="s">
        <v>98</v>
      </c>
      <c r="J67" s="141" t="s">
        <v>96</v>
      </c>
      <c r="K67" s="141" t="s">
        <v>715</v>
      </c>
      <c r="L67" s="1026" t="s">
        <v>716</v>
      </c>
      <c r="M67" s="1087">
        <v>0</v>
      </c>
      <c r="N67" s="1033">
        <v>1</v>
      </c>
      <c r="O67" s="1033">
        <v>2</v>
      </c>
      <c r="P67" s="1033">
        <v>3</v>
      </c>
      <c r="Q67" s="1104">
        <v>4</v>
      </c>
      <c r="R67" s="950"/>
      <c r="S67" s="950"/>
      <c r="T67" s="950"/>
      <c r="U67" s="951"/>
      <c r="CE67" s="1350"/>
      <c r="CF67" s="1350"/>
      <c r="CG67" s="1350"/>
      <c r="CH67" s="1350"/>
      <c r="CI67" s="1350"/>
      <c r="CJ67" s="1350"/>
      <c r="CK67" s="1350"/>
      <c r="CL67" s="1350"/>
    </row>
    <row r="68" spans="1:90">
      <c r="A68" s="1322" t="s">
        <v>73</v>
      </c>
      <c r="B68" s="1126">
        <v>350</v>
      </c>
      <c r="C68" s="1059">
        <v>25198532.2645</v>
      </c>
      <c r="D68" s="1074">
        <v>9</v>
      </c>
      <c r="E68" s="145">
        <v>186.53</v>
      </c>
      <c r="F68" s="939">
        <v>12437689.49</v>
      </c>
      <c r="G68" s="940">
        <v>4</v>
      </c>
      <c r="H68" s="148">
        <v>186.53</v>
      </c>
      <c r="I68" s="149">
        <v>12437689.49</v>
      </c>
      <c r="J68" s="220">
        <v>4</v>
      </c>
      <c r="K68" s="943">
        <v>0.53294285714285705</v>
      </c>
      <c r="L68" s="1061">
        <v>0.493587855016555</v>
      </c>
      <c r="M68" s="1090">
        <v>2</v>
      </c>
      <c r="N68" s="339">
        <v>0</v>
      </c>
      <c r="O68" s="339">
        <v>1</v>
      </c>
      <c r="P68" s="339">
        <v>2</v>
      </c>
      <c r="Q68" s="1099">
        <v>0</v>
      </c>
      <c r="R68" s="949"/>
      <c r="S68" s="949"/>
      <c r="T68" s="949"/>
      <c r="U68" s="930"/>
    </row>
    <row r="69" spans="1:90">
      <c r="A69" s="1323" t="s">
        <v>77</v>
      </c>
      <c r="B69" s="1127">
        <v>250</v>
      </c>
      <c r="C69" s="954">
        <v>17998951.6175</v>
      </c>
      <c r="D69" s="1041">
        <v>6</v>
      </c>
      <c r="E69" s="257">
        <v>0</v>
      </c>
      <c r="F69" s="954">
        <v>0</v>
      </c>
      <c r="G69" s="955">
        <v>0</v>
      </c>
      <c r="H69" s="148">
        <v>0</v>
      </c>
      <c r="I69" s="149">
        <v>0</v>
      </c>
      <c r="J69" s="220">
        <v>0</v>
      </c>
      <c r="K69" s="987">
        <v>0</v>
      </c>
      <c r="L69" s="1062">
        <v>0</v>
      </c>
      <c r="M69" s="1090">
        <v>0</v>
      </c>
      <c r="N69" s="339">
        <v>0</v>
      </c>
      <c r="O69" s="339">
        <v>0</v>
      </c>
      <c r="P69" s="339">
        <v>0</v>
      </c>
      <c r="Q69" s="1099">
        <v>0</v>
      </c>
      <c r="R69" s="949"/>
      <c r="S69" s="949"/>
      <c r="T69" s="949"/>
      <c r="U69" s="930"/>
    </row>
    <row r="70" spans="1:90">
      <c r="A70" s="1323" t="s">
        <v>471</v>
      </c>
      <c r="B70" s="1127">
        <v>350</v>
      </c>
      <c r="C70" s="954">
        <v>25198532.2645</v>
      </c>
      <c r="D70" s="1041">
        <v>9</v>
      </c>
      <c r="E70" s="257">
        <v>284.57</v>
      </c>
      <c r="F70" s="954">
        <v>18032831.460000001</v>
      </c>
      <c r="G70" s="955">
        <v>5</v>
      </c>
      <c r="H70" s="148">
        <v>284.57</v>
      </c>
      <c r="I70" s="149">
        <v>18032831.460000001</v>
      </c>
      <c r="J70" s="220">
        <v>5</v>
      </c>
      <c r="K70" s="987">
        <v>0.81305714285714303</v>
      </c>
      <c r="L70" s="1062">
        <v>0.71563023078946797</v>
      </c>
      <c r="M70" s="1090">
        <v>0</v>
      </c>
      <c r="N70" s="339">
        <v>1</v>
      </c>
      <c r="O70" s="339">
        <v>3</v>
      </c>
      <c r="P70" s="339">
        <v>1</v>
      </c>
      <c r="Q70" s="1099">
        <v>0</v>
      </c>
      <c r="R70" s="949"/>
      <c r="S70" s="949"/>
      <c r="T70" s="949"/>
      <c r="U70" s="930"/>
    </row>
    <row r="71" spans="1:90">
      <c r="A71" s="1323" t="s">
        <v>20</v>
      </c>
      <c r="B71" s="1127">
        <v>283</v>
      </c>
      <c r="C71" s="954">
        <v>20374813.231010001</v>
      </c>
      <c r="D71" s="1041">
        <v>7</v>
      </c>
      <c r="E71" s="257">
        <v>347.08</v>
      </c>
      <c r="F71" s="954">
        <v>23449864.57</v>
      </c>
      <c r="G71" s="955">
        <v>8</v>
      </c>
      <c r="H71" s="148">
        <v>347.08</v>
      </c>
      <c r="I71" s="149">
        <v>23449864.57</v>
      </c>
      <c r="J71" s="220">
        <v>8</v>
      </c>
      <c r="K71" s="987">
        <v>1.22643109540636</v>
      </c>
      <c r="L71" s="1062">
        <v>1.15092414856151</v>
      </c>
      <c r="M71" s="1090">
        <v>2</v>
      </c>
      <c r="N71" s="339">
        <v>4</v>
      </c>
      <c r="O71" s="339">
        <v>1</v>
      </c>
      <c r="P71" s="339">
        <v>1</v>
      </c>
      <c r="Q71" s="1099">
        <v>0</v>
      </c>
      <c r="R71" s="949"/>
      <c r="S71" s="949"/>
      <c r="T71" s="949"/>
      <c r="U71" s="930"/>
    </row>
    <row r="72" spans="1:90">
      <c r="A72" s="1324" t="s">
        <v>63</v>
      </c>
      <c r="B72" s="1128">
        <v>250</v>
      </c>
      <c r="C72" s="958">
        <v>17998951.6175</v>
      </c>
      <c r="D72" s="1054">
        <v>6</v>
      </c>
      <c r="E72" s="329">
        <v>282.98</v>
      </c>
      <c r="F72" s="958">
        <v>19446123.550000001</v>
      </c>
      <c r="G72" s="959">
        <v>7</v>
      </c>
      <c r="H72" s="148">
        <v>282.98</v>
      </c>
      <c r="I72" s="149">
        <v>19446123.550000001</v>
      </c>
      <c r="J72" s="220">
        <v>7</v>
      </c>
      <c r="K72" s="1063">
        <v>1.13192</v>
      </c>
      <c r="L72" s="1064">
        <v>1.0804031236515399</v>
      </c>
      <c r="M72" s="1090">
        <v>3</v>
      </c>
      <c r="N72" s="339">
        <v>3</v>
      </c>
      <c r="O72" s="339">
        <v>1</v>
      </c>
      <c r="P72" s="339">
        <v>1</v>
      </c>
      <c r="Q72" s="1099">
        <v>0</v>
      </c>
      <c r="R72" s="949"/>
      <c r="S72" s="949"/>
      <c r="T72" s="949"/>
      <c r="U72" s="930"/>
    </row>
    <row r="73" spans="1:90">
      <c r="A73" s="1317" t="s">
        <v>114</v>
      </c>
      <c r="B73" s="1195">
        <v>1483</v>
      </c>
      <c r="C73" s="1196">
        <v>106769780.99501</v>
      </c>
      <c r="D73" s="1162">
        <v>37</v>
      </c>
      <c r="E73" s="1168">
        <v>1101.1600000000001</v>
      </c>
      <c r="F73" s="1169">
        <v>73366509.069999993</v>
      </c>
      <c r="G73" s="1170">
        <v>24</v>
      </c>
      <c r="H73" s="1168">
        <v>1101.1600000000001</v>
      </c>
      <c r="I73" s="1169">
        <v>73366509.069999993</v>
      </c>
      <c r="J73" s="1170">
        <v>24</v>
      </c>
      <c r="K73" s="1201">
        <v>0.74252191503708698</v>
      </c>
      <c r="L73" s="1202">
        <v>0.68714675993789698</v>
      </c>
      <c r="M73" s="906">
        <v>7</v>
      </c>
      <c r="N73" s="1123">
        <v>8</v>
      </c>
      <c r="O73" s="1123">
        <v>6</v>
      </c>
      <c r="P73" s="1185">
        <v>5</v>
      </c>
      <c r="Q73" s="1167">
        <v>0</v>
      </c>
      <c r="R73" s="949"/>
      <c r="S73" s="949"/>
      <c r="T73" s="949"/>
      <c r="U73" s="930"/>
    </row>
    <row r="74" spans="1:90" s="1214" customFormat="1" ht="25.5">
      <c r="A74" s="1313" t="s">
        <v>115</v>
      </c>
      <c r="B74" s="686" t="s">
        <v>100</v>
      </c>
      <c r="C74" s="693" t="s">
        <v>97</v>
      </c>
      <c r="D74" s="688" t="s">
        <v>95</v>
      </c>
      <c r="E74" s="1051" t="s">
        <v>494</v>
      </c>
      <c r="F74" s="138" t="s">
        <v>495</v>
      </c>
      <c r="G74" s="139" t="s">
        <v>496</v>
      </c>
      <c r="H74" s="140" t="s">
        <v>101</v>
      </c>
      <c r="I74" s="141" t="s">
        <v>98</v>
      </c>
      <c r="J74" s="141" t="s">
        <v>96</v>
      </c>
      <c r="K74" s="495" t="s">
        <v>715</v>
      </c>
      <c r="L74" s="1027" t="s">
        <v>716</v>
      </c>
      <c r="M74" s="1087">
        <v>0</v>
      </c>
      <c r="N74" s="1033">
        <v>1</v>
      </c>
      <c r="O74" s="1033">
        <v>2</v>
      </c>
      <c r="P74" s="1033">
        <v>3</v>
      </c>
      <c r="Q74" s="1104">
        <v>4</v>
      </c>
      <c r="R74" s="950"/>
      <c r="S74" s="950"/>
      <c r="T74" s="950"/>
      <c r="U74" s="951"/>
      <c r="CE74" s="1350"/>
      <c r="CF74" s="1350"/>
      <c r="CG74" s="1350"/>
      <c r="CH74" s="1350"/>
      <c r="CI74" s="1350"/>
      <c r="CJ74" s="1350"/>
      <c r="CK74" s="1350"/>
      <c r="CL74" s="1350"/>
    </row>
    <row r="75" spans="1:90">
      <c r="A75" s="1322" t="s">
        <v>16</v>
      </c>
      <c r="B75" s="1197">
        <v>518</v>
      </c>
      <c r="C75" s="939">
        <v>36622776.75</v>
      </c>
      <c r="D75" s="1069">
        <v>13</v>
      </c>
      <c r="E75" s="1129">
        <v>587.49</v>
      </c>
      <c r="F75" s="149">
        <v>36694546.619999997</v>
      </c>
      <c r="G75" s="940">
        <v>10</v>
      </c>
      <c r="H75" s="148">
        <v>587.49</v>
      </c>
      <c r="I75" s="149">
        <v>36694546.619999997</v>
      </c>
      <c r="J75" s="220">
        <v>10</v>
      </c>
      <c r="K75" s="943">
        <v>1.1341505791505799</v>
      </c>
      <c r="L75" s="1061">
        <v>1.0019597058543599</v>
      </c>
      <c r="M75" s="1090">
        <v>2</v>
      </c>
      <c r="N75" s="339">
        <v>1</v>
      </c>
      <c r="O75" s="339">
        <v>3</v>
      </c>
      <c r="P75" s="339">
        <v>5</v>
      </c>
      <c r="Q75" s="1099">
        <v>0</v>
      </c>
      <c r="R75" s="949"/>
      <c r="S75" s="949"/>
      <c r="T75" s="949"/>
      <c r="U75" s="930"/>
    </row>
    <row r="76" spans="1:90">
      <c r="A76" s="1324" t="s">
        <v>575</v>
      </c>
      <c r="B76" s="1128">
        <v>518</v>
      </c>
      <c r="C76" s="958">
        <v>36622776.75</v>
      </c>
      <c r="D76" s="1054">
        <v>13</v>
      </c>
      <c r="E76" s="1222">
        <v>178.18</v>
      </c>
      <c r="F76" s="359">
        <v>12620269.960000001</v>
      </c>
      <c r="G76" s="959">
        <v>5</v>
      </c>
      <c r="H76" s="967">
        <v>178.18</v>
      </c>
      <c r="I76" s="1224">
        <v>12620269.960000001</v>
      </c>
      <c r="J76" s="1223">
        <v>5</v>
      </c>
      <c r="K76" s="1063">
        <v>0.34397683397683398</v>
      </c>
      <c r="L76" s="1064">
        <v>0.34460166814085202</v>
      </c>
      <c r="M76" s="1225">
        <v>6</v>
      </c>
      <c r="N76" s="930">
        <v>3</v>
      </c>
      <c r="O76" s="930">
        <v>1</v>
      </c>
      <c r="P76" s="930">
        <v>0</v>
      </c>
      <c r="Q76" s="1226">
        <v>0</v>
      </c>
      <c r="R76" s="949"/>
      <c r="S76" s="949"/>
      <c r="T76" s="949"/>
      <c r="U76" s="930"/>
    </row>
    <row r="77" spans="1:90">
      <c r="A77" s="1319" t="s">
        <v>114</v>
      </c>
      <c r="B77" s="1171">
        <v>1036</v>
      </c>
      <c r="C77" s="1165">
        <v>73245553.5</v>
      </c>
      <c r="D77" s="1166">
        <v>26</v>
      </c>
      <c r="E77" s="1173">
        <v>765.67</v>
      </c>
      <c r="F77" s="1165">
        <v>49314816.579999998</v>
      </c>
      <c r="G77" s="1166">
        <v>15</v>
      </c>
      <c r="H77" s="1171">
        <v>765.67</v>
      </c>
      <c r="I77" s="1165">
        <v>49314816.579999998</v>
      </c>
      <c r="J77" s="1182">
        <v>15</v>
      </c>
      <c r="K77" s="1183">
        <v>0.73906370656370701</v>
      </c>
      <c r="L77" s="1184">
        <v>0.67328068699760701</v>
      </c>
      <c r="M77" s="906">
        <v>8</v>
      </c>
      <c r="N77" s="1123">
        <v>4</v>
      </c>
      <c r="O77" s="1123">
        <v>4</v>
      </c>
      <c r="P77" s="1123">
        <v>5</v>
      </c>
      <c r="Q77" s="1167">
        <v>0</v>
      </c>
      <c r="R77" s="949"/>
      <c r="S77" s="949"/>
      <c r="T77" s="949"/>
      <c r="U77" s="930"/>
    </row>
    <row r="78" spans="1:90">
      <c r="A78" s="134"/>
      <c r="B78" s="134"/>
      <c r="C78" s="44"/>
      <c r="D78" s="134"/>
      <c r="E78" s="134"/>
      <c r="F78" s="44"/>
      <c r="G78" s="134"/>
      <c r="H78" s="134"/>
      <c r="I78" s="44"/>
      <c r="J78" s="134"/>
      <c r="K78" s="255"/>
      <c r="L78" s="256"/>
      <c r="M78" s="134"/>
      <c r="N78" s="134"/>
      <c r="O78" s="134"/>
      <c r="P78" s="134"/>
      <c r="Q78" s="134"/>
      <c r="R78" s="949"/>
      <c r="S78" s="949"/>
      <c r="T78" s="949"/>
      <c r="U78" s="930"/>
    </row>
    <row r="79" spans="1:90">
      <c r="A79" s="134"/>
      <c r="B79" s="134"/>
      <c r="C79" s="44"/>
      <c r="D79" s="134"/>
      <c r="E79" s="134"/>
      <c r="F79" s="44"/>
      <c r="G79" s="134"/>
      <c r="H79" s="134"/>
      <c r="I79" s="44"/>
      <c r="J79" s="134"/>
      <c r="K79" s="255"/>
      <c r="L79" s="256"/>
      <c r="M79" s="134"/>
      <c r="N79" s="134"/>
      <c r="O79" s="134"/>
      <c r="P79" s="134"/>
      <c r="Q79" s="134"/>
      <c r="R79" s="949"/>
      <c r="S79" s="949"/>
      <c r="T79" s="949"/>
      <c r="U79" s="930"/>
    </row>
    <row r="80" spans="1:90">
      <c r="A80" s="2300" t="s">
        <v>879</v>
      </c>
      <c r="B80" s="2300"/>
      <c r="C80" s="2300"/>
      <c r="D80" s="2300"/>
      <c r="E80" s="2300"/>
      <c r="F80" s="2300"/>
      <c r="G80" s="2300"/>
      <c r="H80" s="2300"/>
      <c r="I80" s="2300"/>
      <c r="J80" s="2300"/>
      <c r="K80" s="2300"/>
      <c r="L80" s="2300"/>
      <c r="M80" s="2300"/>
      <c r="N80" s="2300"/>
      <c r="O80" s="2300"/>
      <c r="P80" s="2300"/>
      <c r="Q80" s="2300"/>
      <c r="R80" s="949"/>
      <c r="S80" s="949"/>
      <c r="T80" s="949"/>
      <c r="U80" s="930"/>
    </row>
    <row r="81" spans="1:90" ht="25.5">
      <c r="A81" s="1351" t="s">
        <v>1</v>
      </c>
      <c r="B81" s="1352" t="s">
        <v>101</v>
      </c>
      <c r="C81" s="1353" t="s">
        <v>98</v>
      </c>
      <c r="D81" s="1354" t="s">
        <v>96</v>
      </c>
      <c r="E81" s="1355" t="s">
        <v>494</v>
      </c>
      <c r="F81" s="1356" t="s">
        <v>495</v>
      </c>
      <c r="G81" s="1357" t="s">
        <v>496</v>
      </c>
      <c r="H81" s="1358" t="s">
        <v>101</v>
      </c>
      <c r="I81" s="1361" t="s">
        <v>98</v>
      </c>
      <c r="J81" s="1361" t="s">
        <v>96</v>
      </c>
      <c r="K81" s="1361"/>
      <c r="L81" s="1362"/>
      <c r="M81" s="1355">
        <v>0</v>
      </c>
      <c r="N81" s="1356">
        <v>1</v>
      </c>
      <c r="O81" s="1356">
        <v>2</v>
      </c>
      <c r="P81" s="1356">
        <v>3</v>
      </c>
      <c r="Q81" s="1368">
        <v>4</v>
      </c>
      <c r="R81" s="949"/>
      <c r="S81" s="949"/>
      <c r="T81" s="949"/>
      <c r="U81" s="930"/>
    </row>
    <row r="82" spans="1:90">
      <c r="A82" s="982" t="s">
        <v>29</v>
      </c>
      <c r="B82" s="195">
        <v>192.42</v>
      </c>
      <c r="C82" s="196">
        <v>14422834.32</v>
      </c>
      <c r="D82" s="254">
        <v>7</v>
      </c>
      <c r="E82" s="426">
        <v>192.42</v>
      </c>
      <c r="F82" s="1359">
        <v>14422834.32</v>
      </c>
      <c r="G82" s="1360">
        <v>7</v>
      </c>
      <c r="H82" s="195">
        <v>96.21</v>
      </c>
      <c r="I82" s="196">
        <v>7211417.1600000001</v>
      </c>
      <c r="J82" s="251">
        <v>3.5</v>
      </c>
      <c r="K82" s="1363"/>
      <c r="L82" s="1364"/>
      <c r="M82" s="426">
        <v>5</v>
      </c>
      <c r="N82" s="251">
        <v>2</v>
      </c>
      <c r="O82" s="251">
        <v>0</v>
      </c>
      <c r="P82" s="251">
        <v>0</v>
      </c>
      <c r="Q82" s="254">
        <v>0</v>
      </c>
      <c r="R82" s="949"/>
      <c r="S82" s="949"/>
      <c r="T82" s="949"/>
      <c r="U82" s="930"/>
    </row>
    <row r="83" spans="1:90">
      <c r="A83" s="7"/>
      <c r="B83" s="968"/>
      <c r="C83" s="968"/>
      <c r="D83" s="969"/>
      <c r="E83" s="7"/>
      <c r="F83" s="7"/>
      <c r="G83" s="7"/>
      <c r="H83" s="134"/>
      <c r="I83" s="134"/>
      <c r="J83" s="134"/>
      <c r="K83" s="7"/>
      <c r="L83" s="994"/>
      <c r="M83" s="134"/>
      <c r="N83" s="134"/>
      <c r="O83" s="134"/>
      <c r="P83" s="262"/>
      <c r="Q83" s="134"/>
      <c r="R83" s="949"/>
      <c r="S83" s="949"/>
      <c r="T83" s="949"/>
      <c r="U83" s="930"/>
    </row>
    <row r="84" spans="1:90">
      <c r="A84" s="7"/>
      <c r="B84" s="968"/>
      <c r="C84" s="968"/>
      <c r="D84" s="969"/>
      <c r="E84" s="7"/>
      <c r="F84" s="7"/>
      <c r="G84" s="7"/>
      <c r="H84" s="134"/>
      <c r="I84" s="134"/>
      <c r="J84" s="134"/>
      <c r="K84" s="7"/>
      <c r="L84" s="994"/>
      <c r="M84" s="134"/>
      <c r="N84" s="134"/>
      <c r="O84" s="134"/>
      <c r="P84" s="262"/>
      <c r="Q84" s="134"/>
      <c r="R84" s="949"/>
      <c r="S84" s="949"/>
      <c r="T84" s="949"/>
      <c r="U84" s="930"/>
    </row>
    <row r="85" spans="1:90">
      <c r="A85" s="2293" t="s">
        <v>713</v>
      </c>
      <c r="B85" s="2294"/>
      <c r="C85" s="972" t="s">
        <v>718</v>
      </c>
      <c r="D85" s="2295"/>
      <c r="E85" s="2296"/>
      <c r="F85" s="2296"/>
      <c r="G85" s="2296"/>
      <c r="H85" s="2296"/>
      <c r="I85" s="2296"/>
      <c r="J85" s="2296"/>
      <c r="K85" s="2296"/>
      <c r="L85" s="2296"/>
      <c r="M85" s="2296"/>
      <c r="N85" s="2296"/>
      <c r="O85" s="2296"/>
      <c r="P85" s="2296"/>
      <c r="Q85" s="7"/>
      <c r="R85" s="949"/>
      <c r="S85" s="949"/>
      <c r="T85" s="949"/>
      <c r="U85" s="930"/>
    </row>
    <row r="86" spans="1:90" s="1214" customFormat="1" ht="25.5">
      <c r="A86" s="1326" t="s">
        <v>1</v>
      </c>
      <c r="B86" s="723" t="s">
        <v>100</v>
      </c>
      <c r="C86" s="724" t="s">
        <v>97</v>
      </c>
      <c r="D86" s="688" t="s">
        <v>95</v>
      </c>
      <c r="E86" s="1022" t="s">
        <v>494</v>
      </c>
      <c r="F86" s="138" t="s">
        <v>495</v>
      </c>
      <c r="G86" s="1082" t="s">
        <v>496</v>
      </c>
      <c r="H86" s="980" t="s">
        <v>101</v>
      </c>
      <c r="I86" s="141" t="s">
        <v>98</v>
      </c>
      <c r="J86" s="141" t="s">
        <v>96</v>
      </c>
      <c r="K86" s="141" t="s">
        <v>715</v>
      </c>
      <c r="L86" s="1026" t="s">
        <v>716</v>
      </c>
      <c r="M86" s="1087">
        <v>0</v>
      </c>
      <c r="N86" s="1033">
        <v>1</v>
      </c>
      <c r="O86" s="1033">
        <v>2</v>
      </c>
      <c r="P86" s="1033">
        <v>3</v>
      </c>
      <c r="Q86" s="1104">
        <v>4</v>
      </c>
      <c r="R86" s="950"/>
      <c r="S86" s="950"/>
      <c r="T86" s="950"/>
      <c r="U86" s="951"/>
      <c r="CE86" s="1350"/>
      <c r="CF86" s="1350"/>
      <c r="CG86" s="1350"/>
      <c r="CH86" s="1350"/>
      <c r="CI86" s="1350"/>
      <c r="CJ86" s="1350"/>
      <c r="CK86" s="1350"/>
      <c r="CL86" s="1350"/>
    </row>
    <row r="87" spans="1:90">
      <c r="A87" s="1327" t="s">
        <v>73</v>
      </c>
      <c r="B87" s="514">
        <v>525</v>
      </c>
      <c r="C87" s="549">
        <v>38584927.874499999</v>
      </c>
      <c r="D87" s="1174">
        <v>12</v>
      </c>
      <c r="E87" s="267">
        <v>373.82</v>
      </c>
      <c r="F87" s="146">
        <v>26819145.649999999</v>
      </c>
      <c r="G87" s="702">
        <v>8</v>
      </c>
      <c r="H87" s="514">
        <v>373.82</v>
      </c>
      <c r="I87" s="146">
        <v>26819145.649999999</v>
      </c>
      <c r="J87" s="1190">
        <v>8</v>
      </c>
      <c r="K87" s="943">
        <v>0.71203809523809503</v>
      </c>
      <c r="L87" s="1061">
        <v>0.69506792230455905</v>
      </c>
      <c r="M87" s="1148">
        <v>2</v>
      </c>
      <c r="N87" s="1008">
        <v>3</v>
      </c>
      <c r="O87" s="1008">
        <v>1</v>
      </c>
      <c r="P87" s="1008">
        <v>3</v>
      </c>
      <c r="Q87" s="1106">
        <v>0</v>
      </c>
      <c r="R87" s="949"/>
      <c r="S87" s="949"/>
      <c r="T87" s="949"/>
      <c r="U87" s="930"/>
    </row>
    <row r="88" spans="1:90">
      <c r="A88" s="1328" t="s">
        <v>77</v>
      </c>
      <c r="B88" s="514">
        <v>310</v>
      </c>
      <c r="C88" s="549">
        <v>22588572.969500002</v>
      </c>
      <c r="D88" s="1174">
        <v>8</v>
      </c>
      <c r="E88" s="271">
        <v>134.02000000000001</v>
      </c>
      <c r="F88" s="52">
        <v>10278853.48</v>
      </c>
      <c r="G88" s="717">
        <v>3</v>
      </c>
      <c r="H88" s="514">
        <v>134.02000000000001</v>
      </c>
      <c r="I88" s="146">
        <v>10278853.48</v>
      </c>
      <c r="J88" s="1190">
        <v>3</v>
      </c>
      <c r="K88" s="943">
        <v>0.43232258064516099</v>
      </c>
      <c r="L88" s="1061">
        <v>0.455046606701491</v>
      </c>
      <c r="M88" s="1148">
        <v>0</v>
      </c>
      <c r="N88" s="1008">
        <v>2</v>
      </c>
      <c r="O88" s="1008">
        <v>1</v>
      </c>
      <c r="P88" s="1008">
        <v>0</v>
      </c>
      <c r="Q88" s="1106">
        <v>0</v>
      </c>
      <c r="R88" s="949"/>
      <c r="S88" s="949"/>
      <c r="T88" s="949"/>
      <c r="U88" s="930"/>
    </row>
    <row r="89" spans="1:90">
      <c r="A89" s="952" t="s">
        <v>471</v>
      </c>
      <c r="B89" s="514">
        <v>550</v>
      </c>
      <c r="C89" s="549">
        <v>40497270.104500003</v>
      </c>
      <c r="D89" s="1174">
        <v>13</v>
      </c>
      <c r="E89" s="271">
        <v>535.73</v>
      </c>
      <c r="F89" s="52">
        <v>37063338.689999998</v>
      </c>
      <c r="G89" s="717">
        <v>10</v>
      </c>
      <c r="H89" s="514">
        <v>535.73</v>
      </c>
      <c r="I89" s="146">
        <v>37063338.689999998</v>
      </c>
      <c r="J89" s="1190">
        <v>10</v>
      </c>
      <c r="K89" s="943">
        <v>0.97405454545454595</v>
      </c>
      <c r="L89" s="1061">
        <v>0.91520585447762304</v>
      </c>
      <c r="M89" s="1148">
        <v>0</v>
      </c>
      <c r="N89" s="1008">
        <v>3</v>
      </c>
      <c r="O89" s="1008">
        <v>6</v>
      </c>
      <c r="P89" s="1008">
        <v>1</v>
      </c>
      <c r="Q89" s="1106">
        <v>0</v>
      </c>
      <c r="R89" s="949"/>
      <c r="S89" s="949"/>
      <c r="T89" s="949"/>
      <c r="U89" s="930"/>
      <c r="CE89" s="931"/>
      <c r="CF89" s="931"/>
      <c r="CG89" s="931"/>
      <c r="CH89" s="931"/>
      <c r="CI89" s="931"/>
      <c r="CJ89" s="931"/>
      <c r="CK89" s="931"/>
      <c r="CL89" s="931"/>
    </row>
    <row r="90" spans="1:90">
      <c r="A90" s="1328" t="s">
        <v>20</v>
      </c>
      <c r="B90" s="514">
        <v>438</v>
      </c>
      <c r="C90" s="549">
        <v>32231335.057009999</v>
      </c>
      <c r="D90" s="1174">
        <v>10</v>
      </c>
      <c r="E90" s="271">
        <v>520.46</v>
      </c>
      <c r="F90" s="52">
        <v>36072902.039999999</v>
      </c>
      <c r="G90" s="717">
        <v>11</v>
      </c>
      <c r="H90" s="514">
        <v>520.46</v>
      </c>
      <c r="I90" s="146">
        <v>36072902.039999999</v>
      </c>
      <c r="J90" s="1190">
        <v>11</v>
      </c>
      <c r="K90" s="943">
        <v>1.1882648401826501</v>
      </c>
      <c r="L90" s="1061">
        <v>1.11918733667703</v>
      </c>
      <c r="M90" s="1148">
        <v>2</v>
      </c>
      <c r="N90" s="1008">
        <v>5</v>
      </c>
      <c r="O90" s="1008">
        <v>2</v>
      </c>
      <c r="P90" s="1008">
        <v>2</v>
      </c>
      <c r="Q90" s="1106">
        <v>0</v>
      </c>
      <c r="R90" s="949"/>
      <c r="S90" s="949"/>
      <c r="T90" s="949"/>
      <c r="U90" s="930"/>
    </row>
    <row r="91" spans="1:90">
      <c r="A91" s="1329" t="s">
        <v>63</v>
      </c>
      <c r="B91" s="514">
        <v>310</v>
      </c>
      <c r="C91" s="549">
        <v>22588572.969500002</v>
      </c>
      <c r="D91" s="1174">
        <v>8</v>
      </c>
      <c r="E91" s="315">
        <v>376.77</v>
      </c>
      <c r="F91" s="363">
        <v>26552779.190000001</v>
      </c>
      <c r="G91" s="703">
        <v>9</v>
      </c>
      <c r="H91" s="1175">
        <v>376.77</v>
      </c>
      <c r="I91" s="403">
        <v>26552779.190000001</v>
      </c>
      <c r="J91" s="1191">
        <v>9</v>
      </c>
      <c r="K91" s="1192">
        <v>1.21538709677419</v>
      </c>
      <c r="L91" s="1365">
        <v>1.17549608936574</v>
      </c>
      <c r="M91" s="1148">
        <v>3</v>
      </c>
      <c r="N91" s="1008">
        <v>4</v>
      </c>
      <c r="O91" s="1008">
        <v>2</v>
      </c>
      <c r="P91" s="1008">
        <v>1</v>
      </c>
      <c r="Q91" s="1106">
        <v>0</v>
      </c>
      <c r="R91" s="949"/>
      <c r="S91" s="949"/>
      <c r="T91" s="949"/>
      <c r="U91" s="930"/>
    </row>
    <row r="92" spans="1:90">
      <c r="A92" s="1330" t="s">
        <v>114</v>
      </c>
      <c r="B92" s="1177">
        <v>2133</v>
      </c>
      <c r="C92" s="1178">
        <v>156490678.97501001</v>
      </c>
      <c r="D92" s="1179">
        <v>51</v>
      </c>
      <c r="E92" s="1172">
        <v>1940.8</v>
      </c>
      <c r="F92" s="1165">
        <v>136787019.05000001</v>
      </c>
      <c r="G92" s="1180">
        <v>41</v>
      </c>
      <c r="H92" s="1172">
        <v>1940.8</v>
      </c>
      <c r="I92" s="1165">
        <v>136787019.05000001</v>
      </c>
      <c r="J92" s="1193">
        <v>41</v>
      </c>
      <c r="K92" s="1366">
        <v>0.90989217065166395</v>
      </c>
      <c r="L92" s="1367">
        <v>0.87409052057243297</v>
      </c>
      <c r="M92" s="906">
        <v>7</v>
      </c>
      <c r="N92" s="1123">
        <v>17</v>
      </c>
      <c r="O92" s="1123">
        <v>12</v>
      </c>
      <c r="P92" s="1185">
        <v>7</v>
      </c>
      <c r="Q92" s="1167">
        <v>0</v>
      </c>
      <c r="R92" s="949"/>
      <c r="S92" s="949"/>
      <c r="T92" s="949"/>
      <c r="U92" s="930"/>
    </row>
    <row r="93" spans="1:90" s="1214" customFormat="1" ht="25.5">
      <c r="A93" s="1326" t="s">
        <v>115</v>
      </c>
      <c r="B93" s="723" t="s">
        <v>100</v>
      </c>
      <c r="C93" s="1086" t="s">
        <v>97</v>
      </c>
      <c r="D93" s="688" t="s">
        <v>95</v>
      </c>
      <c r="E93" s="1022" t="s">
        <v>494</v>
      </c>
      <c r="F93" s="138" t="s">
        <v>495</v>
      </c>
      <c r="G93" s="139" t="s">
        <v>496</v>
      </c>
      <c r="H93" s="980" t="s">
        <v>101</v>
      </c>
      <c r="I93" s="141" t="s">
        <v>98</v>
      </c>
      <c r="J93" s="141" t="s">
        <v>96</v>
      </c>
      <c r="K93" s="141" t="s">
        <v>715</v>
      </c>
      <c r="L93" s="1026" t="s">
        <v>716</v>
      </c>
      <c r="M93" s="1087">
        <v>0</v>
      </c>
      <c r="N93" s="1033">
        <v>1</v>
      </c>
      <c r="O93" s="1033">
        <v>2</v>
      </c>
      <c r="P93" s="1033">
        <v>3</v>
      </c>
      <c r="Q93" s="1104">
        <v>4</v>
      </c>
      <c r="R93" s="950"/>
      <c r="S93" s="950"/>
      <c r="T93" s="950"/>
      <c r="U93" s="951"/>
      <c r="CE93" s="1350"/>
      <c r="CF93" s="1350"/>
      <c r="CG93" s="1350"/>
      <c r="CH93" s="1350"/>
      <c r="CI93" s="1350"/>
      <c r="CJ93" s="1350"/>
      <c r="CK93" s="1350"/>
      <c r="CL93" s="1350"/>
    </row>
    <row r="94" spans="1:90">
      <c r="A94" s="1327" t="s">
        <v>16</v>
      </c>
      <c r="B94" s="1132">
        <v>745.5</v>
      </c>
      <c r="C94" s="549">
        <v>54025091.042999998</v>
      </c>
      <c r="D94" s="1181">
        <v>17</v>
      </c>
      <c r="E94" s="997">
        <v>1122.28</v>
      </c>
      <c r="F94" s="146">
        <v>77371455.5</v>
      </c>
      <c r="G94" s="689">
        <v>21</v>
      </c>
      <c r="H94" s="877">
        <v>1122.28</v>
      </c>
      <c r="I94" s="146">
        <v>77371455.5</v>
      </c>
      <c r="J94" s="878">
        <v>21</v>
      </c>
      <c r="K94" s="221">
        <v>1.50540576794098</v>
      </c>
      <c r="L94" s="222">
        <v>1.4321392894723299</v>
      </c>
      <c r="M94" s="1148">
        <v>2</v>
      </c>
      <c r="N94" s="1008">
        <v>7</v>
      </c>
      <c r="O94" s="1008">
        <v>7</v>
      </c>
      <c r="P94" s="1008">
        <v>6</v>
      </c>
      <c r="Q94" s="1106">
        <v>0</v>
      </c>
      <c r="R94" s="949"/>
      <c r="S94" s="949"/>
      <c r="T94" s="949"/>
      <c r="U94" s="930"/>
    </row>
    <row r="95" spans="1:90">
      <c r="A95" s="1329" t="s">
        <v>575</v>
      </c>
      <c r="B95" s="362">
        <v>745</v>
      </c>
      <c r="C95" s="550">
        <v>54025091.042999998</v>
      </c>
      <c r="D95" s="1181">
        <v>17</v>
      </c>
      <c r="E95" s="999">
        <v>483.03</v>
      </c>
      <c r="F95" s="363">
        <v>35363871.060000002</v>
      </c>
      <c r="G95" s="366">
        <v>11</v>
      </c>
      <c r="H95" s="364">
        <v>483.03</v>
      </c>
      <c r="I95" s="363">
        <v>35363871.060000002</v>
      </c>
      <c r="J95" s="365">
        <v>11</v>
      </c>
      <c r="K95" s="360">
        <v>0.64836241610738299</v>
      </c>
      <c r="L95" s="361">
        <v>0.65458235011307897</v>
      </c>
      <c r="M95" s="1148">
        <v>6</v>
      </c>
      <c r="N95" s="1008">
        <v>6</v>
      </c>
      <c r="O95" s="1008">
        <v>3</v>
      </c>
      <c r="P95" s="1008">
        <v>1</v>
      </c>
      <c r="Q95" s="1106">
        <v>0</v>
      </c>
      <c r="R95" s="949"/>
      <c r="S95" s="949"/>
      <c r="T95" s="949"/>
      <c r="U95" s="930"/>
    </row>
    <row r="96" spans="1:90">
      <c r="A96" s="1331" t="s">
        <v>114</v>
      </c>
      <c r="B96" s="1177">
        <v>1490.5</v>
      </c>
      <c r="C96" s="1178">
        <v>108050182.086</v>
      </c>
      <c r="D96" s="1123">
        <v>34</v>
      </c>
      <c r="E96" s="1171">
        <v>1605.31</v>
      </c>
      <c r="F96" s="1182">
        <v>112735326.56</v>
      </c>
      <c r="G96" s="1166">
        <v>32</v>
      </c>
      <c r="H96" s="1173">
        <v>1605.31</v>
      </c>
      <c r="I96" s="1182">
        <v>112735326.56</v>
      </c>
      <c r="J96" s="1182">
        <v>32</v>
      </c>
      <c r="K96" s="1183">
        <v>1.0770278430057001</v>
      </c>
      <c r="L96" s="1184">
        <v>1.0433608197927</v>
      </c>
      <c r="M96" s="906">
        <v>8</v>
      </c>
      <c r="N96" s="1123">
        <v>13</v>
      </c>
      <c r="O96" s="1123">
        <v>10</v>
      </c>
      <c r="P96" s="1123">
        <v>7</v>
      </c>
      <c r="Q96" s="1167">
        <v>0</v>
      </c>
      <c r="R96" s="949"/>
      <c r="S96" s="949"/>
      <c r="T96" s="949"/>
      <c r="U96" s="930"/>
    </row>
    <row r="97" spans="1:21">
      <c r="A97" s="65"/>
      <c r="B97" s="65"/>
      <c r="C97" s="65"/>
      <c r="D97" s="65"/>
      <c r="E97" s="65"/>
      <c r="F97" s="949"/>
      <c r="G97" s="65"/>
      <c r="H97" s="65"/>
      <c r="I97" s="949"/>
      <c r="J97" s="65"/>
      <c r="K97" s="65"/>
      <c r="L97" s="65"/>
      <c r="M97" s="949"/>
      <c r="N97" s="65"/>
      <c r="O97" s="949"/>
      <c r="P97" s="949"/>
      <c r="Q97" s="86"/>
      <c r="R97" s="949"/>
      <c r="S97" s="949"/>
      <c r="T97" s="949"/>
      <c r="U97" s="930"/>
    </row>
    <row r="98" spans="1:21">
      <c r="A98" s="65"/>
      <c r="B98" s="65"/>
      <c r="C98" s="65"/>
      <c r="D98" s="65"/>
      <c r="E98" s="65"/>
      <c r="F98" s="949"/>
      <c r="G98" s="65"/>
      <c r="H98" s="65"/>
      <c r="I98" s="949"/>
      <c r="J98" s="65"/>
      <c r="K98" s="65"/>
      <c r="L98" s="65"/>
      <c r="M98" s="949"/>
      <c r="N98" s="65"/>
      <c r="O98" s="949"/>
      <c r="P98" s="949"/>
      <c r="Q98" s="86"/>
      <c r="R98" s="949"/>
      <c r="S98" s="949"/>
      <c r="T98" s="949"/>
      <c r="U98" s="930"/>
    </row>
    <row r="99" spans="1:21">
      <c r="A99" s="65"/>
      <c r="B99" s="65"/>
      <c r="C99" s="65"/>
      <c r="D99" s="65"/>
      <c r="E99" s="65"/>
      <c r="F99" s="949"/>
      <c r="G99" s="65"/>
      <c r="H99" s="65"/>
      <c r="I99" s="949"/>
      <c r="J99" s="65"/>
      <c r="K99" s="65"/>
      <c r="L99" s="65"/>
      <c r="M99" s="949"/>
      <c r="N99" s="65"/>
      <c r="O99" s="949"/>
      <c r="P99" s="949"/>
      <c r="Q99" s="86"/>
      <c r="R99" s="949"/>
      <c r="S99" s="949"/>
      <c r="T99" s="949"/>
      <c r="U99" s="930"/>
    </row>
    <row r="100" spans="1:21">
      <c r="A100" s="65"/>
      <c r="B100" s="65"/>
      <c r="C100" s="65"/>
      <c r="D100" s="65"/>
      <c r="E100" s="65"/>
      <c r="F100" s="949"/>
      <c r="G100" s="65"/>
      <c r="H100" s="65"/>
      <c r="I100" s="949"/>
      <c r="J100" s="65"/>
      <c r="K100" s="65"/>
      <c r="L100" s="65"/>
      <c r="M100" s="949"/>
      <c r="N100" s="65"/>
      <c r="O100" s="949"/>
      <c r="P100" s="949"/>
      <c r="Q100" s="86"/>
      <c r="R100" s="949"/>
      <c r="S100" s="949"/>
      <c r="T100" s="949"/>
      <c r="U100" s="930"/>
    </row>
    <row r="101" spans="1:21">
      <c r="A101" s="65"/>
      <c r="B101" s="65"/>
      <c r="C101" s="65"/>
      <c r="D101" s="65"/>
      <c r="E101" s="65"/>
      <c r="F101" s="949"/>
      <c r="G101" s="65"/>
      <c r="H101" s="65"/>
      <c r="I101" s="949"/>
      <c r="J101" s="65"/>
      <c r="K101" s="65"/>
      <c r="L101" s="65"/>
      <c r="M101" s="949"/>
      <c r="N101" s="65"/>
      <c r="O101" s="949"/>
      <c r="P101" s="949"/>
      <c r="Q101" s="86"/>
      <c r="R101" s="949"/>
      <c r="S101" s="949"/>
      <c r="T101" s="949"/>
      <c r="U101" s="930"/>
    </row>
    <row r="102" spans="1:21">
      <c r="A102" s="65"/>
      <c r="B102" s="65"/>
      <c r="C102" s="65"/>
      <c r="D102" s="65"/>
      <c r="E102" s="65"/>
      <c r="F102" s="949"/>
      <c r="G102" s="65"/>
      <c r="H102" s="65"/>
      <c r="I102" s="949"/>
      <c r="J102" s="65"/>
      <c r="K102" s="65"/>
      <c r="L102" s="65"/>
      <c r="M102" s="949"/>
      <c r="N102" s="65"/>
      <c r="O102" s="949"/>
      <c r="P102" s="949"/>
      <c r="Q102" s="86"/>
      <c r="R102" s="949"/>
      <c r="S102" s="949"/>
      <c r="T102" s="949"/>
      <c r="U102" s="930"/>
    </row>
    <row r="103" spans="1:21">
      <c r="A103" s="65"/>
      <c r="B103" s="65"/>
      <c r="C103" s="65"/>
      <c r="D103" s="65"/>
      <c r="E103" s="65"/>
      <c r="F103" s="949"/>
      <c r="G103" s="65"/>
      <c r="H103" s="65"/>
      <c r="I103" s="949"/>
      <c r="J103" s="65"/>
      <c r="K103" s="65"/>
      <c r="L103" s="65"/>
      <c r="M103" s="949"/>
      <c r="N103" s="65"/>
      <c r="O103" s="949"/>
      <c r="P103" s="949"/>
      <c r="Q103" s="86"/>
      <c r="R103" s="949"/>
      <c r="S103" s="949"/>
      <c r="T103" s="949"/>
      <c r="U103" s="930"/>
    </row>
    <row r="104" spans="1:21">
      <c r="A104" s="65"/>
      <c r="B104" s="65"/>
      <c r="C104" s="65"/>
      <c r="D104" s="65"/>
      <c r="E104" s="65"/>
      <c r="F104" s="949"/>
      <c r="G104" s="65"/>
      <c r="H104" s="65"/>
      <c r="I104" s="949"/>
      <c r="J104" s="65"/>
      <c r="K104" s="65"/>
      <c r="L104" s="65"/>
      <c r="M104" s="949"/>
      <c r="N104" s="65"/>
      <c r="O104" s="949"/>
      <c r="P104" s="949"/>
      <c r="Q104" s="86"/>
      <c r="R104" s="949"/>
      <c r="S104" s="949"/>
      <c r="T104" s="949"/>
      <c r="U104" s="930"/>
    </row>
    <row r="105" spans="1:21">
      <c r="A105" s="65"/>
      <c r="B105" s="65"/>
      <c r="C105" s="65"/>
      <c r="D105" s="65"/>
      <c r="E105" s="65"/>
      <c r="F105" s="949"/>
      <c r="G105" s="65"/>
      <c r="H105" s="65"/>
      <c r="I105" s="949"/>
      <c r="J105" s="65"/>
      <c r="K105" s="65"/>
      <c r="L105" s="65"/>
      <c r="M105" s="949"/>
      <c r="N105" s="65"/>
      <c r="O105" s="949"/>
      <c r="P105" s="949"/>
      <c r="Q105" s="86"/>
      <c r="R105" s="949"/>
      <c r="S105" s="949"/>
      <c r="T105" s="949"/>
      <c r="U105" s="930"/>
    </row>
    <row r="106" spans="1:21">
      <c r="A106" s="65"/>
      <c r="B106" s="65"/>
      <c r="C106" s="65"/>
      <c r="D106" s="65"/>
      <c r="E106" s="65"/>
      <c r="F106" s="949"/>
      <c r="G106" s="65"/>
      <c r="H106" s="65"/>
      <c r="I106" s="949"/>
      <c r="J106" s="65"/>
      <c r="K106" s="65"/>
      <c r="L106" s="65"/>
      <c r="M106" s="949"/>
      <c r="N106" s="65"/>
      <c r="O106" s="949"/>
      <c r="P106" s="949"/>
      <c r="Q106" s="86"/>
      <c r="R106" s="949"/>
      <c r="S106" s="949"/>
      <c r="T106" s="949"/>
      <c r="U106" s="930"/>
    </row>
    <row r="107" spans="1:21">
      <c r="A107" s="65"/>
      <c r="B107" s="65"/>
      <c r="C107" s="65"/>
      <c r="D107" s="65"/>
      <c r="E107" s="65"/>
      <c r="F107" s="949"/>
      <c r="G107" s="65"/>
      <c r="H107" s="65"/>
      <c r="I107" s="949"/>
      <c r="J107" s="65"/>
      <c r="K107" s="65"/>
      <c r="L107" s="65"/>
      <c r="M107" s="949"/>
      <c r="N107" s="65"/>
      <c r="O107" s="949"/>
      <c r="P107" s="949"/>
      <c r="Q107" s="86"/>
      <c r="R107" s="949"/>
      <c r="S107" s="949"/>
      <c r="T107" s="949"/>
      <c r="U107" s="930"/>
    </row>
    <row r="108" spans="1:21">
      <c r="A108" s="65"/>
      <c r="B108" s="65"/>
      <c r="C108" s="65"/>
      <c r="D108" s="65"/>
      <c r="E108" s="65"/>
      <c r="F108" s="949"/>
      <c r="G108" s="65"/>
      <c r="H108" s="65"/>
      <c r="I108" s="949"/>
      <c r="J108" s="65"/>
      <c r="K108" s="65"/>
      <c r="L108" s="65"/>
      <c r="M108" s="949"/>
      <c r="N108" s="65"/>
      <c r="O108" s="949"/>
      <c r="P108" s="949"/>
      <c r="Q108" s="86"/>
      <c r="R108" s="949"/>
      <c r="S108" s="949"/>
      <c r="T108" s="949"/>
      <c r="U108" s="930"/>
    </row>
    <row r="109" spans="1:21">
      <c r="A109" s="65"/>
      <c r="B109" s="65"/>
      <c r="C109" s="65"/>
      <c r="D109" s="65"/>
      <c r="E109" s="65"/>
      <c r="F109" s="949"/>
      <c r="G109" s="65"/>
      <c r="H109" s="65"/>
      <c r="I109" s="949"/>
      <c r="J109" s="65"/>
      <c r="K109" s="65"/>
      <c r="L109" s="65"/>
      <c r="M109" s="949"/>
      <c r="N109" s="65"/>
      <c r="O109" s="949"/>
      <c r="P109" s="949"/>
      <c r="Q109" s="86"/>
      <c r="R109" s="949"/>
      <c r="S109" s="949"/>
      <c r="T109" s="949"/>
      <c r="U109" s="930"/>
    </row>
    <row r="110" spans="1:21">
      <c r="A110" s="65"/>
      <c r="B110" s="65"/>
      <c r="C110" s="65"/>
      <c r="D110" s="65"/>
      <c r="E110" s="65"/>
      <c r="F110" s="949"/>
      <c r="G110" s="65"/>
      <c r="H110" s="65"/>
      <c r="I110" s="949"/>
      <c r="J110" s="65"/>
      <c r="K110" s="65"/>
      <c r="L110" s="65"/>
      <c r="M110" s="949"/>
      <c r="N110" s="65"/>
      <c r="O110" s="949"/>
      <c r="P110" s="949"/>
      <c r="Q110" s="86"/>
      <c r="R110" s="949"/>
      <c r="S110" s="949"/>
      <c r="T110" s="949"/>
      <c r="U110" s="930"/>
    </row>
    <row r="111" spans="1:21">
      <c r="A111" s="65"/>
      <c r="B111" s="65"/>
      <c r="C111" s="65"/>
      <c r="D111" s="65"/>
      <c r="E111" s="65"/>
      <c r="F111" s="949"/>
      <c r="G111" s="65"/>
      <c r="H111" s="65"/>
      <c r="I111" s="949"/>
      <c r="J111" s="65"/>
      <c r="K111" s="65"/>
      <c r="L111" s="65"/>
      <c r="M111" s="949"/>
      <c r="N111" s="65"/>
      <c r="O111" s="949"/>
      <c r="P111" s="949"/>
      <c r="Q111" s="86"/>
      <c r="R111" s="949"/>
      <c r="S111" s="949"/>
      <c r="T111" s="949"/>
      <c r="U111" s="930"/>
    </row>
    <row r="112" spans="1:21">
      <c r="A112" s="65"/>
      <c r="B112" s="65"/>
      <c r="C112" s="65"/>
      <c r="D112" s="65"/>
      <c r="E112" s="65"/>
      <c r="F112" s="949"/>
      <c r="G112" s="65"/>
      <c r="H112" s="65"/>
      <c r="I112" s="949"/>
      <c r="J112" s="65"/>
      <c r="K112" s="65"/>
      <c r="L112" s="65"/>
      <c r="M112" s="949"/>
      <c r="N112" s="65"/>
      <c r="O112" s="949"/>
      <c r="P112" s="949"/>
      <c r="Q112" s="86"/>
      <c r="R112" s="949"/>
      <c r="S112" s="949"/>
      <c r="T112" s="949"/>
      <c r="U112" s="930"/>
    </row>
    <row r="113" spans="1:21">
      <c r="A113" s="65"/>
      <c r="B113" s="65"/>
      <c r="C113" s="65"/>
      <c r="D113" s="65"/>
      <c r="E113" s="65"/>
      <c r="F113" s="949"/>
      <c r="G113" s="65"/>
      <c r="H113" s="65"/>
      <c r="I113" s="949"/>
      <c r="J113" s="65"/>
      <c r="K113" s="65"/>
      <c r="L113" s="65"/>
      <c r="M113" s="949"/>
      <c r="N113" s="65"/>
      <c r="O113" s="949"/>
      <c r="P113" s="949"/>
      <c r="Q113" s="86"/>
      <c r="R113" s="949"/>
      <c r="S113" s="949"/>
      <c r="T113" s="949"/>
      <c r="U113" s="930"/>
    </row>
    <row r="114" spans="1:21">
      <c r="A114" s="65"/>
      <c r="B114" s="65"/>
      <c r="C114" s="65"/>
      <c r="D114" s="65"/>
      <c r="E114" s="65"/>
      <c r="F114" s="949"/>
      <c r="G114" s="65"/>
      <c r="H114" s="65"/>
      <c r="I114" s="949"/>
      <c r="J114" s="65"/>
      <c r="K114" s="65"/>
      <c r="L114" s="65"/>
      <c r="M114" s="949"/>
      <c r="N114" s="65"/>
      <c r="O114" s="949"/>
      <c r="P114" s="949"/>
      <c r="Q114" s="86"/>
      <c r="R114" s="949"/>
      <c r="S114" s="949"/>
      <c r="T114" s="949"/>
      <c r="U114" s="930"/>
    </row>
    <row r="115" spans="1:21">
      <c r="A115" s="65"/>
      <c r="B115" s="65"/>
      <c r="C115" s="65"/>
      <c r="D115" s="65"/>
      <c r="E115" s="65"/>
      <c r="F115" s="949"/>
      <c r="G115" s="65"/>
      <c r="H115" s="65"/>
      <c r="I115" s="949"/>
      <c r="J115" s="65"/>
      <c r="K115" s="65"/>
      <c r="L115" s="65"/>
      <c r="M115" s="949"/>
      <c r="N115" s="65"/>
      <c r="O115" s="949"/>
      <c r="P115" s="949"/>
      <c r="Q115" s="86"/>
      <c r="R115" s="949"/>
      <c r="S115" s="949"/>
      <c r="T115" s="949"/>
      <c r="U115" s="930"/>
    </row>
    <row r="116" spans="1:21">
      <c r="A116" s="65"/>
      <c r="B116" s="65"/>
      <c r="C116" s="65"/>
      <c r="D116" s="65"/>
      <c r="E116" s="65"/>
      <c r="F116" s="949"/>
      <c r="G116" s="65"/>
      <c r="H116" s="65"/>
      <c r="I116" s="949"/>
      <c r="J116" s="65"/>
      <c r="K116" s="65"/>
      <c r="L116" s="65"/>
      <c r="M116" s="949"/>
      <c r="N116" s="65"/>
      <c r="O116" s="949"/>
      <c r="P116" s="949"/>
      <c r="Q116" s="86"/>
      <c r="R116" s="949"/>
      <c r="S116" s="949"/>
      <c r="T116" s="949"/>
      <c r="U116" s="930"/>
    </row>
    <row r="117" spans="1:21">
      <c r="A117" s="65"/>
      <c r="B117" s="65"/>
      <c r="C117" s="65"/>
      <c r="D117" s="65"/>
      <c r="E117" s="65"/>
      <c r="F117" s="949"/>
      <c r="G117" s="65"/>
      <c r="H117" s="65"/>
      <c r="I117" s="949"/>
      <c r="J117" s="65"/>
      <c r="K117" s="65"/>
      <c r="L117" s="65"/>
      <c r="M117" s="949"/>
      <c r="N117" s="65"/>
      <c r="O117" s="949"/>
      <c r="P117" s="949"/>
      <c r="Q117" s="86"/>
      <c r="R117" s="949"/>
      <c r="S117" s="949"/>
      <c r="T117" s="949"/>
      <c r="U117" s="930"/>
    </row>
    <row r="118" spans="1:21">
      <c r="A118" s="65"/>
      <c r="B118" s="65"/>
      <c r="C118" s="65"/>
      <c r="D118" s="65"/>
      <c r="E118" s="65"/>
      <c r="F118" s="949"/>
      <c r="G118" s="65"/>
      <c r="H118" s="65"/>
      <c r="I118" s="949"/>
      <c r="J118" s="65"/>
      <c r="K118" s="65"/>
      <c r="L118" s="65"/>
      <c r="M118" s="949"/>
      <c r="N118" s="65"/>
      <c r="O118" s="949"/>
      <c r="P118" s="949"/>
      <c r="Q118" s="86"/>
      <c r="R118" s="949"/>
      <c r="S118" s="949"/>
      <c r="T118" s="949"/>
      <c r="U118" s="930"/>
    </row>
    <row r="119" spans="1:21">
      <c r="A119" s="65"/>
      <c r="B119" s="65"/>
      <c r="C119" s="65"/>
      <c r="D119" s="65"/>
      <c r="E119" s="65"/>
      <c r="F119" s="949"/>
      <c r="G119" s="65"/>
      <c r="H119" s="65"/>
      <c r="I119" s="949"/>
      <c r="J119" s="65"/>
      <c r="K119" s="65"/>
      <c r="L119" s="65"/>
      <c r="M119" s="949"/>
      <c r="N119" s="65"/>
      <c r="O119" s="949"/>
      <c r="P119" s="949"/>
      <c r="Q119" s="86"/>
      <c r="R119" s="949"/>
      <c r="S119" s="949"/>
      <c r="T119" s="949"/>
      <c r="U119" s="930"/>
    </row>
    <row r="120" spans="1:21">
      <c r="A120" s="65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T120" s="949"/>
      <c r="U120" s="930"/>
    </row>
    <row r="121" spans="1:21">
      <c r="A121" s="65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30"/>
    </row>
    <row r="122" spans="1:21">
      <c r="A122" s="65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30"/>
    </row>
    <row r="123" spans="1:21">
      <c r="A123" s="65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  <c r="U123" s="930"/>
    </row>
    <row r="124" spans="1:21">
      <c r="A124" s="65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30"/>
    </row>
    <row r="125" spans="1:2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30"/>
    </row>
    <row r="126" spans="1:2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30"/>
    </row>
    <row r="127" spans="1:2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30"/>
    </row>
    <row r="128" spans="1:2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30"/>
    </row>
    <row r="129" spans="1:2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30"/>
    </row>
    <row r="130" spans="1:2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30"/>
    </row>
    <row r="131" spans="1:2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30"/>
    </row>
    <row r="132" spans="1:2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30"/>
    </row>
    <row r="133" spans="1:2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30"/>
    </row>
    <row r="134" spans="1:2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30"/>
    </row>
    <row r="135" spans="1:2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2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2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2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2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2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2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2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2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2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2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2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2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2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2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2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  <c r="V239" s="931" t="s">
        <v>830</v>
      </c>
    </row>
  </sheetData>
  <sheetProtection formatCells="0" formatColumns="0" formatRows="0" sort="0" autoFilter="0" pivotTables="0"/>
  <mergeCells count="8">
    <mergeCell ref="A80:Q80"/>
    <mergeCell ref="A85:B85"/>
    <mergeCell ref="D85:P85"/>
    <mergeCell ref="A1:S1"/>
    <mergeCell ref="A53:B53"/>
    <mergeCell ref="D53:P53"/>
    <mergeCell ref="A66:B66"/>
    <mergeCell ref="D66:P66"/>
  </mergeCells>
  <pageMargins left="0.25" right="0.25" top="0.75" bottom="0.75" header="0.3" footer="0.3"/>
  <pageSetup paperSize="9" scale="24" orientation="portrait"/>
  <drawing r:id="rId1"/>
  <legacy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249"/>
  <sheetViews>
    <sheetView topLeftCell="A80" zoomScale="85" zoomScaleNormal="85" workbookViewId="0">
      <selection activeCell="F122" sqref="F122"/>
    </sheetView>
  </sheetViews>
  <sheetFormatPr defaultColWidth="9.140625" defaultRowHeight="12.75" outlineLevelRow="1"/>
  <cols>
    <col min="1" max="1" width="11.7109375" style="1118" customWidth="1"/>
    <col min="2" max="2" width="8.42578125" style="931" customWidth="1"/>
    <col min="3" max="3" width="17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9.85546875" style="931" customWidth="1"/>
    <col min="11" max="11" width="14.140625" style="931" customWidth="1"/>
    <col min="12" max="12" width="12.42578125" style="931" customWidth="1"/>
    <col min="13" max="13" width="10.5703125" style="931" customWidth="1"/>
    <col min="14" max="14" width="7.85546875" style="931" customWidth="1"/>
    <col min="15" max="15" width="25.5703125" style="931" customWidth="1"/>
    <col min="16" max="16" width="21" style="931" customWidth="1"/>
    <col min="17" max="17" width="32.42578125" style="931" customWidth="1"/>
    <col min="18" max="18" width="17.5703125" style="931" customWidth="1"/>
    <col min="19" max="19" width="12.5703125" style="931" customWidth="1"/>
    <col min="20" max="20" width="10.85546875" style="931" customWidth="1"/>
    <col min="21" max="21" width="14.28515625" style="43" customWidth="1"/>
    <col min="22" max="16384" width="9.140625" style="931"/>
  </cols>
  <sheetData>
    <row r="1" spans="1:21">
      <c r="A1" s="2297">
        <v>44620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21" s="949" customFormat="1" ht="30" hidden="1" customHeight="1" outlineLevel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1" hidden="1" outlineLevel="1">
      <c r="A3" s="62">
        <v>1</v>
      </c>
      <c r="B3" s="81">
        <v>602</v>
      </c>
      <c r="C3" s="81">
        <v>17995</v>
      </c>
      <c r="D3" s="117" t="s">
        <v>77</v>
      </c>
      <c r="E3" s="62">
        <v>23.54</v>
      </c>
      <c r="F3" s="945" t="s">
        <v>25</v>
      </c>
      <c r="G3" s="117" t="s">
        <v>27</v>
      </c>
      <c r="H3" s="117" t="s">
        <v>16</v>
      </c>
      <c r="I3" s="95">
        <v>2198270.66</v>
      </c>
      <c r="J3" s="62">
        <v>0</v>
      </c>
      <c r="K3" s="117" t="s">
        <v>583</v>
      </c>
      <c r="L3" s="117" t="s">
        <v>12</v>
      </c>
      <c r="M3" s="92">
        <v>44596</v>
      </c>
      <c r="N3" s="117" t="s">
        <v>11</v>
      </c>
      <c r="O3" s="117" t="s">
        <v>880</v>
      </c>
      <c r="P3" s="941" t="s">
        <v>67</v>
      </c>
      <c r="Q3" s="892" t="s">
        <v>881</v>
      </c>
      <c r="R3" s="945" t="s">
        <v>77</v>
      </c>
      <c r="S3" s="945" t="s">
        <v>63</v>
      </c>
      <c r="T3" s="945" t="s">
        <v>77</v>
      </c>
      <c r="U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1821630.6600000001</v>
      </c>
    </row>
    <row r="4" spans="1:21" ht="12.75" hidden="1" customHeight="1" outlineLevel="1">
      <c r="A4" s="62">
        <v>2</v>
      </c>
      <c r="B4" s="75">
        <v>64</v>
      </c>
      <c r="C4" s="75">
        <v>19064</v>
      </c>
      <c r="D4" s="62" t="s">
        <v>63</v>
      </c>
      <c r="E4" s="62">
        <v>82.71</v>
      </c>
      <c r="F4" s="941" t="s">
        <v>9</v>
      </c>
      <c r="G4" s="62" t="s">
        <v>27</v>
      </c>
      <c r="H4" s="62" t="s">
        <v>84</v>
      </c>
      <c r="I4" s="95">
        <v>4897981.4400000004</v>
      </c>
      <c r="J4" s="62">
        <v>3</v>
      </c>
      <c r="K4" s="117" t="s">
        <v>130</v>
      </c>
      <c r="L4" s="62" t="s">
        <v>12</v>
      </c>
      <c r="M4" s="92">
        <v>44611</v>
      </c>
      <c r="N4" s="62" t="s">
        <v>11</v>
      </c>
      <c r="O4" s="117" t="s">
        <v>882</v>
      </c>
      <c r="P4" s="892"/>
      <c r="Q4" s="892" t="s">
        <v>883</v>
      </c>
      <c r="R4" s="76" t="s">
        <v>63</v>
      </c>
      <c r="S4" s="941" t="s">
        <v>63</v>
      </c>
      <c r="T4" s="941" t="s">
        <v>63</v>
      </c>
      <c r="U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4897981.4400000004</v>
      </c>
    </row>
    <row r="5" spans="1:21" hidden="1" outlineLevel="1">
      <c r="A5" s="62">
        <v>3</v>
      </c>
      <c r="B5" s="75">
        <v>569</v>
      </c>
      <c r="C5" s="75">
        <v>18727.187249999999</v>
      </c>
      <c r="D5" s="62" t="s">
        <v>63</v>
      </c>
      <c r="E5" s="62">
        <v>37.159999999999997</v>
      </c>
      <c r="F5" s="941" t="s">
        <v>9</v>
      </c>
      <c r="G5" s="62" t="s">
        <v>27</v>
      </c>
      <c r="H5" s="62" t="s">
        <v>16</v>
      </c>
      <c r="I5" s="95">
        <v>2707748.87</v>
      </c>
      <c r="J5" s="62">
        <v>1</v>
      </c>
      <c r="K5" s="62" t="s">
        <v>583</v>
      </c>
      <c r="L5" s="62" t="s">
        <v>18</v>
      </c>
      <c r="M5" s="92">
        <v>44599</v>
      </c>
      <c r="N5" s="117" t="s">
        <v>11</v>
      </c>
      <c r="O5" s="62" t="s">
        <v>801</v>
      </c>
      <c r="P5" s="941" t="s">
        <v>67</v>
      </c>
      <c r="Q5" s="941" t="s">
        <v>884</v>
      </c>
      <c r="R5" s="892" t="s">
        <v>63</v>
      </c>
      <c r="S5" s="945" t="s">
        <v>63</v>
      </c>
      <c r="T5" s="945" t="s">
        <v>63</v>
      </c>
      <c r="U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2707748.87</v>
      </c>
    </row>
    <row r="6" spans="1:21" ht="11.25" hidden="1" customHeight="1" outlineLevel="1">
      <c r="A6" s="62">
        <v>4</v>
      </c>
      <c r="B6" s="62">
        <v>743</v>
      </c>
      <c r="C6" s="75">
        <v>18725</v>
      </c>
      <c r="D6" s="62" t="s">
        <v>63</v>
      </c>
      <c r="E6" s="62">
        <v>24.39</v>
      </c>
      <c r="F6" s="941" t="s">
        <v>15</v>
      </c>
      <c r="G6" s="62" t="s">
        <v>27</v>
      </c>
      <c r="H6" s="62" t="s">
        <v>16</v>
      </c>
      <c r="I6" s="91">
        <v>2021552.47</v>
      </c>
      <c r="J6" s="62">
        <v>0</v>
      </c>
      <c r="K6" s="62" t="s">
        <v>583</v>
      </c>
      <c r="L6" s="62" t="s">
        <v>18</v>
      </c>
      <c r="M6" s="537">
        <v>44599</v>
      </c>
      <c r="N6" s="117" t="s">
        <v>11</v>
      </c>
      <c r="O6" s="62" t="s">
        <v>801</v>
      </c>
      <c r="P6" s="941" t="s">
        <v>67</v>
      </c>
      <c r="Q6" s="941" t="s">
        <v>884</v>
      </c>
      <c r="R6" s="892" t="s">
        <v>63</v>
      </c>
      <c r="S6" s="892" t="s">
        <v>63</v>
      </c>
      <c r="T6" s="892" t="s">
        <v>63</v>
      </c>
      <c r="U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1887407.47</v>
      </c>
    </row>
    <row r="7" spans="1:21" s="929" customFormat="1" hidden="1" outlineLevel="1">
      <c r="A7" s="62">
        <v>5</v>
      </c>
      <c r="B7" s="62">
        <v>688</v>
      </c>
      <c r="C7" s="62">
        <v>19283</v>
      </c>
      <c r="D7" s="62" t="s">
        <v>73</v>
      </c>
      <c r="E7" s="62">
        <v>56.33</v>
      </c>
      <c r="F7" s="941" t="s">
        <v>9</v>
      </c>
      <c r="G7" s="62" t="s">
        <v>27</v>
      </c>
      <c r="H7" s="62" t="s">
        <v>575</v>
      </c>
      <c r="I7" s="95">
        <v>4051397.4</v>
      </c>
      <c r="J7" s="62">
        <v>2</v>
      </c>
      <c r="K7" s="62" t="s">
        <v>583</v>
      </c>
      <c r="L7" s="117" t="s">
        <v>18</v>
      </c>
      <c r="M7" s="942">
        <v>44617</v>
      </c>
      <c r="N7" s="117" t="s">
        <v>17</v>
      </c>
      <c r="O7" s="941" t="s">
        <v>885</v>
      </c>
      <c r="P7" s="941" t="s">
        <v>67</v>
      </c>
      <c r="Q7" s="941" t="s">
        <v>67</v>
      </c>
      <c r="R7" s="892" t="s">
        <v>73</v>
      </c>
      <c r="S7" s="945" t="s">
        <v>20</v>
      </c>
      <c r="T7" s="945" t="s">
        <v>73</v>
      </c>
      <c r="U7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4051397.4000000004</v>
      </c>
    </row>
    <row r="8" spans="1:21" s="929" customFormat="1" ht="11.25" hidden="1" customHeight="1" outlineLevel="1">
      <c r="A8" s="62">
        <v>6</v>
      </c>
      <c r="B8" s="62">
        <v>7</v>
      </c>
      <c r="C8" s="62">
        <v>11199</v>
      </c>
      <c r="D8" s="117" t="s">
        <v>77</v>
      </c>
      <c r="E8" s="62">
        <v>60.06</v>
      </c>
      <c r="F8" s="945" t="s">
        <v>25</v>
      </c>
      <c r="G8" s="117" t="s">
        <v>27</v>
      </c>
      <c r="H8" s="117" t="s">
        <v>16</v>
      </c>
      <c r="I8" s="95">
        <v>3709299.59</v>
      </c>
      <c r="J8" s="62">
        <v>2</v>
      </c>
      <c r="K8" s="117" t="s">
        <v>583</v>
      </c>
      <c r="L8" s="117" t="s">
        <v>12</v>
      </c>
      <c r="M8" s="92"/>
      <c r="N8" s="117" t="s">
        <v>17</v>
      </c>
      <c r="O8" s="62" t="s">
        <v>886</v>
      </c>
      <c r="P8" s="941" t="s">
        <v>67</v>
      </c>
      <c r="Q8" s="941" t="s">
        <v>67</v>
      </c>
      <c r="R8" s="945" t="s">
        <v>77</v>
      </c>
      <c r="S8" s="945" t="s">
        <v>77</v>
      </c>
      <c r="T8" s="945" t="s">
        <v>77</v>
      </c>
      <c r="U8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2748339.59</v>
      </c>
    </row>
    <row r="9" spans="1:21" s="929" customFormat="1" ht="11.25" hidden="1" customHeight="1" outlineLevel="1">
      <c r="A9" s="62">
        <v>7</v>
      </c>
      <c r="B9" s="62">
        <v>292</v>
      </c>
      <c r="C9" s="62">
        <v>11918</v>
      </c>
      <c r="D9" s="62" t="s">
        <v>73</v>
      </c>
      <c r="E9" s="62">
        <v>23.63</v>
      </c>
      <c r="F9" s="62" t="s">
        <v>9</v>
      </c>
      <c r="G9" s="62" t="s">
        <v>27</v>
      </c>
      <c r="H9" s="62" t="s">
        <v>84</v>
      </c>
      <c r="I9" s="95">
        <v>1828595.26</v>
      </c>
      <c r="J9" s="62">
        <v>0</v>
      </c>
      <c r="K9" s="62" t="s">
        <v>130</v>
      </c>
      <c r="L9" s="117" t="s">
        <v>12</v>
      </c>
      <c r="M9" s="92">
        <v>44603</v>
      </c>
      <c r="N9" s="117" t="s">
        <v>11</v>
      </c>
      <c r="O9" s="62" t="s">
        <v>887</v>
      </c>
      <c r="P9" s="941" t="s">
        <v>67</v>
      </c>
      <c r="Q9" s="941" t="s">
        <v>67</v>
      </c>
      <c r="R9" s="892" t="s">
        <v>73</v>
      </c>
      <c r="S9" s="945" t="s">
        <v>73</v>
      </c>
      <c r="T9" s="945" t="s">
        <v>73</v>
      </c>
      <c r="U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1828595.2599999998</v>
      </c>
    </row>
    <row r="10" spans="1:21" hidden="1" outlineLevel="1">
      <c r="A10" s="62">
        <v>8</v>
      </c>
      <c r="B10" s="75">
        <v>576</v>
      </c>
      <c r="C10" s="75">
        <v>18873</v>
      </c>
      <c r="D10" s="62" t="s">
        <v>77</v>
      </c>
      <c r="E10" s="62">
        <v>82.27</v>
      </c>
      <c r="F10" s="941" t="s">
        <v>9</v>
      </c>
      <c r="G10" s="62" t="s">
        <v>27</v>
      </c>
      <c r="H10" s="62" t="s">
        <v>575</v>
      </c>
      <c r="I10" s="95">
        <v>4654990</v>
      </c>
      <c r="J10" s="62">
        <v>3</v>
      </c>
      <c r="K10" s="62" t="s">
        <v>65</v>
      </c>
      <c r="L10" s="62" t="s">
        <v>18</v>
      </c>
      <c r="M10" s="92">
        <v>44601</v>
      </c>
      <c r="N10" s="117" t="s">
        <v>17</v>
      </c>
      <c r="O10" s="62" t="s">
        <v>888</v>
      </c>
      <c r="P10" s="941" t="s">
        <v>67</v>
      </c>
      <c r="Q10" s="941" t="s">
        <v>67</v>
      </c>
      <c r="R10" s="945" t="s">
        <v>77</v>
      </c>
      <c r="S10" s="945" t="s">
        <v>77</v>
      </c>
      <c r="T10" s="945" t="s">
        <v>77</v>
      </c>
      <c r="U1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4654990</v>
      </c>
    </row>
    <row r="11" spans="1:21" ht="12" hidden="1" customHeight="1" outlineLevel="1">
      <c r="A11" s="62">
        <v>9</v>
      </c>
      <c r="B11" s="62">
        <v>763</v>
      </c>
      <c r="C11" s="62">
        <v>19804</v>
      </c>
      <c r="D11" s="117" t="s">
        <v>77</v>
      </c>
      <c r="E11" s="62">
        <v>61.95</v>
      </c>
      <c r="F11" s="941" t="s">
        <v>9</v>
      </c>
      <c r="G11" s="62" t="s">
        <v>27</v>
      </c>
      <c r="H11" s="62" t="s">
        <v>16</v>
      </c>
      <c r="I11" s="95">
        <v>4285000</v>
      </c>
      <c r="J11" s="62">
        <v>2</v>
      </c>
      <c r="K11" s="117" t="s">
        <v>583</v>
      </c>
      <c r="L11" s="117" t="s">
        <v>18</v>
      </c>
      <c r="M11" s="92"/>
      <c r="N11" s="117" t="s">
        <v>17</v>
      </c>
      <c r="O11" s="117" t="s">
        <v>889</v>
      </c>
      <c r="P11" s="941" t="s">
        <v>67</v>
      </c>
      <c r="Q11" s="892" t="s">
        <v>890</v>
      </c>
      <c r="R11" s="945" t="s">
        <v>77</v>
      </c>
      <c r="S11" s="945" t="s">
        <v>77</v>
      </c>
      <c r="T11" s="945" t="s">
        <v>77</v>
      </c>
      <c r="U11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4285000</v>
      </c>
    </row>
    <row r="12" spans="1:21" ht="11.25" hidden="1" customHeight="1" outlineLevel="1">
      <c r="A12" s="62">
        <v>10</v>
      </c>
      <c r="B12" s="62">
        <v>273</v>
      </c>
      <c r="C12" s="62">
        <v>18987</v>
      </c>
      <c r="D12" s="117" t="s">
        <v>471</v>
      </c>
      <c r="E12" s="62">
        <v>38.22</v>
      </c>
      <c r="F12" s="117" t="s">
        <v>15</v>
      </c>
      <c r="G12" s="117" t="s">
        <v>121</v>
      </c>
      <c r="H12" s="117" t="s">
        <v>16</v>
      </c>
      <c r="I12" s="95">
        <v>3457261.99</v>
      </c>
      <c r="J12" s="62">
        <v>1</v>
      </c>
      <c r="K12" s="117" t="s">
        <v>65</v>
      </c>
      <c r="L12" s="117" t="s">
        <v>18</v>
      </c>
      <c r="M12" s="92">
        <v>44594</v>
      </c>
      <c r="N12" s="117" t="s">
        <v>11</v>
      </c>
      <c r="O12" s="117" t="s">
        <v>891</v>
      </c>
      <c r="P12" s="941" t="s">
        <v>67</v>
      </c>
      <c r="Q12" s="941" t="s">
        <v>67</v>
      </c>
      <c r="R12" s="892" t="s">
        <v>471</v>
      </c>
      <c r="S12" s="945" t="s">
        <v>471</v>
      </c>
      <c r="T12" s="945" t="s">
        <v>73</v>
      </c>
      <c r="U1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3247051.99</v>
      </c>
    </row>
    <row r="13" spans="1:21" s="929" customFormat="1" ht="10.5" hidden="1" customHeight="1" outlineLevel="1">
      <c r="A13" s="62">
        <v>11</v>
      </c>
      <c r="B13" s="62">
        <v>313</v>
      </c>
      <c r="C13" s="62">
        <v>18471</v>
      </c>
      <c r="D13" s="117" t="s">
        <v>471</v>
      </c>
      <c r="E13" s="62">
        <v>37.159999999999997</v>
      </c>
      <c r="F13" s="117" t="s">
        <v>9</v>
      </c>
      <c r="G13" s="117" t="s">
        <v>27</v>
      </c>
      <c r="H13" s="117" t="s">
        <v>575</v>
      </c>
      <c r="I13" s="95">
        <v>2641706.2599999998</v>
      </c>
      <c r="J13" s="62">
        <v>1</v>
      </c>
      <c r="K13" s="1310" t="s">
        <v>583</v>
      </c>
      <c r="L13" s="117" t="s">
        <v>12</v>
      </c>
      <c r="M13" s="92">
        <v>44603</v>
      </c>
      <c r="N13" s="117" t="s">
        <v>11</v>
      </c>
      <c r="O13" s="117" t="s">
        <v>892</v>
      </c>
      <c r="P13" s="941" t="s">
        <v>67</v>
      </c>
      <c r="Q13" s="941" t="s">
        <v>67</v>
      </c>
      <c r="R13" s="892" t="s">
        <v>471</v>
      </c>
      <c r="S13" s="945" t="s">
        <v>471</v>
      </c>
      <c r="T13" s="945" t="s">
        <v>471</v>
      </c>
      <c r="U1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2641706.2599999998</v>
      </c>
    </row>
    <row r="14" spans="1:21" ht="10.5" hidden="1" customHeight="1" outlineLevel="1">
      <c r="A14" s="62">
        <v>12</v>
      </c>
      <c r="B14" s="62">
        <v>204</v>
      </c>
      <c r="C14" s="62">
        <v>16913</v>
      </c>
      <c r="D14" s="117" t="s">
        <v>73</v>
      </c>
      <c r="E14" s="62">
        <v>25.91</v>
      </c>
      <c r="F14" s="117" t="s">
        <v>15</v>
      </c>
      <c r="G14" s="117" t="s">
        <v>121</v>
      </c>
      <c r="H14" s="117" t="s">
        <v>575</v>
      </c>
      <c r="I14" s="95">
        <v>2396913.86</v>
      </c>
      <c r="J14" s="62">
        <v>0</v>
      </c>
      <c r="K14" s="117" t="s">
        <v>583</v>
      </c>
      <c r="L14" s="117" t="s">
        <v>18</v>
      </c>
      <c r="M14" s="92">
        <v>44593</v>
      </c>
      <c r="N14" s="117" t="s">
        <v>17</v>
      </c>
      <c r="O14" s="117" t="s">
        <v>893</v>
      </c>
      <c r="P14" s="941" t="s">
        <v>67</v>
      </c>
      <c r="Q14" s="941" t="s">
        <v>67</v>
      </c>
      <c r="R14" s="892" t="s">
        <v>73</v>
      </c>
      <c r="S14" s="945" t="s">
        <v>73</v>
      </c>
      <c r="T14" s="945" t="s">
        <v>73</v>
      </c>
      <c r="U1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2254408.86</v>
      </c>
    </row>
    <row r="15" spans="1:21" s="929" customFormat="1" ht="11.25" hidden="1" customHeight="1" outlineLevel="1">
      <c r="A15" s="62">
        <v>13</v>
      </c>
      <c r="B15" s="62">
        <v>516</v>
      </c>
      <c r="C15" s="62">
        <v>18811</v>
      </c>
      <c r="D15" s="62" t="s">
        <v>73</v>
      </c>
      <c r="E15" s="62">
        <v>23.63</v>
      </c>
      <c r="F15" s="117" t="s">
        <v>25</v>
      </c>
      <c r="G15" s="117" t="s">
        <v>27</v>
      </c>
      <c r="H15" s="117" t="s">
        <v>16</v>
      </c>
      <c r="I15" s="95">
        <v>2096684.52</v>
      </c>
      <c r="J15" s="62">
        <v>0</v>
      </c>
      <c r="K15" s="62" t="s">
        <v>583</v>
      </c>
      <c r="L15" s="62" t="s">
        <v>18</v>
      </c>
      <c r="M15" s="942">
        <v>44595</v>
      </c>
      <c r="N15" s="117" t="s">
        <v>17</v>
      </c>
      <c r="O15" s="62" t="s">
        <v>894</v>
      </c>
      <c r="P15" s="941" t="s">
        <v>67</v>
      </c>
      <c r="Q15" s="941" t="s">
        <v>67</v>
      </c>
      <c r="R15" s="892" t="s">
        <v>73</v>
      </c>
      <c r="S15" s="945" t="s">
        <v>73</v>
      </c>
      <c r="T15" s="945" t="s">
        <v>73</v>
      </c>
      <c r="U1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1718604.5200000003</v>
      </c>
    </row>
    <row r="16" spans="1:21" s="929" customFormat="1" ht="12.75" hidden="1" customHeight="1" outlineLevel="1">
      <c r="A16" s="62">
        <v>14</v>
      </c>
      <c r="B16" s="62">
        <v>66</v>
      </c>
      <c r="C16" s="62">
        <v>16638</v>
      </c>
      <c r="D16" s="62" t="s">
        <v>77</v>
      </c>
      <c r="E16" s="62">
        <v>76.56</v>
      </c>
      <c r="F16" s="941" t="s">
        <v>9</v>
      </c>
      <c r="G16" s="117" t="s">
        <v>121</v>
      </c>
      <c r="H16" s="62" t="s">
        <v>16</v>
      </c>
      <c r="I16" s="95">
        <v>5447662.8499999996</v>
      </c>
      <c r="J16" s="62">
        <v>3</v>
      </c>
      <c r="K16" s="62" t="s">
        <v>583</v>
      </c>
      <c r="L16" s="62" t="s">
        <v>18</v>
      </c>
      <c r="M16" s="92">
        <v>44607</v>
      </c>
      <c r="N16" s="117" t="s">
        <v>17</v>
      </c>
      <c r="O16" s="62" t="s">
        <v>895</v>
      </c>
      <c r="P16" s="941" t="s">
        <v>67</v>
      </c>
      <c r="Q16" s="941" t="s">
        <v>67</v>
      </c>
      <c r="R16" s="945" t="s">
        <v>77</v>
      </c>
      <c r="S16" s="945" t="s">
        <v>77</v>
      </c>
      <c r="T16" s="945" t="s">
        <v>77</v>
      </c>
      <c r="U1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5447662.8500000006</v>
      </c>
    </row>
    <row r="17" spans="1:22" ht="14.25" hidden="1" customHeight="1" outlineLevel="1">
      <c r="A17" s="62">
        <v>15</v>
      </c>
      <c r="B17" s="62">
        <v>698</v>
      </c>
      <c r="C17" s="62">
        <v>18850</v>
      </c>
      <c r="D17" s="62" t="s">
        <v>77</v>
      </c>
      <c r="E17" s="62">
        <v>24.39</v>
      </c>
      <c r="F17" s="117" t="s">
        <v>9</v>
      </c>
      <c r="G17" s="117" t="s">
        <v>27</v>
      </c>
      <c r="H17" s="62" t="s">
        <v>575</v>
      </c>
      <c r="I17" s="95">
        <v>1887407.47</v>
      </c>
      <c r="J17" s="62">
        <v>0</v>
      </c>
      <c r="K17" s="62" t="s">
        <v>583</v>
      </c>
      <c r="L17" s="62" t="s">
        <v>18</v>
      </c>
      <c r="M17" s="92"/>
      <c r="N17" s="117" t="s">
        <v>17</v>
      </c>
      <c r="O17" s="62" t="s">
        <v>896</v>
      </c>
      <c r="P17" s="941" t="s">
        <v>67</v>
      </c>
      <c r="Q17" s="941" t="s">
        <v>67</v>
      </c>
      <c r="R17" s="945" t="s">
        <v>77</v>
      </c>
      <c r="S17" s="945" t="s">
        <v>77</v>
      </c>
      <c r="T17" s="945" t="s">
        <v>77</v>
      </c>
      <c r="U17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1887407.47</v>
      </c>
    </row>
    <row r="18" spans="1:22" s="941" customFormat="1" ht="14.25" hidden="1" customHeight="1" outlineLevel="1">
      <c r="A18" s="62">
        <v>16</v>
      </c>
      <c r="B18" s="62">
        <v>65</v>
      </c>
      <c r="C18" s="62">
        <v>19028</v>
      </c>
      <c r="D18" s="62" t="s">
        <v>73</v>
      </c>
      <c r="E18" s="62">
        <v>58.99</v>
      </c>
      <c r="F18" s="941" t="s">
        <v>9</v>
      </c>
      <c r="G18" s="62" t="s">
        <v>121</v>
      </c>
      <c r="H18" s="62" t="s">
        <v>16</v>
      </c>
      <c r="I18" s="95">
        <v>4549680.5199999996</v>
      </c>
      <c r="J18" s="62">
        <v>2</v>
      </c>
      <c r="K18" s="62" t="s">
        <v>583</v>
      </c>
      <c r="L18" s="62" t="s">
        <v>18</v>
      </c>
      <c r="M18" s="92">
        <v>44595</v>
      </c>
      <c r="N18" s="117" t="s">
        <v>17</v>
      </c>
      <c r="O18" s="62" t="s">
        <v>897</v>
      </c>
      <c r="P18" s="941" t="s">
        <v>67</v>
      </c>
      <c r="Q18" s="941" t="s">
        <v>67</v>
      </c>
      <c r="R18" s="892" t="s">
        <v>73</v>
      </c>
      <c r="S18" s="945" t="s">
        <v>73</v>
      </c>
      <c r="T18" s="945" t="s">
        <v>73</v>
      </c>
      <c r="U18" s="1217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4549680.5199999996</v>
      </c>
    </row>
    <row r="19" spans="1:22" s="929" customFormat="1" ht="15.75" hidden="1" customHeight="1" outlineLevel="1">
      <c r="A19" s="62">
        <v>17</v>
      </c>
      <c r="B19" s="62">
        <v>301</v>
      </c>
      <c r="C19" s="62">
        <v>16538</v>
      </c>
      <c r="D19" s="62" t="s">
        <v>73</v>
      </c>
      <c r="E19" s="62">
        <v>37.11</v>
      </c>
      <c r="F19" s="62" t="s">
        <v>9</v>
      </c>
      <c r="G19" s="62" t="s">
        <v>27</v>
      </c>
      <c r="H19" s="62" t="s">
        <v>16</v>
      </c>
      <c r="I19" s="95">
        <v>2585388.7200000002</v>
      </c>
      <c r="J19" s="62">
        <v>1</v>
      </c>
      <c r="K19" s="62" t="s">
        <v>583</v>
      </c>
      <c r="L19" s="62" t="s">
        <v>18</v>
      </c>
      <c r="M19" s="92">
        <v>44601</v>
      </c>
      <c r="N19" s="117" t="s">
        <v>17</v>
      </c>
      <c r="O19" s="62" t="s">
        <v>898</v>
      </c>
      <c r="P19" s="941" t="s">
        <v>67</v>
      </c>
      <c r="Q19" s="941" t="s">
        <v>67</v>
      </c>
      <c r="R19" s="892" t="s">
        <v>73</v>
      </c>
      <c r="S19" s="117" t="s">
        <v>77</v>
      </c>
      <c r="T19" s="117" t="s">
        <v>73</v>
      </c>
      <c r="U1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2585388.7200000002</v>
      </c>
    </row>
    <row r="20" spans="1:22" s="929" customFormat="1" ht="12.75" hidden="1" customHeight="1" outlineLevel="1">
      <c r="A20" s="62">
        <v>18</v>
      </c>
      <c r="B20" s="62">
        <v>101</v>
      </c>
      <c r="C20" s="62">
        <v>19117</v>
      </c>
      <c r="D20" s="62"/>
      <c r="E20" s="62">
        <v>37.94</v>
      </c>
      <c r="F20" s="62" t="s">
        <v>9</v>
      </c>
      <c r="G20" s="62" t="s">
        <v>27</v>
      </c>
      <c r="H20" s="62" t="s">
        <v>16</v>
      </c>
      <c r="I20" s="91">
        <v>2697156.5</v>
      </c>
      <c r="J20" s="62">
        <v>1</v>
      </c>
      <c r="K20" s="62" t="s">
        <v>583</v>
      </c>
      <c r="L20" s="62" t="s">
        <v>18</v>
      </c>
      <c r="M20" s="942"/>
      <c r="N20" s="117" t="s">
        <v>17</v>
      </c>
      <c r="O20" s="941" t="s">
        <v>899</v>
      </c>
      <c r="P20" s="941" t="s">
        <v>67</v>
      </c>
      <c r="Q20" s="941" t="s">
        <v>67</v>
      </c>
      <c r="R20" s="892"/>
      <c r="S20" s="945" t="s">
        <v>77</v>
      </c>
      <c r="T20" s="945" t="s">
        <v>77</v>
      </c>
      <c r="U2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2697156.5</v>
      </c>
    </row>
    <row r="21" spans="1:22" s="1308" customFormat="1" hidden="1" outlineLevel="1">
      <c r="A21" s="62">
        <v>19</v>
      </c>
      <c r="B21" s="62">
        <v>484</v>
      </c>
      <c r="C21" s="62">
        <v>19092</v>
      </c>
      <c r="D21" s="62" t="s">
        <v>20</v>
      </c>
      <c r="E21" s="62">
        <v>23.63</v>
      </c>
      <c r="F21" s="62" t="s">
        <v>9</v>
      </c>
      <c r="G21" s="62" t="s">
        <v>27</v>
      </c>
      <c r="H21" s="62" t="s">
        <v>16</v>
      </c>
      <c r="I21" s="95">
        <v>1828595.26</v>
      </c>
      <c r="J21" s="62">
        <v>0</v>
      </c>
      <c r="K21" s="62" t="s">
        <v>583</v>
      </c>
      <c r="L21" s="62" t="s">
        <v>18</v>
      </c>
      <c r="M21" s="1016">
        <v>44600</v>
      </c>
      <c r="N21" s="117" t="s">
        <v>17</v>
      </c>
      <c r="O21" s="62" t="s">
        <v>900</v>
      </c>
      <c r="P21" s="941" t="s">
        <v>67</v>
      </c>
      <c r="Q21" s="941" t="s">
        <v>67</v>
      </c>
      <c r="R21" s="892" t="s">
        <v>20</v>
      </c>
      <c r="S21" s="117" t="s">
        <v>63</v>
      </c>
      <c r="T21" s="117" t="s">
        <v>20</v>
      </c>
      <c r="U21" s="114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1828595.2599999998</v>
      </c>
    </row>
    <row r="22" spans="1:22" s="929" customFormat="1" hidden="1" outlineLevel="1">
      <c r="A22" s="62">
        <v>20</v>
      </c>
      <c r="B22" s="62">
        <v>647</v>
      </c>
      <c r="C22" s="62">
        <v>18898</v>
      </c>
      <c r="D22" s="62" t="s">
        <v>20</v>
      </c>
      <c r="E22" s="62">
        <v>38.909999999999997</v>
      </c>
      <c r="F22" s="941" t="s">
        <v>15</v>
      </c>
      <c r="G22" s="62" t="s">
        <v>27</v>
      </c>
      <c r="H22" s="62" t="s">
        <v>84</v>
      </c>
      <c r="I22" s="95">
        <v>3221176.37</v>
      </c>
      <c r="J22" s="62">
        <v>1</v>
      </c>
      <c r="K22" s="62" t="s">
        <v>130</v>
      </c>
      <c r="L22" s="62" t="s">
        <v>18</v>
      </c>
      <c r="M22" s="92">
        <v>44600</v>
      </c>
      <c r="N22" s="117" t="s">
        <v>11</v>
      </c>
      <c r="O22" s="62" t="s">
        <v>901</v>
      </c>
      <c r="P22" s="941" t="s">
        <v>67</v>
      </c>
      <c r="Q22" s="941" t="s">
        <v>67</v>
      </c>
      <c r="R22" s="892" t="s">
        <v>20</v>
      </c>
      <c r="S22" s="945" t="s">
        <v>63</v>
      </c>
      <c r="T22" s="945" t="s">
        <v>20</v>
      </c>
      <c r="U2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3007171.37</v>
      </c>
    </row>
    <row r="23" spans="1:22" s="61" customFormat="1" hidden="1" outlineLevel="1">
      <c r="A23" s="62">
        <v>21</v>
      </c>
      <c r="B23" s="62">
        <v>67</v>
      </c>
      <c r="C23" s="62">
        <v>19261</v>
      </c>
      <c r="D23" s="62" t="s">
        <v>77</v>
      </c>
      <c r="E23" s="62">
        <v>24.39</v>
      </c>
      <c r="F23" s="62" t="s">
        <v>9</v>
      </c>
      <c r="G23" s="62" t="s">
        <v>27</v>
      </c>
      <c r="H23" s="62" t="s">
        <v>16</v>
      </c>
      <c r="I23" s="95">
        <v>2007179.68</v>
      </c>
      <c r="J23" s="62">
        <v>0</v>
      </c>
      <c r="K23" s="62" t="s">
        <v>583</v>
      </c>
      <c r="L23" s="62" t="s">
        <v>18</v>
      </c>
      <c r="M23" s="1016"/>
      <c r="N23" s="117" t="s">
        <v>17</v>
      </c>
      <c r="O23" s="62" t="s">
        <v>902</v>
      </c>
      <c r="P23" s="941" t="s">
        <v>67</v>
      </c>
      <c r="Q23" s="941" t="s">
        <v>67</v>
      </c>
      <c r="R23" s="892"/>
      <c r="S23" s="117" t="s">
        <v>77</v>
      </c>
      <c r="T23" s="117" t="s">
        <v>77</v>
      </c>
      <c r="U23" s="114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2007179.68</v>
      </c>
    </row>
    <row r="24" spans="1:22" s="929" customFormat="1" ht="13.5" hidden="1" customHeight="1" outlineLevel="1">
      <c r="A24" s="62">
        <v>22</v>
      </c>
      <c r="B24" s="62">
        <v>457</v>
      </c>
      <c r="C24" s="62">
        <v>19252</v>
      </c>
      <c r="D24" s="62" t="s">
        <v>73</v>
      </c>
      <c r="E24" s="62">
        <v>37.159999999999997</v>
      </c>
      <c r="F24" s="941" t="s">
        <v>9</v>
      </c>
      <c r="G24" s="62" t="s">
        <v>27</v>
      </c>
      <c r="H24" s="62" t="s">
        <v>84</v>
      </c>
      <c r="I24" s="95">
        <v>2747374.43</v>
      </c>
      <c r="J24" s="62">
        <v>1</v>
      </c>
      <c r="K24" s="62" t="s">
        <v>583</v>
      </c>
      <c r="L24" s="62" t="s">
        <v>18</v>
      </c>
      <c r="M24" s="92">
        <v>44600</v>
      </c>
      <c r="N24" s="117" t="s">
        <v>11</v>
      </c>
      <c r="O24" s="62" t="s">
        <v>592</v>
      </c>
      <c r="P24" s="941" t="s">
        <v>67</v>
      </c>
      <c r="Q24" s="941" t="s">
        <v>67</v>
      </c>
      <c r="R24" s="892" t="s">
        <v>73</v>
      </c>
      <c r="S24" s="945" t="s">
        <v>73</v>
      </c>
      <c r="T24" s="945" t="s">
        <v>63</v>
      </c>
      <c r="U2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2747374.43</v>
      </c>
    </row>
    <row r="25" spans="1:22" hidden="1" outlineLevel="1">
      <c r="A25" s="62">
        <v>23</v>
      </c>
      <c r="B25" s="62">
        <v>100</v>
      </c>
      <c r="C25" s="62">
        <v>19140</v>
      </c>
      <c r="D25" s="62" t="s">
        <v>73</v>
      </c>
      <c r="E25" s="62">
        <v>82.71</v>
      </c>
      <c r="F25" s="117" t="s">
        <v>9</v>
      </c>
      <c r="G25" s="62" t="s">
        <v>27</v>
      </c>
      <c r="H25" s="62" t="s">
        <v>575</v>
      </c>
      <c r="I25" s="95">
        <v>4912981.4400000004</v>
      </c>
      <c r="J25" s="62">
        <v>3</v>
      </c>
      <c r="K25" s="62" t="s">
        <v>583</v>
      </c>
      <c r="L25" s="62" t="s">
        <v>18</v>
      </c>
      <c r="M25" s="92">
        <v>44599</v>
      </c>
      <c r="N25" s="117" t="s">
        <v>17</v>
      </c>
      <c r="O25" s="62" t="s">
        <v>903</v>
      </c>
      <c r="P25" s="941" t="s">
        <v>67</v>
      </c>
      <c r="Q25" s="941" t="s">
        <v>67</v>
      </c>
      <c r="R25" s="892" t="s">
        <v>73</v>
      </c>
      <c r="S25" s="945" t="s">
        <v>73</v>
      </c>
      <c r="T25" s="945" t="s">
        <v>73</v>
      </c>
      <c r="U2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4912981.4400000004</v>
      </c>
      <c r="V25" s="1221"/>
    </row>
    <row r="26" spans="1:22" s="929" customFormat="1" ht="12.75" hidden="1" customHeight="1" outlineLevel="1">
      <c r="A26" s="62">
        <v>24</v>
      </c>
      <c r="B26" s="62">
        <v>380</v>
      </c>
      <c r="C26" s="62">
        <v>19211</v>
      </c>
      <c r="D26" s="62" t="s">
        <v>73</v>
      </c>
      <c r="E26" s="62">
        <v>23.63</v>
      </c>
      <c r="F26" s="941" t="s">
        <v>25</v>
      </c>
      <c r="G26" s="62" t="s">
        <v>27</v>
      </c>
      <c r="H26" s="62" t="s">
        <v>16</v>
      </c>
      <c r="I26" s="95">
        <v>2393559.5</v>
      </c>
      <c r="J26" s="62">
        <v>0</v>
      </c>
      <c r="K26" s="62" t="s">
        <v>583</v>
      </c>
      <c r="L26" s="62" t="s">
        <v>18</v>
      </c>
      <c r="M26" s="92">
        <v>44602</v>
      </c>
      <c r="N26" s="117" t="s">
        <v>17</v>
      </c>
      <c r="O26" s="62" t="s">
        <v>904</v>
      </c>
      <c r="P26" s="892" t="s">
        <v>67</v>
      </c>
      <c r="Q26" s="892" t="s">
        <v>67</v>
      </c>
      <c r="R26" s="892" t="s">
        <v>73</v>
      </c>
      <c r="S26" s="945" t="s">
        <v>73</v>
      </c>
      <c r="T26" s="945" t="s">
        <v>73</v>
      </c>
      <c r="U2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2015479.5</v>
      </c>
    </row>
    <row r="27" spans="1:22" hidden="1" outlineLevel="1">
      <c r="A27" s="62">
        <v>25</v>
      </c>
      <c r="B27" s="62">
        <v>123</v>
      </c>
      <c r="C27" s="62">
        <v>19291</v>
      </c>
      <c r="D27" s="117"/>
      <c r="E27" s="62">
        <v>54.67</v>
      </c>
      <c r="F27" s="945" t="s">
        <v>15</v>
      </c>
      <c r="G27" s="117" t="s">
        <v>27</v>
      </c>
      <c r="H27" s="117" t="s">
        <v>16</v>
      </c>
      <c r="I27" s="95" t="s">
        <v>905</v>
      </c>
      <c r="J27" s="62">
        <v>2</v>
      </c>
      <c r="K27" s="117" t="s">
        <v>583</v>
      </c>
      <c r="L27" s="117" t="s">
        <v>18</v>
      </c>
      <c r="M27" s="92">
        <v>44600</v>
      </c>
      <c r="N27" s="117" t="s">
        <v>17</v>
      </c>
      <c r="O27" s="117" t="s">
        <v>906</v>
      </c>
      <c r="P27" s="941" t="s">
        <v>67</v>
      </c>
      <c r="Q27" s="945" t="s">
        <v>907</v>
      </c>
      <c r="R27" s="892"/>
      <c r="S27" s="945" t="s">
        <v>471</v>
      </c>
      <c r="T27" s="945" t="s">
        <v>471</v>
      </c>
      <c r="U27" s="946" t="str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/>
      </c>
    </row>
    <row r="28" spans="1:22" s="929" customFormat="1" hidden="1" outlineLevel="1">
      <c r="A28" s="62">
        <v>26</v>
      </c>
      <c r="B28" s="62">
        <v>851</v>
      </c>
      <c r="C28" s="62">
        <v>19223</v>
      </c>
      <c r="D28" s="117" t="s">
        <v>471</v>
      </c>
      <c r="E28" s="62">
        <v>37.31</v>
      </c>
      <c r="F28" s="945" t="s">
        <v>25</v>
      </c>
      <c r="G28" s="117" t="s">
        <v>27</v>
      </c>
      <c r="H28" s="117"/>
      <c r="I28" s="1019">
        <v>3355898.33</v>
      </c>
      <c r="J28" s="62">
        <v>1</v>
      </c>
      <c r="K28" s="117" t="s">
        <v>130</v>
      </c>
      <c r="L28" s="62" t="s">
        <v>18</v>
      </c>
      <c r="M28" s="92"/>
      <c r="N28" s="117" t="s">
        <v>11</v>
      </c>
      <c r="O28" s="117" t="s">
        <v>481</v>
      </c>
      <c r="P28" s="892"/>
      <c r="Q28" s="892" t="s">
        <v>67</v>
      </c>
      <c r="R28" s="892" t="s">
        <v>471</v>
      </c>
      <c r="S28" s="945" t="s">
        <v>471</v>
      </c>
      <c r="T28" s="945" t="s">
        <v>471</v>
      </c>
      <c r="U28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2758938.33</v>
      </c>
    </row>
    <row r="29" spans="1:22" s="929" customFormat="1" ht="12.75" hidden="1" customHeight="1" outlineLevel="1">
      <c r="A29" s="62">
        <v>27</v>
      </c>
      <c r="B29" s="62">
        <v>57</v>
      </c>
      <c r="C29" s="62">
        <v>18358</v>
      </c>
      <c r="D29" s="62" t="s">
        <v>20</v>
      </c>
      <c r="E29" s="62">
        <v>41.06</v>
      </c>
      <c r="F29" s="941" t="s">
        <v>15</v>
      </c>
      <c r="G29" s="62" t="s">
        <v>27</v>
      </c>
      <c r="H29" s="62" t="s">
        <v>10</v>
      </c>
      <c r="I29" s="95">
        <v>3157922.71</v>
      </c>
      <c r="J29" s="62">
        <v>1</v>
      </c>
      <c r="K29" s="62" t="s">
        <v>130</v>
      </c>
      <c r="L29" s="117" t="s">
        <v>18</v>
      </c>
      <c r="M29" s="92">
        <v>44601</v>
      </c>
      <c r="N29" s="117" t="s">
        <v>17</v>
      </c>
      <c r="O29" s="62" t="s">
        <v>908</v>
      </c>
      <c r="P29" s="941" t="s">
        <v>67</v>
      </c>
      <c r="Q29" s="941" t="s">
        <v>67</v>
      </c>
      <c r="R29" s="892" t="s">
        <v>20</v>
      </c>
      <c r="S29" s="945" t="s">
        <v>63</v>
      </c>
      <c r="T29" s="945" t="s">
        <v>20</v>
      </c>
      <c r="U2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2932092.71</v>
      </c>
    </row>
    <row r="30" spans="1:22" s="929" customFormat="1" hidden="1" outlineLevel="1">
      <c r="A30" s="62">
        <v>28</v>
      </c>
      <c r="B30" s="62">
        <v>96</v>
      </c>
      <c r="C30" s="62">
        <v>18287</v>
      </c>
      <c r="D30" s="62" t="s">
        <v>77</v>
      </c>
      <c r="E30" s="62">
        <v>54.67</v>
      </c>
      <c r="F30" s="945" t="s">
        <v>9</v>
      </c>
      <c r="G30" s="62" t="s">
        <v>27</v>
      </c>
      <c r="H30" s="62" t="s">
        <v>16</v>
      </c>
      <c r="I30" s="95">
        <v>3984168.1</v>
      </c>
      <c r="J30" s="62">
        <v>2</v>
      </c>
      <c r="K30" s="117" t="s">
        <v>583</v>
      </c>
      <c r="L30" s="117" t="s">
        <v>18</v>
      </c>
      <c r="M30" s="92">
        <v>44603</v>
      </c>
      <c r="N30" s="117" t="s">
        <v>17</v>
      </c>
      <c r="O30" s="62" t="s">
        <v>909</v>
      </c>
      <c r="P30" s="941" t="s">
        <v>67</v>
      </c>
      <c r="Q30" s="941" t="s">
        <v>67</v>
      </c>
      <c r="R30" s="945" t="s">
        <v>77</v>
      </c>
      <c r="S30" s="945" t="s">
        <v>471</v>
      </c>
      <c r="T30" s="945" t="s">
        <v>77</v>
      </c>
      <c r="U3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3984168.1</v>
      </c>
    </row>
    <row r="31" spans="1:22" s="62" customFormat="1" ht="12.75" hidden="1" customHeight="1" outlineLevel="1">
      <c r="A31" s="62">
        <v>29</v>
      </c>
      <c r="B31" s="62">
        <v>77</v>
      </c>
      <c r="C31" s="62">
        <v>19285</v>
      </c>
      <c r="D31" s="62" t="s">
        <v>20</v>
      </c>
      <c r="E31" s="62">
        <v>24.47</v>
      </c>
      <c r="F31" s="945" t="s">
        <v>9</v>
      </c>
      <c r="G31" s="62" t="s">
        <v>27</v>
      </c>
      <c r="H31" s="62" t="s">
        <v>575</v>
      </c>
      <c r="I31" s="91">
        <v>1895306.72</v>
      </c>
      <c r="J31" s="62">
        <v>0</v>
      </c>
      <c r="K31" s="62" t="s">
        <v>583</v>
      </c>
      <c r="L31" s="62" t="s">
        <v>18</v>
      </c>
      <c r="M31" s="92">
        <v>44607</v>
      </c>
      <c r="N31" s="117" t="s">
        <v>17</v>
      </c>
      <c r="O31" s="76" t="s">
        <v>910</v>
      </c>
      <c r="P31" s="941" t="s">
        <v>67</v>
      </c>
      <c r="Q31" s="941" t="s">
        <v>67</v>
      </c>
      <c r="R31" s="892" t="s">
        <v>20</v>
      </c>
      <c r="S31" s="945" t="s">
        <v>20</v>
      </c>
      <c r="T31" s="945" t="s">
        <v>20</v>
      </c>
      <c r="U31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1895306.7200000002</v>
      </c>
    </row>
    <row r="32" spans="1:22" s="929" customFormat="1" ht="12.75" hidden="1" customHeight="1" outlineLevel="1">
      <c r="A32" s="62">
        <v>30</v>
      </c>
      <c r="B32" s="62">
        <v>410</v>
      </c>
      <c r="C32" s="62">
        <v>19227</v>
      </c>
      <c r="D32" s="62" t="s">
        <v>73</v>
      </c>
      <c r="E32" s="62">
        <v>23.54</v>
      </c>
      <c r="F32" s="945" t="s">
        <v>9</v>
      </c>
      <c r="G32" s="62" t="s">
        <v>27</v>
      </c>
      <c r="H32" s="62" t="s">
        <v>84</v>
      </c>
      <c r="I32" s="91">
        <v>1831903.04</v>
      </c>
      <c r="J32" s="62">
        <v>0</v>
      </c>
      <c r="K32" s="62" t="s">
        <v>130</v>
      </c>
      <c r="L32" s="62" t="s">
        <v>18</v>
      </c>
      <c r="M32" s="92">
        <v>44606</v>
      </c>
      <c r="N32" s="117" t="s">
        <v>11</v>
      </c>
      <c r="O32" s="76" t="s">
        <v>911</v>
      </c>
      <c r="P32" s="941" t="s">
        <v>67</v>
      </c>
      <c r="Q32" s="941" t="s">
        <v>67</v>
      </c>
      <c r="R32" s="892" t="s">
        <v>73</v>
      </c>
      <c r="S32" s="945" t="s">
        <v>471</v>
      </c>
      <c r="T32" s="945" t="s">
        <v>73</v>
      </c>
      <c r="U3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1831903.04</v>
      </c>
    </row>
    <row r="33" spans="1:21" s="929" customFormat="1" ht="12.75" hidden="1" customHeight="1" outlineLevel="1">
      <c r="A33" s="62">
        <v>31</v>
      </c>
      <c r="B33" s="75">
        <v>588</v>
      </c>
      <c r="C33" s="75">
        <v>19287</v>
      </c>
      <c r="D33" s="62" t="s">
        <v>73</v>
      </c>
      <c r="E33" s="62">
        <v>23.63</v>
      </c>
      <c r="F33" s="945" t="s">
        <v>25</v>
      </c>
      <c r="G33" s="62" t="s">
        <v>27</v>
      </c>
      <c r="H33" s="62" t="s">
        <v>16</v>
      </c>
      <c r="I33" s="95">
        <v>2216986.92</v>
      </c>
      <c r="J33" s="62">
        <v>0</v>
      </c>
      <c r="K33" s="62" t="s">
        <v>583</v>
      </c>
      <c r="L33" s="62" t="s">
        <v>18</v>
      </c>
      <c r="M33" s="92">
        <v>44606</v>
      </c>
      <c r="N33" s="117" t="s">
        <v>17</v>
      </c>
      <c r="O33" s="62" t="s">
        <v>912</v>
      </c>
      <c r="P33" s="941" t="s">
        <v>67</v>
      </c>
      <c r="Q33" s="941" t="s">
        <v>67</v>
      </c>
      <c r="R33" s="892" t="s">
        <v>73</v>
      </c>
      <c r="S33" s="945" t="s">
        <v>73</v>
      </c>
      <c r="T33" s="945" t="s">
        <v>73</v>
      </c>
      <c r="U3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1838906.92</v>
      </c>
    </row>
    <row r="34" spans="1:21" s="929" customFormat="1" ht="12.75" hidden="1" customHeight="1" outlineLevel="1">
      <c r="A34" s="62">
        <v>32</v>
      </c>
      <c r="B34" s="75">
        <v>300</v>
      </c>
      <c r="C34" s="75">
        <v>19258</v>
      </c>
      <c r="D34" s="62" t="s">
        <v>73</v>
      </c>
      <c r="E34" s="62">
        <v>24.23</v>
      </c>
      <c r="F34" s="117" t="s">
        <v>25</v>
      </c>
      <c r="G34" s="62" t="s">
        <v>121</v>
      </c>
      <c r="H34" s="62" t="s">
        <v>16</v>
      </c>
      <c r="I34" s="95">
        <v>2680383.9</v>
      </c>
      <c r="J34" s="62">
        <v>0</v>
      </c>
      <c r="K34" s="62" t="s">
        <v>583</v>
      </c>
      <c r="L34" s="62" t="s">
        <v>18</v>
      </c>
      <c r="M34" s="92">
        <v>44606</v>
      </c>
      <c r="N34" s="117" t="s">
        <v>17</v>
      </c>
      <c r="O34" s="62" t="s">
        <v>894</v>
      </c>
      <c r="P34" s="941" t="s">
        <v>67</v>
      </c>
      <c r="Q34" s="941" t="s">
        <v>67</v>
      </c>
      <c r="R34" s="892" t="s">
        <v>73</v>
      </c>
      <c r="S34" s="945" t="s">
        <v>73</v>
      </c>
      <c r="T34" s="945" t="s">
        <v>73</v>
      </c>
      <c r="U3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2292703.9</v>
      </c>
    </row>
    <row r="35" spans="1:21" s="929" customFormat="1" ht="14.25" hidden="1" customHeight="1" outlineLevel="1">
      <c r="A35" s="62">
        <v>33</v>
      </c>
      <c r="B35" s="75">
        <v>241</v>
      </c>
      <c r="C35" s="75">
        <v>19407</v>
      </c>
      <c r="D35" s="62" t="s">
        <v>29</v>
      </c>
      <c r="E35" s="62">
        <v>37.159999999999997</v>
      </c>
      <c r="F35" s="941" t="s">
        <v>9</v>
      </c>
      <c r="G35" s="62" t="s">
        <v>27</v>
      </c>
      <c r="H35" s="62" t="s">
        <v>10</v>
      </c>
      <c r="I35" s="95">
        <v>2747374.43</v>
      </c>
      <c r="J35" s="62">
        <v>1</v>
      </c>
      <c r="K35" s="371">
        <v>1</v>
      </c>
      <c r="L35" s="62" t="s">
        <v>18</v>
      </c>
      <c r="M35" s="92">
        <v>44606</v>
      </c>
      <c r="N35" s="117" t="s">
        <v>11</v>
      </c>
      <c r="O35" s="62" t="s">
        <v>913</v>
      </c>
      <c r="P35" s="941" t="s">
        <v>67</v>
      </c>
      <c r="Q35" s="941" t="s">
        <v>67</v>
      </c>
      <c r="R35" s="892"/>
      <c r="S35" s="945"/>
      <c r="T35" s="945"/>
      <c r="U3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2747374.43</v>
      </c>
    </row>
    <row r="36" spans="1:21" s="929" customFormat="1" ht="12.75" hidden="1" customHeight="1" outlineLevel="1">
      <c r="A36" s="62">
        <v>34</v>
      </c>
      <c r="B36" s="75">
        <v>39</v>
      </c>
      <c r="C36" s="75">
        <v>19372</v>
      </c>
      <c r="D36" s="62" t="s">
        <v>77</v>
      </c>
      <c r="E36" s="62">
        <v>36.86</v>
      </c>
      <c r="F36" s="941" t="s">
        <v>15</v>
      </c>
      <c r="G36" s="117" t="s">
        <v>121</v>
      </c>
      <c r="H36" s="62" t="s">
        <v>16</v>
      </c>
      <c r="I36" s="1021">
        <v>3243680.37</v>
      </c>
      <c r="J36" s="62">
        <v>1</v>
      </c>
      <c r="K36" s="62" t="s">
        <v>583</v>
      </c>
      <c r="L36" s="62" t="s">
        <v>18</v>
      </c>
      <c r="M36" s="92">
        <v>44609</v>
      </c>
      <c r="N36" s="117" t="s">
        <v>17</v>
      </c>
      <c r="O36" s="62" t="s">
        <v>914</v>
      </c>
      <c r="P36" s="941" t="s">
        <v>67</v>
      </c>
      <c r="Q36" s="941" t="s">
        <v>67</v>
      </c>
      <c r="R36" s="945" t="s">
        <v>77</v>
      </c>
      <c r="S36" s="945" t="s">
        <v>73</v>
      </c>
      <c r="T36" s="945" t="s">
        <v>77</v>
      </c>
      <c r="U3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3040950.37</v>
      </c>
    </row>
    <row r="37" spans="1:21" s="929" customFormat="1" hidden="1" outlineLevel="1">
      <c r="A37" s="62">
        <v>35</v>
      </c>
      <c r="B37" s="75">
        <v>236</v>
      </c>
      <c r="C37" s="75">
        <v>19263</v>
      </c>
      <c r="D37" s="62" t="s">
        <v>20</v>
      </c>
      <c r="E37" s="62">
        <v>23.63</v>
      </c>
      <c r="F37" s="941" t="s">
        <v>15</v>
      </c>
      <c r="G37" s="62" t="s">
        <v>27</v>
      </c>
      <c r="H37" s="62" t="s">
        <v>10</v>
      </c>
      <c r="I37" s="95">
        <v>2031704.09</v>
      </c>
      <c r="J37" s="62">
        <v>0</v>
      </c>
      <c r="K37" s="62" t="s">
        <v>514</v>
      </c>
      <c r="L37" s="62" t="s">
        <v>18</v>
      </c>
      <c r="M37" s="92">
        <v>44607</v>
      </c>
      <c r="N37" s="117" t="s">
        <v>17</v>
      </c>
      <c r="O37" s="62" t="s">
        <v>915</v>
      </c>
      <c r="P37" s="941" t="s">
        <v>67</v>
      </c>
      <c r="Q37" s="941" t="s">
        <v>67</v>
      </c>
      <c r="R37" s="892" t="s">
        <v>20</v>
      </c>
      <c r="S37" s="945" t="s">
        <v>77</v>
      </c>
      <c r="T37" s="945" t="s">
        <v>20</v>
      </c>
      <c r="U37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1901739.0900000003</v>
      </c>
    </row>
    <row r="38" spans="1:21" s="929" customFormat="1" ht="12.75" hidden="1" customHeight="1" outlineLevel="1">
      <c r="A38" s="62">
        <v>36</v>
      </c>
      <c r="B38" s="62">
        <v>436</v>
      </c>
      <c r="C38" s="75">
        <v>11906</v>
      </c>
      <c r="D38" s="62" t="s">
        <v>20</v>
      </c>
      <c r="E38" s="62">
        <v>23.63</v>
      </c>
      <c r="F38" s="941" t="s">
        <v>15</v>
      </c>
      <c r="G38" s="62" t="s">
        <v>27</v>
      </c>
      <c r="H38" s="62" t="s">
        <v>16</v>
      </c>
      <c r="I38" s="91">
        <v>1958560.26</v>
      </c>
      <c r="J38" s="62">
        <v>0</v>
      </c>
      <c r="K38" s="62" t="s">
        <v>583</v>
      </c>
      <c r="L38" s="62" t="s">
        <v>18</v>
      </c>
      <c r="M38" s="537">
        <v>44607</v>
      </c>
      <c r="N38" s="117" t="s">
        <v>17</v>
      </c>
      <c r="O38" s="62" t="s">
        <v>916</v>
      </c>
      <c r="P38" s="941" t="s">
        <v>67</v>
      </c>
      <c r="Q38" s="941" t="s">
        <v>67</v>
      </c>
      <c r="R38" s="892" t="s">
        <v>20</v>
      </c>
      <c r="S38" s="945" t="s">
        <v>20</v>
      </c>
      <c r="T38" s="945" t="s">
        <v>20</v>
      </c>
      <c r="U38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1828595.2599999998</v>
      </c>
    </row>
    <row r="39" spans="1:21" ht="12.75" hidden="1" customHeight="1" outlineLevel="1">
      <c r="A39" s="62">
        <v>37</v>
      </c>
      <c r="B39" s="75">
        <v>279</v>
      </c>
      <c r="C39" s="75">
        <v>19260</v>
      </c>
      <c r="D39" s="62" t="s">
        <v>20</v>
      </c>
      <c r="E39" s="62">
        <v>55.8</v>
      </c>
      <c r="F39" s="941" t="s">
        <v>9</v>
      </c>
      <c r="G39" s="62" t="s">
        <v>27</v>
      </c>
      <c r="H39" s="62" t="s">
        <v>16</v>
      </c>
      <c r="I39" s="95">
        <v>3900173.36</v>
      </c>
      <c r="J39" s="62">
        <v>2</v>
      </c>
      <c r="K39" s="62" t="s">
        <v>583</v>
      </c>
      <c r="L39" s="62" t="s">
        <v>18</v>
      </c>
      <c r="M39" s="92"/>
      <c r="N39" s="117" t="s">
        <v>17</v>
      </c>
      <c r="O39" s="62" t="s">
        <v>917</v>
      </c>
      <c r="P39" s="941" t="s">
        <v>67</v>
      </c>
      <c r="Q39" s="941" t="s">
        <v>67</v>
      </c>
      <c r="R39" s="892" t="s">
        <v>20</v>
      </c>
      <c r="S39" s="945" t="s">
        <v>20</v>
      </c>
      <c r="T39" s="945" t="s">
        <v>20</v>
      </c>
      <c r="U3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3900173.3600000003</v>
      </c>
    </row>
    <row r="40" spans="1:21" s="929" customFormat="1" ht="12.75" hidden="1" customHeight="1" outlineLevel="1">
      <c r="A40" s="62">
        <v>38</v>
      </c>
      <c r="B40" s="75">
        <v>264</v>
      </c>
      <c r="C40" s="75">
        <v>19393</v>
      </c>
      <c r="D40" s="62" t="s">
        <v>73</v>
      </c>
      <c r="E40" s="62">
        <v>37.89</v>
      </c>
      <c r="F40" s="117" t="s">
        <v>15</v>
      </c>
      <c r="G40" s="62" t="s">
        <v>121</v>
      </c>
      <c r="H40" s="62" t="s">
        <v>16</v>
      </c>
      <c r="I40" s="95">
        <v>3408737.1</v>
      </c>
      <c r="J40" s="62">
        <v>1</v>
      </c>
      <c r="K40" s="62" t="s">
        <v>583</v>
      </c>
      <c r="L40" s="62" t="s">
        <v>18</v>
      </c>
      <c r="M40" s="92">
        <v>44606</v>
      </c>
      <c r="N40" s="117" t="s">
        <v>17</v>
      </c>
      <c r="O40" s="62" t="s">
        <v>918</v>
      </c>
      <c r="P40" s="941" t="s">
        <v>67</v>
      </c>
      <c r="Q40" s="941" t="s">
        <v>67</v>
      </c>
      <c r="R40" s="892" t="s">
        <v>73</v>
      </c>
      <c r="S40" s="945" t="s">
        <v>73</v>
      </c>
      <c r="T40" s="945" t="s">
        <v>73</v>
      </c>
      <c r="U4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3200342.1</v>
      </c>
    </row>
    <row r="41" spans="1:21" s="929" customFormat="1" ht="12.75" hidden="1" customHeight="1" outlineLevel="1">
      <c r="A41" s="62">
        <v>39</v>
      </c>
      <c r="B41" s="75">
        <v>81</v>
      </c>
      <c r="C41" s="75">
        <v>19380</v>
      </c>
      <c r="D41" s="62" t="s">
        <v>73</v>
      </c>
      <c r="E41" s="62">
        <v>37.94</v>
      </c>
      <c r="F41" s="941" t="s">
        <v>9</v>
      </c>
      <c r="G41" s="62" t="s">
        <v>27</v>
      </c>
      <c r="H41" s="62" t="s">
        <v>575</v>
      </c>
      <c r="I41" s="95">
        <v>2634402.54</v>
      </c>
      <c r="J41" s="62">
        <v>1</v>
      </c>
      <c r="K41" s="62" t="s">
        <v>583</v>
      </c>
      <c r="L41" s="62" t="s">
        <v>18</v>
      </c>
      <c r="M41" s="92">
        <v>44606</v>
      </c>
      <c r="N41" s="117" t="s">
        <v>17</v>
      </c>
      <c r="O41" s="941" t="s">
        <v>919</v>
      </c>
      <c r="P41" s="941" t="s">
        <v>67</v>
      </c>
      <c r="Q41" s="941" t="s">
        <v>67</v>
      </c>
      <c r="R41" s="892"/>
      <c r="S41" s="945" t="s">
        <v>73</v>
      </c>
      <c r="T41" s="945" t="s">
        <v>73</v>
      </c>
      <c r="U41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2634402.54</v>
      </c>
    </row>
    <row r="42" spans="1:21" s="929" customFormat="1" ht="12.75" hidden="1" customHeight="1" outlineLevel="1">
      <c r="A42" s="62">
        <v>40</v>
      </c>
      <c r="B42" s="62">
        <v>227</v>
      </c>
      <c r="C42" s="75">
        <v>18597</v>
      </c>
      <c r="D42" s="62" t="s">
        <v>73</v>
      </c>
      <c r="E42" s="62">
        <v>40</v>
      </c>
      <c r="F42" s="941" t="s">
        <v>15</v>
      </c>
      <c r="G42" s="62" t="s">
        <v>27</v>
      </c>
      <c r="H42" s="62" t="s">
        <v>84</v>
      </c>
      <c r="I42" s="95">
        <v>3118199.08</v>
      </c>
      <c r="J42" s="62">
        <v>1</v>
      </c>
      <c r="K42" s="62" t="s">
        <v>514</v>
      </c>
      <c r="L42" s="62" t="s">
        <v>18</v>
      </c>
      <c r="M42" s="942">
        <v>44609</v>
      </c>
      <c r="N42" s="117" t="s">
        <v>17</v>
      </c>
      <c r="O42" s="941" t="s">
        <v>920</v>
      </c>
      <c r="P42" s="941" t="s">
        <v>67</v>
      </c>
      <c r="Q42" s="941" t="s">
        <v>67</v>
      </c>
      <c r="R42" s="892" t="s">
        <v>73</v>
      </c>
      <c r="S42" s="945" t="s">
        <v>73</v>
      </c>
      <c r="T42" s="945" t="s">
        <v>73</v>
      </c>
      <c r="U4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2898199.08</v>
      </c>
    </row>
    <row r="43" spans="1:21" s="929" customFormat="1" ht="12.75" hidden="1" customHeight="1" outlineLevel="1">
      <c r="A43" s="62">
        <v>41</v>
      </c>
      <c r="B43" s="75">
        <v>108</v>
      </c>
      <c r="C43" s="75">
        <v>19499</v>
      </c>
      <c r="D43" s="62" t="s">
        <v>77</v>
      </c>
      <c r="E43" s="62">
        <v>37.94</v>
      </c>
      <c r="F43" s="941" t="s">
        <v>9</v>
      </c>
      <c r="G43" s="62" t="s">
        <v>27</v>
      </c>
      <c r="H43" s="62" t="s">
        <v>575</v>
      </c>
      <c r="I43" s="91">
        <v>2688165.86</v>
      </c>
      <c r="J43" s="62">
        <v>1</v>
      </c>
      <c r="K43" s="62" t="s">
        <v>583</v>
      </c>
      <c r="L43" s="62" t="s">
        <v>18</v>
      </c>
      <c r="M43" s="537"/>
      <c r="N43" s="117" t="s">
        <v>17</v>
      </c>
      <c r="O43" s="76" t="s">
        <v>921</v>
      </c>
      <c r="P43" s="941" t="s">
        <v>67</v>
      </c>
      <c r="Q43" s="941" t="s">
        <v>67</v>
      </c>
      <c r="R43" s="945" t="s">
        <v>77</v>
      </c>
      <c r="S43" s="945" t="s">
        <v>77</v>
      </c>
      <c r="T43" s="945" t="s">
        <v>77</v>
      </c>
      <c r="U4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2688165.86</v>
      </c>
    </row>
    <row r="44" spans="1:21" s="929" customFormat="1" ht="12.75" hidden="1" customHeight="1" outlineLevel="1">
      <c r="A44" s="62">
        <v>42</v>
      </c>
      <c r="B44" s="62">
        <v>546</v>
      </c>
      <c r="C44" s="62">
        <v>19344</v>
      </c>
      <c r="D44" s="62" t="s">
        <v>77</v>
      </c>
      <c r="E44" s="62">
        <v>23.54</v>
      </c>
      <c r="F44" s="941" t="s">
        <v>9</v>
      </c>
      <c r="G44" s="62" t="s">
        <v>27</v>
      </c>
      <c r="H44" s="62" t="s">
        <v>84</v>
      </c>
      <c r="I44" s="95">
        <v>1949144.72</v>
      </c>
      <c r="J44" s="62">
        <v>0</v>
      </c>
      <c r="K44" s="62" t="s">
        <v>514</v>
      </c>
      <c r="L44" s="62" t="s">
        <v>12</v>
      </c>
      <c r="M44" s="92"/>
      <c r="N44" s="117" t="s">
        <v>11</v>
      </c>
      <c r="O44" s="62" t="s">
        <v>922</v>
      </c>
      <c r="P44" s="941" t="s">
        <v>67</v>
      </c>
      <c r="Q44" s="941" t="s">
        <v>67</v>
      </c>
      <c r="R44" s="945" t="s">
        <v>77</v>
      </c>
      <c r="S44" s="945" t="s">
        <v>77</v>
      </c>
      <c r="T44" s="945" t="s">
        <v>77</v>
      </c>
      <c r="U4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1949144.72</v>
      </c>
    </row>
    <row r="45" spans="1:21" s="929" customFormat="1" ht="12.75" hidden="1" customHeight="1" outlineLevel="1">
      <c r="A45" s="62">
        <v>43</v>
      </c>
      <c r="B45" s="75">
        <v>597</v>
      </c>
      <c r="C45" s="75" t="s">
        <v>923</v>
      </c>
      <c r="D45" s="62" t="s">
        <v>77</v>
      </c>
      <c r="E45" s="62">
        <v>37.11</v>
      </c>
      <c r="F45" s="941" t="s">
        <v>15</v>
      </c>
      <c r="G45" s="62" t="s">
        <v>27</v>
      </c>
      <c r="H45" s="62" t="s">
        <v>16</v>
      </c>
      <c r="I45" s="95">
        <v>2833462.8</v>
      </c>
      <c r="J45" s="62">
        <v>1</v>
      </c>
      <c r="K45" s="62" t="s">
        <v>583</v>
      </c>
      <c r="L45" s="62" t="s">
        <v>18</v>
      </c>
      <c r="M45" s="92">
        <v>44609</v>
      </c>
      <c r="N45" s="117" t="s">
        <v>11</v>
      </c>
      <c r="O45" s="62" t="s">
        <v>886</v>
      </c>
      <c r="P45" s="941" t="s">
        <v>67</v>
      </c>
      <c r="Q45" s="76" t="s">
        <v>924</v>
      </c>
      <c r="R45" s="945" t="s">
        <v>77</v>
      </c>
      <c r="S45" s="945" t="s">
        <v>77</v>
      </c>
      <c r="T45" s="945" t="s">
        <v>77</v>
      </c>
      <c r="U4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2629357.7999999998</v>
      </c>
    </row>
    <row r="46" spans="1:21" s="929" customFormat="1" ht="12.75" hidden="1" customHeight="1" outlineLevel="1">
      <c r="A46" s="62">
        <v>44</v>
      </c>
      <c r="B46" s="75">
        <v>356</v>
      </c>
      <c r="C46" s="75">
        <v>19463</v>
      </c>
      <c r="D46" s="62" t="s">
        <v>63</v>
      </c>
      <c r="E46" s="62">
        <v>23.63</v>
      </c>
      <c r="F46" s="941" t="s">
        <v>9</v>
      </c>
      <c r="G46" s="62" t="s">
        <v>27</v>
      </c>
      <c r="H46" s="62" t="s">
        <v>84</v>
      </c>
      <c r="I46" s="95">
        <v>2015479.5</v>
      </c>
      <c r="J46" s="62">
        <v>0</v>
      </c>
      <c r="K46" s="62" t="s">
        <v>514</v>
      </c>
      <c r="L46" s="62" t="s">
        <v>18</v>
      </c>
      <c r="M46" s="92">
        <v>44610</v>
      </c>
      <c r="N46" s="62" t="s">
        <v>11</v>
      </c>
      <c r="O46" s="62" t="s">
        <v>925</v>
      </c>
      <c r="P46" s="941" t="s">
        <v>67</v>
      </c>
      <c r="Q46" s="941" t="s">
        <v>67</v>
      </c>
      <c r="R46" s="76" t="s">
        <v>63</v>
      </c>
      <c r="S46" s="941" t="s">
        <v>77</v>
      </c>
      <c r="T46" s="941" t="s">
        <v>63</v>
      </c>
      <c r="U4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2015479.5</v>
      </c>
    </row>
    <row r="47" spans="1:21" ht="12.75" hidden="1" customHeight="1" outlineLevel="1">
      <c r="A47" s="62">
        <v>45</v>
      </c>
      <c r="B47" s="75">
        <v>297</v>
      </c>
      <c r="C47" s="75">
        <v>19144</v>
      </c>
      <c r="D47" s="62" t="s">
        <v>63</v>
      </c>
      <c r="E47" s="62">
        <v>37.159999999999997</v>
      </c>
      <c r="F47" s="941" t="s">
        <v>25</v>
      </c>
      <c r="G47" s="62" t="s">
        <v>27</v>
      </c>
      <c r="H47" s="62" t="s">
        <v>575</v>
      </c>
      <c r="I47" s="95">
        <v>3236266.26</v>
      </c>
      <c r="J47" s="62">
        <v>1</v>
      </c>
      <c r="K47" s="62" t="s">
        <v>583</v>
      </c>
      <c r="L47" s="62" t="s">
        <v>18</v>
      </c>
      <c r="M47" s="92">
        <v>44599</v>
      </c>
      <c r="N47" s="62" t="s">
        <v>17</v>
      </c>
      <c r="O47" s="62" t="s">
        <v>691</v>
      </c>
      <c r="P47" s="941" t="s">
        <v>67</v>
      </c>
      <c r="Q47" s="941" t="s">
        <v>67</v>
      </c>
      <c r="R47" s="76" t="s">
        <v>63</v>
      </c>
      <c r="S47" s="76" t="s">
        <v>63</v>
      </c>
      <c r="T47" s="76" t="s">
        <v>63</v>
      </c>
      <c r="U47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2641706.2599999998</v>
      </c>
    </row>
    <row r="48" spans="1:21" ht="12.75" hidden="1" customHeight="1" outlineLevel="1">
      <c r="A48" s="62">
        <v>46</v>
      </c>
      <c r="B48" s="75">
        <v>872</v>
      </c>
      <c r="C48" s="75" t="s">
        <v>926</v>
      </c>
      <c r="D48" s="62" t="s">
        <v>63</v>
      </c>
      <c r="E48" s="62">
        <v>54.28</v>
      </c>
      <c r="F48" s="941" t="s">
        <v>9</v>
      </c>
      <c r="G48" s="62" t="s">
        <v>27</v>
      </c>
      <c r="H48" s="62" t="s">
        <v>16</v>
      </c>
      <c r="I48" s="95">
        <v>3610198.78</v>
      </c>
      <c r="J48" s="62">
        <v>2</v>
      </c>
      <c r="K48" s="62" t="s">
        <v>583</v>
      </c>
      <c r="L48" s="62" t="s">
        <v>18</v>
      </c>
      <c r="M48" s="92"/>
      <c r="N48" s="62" t="s">
        <v>17</v>
      </c>
      <c r="O48" s="62" t="s">
        <v>801</v>
      </c>
      <c r="P48" s="941" t="s">
        <v>67</v>
      </c>
      <c r="Q48" s="941" t="s">
        <v>67</v>
      </c>
      <c r="R48" s="76" t="s">
        <v>63</v>
      </c>
      <c r="S48" s="76" t="s">
        <v>63</v>
      </c>
      <c r="T48" s="76" t="s">
        <v>63</v>
      </c>
      <c r="U48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3610198.7799999993</v>
      </c>
    </row>
    <row r="49" spans="1:21" ht="12.75" hidden="1" customHeight="1" outlineLevel="1">
      <c r="A49" s="62">
        <v>47</v>
      </c>
      <c r="B49" s="75">
        <v>14</v>
      </c>
      <c r="C49" s="75">
        <v>19319</v>
      </c>
      <c r="D49" s="62" t="s">
        <v>63</v>
      </c>
      <c r="E49" s="62">
        <v>24.47</v>
      </c>
      <c r="F49" s="941" t="s">
        <v>15</v>
      </c>
      <c r="G49" s="62" t="s">
        <v>27</v>
      </c>
      <c r="H49" s="62" t="s">
        <v>16</v>
      </c>
      <c r="I49" s="95">
        <v>2148348.2999999998</v>
      </c>
      <c r="J49" s="62">
        <v>0</v>
      </c>
      <c r="K49" s="62" t="s">
        <v>583</v>
      </c>
      <c r="L49" s="62" t="s">
        <v>18</v>
      </c>
      <c r="M49" s="92">
        <v>44608</v>
      </c>
      <c r="N49" s="62" t="s">
        <v>17</v>
      </c>
      <c r="O49" s="62" t="s">
        <v>927</v>
      </c>
      <c r="P49" s="941" t="s">
        <v>67</v>
      </c>
      <c r="Q49" s="62" t="s">
        <v>928</v>
      </c>
      <c r="R49" s="76" t="s">
        <v>63</v>
      </c>
      <c r="S49" s="941" t="s">
        <v>63</v>
      </c>
      <c r="T49" s="941" t="s">
        <v>63</v>
      </c>
      <c r="U4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2013763.2999999996</v>
      </c>
    </row>
    <row r="50" spans="1:21" ht="12.75" hidden="1" customHeight="1" outlineLevel="1">
      <c r="A50" s="62">
        <v>48</v>
      </c>
      <c r="B50" s="75">
        <v>512</v>
      </c>
      <c r="C50" s="75">
        <v>19562</v>
      </c>
      <c r="D50" s="62" t="s">
        <v>63</v>
      </c>
      <c r="E50" s="62">
        <v>82.27</v>
      </c>
      <c r="F50" s="941" t="s">
        <v>9</v>
      </c>
      <c r="G50" s="62" t="s">
        <v>27</v>
      </c>
      <c r="H50" s="62" t="s">
        <v>16</v>
      </c>
      <c r="I50" s="95">
        <v>4841190.49</v>
      </c>
      <c r="J50" s="62">
        <v>3</v>
      </c>
      <c r="K50" s="62" t="s">
        <v>583</v>
      </c>
      <c r="L50" s="62" t="s">
        <v>18</v>
      </c>
      <c r="M50" s="92">
        <v>44613</v>
      </c>
      <c r="N50" s="62" t="s">
        <v>17</v>
      </c>
      <c r="O50" s="62" t="s">
        <v>929</v>
      </c>
      <c r="P50" s="941" t="s">
        <v>67</v>
      </c>
      <c r="Q50" s="76" t="s">
        <v>930</v>
      </c>
      <c r="R50" s="76" t="s">
        <v>63</v>
      </c>
      <c r="S50" s="76" t="s">
        <v>63</v>
      </c>
      <c r="T50" s="76" t="s">
        <v>63</v>
      </c>
      <c r="U5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4841190.49</v>
      </c>
    </row>
    <row r="51" spans="1:21" s="929" customFormat="1" ht="12.75" hidden="1" customHeight="1" outlineLevel="1">
      <c r="A51" s="62">
        <v>49</v>
      </c>
      <c r="B51" s="75">
        <v>708</v>
      </c>
      <c r="C51" s="75">
        <v>14806</v>
      </c>
      <c r="D51" s="62" t="s">
        <v>471</v>
      </c>
      <c r="E51" s="62">
        <v>38.96</v>
      </c>
      <c r="F51" s="941" t="s">
        <v>15</v>
      </c>
      <c r="G51" s="62" t="s">
        <v>27</v>
      </c>
      <c r="H51" s="62" t="s">
        <v>16</v>
      </c>
      <c r="I51" s="95">
        <v>3286765.34</v>
      </c>
      <c r="J51" s="62">
        <v>1</v>
      </c>
      <c r="K51" s="62" t="s">
        <v>583</v>
      </c>
      <c r="L51" s="62" t="s">
        <v>18</v>
      </c>
      <c r="M51" s="92">
        <v>44610</v>
      </c>
      <c r="N51" s="62" t="s">
        <v>17</v>
      </c>
      <c r="O51" s="62" t="s">
        <v>931</v>
      </c>
      <c r="P51" s="941" t="s">
        <v>67</v>
      </c>
      <c r="Q51" s="941" t="s">
        <v>67</v>
      </c>
      <c r="R51" s="76" t="s">
        <v>471</v>
      </c>
      <c r="S51" s="76" t="s">
        <v>471</v>
      </c>
      <c r="T51" s="76" t="s">
        <v>471</v>
      </c>
      <c r="U51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3072485.3399999994</v>
      </c>
    </row>
    <row r="52" spans="1:21" s="929" customFormat="1" ht="12.75" hidden="1" customHeight="1" outlineLevel="1">
      <c r="A52" s="62">
        <v>50</v>
      </c>
      <c r="B52" s="75">
        <v>42</v>
      </c>
      <c r="C52" s="75">
        <v>19658</v>
      </c>
      <c r="D52" s="62" t="s">
        <v>29</v>
      </c>
      <c r="E52" s="62">
        <v>54.67</v>
      </c>
      <c r="F52" s="941" t="s">
        <v>9</v>
      </c>
      <c r="G52" s="62" t="s">
        <v>27</v>
      </c>
      <c r="H52" s="62" t="s">
        <v>575</v>
      </c>
      <c r="I52" s="95">
        <v>3984168.1</v>
      </c>
      <c r="J52" s="62">
        <v>2</v>
      </c>
      <c r="K52" s="62" t="s">
        <v>583</v>
      </c>
      <c r="L52" s="62" t="s">
        <v>18</v>
      </c>
      <c r="M52" s="92"/>
      <c r="N52" s="62" t="s">
        <v>17</v>
      </c>
      <c r="O52" s="941" t="s">
        <v>932</v>
      </c>
      <c r="P52" s="941" t="s">
        <v>67</v>
      </c>
      <c r="Q52" s="941" t="s">
        <v>67</v>
      </c>
      <c r="R52" s="76"/>
      <c r="S52" s="941" t="s">
        <v>20</v>
      </c>
      <c r="T52" s="941" t="s">
        <v>20</v>
      </c>
      <c r="U5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3984168.1</v>
      </c>
    </row>
    <row r="53" spans="1:21" s="929" customFormat="1" ht="13.5" hidden="1" customHeight="1" outlineLevel="1">
      <c r="A53" s="62">
        <v>51</v>
      </c>
      <c r="B53" s="62">
        <v>609</v>
      </c>
      <c r="C53" s="75">
        <v>15505</v>
      </c>
      <c r="D53" s="62" t="s">
        <v>73</v>
      </c>
      <c r="E53" s="62">
        <v>37.159999999999997</v>
      </c>
      <c r="F53" s="941" t="s">
        <v>9</v>
      </c>
      <c r="G53" s="62" t="s">
        <v>27</v>
      </c>
      <c r="H53" s="62" t="s">
        <v>16</v>
      </c>
      <c r="I53" s="95">
        <v>2580242.44</v>
      </c>
      <c r="J53" s="62">
        <v>1</v>
      </c>
      <c r="K53" s="62" t="s">
        <v>583</v>
      </c>
      <c r="L53" s="62" t="s">
        <v>18</v>
      </c>
      <c r="M53" s="942">
        <v>44616</v>
      </c>
      <c r="N53" s="62" t="s">
        <v>17</v>
      </c>
      <c r="O53" s="941" t="s">
        <v>933</v>
      </c>
      <c r="P53" s="941" t="s">
        <v>67</v>
      </c>
      <c r="Q53" s="1311" t="s">
        <v>67</v>
      </c>
      <c r="R53" s="76" t="s">
        <v>73</v>
      </c>
      <c r="S53" s="941" t="s">
        <v>73</v>
      </c>
      <c r="T53" s="941" t="s">
        <v>73</v>
      </c>
      <c r="U5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2580242.44</v>
      </c>
    </row>
    <row r="54" spans="1:21" s="929" customFormat="1" ht="12.75" hidden="1" customHeight="1" outlineLevel="1">
      <c r="A54" s="62">
        <v>52</v>
      </c>
      <c r="B54" s="75">
        <v>258</v>
      </c>
      <c r="C54" s="75">
        <v>19528</v>
      </c>
      <c r="D54" s="62" t="s">
        <v>73</v>
      </c>
      <c r="E54" s="62">
        <v>60.3</v>
      </c>
      <c r="F54" s="76" t="s">
        <v>15</v>
      </c>
      <c r="G54" s="120" t="s">
        <v>121</v>
      </c>
      <c r="H54" s="62" t="s">
        <v>575</v>
      </c>
      <c r="I54" s="91">
        <v>5097178.4800000004</v>
      </c>
      <c r="J54" s="62">
        <v>2</v>
      </c>
      <c r="K54" s="62" t="s">
        <v>583</v>
      </c>
      <c r="L54" s="62" t="s">
        <v>18</v>
      </c>
      <c r="M54" s="537">
        <v>44611</v>
      </c>
      <c r="N54" s="62" t="s">
        <v>17</v>
      </c>
      <c r="O54" s="76" t="s">
        <v>934</v>
      </c>
      <c r="P54" s="941" t="s">
        <v>67</v>
      </c>
      <c r="Q54" s="941" t="s">
        <v>67</v>
      </c>
      <c r="R54" s="76" t="s">
        <v>73</v>
      </c>
      <c r="S54" s="941" t="s">
        <v>63</v>
      </c>
      <c r="T54" s="941" t="s">
        <v>73</v>
      </c>
      <c r="U54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4765528.4800000004</v>
      </c>
    </row>
    <row r="55" spans="1:21" s="929" customFormat="1" hidden="1" outlineLevel="1">
      <c r="A55" s="62">
        <v>53</v>
      </c>
      <c r="B55" s="75">
        <v>629</v>
      </c>
      <c r="C55" s="75">
        <v>11251</v>
      </c>
      <c r="D55" s="62" t="s">
        <v>20</v>
      </c>
      <c r="E55" s="62">
        <v>37.11</v>
      </c>
      <c r="F55" s="941" t="s">
        <v>15</v>
      </c>
      <c r="G55" s="62" t="s">
        <v>27</v>
      </c>
      <c r="H55" s="62" t="s">
        <v>575</v>
      </c>
      <c r="I55" s="352">
        <v>2780875.64</v>
      </c>
      <c r="J55" s="62">
        <v>1</v>
      </c>
      <c r="K55" s="62" t="s">
        <v>583</v>
      </c>
      <c r="L55" s="62" t="s">
        <v>18</v>
      </c>
      <c r="M55" s="92"/>
      <c r="N55" s="117" t="s">
        <v>17</v>
      </c>
      <c r="O55" s="62" t="s">
        <v>935</v>
      </c>
      <c r="P55" s="941" t="s">
        <v>67</v>
      </c>
      <c r="Q55" s="941" t="s">
        <v>67</v>
      </c>
      <c r="R55" s="892" t="s">
        <v>20</v>
      </c>
      <c r="S55" s="945" t="s">
        <v>20</v>
      </c>
      <c r="T55" s="945" t="s">
        <v>20</v>
      </c>
      <c r="U55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2576770.6400000006</v>
      </c>
    </row>
    <row r="56" spans="1:21" s="929" customFormat="1" hidden="1" outlineLevel="1">
      <c r="A56" s="62">
        <v>54</v>
      </c>
      <c r="B56" s="75">
        <v>315</v>
      </c>
      <c r="C56" s="75">
        <v>18217</v>
      </c>
      <c r="D56" s="62" t="s">
        <v>77</v>
      </c>
      <c r="E56" s="62">
        <v>25.85</v>
      </c>
      <c r="F56" s="941" t="s">
        <v>25</v>
      </c>
      <c r="G56" s="62" t="s">
        <v>121</v>
      </c>
      <c r="H56" s="62" t="s">
        <v>575</v>
      </c>
      <c r="I56" s="352">
        <v>2859592.4</v>
      </c>
      <c r="J56" s="62">
        <v>0</v>
      </c>
      <c r="K56" s="62" t="s">
        <v>583</v>
      </c>
      <c r="L56" s="62" t="s">
        <v>18</v>
      </c>
      <c r="M56" s="92"/>
      <c r="N56" s="117" t="s">
        <v>11</v>
      </c>
      <c r="O56" s="62" t="s">
        <v>936</v>
      </c>
      <c r="P56" s="941" t="s">
        <v>67</v>
      </c>
      <c r="Q56" s="941" t="s">
        <v>67</v>
      </c>
      <c r="R56" s="62" t="s">
        <v>77</v>
      </c>
      <c r="S56" s="62" t="s">
        <v>73</v>
      </c>
      <c r="T56" s="62" t="s">
        <v>77</v>
      </c>
      <c r="U56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2445992.4</v>
      </c>
    </row>
    <row r="57" spans="1:21" s="929" customFormat="1" ht="12.75" hidden="1" customHeight="1" outlineLevel="1">
      <c r="A57" s="62">
        <v>55</v>
      </c>
      <c r="B57" s="75">
        <v>679</v>
      </c>
      <c r="C57" s="75">
        <v>19444</v>
      </c>
      <c r="D57" s="62" t="s">
        <v>73</v>
      </c>
      <c r="E57" s="62">
        <v>56.33</v>
      </c>
      <c r="F57" s="941" t="s">
        <v>9</v>
      </c>
      <c r="G57" s="62" t="s">
        <v>27</v>
      </c>
      <c r="H57" s="62" t="s">
        <v>16</v>
      </c>
      <c r="I57" s="95">
        <v>4346044.4400000004</v>
      </c>
      <c r="J57" s="62">
        <v>2</v>
      </c>
      <c r="K57" s="62" t="s">
        <v>583</v>
      </c>
      <c r="L57" s="62" t="s">
        <v>18</v>
      </c>
      <c r="M57" s="92">
        <v>44613</v>
      </c>
      <c r="N57" s="117" t="s">
        <v>17</v>
      </c>
      <c r="O57" s="62" t="s">
        <v>937</v>
      </c>
      <c r="P57" s="941" t="s">
        <v>67</v>
      </c>
      <c r="Q57" s="941" t="s">
        <v>67</v>
      </c>
      <c r="R57" s="62" t="s">
        <v>73</v>
      </c>
      <c r="S57" s="62" t="s">
        <v>73</v>
      </c>
      <c r="T57" s="62" t="s">
        <v>73</v>
      </c>
      <c r="U57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4346044.4400000004</v>
      </c>
    </row>
    <row r="58" spans="1:21" s="929" customFormat="1" ht="12.75" hidden="1" customHeight="1" outlineLevel="1">
      <c r="A58" s="62">
        <v>56</v>
      </c>
      <c r="B58" s="75">
        <v>142</v>
      </c>
      <c r="C58" s="75">
        <v>16033</v>
      </c>
      <c r="D58" s="62" t="s">
        <v>63</v>
      </c>
      <c r="E58" s="62">
        <v>58.99</v>
      </c>
      <c r="F58" s="941" t="s">
        <v>9</v>
      </c>
      <c r="G58" s="62" t="s">
        <v>121</v>
      </c>
      <c r="H58" s="62" t="s">
        <v>575</v>
      </c>
      <c r="I58" s="95">
        <v>4819691.22</v>
      </c>
      <c r="J58" s="62">
        <v>2</v>
      </c>
      <c r="K58" s="62" t="s">
        <v>583</v>
      </c>
      <c r="L58" s="62" t="s">
        <v>18</v>
      </c>
      <c r="M58" s="92"/>
      <c r="N58" s="62" t="s">
        <v>17</v>
      </c>
      <c r="O58" s="62" t="s">
        <v>938</v>
      </c>
      <c r="P58" s="941" t="s">
        <v>67</v>
      </c>
      <c r="Q58" s="941" t="s">
        <v>67</v>
      </c>
      <c r="R58" s="62" t="s">
        <v>63</v>
      </c>
      <c r="S58" s="62" t="s">
        <v>63</v>
      </c>
      <c r="T58" s="62" t="s">
        <v>63</v>
      </c>
      <c r="U58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4819691.22</v>
      </c>
    </row>
    <row r="59" spans="1:21" ht="12.75" hidden="1" customHeight="1" outlineLevel="1">
      <c r="A59" s="62">
        <v>57</v>
      </c>
      <c r="B59" s="75">
        <v>15</v>
      </c>
      <c r="C59" s="75">
        <v>19200</v>
      </c>
      <c r="D59" s="62" t="s">
        <v>471</v>
      </c>
      <c r="E59" s="62">
        <v>54.67</v>
      </c>
      <c r="F59" s="941" t="s">
        <v>9</v>
      </c>
      <c r="G59" s="62" t="s">
        <v>27</v>
      </c>
      <c r="H59" s="62" t="s">
        <v>16</v>
      </c>
      <c r="I59" s="95">
        <v>3904424.73</v>
      </c>
      <c r="J59" s="62">
        <v>2</v>
      </c>
      <c r="K59" s="62" t="s">
        <v>583</v>
      </c>
      <c r="L59" s="62" t="s">
        <v>18</v>
      </c>
      <c r="M59" s="92"/>
      <c r="N59" s="62" t="s">
        <v>17</v>
      </c>
      <c r="O59" s="62" t="s">
        <v>939</v>
      </c>
      <c r="P59" s="941" t="s">
        <v>67</v>
      </c>
      <c r="Q59" s="76" t="s">
        <v>940</v>
      </c>
      <c r="R59" s="62" t="s">
        <v>471</v>
      </c>
      <c r="S59" s="62" t="s">
        <v>471</v>
      </c>
      <c r="T59" s="62" t="s">
        <v>471</v>
      </c>
      <c r="U59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3904424.73</v>
      </c>
    </row>
    <row r="60" spans="1:21" s="929" customFormat="1" ht="12.75" hidden="1" customHeight="1" outlineLevel="1">
      <c r="A60" s="62">
        <v>58</v>
      </c>
      <c r="B60" s="75">
        <v>72</v>
      </c>
      <c r="C60" s="75">
        <v>19746</v>
      </c>
      <c r="D60" s="62" t="s">
        <v>77</v>
      </c>
      <c r="E60" s="62">
        <v>37.94</v>
      </c>
      <c r="F60" s="941" t="s">
        <v>15</v>
      </c>
      <c r="G60" s="62" t="s">
        <v>27</v>
      </c>
      <c r="H60" s="62" t="s">
        <v>10</v>
      </c>
      <c r="I60" s="95">
        <v>2896835.86</v>
      </c>
      <c r="J60" s="62">
        <v>1</v>
      </c>
      <c r="K60" s="62" t="s">
        <v>514</v>
      </c>
      <c r="L60" s="62" t="s">
        <v>18</v>
      </c>
      <c r="M60" s="92"/>
      <c r="N60" s="62" t="s">
        <v>11</v>
      </c>
      <c r="O60" s="62" t="s">
        <v>941</v>
      </c>
      <c r="P60" s="941" t="s">
        <v>67</v>
      </c>
      <c r="Q60" s="76" t="s">
        <v>67</v>
      </c>
      <c r="R60" s="62" t="s">
        <v>77</v>
      </c>
      <c r="S60" s="62" t="s">
        <v>77</v>
      </c>
      <c r="T60" s="62" t="s">
        <v>77</v>
      </c>
      <c r="U60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2688165.86</v>
      </c>
    </row>
    <row r="61" spans="1:21" s="929" customFormat="1" ht="12.75" hidden="1" customHeight="1" outlineLevel="1">
      <c r="A61" s="62">
        <v>59</v>
      </c>
      <c r="B61" s="75">
        <v>250</v>
      </c>
      <c r="C61" s="75">
        <v>15409</v>
      </c>
      <c r="D61" s="62" t="s">
        <v>77</v>
      </c>
      <c r="E61" s="62">
        <v>38.83</v>
      </c>
      <c r="F61" s="941" t="s">
        <v>15</v>
      </c>
      <c r="G61" s="62" t="s">
        <v>121</v>
      </c>
      <c r="H61" s="62" t="s">
        <v>16</v>
      </c>
      <c r="I61" s="95">
        <v>3677384.28</v>
      </c>
      <c r="J61" s="62">
        <v>1</v>
      </c>
      <c r="K61" s="62" t="s">
        <v>583</v>
      </c>
      <c r="L61" s="62" t="s">
        <v>18</v>
      </c>
      <c r="M61" s="92"/>
      <c r="N61" s="62" t="s">
        <v>17</v>
      </c>
      <c r="O61" s="62" t="s">
        <v>942</v>
      </c>
      <c r="P61" s="941" t="s">
        <v>67</v>
      </c>
      <c r="Q61" s="76" t="s">
        <v>67</v>
      </c>
      <c r="R61" s="62" t="s">
        <v>77</v>
      </c>
      <c r="S61" s="62" t="s">
        <v>471</v>
      </c>
      <c r="T61" s="62" t="s">
        <v>77</v>
      </c>
      <c r="U61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3463819.28</v>
      </c>
    </row>
    <row r="62" spans="1:21" ht="12.75" hidden="1" customHeight="1" outlineLevel="1">
      <c r="A62" s="62">
        <v>60</v>
      </c>
      <c r="B62" s="75">
        <v>780</v>
      </c>
      <c r="C62" s="75">
        <v>19763</v>
      </c>
      <c r="D62" s="62" t="s">
        <v>63</v>
      </c>
      <c r="E62" s="62">
        <v>38.909999999999997</v>
      </c>
      <c r="F62" s="941" t="s">
        <v>9</v>
      </c>
      <c r="G62" s="62" t="s">
        <v>27</v>
      </c>
      <c r="H62" s="62" t="s">
        <v>575</v>
      </c>
      <c r="I62" s="95">
        <v>3007171.37</v>
      </c>
      <c r="J62" s="62">
        <v>1</v>
      </c>
      <c r="K62" s="62" t="s">
        <v>583</v>
      </c>
      <c r="L62" s="62" t="s">
        <v>18</v>
      </c>
      <c r="M62" s="92"/>
      <c r="N62" s="62" t="s">
        <v>17</v>
      </c>
      <c r="O62" s="62" t="s">
        <v>943</v>
      </c>
      <c r="P62" s="76"/>
      <c r="Q62" s="76" t="s">
        <v>67</v>
      </c>
      <c r="R62" s="62" t="s">
        <v>63</v>
      </c>
      <c r="S62" s="62" t="s">
        <v>63</v>
      </c>
      <c r="T62" s="62" t="s">
        <v>63</v>
      </c>
      <c r="U62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3007171.37</v>
      </c>
    </row>
    <row r="63" spans="1:21" hidden="1" outlineLevel="1">
      <c r="A63" s="62">
        <v>61</v>
      </c>
      <c r="B63" s="75">
        <v>60</v>
      </c>
      <c r="C63" s="75">
        <v>19474</v>
      </c>
      <c r="D63" s="1005" t="s">
        <v>77</v>
      </c>
      <c r="E63" s="62">
        <v>54.67</v>
      </c>
      <c r="F63" s="1309" t="s">
        <v>15</v>
      </c>
      <c r="G63" s="102" t="s">
        <v>27</v>
      </c>
      <c r="H63" s="1005" t="s">
        <v>16</v>
      </c>
      <c r="I63" s="352">
        <v>4284853.0999999996</v>
      </c>
      <c r="J63" s="62">
        <v>2</v>
      </c>
      <c r="K63" s="1005" t="s">
        <v>583</v>
      </c>
      <c r="L63" s="1005" t="s">
        <v>18</v>
      </c>
      <c r="M63" s="539"/>
      <c r="N63" s="1005" t="s">
        <v>17</v>
      </c>
      <c r="O63" s="348" t="s">
        <v>944</v>
      </c>
      <c r="P63" s="941" t="s">
        <v>67</v>
      </c>
      <c r="Q63" s="76" t="s">
        <v>67</v>
      </c>
      <c r="R63" s="1005" t="s">
        <v>77</v>
      </c>
      <c r="S63" s="1005" t="s">
        <v>77</v>
      </c>
      <c r="T63" s="1005" t="s">
        <v>77</v>
      </c>
      <c r="U63" s="946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>3984168.0999999992</v>
      </c>
    </row>
    <row r="64" spans="1:21" hidden="1" outlineLevel="1">
      <c r="A64" s="103">
        <v>65</v>
      </c>
      <c r="B64" s="79"/>
      <c r="C64" s="79"/>
      <c r="D64" s="65"/>
      <c r="E64" s="65"/>
      <c r="F64" s="934"/>
      <c r="G64" s="65"/>
      <c r="H64" s="65"/>
      <c r="I64" s="105"/>
      <c r="J64" s="65"/>
      <c r="K64" s="65"/>
      <c r="L64" s="108"/>
      <c r="M64" s="110"/>
      <c r="N64" s="65"/>
      <c r="O64" s="72"/>
      <c r="P64" s="70"/>
      <c r="Q64" s="86"/>
      <c r="R64" s="949"/>
      <c r="S64" s="949"/>
      <c r="T64" s="949"/>
      <c r="U64" s="948" t="str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/>
      </c>
    </row>
    <row r="65" spans="1:21" collapsed="1">
      <c r="A65" s="65">
        <v>66</v>
      </c>
      <c r="B65" s="79"/>
      <c r="C65" s="79"/>
      <c r="D65" s="442"/>
      <c r="E65" s="65"/>
      <c r="F65" s="1312"/>
      <c r="G65" s="97"/>
      <c r="H65" s="442"/>
      <c r="I65" s="105"/>
      <c r="J65" s="65"/>
      <c r="K65" s="442"/>
      <c r="L65" s="442"/>
      <c r="M65" s="110"/>
      <c r="N65" s="442"/>
      <c r="O65" s="72"/>
      <c r="P65" s="70"/>
      <c r="Q65" s="463"/>
      <c r="R65" s="442"/>
      <c r="S65" s="442"/>
      <c r="T65" s="442"/>
      <c r="U65" s="948"/>
    </row>
    <row r="66" spans="1:21">
      <c r="A66" s="65">
        <v>67</v>
      </c>
      <c r="B66" s="79"/>
      <c r="C66" s="79"/>
      <c r="D66" s="65"/>
      <c r="E66" s="65"/>
      <c r="F66" s="934"/>
      <c r="G66" s="65"/>
      <c r="H66" s="65"/>
      <c r="I66" s="105"/>
      <c r="J66" s="65"/>
      <c r="K66" s="65"/>
      <c r="L66" s="108"/>
      <c r="M66" s="110"/>
      <c r="N66" s="65"/>
      <c r="O66" s="72"/>
      <c r="P66" s="70"/>
      <c r="Q66" s="86"/>
      <c r="R66" s="949"/>
      <c r="S66" s="949"/>
      <c r="T66" s="949"/>
      <c r="U66" s="948"/>
    </row>
    <row r="67" spans="1:21" s="1214" customFormat="1">
      <c r="A67" s="65"/>
      <c r="B67" s="79"/>
      <c r="C67" s="79"/>
      <c r="D67" s="65"/>
      <c r="E67" s="65"/>
      <c r="F67" s="934"/>
      <c r="G67" s="65"/>
      <c r="H67" s="65"/>
      <c r="I67" s="105"/>
      <c r="J67" s="65"/>
      <c r="K67" s="65"/>
      <c r="L67" s="108"/>
      <c r="M67" s="110"/>
      <c r="N67" s="65"/>
      <c r="O67" s="72"/>
      <c r="P67" s="70"/>
      <c r="Q67" s="86"/>
      <c r="R67" s="949"/>
      <c r="S67" s="949"/>
      <c r="T67" s="949"/>
      <c r="U67" s="948" t="str">
        <f>IFERROR(SUM(Февраль2022[[#This Row],[сумма]]/Февраль2022[[#This Row],[м2]],IF(Февраль2022[[#This Row],[Отделка]]="Черновая",0,"")&amp;IF(Февраль2022[[#This Row],[Отделка]]="Предчистовая",-5500,"")&amp;IF(Февраль2022[[#This Row],[Отделка]]="Чистовая",-16000,""))*Февраль2022[[#This Row],[м2]],"")</f>
        <v/>
      </c>
    </row>
    <row r="68" spans="1:21">
      <c r="A68" s="2293" t="s">
        <v>713</v>
      </c>
      <c r="B68" s="2294"/>
      <c r="C68" s="972" t="s">
        <v>121</v>
      </c>
      <c r="D68" s="2292"/>
      <c r="E68" s="2292"/>
      <c r="F68" s="2292"/>
      <c r="G68" s="2292"/>
      <c r="H68" s="2292"/>
      <c r="I68" s="2292"/>
      <c r="J68" s="2292"/>
      <c r="K68" s="2292"/>
      <c r="L68" s="2292"/>
      <c r="M68" s="2292"/>
      <c r="N68" s="2292"/>
      <c r="O68" s="2292"/>
      <c r="P68" s="2292"/>
      <c r="Q68" s="930"/>
      <c r="R68" s="949"/>
      <c r="S68" s="949"/>
      <c r="T68" s="949"/>
    </row>
    <row r="69" spans="1:21" ht="25.5">
      <c r="A69" s="1313" t="s">
        <v>1</v>
      </c>
      <c r="B69" s="686" t="s">
        <v>100</v>
      </c>
      <c r="C69" s="687" t="s">
        <v>97</v>
      </c>
      <c r="D69" s="688" t="s">
        <v>95</v>
      </c>
      <c r="E69" s="1033" t="s">
        <v>494</v>
      </c>
      <c r="F69" s="1033" t="s">
        <v>495</v>
      </c>
      <c r="G69" s="1033" t="s">
        <v>496</v>
      </c>
      <c r="H69" s="1034" t="s">
        <v>101</v>
      </c>
      <c r="I69" s="1023" t="s">
        <v>98</v>
      </c>
      <c r="J69" s="1023" t="s">
        <v>96</v>
      </c>
      <c r="K69" s="1023" t="s">
        <v>715</v>
      </c>
      <c r="L69" s="1060" t="s">
        <v>716</v>
      </c>
      <c r="M69" s="1033">
        <v>0</v>
      </c>
      <c r="N69" s="1033">
        <v>1</v>
      </c>
      <c r="O69" s="1033">
        <v>2</v>
      </c>
      <c r="P69" s="1033">
        <v>3</v>
      </c>
      <c r="Q69" s="1104">
        <v>4</v>
      </c>
      <c r="R69" s="950"/>
      <c r="S69" s="950"/>
      <c r="T69" s="950"/>
      <c r="U69" s="951"/>
    </row>
    <row r="70" spans="1:21">
      <c r="A70" s="1314" t="s">
        <v>73</v>
      </c>
      <c r="B70" s="1109">
        <v>183.8</v>
      </c>
      <c r="C70" s="939">
        <v>13960206.199999999</v>
      </c>
      <c r="D70" s="1069">
        <v>4</v>
      </c>
      <c r="E70" s="145">
        <v>207.32</v>
      </c>
      <c r="F70" s="939">
        <v>17062663.859999999</v>
      </c>
      <c r="G70" s="1038">
        <v>5</v>
      </c>
      <c r="H70" s="148">
        <v>207.32</v>
      </c>
      <c r="I70" s="149">
        <v>17062663.859999999</v>
      </c>
      <c r="J70" s="220">
        <v>5</v>
      </c>
      <c r="K70" s="943">
        <v>1.1279651795429799</v>
      </c>
      <c r="L70" s="1061">
        <v>1.2222358047977799</v>
      </c>
      <c r="M70" s="339">
        <v>2</v>
      </c>
      <c r="N70" s="339">
        <v>1</v>
      </c>
      <c r="O70" s="339">
        <v>2</v>
      </c>
      <c r="P70" s="339">
        <v>0</v>
      </c>
      <c r="Q70" s="1099">
        <v>0</v>
      </c>
      <c r="R70" s="949"/>
      <c r="S70" s="949"/>
      <c r="T70" s="949"/>
      <c r="U70" s="930"/>
    </row>
    <row r="71" spans="1:21">
      <c r="A71" s="1315" t="s">
        <v>77</v>
      </c>
      <c r="B71" s="1109">
        <v>183.8</v>
      </c>
      <c r="C71" s="939">
        <v>13960206.199999999</v>
      </c>
      <c r="D71" s="1069">
        <v>3</v>
      </c>
      <c r="E71" s="257">
        <v>178.1</v>
      </c>
      <c r="F71" s="954">
        <v>14398424.9</v>
      </c>
      <c r="G71" s="1234">
        <v>4</v>
      </c>
      <c r="H71" s="148">
        <v>178.1</v>
      </c>
      <c r="I71" s="149">
        <v>14398424.9</v>
      </c>
      <c r="J71" s="220">
        <v>4</v>
      </c>
      <c r="K71" s="987">
        <v>0.96898803046790005</v>
      </c>
      <c r="L71" s="1062">
        <v>1.0313905606924301</v>
      </c>
      <c r="M71" s="339">
        <v>1</v>
      </c>
      <c r="N71" s="339">
        <v>2</v>
      </c>
      <c r="O71" s="339">
        <v>0</v>
      </c>
      <c r="P71" s="339">
        <v>1</v>
      </c>
      <c r="Q71" s="1099">
        <v>0</v>
      </c>
      <c r="R71" s="949"/>
      <c r="S71" s="949"/>
      <c r="T71" s="949"/>
      <c r="U71" s="930"/>
    </row>
    <row r="72" spans="1:21">
      <c r="A72" s="1315" t="s">
        <v>471</v>
      </c>
      <c r="B72" s="1109">
        <v>183.8</v>
      </c>
      <c r="C72" s="939">
        <v>13960206.199999999</v>
      </c>
      <c r="D72" s="1069">
        <v>3</v>
      </c>
      <c r="E72" s="257">
        <v>38.22</v>
      </c>
      <c r="F72" s="954">
        <v>3247051.99</v>
      </c>
      <c r="G72" s="1234">
        <v>1</v>
      </c>
      <c r="H72" s="148">
        <v>38.22</v>
      </c>
      <c r="I72" s="149">
        <v>3247051.99</v>
      </c>
      <c r="J72" s="220">
        <v>1</v>
      </c>
      <c r="K72" s="987">
        <v>0.20794341675734501</v>
      </c>
      <c r="L72" s="1062">
        <v>0.23259341183656701</v>
      </c>
      <c r="M72" s="339">
        <v>0</v>
      </c>
      <c r="N72" s="339">
        <v>1</v>
      </c>
      <c r="O72" s="339">
        <v>0</v>
      </c>
      <c r="P72" s="339">
        <v>0</v>
      </c>
      <c r="Q72" s="1099">
        <v>0</v>
      </c>
      <c r="R72" s="949"/>
      <c r="S72" s="949"/>
      <c r="T72" s="949"/>
      <c r="U72" s="930"/>
    </row>
    <row r="73" spans="1:21">
      <c r="A73" s="1315" t="s">
        <v>20</v>
      </c>
      <c r="B73" s="1109">
        <v>183.8</v>
      </c>
      <c r="C73" s="939">
        <v>13960206.199999999</v>
      </c>
      <c r="D73" s="1069">
        <v>3</v>
      </c>
      <c r="E73" s="257">
        <v>0</v>
      </c>
      <c r="F73" s="954">
        <v>0</v>
      </c>
      <c r="G73" s="1234">
        <v>0</v>
      </c>
      <c r="H73" s="148">
        <v>0</v>
      </c>
      <c r="I73" s="149">
        <v>0</v>
      </c>
      <c r="J73" s="220">
        <v>0</v>
      </c>
      <c r="K73" s="987">
        <v>0</v>
      </c>
      <c r="L73" s="1062">
        <v>0</v>
      </c>
      <c r="M73" s="339">
        <v>0</v>
      </c>
      <c r="N73" s="339">
        <v>0</v>
      </c>
      <c r="O73" s="339">
        <v>0</v>
      </c>
      <c r="P73" s="339">
        <v>0</v>
      </c>
      <c r="Q73" s="1099">
        <v>0</v>
      </c>
      <c r="R73" s="949"/>
      <c r="S73" s="949"/>
      <c r="T73" s="949"/>
      <c r="U73" s="930"/>
    </row>
    <row r="74" spans="1:21" s="1214" customFormat="1">
      <c r="A74" s="1316" t="s">
        <v>63</v>
      </c>
      <c r="B74" s="1109">
        <v>183.8</v>
      </c>
      <c r="C74" s="939">
        <v>13960206.199999999</v>
      </c>
      <c r="D74" s="1069">
        <v>3</v>
      </c>
      <c r="E74" s="329">
        <v>58.99</v>
      </c>
      <c r="F74" s="958">
        <v>4819691.22</v>
      </c>
      <c r="G74" s="983">
        <v>1</v>
      </c>
      <c r="H74" s="148">
        <v>58.99</v>
      </c>
      <c r="I74" s="149">
        <v>4819691.22</v>
      </c>
      <c r="J74" s="220">
        <v>1</v>
      </c>
      <c r="K74" s="1063">
        <v>0.32094668117518999</v>
      </c>
      <c r="L74" s="1064">
        <v>0.34524498785698499</v>
      </c>
      <c r="M74" s="339">
        <v>0</v>
      </c>
      <c r="N74" s="339">
        <v>0</v>
      </c>
      <c r="O74" s="339">
        <v>1</v>
      </c>
      <c r="P74" s="339">
        <v>0</v>
      </c>
      <c r="Q74" s="1099">
        <v>0</v>
      </c>
      <c r="R74" s="949"/>
      <c r="S74" s="949"/>
      <c r="T74" s="949"/>
      <c r="U74" s="930"/>
    </row>
    <row r="75" spans="1:21">
      <c r="A75" s="1317" t="s">
        <v>114</v>
      </c>
      <c r="B75" s="1195">
        <v>919</v>
      </c>
      <c r="C75" s="1196">
        <v>69801031</v>
      </c>
      <c r="D75" s="1162">
        <v>16</v>
      </c>
      <c r="E75" s="1123">
        <v>482.63</v>
      </c>
      <c r="F75" s="1163">
        <v>39527831.969999999</v>
      </c>
      <c r="G75" s="1164">
        <v>11</v>
      </c>
      <c r="H75" s="906">
        <v>482.63</v>
      </c>
      <c r="I75" s="1124">
        <v>39527831.969999999</v>
      </c>
      <c r="J75" s="1123">
        <v>11</v>
      </c>
      <c r="K75" s="1140">
        <v>0.52516866158868303</v>
      </c>
      <c r="L75" s="1141">
        <v>0.56629295303675398</v>
      </c>
      <c r="M75" s="1123">
        <v>3</v>
      </c>
      <c r="N75" s="1123">
        <v>4</v>
      </c>
      <c r="O75" s="1123">
        <v>3</v>
      </c>
      <c r="P75" s="1185">
        <v>1</v>
      </c>
      <c r="Q75" s="1167">
        <v>0</v>
      </c>
      <c r="R75" s="949"/>
      <c r="S75" s="949"/>
      <c r="T75" s="949"/>
      <c r="U75" s="930"/>
    </row>
    <row r="76" spans="1:21" ht="25.5">
      <c r="A76" s="1313" t="s">
        <v>115</v>
      </c>
      <c r="B76" s="686" t="s">
        <v>100</v>
      </c>
      <c r="C76" s="693" t="s">
        <v>97</v>
      </c>
      <c r="D76" s="688" t="s">
        <v>95</v>
      </c>
      <c r="E76" s="1033" t="s">
        <v>494</v>
      </c>
      <c r="F76" s="1033" t="s">
        <v>495</v>
      </c>
      <c r="G76" s="1104" t="s">
        <v>496</v>
      </c>
      <c r="H76" s="1034" t="s">
        <v>101</v>
      </c>
      <c r="I76" s="1023" t="s">
        <v>98</v>
      </c>
      <c r="J76" s="1023" t="s">
        <v>96</v>
      </c>
      <c r="K76" s="1186" t="s">
        <v>715</v>
      </c>
      <c r="L76" s="1187" t="s">
        <v>716</v>
      </c>
      <c r="M76" s="1033">
        <v>0</v>
      </c>
      <c r="N76" s="1033">
        <v>1</v>
      </c>
      <c r="O76" s="1033">
        <v>2</v>
      </c>
      <c r="P76" s="1033">
        <v>3</v>
      </c>
      <c r="Q76" s="1104">
        <v>4</v>
      </c>
      <c r="R76" s="950"/>
      <c r="S76" s="950"/>
      <c r="T76" s="950"/>
      <c r="U76" s="951"/>
    </row>
    <row r="77" spans="1:21" s="65" customFormat="1">
      <c r="A77" s="1314" t="s">
        <v>16</v>
      </c>
      <c r="B77" s="1197">
        <v>321.64999999999998</v>
      </c>
      <c r="C77" s="939">
        <v>24430360.850000001</v>
      </c>
      <c r="D77" s="1069">
        <v>2</v>
      </c>
      <c r="E77" s="1129">
        <v>311.58</v>
      </c>
      <c r="F77" s="149">
        <v>25242211.010000002</v>
      </c>
      <c r="G77" s="940">
        <v>7</v>
      </c>
      <c r="H77" s="1318">
        <v>311.58</v>
      </c>
      <c r="I77" s="149">
        <v>25242211.010000002</v>
      </c>
      <c r="J77" s="220">
        <v>7</v>
      </c>
      <c r="K77" s="943">
        <v>0.96869267837711803</v>
      </c>
      <c r="L77" s="1061">
        <v>1.03323119805658</v>
      </c>
      <c r="M77" s="339">
        <v>1</v>
      </c>
      <c r="N77" s="339">
        <v>4</v>
      </c>
      <c r="O77" s="339">
        <v>1</v>
      </c>
      <c r="P77" s="339">
        <v>1</v>
      </c>
      <c r="Q77" s="1099">
        <v>0</v>
      </c>
      <c r="R77" s="949"/>
      <c r="S77" s="949"/>
      <c r="T77" s="949"/>
      <c r="U77" s="930"/>
    </row>
    <row r="78" spans="1:21">
      <c r="A78" s="1316" t="s">
        <v>575</v>
      </c>
      <c r="B78" s="1197">
        <v>321.64999999999998</v>
      </c>
      <c r="C78" s="958">
        <v>24430360.850000001</v>
      </c>
      <c r="D78" s="1054">
        <v>2</v>
      </c>
      <c r="E78" s="1222">
        <v>171.05</v>
      </c>
      <c r="F78" s="359">
        <v>14285620.960000001</v>
      </c>
      <c r="G78" s="959">
        <v>4</v>
      </c>
      <c r="H78" s="1318">
        <v>171.05</v>
      </c>
      <c r="I78" s="149">
        <v>14285620.960000001</v>
      </c>
      <c r="J78" s="220">
        <v>4</v>
      </c>
      <c r="K78" s="1063">
        <v>0.53178921187626305</v>
      </c>
      <c r="L78" s="1064">
        <v>0.58474866776271905</v>
      </c>
      <c r="M78" s="339">
        <v>2</v>
      </c>
      <c r="N78" s="339">
        <v>0</v>
      </c>
      <c r="O78" s="339">
        <v>2</v>
      </c>
      <c r="P78" s="339">
        <v>0</v>
      </c>
      <c r="Q78" s="1099">
        <v>0</v>
      </c>
      <c r="R78" s="949"/>
      <c r="S78" s="949"/>
      <c r="T78" s="949"/>
      <c r="U78" s="930"/>
    </row>
    <row r="79" spans="1:21">
      <c r="A79" s="1319" t="s">
        <v>114</v>
      </c>
      <c r="B79" s="1198">
        <v>643.29999999999995</v>
      </c>
      <c r="C79" s="1165">
        <v>48860721.700000003</v>
      </c>
      <c r="D79" s="1166">
        <v>12</v>
      </c>
      <c r="E79" s="1123">
        <v>482.63</v>
      </c>
      <c r="F79" s="1124">
        <v>39527831.969999999</v>
      </c>
      <c r="G79" s="1167">
        <v>11</v>
      </c>
      <c r="H79" s="1320">
        <v>482.63</v>
      </c>
      <c r="I79" s="1124">
        <v>39527831.969999999</v>
      </c>
      <c r="J79" s="1123">
        <v>11</v>
      </c>
      <c r="K79" s="1199">
        <v>0.75024094512669104</v>
      </c>
      <c r="L79" s="1200">
        <v>0.80898993290964805</v>
      </c>
      <c r="M79" s="1123">
        <v>3</v>
      </c>
      <c r="N79" s="1123">
        <v>4</v>
      </c>
      <c r="O79" s="1123">
        <v>3</v>
      </c>
      <c r="P79" s="1123">
        <v>1</v>
      </c>
      <c r="Q79" s="1167">
        <v>0</v>
      </c>
      <c r="R79" s="65"/>
      <c r="S79" s="65"/>
      <c r="T79" s="65"/>
      <c r="U79" s="339"/>
    </row>
    <row r="80" spans="1:21" s="1214" customFormat="1">
      <c r="A80" s="1321"/>
      <c r="B80" s="968"/>
      <c r="C80" s="968"/>
      <c r="D80" s="7"/>
      <c r="E80" s="7"/>
      <c r="F80" s="7"/>
      <c r="G80" s="7"/>
      <c r="H80" s="134"/>
      <c r="I80" s="134"/>
      <c r="J80" s="134"/>
      <c r="K80" s="7"/>
      <c r="L80" s="994"/>
      <c r="M80" s="134"/>
      <c r="N80" s="134"/>
      <c r="O80" s="134"/>
      <c r="P80" s="262"/>
      <c r="Q80" s="134"/>
      <c r="R80" s="949"/>
      <c r="S80" s="949"/>
      <c r="T80" s="949"/>
      <c r="U80" s="930"/>
    </row>
    <row r="81" spans="1:21">
      <c r="A81" s="2290" t="s">
        <v>713</v>
      </c>
      <c r="B81" s="2291"/>
      <c r="C81" s="935" t="s">
        <v>27</v>
      </c>
      <c r="D81" s="2292"/>
      <c r="E81" s="2292"/>
      <c r="F81" s="2292"/>
      <c r="G81" s="2292"/>
      <c r="H81" s="2292"/>
      <c r="I81" s="2292"/>
      <c r="J81" s="2292"/>
      <c r="K81" s="2292"/>
      <c r="L81" s="2292"/>
      <c r="M81" s="2292"/>
      <c r="N81" s="2292"/>
      <c r="O81" s="2292"/>
      <c r="P81" s="2292"/>
      <c r="Q81" s="7"/>
      <c r="R81" s="949"/>
      <c r="S81" s="949"/>
      <c r="T81" s="949"/>
      <c r="U81" s="930"/>
    </row>
    <row r="82" spans="1:21" ht="25.5">
      <c r="A82" s="1313" t="s">
        <v>1</v>
      </c>
      <c r="B82" s="686" t="s">
        <v>100</v>
      </c>
      <c r="C82" s="688" t="s">
        <v>97</v>
      </c>
      <c r="D82" s="688" t="s">
        <v>95</v>
      </c>
      <c r="E82" s="1022" t="s">
        <v>494</v>
      </c>
      <c r="F82" s="138" t="s">
        <v>495</v>
      </c>
      <c r="G82" s="139" t="s">
        <v>496</v>
      </c>
      <c r="H82" s="140" t="s">
        <v>101</v>
      </c>
      <c r="I82" s="141" t="s">
        <v>98</v>
      </c>
      <c r="J82" s="141" t="s">
        <v>96</v>
      </c>
      <c r="K82" s="141" t="s">
        <v>715</v>
      </c>
      <c r="L82" s="1026" t="s">
        <v>716</v>
      </c>
      <c r="M82" s="1087">
        <v>0</v>
      </c>
      <c r="N82" s="1033">
        <v>1</v>
      </c>
      <c r="O82" s="1033">
        <v>2</v>
      </c>
      <c r="P82" s="1033">
        <v>3</v>
      </c>
      <c r="Q82" s="1104">
        <v>4</v>
      </c>
      <c r="R82" s="950"/>
      <c r="S82" s="950"/>
      <c r="T82" s="950"/>
      <c r="U82" s="951"/>
    </row>
    <row r="83" spans="1:21">
      <c r="A83" s="1322" t="s">
        <v>73</v>
      </c>
      <c r="B83" s="1126">
        <v>343</v>
      </c>
      <c r="C83" s="1059">
        <v>24543428.36239</v>
      </c>
      <c r="D83" s="1074">
        <v>7</v>
      </c>
      <c r="E83" s="145">
        <v>502.8</v>
      </c>
      <c r="F83" s="939">
        <v>35989519.729999997</v>
      </c>
      <c r="G83" s="940">
        <v>13</v>
      </c>
      <c r="H83" s="148">
        <v>502.8</v>
      </c>
      <c r="I83" s="149">
        <v>35989519.729999997</v>
      </c>
      <c r="J83" s="220">
        <v>13</v>
      </c>
      <c r="K83" s="943">
        <v>1.4658892128279899</v>
      </c>
      <c r="L83" s="1061">
        <v>1.4663607381416099</v>
      </c>
      <c r="M83" s="1090">
        <v>4</v>
      </c>
      <c r="N83" s="339">
        <v>5</v>
      </c>
      <c r="O83" s="339">
        <v>3</v>
      </c>
      <c r="P83" s="339">
        <v>1</v>
      </c>
      <c r="Q83" s="1099">
        <v>0</v>
      </c>
      <c r="R83" s="949"/>
      <c r="S83" s="949"/>
      <c r="T83" s="949"/>
      <c r="U83" s="930"/>
    </row>
    <row r="84" spans="1:21">
      <c r="A84" s="1323" t="s">
        <v>77</v>
      </c>
      <c r="B84" s="1127">
        <v>343</v>
      </c>
      <c r="C84" s="954">
        <v>24543428.36239</v>
      </c>
      <c r="D84" s="1041">
        <v>8</v>
      </c>
      <c r="E84" s="257">
        <v>522.47</v>
      </c>
      <c r="F84" s="954">
        <v>35327717.840000004</v>
      </c>
      <c r="G84" s="955">
        <v>12</v>
      </c>
      <c r="H84" s="148">
        <v>498.93</v>
      </c>
      <c r="I84" s="149">
        <v>33794849.579999998</v>
      </c>
      <c r="J84" s="220">
        <v>11</v>
      </c>
      <c r="K84" s="987">
        <v>1.4546064139941699</v>
      </c>
      <c r="L84" s="1062">
        <v>1.3769408690998799</v>
      </c>
      <c r="M84" s="1090">
        <v>4</v>
      </c>
      <c r="N84" s="339">
        <v>4</v>
      </c>
      <c r="O84" s="339">
        <v>4</v>
      </c>
      <c r="P84" s="339">
        <v>1</v>
      </c>
      <c r="Q84" s="1099">
        <v>0</v>
      </c>
      <c r="R84" s="949"/>
      <c r="S84" s="949"/>
      <c r="T84" s="949"/>
      <c r="U84" s="930"/>
    </row>
    <row r="85" spans="1:21">
      <c r="A85" s="1323" t="s">
        <v>471</v>
      </c>
      <c r="B85" s="1127">
        <v>343</v>
      </c>
      <c r="C85" s="954">
        <v>24543428.36239</v>
      </c>
      <c r="D85" s="1041">
        <v>7</v>
      </c>
      <c r="E85" s="257">
        <v>168.1</v>
      </c>
      <c r="F85" s="954">
        <v>12377554.66</v>
      </c>
      <c r="G85" s="955">
        <v>4</v>
      </c>
      <c r="H85" s="148">
        <v>168.1</v>
      </c>
      <c r="I85" s="149">
        <v>12389553.869999999</v>
      </c>
      <c r="J85" s="220">
        <v>4</v>
      </c>
      <c r="K85" s="987">
        <v>0.49008746355685101</v>
      </c>
      <c r="L85" s="1062">
        <v>0.50480127254697504</v>
      </c>
      <c r="M85" s="1090">
        <v>0</v>
      </c>
      <c r="N85" s="339">
        <v>3</v>
      </c>
      <c r="O85" s="339">
        <v>2</v>
      </c>
      <c r="P85" s="339">
        <v>0</v>
      </c>
      <c r="Q85" s="1099">
        <v>0</v>
      </c>
      <c r="R85" s="949"/>
      <c r="S85" s="949"/>
      <c r="T85" s="949"/>
      <c r="U85" s="930"/>
    </row>
    <row r="86" spans="1:21">
      <c r="A86" s="1323" t="s">
        <v>20</v>
      </c>
      <c r="B86" s="1127">
        <v>344</v>
      </c>
      <c r="C86" s="954">
        <v>24614983.547120001</v>
      </c>
      <c r="D86" s="1041">
        <v>7</v>
      </c>
      <c r="E86" s="257">
        <v>268.24</v>
      </c>
      <c r="F86" s="954">
        <v>19870444.41</v>
      </c>
      <c r="G86" s="955">
        <v>8</v>
      </c>
      <c r="H86" s="148">
        <v>268.24</v>
      </c>
      <c r="I86" s="149">
        <v>19870444.41</v>
      </c>
      <c r="J86" s="220">
        <v>8</v>
      </c>
      <c r="K86" s="987">
        <v>0.77976744186046498</v>
      </c>
      <c r="L86" s="1062">
        <v>0.80724995700128699</v>
      </c>
      <c r="M86" s="1090">
        <v>4</v>
      </c>
      <c r="N86" s="339">
        <v>3</v>
      </c>
      <c r="O86" s="339">
        <v>1</v>
      </c>
      <c r="P86" s="339">
        <v>0</v>
      </c>
      <c r="Q86" s="1099">
        <v>0</v>
      </c>
      <c r="R86" s="949"/>
      <c r="S86" s="949"/>
      <c r="T86" s="949"/>
      <c r="U86" s="930"/>
    </row>
    <row r="87" spans="1:21" s="1214" customFormat="1">
      <c r="A87" s="1324" t="s">
        <v>63</v>
      </c>
      <c r="B87" s="1128">
        <v>343</v>
      </c>
      <c r="C87" s="958">
        <v>24543428.36239</v>
      </c>
      <c r="D87" s="1054">
        <v>7</v>
      </c>
      <c r="E87" s="329">
        <v>404.98</v>
      </c>
      <c r="F87" s="958">
        <v>27622647.48</v>
      </c>
      <c r="G87" s="959">
        <v>9</v>
      </c>
      <c r="H87" s="148">
        <v>404.98</v>
      </c>
      <c r="I87" s="149">
        <v>27468619.690000001</v>
      </c>
      <c r="J87" s="220">
        <v>9</v>
      </c>
      <c r="K87" s="1063">
        <v>1.1806997084548101</v>
      </c>
      <c r="L87" s="1064">
        <v>1.1191842999445201</v>
      </c>
      <c r="M87" s="1090">
        <v>3</v>
      </c>
      <c r="N87" s="339">
        <v>3</v>
      </c>
      <c r="O87" s="339">
        <v>1</v>
      </c>
      <c r="P87" s="339">
        <v>2</v>
      </c>
      <c r="Q87" s="1099">
        <v>0</v>
      </c>
      <c r="R87" s="949"/>
      <c r="S87" s="949"/>
      <c r="T87" s="949"/>
      <c r="U87" s="930"/>
    </row>
    <row r="88" spans="1:21">
      <c r="A88" s="1317" t="s">
        <v>114</v>
      </c>
      <c r="B88" s="1195">
        <v>1716</v>
      </c>
      <c r="C88" s="1196">
        <v>122788696.99668001</v>
      </c>
      <c r="D88" s="1162">
        <v>36</v>
      </c>
      <c r="E88" s="1168">
        <v>1866.59</v>
      </c>
      <c r="F88" s="1169">
        <v>131187884.12</v>
      </c>
      <c r="G88" s="1170">
        <v>46</v>
      </c>
      <c r="H88" s="1171">
        <v>1843.05</v>
      </c>
      <c r="I88" s="1165">
        <v>129512987.28</v>
      </c>
      <c r="J88" s="1182">
        <v>45</v>
      </c>
      <c r="K88" s="1201">
        <v>1.0740384615384599</v>
      </c>
      <c r="L88" s="1202">
        <v>1.0547631048116901</v>
      </c>
      <c r="M88" s="906">
        <v>15</v>
      </c>
      <c r="N88" s="1123">
        <v>18</v>
      </c>
      <c r="O88" s="1123">
        <v>11</v>
      </c>
      <c r="P88" s="1185">
        <v>4</v>
      </c>
      <c r="Q88" s="1167">
        <v>0</v>
      </c>
      <c r="R88" s="949"/>
      <c r="S88" s="949"/>
      <c r="T88" s="949"/>
      <c r="U88" s="930"/>
    </row>
    <row r="89" spans="1:21" ht="25.5">
      <c r="A89" s="1313" t="s">
        <v>115</v>
      </c>
      <c r="B89" s="686" t="s">
        <v>100</v>
      </c>
      <c r="C89" s="693" t="s">
        <v>97</v>
      </c>
      <c r="D89" s="688" t="s">
        <v>95</v>
      </c>
      <c r="E89" s="1051" t="s">
        <v>494</v>
      </c>
      <c r="F89" s="138" t="s">
        <v>495</v>
      </c>
      <c r="G89" s="139" t="s">
        <v>496</v>
      </c>
      <c r="H89" s="140" t="s">
        <v>101</v>
      </c>
      <c r="I89" s="141" t="s">
        <v>98</v>
      </c>
      <c r="J89" s="141" t="s">
        <v>96</v>
      </c>
      <c r="K89" s="495" t="s">
        <v>715</v>
      </c>
      <c r="L89" s="1027" t="s">
        <v>716</v>
      </c>
      <c r="M89" s="1087">
        <v>0</v>
      </c>
      <c r="N89" s="1033">
        <v>1</v>
      </c>
      <c r="O89" s="1033">
        <v>2</v>
      </c>
      <c r="P89" s="1033">
        <v>3</v>
      </c>
      <c r="Q89" s="1104">
        <v>4</v>
      </c>
      <c r="R89" s="950"/>
      <c r="S89" s="950"/>
      <c r="T89" s="950"/>
      <c r="U89" s="951"/>
    </row>
    <row r="90" spans="1:21">
      <c r="A90" s="1322" t="s">
        <v>16</v>
      </c>
      <c r="B90" s="1197">
        <v>600.6</v>
      </c>
      <c r="C90" s="939">
        <v>42976043.948838003</v>
      </c>
      <c r="D90" s="1069">
        <v>13</v>
      </c>
      <c r="E90" s="1129">
        <v>1029.75</v>
      </c>
      <c r="F90" s="149">
        <v>68836249.829999998</v>
      </c>
      <c r="G90" s="940">
        <v>25</v>
      </c>
      <c r="H90" s="148">
        <v>937.14</v>
      </c>
      <c r="I90" s="149">
        <v>66633577.920000002</v>
      </c>
      <c r="J90" s="220">
        <v>23</v>
      </c>
      <c r="K90" s="943">
        <v>1.56033966033966</v>
      </c>
      <c r="L90" s="1061">
        <v>1.55048189170985</v>
      </c>
      <c r="M90" s="1090">
        <v>9</v>
      </c>
      <c r="N90" s="339">
        <v>6</v>
      </c>
      <c r="O90" s="339">
        <v>9</v>
      </c>
      <c r="P90" s="339">
        <v>1</v>
      </c>
      <c r="Q90" s="1099">
        <v>0</v>
      </c>
      <c r="R90" s="949"/>
      <c r="S90" s="949"/>
      <c r="T90" s="949"/>
      <c r="U90" s="930"/>
    </row>
    <row r="91" spans="1:21">
      <c r="A91" s="1324" t="s">
        <v>575</v>
      </c>
      <c r="B91" s="1128">
        <v>600.6</v>
      </c>
      <c r="C91" s="958">
        <v>42976043.948838003</v>
      </c>
      <c r="D91" s="1054">
        <v>13</v>
      </c>
      <c r="E91" s="1222">
        <v>551.05999999999995</v>
      </c>
      <c r="F91" s="359">
        <v>37576174.060000002</v>
      </c>
      <c r="G91" s="959">
        <v>12</v>
      </c>
      <c r="H91" s="148">
        <v>496.39</v>
      </c>
      <c r="I91" s="149">
        <v>33398593.370000001</v>
      </c>
      <c r="J91" s="220">
        <v>11</v>
      </c>
      <c r="K91" s="1063">
        <v>0.82649017649017598</v>
      </c>
      <c r="L91" s="1064">
        <v>0.77714443446121495</v>
      </c>
      <c r="M91" s="1225">
        <v>2</v>
      </c>
      <c r="N91" s="930">
        <v>6</v>
      </c>
      <c r="O91" s="930">
        <v>2</v>
      </c>
      <c r="P91" s="930">
        <v>2</v>
      </c>
      <c r="Q91" s="1226">
        <v>0</v>
      </c>
      <c r="R91" s="949"/>
      <c r="S91" s="949"/>
      <c r="T91" s="949"/>
      <c r="U91" s="930"/>
    </row>
    <row r="92" spans="1:21">
      <c r="A92" s="1319" t="s">
        <v>114</v>
      </c>
      <c r="B92" s="1171">
        <v>1201.2</v>
      </c>
      <c r="C92" s="1165">
        <v>85952087.897676006</v>
      </c>
      <c r="D92" s="1166">
        <v>26</v>
      </c>
      <c r="E92" s="1173">
        <v>1580.81</v>
      </c>
      <c r="F92" s="1165">
        <v>106412423.89</v>
      </c>
      <c r="G92" s="1166">
        <v>37</v>
      </c>
      <c r="H92" s="1171">
        <v>1433.53</v>
      </c>
      <c r="I92" s="1165">
        <v>100032171.29000001</v>
      </c>
      <c r="J92" s="1182">
        <v>34</v>
      </c>
      <c r="K92" s="1183">
        <v>1.1934149184149201</v>
      </c>
      <c r="L92" s="1184">
        <v>1.16381316308553</v>
      </c>
      <c r="M92" s="906">
        <v>11</v>
      </c>
      <c r="N92" s="1123">
        <v>12</v>
      </c>
      <c r="O92" s="1123">
        <v>11</v>
      </c>
      <c r="P92" s="1123">
        <v>3</v>
      </c>
      <c r="Q92" s="1167">
        <v>0</v>
      </c>
      <c r="R92" s="949"/>
      <c r="S92" s="949"/>
      <c r="T92" s="949"/>
      <c r="U92" s="930"/>
    </row>
    <row r="93" spans="1:21" s="1214" customFormat="1">
      <c r="A93" s="1325"/>
      <c r="B93" s="134"/>
      <c r="C93" s="44"/>
      <c r="D93" s="134"/>
      <c r="E93" s="134"/>
      <c r="F93" s="44"/>
      <c r="G93" s="134"/>
      <c r="H93" s="134"/>
      <c r="I93" s="44"/>
      <c r="J93" s="134"/>
      <c r="K93" s="255"/>
      <c r="L93" s="256"/>
      <c r="M93" s="134"/>
      <c r="N93" s="134"/>
      <c r="O93" s="134"/>
      <c r="P93" s="134"/>
      <c r="Q93" s="134"/>
      <c r="R93" s="949"/>
      <c r="S93" s="949"/>
      <c r="T93" s="949"/>
      <c r="U93" s="930"/>
    </row>
    <row r="94" spans="1:21">
      <c r="A94" s="2293" t="s">
        <v>713</v>
      </c>
      <c r="B94" s="2294"/>
      <c r="C94" s="972" t="s">
        <v>718</v>
      </c>
      <c r="D94" s="2295"/>
      <c r="E94" s="2296"/>
      <c r="F94" s="2296"/>
      <c r="G94" s="2296"/>
      <c r="H94" s="2296"/>
      <c r="I94" s="2296"/>
      <c r="J94" s="2296"/>
      <c r="K94" s="2296"/>
      <c r="L94" s="2296"/>
      <c r="M94" s="2296"/>
      <c r="N94" s="2296"/>
      <c r="O94" s="2296"/>
      <c r="P94" s="2296"/>
      <c r="Q94" s="7"/>
      <c r="R94" s="949"/>
      <c r="S94" s="949"/>
      <c r="T94" s="949"/>
      <c r="U94" s="930"/>
    </row>
    <row r="95" spans="1:21" ht="25.5">
      <c r="A95" s="1326" t="s">
        <v>1</v>
      </c>
      <c r="B95" s="723" t="s">
        <v>100</v>
      </c>
      <c r="C95" s="724" t="s">
        <v>97</v>
      </c>
      <c r="D95" s="688" t="s">
        <v>95</v>
      </c>
      <c r="E95" s="1022" t="s">
        <v>494</v>
      </c>
      <c r="F95" s="138" t="s">
        <v>495</v>
      </c>
      <c r="G95" s="1082" t="s">
        <v>496</v>
      </c>
      <c r="H95" s="980" t="s">
        <v>101</v>
      </c>
      <c r="I95" s="141" t="s">
        <v>98</v>
      </c>
      <c r="J95" s="141" t="s">
        <v>96</v>
      </c>
      <c r="K95" s="141" t="s">
        <v>715</v>
      </c>
      <c r="L95" s="1026" t="s">
        <v>716</v>
      </c>
      <c r="M95" s="1087">
        <v>0</v>
      </c>
      <c r="N95" s="1033">
        <v>1</v>
      </c>
      <c r="O95" s="1033">
        <v>2</v>
      </c>
      <c r="P95" s="1033">
        <v>3</v>
      </c>
      <c r="Q95" s="1104">
        <v>4</v>
      </c>
      <c r="R95" s="950"/>
      <c r="S95" s="950"/>
      <c r="T95" s="950"/>
      <c r="U95" s="951"/>
    </row>
    <row r="96" spans="1:21">
      <c r="A96" s="1327" t="s">
        <v>73</v>
      </c>
      <c r="B96" s="514">
        <v>526.79999999999995</v>
      </c>
      <c r="C96" s="549">
        <v>38503634.56239</v>
      </c>
      <c r="D96" s="1174">
        <v>11</v>
      </c>
      <c r="E96" s="267">
        <v>710.12</v>
      </c>
      <c r="F96" s="146">
        <v>53052183.590000004</v>
      </c>
      <c r="G96" s="702">
        <v>18</v>
      </c>
      <c r="H96" s="514">
        <v>710.12</v>
      </c>
      <c r="I96" s="146">
        <v>53052183.590000004</v>
      </c>
      <c r="J96" s="1190">
        <v>18</v>
      </c>
      <c r="K96" s="943">
        <v>1.3479878511769201</v>
      </c>
      <c r="L96" s="1061">
        <v>1.3778487198146501</v>
      </c>
      <c r="M96" s="1148">
        <v>6</v>
      </c>
      <c r="N96" s="1008">
        <v>6</v>
      </c>
      <c r="O96" s="1008">
        <v>5</v>
      </c>
      <c r="P96" s="1008">
        <v>1</v>
      </c>
      <c r="Q96" s="1106">
        <v>0</v>
      </c>
      <c r="R96" s="949"/>
      <c r="S96" s="949"/>
      <c r="T96" s="949"/>
      <c r="U96" s="930"/>
    </row>
    <row r="97" spans="1:21">
      <c r="A97" s="1328" t="s">
        <v>77</v>
      </c>
      <c r="B97" s="514">
        <v>526.79999999999995</v>
      </c>
      <c r="C97" s="549">
        <v>38503634.56239</v>
      </c>
      <c r="D97" s="1174">
        <v>11</v>
      </c>
      <c r="E97" s="271">
        <v>700.57</v>
      </c>
      <c r="F97" s="52">
        <v>49726142.740000002</v>
      </c>
      <c r="G97" s="717">
        <v>16</v>
      </c>
      <c r="H97" s="514">
        <v>677.03</v>
      </c>
      <c r="I97" s="146">
        <v>48193274.479999997</v>
      </c>
      <c r="J97" s="1190">
        <v>15</v>
      </c>
      <c r="K97" s="943">
        <v>1.28517463933181</v>
      </c>
      <c r="L97" s="1061">
        <v>1.2516552015864699</v>
      </c>
      <c r="M97" s="1148">
        <v>5</v>
      </c>
      <c r="N97" s="1008">
        <v>6</v>
      </c>
      <c r="O97" s="1008">
        <v>4</v>
      </c>
      <c r="P97" s="1008">
        <v>2</v>
      </c>
      <c r="Q97" s="1106">
        <v>0</v>
      </c>
      <c r="R97" s="949"/>
      <c r="S97" s="949"/>
      <c r="T97" s="949"/>
      <c r="U97" s="930"/>
    </row>
    <row r="98" spans="1:21">
      <c r="A98" s="1328" t="s">
        <v>471</v>
      </c>
      <c r="B98" s="514">
        <v>526.79999999999995</v>
      </c>
      <c r="C98" s="549">
        <v>38503634.56239</v>
      </c>
      <c r="D98" s="1174">
        <v>10</v>
      </c>
      <c r="E98" s="271">
        <v>206.32</v>
      </c>
      <c r="F98" s="52">
        <v>15624606.65</v>
      </c>
      <c r="G98" s="717">
        <v>5</v>
      </c>
      <c r="H98" s="514">
        <v>206.32</v>
      </c>
      <c r="I98" s="146">
        <v>15636605.859999999</v>
      </c>
      <c r="J98" s="1190">
        <v>5</v>
      </c>
      <c r="K98" s="943">
        <v>0.39164768413060003</v>
      </c>
      <c r="L98" s="1061">
        <v>0.40610726851417001</v>
      </c>
      <c r="M98" s="1148">
        <v>0</v>
      </c>
      <c r="N98" s="1008">
        <v>4</v>
      </c>
      <c r="O98" s="1008">
        <v>2</v>
      </c>
      <c r="P98" s="1008">
        <v>0</v>
      </c>
      <c r="Q98" s="1106">
        <v>0</v>
      </c>
      <c r="R98" s="949"/>
      <c r="S98" s="949"/>
      <c r="T98" s="949"/>
      <c r="U98" s="930"/>
    </row>
    <row r="99" spans="1:21">
      <c r="A99" s="1328" t="s">
        <v>20</v>
      </c>
      <c r="B99" s="514">
        <v>527.79999999999995</v>
      </c>
      <c r="C99" s="549">
        <v>38575189.74712</v>
      </c>
      <c r="D99" s="1174">
        <v>10</v>
      </c>
      <c r="E99" s="271">
        <v>268.24</v>
      </c>
      <c r="F99" s="52">
        <v>19870444.41</v>
      </c>
      <c r="G99" s="717">
        <v>8</v>
      </c>
      <c r="H99" s="514">
        <v>268.24</v>
      </c>
      <c r="I99" s="146">
        <v>19870444.41</v>
      </c>
      <c r="J99" s="1190">
        <v>8</v>
      </c>
      <c r="K99" s="943">
        <v>0.50822281167108796</v>
      </c>
      <c r="L99" s="1061">
        <v>0.51510944055650498</v>
      </c>
      <c r="M99" s="1148">
        <v>4</v>
      </c>
      <c r="N99" s="1008">
        <v>3</v>
      </c>
      <c r="O99" s="1008">
        <v>1</v>
      </c>
      <c r="P99" s="1008">
        <v>0</v>
      </c>
      <c r="Q99" s="1106">
        <v>0</v>
      </c>
      <c r="R99" s="949"/>
      <c r="S99" s="949"/>
      <c r="T99" s="949"/>
      <c r="U99" s="930"/>
    </row>
    <row r="100" spans="1:21" s="1214" customFormat="1">
      <c r="A100" s="1329" t="s">
        <v>63</v>
      </c>
      <c r="B100" s="514">
        <v>526.79999999999995</v>
      </c>
      <c r="C100" s="549">
        <v>38503634.56239</v>
      </c>
      <c r="D100" s="1174">
        <v>10</v>
      </c>
      <c r="E100" s="315">
        <v>463.97</v>
      </c>
      <c r="F100" s="363">
        <v>32442338.699999999</v>
      </c>
      <c r="G100" s="703">
        <v>10</v>
      </c>
      <c r="H100" s="1175">
        <v>463.97</v>
      </c>
      <c r="I100" s="403">
        <v>32288310.91</v>
      </c>
      <c r="J100" s="1191">
        <v>10</v>
      </c>
      <c r="K100" s="1192">
        <v>0.88073272589217899</v>
      </c>
      <c r="L100" s="1061">
        <v>0.83857826090887899</v>
      </c>
      <c r="M100" s="1148">
        <v>3</v>
      </c>
      <c r="N100" s="1008">
        <v>3</v>
      </c>
      <c r="O100" s="1008">
        <v>2</v>
      </c>
      <c r="P100" s="1008">
        <v>2</v>
      </c>
      <c r="Q100" s="1106">
        <v>0</v>
      </c>
      <c r="R100" s="949"/>
      <c r="S100" s="949"/>
      <c r="T100" s="949"/>
      <c r="U100" s="930"/>
    </row>
    <row r="101" spans="1:21">
      <c r="A101" s="1330" t="s">
        <v>114</v>
      </c>
      <c r="B101" s="1177">
        <v>2635</v>
      </c>
      <c r="C101" s="1178">
        <v>192589727.99667999</v>
      </c>
      <c r="D101" s="1179">
        <v>52</v>
      </c>
      <c r="E101" s="1172">
        <v>2349.2199999999998</v>
      </c>
      <c r="F101" s="1165">
        <v>170715716.09</v>
      </c>
      <c r="G101" s="1180">
        <v>57</v>
      </c>
      <c r="H101" s="1172">
        <v>2325.6799999999998</v>
      </c>
      <c r="I101" s="1165">
        <v>169040819.25</v>
      </c>
      <c r="J101" s="1193">
        <v>56</v>
      </c>
      <c r="K101" s="1201">
        <v>0.88261100569259998</v>
      </c>
      <c r="L101" s="1061">
        <v>0.87772500126753406</v>
      </c>
      <c r="M101" s="906">
        <v>18</v>
      </c>
      <c r="N101" s="1123">
        <v>22</v>
      </c>
      <c r="O101" s="1123">
        <v>14</v>
      </c>
      <c r="P101" s="1185">
        <v>5</v>
      </c>
      <c r="Q101" s="1167">
        <v>0</v>
      </c>
      <c r="R101" s="949"/>
      <c r="S101" s="949"/>
      <c r="T101" s="949"/>
      <c r="U101" s="930"/>
    </row>
    <row r="102" spans="1:21" ht="25.5">
      <c r="A102" s="1326" t="s">
        <v>115</v>
      </c>
      <c r="B102" s="723" t="s">
        <v>100</v>
      </c>
      <c r="C102" s="1086" t="s">
        <v>97</v>
      </c>
      <c r="D102" s="688" t="s">
        <v>95</v>
      </c>
      <c r="E102" s="1022" t="s">
        <v>494</v>
      </c>
      <c r="F102" s="138" t="s">
        <v>495</v>
      </c>
      <c r="G102" s="139" t="s">
        <v>496</v>
      </c>
      <c r="H102" s="980" t="s">
        <v>101</v>
      </c>
      <c r="I102" s="141" t="s">
        <v>98</v>
      </c>
      <c r="J102" s="141" t="s">
        <v>96</v>
      </c>
      <c r="K102" s="141" t="s">
        <v>715</v>
      </c>
      <c r="L102" s="1026" t="s">
        <v>716</v>
      </c>
      <c r="M102" s="1087">
        <v>0</v>
      </c>
      <c r="N102" s="1033">
        <v>1</v>
      </c>
      <c r="O102" s="1033">
        <v>2</v>
      </c>
      <c r="P102" s="1033">
        <v>3</v>
      </c>
      <c r="Q102" s="1104">
        <v>4</v>
      </c>
      <c r="R102" s="950"/>
      <c r="S102" s="950"/>
      <c r="T102" s="950"/>
      <c r="U102" s="951"/>
    </row>
    <row r="103" spans="1:21">
      <c r="A103" s="1327" t="s">
        <v>16</v>
      </c>
      <c r="B103" s="1132">
        <v>922.25</v>
      </c>
      <c r="C103" s="549">
        <v>67406404.798838004</v>
      </c>
      <c r="D103" s="1181">
        <v>15</v>
      </c>
      <c r="E103" s="997">
        <v>1341.33</v>
      </c>
      <c r="F103" s="146">
        <v>94078460.840000004</v>
      </c>
      <c r="G103" s="689">
        <v>32</v>
      </c>
      <c r="H103" s="877">
        <v>1248.72</v>
      </c>
      <c r="I103" s="146">
        <v>91875788.930000007</v>
      </c>
      <c r="J103" s="878">
        <v>30</v>
      </c>
      <c r="K103" s="221">
        <v>1.35399295201952</v>
      </c>
      <c r="L103" s="222">
        <v>1.3630127464027499</v>
      </c>
      <c r="M103" s="1148">
        <v>10</v>
      </c>
      <c r="N103" s="1008">
        <v>10</v>
      </c>
      <c r="O103" s="1008">
        <v>10</v>
      </c>
      <c r="P103" s="1008">
        <v>2</v>
      </c>
      <c r="Q103" s="1106">
        <v>0</v>
      </c>
      <c r="R103" s="949"/>
      <c r="S103" s="949"/>
      <c r="T103" s="949"/>
      <c r="U103" s="930"/>
    </row>
    <row r="104" spans="1:21">
      <c r="A104" s="1329" t="s">
        <v>575</v>
      </c>
      <c r="B104" s="362">
        <v>922.25</v>
      </c>
      <c r="C104" s="550">
        <v>67406404.798838004</v>
      </c>
      <c r="D104" s="1181">
        <v>15</v>
      </c>
      <c r="E104" s="999">
        <v>722.11</v>
      </c>
      <c r="F104" s="363">
        <v>51861795.020000003</v>
      </c>
      <c r="G104" s="366">
        <v>16</v>
      </c>
      <c r="H104" s="364">
        <v>667.44</v>
      </c>
      <c r="I104" s="363">
        <v>47684214.329999998</v>
      </c>
      <c r="J104" s="365">
        <v>15</v>
      </c>
      <c r="K104" s="360">
        <v>0.723708322038493</v>
      </c>
      <c r="L104" s="361">
        <v>0.70741370159563899</v>
      </c>
      <c r="M104" s="1148">
        <v>4</v>
      </c>
      <c r="N104" s="1008">
        <v>6</v>
      </c>
      <c r="O104" s="1008">
        <v>4</v>
      </c>
      <c r="P104" s="1008">
        <v>2</v>
      </c>
      <c r="Q104" s="1106">
        <v>0</v>
      </c>
      <c r="R104" s="949"/>
      <c r="S104" s="949"/>
      <c r="T104" s="949"/>
      <c r="U104" s="930"/>
    </row>
    <row r="105" spans="1:21">
      <c r="A105" s="1331" t="s">
        <v>114</v>
      </c>
      <c r="B105" s="1177">
        <v>1844.5</v>
      </c>
      <c r="C105" s="1178">
        <v>134812809.59767601</v>
      </c>
      <c r="D105" s="1123">
        <v>30</v>
      </c>
      <c r="E105" s="1171">
        <v>2063.44</v>
      </c>
      <c r="F105" s="1182">
        <v>145940255.86000001</v>
      </c>
      <c r="G105" s="1166">
        <v>48</v>
      </c>
      <c r="H105" s="1173">
        <v>1916.16</v>
      </c>
      <c r="I105" s="1182">
        <v>139560003.25999999</v>
      </c>
      <c r="J105" s="1182">
        <v>45</v>
      </c>
      <c r="K105" s="1183">
        <v>1.03885063702901</v>
      </c>
      <c r="L105" s="1184">
        <v>1.0352132239992</v>
      </c>
      <c r="M105" s="906">
        <v>14</v>
      </c>
      <c r="N105" s="1123">
        <v>16</v>
      </c>
      <c r="O105" s="1123">
        <v>14</v>
      </c>
      <c r="P105" s="1123">
        <v>4</v>
      </c>
      <c r="Q105" s="1167">
        <v>0</v>
      </c>
      <c r="R105" s="949"/>
      <c r="S105" s="949"/>
      <c r="T105" s="949"/>
      <c r="U105" s="930"/>
    </row>
    <row r="106" spans="1:21">
      <c r="A106" s="103"/>
      <c r="B106" s="65"/>
      <c r="C106" s="65"/>
      <c r="D106" s="65"/>
      <c r="E106" s="65"/>
      <c r="F106" s="949"/>
      <c r="G106" s="65"/>
      <c r="H106" s="65"/>
      <c r="I106" s="949"/>
      <c r="J106" s="65"/>
      <c r="K106" s="65"/>
      <c r="L106" s="65"/>
      <c r="M106" s="949"/>
      <c r="N106" s="65"/>
      <c r="O106" s="949"/>
      <c r="P106" s="949"/>
      <c r="Q106" s="86"/>
      <c r="R106" s="949"/>
      <c r="S106" s="949"/>
      <c r="T106" s="949"/>
      <c r="U106" s="930"/>
    </row>
    <row r="107" spans="1:21">
      <c r="A107" s="2301" t="s">
        <v>945</v>
      </c>
      <c r="B107" s="2302"/>
      <c r="C107" s="2302"/>
      <c r="D107" s="2302"/>
      <c r="E107" s="2302"/>
      <c r="F107" s="2302"/>
      <c r="G107" s="2302"/>
      <c r="H107" s="2303"/>
      <c r="I107" s="2303"/>
      <c r="J107" s="2303"/>
      <c r="K107" s="2303"/>
      <c r="L107" s="2303"/>
      <c r="M107" s="2303"/>
      <c r="N107" s="2304"/>
      <c r="O107" s="29"/>
      <c r="P107" s="29"/>
      <c r="Q107" s="29"/>
      <c r="R107" s="949"/>
      <c r="S107" s="949"/>
      <c r="T107" s="949"/>
      <c r="U107" s="930"/>
    </row>
    <row r="108" spans="1:21" ht="25.5">
      <c r="A108" s="1332" t="s">
        <v>1</v>
      </c>
      <c r="B108" s="859" t="s">
        <v>101</v>
      </c>
      <c r="C108" s="726" t="s">
        <v>98</v>
      </c>
      <c r="D108" s="708" t="s">
        <v>96</v>
      </c>
      <c r="E108" s="1057" t="s">
        <v>494</v>
      </c>
      <c r="F108" s="487" t="s">
        <v>495</v>
      </c>
      <c r="G108" s="524" t="s">
        <v>496</v>
      </c>
      <c r="H108" s="489" t="s">
        <v>946</v>
      </c>
      <c r="I108" s="490" t="s">
        <v>947</v>
      </c>
      <c r="J108" s="490">
        <v>0</v>
      </c>
      <c r="K108" s="490">
        <v>1</v>
      </c>
      <c r="L108" s="490">
        <v>2</v>
      </c>
      <c r="M108" s="490">
        <v>3</v>
      </c>
      <c r="N108" s="525">
        <v>4</v>
      </c>
      <c r="O108" s="949"/>
      <c r="P108" s="949"/>
      <c r="Q108" s="949"/>
      <c r="R108" s="930"/>
      <c r="U108" s="931"/>
    </row>
    <row r="109" spans="1:21">
      <c r="A109" s="1333" t="s">
        <v>73</v>
      </c>
      <c r="B109" s="291">
        <v>0</v>
      </c>
      <c r="C109" s="292">
        <v>0</v>
      </c>
      <c r="D109" s="694">
        <v>0</v>
      </c>
      <c r="E109" s="1015"/>
      <c r="F109" s="292"/>
      <c r="G109" s="720"/>
      <c r="H109" s="183">
        <v>0</v>
      </c>
      <c r="I109" s="184">
        <v>0</v>
      </c>
      <c r="J109" s="243">
        <v>0</v>
      </c>
      <c r="K109" s="243">
        <v>0</v>
      </c>
      <c r="L109" s="243">
        <v>0</v>
      </c>
      <c r="M109" s="243">
        <v>0</v>
      </c>
      <c r="N109" s="246">
        <v>0</v>
      </c>
      <c r="O109" s="949"/>
      <c r="P109" s="949"/>
      <c r="Q109" s="949"/>
      <c r="R109" s="930"/>
      <c r="U109" s="931"/>
    </row>
    <row r="110" spans="1:21">
      <c r="A110" s="1315" t="s">
        <v>77</v>
      </c>
      <c r="B110" s="271">
        <v>61.48</v>
      </c>
      <c r="C110" s="52">
        <v>4646301.22</v>
      </c>
      <c r="D110" s="717">
        <v>2</v>
      </c>
      <c r="E110" s="416"/>
      <c r="F110" s="52"/>
      <c r="G110" s="421"/>
      <c r="H110" s="202">
        <v>30.74</v>
      </c>
      <c r="I110" s="203">
        <v>2323150.61</v>
      </c>
      <c r="J110" s="226">
        <v>1</v>
      </c>
      <c r="K110" s="226">
        <v>1</v>
      </c>
      <c r="L110" s="226">
        <v>0</v>
      </c>
      <c r="M110" s="226">
        <v>0</v>
      </c>
      <c r="N110" s="227">
        <v>0</v>
      </c>
      <c r="O110" s="949"/>
      <c r="P110" s="949"/>
      <c r="Q110" s="949"/>
      <c r="R110" s="930"/>
      <c r="U110" s="931"/>
    </row>
    <row r="111" spans="1:21">
      <c r="A111" s="1315" t="s">
        <v>471</v>
      </c>
      <c r="B111" s="271">
        <v>54.67</v>
      </c>
      <c r="C111" s="52">
        <v>3984168.1</v>
      </c>
      <c r="D111" s="717">
        <v>1</v>
      </c>
      <c r="E111" s="416"/>
      <c r="F111" s="52"/>
      <c r="G111" s="421"/>
      <c r="H111" s="202">
        <v>27.335000000000001</v>
      </c>
      <c r="I111" s="203">
        <v>1992084.05</v>
      </c>
      <c r="J111" s="226">
        <v>0</v>
      </c>
      <c r="K111" s="226">
        <v>0</v>
      </c>
      <c r="L111" s="226">
        <v>1</v>
      </c>
      <c r="M111" s="226">
        <v>0</v>
      </c>
      <c r="N111" s="227">
        <v>0</v>
      </c>
      <c r="O111" s="949"/>
      <c r="P111" s="949"/>
      <c r="Q111" s="949"/>
      <c r="R111" s="930"/>
      <c r="U111" s="931"/>
    </row>
    <row r="112" spans="1:21">
      <c r="A112" s="1315" t="s">
        <v>20</v>
      </c>
      <c r="B112" s="271">
        <v>0</v>
      </c>
      <c r="C112" s="52">
        <v>0</v>
      </c>
      <c r="D112" s="717">
        <v>0</v>
      </c>
      <c r="E112" s="416"/>
      <c r="F112" s="52"/>
      <c r="G112" s="421"/>
      <c r="H112" s="202">
        <v>0</v>
      </c>
      <c r="I112" s="203">
        <v>0</v>
      </c>
      <c r="J112" s="226">
        <v>0</v>
      </c>
      <c r="K112" s="226">
        <v>0</v>
      </c>
      <c r="L112" s="226">
        <v>0</v>
      </c>
      <c r="M112" s="226">
        <v>0</v>
      </c>
      <c r="N112" s="227">
        <v>0</v>
      </c>
      <c r="O112" s="949"/>
      <c r="P112" s="949"/>
      <c r="Q112" s="949"/>
      <c r="R112" s="930"/>
      <c r="U112" s="931"/>
    </row>
    <row r="113" spans="1:21">
      <c r="A113" s="1315" t="s">
        <v>63</v>
      </c>
      <c r="B113" s="271">
        <v>0</v>
      </c>
      <c r="C113" s="52">
        <v>0</v>
      </c>
      <c r="D113" s="717">
        <v>0</v>
      </c>
      <c r="E113" s="416"/>
      <c r="F113" s="52"/>
      <c r="G113" s="421"/>
      <c r="H113" s="202">
        <v>0</v>
      </c>
      <c r="I113" s="203">
        <v>0</v>
      </c>
      <c r="J113" s="226">
        <v>0</v>
      </c>
      <c r="K113" s="226">
        <v>0</v>
      </c>
      <c r="L113" s="226">
        <v>0</v>
      </c>
      <c r="M113" s="226">
        <v>0</v>
      </c>
      <c r="N113" s="227">
        <v>0</v>
      </c>
      <c r="O113" s="949"/>
      <c r="P113" s="949"/>
      <c r="Q113" s="949"/>
      <c r="R113" s="930"/>
      <c r="U113" s="931"/>
    </row>
    <row r="114" spans="1:21">
      <c r="A114" s="1334" t="s">
        <v>29</v>
      </c>
      <c r="B114" s="1335">
        <v>91.83</v>
      </c>
      <c r="C114" s="1336">
        <v>6731542.5300000003</v>
      </c>
      <c r="D114" s="1337">
        <v>2</v>
      </c>
      <c r="E114" s="329">
        <v>91.83</v>
      </c>
      <c r="F114" s="958">
        <v>6731542.5300000003</v>
      </c>
      <c r="G114" s="983">
        <v>2</v>
      </c>
      <c r="H114" s="358">
        <v>45.914999999999999</v>
      </c>
      <c r="I114" s="359">
        <v>3365771.2650000001</v>
      </c>
      <c r="J114" s="330">
        <v>0</v>
      </c>
      <c r="K114" s="330">
        <v>1</v>
      </c>
      <c r="L114" s="330">
        <v>1</v>
      </c>
      <c r="M114" s="330">
        <v>0</v>
      </c>
      <c r="N114" s="331">
        <v>0</v>
      </c>
      <c r="O114" s="949"/>
      <c r="P114" s="949"/>
      <c r="Q114" s="949"/>
      <c r="R114" s="930"/>
      <c r="U114" s="931"/>
    </row>
    <row r="115" spans="1:21">
      <c r="A115" s="1338" t="s">
        <v>114</v>
      </c>
      <c r="B115" s="323">
        <v>207.98</v>
      </c>
      <c r="C115" s="429">
        <v>15362011.85</v>
      </c>
      <c r="D115" s="319">
        <v>5</v>
      </c>
      <c r="E115" s="323">
        <v>91.83</v>
      </c>
      <c r="F115" s="429">
        <v>6731542.5300000003</v>
      </c>
      <c r="G115" s="319">
        <v>2</v>
      </c>
      <c r="H115" s="323">
        <v>103.99</v>
      </c>
      <c r="I115" s="429">
        <v>7681005.9249999998</v>
      </c>
      <c r="J115" s="321">
        <v>1</v>
      </c>
      <c r="K115" s="321">
        <v>2</v>
      </c>
      <c r="L115" s="321">
        <v>2</v>
      </c>
      <c r="M115" s="321">
        <v>0</v>
      </c>
      <c r="N115" s="319">
        <v>0</v>
      </c>
      <c r="O115" s="949"/>
      <c r="P115" s="949"/>
      <c r="Q115" s="949"/>
      <c r="R115" s="930"/>
      <c r="U115" s="931"/>
    </row>
    <row r="116" spans="1:21" ht="25.5">
      <c r="A116" s="1339" t="s">
        <v>115</v>
      </c>
      <c r="B116" s="713" t="s">
        <v>101</v>
      </c>
      <c r="C116" s="1340" t="s">
        <v>98</v>
      </c>
      <c r="D116" s="715" t="s">
        <v>96</v>
      </c>
      <c r="E116" s="1341" t="s">
        <v>494</v>
      </c>
      <c r="F116" s="265" t="s">
        <v>495</v>
      </c>
      <c r="G116" s="1342" t="s">
        <v>496</v>
      </c>
      <c r="H116" s="309" t="s">
        <v>946</v>
      </c>
      <c r="I116" s="310" t="s">
        <v>947</v>
      </c>
      <c r="J116" s="310">
        <v>0</v>
      </c>
      <c r="K116" s="310">
        <v>1</v>
      </c>
      <c r="L116" s="310">
        <v>2</v>
      </c>
      <c r="M116" s="310">
        <v>3</v>
      </c>
      <c r="N116" s="1343">
        <v>4</v>
      </c>
      <c r="O116" s="949"/>
      <c r="P116" s="949"/>
      <c r="Q116" s="949"/>
      <c r="R116" s="930"/>
      <c r="U116" s="931"/>
    </row>
    <row r="117" spans="1:21">
      <c r="A117" s="1327" t="s">
        <v>16</v>
      </c>
      <c r="B117" s="1132">
        <v>92.61</v>
      </c>
      <c r="C117" s="549">
        <v>6681324.5999999996</v>
      </c>
      <c r="D117" s="1181">
        <v>2</v>
      </c>
      <c r="E117" s="997"/>
      <c r="F117" s="146"/>
      <c r="G117" s="689"/>
      <c r="H117" s="202">
        <v>46.305</v>
      </c>
      <c r="I117" s="203">
        <v>3340662.3</v>
      </c>
      <c r="J117" s="202">
        <v>0</v>
      </c>
      <c r="K117" s="226">
        <v>1</v>
      </c>
      <c r="L117" s="226">
        <v>1</v>
      </c>
      <c r="M117" s="226">
        <v>0</v>
      </c>
      <c r="N117" s="227">
        <v>0</v>
      </c>
      <c r="O117" s="949"/>
      <c r="P117" s="949"/>
      <c r="Q117" s="949"/>
      <c r="R117" s="930"/>
      <c r="U117" s="931"/>
    </row>
    <row r="118" spans="1:21">
      <c r="A118" s="1329" t="s">
        <v>575</v>
      </c>
      <c r="B118" s="362">
        <v>54.67</v>
      </c>
      <c r="C118" s="550">
        <v>3984168.1</v>
      </c>
      <c r="D118" s="1181">
        <v>1</v>
      </c>
      <c r="E118" s="999"/>
      <c r="F118" s="363"/>
      <c r="G118" s="366"/>
      <c r="H118" s="202">
        <v>27.335000000000001</v>
      </c>
      <c r="I118" s="203">
        <v>1992084.05</v>
      </c>
      <c r="J118" s="202">
        <v>0</v>
      </c>
      <c r="K118" s="226">
        <v>0</v>
      </c>
      <c r="L118" s="226">
        <v>1</v>
      </c>
      <c r="M118" s="226">
        <v>0</v>
      </c>
      <c r="N118" s="227">
        <v>0</v>
      </c>
      <c r="O118" s="949"/>
      <c r="P118" s="949"/>
      <c r="Q118" s="949"/>
      <c r="R118" s="930"/>
      <c r="U118" s="931"/>
    </row>
    <row r="119" spans="1:21">
      <c r="A119" s="1331" t="s">
        <v>114</v>
      </c>
      <c r="B119" s="1177">
        <v>147.28</v>
      </c>
      <c r="C119" s="1178">
        <v>10665492.699999999</v>
      </c>
      <c r="D119" s="1123">
        <v>3</v>
      </c>
      <c r="E119" s="1171">
        <v>0</v>
      </c>
      <c r="F119" s="1182">
        <v>0</v>
      </c>
      <c r="G119" s="1166">
        <v>0</v>
      </c>
      <c r="H119" s="1171">
        <v>73.64</v>
      </c>
      <c r="I119" s="1182">
        <v>5332746.3499999996</v>
      </c>
      <c r="J119" s="906">
        <v>0</v>
      </c>
      <c r="K119" s="1123">
        <v>1</v>
      </c>
      <c r="L119" s="1123">
        <v>2</v>
      </c>
      <c r="M119" s="1123">
        <v>0</v>
      </c>
      <c r="N119" s="1167">
        <v>0</v>
      </c>
      <c r="O119" s="949"/>
      <c r="P119" s="949"/>
      <c r="Q119" s="949"/>
      <c r="R119" s="930"/>
      <c r="U119" s="931"/>
    </row>
    <row r="120" spans="1:21">
      <c r="A120" s="103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T120" s="949"/>
      <c r="U120" s="930"/>
    </row>
    <row r="121" spans="1:21">
      <c r="A121" s="103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30"/>
    </row>
    <row r="122" spans="1:21">
      <c r="A122" s="103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30"/>
    </row>
    <row r="123" spans="1:21">
      <c r="A123" s="103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  <c r="U123" s="930"/>
    </row>
    <row r="124" spans="1:21">
      <c r="A124" s="103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30"/>
    </row>
    <row r="125" spans="1:21">
      <c r="A125" s="103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30"/>
    </row>
    <row r="126" spans="1:21">
      <c r="A126" s="103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30"/>
    </row>
    <row r="127" spans="1:21">
      <c r="A127" s="103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30"/>
    </row>
    <row r="128" spans="1:21">
      <c r="A128" s="103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30"/>
    </row>
    <row r="129" spans="1:21">
      <c r="A129" s="103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30"/>
    </row>
    <row r="130" spans="1:21">
      <c r="A130" s="103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30"/>
    </row>
    <row r="131" spans="1:21">
      <c r="A131" s="103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30"/>
    </row>
    <row r="132" spans="1:21">
      <c r="A132" s="103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30"/>
    </row>
    <row r="133" spans="1:21">
      <c r="A133" s="103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30"/>
    </row>
    <row r="134" spans="1:21">
      <c r="A134" s="103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30"/>
    </row>
    <row r="135" spans="1:21">
      <c r="A135" s="103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103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103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103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103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103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103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103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103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103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103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103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103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103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103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103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103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103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103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103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103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103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103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103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103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103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103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103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103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103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103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103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103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103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103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103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103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103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103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103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103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103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103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103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103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103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103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103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103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103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103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103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103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103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103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103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103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103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103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103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103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103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103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103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103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103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103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103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103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103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103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103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103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103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103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103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103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103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103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103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103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103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103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103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103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103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103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103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103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103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103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103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103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103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103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103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103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103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103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103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103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103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103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103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103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103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2">
      <c r="A241" s="103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2">
      <c r="A242" s="103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2">
      <c r="A243" s="103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2">
      <c r="A244" s="103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2">
      <c r="A245" s="103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2">
      <c r="A246" s="103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2">
      <c r="A247" s="103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  <c r="V247" s="931" t="s">
        <v>830</v>
      </c>
    </row>
    <row r="248" spans="1:22">
      <c r="A248" s="103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U248" s="930"/>
    </row>
    <row r="249" spans="1:22">
      <c r="A249" s="103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U249" s="930"/>
    </row>
  </sheetData>
  <sheetProtection formatCells="0" formatColumns="0" formatRows="0" sort="0" autoFilter="0" pivotTables="0"/>
  <mergeCells count="8">
    <mergeCell ref="A94:B94"/>
    <mergeCell ref="D94:P94"/>
    <mergeCell ref="A107:N107"/>
    <mergeCell ref="A1:S1"/>
    <mergeCell ref="A68:B68"/>
    <mergeCell ref="D68:P68"/>
    <mergeCell ref="A81:B81"/>
    <mergeCell ref="D81:P81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E00-000000000000}">
          <x14:formula1>
            <xm:f>Списки!$C$3:$C$7</xm:f>
          </x14:formula1>
          <xm:sqref>T20 T30 R48:T48 D3:D66 T50:T51 R49:S62 R3:S47</xm:sqref>
        </x14:dataValidation>
        <x14:dataValidation type="list" allowBlank="1" showInputMessage="1" showErrorMessage="1" xr:uid="{00000000-0002-0000-0E00-000001000000}">
          <x14:formula1>
            <xm:f>Списки!$C$3:$C$10</xm:f>
          </x14:formula1>
          <xm:sqref>T49 T3:T19 T21:T29 T31:T47 T52:T62</xm:sqref>
        </x14:dataValidation>
        <x14:dataValidation type="list" allowBlank="1" showInputMessage="1" showErrorMessage="1" xr:uid="{00000000-0002-0000-0E00-000002000000}">
          <x14:formula1>
            <xm:f>Списки!$D$2:$D$7</xm:f>
          </x14:formula1>
          <xm:sqref>F3:F66</xm:sqref>
        </x14:dataValidation>
        <x14:dataValidation type="list" allowBlank="1" showInputMessage="1" showErrorMessage="1" xr:uid="{00000000-0002-0000-0E00-000003000000}">
          <x14:formula1>
            <xm:f>Списки!$B$2:$B$5</xm:f>
          </x14:formula1>
          <xm:sqref>G3:G66</xm:sqref>
        </x14:dataValidation>
        <x14:dataValidation type="list" allowBlank="1" showInputMessage="1" showErrorMessage="1" xr:uid="{00000000-0002-0000-0E00-000004000000}">
          <x14:formula1>
            <xm:f>Списки!$E$2:$E$7</xm:f>
          </x14:formula1>
          <xm:sqref>H3:H66</xm:sqref>
        </x14:dataValidation>
        <x14:dataValidation type="list" allowBlank="1" showInputMessage="1" showErrorMessage="1" xr:uid="{00000000-0002-0000-0E00-000005000000}">
          <x14:formula1>
            <xm:f>Списки!$G$2:$G$3</xm:f>
          </x14:formula1>
          <xm:sqref>L3:L28 L30:L62</xm:sqref>
        </x14:dataValidation>
        <x14:dataValidation type="list" allowBlank="1" showInputMessage="1" showErrorMessage="1" xr:uid="{00000000-0002-0000-0E00-000006000000}">
          <x14:formula1>
            <xm:f>Списки!$F$2:$F$3</xm:f>
          </x14:formula1>
          <xm:sqref>N3:N66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7">
    <pageSetUpPr fitToPage="1"/>
  </sheetPr>
  <dimension ref="A1:U279"/>
  <sheetViews>
    <sheetView topLeftCell="A34" workbookViewId="0">
      <selection activeCell="F122" sqref="F122"/>
    </sheetView>
  </sheetViews>
  <sheetFormatPr defaultColWidth="9.140625" defaultRowHeight="12.75" outlineLevelRow="1"/>
  <cols>
    <col min="1" max="1" width="9.85546875" style="1240" customWidth="1"/>
    <col min="2" max="2" width="10.42578125" style="1240" customWidth="1"/>
    <col min="3" max="3" width="13.85546875" style="1240" customWidth="1"/>
    <col min="4" max="4" width="11.28515625" style="1240" customWidth="1"/>
    <col min="5" max="5" width="8.42578125" style="1240" customWidth="1"/>
    <col min="6" max="6" width="18.28515625" style="1240" customWidth="1"/>
    <col min="7" max="7" width="9.28515625" style="1240" customWidth="1"/>
    <col min="8" max="8" width="13.28515625" style="1240" customWidth="1"/>
    <col min="9" max="9" width="15.140625" style="1240" customWidth="1"/>
    <col min="10" max="10" width="8.5703125" style="1240" customWidth="1"/>
    <col min="11" max="11" width="13.28515625" style="1240" customWidth="1"/>
    <col min="12" max="12" width="12.85546875" style="1240" customWidth="1"/>
    <col min="13" max="13" width="11.140625" style="1240" customWidth="1"/>
    <col min="14" max="14" width="14.140625" style="1240" customWidth="1"/>
    <col min="15" max="15" width="25.5703125" style="1240" customWidth="1"/>
    <col min="16" max="16" width="31.42578125" style="1240" customWidth="1"/>
    <col min="17" max="17" width="45.140625" style="1240" customWidth="1"/>
    <col min="18" max="18" width="17.5703125" style="1240" customWidth="1"/>
    <col min="19" max="19" width="12.5703125" style="1240" customWidth="1"/>
    <col min="20" max="20" width="10.85546875" style="1240" customWidth="1"/>
    <col min="21" max="21" width="14.28515625" style="1240" customWidth="1"/>
    <col min="22" max="16384" width="9.140625" style="1240"/>
  </cols>
  <sheetData>
    <row r="1" spans="1:21">
      <c r="A1" s="2305">
        <v>44500</v>
      </c>
      <c r="B1" s="2306"/>
      <c r="C1" s="2306"/>
      <c r="D1" s="2306"/>
      <c r="E1" s="2306"/>
      <c r="F1" s="2306"/>
      <c r="G1" s="2306"/>
      <c r="H1" s="2306"/>
      <c r="I1" s="2306"/>
      <c r="J1" s="2306"/>
      <c r="K1" s="2306"/>
      <c r="L1" s="2306"/>
      <c r="M1" s="2306"/>
      <c r="N1" s="2306"/>
      <c r="O1" s="2306"/>
      <c r="P1" s="2306"/>
      <c r="Q1" s="2306"/>
      <c r="R1" s="2306"/>
      <c r="S1" s="2306"/>
    </row>
    <row r="2" spans="1:21" ht="30" customHeight="1" outlineLevel="1">
      <c r="A2" s="1241" t="s">
        <v>48</v>
      </c>
      <c r="B2" s="1241" t="s">
        <v>52</v>
      </c>
      <c r="C2" s="1241" t="s">
        <v>49</v>
      </c>
      <c r="D2" s="1241" t="s">
        <v>1</v>
      </c>
      <c r="E2" s="1241" t="s">
        <v>53</v>
      </c>
      <c r="F2" s="1241" t="s">
        <v>576</v>
      </c>
      <c r="G2" s="1241" t="s">
        <v>120</v>
      </c>
      <c r="H2" s="1241" t="s">
        <v>3</v>
      </c>
      <c r="I2" s="1257" t="s">
        <v>54</v>
      </c>
      <c r="J2" s="1241" t="s">
        <v>51</v>
      </c>
      <c r="K2" s="1258" t="s">
        <v>55</v>
      </c>
      <c r="L2" s="1241" t="s">
        <v>56</v>
      </c>
      <c r="M2" s="1241" t="s">
        <v>57</v>
      </c>
      <c r="N2" s="1241" t="s">
        <v>58</v>
      </c>
      <c r="O2" s="1241" t="s">
        <v>59</v>
      </c>
      <c r="P2" s="1241" t="s">
        <v>60</v>
      </c>
      <c r="Q2" s="1241" t="s">
        <v>265</v>
      </c>
      <c r="R2" s="1241" t="s">
        <v>62</v>
      </c>
      <c r="S2" s="1241" t="s">
        <v>500</v>
      </c>
      <c r="T2" s="1241" t="s">
        <v>501</v>
      </c>
      <c r="U2" s="1257" t="s">
        <v>578</v>
      </c>
    </row>
    <row r="3" spans="1:21" ht="11.25" customHeight="1" outlineLevel="1">
      <c r="A3" s="54">
        <v>1</v>
      </c>
      <c r="B3" s="54">
        <v>418</v>
      </c>
      <c r="C3" s="54">
        <v>16353</v>
      </c>
      <c r="D3" s="54" t="s">
        <v>73</v>
      </c>
      <c r="E3" s="1242">
        <v>23.54</v>
      </c>
      <c r="F3" s="1242" t="s">
        <v>9</v>
      </c>
      <c r="G3" s="1243" t="s">
        <v>27</v>
      </c>
      <c r="H3" s="54" t="s">
        <v>84</v>
      </c>
      <c r="I3" s="1259">
        <v>1523861.9</v>
      </c>
      <c r="J3" s="54">
        <v>0</v>
      </c>
      <c r="K3" s="54" t="s">
        <v>85</v>
      </c>
      <c r="L3" s="54" t="s">
        <v>12</v>
      </c>
      <c r="M3" s="1260"/>
      <c r="N3" s="1260" t="s">
        <v>11</v>
      </c>
      <c r="O3" s="54" t="s">
        <v>724</v>
      </c>
      <c r="P3" s="1261"/>
      <c r="Q3" s="1261" t="s">
        <v>948</v>
      </c>
      <c r="R3" s="1235" t="s">
        <v>73</v>
      </c>
      <c r="S3" s="1235" t="s">
        <v>73</v>
      </c>
      <c r="T3" s="1235" t="s">
        <v>73</v>
      </c>
      <c r="U3" s="1259"/>
    </row>
    <row r="4" spans="1:21" ht="11.25" customHeight="1" outlineLevel="1">
      <c r="A4" s="54">
        <v>2</v>
      </c>
      <c r="B4" s="54">
        <v>434</v>
      </c>
      <c r="C4" s="54">
        <v>16522</v>
      </c>
      <c r="D4" s="54" t="s">
        <v>73</v>
      </c>
      <c r="E4" s="1242">
        <v>23.54</v>
      </c>
      <c r="F4" s="1242" t="s">
        <v>9</v>
      </c>
      <c r="G4" s="1243" t="s">
        <v>27</v>
      </c>
      <c r="H4" s="54" t="s">
        <v>84</v>
      </c>
      <c r="I4" s="1259">
        <v>1523861.9</v>
      </c>
      <c r="J4" s="54">
        <v>0</v>
      </c>
      <c r="K4" s="1250" t="s">
        <v>85</v>
      </c>
      <c r="L4" s="54" t="s">
        <v>12</v>
      </c>
      <c r="M4" s="1260"/>
      <c r="N4" s="1260" t="s">
        <v>11</v>
      </c>
      <c r="O4" s="54" t="s">
        <v>724</v>
      </c>
      <c r="P4" s="1235"/>
      <c r="Q4" s="1261" t="s">
        <v>948</v>
      </c>
      <c r="R4" s="1235" t="s">
        <v>73</v>
      </c>
      <c r="S4" s="1235" t="s">
        <v>73</v>
      </c>
      <c r="T4" s="1235" t="s">
        <v>73</v>
      </c>
      <c r="U4" s="1259"/>
    </row>
    <row r="5" spans="1:21" outlineLevel="1">
      <c r="A5" s="54">
        <v>3</v>
      </c>
      <c r="B5" s="54"/>
      <c r="C5" s="54"/>
      <c r="D5" s="54"/>
      <c r="E5" s="1242"/>
      <c r="F5" s="1242"/>
      <c r="G5" s="1243"/>
      <c r="H5" s="54"/>
      <c r="I5" s="1259"/>
      <c r="J5" s="54"/>
      <c r="K5" s="54"/>
      <c r="L5" s="54"/>
      <c r="M5" s="1260"/>
      <c r="N5" s="1260"/>
      <c r="O5" s="54"/>
      <c r="P5" s="1235"/>
      <c r="Q5" s="1261"/>
      <c r="R5" s="1235"/>
      <c r="S5" s="1235"/>
      <c r="T5" s="1235"/>
      <c r="U5" s="1259"/>
    </row>
    <row r="6" spans="1:21" ht="11.25" customHeight="1" outlineLevel="1">
      <c r="A6" s="54">
        <v>4</v>
      </c>
      <c r="B6" s="54"/>
      <c r="C6" s="54"/>
      <c r="D6" s="54"/>
      <c r="E6" s="1242"/>
      <c r="F6" s="1242"/>
      <c r="G6" s="54"/>
      <c r="H6" s="54"/>
      <c r="I6" s="1259"/>
      <c r="J6" s="54"/>
      <c r="K6" s="1250"/>
      <c r="L6" s="54"/>
      <c r="M6" s="1260"/>
      <c r="N6" s="1260"/>
      <c r="O6" s="54"/>
      <c r="P6" s="1261"/>
      <c r="Q6" s="1261"/>
      <c r="R6" s="1235"/>
      <c r="S6" s="1235"/>
      <c r="T6" s="1235"/>
      <c r="U6" s="1259"/>
    </row>
    <row r="7" spans="1:21" ht="11.25" customHeight="1" outlineLevel="1">
      <c r="A7" s="54">
        <v>5</v>
      </c>
      <c r="B7" s="54"/>
      <c r="C7" s="54"/>
      <c r="D7" s="54"/>
      <c r="E7" s="1242"/>
      <c r="F7" s="1242"/>
      <c r="G7" s="54"/>
      <c r="H7" s="54"/>
      <c r="I7" s="1262"/>
      <c r="J7" s="54"/>
      <c r="K7" s="54"/>
      <c r="L7" s="54"/>
      <c r="M7" s="1260"/>
      <c r="N7" s="1260"/>
      <c r="O7" s="54"/>
      <c r="P7" s="1261"/>
      <c r="Q7" s="1261"/>
      <c r="R7" s="1235"/>
      <c r="S7" s="1235"/>
      <c r="T7" s="1235"/>
      <c r="U7" s="1259"/>
    </row>
    <row r="8" spans="1:21" ht="11.25" customHeight="1" outlineLevel="1">
      <c r="A8" s="54">
        <v>6</v>
      </c>
      <c r="B8" s="54"/>
      <c r="C8" s="54"/>
      <c r="D8" s="54"/>
      <c r="E8" s="1242"/>
      <c r="F8" s="1242"/>
      <c r="G8" s="54"/>
      <c r="H8" s="54"/>
      <c r="I8" s="1262"/>
      <c r="J8" s="54"/>
      <c r="K8" s="1250"/>
      <c r="L8" s="54"/>
      <c r="M8" s="1260"/>
      <c r="N8" s="1260"/>
      <c r="O8" s="54"/>
      <c r="P8" s="1261"/>
      <c r="Q8" s="1261"/>
      <c r="R8" s="54"/>
      <c r="S8" s="54"/>
      <c r="T8" s="54"/>
      <c r="U8" s="1259"/>
    </row>
    <row r="9" spans="1:21" ht="11.25" customHeight="1" outlineLevel="1">
      <c r="A9" s="54">
        <v>7</v>
      </c>
      <c r="B9" s="54"/>
      <c r="C9" s="54"/>
      <c r="D9" s="54"/>
      <c r="E9" s="1242"/>
      <c r="F9" s="1242"/>
      <c r="G9" s="54"/>
      <c r="H9" s="54"/>
      <c r="I9" s="1262"/>
      <c r="J9" s="54"/>
      <c r="K9" s="54"/>
      <c r="L9" s="54"/>
      <c r="M9" s="1260"/>
      <c r="N9" s="1260"/>
      <c r="O9" s="54"/>
      <c r="P9" s="1235"/>
      <c r="Q9" s="1261"/>
      <c r="R9" s="1235"/>
      <c r="S9" s="1235"/>
      <c r="T9" s="1235"/>
      <c r="U9" s="1259"/>
    </row>
    <row r="10" spans="1:21" ht="11.25" customHeight="1" outlineLevel="1">
      <c r="A10" s="54">
        <v>8</v>
      </c>
      <c r="B10" s="54"/>
      <c r="C10" s="54"/>
      <c r="D10" s="54"/>
      <c r="E10" s="1242"/>
      <c r="F10" s="1242"/>
      <c r="G10" s="54"/>
      <c r="H10" s="54"/>
      <c r="I10" s="1259"/>
      <c r="J10" s="54"/>
      <c r="K10" s="54"/>
      <c r="L10" s="54"/>
      <c r="M10" s="1260"/>
      <c r="N10" s="1260"/>
      <c r="O10" s="54"/>
      <c r="P10" s="1235"/>
      <c r="Q10" s="1261"/>
      <c r="R10" s="1235"/>
      <c r="S10" s="1235"/>
      <c r="T10" s="1235"/>
      <c r="U10" s="1259"/>
    </row>
    <row r="11" spans="1:21" ht="11.25" customHeight="1" outlineLevel="1">
      <c r="A11" s="54">
        <v>9</v>
      </c>
      <c r="B11" s="54"/>
      <c r="C11" s="54"/>
      <c r="D11" s="54"/>
      <c r="E11" s="1242"/>
      <c r="F11" s="1242"/>
      <c r="G11" s="54"/>
      <c r="H11" s="54"/>
      <c r="I11" s="1262"/>
      <c r="J11" s="54"/>
      <c r="K11" s="54"/>
      <c r="L11" s="54"/>
      <c r="M11" s="1260"/>
      <c r="N11" s="1260"/>
      <c r="O11" s="54"/>
      <c r="P11" s="1261"/>
      <c r="Q11" s="1261"/>
      <c r="R11" s="1235"/>
      <c r="S11" s="1235"/>
      <c r="T11" s="1235"/>
      <c r="U11" s="1259"/>
    </row>
    <row r="12" spans="1:21" ht="11.25" customHeight="1" outlineLevel="1">
      <c r="A12" s="54">
        <v>10</v>
      </c>
      <c r="B12" s="54"/>
      <c r="C12" s="54"/>
      <c r="D12" s="1243"/>
      <c r="E12" s="1242"/>
      <c r="F12" s="1244"/>
      <c r="G12" s="1243"/>
      <c r="H12" s="1243"/>
      <c r="I12" s="1262"/>
      <c r="J12" s="54"/>
      <c r="K12" s="1243"/>
      <c r="L12" s="1243"/>
      <c r="M12" s="1260"/>
      <c r="N12" s="1263"/>
      <c r="O12" s="1243"/>
      <c r="P12" s="1264"/>
      <c r="Q12" s="1264"/>
      <c r="R12" s="1261"/>
      <c r="S12" s="1246"/>
      <c r="T12" s="1246"/>
      <c r="U12" s="1259"/>
    </row>
    <row r="13" spans="1:21" ht="11.25" customHeight="1" outlineLevel="1">
      <c r="A13" s="54">
        <v>11</v>
      </c>
      <c r="B13" s="54"/>
      <c r="C13" s="54"/>
      <c r="D13" s="1243"/>
      <c r="E13" s="1242"/>
      <c r="F13" s="1244"/>
      <c r="G13" s="1243"/>
      <c r="H13" s="1243"/>
      <c r="I13" s="1262"/>
      <c r="J13" s="54"/>
      <c r="K13" s="1243"/>
      <c r="L13" s="1243"/>
      <c r="M13" s="1260"/>
      <c r="N13" s="1263"/>
      <c r="O13" s="1243"/>
      <c r="P13" s="1264"/>
      <c r="Q13" s="1264"/>
      <c r="R13" s="1264"/>
      <c r="S13" s="1246"/>
      <c r="T13" s="1246"/>
      <c r="U13" s="1259"/>
    </row>
    <row r="14" spans="1:21" ht="11.25" customHeight="1" outlineLevel="1">
      <c r="A14" s="54">
        <v>12</v>
      </c>
      <c r="B14" s="54"/>
      <c r="C14" s="54"/>
      <c r="D14" s="1243"/>
      <c r="E14" s="1242"/>
      <c r="F14" s="1244"/>
      <c r="G14" s="1243"/>
      <c r="H14" s="1243"/>
      <c r="I14" s="1262"/>
      <c r="J14" s="54"/>
      <c r="K14" s="1243"/>
      <c r="L14" s="1243"/>
      <c r="M14" s="1260"/>
      <c r="N14" s="1263"/>
      <c r="O14" s="1243"/>
      <c r="P14" s="1264"/>
      <c r="Q14" s="1264"/>
      <c r="R14" s="1264"/>
      <c r="S14" s="1246"/>
      <c r="T14" s="1246"/>
      <c r="U14" s="1259"/>
    </row>
    <row r="15" spans="1:21" ht="11.25" customHeight="1" outlineLevel="1">
      <c r="A15" s="54">
        <v>13</v>
      </c>
      <c r="B15" s="54"/>
      <c r="C15" s="54"/>
      <c r="D15" s="1243"/>
      <c r="E15" s="1242"/>
      <c r="F15" s="1244"/>
      <c r="G15" s="1243"/>
      <c r="H15" s="1243"/>
      <c r="I15" s="1262"/>
      <c r="J15" s="54"/>
      <c r="K15" s="1243"/>
      <c r="L15" s="1243"/>
      <c r="M15" s="1260"/>
      <c r="N15" s="1263"/>
      <c r="O15" s="1243"/>
      <c r="P15" s="1261"/>
      <c r="Q15" s="1264"/>
      <c r="R15" s="1264"/>
      <c r="S15" s="1246"/>
      <c r="T15" s="1246"/>
      <c r="U15" s="1259"/>
    </row>
    <row r="16" spans="1:21" ht="11.25" customHeight="1" outlineLevel="1">
      <c r="A16" s="54">
        <v>14</v>
      </c>
      <c r="B16" s="54"/>
      <c r="C16" s="54"/>
      <c r="D16" s="1243"/>
      <c r="E16" s="1242"/>
      <c r="F16" s="1244"/>
      <c r="G16" s="1243"/>
      <c r="H16" s="1243"/>
      <c r="I16" s="1262"/>
      <c r="J16" s="54"/>
      <c r="K16" s="1243"/>
      <c r="L16" s="1243"/>
      <c r="M16" s="1260"/>
      <c r="N16" s="1263"/>
      <c r="O16" s="1243"/>
      <c r="P16" s="1261"/>
      <c r="Q16" s="1264"/>
      <c r="R16" s="1264"/>
      <c r="S16" s="1246"/>
      <c r="T16" s="1246"/>
      <c r="U16" s="1259"/>
    </row>
    <row r="17" spans="1:21" ht="11.25" customHeight="1" outlineLevel="1">
      <c r="A17" s="54">
        <v>15</v>
      </c>
      <c r="B17" s="54"/>
      <c r="C17" s="54"/>
      <c r="D17" s="1243"/>
      <c r="E17" s="1242"/>
      <c r="F17" s="1244"/>
      <c r="G17" s="1243"/>
      <c r="H17" s="1243"/>
      <c r="I17" s="1262"/>
      <c r="J17" s="54"/>
      <c r="K17" s="1243"/>
      <c r="L17" s="1243"/>
      <c r="M17" s="1260"/>
      <c r="N17" s="1263"/>
      <c r="O17" s="1243"/>
      <c r="P17" s="1261"/>
      <c r="Q17" s="1264"/>
      <c r="R17" s="1264"/>
      <c r="S17" s="1246"/>
      <c r="T17" s="1246"/>
      <c r="U17" s="1259"/>
    </row>
    <row r="18" spans="1:21" ht="11.25" customHeight="1" outlineLevel="1">
      <c r="A18" s="54">
        <v>16</v>
      </c>
      <c r="B18" s="54"/>
      <c r="C18" s="54"/>
      <c r="D18" s="1243"/>
      <c r="E18" s="1242"/>
      <c r="F18" s="1244"/>
      <c r="G18" s="1243"/>
      <c r="H18" s="1243"/>
      <c r="I18" s="1262"/>
      <c r="J18" s="54"/>
      <c r="K18" s="1243"/>
      <c r="L18" s="1243"/>
      <c r="M18" s="1260"/>
      <c r="N18" s="1263"/>
      <c r="O18" s="1243"/>
      <c r="P18" s="1235"/>
      <c r="Q18" s="1264"/>
      <c r="R18" s="1261"/>
      <c r="S18" s="1235"/>
      <c r="T18" s="1235"/>
      <c r="U18" s="1259"/>
    </row>
    <row r="19" spans="1:21" ht="11.25" customHeight="1" outlineLevel="1">
      <c r="A19" s="54">
        <v>17</v>
      </c>
      <c r="B19" s="54"/>
      <c r="C19" s="54"/>
      <c r="D19" s="54"/>
      <c r="E19" s="1242"/>
      <c r="F19" s="1242"/>
      <c r="G19" s="54"/>
      <c r="H19" s="54"/>
      <c r="I19" s="1259"/>
      <c r="J19" s="54"/>
      <c r="K19" s="54"/>
      <c r="L19" s="54"/>
      <c r="M19" s="1235"/>
      <c r="N19" s="1260"/>
      <c r="O19" s="54"/>
      <c r="P19" s="1261"/>
      <c r="Q19" s="1261"/>
      <c r="R19" s="1235"/>
      <c r="S19" s="1235"/>
      <c r="T19" s="1235"/>
      <c r="U19" s="1259"/>
    </row>
    <row r="20" spans="1:21" outlineLevel="1">
      <c r="A20" s="54">
        <v>18</v>
      </c>
      <c r="B20" s="54"/>
      <c r="C20" s="54"/>
      <c r="D20" s="54"/>
      <c r="E20" s="1242"/>
      <c r="F20" s="1235"/>
      <c r="G20" s="54"/>
      <c r="H20" s="54"/>
      <c r="I20" s="1259"/>
      <c r="J20" s="1247"/>
      <c r="K20" s="54"/>
      <c r="L20" s="54"/>
      <c r="M20" s="1260"/>
      <c r="N20" s="1260"/>
      <c r="O20" s="1260"/>
      <c r="P20" s="1235"/>
      <c r="Q20" s="1235"/>
      <c r="R20" s="1261"/>
      <c r="S20" s="1261"/>
      <c r="T20" s="1261"/>
      <c r="U20" s="1259"/>
    </row>
    <row r="21" spans="1:21" outlineLevel="1">
      <c r="A21" s="54">
        <v>19</v>
      </c>
      <c r="B21" s="54"/>
      <c r="C21" s="54"/>
      <c r="D21" s="54"/>
      <c r="E21" s="1242"/>
      <c r="F21" s="1235"/>
      <c r="G21" s="54"/>
      <c r="H21" s="54"/>
      <c r="I21" s="1259"/>
      <c r="J21" s="1247"/>
      <c r="K21" s="54"/>
      <c r="L21" s="54"/>
      <c r="M21" s="1260"/>
      <c r="N21" s="1260"/>
      <c r="O21" s="1260"/>
      <c r="P21" s="1235"/>
      <c r="Q21" s="1235"/>
      <c r="R21" s="1261"/>
      <c r="S21" s="1261"/>
      <c r="T21" s="1261"/>
      <c r="U21" s="1259"/>
    </row>
    <row r="22" spans="1:21" s="1235" customFormat="1" ht="11.25" customHeight="1" outlineLevel="1">
      <c r="A22" s="54">
        <v>20</v>
      </c>
      <c r="B22" s="54"/>
      <c r="C22" s="54"/>
      <c r="D22" s="54"/>
      <c r="E22" s="1242"/>
      <c r="G22" s="54"/>
      <c r="H22" s="54"/>
      <c r="I22" s="1259"/>
      <c r="J22" s="1247"/>
      <c r="K22" s="54"/>
      <c r="L22" s="54"/>
      <c r="M22" s="1260"/>
      <c r="N22" s="1260"/>
      <c r="O22" s="1260"/>
      <c r="Q22" s="1264"/>
      <c r="R22" s="1261"/>
      <c r="S22" s="1261"/>
      <c r="T22" s="1261"/>
      <c r="U22" s="1259"/>
    </row>
    <row r="23" spans="1:21" ht="11.25" customHeight="1" outlineLevel="1">
      <c r="A23" s="54">
        <v>21</v>
      </c>
      <c r="B23" s="54"/>
      <c r="C23" s="54"/>
      <c r="D23" s="54"/>
      <c r="E23" s="1242"/>
      <c r="F23" s="54"/>
      <c r="G23" s="54"/>
      <c r="H23" s="1245"/>
      <c r="I23" s="1245"/>
      <c r="J23" s="54"/>
      <c r="K23" s="54"/>
      <c r="L23" s="54"/>
      <c r="M23" s="1260"/>
      <c r="N23" s="1260"/>
      <c r="O23" s="54"/>
      <c r="P23" s="1235"/>
      <c r="Q23" s="1235"/>
      <c r="R23" s="1235"/>
      <c r="S23" s="1235"/>
      <c r="T23" s="1235"/>
      <c r="U23" s="1259"/>
    </row>
    <row r="24" spans="1:21" ht="12.75" customHeight="1" outlineLevel="1">
      <c r="A24" s="54">
        <v>22</v>
      </c>
      <c r="B24" s="54"/>
      <c r="C24" s="54"/>
      <c r="D24" s="54"/>
      <c r="E24" s="1242"/>
      <c r="F24" s="1235"/>
      <c r="G24" s="54"/>
      <c r="H24" s="54"/>
      <c r="I24" s="1259"/>
      <c r="J24" s="54"/>
      <c r="K24" s="54"/>
      <c r="L24" s="54"/>
      <c r="M24" s="1260"/>
      <c r="N24" s="1260"/>
      <c r="O24" s="1235"/>
      <c r="P24" s="1235"/>
      <c r="Q24" s="1261"/>
      <c r="R24" s="1235"/>
      <c r="S24" s="1235"/>
      <c r="T24" s="1235"/>
      <c r="U24" s="1259"/>
    </row>
    <row r="25" spans="1:21" outlineLevel="1">
      <c r="A25" s="54">
        <v>23</v>
      </c>
      <c r="B25" s="54"/>
      <c r="C25" s="54"/>
      <c r="D25" s="54"/>
      <c r="E25" s="1242"/>
      <c r="F25" s="1242"/>
      <c r="G25" s="54"/>
      <c r="H25" s="54"/>
      <c r="I25" s="1259"/>
      <c r="J25" s="54"/>
      <c r="K25" s="54"/>
      <c r="L25" s="54"/>
      <c r="M25" s="1265"/>
      <c r="N25" s="1260"/>
      <c r="O25" s="1235"/>
      <c r="P25" s="1235"/>
      <c r="Q25" s="1235"/>
      <c r="R25" s="1235"/>
      <c r="S25" s="1235"/>
      <c r="T25" s="1235"/>
      <c r="U25" s="1259"/>
    </row>
    <row r="26" spans="1:21" outlineLevel="1">
      <c r="A26" s="54">
        <v>24</v>
      </c>
      <c r="B26" s="54"/>
      <c r="C26" s="1242"/>
      <c r="D26" s="54"/>
      <c r="E26" s="1242"/>
      <c r="F26" s="1235"/>
      <c r="G26" s="54"/>
      <c r="H26" s="54"/>
      <c r="I26" s="1266"/>
      <c r="J26" s="54"/>
      <c r="K26" s="54"/>
      <c r="L26" s="54"/>
      <c r="M26" s="1265"/>
      <c r="N26" s="1260"/>
      <c r="O26" s="1235"/>
      <c r="P26" s="1235"/>
      <c r="Q26" s="1235"/>
      <c r="R26" s="1235"/>
      <c r="S26" s="1235"/>
      <c r="T26" s="1235"/>
      <c r="U26" s="1259"/>
    </row>
    <row r="27" spans="1:21" s="1236" customFormat="1" ht="12.75" customHeight="1" outlineLevel="1">
      <c r="A27" s="54">
        <v>25</v>
      </c>
      <c r="B27" s="1243"/>
      <c r="C27" s="1243"/>
      <c r="D27" s="54"/>
      <c r="E27" s="1243"/>
      <c r="F27" s="1242"/>
      <c r="G27" s="54"/>
      <c r="H27" s="54"/>
      <c r="I27" s="1244"/>
      <c r="J27" s="1243"/>
      <c r="K27" s="54"/>
      <c r="L27" s="54"/>
      <c r="M27" s="1243"/>
      <c r="N27" s="1260"/>
      <c r="O27" s="1243"/>
      <c r="P27" s="1267"/>
      <c r="Q27" s="1267"/>
      <c r="R27" s="1235"/>
      <c r="S27" s="1235"/>
      <c r="T27" s="1235"/>
      <c r="U27" s="1246"/>
    </row>
    <row r="28" spans="1:21" outlineLevel="1">
      <c r="A28" s="54">
        <v>26</v>
      </c>
      <c r="B28" s="54"/>
      <c r="C28" s="54"/>
      <c r="D28" s="54"/>
      <c r="E28" s="1242"/>
      <c r="F28" s="1235"/>
      <c r="G28" s="54"/>
      <c r="H28" s="54"/>
      <c r="I28" s="1244"/>
      <c r="J28" s="54"/>
      <c r="K28" s="54"/>
      <c r="L28" s="54"/>
      <c r="M28" s="1265"/>
      <c r="N28" s="1260"/>
      <c r="O28" s="1235"/>
      <c r="P28" s="1235"/>
      <c r="Q28" s="1235"/>
      <c r="R28" s="1235"/>
      <c r="S28" s="1235"/>
      <c r="T28" s="1235"/>
      <c r="U28" s="1259"/>
    </row>
    <row r="29" spans="1:21" ht="13.5" customHeight="1" outlineLevel="1">
      <c r="A29" s="54">
        <v>27</v>
      </c>
      <c r="B29" s="54"/>
      <c r="C29" s="54"/>
      <c r="D29" s="54"/>
      <c r="E29" s="1242"/>
      <c r="F29" s="1235"/>
      <c r="G29" s="54"/>
      <c r="H29" s="54"/>
      <c r="I29" s="1259"/>
      <c r="J29" s="1247"/>
      <c r="K29" s="54"/>
      <c r="L29" s="54"/>
      <c r="M29" s="54"/>
      <c r="N29" s="1260"/>
      <c r="O29" s="1260"/>
      <c r="P29" s="1235"/>
      <c r="Q29" s="1261"/>
      <c r="R29" s="1261"/>
      <c r="S29" s="1261"/>
      <c r="T29" s="1261"/>
      <c r="U29" s="1259"/>
    </row>
    <row r="30" spans="1:21" outlineLevel="1">
      <c r="A30" s="54">
        <v>28</v>
      </c>
      <c r="B30" s="54"/>
      <c r="C30" s="54"/>
      <c r="D30" s="54"/>
      <c r="E30" s="1242"/>
      <c r="F30" s="1235"/>
      <c r="G30" s="54"/>
      <c r="H30" s="54"/>
      <c r="I30" s="1259"/>
      <c r="J30" s="1247"/>
      <c r="K30" s="54"/>
      <c r="L30" s="54"/>
      <c r="M30" s="54"/>
      <c r="N30" s="1260"/>
      <c r="O30" s="1260"/>
      <c r="P30" s="1235"/>
      <c r="Q30" s="1261"/>
      <c r="R30" s="1261"/>
      <c r="S30" s="1261"/>
      <c r="T30" s="1261"/>
      <c r="U30" s="1259"/>
    </row>
    <row r="31" spans="1:21" outlineLevel="1">
      <c r="A31" s="54">
        <v>29</v>
      </c>
      <c r="B31" s="54"/>
      <c r="C31" s="54"/>
      <c r="D31" s="54"/>
      <c r="E31" s="1242"/>
      <c r="F31" s="1235"/>
      <c r="G31" s="54"/>
      <c r="H31" s="54"/>
      <c r="I31" s="1259"/>
      <c r="J31" s="1247"/>
      <c r="K31" s="1250"/>
      <c r="L31" s="54"/>
      <c r="M31" s="54"/>
      <c r="N31" s="1260"/>
      <c r="O31" s="1260"/>
      <c r="P31" s="1261"/>
      <c r="Q31" s="1261"/>
      <c r="R31" s="1261"/>
      <c r="S31" s="1261"/>
      <c r="T31" s="1261"/>
      <c r="U31" s="1259"/>
    </row>
    <row r="32" spans="1:21" outlineLevel="1">
      <c r="A32" s="54">
        <v>30</v>
      </c>
      <c r="B32" s="54"/>
      <c r="C32" s="54"/>
      <c r="D32" s="54"/>
      <c r="E32" s="1242"/>
      <c r="F32" s="1235"/>
      <c r="G32" s="54"/>
      <c r="H32" s="54"/>
      <c r="I32" s="1259"/>
      <c r="J32" s="1247"/>
      <c r="K32" s="54"/>
      <c r="L32" s="54"/>
      <c r="M32" s="54"/>
      <c r="N32" s="1260"/>
      <c r="O32" s="1260"/>
      <c r="P32" s="1261"/>
      <c r="Q32" s="1261"/>
      <c r="R32" s="1261"/>
      <c r="S32" s="1261"/>
      <c r="T32" s="1261"/>
      <c r="U32" s="1259"/>
    </row>
    <row r="33" spans="1:21" outlineLevel="1">
      <c r="A33" s="54">
        <v>31</v>
      </c>
      <c r="B33" s="54"/>
      <c r="C33" s="54"/>
      <c r="D33" s="54"/>
      <c r="E33" s="1242"/>
      <c r="F33" s="1235"/>
      <c r="G33" s="54"/>
      <c r="H33" s="54"/>
      <c r="I33" s="1259"/>
      <c r="J33" s="1247"/>
      <c r="K33" s="54"/>
      <c r="L33" s="54"/>
      <c r="M33" s="1260"/>
      <c r="N33" s="1260"/>
      <c r="O33" s="1260"/>
      <c r="P33" s="1235"/>
      <c r="Q33" s="1235"/>
      <c r="R33" s="1261"/>
      <c r="S33" s="1235"/>
      <c r="T33" s="1261"/>
      <c r="U33" s="1259"/>
    </row>
    <row r="34" spans="1:21" outlineLevel="1">
      <c r="A34" s="54">
        <v>32</v>
      </c>
      <c r="B34" s="54"/>
      <c r="C34" s="54"/>
      <c r="D34" s="54"/>
      <c r="E34" s="1242"/>
      <c r="F34" s="1235"/>
      <c r="G34" s="54"/>
      <c r="H34" s="54"/>
      <c r="I34" s="1259"/>
      <c r="J34" s="1247"/>
      <c r="K34" s="1250"/>
      <c r="L34" s="54"/>
      <c r="M34" s="54"/>
      <c r="N34" s="1260"/>
      <c r="O34" s="1260"/>
      <c r="P34" s="1235"/>
      <c r="Q34" s="1235"/>
      <c r="R34" s="1261"/>
      <c r="S34" s="1246"/>
      <c r="T34" s="1261"/>
      <c r="U34" s="1259"/>
    </row>
    <row r="35" spans="1:21" outlineLevel="1">
      <c r="A35" s="54">
        <v>33</v>
      </c>
      <c r="B35" s="54"/>
      <c r="C35" s="54"/>
      <c r="D35" s="1243"/>
      <c r="E35" s="1242"/>
      <c r="F35" s="1246"/>
      <c r="G35" s="1243"/>
      <c r="H35" s="1243"/>
      <c r="I35" s="1259"/>
      <c r="J35" s="1247"/>
      <c r="K35" s="1243"/>
      <c r="L35" s="1243"/>
      <c r="M35" s="1260"/>
      <c r="N35" s="1263"/>
      <c r="O35" s="1263"/>
      <c r="P35" s="1235"/>
      <c r="Q35" s="1264"/>
      <c r="R35" s="1264"/>
      <c r="S35" s="1246"/>
      <c r="T35" s="1246"/>
      <c r="U35" s="1259"/>
    </row>
    <row r="36" spans="1:21" outlineLevel="1">
      <c r="A36" s="54">
        <v>34</v>
      </c>
      <c r="B36" s="54"/>
      <c r="C36" s="54"/>
      <c r="D36" s="1243"/>
      <c r="E36" s="1242"/>
      <c r="F36" s="1246"/>
      <c r="G36" s="1243"/>
      <c r="H36" s="1243"/>
      <c r="I36" s="1268"/>
      <c r="J36" s="1247"/>
      <c r="K36" s="1243"/>
      <c r="L36" s="1243"/>
      <c r="M36" s="1260"/>
      <c r="N36" s="1263"/>
      <c r="O36" s="1263"/>
      <c r="P36" s="1235"/>
      <c r="Q36" s="1264"/>
      <c r="R36" s="1264"/>
      <c r="S36" s="1246"/>
      <c r="T36" s="1246"/>
      <c r="U3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37" spans="1:21" outlineLevel="1">
      <c r="A37" s="54">
        <v>35</v>
      </c>
      <c r="B37" s="54"/>
      <c r="C37" s="1247"/>
      <c r="D37" s="54"/>
      <c r="E37" s="1242"/>
      <c r="F37" s="1235"/>
      <c r="G37" s="54"/>
      <c r="H37" s="54"/>
      <c r="I37" s="1259"/>
      <c r="J37" s="1247"/>
      <c r="K37" s="54"/>
      <c r="L37" s="54"/>
      <c r="M37" s="54"/>
      <c r="N37" s="1260"/>
      <c r="O37" s="1260"/>
      <c r="P37" s="1235"/>
      <c r="Q37" s="1261"/>
      <c r="R37" s="1261"/>
      <c r="S37" s="1261"/>
      <c r="T37" s="1261"/>
      <c r="U3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38" spans="1:21" outlineLevel="1">
      <c r="A38" s="54">
        <v>36</v>
      </c>
      <c r="B38" s="54"/>
      <c r="C38" s="54"/>
      <c r="D38" s="54"/>
      <c r="E38" s="1242"/>
      <c r="F38" s="1246"/>
      <c r="G38" s="54"/>
      <c r="H38" s="54"/>
      <c r="I38" s="1259"/>
      <c r="J38" s="1247"/>
      <c r="K38" s="54"/>
      <c r="L38" s="54"/>
      <c r="M38" s="54"/>
      <c r="N38" s="1260"/>
      <c r="O38" s="1260"/>
      <c r="P38" s="1235"/>
      <c r="Q38" s="1261"/>
      <c r="R38" s="1261"/>
      <c r="S38" s="1261"/>
      <c r="T38" s="1261"/>
      <c r="U3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39" spans="1:21" outlineLevel="1">
      <c r="A39" s="54">
        <v>37</v>
      </c>
      <c r="B39" s="54"/>
      <c r="C39" s="54"/>
      <c r="D39" s="54"/>
      <c r="E39" s="1242"/>
      <c r="F39" s="1235"/>
      <c r="G39" s="54"/>
      <c r="H39" s="54"/>
      <c r="I39" s="1259"/>
      <c r="J39" s="1247"/>
      <c r="K39" s="54"/>
      <c r="L39" s="54"/>
      <c r="M39" s="54"/>
      <c r="N39" s="1260"/>
      <c r="O39" s="1260"/>
      <c r="P39" s="1235"/>
      <c r="Q39" s="1261"/>
      <c r="R39" s="1261"/>
      <c r="S39" s="1235"/>
      <c r="T39" s="1235"/>
      <c r="U3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0" spans="1:21" outlineLevel="1">
      <c r="A40" s="54">
        <v>38</v>
      </c>
      <c r="B40" s="54"/>
      <c r="C40" s="54"/>
      <c r="D40" s="54"/>
      <c r="E40" s="1242"/>
      <c r="F40" s="1235"/>
      <c r="G40" s="54"/>
      <c r="H40" s="54"/>
      <c r="I40" s="1259"/>
      <c r="J40" s="1262"/>
      <c r="K40" s="54"/>
      <c r="L40" s="54"/>
      <c r="M40" s="54"/>
      <c r="N40" s="1260"/>
      <c r="O40" s="1260"/>
      <c r="P40" s="1235"/>
      <c r="Q40" s="1261"/>
      <c r="R40" s="1261"/>
      <c r="S40" s="1235"/>
      <c r="T40" s="1235"/>
      <c r="U4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1" spans="1:21" outlineLevel="1">
      <c r="A41" s="54">
        <v>39</v>
      </c>
      <c r="B41" s="54"/>
      <c r="C41" s="54"/>
      <c r="D41" s="54"/>
      <c r="E41" s="1242"/>
      <c r="F41" s="1248"/>
      <c r="G41" s="54"/>
      <c r="H41" s="54"/>
      <c r="I41" s="1269"/>
      <c r="J41" s="54"/>
      <c r="K41" s="54"/>
      <c r="L41" s="54"/>
      <c r="M41" s="1248"/>
      <c r="N41" s="1260"/>
      <c r="O41" s="1248"/>
      <c r="P41" s="1270"/>
      <c r="Q41" s="1261"/>
      <c r="R41" s="1235"/>
      <c r="S41" s="1235"/>
      <c r="T41" s="1235"/>
      <c r="U4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2" spans="1:21" outlineLevel="1">
      <c r="A42" s="54">
        <v>40</v>
      </c>
      <c r="B42" s="1249"/>
      <c r="C42" s="1249"/>
      <c r="D42" s="54"/>
      <c r="E42" s="1242"/>
      <c r="F42" s="1241"/>
      <c r="G42" s="54"/>
      <c r="H42" s="1250"/>
      <c r="I42" s="1271"/>
      <c r="J42" s="1272"/>
      <c r="K42" s="54"/>
      <c r="L42" s="54"/>
      <c r="M42" s="1241"/>
      <c r="N42" s="1260"/>
      <c r="O42" s="1241"/>
      <c r="P42" s="1241"/>
      <c r="Q42" s="1261"/>
      <c r="R42" s="1235"/>
      <c r="S42" s="1235"/>
      <c r="T42" s="1235"/>
      <c r="U4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3" spans="1:21" outlineLevel="1">
      <c r="A43" s="54">
        <v>41</v>
      </c>
      <c r="B43" s="1251"/>
      <c r="C43" s="1251"/>
      <c r="D43" s="54"/>
      <c r="E43" s="1242"/>
      <c r="F43" s="1252"/>
      <c r="G43" s="1253"/>
      <c r="H43" s="1250"/>
      <c r="I43" s="1269"/>
      <c r="J43" s="1253"/>
      <c r="K43" s="1253"/>
      <c r="L43" s="1253"/>
      <c r="M43" s="1253"/>
      <c r="N43" s="1260"/>
      <c r="O43" s="1253"/>
      <c r="P43" s="1253"/>
      <c r="Q43" s="1277"/>
      <c r="R43" s="1235"/>
      <c r="S43" s="1235"/>
      <c r="T43" s="1235"/>
      <c r="U4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4" spans="1:21" outlineLevel="1">
      <c r="A44" s="54">
        <v>42</v>
      </c>
      <c r="B44" s="1251"/>
      <c r="C44" s="1251"/>
      <c r="D44" s="54"/>
      <c r="E44" s="1242"/>
      <c r="F44" s="1252"/>
      <c r="G44" s="1253"/>
      <c r="H44" s="1250"/>
      <c r="I44" s="1269"/>
      <c r="J44" s="1253"/>
      <c r="K44" s="1253"/>
      <c r="L44" s="1253"/>
      <c r="M44" s="1253"/>
      <c r="N44" s="1260"/>
      <c r="O44" s="1253"/>
      <c r="P44" s="1253"/>
      <c r="Q44" s="1277"/>
      <c r="R44" s="1235"/>
      <c r="S44" s="1235"/>
      <c r="T44" s="1235"/>
      <c r="U4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5" spans="1:21" outlineLevel="1">
      <c r="A45" s="54">
        <v>43</v>
      </c>
      <c r="B45" s="1251"/>
      <c r="C45" s="1251"/>
      <c r="D45" s="54"/>
      <c r="E45" s="1242"/>
      <c r="F45" s="1252"/>
      <c r="G45" s="1253"/>
      <c r="H45" s="1250"/>
      <c r="I45" s="1269"/>
      <c r="J45" s="1253"/>
      <c r="K45" s="1253"/>
      <c r="L45" s="1253"/>
      <c r="M45" s="1253"/>
      <c r="N45" s="1260"/>
      <c r="O45" s="1253"/>
      <c r="P45" s="1253"/>
      <c r="Q45" s="1277"/>
      <c r="R45" s="1235"/>
      <c r="S45" s="1235"/>
      <c r="T45" s="1235"/>
      <c r="U4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6" spans="1:21" outlineLevel="1">
      <c r="A46" s="54">
        <v>44</v>
      </c>
      <c r="B46" s="1251"/>
      <c r="C46" s="1251"/>
      <c r="D46" s="54"/>
      <c r="E46" s="1242"/>
      <c r="F46" s="1252"/>
      <c r="G46" s="1253"/>
      <c r="H46" s="1250"/>
      <c r="I46" s="1269"/>
      <c r="J46" s="1253"/>
      <c r="K46" s="1253"/>
      <c r="L46" s="1253"/>
      <c r="M46" s="1253"/>
      <c r="N46" s="1260"/>
      <c r="O46" s="1253"/>
      <c r="P46" s="1253"/>
      <c r="Q46" s="1277"/>
      <c r="R46" s="1235"/>
      <c r="S46" s="1235"/>
      <c r="T46" s="1235"/>
      <c r="U4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7" spans="1:21" outlineLevel="1">
      <c r="A47" s="54">
        <v>45</v>
      </c>
      <c r="B47" s="1251"/>
      <c r="C47" s="1251"/>
      <c r="D47" s="54"/>
      <c r="E47" s="1242"/>
      <c r="F47" s="1252"/>
      <c r="G47" s="1253"/>
      <c r="H47" s="1250"/>
      <c r="I47" s="1269"/>
      <c r="J47" s="1253"/>
      <c r="K47" s="1253"/>
      <c r="L47" s="1253"/>
      <c r="M47" s="1253"/>
      <c r="N47" s="1260"/>
      <c r="O47" s="1253"/>
      <c r="P47" s="1253"/>
      <c r="Q47" s="1277"/>
      <c r="R47" s="1235"/>
      <c r="S47" s="1235"/>
      <c r="T47" s="1235"/>
      <c r="U4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8" spans="1:21" outlineLevel="1">
      <c r="A48" s="54">
        <v>46</v>
      </c>
      <c r="B48" s="1251"/>
      <c r="C48" s="1251"/>
      <c r="D48" s="54"/>
      <c r="E48" s="1242"/>
      <c r="F48" s="1252"/>
      <c r="G48" s="1253"/>
      <c r="H48" s="1250"/>
      <c r="I48" s="1269"/>
      <c r="J48" s="1253"/>
      <c r="K48" s="1253"/>
      <c r="L48" s="1253"/>
      <c r="M48" s="1253"/>
      <c r="N48" s="1260"/>
      <c r="O48" s="1253"/>
      <c r="P48" s="1253"/>
      <c r="Q48" s="1277"/>
      <c r="R48" s="1235"/>
      <c r="S48" s="1235"/>
      <c r="T48" s="1235"/>
      <c r="U4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49" spans="1:21" outlineLevel="1">
      <c r="A49" s="54">
        <v>47</v>
      </c>
      <c r="B49" s="1251"/>
      <c r="C49" s="1251"/>
      <c r="D49" s="54"/>
      <c r="E49" s="1242"/>
      <c r="F49" s="1254"/>
      <c r="G49" s="1253"/>
      <c r="H49" s="1250"/>
      <c r="I49" s="1269"/>
      <c r="J49" s="1253"/>
      <c r="K49" s="1262"/>
      <c r="L49" s="1253"/>
      <c r="M49" s="1273"/>
      <c r="N49" s="1260"/>
      <c r="O49" s="1273"/>
      <c r="P49" s="1274"/>
      <c r="Q49" s="1277"/>
      <c r="R49" s="1235"/>
      <c r="S49" s="1235"/>
      <c r="T49" s="1235"/>
      <c r="U4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0" spans="1:21" outlineLevel="1">
      <c r="A50" s="54">
        <v>48</v>
      </c>
      <c r="B50" s="1249"/>
      <c r="C50" s="1251"/>
      <c r="D50" s="54"/>
      <c r="E50" s="1242"/>
      <c r="F50" s="1241"/>
      <c r="G50" s="54"/>
      <c r="H50" s="1250"/>
      <c r="I50" s="1271"/>
      <c r="J50" s="1272"/>
      <c r="K50" s="54"/>
      <c r="L50" s="54"/>
      <c r="M50" s="1241"/>
      <c r="N50" s="1260"/>
      <c r="O50" s="1241"/>
      <c r="P50" s="1241"/>
      <c r="Q50" s="1261"/>
      <c r="R50" s="1235"/>
      <c r="S50" s="1235"/>
      <c r="T50" s="1235"/>
      <c r="U5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1" spans="1:21" outlineLevel="1">
      <c r="A51" s="54">
        <v>49</v>
      </c>
      <c r="B51" s="1251"/>
      <c r="C51" s="1251"/>
      <c r="D51" s="54"/>
      <c r="E51" s="1242"/>
      <c r="F51" s="1252"/>
      <c r="G51" s="54"/>
      <c r="H51" s="1250"/>
      <c r="I51" s="1269"/>
      <c r="J51" s="54"/>
      <c r="K51" s="1275"/>
      <c r="L51" s="54"/>
      <c r="M51" s="1235"/>
      <c r="N51" s="1260"/>
      <c r="O51" s="1235"/>
      <c r="P51" s="1276"/>
      <c r="Q51" s="1261"/>
      <c r="R51" s="1235"/>
      <c r="S51" s="1235"/>
      <c r="T51" s="1235"/>
      <c r="U5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2" spans="1:21" outlineLevel="1">
      <c r="A52" s="54">
        <v>50</v>
      </c>
      <c r="B52" s="1251"/>
      <c r="C52" s="1251"/>
      <c r="D52" s="54"/>
      <c r="E52" s="1242"/>
      <c r="F52" s="1252"/>
      <c r="G52" s="1253"/>
      <c r="H52" s="1250"/>
      <c r="I52" s="1269"/>
      <c r="J52" s="1253"/>
      <c r="K52" s="1253"/>
      <c r="L52" s="1253"/>
      <c r="M52" s="1253"/>
      <c r="N52" s="1260"/>
      <c r="O52" s="1253"/>
      <c r="P52" s="1253"/>
      <c r="Q52" s="1277"/>
      <c r="R52" s="1235"/>
      <c r="S52" s="1235"/>
      <c r="T52" s="1235"/>
      <c r="U5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3" spans="1:21" outlineLevel="1">
      <c r="A53" s="54">
        <v>51</v>
      </c>
      <c r="B53" s="1251"/>
      <c r="C53" s="1251"/>
      <c r="D53" s="54"/>
      <c r="E53" s="1242"/>
      <c r="F53" s="1254"/>
      <c r="G53" s="54"/>
      <c r="H53" s="1250"/>
      <c r="I53" s="1269"/>
      <c r="J53" s="1253"/>
      <c r="K53" s="1253"/>
      <c r="L53" s="1253"/>
      <c r="M53" s="4"/>
      <c r="N53" s="1260"/>
      <c r="O53" s="4"/>
      <c r="P53" s="1241"/>
      <c r="Q53" s="1261"/>
      <c r="R53" s="1235"/>
      <c r="S53" s="1235"/>
      <c r="T53" s="1235"/>
      <c r="U5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4" spans="1:21" outlineLevel="1">
      <c r="A54" s="54">
        <v>52</v>
      </c>
      <c r="B54" s="1251"/>
      <c r="C54" s="1251"/>
      <c r="D54" s="54"/>
      <c r="E54" s="1242"/>
      <c r="F54" s="1254"/>
      <c r="G54" s="54"/>
      <c r="H54" s="1250"/>
      <c r="I54" s="1269"/>
      <c r="J54" s="54"/>
      <c r="K54" s="54"/>
      <c r="L54" s="54"/>
      <c r="M54" s="4"/>
      <c r="N54" s="1260"/>
      <c r="O54" s="1235"/>
      <c r="P54" s="1276"/>
      <c r="Q54" s="1261"/>
      <c r="R54" s="1235"/>
      <c r="S54" s="1235"/>
      <c r="T54" s="1235"/>
      <c r="U5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5" spans="1:21" outlineLevel="1">
      <c r="A55" s="54">
        <v>53</v>
      </c>
      <c r="B55" s="54"/>
      <c r="C55" s="1251"/>
      <c r="D55" s="54"/>
      <c r="E55" s="1242"/>
      <c r="F55" s="1254"/>
      <c r="G55" s="54"/>
      <c r="H55" s="1250"/>
      <c r="I55" s="1269"/>
      <c r="J55" s="54"/>
      <c r="K55" s="54"/>
      <c r="L55" s="54"/>
      <c r="M55" s="1248"/>
      <c r="N55" s="1260"/>
      <c r="O55" s="1248"/>
      <c r="P55" s="1270"/>
      <c r="Q55" s="1261"/>
      <c r="R55" s="1235"/>
      <c r="S55" s="1235"/>
      <c r="T55" s="1235"/>
      <c r="U5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6" spans="1:21" outlineLevel="1">
      <c r="A56" s="54">
        <v>54</v>
      </c>
      <c r="B56" s="1251"/>
      <c r="C56" s="1251"/>
      <c r="D56" s="54"/>
      <c r="E56" s="1242"/>
      <c r="F56" s="1241"/>
      <c r="G56" s="54"/>
      <c r="H56" s="1250"/>
      <c r="I56" s="1271"/>
      <c r="J56" s="1272"/>
      <c r="K56" s="54"/>
      <c r="L56" s="54"/>
      <c r="M56" s="1241"/>
      <c r="N56" s="1260"/>
      <c r="O56" s="1241"/>
      <c r="P56" s="1241"/>
      <c r="Q56" s="1261"/>
      <c r="R56" s="1235"/>
      <c r="S56" s="1235"/>
      <c r="T56" s="1235"/>
      <c r="U5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7" spans="1:21" outlineLevel="1">
      <c r="A57" s="54">
        <v>55</v>
      </c>
      <c r="B57" s="1251"/>
      <c r="C57" s="1251"/>
      <c r="D57" s="54"/>
      <c r="E57" s="1242"/>
      <c r="F57" s="1252"/>
      <c r="G57" s="1253"/>
      <c r="H57" s="1250"/>
      <c r="I57" s="1269"/>
      <c r="J57" s="1253"/>
      <c r="K57" s="1253"/>
      <c r="L57" s="1253"/>
      <c r="M57" s="1253"/>
      <c r="N57" s="1260"/>
      <c r="O57" s="1253"/>
      <c r="P57" s="1253"/>
      <c r="Q57" s="1277"/>
      <c r="R57" s="1235"/>
      <c r="S57" s="1235"/>
      <c r="T57" s="1235"/>
      <c r="U5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8" spans="1:21" outlineLevel="1">
      <c r="A58" s="54">
        <v>56</v>
      </c>
      <c r="B58" s="1251"/>
      <c r="C58" s="1251"/>
      <c r="D58" s="54"/>
      <c r="E58" s="1242"/>
      <c r="F58" s="1252"/>
      <c r="G58" s="1253"/>
      <c r="H58" s="1250"/>
      <c r="I58" s="1269"/>
      <c r="J58" s="1253"/>
      <c r="K58" s="1253"/>
      <c r="L58" s="1253"/>
      <c r="M58" s="1253"/>
      <c r="N58" s="1260"/>
      <c r="O58" s="1253"/>
      <c r="P58" s="1253"/>
      <c r="Q58" s="1277"/>
      <c r="R58" s="1235"/>
      <c r="S58" s="1235"/>
      <c r="T58" s="1235"/>
      <c r="U5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59" spans="1:21" outlineLevel="1">
      <c r="A59" s="54">
        <v>57</v>
      </c>
      <c r="B59" s="1251"/>
      <c r="C59" s="1251"/>
      <c r="D59" s="54"/>
      <c r="E59" s="1242"/>
      <c r="F59" s="1252"/>
      <c r="G59" s="1253"/>
      <c r="H59" s="1250"/>
      <c r="I59" s="1269"/>
      <c r="J59" s="1253"/>
      <c r="K59" s="1253"/>
      <c r="L59" s="1253"/>
      <c r="M59" s="1253"/>
      <c r="N59" s="1260"/>
      <c r="O59" s="1253"/>
      <c r="P59" s="1253"/>
      <c r="Q59" s="1277"/>
      <c r="R59" s="1235"/>
      <c r="S59" s="1235"/>
      <c r="T59" s="1235"/>
      <c r="U5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0" spans="1:21" outlineLevel="1">
      <c r="A60" s="54">
        <v>58</v>
      </c>
      <c r="B60" s="1251"/>
      <c r="C60" s="1251"/>
      <c r="D60" s="54"/>
      <c r="E60" s="1242"/>
      <c r="F60" s="1252"/>
      <c r="G60" s="1253"/>
      <c r="H60" s="1250"/>
      <c r="I60" s="1269"/>
      <c r="J60" s="1253"/>
      <c r="K60" s="1253"/>
      <c r="L60" s="1253"/>
      <c r="M60" s="1253"/>
      <c r="N60" s="1260"/>
      <c r="O60" s="1253"/>
      <c r="P60" s="1253"/>
      <c r="Q60" s="1277"/>
      <c r="R60" s="1235"/>
      <c r="S60" s="1235"/>
      <c r="T60" s="1235"/>
      <c r="U6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1" spans="1:21" outlineLevel="1">
      <c r="A61" s="54">
        <v>59</v>
      </c>
      <c r="B61" s="1251"/>
      <c r="C61" s="1251"/>
      <c r="D61" s="54"/>
      <c r="E61" s="1242"/>
      <c r="F61" s="1252"/>
      <c r="G61" s="1253"/>
      <c r="H61" s="1250"/>
      <c r="I61" s="1269"/>
      <c r="J61" s="1253"/>
      <c r="K61" s="1253"/>
      <c r="L61" s="1253"/>
      <c r="M61" s="1253"/>
      <c r="N61" s="1260"/>
      <c r="O61" s="1253"/>
      <c r="P61" s="1253"/>
      <c r="Q61" s="1277"/>
      <c r="R61" s="1235"/>
      <c r="S61" s="1235"/>
      <c r="T61" s="1235"/>
      <c r="U6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2" spans="1:21" outlineLevel="1">
      <c r="A62" s="54">
        <v>60</v>
      </c>
      <c r="B62" s="1251"/>
      <c r="C62" s="1251"/>
      <c r="D62" s="54"/>
      <c r="E62" s="1242"/>
      <c r="F62" s="1252"/>
      <c r="G62" s="1253"/>
      <c r="H62" s="1250"/>
      <c r="I62" s="1269"/>
      <c r="J62" s="1253"/>
      <c r="K62" s="1253"/>
      <c r="L62" s="1253"/>
      <c r="M62" s="1253"/>
      <c r="N62" s="1260"/>
      <c r="O62" s="1253"/>
      <c r="P62" s="1253"/>
      <c r="Q62" s="1277"/>
      <c r="R62" s="1235"/>
      <c r="S62" s="1235"/>
      <c r="T62" s="1235"/>
      <c r="U6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3" spans="1:21" outlineLevel="1">
      <c r="A63" s="54">
        <v>61</v>
      </c>
      <c r="B63" s="1255"/>
      <c r="C63" s="1255"/>
      <c r="D63" s="1247"/>
      <c r="E63" s="1242"/>
      <c r="F63" s="1256"/>
      <c r="G63" s="54"/>
      <c r="H63" s="1250"/>
      <c r="I63" s="1269"/>
      <c r="J63" s="1253"/>
      <c r="K63" s="1247"/>
      <c r="L63" s="1253"/>
      <c r="M63" s="1273"/>
      <c r="N63" s="1260"/>
      <c r="O63" s="1273"/>
      <c r="P63" s="1274"/>
      <c r="Q63" s="1277"/>
      <c r="R63" s="1235"/>
      <c r="S63" s="1235"/>
      <c r="T63" s="1235"/>
      <c r="U6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4" spans="1:21" outlineLevel="1">
      <c r="A64" s="54">
        <v>62</v>
      </c>
      <c r="B64" s="1251"/>
      <c r="C64" s="1251"/>
      <c r="D64" s="54"/>
      <c r="E64" s="1242"/>
      <c r="F64" s="1241"/>
      <c r="G64" s="54"/>
      <c r="H64" s="1250"/>
      <c r="I64" s="1271"/>
      <c r="J64" s="1272"/>
      <c r="K64" s="54"/>
      <c r="L64" s="54"/>
      <c r="M64" s="1241"/>
      <c r="N64" s="1260"/>
      <c r="O64" s="1241"/>
      <c r="P64" s="1241"/>
      <c r="Q64" s="1261"/>
      <c r="R64" s="1235"/>
      <c r="S64" s="1235"/>
      <c r="T64" s="1235"/>
      <c r="U6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5" spans="1:21" outlineLevel="1">
      <c r="A65" s="54">
        <v>63</v>
      </c>
      <c r="B65" s="1251"/>
      <c r="C65" s="1251"/>
      <c r="D65" s="54"/>
      <c r="E65" s="1242"/>
      <c r="F65" s="1252"/>
      <c r="G65" s="54"/>
      <c r="H65" s="1250"/>
      <c r="I65" s="1269"/>
      <c r="J65" s="54"/>
      <c r="K65" s="1275"/>
      <c r="L65" s="54"/>
      <c r="M65" s="1235"/>
      <c r="N65" s="1260"/>
      <c r="O65" s="1235"/>
      <c r="P65" s="1276"/>
      <c r="Q65" s="1261"/>
      <c r="R65" s="1235"/>
      <c r="S65" s="1235"/>
      <c r="T65" s="1235"/>
      <c r="U6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6" spans="1:21" outlineLevel="1">
      <c r="A66" s="54">
        <v>64</v>
      </c>
      <c r="B66" s="1251"/>
      <c r="C66" s="1251"/>
      <c r="D66" s="1253"/>
      <c r="E66" s="1242"/>
      <c r="F66" s="1252"/>
      <c r="G66" s="54"/>
      <c r="H66" s="1250"/>
      <c r="I66" s="1269"/>
      <c r="J66" s="1253"/>
      <c r="K66" s="1253"/>
      <c r="L66" s="1253"/>
      <c r="M66" s="1253"/>
      <c r="N66" s="1260"/>
      <c r="O66" s="1253"/>
      <c r="P66" s="1253"/>
      <c r="Q66" s="1277"/>
      <c r="R66" s="1235"/>
      <c r="S66" s="1235"/>
      <c r="T66" s="1235"/>
      <c r="U6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7" spans="1:21" outlineLevel="1">
      <c r="A67" s="54">
        <v>65</v>
      </c>
      <c r="B67" s="1251"/>
      <c r="C67" s="1251"/>
      <c r="D67" s="54"/>
      <c r="E67" s="1242"/>
      <c r="F67" s="1254"/>
      <c r="G67" s="54"/>
      <c r="H67" s="1250"/>
      <c r="I67" s="1269"/>
      <c r="J67" s="1253"/>
      <c r="K67" s="1247"/>
      <c r="L67" s="1253"/>
      <c r="M67" s="4"/>
      <c r="N67" s="1260"/>
      <c r="O67" s="4"/>
      <c r="P67" s="1241"/>
      <c r="Q67" s="1261"/>
      <c r="R67" s="1235"/>
      <c r="S67" s="1235"/>
      <c r="T67" s="1235"/>
      <c r="U6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8" spans="1:21" outlineLevel="1">
      <c r="A68" s="54">
        <v>66</v>
      </c>
      <c r="B68" s="1251"/>
      <c r="C68" s="1251"/>
      <c r="D68" s="54"/>
      <c r="E68" s="1242"/>
      <c r="F68" s="1254"/>
      <c r="G68" s="54"/>
      <c r="H68" s="1250"/>
      <c r="I68" s="1269"/>
      <c r="J68" s="54"/>
      <c r="K68" s="54"/>
      <c r="L68" s="54"/>
      <c r="M68" s="4"/>
      <c r="N68" s="1260"/>
      <c r="O68" s="1235"/>
      <c r="P68" s="1276"/>
      <c r="Q68" s="1261"/>
      <c r="R68" s="1235"/>
      <c r="S68" s="1235"/>
      <c r="T68" s="1235"/>
      <c r="U6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69" spans="1:21" outlineLevel="1">
      <c r="A69" s="54">
        <v>67</v>
      </c>
      <c r="B69" s="54"/>
      <c r="C69" s="1251"/>
      <c r="D69" s="54"/>
      <c r="E69" s="1242"/>
      <c r="F69" s="1254"/>
      <c r="G69" s="54"/>
      <c r="H69" s="1250"/>
      <c r="I69" s="1269"/>
      <c r="J69" s="54"/>
      <c r="K69" s="54"/>
      <c r="L69" s="54"/>
      <c r="M69" s="1248"/>
      <c r="N69" s="1260"/>
      <c r="O69" s="1248"/>
      <c r="P69" s="1270"/>
      <c r="Q69" s="1261"/>
      <c r="R69" s="1235"/>
      <c r="S69" s="1235"/>
      <c r="T69" s="1235"/>
      <c r="U6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0" spans="1:21" outlineLevel="1">
      <c r="A70" s="54">
        <v>68</v>
      </c>
      <c r="B70" s="1251"/>
      <c r="C70" s="1251"/>
      <c r="D70" s="54"/>
      <c r="E70" s="1242"/>
      <c r="F70" s="1241"/>
      <c r="G70" s="54"/>
      <c r="H70" s="1250"/>
      <c r="I70" s="1271"/>
      <c r="J70" s="1272"/>
      <c r="K70" s="54"/>
      <c r="L70" s="54"/>
      <c r="M70" s="1241"/>
      <c r="N70" s="1260"/>
      <c r="O70" s="1241"/>
      <c r="P70" s="1241"/>
      <c r="Q70" s="1261"/>
      <c r="R70" s="1235"/>
      <c r="S70" s="1235"/>
      <c r="T70" s="1235"/>
      <c r="U7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1" spans="1:21" outlineLevel="1">
      <c r="A71" s="54">
        <v>69</v>
      </c>
      <c r="B71" s="1251"/>
      <c r="C71" s="1251"/>
      <c r="D71" s="54"/>
      <c r="E71" s="1242"/>
      <c r="F71" s="1252"/>
      <c r="G71" s="1253"/>
      <c r="H71" s="1250"/>
      <c r="I71" s="1269"/>
      <c r="J71" s="1253"/>
      <c r="K71" s="1253"/>
      <c r="L71" s="1253"/>
      <c r="M71" s="1253"/>
      <c r="N71" s="1260"/>
      <c r="O71" s="1253"/>
      <c r="P71" s="1253"/>
      <c r="Q71" s="1277"/>
      <c r="R71" s="1235"/>
      <c r="S71" s="1235"/>
      <c r="T71" s="1235"/>
      <c r="U7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2" spans="1:21" outlineLevel="1">
      <c r="A72" s="54">
        <v>70</v>
      </c>
      <c r="B72" s="1251"/>
      <c r="C72" s="1251"/>
      <c r="D72" s="54"/>
      <c r="E72" s="1242"/>
      <c r="F72" s="1252"/>
      <c r="G72" s="1253"/>
      <c r="H72" s="1250"/>
      <c r="I72" s="1269"/>
      <c r="J72" s="1253"/>
      <c r="K72" s="1253"/>
      <c r="L72" s="1253"/>
      <c r="M72" s="1253"/>
      <c r="N72" s="1260"/>
      <c r="O72" s="1253"/>
      <c r="P72" s="1253"/>
      <c r="Q72" s="1277"/>
      <c r="R72" s="1235"/>
      <c r="S72" s="1235"/>
      <c r="T72" s="1235"/>
      <c r="U7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3" spans="1:21" outlineLevel="1">
      <c r="A73" s="54">
        <v>71</v>
      </c>
      <c r="B73" s="1251"/>
      <c r="C73" s="1251"/>
      <c r="D73" s="54"/>
      <c r="E73" s="1242"/>
      <c r="F73" s="1252"/>
      <c r="G73" s="1253"/>
      <c r="H73" s="1250"/>
      <c r="I73" s="1269"/>
      <c r="J73" s="1253"/>
      <c r="K73" s="1253"/>
      <c r="L73" s="1253"/>
      <c r="M73" s="1253"/>
      <c r="N73" s="1260"/>
      <c r="O73" s="1253"/>
      <c r="P73" s="1253"/>
      <c r="Q73" s="1277"/>
      <c r="R73" s="1235"/>
      <c r="S73" s="1235"/>
      <c r="T73" s="1235"/>
      <c r="U7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4" spans="1:21" outlineLevel="1">
      <c r="A74" s="54">
        <v>72</v>
      </c>
      <c r="B74" s="1251"/>
      <c r="C74" s="1251"/>
      <c r="D74" s="54"/>
      <c r="E74" s="1242"/>
      <c r="F74" s="1252"/>
      <c r="G74" s="1253"/>
      <c r="H74" s="1250"/>
      <c r="I74" s="1269"/>
      <c r="J74" s="1253"/>
      <c r="K74" s="1253"/>
      <c r="L74" s="1253"/>
      <c r="M74" s="1253"/>
      <c r="N74" s="1260"/>
      <c r="O74" s="1253"/>
      <c r="P74" s="1253"/>
      <c r="Q74" s="1277"/>
      <c r="R74" s="1235"/>
      <c r="S74" s="1235"/>
      <c r="T74" s="1235"/>
      <c r="U7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5" spans="1:21" outlineLevel="1">
      <c r="A75" s="54">
        <v>73</v>
      </c>
      <c r="B75" s="1251"/>
      <c r="C75" s="1251"/>
      <c r="D75" s="54"/>
      <c r="E75" s="1242"/>
      <c r="F75" s="1252"/>
      <c r="G75" s="1253"/>
      <c r="H75" s="1250"/>
      <c r="I75" s="1269"/>
      <c r="J75" s="1253"/>
      <c r="K75" s="1253"/>
      <c r="L75" s="1253"/>
      <c r="M75" s="1253"/>
      <c r="N75" s="1260"/>
      <c r="O75" s="1253"/>
      <c r="P75" s="1253"/>
      <c r="Q75" s="1277"/>
      <c r="R75" s="1235"/>
      <c r="S75" s="1235"/>
      <c r="T75" s="1235"/>
      <c r="U7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6" spans="1:21" outlineLevel="1">
      <c r="A76" s="54">
        <v>74</v>
      </c>
      <c r="B76" s="1251"/>
      <c r="C76" s="1251"/>
      <c r="D76" s="54"/>
      <c r="E76" s="1242"/>
      <c r="F76" s="1252"/>
      <c r="G76" s="1253"/>
      <c r="H76" s="1250"/>
      <c r="I76" s="1269"/>
      <c r="J76" s="1253"/>
      <c r="K76" s="1253"/>
      <c r="L76" s="1253"/>
      <c r="M76" s="1253"/>
      <c r="N76" s="1260"/>
      <c r="O76" s="1253"/>
      <c r="P76" s="1253"/>
      <c r="Q76" s="1277"/>
      <c r="R76" s="1235"/>
      <c r="S76" s="1235"/>
      <c r="T76" s="1235"/>
      <c r="U7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7" spans="1:21" outlineLevel="1">
      <c r="A77" s="54">
        <v>75</v>
      </c>
      <c r="B77" s="1255"/>
      <c r="C77" s="1255"/>
      <c r="D77" s="1247"/>
      <c r="E77" s="1242"/>
      <c r="F77" s="1256"/>
      <c r="G77" s="54"/>
      <c r="H77" s="1250"/>
      <c r="I77" s="1269"/>
      <c r="J77" s="1253"/>
      <c r="K77" s="1253"/>
      <c r="L77" s="1253"/>
      <c r="M77" s="1273"/>
      <c r="N77" s="1260"/>
      <c r="O77" s="1273"/>
      <c r="P77" s="1274"/>
      <c r="Q77" s="1277"/>
      <c r="R77" s="1235"/>
      <c r="S77" s="1235"/>
      <c r="T77" s="1235"/>
      <c r="U7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8" spans="1:21" outlineLevel="1">
      <c r="A78" s="54">
        <v>76</v>
      </c>
      <c r="B78" s="1251"/>
      <c r="C78" s="1251"/>
      <c r="D78" s="54"/>
      <c r="E78" s="1242"/>
      <c r="F78" s="1241"/>
      <c r="G78" s="54"/>
      <c r="H78" s="1250"/>
      <c r="I78" s="1271"/>
      <c r="J78" s="1272"/>
      <c r="K78" s="54"/>
      <c r="L78" s="54"/>
      <c r="M78" s="1241"/>
      <c r="N78" s="1260"/>
      <c r="O78" s="1241"/>
      <c r="P78" s="1241"/>
      <c r="Q78" s="1261"/>
      <c r="R78" s="1235"/>
      <c r="S78" s="1235"/>
      <c r="T78" s="1235"/>
      <c r="U7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79" spans="1:21" outlineLevel="1">
      <c r="A79" s="54">
        <v>77</v>
      </c>
      <c r="B79" s="1251"/>
      <c r="C79" s="1251"/>
      <c r="D79" s="54"/>
      <c r="E79" s="1242"/>
      <c r="F79" s="1252"/>
      <c r="G79" s="54"/>
      <c r="H79" s="1250"/>
      <c r="I79" s="1269"/>
      <c r="J79" s="54"/>
      <c r="K79" s="1275"/>
      <c r="L79" s="54"/>
      <c r="M79" s="1235"/>
      <c r="N79" s="1260"/>
      <c r="O79" s="1235"/>
      <c r="P79" s="1276"/>
      <c r="Q79" s="1261"/>
      <c r="R79" s="1235"/>
      <c r="S79" s="1235"/>
      <c r="T79" s="1235"/>
      <c r="U7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80" spans="1:21" outlineLevel="1">
      <c r="A80" s="54">
        <v>78</v>
      </c>
      <c r="B80" s="1251"/>
      <c r="C80" s="1251"/>
      <c r="D80" s="1253"/>
      <c r="E80" s="1242"/>
      <c r="F80" s="1252"/>
      <c r="G80" s="54"/>
      <c r="H80" s="1250"/>
      <c r="I80" s="1269"/>
      <c r="J80" s="1253"/>
      <c r="K80" s="1253"/>
      <c r="L80" s="1253"/>
      <c r="M80" s="1253"/>
      <c r="N80" s="1260"/>
      <c r="O80" s="1253"/>
      <c r="P80" s="1253"/>
      <c r="Q80" s="1277"/>
      <c r="R80" s="1235"/>
      <c r="S80" s="1235"/>
      <c r="T80" s="1235"/>
      <c r="U8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81" spans="1:21">
      <c r="A81" s="54"/>
      <c r="B81" s="1251"/>
      <c r="C81" s="1251"/>
      <c r="D81" s="54"/>
      <c r="E81" s="1242"/>
      <c r="F81" s="1254"/>
      <c r="G81" s="54"/>
      <c r="H81" s="1250"/>
      <c r="I81" s="1269"/>
      <c r="J81" s="1253"/>
      <c r="K81" s="1253"/>
      <c r="L81" s="1253"/>
      <c r="M81" s="4"/>
      <c r="N81" s="1260"/>
      <c r="O81" s="4"/>
      <c r="P81" s="1241"/>
      <c r="Q81" s="1261"/>
      <c r="R81" s="1235"/>
      <c r="S81" s="1235"/>
      <c r="T81" s="1235"/>
      <c r="U81" s="1259"/>
    </row>
    <row r="82" spans="1:21" s="43" customFormat="1">
      <c r="A82" s="2307" t="s">
        <v>713</v>
      </c>
      <c r="B82" s="2308"/>
      <c r="C82" s="1278" t="s">
        <v>74</v>
      </c>
      <c r="D82" s="1279"/>
      <c r="E82" s="1279"/>
      <c r="F82" s="1279"/>
      <c r="G82" s="1279"/>
      <c r="H82" s="1279"/>
      <c r="I82" s="1279"/>
      <c r="J82" s="1279"/>
      <c r="K82" s="1279"/>
      <c r="L82" s="1279"/>
      <c r="M82" s="1279"/>
      <c r="N82" s="1279"/>
      <c r="O82" s="1279"/>
      <c r="P82" s="1294"/>
      <c r="Q82" s="1279"/>
      <c r="R82" s="930"/>
      <c r="S82" s="930"/>
      <c r="T82" s="930"/>
      <c r="U82" s="948"/>
    </row>
    <row r="83" spans="1:21" s="43" customFormat="1" ht="41.25" customHeight="1">
      <c r="A83" s="12" t="s">
        <v>1</v>
      </c>
      <c r="B83" s="13" t="s">
        <v>100</v>
      </c>
      <c r="C83" s="13" t="s">
        <v>97</v>
      </c>
      <c r="D83" s="12" t="s">
        <v>95</v>
      </c>
      <c r="E83" s="1280" t="s">
        <v>494</v>
      </c>
      <c r="F83" s="12" t="s">
        <v>495</v>
      </c>
      <c r="G83" s="12" t="s">
        <v>496</v>
      </c>
      <c r="H83" s="1280" t="s">
        <v>101</v>
      </c>
      <c r="I83" s="12" t="s">
        <v>98</v>
      </c>
      <c r="J83" s="12" t="s">
        <v>96</v>
      </c>
      <c r="K83" s="1295" t="s">
        <v>715</v>
      </c>
      <c r="L83" s="1295" t="s">
        <v>716</v>
      </c>
      <c r="M83" s="12">
        <v>0</v>
      </c>
      <c r="N83" s="12">
        <v>1</v>
      </c>
      <c r="O83" s="12">
        <v>2</v>
      </c>
      <c r="P83" s="12">
        <v>3</v>
      </c>
      <c r="Q83" s="12">
        <v>4</v>
      </c>
      <c r="R83" s="930"/>
      <c r="S83" s="930"/>
      <c r="T83" s="930"/>
      <c r="U83" s="948"/>
    </row>
    <row r="84" spans="1:21" s="43" customFormat="1">
      <c r="A84" s="14" t="s">
        <v>73</v>
      </c>
      <c r="B84" s="1281">
        <f t="shared" ref="B84:B89" si="0">$B$90/$D$90*D84</f>
        <v>79.52</v>
      </c>
      <c r="C84" s="1281">
        <f t="shared" ref="C84:C89" si="1">$C$90/$D$90*D84</f>
        <v>4394947</v>
      </c>
      <c r="D84" s="14">
        <v>1</v>
      </c>
      <c r="E84" s="1282">
        <f>SUMIFS(Октябрь2124[м2],Октябрь2124[МОП],$A84,Октябрь2124[№ дома],$C$82)</f>
        <v>0</v>
      </c>
      <c r="F84" s="1283">
        <f>SUMIFS(Октябрь2124[сумма без отделки],Октябрь2124[МОП],$A84,Октябрь2124[№ дома],$C$82)</f>
        <v>0</v>
      </c>
      <c r="G84" s="1284">
        <f>COUNTIFS(Октябрь2124[МОП],$A84,Октябрь2124[№ дома],$C$82)</f>
        <v>0</v>
      </c>
      <c r="H84" s="1285" t="e">
        <f>SUMIFS(#REF!,#REF!,1,#REF!,A84,#REF!,"&lt;="&amp;$A$1,#REF!,"&gt;="&amp;DATE(YEAR($A$1),MONTH($A$1),1))</f>
        <v>#REF!</v>
      </c>
      <c r="I84" s="1288" t="e">
        <f>SUMIFS(#REF!,#REF!,1,#REF!,A84,#REF!,"&lt;="&amp;$A$1,#REF!,"&gt;="&amp;DATE(YEAR($A$1),MONTH($A$1),1))</f>
        <v>#REF!</v>
      </c>
      <c r="J84" s="1285" t="e">
        <f>COUNTIFS(#REF!,1,#REF!,A84,#REF!,"&lt;="&amp;$A$1,#REF!,"&gt;="&amp;DATE(YEAR($A$1),MONTH($A$1),1))</f>
        <v>#REF!</v>
      </c>
      <c r="K84" s="1296" t="str">
        <f>IFERROR(H84/B84,"")</f>
        <v/>
      </c>
      <c r="L84" s="1296" t="str">
        <f>IFERROR(I84/C84,"")</f>
        <v/>
      </c>
      <c r="M84" s="1285" t="e">
        <f>COUNTIFS(#REF!,$M$83,#REF!,$A84,#REF!,1,#REF!,"&lt;="&amp;$A$1,#REF!,"&gt;="&amp;DATE(YEAR($A$1),MONTH($A$1),1))</f>
        <v>#REF!</v>
      </c>
      <c r="N84" s="1285" t="e">
        <f>COUNTIFS(#REF!,N$83,#REF!,$A84,#REF!,1,#REF!,"&lt;="&amp;$A$1,#REF!,"&gt;="&amp;DATE(YEAR($A$1),MONTH($A$1),1))</f>
        <v>#REF!</v>
      </c>
      <c r="O84" s="1285" t="e">
        <f>COUNTIFS(#REF!,O$83,#REF!,$A84,#REF!,1,#REF!,"&lt;="&amp;$A$1,#REF!,"&gt;="&amp;DATE(YEAR($A$1),MONTH($A$1),1))</f>
        <v>#REF!</v>
      </c>
      <c r="P84" s="1285" t="e">
        <f>COUNTIFS(#REF!,P$83,#REF!,$A84,#REF!,1,#REF!,"&lt;="&amp;$A$1,#REF!,"&gt;="&amp;DATE(YEAR($A$1),MONTH($A$1),1))</f>
        <v>#REF!</v>
      </c>
      <c r="Q84" s="1285" t="e">
        <f>COUNTIFS(#REF!,Q$83,#REF!,$A84,#REF!,1,#REF!,"&lt;="&amp;$A$1,#REF!,"&gt;="&amp;DATE(YEAR($A$1),MONTH($A$1),1))</f>
        <v>#REF!</v>
      </c>
      <c r="R84" s="930"/>
      <c r="S84" s="930"/>
      <c r="T84" s="930"/>
      <c r="U84" s="948"/>
    </row>
    <row r="85" spans="1:21" s="43" customFormat="1">
      <c r="A85" s="14" t="s">
        <v>407</v>
      </c>
      <c r="B85" s="1281">
        <f t="shared" si="0"/>
        <v>79.52</v>
      </c>
      <c r="C85" s="1281">
        <f t="shared" si="1"/>
        <v>4394947</v>
      </c>
      <c r="D85" s="14">
        <v>1</v>
      </c>
      <c r="E85" s="1282">
        <f>SUMIFS(Октябрь2124[м2],Октябрь2124[МОП],$A85,Октябрь2124[№ дома],$C$82)</f>
        <v>0</v>
      </c>
      <c r="F85" s="1283">
        <f>SUMIFS(Октябрь2124[сумма без отделки],Октябрь2124[МОП],$A85,Октябрь2124[№ дома],$C$82)</f>
        <v>0</v>
      </c>
      <c r="G85" s="1284">
        <f>COUNTIFS(Октябрь2124[МОП],$A85,Октябрь2124[№ дома],$C$82)</f>
        <v>0</v>
      </c>
      <c r="H85" s="1285" t="e">
        <f>SUMIFS(#REF!,#REF!,1,#REF!,A85,#REF!,"&lt;="&amp;$A$1,#REF!,"&gt;="&amp;DATE(YEAR($A$1),MONTH($A$1),1))</f>
        <v>#REF!</v>
      </c>
      <c r="I85" s="1288" t="e">
        <f>SUMIFS(#REF!,#REF!,1,#REF!,A85,#REF!,"&lt;="&amp;$A$1,#REF!,"&gt;="&amp;DATE(YEAR($A$1),MONTH($A$1),1))</f>
        <v>#REF!</v>
      </c>
      <c r="J85" s="1285" t="e">
        <f>COUNTIFS(#REF!,1,#REF!,A85,#REF!,"&lt;="&amp;$A$1,#REF!,"&gt;="&amp;DATE(YEAR($A$1),MONTH($A$1),1))</f>
        <v>#REF!</v>
      </c>
      <c r="K85" s="1296" t="str">
        <f t="shared" ref="K85:L90" si="2">IFERROR(H85/B85,"")</f>
        <v/>
      </c>
      <c r="L85" s="1296" t="str">
        <f t="shared" si="2"/>
        <v/>
      </c>
      <c r="M85" s="1285" t="e">
        <f>COUNTIFS(#REF!,$M$83,#REF!,$A85,#REF!,1,#REF!,"&lt;="&amp;$A$1,#REF!,"&gt;="&amp;DATE(YEAR($A$1),MONTH($A$1),1))</f>
        <v>#REF!</v>
      </c>
      <c r="N85" s="1285" t="e">
        <f>COUNTIFS(#REF!,N$83,#REF!,$A85,#REF!,1,#REF!,"&lt;="&amp;$A$1,#REF!,"&gt;="&amp;DATE(YEAR($A$1),MONTH($A$1),1))</f>
        <v>#REF!</v>
      </c>
      <c r="O85" s="1285" t="e">
        <f>COUNTIFS(#REF!,O$83,#REF!,$A85,#REF!,1,#REF!,"&lt;="&amp;$A$1,#REF!,"&gt;="&amp;DATE(YEAR($A$1),MONTH($A$1),1))</f>
        <v>#REF!</v>
      </c>
      <c r="P85" s="1285" t="e">
        <f>COUNTIFS(#REF!,P$83,#REF!,$A85,#REF!,1,#REF!,"&lt;="&amp;$A$1,#REF!,"&gt;="&amp;DATE(YEAR($A$1),MONTH($A$1),1))</f>
        <v>#REF!</v>
      </c>
      <c r="Q85" s="1285" t="e">
        <f>COUNTIFS(#REF!,Q$83,#REF!,$A85,#REF!,1,#REF!,"&lt;="&amp;$A$1,#REF!,"&gt;="&amp;DATE(YEAR($A$1),MONTH($A$1),1))</f>
        <v>#REF!</v>
      </c>
      <c r="R85" s="930"/>
      <c r="S85" s="930"/>
      <c r="T85" s="930"/>
      <c r="U85" s="948"/>
    </row>
    <row r="86" spans="1:21" s="43" customFormat="1">
      <c r="A86" s="14" t="s">
        <v>77</v>
      </c>
      <c r="B86" s="1281">
        <f t="shared" si="0"/>
        <v>79.52</v>
      </c>
      <c r="C86" s="1281">
        <f t="shared" si="1"/>
        <v>4394947</v>
      </c>
      <c r="D86" s="14">
        <v>1</v>
      </c>
      <c r="E86" s="1282">
        <f>SUMIFS(Октябрь2124[м2],Октябрь2124[МОП],$A86,Октябрь2124[№ дома],$C$82)</f>
        <v>0</v>
      </c>
      <c r="F86" s="1283">
        <f>SUMIFS(Октябрь2124[сумма без отделки],Октябрь2124[МОП],$A86,Октябрь2124[№ дома],$C$82)</f>
        <v>0</v>
      </c>
      <c r="G86" s="1284">
        <f>COUNTIFS(Октябрь2124[МОП],$A86,Октябрь2124[№ дома],$C$82)</f>
        <v>0</v>
      </c>
      <c r="H86" s="1285" t="e">
        <f>SUMIFS(#REF!,#REF!,1,#REF!,A86,#REF!,"&lt;="&amp;$A$1,#REF!,"&gt;="&amp;DATE(YEAR($A$1),MONTH($A$1),1))</f>
        <v>#REF!</v>
      </c>
      <c r="I86" s="1288" t="e">
        <f>SUMIFS(#REF!,#REF!,1,#REF!,A86,#REF!,"&lt;="&amp;$A$1,#REF!,"&gt;="&amp;DATE(YEAR($A$1),MONTH($A$1),1))</f>
        <v>#REF!</v>
      </c>
      <c r="J86" s="1285" t="e">
        <f>COUNTIFS(#REF!,1,#REF!,A86,#REF!,"&lt;="&amp;$A$1,#REF!,"&gt;="&amp;DATE(YEAR($A$1),MONTH($A$1),1))</f>
        <v>#REF!</v>
      </c>
      <c r="K86" s="1296" t="str">
        <f t="shared" si="2"/>
        <v/>
      </c>
      <c r="L86" s="1296" t="str">
        <f t="shared" si="2"/>
        <v/>
      </c>
      <c r="M86" s="1285" t="e">
        <f>COUNTIFS(#REF!,$M$83,#REF!,$A86,#REF!,1,#REF!,"&lt;="&amp;$A$1,#REF!,"&gt;="&amp;DATE(YEAR($A$1),MONTH($A$1),1))</f>
        <v>#REF!</v>
      </c>
      <c r="N86" s="1285" t="e">
        <f>COUNTIFS(#REF!,N$83,#REF!,$A86,#REF!,1,#REF!,"&lt;="&amp;$A$1,#REF!,"&gt;="&amp;DATE(YEAR($A$1),MONTH($A$1),1))</f>
        <v>#REF!</v>
      </c>
      <c r="O86" s="1285" t="e">
        <f>COUNTIFS(#REF!,O$83,#REF!,$A86,#REF!,1,#REF!,"&lt;="&amp;$A$1,#REF!,"&gt;="&amp;DATE(YEAR($A$1),MONTH($A$1),1))</f>
        <v>#REF!</v>
      </c>
      <c r="P86" s="1285" t="e">
        <f>COUNTIFS(#REF!,P$83,#REF!,$A86,#REF!,1,#REF!,"&lt;="&amp;$A$1,#REF!,"&gt;="&amp;DATE(YEAR($A$1),MONTH($A$1),1))</f>
        <v>#REF!</v>
      </c>
      <c r="Q86" s="1285" t="e">
        <f>COUNTIFS(#REF!,Q$83,#REF!,$A86,#REF!,1,#REF!,"&lt;="&amp;$A$1,#REF!,"&gt;="&amp;DATE(YEAR($A$1),MONTH($A$1),1))</f>
        <v>#REF!</v>
      </c>
      <c r="R86" s="930"/>
      <c r="S86" s="930"/>
      <c r="T86" s="930"/>
      <c r="U86" s="948"/>
    </row>
    <row r="87" spans="1:21" s="43" customFormat="1">
      <c r="A87" s="14" t="s">
        <v>471</v>
      </c>
      <c r="B87" s="1281">
        <f t="shared" si="0"/>
        <v>79.52</v>
      </c>
      <c r="C87" s="1281">
        <f t="shared" si="1"/>
        <v>4394947</v>
      </c>
      <c r="D87" s="14">
        <v>1</v>
      </c>
      <c r="E87" s="1282">
        <f>SUMIFS(Октябрь2124[м2],Октябрь2124[МОП],$A87,Октябрь2124[№ дома],$C$82)</f>
        <v>0</v>
      </c>
      <c r="F87" s="1283">
        <f>SUMIFS(Октябрь2124[сумма без отделки],Октябрь2124[МОП],$A87,Октябрь2124[№ дома],$C$82)</f>
        <v>0</v>
      </c>
      <c r="G87" s="1284">
        <f>COUNTIFS(Октябрь2124[МОП],$A87,Октябрь2124[№ дома],$C$82)</f>
        <v>0</v>
      </c>
      <c r="H87" s="1285" t="e">
        <f>SUMIFS(#REF!,#REF!,1,#REF!,A87,#REF!,"&lt;="&amp;$A$1,#REF!,"&gt;="&amp;DATE(YEAR($A$1),MONTH($A$1),1))</f>
        <v>#REF!</v>
      </c>
      <c r="I87" s="1288" t="e">
        <f>SUMIFS(#REF!,#REF!,1,#REF!,A87,#REF!,"&lt;="&amp;$A$1,#REF!,"&gt;="&amp;DATE(YEAR($A$1),MONTH($A$1),1))</f>
        <v>#REF!</v>
      </c>
      <c r="J87" s="1285" t="e">
        <f>COUNTIFS(#REF!,1,#REF!,A87,#REF!,"&lt;="&amp;$A$1,#REF!,"&gt;="&amp;DATE(YEAR($A$1),MONTH($A$1),1))</f>
        <v>#REF!</v>
      </c>
      <c r="K87" s="1296" t="str">
        <f t="shared" si="2"/>
        <v/>
      </c>
      <c r="L87" s="1296" t="str">
        <f t="shared" si="2"/>
        <v/>
      </c>
      <c r="M87" s="1285" t="e">
        <f>COUNTIFS(#REF!,$M$83,#REF!,$A87,#REF!,1,#REF!,"&lt;="&amp;$A$1,#REF!,"&gt;="&amp;DATE(YEAR($A$1),MONTH($A$1),1))</f>
        <v>#REF!</v>
      </c>
      <c r="N87" s="1285" t="e">
        <f>COUNTIFS(#REF!,N$83,#REF!,$A87,#REF!,1,#REF!,"&lt;="&amp;$A$1,#REF!,"&gt;="&amp;DATE(YEAR($A$1),MONTH($A$1),1))</f>
        <v>#REF!</v>
      </c>
      <c r="O87" s="1285" t="e">
        <f>COUNTIFS(#REF!,O$83,#REF!,$A87,#REF!,1,#REF!,"&lt;="&amp;$A$1,#REF!,"&gt;="&amp;DATE(YEAR($A$1),MONTH($A$1),1))</f>
        <v>#REF!</v>
      </c>
      <c r="P87" s="1285" t="e">
        <f>COUNTIFS(#REF!,P$83,#REF!,$A87,#REF!,1,#REF!,"&lt;="&amp;$A$1,#REF!,"&gt;="&amp;DATE(YEAR($A$1),MONTH($A$1),1))</f>
        <v>#REF!</v>
      </c>
      <c r="Q87" s="1285" t="e">
        <f>COUNTIFS(#REF!,Q$83,#REF!,$A87,#REF!,1,#REF!,"&lt;="&amp;$A$1,#REF!,"&gt;="&amp;DATE(YEAR($A$1),MONTH($A$1),1))</f>
        <v>#REF!</v>
      </c>
      <c r="R87" s="930"/>
      <c r="S87" s="930"/>
      <c r="T87" s="930"/>
      <c r="U87" s="948"/>
    </row>
    <row r="88" spans="1:21" s="43" customFormat="1">
      <c r="A88" s="14" t="s">
        <v>20</v>
      </c>
      <c r="B88" s="1281">
        <f t="shared" si="0"/>
        <v>79.52</v>
      </c>
      <c r="C88" s="1281">
        <f t="shared" si="1"/>
        <v>4394947</v>
      </c>
      <c r="D88" s="14">
        <v>1</v>
      </c>
      <c r="E88" s="1282">
        <f>SUMIFS(Октябрь2124[м2],Октябрь2124[МОП],$A88,Октябрь2124[№ дома],$C$82)</f>
        <v>0</v>
      </c>
      <c r="F88" s="1283">
        <f>SUMIFS(Октябрь2124[сумма без отделки],Октябрь2124[МОП],$A88,Октябрь2124[№ дома],$C$82)</f>
        <v>0</v>
      </c>
      <c r="G88" s="1284">
        <f>COUNTIFS(Октябрь2124[МОП],$A88,Октябрь2124[№ дома],$C$82)</f>
        <v>0</v>
      </c>
      <c r="H88" s="1285" t="e">
        <f>SUMIFS(#REF!,#REF!,1,#REF!,A88,#REF!,"&lt;="&amp;$A$1,#REF!,"&gt;="&amp;DATE(YEAR($A$1),MONTH($A$1),1))</f>
        <v>#REF!</v>
      </c>
      <c r="I88" s="1288" t="e">
        <f>SUMIFS(#REF!,#REF!,1,#REF!,A88,#REF!,"&lt;="&amp;$A$1,#REF!,"&gt;="&amp;DATE(YEAR($A$1),MONTH($A$1),1))</f>
        <v>#REF!</v>
      </c>
      <c r="J88" s="1285" t="e">
        <f>COUNTIFS(#REF!,1,#REF!,A88,#REF!,"&lt;="&amp;$A$1,#REF!,"&gt;="&amp;DATE(YEAR($A$1),MONTH($A$1),1))</f>
        <v>#REF!</v>
      </c>
      <c r="K88" s="1296" t="str">
        <f t="shared" si="2"/>
        <v/>
      </c>
      <c r="L88" s="1296" t="str">
        <f t="shared" si="2"/>
        <v/>
      </c>
      <c r="M88" s="1285" t="e">
        <f>COUNTIFS(#REF!,$M$83,#REF!,$A88,#REF!,1,#REF!,"&lt;="&amp;$A$1,#REF!,"&gt;="&amp;DATE(YEAR($A$1),MONTH($A$1),1))</f>
        <v>#REF!</v>
      </c>
      <c r="N88" s="1285" t="e">
        <f>COUNTIFS(#REF!,N$83,#REF!,$A88,#REF!,1,#REF!,"&lt;="&amp;$A$1,#REF!,"&gt;="&amp;DATE(YEAR($A$1),MONTH($A$1),1))</f>
        <v>#REF!</v>
      </c>
      <c r="O88" s="1285" t="e">
        <f>COUNTIFS(#REF!,O$83,#REF!,$A88,#REF!,1,#REF!,"&lt;="&amp;$A$1,#REF!,"&gt;="&amp;DATE(YEAR($A$1),MONTH($A$1),1))</f>
        <v>#REF!</v>
      </c>
      <c r="P88" s="1285" t="e">
        <f>COUNTIFS(#REF!,P$83,#REF!,$A88,#REF!,1,#REF!,"&lt;="&amp;$A$1,#REF!,"&gt;="&amp;DATE(YEAR($A$1),MONTH($A$1),1))</f>
        <v>#REF!</v>
      </c>
      <c r="Q88" s="1285" t="e">
        <f>COUNTIFS(#REF!,Q$83,#REF!,$A88,#REF!,1,#REF!,"&lt;="&amp;$A$1,#REF!,"&gt;="&amp;DATE(YEAR($A$1),MONTH($A$1),1))</f>
        <v>#REF!</v>
      </c>
      <c r="R88" s="930"/>
      <c r="S88" s="930"/>
      <c r="T88" s="930"/>
      <c r="U88" s="948"/>
    </row>
    <row r="89" spans="1:21" s="43" customFormat="1">
      <c r="A89" s="14" t="s">
        <v>63</v>
      </c>
      <c r="B89" s="1281">
        <f t="shared" si="0"/>
        <v>79.52</v>
      </c>
      <c r="C89" s="1281">
        <f t="shared" si="1"/>
        <v>4394947</v>
      </c>
      <c r="D89" s="14">
        <v>1</v>
      </c>
      <c r="E89" s="1282">
        <f>SUMIFS(Октябрь2124[м2],Октябрь2124[МОП],$A89,Октябрь2124[№ дома],$C$82)</f>
        <v>0</v>
      </c>
      <c r="F89" s="1283">
        <f>SUMIFS(Октябрь2124[сумма без отделки],Октябрь2124[МОП],$A89,Октябрь2124[№ дома],$C$82)</f>
        <v>0</v>
      </c>
      <c r="G89" s="1284">
        <f>COUNTIFS(Октябрь2124[МОП],$A89,Октябрь2124[№ дома],$C$82)</f>
        <v>0</v>
      </c>
      <c r="H89" s="1285" t="e">
        <f>SUMIFS(#REF!,#REF!,1,#REF!,A89,#REF!,"&lt;="&amp;$A$1,#REF!,"&gt;="&amp;DATE(YEAR($A$1),MONTH($A$1),1))</f>
        <v>#REF!</v>
      </c>
      <c r="I89" s="1288" t="e">
        <f>SUMIFS(#REF!,#REF!,1,#REF!,A89,#REF!,"&lt;="&amp;$A$1,#REF!,"&gt;="&amp;DATE(YEAR($A$1),MONTH($A$1),1))</f>
        <v>#REF!</v>
      </c>
      <c r="J89" s="1285" t="e">
        <f>COUNTIFS(#REF!,1,#REF!,A89,#REF!,"&lt;="&amp;$A$1,#REF!,"&gt;="&amp;DATE(YEAR($A$1),MONTH($A$1),1))</f>
        <v>#REF!</v>
      </c>
      <c r="K89" s="1296" t="str">
        <f t="shared" si="2"/>
        <v/>
      </c>
      <c r="L89" s="1296" t="str">
        <f t="shared" si="2"/>
        <v/>
      </c>
      <c r="M89" s="1285" t="e">
        <f>COUNTIFS(#REF!,$M$83,#REF!,$A89,#REF!,1,#REF!,"&lt;="&amp;$A$1,#REF!,"&gt;="&amp;DATE(YEAR($A$1),MONTH($A$1),1))</f>
        <v>#REF!</v>
      </c>
      <c r="N89" s="1285" t="e">
        <f>COUNTIFS(#REF!,N$83,#REF!,$A89,#REF!,1,#REF!,"&lt;="&amp;$A$1,#REF!,"&gt;="&amp;DATE(YEAR($A$1),MONTH($A$1),1))</f>
        <v>#REF!</v>
      </c>
      <c r="O89" s="1285" t="e">
        <f>COUNTIFS(#REF!,O$83,#REF!,$A89,#REF!,1,#REF!,"&lt;="&amp;$A$1,#REF!,"&gt;="&amp;DATE(YEAR($A$1),MONTH($A$1),1))</f>
        <v>#REF!</v>
      </c>
      <c r="P89" s="1285" t="e">
        <f>COUNTIFS(#REF!,P$83,#REF!,$A89,#REF!,1,#REF!,"&lt;="&amp;$A$1,#REF!,"&gt;="&amp;DATE(YEAR($A$1),MONTH($A$1),1))</f>
        <v>#REF!</v>
      </c>
      <c r="Q89" s="1285" t="e">
        <f>COUNTIFS(#REF!,Q$83,#REF!,$A89,#REF!,1,#REF!,"&lt;="&amp;$A$1,#REF!,"&gt;="&amp;DATE(YEAR($A$1),MONTH($A$1),1))</f>
        <v>#REF!</v>
      </c>
      <c r="R89" s="930"/>
      <c r="S89" s="930"/>
      <c r="T89" s="930"/>
      <c r="U89" s="948"/>
    </row>
    <row r="90" spans="1:21" s="1237" customFormat="1">
      <c r="A90" s="27" t="s">
        <v>114</v>
      </c>
      <c r="B90" s="1286">
        <v>477.12</v>
      </c>
      <c r="C90" s="1286">
        <v>26369682</v>
      </c>
      <c r="D90" s="27">
        <f>SUM(D84:D89)</f>
        <v>6</v>
      </c>
      <c r="E90" s="18">
        <f>SUM(E84:E89)</f>
        <v>0</v>
      </c>
      <c r="F90" s="27">
        <f>SUM(F84:F89)</f>
        <v>0</v>
      </c>
      <c r="G90" s="27">
        <f>SUM(G84:G89)</f>
        <v>0</v>
      </c>
      <c r="H90" s="18" t="e">
        <f t="shared" ref="H90:Q90" si="3">SUM(H84:H89)</f>
        <v>#REF!</v>
      </c>
      <c r="I90" s="18" t="e">
        <f t="shared" si="3"/>
        <v>#REF!</v>
      </c>
      <c r="J90" s="18" t="e">
        <f t="shared" si="3"/>
        <v>#REF!</v>
      </c>
      <c r="K90" s="1297" t="str">
        <f t="shared" si="2"/>
        <v/>
      </c>
      <c r="L90" s="1297" t="str">
        <f t="shared" si="2"/>
        <v/>
      </c>
      <c r="M90" s="18" t="e">
        <f t="shared" si="3"/>
        <v>#REF!</v>
      </c>
      <c r="N90" s="18" t="e">
        <f t="shared" si="3"/>
        <v>#REF!</v>
      </c>
      <c r="O90" s="18" t="e">
        <f t="shared" si="3"/>
        <v>#REF!</v>
      </c>
      <c r="P90" s="1298" t="e">
        <f t="shared" si="3"/>
        <v>#REF!</v>
      </c>
      <c r="Q90" s="18" t="e">
        <f t="shared" si="3"/>
        <v>#REF!</v>
      </c>
      <c r="R90" s="1306"/>
      <c r="S90" s="1306"/>
      <c r="T90" s="1306"/>
      <c r="U90" s="1306"/>
    </row>
    <row r="91" spans="1:21" s="43" customFormat="1" ht="25.5">
      <c r="A91" s="20" t="s">
        <v>115</v>
      </c>
      <c r="B91" s="13" t="s">
        <v>100</v>
      </c>
      <c r="C91" s="21" t="s">
        <v>97</v>
      </c>
      <c r="D91" s="12" t="s">
        <v>95</v>
      </c>
      <c r="E91" s="1287" t="s">
        <v>494</v>
      </c>
      <c r="F91" s="1287" t="s">
        <v>495</v>
      </c>
      <c r="G91" s="1287" t="s">
        <v>496</v>
      </c>
      <c r="H91" s="1280" t="s">
        <v>101</v>
      </c>
      <c r="I91" s="12" t="s">
        <v>98</v>
      </c>
      <c r="J91" s="12" t="s">
        <v>96</v>
      </c>
      <c r="K91" s="1295" t="s">
        <v>715</v>
      </c>
      <c r="L91" s="1295" t="s">
        <v>716</v>
      </c>
      <c r="M91" s="12">
        <v>0</v>
      </c>
      <c r="N91" s="12">
        <v>1</v>
      </c>
      <c r="O91" s="12">
        <v>2</v>
      </c>
      <c r="P91" s="12">
        <v>3</v>
      </c>
      <c r="Q91" s="12">
        <v>4</v>
      </c>
      <c r="R91" s="930"/>
      <c r="S91" s="930"/>
      <c r="T91" s="930"/>
      <c r="U91" s="948"/>
    </row>
    <row r="92" spans="1:21" s="1238" customFormat="1">
      <c r="A92" s="22" t="s">
        <v>16</v>
      </c>
      <c r="B92" s="1283">
        <f>B90/D90*D92</f>
        <v>397.59999999999997</v>
      </c>
      <c r="C92" s="1283">
        <f>C90/D90*D92</f>
        <v>21974735</v>
      </c>
      <c r="D92" s="40">
        <v>5</v>
      </c>
      <c r="E92" s="1284">
        <f>SUMIFS(сентябрь4[м2],сентябрь4[ИМ],A92,сентябрь4[№ дома],$C$82)</f>
        <v>327.09999999999997</v>
      </c>
      <c r="F92" s="1282">
        <f>SUMIFS(сентябрь4[сумма без отделки],сентябрь4[ИМ],$A92,сентябрь4[№ дома],$C$82)</f>
        <v>12844430.4</v>
      </c>
      <c r="G92" s="1284">
        <f>COUNTIFS(сентябрь4[ИМ],$A92,сентябрь4[№ дома],$C$82)</f>
        <v>4</v>
      </c>
      <c r="H92" s="1288" t="e">
        <f>SUMIFS(#REF!,#REF!,1,#REF!,A92,#REF!,"&lt;="&amp;$A$1,#REF!,"&gt;="&amp;DATE(YEAR($A$1),MONTH($A$1),1))</f>
        <v>#REF!</v>
      </c>
      <c r="I92" s="1288" t="e">
        <f>SUMIFS(#REF!,#REF!,1,#REF!,A92,#REF!,"&lt;="&amp;$A$1,#REF!,"&gt;="&amp;DATE(YEAR($A$1),MONTH($A$1),1))</f>
        <v>#REF!</v>
      </c>
      <c r="J92" s="1288" t="e">
        <f>COUNTIFS(#REF!,1,#REF!,A92,#REF!,"&lt;="&amp;$A$1,#REF!,"&gt;="&amp;DATE(YEAR($A$1),MONTH($A$1),1))</f>
        <v>#REF!</v>
      </c>
      <c r="K92" s="1296" t="str">
        <f t="shared" ref="K92:L94" si="4">IFERROR(H92/B92,"")</f>
        <v/>
      </c>
      <c r="L92" s="1296" t="str">
        <f t="shared" si="4"/>
        <v/>
      </c>
      <c r="M92" s="1288" t="e">
        <f>COUNTIFS(#REF!,M$91,#REF!,$A92,#REF!,1,#REF!,"&lt;="&amp;$A$1,#REF!,"&gt;="&amp;DATE(YEAR($A$1),MONTH($A$1),1))</f>
        <v>#REF!</v>
      </c>
      <c r="N92" s="1288" t="e">
        <f>COUNTIFS(#REF!,N$91,#REF!,$A92,#REF!,1,#REF!,"&lt;="&amp;$A$1,#REF!,"&gt;="&amp;DATE(YEAR($A$1),MONTH($A$1),1))</f>
        <v>#REF!</v>
      </c>
      <c r="O92" s="1288" t="e">
        <f>COUNTIFS(#REF!,O$91,#REF!,$A92,#REF!,1,#REF!,"&lt;="&amp;$A$1,#REF!,"&gt;="&amp;DATE(YEAR($A$1),MONTH($A$1),1))</f>
        <v>#REF!</v>
      </c>
      <c r="P92" s="1288" t="e">
        <f>COUNTIFS(#REF!,P$91,#REF!,$A92,#REF!,1,#REF!,"&lt;="&amp;$A$1,#REF!,"&gt;="&amp;DATE(YEAR($A$1),MONTH($A$1),1))</f>
        <v>#REF!</v>
      </c>
      <c r="Q92" s="1288" t="e">
        <f>COUNTIFS(#REF!,Q$91,#REF!,$A92,#REF!,1,#REF!,"&lt;="&amp;$A$1,#REF!,"&gt;="&amp;DATE(YEAR($A$1),MONTH($A$1),1))</f>
        <v>#REF!</v>
      </c>
      <c r="R92" s="948"/>
      <c r="S92" s="948"/>
      <c r="T92" s="948"/>
      <c r="U92" s="948"/>
    </row>
    <row r="93" spans="1:21" s="948" customFormat="1">
      <c r="A93" s="22" t="s">
        <v>575</v>
      </c>
      <c r="B93" s="1283">
        <f>B90/D90*D93</f>
        <v>0</v>
      </c>
      <c r="C93" s="1283">
        <f>C90/D90*D93</f>
        <v>0</v>
      </c>
      <c r="D93" s="40"/>
      <c r="E93" s="1284">
        <f>SUMIFS(сентябрь4[м2],сентябрь4[ИМ],A93,сентябрь4[№ дома],$C$82)</f>
        <v>0</v>
      </c>
      <c r="F93" s="1282">
        <f>SUMIFS(сентябрь4[сумма без отделки],сентябрь4[ИМ],$A93,сентябрь4[№ дома],$C$82)</f>
        <v>0</v>
      </c>
      <c r="G93" s="1284">
        <f>COUNTIFS(сентябрь4[ИМ],$A93,сентябрь4[№ дома],$C$82)</f>
        <v>0</v>
      </c>
      <c r="H93" s="1289" t="e">
        <f>SUMIFS(#REF!,#REF!,1,#REF!,A93,#REF!,"&lt;="&amp;$A$1,#REF!,"&gt;="&amp;DATE(YEAR($A$1),MONTH($A$1),1))</f>
        <v>#REF!</v>
      </c>
      <c r="I93" s="1289" t="e">
        <f>SUMIFS(#REF!,#REF!,1,#REF!,A93,#REF!,"&lt;="&amp;$A$1,#REF!,"&gt;="&amp;DATE(YEAR($A$1),MONTH($A$1),1))</f>
        <v>#REF!</v>
      </c>
      <c r="J93" s="1289" t="e">
        <f>COUNTIFS(#REF!,1,#REF!,A93,#REF!,"&lt;="&amp;$A$1,#REF!,"&gt;="&amp;DATE(YEAR($A$1),MONTH($A$1),1))</f>
        <v>#REF!</v>
      </c>
      <c r="K93" s="1296" t="str">
        <f t="shared" si="4"/>
        <v/>
      </c>
      <c r="L93" s="1296" t="str">
        <f t="shared" si="4"/>
        <v/>
      </c>
      <c r="M93" s="1288" t="e">
        <f>COUNTIFS(#REF!,M$91,#REF!,$A93,#REF!,1,#REF!,"&lt;="&amp;$A$1,#REF!,"&gt;="&amp;DATE(YEAR($A$1),MONTH($A$1),1))</f>
        <v>#REF!</v>
      </c>
      <c r="N93" s="1288" t="e">
        <f>COUNTIFS(#REF!,N$91,#REF!,$A93,#REF!,1,#REF!,"&lt;="&amp;$A$1,#REF!,"&gt;="&amp;DATE(YEAR($A$1),MONTH($A$1),1))</f>
        <v>#REF!</v>
      </c>
      <c r="O93" s="1288" t="e">
        <f>COUNTIFS(#REF!,O$91,#REF!,$A93,#REF!,1,#REF!,"&lt;="&amp;$A$1,#REF!,"&gt;="&amp;DATE(YEAR($A$1),MONTH($A$1),1))</f>
        <v>#REF!</v>
      </c>
      <c r="P93" s="1288" t="e">
        <f>COUNTIFS(#REF!,P$91,#REF!,$A93,#REF!,1,#REF!,"&lt;="&amp;$A$1,#REF!,"&gt;="&amp;DATE(YEAR($A$1),MONTH($A$1),1))</f>
        <v>#REF!</v>
      </c>
      <c r="Q93" s="1288" t="e">
        <f>COUNTIFS(#REF!,Q$91,#REF!,$A93,#REF!,1,#REF!,"&lt;="&amp;$A$1,#REF!,"&gt;="&amp;DATE(YEAR($A$1),MONTH($A$1),1))</f>
        <v>#REF!</v>
      </c>
    </row>
    <row r="94" spans="1:21" s="43" customFormat="1">
      <c r="A94" s="1278" t="s">
        <v>114</v>
      </c>
      <c r="B94" s="27">
        <f>SUM(B92:B93)</f>
        <v>397.59999999999997</v>
      </c>
      <c r="C94" s="27">
        <f>SUM(C92:C93)</f>
        <v>21974735</v>
      </c>
      <c r="D94" s="27">
        <f>SUM(D92:D93)</f>
        <v>5</v>
      </c>
      <c r="E94" s="27">
        <f t="shared" ref="E94:J94" si="5">SUM(E92:E93)</f>
        <v>327.09999999999997</v>
      </c>
      <c r="F94" s="27">
        <f t="shared" si="5"/>
        <v>12844430.4</v>
      </c>
      <c r="G94" s="27">
        <f t="shared" si="5"/>
        <v>4</v>
      </c>
      <c r="H94" s="27" t="e">
        <f t="shared" si="5"/>
        <v>#REF!</v>
      </c>
      <c r="I94" s="27" t="e">
        <f t="shared" si="5"/>
        <v>#REF!</v>
      </c>
      <c r="J94" s="27" t="e">
        <f t="shared" si="5"/>
        <v>#REF!</v>
      </c>
      <c r="K94" s="1299" t="e">
        <f>H94/B94</f>
        <v>#REF!</v>
      </c>
      <c r="L94" s="1297" t="str">
        <f t="shared" si="4"/>
        <v/>
      </c>
      <c r="M94" s="9" t="e">
        <f>SUM(M92:M92)</f>
        <v>#REF!</v>
      </c>
      <c r="N94" s="9" t="e">
        <f>SUM(N92:N92)</f>
        <v>#REF!</v>
      </c>
      <c r="O94" s="9" t="e">
        <f>SUM(O92:O92)</f>
        <v>#REF!</v>
      </c>
      <c r="P94" s="1300" t="e">
        <f>SUM(P92:P92)</f>
        <v>#REF!</v>
      </c>
      <c r="Q94" s="9" t="e">
        <f>SUM(Q92:Q92)</f>
        <v>#REF!</v>
      </c>
      <c r="R94" s="930"/>
      <c r="S94" s="930"/>
      <c r="T94" s="930"/>
      <c r="U94" s="948"/>
    </row>
    <row r="95" spans="1:21" s="43" customFormat="1">
      <c r="A95" s="7"/>
      <c r="B95" s="1290"/>
      <c r="C95" s="1290"/>
      <c r="D95" s="7"/>
      <c r="E95" s="1291"/>
      <c r="F95" s="1291"/>
      <c r="G95" s="1291"/>
      <c r="H95" s="198"/>
      <c r="I95" s="30"/>
      <c r="J95" s="198"/>
      <c r="K95" s="1301"/>
      <c r="L95" s="1302"/>
      <c r="M95" s="134"/>
      <c r="N95" s="134"/>
      <c r="O95" s="134"/>
      <c r="P95" s="262"/>
      <c r="Q95" s="134"/>
      <c r="R95" s="930"/>
      <c r="S95" s="930"/>
      <c r="T95" s="930"/>
      <c r="U95" s="948"/>
    </row>
    <row r="96" spans="1:21" s="43" customFormat="1">
      <c r="A96" s="2307" t="s">
        <v>713</v>
      </c>
      <c r="B96" s="2308"/>
      <c r="C96" s="1278" t="s">
        <v>121</v>
      </c>
      <c r="D96" s="1279"/>
      <c r="E96" s="1292"/>
      <c r="F96" s="1292"/>
      <c r="G96" s="1292"/>
      <c r="H96" s="1279"/>
      <c r="I96" s="1279"/>
      <c r="J96" s="1279"/>
      <c r="K96" s="1279"/>
      <c r="L96" s="1279"/>
      <c r="M96" s="1279"/>
      <c r="N96" s="1279"/>
      <c r="O96" s="1279"/>
      <c r="P96" s="1294"/>
      <c r="Q96" s="1279"/>
      <c r="R96" s="930"/>
      <c r="S96" s="930"/>
      <c r="T96" s="930"/>
      <c r="U96" s="948"/>
    </row>
    <row r="97" spans="1:21" s="43" customFormat="1" ht="25.5">
      <c r="A97" s="12" t="s">
        <v>1</v>
      </c>
      <c r="B97" s="13" t="s">
        <v>100</v>
      </c>
      <c r="C97" s="13" t="s">
        <v>97</v>
      </c>
      <c r="D97" s="12" t="s">
        <v>95</v>
      </c>
      <c r="E97" s="1287" t="s">
        <v>494</v>
      </c>
      <c r="F97" s="1287" t="s">
        <v>495</v>
      </c>
      <c r="G97" s="1287" t="s">
        <v>496</v>
      </c>
      <c r="H97" s="1280" t="s">
        <v>101</v>
      </c>
      <c r="I97" s="12" t="s">
        <v>98</v>
      </c>
      <c r="J97" s="12" t="s">
        <v>96</v>
      </c>
      <c r="K97" s="1295" t="s">
        <v>715</v>
      </c>
      <c r="L97" s="1295" t="s">
        <v>716</v>
      </c>
      <c r="M97" s="12">
        <v>0</v>
      </c>
      <c r="N97" s="12">
        <v>1</v>
      </c>
      <c r="O97" s="12">
        <v>2</v>
      </c>
      <c r="P97" s="12">
        <v>3</v>
      </c>
      <c r="Q97" s="12">
        <v>4</v>
      </c>
      <c r="R97" s="930"/>
      <c r="S97" s="930"/>
      <c r="T97" s="930"/>
      <c r="U97" s="948"/>
    </row>
    <row r="98" spans="1:21" s="43" customFormat="1">
      <c r="A98" s="14" t="s">
        <v>73</v>
      </c>
      <c r="B98" s="1281">
        <f t="shared" ref="B98:B103" si="6">$B$104/$D$104*D98</f>
        <v>102.58823529411765</v>
      </c>
      <c r="C98" s="1281">
        <f t="shared" ref="C98:C103" si="7">$C$104/$D$104*D98</f>
        <v>6964211.5294117648</v>
      </c>
      <c r="D98" s="14">
        <v>2</v>
      </c>
      <c r="E98" s="1282">
        <f>SUMIFS(Октябрь2124[м2],Октябрь2124[МОП],$A98,Октябрь2124[№ дома],$C$96)</f>
        <v>0</v>
      </c>
      <c r="F98" s="1283">
        <f>SUMIFS(Октябрь2124[сумма без отделки],Октябрь2124[МОП],$A98,Октябрь2124[№ дома],$C$96)</f>
        <v>0</v>
      </c>
      <c r="G98" s="1284">
        <f>COUNTIFS(Октябрь2124[МОП],$A98,Октябрь2124[№ дома],$C$96)</f>
        <v>0</v>
      </c>
      <c r="H98" s="1285" t="e">
        <f>SUMIFS(#REF!,#REF!,2,#REF!,A98,#REF!,"&lt;="&amp;$A$1,#REF!,"&gt;="&amp;DATE(YEAR($A$1),MONTH($A$1),1))</f>
        <v>#REF!</v>
      </c>
      <c r="I98" s="1288" t="e">
        <f>SUMIFS(#REF!,#REF!,2,#REF!,A98,#REF!,"&lt;="&amp;$A$1,#REF!,"&gt;="&amp;DATE(YEAR($A$1),MONTH($A$1),1))</f>
        <v>#REF!</v>
      </c>
      <c r="J98" s="1285" t="e">
        <f>COUNTIFS(#REF!,2,#REF!,A98,#REF!,"&lt;="&amp;$A$1,#REF!,"&gt;="&amp;DATE(YEAR($A$1),MONTH($A$1),1))</f>
        <v>#REF!</v>
      </c>
      <c r="K98" s="1296" t="str">
        <f>IFERROR(H98/B98,"")</f>
        <v/>
      </c>
      <c r="L98" s="1296" t="str">
        <f>IFERROR(I98/C98,"")</f>
        <v/>
      </c>
      <c r="M98" s="1285" t="e">
        <f>COUNTIFS(#REF!,M$97,#REF!,$A98,#REF!,2,#REF!,"&lt;="&amp;$A$1,#REF!,"&gt;="&amp;DATE(YEAR($A$1),MONTH($A$1),1))</f>
        <v>#REF!</v>
      </c>
      <c r="N98" s="1285" t="e">
        <f>COUNTIFS(#REF!,N$97,#REF!,$A98,#REF!,2,#REF!,"&lt;="&amp;$A$1,#REF!,"&gt;="&amp;DATE(YEAR($A$1),MONTH($A$1),1))</f>
        <v>#REF!</v>
      </c>
      <c r="O98" s="1285" t="e">
        <f>COUNTIFS(#REF!,O$97,#REF!,$A98,#REF!,2,#REF!,"&lt;="&amp;$A$1,#REF!,"&gt;="&amp;DATE(YEAR($A$1),MONTH($A$1),1))</f>
        <v>#REF!</v>
      </c>
      <c r="P98" s="1285" t="e">
        <f>COUNTIFS(#REF!,P$97,#REF!,$A98,#REF!,2,#REF!,"&lt;="&amp;$A$1,#REF!,"&gt;="&amp;DATE(YEAR($A$1),MONTH($A$1),1))</f>
        <v>#REF!</v>
      </c>
      <c r="Q98" s="1285" t="e">
        <f>COUNTIFS(#REF!,Q$97,#REF!,$A98,#REF!,2,#REF!,"&lt;="&amp;$A$1,#REF!,"&gt;="&amp;DATE(YEAR($A$1),MONTH($A$1),1))</f>
        <v>#REF!</v>
      </c>
      <c r="R98" s="930"/>
      <c r="S98" s="930"/>
      <c r="T98" s="930"/>
      <c r="U98" s="948"/>
    </row>
    <row r="99" spans="1:21" s="43" customFormat="1">
      <c r="A99" s="14" t="s">
        <v>407</v>
      </c>
      <c r="B99" s="1281">
        <f t="shared" si="6"/>
        <v>153.88235294117646</v>
      </c>
      <c r="C99" s="1281">
        <f t="shared" si="7"/>
        <v>10446317.294117648</v>
      </c>
      <c r="D99" s="14">
        <v>3</v>
      </c>
      <c r="E99" s="1282">
        <f>SUMIFS(Октябрь2124[м2],Октябрь2124[МОП],$A99,Октябрь2124[№ дома],$C$96)</f>
        <v>0</v>
      </c>
      <c r="F99" s="1283">
        <f>SUMIFS(Октябрь2124[сумма без отделки],Октябрь2124[МОП],$A99,Октябрь2124[№ дома],$C$96)</f>
        <v>0</v>
      </c>
      <c r="G99" s="1284">
        <f>COUNTIFS(Октябрь2124[МОП],$A99,Октябрь2124[№ дома],$C$96)</f>
        <v>0</v>
      </c>
      <c r="H99" s="1285" t="e">
        <f>SUMIFS(#REF!,#REF!,2,#REF!,A99,#REF!,"&lt;="&amp;$A$1,#REF!,"&gt;="&amp;DATE(YEAR($A$1),MONTH($A$1),1))</f>
        <v>#REF!</v>
      </c>
      <c r="I99" s="1288" t="e">
        <f>SUMIFS(#REF!,#REF!,2,#REF!,A99,#REF!,"&lt;="&amp;$A$1,#REF!,"&gt;="&amp;DATE(YEAR($A$1),MONTH($A$1),1))</f>
        <v>#REF!</v>
      </c>
      <c r="J99" s="1285" t="e">
        <f>COUNTIFS(#REF!,2,#REF!,A99,#REF!,"&lt;="&amp;$A$1,#REF!,"&gt;="&amp;DATE(YEAR($A$1),MONTH($A$1),1))</f>
        <v>#REF!</v>
      </c>
      <c r="K99" s="1296" t="str">
        <f t="shared" ref="K99:L104" si="8">IFERROR(H99/B99,"")</f>
        <v/>
      </c>
      <c r="L99" s="1296" t="str">
        <f t="shared" si="8"/>
        <v/>
      </c>
      <c r="M99" s="1285" t="e">
        <f>COUNTIFS(#REF!,M$97,#REF!,$A99,#REF!,2,#REF!,"&lt;="&amp;$A$1,#REF!,"&gt;="&amp;DATE(YEAR($A$1),MONTH($A$1),1))</f>
        <v>#REF!</v>
      </c>
      <c r="N99" s="1285" t="e">
        <f>COUNTIFS(#REF!,N$97,#REF!,$A99,#REF!,2,#REF!,"&lt;="&amp;$A$1,#REF!,"&gt;="&amp;DATE(YEAR($A$1),MONTH($A$1),1))</f>
        <v>#REF!</v>
      </c>
      <c r="O99" s="1285" t="e">
        <f>COUNTIFS(#REF!,O$97,#REF!,$A99,#REF!,2,#REF!,"&lt;="&amp;$A$1,#REF!,"&gt;="&amp;DATE(YEAR($A$1),MONTH($A$1),1))</f>
        <v>#REF!</v>
      </c>
      <c r="P99" s="1285" t="e">
        <f>COUNTIFS(#REF!,P$97,#REF!,$A99,#REF!,2,#REF!,"&lt;="&amp;$A$1,#REF!,"&gt;="&amp;DATE(YEAR($A$1),MONTH($A$1),1))</f>
        <v>#REF!</v>
      </c>
      <c r="Q99" s="1285" t="e">
        <f>COUNTIFS(#REF!,Q$97,#REF!,$A99,#REF!,2,#REF!,"&lt;="&amp;$A$1,#REF!,"&gt;="&amp;DATE(YEAR($A$1),MONTH($A$1),1))</f>
        <v>#REF!</v>
      </c>
      <c r="R99" s="930"/>
      <c r="S99" s="930"/>
      <c r="T99" s="930"/>
      <c r="U99" s="948"/>
    </row>
    <row r="100" spans="1:21" s="43" customFormat="1">
      <c r="A100" s="14" t="s">
        <v>77</v>
      </c>
      <c r="B100" s="1281">
        <f t="shared" si="6"/>
        <v>153.88235294117646</v>
      </c>
      <c r="C100" s="1281">
        <f t="shared" si="7"/>
        <v>10446317.294117648</v>
      </c>
      <c r="D100" s="14">
        <v>3</v>
      </c>
      <c r="E100" s="1282">
        <f>SUMIFS(Октябрь2124[м2],Октябрь2124[МОП],$A100,Октябрь2124[№ дома],$C$96)</f>
        <v>0</v>
      </c>
      <c r="F100" s="1283">
        <f>SUMIFS(Октябрь2124[сумма без отделки],Октябрь2124[МОП],$A100,Октябрь2124[№ дома],$C$96)</f>
        <v>0</v>
      </c>
      <c r="G100" s="1284">
        <f>COUNTIFS(Октябрь2124[МОП],$A100,Октябрь2124[№ дома],$C$96)</f>
        <v>0</v>
      </c>
      <c r="H100" s="1285" t="e">
        <f>SUMIFS(#REF!,#REF!,2,#REF!,A100,#REF!,"&lt;="&amp;$A$1,#REF!,"&gt;="&amp;DATE(YEAR($A$1),MONTH($A$1),1))</f>
        <v>#REF!</v>
      </c>
      <c r="I100" s="1288" t="e">
        <f>SUMIFS(#REF!,#REF!,2,#REF!,A100,#REF!,"&lt;="&amp;$A$1,#REF!,"&gt;="&amp;DATE(YEAR($A$1),MONTH($A$1),1))</f>
        <v>#REF!</v>
      </c>
      <c r="J100" s="1285" t="e">
        <f>COUNTIFS(#REF!,2,#REF!,A100,#REF!,"&lt;="&amp;$A$1,#REF!,"&gt;="&amp;DATE(YEAR($A$1),MONTH($A$1),1))</f>
        <v>#REF!</v>
      </c>
      <c r="K100" s="1296" t="str">
        <f t="shared" si="8"/>
        <v/>
      </c>
      <c r="L100" s="1296" t="str">
        <f t="shared" si="8"/>
        <v/>
      </c>
      <c r="M100" s="1285" t="e">
        <f>COUNTIFS(#REF!,M$97,#REF!,$A100,#REF!,2,#REF!,"&lt;="&amp;$A$1,#REF!,"&gt;="&amp;DATE(YEAR($A$1),MONTH($A$1),1))</f>
        <v>#REF!</v>
      </c>
      <c r="N100" s="1285" t="e">
        <f>COUNTIFS(#REF!,N$97,#REF!,$A100,#REF!,2,#REF!,"&lt;="&amp;$A$1,#REF!,"&gt;="&amp;DATE(YEAR($A$1),MONTH($A$1),1))</f>
        <v>#REF!</v>
      </c>
      <c r="O100" s="1285" t="e">
        <f>COUNTIFS(#REF!,O$97,#REF!,$A100,#REF!,2,#REF!,"&lt;="&amp;$A$1,#REF!,"&gt;="&amp;DATE(YEAR($A$1),MONTH($A$1),1))</f>
        <v>#REF!</v>
      </c>
      <c r="P100" s="1285" t="e">
        <f>COUNTIFS(#REF!,P$97,#REF!,$A100,#REF!,2,#REF!,"&lt;="&amp;$A$1,#REF!,"&gt;="&amp;DATE(YEAR($A$1),MONTH($A$1),1))</f>
        <v>#REF!</v>
      </c>
      <c r="Q100" s="1285" t="e">
        <f>COUNTIFS(#REF!,Q$97,#REF!,$A100,#REF!,2,#REF!,"&lt;="&amp;$A$1,#REF!,"&gt;="&amp;DATE(YEAR($A$1),MONTH($A$1),1))</f>
        <v>#REF!</v>
      </c>
      <c r="R100" s="930"/>
      <c r="S100" s="930"/>
      <c r="T100" s="930"/>
      <c r="U100" s="948"/>
    </row>
    <row r="101" spans="1:21" s="43" customFormat="1">
      <c r="A101" s="14" t="s">
        <v>471</v>
      </c>
      <c r="B101" s="1281">
        <f t="shared" si="6"/>
        <v>153.88235294117646</v>
      </c>
      <c r="C101" s="1281">
        <f t="shared" si="7"/>
        <v>10446317.294117648</v>
      </c>
      <c r="D101" s="14">
        <v>3</v>
      </c>
      <c r="E101" s="1282">
        <f>SUMIFS(Октябрь2124[м2],Октябрь2124[МОП],$A101,Октябрь2124[№ дома],$C$96)</f>
        <v>0</v>
      </c>
      <c r="F101" s="1283">
        <f>SUMIFS(Октябрь2124[сумма без отделки],Октябрь2124[МОП],$A101,Октябрь2124[№ дома],$C$96)</f>
        <v>0</v>
      </c>
      <c r="G101" s="1284">
        <f>COUNTIFS(Октябрь2124[МОП],$A101,Октябрь2124[№ дома],$C$96)</f>
        <v>0</v>
      </c>
      <c r="H101" s="1285" t="e">
        <f>SUMIFS(#REF!,#REF!,2,#REF!,A101,#REF!,"&lt;="&amp;$A$1,#REF!,"&gt;="&amp;DATE(YEAR($A$1),MONTH($A$1),1))</f>
        <v>#REF!</v>
      </c>
      <c r="I101" s="1288" t="e">
        <f>SUMIFS(#REF!,#REF!,2,#REF!,A101,#REF!,"&lt;="&amp;$A$1,#REF!,"&gt;="&amp;DATE(YEAR($A$1),MONTH($A$1),1))</f>
        <v>#REF!</v>
      </c>
      <c r="J101" s="1285" t="e">
        <f>COUNTIFS(#REF!,2,#REF!,A101,#REF!,"&lt;="&amp;$A$1,#REF!,"&gt;="&amp;DATE(YEAR($A$1),MONTH($A$1),1))</f>
        <v>#REF!</v>
      </c>
      <c r="K101" s="1296" t="str">
        <f t="shared" si="8"/>
        <v/>
      </c>
      <c r="L101" s="1296" t="str">
        <f t="shared" si="8"/>
        <v/>
      </c>
      <c r="M101" s="1285" t="e">
        <f>COUNTIFS(#REF!,M$97,#REF!,$A101,#REF!,2,#REF!,"&lt;="&amp;$A$1,#REF!,"&gt;="&amp;DATE(YEAR($A$1),MONTH($A$1),1))</f>
        <v>#REF!</v>
      </c>
      <c r="N101" s="1285" t="e">
        <f>COUNTIFS(#REF!,N$97,#REF!,$A101,#REF!,2,#REF!,"&lt;="&amp;$A$1,#REF!,"&gt;="&amp;DATE(YEAR($A$1),MONTH($A$1),1))</f>
        <v>#REF!</v>
      </c>
      <c r="O101" s="1285" t="e">
        <f>COUNTIFS(#REF!,O$97,#REF!,$A101,#REF!,2,#REF!,"&lt;="&amp;$A$1,#REF!,"&gt;="&amp;DATE(YEAR($A$1),MONTH($A$1),1))</f>
        <v>#REF!</v>
      </c>
      <c r="P101" s="1285" t="e">
        <f>COUNTIFS(#REF!,P$97,#REF!,$A101,#REF!,2,#REF!,"&lt;="&amp;$A$1,#REF!,"&gt;="&amp;DATE(YEAR($A$1),MONTH($A$1),1))</f>
        <v>#REF!</v>
      </c>
      <c r="Q101" s="1285" t="e">
        <f>COUNTIFS(#REF!,Q$97,#REF!,$A101,#REF!,2,#REF!,"&lt;="&amp;$A$1,#REF!,"&gt;="&amp;DATE(YEAR($A$1),MONTH($A$1),1))</f>
        <v>#REF!</v>
      </c>
      <c r="R101" s="930"/>
      <c r="S101" s="930"/>
      <c r="T101" s="930"/>
      <c r="U101" s="948"/>
    </row>
    <row r="102" spans="1:21" s="43" customFormat="1">
      <c r="A102" s="14" t="s">
        <v>20</v>
      </c>
      <c r="B102" s="1281">
        <f t="shared" si="6"/>
        <v>153.88235294117646</v>
      </c>
      <c r="C102" s="1281">
        <f t="shared" si="7"/>
        <v>10446317.294117648</v>
      </c>
      <c r="D102" s="14">
        <v>3</v>
      </c>
      <c r="E102" s="1282">
        <f>SUMIFS(Октябрь2124[м2],Октябрь2124[МОП],$A102,Октябрь2124[№ дома],$C$96)</f>
        <v>0</v>
      </c>
      <c r="F102" s="1283">
        <f>SUMIFS(Октябрь2124[сумма без отделки],Октябрь2124[МОП],$A102,Октябрь2124[№ дома],$C$96)</f>
        <v>0</v>
      </c>
      <c r="G102" s="1284">
        <f>COUNTIFS(Октябрь2124[МОП],$A102,Октябрь2124[№ дома],$C$96)</f>
        <v>0</v>
      </c>
      <c r="H102" s="1285" t="e">
        <f>SUMIFS(#REF!,#REF!,2,#REF!,A102,#REF!,"&lt;="&amp;$A$1,#REF!,"&gt;="&amp;DATE(YEAR($A$1),MONTH($A$1),1))</f>
        <v>#REF!</v>
      </c>
      <c r="I102" s="1288" t="e">
        <f>SUMIFS(#REF!,#REF!,2,#REF!,A102,#REF!,"&lt;="&amp;$A$1,#REF!,"&gt;="&amp;DATE(YEAR($A$1),MONTH($A$1),1))</f>
        <v>#REF!</v>
      </c>
      <c r="J102" s="1285" t="e">
        <f>COUNTIFS(#REF!,2,#REF!,A102,#REF!,"&lt;="&amp;$A$1,#REF!,"&gt;="&amp;DATE(YEAR($A$1),MONTH($A$1),1))</f>
        <v>#REF!</v>
      </c>
      <c r="K102" s="1296" t="str">
        <f t="shared" si="8"/>
        <v/>
      </c>
      <c r="L102" s="1296" t="str">
        <f t="shared" si="8"/>
        <v/>
      </c>
      <c r="M102" s="1285" t="e">
        <f>COUNTIFS(#REF!,M$97,#REF!,$A102,#REF!,2,#REF!,"&lt;="&amp;$A$1,#REF!,"&gt;="&amp;DATE(YEAR($A$1),MONTH($A$1),1))</f>
        <v>#REF!</v>
      </c>
      <c r="N102" s="1285" t="e">
        <f>COUNTIFS(#REF!,N$97,#REF!,$A102,#REF!,2,#REF!,"&lt;="&amp;$A$1,#REF!,"&gt;="&amp;DATE(YEAR($A$1),MONTH($A$1),1))</f>
        <v>#REF!</v>
      </c>
      <c r="O102" s="1285" t="e">
        <f>COUNTIFS(#REF!,O$97,#REF!,$A102,#REF!,2,#REF!,"&lt;="&amp;$A$1,#REF!,"&gt;="&amp;DATE(YEAR($A$1),MONTH($A$1),1))</f>
        <v>#REF!</v>
      </c>
      <c r="P102" s="1285" t="e">
        <f>COUNTIFS(#REF!,P$97,#REF!,$A102,#REF!,2,#REF!,"&lt;="&amp;$A$1,#REF!,"&gt;="&amp;DATE(YEAR($A$1),MONTH($A$1),1))</f>
        <v>#REF!</v>
      </c>
      <c r="Q102" s="1285" t="e">
        <f>COUNTIFS(#REF!,Q$97,#REF!,$A102,#REF!,2,#REF!,"&lt;="&amp;$A$1,#REF!,"&gt;="&amp;DATE(YEAR($A$1),MONTH($A$1),1))</f>
        <v>#REF!</v>
      </c>
      <c r="R102" s="930"/>
      <c r="S102" s="930"/>
      <c r="T102" s="930"/>
      <c r="U102" s="948"/>
    </row>
    <row r="103" spans="1:21" s="43" customFormat="1">
      <c r="A103" s="14" t="s">
        <v>63</v>
      </c>
      <c r="B103" s="1281">
        <f t="shared" si="6"/>
        <v>153.88235294117646</v>
      </c>
      <c r="C103" s="1281">
        <f t="shared" si="7"/>
        <v>10446317.294117648</v>
      </c>
      <c r="D103" s="14">
        <v>3</v>
      </c>
      <c r="E103" s="1282">
        <f>SUMIFS(Октябрь2124[м2],Октябрь2124[МОП],$A103,Октябрь2124[№ дома],$C$96)</f>
        <v>0</v>
      </c>
      <c r="F103" s="1283">
        <f>SUMIFS(Октябрь2124[сумма без отделки],Октябрь2124[МОП],$A103,Октябрь2124[№ дома],$C$96)</f>
        <v>0</v>
      </c>
      <c r="G103" s="1284">
        <f>COUNTIFS(Октябрь2124[МОП],$A103,Октябрь2124[№ дома],$C$96)</f>
        <v>0</v>
      </c>
      <c r="H103" s="1285" t="e">
        <f>SUMIFS(#REF!,#REF!,2,#REF!,A103,#REF!,"&lt;="&amp;$A$1,#REF!,"&gt;="&amp;DATE(YEAR($A$1),MONTH($A$1),1))</f>
        <v>#REF!</v>
      </c>
      <c r="I103" s="1288" t="e">
        <f>SUMIFS(#REF!,#REF!,2,#REF!,A103,#REF!,"&lt;="&amp;$A$1,#REF!,"&gt;="&amp;DATE(YEAR($A$1),MONTH($A$1),1))</f>
        <v>#REF!</v>
      </c>
      <c r="J103" s="1285" t="e">
        <f>COUNTIFS(#REF!,2,#REF!,A103,#REF!,"&lt;="&amp;$A$1,#REF!,"&gt;="&amp;DATE(YEAR($A$1),MONTH($A$1),1))</f>
        <v>#REF!</v>
      </c>
      <c r="K103" s="1296" t="str">
        <f t="shared" si="8"/>
        <v/>
      </c>
      <c r="L103" s="1296" t="str">
        <f t="shared" si="8"/>
        <v/>
      </c>
      <c r="M103" s="1285" t="e">
        <f>COUNTIFS(#REF!,M$97,#REF!,$A103,#REF!,2,#REF!,"&lt;="&amp;$A$1,#REF!,"&gt;="&amp;DATE(YEAR($A$1),MONTH($A$1),1))</f>
        <v>#REF!</v>
      </c>
      <c r="N103" s="1285" t="e">
        <f>COUNTIFS(#REF!,N$97,#REF!,$A103,#REF!,2,#REF!,"&lt;="&amp;$A$1,#REF!,"&gt;="&amp;DATE(YEAR($A$1),MONTH($A$1),1))</f>
        <v>#REF!</v>
      </c>
      <c r="O103" s="1285" t="e">
        <f>COUNTIFS(#REF!,O$97,#REF!,$A103,#REF!,2,#REF!,"&lt;="&amp;$A$1,#REF!,"&gt;="&amp;DATE(YEAR($A$1),MONTH($A$1),1))</f>
        <v>#REF!</v>
      </c>
      <c r="P103" s="1285" t="e">
        <f>COUNTIFS(#REF!,P$97,#REF!,$A103,#REF!,2,#REF!,"&lt;="&amp;$A$1,#REF!,"&gt;="&amp;DATE(YEAR($A$1),MONTH($A$1),1))</f>
        <v>#REF!</v>
      </c>
      <c r="Q103" s="1285" t="e">
        <f>COUNTIFS(#REF!,Q$97,#REF!,$A103,#REF!,2,#REF!,"&lt;="&amp;$A$1,#REF!,"&gt;="&amp;DATE(YEAR($A$1),MONTH($A$1),1))</f>
        <v>#REF!</v>
      </c>
      <c r="R103" s="930"/>
      <c r="S103" s="930"/>
      <c r="T103" s="930"/>
      <c r="U103" s="948"/>
    </row>
    <row r="104" spans="1:21" s="1237" customFormat="1">
      <c r="A104" s="27" t="s">
        <v>114</v>
      </c>
      <c r="B104" s="1286">
        <v>872</v>
      </c>
      <c r="C104" s="1286">
        <v>59195798</v>
      </c>
      <c r="D104" s="18">
        <f t="shared" ref="D104:J104" si="9">SUM(D98:D103)</f>
        <v>17</v>
      </c>
      <c r="E104" s="18">
        <f t="shared" si="9"/>
        <v>0</v>
      </c>
      <c r="F104" s="27">
        <f t="shared" si="9"/>
        <v>0</v>
      </c>
      <c r="G104" s="27">
        <f t="shared" si="9"/>
        <v>0</v>
      </c>
      <c r="H104" s="18" t="e">
        <f t="shared" si="9"/>
        <v>#REF!</v>
      </c>
      <c r="I104" s="18" t="e">
        <f t="shared" si="9"/>
        <v>#REF!</v>
      </c>
      <c r="J104" s="18" t="e">
        <f t="shared" si="9"/>
        <v>#REF!</v>
      </c>
      <c r="K104" s="1297" t="str">
        <f t="shared" si="8"/>
        <v/>
      </c>
      <c r="L104" s="1297" t="str">
        <f t="shared" si="8"/>
        <v/>
      </c>
      <c r="M104" s="18" t="e">
        <f>SUM(M98:M103)</f>
        <v>#REF!</v>
      </c>
      <c r="N104" s="18" t="e">
        <f>SUM(N98:N103)</f>
        <v>#REF!</v>
      </c>
      <c r="O104" s="18" t="e">
        <f>SUM(O98:O103)</f>
        <v>#REF!</v>
      </c>
      <c r="P104" s="1298" t="e">
        <f>SUM(P98:P103)</f>
        <v>#REF!</v>
      </c>
      <c r="Q104" s="18" t="e">
        <f>SUM(Q98:Q103)</f>
        <v>#REF!</v>
      </c>
      <c r="R104" s="1306"/>
      <c r="S104" s="1306"/>
      <c r="T104" s="1306"/>
      <c r="U104" s="1306"/>
    </row>
    <row r="105" spans="1:21" s="43" customFormat="1" ht="25.5">
      <c r="A105" s="20" t="s">
        <v>115</v>
      </c>
      <c r="B105" s="13" t="s">
        <v>100</v>
      </c>
      <c r="C105" s="21" t="s">
        <v>97</v>
      </c>
      <c r="D105" s="12" t="s">
        <v>95</v>
      </c>
      <c r="E105" s="1287" t="s">
        <v>494</v>
      </c>
      <c r="F105" s="1287" t="s">
        <v>495</v>
      </c>
      <c r="G105" s="1287" t="s">
        <v>496</v>
      </c>
      <c r="H105" s="1280" t="s">
        <v>101</v>
      </c>
      <c r="I105" s="12" t="s">
        <v>98</v>
      </c>
      <c r="J105" s="12" t="s">
        <v>96</v>
      </c>
      <c r="K105" s="1295" t="s">
        <v>715</v>
      </c>
      <c r="L105" s="1295" t="s">
        <v>716</v>
      </c>
      <c r="M105" s="12">
        <v>0</v>
      </c>
      <c r="N105" s="12">
        <v>1</v>
      </c>
      <c r="O105" s="12">
        <v>2</v>
      </c>
      <c r="P105" s="12">
        <v>3</v>
      </c>
      <c r="Q105" s="12">
        <v>4</v>
      </c>
      <c r="R105" s="930"/>
      <c r="S105" s="930"/>
      <c r="T105" s="930"/>
      <c r="U105" s="948"/>
    </row>
    <row r="106" spans="1:21" s="43" customFormat="1">
      <c r="A106" s="22" t="s">
        <v>16</v>
      </c>
      <c r="B106" s="1283">
        <f>B104/D104*D106</f>
        <v>410.35294117647061</v>
      </c>
      <c r="C106" s="1283">
        <f>C104/D104*D106</f>
        <v>27856846.117647059</v>
      </c>
      <c r="D106" s="40">
        <v>8</v>
      </c>
      <c r="E106" s="1284">
        <f>SUMIFS(Октябрь2124[м2],Октябрь2124[ИМ],A106,Октябрь2124[№ дома],$C$96)</f>
        <v>0</v>
      </c>
      <c r="F106" s="1282">
        <f>SUMIFS(Октябрь2124[сумма без отделки],Октябрь2124[ИМ],$A106,Октябрь2124[№ дома],$C$96)</f>
        <v>0</v>
      </c>
      <c r="G106" s="1284">
        <f>COUNTIFS(Октябрь2124[ИМ],$A106,Октябрь2124[№ дома],$C$96)</f>
        <v>0</v>
      </c>
      <c r="H106" s="1288" t="e">
        <f>SUMIFS(#REF!,#REF!,2,#REF!,A106,#REF!,"&lt;="&amp;$A$1,#REF!,"&gt;="&amp;DATE(YEAR($A$1),MONTH($A$1),1))</f>
        <v>#REF!</v>
      </c>
      <c r="I106" s="1288" t="e">
        <f>SUMIFS(#REF!,#REF!,2,#REF!,A106,#REF!,"&lt;="&amp;$A$1,#REF!,"&gt;="&amp;DATE(YEAR($A$1),MONTH($A$1),1))</f>
        <v>#REF!</v>
      </c>
      <c r="J106" s="1288" t="e">
        <f>COUNTIFS(#REF!,1,#REF!,A106,#REF!,"&lt;="&amp;$A$1,#REF!,"&gt;="&amp;DATE(YEAR($A$1),MONTH($A$1),1))</f>
        <v>#REF!</v>
      </c>
      <c r="K106" s="1296" t="str">
        <f t="shared" ref="K106:L108" si="10">IFERROR(H106/B106,"")</f>
        <v/>
      </c>
      <c r="L106" s="1296" t="str">
        <f t="shared" si="10"/>
        <v/>
      </c>
      <c r="M106" s="1288" t="e">
        <f>COUNTIFS(#REF!,M$105,#REF!,$A106,#REF!,2,#REF!,"&lt;="&amp;$A$1,#REF!,"&gt;="&amp;DATE(YEAR($A$1),MONTH($A$1),1))</f>
        <v>#REF!</v>
      </c>
      <c r="N106" s="1288" t="e">
        <f>COUNTIFS(#REF!,N$105,#REF!,$A106,#REF!,2,#REF!,"&lt;="&amp;$A$1,#REF!,"&gt;="&amp;DATE(YEAR($A$1),MONTH($A$1),1))</f>
        <v>#REF!</v>
      </c>
      <c r="O106" s="1288" t="e">
        <f>COUNTIFS(#REF!,O$105,#REF!,$A106,#REF!,2,#REF!,"&lt;="&amp;$A$1,#REF!,"&gt;="&amp;DATE(YEAR($A$1),MONTH($A$1),1))</f>
        <v>#REF!</v>
      </c>
      <c r="P106" s="1288" t="e">
        <f>COUNTIFS(#REF!,P$105,#REF!,$A106,#REF!,2,#REF!,"&lt;="&amp;$A$1,#REF!,"&gt;="&amp;DATE(YEAR($A$1),MONTH($A$1),1))</f>
        <v>#REF!</v>
      </c>
      <c r="Q106" s="1288" t="e">
        <f>COUNTIFS(#REF!,Q$105,#REF!,$A106,#REF!,2,#REF!,"&lt;="&amp;$A$1,#REF!,"&gt;="&amp;DATE(YEAR($A$1),MONTH($A$1),1))</f>
        <v>#REF!</v>
      </c>
      <c r="R106" s="930"/>
      <c r="S106" s="930"/>
      <c r="T106" s="930"/>
      <c r="U106" s="948"/>
    </row>
    <row r="107" spans="1:21" s="43" customFormat="1">
      <c r="A107" s="22" t="s">
        <v>575</v>
      </c>
      <c r="B107" s="1283">
        <f>B104/D104*D107</f>
        <v>51.294117647058826</v>
      </c>
      <c r="C107" s="1283">
        <f>C104/D104*D107</f>
        <v>3482105.7647058824</v>
      </c>
      <c r="D107" s="40">
        <v>1</v>
      </c>
      <c r="E107" s="1284">
        <f>SUMIFS(Октябрь2124[м2],Октябрь2124[ИМ],A107,Октябрь2124[№ дома],$C$96)</f>
        <v>0</v>
      </c>
      <c r="F107" s="1282">
        <f>SUMIFS(Октябрь2124[сумма без отделки],Октябрь2124[ИМ],$A107,Октябрь2124[№ дома],$C$96)</f>
        <v>0</v>
      </c>
      <c r="G107" s="1284">
        <f>COUNTIFS(Октябрь2124[ИМ],$A107,Октябрь2124[№ дома],$C$96)</f>
        <v>0</v>
      </c>
      <c r="H107" s="1289" t="e">
        <f>SUMIFS(#REF!,#REF!,2,#REF!,A107,#REF!,"&lt;="&amp;$A$1,#REF!,"&gt;="&amp;DATE(YEAR($A$1),MONTH($A$1),1))</f>
        <v>#REF!</v>
      </c>
      <c r="I107" s="1289" t="e">
        <f>SUMIFS(#REF!,#REF!,2,#REF!,A107,#REF!,"&lt;="&amp;$A$1,#REF!,"&gt;="&amp;DATE(YEAR($A$1),MONTH($A$1),1))</f>
        <v>#REF!</v>
      </c>
      <c r="J107" s="1289" t="e">
        <f>COUNTIFS(#REF!,1,#REF!,A107,#REF!,"&lt;="&amp;$A$1,#REF!,"&gt;="&amp;DATE(YEAR($A$1),MONTH($A$1),1))</f>
        <v>#REF!</v>
      </c>
      <c r="K107" s="1296" t="str">
        <f t="shared" si="10"/>
        <v/>
      </c>
      <c r="L107" s="1296" t="str">
        <f t="shared" si="10"/>
        <v/>
      </c>
      <c r="M107" s="1288" t="e">
        <f>COUNTIFS(#REF!,M$105,#REF!,$A107,#REF!,2,#REF!,"&lt;="&amp;$A$1,#REF!,"&gt;="&amp;DATE(YEAR($A$1),MONTH($A$1),1))</f>
        <v>#REF!</v>
      </c>
      <c r="N107" s="1288" t="e">
        <f>COUNTIFS(#REF!,N$105,#REF!,$A107,#REF!,2,#REF!,"&lt;="&amp;$A$1,#REF!,"&gt;="&amp;DATE(YEAR($A$1),MONTH($A$1),1))</f>
        <v>#REF!</v>
      </c>
      <c r="O107" s="1288" t="e">
        <f>COUNTIFS(#REF!,O$105,#REF!,$A107,#REF!,2,#REF!,"&lt;="&amp;$A$1,#REF!,"&gt;="&amp;DATE(YEAR($A$1),MONTH($A$1),1))</f>
        <v>#REF!</v>
      </c>
      <c r="P107" s="1288" t="e">
        <f>COUNTIFS(#REF!,P$105,#REF!,$A107,#REF!,2,#REF!,"&lt;="&amp;$A$1,#REF!,"&gt;="&amp;DATE(YEAR($A$1),MONTH($A$1),1))</f>
        <v>#REF!</v>
      </c>
      <c r="Q107" s="1288" t="e">
        <f>COUNTIFS(#REF!,Q$105,#REF!,$A107,#REF!,2,#REF!,"&lt;="&amp;$A$1,#REF!,"&gt;="&amp;DATE(YEAR($A$1),MONTH($A$1),1))</f>
        <v>#REF!</v>
      </c>
      <c r="R107" s="930"/>
      <c r="S107" s="930"/>
      <c r="T107" s="930"/>
      <c r="U107" s="948"/>
    </row>
    <row r="108" spans="1:21" s="1239" customFormat="1">
      <c r="A108" s="18" t="s">
        <v>114</v>
      </c>
      <c r="B108" s="18">
        <f>SUM(B106:B107)</f>
        <v>461.64705882352945</v>
      </c>
      <c r="C108" s="18">
        <f>SUM(C106:C107)</f>
        <v>31338951.882352941</v>
      </c>
      <c r="D108" s="18">
        <f>SUM(D106:D107)</f>
        <v>9</v>
      </c>
      <c r="E108" s="18">
        <f t="shared" ref="E108:J108" si="11">SUM(E106:E107)</f>
        <v>0</v>
      </c>
      <c r="F108" s="18">
        <f t="shared" si="11"/>
        <v>0</v>
      </c>
      <c r="G108" s="18">
        <f t="shared" si="11"/>
        <v>0</v>
      </c>
      <c r="H108" s="18" t="e">
        <f t="shared" si="11"/>
        <v>#REF!</v>
      </c>
      <c r="I108" s="18" t="e">
        <f t="shared" si="11"/>
        <v>#REF!</v>
      </c>
      <c r="J108" s="18" t="e">
        <f t="shared" si="11"/>
        <v>#REF!</v>
      </c>
      <c r="K108" s="1303" t="e">
        <f>H108/B108</f>
        <v>#REF!</v>
      </c>
      <c r="L108" s="1304" t="str">
        <f t="shared" si="10"/>
        <v/>
      </c>
      <c r="M108" s="18" t="e">
        <f>SUM(M106:M107)</f>
        <v>#REF!</v>
      </c>
      <c r="N108" s="18" t="e">
        <f>SUM(N106:N107)</f>
        <v>#REF!</v>
      </c>
      <c r="O108" s="18" t="e">
        <f>SUM(O106:O107)</f>
        <v>#REF!</v>
      </c>
      <c r="P108" s="18" t="e">
        <f>SUM(P106:P107)</f>
        <v>#REF!</v>
      </c>
      <c r="Q108" s="18" t="e">
        <f>SUM(Q106:Q107)</f>
        <v>#REF!</v>
      </c>
    </row>
    <row r="109" spans="1:21" s="43" customFormat="1">
      <c r="A109" s="7"/>
      <c r="B109" s="1290"/>
      <c r="C109" s="1290"/>
      <c r="D109" s="7"/>
      <c r="E109" s="1291"/>
      <c r="F109" s="1291"/>
      <c r="G109" s="1291"/>
      <c r="H109" s="198"/>
      <c r="I109" s="30"/>
      <c r="J109" s="198"/>
      <c r="K109" s="1301"/>
      <c r="L109" s="1302"/>
      <c r="M109" s="134"/>
      <c r="N109" s="134"/>
      <c r="O109" s="134"/>
      <c r="P109" s="262"/>
      <c r="Q109" s="134"/>
      <c r="R109" s="930"/>
      <c r="S109" s="930"/>
      <c r="T109" s="930"/>
      <c r="U109" s="948"/>
    </row>
    <row r="110" spans="1:21" s="43" customFormat="1">
      <c r="A110" s="2307" t="s">
        <v>713</v>
      </c>
      <c r="B110" s="2308"/>
      <c r="C110" s="1278" t="s">
        <v>27</v>
      </c>
      <c r="D110" s="1279"/>
      <c r="E110" s="1292"/>
      <c r="F110" s="1292"/>
      <c r="G110" s="1292"/>
      <c r="H110" s="1279"/>
      <c r="I110" s="1279"/>
      <c r="J110" s="1279"/>
      <c r="K110" s="1279"/>
      <c r="L110" s="1279"/>
      <c r="M110" s="1279"/>
      <c r="N110" s="1279"/>
      <c r="O110" s="1279"/>
      <c r="P110" s="1294"/>
      <c r="Q110" s="1279"/>
      <c r="R110" s="930"/>
      <c r="S110" s="930"/>
      <c r="T110" s="930"/>
      <c r="U110" s="948"/>
    </row>
    <row r="111" spans="1:21" s="43" customFormat="1" ht="25.5">
      <c r="A111" s="12" t="s">
        <v>1</v>
      </c>
      <c r="B111" s="13" t="s">
        <v>100</v>
      </c>
      <c r="C111" s="13" t="s">
        <v>97</v>
      </c>
      <c r="D111" s="12" t="s">
        <v>95</v>
      </c>
      <c r="E111" s="1287" t="s">
        <v>494</v>
      </c>
      <c r="F111" s="1287" t="s">
        <v>495</v>
      </c>
      <c r="G111" s="1287" t="s">
        <v>496</v>
      </c>
      <c r="H111" s="1280" t="s">
        <v>101</v>
      </c>
      <c r="I111" s="12" t="s">
        <v>98</v>
      </c>
      <c r="J111" s="12" t="s">
        <v>96</v>
      </c>
      <c r="K111" s="1295" t="s">
        <v>715</v>
      </c>
      <c r="L111" s="1295" t="s">
        <v>716</v>
      </c>
      <c r="M111" s="12">
        <v>0</v>
      </c>
      <c r="N111" s="12">
        <v>1</v>
      </c>
      <c r="O111" s="12">
        <v>2</v>
      </c>
      <c r="P111" s="12">
        <v>3</v>
      </c>
      <c r="Q111" s="12">
        <v>4</v>
      </c>
      <c r="R111" s="930"/>
      <c r="S111" s="930"/>
      <c r="T111" s="930"/>
      <c r="U111" s="948"/>
    </row>
    <row r="112" spans="1:21" s="43" customFormat="1">
      <c r="A112" s="14" t="s">
        <v>73</v>
      </c>
      <c r="B112" s="1281">
        <f t="shared" ref="B112:B117" si="12">$B$104/$D$104*D112</f>
        <v>256.47058823529414</v>
      </c>
      <c r="C112" s="1281">
        <f t="shared" ref="C112:C117" si="13">$C$104/$D$104*D112</f>
        <v>17410528.823529411</v>
      </c>
      <c r="D112" s="14">
        <v>5</v>
      </c>
      <c r="E112" s="1282">
        <f>SUMIFS(Октябрь2124[м2],Октябрь2124[МОП],$A112,Октябрь2124[№ дома],$C$110)</f>
        <v>47.08</v>
      </c>
      <c r="F112" s="1283">
        <f>SUMIFS(Октябрь2124[сумма без отделки],Октябрь2124[МОП],$A112,Октябрь2124[№ дома],$C$110)</f>
        <v>0</v>
      </c>
      <c r="G112" s="1284">
        <f>COUNTIFS(Октябрь2124[МОП],$A112,Октябрь2124[№ дома],$C$110)</f>
        <v>2</v>
      </c>
      <c r="H112" s="1285" t="e">
        <f>SUMIFS(#REF!,#REF!,3,#REF!,A112,#REF!,"&lt;="&amp;$A$1,#REF!,"&gt;="&amp;DATE(YEAR($A$1),MONTH($A$1),1))</f>
        <v>#REF!</v>
      </c>
      <c r="I112" s="1288" t="e">
        <f>SUMIFS(#REF!,#REF!,3,#REF!,A112,#REF!,"&lt;="&amp;$A$1,#REF!,"&gt;="&amp;DATE(YEAR($A$1),MONTH($A$1),1))</f>
        <v>#REF!</v>
      </c>
      <c r="J112" s="1285" t="e">
        <f>COUNTIFS(#REF!,3,#REF!,A112,#REF!,"&lt;="&amp;$A$1,#REF!,"&gt;="&amp;DATE(YEAR($A$1),MONTH($A$1),1))</f>
        <v>#REF!</v>
      </c>
      <c r="K112" s="1296" t="str">
        <f>IFERROR(H112/B112,"")</f>
        <v/>
      </c>
      <c r="L112" s="1296" t="str">
        <f>IFERROR(I112/C112,"")</f>
        <v/>
      </c>
      <c r="M112" s="1285" t="e">
        <f>COUNTIFS(#REF!,M$111,#REF!,$A112,#REF!,3,#REF!,"&lt;="&amp;$A$1,#REF!,"&gt;="&amp;DATE(YEAR($A$1),MONTH($A$1),1))</f>
        <v>#REF!</v>
      </c>
      <c r="N112" s="1285" t="e">
        <f>COUNTIFS(#REF!,N$111,#REF!,$A112,#REF!,3,#REF!,"&lt;="&amp;$A$1,#REF!,"&gt;="&amp;DATE(YEAR($A$1),MONTH($A$1),1))</f>
        <v>#REF!</v>
      </c>
      <c r="O112" s="1285" t="e">
        <f>COUNTIFS(#REF!,O$111,#REF!,$A112,#REF!,3,#REF!,"&lt;="&amp;$A$1,#REF!,"&gt;="&amp;DATE(YEAR($A$1),MONTH($A$1),1))</f>
        <v>#REF!</v>
      </c>
      <c r="P112" s="1285" t="e">
        <f>COUNTIFS(#REF!,P$111,#REF!,$A112,#REF!,3,#REF!,"&lt;="&amp;$A$1,#REF!,"&gt;="&amp;DATE(YEAR($A$1),MONTH($A$1),1))</f>
        <v>#REF!</v>
      </c>
      <c r="Q112" s="1285" t="e">
        <f>COUNTIFS(#REF!,Q$111,#REF!,$A112,#REF!,3,#REF!,"&lt;="&amp;$A$1,#REF!,"&gt;="&amp;DATE(YEAR($A$1),MONTH($A$1),1))</f>
        <v>#REF!</v>
      </c>
      <c r="R112" s="930"/>
      <c r="S112" s="930"/>
      <c r="T112" s="930"/>
      <c r="U112" s="948"/>
    </row>
    <row r="113" spans="1:21" s="43" customFormat="1">
      <c r="A113" s="14" t="s">
        <v>407</v>
      </c>
      <c r="B113" s="1281">
        <f t="shared" si="12"/>
        <v>307.76470588235293</v>
      </c>
      <c r="C113" s="1281">
        <f t="shared" si="13"/>
        <v>20892634.588235296</v>
      </c>
      <c r="D113" s="14">
        <v>6</v>
      </c>
      <c r="E113" s="1282">
        <f>SUMIFS(Октябрь2124[м2],Октябрь2124[МОП],$A113,Октябрь2124[№ дома],$C$110)</f>
        <v>0</v>
      </c>
      <c r="F113" s="1283">
        <f>SUMIFS(Октябрь2124[сумма без отделки],Октябрь2124[МОП],$A113,Октябрь2124[№ дома],$C$110)</f>
        <v>0</v>
      </c>
      <c r="G113" s="1284">
        <f>COUNTIFS(Октябрь2124[МОП],$A113,Октябрь2124[№ дома],$C$110)</f>
        <v>0</v>
      </c>
      <c r="H113" s="1285" t="e">
        <f>SUMIFS(#REF!,#REF!,3,#REF!,A113,#REF!,"&lt;="&amp;$A$1,#REF!,"&gt;="&amp;DATE(YEAR($A$1),MONTH($A$1),1))</f>
        <v>#REF!</v>
      </c>
      <c r="I113" s="1288" t="e">
        <f>SUMIFS(#REF!,#REF!,3,#REF!,A113,#REF!,"&lt;="&amp;$A$1,#REF!,"&gt;="&amp;DATE(YEAR($A$1),MONTH($A$1),1))</f>
        <v>#REF!</v>
      </c>
      <c r="J113" s="1285" t="e">
        <f>COUNTIFS(#REF!,3,#REF!,A113,#REF!,"&lt;="&amp;$A$1,#REF!,"&gt;="&amp;DATE(YEAR($A$1),MONTH($A$1),1))</f>
        <v>#REF!</v>
      </c>
      <c r="K113" s="1296" t="str">
        <f t="shared" ref="K113:L118" si="14">IFERROR(H113/B113,"")</f>
        <v/>
      </c>
      <c r="L113" s="1296" t="str">
        <f t="shared" si="14"/>
        <v/>
      </c>
      <c r="M113" s="1285" t="e">
        <f>COUNTIFS(#REF!,M$111,#REF!,$A113,#REF!,3,#REF!,"&lt;="&amp;$A$1,#REF!,"&gt;="&amp;DATE(YEAR($A$1),MONTH($A$1),1))</f>
        <v>#REF!</v>
      </c>
      <c r="N113" s="1285" t="e">
        <f>COUNTIFS(#REF!,N$111,#REF!,$A113,#REF!,3,#REF!,"&lt;="&amp;$A$1,#REF!,"&gt;="&amp;DATE(YEAR($A$1),MONTH($A$1),1))</f>
        <v>#REF!</v>
      </c>
      <c r="O113" s="1285" t="e">
        <f>COUNTIFS(#REF!,O$111,#REF!,$A113,#REF!,3,#REF!,"&lt;="&amp;$A$1,#REF!,"&gt;="&amp;DATE(YEAR($A$1),MONTH($A$1),1))</f>
        <v>#REF!</v>
      </c>
      <c r="P113" s="1285" t="e">
        <f>COUNTIFS(#REF!,P$111,#REF!,$A113,#REF!,3,#REF!,"&lt;="&amp;$A$1,#REF!,"&gt;="&amp;DATE(YEAR($A$1),MONTH($A$1),1))</f>
        <v>#REF!</v>
      </c>
      <c r="Q113" s="1285" t="e">
        <f>COUNTIFS(#REF!,Q$111,#REF!,$A113,#REF!,3,#REF!,"&lt;="&amp;$A$1,#REF!,"&gt;="&amp;DATE(YEAR($A$1),MONTH($A$1),1))</f>
        <v>#REF!</v>
      </c>
      <c r="R113" s="930"/>
      <c r="S113" s="930"/>
      <c r="T113" s="930"/>
      <c r="U113" s="948"/>
    </row>
    <row r="114" spans="1:21" s="43" customFormat="1">
      <c r="A114" s="14" t="s">
        <v>77</v>
      </c>
      <c r="B114" s="1281">
        <f t="shared" si="12"/>
        <v>307.76470588235293</v>
      </c>
      <c r="C114" s="1281">
        <f t="shared" si="13"/>
        <v>20892634.588235296</v>
      </c>
      <c r="D114" s="14">
        <v>6</v>
      </c>
      <c r="E114" s="1282">
        <f>SUMIFS(Октябрь2124[м2],Октябрь2124[МОП],$A114,Октябрь2124[№ дома],$C$110)</f>
        <v>0</v>
      </c>
      <c r="F114" s="1283">
        <f>SUMIFS(Октябрь2124[сумма без отделки],Октябрь2124[МОП],$A114,Октябрь2124[№ дома],$C$110)</f>
        <v>0</v>
      </c>
      <c r="G114" s="1284">
        <f>COUNTIFS(Октябрь2124[МОП],$A114,Октябрь2124[№ дома],$C$110)</f>
        <v>0</v>
      </c>
      <c r="H114" s="1285" t="e">
        <f>SUMIFS(#REF!,#REF!,3,#REF!,A114,#REF!,"&lt;="&amp;$A$1,#REF!,"&gt;="&amp;DATE(YEAR($A$1),MONTH($A$1),1))</f>
        <v>#REF!</v>
      </c>
      <c r="I114" s="1288" t="e">
        <f>SUMIFS(#REF!,#REF!,3,#REF!,A114,#REF!,"&lt;="&amp;$A$1,#REF!,"&gt;="&amp;DATE(YEAR($A$1),MONTH($A$1),1))</f>
        <v>#REF!</v>
      </c>
      <c r="J114" s="1285" t="e">
        <f>COUNTIFS(#REF!,3,#REF!,A114,#REF!,"&lt;="&amp;$A$1,#REF!,"&gt;="&amp;DATE(YEAR($A$1),MONTH($A$1),1))</f>
        <v>#REF!</v>
      </c>
      <c r="K114" s="1296" t="str">
        <f t="shared" si="14"/>
        <v/>
      </c>
      <c r="L114" s="1296" t="str">
        <f t="shared" si="14"/>
        <v/>
      </c>
      <c r="M114" s="1285" t="e">
        <f>COUNTIFS(#REF!,M$111,#REF!,$A114,#REF!,3,#REF!,"&lt;="&amp;$A$1,#REF!,"&gt;="&amp;DATE(YEAR($A$1),MONTH($A$1),1))</f>
        <v>#REF!</v>
      </c>
      <c r="N114" s="1285" t="e">
        <f>COUNTIFS(#REF!,N$111,#REF!,$A114,#REF!,3,#REF!,"&lt;="&amp;$A$1,#REF!,"&gt;="&amp;DATE(YEAR($A$1),MONTH($A$1),1))</f>
        <v>#REF!</v>
      </c>
      <c r="O114" s="1285" t="e">
        <f>COUNTIFS(#REF!,O$111,#REF!,$A114,#REF!,3,#REF!,"&lt;="&amp;$A$1,#REF!,"&gt;="&amp;DATE(YEAR($A$1),MONTH($A$1),1))</f>
        <v>#REF!</v>
      </c>
      <c r="P114" s="1285" t="e">
        <f>COUNTIFS(#REF!,P$111,#REF!,$A114,#REF!,3,#REF!,"&lt;="&amp;$A$1,#REF!,"&gt;="&amp;DATE(YEAR($A$1),MONTH($A$1),1))</f>
        <v>#REF!</v>
      </c>
      <c r="Q114" s="1285" t="e">
        <f>COUNTIFS(#REF!,Q$111,#REF!,$A114,#REF!,3,#REF!,"&lt;="&amp;$A$1,#REF!,"&gt;="&amp;DATE(YEAR($A$1),MONTH($A$1),1))</f>
        <v>#REF!</v>
      </c>
      <c r="R114" s="930"/>
      <c r="S114" s="930"/>
      <c r="T114" s="930"/>
      <c r="U114" s="948"/>
    </row>
    <row r="115" spans="1:21" s="43" customFormat="1">
      <c r="A115" s="14" t="s">
        <v>471</v>
      </c>
      <c r="B115" s="1281">
        <f t="shared" si="12"/>
        <v>307.76470588235293</v>
      </c>
      <c r="C115" s="1281">
        <f t="shared" si="13"/>
        <v>20892634.588235296</v>
      </c>
      <c r="D115" s="14">
        <v>6</v>
      </c>
      <c r="E115" s="1282">
        <f>SUMIFS(Октябрь2124[м2],Октябрь2124[МОП],$A115,Октябрь2124[№ дома],$C$110)</f>
        <v>0</v>
      </c>
      <c r="F115" s="1283">
        <f>SUMIFS(Октябрь2124[сумма без отделки],Октябрь2124[МОП],$A115,Октябрь2124[№ дома],$C$110)</f>
        <v>0</v>
      </c>
      <c r="G115" s="1284">
        <f>COUNTIFS(Октябрь2124[МОП],$A115,Октябрь2124[№ дома],$C$110)</f>
        <v>0</v>
      </c>
      <c r="H115" s="1285" t="e">
        <f>SUMIFS(#REF!,#REF!,3,#REF!,A115,#REF!,"&lt;="&amp;$A$1,#REF!,"&gt;="&amp;DATE(YEAR($A$1),MONTH($A$1),1))</f>
        <v>#REF!</v>
      </c>
      <c r="I115" s="1288" t="e">
        <f>SUMIFS(#REF!,#REF!,3,#REF!,A115,#REF!,"&lt;="&amp;$A$1,#REF!,"&gt;="&amp;DATE(YEAR($A$1),MONTH($A$1),1))</f>
        <v>#REF!</v>
      </c>
      <c r="J115" s="1285" t="e">
        <f>COUNTIFS(#REF!,3,#REF!,A115,#REF!,"&lt;="&amp;$A$1,#REF!,"&gt;="&amp;DATE(YEAR($A$1),MONTH($A$1),1))</f>
        <v>#REF!</v>
      </c>
      <c r="K115" s="1296" t="str">
        <f t="shared" si="14"/>
        <v/>
      </c>
      <c r="L115" s="1296" t="str">
        <f t="shared" si="14"/>
        <v/>
      </c>
      <c r="M115" s="1285" t="e">
        <f>COUNTIFS(#REF!,M$111,#REF!,$A115,#REF!,3,#REF!,"&lt;="&amp;$A$1,#REF!,"&gt;="&amp;DATE(YEAR($A$1),MONTH($A$1),1))</f>
        <v>#REF!</v>
      </c>
      <c r="N115" s="1285" t="e">
        <f>COUNTIFS(#REF!,N$111,#REF!,$A115,#REF!,3,#REF!,"&lt;="&amp;$A$1,#REF!,"&gt;="&amp;DATE(YEAR($A$1),MONTH($A$1),1))</f>
        <v>#REF!</v>
      </c>
      <c r="O115" s="1285" t="e">
        <f>COUNTIFS(#REF!,O$111,#REF!,$A115,#REF!,3,#REF!,"&lt;="&amp;$A$1,#REF!,"&gt;="&amp;DATE(YEAR($A$1),MONTH($A$1),1))</f>
        <v>#REF!</v>
      </c>
      <c r="P115" s="1285" t="e">
        <f>COUNTIFS(#REF!,P$111,#REF!,$A115,#REF!,3,#REF!,"&lt;="&amp;$A$1,#REF!,"&gt;="&amp;DATE(YEAR($A$1),MONTH($A$1),1))</f>
        <v>#REF!</v>
      </c>
      <c r="Q115" s="1285" t="e">
        <f>COUNTIFS(#REF!,Q$111,#REF!,$A115,#REF!,3,#REF!,"&lt;="&amp;$A$1,#REF!,"&gt;="&amp;DATE(YEAR($A$1),MONTH($A$1),1))</f>
        <v>#REF!</v>
      </c>
      <c r="R115" s="930"/>
      <c r="S115" s="930"/>
      <c r="T115" s="930"/>
      <c r="U115" s="948"/>
    </row>
    <row r="116" spans="1:21" s="43" customFormat="1">
      <c r="A116" s="14" t="s">
        <v>20</v>
      </c>
      <c r="B116" s="1281">
        <f t="shared" si="12"/>
        <v>307.76470588235293</v>
      </c>
      <c r="C116" s="1281">
        <f t="shared" si="13"/>
        <v>20892634.588235296</v>
      </c>
      <c r="D116" s="14">
        <v>6</v>
      </c>
      <c r="E116" s="1282">
        <f>SUMIFS(Октябрь2124[м2],Октябрь2124[МОП],$A116,Октябрь2124[№ дома],$C$110)</f>
        <v>0</v>
      </c>
      <c r="F116" s="1283">
        <f>SUMIFS(Октябрь2124[сумма без отделки],Октябрь2124[МОП],$A116,Октябрь2124[№ дома],$C$110)</f>
        <v>0</v>
      </c>
      <c r="G116" s="1284">
        <f>COUNTIFS(Октябрь2124[МОП],$A116,Октябрь2124[№ дома],$C$110)</f>
        <v>0</v>
      </c>
      <c r="H116" s="1285" t="e">
        <f>SUMIFS(#REF!,#REF!,3,#REF!,A116,#REF!,"&lt;="&amp;$A$1,#REF!,"&gt;="&amp;DATE(YEAR($A$1),MONTH($A$1),1))</f>
        <v>#REF!</v>
      </c>
      <c r="I116" s="1288" t="e">
        <f>SUMIFS(#REF!,#REF!,3,#REF!,A116,#REF!,"&lt;="&amp;$A$1,#REF!,"&gt;="&amp;DATE(YEAR($A$1),MONTH($A$1),1))</f>
        <v>#REF!</v>
      </c>
      <c r="J116" s="1285" t="e">
        <f>COUNTIFS(#REF!,3,#REF!,A116,#REF!,"&lt;="&amp;$A$1,#REF!,"&gt;="&amp;DATE(YEAR($A$1),MONTH($A$1),1))</f>
        <v>#REF!</v>
      </c>
      <c r="K116" s="1296" t="str">
        <f t="shared" si="14"/>
        <v/>
      </c>
      <c r="L116" s="1296" t="str">
        <f t="shared" si="14"/>
        <v/>
      </c>
      <c r="M116" s="1285" t="e">
        <f>COUNTIFS(#REF!,M$111,#REF!,$A116,#REF!,3,#REF!,"&lt;="&amp;$A$1,#REF!,"&gt;="&amp;DATE(YEAR($A$1),MONTH($A$1),1))</f>
        <v>#REF!</v>
      </c>
      <c r="N116" s="1285" t="e">
        <f>COUNTIFS(#REF!,N$111,#REF!,$A116,#REF!,3,#REF!,"&lt;="&amp;$A$1,#REF!,"&gt;="&amp;DATE(YEAR($A$1),MONTH($A$1),1))</f>
        <v>#REF!</v>
      </c>
      <c r="O116" s="1285" t="e">
        <f>COUNTIFS(#REF!,O$111,#REF!,$A116,#REF!,3,#REF!,"&lt;="&amp;$A$1,#REF!,"&gt;="&amp;DATE(YEAR($A$1),MONTH($A$1),1))</f>
        <v>#REF!</v>
      </c>
      <c r="P116" s="1285" t="e">
        <f>COUNTIFS(#REF!,P$111,#REF!,$A116,#REF!,3,#REF!,"&lt;="&amp;$A$1,#REF!,"&gt;="&amp;DATE(YEAR($A$1),MONTH($A$1),1))</f>
        <v>#REF!</v>
      </c>
      <c r="Q116" s="1285" t="e">
        <f>COUNTIFS(#REF!,Q$111,#REF!,$A116,#REF!,3,#REF!,"&lt;="&amp;$A$1,#REF!,"&gt;="&amp;DATE(YEAR($A$1),MONTH($A$1),1))</f>
        <v>#REF!</v>
      </c>
      <c r="R116" s="930"/>
      <c r="S116" s="930"/>
      <c r="T116" s="930"/>
      <c r="U116" s="948"/>
    </row>
    <row r="117" spans="1:21" s="43" customFormat="1">
      <c r="A117" s="14" t="s">
        <v>63</v>
      </c>
      <c r="B117" s="1281">
        <f t="shared" si="12"/>
        <v>307.76470588235293</v>
      </c>
      <c r="C117" s="1281">
        <f t="shared" si="13"/>
        <v>20892634.588235296</v>
      </c>
      <c r="D117" s="14">
        <v>6</v>
      </c>
      <c r="E117" s="1282">
        <f>SUMIFS(Октябрь2124[м2],Октябрь2124[МОП],$A117,Октябрь2124[№ дома],$C$110)</f>
        <v>0</v>
      </c>
      <c r="F117" s="1283">
        <f>SUMIFS(Октябрь2124[сумма без отделки],Октябрь2124[МОП],$A117,Октябрь2124[№ дома],$C$110)</f>
        <v>0</v>
      </c>
      <c r="G117" s="1284">
        <f>COUNTIFS(Октябрь2124[МОП],$A117,Октябрь2124[№ дома],$C$110)</f>
        <v>0</v>
      </c>
      <c r="H117" s="1285" t="e">
        <f>SUMIFS(#REF!,#REF!,3,#REF!,A117,#REF!,"&lt;="&amp;$A$1,#REF!,"&gt;="&amp;DATE(YEAR($A$1),MONTH($A$1),1))</f>
        <v>#REF!</v>
      </c>
      <c r="I117" s="1288" t="e">
        <f>SUMIFS(#REF!,#REF!,3,#REF!,A117,#REF!,"&lt;="&amp;$A$1,#REF!,"&gt;="&amp;DATE(YEAR($A$1),MONTH($A$1),1))</f>
        <v>#REF!</v>
      </c>
      <c r="J117" s="1285" t="e">
        <f>COUNTIFS(#REF!,3,#REF!,A117,#REF!,"&lt;="&amp;$A$1,#REF!,"&gt;="&amp;DATE(YEAR($A$1),MONTH($A$1),1))</f>
        <v>#REF!</v>
      </c>
      <c r="K117" s="1296" t="str">
        <f t="shared" si="14"/>
        <v/>
      </c>
      <c r="L117" s="1296" t="str">
        <f t="shared" si="14"/>
        <v/>
      </c>
      <c r="M117" s="1285" t="e">
        <f>COUNTIFS(#REF!,M$111,#REF!,$A117,#REF!,3,#REF!,"&lt;="&amp;$A$1,#REF!,"&gt;="&amp;DATE(YEAR($A$1),MONTH($A$1),1))</f>
        <v>#REF!</v>
      </c>
      <c r="N117" s="1285" t="e">
        <f>COUNTIFS(#REF!,N$111,#REF!,$A117,#REF!,3,#REF!,"&lt;="&amp;$A$1,#REF!,"&gt;="&amp;DATE(YEAR($A$1),MONTH($A$1),1))</f>
        <v>#REF!</v>
      </c>
      <c r="O117" s="1285" t="e">
        <f>COUNTIFS(#REF!,O$111,#REF!,$A117,#REF!,3,#REF!,"&lt;="&amp;$A$1,#REF!,"&gt;="&amp;DATE(YEAR($A$1),MONTH($A$1),1))</f>
        <v>#REF!</v>
      </c>
      <c r="P117" s="1285" t="e">
        <f>COUNTIFS(#REF!,P$111,#REF!,$A117,#REF!,3,#REF!,"&lt;="&amp;$A$1,#REF!,"&gt;="&amp;DATE(YEAR($A$1),MONTH($A$1),1))</f>
        <v>#REF!</v>
      </c>
      <c r="Q117" s="1285" t="e">
        <f>COUNTIFS(#REF!,Q$111,#REF!,$A117,#REF!,3,#REF!,"&lt;="&amp;$A$1,#REF!,"&gt;="&amp;DATE(YEAR($A$1),MONTH($A$1),1))</f>
        <v>#REF!</v>
      </c>
      <c r="R117" s="930"/>
      <c r="S117" s="930"/>
      <c r="T117" s="930"/>
      <c r="U117" s="948"/>
    </row>
    <row r="118" spans="1:21" s="1237" customFormat="1">
      <c r="A118" s="27" t="s">
        <v>114</v>
      </c>
      <c r="B118" s="1286">
        <v>1570</v>
      </c>
      <c r="C118" s="1286">
        <v>96718768</v>
      </c>
      <c r="D118" s="27">
        <f t="shared" ref="D118:J118" si="15">SUM(D112:D117)</f>
        <v>35</v>
      </c>
      <c r="E118" s="27">
        <f t="shared" si="15"/>
        <v>47.08</v>
      </c>
      <c r="F118" s="27">
        <f t="shared" si="15"/>
        <v>0</v>
      </c>
      <c r="G118" s="27">
        <f t="shared" si="15"/>
        <v>2</v>
      </c>
      <c r="H118" s="18" t="e">
        <f t="shared" si="15"/>
        <v>#REF!</v>
      </c>
      <c r="I118" s="18" t="e">
        <f t="shared" si="15"/>
        <v>#REF!</v>
      </c>
      <c r="J118" s="18" t="e">
        <f t="shared" si="15"/>
        <v>#REF!</v>
      </c>
      <c r="K118" s="1297" t="str">
        <f t="shared" si="14"/>
        <v/>
      </c>
      <c r="L118" s="1297" t="str">
        <f t="shared" si="14"/>
        <v/>
      </c>
      <c r="M118" s="18" t="e">
        <f>SUM(M112:M117)</f>
        <v>#REF!</v>
      </c>
      <c r="N118" s="18" t="e">
        <f>SUM(N112:N117)</f>
        <v>#REF!</v>
      </c>
      <c r="O118" s="18" t="e">
        <f>SUM(O112:O117)</f>
        <v>#REF!</v>
      </c>
      <c r="P118" s="1298" t="e">
        <f>SUM(P112:P117)</f>
        <v>#REF!</v>
      </c>
      <c r="Q118" s="18" t="e">
        <f>SUM(Q112:Q117)</f>
        <v>#REF!</v>
      </c>
      <c r="R118" s="1306"/>
      <c r="S118" s="1306"/>
      <c r="T118" s="1306"/>
      <c r="U118" s="1306"/>
    </row>
    <row r="119" spans="1:21" s="43" customFormat="1" ht="25.5">
      <c r="A119" s="20" t="s">
        <v>115</v>
      </c>
      <c r="B119" s="13" t="s">
        <v>100</v>
      </c>
      <c r="C119" s="21" t="s">
        <v>97</v>
      </c>
      <c r="D119" s="12" t="s">
        <v>95</v>
      </c>
      <c r="E119" s="1287" t="s">
        <v>494</v>
      </c>
      <c r="F119" s="1287" t="s">
        <v>495</v>
      </c>
      <c r="G119" s="1287" t="s">
        <v>496</v>
      </c>
      <c r="H119" s="1280" t="s">
        <v>101</v>
      </c>
      <c r="I119" s="12" t="s">
        <v>98</v>
      </c>
      <c r="J119" s="12" t="s">
        <v>96</v>
      </c>
      <c r="K119" s="1295" t="s">
        <v>715</v>
      </c>
      <c r="L119" s="1295" t="s">
        <v>716</v>
      </c>
      <c r="M119" s="12">
        <v>0</v>
      </c>
      <c r="N119" s="12">
        <v>1</v>
      </c>
      <c r="O119" s="12">
        <v>2</v>
      </c>
      <c r="P119" s="12">
        <v>3</v>
      </c>
      <c r="Q119" s="12">
        <v>4</v>
      </c>
      <c r="R119" s="930"/>
      <c r="S119" s="930"/>
      <c r="T119" s="930"/>
      <c r="U119" s="948"/>
    </row>
    <row r="120" spans="1:21" s="43" customFormat="1">
      <c r="A120" s="22" t="s">
        <v>16</v>
      </c>
      <c r="B120" s="1283">
        <f>B118/D118*D120</f>
        <v>897.14285714285711</v>
      </c>
      <c r="C120" s="1283">
        <f>C118/D118*D120</f>
        <v>55267867.428571433</v>
      </c>
      <c r="D120" s="40">
        <v>20</v>
      </c>
      <c r="E120" s="1284">
        <f>SUMIFS(Октябрь2124[м2],Октябрь2124[ИМ],A120,Октябрь2124[№ дома],$C$110)</f>
        <v>0</v>
      </c>
      <c r="F120" s="1282">
        <f>SUMIFS(Октябрь2124[сумма без отделки],Октябрь2124[ИМ],$A120,Октябрь2124[№ дома],$C$110)</f>
        <v>0</v>
      </c>
      <c r="G120" s="1284">
        <f>COUNTIFS(Октябрь2124[ИМ],$A120,Октябрь2124[№ дома],$C$110)</f>
        <v>0</v>
      </c>
      <c r="H120" s="1288" t="e">
        <f>SUMIFS(#REF!,#REF!,3,#REF!,A120,#REF!,"&lt;="&amp;$A$1,#REF!,"&gt;="&amp;DATE(YEAR($A$1),MONTH($A$1),1))</f>
        <v>#REF!</v>
      </c>
      <c r="I120" s="1288" t="e">
        <f>SUMIFS(#REF!,#REF!,3,#REF!,A120,#REF!,"&lt;="&amp;$A$1,#REF!,"&gt;="&amp;DATE(YEAR($A$1),MONTH($A$1),1))</f>
        <v>#REF!</v>
      </c>
      <c r="J120" s="1288" t="e">
        <f>COUNTIFS(#REF!,1,#REF!,A120,#REF!,"&lt;="&amp;$A$1,#REF!,"&gt;="&amp;DATE(YEAR($A$1),MONTH($A$1),1))</f>
        <v>#REF!</v>
      </c>
      <c r="K120" s="1296" t="str">
        <f t="shared" ref="K120:L122" si="16">IFERROR(H120/B120,"")</f>
        <v/>
      </c>
      <c r="L120" s="1296" t="str">
        <f t="shared" si="16"/>
        <v/>
      </c>
      <c r="M120" s="1288" t="e">
        <f>COUNTIFS(#REF!,M$111,#REF!,$A120,#REF!,3,#REF!,"&lt;="&amp;$A$1,#REF!,"&gt;="&amp;DATE(YEAR($A$1),MONTH($A$1),1))</f>
        <v>#REF!</v>
      </c>
      <c r="N120" s="1288" t="e">
        <f>COUNTIFS(#REF!,N$111,#REF!,$A120,#REF!,3,#REF!,"&lt;="&amp;$A$1,#REF!,"&gt;="&amp;DATE(YEAR($A$1),MONTH($A$1),1))</f>
        <v>#REF!</v>
      </c>
      <c r="O120" s="1288" t="e">
        <f>COUNTIFS(#REF!,O$111,#REF!,$A120,#REF!,3,#REF!,"&lt;="&amp;$A$1,#REF!,"&gt;="&amp;DATE(YEAR($A$1),MONTH($A$1),1))</f>
        <v>#REF!</v>
      </c>
      <c r="P120" s="1288" t="e">
        <f>COUNTIFS(#REF!,P$111,#REF!,$A120,#REF!,3,#REF!,"&lt;="&amp;$A$1,#REF!,"&gt;="&amp;DATE(YEAR($A$1),MONTH($A$1),1))</f>
        <v>#REF!</v>
      </c>
      <c r="Q120" s="1288" t="e">
        <f>COUNTIFS(#REF!,Q$111,#REF!,$A120,#REF!,3,#REF!,"&lt;="&amp;$A$1,#REF!,"&gt;="&amp;DATE(YEAR($A$1),MONTH($A$1),1))</f>
        <v>#REF!</v>
      </c>
      <c r="R120" s="930"/>
      <c r="S120" s="930"/>
      <c r="T120" s="930"/>
      <c r="U120" s="948"/>
    </row>
    <row r="121" spans="1:21" s="43" customFormat="1">
      <c r="A121" s="22" t="s">
        <v>575</v>
      </c>
      <c r="B121" s="1283">
        <f>B118/D118*D121</f>
        <v>224.28571428571428</v>
      </c>
      <c r="C121" s="1283">
        <f>C118/D118*D121</f>
        <v>13816966.857142858</v>
      </c>
      <c r="D121" s="40">
        <v>5</v>
      </c>
      <c r="E121" s="1284">
        <f>SUMIFS(Октябрь2124[м2],Октябрь2124[ИМ],A121,Октябрь2124[№ дома],$C$110)</f>
        <v>0</v>
      </c>
      <c r="F121" s="1282">
        <f>SUMIFS(Октябрь2124[сумма без отделки],Октябрь2124[ИМ],$A121,Октябрь2124[№ дома],$C$110)</f>
        <v>0</v>
      </c>
      <c r="G121" s="1284">
        <f>COUNTIFS(Октябрь2124[ИМ],$A121,Октябрь2124[№ дома],$C$110)</f>
        <v>0</v>
      </c>
      <c r="H121" s="1289" t="e">
        <f>SUMIFS(#REF!,#REF!,3,#REF!,A121,#REF!,"&lt;="&amp;$A$1,#REF!,"&gt;="&amp;DATE(YEAR($A$1),MONTH($A$1),1))</f>
        <v>#REF!</v>
      </c>
      <c r="I121" s="1289" t="e">
        <f>SUMIFS(#REF!,#REF!,3,#REF!,A121,#REF!,"&lt;="&amp;$A$1,#REF!,"&gt;="&amp;DATE(YEAR($A$1),MONTH($A$1),1))</f>
        <v>#REF!</v>
      </c>
      <c r="J121" s="1289" t="e">
        <f>COUNTIFS(#REF!,1,#REF!,A121,#REF!,"&lt;="&amp;$A$1,#REF!,"&gt;="&amp;DATE(YEAR($A$1),MONTH($A$1),1))</f>
        <v>#REF!</v>
      </c>
      <c r="K121" s="1296" t="str">
        <f t="shared" si="16"/>
        <v/>
      </c>
      <c r="L121" s="1296" t="str">
        <f t="shared" si="16"/>
        <v/>
      </c>
      <c r="M121" s="1289" t="e">
        <f>COUNTIFS(#REF!,M$111,#REF!,$A121,#REF!,3,#REF!,"&lt;="&amp;$A$1,#REF!,"&gt;="&amp;DATE(YEAR($A$1),MONTH($A$1),1))</f>
        <v>#REF!</v>
      </c>
      <c r="N121" s="1289" t="e">
        <f>COUNTIFS(#REF!,N$111,#REF!,$A121,#REF!,3,#REF!,"&lt;="&amp;$A$1,#REF!,"&gt;="&amp;DATE(YEAR($A$1),MONTH($A$1),1))</f>
        <v>#REF!</v>
      </c>
      <c r="O121" s="1289" t="e">
        <f>COUNTIFS(#REF!,O$111,#REF!,$A121,#REF!,3,#REF!,"&lt;="&amp;$A$1,#REF!,"&gt;="&amp;DATE(YEAR($A$1),MONTH($A$1),1))</f>
        <v>#REF!</v>
      </c>
      <c r="P121" s="1289" t="e">
        <f>COUNTIFS(#REF!,P$111,#REF!,$A121,#REF!,3,#REF!,"&lt;="&amp;$A$1,#REF!,"&gt;="&amp;DATE(YEAR($A$1),MONTH($A$1),1))</f>
        <v>#REF!</v>
      </c>
      <c r="Q121" s="1289" t="e">
        <f>COUNTIFS(#REF!,Q$111,#REF!,$A121,#REF!,3,#REF!,"&lt;="&amp;$A$1,#REF!,"&gt;="&amp;DATE(YEAR($A$1),MONTH($A$1),1))</f>
        <v>#REF!</v>
      </c>
      <c r="R121" s="930"/>
      <c r="S121" s="930"/>
      <c r="T121" s="930"/>
      <c r="U121" s="948"/>
    </row>
    <row r="122" spans="1:21" s="43" customFormat="1">
      <c r="A122" s="18" t="s">
        <v>114</v>
      </c>
      <c r="B122" s="18">
        <f>SUM(B120:B121)</f>
        <v>1121.4285714285713</v>
      </c>
      <c r="C122" s="18">
        <f>SUM(C120:C121)</f>
        <v>69084834.285714298</v>
      </c>
      <c r="D122" s="18">
        <f>SUM(D120:D121)</f>
        <v>25</v>
      </c>
      <c r="E122" s="18">
        <f t="shared" ref="E122:J122" si="17">SUM(E120:E121)</f>
        <v>0</v>
      </c>
      <c r="F122" s="18">
        <f t="shared" si="17"/>
        <v>0</v>
      </c>
      <c r="G122" s="18">
        <f t="shared" si="17"/>
        <v>0</v>
      </c>
      <c r="H122" s="18" t="e">
        <f t="shared" si="17"/>
        <v>#REF!</v>
      </c>
      <c r="I122" s="18" t="e">
        <f t="shared" si="17"/>
        <v>#REF!</v>
      </c>
      <c r="J122" s="18" t="e">
        <f t="shared" si="17"/>
        <v>#REF!</v>
      </c>
      <c r="K122" s="1303" t="e">
        <f>H122/B122</f>
        <v>#REF!</v>
      </c>
      <c r="L122" s="1304" t="str">
        <f t="shared" si="16"/>
        <v/>
      </c>
      <c r="M122" s="18" t="e">
        <f>SUM(M120:M121)</f>
        <v>#REF!</v>
      </c>
      <c r="N122" s="18" t="e">
        <f>SUM(N120:N121)</f>
        <v>#REF!</v>
      </c>
      <c r="O122" s="18" t="e">
        <f>SUM(O120:O121)</f>
        <v>#REF!</v>
      </c>
      <c r="P122" s="18" t="e">
        <f>SUM(P120:P121)</f>
        <v>#REF!</v>
      </c>
      <c r="Q122" s="18" t="e">
        <f>SUM(Q120:Q121)</f>
        <v>#REF!</v>
      </c>
      <c r="R122" s="930"/>
      <c r="S122" s="930"/>
      <c r="T122" s="930"/>
      <c r="U122" s="948"/>
    </row>
    <row r="123" spans="1:21" s="43" customFormat="1">
      <c r="A123" s="7"/>
      <c r="B123" s="1290"/>
      <c r="C123" s="1290"/>
      <c r="D123" s="7"/>
      <c r="E123" s="1291"/>
      <c r="F123" s="1291"/>
      <c r="G123" s="1291"/>
      <c r="H123" s="198"/>
      <c r="I123" s="30"/>
      <c r="J123" s="198"/>
      <c r="K123" s="1301"/>
      <c r="L123" s="1302"/>
      <c r="M123" s="134"/>
      <c r="N123" s="134"/>
      <c r="O123" s="134"/>
      <c r="P123" s="262"/>
      <c r="Q123" s="134"/>
      <c r="R123" s="930"/>
      <c r="S123" s="930"/>
      <c r="T123" s="930"/>
      <c r="U123" s="948"/>
    </row>
    <row r="124" spans="1:21" s="43" customFormat="1">
      <c r="A124" s="2307" t="s">
        <v>713</v>
      </c>
      <c r="B124" s="2308"/>
      <c r="C124" s="1278" t="s">
        <v>718</v>
      </c>
      <c r="D124" s="1279"/>
      <c r="E124" s="1292"/>
      <c r="F124" s="1292"/>
      <c r="G124" s="1292"/>
      <c r="H124" s="1279"/>
      <c r="I124" s="1279"/>
      <c r="J124" s="1279"/>
      <c r="K124" s="1279"/>
      <c r="L124" s="1279"/>
      <c r="M124" s="1279"/>
      <c r="N124" s="1279"/>
      <c r="O124" s="1279"/>
      <c r="P124" s="1294"/>
      <c r="Q124" s="1279"/>
      <c r="R124" s="930"/>
      <c r="S124" s="930"/>
      <c r="T124" s="930"/>
      <c r="U124" s="948"/>
    </row>
    <row r="125" spans="1:21" s="43" customFormat="1" ht="25.5">
      <c r="A125" s="12" t="s">
        <v>1</v>
      </c>
      <c r="B125" s="13" t="s">
        <v>100</v>
      </c>
      <c r="C125" s="13" t="s">
        <v>97</v>
      </c>
      <c r="D125" s="12" t="s">
        <v>95</v>
      </c>
      <c r="E125" s="1287" t="s">
        <v>494</v>
      </c>
      <c r="F125" s="1287" t="s">
        <v>495</v>
      </c>
      <c r="G125" s="1287" t="s">
        <v>496</v>
      </c>
      <c r="H125" s="1280" t="s">
        <v>101</v>
      </c>
      <c r="I125" s="12" t="s">
        <v>98</v>
      </c>
      <c r="J125" s="12" t="s">
        <v>96</v>
      </c>
      <c r="K125" s="1295" t="s">
        <v>715</v>
      </c>
      <c r="L125" s="1295" t="s">
        <v>716</v>
      </c>
      <c r="M125" s="12">
        <v>0</v>
      </c>
      <c r="N125" s="12">
        <v>1</v>
      </c>
      <c r="O125" s="12">
        <v>2</v>
      </c>
      <c r="P125" s="12">
        <v>3</v>
      </c>
      <c r="Q125" s="12">
        <v>4</v>
      </c>
      <c r="R125" s="930"/>
      <c r="S125" s="930"/>
      <c r="T125" s="930"/>
      <c r="U125" s="948"/>
    </row>
    <row r="126" spans="1:21" s="1237" customFormat="1">
      <c r="A126" s="40" t="s">
        <v>73</v>
      </c>
      <c r="B126" s="1293">
        <f t="shared" ref="B126:Q131" si="18">B84+B98+B112</f>
        <v>438.57882352941181</v>
      </c>
      <c r="C126" s="1293">
        <f t="shared" si="18"/>
        <v>28769687.352941178</v>
      </c>
      <c r="D126" s="1293">
        <f t="shared" si="18"/>
        <v>8</v>
      </c>
      <c r="E126" s="1293">
        <f t="shared" si="18"/>
        <v>47.08</v>
      </c>
      <c r="F126" s="1293">
        <f t="shared" si="18"/>
        <v>0</v>
      </c>
      <c r="G126" s="1293">
        <f t="shared" si="18"/>
        <v>2</v>
      </c>
      <c r="H126" s="1293" t="e">
        <f t="shared" si="18"/>
        <v>#REF!</v>
      </c>
      <c r="I126" s="1293" t="e">
        <f t="shared" si="18"/>
        <v>#REF!</v>
      </c>
      <c r="J126" s="1293" t="e">
        <f t="shared" si="18"/>
        <v>#REF!</v>
      </c>
      <c r="K126" s="1305" t="e">
        <f t="shared" si="18"/>
        <v>#VALUE!</v>
      </c>
      <c r="L126" s="1305" t="e">
        <f t="shared" si="18"/>
        <v>#VALUE!</v>
      </c>
      <c r="M126" s="1293" t="e">
        <f t="shared" si="18"/>
        <v>#REF!</v>
      </c>
      <c r="N126" s="1293" t="e">
        <f t="shared" si="18"/>
        <v>#REF!</v>
      </c>
      <c r="O126" s="1293" t="e">
        <f t="shared" si="18"/>
        <v>#REF!</v>
      </c>
      <c r="P126" s="1293" t="e">
        <f t="shared" si="18"/>
        <v>#REF!</v>
      </c>
      <c r="Q126" s="1293" t="e">
        <f t="shared" si="18"/>
        <v>#REF!</v>
      </c>
      <c r="R126" s="1306"/>
      <c r="S126" s="1306"/>
      <c r="T126" s="1306"/>
      <c r="U126" s="1306"/>
    </row>
    <row r="127" spans="1:21" s="1237" customFormat="1">
      <c r="A127" s="40" t="s">
        <v>407</v>
      </c>
      <c r="B127" s="1293">
        <f t="shared" si="18"/>
        <v>541.16705882352937</v>
      </c>
      <c r="C127" s="1293">
        <f t="shared" si="18"/>
        <v>35733898.882352948</v>
      </c>
      <c r="D127" s="1293">
        <f t="shared" si="18"/>
        <v>10</v>
      </c>
      <c r="E127" s="1293">
        <f t="shared" si="18"/>
        <v>0</v>
      </c>
      <c r="F127" s="1293">
        <f t="shared" si="18"/>
        <v>0</v>
      </c>
      <c r="G127" s="1293">
        <f t="shared" si="18"/>
        <v>0</v>
      </c>
      <c r="H127" s="1293" t="e">
        <f t="shared" si="18"/>
        <v>#REF!</v>
      </c>
      <c r="I127" s="1293" t="e">
        <f t="shared" si="18"/>
        <v>#REF!</v>
      </c>
      <c r="J127" s="1293" t="e">
        <f t="shared" si="18"/>
        <v>#REF!</v>
      </c>
      <c r="K127" s="1305" t="e">
        <f t="shared" si="18"/>
        <v>#VALUE!</v>
      </c>
      <c r="L127" s="1305" t="e">
        <f t="shared" si="18"/>
        <v>#VALUE!</v>
      </c>
      <c r="M127" s="1293" t="e">
        <f t="shared" si="18"/>
        <v>#REF!</v>
      </c>
      <c r="N127" s="1293" t="e">
        <f t="shared" si="18"/>
        <v>#REF!</v>
      </c>
      <c r="O127" s="1293" t="e">
        <f t="shared" si="18"/>
        <v>#REF!</v>
      </c>
      <c r="P127" s="1293" t="e">
        <f t="shared" si="18"/>
        <v>#REF!</v>
      </c>
      <c r="Q127" s="1293" t="e">
        <f t="shared" si="18"/>
        <v>#REF!</v>
      </c>
      <c r="R127" s="1306"/>
      <c r="S127" s="1306"/>
      <c r="T127" s="1306"/>
      <c r="U127" s="1306"/>
    </row>
    <row r="128" spans="1:21" s="1237" customFormat="1">
      <c r="A128" s="40" t="s">
        <v>77</v>
      </c>
      <c r="B128" s="1293">
        <f t="shared" si="18"/>
        <v>541.16705882352937</v>
      </c>
      <c r="C128" s="1293">
        <f t="shared" si="18"/>
        <v>35733898.882352948</v>
      </c>
      <c r="D128" s="1293">
        <f t="shared" si="18"/>
        <v>10</v>
      </c>
      <c r="E128" s="1293">
        <f t="shared" si="18"/>
        <v>0</v>
      </c>
      <c r="F128" s="1293">
        <f t="shared" si="18"/>
        <v>0</v>
      </c>
      <c r="G128" s="1293">
        <f t="shared" si="18"/>
        <v>0</v>
      </c>
      <c r="H128" s="1293" t="e">
        <f t="shared" si="18"/>
        <v>#REF!</v>
      </c>
      <c r="I128" s="1293" t="e">
        <f t="shared" si="18"/>
        <v>#REF!</v>
      </c>
      <c r="J128" s="1293" t="e">
        <f t="shared" si="18"/>
        <v>#REF!</v>
      </c>
      <c r="K128" s="1305" t="e">
        <f t="shared" si="18"/>
        <v>#VALUE!</v>
      </c>
      <c r="L128" s="1305" t="e">
        <f t="shared" si="18"/>
        <v>#VALUE!</v>
      </c>
      <c r="M128" s="1293" t="e">
        <f t="shared" si="18"/>
        <v>#REF!</v>
      </c>
      <c r="N128" s="1293" t="e">
        <f t="shared" si="18"/>
        <v>#REF!</v>
      </c>
      <c r="O128" s="1293" t="e">
        <f t="shared" si="18"/>
        <v>#REF!</v>
      </c>
      <c r="P128" s="1293" t="e">
        <f t="shared" si="18"/>
        <v>#REF!</v>
      </c>
      <c r="Q128" s="1293" t="e">
        <f t="shared" si="18"/>
        <v>#REF!</v>
      </c>
      <c r="R128" s="1306"/>
      <c r="S128" s="1306"/>
      <c r="T128" s="1306"/>
      <c r="U128" s="1306"/>
    </row>
    <row r="129" spans="1:21" s="1237" customFormat="1">
      <c r="A129" s="40" t="s">
        <v>471</v>
      </c>
      <c r="B129" s="1293">
        <f t="shared" si="18"/>
        <v>541.16705882352937</v>
      </c>
      <c r="C129" s="1293">
        <f t="shared" si="18"/>
        <v>35733898.882352948</v>
      </c>
      <c r="D129" s="1293">
        <f t="shared" si="18"/>
        <v>10</v>
      </c>
      <c r="E129" s="1293">
        <f t="shared" si="18"/>
        <v>0</v>
      </c>
      <c r="F129" s="1293">
        <f t="shared" si="18"/>
        <v>0</v>
      </c>
      <c r="G129" s="1293">
        <f t="shared" si="18"/>
        <v>0</v>
      </c>
      <c r="H129" s="1293" t="e">
        <f t="shared" si="18"/>
        <v>#REF!</v>
      </c>
      <c r="I129" s="1293" t="e">
        <f t="shared" si="18"/>
        <v>#REF!</v>
      </c>
      <c r="J129" s="1293" t="e">
        <f t="shared" si="18"/>
        <v>#REF!</v>
      </c>
      <c r="K129" s="1305" t="e">
        <f t="shared" si="18"/>
        <v>#VALUE!</v>
      </c>
      <c r="L129" s="1305" t="e">
        <f t="shared" si="18"/>
        <v>#VALUE!</v>
      </c>
      <c r="M129" s="1293" t="e">
        <f t="shared" si="18"/>
        <v>#REF!</v>
      </c>
      <c r="N129" s="1293" t="e">
        <f t="shared" si="18"/>
        <v>#REF!</v>
      </c>
      <c r="O129" s="1293" t="e">
        <f t="shared" si="18"/>
        <v>#REF!</v>
      </c>
      <c r="P129" s="1293" t="e">
        <f t="shared" si="18"/>
        <v>#REF!</v>
      </c>
      <c r="Q129" s="1293" t="e">
        <f t="shared" si="18"/>
        <v>#REF!</v>
      </c>
      <c r="R129" s="1306"/>
      <c r="S129" s="1306"/>
      <c r="T129" s="1306"/>
      <c r="U129" s="1306"/>
    </row>
    <row r="130" spans="1:21" s="1237" customFormat="1">
      <c r="A130" s="40" t="s">
        <v>20</v>
      </c>
      <c r="B130" s="1293">
        <f t="shared" si="18"/>
        <v>541.16705882352937</v>
      </c>
      <c r="C130" s="1293">
        <f t="shared" si="18"/>
        <v>35733898.882352948</v>
      </c>
      <c r="D130" s="1293">
        <f t="shared" si="18"/>
        <v>10</v>
      </c>
      <c r="E130" s="1293">
        <f t="shared" si="18"/>
        <v>0</v>
      </c>
      <c r="F130" s="1293">
        <f t="shared" si="18"/>
        <v>0</v>
      </c>
      <c r="G130" s="1293">
        <f t="shared" si="18"/>
        <v>0</v>
      </c>
      <c r="H130" s="1293" t="e">
        <f t="shared" si="18"/>
        <v>#REF!</v>
      </c>
      <c r="I130" s="1293" t="e">
        <f t="shared" si="18"/>
        <v>#REF!</v>
      </c>
      <c r="J130" s="1293" t="e">
        <f t="shared" si="18"/>
        <v>#REF!</v>
      </c>
      <c r="K130" s="1305" t="e">
        <f t="shared" si="18"/>
        <v>#VALUE!</v>
      </c>
      <c r="L130" s="1305" t="e">
        <f t="shared" si="18"/>
        <v>#VALUE!</v>
      </c>
      <c r="M130" s="1293" t="e">
        <f t="shared" si="18"/>
        <v>#REF!</v>
      </c>
      <c r="N130" s="1293" t="e">
        <f t="shared" si="18"/>
        <v>#REF!</v>
      </c>
      <c r="O130" s="1293" t="e">
        <f t="shared" si="18"/>
        <v>#REF!</v>
      </c>
      <c r="P130" s="1293" t="e">
        <f t="shared" si="18"/>
        <v>#REF!</v>
      </c>
      <c r="Q130" s="1293" t="e">
        <f t="shared" si="18"/>
        <v>#REF!</v>
      </c>
      <c r="R130" s="1306"/>
      <c r="S130" s="1306"/>
      <c r="T130" s="1306"/>
      <c r="U130" s="1306"/>
    </row>
    <row r="131" spans="1:21" s="1237" customFormat="1">
      <c r="A131" s="40" t="s">
        <v>63</v>
      </c>
      <c r="B131" s="1293">
        <f t="shared" si="18"/>
        <v>541.16705882352937</v>
      </c>
      <c r="C131" s="1293">
        <f t="shared" si="18"/>
        <v>35733898.882352948</v>
      </c>
      <c r="D131" s="1293">
        <f t="shared" si="18"/>
        <v>10</v>
      </c>
      <c r="E131" s="1293">
        <f t="shared" si="18"/>
        <v>0</v>
      </c>
      <c r="F131" s="1293">
        <f t="shared" si="18"/>
        <v>0</v>
      </c>
      <c r="G131" s="1293">
        <f t="shared" si="18"/>
        <v>0</v>
      </c>
      <c r="H131" s="1293" t="e">
        <f t="shared" si="18"/>
        <v>#REF!</v>
      </c>
      <c r="I131" s="1293" t="e">
        <f t="shared" si="18"/>
        <v>#REF!</v>
      </c>
      <c r="J131" s="1293" t="e">
        <f t="shared" si="18"/>
        <v>#REF!</v>
      </c>
      <c r="K131" s="1305" t="e">
        <f t="shared" si="18"/>
        <v>#VALUE!</v>
      </c>
      <c r="L131" s="1305" t="e">
        <f t="shared" si="18"/>
        <v>#VALUE!</v>
      </c>
      <c r="M131" s="1293" t="e">
        <f t="shared" si="18"/>
        <v>#REF!</v>
      </c>
      <c r="N131" s="1293" t="e">
        <f t="shared" si="18"/>
        <v>#REF!</v>
      </c>
      <c r="O131" s="1293" t="e">
        <f t="shared" si="18"/>
        <v>#REF!</v>
      </c>
      <c r="P131" s="1293" t="e">
        <f t="shared" si="18"/>
        <v>#REF!</v>
      </c>
      <c r="Q131" s="1293" t="e">
        <f t="shared" si="18"/>
        <v>#REF!</v>
      </c>
      <c r="R131" s="1306"/>
      <c r="S131" s="1306"/>
      <c r="T131" s="1306"/>
      <c r="U131" s="1306"/>
    </row>
    <row r="132" spans="1:21" s="1237" customFormat="1">
      <c r="A132" s="27" t="s">
        <v>114</v>
      </c>
      <c r="B132" s="18">
        <f t="shared" ref="B132:J132" si="19">SUM(B126:B131)</f>
        <v>3144.4141176470584</v>
      </c>
      <c r="C132" s="18">
        <f t="shared" si="19"/>
        <v>207439181.76470593</v>
      </c>
      <c r="D132" s="18">
        <f t="shared" si="19"/>
        <v>58</v>
      </c>
      <c r="E132" s="18">
        <f t="shared" si="19"/>
        <v>47.08</v>
      </c>
      <c r="F132" s="18">
        <f t="shared" si="19"/>
        <v>0</v>
      </c>
      <c r="G132" s="18">
        <f t="shared" si="19"/>
        <v>2</v>
      </c>
      <c r="H132" s="18" t="e">
        <f t="shared" si="19"/>
        <v>#REF!</v>
      </c>
      <c r="I132" s="18" t="e">
        <f t="shared" si="19"/>
        <v>#REF!</v>
      </c>
      <c r="J132" s="18" t="e">
        <f t="shared" si="19"/>
        <v>#REF!</v>
      </c>
      <c r="K132" s="1304" t="str">
        <f>IFERROR(H132/B132,"")</f>
        <v/>
      </c>
      <c r="L132" s="1304" t="str">
        <f>IFERROR(I132/C132,"")</f>
        <v/>
      </c>
      <c r="M132" s="18" t="e">
        <f>SUM(M126:M131)</f>
        <v>#REF!</v>
      </c>
      <c r="N132" s="18" t="e">
        <f>SUM(N126:N131)</f>
        <v>#REF!</v>
      </c>
      <c r="O132" s="18" t="e">
        <f>SUM(O126:O131)</f>
        <v>#REF!</v>
      </c>
      <c r="P132" s="1298" t="e">
        <f>SUM(P126:P131)</f>
        <v>#REF!</v>
      </c>
      <c r="Q132" s="18" t="e">
        <f>SUM(Q126:Q131)</f>
        <v>#REF!</v>
      </c>
      <c r="R132" s="1306"/>
      <c r="S132" s="1306"/>
      <c r="T132" s="1306"/>
      <c r="U132" s="1306"/>
    </row>
    <row r="133" spans="1:21" s="43" customFormat="1" ht="25.5">
      <c r="A133" s="20" t="s">
        <v>115</v>
      </c>
      <c r="B133" s="13" t="s">
        <v>100</v>
      </c>
      <c r="C133" s="21" t="s">
        <v>97</v>
      </c>
      <c r="D133" s="12" t="s">
        <v>95</v>
      </c>
      <c r="E133" s="1287" t="s">
        <v>494</v>
      </c>
      <c r="F133" s="1287" t="s">
        <v>495</v>
      </c>
      <c r="G133" s="1287" t="s">
        <v>496</v>
      </c>
      <c r="H133" s="1280" t="s">
        <v>101</v>
      </c>
      <c r="I133" s="12" t="s">
        <v>98</v>
      </c>
      <c r="J133" s="12" t="s">
        <v>96</v>
      </c>
      <c r="K133" s="1295" t="s">
        <v>715</v>
      </c>
      <c r="L133" s="1295" t="s">
        <v>716</v>
      </c>
      <c r="M133" s="12">
        <v>0</v>
      </c>
      <c r="N133" s="12">
        <v>1</v>
      </c>
      <c r="O133" s="12">
        <v>2</v>
      </c>
      <c r="P133" s="12">
        <v>3</v>
      </c>
      <c r="Q133" s="12">
        <v>4</v>
      </c>
      <c r="R133" s="930"/>
      <c r="S133" s="930"/>
      <c r="T133" s="930"/>
      <c r="U133" s="948"/>
    </row>
    <row r="134" spans="1:21" s="43" customFormat="1">
      <c r="A134" s="22" t="s">
        <v>16</v>
      </c>
      <c r="B134" s="1307">
        <f t="shared" ref="B134:J135" si="20">B92+B106+B120</f>
        <v>1705.0957983193277</v>
      </c>
      <c r="C134" s="1307">
        <f t="shared" si="20"/>
        <v>105099448.54621848</v>
      </c>
      <c r="D134" s="1307">
        <f t="shared" si="20"/>
        <v>33</v>
      </c>
      <c r="E134" s="1293">
        <f t="shared" si="20"/>
        <v>327.09999999999997</v>
      </c>
      <c r="F134" s="1293">
        <f t="shared" si="20"/>
        <v>12844430.4</v>
      </c>
      <c r="G134" s="1293">
        <f t="shared" si="20"/>
        <v>4</v>
      </c>
      <c r="H134" s="1307" t="e">
        <f t="shared" si="20"/>
        <v>#REF!</v>
      </c>
      <c r="I134" s="1307" t="e">
        <f t="shared" si="20"/>
        <v>#REF!</v>
      </c>
      <c r="J134" s="1307" t="e">
        <f t="shared" si="20"/>
        <v>#REF!</v>
      </c>
      <c r="K134" s="1305" t="str">
        <f t="shared" ref="K134:L136" si="21">IFERROR(H134/B134,"")</f>
        <v/>
      </c>
      <c r="L134" s="1305" t="str">
        <f t="shared" si="21"/>
        <v/>
      </c>
      <c r="M134" s="1307" t="e">
        <f t="shared" ref="M134:Q135" si="22">M92+M106+M120</f>
        <v>#REF!</v>
      </c>
      <c r="N134" s="1307" t="e">
        <f t="shared" si="22"/>
        <v>#REF!</v>
      </c>
      <c r="O134" s="1307" t="e">
        <f t="shared" si="22"/>
        <v>#REF!</v>
      </c>
      <c r="P134" s="1307" t="e">
        <f t="shared" si="22"/>
        <v>#REF!</v>
      </c>
      <c r="Q134" s="1307" t="e">
        <f t="shared" si="22"/>
        <v>#REF!</v>
      </c>
      <c r="R134" s="930"/>
      <c r="S134" s="930"/>
      <c r="T134" s="930"/>
      <c r="U134" s="948"/>
    </row>
    <row r="135" spans="1:21" s="43" customFormat="1">
      <c r="A135" s="22" t="s">
        <v>575</v>
      </c>
      <c r="B135" s="1307">
        <f t="shared" si="20"/>
        <v>275.57983193277312</v>
      </c>
      <c r="C135" s="1307">
        <f t="shared" si="20"/>
        <v>17299072.62184874</v>
      </c>
      <c r="D135" s="1307">
        <f t="shared" si="20"/>
        <v>6</v>
      </c>
      <c r="E135" s="1293">
        <f t="shared" si="20"/>
        <v>0</v>
      </c>
      <c r="F135" s="1293">
        <f t="shared" si="20"/>
        <v>0</v>
      </c>
      <c r="G135" s="1293">
        <f t="shared" si="20"/>
        <v>0</v>
      </c>
      <c r="H135" s="1307" t="e">
        <f t="shared" si="20"/>
        <v>#REF!</v>
      </c>
      <c r="I135" s="1307" t="e">
        <f t="shared" si="20"/>
        <v>#REF!</v>
      </c>
      <c r="J135" s="1307" t="e">
        <f t="shared" si="20"/>
        <v>#REF!</v>
      </c>
      <c r="K135" s="1305" t="str">
        <f t="shared" si="21"/>
        <v/>
      </c>
      <c r="L135" s="1305" t="str">
        <f t="shared" si="21"/>
        <v/>
      </c>
      <c r="M135" s="1307" t="e">
        <f t="shared" si="22"/>
        <v>#REF!</v>
      </c>
      <c r="N135" s="1307" t="e">
        <f t="shared" si="22"/>
        <v>#REF!</v>
      </c>
      <c r="O135" s="1307" t="e">
        <f t="shared" si="22"/>
        <v>#REF!</v>
      </c>
      <c r="P135" s="1307" t="e">
        <f t="shared" si="22"/>
        <v>#REF!</v>
      </c>
      <c r="Q135" s="1307" t="e">
        <f t="shared" si="22"/>
        <v>#REF!</v>
      </c>
      <c r="R135" s="930"/>
      <c r="S135" s="930"/>
      <c r="T135" s="930"/>
      <c r="U135" s="948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36" spans="1:21" s="43" customFormat="1">
      <c r="A136" s="18" t="s">
        <v>114</v>
      </c>
      <c r="B136" s="18">
        <f>SUM(B134:B135)</f>
        <v>1980.6756302521007</v>
      </c>
      <c r="C136" s="18">
        <f>SUM(C134:C135)</f>
        <v>122398521.16806722</v>
      </c>
      <c r="D136" s="18">
        <f>SUM(D134:D135)</f>
        <v>39</v>
      </c>
      <c r="E136" s="18">
        <f t="shared" ref="E136:J136" si="23">SUM(E134:E135)</f>
        <v>327.09999999999997</v>
      </c>
      <c r="F136" s="18">
        <f t="shared" si="23"/>
        <v>12844430.4</v>
      </c>
      <c r="G136" s="18">
        <f t="shared" si="23"/>
        <v>4</v>
      </c>
      <c r="H136" s="18" t="e">
        <f t="shared" si="23"/>
        <v>#REF!</v>
      </c>
      <c r="I136" s="18" t="e">
        <f t="shared" si="23"/>
        <v>#REF!</v>
      </c>
      <c r="J136" s="18" t="e">
        <f t="shared" si="23"/>
        <v>#REF!</v>
      </c>
      <c r="K136" s="1303" t="e">
        <f>H136/B136</f>
        <v>#REF!</v>
      </c>
      <c r="L136" s="1304" t="str">
        <f t="shared" si="21"/>
        <v/>
      </c>
      <c r="M136" s="18" t="e">
        <f>SUM(M134:M135)</f>
        <v>#REF!</v>
      </c>
      <c r="N136" s="18" t="e">
        <f>SUM(N134:N135)</f>
        <v>#REF!</v>
      </c>
      <c r="O136" s="18" t="e">
        <f>SUM(O134:O135)</f>
        <v>#REF!</v>
      </c>
      <c r="P136" s="18" t="e">
        <f>SUM(P134:P135)</f>
        <v>#REF!</v>
      </c>
      <c r="Q136" s="18" t="e">
        <f>SUM(Q134:Q135)</f>
        <v>#REF!</v>
      </c>
      <c r="R136" s="930"/>
      <c r="S136" s="930"/>
      <c r="T136" s="930"/>
      <c r="U136" s="948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37" spans="1:21">
      <c r="A137" s="54"/>
      <c r="B137" s="54"/>
      <c r="C137" s="54"/>
      <c r="D137" s="54"/>
      <c r="E137" s="1242"/>
      <c r="F137" s="1235"/>
      <c r="G137" s="54"/>
      <c r="H137" s="54"/>
      <c r="I137" s="1259"/>
      <c r="J137" s="54"/>
      <c r="K137" s="54"/>
      <c r="L137" s="54"/>
      <c r="M137" s="1235"/>
      <c r="N137" s="1260"/>
      <c r="O137" s="1235"/>
      <c r="P137" s="1235"/>
      <c r="Q137" s="1261"/>
      <c r="R137" s="1235"/>
      <c r="S137" s="1235"/>
      <c r="T137" s="1235"/>
      <c r="U13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38" spans="1:21">
      <c r="A138" s="54"/>
      <c r="B138" s="54"/>
      <c r="C138" s="54"/>
      <c r="D138" s="54"/>
      <c r="E138" s="1242"/>
      <c r="F138" s="1235"/>
      <c r="G138" s="54"/>
      <c r="H138" s="54"/>
      <c r="I138" s="1259"/>
      <c r="J138" s="54"/>
      <c r="K138" s="54"/>
      <c r="L138" s="54"/>
      <c r="M138" s="1235"/>
      <c r="N138" s="1260"/>
      <c r="O138" s="1235"/>
      <c r="P138" s="1235"/>
      <c r="Q138" s="1261"/>
      <c r="R138" s="1235"/>
      <c r="S138" s="1235"/>
      <c r="T138" s="1235"/>
      <c r="U13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39" spans="1:21">
      <c r="A139" s="54"/>
      <c r="B139" s="54"/>
      <c r="C139" s="54"/>
      <c r="D139" s="54"/>
      <c r="E139" s="1242"/>
      <c r="F139" s="1235"/>
      <c r="G139" s="54"/>
      <c r="H139" s="54"/>
      <c r="I139" s="1259"/>
      <c r="J139" s="54"/>
      <c r="K139" s="54"/>
      <c r="L139" s="54"/>
      <c r="M139" s="1235"/>
      <c r="N139" s="1260"/>
      <c r="O139" s="1235"/>
      <c r="P139" s="1235"/>
      <c r="Q139" s="1261"/>
      <c r="R139" s="1235"/>
      <c r="S139" s="1235"/>
      <c r="T139" s="1235"/>
      <c r="U13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0" spans="1:21">
      <c r="A140" s="54"/>
      <c r="B140" s="54"/>
      <c r="C140" s="54"/>
      <c r="D140" s="54"/>
      <c r="E140" s="1242"/>
      <c r="F140" s="1235"/>
      <c r="G140" s="54"/>
      <c r="H140" s="54"/>
      <c r="I140" s="1259"/>
      <c r="J140" s="54"/>
      <c r="K140" s="54"/>
      <c r="L140" s="54"/>
      <c r="M140" s="1235"/>
      <c r="N140" s="1260"/>
      <c r="O140" s="1235"/>
      <c r="P140" s="1235"/>
      <c r="Q140" s="1261"/>
      <c r="R140" s="1235"/>
      <c r="S140" s="1235"/>
      <c r="T140" s="1235"/>
      <c r="U14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1" spans="1:21">
      <c r="A141" s="54"/>
      <c r="B141" s="54"/>
      <c r="C141" s="54"/>
      <c r="D141" s="54"/>
      <c r="E141" s="1242"/>
      <c r="F141" s="1235"/>
      <c r="G141" s="54"/>
      <c r="H141" s="54"/>
      <c r="I141" s="1259"/>
      <c r="J141" s="54"/>
      <c r="K141" s="54"/>
      <c r="L141" s="54"/>
      <c r="M141" s="1235"/>
      <c r="N141" s="1260"/>
      <c r="O141" s="1235"/>
      <c r="P141" s="1235"/>
      <c r="Q141" s="1261"/>
      <c r="R141" s="1235"/>
      <c r="S141" s="1235"/>
      <c r="T141" s="1235"/>
      <c r="U14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2" spans="1:21">
      <c r="A142" s="54"/>
      <c r="B142" s="54"/>
      <c r="C142" s="54"/>
      <c r="D142" s="54"/>
      <c r="E142" s="1242"/>
      <c r="F142" s="1235"/>
      <c r="G142" s="54"/>
      <c r="H142" s="54"/>
      <c r="I142" s="1259"/>
      <c r="J142" s="54"/>
      <c r="K142" s="54"/>
      <c r="L142" s="54"/>
      <c r="M142" s="1235"/>
      <c r="N142" s="1260"/>
      <c r="O142" s="1235"/>
      <c r="P142" s="1235"/>
      <c r="Q142" s="1261"/>
      <c r="R142" s="1235"/>
      <c r="S142" s="1235"/>
      <c r="T142" s="1235"/>
      <c r="U14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3" spans="1:21">
      <c r="A143" s="54"/>
      <c r="B143" s="54"/>
      <c r="C143" s="54"/>
      <c r="D143" s="54"/>
      <c r="E143" s="1242"/>
      <c r="F143" s="1235"/>
      <c r="G143" s="54"/>
      <c r="H143" s="54"/>
      <c r="I143" s="1259"/>
      <c r="J143" s="54"/>
      <c r="K143" s="54"/>
      <c r="L143" s="54"/>
      <c r="M143" s="1235"/>
      <c r="N143" s="1260"/>
      <c r="O143" s="1235"/>
      <c r="P143" s="1235"/>
      <c r="Q143" s="1261"/>
      <c r="R143" s="1235"/>
      <c r="S143" s="1235"/>
      <c r="T143" s="1235"/>
      <c r="U14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4" spans="1:21">
      <c r="A144" s="54"/>
      <c r="B144" s="54"/>
      <c r="C144" s="54"/>
      <c r="D144" s="54"/>
      <c r="E144" s="1242"/>
      <c r="F144" s="1235"/>
      <c r="G144" s="54"/>
      <c r="H144" s="54"/>
      <c r="I144" s="1259"/>
      <c r="J144" s="54"/>
      <c r="K144" s="54"/>
      <c r="L144" s="54"/>
      <c r="M144" s="1235"/>
      <c r="N144" s="1260"/>
      <c r="O144" s="1235"/>
      <c r="P144" s="1235"/>
      <c r="Q144" s="1261"/>
      <c r="R144" s="1235"/>
      <c r="S144" s="1235"/>
      <c r="T144" s="1235"/>
      <c r="U14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5" spans="1:21">
      <c r="A145" s="54"/>
      <c r="B145" s="54"/>
      <c r="C145" s="54"/>
      <c r="D145" s="54"/>
      <c r="E145" s="1242"/>
      <c r="F145" s="1235"/>
      <c r="G145" s="54"/>
      <c r="H145" s="54"/>
      <c r="I145" s="1259"/>
      <c r="J145" s="54"/>
      <c r="K145" s="54"/>
      <c r="L145" s="54"/>
      <c r="M145" s="1235"/>
      <c r="N145" s="1260"/>
      <c r="O145" s="1235"/>
      <c r="P145" s="1235"/>
      <c r="Q145" s="1261"/>
      <c r="R145" s="1235"/>
      <c r="S145" s="1235"/>
      <c r="T145" s="1235"/>
      <c r="U14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6" spans="1:21">
      <c r="A146" s="54"/>
      <c r="B146" s="54"/>
      <c r="C146" s="54"/>
      <c r="D146" s="54"/>
      <c r="E146" s="1242"/>
      <c r="F146" s="1235"/>
      <c r="G146" s="54"/>
      <c r="H146" s="54"/>
      <c r="I146" s="1259"/>
      <c r="J146" s="54"/>
      <c r="K146" s="54"/>
      <c r="L146" s="54"/>
      <c r="M146" s="1235"/>
      <c r="N146" s="1260"/>
      <c r="O146" s="1235"/>
      <c r="P146" s="1235"/>
      <c r="Q146" s="1261"/>
      <c r="R146" s="1235"/>
      <c r="S146" s="1235"/>
      <c r="T146" s="1235"/>
      <c r="U14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7" spans="1:21">
      <c r="A147" s="54"/>
      <c r="B147" s="54"/>
      <c r="C147" s="54"/>
      <c r="D147" s="54"/>
      <c r="E147" s="1242"/>
      <c r="F147" s="1235"/>
      <c r="G147" s="54"/>
      <c r="H147" s="54"/>
      <c r="I147" s="1259"/>
      <c r="J147" s="54"/>
      <c r="K147" s="54"/>
      <c r="L147" s="54"/>
      <c r="M147" s="1235"/>
      <c r="N147" s="1260"/>
      <c r="O147" s="1235"/>
      <c r="P147" s="1235"/>
      <c r="Q147" s="1261"/>
      <c r="R147" s="1235"/>
      <c r="S147" s="1235"/>
      <c r="T147" s="1235"/>
      <c r="U14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48" spans="1:21">
      <c r="A148" s="54"/>
      <c r="B148" s="54"/>
      <c r="C148" s="54"/>
      <c r="D148" s="54"/>
      <c r="E148" s="1242"/>
      <c r="F148" s="1235"/>
      <c r="G148" s="54"/>
      <c r="H148" s="54"/>
      <c r="I148" s="1259"/>
      <c r="J148" s="54"/>
      <c r="K148" s="54"/>
      <c r="L148" s="54"/>
      <c r="M148" s="1235"/>
      <c r="N148" s="1260"/>
      <c r="O148" s="1235"/>
      <c r="P148" s="1235"/>
      <c r="Q148" s="1261"/>
      <c r="R148" s="1235"/>
      <c r="S148" s="1235"/>
      <c r="T148" s="1235"/>
      <c r="U148" s="1259"/>
    </row>
    <row r="149" spans="1:21">
      <c r="A149" s="54"/>
      <c r="B149" s="54"/>
      <c r="C149" s="54"/>
      <c r="D149" s="54"/>
      <c r="E149" s="1242"/>
      <c r="F149" s="1235"/>
      <c r="G149" s="54"/>
      <c r="H149" s="54"/>
      <c r="I149" s="1259"/>
      <c r="J149" s="54"/>
      <c r="K149" s="54"/>
      <c r="L149" s="54"/>
      <c r="M149" s="1235"/>
      <c r="N149" s="1260"/>
      <c r="O149" s="1235"/>
      <c r="P149" s="1235"/>
      <c r="Q149" s="1261"/>
      <c r="R149" s="1235"/>
      <c r="S149" s="1235"/>
      <c r="T149" s="1235"/>
      <c r="U14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0" spans="1:21">
      <c r="A150" s="54"/>
      <c r="B150" s="54"/>
      <c r="C150" s="54"/>
      <c r="D150" s="54"/>
      <c r="E150" s="1242"/>
      <c r="F150" s="1235"/>
      <c r="G150" s="54"/>
      <c r="H150" s="54"/>
      <c r="I150" s="1259"/>
      <c r="J150" s="54"/>
      <c r="K150" s="54"/>
      <c r="L150" s="54"/>
      <c r="M150" s="1235"/>
      <c r="N150" s="1260"/>
      <c r="O150" s="1235"/>
      <c r="P150" s="1235"/>
      <c r="Q150" s="1261"/>
      <c r="R150" s="1235"/>
      <c r="S150" s="1235"/>
      <c r="T150" s="1235"/>
      <c r="U150" s="1259"/>
    </row>
    <row r="151" spans="1:21">
      <c r="A151" s="54"/>
      <c r="B151" s="54"/>
      <c r="C151" s="54"/>
      <c r="D151" s="54"/>
      <c r="E151" s="1242"/>
      <c r="F151" s="1235"/>
      <c r="G151" s="54"/>
      <c r="H151" s="54"/>
      <c r="I151" s="1259"/>
      <c r="J151" s="54"/>
      <c r="K151" s="54"/>
      <c r="L151" s="54"/>
      <c r="M151" s="1235"/>
      <c r="N151" s="1260"/>
      <c r="O151" s="1235"/>
      <c r="P151" s="1235"/>
      <c r="Q151" s="1261"/>
      <c r="R151" s="1235"/>
      <c r="S151" s="1235"/>
      <c r="T151" s="1235"/>
      <c r="U15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2" spans="1:21">
      <c r="A152" s="54"/>
      <c r="B152" s="54"/>
      <c r="C152" s="54"/>
      <c r="D152" s="54"/>
      <c r="E152" s="1242"/>
      <c r="F152" s="1235"/>
      <c r="G152" s="54"/>
      <c r="H152" s="54"/>
      <c r="I152" s="1259"/>
      <c r="J152" s="54"/>
      <c r="K152" s="54"/>
      <c r="L152" s="54"/>
      <c r="M152" s="1235"/>
      <c r="N152" s="1260"/>
      <c r="O152" s="1235"/>
      <c r="P152" s="1235"/>
      <c r="Q152" s="1261"/>
      <c r="R152" s="1235"/>
      <c r="S152" s="1235"/>
      <c r="T152" s="1235"/>
      <c r="U15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3" spans="1:21">
      <c r="A153" s="54"/>
      <c r="B153" s="54"/>
      <c r="C153" s="54"/>
      <c r="D153" s="54"/>
      <c r="E153" s="1242"/>
      <c r="F153" s="1235"/>
      <c r="G153" s="54"/>
      <c r="H153" s="54"/>
      <c r="I153" s="1259"/>
      <c r="J153" s="54"/>
      <c r="K153" s="54"/>
      <c r="L153" s="54"/>
      <c r="M153" s="1235"/>
      <c r="N153" s="1260"/>
      <c r="O153" s="1235"/>
      <c r="P153" s="1235"/>
      <c r="Q153" s="1261"/>
      <c r="R153" s="1235"/>
      <c r="S153" s="1235"/>
      <c r="T153" s="1235"/>
      <c r="U15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4" spans="1:21">
      <c r="A154" s="54"/>
      <c r="B154" s="54"/>
      <c r="C154" s="54"/>
      <c r="D154" s="54"/>
      <c r="E154" s="1242"/>
      <c r="F154" s="1235"/>
      <c r="G154" s="54"/>
      <c r="H154" s="54"/>
      <c r="I154" s="1259"/>
      <c r="J154" s="54"/>
      <c r="K154" s="54"/>
      <c r="L154" s="54"/>
      <c r="M154" s="1235"/>
      <c r="N154" s="1260"/>
      <c r="O154" s="1235"/>
      <c r="P154" s="1235"/>
      <c r="Q154" s="1261"/>
      <c r="R154" s="1235"/>
      <c r="S154" s="1235"/>
      <c r="T154" s="1235"/>
      <c r="U15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5" spans="1:21">
      <c r="A155" s="54"/>
      <c r="B155" s="54"/>
      <c r="C155" s="54"/>
      <c r="D155" s="54"/>
      <c r="E155" s="1242"/>
      <c r="F155" s="1235"/>
      <c r="G155" s="54"/>
      <c r="H155" s="54"/>
      <c r="I155" s="1259"/>
      <c r="J155" s="54"/>
      <c r="K155" s="54"/>
      <c r="L155" s="54"/>
      <c r="M155" s="1235"/>
      <c r="N155" s="1260"/>
      <c r="O155" s="1235"/>
      <c r="P155" s="1235"/>
      <c r="Q155" s="1261"/>
      <c r="R155" s="1235"/>
      <c r="S155" s="1235"/>
      <c r="T155" s="1235"/>
      <c r="U15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6" spans="1:21">
      <c r="A156" s="54"/>
      <c r="B156" s="54"/>
      <c r="C156" s="54"/>
      <c r="D156" s="54"/>
      <c r="E156" s="1242"/>
      <c r="F156" s="1235"/>
      <c r="G156" s="54"/>
      <c r="H156" s="54"/>
      <c r="I156" s="1259"/>
      <c r="J156" s="54"/>
      <c r="K156" s="54"/>
      <c r="L156" s="54"/>
      <c r="M156" s="1235"/>
      <c r="N156" s="1260"/>
      <c r="O156" s="1235"/>
      <c r="P156" s="1235"/>
      <c r="Q156" s="1261"/>
      <c r="R156" s="1235"/>
      <c r="S156" s="1235"/>
      <c r="T156" s="1235"/>
      <c r="U15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7" spans="1:21">
      <c r="A157" s="54"/>
      <c r="B157" s="54"/>
      <c r="C157" s="54"/>
      <c r="D157" s="54"/>
      <c r="E157" s="1242"/>
      <c r="F157" s="1235"/>
      <c r="G157" s="54"/>
      <c r="H157" s="54"/>
      <c r="I157" s="1259"/>
      <c r="J157" s="54"/>
      <c r="K157" s="54"/>
      <c r="L157" s="54"/>
      <c r="M157" s="1235"/>
      <c r="N157" s="1260"/>
      <c r="O157" s="1235"/>
      <c r="P157" s="1235"/>
      <c r="Q157" s="1261"/>
      <c r="R157" s="1235"/>
      <c r="S157" s="1235"/>
      <c r="T157" s="1235"/>
      <c r="U15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8" spans="1:21">
      <c r="A158" s="54"/>
      <c r="B158" s="54"/>
      <c r="C158" s="54"/>
      <c r="D158" s="54"/>
      <c r="E158" s="1242"/>
      <c r="F158" s="1235"/>
      <c r="G158" s="54"/>
      <c r="H158" s="54"/>
      <c r="I158" s="1259"/>
      <c r="J158" s="54"/>
      <c r="K158" s="54"/>
      <c r="L158" s="54"/>
      <c r="M158" s="1235"/>
      <c r="N158" s="1260"/>
      <c r="O158" s="1235"/>
      <c r="P158" s="1235"/>
      <c r="Q158" s="1261"/>
      <c r="R158" s="1235"/>
      <c r="S158" s="1235"/>
      <c r="T158" s="1235"/>
      <c r="U15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59" spans="1:21">
      <c r="A159" s="54"/>
      <c r="B159" s="54"/>
      <c r="C159" s="54"/>
      <c r="D159" s="54"/>
      <c r="E159" s="1242"/>
      <c r="F159" s="1235"/>
      <c r="G159" s="54"/>
      <c r="H159" s="54"/>
      <c r="I159" s="1259"/>
      <c r="J159" s="54"/>
      <c r="K159" s="54"/>
      <c r="L159" s="54"/>
      <c r="M159" s="1235"/>
      <c r="N159" s="1260"/>
      <c r="O159" s="1235"/>
      <c r="P159" s="1235"/>
      <c r="Q159" s="1261"/>
      <c r="R159" s="1235"/>
      <c r="S159" s="1235"/>
      <c r="T159" s="1235"/>
      <c r="U15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0" spans="1:21">
      <c r="A160" s="54"/>
      <c r="B160" s="54"/>
      <c r="C160" s="54"/>
      <c r="D160" s="54"/>
      <c r="E160" s="1242"/>
      <c r="F160" s="1235"/>
      <c r="G160" s="54"/>
      <c r="H160" s="54"/>
      <c r="I160" s="1259"/>
      <c r="J160" s="54"/>
      <c r="K160" s="54"/>
      <c r="L160" s="54"/>
      <c r="M160" s="1235"/>
      <c r="N160" s="1260"/>
      <c r="O160" s="1235"/>
      <c r="P160" s="1235"/>
      <c r="Q160" s="1261"/>
      <c r="R160" s="1235"/>
      <c r="S160" s="1235"/>
      <c r="T160" s="1235"/>
      <c r="U16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1" spans="1:21">
      <c r="A161" s="54"/>
      <c r="B161" s="54"/>
      <c r="C161" s="54"/>
      <c r="D161" s="54"/>
      <c r="E161" s="1242"/>
      <c r="F161" s="1235"/>
      <c r="G161" s="54"/>
      <c r="H161" s="54"/>
      <c r="I161" s="1259"/>
      <c r="J161" s="54"/>
      <c r="K161" s="54"/>
      <c r="L161" s="54"/>
      <c r="M161" s="1235"/>
      <c r="N161" s="1260"/>
      <c r="O161" s="1235"/>
      <c r="P161" s="1235"/>
      <c r="Q161" s="1261"/>
      <c r="R161" s="1235"/>
      <c r="S161" s="1235"/>
      <c r="T161" s="1235"/>
      <c r="U16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2" spans="1:21">
      <c r="A162" s="54"/>
      <c r="B162" s="54"/>
      <c r="C162" s="54"/>
      <c r="D162" s="54"/>
      <c r="E162" s="1242"/>
      <c r="F162" s="1235"/>
      <c r="G162" s="54"/>
      <c r="H162" s="54"/>
      <c r="I162" s="1259"/>
      <c r="J162" s="54"/>
      <c r="K162" s="54"/>
      <c r="L162" s="54"/>
      <c r="M162" s="1235"/>
      <c r="N162" s="1260"/>
      <c r="O162" s="1235"/>
      <c r="P162" s="1235"/>
      <c r="Q162" s="1261"/>
      <c r="R162" s="1235"/>
      <c r="S162" s="1235"/>
      <c r="T162" s="1235"/>
      <c r="U16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3" spans="1:21">
      <c r="A163" s="54"/>
      <c r="B163" s="54"/>
      <c r="C163" s="54"/>
      <c r="D163" s="54"/>
      <c r="E163" s="1242"/>
      <c r="F163" s="1235"/>
      <c r="G163" s="54"/>
      <c r="H163" s="54"/>
      <c r="I163" s="1259"/>
      <c r="J163" s="54"/>
      <c r="K163" s="54"/>
      <c r="L163" s="54"/>
      <c r="M163" s="1235"/>
      <c r="N163" s="1260"/>
      <c r="O163" s="1235"/>
      <c r="P163" s="1235"/>
      <c r="Q163" s="1261"/>
      <c r="R163" s="1235"/>
      <c r="S163" s="1235"/>
      <c r="T163" s="1235"/>
      <c r="U16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4" spans="1:21">
      <c r="A164" s="54"/>
      <c r="B164" s="54"/>
      <c r="C164" s="54"/>
      <c r="D164" s="54"/>
      <c r="E164" s="1242"/>
      <c r="F164" s="1235"/>
      <c r="G164" s="54"/>
      <c r="H164" s="54"/>
      <c r="I164" s="1259"/>
      <c r="J164" s="54"/>
      <c r="K164" s="54"/>
      <c r="L164" s="54"/>
      <c r="M164" s="1235"/>
      <c r="N164" s="1260"/>
      <c r="O164" s="1235"/>
      <c r="P164" s="1235"/>
      <c r="Q164" s="1261"/>
      <c r="R164" s="1235"/>
      <c r="S164" s="1235"/>
      <c r="T164" s="1235"/>
      <c r="U16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5" spans="1:21">
      <c r="A165" s="54"/>
      <c r="B165" s="54"/>
      <c r="C165" s="54"/>
      <c r="D165" s="54"/>
      <c r="E165" s="1242"/>
      <c r="F165" s="1235"/>
      <c r="G165" s="54"/>
      <c r="H165" s="54"/>
      <c r="I165" s="1259"/>
      <c r="J165" s="54"/>
      <c r="K165" s="54"/>
      <c r="L165" s="54"/>
      <c r="M165" s="1235"/>
      <c r="N165" s="1260"/>
      <c r="O165" s="1235"/>
      <c r="P165" s="1235"/>
      <c r="Q165" s="1261"/>
      <c r="R165" s="1235"/>
      <c r="S165" s="1235"/>
      <c r="T165" s="1235"/>
      <c r="U16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6" spans="1:21">
      <c r="A166" s="54"/>
      <c r="B166" s="54"/>
      <c r="C166" s="54"/>
      <c r="D166" s="54"/>
      <c r="E166" s="1242"/>
      <c r="F166" s="1235"/>
      <c r="G166" s="54"/>
      <c r="H166" s="54"/>
      <c r="I166" s="1259"/>
      <c r="J166" s="54"/>
      <c r="K166" s="54"/>
      <c r="L166" s="54"/>
      <c r="M166" s="1235"/>
      <c r="N166" s="1260"/>
      <c r="O166" s="1235"/>
      <c r="P166" s="1235"/>
      <c r="Q166" s="1261"/>
      <c r="R166" s="1235"/>
      <c r="S166" s="1235"/>
      <c r="T166" s="1235"/>
      <c r="U16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7" spans="1:21">
      <c r="A167" s="54"/>
      <c r="B167" s="54"/>
      <c r="C167" s="54"/>
      <c r="D167" s="54"/>
      <c r="E167" s="1242"/>
      <c r="F167" s="1235"/>
      <c r="G167" s="54"/>
      <c r="H167" s="54"/>
      <c r="I167" s="1259"/>
      <c r="J167" s="54"/>
      <c r="K167" s="54"/>
      <c r="L167" s="54"/>
      <c r="M167" s="1235"/>
      <c r="N167" s="1260"/>
      <c r="O167" s="1235"/>
      <c r="P167" s="1235"/>
      <c r="Q167" s="1261"/>
      <c r="R167" s="1235"/>
      <c r="S167" s="1235"/>
      <c r="T167" s="1235"/>
      <c r="U16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8" spans="1:21">
      <c r="A168" s="54"/>
      <c r="B168" s="54"/>
      <c r="C168" s="54"/>
      <c r="D168" s="54"/>
      <c r="E168" s="1242"/>
      <c r="F168" s="1235"/>
      <c r="G168" s="54"/>
      <c r="H168" s="54"/>
      <c r="I168" s="1259"/>
      <c r="J168" s="54"/>
      <c r="K168" s="54"/>
      <c r="L168" s="54"/>
      <c r="M168" s="1235"/>
      <c r="N168" s="1260"/>
      <c r="O168" s="1235"/>
      <c r="P168" s="1235"/>
      <c r="Q168" s="1261"/>
      <c r="R168" s="1235"/>
      <c r="S168" s="1235"/>
      <c r="T168" s="1235"/>
      <c r="U16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69" spans="1:21">
      <c r="A169" s="54"/>
      <c r="B169" s="54"/>
      <c r="C169" s="54"/>
      <c r="D169" s="54"/>
      <c r="E169" s="1242"/>
      <c r="F169" s="1235"/>
      <c r="G169" s="54"/>
      <c r="H169" s="54"/>
      <c r="I169" s="1259"/>
      <c r="J169" s="54"/>
      <c r="K169" s="54"/>
      <c r="L169" s="54"/>
      <c r="M169" s="1235"/>
      <c r="N169" s="1260"/>
      <c r="O169" s="1235"/>
      <c r="P169" s="1235"/>
      <c r="Q169" s="1261"/>
      <c r="R169" s="1235"/>
      <c r="S169" s="1235"/>
      <c r="T169" s="1235"/>
      <c r="U16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0" spans="1:21">
      <c r="A170" s="54"/>
      <c r="B170" s="54"/>
      <c r="C170" s="54"/>
      <c r="D170" s="54"/>
      <c r="E170" s="1242"/>
      <c r="F170" s="1235"/>
      <c r="G170" s="54"/>
      <c r="H170" s="54"/>
      <c r="I170" s="1259"/>
      <c r="J170" s="54"/>
      <c r="K170" s="54"/>
      <c r="L170" s="54"/>
      <c r="M170" s="1235"/>
      <c r="N170" s="1260"/>
      <c r="O170" s="1235"/>
      <c r="P170" s="1235"/>
      <c r="Q170" s="1261"/>
      <c r="R170" s="1235"/>
      <c r="S170" s="1235"/>
      <c r="T170" s="1235"/>
      <c r="U17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1" spans="1:21">
      <c r="A171" s="54"/>
      <c r="B171" s="54"/>
      <c r="C171" s="54"/>
      <c r="D171" s="54"/>
      <c r="E171" s="1242"/>
      <c r="F171" s="1235"/>
      <c r="G171" s="54"/>
      <c r="H171" s="54"/>
      <c r="I171" s="1259"/>
      <c r="J171" s="54"/>
      <c r="K171" s="54"/>
      <c r="L171" s="54"/>
      <c r="M171" s="1235"/>
      <c r="N171" s="1260"/>
      <c r="O171" s="1235"/>
      <c r="P171" s="1235"/>
      <c r="Q171" s="1261"/>
      <c r="R171" s="1235"/>
      <c r="S171" s="1235"/>
      <c r="T171" s="1235"/>
      <c r="U17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2" spans="1:21">
      <c r="A172" s="54"/>
      <c r="B172" s="54"/>
      <c r="C172" s="54"/>
      <c r="D172" s="54"/>
      <c r="E172" s="1242"/>
      <c r="F172" s="1235"/>
      <c r="G172" s="54"/>
      <c r="H172" s="54"/>
      <c r="I172" s="1259"/>
      <c r="J172" s="54"/>
      <c r="K172" s="54"/>
      <c r="L172" s="54"/>
      <c r="M172" s="1235"/>
      <c r="N172" s="1260"/>
      <c r="O172" s="1235"/>
      <c r="P172" s="1235"/>
      <c r="Q172" s="1261"/>
      <c r="R172" s="1235"/>
      <c r="S172" s="1235"/>
      <c r="T172" s="1235"/>
      <c r="U17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3" spans="1:21">
      <c r="A173" s="54"/>
      <c r="B173" s="54"/>
      <c r="C173" s="54"/>
      <c r="D173" s="54"/>
      <c r="E173" s="1242"/>
      <c r="F173" s="1235"/>
      <c r="G173" s="54"/>
      <c r="H173" s="54"/>
      <c r="I173" s="1259"/>
      <c r="J173" s="54"/>
      <c r="K173" s="54"/>
      <c r="L173" s="54"/>
      <c r="M173" s="1235"/>
      <c r="N173" s="1260"/>
      <c r="O173" s="1235"/>
      <c r="P173" s="1235"/>
      <c r="Q173" s="1261"/>
      <c r="R173" s="1235"/>
      <c r="S173" s="1235"/>
      <c r="T173" s="1235"/>
      <c r="U17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4" spans="1:21">
      <c r="A174" s="54"/>
      <c r="B174" s="54"/>
      <c r="C174" s="54"/>
      <c r="D174" s="54"/>
      <c r="E174" s="1242"/>
      <c r="F174" s="1235"/>
      <c r="G174" s="54"/>
      <c r="H174" s="54"/>
      <c r="I174" s="1259"/>
      <c r="J174" s="54"/>
      <c r="K174" s="54"/>
      <c r="L174" s="54"/>
      <c r="M174" s="1235"/>
      <c r="N174" s="1260"/>
      <c r="O174" s="1235"/>
      <c r="P174" s="1235"/>
      <c r="Q174" s="1261"/>
      <c r="R174" s="1235"/>
      <c r="S174" s="1235"/>
      <c r="T174" s="1235"/>
      <c r="U17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5" spans="1:21">
      <c r="A175" s="54"/>
      <c r="B175" s="54"/>
      <c r="C175" s="54"/>
      <c r="D175" s="54"/>
      <c r="E175" s="1242"/>
      <c r="F175" s="1235"/>
      <c r="G175" s="54"/>
      <c r="H175" s="54"/>
      <c r="I175" s="1259"/>
      <c r="J175" s="54"/>
      <c r="K175" s="54"/>
      <c r="L175" s="54"/>
      <c r="M175" s="1235"/>
      <c r="N175" s="1260"/>
      <c r="O175" s="1235"/>
      <c r="P175" s="1235"/>
      <c r="Q175" s="1261"/>
      <c r="R175" s="1235"/>
      <c r="S175" s="1235"/>
      <c r="T175" s="1235"/>
      <c r="U17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6" spans="1:21">
      <c r="A176" s="54"/>
      <c r="B176" s="54"/>
      <c r="C176" s="54"/>
      <c r="D176" s="54"/>
      <c r="E176" s="1242"/>
      <c r="F176" s="1235"/>
      <c r="G176" s="54"/>
      <c r="H176" s="54"/>
      <c r="I176" s="1259"/>
      <c r="J176" s="54"/>
      <c r="K176" s="54"/>
      <c r="L176" s="54"/>
      <c r="M176" s="1235"/>
      <c r="N176" s="1260"/>
      <c r="O176" s="1235"/>
      <c r="P176" s="1235"/>
      <c r="Q176" s="1261"/>
      <c r="R176" s="1235"/>
      <c r="S176" s="1235"/>
      <c r="T176" s="1235"/>
      <c r="U17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7" spans="1:21">
      <c r="A177" s="54"/>
      <c r="B177" s="54"/>
      <c r="C177" s="54"/>
      <c r="D177" s="54"/>
      <c r="E177" s="1242"/>
      <c r="F177" s="1235"/>
      <c r="G177" s="54"/>
      <c r="H177" s="54"/>
      <c r="I177" s="1259"/>
      <c r="J177" s="54"/>
      <c r="K177" s="54"/>
      <c r="L177" s="54"/>
      <c r="M177" s="1235"/>
      <c r="N177" s="1260"/>
      <c r="O177" s="1235"/>
      <c r="P177" s="1235"/>
      <c r="Q177" s="1261"/>
      <c r="R177" s="1235"/>
      <c r="S177" s="1235"/>
      <c r="T177" s="1235"/>
      <c r="U17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8" spans="1:21">
      <c r="A178" s="54"/>
      <c r="B178" s="54"/>
      <c r="C178" s="54"/>
      <c r="D178" s="54"/>
      <c r="E178" s="1242"/>
      <c r="F178" s="1235"/>
      <c r="G178" s="54"/>
      <c r="H178" s="54"/>
      <c r="I178" s="1259"/>
      <c r="J178" s="54"/>
      <c r="K178" s="54"/>
      <c r="L178" s="54"/>
      <c r="M178" s="1235"/>
      <c r="N178" s="1260"/>
      <c r="O178" s="1235"/>
      <c r="P178" s="1235"/>
      <c r="Q178" s="1261"/>
      <c r="R178" s="1235"/>
      <c r="S178" s="1235"/>
      <c r="T178" s="1235"/>
      <c r="U17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79" spans="1:21">
      <c r="A179" s="54"/>
      <c r="B179" s="54"/>
      <c r="C179" s="54"/>
      <c r="D179" s="54"/>
      <c r="E179" s="1242"/>
      <c r="F179" s="1235"/>
      <c r="G179" s="54"/>
      <c r="H179" s="54"/>
      <c r="I179" s="1259"/>
      <c r="J179" s="54"/>
      <c r="K179" s="54"/>
      <c r="L179" s="54"/>
      <c r="M179" s="1235"/>
      <c r="N179" s="1260"/>
      <c r="O179" s="1235"/>
      <c r="P179" s="1235"/>
      <c r="Q179" s="1261"/>
      <c r="R179" s="1235"/>
      <c r="S179" s="1235"/>
      <c r="T179" s="1235"/>
      <c r="U17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0" spans="1:21">
      <c r="A180" s="54"/>
      <c r="B180" s="54"/>
      <c r="C180" s="54"/>
      <c r="D180" s="54"/>
      <c r="E180" s="1242"/>
      <c r="F180" s="1235"/>
      <c r="G180" s="54"/>
      <c r="H180" s="54"/>
      <c r="I180" s="1259"/>
      <c r="J180" s="54"/>
      <c r="K180" s="54"/>
      <c r="L180" s="54"/>
      <c r="M180" s="1235"/>
      <c r="N180" s="1260"/>
      <c r="O180" s="1235"/>
      <c r="P180" s="1235"/>
      <c r="Q180" s="1261"/>
      <c r="R180" s="1235"/>
      <c r="S180" s="1235"/>
      <c r="T180" s="1235"/>
      <c r="U18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1" spans="1:21">
      <c r="A181" s="54"/>
      <c r="B181" s="54"/>
      <c r="C181" s="54"/>
      <c r="D181" s="54"/>
      <c r="E181" s="1242"/>
      <c r="F181" s="1235"/>
      <c r="G181" s="54"/>
      <c r="H181" s="54"/>
      <c r="I181" s="1259"/>
      <c r="J181" s="54"/>
      <c r="K181" s="54"/>
      <c r="L181" s="54"/>
      <c r="M181" s="1235"/>
      <c r="N181" s="1260"/>
      <c r="O181" s="1235"/>
      <c r="P181" s="1235"/>
      <c r="Q181" s="1261"/>
      <c r="R181" s="1235"/>
      <c r="S181" s="1235"/>
      <c r="T181" s="1235"/>
      <c r="U18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2" spans="1:21">
      <c r="A182" s="54"/>
      <c r="B182" s="54"/>
      <c r="C182" s="54"/>
      <c r="D182" s="54"/>
      <c r="E182" s="1242"/>
      <c r="F182" s="1235"/>
      <c r="G182" s="54"/>
      <c r="H182" s="54"/>
      <c r="I182" s="1259"/>
      <c r="J182" s="54"/>
      <c r="K182" s="54"/>
      <c r="L182" s="54"/>
      <c r="M182" s="1235"/>
      <c r="N182" s="1260"/>
      <c r="O182" s="1235"/>
      <c r="P182" s="1235"/>
      <c r="Q182" s="1261"/>
      <c r="R182" s="1235"/>
      <c r="S182" s="1235"/>
      <c r="T182" s="1235"/>
      <c r="U18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3" spans="1:21">
      <c r="A183" s="54"/>
      <c r="B183" s="54"/>
      <c r="C183" s="54"/>
      <c r="D183" s="54"/>
      <c r="E183" s="1242"/>
      <c r="F183" s="1235"/>
      <c r="G183" s="54"/>
      <c r="H183" s="54"/>
      <c r="I183" s="1259"/>
      <c r="J183" s="54"/>
      <c r="K183" s="54"/>
      <c r="L183" s="54"/>
      <c r="M183" s="1235"/>
      <c r="N183" s="1260"/>
      <c r="O183" s="1235"/>
      <c r="P183" s="1235"/>
      <c r="Q183" s="1261"/>
      <c r="R183" s="1235"/>
      <c r="S183" s="1235"/>
      <c r="T183" s="1235"/>
      <c r="U18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4" spans="1:21">
      <c r="A184" s="54"/>
      <c r="B184" s="54"/>
      <c r="C184" s="54"/>
      <c r="D184" s="54"/>
      <c r="E184" s="1242"/>
      <c r="F184" s="1235"/>
      <c r="G184" s="54"/>
      <c r="H184" s="54"/>
      <c r="I184" s="1259"/>
      <c r="J184" s="54"/>
      <c r="K184" s="54"/>
      <c r="L184" s="54"/>
      <c r="M184" s="1235"/>
      <c r="N184" s="1260"/>
      <c r="O184" s="1235"/>
      <c r="P184" s="1235"/>
      <c r="Q184" s="1261"/>
      <c r="R184" s="1235"/>
      <c r="S184" s="1235"/>
      <c r="T184" s="1235"/>
      <c r="U18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5" spans="1:21">
      <c r="A185" s="54"/>
      <c r="B185" s="54"/>
      <c r="C185" s="54"/>
      <c r="D185" s="54"/>
      <c r="E185" s="1242"/>
      <c r="F185" s="1235"/>
      <c r="G185" s="54"/>
      <c r="H185" s="54"/>
      <c r="I185" s="1259"/>
      <c r="J185" s="54"/>
      <c r="K185" s="54"/>
      <c r="L185" s="54"/>
      <c r="M185" s="1235"/>
      <c r="N185" s="1260"/>
      <c r="O185" s="1235"/>
      <c r="P185" s="1235"/>
      <c r="Q185" s="1261"/>
      <c r="R185" s="1235"/>
      <c r="S185" s="1235"/>
      <c r="T185" s="1235"/>
      <c r="U18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6" spans="1:21">
      <c r="A186" s="54"/>
      <c r="B186" s="54"/>
      <c r="C186" s="54"/>
      <c r="D186" s="54"/>
      <c r="E186" s="1242"/>
      <c r="F186" s="1235"/>
      <c r="G186" s="54"/>
      <c r="H186" s="54"/>
      <c r="I186" s="1259"/>
      <c r="J186" s="54"/>
      <c r="K186" s="54"/>
      <c r="L186" s="54"/>
      <c r="M186" s="1235"/>
      <c r="N186" s="1260"/>
      <c r="O186" s="1235"/>
      <c r="P186" s="1235"/>
      <c r="Q186" s="1261"/>
      <c r="R186" s="1235"/>
      <c r="S186" s="1235"/>
      <c r="T186" s="1235"/>
      <c r="U18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7" spans="1:21">
      <c r="A187" s="54"/>
      <c r="B187" s="54"/>
      <c r="C187" s="54"/>
      <c r="D187" s="54"/>
      <c r="E187" s="1242"/>
      <c r="F187" s="1235"/>
      <c r="G187" s="54"/>
      <c r="H187" s="54"/>
      <c r="I187" s="1259"/>
      <c r="J187" s="54"/>
      <c r="K187" s="54"/>
      <c r="L187" s="54"/>
      <c r="M187" s="1235"/>
      <c r="N187" s="1260"/>
      <c r="O187" s="1235"/>
      <c r="P187" s="1235"/>
      <c r="Q187" s="1261"/>
      <c r="R187" s="1235"/>
      <c r="S187" s="1235"/>
      <c r="T187" s="1235"/>
      <c r="U18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8" spans="1:21">
      <c r="A188" s="54"/>
      <c r="B188" s="54"/>
      <c r="C188" s="54"/>
      <c r="D188" s="54"/>
      <c r="E188" s="1242"/>
      <c r="F188" s="1235"/>
      <c r="G188" s="54"/>
      <c r="H188" s="54"/>
      <c r="I188" s="1259"/>
      <c r="J188" s="54"/>
      <c r="K188" s="54"/>
      <c r="L188" s="54"/>
      <c r="M188" s="1235"/>
      <c r="N188" s="1260"/>
      <c r="O188" s="1235"/>
      <c r="P188" s="1235"/>
      <c r="Q188" s="1261"/>
      <c r="R188" s="1235"/>
      <c r="S188" s="1235"/>
      <c r="T188" s="1235"/>
      <c r="U18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89" spans="1:21">
      <c r="A189" s="54"/>
      <c r="B189" s="54"/>
      <c r="C189" s="54"/>
      <c r="D189" s="54"/>
      <c r="E189" s="1242"/>
      <c r="F189" s="1235"/>
      <c r="G189" s="54"/>
      <c r="H189" s="54"/>
      <c r="I189" s="1259"/>
      <c r="J189" s="54"/>
      <c r="K189" s="54"/>
      <c r="L189" s="54"/>
      <c r="M189" s="1235"/>
      <c r="N189" s="1260"/>
      <c r="O189" s="1235"/>
      <c r="P189" s="1235"/>
      <c r="Q189" s="1261"/>
      <c r="R189" s="1235"/>
      <c r="S189" s="1235"/>
      <c r="T189" s="1235"/>
      <c r="U18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0" spans="1:21">
      <c r="A190" s="54"/>
      <c r="B190" s="54"/>
      <c r="C190" s="54"/>
      <c r="D190" s="54"/>
      <c r="E190" s="1242"/>
      <c r="F190" s="1235"/>
      <c r="G190" s="54"/>
      <c r="H190" s="54"/>
      <c r="I190" s="1259"/>
      <c r="J190" s="54"/>
      <c r="K190" s="54"/>
      <c r="L190" s="54"/>
      <c r="M190" s="1235"/>
      <c r="N190" s="1260"/>
      <c r="O190" s="1235"/>
      <c r="P190" s="1235"/>
      <c r="Q190" s="1261"/>
      <c r="R190" s="1235"/>
      <c r="S190" s="1235"/>
      <c r="T190" s="1235"/>
      <c r="U19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1" spans="1:21">
      <c r="A191" s="54"/>
      <c r="B191" s="54"/>
      <c r="C191" s="54"/>
      <c r="D191" s="54"/>
      <c r="E191" s="1242"/>
      <c r="F191" s="1235"/>
      <c r="G191" s="54"/>
      <c r="H191" s="54"/>
      <c r="I191" s="1259"/>
      <c r="J191" s="54"/>
      <c r="K191" s="54"/>
      <c r="L191" s="54"/>
      <c r="M191" s="1235"/>
      <c r="N191" s="1260"/>
      <c r="O191" s="1235"/>
      <c r="P191" s="1235"/>
      <c r="Q191" s="1261"/>
      <c r="R191" s="1235"/>
      <c r="S191" s="1235"/>
      <c r="T191" s="1235"/>
      <c r="U19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2" spans="1:21">
      <c r="A192" s="54"/>
      <c r="B192" s="54"/>
      <c r="C192" s="54"/>
      <c r="D192" s="54"/>
      <c r="E192" s="1242"/>
      <c r="F192" s="1235"/>
      <c r="G192" s="54"/>
      <c r="H192" s="54"/>
      <c r="I192" s="1259"/>
      <c r="J192" s="54"/>
      <c r="K192" s="54"/>
      <c r="L192" s="54"/>
      <c r="M192" s="1235"/>
      <c r="N192" s="1260"/>
      <c r="O192" s="1235"/>
      <c r="P192" s="1235"/>
      <c r="Q192" s="1261"/>
      <c r="R192" s="1235"/>
      <c r="S192" s="1235"/>
      <c r="T192" s="1235"/>
      <c r="U19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3" spans="1:21">
      <c r="A193" s="54"/>
      <c r="B193" s="54"/>
      <c r="C193" s="54"/>
      <c r="D193" s="54"/>
      <c r="E193" s="1242"/>
      <c r="F193" s="1235"/>
      <c r="G193" s="54"/>
      <c r="H193" s="54"/>
      <c r="I193" s="1259"/>
      <c r="J193" s="54"/>
      <c r="K193" s="54"/>
      <c r="L193" s="54"/>
      <c r="M193" s="1235"/>
      <c r="N193" s="1260"/>
      <c r="O193" s="1235"/>
      <c r="P193" s="1235"/>
      <c r="Q193" s="1261"/>
      <c r="R193" s="1235"/>
      <c r="S193" s="1235"/>
      <c r="T193" s="1235"/>
      <c r="U19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4" spans="1:21">
      <c r="A194" s="54"/>
      <c r="B194" s="54"/>
      <c r="C194" s="54"/>
      <c r="D194" s="54"/>
      <c r="E194" s="1242"/>
      <c r="F194" s="1235"/>
      <c r="G194" s="54"/>
      <c r="H194" s="54"/>
      <c r="I194" s="1259"/>
      <c r="J194" s="54"/>
      <c r="K194" s="54"/>
      <c r="L194" s="54"/>
      <c r="M194" s="1235"/>
      <c r="N194" s="1260"/>
      <c r="O194" s="1235"/>
      <c r="P194" s="1235"/>
      <c r="Q194" s="1261"/>
      <c r="R194" s="1235"/>
      <c r="S194" s="1235"/>
      <c r="T194" s="1235"/>
      <c r="U19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5" spans="1:21">
      <c r="A195" s="54"/>
      <c r="B195" s="54"/>
      <c r="C195" s="54"/>
      <c r="D195" s="54"/>
      <c r="E195" s="1242"/>
      <c r="F195" s="1235"/>
      <c r="G195" s="54"/>
      <c r="H195" s="54"/>
      <c r="I195" s="1259"/>
      <c r="J195" s="54"/>
      <c r="K195" s="54"/>
      <c r="L195" s="54"/>
      <c r="M195" s="1235"/>
      <c r="N195" s="1260"/>
      <c r="O195" s="1235"/>
      <c r="P195" s="1235"/>
      <c r="Q195" s="1261"/>
      <c r="R195" s="1235"/>
      <c r="S195" s="1235"/>
      <c r="T195" s="1235"/>
      <c r="U19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6" spans="1:21">
      <c r="A196" s="54"/>
      <c r="B196" s="54"/>
      <c r="C196" s="54"/>
      <c r="D196" s="54"/>
      <c r="E196" s="1242"/>
      <c r="F196" s="1235"/>
      <c r="G196" s="54"/>
      <c r="H196" s="54"/>
      <c r="I196" s="1259"/>
      <c r="J196" s="54"/>
      <c r="K196" s="54"/>
      <c r="L196" s="54"/>
      <c r="M196" s="1235"/>
      <c r="N196" s="1260"/>
      <c r="O196" s="1235"/>
      <c r="P196" s="1235"/>
      <c r="Q196" s="1261"/>
      <c r="R196" s="1235"/>
      <c r="S196" s="1235"/>
      <c r="T196" s="1235"/>
      <c r="U19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7" spans="1:21">
      <c r="A197" s="54"/>
      <c r="B197" s="54"/>
      <c r="C197" s="54"/>
      <c r="D197" s="54"/>
      <c r="E197" s="1242"/>
      <c r="F197" s="1235"/>
      <c r="G197" s="54"/>
      <c r="H197" s="54"/>
      <c r="I197" s="1259"/>
      <c r="J197" s="54"/>
      <c r="K197" s="54"/>
      <c r="L197" s="54"/>
      <c r="M197" s="1235"/>
      <c r="N197" s="1260"/>
      <c r="O197" s="1235"/>
      <c r="P197" s="1235"/>
      <c r="Q197" s="1261"/>
      <c r="R197" s="1235"/>
      <c r="S197" s="1235"/>
      <c r="T197" s="1235"/>
      <c r="U19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8" spans="1:21">
      <c r="A198" s="54"/>
      <c r="B198" s="54"/>
      <c r="C198" s="54"/>
      <c r="D198" s="54"/>
      <c r="E198" s="1242"/>
      <c r="F198" s="1235"/>
      <c r="G198" s="54"/>
      <c r="H198" s="54"/>
      <c r="I198" s="1259"/>
      <c r="J198" s="54"/>
      <c r="K198" s="54"/>
      <c r="L198" s="54"/>
      <c r="M198" s="1235"/>
      <c r="N198" s="1260"/>
      <c r="O198" s="1235"/>
      <c r="P198" s="1235"/>
      <c r="Q198" s="1261"/>
      <c r="R198" s="1235"/>
      <c r="S198" s="1235"/>
      <c r="T198" s="1235"/>
      <c r="U19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199" spans="1:21">
      <c r="A199" s="54"/>
      <c r="B199" s="54"/>
      <c r="C199" s="54"/>
      <c r="D199" s="54"/>
      <c r="E199" s="1242"/>
      <c r="F199" s="1235"/>
      <c r="G199" s="54"/>
      <c r="H199" s="54"/>
      <c r="I199" s="1259"/>
      <c r="J199" s="54"/>
      <c r="K199" s="54"/>
      <c r="L199" s="54"/>
      <c r="M199" s="1235"/>
      <c r="N199" s="1260"/>
      <c r="O199" s="1235"/>
      <c r="P199" s="1235"/>
      <c r="Q199" s="1261"/>
      <c r="R199" s="1235"/>
      <c r="S199" s="1235"/>
      <c r="T199" s="1235"/>
      <c r="U19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0" spans="1:21">
      <c r="A200" s="54"/>
      <c r="B200" s="54"/>
      <c r="C200" s="54"/>
      <c r="D200" s="54"/>
      <c r="E200" s="1242"/>
      <c r="F200" s="1235"/>
      <c r="G200" s="54"/>
      <c r="H200" s="54"/>
      <c r="I200" s="1259"/>
      <c r="J200" s="54"/>
      <c r="K200" s="54"/>
      <c r="L200" s="54"/>
      <c r="M200" s="1235"/>
      <c r="N200" s="1260"/>
      <c r="O200" s="1235"/>
      <c r="P200" s="1235"/>
      <c r="Q200" s="1261"/>
      <c r="R200" s="1235"/>
      <c r="S200" s="1235"/>
      <c r="T200" s="1235"/>
      <c r="U20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1" spans="1:21">
      <c r="A201" s="54"/>
      <c r="B201" s="54"/>
      <c r="C201" s="54"/>
      <c r="D201" s="54"/>
      <c r="E201" s="1242"/>
      <c r="F201" s="1235"/>
      <c r="G201" s="54"/>
      <c r="H201" s="54"/>
      <c r="I201" s="1259"/>
      <c r="J201" s="54"/>
      <c r="K201" s="54"/>
      <c r="L201" s="54"/>
      <c r="M201" s="1235"/>
      <c r="N201" s="1260"/>
      <c r="O201" s="1235"/>
      <c r="P201" s="1235"/>
      <c r="Q201" s="1261"/>
      <c r="R201" s="1235"/>
      <c r="S201" s="1235"/>
      <c r="T201" s="1235"/>
      <c r="U20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2" spans="1:21">
      <c r="A202" s="54"/>
      <c r="B202" s="54"/>
      <c r="C202" s="54"/>
      <c r="D202" s="54"/>
      <c r="E202" s="1242"/>
      <c r="F202" s="1235"/>
      <c r="G202" s="54"/>
      <c r="H202" s="54"/>
      <c r="I202" s="1259"/>
      <c r="J202" s="54"/>
      <c r="K202" s="54"/>
      <c r="L202" s="54"/>
      <c r="M202" s="1235"/>
      <c r="N202" s="1260"/>
      <c r="O202" s="1235"/>
      <c r="P202" s="1235"/>
      <c r="Q202" s="1261"/>
      <c r="R202" s="1235"/>
      <c r="S202" s="1235"/>
      <c r="T202" s="1235"/>
      <c r="U20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3" spans="1:21">
      <c r="A203" s="54"/>
      <c r="B203" s="54"/>
      <c r="C203" s="54"/>
      <c r="D203" s="54"/>
      <c r="E203" s="1242"/>
      <c r="F203" s="1235"/>
      <c r="G203" s="54"/>
      <c r="H203" s="54"/>
      <c r="I203" s="1259"/>
      <c r="J203" s="54"/>
      <c r="K203" s="54"/>
      <c r="L203" s="54"/>
      <c r="M203" s="1235"/>
      <c r="N203" s="1260"/>
      <c r="O203" s="1235"/>
      <c r="P203" s="1235"/>
      <c r="Q203" s="1261"/>
      <c r="R203" s="1235"/>
      <c r="S203" s="1235"/>
      <c r="T203" s="1235"/>
      <c r="U20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4" spans="1:21">
      <c r="A204" s="54"/>
      <c r="B204" s="54"/>
      <c r="C204" s="54"/>
      <c r="D204" s="54"/>
      <c r="E204" s="1242"/>
      <c r="F204" s="1235"/>
      <c r="G204" s="54"/>
      <c r="H204" s="54"/>
      <c r="I204" s="1259"/>
      <c r="J204" s="54"/>
      <c r="K204" s="54"/>
      <c r="L204" s="54"/>
      <c r="M204" s="1235"/>
      <c r="N204" s="1260"/>
      <c r="O204" s="1235"/>
      <c r="P204" s="1235"/>
      <c r="Q204" s="1261"/>
      <c r="R204" s="1235"/>
      <c r="S204" s="1235"/>
      <c r="T204" s="1235"/>
      <c r="U20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5" spans="1:21">
      <c r="A205" s="54"/>
      <c r="B205" s="54"/>
      <c r="C205" s="54"/>
      <c r="D205" s="54"/>
      <c r="E205" s="1242"/>
      <c r="F205" s="1235"/>
      <c r="G205" s="54"/>
      <c r="H205" s="54"/>
      <c r="I205" s="1259"/>
      <c r="J205" s="54"/>
      <c r="K205" s="54"/>
      <c r="L205" s="54"/>
      <c r="M205" s="1235"/>
      <c r="N205" s="1260"/>
      <c r="O205" s="1235"/>
      <c r="P205" s="1235"/>
      <c r="Q205" s="1261"/>
      <c r="R205" s="1235"/>
      <c r="S205" s="1235"/>
      <c r="T205" s="1235"/>
      <c r="U20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6" spans="1:21">
      <c r="A206" s="54"/>
      <c r="B206" s="54"/>
      <c r="C206" s="54"/>
      <c r="D206" s="54"/>
      <c r="E206" s="1242"/>
      <c r="F206" s="1235"/>
      <c r="G206" s="54"/>
      <c r="H206" s="54"/>
      <c r="I206" s="1259"/>
      <c r="J206" s="54"/>
      <c r="K206" s="54"/>
      <c r="L206" s="54"/>
      <c r="M206" s="1235"/>
      <c r="N206" s="1260"/>
      <c r="O206" s="1235"/>
      <c r="P206" s="1235"/>
      <c r="Q206" s="1261"/>
      <c r="R206" s="1235"/>
      <c r="S206" s="1235"/>
      <c r="T206" s="1235"/>
      <c r="U20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7" spans="1:21">
      <c r="A207" s="54"/>
      <c r="B207" s="54"/>
      <c r="C207" s="54"/>
      <c r="D207" s="54"/>
      <c r="E207" s="1242"/>
      <c r="F207" s="1235"/>
      <c r="G207" s="54"/>
      <c r="H207" s="54"/>
      <c r="I207" s="1259"/>
      <c r="J207" s="54"/>
      <c r="K207" s="54"/>
      <c r="L207" s="54"/>
      <c r="M207" s="1235"/>
      <c r="N207" s="1260"/>
      <c r="O207" s="1235"/>
      <c r="P207" s="1235"/>
      <c r="Q207" s="1261"/>
      <c r="R207" s="1235"/>
      <c r="S207" s="1235"/>
      <c r="T207" s="1235"/>
      <c r="U20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8" spans="1:21">
      <c r="A208" s="54"/>
      <c r="B208" s="54"/>
      <c r="C208" s="54"/>
      <c r="D208" s="54"/>
      <c r="E208" s="1242"/>
      <c r="F208" s="1235"/>
      <c r="G208" s="54"/>
      <c r="H208" s="54"/>
      <c r="I208" s="1259"/>
      <c r="J208" s="54"/>
      <c r="K208" s="54"/>
      <c r="L208" s="54"/>
      <c r="M208" s="1235"/>
      <c r="N208" s="1260"/>
      <c r="O208" s="1235"/>
      <c r="P208" s="1235"/>
      <c r="Q208" s="1261"/>
      <c r="R208" s="1235"/>
      <c r="S208" s="1235"/>
      <c r="T208" s="1235"/>
      <c r="U20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09" spans="1:21">
      <c r="A209" s="54"/>
      <c r="B209" s="54"/>
      <c r="C209" s="54"/>
      <c r="D209" s="54"/>
      <c r="E209" s="1242"/>
      <c r="F209" s="1235"/>
      <c r="G209" s="54"/>
      <c r="H209" s="54"/>
      <c r="I209" s="1259"/>
      <c r="J209" s="54"/>
      <c r="K209" s="54"/>
      <c r="L209" s="54"/>
      <c r="M209" s="1235"/>
      <c r="N209" s="1260"/>
      <c r="O209" s="1235"/>
      <c r="P209" s="1235"/>
      <c r="Q209" s="1261"/>
      <c r="R209" s="1235"/>
      <c r="S209" s="1235"/>
      <c r="T209" s="1235"/>
      <c r="U20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0" spans="1:21">
      <c r="A210" s="54"/>
      <c r="B210" s="54"/>
      <c r="C210" s="54"/>
      <c r="D210" s="54"/>
      <c r="E210" s="1242"/>
      <c r="F210" s="1235"/>
      <c r="G210" s="54"/>
      <c r="H210" s="54"/>
      <c r="I210" s="1259"/>
      <c r="J210" s="54"/>
      <c r="K210" s="54"/>
      <c r="L210" s="54"/>
      <c r="M210" s="1235"/>
      <c r="N210" s="1260"/>
      <c r="O210" s="1235"/>
      <c r="P210" s="1235"/>
      <c r="Q210" s="1261"/>
      <c r="R210" s="1235"/>
      <c r="S210" s="1235"/>
      <c r="T210" s="1235"/>
      <c r="U21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1" spans="1:21">
      <c r="A211" s="54"/>
      <c r="B211" s="54"/>
      <c r="C211" s="54"/>
      <c r="D211" s="54"/>
      <c r="E211" s="1242"/>
      <c r="F211" s="1235"/>
      <c r="G211" s="54"/>
      <c r="H211" s="54"/>
      <c r="I211" s="1259"/>
      <c r="J211" s="54"/>
      <c r="K211" s="54"/>
      <c r="L211" s="54"/>
      <c r="M211" s="1235"/>
      <c r="N211" s="1260"/>
      <c r="O211" s="1235"/>
      <c r="P211" s="1235"/>
      <c r="Q211" s="1261"/>
      <c r="R211" s="1235"/>
      <c r="S211" s="1235"/>
      <c r="T211" s="1235"/>
      <c r="U21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2" spans="1:21">
      <c r="A212" s="54"/>
      <c r="B212" s="54"/>
      <c r="C212" s="54"/>
      <c r="D212" s="54"/>
      <c r="E212" s="1242"/>
      <c r="F212" s="1235"/>
      <c r="G212" s="54"/>
      <c r="H212" s="54"/>
      <c r="I212" s="1259"/>
      <c r="J212" s="54"/>
      <c r="K212" s="54"/>
      <c r="L212" s="54"/>
      <c r="M212" s="1235"/>
      <c r="N212" s="1260"/>
      <c r="O212" s="1235"/>
      <c r="P212" s="1235"/>
      <c r="Q212" s="1261"/>
      <c r="R212" s="1235"/>
      <c r="S212" s="1235"/>
      <c r="T212" s="1235"/>
      <c r="U21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3" spans="1:21">
      <c r="A213" s="54"/>
      <c r="B213" s="54"/>
      <c r="C213" s="54"/>
      <c r="D213" s="54"/>
      <c r="E213" s="1242"/>
      <c r="F213" s="1235"/>
      <c r="G213" s="54"/>
      <c r="H213" s="54"/>
      <c r="I213" s="1259"/>
      <c r="J213" s="54"/>
      <c r="K213" s="54"/>
      <c r="L213" s="54"/>
      <c r="M213" s="1235"/>
      <c r="N213" s="1260"/>
      <c r="O213" s="1235"/>
      <c r="P213" s="1235"/>
      <c r="Q213" s="1261"/>
      <c r="R213" s="1235"/>
      <c r="S213" s="1235"/>
      <c r="T213" s="1235"/>
      <c r="U21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4" spans="1:21">
      <c r="A214" s="54"/>
      <c r="B214" s="54"/>
      <c r="C214" s="54"/>
      <c r="D214" s="54"/>
      <c r="E214" s="1242"/>
      <c r="F214" s="1235"/>
      <c r="G214" s="54"/>
      <c r="H214" s="54"/>
      <c r="I214" s="1259"/>
      <c r="J214" s="54"/>
      <c r="K214" s="54"/>
      <c r="L214" s="54"/>
      <c r="M214" s="1235"/>
      <c r="N214" s="1260"/>
      <c r="O214" s="1235"/>
      <c r="P214" s="1235"/>
      <c r="Q214" s="1261"/>
      <c r="R214" s="1235"/>
      <c r="S214" s="1235"/>
      <c r="T214" s="1235"/>
      <c r="U21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5" spans="1:21">
      <c r="A215" s="54"/>
      <c r="B215" s="54"/>
      <c r="C215" s="54"/>
      <c r="D215" s="54"/>
      <c r="E215" s="1242"/>
      <c r="F215" s="1235"/>
      <c r="G215" s="54"/>
      <c r="H215" s="54"/>
      <c r="I215" s="1259"/>
      <c r="J215" s="54"/>
      <c r="K215" s="54"/>
      <c r="L215" s="54"/>
      <c r="M215" s="1235"/>
      <c r="N215" s="1260"/>
      <c r="O215" s="1235"/>
      <c r="P215" s="1235"/>
      <c r="Q215" s="1261"/>
      <c r="R215" s="1235"/>
      <c r="S215" s="1235"/>
      <c r="T215" s="1235"/>
      <c r="U21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6" spans="1:21">
      <c r="A216" s="54"/>
      <c r="B216" s="54"/>
      <c r="C216" s="54"/>
      <c r="D216" s="54"/>
      <c r="E216" s="1242"/>
      <c r="F216" s="1235"/>
      <c r="G216" s="54"/>
      <c r="H216" s="54"/>
      <c r="I216" s="1259"/>
      <c r="J216" s="54"/>
      <c r="K216" s="54"/>
      <c r="L216" s="54"/>
      <c r="M216" s="1235"/>
      <c r="N216" s="1260"/>
      <c r="O216" s="1235"/>
      <c r="P216" s="1235"/>
      <c r="Q216" s="1261"/>
      <c r="R216" s="1235"/>
      <c r="S216" s="1235"/>
      <c r="T216" s="1235"/>
      <c r="U21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7" spans="1:21">
      <c r="A217" s="54"/>
      <c r="B217" s="54"/>
      <c r="C217" s="54"/>
      <c r="D217" s="54"/>
      <c r="E217" s="1242"/>
      <c r="F217" s="1235"/>
      <c r="G217" s="54"/>
      <c r="H217" s="54"/>
      <c r="I217" s="1259"/>
      <c r="J217" s="54"/>
      <c r="K217" s="54"/>
      <c r="L217" s="54"/>
      <c r="M217" s="1235"/>
      <c r="N217" s="1260"/>
      <c r="O217" s="1235"/>
      <c r="P217" s="1235"/>
      <c r="Q217" s="1261"/>
      <c r="R217" s="1235"/>
      <c r="S217" s="1235"/>
      <c r="T217" s="1235"/>
      <c r="U21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8" spans="1:21">
      <c r="A218" s="54"/>
      <c r="B218" s="54"/>
      <c r="C218" s="54"/>
      <c r="D218" s="54"/>
      <c r="E218" s="1242"/>
      <c r="F218" s="1235"/>
      <c r="G218" s="54"/>
      <c r="H218" s="54"/>
      <c r="I218" s="1259"/>
      <c r="J218" s="54"/>
      <c r="K218" s="54"/>
      <c r="L218" s="54"/>
      <c r="M218" s="1235"/>
      <c r="N218" s="1260"/>
      <c r="O218" s="1235"/>
      <c r="P218" s="1235"/>
      <c r="Q218" s="1261"/>
      <c r="R218" s="1235"/>
      <c r="S218" s="1235"/>
      <c r="T218" s="1235"/>
      <c r="U21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19" spans="1:21">
      <c r="A219" s="54"/>
      <c r="B219" s="54"/>
      <c r="C219" s="54"/>
      <c r="D219" s="54"/>
      <c r="E219" s="1242"/>
      <c r="F219" s="1235"/>
      <c r="G219" s="54"/>
      <c r="H219" s="54"/>
      <c r="I219" s="1259"/>
      <c r="J219" s="54"/>
      <c r="K219" s="54"/>
      <c r="L219" s="54"/>
      <c r="M219" s="1235"/>
      <c r="N219" s="1260"/>
      <c r="O219" s="1235"/>
      <c r="P219" s="1235"/>
      <c r="Q219" s="1261"/>
      <c r="R219" s="1235"/>
      <c r="S219" s="1235"/>
      <c r="T219" s="1235"/>
      <c r="U21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0" spans="1:21">
      <c r="A220" s="54"/>
      <c r="B220" s="54"/>
      <c r="C220" s="54"/>
      <c r="D220" s="54"/>
      <c r="E220" s="1242"/>
      <c r="F220" s="1235"/>
      <c r="G220" s="54"/>
      <c r="H220" s="54"/>
      <c r="I220" s="1259"/>
      <c r="J220" s="54"/>
      <c r="K220" s="54"/>
      <c r="L220" s="54"/>
      <c r="M220" s="1235"/>
      <c r="N220" s="1260"/>
      <c r="O220" s="1235"/>
      <c r="P220" s="1235"/>
      <c r="Q220" s="1261"/>
      <c r="R220" s="1235"/>
      <c r="S220" s="1235"/>
      <c r="T220" s="1235"/>
      <c r="U22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1" spans="1:21">
      <c r="A221" s="54"/>
      <c r="B221" s="54"/>
      <c r="C221" s="54"/>
      <c r="D221" s="54"/>
      <c r="E221" s="1242"/>
      <c r="F221" s="1235"/>
      <c r="G221" s="54"/>
      <c r="H221" s="54"/>
      <c r="I221" s="1259"/>
      <c r="J221" s="54"/>
      <c r="K221" s="54"/>
      <c r="L221" s="54"/>
      <c r="M221" s="1235"/>
      <c r="N221" s="1260"/>
      <c r="O221" s="1235"/>
      <c r="P221" s="1235"/>
      <c r="Q221" s="1261"/>
      <c r="R221" s="1235"/>
      <c r="S221" s="1235"/>
      <c r="T221" s="1235"/>
      <c r="U22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2" spans="1:21">
      <c r="A222" s="54"/>
      <c r="B222" s="54"/>
      <c r="C222" s="54"/>
      <c r="D222" s="54"/>
      <c r="E222" s="1242"/>
      <c r="F222" s="1235"/>
      <c r="G222" s="54"/>
      <c r="H222" s="54"/>
      <c r="I222" s="1259"/>
      <c r="J222" s="54"/>
      <c r="K222" s="54"/>
      <c r="L222" s="54"/>
      <c r="M222" s="1235"/>
      <c r="N222" s="1260"/>
      <c r="O222" s="1235"/>
      <c r="P222" s="1235"/>
      <c r="Q222" s="1261"/>
      <c r="R222" s="1235"/>
      <c r="S222" s="1235"/>
      <c r="T222" s="1235"/>
      <c r="U22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3" spans="1:21">
      <c r="A223" s="54"/>
      <c r="B223" s="54"/>
      <c r="C223" s="54"/>
      <c r="D223" s="54"/>
      <c r="E223" s="1242"/>
      <c r="F223" s="1235"/>
      <c r="G223" s="54"/>
      <c r="H223" s="54"/>
      <c r="I223" s="1259"/>
      <c r="J223" s="54"/>
      <c r="K223" s="54"/>
      <c r="L223" s="54"/>
      <c r="M223" s="1235"/>
      <c r="N223" s="1260"/>
      <c r="O223" s="1235"/>
      <c r="P223" s="1235"/>
      <c r="Q223" s="1261"/>
      <c r="R223" s="1235"/>
      <c r="S223" s="1235"/>
      <c r="T223" s="1235"/>
      <c r="U22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4" spans="1:21">
      <c r="A224" s="54"/>
      <c r="B224" s="54"/>
      <c r="C224" s="54"/>
      <c r="D224" s="54"/>
      <c r="E224" s="1242"/>
      <c r="F224" s="1235"/>
      <c r="G224" s="54"/>
      <c r="H224" s="54"/>
      <c r="I224" s="1259"/>
      <c r="J224" s="54"/>
      <c r="K224" s="54"/>
      <c r="L224" s="54"/>
      <c r="M224" s="1235"/>
      <c r="N224" s="1260"/>
      <c r="O224" s="1235"/>
      <c r="P224" s="1235"/>
      <c r="Q224" s="1261"/>
      <c r="R224" s="1235"/>
      <c r="S224" s="1235"/>
      <c r="T224" s="1235"/>
      <c r="U22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5" spans="1:21">
      <c r="A225" s="54"/>
      <c r="B225" s="54"/>
      <c r="C225" s="54"/>
      <c r="D225" s="54"/>
      <c r="E225" s="1242"/>
      <c r="F225" s="1235"/>
      <c r="G225" s="54"/>
      <c r="H225" s="54"/>
      <c r="I225" s="1259"/>
      <c r="J225" s="54"/>
      <c r="K225" s="54"/>
      <c r="L225" s="54"/>
      <c r="M225" s="1235"/>
      <c r="N225" s="1260"/>
      <c r="O225" s="1235"/>
      <c r="P225" s="1235"/>
      <c r="Q225" s="1261"/>
      <c r="R225" s="1235"/>
      <c r="S225" s="1235"/>
      <c r="T225" s="1235"/>
      <c r="U22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6" spans="1:21">
      <c r="A226" s="54"/>
      <c r="B226" s="54"/>
      <c r="C226" s="54"/>
      <c r="D226" s="54"/>
      <c r="E226" s="1242"/>
      <c r="F226" s="1235"/>
      <c r="G226" s="54"/>
      <c r="H226" s="54"/>
      <c r="I226" s="1259"/>
      <c r="J226" s="54"/>
      <c r="K226" s="54"/>
      <c r="L226" s="54"/>
      <c r="M226" s="1235"/>
      <c r="N226" s="1260"/>
      <c r="O226" s="1235"/>
      <c r="P226" s="1235"/>
      <c r="Q226" s="1261"/>
      <c r="R226" s="1235"/>
      <c r="S226" s="1235"/>
      <c r="T226" s="1235"/>
      <c r="U22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7" spans="1:21">
      <c r="A227" s="54"/>
      <c r="B227" s="54"/>
      <c r="C227" s="54"/>
      <c r="D227" s="54"/>
      <c r="E227" s="1242"/>
      <c r="F227" s="1235"/>
      <c r="G227" s="54"/>
      <c r="H227" s="54"/>
      <c r="I227" s="1259"/>
      <c r="J227" s="54"/>
      <c r="K227" s="54"/>
      <c r="L227" s="54"/>
      <c r="M227" s="1235"/>
      <c r="N227" s="1260"/>
      <c r="O227" s="1235"/>
      <c r="P227" s="1235"/>
      <c r="Q227" s="1261"/>
      <c r="R227" s="1235"/>
      <c r="S227" s="1235"/>
      <c r="T227" s="1235"/>
      <c r="U22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8" spans="1:21">
      <c r="A228" s="54"/>
      <c r="B228" s="54"/>
      <c r="C228" s="54"/>
      <c r="D228" s="54"/>
      <c r="E228" s="1242"/>
      <c r="F228" s="1235"/>
      <c r="G228" s="54"/>
      <c r="H228" s="54"/>
      <c r="I228" s="1259"/>
      <c r="J228" s="54"/>
      <c r="K228" s="54"/>
      <c r="L228" s="54"/>
      <c r="M228" s="1235"/>
      <c r="N228" s="1260"/>
      <c r="O228" s="1235"/>
      <c r="P228" s="1235"/>
      <c r="Q228" s="1261"/>
      <c r="R228" s="1235"/>
      <c r="S228" s="1235"/>
      <c r="T228" s="1235"/>
      <c r="U22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29" spans="1:21">
      <c r="A229" s="54"/>
      <c r="B229" s="54"/>
      <c r="C229" s="54"/>
      <c r="D229" s="54"/>
      <c r="E229" s="1242"/>
      <c r="F229" s="1235"/>
      <c r="G229" s="54"/>
      <c r="H229" s="54"/>
      <c r="I229" s="1259"/>
      <c r="J229" s="54"/>
      <c r="K229" s="54"/>
      <c r="L229" s="54"/>
      <c r="M229" s="1235"/>
      <c r="N229" s="1260"/>
      <c r="O229" s="1235"/>
      <c r="P229" s="1235"/>
      <c r="Q229" s="1261"/>
      <c r="R229" s="1235"/>
      <c r="S229" s="1235"/>
      <c r="T229" s="1235"/>
      <c r="U22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0" spans="1:21">
      <c r="A230" s="54"/>
      <c r="B230" s="54"/>
      <c r="C230" s="54"/>
      <c r="D230" s="54"/>
      <c r="E230" s="1242"/>
      <c r="F230" s="1235"/>
      <c r="G230" s="54"/>
      <c r="H230" s="54"/>
      <c r="I230" s="1259"/>
      <c r="J230" s="54"/>
      <c r="K230" s="54"/>
      <c r="L230" s="54"/>
      <c r="M230" s="1235"/>
      <c r="N230" s="1260"/>
      <c r="O230" s="1235"/>
      <c r="P230" s="1235"/>
      <c r="Q230" s="1261"/>
      <c r="R230" s="1235"/>
      <c r="S230" s="1235"/>
      <c r="T230" s="1235"/>
      <c r="U23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1" spans="1:21">
      <c r="A231" s="54"/>
      <c r="B231" s="54"/>
      <c r="C231" s="54"/>
      <c r="D231" s="54"/>
      <c r="E231" s="1242"/>
      <c r="F231" s="1235"/>
      <c r="G231" s="54"/>
      <c r="H231" s="54"/>
      <c r="I231" s="1259"/>
      <c r="J231" s="54"/>
      <c r="K231" s="54"/>
      <c r="L231" s="54"/>
      <c r="M231" s="1235"/>
      <c r="N231" s="1260"/>
      <c r="O231" s="1235"/>
      <c r="P231" s="1235"/>
      <c r="Q231" s="1261"/>
      <c r="R231" s="1235"/>
      <c r="S231" s="1235"/>
      <c r="T231" s="1235"/>
      <c r="U23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2" spans="1:21">
      <c r="A232" s="54"/>
      <c r="B232" s="54"/>
      <c r="C232" s="54"/>
      <c r="D232" s="54"/>
      <c r="E232" s="1242"/>
      <c r="F232" s="1235"/>
      <c r="G232" s="54"/>
      <c r="H232" s="54"/>
      <c r="I232" s="1259"/>
      <c r="J232" s="54"/>
      <c r="K232" s="54"/>
      <c r="L232" s="54"/>
      <c r="M232" s="1235"/>
      <c r="N232" s="1260"/>
      <c r="O232" s="1235"/>
      <c r="P232" s="1235"/>
      <c r="Q232" s="1261"/>
      <c r="R232" s="1235"/>
      <c r="S232" s="1235"/>
      <c r="T232" s="1235"/>
      <c r="U23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3" spans="1:21">
      <c r="A233" s="54"/>
      <c r="B233" s="54"/>
      <c r="C233" s="54"/>
      <c r="D233" s="54"/>
      <c r="E233" s="1242"/>
      <c r="F233" s="1235"/>
      <c r="G233" s="54"/>
      <c r="H233" s="54"/>
      <c r="I233" s="1259"/>
      <c r="J233" s="54"/>
      <c r="K233" s="54"/>
      <c r="L233" s="54"/>
      <c r="M233" s="1235"/>
      <c r="N233" s="1260"/>
      <c r="O233" s="1235"/>
      <c r="P233" s="1235"/>
      <c r="Q233" s="1261"/>
      <c r="R233" s="1235"/>
      <c r="S233" s="1235"/>
      <c r="T233" s="1235"/>
      <c r="U23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4" spans="1:21">
      <c r="A234" s="54"/>
      <c r="B234" s="54"/>
      <c r="C234" s="54"/>
      <c r="D234" s="54"/>
      <c r="E234" s="1242"/>
      <c r="F234" s="1235"/>
      <c r="G234" s="54"/>
      <c r="H234" s="54"/>
      <c r="I234" s="1259"/>
      <c r="J234" s="54"/>
      <c r="K234" s="54"/>
      <c r="L234" s="54"/>
      <c r="M234" s="1235"/>
      <c r="N234" s="1260"/>
      <c r="O234" s="1235"/>
      <c r="P234" s="1235"/>
      <c r="Q234" s="1261"/>
      <c r="R234" s="1235"/>
      <c r="S234" s="1235"/>
      <c r="T234" s="1235"/>
      <c r="U234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5" spans="1:21">
      <c r="A235" s="54"/>
      <c r="B235" s="54"/>
      <c r="C235" s="54"/>
      <c r="D235" s="54"/>
      <c r="E235" s="1242"/>
      <c r="F235" s="1235"/>
      <c r="G235" s="54"/>
      <c r="H235" s="54"/>
      <c r="I235" s="1259"/>
      <c r="J235" s="54"/>
      <c r="K235" s="54"/>
      <c r="L235" s="54"/>
      <c r="M235" s="1235"/>
      <c r="N235" s="1260"/>
      <c r="O235" s="1235"/>
      <c r="P235" s="1235"/>
      <c r="Q235" s="1261"/>
      <c r="R235" s="1235"/>
      <c r="S235" s="1235"/>
      <c r="T235" s="1235"/>
      <c r="U235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6" spans="1:21">
      <c r="A236" s="54"/>
      <c r="B236" s="54"/>
      <c r="C236" s="54"/>
      <c r="D236" s="54"/>
      <c r="E236" s="1242"/>
      <c r="F236" s="1235"/>
      <c r="G236" s="54"/>
      <c r="H236" s="54"/>
      <c r="I236" s="1259"/>
      <c r="J236" s="54"/>
      <c r="K236" s="54"/>
      <c r="L236" s="54"/>
      <c r="M236" s="1235"/>
      <c r="N236" s="1260"/>
      <c r="O236" s="1235"/>
      <c r="P236" s="1235"/>
      <c r="Q236" s="1261"/>
      <c r="R236" s="1235"/>
      <c r="S236" s="1235"/>
      <c r="T236" s="1235"/>
      <c r="U236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7" spans="1:21">
      <c r="A237" s="54"/>
      <c r="B237" s="54"/>
      <c r="C237" s="54"/>
      <c r="D237" s="54"/>
      <c r="E237" s="1242"/>
      <c r="F237" s="1235"/>
      <c r="G237" s="54"/>
      <c r="H237" s="54"/>
      <c r="I237" s="1259"/>
      <c r="J237" s="54"/>
      <c r="K237" s="54"/>
      <c r="L237" s="54"/>
      <c r="M237" s="1235"/>
      <c r="N237" s="1260"/>
      <c r="O237" s="1235"/>
      <c r="P237" s="1235"/>
      <c r="Q237" s="1261"/>
      <c r="R237" s="1235"/>
      <c r="S237" s="1235"/>
      <c r="T237" s="1235"/>
      <c r="U237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8" spans="1:21">
      <c r="A238" s="54"/>
      <c r="B238" s="54"/>
      <c r="C238" s="54"/>
      <c r="D238" s="54"/>
      <c r="E238" s="1242"/>
      <c r="F238" s="1235"/>
      <c r="G238" s="54"/>
      <c r="H238" s="54"/>
      <c r="I238" s="1259"/>
      <c r="J238" s="54"/>
      <c r="K238" s="54"/>
      <c r="L238" s="54"/>
      <c r="M238" s="1235"/>
      <c r="N238" s="1260"/>
      <c r="O238" s="1235"/>
      <c r="P238" s="1235"/>
      <c r="Q238" s="1261"/>
      <c r="R238" s="1235"/>
      <c r="S238" s="1235"/>
      <c r="T238" s="1235"/>
      <c r="U238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39" spans="1:21">
      <c r="A239" s="54"/>
      <c r="B239" s="54"/>
      <c r="C239" s="54"/>
      <c r="D239" s="54"/>
      <c r="E239" s="1242"/>
      <c r="F239" s="1235"/>
      <c r="G239" s="54"/>
      <c r="H239" s="54"/>
      <c r="I239" s="1259"/>
      <c r="J239" s="54"/>
      <c r="K239" s="54"/>
      <c r="L239" s="54"/>
      <c r="M239" s="1235"/>
      <c r="N239" s="1260"/>
      <c r="O239" s="1235"/>
      <c r="P239" s="1235"/>
      <c r="Q239" s="1261"/>
      <c r="R239" s="1235"/>
      <c r="S239" s="1235"/>
      <c r="T239" s="1235"/>
      <c r="U239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40" spans="1:21">
      <c r="A240" s="54"/>
      <c r="B240" s="54"/>
      <c r="C240" s="54"/>
      <c r="D240" s="54"/>
      <c r="E240" s="1242"/>
      <c r="F240" s="1235"/>
      <c r="G240" s="54"/>
      <c r="H240" s="54"/>
      <c r="I240" s="1259"/>
      <c r="J240" s="54"/>
      <c r="K240" s="54"/>
      <c r="L240" s="54"/>
      <c r="M240" s="1235"/>
      <c r="N240" s="1260"/>
      <c r="O240" s="1235"/>
      <c r="P240" s="1235"/>
      <c r="Q240" s="1261"/>
      <c r="R240" s="1235"/>
      <c r="S240" s="1235"/>
      <c r="T240" s="1235"/>
      <c r="U240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41" spans="1:21">
      <c r="A241" s="54"/>
      <c r="B241" s="54"/>
      <c r="C241" s="54"/>
      <c r="D241" s="54"/>
      <c r="E241" s="1242"/>
      <c r="F241" s="1235"/>
      <c r="G241" s="54"/>
      <c r="H241" s="54"/>
      <c r="I241" s="1259"/>
      <c r="J241" s="54"/>
      <c r="K241" s="54"/>
      <c r="L241" s="54"/>
      <c r="M241" s="1235"/>
      <c r="N241" s="1260"/>
      <c r="O241" s="1235"/>
      <c r="P241" s="1235"/>
      <c r="Q241" s="1261"/>
      <c r="R241" s="1235"/>
      <c r="S241" s="1235"/>
      <c r="T241" s="1235"/>
      <c r="U241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42" spans="1:21">
      <c r="A242" s="54"/>
      <c r="B242" s="54"/>
      <c r="C242" s="54"/>
      <c r="D242" s="54"/>
      <c r="E242" s="1242"/>
      <c r="F242" s="1235"/>
      <c r="G242" s="54"/>
      <c r="H242" s="54"/>
      <c r="I242" s="1259"/>
      <c r="J242" s="54"/>
      <c r="K242" s="54"/>
      <c r="L242" s="54"/>
      <c r="M242" s="1235"/>
      <c r="N242" s="1260"/>
      <c r="O242" s="1235"/>
      <c r="P242" s="1235"/>
      <c r="Q242" s="1261"/>
      <c r="R242" s="1235"/>
      <c r="S242" s="1235"/>
      <c r="T242" s="1235"/>
      <c r="U242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43" spans="1:21">
      <c r="A243" s="54"/>
      <c r="B243" s="54"/>
      <c r="C243" s="54"/>
      <c r="D243" s="54"/>
      <c r="E243" s="1242"/>
      <c r="F243" s="1235"/>
      <c r="G243" s="54"/>
      <c r="H243" s="54"/>
      <c r="I243" s="1259"/>
      <c r="J243" s="54"/>
      <c r="K243" s="54"/>
      <c r="L243" s="54"/>
      <c r="M243" s="1235"/>
      <c r="N243" s="1260"/>
      <c r="O243" s="1235"/>
      <c r="P243" s="1235"/>
      <c r="Q243" s="1261"/>
      <c r="R243" s="1235"/>
      <c r="S243" s="1235"/>
      <c r="T243" s="1235"/>
      <c r="U243" s="1259" t="str">
        <f>IFERROR(SUM(Октябрь2124[[#This Row],[сумма]]/Октябрь2124[[#This Row],[м2]],IF(Октябрь2124[[#This Row],[Отделка]]="Черновая",0,"")&amp;IF(Октябрь2124[[#This Row],[Отделка]]="Предчистовая",-5500,"")&amp;IF(Октябрь2124[[#This Row],[Отделка]]="Чистовая",-16000,""))*Октябрь2124[[#This Row],[м2]],"")</f>
        <v/>
      </c>
    </row>
    <row r="244" spans="1:21">
      <c r="A244" s="54"/>
      <c r="B244" s="54"/>
      <c r="C244" s="54"/>
      <c r="D244" s="54"/>
      <c r="E244" s="1242"/>
      <c r="F244" s="1235"/>
      <c r="G244" s="54"/>
      <c r="H244" s="54"/>
      <c r="I244" s="1259"/>
      <c r="J244" s="54"/>
      <c r="K244" s="54"/>
      <c r="L244" s="54"/>
      <c r="M244" s="1235"/>
      <c r="N244" s="1260"/>
      <c r="O244" s="1235"/>
      <c r="P244" s="1235"/>
      <c r="Q244" s="1261"/>
      <c r="R244" s="1235"/>
      <c r="S244" s="1235"/>
      <c r="T244" s="1235"/>
      <c r="U244" s="1259"/>
    </row>
    <row r="245" spans="1:21">
      <c r="A245" s="54"/>
      <c r="B245" s="54"/>
      <c r="C245" s="54"/>
      <c r="D245" s="54"/>
      <c r="E245" s="1242"/>
      <c r="F245" s="1235"/>
      <c r="G245" s="54"/>
      <c r="H245" s="54"/>
      <c r="I245" s="1259"/>
      <c r="J245" s="54"/>
      <c r="K245" s="54"/>
      <c r="L245" s="54"/>
      <c r="M245" s="1235"/>
      <c r="N245" s="1260"/>
      <c r="O245" s="1235"/>
      <c r="P245" s="1235"/>
      <c r="Q245" s="1261"/>
      <c r="R245" s="1235"/>
      <c r="S245" s="1235"/>
      <c r="T245" s="1235"/>
      <c r="U245" s="1259"/>
    </row>
    <row r="246" spans="1:21">
      <c r="A246" s="54"/>
      <c r="B246" s="54"/>
      <c r="C246" s="54"/>
      <c r="D246" s="54"/>
      <c r="E246" s="1242"/>
      <c r="F246" s="1235"/>
      <c r="G246" s="54"/>
      <c r="H246" s="54"/>
      <c r="I246" s="1259"/>
      <c r="J246" s="54"/>
      <c r="K246" s="54"/>
      <c r="L246" s="54"/>
      <c r="M246" s="1235"/>
      <c r="N246" s="1260"/>
      <c r="O246" s="1235"/>
      <c r="P246" s="1235"/>
      <c r="Q246" s="1261"/>
      <c r="R246" s="1235"/>
      <c r="S246" s="1235"/>
      <c r="T246" s="1235"/>
      <c r="U246" s="1259"/>
    </row>
    <row r="247" spans="1:21">
      <c r="A247" s="54"/>
      <c r="B247" s="54"/>
      <c r="C247" s="54"/>
      <c r="D247" s="54"/>
      <c r="E247" s="1242"/>
      <c r="F247" s="1235"/>
      <c r="G247" s="54"/>
      <c r="H247" s="54"/>
      <c r="I247" s="1259"/>
      <c r="J247" s="54"/>
      <c r="K247" s="54"/>
      <c r="L247" s="54"/>
      <c r="M247" s="1235"/>
      <c r="N247" s="1260"/>
      <c r="O247" s="1235"/>
      <c r="P247" s="1235"/>
      <c r="Q247" s="1261"/>
      <c r="R247" s="1235"/>
      <c r="S247" s="1235"/>
      <c r="T247" s="1235"/>
      <c r="U247" s="1259"/>
    </row>
    <row r="248" spans="1:21">
      <c r="A248" s="54"/>
      <c r="B248" s="54"/>
      <c r="C248" s="54"/>
      <c r="D248" s="54"/>
      <c r="E248" s="1242"/>
      <c r="F248" s="1235"/>
      <c r="G248" s="54"/>
      <c r="H248" s="54"/>
      <c r="I248" s="1259"/>
      <c r="J248" s="54"/>
      <c r="K248" s="54"/>
      <c r="L248" s="54"/>
      <c r="M248" s="1235"/>
      <c r="N248" s="1260"/>
      <c r="O248" s="1235"/>
      <c r="P248" s="1235"/>
      <c r="Q248" s="1261"/>
      <c r="R248" s="1235"/>
      <c r="S248" s="1235"/>
      <c r="T248" s="1235"/>
      <c r="U248" s="1259"/>
    </row>
    <row r="249" spans="1:21">
      <c r="A249" s="54"/>
      <c r="B249" s="54"/>
      <c r="C249" s="54"/>
      <c r="D249" s="54"/>
      <c r="E249" s="1242"/>
      <c r="F249" s="1235"/>
      <c r="G249" s="54"/>
      <c r="H249" s="54"/>
      <c r="I249" s="1259"/>
      <c r="J249" s="54"/>
      <c r="K249" s="54"/>
      <c r="L249" s="54"/>
      <c r="M249" s="1235"/>
      <c r="N249" s="1260"/>
      <c r="O249" s="1235"/>
      <c r="P249" s="1235"/>
      <c r="Q249" s="1261"/>
      <c r="R249" s="1235"/>
      <c r="S249" s="1235"/>
      <c r="T249" s="1235"/>
      <c r="U249" s="1259"/>
    </row>
    <row r="250" spans="1:21">
      <c r="A250" s="54"/>
      <c r="B250" s="54"/>
      <c r="C250" s="54"/>
      <c r="D250" s="54"/>
      <c r="E250" s="1242"/>
      <c r="F250" s="1235"/>
      <c r="G250" s="54"/>
      <c r="H250" s="54"/>
      <c r="I250" s="1259"/>
      <c r="J250" s="54"/>
      <c r="K250" s="54"/>
      <c r="L250" s="54"/>
      <c r="M250" s="1235"/>
      <c r="N250" s="1260"/>
      <c r="O250" s="1235"/>
      <c r="P250" s="1235"/>
      <c r="Q250" s="1261"/>
      <c r="R250" s="1235"/>
      <c r="S250" s="1235"/>
      <c r="T250" s="1235"/>
      <c r="U250" s="1259"/>
    </row>
    <row r="251" spans="1:21">
      <c r="A251" s="54"/>
      <c r="B251" s="54"/>
      <c r="C251" s="54"/>
      <c r="D251" s="54"/>
      <c r="E251" s="1242"/>
      <c r="F251" s="1235"/>
      <c r="G251" s="54"/>
      <c r="H251" s="54"/>
      <c r="I251" s="1259"/>
      <c r="J251" s="54"/>
      <c r="K251" s="54"/>
      <c r="L251" s="54"/>
      <c r="M251" s="1235"/>
      <c r="N251" s="1260"/>
      <c r="O251" s="1235"/>
      <c r="P251" s="1235"/>
      <c r="Q251" s="1261"/>
      <c r="R251" s="1235"/>
      <c r="S251" s="1235"/>
      <c r="T251" s="1235"/>
      <c r="U251" s="1259"/>
    </row>
    <row r="252" spans="1:21">
      <c r="A252" s="54"/>
      <c r="B252" s="54"/>
      <c r="C252" s="54"/>
      <c r="D252" s="54"/>
      <c r="E252" s="1242"/>
      <c r="F252" s="1235"/>
      <c r="G252" s="54"/>
      <c r="H252" s="54"/>
      <c r="I252" s="1259"/>
      <c r="J252" s="54"/>
      <c r="K252" s="54"/>
      <c r="L252" s="54"/>
      <c r="M252" s="1235"/>
      <c r="N252" s="1260"/>
      <c r="O252" s="1235"/>
      <c r="P252" s="1235"/>
      <c r="Q252" s="1261"/>
      <c r="R252" s="1235"/>
      <c r="S252" s="1235"/>
      <c r="T252" s="1235"/>
      <c r="U252" s="1259"/>
    </row>
    <row r="253" spans="1:21">
      <c r="A253" s="54"/>
      <c r="B253" s="54"/>
      <c r="C253" s="54"/>
      <c r="D253" s="54"/>
      <c r="E253" s="1242"/>
      <c r="F253" s="1235"/>
      <c r="G253" s="54"/>
      <c r="H253" s="54"/>
      <c r="I253" s="1259"/>
      <c r="J253" s="54"/>
      <c r="K253" s="54"/>
      <c r="L253" s="54"/>
      <c r="M253" s="1235"/>
      <c r="N253" s="1260"/>
      <c r="O253" s="1235"/>
      <c r="P253" s="1235"/>
      <c r="Q253" s="1261"/>
      <c r="R253" s="1235"/>
      <c r="S253" s="1235"/>
      <c r="T253" s="1235"/>
      <c r="U253" s="1259"/>
    </row>
    <row r="254" spans="1:21">
      <c r="A254" s="54"/>
      <c r="B254" s="54"/>
      <c r="C254" s="54"/>
      <c r="D254" s="54"/>
      <c r="E254" s="1242"/>
      <c r="F254" s="1235"/>
      <c r="G254" s="54"/>
      <c r="H254" s="54"/>
      <c r="I254" s="1259"/>
      <c r="J254" s="54"/>
      <c r="K254" s="54"/>
      <c r="L254" s="54"/>
      <c r="M254" s="1235"/>
      <c r="N254" s="1260"/>
      <c r="O254" s="1235"/>
      <c r="P254" s="1235"/>
      <c r="Q254" s="1261"/>
      <c r="R254" s="1235"/>
      <c r="S254" s="1235"/>
      <c r="T254" s="1235"/>
      <c r="U254" s="1259"/>
    </row>
    <row r="255" spans="1:21">
      <c r="A255" s="54"/>
      <c r="B255" s="54"/>
      <c r="C255" s="54"/>
      <c r="D255" s="54"/>
      <c r="E255" s="1242"/>
      <c r="F255" s="1235"/>
      <c r="G255" s="54"/>
      <c r="H255" s="54"/>
      <c r="I255" s="1259"/>
      <c r="J255" s="54"/>
      <c r="K255" s="54"/>
      <c r="L255" s="54"/>
      <c r="M255" s="1235"/>
      <c r="N255" s="1260"/>
      <c r="O255" s="1235"/>
      <c r="P255" s="1235"/>
      <c r="Q255" s="1261"/>
      <c r="R255" s="1235"/>
      <c r="S255" s="1235"/>
      <c r="T255" s="1235"/>
      <c r="U255" s="1259"/>
    </row>
    <row r="256" spans="1:21">
      <c r="A256" s="54"/>
      <c r="B256" s="54"/>
      <c r="C256" s="54"/>
      <c r="D256" s="54"/>
      <c r="E256" s="1242"/>
      <c r="F256" s="1235"/>
      <c r="G256" s="54"/>
      <c r="H256" s="54"/>
      <c r="I256" s="1259"/>
      <c r="J256" s="54"/>
      <c r="K256" s="54"/>
      <c r="L256" s="54"/>
      <c r="M256" s="1235"/>
      <c r="N256" s="1260"/>
      <c r="O256" s="1235"/>
      <c r="P256" s="1235"/>
      <c r="Q256" s="1261"/>
      <c r="R256" s="1235"/>
      <c r="S256" s="1235"/>
      <c r="T256" s="1235"/>
      <c r="U256" s="1259"/>
    </row>
    <row r="257" spans="1:21">
      <c r="A257" s="54"/>
      <c r="B257" s="54"/>
      <c r="C257" s="54"/>
      <c r="D257" s="54"/>
      <c r="E257" s="1242"/>
      <c r="F257" s="1235"/>
      <c r="G257" s="54"/>
      <c r="H257" s="54"/>
      <c r="I257" s="1259"/>
      <c r="J257" s="54"/>
      <c r="K257" s="54"/>
      <c r="L257" s="54"/>
      <c r="M257" s="1235"/>
      <c r="N257" s="1260"/>
      <c r="O257" s="1235"/>
      <c r="P257" s="1235"/>
      <c r="Q257" s="1261"/>
      <c r="R257" s="1235"/>
      <c r="S257" s="1235"/>
      <c r="T257" s="1235"/>
      <c r="U257" s="1259"/>
    </row>
    <row r="258" spans="1:21">
      <c r="A258" s="54"/>
      <c r="B258" s="54"/>
      <c r="C258" s="54"/>
      <c r="D258" s="54"/>
      <c r="E258" s="1242"/>
      <c r="F258" s="1235"/>
      <c r="G258" s="54"/>
      <c r="H258" s="54"/>
      <c r="I258" s="1259"/>
      <c r="J258" s="54"/>
      <c r="K258" s="54"/>
      <c r="L258" s="54"/>
      <c r="M258" s="1235"/>
      <c r="N258" s="1260"/>
      <c r="O258" s="1235"/>
      <c r="P258" s="1235"/>
      <c r="Q258" s="1261"/>
      <c r="R258" s="1235"/>
      <c r="S258" s="1235"/>
      <c r="T258" s="1235"/>
      <c r="U258" s="1259"/>
    </row>
    <row r="259" spans="1:21">
      <c r="A259" s="54"/>
      <c r="B259" s="54"/>
      <c r="C259" s="54"/>
      <c r="D259" s="54"/>
      <c r="E259" s="1242"/>
      <c r="F259" s="1235"/>
      <c r="G259" s="54"/>
      <c r="H259" s="54"/>
      <c r="I259" s="1259"/>
      <c r="J259" s="54"/>
      <c r="K259" s="54"/>
      <c r="L259" s="54"/>
      <c r="M259" s="1235"/>
      <c r="N259" s="1260"/>
      <c r="O259" s="1235"/>
      <c r="P259" s="1235"/>
      <c r="Q259" s="1261"/>
      <c r="R259" s="1235"/>
      <c r="S259" s="1235"/>
      <c r="T259" s="1235"/>
      <c r="U259" s="1259"/>
    </row>
    <row r="260" spans="1:21">
      <c r="A260" s="54"/>
      <c r="B260" s="54"/>
      <c r="C260" s="54"/>
      <c r="D260" s="54"/>
      <c r="E260" s="1242"/>
      <c r="F260" s="1235"/>
      <c r="G260" s="54"/>
      <c r="H260" s="54"/>
      <c r="I260" s="1259"/>
      <c r="J260" s="54"/>
      <c r="K260" s="54"/>
      <c r="L260" s="54"/>
      <c r="M260" s="1235"/>
      <c r="N260" s="1260"/>
      <c r="O260" s="1235"/>
      <c r="P260" s="1235"/>
      <c r="Q260" s="1261"/>
      <c r="R260" s="1235"/>
      <c r="S260" s="1235"/>
      <c r="T260" s="1235"/>
      <c r="U260" s="1259"/>
    </row>
    <row r="261" spans="1:21">
      <c r="A261" s="54"/>
      <c r="B261" s="54"/>
      <c r="C261" s="54"/>
      <c r="D261" s="54"/>
      <c r="E261" s="1242"/>
      <c r="F261" s="1235"/>
      <c r="G261" s="54"/>
      <c r="H261" s="54"/>
      <c r="I261" s="1259"/>
      <c r="J261" s="54"/>
      <c r="K261" s="54"/>
      <c r="L261" s="54"/>
      <c r="M261" s="1235"/>
      <c r="N261" s="1260"/>
      <c r="O261" s="1235"/>
      <c r="P261" s="1235"/>
      <c r="Q261" s="1261"/>
      <c r="R261" s="1235"/>
      <c r="S261" s="1235"/>
      <c r="T261" s="1235"/>
      <c r="U261" s="1259"/>
    </row>
    <row r="262" spans="1:21">
      <c r="A262" s="54"/>
      <c r="B262" s="54"/>
      <c r="C262" s="54"/>
      <c r="D262" s="54"/>
      <c r="E262" s="1242"/>
      <c r="F262" s="1235"/>
      <c r="G262" s="54"/>
      <c r="H262" s="54"/>
      <c r="I262" s="1259"/>
      <c r="J262" s="54"/>
      <c r="K262" s="54"/>
      <c r="L262" s="54"/>
      <c r="M262" s="1235"/>
      <c r="N262" s="1260"/>
      <c r="O262" s="1235"/>
      <c r="P262" s="1235"/>
      <c r="Q262" s="1261"/>
      <c r="R262" s="1235"/>
      <c r="S262" s="1235"/>
      <c r="T262" s="1235"/>
      <c r="U262" s="1259"/>
    </row>
    <row r="263" spans="1:21">
      <c r="A263" s="54"/>
      <c r="B263" s="54"/>
      <c r="C263" s="54"/>
      <c r="D263" s="54"/>
      <c r="E263" s="1242"/>
      <c r="F263" s="1235"/>
      <c r="G263" s="54"/>
      <c r="H263" s="54"/>
      <c r="I263" s="1259"/>
      <c r="J263" s="54"/>
      <c r="K263" s="54"/>
      <c r="L263" s="54"/>
      <c r="M263" s="1235"/>
      <c r="N263" s="1260"/>
      <c r="O263" s="1235"/>
      <c r="P263" s="1235"/>
      <c r="Q263" s="1261"/>
      <c r="R263" s="1235"/>
      <c r="S263" s="1235"/>
      <c r="T263" s="1235"/>
      <c r="U263" s="1259"/>
    </row>
    <row r="264" spans="1:21">
      <c r="A264" s="54"/>
      <c r="B264" s="54"/>
      <c r="C264" s="54"/>
      <c r="D264" s="54"/>
      <c r="E264" s="1242"/>
      <c r="F264" s="1235"/>
      <c r="G264" s="54"/>
      <c r="H264" s="54"/>
      <c r="I264" s="1259"/>
      <c r="J264" s="54"/>
      <c r="K264" s="54"/>
      <c r="L264" s="54"/>
      <c r="M264" s="1235"/>
      <c r="N264" s="1260"/>
      <c r="O264" s="1235"/>
      <c r="P264" s="1235"/>
      <c r="Q264" s="1261"/>
      <c r="R264" s="1235"/>
      <c r="S264" s="1235"/>
      <c r="T264" s="1235"/>
      <c r="U264" s="1259"/>
    </row>
    <row r="265" spans="1:21">
      <c r="A265" s="54"/>
      <c r="B265" s="54"/>
      <c r="C265" s="54"/>
      <c r="D265" s="54"/>
      <c r="E265" s="1242"/>
      <c r="F265" s="1235"/>
      <c r="G265" s="54"/>
      <c r="H265" s="54"/>
      <c r="I265" s="1259"/>
      <c r="J265" s="54"/>
      <c r="K265" s="54"/>
      <c r="L265" s="54"/>
      <c r="M265" s="1235"/>
      <c r="N265" s="1260"/>
      <c r="O265" s="1235"/>
      <c r="P265" s="1235"/>
      <c r="Q265" s="1261"/>
      <c r="R265" s="1235"/>
      <c r="S265" s="1235"/>
      <c r="T265" s="1235"/>
      <c r="U265" s="1259"/>
    </row>
    <row r="266" spans="1:21">
      <c r="A266" s="54"/>
      <c r="B266" s="54"/>
      <c r="C266" s="54"/>
      <c r="D266" s="54"/>
      <c r="E266" s="1242"/>
      <c r="F266" s="1235"/>
      <c r="G266" s="54"/>
      <c r="H266" s="54"/>
      <c r="I266" s="1259"/>
      <c r="J266" s="54"/>
      <c r="K266" s="54"/>
      <c r="L266" s="54"/>
      <c r="M266" s="1235"/>
      <c r="N266" s="1260"/>
      <c r="O266" s="1235"/>
      <c r="P266" s="1235"/>
      <c r="Q266" s="1261"/>
      <c r="R266" s="1235"/>
      <c r="S266" s="1235"/>
      <c r="T266" s="1235"/>
      <c r="U266" s="1259"/>
    </row>
    <row r="267" spans="1:21">
      <c r="A267" s="54"/>
      <c r="B267" s="54"/>
      <c r="C267" s="54"/>
      <c r="D267" s="54"/>
      <c r="E267" s="1242"/>
      <c r="F267" s="1235"/>
      <c r="G267" s="54"/>
      <c r="H267" s="54"/>
      <c r="I267" s="1259"/>
      <c r="J267" s="54"/>
      <c r="K267" s="54"/>
      <c r="L267" s="54"/>
      <c r="M267" s="1235"/>
      <c r="N267" s="1260"/>
      <c r="O267" s="1235"/>
      <c r="P267" s="1235"/>
      <c r="Q267" s="1261"/>
      <c r="R267" s="1235"/>
      <c r="S267" s="1235"/>
      <c r="T267" s="1235"/>
      <c r="U267" s="1259"/>
    </row>
    <row r="268" spans="1:21">
      <c r="A268" s="54"/>
      <c r="B268" s="54"/>
      <c r="C268" s="54"/>
      <c r="D268" s="54"/>
      <c r="E268" s="1242"/>
      <c r="F268" s="1235"/>
      <c r="G268" s="54"/>
      <c r="H268" s="54"/>
      <c r="I268" s="1259"/>
      <c r="J268" s="54"/>
      <c r="K268" s="54"/>
      <c r="L268" s="54"/>
      <c r="M268" s="1235"/>
      <c r="N268" s="1260"/>
      <c r="O268" s="1235"/>
      <c r="P268" s="1235"/>
      <c r="Q268" s="1261"/>
      <c r="R268" s="1235"/>
      <c r="S268" s="1235"/>
      <c r="T268" s="1235"/>
      <c r="U268" s="1259"/>
    </row>
    <row r="269" spans="1:21">
      <c r="A269" s="54"/>
      <c r="B269" s="54"/>
      <c r="C269" s="54"/>
      <c r="D269" s="54"/>
      <c r="E269" s="1242"/>
      <c r="F269" s="1235"/>
      <c r="G269" s="54"/>
      <c r="H269" s="54"/>
      <c r="I269" s="1259"/>
      <c r="J269" s="54"/>
      <c r="K269" s="54"/>
      <c r="L269" s="54"/>
      <c r="M269" s="1235"/>
      <c r="N269" s="1260"/>
      <c r="O269" s="1235"/>
      <c r="P269" s="1235"/>
      <c r="Q269" s="1261"/>
      <c r="R269" s="1235"/>
      <c r="S269" s="1235"/>
      <c r="T269" s="1235"/>
      <c r="U269" s="1259"/>
    </row>
    <row r="270" spans="1:21">
      <c r="A270" s="54"/>
      <c r="B270" s="54"/>
      <c r="C270" s="54"/>
      <c r="D270" s="54"/>
      <c r="E270" s="1242"/>
      <c r="F270" s="1235"/>
      <c r="G270" s="54"/>
      <c r="H270" s="54"/>
      <c r="I270" s="1259"/>
      <c r="J270" s="54"/>
      <c r="K270" s="54"/>
      <c r="L270" s="54"/>
      <c r="M270" s="1235"/>
      <c r="N270" s="1260"/>
      <c r="O270" s="1235"/>
      <c r="P270" s="1235"/>
      <c r="Q270" s="1261"/>
      <c r="R270" s="1235"/>
      <c r="S270" s="1235"/>
      <c r="T270" s="1235"/>
      <c r="U270" s="1259"/>
    </row>
    <row r="271" spans="1:21">
      <c r="A271" s="54"/>
      <c r="B271" s="54"/>
      <c r="C271" s="54"/>
      <c r="D271" s="54"/>
      <c r="E271" s="1242"/>
      <c r="F271" s="1235"/>
      <c r="G271" s="54"/>
      <c r="H271" s="54"/>
      <c r="I271" s="1259"/>
      <c r="J271" s="54"/>
      <c r="K271" s="54"/>
      <c r="L271" s="54"/>
      <c r="M271" s="1235"/>
      <c r="N271" s="1260"/>
      <c r="O271" s="1235"/>
      <c r="P271" s="1235"/>
      <c r="Q271" s="1261"/>
      <c r="R271" s="1235"/>
      <c r="S271" s="1235"/>
      <c r="T271" s="1235"/>
      <c r="U271" s="1259"/>
    </row>
    <row r="272" spans="1:21">
      <c r="A272" s="54"/>
      <c r="B272" s="54"/>
      <c r="C272" s="54"/>
      <c r="D272" s="54"/>
      <c r="E272" s="1242"/>
      <c r="F272" s="1235"/>
      <c r="G272" s="54"/>
      <c r="H272" s="54"/>
      <c r="I272" s="1259"/>
      <c r="J272" s="54"/>
      <c r="K272" s="54"/>
      <c r="L272" s="54"/>
      <c r="M272" s="1235"/>
      <c r="N272" s="1260"/>
      <c r="O272" s="1235"/>
      <c r="P272" s="1235"/>
      <c r="Q272" s="1261"/>
      <c r="R272" s="1235"/>
      <c r="S272" s="1235"/>
      <c r="T272" s="1235"/>
      <c r="U272" s="1259"/>
    </row>
    <row r="273" spans="1:21">
      <c r="A273" s="54"/>
      <c r="B273" s="54"/>
      <c r="C273" s="54"/>
      <c r="D273" s="54"/>
      <c r="E273" s="1242"/>
      <c r="F273" s="1235"/>
      <c r="G273" s="54"/>
      <c r="H273" s="54"/>
      <c r="I273" s="1259"/>
      <c r="J273" s="54"/>
      <c r="K273" s="54"/>
      <c r="L273" s="54"/>
      <c r="M273" s="1235"/>
      <c r="N273" s="1260"/>
      <c r="O273" s="1235"/>
      <c r="P273" s="1235"/>
      <c r="Q273" s="1261"/>
      <c r="R273" s="1235"/>
      <c r="S273" s="1235"/>
      <c r="T273" s="1235"/>
      <c r="U273" s="1259"/>
    </row>
    <row r="274" spans="1:21">
      <c r="A274" s="54"/>
      <c r="B274" s="54"/>
      <c r="C274" s="54"/>
      <c r="D274" s="54"/>
      <c r="E274" s="1242"/>
      <c r="F274" s="1235"/>
      <c r="G274" s="54"/>
      <c r="H274" s="54"/>
      <c r="I274" s="1259"/>
      <c r="J274" s="54"/>
      <c r="K274" s="54"/>
      <c r="L274" s="54"/>
      <c r="M274" s="1235"/>
      <c r="N274" s="1260"/>
      <c r="O274" s="1235"/>
      <c r="P274" s="1235"/>
      <c r="Q274" s="1261"/>
      <c r="R274" s="1235"/>
      <c r="S274" s="1235"/>
      <c r="T274" s="1235"/>
      <c r="U274" s="1259"/>
    </row>
    <row r="275" spans="1:21">
      <c r="A275" s="54"/>
      <c r="B275" s="54"/>
      <c r="C275" s="54"/>
      <c r="D275" s="54"/>
      <c r="E275" s="1242"/>
      <c r="F275" s="1235"/>
      <c r="G275" s="54"/>
      <c r="H275" s="54"/>
      <c r="I275" s="1259"/>
      <c r="J275" s="54"/>
      <c r="K275" s="54"/>
      <c r="L275" s="54"/>
      <c r="M275" s="1235"/>
      <c r="N275" s="1260"/>
      <c r="O275" s="1235"/>
      <c r="P275" s="1235"/>
      <c r="Q275" s="1261"/>
      <c r="R275" s="1235"/>
      <c r="S275" s="1235"/>
      <c r="T275" s="1235"/>
      <c r="U275" s="1259"/>
    </row>
    <row r="276" spans="1:21">
      <c r="A276" s="54"/>
      <c r="B276" s="54"/>
      <c r="C276" s="54"/>
      <c r="D276" s="54"/>
      <c r="E276" s="1242"/>
      <c r="F276" s="1235"/>
      <c r="G276" s="54"/>
      <c r="H276" s="54"/>
      <c r="I276" s="1259"/>
      <c r="J276" s="54"/>
      <c r="K276" s="54"/>
      <c r="L276" s="54"/>
      <c r="M276" s="1235"/>
      <c r="N276" s="1260"/>
      <c r="O276" s="1235"/>
      <c r="P276" s="1235"/>
      <c r="Q276" s="1261"/>
      <c r="R276" s="1235"/>
      <c r="S276" s="1235"/>
      <c r="T276" s="1235"/>
      <c r="U276" s="1259"/>
    </row>
    <row r="277" spans="1:21">
      <c r="A277" s="54"/>
      <c r="B277" s="54"/>
      <c r="C277" s="54"/>
      <c r="D277" s="54"/>
      <c r="E277" s="1242"/>
      <c r="F277" s="1235"/>
      <c r="G277" s="54"/>
      <c r="H277" s="54"/>
      <c r="I277" s="1259"/>
      <c r="J277" s="54"/>
      <c r="K277" s="54"/>
      <c r="L277" s="54"/>
      <c r="M277" s="1235"/>
      <c r="N277" s="1260"/>
      <c r="O277" s="1235"/>
      <c r="P277" s="1235"/>
      <c r="Q277" s="1261"/>
      <c r="R277" s="1235"/>
      <c r="S277" s="1235"/>
      <c r="T277" s="1235"/>
      <c r="U277" s="1259"/>
    </row>
    <row r="278" spans="1:21">
      <c r="A278" s="54"/>
      <c r="B278" s="54"/>
      <c r="C278" s="54"/>
      <c r="D278" s="54"/>
      <c r="E278" s="1242"/>
      <c r="F278" s="1235"/>
      <c r="G278" s="54"/>
      <c r="H278" s="54"/>
      <c r="I278" s="1259"/>
      <c r="J278" s="54"/>
      <c r="K278" s="54"/>
      <c r="L278" s="54"/>
      <c r="M278" s="1235"/>
      <c r="N278" s="1260"/>
      <c r="O278" s="1235"/>
      <c r="P278" s="1235"/>
      <c r="Q278" s="1261"/>
      <c r="R278" s="1235"/>
      <c r="S278" s="1235"/>
      <c r="T278" s="1235"/>
      <c r="U278" s="1259"/>
    </row>
    <row r="279" spans="1:21">
      <c r="A279" s="54"/>
      <c r="B279" s="54"/>
      <c r="C279" s="54"/>
      <c r="D279" s="54"/>
      <c r="E279" s="1242"/>
      <c r="F279" s="1235"/>
      <c r="G279" s="54"/>
      <c r="H279" s="54"/>
      <c r="I279" s="1259"/>
      <c r="J279" s="54"/>
      <c r="K279" s="54"/>
      <c r="L279" s="54"/>
      <c r="M279" s="1235"/>
      <c r="N279" s="1260"/>
      <c r="O279" s="1235"/>
      <c r="P279" s="1235"/>
      <c r="Q279" s="1261"/>
      <c r="R279" s="1235"/>
      <c r="S279" s="1235"/>
      <c r="T279" s="1235"/>
      <c r="U279" s="1259"/>
    </row>
  </sheetData>
  <sheetProtection formatCells="0" formatColumns="0" formatRows="0" insertColumns="0" insertRows="0" insertHyperlinks="0" deleteColumns="0" deleteRows="0" sort="0" autoFilter="0" pivotTables="0"/>
  <mergeCells count="5">
    <mergeCell ref="A1:S1"/>
    <mergeCell ref="A82:B82"/>
    <mergeCell ref="A96:B96"/>
    <mergeCell ref="A110:B110"/>
    <mergeCell ref="A124:B124"/>
  </mergeCells>
  <dataValidations count="1">
    <dataValidation type="list" allowBlank="1" showInputMessage="1" showErrorMessage="1" sqref="P4 P9 P19 P24:P25" xr:uid="{00000000-0002-0000-0F00-000000000000}">
      <formula1>#REF!</formula1>
    </dataValidation>
  </dataValidations>
  <pageMargins left="0.25" right="0.25" top="0.75" bottom="0.75" header="0.3" footer="0.3"/>
  <pageSetup paperSize="9" scale="27" orientation="portrait"/>
  <legacy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V263"/>
  <sheetViews>
    <sheetView zoomScale="85" zoomScaleNormal="85" workbookViewId="0">
      <selection activeCell="F122" sqref="A122:N122"/>
    </sheetView>
  </sheetViews>
  <sheetFormatPr defaultColWidth="9.140625" defaultRowHeight="12.75" outlineLevelRow="1"/>
  <cols>
    <col min="1" max="1" width="11.7109375" style="931" customWidth="1"/>
    <col min="2" max="2" width="8.42578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7.2851562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7.85546875" style="931" customWidth="1"/>
    <col min="15" max="15" width="25.5703125" style="931" customWidth="1"/>
    <col min="16" max="16" width="29.42578125" style="931" customWidth="1"/>
    <col min="17" max="17" width="20.42578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43" customWidth="1"/>
    <col min="22" max="16384" width="9.140625" style="931"/>
  </cols>
  <sheetData>
    <row r="1" spans="1:22">
      <c r="A1" s="2297">
        <v>44651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22" s="949" customFormat="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61" customFormat="1" ht="15" hidden="1" customHeight="1" outlineLevel="1">
      <c r="A3" s="62">
        <v>1</v>
      </c>
      <c r="B3" s="62">
        <v>624</v>
      </c>
      <c r="C3" s="62">
        <v>17344</v>
      </c>
      <c r="D3" s="117" t="s">
        <v>77</v>
      </c>
      <c r="E3" s="62">
        <v>82.27</v>
      </c>
      <c r="F3" s="117" t="s">
        <v>9</v>
      </c>
      <c r="G3" s="117" t="s">
        <v>27</v>
      </c>
      <c r="H3" s="117" t="s">
        <v>16</v>
      </c>
      <c r="I3" s="95" t="s">
        <v>949</v>
      </c>
      <c r="J3" s="62">
        <v>3</v>
      </c>
      <c r="K3" s="117" t="s">
        <v>583</v>
      </c>
      <c r="L3" s="117" t="s">
        <v>12</v>
      </c>
      <c r="M3" s="92">
        <v>44623</v>
      </c>
      <c r="N3" s="117" t="s">
        <v>474</v>
      </c>
      <c r="O3" s="117" t="s">
        <v>950</v>
      </c>
      <c r="P3" s="76" t="s">
        <v>111</v>
      </c>
      <c r="Q3" s="76" t="s">
        <v>111</v>
      </c>
      <c r="R3" s="117" t="s">
        <v>77</v>
      </c>
      <c r="S3" s="117" t="s">
        <v>77</v>
      </c>
      <c r="T3" s="117" t="s">
        <v>77</v>
      </c>
      <c r="U3" s="95">
        <v>4654990.4400000004</v>
      </c>
    </row>
    <row r="4" spans="1:22" s="929" customFormat="1" ht="12" hidden="1" customHeight="1" outlineLevel="1">
      <c r="A4" s="62">
        <v>2</v>
      </c>
      <c r="B4" s="62">
        <v>107</v>
      </c>
      <c r="C4" s="62">
        <v>18875</v>
      </c>
      <c r="D4" s="117" t="s">
        <v>77</v>
      </c>
      <c r="E4" s="62">
        <v>37.69</v>
      </c>
      <c r="F4" s="117" t="s">
        <v>9</v>
      </c>
      <c r="G4" s="117" t="s">
        <v>27</v>
      </c>
      <c r="H4" s="117" t="s">
        <v>10</v>
      </c>
      <c r="I4" s="95">
        <v>2679383.98</v>
      </c>
      <c r="J4" s="62">
        <v>1</v>
      </c>
      <c r="K4" s="117" t="s">
        <v>514</v>
      </c>
      <c r="L4" s="117" t="s">
        <v>12</v>
      </c>
      <c r="M4" s="92"/>
      <c r="N4" s="117" t="s">
        <v>474</v>
      </c>
      <c r="O4" s="117" t="s">
        <v>951</v>
      </c>
      <c r="P4" s="76" t="s">
        <v>111</v>
      </c>
      <c r="Q4" s="76" t="s">
        <v>111</v>
      </c>
      <c r="R4" s="945" t="s">
        <v>77</v>
      </c>
      <c r="S4" s="945" t="s">
        <v>77</v>
      </c>
      <c r="T4" s="945" t="s">
        <v>77</v>
      </c>
      <c r="U4" s="946">
        <v>2679383.98</v>
      </c>
    </row>
    <row r="5" spans="1:22" s="65" customFormat="1" hidden="1" outlineLevel="1">
      <c r="A5" s="62">
        <v>3</v>
      </c>
      <c r="B5" s="62">
        <v>582</v>
      </c>
      <c r="C5" s="62">
        <v>17883</v>
      </c>
      <c r="D5" s="62" t="s">
        <v>77</v>
      </c>
      <c r="E5" s="62">
        <v>59.93</v>
      </c>
      <c r="F5" s="117" t="s">
        <v>9</v>
      </c>
      <c r="G5" s="62" t="s">
        <v>27</v>
      </c>
      <c r="H5" s="62" t="s">
        <v>16</v>
      </c>
      <c r="I5" s="95">
        <v>4117578.75</v>
      </c>
      <c r="J5" s="62">
        <v>2</v>
      </c>
      <c r="K5" s="117" t="s">
        <v>583</v>
      </c>
      <c r="L5" s="117" t="s">
        <v>12</v>
      </c>
      <c r="M5" s="92">
        <v>44630</v>
      </c>
      <c r="N5" s="117" t="s">
        <v>17</v>
      </c>
      <c r="O5" s="62" t="s">
        <v>952</v>
      </c>
      <c r="P5" s="76" t="s">
        <v>111</v>
      </c>
      <c r="Q5" s="76" t="s">
        <v>111</v>
      </c>
      <c r="R5" s="117" t="s">
        <v>77</v>
      </c>
      <c r="S5" s="117" t="s">
        <v>77</v>
      </c>
      <c r="T5" s="117" t="s">
        <v>77</v>
      </c>
      <c r="U5" s="1217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4117578.75</v>
      </c>
    </row>
    <row r="6" spans="1:22" s="929" customFormat="1" hidden="1" outlineLevel="1">
      <c r="A6" s="62">
        <v>4</v>
      </c>
      <c r="B6" s="62">
        <v>619</v>
      </c>
      <c r="C6" s="62">
        <v>19558</v>
      </c>
      <c r="D6" s="62" t="s">
        <v>73</v>
      </c>
      <c r="E6" s="62">
        <v>40</v>
      </c>
      <c r="F6" s="62" t="s">
        <v>15</v>
      </c>
      <c r="G6" s="62" t="s">
        <v>27</v>
      </c>
      <c r="H6" s="62" t="s">
        <v>84</v>
      </c>
      <c r="I6" s="95">
        <v>3054123.2</v>
      </c>
      <c r="J6" s="62">
        <v>1</v>
      </c>
      <c r="K6" s="62" t="s">
        <v>514</v>
      </c>
      <c r="L6" s="62" t="s">
        <v>18</v>
      </c>
      <c r="M6" s="92">
        <v>44621</v>
      </c>
      <c r="N6" s="117" t="s">
        <v>11</v>
      </c>
      <c r="O6" s="62" t="s">
        <v>953</v>
      </c>
      <c r="P6" s="76" t="s">
        <v>111</v>
      </c>
      <c r="Q6" s="76" t="s">
        <v>111</v>
      </c>
      <c r="R6" s="892" t="s">
        <v>73</v>
      </c>
      <c r="S6" s="892" t="s">
        <v>73</v>
      </c>
      <c r="T6" s="892" t="s">
        <v>73</v>
      </c>
      <c r="U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2834123.2</v>
      </c>
    </row>
    <row r="7" spans="1:22" hidden="1" outlineLevel="1">
      <c r="A7" s="62">
        <v>5</v>
      </c>
      <c r="B7" s="62">
        <v>663</v>
      </c>
      <c r="C7" s="62">
        <v>19264</v>
      </c>
      <c r="D7" s="62" t="s">
        <v>73</v>
      </c>
      <c r="E7" s="62">
        <v>38.96</v>
      </c>
      <c r="F7" s="62" t="s">
        <v>9</v>
      </c>
      <c r="G7" s="62" t="s">
        <v>27</v>
      </c>
      <c r="H7" s="62" t="s">
        <v>16</v>
      </c>
      <c r="I7" s="95">
        <v>2880455</v>
      </c>
      <c r="J7" s="62">
        <v>1</v>
      </c>
      <c r="K7" s="62" t="s">
        <v>583</v>
      </c>
      <c r="L7" s="62" t="s">
        <v>12</v>
      </c>
      <c r="M7" s="942">
        <v>44627</v>
      </c>
      <c r="N7" s="117" t="s">
        <v>17</v>
      </c>
      <c r="O7" s="941" t="s">
        <v>954</v>
      </c>
      <c r="P7" s="76" t="s">
        <v>111</v>
      </c>
      <c r="Q7" s="76" t="s">
        <v>111</v>
      </c>
      <c r="R7" s="892" t="s">
        <v>73</v>
      </c>
      <c r="S7" s="945" t="s">
        <v>73</v>
      </c>
      <c r="T7" s="945" t="s">
        <v>73</v>
      </c>
      <c r="U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2880455.0000000005</v>
      </c>
    </row>
    <row r="8" spans="1:22" s="929" customFormat="1" ht="12.75" hidden="1" customHeight="1" outlineLevel="1">
      <c r="A8" s="62">
        <v>6</v>
      </c>
      <c r="B8" s="62">
        <v>122</v>
      </c>
      <c r="C8" s="62">
        <v>10636</v>
      </c>
      <c r="D8" s="62" t="s">
        <v>73</v>
      </c>
      <c r="E8" s="62">
        <v>24.47</v>
      </c>
      <c r="F8" s="941" t="s">
        <v>9</v>
      </c>
      <c r="G8" s="62" t="s">
        <v>27</v>
      </c>
      <c r="H8" s="62" t="s">
        <v>575</v>
      </c>
      <c r="I8" s="91">
        <v>2013763.3</v>
      </c>
      <c r="J8" s="62">
        <v>0</v>
      </c>
      <c r="K8" s="62" t="s">
        <v>583</v>
      </c>
      <c r="L8" s="62" t="s">
        <v>12</v>
      </c>
      <c r="M8" s="942">
        <v>44630</v>
      </c>
      <c r="N8" s="117" t="s">
        <v>11</v>
      </c>
      <c r="O8" s="941" t="s">
        <v>955</v>
      </c>
      <c r="P8" s="76" t="s">
        <v>111</v>
      </c>
      <c r="Q8" s="76" t="s">
        <v>111</v>
      </c>
      <c r="R8" s="892" t="s">
        <v>73</v>
      </c>
      <c r="S8" s="945" t="s">
        <v>73</v>
      </c>
      <c r="T8" s="945" t="s">
        <v>471</v>
      </c>
      <c r="U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2013763.3</v>
      </c>
    </row>
    <row r="9" spans="1:22" s="1228" customFormat="1" ht="18" hidden="1" customHeight="1" outlineLevel="1">
      <c r="A9" s="62">
        <v>7</v>
      </c>
      <c r="B9" s="62">
        <v>45</v>
      </c>
      <c r="C9" s="62">
        <v>19539</v>
      </c>
      <c r="D9" s="62" t="s">
        <v>20</v>
      </c>
      <c r="E9" s="62">
        <v>37.94</v>
      </c>
      <c r="F9" s="941" t="s">
        <v>15</v>
      </c>
      <c r="G9" s="62" t="s">
        <v>27</v>
      </c>
      <c r="H9" s="62" t="s">
        <v>10</v>
      </c>
      <c r="I9" s="95">
        <v>2896835.86</v>
      </c>
      <c r="J9" s="62">
        <v>1</v>
      </c>
      <c r="K9" s="62" t="s">
        <v>130</v>
      </c>
      <c r="L9" s="62" t="s">
        <v>18</v>
      </c>
      <c r="M9" s="1016">
        <v>44629</v>
      </c>
      <c r="N9" s="117" t="s">
        <v>11</v>
      </c>
      <c r="O9" s="62" t="s">
        <v>956</v>
      </c>
      <c r="P9" s="76" t="s">
        <v>111</v>
      </c>
      <c r="Q9" s="76" t="s">
        <v>111</v>
      </c>
      <c r="R9" s="892" t="s">
        <v>20</v>
      </c>
      <c r="S9" s="945" t="s">
        <v>20</v>
      </c>
      <c r="T9" s="945" t="s">
        <v>20</v>
      </c>
      <c r="U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2688165.86</v>
      </c>
    </row>
    <row r="10" spans="1:22" s="929" customFormat="1" hidden="1" outlineLevel="1">
      <c r="A10" s="62">
        <v>8</v>
      </c>
      <c r="B10" s="62">
        <v>76</v>
      </c>
      <c r="C10" s="62">
        <v>19869</v>
      </c>
      <c r="D10" s="62" t="s">
        <v>77</v>
      </c>
      <c r="E10" s="62">
        <v>24.39</v>
      </c>
      <c r="F10" s="941" t="s">
        <v>9</v>
      </c>
      <c r="G10" s="62" t="s">
        <v>27</v>
      </c>
      <c r="H10" s="62" t="s">
        <v>575</v>
      </c>
      <c r="I10" s="95">
        <v>2040783.98</v>
      </c>
      <c r="J10" s="62">
        <v>0</v>
      </c>
      <c r="K10" s="62" t="s">
        <v>583</v>
      </c>
      <c r="L10" s="62" t="s">
        <v>18</v>
      </c>
      <c r="M10" s="1016">
        <v>44630</v>
      </c>
      <c r="N10" s="117" t="s">
        <v>17</v>
      </c>
      <c r="O10" s="62" t="s">
        <v>957</v>
      </c>
      <c r="P10" s="76" t="s">
        <v>111</v>
      </c>
      <c r="Q10" s="76" t="s">
        <v>111</v>
      </c>
      <c r="R10" s="117" t="s">
        <v>77</v>
      </c>
      <c r="S10" s="117" t="s">
        <v>77</v>
      </c>
      <c r="T10" s="117" t="s">
        <v>77</v>
      </c>
      <c r="U1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2040783.98</v>
      </c>
    </row>
    <row r="11" spans="1:22" s="929" customFormat="1" ht="12.75" hidden="1" customHeight="1" outlineLevel="1">
      <c r="A11" s="62">
        <v>9</v>
      </c>
      <c r="B11" s="75">
        <v>80</v>
      </c>
      <c r="C11" s="75">
        <v>19684</v>
      </c>
      <c r="D11" s="62" t="s">
        <v>20</v>
      </c>
      <c r="E11" s="62">
        <v>37.69</v>
      </c>
      <c r="F11" s="941" t="s">
        <v>9</v>
      </c>
      <c r="G11" s="62" t="s">
        <v>27</v>
      </c>
      <c r="H11" s="62" t="s">
        <v>16</v>
      </c>
      <c r="I11" s="95">
        <v>2730828.08</v>
      </c>
      <c r="J11" s="62">
        <v>1</v>
      </c>
      <c r="K11" s="62" t="s">
        <v>583</v>
      </c>
      <c r="L11" s="62" t="s">
        <v>18</v>
      </c>
      <c r="M11" s="92">
        <v>44624</v>
      </c>
      <c r="N11" s="62" t="s">
        <v>17</v>
      </c>
      <c r="O11" s="62" t="s">
        <v>958</v>
      </c>
      <c r="P11" s="76" t="s">
        <v>111</v>
      </c>
      <c r="Q11" s="76" t="s">
        <v>111</v>
      </c>
      <c r="R11" s="62" t="s">
        <v>20</v>
      </c>
      <c r="S11" s="62" t="s">
        <v>77</v>
      </c>
      <c r="T11" s="62" t="s">
        <v>20</v>
      </c>
      <c r="U11" s="946">
        <v>2730828.08</v>
      </c>
    </row>
    <row r="12" spans="1:22" s="929" customFormat="1" hidden="1" outlineLevel="1">
      <c r="A12" s="62">
        <v>10</v>
      </c>
      <c r="B12" s="62">
        <v>626</v>
      </c>
      <c r="C12" s="62">
        <v>19364</v>
      </c>
      <c r="D12" s="62" t="s">
        <v>63</v>
      </c>
      <c r="E12" s="62">
        <v>23.54</v>
      </c>
      <c r="F12" s="62" t="s">
        <v>15</v>
      </c>
      <c r="G12" s="62" t="s">
        <v>27</v>
      </c>
      <c r="H12" s="62" t="s">
        <v>575</v>
      </c>
      <c r="I12" s="95">
        <v>2176071.9700000002</v>
      </c>
      <c r="J12" s="62">
        <v>0</v>
      </c>
      <c r="K12" s="62" t="s">
        <v>583</v>
      </c>
      <c r="L12" s="62" t="s">
        <v>18</v>
      </c>
      <c r="M12" s="92">
        <v>44593</v>
      </c>
      <c r="N12" s="62" t="s">
        <v>17</v>
      </c>
      <c r="O12" s="62" t="s">
        <v>959</v>
      </c>
      <c r="P12" s="76" t="s">
        <v>111</v>
      </c>
      <c r="Q12" s="76" t="s">
        <v>111</v>
      </c>
      <c r="R12" s="76" t="s">
        <v>63</v>
      </c>
      <c r="S12" s="941" t="s">
        <v>63</v>
      </c>
      <c r="T12" s="941" t="s">
        <v>29</v>
      </c>
      <c r="U1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2046601.9700000002</v>
      </c>
      <c r="V12" s="1233"/>
    </row>
    <row r="13" spans="1:22" ht="12.75" hidden="1" customHeight="1" outlineLevel="1">
      <c r="A13" s="62">
        <v>11</v>
      </c>
      <c r="B13" s="62">
        <v>134</v>
      </c>
      <c r="C13" s="62">
        <v>17364</v>
      </c>
      <c r="D13" s="62" t="s">
        <v>63</v>
      </c>
      <c r="E13" s="62">
        <v>37.69</v>
      </c>
      <c r="F13" s="941" t="s">
        <v>15</v>
      </c>
      <c r="G13" s="62" t="s">
        <v>27</v>
      </c>
      <c r="H13" s="62" t="s">
        <v>16</v>
      </c>
      <c r="I13" s="95">
        <v>2938123.08</v>
      </c>
      <c r="J13" s="62">
        <v>1</v>
      </c>
      <c r="K13" s="62" t="s">
        <v>583</v>
      </c>
      <c r="L13" s="62" t="s">
        <v>18</v>
      </c>
      <c r="M13" s="92">
        <v>44622</v>
      </c>
      <c r="N13" s="117" t="s">
        <v>17</v>
      </c>
      <c r="O13" s="62" t="s">
        <v>960</v>
      </c>
      <c r="P13" s="76" t="s">
        <v>111</v>
      </c>
      <c r="Q13" s="76" t="s">
        <v>111</v>
      </c>
      <c r="R13" s="892" t="s">
        <v>63</v>
      </c>
      <c r="S13" s="945" t="s">
        <v>63</v>
      </c>
      <c r="T13" s="945" t="s">
        <v>63</v>
      </c>
      <c r="U1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2730828.08</v>
      </c>
    </row>
    <row r="14" spans="1:22" s="929" customFormat="1" hidden="1" outlineLevel="1">
      <c r="A14" s="62">
        <v>12</v>
      </c>
      <c r="B14" s="62">
        <v>509</v>
      </c>
      <c r="C14" s="62">
        <v>19633</v>
      </c>
      <c r="D14" s="117"/>
      <c r="E14" s="62">
        <v>38.42</v>
      </c>
      <c r="F14" s="945" t="s">
        <v>15</v>
      </c>
      <c r="G14" s="117" t="s">
        <v>27</v>
      </c>
      <c r="H14" s="117" t="s">
        <v>10</v>
      </c>
      <c r="I14" s="95">
        <v>3016374.65</v>
      </c>
      <c r="J14" s="62">
        <v>1</v>
      </c>
      <c r="K14" s="117" t="s">
        <v>130</v>
      </c>
      <c r="L14" s="117" t="s">
        <v>18</v>
      </c>
      <c r="M14" s="92">
        <v>44623</v>
      </c>
      <c r="N14" s="117" t="s">
        <v>11</v>
      </c>
      <c r="O14" s="117" t="s">
        <v>961</v>
      </c>
      <c r="P14" s="76" t="s">
        <v>111</v>
      </c>
      <c r="Q14" s="76" t="s">
        <v>111</v>
      </c>
      <c r="R14" s="892"/>
      <c r="S14" s="945" t="s">
        <v>20</v>
      </c>
      <c r="T14" s="945" t="s">
        <v>29</v>
      </c>
      <c r="U1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2805064.65</v>
      </c>
    </row>
    <row r="15" spans="1:22" s="929" customFormat="1" hidden="1" outlineLevel="1">
      <c r="A15" s="62">
        <v>13</v>
      </c>
      <c r="B15" s="62">
        <v>501</v>
      </c>
      <c r="C15" s="62">
        <v>19589</v>
      </c>
      <c r="D15" s="117"/>
      <c r="E15" s="62">
        <v>37.11</v>
      </c>
      <c r="F15" s="945" t="s">
        <v>9</v>
      </c>
      <c r="G15" s="117" t="s">
        <v>27</v>
      </c>
      <c r="H15" s="117" t="s">
        <v>10</v>
      </c>
      <c r="I15" s="1019">
        <v>2812269.65</v>
      </c>
      <c r="J15" s="62">
        <v>1</v>
      </c>
      <c r="K15" s="117" t="s">
        <v>130</v>
      </c>
      <c r="L15" s="117" t="s">
        <v>18</v>
      </c>
      <c r="M15" s="92">
        <v>44623</v>
      </c>
      <c r="N15" s="117" t="s">
        <v>11</v>
      </c>
      <c r="O15" s="117" t="s">
        <v>961</v>
      </c>
      <c r="P15" s="76" t="s">
        <v>111</v>
      </c>
      <c r="Q15" s="76" t="s">
        <v>111</v>
      </c>
      <c r="R15" s="892"/>
      <c r="S15" s="945" t="s">
        <v>20</v>
      </c>
      <c r="T15" s="945" t="s">
        <v>29</v>
      </c>
      <c r="U1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2812269.65</v>
      </c>
    </row>
    <row r="16" spans="1:22" ht="12.75" hidden="1" customHeight="1" outlineLevel="1">
      <c r="A16" s="62">
        <v>14</v>
      </c>
      <c r="B16" s="62">
        <v>257</v>
      </c>
      <c r="C16" s="62">
        <v>20024</v>
      </c>
      <c r="D16" s="62" t="s">
        <v>29</v>
      </c>
      <c r="E16" s="62">
        <v>37.159999999999997</v>
      </c>
      <c r="F16" s="941" t="s">
        <v>15</v>
      </c>
      <c r="G16" s="62" t="s">
        <v>27</v>
      </c>
      <c r="H16" s="62" t="s">
        <v>16</v>
      </c>
      <c r="I16" s="95">
        <v>3099915.81</v>
      </c>
      <c r="J16" s="62">
        <v>1</v>
      </c>
      <c r="K16" s="62" t="s">
        <v>583</v>
      </c>
      <c r="L16" s="62" t="s">
        <v>18</v>
      </c>
      <c r="M16" s="92">
        <v>44624</v>
      </c>
      <c r="N16" s="117" t="s">
        <v>17</v>
      </c>
      <c r="O16" s="62" t="s">
        <v>962</v>
      </c>
      <c r="P16" s="892" t="s">
        <v>111</v>
      </c>
      <c r="Q16" s="892" t="s">
        <v>111</v>
      </c>
      <c r="R16" s="892"/>
      <c r="S16" s="945"/>
      <c r="T16" s="945" t="s">
        <v>29</v>
      </c>
      <c r="U1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2895535.81</v>
      </c>
    </row>
    <row r="17" spans="1:21" hidden="1" outlineLevel="1">
      <c r="A17" s="62">
        <v>15</v>
      </c>
      <c r="B17" s="62">
        <v>404</v>
      </c>
      <c r="C17" s="62">
        <v>19532</v>
      </c>
      <c r="D17" s="62" t="s">
        <v>29</v>
      </c>
      <c r="E17" s="62">
        <v>25.26</v>
      </c>
      <c r="F17" s="945" t="s">
        <v>9</v>
      </c>
      <c r="G17" s="62" t="s">
        <v>27</v>
      </c>
      <c r="H17" s="62" t="s">
        <v>10</v>
      </c>
      <c r="I17" s="95">
        <v>1901739.09</v>
      </c>
      <c r="J17" s="62">
        <v>0</v>
      </c>
      <c r="K17" s="62" t="s">
        <v>514</v>
      </c>
      <c r="L17" s="62" t="s">
        <v>12</v>
      </c>
      <c r="M17" s="92">
        <v>44634</v>
      </c>
      <c r="N17" s="117" t="s">
        <v>11</v>
      </c>
      <c r="O17" s="62" t="s">
        <v>913</v>
      </c>
      <c r="P17" s="892" t="s">
        <v>111</v>
      </c>
      <c r="Q17" s="892" t="s">
        <v>111</v>
      </c>
      <c r="R17" s="892"/>
      <c r="S17" s="945"/>
      <c r="T17" s="945" t="s">
        <v>29</v>
      </c>
      <c r="U1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1901739.09</v>
      </c>
    </row>
    <row r="18" spans="1:21" ht="12.75" hidden="1" customHeight="1" outlineLevel="1">
      <c r="A18" s="62">
        <v>16</v>
      </c>
      <c r="B18" s="62">
        <v>220</v>
      </c>
      <c r="C18" s="62">
        <v>19532</v>
      </c>
      <c r="D18" s="62" t="s">
        <v>29</v>
      </c>
      <c r="E18" s="62">
        <v>23.63</v>
      </c>
      <c r="F18" s="945" t="s">
        <v>9</v>
      </c>
      <c r="G18" s="62" t="s">
        <v>27</v>
      </c>
      <c r="H18" s="62" t="s">
        <v>10</v>
      </c>
      <c r="I18" s="95">
        <v>1901739.09</v>
      </c>
      <c r="J18" s="62">
        <v>0</v>
      </c>
      <c r="K18" s="62" t="s">
        <v>514</v>
      </c>
      <c r="L18" s="62" t="s">
        <v>12</v>
      </c>
      <c r="M18" s="92">
        <v>44634</v>
      </c>
      <c r="N18" s="117" t="s">
        <v>11</v>
      </c>
      <c r="O18" s="62" t="s">
        <v>913</v>
      </c>
      <c r="P18" s="892" t="s">
        <v>111</v>
      </c>
      <c r="Q18" s="892" t="s">
        <v>111</v>
      </c>
      <c r="R18" s="892"/>
      <c r="S18" s="945"/>
      <c r="T18" s="945" t="s">
        <v>29</v>
      </c>
      <c r="U1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1901739.0900000003</v>
      </c>
    </row>
    <row r="19" spans="1:21" s="929" customFormat="1" ht="12.75" hidden="1" customHeight="1" outlineLevel="1">
      <c r="A19" s="62">
        <v>17</v>
      </c>
      <c r="B19" s="62">
        <v>196</v>
      </c>
      <c r="C19" s="62">
        <v>19899</v>
      </c>
      <c r="D19" s="62" t="s">
        <v>63</v>
      </c>
      <c r="E19" s="62">
        <v>38.22</v>
      </c>
      <c r="F19" s="945" t="s">
        <v>25</v>
      </c>
      <c r="G19" s="62" t="s">
        <v>121</v>
      </c>
      <c r="H19" s="62" t="s">
        <v>84</v>
      </c>
      <c r="I19" s="91">
        <v>4191394.77</v>
      </c>
      <c r="J19" s="62">
        <v>1</v>
      </c>
      <c r="K19" s="62" t="s">
        <v>130</v>
      </c>
      <c r="L19" s="62" t="s">
        <v>18</v>
      </c>
      <c r="M19" s="92">
        <v>44563</v>
      </c>
      <c r="N19" s="117" t="s">
        <v>17</v>
      </c>
      <c r="O19" s="76" t="s">
        <v>963</v>
      </c>
      <c r="P19" s="76" t="s">
        <v>111</v>
      </c>
      <c r="Q19" s="76" t="s">
        <v>111</v>
      </c>
      <c r="R19" s="892" t="s">
        <v>63</v>
      </c>
      <c r="S19" s="945" t="s">
        <v>63</v>
      </c>
      <c r="T19" s="945" t="s">
        <v>63</v>
      </c>
      <c r="U1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3579874.77</v>
      </c>
    </row>
    <row r="20" spans="1:21" ht="12.75" hidden="1" customHeight="1" outlineLevel="1">
      <c r="A20" s="62">
        <v>18</v>
      </c>
      <c r="B20" s="75">
        <v>689</v>
      </c>
      <c r="C20" s="75">
        <v>20025</v>
      </c>
      <c r="D20" s="62" t="s">
        <v>63</v>
      </c>
      <c r="E20" s="62">
        <v>24.39</v>
      </c>
      <c r="F20" s="945" t="s">
        <v>25</v>
      </c>
      <c r="G20" s="62" t="s">
        <v>27</v>
      </c>
      <c r="H20" s="62" t="s">
        <v>84</v>
      </c>
      <c r="I20" s="95">
        <v>2250329.7599999998</v>
      </c>
      <c r="J20" s="62">
        <v>0</v>
      </c>
      <c r="K20" s="62" t="s">
        <v>130</v>
      </c>
      <c r="L20" s="62" t="s">
        <v>18</v>
      </c>
      <c r="M20" s="92"/>
      <c r="N20" s="117" t="s">
        <v>17</v>
      </c>
      <c r="O20" s="62" t="s">
        <v>964</v>
      </c>
      <c r="P20" s="892" t="s">
        <v>111</v>
      </c>
      <c r="Q20" s="892" t="s">
        <v>111</v>
      </c>
      <c r="R20" s="892" t="s">
        <v>63</v>
      </c>
      <c r="S20" s="945" t="s">
        <v>63</v>
      </c>
      <c r="T20" s="945" t="s">
        <v>63</v>
      </c>
      <c r="U2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1860089.7599999998</v>
      </c>
    </row>
    <row r="21" spans="1:21" s="929" customFormat="1" ht="12.75" hidden="1" customHeight="1" outlineLevel="1">
      <c r="A21" s="62">
        <v>19</v>
      </c>
      <c r="B21" s="75">
        <v>92</v>
      </c>
      <c r="C21" s="75">
        <v>20015</v>
      </c>
      <c r="D21" s="62" t="s">
        <v>20</v>
      </c>
      <c r="E21" s="62">
        <v>37.94</v>
      </c>
      <c r="F21" s="117" t="s">
        <v>9</v>
      </c>
      <c r="G21" s="62" t="s">
        <v>27</v>
      </c>
      <c r="H21" s="62" t="s">
        <v>84</v>
      </c>
      <c r="I21" s="95">
        <v>2815042.68</v>
      </c>
      <c r="J21" s="62">
        <v>1</v>
      </c>
      <c r="K21" s="62" t="s">
        <v>130</v>
      </c>
      <c r="L21" s="62" t="s">
        <v>18</v>
      </c>
      <c r="M21" s="92">
        <v>44624</v>
      </c>
      <c r="N21" s="117" t="s">
        <v>17</v>
      </c>
      <c r="O21" s="62" t="s">
        <v>965</v>
      </c>
      <c r="P21" s="76" t="s">
        <v>111</v>
      </c>
      <c r="Q21" s="76" t="s">
        <v>111</v>
      </c>
      <c r="R21" s="892" t="s">
        <v>20</v>
      </c>
      <c r="S21" s="945" t="s">
        <v>20</v>
      </c>
      <c r="T21" s="945" t="s">
        <v>20</v>
      </c>
      <c r="U2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2815042.68</v>
      </c>
    </row>
    <row r="22" spans="1:21" s="929" customFormat="1" ht="14.25" hidden="1" customHeight="1" outlineLevel="1">
      <c r="A22" s="62">
        <v>20</v>
      </c>
      <c r="B22" s="75">
        <v>53</v>
      </c>
      <c r="C22" s="75">
        <v>20011</v>
      </c>
      <c r="D22" s="62" t="s">
        <v>20</v>
      </c>
      <c r="E22" s="62">
        <v>37.69</v>
      </c>
      <c r="F22" s="941" t="s">
        <v>9</v>
      </c>
      <c r="G22" s="62" t="s">
        <v>27</v>
      </c>
      <c r="H22" s="62" t="s">
        <v>16</v>
      </c>
      <c r="I22" s="95">
        <v>2786559.27</v>
      </c>
      <c r="J22" s="62">
        <v>1</v>
      </c>
      <c r="K22" s="62" t="s">
        <v>583</v>
      </c>
      <c r="L22" s="62" t="s">
        <v>18</v>
      </c>
      <c r="M22" s="92">
        <v>44625</v>
      </c>
      <c r="N22" s="117" t="s">
        <v>17</v>
      </c>
      <c r="O22" s="62" t="s">
        <v>966</v>
      </c>
      <c r="P22" s="76" t="s">
        <v>111</v>
      </c>
      <c r="Q22" s="76" t="s">
        <v>111</v>
      </c>
      <c r="R22" s="892" t="s">
        <v>20</v>
      </c>
      <c r="S22" s="945" t="s">
        <v>20</v>
      </c>
      <c r="T22" s="945" t="s">
        <v>20</v>
      </c>
      <c r="U2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2786559.27</v>
      </c>
    </row>
    <row r="23" spans="1:21" s="929" customFormat="1" ht="12.75" hidden="1" customHeight="1" outlineLevel="1">
      <c r="A23" s="62">
        <v>21</v>
      </c>
      <c r="B23" s="75">
        <v>28</v>
      </c>
      <c r="C23" s="75">
        <v>19993</v>
      </c>
      <c r="D23" s="62" t="s">
        <v>20</v>
      </c>
      <c r="E23" s="62">
        <v>82.71</v>
      </c>
      <c r="F23" s="941" t="s">
        <v>9</v>
      </c>
      <c r="G23" s="62" t="s">
        <v>27</v>
      </c>
      <c r="H23" s="62" t="s">
        <v>16</v>
      </c>
      <c r="I23" s="1021">
        <v>5119500.4000000004</v>
      </c>
      <c r="J23" s="62">
        <v>3</v>
      </c>
      <c r="K23" s="62" t="s">
        <v>583</v>
      </c>
      <c r="L23" s="62" t="s">
        <v>18</v>
      </c>
      <c r="M23" s="92">
        <v>44630</v>
      </c>
      <c r="N23" s="117" t="s">
        <v>17</v>
      </c>
      <c r="O23" s="62" t="s">
        <v>967</v>
      </c>
      <c r="P23" s="76" t="s">
        <v>111</v>
      </c>
      <c r="Q23" s="76" t="s">
        <v>111</v>
      </c>
      <c r="R23" s="892" t="s">
        <v>20</v>
      </c>
      <c r="S23" s="945" t="s">
        <v>20</v>
      </c>
      <c r="T23" s="945" t="s">
        <v>20</v>
      </c>
      <c r="U2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5119500.4000000004</v>
      </c>
    </row>
    <row r="24" spans="1:21" s="929" customFormat="1" hidden="1" outlineLevel="1">
      <c r="A24" s="62">
        <v>22</v>
      </c>
      <c r="B24" s="75">
        <v>409</v>
      </c>
      <c r="C24" s="75">
        <v>20010</v>
      </c>
      <c r="D24" s="62" t="s">
        <v>471</v>
      </c>
      <c r="E24" s="62">
        <v>37.159999999999997</v>
      </c>
      <c r="F24" s="941" t="s">
        <v>15</v>
      </c>
      <c r="G24" s="62" t="s">
        <v>27</v>
      </c>
      <c r="H24" s="62" t="s">
        <v>10</v>
      </c>
      <c r="I24" s="95">
        <v>3099915.81</v>
      </c>
      <c r="J24" s="62">
        <v>1</v>
      </c>
      <c r="K24" s="62" t="s">
        <v>130</v>
      </c>
      <c r="L24" s="62" t="s">
        <v>18</v>
      </c>
      <c r="M24" s="92"/>
      <c r="N24" s="117" t="s">
        <v>11</v>
      </c>
      <c r="O24" s="62" t="s">
        <v>968</v>
      </c>
      <c r="P24" s="76" t="s">
        <v>111</v>
      </c>
      <c r="Q24" s="76" t="s">
        <v>111</v>
      </c>
      <c r="R24" s="892" t="s">
        <v>471</v>
      </c>
      <c r="S24" s="945" t="s">
        <v>77</v>
      </c>
      <c r="T24" s="945" t="s">
        <v>471</v>
      </c>
      <c r="U2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2895535.81</v>
      </c>
    </row>
    <row r="25" spans="1:21" s="929" customFormat="1" ht="12.75" hidden="1" customHeight="1" outlineLevel="1">
      <c r="A25" s="62">
        <v>23</v>
      </c>
      <c r="B25" s="62">
        <v>630</v>
      </c>
      <c r="C25" s="75">
        <v>1878</v>
      </c>
      <c r="D25" s="62" t="s">
        <v>471</v>
      </c>
      <c r="E25" s="62">
        <v>59.93</v>
      </c>
      <c r="F25" s="941" t="s">
        <v>15</v>
      </c>
      <c r="G25" s="62" t="s">
        <v>27</v>
      </c>
      <c r="H25" s="62" t="s">
        <v>575</v>
      </c>
      <c r="I25" s="91">
        <v>4447193.75</v>
      </c>
      <c r="J25" s="62">
        <v>2</v>
      </c>
      <c r="K25" s="62" t="s">
        <v>65</v>
      </c>
      <c r="L25" s="62" t="s">
        <v>18</v>
      </c>
      <c r="M25" s="1231"/>
      <c r="N25" s="117" t="s">
        <v>17</v>
      </c>
      <c r="O25" s="62" t="s">
        <v>969</v>
      </c>
      <c r="P25" s="76" t="s">
        <v>111</v>
      </c>
      <c r="Q25" s="76" t="s">
        <v>111</v>
      </c>
      <c r="R25" s="892" t="s">
        <v>471</v>
      </c>
      <c r="S25" s="945" t="s">
        <v>471</v>
      </c>
      <c r="T25" s="945" t="s">
        <v>471</v>
      </c>
      <c r="U2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4117578.75</v>
      </c>
    </row>
    <row r="26" spans="1:21" ht="12.75" hidden="1" customHeight="1" outlineLevel="1">
      <c r="A26" s="62">
        <v>24</v>
      </c>
      <c r="B26" s="75">
        <v>364</v>
      </c>
      <c r="C26" s="75">
        <v>19247</v>
      </c>
      <c r="D26" s="62" t="s">
        <v>471</v>
      </c>
      <c r="E26" s="62">
        <v>23.63</v>
      </c>
      <c r="F26" s="941" t="s">
        <v>15</v>
      </c>
      <c r="G26" s="62" t="s">
        <v>27</v>
      </c>
      <c r="H26" s="62" t="s">
        <v>10</v>
      </c>
      <c r="I26" s="95">
        <v>2494333.41</v>
      </c>
      <c r="J26" s="62">
        <v>0</v>
      </c>
      <c r="K26" s="62" t="s">
        <v>130</v>
      </c>
      <c r="L26" s="62" t="s">
        <v>12</v>
      </c>
      <c r="M26" s="92"/>
      <c r="N26" s="117" t="s">
        <v>17</v>
      </c>
      <c r="O26" s="62" t="s">
        <v>970</v>
      </c>
      <c r="P26" s="76" t="s">
        <v>111</v>
      </c>
      <c r="Q26" s="76" t="s">
        <v>111</v>
      </c>
      <c r="R26" s="892" t="s">
        <v>471</v>
      </c>
      <c r="S26" s="945" t="s">
        <v>471</v>
      </c>
      <c r="T26" s="945" t="s">
        <v>471</v>
      </c>
      <c r="U2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2364368.41</v>
      </c>
    </row>
    <row r="27" spans="1:21" s="929" customFormat="1" ht="12.75" hidden="1" customHeight="1" outlineLevel="1">
      <c r="A27" s="62">
        <v>25</v>
      </c>
      <c r="B27" s="75">
        <v>545</v>
      </c>
      <c r="C27" s="75">
        <v>2003</v>
      </c>
      <c r="D27" s="62"/>
      <c r="E27" s="62">
        <v>37.159999999999997</v>
      </c>
      <c r="F27" s="117" t="s">
        <v>9</v>
      </c>
      <c r="G27" s="62" t="s">
        <v>27</v>
      </c>
      <c r="H27" s="62" t="s">
        <v>16</v>
      </c>
      <c r="I27" s="95">
        <v>2816058.75</v>
      </c>
      <c r="J27" s="62">
        <v>1</v>
      </c>
      <c r="K27" s="62" t="s">
        <v>583</v>
      </c>
      <c r="L27" s="62" t="s">
        <v>18</v>
      </c>
      <c r="M27" s="92">
        <v>44627</v>
      </c>
      <c r="N27" s="117" t="s">
        <v>17</v>
      </c>
      <c r="O27" s="62" t="s">
        <v>971</v>
      </c>
      <c r="P27" s="76" t="s">
        <v>111</v>
      </c>
      <c r="Q27" s="892" t="s">
        <v>111</v>
      </c>
      <c r="R27" s="892"/>
      <c r="S27" s="945" t="s">
        <v>471</v>
      </c>
      <c r="T27" s="945" t="s">
        <v>471</v>
      </c>
      <c r="U2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2816058.75</v>
      </c>
    </row>
    <row r="28" spans="1:21" s="929" customFormat="1" ht="12.75" hidden="1" customHeight="1" outlineLevel="1">
      <c r="A28" s="62">
        <v>26</v>
      </c>
      <c r="B28" s="75">
        <v>230</v>
      </c>
      <c r="C28" s="75">
        <v>19800</v>
      </c>
      <c r="D28" s="62" t="s">
        <v>73</v>
      </c>
      <c r="E28" s="62">
        <v>59.93</v>
      </c>
      <c r="F28" s="941" t="s">
        <v>15</v>
      </c>
      <c r="G28" s="62" t="s">
        <v>27</v>
      </c>
      <c r="H28" s="62" t="s">
        <v>16</v>
      </c>
      <c r="I28" s="95">
        <v>4592188.99</v>
      </c>
      <c r="J28" s="62">
        <v>2</v>
      </c>
      <c r="K28" s="62" t="s">
        <v>583</v>
      </c>
      <c r="L28" s="62" t="s">
        <v>18</v>
      </c>
      <c r="M28" s="92">
        <v>44624</v>
      </c>
      <c r="N28" s="117" t="s">
        <v>17</v>
      </c>
      <c r="O28" s="941" t="s">
        <v>972</v>
      </c>
      <c r="P28" s="76" t="s">
        <v>111</v>
      </c>
      <c r="Q28" s="892" t="s">
        <v>111</v>
      </c>
      <c r="R28" s="892" t="s">
        <v>73</v>
      </c>
      <c r="S28" s="945" t="s">
        <v>471</v>
      </c>
      <c r="T28" s="945" t="s">
        <v>471</v>
      </c>
      <c r="U2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4262573.99</v>
      </c>
    </row>
    <row r="29" spans="1:21" s="929" customFormat="1" ht="12.75" hidden="1" customHeight="1" outlineLevel="1">
      <c r="A29" s="62">
        <v>27</v>
      </c>
      <c r="B29" s="62">
        <v>283</v>
      </c>
      <c r="C29" s="75">
        <v>20122</v>
      </c>
      <c r="D29" s="62" t="s">
        <v>471</v>
      </c>
      <c r="E29" s="62">
        <v>38.83</v>
      </c>
      <c r="F29" s="941" t="s">
        <v>15</v>
      </c>
      <c r="G29" s="62" t="s">
        <v>121</v>
      </c>
      <c r="H29" s="62" t="s">
        <v>575</v>
      </c>
      <c r="I29" s="95">
        <v>3850575.4</v>
      </c>
      <c r="J29" s="62">
        <v>1</v>
      </c>
      <c r="K29" s="62" t="s">
        <v>583</v>
      </c>
      <c r="L29" s="62" t="s">
        <v>18</v>
      </c>
      <c r="M29" s="942">
        <v>44623</v>
      </c>
      <c r="N29" s="117" t="s">
        <v>17</v>
      </c>
      <c r="O29" s="941" t="s">
        <v>973</v>
      </c>
      <c r="P29" s="941" t="s">
        <v>111</v>
      </c>
      <c r="Q29" s="941" t="s">
        <v>111</v>
      </c>
      <c r="R29" s="892" t="s">
        <v>471</v>
      </c>
      <c r="S29" s="945" t="s">
        <v>471</v>
      </c>
      <c r="T29" s="945" t="s">
        <v>471</v>
      </c>
      <c r="U2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3637010.4</v>
      </c>
    </row>
    <row r="30" spans="1:21" s="929" customFormat="1" ht="12.75" hidden="1" customHeight="1" outlineLevel="1">
      <c r="A30" s="62">
        <v>28</v>
      </c>
      <c r="B30" s="75">
        <v>71</v>
      </c>
      <c r="C30" s="75">
        <v>19992</v>
      </c>
      <c r="D30" s="62"/>
      <c r="E30" s="62">
        <v>37.69</v>
      </c>
      <c r="F30" s="76" t="s">
        <v>15</v>
      </c>
      <c r="G30" s="62" t="s">
        <v>27</v>
      </c>
      <c r="H30" s="62" t="s">
        <v>16</v>
      </c>
      <c r="I30" s="91">
        <v>2993854.27</v>
      </c>
      <c r="J30" s="62">
        <v>1</v>
      </c>
      <c r="K30" s="62" t="s">
        <v>583</v>
      </c>
      <c r="L30" s="62" t="s">
        <v>18</v>
      </c>
      <c r="M30" s="537">
        <v>44624</v>
      </c>
      <c r="N30" s="117" t="s">
        <v>17</v>
      </c>
      <c r="O30" s="76" t="s">
        <v>974</v>
      </c>
      <c r="P30" s="76" t="s">
        <v>111</v>
      </c>
      <c r="Q30" s="892" t="s">
        <v>111</v>
      </c>
      <c r="R30" s="892"/>
      <c r="S30" s="945" t="s">
        <v>471</v>
      </c>
      <c r="T30" s="945" t="s">
        <v>63</v>
      </c>
      <c r="U3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2786559.27</v>
      </c>
    </row>
    <row r="31" spans="1:21" s="929" customFormat="1" ht="12.75" hidden="1" customHeight="1" outlineLevel="1">
      <c r="A31" s="62">
        <v>29</v>
      </c>
      <c r="B31" s="75">
        <v>477</v>
      </c>
      <c r="C31" s="75">
        <v>20121</v>
      </c>
      <c r="D31" s="62" t="s">
        <v>471</v>
      </c>
      <c r="E31" s="62">
        <v>37.11</v>
      </c>
      <c r="F31" s="941" t="s">
        <v>15</v>
      </c>
      <c r="G31" s="62" t="s">
        <v>27</v>
      </c>
      <c r="H31" s="62" t="s">
        <v>16</v>
      </c>
      <c r="I31" s="95">
        <v>3166407.78</v>
      </c>
      <c r="J31" s="62">
        <v>1</v>
      </c>
      <c r="K31" s="62" t="s">
        <v>583</v>
      </c>
      <c r="L31" s="62" t="s">
        <v>18</v>
      </c>
      <c r="M31" s="92">
        <v>44627</v>
      </c>
      <c r="N31" s="62" t="s">
        <v>17</v>
      </c>
      <c r="O31" s="62" t="s">
        <v>975</v>
      </c>
      <c r="P31" s="76" t="s">
        <v>111</v>
      </c>
      <c r="Q31" s="76" t="s">
        <v>111</v>
      </c>
      <c r="R31" s="892" t="s">
        <v>471</v>
      </c>
      <c r="S31" s="892" t="s">
        <v>471</v>
      </c>
      <c r="T31" s="892" t="s">
        <v>471</v>
      </c>
      <c r="U3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2962302.78</v>
      </c>
    </row>
    <row r="32" spans="1:21" s="929" customFormat="1" ht="12.75" hidden="1" customHeight="1" outlineLevel="1">
      <c r="A32" s="62">
        <v>30</v>
      </c>
      <c r="B32" s="75">
        <v>35</v>
      </c>
      <c r="C32" s="75">
        <v>20005</v>
      </c>
      <c r="D32" s="62" t="s">
        <v>20</v>
      </c>
      <c r="E32" s="62">
        <v>37.69</v>
      </c>
      <c r="F32" s="941" t="s">
        <v>9</v>
      </c>
      <c r="G32" s="62" t="s">
        <v>27</v>
      </c>
      <c r="H32" s="62" t="s">
        <v>10</v>
      </c>
      <c r="I32" s="95">
        <v>2786559.27</v>
      </c>
      <c r="J32" s="62">
        <v>1</v>
      </c>
      <c r="K32" s="62" t="s">
        <v>130</v>
      </c>
      <c r="L32" s="62" t="s">
        <v>18</v>
      </c>
      <c r="M32" s="92">
        <v>44632</v>
      </c>
      <c r="N32" s="117" t="s">
        <v>17</v>
      </c>
      <c r="O32" s="62" t="s">
        <v>976</v>
      </c>
      <c r="P32" s="76" t="s">
        <v>111</v>
      </c>
      <c r="Q32" s="76" t="s">
        <v>111</v>
      </c>
      <c r="R32" s="892" t="s">
        <v>20</v>
      </c>
      <c r="S32" s="945" t="s">
        <v>20</v>
      </c>
      <c r="T32" s="945" t="s">
        <v>20</v>
      </c>
      <c r="U3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2786559.27</v>
      </c>
    </row>
    <row r="33" spans="1:21" s="929" customFormat="1" ht="12.75" hidden="1" customHeight="1" outlineLevel="1">
      <c r="A33" s="62">
        <v>31</v>
      </c>
      <c r="B33" s="75">
        <v>137</v>
      </c>
      <c r="C33" s="75">
        <v>19780</v>
      </c>
      <c r="D33" s="62" t="s">
        <v>20</v>
      </c>
      <c r="E33" s="62">
        <v>37.94</v>
      </c>
      <c r="F33" s="941" t="s">
        <v>15</v>
      </c>
      <c r="G33" s="62" t="s">
        <v>27</v>
      </c>
      <c r="H33" s="62" t="s">
        <v>575</v>
      </c>
      <c r="I33" s="95">
        <v>3164773.83</v>
      </c>
      <c r="J33" s="62">
        <v>1</v>
      </c>
      <c r="K33" s="62" t="s">
        <v>583</v>
      </c>
      <c r="L33" s="62" t="s">
        <v>18</v>
      </c>
      <c r="M33" s="92">
        <v>44624</v>
      </c>
      <c r="N33" s="117" t="s">
        <v>17</v>
      </c>
      <c r="O33" s="62" t="s">
        <v>977</v>
      </c>
      <c r="P33" s="76" t="s">
        <v>111</v>
      </c>
      <c r="Q33" s="76" t="s">
        <v>111</v>
      </c>
      <c r="R33" s="892" t="s">
        <v>20</v>
      </c>
      <c r="S33" s="892" t="s">
        <v>20</v>
      </c>
      <c r="T33" s="892" t="s">
        <v>20</v>
      </c>
      <c r="U3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2956103.83</v>
      </c>
    </row>
    <row r="34" spans="1:21" ht="12.75" hidden="1" customHeight="1" outlineLevel="1">
      <c r="A34" s="62">
        <v>32</v>
      </c>
      <c r="B34" s="75">
        <v>513</v>
      </c>
      <c r="C34" s="75">
        <v>16304</v>
      </c>
      <c r="D34" s="62" t="s">
        <v>20</v>
      </c>
      <c r="E34" s="62">
        <v>37.159999999999997</v>
      </c>
      <c r="F34" s="941" t="s">
        <v>9</v>
      </c>
      <c r="G34" s="62" t="s">
        <v>27</v>
      </c>
      <c r="H34" s="62" t="s">
        <v>16</v>
      </c>
      <c r="I34" s="95">
        <v>2820851.45</v>
      </c>
      <c r="J34" s="62">
        <v>1</v>
      </c>
      <c r="K34" s="62" t="s">
        <v>583</v>
      </c>
      <c r="L34" s="62" t="s">
        <v>18</v>
      </c>
      <c r="M34" s="92">
        <v>44634</v>
      </c>
      <c r="N34" s="117" t="s">
        <v>17</v>
      </c>
      <c r="O34" s="62" t="s">
        <v>978</v>
      </c>
      <c r="P34" s="76" t="s">
        <v>111</v>
      </c>
      <c r="Q34" s="76" t="s">
        <v>111</v>
      </c>
      <c r="R34" s="892" t="s">
        <v>20</v>
      </c>
      <c r="S34" s="892" t="s">
        <v>20</v>
      </c>
      <c r="T34" s="892" t="s">
        <v>20</v>
      </c>
      <c r="U3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2820851.45</v>
      </c>
    </row>
    <row r="35" spans="1:21" s="929" customFormat="1" ht="12.75" hidden="1" customHeight="1" outlineLevel="1">
      <c r="A35" s="62">
        <v>33</v>
      </c>
      <c r="B35" s="75">
        <v>441</v>
      </c>
      <c r="C35" s="75">
        <v>19486</v>
      </c>
      <c r="D35" s="62" t="s">
        <v>20</v>
      </c>
      <c r="E35" s="62">
        <v>37.159999999999997</v>
      </c>
      <c r="F35" s="941" t="s">
        <v>25</v>
      </c>
      <c r="G35" s="62" t="s">
        <v>27</v>
      </c>
      <c r="H35" s="62" t="s">
        <v>16</v>
      </c>
      <c r="I35" s="352">
        <v>3490574.43</v>
      </c>
      <c r="J35" s="62">
        <v>1</v>
      </c>
      <c r="K35" s="62" t="s">
        <v>583</v>
      </c>
      <c r="L35" s="62" t="s">
        <v>18</v>
      </c>
      <c r="M35" s="539">
        <v>44630</v>
      </c>
      <c r="N35" s="117" t="s">
        <v>17</v>
      </c>
      <c r="O35" s="62" t="s">
        <v>979</v>
      </c>
      <c r="P35" s="76" t="s">
        <v>111</v>
      </c>
      <c r="Q35" s="76" t="s">
        <v>111</v>
      </c>
      <c r="R35" s="892" t="s">
        <v>20</v>
      </c>
      <c r="S35" s="945" t="s">
        <v>20</v>
      </c>
      <c r="T35" s="945" t="s">
        <v>20</v>
      </c>
      <c r="U3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2896014.43</v>
      </c>
    </row>
    <row r="36" spans="1:21" s="929" customFormat="1" ht="18" hidden="1" customHeight="1" outlineLevel="1">
      <c r="A36" s="62">
        <v>34</v>
      </c>
      <c r="B36" s="75">
        <v>446</v>
      </c>
      <c r="C36" s="75">
        <v>19878</v>
      </c>
      <c r="D36" s="62" t="s">
        <v>63</v>
      </c>
      <c r="E36" s="62">
        <v>59.93</v>
      </c>
      <c r="F36" s="941" t="s">
        <v>15</v>
      </c>
      <c r="G36" s="62" t="s">
        <v>27</v>
      </c>
      <c r="H36" s="62" t="s">
        <v>575</v>
      </c>
      <c r="I36" s="881">
        <v>4667742.1399999997</v>
      </c>
      <c r="J36" s="62">
        <v>2</v>
      </c>
      <c r="K36" s="62" t="s">
        <v>583</v>
      </c>
      <c r="L36" s="62" t="s">
        <v>18</v>
      </c>
      <c r="M36" s="1231">
        <v>44629</v>
      </c>
      <c r="N36" s="117" t="s">
        <v>17</v>
      </c>
      <c r="O36" s="76" t="s">
        <v>980</v>
      </c>
      <c r="P36" s="76" t="s">
        <v>111</v>
      </c>
      <c r="Q36" s="76" t="s">
        <v>111</v>
      </c>
      <c r="R36" s="892" t="s">
        <v>63</v>
      </c>
      <c r="S36" s="945" t="s">
        <v>63</v>
      </c>
      <c r="T36" s="945" t="s">
        <v>63</v>
      </c>
      <c r="U3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4338127.1399999997</v>
      </c>
    </row>
    <row r="37" spans="1:21" ht="12.75" hidden="1" customHeight="1" outlineLevel="1">
      <c r="A37" s="62">
        <v>35</v>
      </c>
      <c r="B37" s="75">
        <v>36</v>
      </c>
      <c r="C37" s="75">
        <v>15241</v>
      </c>
      <c r="D37" s="62" t="s">
        <v>77</v>
      </c>
      <c r="E37" s="62">
        <v>37.94</v>
      </c>
      <c r="F37" s="1007" t="s">
        <v>9</v>
      </c>
      <c r="G37" s="62" t="s">
        <v>27</v>
      </c>
      <c r="H37" s="62" t="s">
        <v>10</v>
      </c>
      <c r="I37" s="352">
        <v>2688165.86</v>
      </c>
      <c r="J37" s="62">
        <v>1</v>
      </c>
      <c r="K37" s="62" t="s">
        <v>130</v>
      </c>
      <c r="L37" s="62" t="s">
        <v>18</v>
      </c>
      <c r="M37" s="92"/>
      <c r="N37" s="117" t="s">
        <v>11</v>
      </c>
      <c r="O37" s="348" t="s">
        <v>981</v>
      </c>
      <c r="P37" s="76" t="s">
        <v>111</v>
      </c>
      <c r="Q37" s="76" t="s">
        <v>111</v>
      </c>
      <c r="R37" s="892" t="s">
        <v>77</v>
      </c>
      <c r="S37" s="892" t="s">
        <v>20</v>
      </c>
      <c r="T37" s="892" t="s">
        <v>77</v>
      </c>
      <c r="U3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2688165.86</v>
      </c>
    </row>
    <row r="38" spans="1:21" s="929" customFormat="1" ht="12.75" hidden="1" customHeight="1" outlineLevel="1">
      <c r="A38" s="62">
        <v>36</v>
      </c>
      <c r="B38" s="75">
        <v>833</v>
      </c>
      <c r="C38" s="75">
        <v>20156</v>
      </c>
      <c r="D38" s="62" t="s">
        <v>20</v>
      </c>
      <c r="E38" s="62">
        <v>37.31</v>
      </c>
      <c r="F38" s="1007" t="s">
        <v>9</v>
      </c>
      <c r="G38" s="62" t="s">
        <v>27</v>
      </c>
      <c r="H38" s="62" t="s">
        <v>16</v>
      </c>
      <c r="I38" s="352">
        <v>3006117.44</v>
      </c>
      <c r="J38" s="62">
        <v>1</v>
      </c>
      <c r="K38" s="62" t="s">
        <v>583</v>
      </c>
      <c r="L38" s="62" t="s">
        <v>18</v>
      </c>
      <c r="M38" s="539">
        <v>44630</v>
      </c>
      <c r="N38" s="117" t="s">
        <v>17</v>
      </c>
      <c r="O38" s="941" t="s">
        <v>982</v>
      </c>
      <c r="P38" s="76" t="s">
        <v>111</v>
      </c>
      <c r="Q38" s="76" t="s">
        <v>111</v>
      </c>
      <c r="R38" s="892" t="s">
        <v>20</v>
      </c>
      <c r="S38" s="945" t="s">
        <v>20</v>
      </c>
      <c r="T38" s="945" t="s">
        <v>77</v>
      </c>
      <c r="U3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3006117.44</v>
      </c>
    </row>
    <row r="39" spans="1:21" s="929" customFormat="1" ht="12.75" hidden="1" customHeight="1" outlineLevel="1">
      <c r="A39" s="62">
        <v>37</v>
      </c>
      <c r="B39" s="62">
        <v>433</v>
      </c>
      <c r="C39" s="75">
        <v>19679</v>
      </c>
      <c r="D39" s="62" t="s">
        <v>20</v>
      </c>
      <c r="E39" s="62">
        <v>37.159999999999997</v>
      </c>
      <c r="F39" s="1007" t="s">
        <v>15</v>
      </c>
      <c r="G39" s="62" t="s">
        <v>27</v>
      </c>
      <c r="H39" s="62" t="s">
        <v>575</v>
      </c>
      <c r="I39" s="352">
        <v>2951754.43</v>
      </c>
      <c r="J39" s="62">
        <v>1</v>
      </c>
      <c r="K39" s="62" t="s">
        <v>583</v>
      </c>
      <c r="L39" s="62" t="s">
        <v>18</v>
      </c>
      <c r="M39" s="1232">
        <v>44631</v>
      </c>
      <c r="N39" s="117" t="s">
        <v>17</v>
      </c>
      <c r="O39" s="1007" t="s">
        <v>983</v>
      </c>
      <c r="P39" s="76" t="s">
        <v>111</v>
      </c>
      <c r="Q39" s="76" t="s">
        <v>111</v>
      </c>
      <c r="R39" s="892" t="s">
        <v>20</v>
      </c>
      <c r="S39" s="945" t="s">
        <v>20</v>
      </c>
      <c r="T39" s="945" t="s">
        <v>20</v>
      </c>
      <c r="U3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2747374.43</v>
      </c>
    </row>
    <row r="40" spans="1:21" s="929" customFormat="1" ht="12.75" hidden="1" customHeight="1" outlineLevel="1">
      <c r="A40" s="62">
        <v>38</v>
      </c>
      <c r="B40" s="75">
        <v>401</v>
      </c>
      <c r="C40" s="75">
        <v>20090</v>
      </c>
      <c r="D40" s="62" t="s">
        <v>471</v>
      </c>
      <c r="E40" s="62">
        <v>37.159999999999997</v>
      </c>
      <c r="F40" s="866" t="s">
        <v>15</v>
      </c>
      <c r="G40" s="62" t="s">
        <v>27</v>
      </c>
      <c r="H40" s="62" t="s">
        <v>575</v>
      </c>
      <c r="I40" s="881">
        <v>3383895.13</v>
      </c>
      <c r="J40" s="62">
        <v>1</v>
      </c>
      <c r="K40" s="62" t="s">
        <v>583</v>
      </c>
      <c r="L40" s="62" t="s">
        <v>18</v>
      </c>
      <c r="M40" s="1231">
        <v>44635</v>
      </c>
      <c r="N40" s="117" t="s">
        <v>17</v>
      </c>
      <c r="O40" s="866" t="s">
        <v>984</v>
      </c>
      <c r="P40" s="76" t="s">
        <v>111</v>
      </c>
      <c r="Q40" s="76" t="s">
        <v>111</v>
      </c>
      <c r="R40" s="892" t="s">
        <v>471</v>
      </c>
      <c r="S40" s="892" t="s">
        <v>471</v>
      </c>
      <c r="T40" s="892" t="s">
        <v>471</v>
      </c>
      <c r="U4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3179515.13</v>
      </c>
    </row>
    <row r="41" spans="1:21" ht="12.75" hidden="1" customHeight="1" outlineLevel="1">
      <c r="A41" s="62">
        <v>39</v>
      </c>
      <c r="B41" s="75">
        <v>251</v>
      </c>
      <c r="C41" s="75">
        <v>19976</v>
      </c>
      <c r="D41" s="62" t="s">
        <v>20</v>
      </c>
      <c r="E41" s="62">
        <v>38.22</v>
      </c>
      <c r="F41" s="866" t="s">
        <v>15</v>
      </c>
      <c r="G41" s="62" t="s">
        <v>121</v>
      </c>
      <c r="H41" s="62" t="s">
        <v>575</v>
      </c>
      <c r="I41" s="881">
        <v>3969078.59</v>
      </c>
      <c r="J41" s="62">
        <v>1</v>
      </c>
      <c r="K41" s="117" t="s">
        <v>583</v>
      </c>
      <c r="L41" s="62" t="s">
        <v>18</v>
      </c>
      <c r="M41" s="1231">
        <v>44634</v>
      </c>
      <c r="N41" s="62" t="s">
        <v>17</v>
      </c>
      <c r="O41" s="1230" t="s">
        <v>985</v>
      </c>
      <c r="P41" s="76" t="s">
        <v>111</v>
      </c>
      <c r="Q41" s="76" t="s">
        <v>111</v>
      </c>
      <c r="R41" s="892" t="s">
        <v>20</v>
      </c>
      <c r="S41" s="892" t="s">
        <v>63</v>
      </c>
      <c r="T41" s="892" t="s">
        <v>20</v>
      </c>
      <c r="U4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3758868.59</v>
      </c>
    </row>
    <row r="42" spans="1:21" s="929" customFormat="1" ht="12.75" hidden="1" customHeight="1" outlineLevel="1">
      <c r="A42" s="62">
        <v>40</v>
      </c>
      <c r="B42" s="75">
        <v>571</v>
      </c>
      <c r="C42" s="75">
        <v>19511</v>
      </c>
      <c r="D42" s="117" t="s">
        <v>20</v>
      </c>
      <c r="E42" s="62">
        <v>40</v>
      </c>
      <c r="F42" s="1230" t="s">
        <v>9</v>
      </c>
      <c r="G42" s="117" t="s">
        <v>27</v>
      </c>
      <c r="H42" s="117" t="s">
        <v>16</v>
      </c>
      <c r="I42" s="881">
        <v>2777440.74</v>
      </c>
      <c r="J42" s="62">
        <v>1</v>
      </c>
      <c r="K42" s="117" t="s">
        <v>583</v>
      </c>
      <c r="L42" s="117" t="s">
        <v>18</v>
      </c>
      <c r="M42" s="1231">
        <v>44636</v>
      </c>
      <c r="N42" s="117" t="s">
        <v>17</v>
      </c>
      <c r="O42" s="1230" t="s">
        <v>986</v>
      </c>
      <c r="P42" s="76" t="s">
        <v>111</v>
      </c>
      <c r="Q42" s="76" t="s">
        <v>111</v>
      </c>
      <c r="R42" s="892" t="s">
        <v>20</v>
      </c>
      <c r="S42" s="892" t="s">
        <v>20</v>
      </c>
      <c r="T42" s="892" t="s">
        <v>20</v>
      </c>
      <c r="U4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2777440.74</v>
      </c>
    </row>
    <row r="43" spans="1:21" hidden="1" outlineLevel="1">
      <c r="A43" s="62">
        <v>41</v>
      </c>
      <c r="B43" s="75">
        <v>811</v>
      </c>
      <c r="C43" s="75">
        <v>20046</v>
      </c>
      <c r="D43" s="62" t="s">
        <v>77</v>
      </c>
      <c r="E43" s="62">
        <v>61.96</v>
      </c>
      <c r="F43" s="941" t="s">
        <v>9</v>
      </c>
      <c r="G43" s="62" t="s">
        <v>27</v>
      </c>
      <c r="H43" s="62" t="s">
        <v>16</v>
      </c>
      <c r="I43" s="352">
        <v>5129090.3099999996</v>
      </c>
      <c r="J43" s="62">
        <v>2</v>
      </c>
      <c r="K43" s="62" t="s">
        <v>583</v>
      </c>
      <c r="L43" s="62" t="s">
        <v>18</v>
      </c>
      <c r="M43" s="92">
        <v>44630</v>
      </c>
      <c r="N43" s="117" t="s">
        <v>17</v>
      </c>
      <c r="O43" s="62" t="s">
        <v>987</v>
      </c>
      <c r="P43" s="76" t="s">
        <v>111</v>
      </c>
      <c r="Q43" s="76" t="s">
        <v>111</v>
      </c>
      <c r="R43" s="892" t="s">
        <v>77</v>
      </c>
      <c r="S43" s="892" t="s">
        <v>77</v>
      </c>
      <c r="T43" s="892" t="s">
        <v>77</v>
      </c>
      <c r="U4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5129090.3099999996</v>
      </c>
    </row>
    <row r="44" spans="1:21" hidden="1" outlineLevel="1">
      <c r="A44" s="62">
        <v>42</v>
      </c>
      <c r="B44" s="75">
        <v>593</v>
      </c>
      <c r="C44" s="75">
        <v>20226</v>
      </c>
      <c r="D44" s="62" t="s">
        <v>73</v>
      </c>
      <c r="E44" s="62">
        <v>37.159999999999997</v>
      </c>
      <c r="F44" s="941" t="s">
        <v>9</v>
      </c>
      <c r="G44" s="62" t="s">
        <v>27</v>
      </c>
      <c r="H44" s="62" t="s">
        <v>16</v>
      </c>
      <c r="I44" s="352">
        <v>3201594.49</v>
      </c>
      <c r="J44" s="62">
        <v>1</v>
      </c>
      <c r="K44" s="62" t="s">
        <v>583</v>
      </c>
      <c r="L44" s="62" t="s">
        <v>18</v>
      </c>
      <c r="M44" s="92">
        <v>44636</v>
      </c>
      <c r="N44" s="117" t="s">
        <v>17</v>
      </c>
      <c r="O44" s="62" t="s">
        <v>988</v>
      </c>
      <c r="P44" s="76" t="s">
        <v>111</v>
      </c>
      <c r="Q44" s="76" t="s">
        <v>111</v>
      </c>
      <c r="R44" s="892" t="s">
        <v>73</v>
      </c>
      <c r="S44" s="892" t="s">
        <v>73</v>
      </c>
      <c r="T44" s="892" t="s">
        <v>73</v>
      </c>
      <c r="U4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3201594.49</v>
      </c>
    </row>
    <row r="45" spans="1:21" ht="12.75" hidden="1" customHeight="1" outlineLevel="1">
      <c r="A45" s="62">
        <v>43</v>
      </c>
      <c r="B45" s="75">
        <v>415</v>
      </c>
      <c r="C45" s="75">
        <v>18106</v>
      </c>
      <c r="D45" s="62" t="s">
        <v>63</v>
      </c>
      <c r="E45" s="62">
        <v>55.8</v>
      </c>
      <c r="F45" s="941" t="s">
        <v>25</v>
      </c>
      <c r="G45" s="62" t="s">
        <v>27</v>
      </c>
      <c r="H45" s="62" t="s">
        <v>16</v>
      </c>
      <c r="I45" s="352">
        <v>5651304.0300000003</v>
      </c>
      <c r="J45" s="62">
        <v>2</v>
      </c>
      <c r="K45" s="62" t="s">
        <v>583</v>
      </c>
      <c r="L45" s="62" t="s">
        <v>18</v>
      </c>
      <c r="M45" s="92"/>
      <c r="N45" s="117" t="s">
        <v>17</v>
      </c>
      <c r="O45" s="62" t="s">
        <v>989</v>
      </c>
      <c r="P45" s="76" t="s">
        <v>111</v>
      </c>
      <c r="Q45" s="76" t="s">
        <v>111</v>
      </c>
      <c r="R45" s="892" t="s">
        <v>63</v>
      </c>
      <c r="S45" s="945" t="s">
        <v>20</v>
      </c>
      <c r="T45" s="945" t="s">
        <v>63</v>
      </c>
      <c r="U4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4758504.03</v>
      </c>
    </row>
    <row r="46" spans="1:21" s="929" customFormat="1" ht="12.75" hidden="1" customHeight="1" outlineLevel="1">
      <c r="A46" s="62">
        <v>44</v>
      </c>
      <c r="B46" s="75">
        <v>33</v>
      </c>
      <c r="C46" s="75">
        <v>19514</v>
      </c>
      <c r="D46" s="62" t="s">
        <v>73</v>
      </c>
      <c r="E46" s="62">
        <v>54.67</v>
      </c>
      <c r="F46" s="941" t="s">
        <v>9</v>
      </c>
      <c r="G46" s="62" t="s">
        <v>27</v>
      </c>
      <c r="H46" s="62" t="s">
        <v>16</v>
      </c>
      <c r="I46" s="352">
        <v>3904484.73</v>
      </c>
      <c r="J46" s="62">
        <v>2</v>
      </c>
      <c r="K46" s="62" t="s">
        <v>583</v>
      </c>
      <c r="L46" s="62" t="s">
        <v>12</v>
      </c>
      <c r="M46" s="92">
        <v>44650</v>
      </c>
      <c r="N46" s="62" t="s">
        <v>17</v>
      </c>
      <c r="O46" s="62" t="s">
        <v>990</v>
      </c>
      <c r="P46" s="76" t="s">
        <v>111</v>
      </c>
      <c r="Q46" s="76" t="s">
        <v>111</v>
      </c>
      <c r="R46" s="76" t="s">
        <v>73</v>
      </c>
      <c r="S46" s="941" t="s">
        <v>73</v>
      </c>
      <c r="T46" s="941" t="s">
        <v>73</v>
      </c>
      <c r="U4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3904484.73</v>
      </c>
    </row>
    <row r="47" spans="1:21" s="929" customFormat="1" ht="12.75" hidden="1" customHeight="1" outlineLevel="1">
      <c r="A47" s="62">
        <v>45</v>
      </c>
      <c r="B47" s="75">
        <v>467</v>
      </c>
      <c r="C47" s="75">
        <v>20280</v>
      </c>
      <c r="D47" s="62" t="s">
        <v>73</v>
      </c>
      <c r="E47" s="62">
        <v>40</v>
      </c>
      <c r="F47" s="941" t="s">
        <v>9</v>
      </c>
      <c r="G47" s="62" t="s">
        <v>27</v>
      </c>
      <c r="H47" s="62" t="s">
        <v>575</v>
      </c>
      <c r="I47" s="352">
        <v>3025505.88</v>
      </c>
      <c r="J47" s="62">
        <v>1</v>
      </c>
      <c r="K47" s="62" t="s">
        <v>583</v>
      </c>
      <c r="L47" s="62" t="s">
        <v>18</v>
      </c>
      <c r="M47" s="92">
        <v>44637</v>
      </c>
      <c r="N47" s="62" t="s">
        <v>17</v>
      </c>
      <c r="O47" s="62" t="s">
        <v>991</v>
      </c>
      <c r="P47" s="76" t="s">
        <v>111</v>
      </c>
      <c r="Q47" s="76" t="s">
        <v>111</v>
      </c>
      <c r="R47" s="76" t="s">
        <v>73</v>
      </c>
      <c r="S47" s="941" t="s">
        <v>73</v>
      </c>
      <c r="T47" s="941" t="s">
        <v>73</v>
      </c>
      <c r="U4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3025505.88</v>
      </c>
    </row>
    <row r="48" spans="1:21" s="929" customFormat="1" hidden="1" outlineLevel="1">
      <c r="A48" s="62">
        <v>46</v>
      </c>
      <c r="B48" s="75">
        <v>97</v>
      </c>
      <c r="C48" s="75">
        <v>20201</v>
      </c>
      <c r="D48" s="62" t="s">
        <v>73</v>
      </c>
      <c r="E48" s="62">
        <v>59.96</v>
      </c>
      <c r="F48" s="1007" t="s">
        <v>9</v>
      </c>
      <c r="G48" s="62" t="s">
        <v>121</v>
      </c>
      <c r="H48" s="62" t="s">
        <v>84</v>
      </c>
      <c r="I48" s="352">
        <v>5167916.42</v>
      </c>
      <c r="J48" s="62">
        <v>2</v>
      </c>
      <c r="K48" s="62" t="s">
        <v>514</v>
      </c>
      <c r="L48" s="431" t="s">
        <v>18</v>
      </c>
      <c r="M48" s="539">
        <v>44630</v>
      </c>
      <c r="N48" s="62" t="s">
        <v>17</v>
      </c>
      <c r="O48" s="348" t="s">
        <v>992</v>
      </c>
      <c r="P48" s="76" t="s">
        <v>111</v>
      </c>
      <c r="Q48" s="76" t="s">
        <v>111</v>
      </c>
      <c r="R48" s="941" t="s">
        <v>73</v>
      </c>
      <c r="S48" s="941" t="s">
        <v>20</v>
      </c>
      <c r="T48" s="941" t="s">
        <v>73</v>
      </c>
      <c r="U4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5167916.42</v>
      </c>
    </row>
    <row r="49" spans="1:21" s="929" customFormat="1" hidden="1" outlineLevel="1">
      <c r="A49" s="62">
        <v>47</v>
      </c>
      <c r="B49" s="75">
        <v>144</v>
      </c>
      <c r="C49" s="74">
        <v>20255</v>
      </c>
      <c r="D49" s="62" t="s">
        <v>77</v>
      </c>
      <c r="E49" s="62">
        <v>36.86</v>
      </c>
      <c r="F49" s="941" t="s">
        <v>9</v>
      </c>
      <c r="G49" s="62" t="s">
        <v>121</v>
      </c>
      <c r="H49" s="62" t="s">
        <v>575</v>
      </c>
      <c r="I49" s="352">
        <v>3543274.76</v>
      </c>
      <c r="J49" s="62">
        <v>1</v>
      </c>
      <c r="K49" s="62" t="s">
        <v>583</v>
      </c>
      <c r="L49" s="62" t="s">
        <v>18</v>
      </c>
      <c r="M49" s="539">
        <v>44632</v>
      </c>
      <c r="N49" s="62" t="s">
        <v>17</v>
      </c>
      <c r="O49" s="348" t="s">
        <v>993</v>
      </c>
      <c r="P49" s="76" t="s">
        <v>111</v>
      </c>
      <c r="Q49" s="76" t="s">
        <v>111</v>
      </c>
      <c r="R49" s="941" t="s">
        <v>77</v>
      </c>
      <c r="S49" s="941" t="s">
        <v>77</v>
      </c>
      <c r="T49" s="941" t="s">
        <v>20</v>
      </c>
      <c r="U4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3543274.76</v>
      </c>
    </row>
    <row r="50" spans="1:21" hidden="1" outlineLevel="1">
      <c r="A50" s="62">
        <v>48</v>
      </c>
      <c r="B50" s="75">
        <v>308</v>
      </c>
      <c r="C50" s="75">
        <v>20259</v>
      </c>
      <c r="D50" s="62" t="s">
        <v>77</v>
      </c>
      <c r="E50" s="62">
        <v>37.89</v>
      </c>
      <c r="F50" s="1007" t="s">
        <v>15</v>
      </c>
      <c r="G50" s="62" t="s">
        <v>121</v>
      </c>
      <c r="H50" s="62" t="s">
        <v>575</v>
      </c>
      <c r="I50" s="352">
        <v>3859242.76</v>
      </c>
      <c r="J50" s="62">
        <v>1</v>
      </c>
      <c r="K50" s="62" t="s">
        <v>583</v>
      </c>
      <c r="L50" s="62" t="s">
        <v>18</v>
      </c>
      <c r="M50" s="539">
        <v>44635</v>
      </c>
      <c r="N50" s="62" t="s">
        <v>17</v>
      </c>
      <c r="O50" s="348" t="s">
        <v>994</v>
      </c>
      <c r="P50" s="76" t="s">
        <v>111</v>
      </c>
      <c r="Q50" s="76" t="s">
        <v>111</v>
      </c>
      <c r="R50" s="941" t="s">
        <v>77</v>
      </c>
      <c r="S50" s="941" t="s">
        <v>77</v>
      </c>
      <c r="T50" s="941" t="s">
        <v>77</v>
      </c>
      <c r="U5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3650847.76</v>
      </c>
    </row>
    <row r="51" spans="1:21" hidden="1" outlineLevel="1">
      <c r="A51" s="62">
        <v>49</v>
      </c>
      <c r="B51" s="75">
        <v>98</v>
      </c>
      <c r="C51" s="75">
        <v>20289</v>
      </c>
      <c r="D51" s="62" t="s">
        <v>77</v>
      </c>
      <c r="E51" s="62">
        <v>37.69</v>
      </c>
      <c r="F51" s="1007" t="s">
        <v>9</v>
      </c>
      <c r="G51" s="62" t="s">
        <v>27</v>
      </c>
      <c r="H51" s="62" t="s">
        <v>575</v>
      </c>
      <c r="I51" s="352">
        <v>3642479.95</v>
      </c>
      <c r="J51" s="62">
        <v>1</v>
      </c>
      <c r="K51" s="62" t="s">
        <v>583</v>
      </c>
      <c r="L51" s="62" t="s">
        <v>18</v>
      </c>
      <c r="M51" s="539">
        <v>44634</v>
      </c>
      <c r="N51" s="62" t="s">
        <v>17</v>
      </c>
      <c r="O51" s="348" t="s">
        <v>951</v>
      </c>
      <c r="P51" s="76" t="s">
        <v>111</v>
      </c>
      <c r="Q51" s="76" t="s">
        <v>111</v>
      </c>
      <c r="R51" s="941" t="s">
        <v>77</v>
      </c>
      <c r="S51" s="941" t="s">
        <v>77</v>
      </c>
      <c r="T51" s="941" t="s">
        <v>77</v>
      </c>
      <c r="U5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3642479.95</v>
      </c>
    </row>
    <row r="52" spans="1:21" s="929" customFormat="1" hidden="1" outlineLevel="1">
      <c r="A52" s="62">
        <v>50</v>
      </c>
      <c r="B52" s="75">
        <v>419</v>
      </c>
      <c r="C52" s="75">
        <v>20282</v>
      </c>
      <c r="D52" s="62" t="s">
        <v>77</v>
      </c>
      <c r="E52" s="62">
        <v>40</v>
      </c>
      <c r="F52" s="1007" t="s">
        <v>9</v>
      </c>
      <c r="G52" s="62" t="s">
        <v>27</v>
      </c>
      <c r="H52" s="62" t="s">
        <v>575</v>
      </c>
      <c r="I52" s="352">
        <v>3361673.2</v>
      </c>
      <c r="J52" s="62">
        <v>1</v>
      </c>
      <c r="K52" s="62" t="s">
        <v>583</v>
      </c>
      <c r="L52" s="62" t="s">
        <v>18</v>
      </c>
      <c r="M52" s="539">
        <v>44636</v>
      </c>
      <c r="N52" s="62" t="s">
        <v>17</v>
      </c>
      <c r="O52" s="348" t="s">
        <v>995</v>
      </c>
      <c r="P52" s="76" t="s">
        <v>67</v>
      </c>
      <c r="Q52" s="76" t="s">
        <v>67</v>
      </c>
      <c r="R52" s="941" t="s">
        <v>77</v>
      </c>
      <c r="S52" s="941" t="s">
        <v>77</v>
      </c>
      <c r="T52" s="941" t="s">
        <v>77</v>
      </c>
      <c r="U5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3361673.2</v>
      </c>
    </row>
    <row r="53" spans="1:21" hidden="1" outlineLevel="1">
      <c r="A53" s="62">
        <v>51</v>
      </c>
      <c r="B53" s="75">
        <v>114</v>
      </c>
      <c r="C53" s="75">
        <v>20331</v>
      </c>
      <c r="D53" s="62"/>
      <c r="E53" s="62">
        <v>54.67</v>
      </c>
      <c r="F53" s="1007" t="s">
        <v>9</v>
      </c>
      <c r="G53" s="62" t="s">
        <v>27</v>
      </c>
      <c r="H53" s="62" t="s">
        <v>16</v>
      </c>
      <c r="I53" s="352">
        <v>4319377.75</v>
      </c>
      <c r="J53" s="62">
        <v>2</v>
      </c>
      <c r="K53" s="62" t="s">
        <v>583</v>
      </c>
      <c r="L53" s="62" t="s">
        <v>18</v>
      </c>
      <c r="M53" s="539"/>
      <c r="N53" s="62" t="s">
        <v>17</v>
      </c>
      <c r="O53" s="348" t="s">
        <v>996</v>
      </c>
      <c r="P53" s="76" t="s">
        <v>111</v>
      </c>
      <c r="Q53" s="76" t="s">
        <v>111</v>
      </c>
      <c r="R53" s="941"/>
      <c r="S53" s="941" t="s">
        <v>471</v>
      </c>
      <c r="T53" s="941" t="s">
        <v>471</v>
      </c>
      <c r="U5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4319377.75</v>
      </c>
    </row>
    <row r="54" spans="1:21" s="929" customFormat="1" hidden="1" outlineLevel="1">
      <c r="A54" s="62">
        <v>52</v>
      </c>
      <c r="B54" s="75">
        <v>315</v>
      </c>
      <c r="C54" s="75">
        <v>20335</v>
      </c>
      <c r="D54" s="62" t="s">
        <v>73</v>
      </c>
      <c r="E54" s="62">
        <v>40</v>
      </c>
      <c r="F54" s="1007" t="s">
        <v>9</v>
      </c>
      <c r="G54" s="62" t="s">
        <v>27</v>
      </c>
      <c r="H54" s="62" t="s">
        <v>575</v>
      </c>
      <c r="I54" s="352">
        <v>3585051.2</v>
      </c>
      <c r="J54" s="62">
        <v>1</v>
      </c>
      <c r="K54" s="62" t="s">
        <v>583</v>
      </c>
      <c r="L54" s="62" t="s">
        <v>18</v>
      </c>
      <c r="M54" s="539"/>
      <c r="N54" s="62" t="s">
        <v>17</v>
      </c>
      <c r="O54" s="348" t="s">
        <v>997</v>
      </c>
      <c r="P54" s="76" t="s">
        <v>111</v>
      </c>
      <c r="Q54" s="76" t="s">
        <v>111</v>
      </c>
      <c r="R54" s="941" t="s">
        <v>73</v>
      </c>
      <c r="S54" s="941" t="s">
        <v>73</v>
      </c>
      <c r="T54" s="941" t="s">
        <v>73</v>
      </c>
      <c r="U5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3585051.2</v>
      </c>
    </row>
    <row r="55" spans="1:21" s="929" customFormat="1" hidden="1" outlineLevel="1">
      <c r="A55" s="62">
        <v>53</v>
      </c>
      <c r="B55" s="75">
        <v>453</v>
      </c>
      <c r="C55" s="75">
        <v>13682</v>
      </c>
      <c r="D55" s="62" t="s">
        <v>73</v>
      </c>
      <c r="E55" s="62">
        <v>37.11</v>
      </c>
      <c r="F55" s="1007" t="s">
        <v>9</v>
      </c>
      <c r="G55" s="62" t="s">
        <v>27</v>
      </c>
      <c r="H55" s="62" t="s">
        <v>16</v>
      </c>
      <c r="I55" s="352">
        <v>3197301.49</v>
      </c>
      <c r="J55" s="62">
        <v>1</v>
      </c>
      <c r="K55" s="62" t="s">
        <v>583</v>
      </c>
      <c r="L55" s="62" t="s">
        <v>18</v>
      </c>
      <c r="M55" s="539">
        <v>44637</v>
      </c>
      <c r="N55" s="62" t="s">
        <v>17</v>
      </c>
      <c r="O55" s="348" t="s">
        <v>998</v>
      </c>
      <c r="P55" s="76" t="s">
        <v>111</v>
      </c>
      <c r="Q55" s="76" t="s">
        <v>111</v>
      </c>
      <c r="R55" s="941" t="s">
        <v>73</v>
      </c>
      <c r="S55" s="941" t="s">
        <v>73</v>
      </c>
      <c r="T55" s="941" t="s">
        <v>73</v>
      </c>
      <c r="U5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3197301.49</v>
      </c>
    </row>
    <row r="56" spans="1:21" s="929" customFormat="1" hidden="1" outlineLevel="1">
      <c r="A56" s="62">
        <v>54</v>
      </c>
      <c r="B56" s="75">
        <v>249</v>
      </c>
      <c r="C56" s="75">
        <v>14039</v>
      </c>
      <c r="D56" s="62" t="s">
        <v>20</v>
      </c>
      <c r="E56" s="62">
        <v>37.159999999999997</v>
      </c>
      <c r="F56" s="1007" t="s">
        <v>15</v>
      </c>
      <c r="G56" s="62" t="s">
        <v>27</v>
      </c>
      <c r="H56" s="62" t="s">
        <v>16</v>
      </c>
      <c r="I56" s="352">
        <v>3383895.13</v>
      </c>
      <c r="J56" s="62">
        <v>1</v>
      </c>
      <c r="K56" s="62" t="s">
        <v>583</v>
      </c>
      <c r="L56" s="62" t="s">
        <v>18</v>
      </c>
      <c r="M56" s="539">
        <v>44642</v>
      </c>
      <c r="N56" s="62" t="s">
        <v>17</v>
      </c>
      <c r="O56" s="348" t="s">
        <v>999</v>
      </c>
      <c r="P56" s="76" t="s">
        <v>111</v>
      </c>
      <c r="Q56" s="76" t="s">
        <v>111</v>
      </c>
      <c r="R56" s="941" t="s">
        <v>20</v>
      </c>
      <c r="S56" s="941" t="s">
        <v>63</v>
      </c>
      <c r="T56" s="941" t="s">
        <v>73</v>
      </c>
      <c r="U5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3179515.13</v>
      </c>
    </row>
    <row r="57" spans="1:21" s="929" customFormat="1" hidden="1" outlineLevel="1">
      <c r="A57" s="62">
        <v>55</v>
      </c>
      <c r="B57" s="75">
        <v>87</v>
      </c>
      <c r="C57" s="75">
        <v>20376</v>
      </c>
      <c r="D57" s="62" t="s">
        <v>77</v>
      </c>
      <c r="E57" s="62">
        <v>54.67</v>
      </c>
      <c r="F57" s="1007" t="s">
        <v>9</v>
      </c>
      <c r="G57" s="62" t="s">
        <v>27</v>
      </c>
      <c r="H57" s="62" t="s">
        <v>16</v>
      </c>
      <c r="I57" s="352">
        <v>4319377.75</v>
      </c>
      <c r="J57" s="62">
        <v>2</v>
      </c>
      <c r="K57" s="62" t="s">
        <v>583</v>
      </c>
      <c r="L57" s="62" t="s">
        <v>18</v>
      </c>
      <c r="M57" s="539">
        <v>44641</v>
      </c>
      <c r="N57" s="62" t="s">
        <v>17</v>
      </c>
      <c r="O57" s="348" t="s">
        <v>1000</v>
      </c>
      <c r="P57" s="76" t="s">
        <v>111</v>
      </c>
      <c r="Q57" s="76" t="s">
        <v>111</v>
      </c>
      <c r="R57" s="941" t="s">
        <v>77</v>
      </c>
      <c r="S57" s="941" t="s">
        <v>77</v>
      </c>
      <c r="T57" s="941" t="s">
        <v>77</v>
      </c>
      <c r="U5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4319377.75</v>
      </c>
    </row>
    <row r="58" spans="1:21" hidden="1" outlineLevel="1">
      <c r="A58" s="62">
        <v>56</v>
      </c>
      <c r="B58" s="75">
        <v>25</v>
      </c>
      <c r="C58" s="75">
        <v>20369</v>
      </c>
      <c r="D58" s="62" t="s">
        <v>77</v>
      </c>
      <c r="E58" s="62">
        <v>60.06</v>
      </c>
      <c r="F58" s="1007" t="s">
        <v>9</v>
      </c>
      <c r="G58" s="62" t="s">
        <v>27</v>
      </c>
      <c r="H58" s="62" t="s">
        <v>16</v>
      </c>
      <c r="I58" s="352">
        <v>4503500.5999999996</v>
      </c>
      <c r="J58" s="62">
        <v>2</v>
      </c>
      <c r="K58" s="62" t="s">
        <v>583</v>
      </c>
      <c r="L58" s="62" t="s">
        <v>18</v>
      </c>
      <c r="M58" s="539">
        <v>44642</v>
      </c>
      <c r="N58" s="62" t="s">
        <v>17</v>
      </c>
      <c r="O58" s="348" t="s">
        <v>1001</v>
      </c>
      <c r="P58" s="76" t="s">
        <v>111</v>
      </c>
      <c r="Q58" s="76" t="s">
        <v>111</v>
      </c>
      <c r="R58" s="941" t="s">
        <v>77</v>
      </c>
      <c r="S58" s="941" t="s">
        <v>77</v>
      </c>
      <c r="T58" s="941" t="s">
        <v>77</v>
      </c>
      <c r="U5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4503500.5999999996</v>
      </c>
    </row>
    <row r="59" spans="1:21" s="929" customFormat="1" hidden="1" outlineLevel="1">
      <c r="A59" s="62">
        <v>57</v>
      </c>
      <c r="B59" s="75">
        <v>128</v>
      </c>
      <c r="C59" s="75">
        <v>20214</v>
      </c>
      <c r="D59" s="62" t="s">
        <v>77</v>
      </c>
      <c r="E59" s="62">
        <v>37.94</v>
      </c>
      <c r="F59" s="1007" t="s">
        <v>15</v>
      </c>
      <c r="G59" s="62" t="s">
        <v>27</v>
      </c>
      <c r="H59" s="62" t="s">
        <v>575</v>
      </c>
      <c r="I59" s="352">
        <v>3454693.47</v>
      </c>
      <c r="J59" s="62">
        <v>1</v>
      </c>
      <c r="K59" s="62" t="s">
        <v>583</v>
      </c>
      <c r="L59" s="62" t="s">
        <v>18</v>
      </c>
      <c r="M59" s="539">
        <v>44641</v>
      </c>
      <c r="N59" s="62" t="s">
        <v>17</v>
      </c>
      <c r="O59" s="348" t="s">
        <v>1002</v>
      </c>
      <c r="P59" s="76" t="s">
        <v>111</v>
      </c>
      <c r="Q59" s="76" t="s">
        <v>111</v>
      </c>
      <c r="R59" s="941" t="s">
        <v>77</v>
      </c>
      <c r="S59" s="941" t="s">
        <v>77</v>
      </c>
      <c r="T59" s="941" t="s">
        <v>77</v>
      </c>
      <c r="U5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3246023.4700000007</v>
      </c>
    </row>
    <row r="60" spans="1:21" hidden="1" outlineLevel="1">
      <c r="A60" s="62">
        <v>58</v>
      </c>
      <c r="B60" s="75">
        <v>104</v>
      </c>
      <c r="C60" s="75">
        <v>19896</v>
      </c>
      <c r="D60" s="62" t="s">
        <v>63</v>
      </c>
      <c r="E60" s="62">
        <v>26.12</v>
      </c>
      <c r="F60" s="1007" t="s">
        <v>15</v>
      </c>
      <c r="G60" s="62" t="s">
        <v>27</v>
      </c>
      <c r="H60" s="62" t="s">
        <v>575</v>
      </c>
      <c r="I60" s="352">
        <v>2253487.08</v>
      </c>
      <c r="J60" s="62">
        <v>0</v>
      </c>
      <c r="K60" s="62" t="s">
        <v>583</v>
      </c>
      <c r="L60" s="62" t="s">
        <v>18</v>
      </c>
      <c r="M60" s="539">
        <v>44639</v>
      </c>
      <c r="N60" s="62" t="s">
        <v>474</v>
      </c>
      <c r="O60" s="348" t="s">
        <v>1003</v>
      </c>
      <c r="P60" s="76" t="s">
        <v>111</v>
      </c>
      <c r="Q60" s="76" t="s">
        <v>111</v>
      </c>
      <c r="R60" s="941" t="s">
        <v>63</v>
      </c>
      <c r="S60" s="941" t="s">
        <v>63</v>
      </c>
      <c r="T60" s="941" t="s">
        <v>63</v>
      </c>
      <c r="U6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2109827.08</v>
      </c>
    </row>
    <row r="61" spans="1:21" hidden="1" outlineLevel="1">
      <c r="A61" s="62">
        <v>59</v>
      </c>
      <c r="B61" s="75">
        <v>111</v>
      </c>
      <c r="C61" s="75">
        <v>20444</v>
      </c>
      <c r="D61" s="62" t="s">
        <v>77</v>
      </c>
      <c r="E61" s="62">
        <v>41.06</v>
      </c>
      <c r="F61" s="1007" t="s">
        <v>9</v>
      </c>
      <c r="G61" s="62" t="s">
        <v>27</v>
      </c>
      <c r="H61" s="62" t="s">
        <v>575</v>
      </c>
      <c r="I61" s="352">
        <v>3536452.46</v>
      </c>
      <c r="J61" s="62">
        <v>1</v>
      </c>
      <c r="K61" s="62" t="s">
        <v>583</v>
      </c>
      <c r="L61" s="62" t="s">
        <v>18</v>
      </c>
      <c r="M61" s="539">
        <v>44648</v>
      </c>
      <c r="N61" s="62" t="s">
        <v>17</v>
      </c>
      <c r="O61" s="348" t="s">
        <v>1004</v>
      </c>
      <c r="P61" s="76" t="s">
        <v>111</v>
      </c>
      <c r="Q61" s="76" t="s">
        <v>111</v>
      </c>
      <c r="R61" s="941" t="s">
        <v>77</v>
      </c>
      <c r="S61" s="941" t="s">
        <v>77</v>
      </c>
      <c r="T61" s="941" t="s">
        <v>77</v>
      </c>
      <c r="U6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3536452.46</v>
      </c>
    </row>
    <row r="62" spans="1:21" ht="12" hidden="1" customHeight="1" outlineLevel="1">
      <c r="A62" s="62">
        <v>60</v>
      </c>
      <c r="B62" s="75">
        <v>109</v>
      </c>
      <c r="C62" s="75">
        <v>20240</v>
      </c>
      <c r="D62" s="62" t="s">
        <v>63</v>
      </c>
      <c r="E62" s="62">
        <v>82.71</v>
      </c>
      <c r="F62" s="1007" t="s">
        <v>9</v>
      </c>
      <c r="G62" s="62" t="s">
        <v>27</v>
      </c>
      <c r="H62" s="62" t="s">
        <v>16</v>
      </c>
      <c r="I62" s="352">
        <v>5536424.6100000003</v>
      </c>
      <c r="J62" s="62">
        <v>3</v>
      </c>
      <c r="K62" s="62" t="s">
        <v>583</v>
      </c>
      <c r="L62" s="62" t="s">
        <v>18</v>
      </c>
      <c r="M62" s="539">
        <v>44637</v>
      </c>
      <c r="N62" s="62" t="s">
        <v>11</v>
      </c>
      <c r="O62" s="348" t="s">
        <v>1005</v>
      </c>
      <c r="P62" s="76" t="s">
        <v>111</v>
      </c>
      <c r="Q62" s="76" t="s">
        <v>111</v>
      </c>
      <c r="R62" s="941" t="s">
        <v>63</v>
      </c>
      <c r="S62" s="941" t="s">
        <v>63</v>
      </c>
      <c r="T62" s="941" t="s">
        <v>29</v>
      </c>
      <c r="U6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5536424.6099999994</v>
      </c>
    </row>
    <row r="63" spans="1:21" hidden="1" outlineLevel="1">
      <c r="A63" s="62">
        <v>61</v>
      </c>
      <c r="B63" s="75">
        <v>794</v>
      </c>
      <c r="C63" s="75">
        <v>11815</v>
      </c>
      <c r="D63" s="62" t="s">
        <v>77</v>
      </c>
      <c r="E63" s="62">
        <v>38.92</v>
      </c>
      <c r="F63" s="1007" t="s">
        <v>15</v>
      </c>
      <c r="G63" s="62" t="s">
        <v>27</v>
      </c>
      <c r="H63" s="62" t="s">
        <v>575</v>
      </c>
      <c r="I63" s="352">
        <v>4115415.59</v>
      </c>
      <c r="J63" s="62">
        <v>1</v>
      </c>
      <c r="K63" s="62" t="s">
        <v>583</v>
      </c>
      <c r="L63" s="62" t="s">
        <v>18</v>
      </c>
      <c r="M63" s="539"/>
      <c r="N63" s="62"/>
      <c r="O63" s="348" t="s">
        <v>1006</v>
      </c>
      <c r="P63" s="76" t="s">
        <v>111</v>
      </c>
      <c r="Q63" s="76" t="s">
        <v>111</v>
      </c>
      <c r="R63" s="941" t="s">
        <v>77</v>
      </c>
      <c r="S63" s="941" t="s">
        <v>77</v>
      </c>
      <c r="T63" s="941" t="s">
        <v>77</v>
      </c>
      <c r="U6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3901355.59</v>
      </c>
    </row>
    <row r="64" spans="1:21" hidden="1" outlineLevel="1">
      <c r="A64" s="62">
        <v>62</v>
      </c>
      <c r="B64" s="75">
        <v>275</v>
      </c>
      <c r="C64" s="75">
        <v>20464</v>
      </c>
      <c r="D64" s="62" t="s">
        <v>471</v>
      </c>
      <c r="E64" s="62">
        <v>40</v>
      </c>
      <c r="F64" s="1007" t="s">
        <v>9</v>
      </c>
      <c r="G64" s="62" t="s">
        <v>27</v>
      </c>
      <c r="H64" s="62"/>
      <c r="I64" s="352">
        <v>3421673.2</v>
      </c>
      <c r="J64" s="62">
        <v>1</v>
      </c>
      <c r="K64" s="62" t="s">
        <v>130</v>
      </c>
      <c r="L64" s="62" t="s">
        <v>18</v>
      </c>
      <c r="M64" s="539">
        <v>44641</v>
      </c>
      <c r="N64" s="62" t="s">
        <v>11</v>
      </c>
      <c r="O64" s="348" t="s">
        <v>1007</v>
      </c>
      <c r="P64" s="76" t="s">
        <v>111</v>
      </c>
      <c r="Q64" s="76" t="s">
        <v>111</v>
      </c>
      <c r="R64" s="941" t="s">
        <v>471</v>
      </c>
      <c r="S64" s="941" t="s">
        <v>471</v>
      </c>
      <c r="T64" s="941" t="s">
        <v>471</v>
      </c>
      <c r="U64" s="946">
        <v>3421673.2</v>
      </c>
    </row>
    <row r="65" spans="1:21" hidden="1" outlineLevel="1">
      <c r="A65" s="62">
        <v>63</v>
      </c>
      <c r="B65" s="75">
        <v>159</v>
      </c>
      <c r="C65" s="75">
        <v>20468</v>
      </c>
      <c r="D65" s="62"/>
      <c r="E65" s="62">
        <v>36.42</v>
      </c>
      <c r="F65" s="1007" t="s">
        <v>9</v>
      </c>
      <c r="G65" s="62" t="s">
        <v>121</v>
      </c>
      <c r="H65" s="62"/>
      <c r="I65" s="352">
        <v>3500978.48</v>
      </c>
      <c r="J65" s="62">
        <v>1</v>
      </c>
      <c r="K65" s="62" t="s">
        <v>514</v>
      </c>
      <c r="L65" s="62" t="s">
        <v>18</v>
      </c>
      <c r="M65" s="539"/>
      <c r="N65" s="62" t="s">
        <v>17</v>
      </c>
      <c r="O65" s="348" t="s">
        <v>1008</v>
      </c>
      <c r="P65" s="76" t="s">
        <v>111</v>
      </c>
      <c r="Q65" s="76" t="s">
        <v>111</v>
      </c>
      <c r="R65" s="76"/>
      <c r="S65" s="76" t="s">
        <v>471</v>
      </c>
      <c r="T65" s="76" t="s">
        <v>29</v>
      </c>
      <c r="U6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3500978.48</v>
      </c>
    </row>
    <row r="66" spans="1:21" s="929" customFormat="1" hidden="1" outlineLevel="1">
      <c r="A66" s="62">
        <v>64</v>
      </c>
      <c r="B66" s="75">
        <v>405</v>
      </c>
      <c r="C66" s="75">
        <v>20368</v>
      </c>
      <c r="D66" s="62" t="s">
        <v>29</v>
      </c>
      <c r="E66" s="62">
        <v>37.11</v>
      </c>
      <c r="F66" s="1007" t="s">
        <v>9</v>
      </c>
      <c r="G66" s="62" t="s">
        <v>27</v>
      </c>
      <c r="H66" s="62" t="s">
        <v>575</v>
      </c>
      <c r="I66" s="352">
        <v>3197301.49</v>
      </c>
      <c r="J66" s="62">
        <v>1</v>
      </c>
      <c r="K66" s="62" t="s">
        <v>583</v>
      </c>
      <c r="L66" s="62" t="s">
        <v>18</v>
      </c>
      <c r="M66" s="539">
        <v>44644</v>
      </c>
      <c r="N66" s="62" t="s">
        <v>17</v>
      </c>
      <c r="O66" s="348" t="s">
        <v>1009</v>
      </c>
      <c r="P66" s="76" t="s">
        <v>111</v>
      </c>
      <c r="Q66" s="76" t="s">
        <v>111</v>
      </c>
      <c r="R66" s="76"/>
      <c r="S66" s="76"/>
      <c r="T66" s="76" t="s">
        <v>29</v>
      </c>
      <c r="U6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3197301.49</v>
      </c>
    </row>
    <row r="67" spans="1:21" s="929" customFormat="1" hidden="1" outlineLevel="1">
      <c r="A67" s="62">
        <v>65</v>
      </c>
      <c r="B67" s="75">
        <v>266</v>
      </c>
      <c r="C67" s="75">
        <v>20490</v>
      </c>
      <c r="D67" s="62"/>
      <c r="E67" s="62">
        <v>23.54</v>
      </c>
      <c r="F67" s="1007" t="s">
        <v>9</v>
      </c>
      <c r="G67" s="62" t="s">
        <v>27</v>
      </c>
      <c r="H67" s="62" t="s">
        <v>575</v>
      </c>
      <c r="I67" s="352">
        <v>2441999.11</v>
      </c>
      <c r="J67" s="62">
        <v>0</v>
      </c>
      <c r="K67" s="62" t="s">
        <v>583</v>
      </c>
      <c r="L67" s="62" t="s">
        <v>18</v>
      </c>
      <c r="M67" s="539">
        <v>44649</v>
      </c>
      <c r="N67" s="62" t="s">
        <v>17</v>
      </c>
      <c r="O67" s="348" t="s">
        <v>1010</v>
      </c>
      <c r="P67" s="76" t="s">
        <v>111</v>
      </c>
      <c r="Q67" s="76" t="s">
        <v>111</v>
      </c>
      <c r="R67" s="76"/>
      <c r="S67" s="76"/>
      <c r="T67" s="76" t="s">
        <v>29</v>
      </c>
      <c r="U6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2441999.11</v>
      </c>
    </row>
    <row r="68" spans="1:21" s="65" customFormat="1" ht="15.75" hidden="1" customHeight="1" outlineLevel="1">
      <c r="A68" s="62">
        <v>66</v>
      </c>
      <c r="B68" s="75">
        <v>305</v>
      </c>
      <c r="C68" s="75">
        <v>20407</v>
      </c>
      <c r="D68" s="62" t="s">
        <v>20</v>
      </c>
      <c r="E68" s="62">
        <v>38.93</v>
      </c>
      <c r="F68" s="348" t="s">
        <v>15</v>
      </c>
      <c r="G68" s="62" t="s">
        <v>121</v>
      </c>
      <c r="H68" s="62" t="s">
        <v>16</v>
      </c>
      <c r="I68" s="352">
        <v>4084037.28</v>
      </c>
      <c r="J68" s="62">
        <v>1</v>
      </c>
      <c r="K68" s="62" t="s">
        <v>583</v>
      </c>
      <c r="L68" s="62" t="s">
        <v>18</v>
      </c>
      <c r="M68" s="539">
        <v>44644</v>
      </c>
      <c r="N68" s="62" t="s">
        <v>17</v>
      </c>
      <c r="O68" s="348" t="s">
        <v>1011</v>
      </c>
      <c r="P68" s="76" t="s">
        <v>111</v>
      </c>
      <c r="Q68" s="76" t="s">
        <v>111</v>
      </c>
      <c r="R68" s="76" t="s">
        <v>20</v>
      </c>
      <c r="S68" s="76" t="s">
        <v>20</v>
      </c>
      <c r="T68" s="76" t="s">
        <v>471</v>
      </c>
      <c r="U68" s="114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3869922.28</v>
      </c>
    </row>
    <row r="69" spans="1:21" hidden="1" outlineLevel="1">
      <c r="A69" s="62">
        <v>67</v>
      </c>
      <c r="B69" s="75">
        <v>768</v>
      </c>
      <c r="C69" s="75">
        <v>15194</v>
      </c>
      <c r="D69" s="62" t="s">
        <v>77</v>
      </c>
      <c r="E69" s="62">
        <v>100.26</v>
      </c>
      <c r="F69" s="1007" t="s">
        <v>9</v>
      </c>
      <c r="G69" s="62" t="s">
        <v>27</v>
      </c>
      <c r="H69" s="62" t="s">
        <v>16</v>
      </c>
      <c r="I69" s="352">
        <v>6345065</v>
      </c>
      <c r="J69" s="62">
        <v>4</v>
      </c>
      <c r="K69" s="62" t="s">
        <v>583</v>
      </c>
      <c r="L69" s="62" t="s">
        <v>18</v>
      </c>
      <c r="M69" s="539">
        <v>44648</v>
      </c>
      <c r="N69" s="62" t="s">
        <v>17</v>
      </c>
      <c r="O69" s="348" t="s">
        <v>1012</v>
      </c>
      <c r="P69" s="76" t="s">
        <v>111</v>
      </c>
      <c r="Q69" s="76" t="s">
        <v>111</v>
      </c>
      <c r="R69" s="941" t="s">
        <v>77</v>
      </c>
      <c r="S69" s="941" t="s">
        <v>77</v>
      </c>
      <c r="T69" s="941" t="s">
        <v>77</v>
      </c>
      <c r="U6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6345065</v>
      </c>
    </row>
    <row r="70" spans="1:21" hidden="1" outlineLevel="1">
      <c r="A70" s="62">
        <v>68</v>
      </c>
      <c r="B70" s="75">
        <v>225</v>
      </c>
      <c r="C70" s="75">
        <v>13744</v>
      </c>
      <c r="D70" s="62" t="s">
        <v>77</v>
      </c>
      <c r="E70" s="62">
        <v>60.3</v>
      </c>
      <c r="F70" s="348" t="s">
        <v>25</v>
      </c>
      <c r="G70" s="62" t="s">
        <v>121</v>
      </c>
      <c r="H70" s="62" t="s">
        <v>16</v>
      </c>
      <c r="I70" s="352">
        <v>6748119.3300000001</v>
      </c>
      <c r="J70" s="62">
        <v>2</v>
      </c>
      <c r="K70" s="62" t="s">
        <v>583</v>
      </c>
      <c r="L70" s="62" t="s">
        <v>18</v>
      </c>
      <c r="M70" s="539"/>
      <c r="N70" s="62" t="s">
        <v>17</v>
      </c>
      <c r="O70" s="348" t="s">
        <v>1013</v>
      </c>
      <c r="P70" s="76" t="s">
        <v>111</v>
      </c>
      <c r="Q70" s="76" t="s">
        <v>111</v>
      </c>
      <c r="R70" s="941" t="s">
        <v>77</v>
      </c>
      <c r="S70" s="941" t="s">
        <v>77</v>
      </c>
      <c r="T70" s="941" t="s">
        <v>77</v>
      </c>
      <c r="U7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5783319.3300000001</v>
      </c>
    </row>
    <row r="71" spans="1:21" s="929" customFormat="1" hidden="1" outlineLevel="1">
      <c r="A71" s="62">
        <v>69</v>
      </c>
      <c r="B71" s="75">
        <v>69</v>
      </c>
      <c r="C71" s="75">
        <v>20372</v>
      </c>
      <c r="D71" s="62" t="s">
        <v>63</v>
      </c>
      <c r="E71" s="62">
        <v>54.67</v>
      </c>
      <c r="F71" s="1007" t="s">
        <v>15</v>
      </c>
      <c r="G71" s="62" t="s">
        <v>27</v>
      </c>
      <c r="H71" s="62" t="s">
        <v>84</v>
      </c>
      <c r="I71" s="352">
        <v>4702067.75</v>
      </c>
      <c r="J71" s="62">
        <v>2</v>
      </c>
      <c r="K71" s="62" t="s">
        <v>514</v>
      </c>
      <c r="L71" s="62" t="s">
        <v>18</v>
      </c>
      <c r="M71" s="539">
        <v>44637</v>
      </c>
      <c r="N71" s="62" t="s">
        <v>11</v>
      </c>
      <c r="O71" s="348" t="s">
        <v>1014</v>
      </c>
      <c r="P71" s="76" t="s">
        <v>111</v>
      </c>
      <c r="Q71" s="76" t="s">
        <v>111</v>
      </c>
      <c r="R71" s="76" t="s">
        <v>63</v>
      </c>
      <c r="S71" s="76" t="s">
        <v>63</v>
      </c>
      <c r="T71" s="76" t="s">
        <v>63</v>
      </c>
      <c r="U7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4401382.75</v>
      </c>
    </row>
    <row r="72" spans="1:21" hidden="1" outlineLevel="1">
      <c r="A72" s="62">
        <v>70</v>
      </c>
      <c r="B72" s="75">
        <v>491</v>
      </c>
      <c r="C72" s="75">
        <v>20476</v>
      </c>
      <c r="D72" s="62" t="s">
        <v>63</v>
      </c>
      <c r="E72" s="62">
        <v>40</v>
      </c>
      <c r="F72" s="1007" t="s">
        <v>9</v>
      </c>
      <c r="G72" s="62" t="s">
        <v>27</v>
      </c>
      <c r="H72" s="62" t="s">
        <v>84</v>
      </c>
      <c r="I72" s="352">
        <v>3641673.2</v>
      </c>
      <c r="J72" s="62">
        <v>1</v>
      </c>
      <c r="K72" s="62" t="s">
        <v>130</v>
      </c>
      <c r="L72" s="62" t="s">
        <v>18</v>
      </c>
      <c r="M72" s="539"/>
      <c r="N72" s="62" t="s">
        <v>11</v>
      </c>
      <c r="O72" s="348" t="s">
        <v>1015</v>
      </c>
      <c r="P72" s="76" t="s">
        <v>111</v>
      </c>
      <c r="Q72" s="76" t="s">
        <v>111</v>
      </c>
      <c r="R72" s="76" t="s">
        <v>63</v>
      </c>
      <c r="S72" s="76" t="s">
        <v>63</v>
      </c>
      <c r="T72" s="76" t="s">
        <v>63</v>
      </c>
      <c r="U72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3641673.2</v>
      </c>
    </row>
    <row r="73" spans="1:21" s="1214" customFormat="1" hidden="1" outlineLevel="1">
      <c r="A73" s="62">
        <v>71</v>
      </c>
      <c r="B73" s="75">
        <v>251</v>
      </c>
      <c r="C73" s="75">
        <v>18583</v>
      </c>
      <c r="D73" s="62" t="s">
        <v>73</v>
      </c>
      <c r="E73" s="62">
        <v>40</v>
      </c>
      <c r="F73" s="1007" t="s">
        <v>15</v>
      </c>
      <c r="G73" s="62" t="s">
        <v>27</v>
      </c>
      <c r="H73" s="62" t="s">
        <v>16</v>
      </c>
      <c r="I73" s="352">
        <v>3641673.2</v>
      </c>
      <c r="J73" s="62">
        <v>1</v>
      </c>
      <c r="K73" s="62" t="s">
        <v>583</v>
      </c>
      <c r="L73" s="62" t="s">
        <v>18</v>
      </c>
      <c r="M73" s="539">
        <v>44615</v>
      </c>
      <c r="N73" s="62" t="s">
        <v>17</v>
      </c>
      <c r="O73" s="348" t="s">
        <v>1016</v>
      </c>
      <c r="P73" s="76" t="s">
        <v>111</v>
      </c>
      <c r="Q73" s="76" t="s">
        <v>111</v>
      </c>
      <c r="R73" s="76" t="s">
        <v>73</v>
      </c>
      <c r="S73" s="76" t="s">
        <v>73</v>
      </c>
      <c r="T73" s="76" t="s">
        <v>73</v>
      </c>
      <c r="U73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3421673.2</v>
      </c>
    </row>
    <row r="74" spans="1:21" s="1214" customFormat="1" hidden="1" outlineLevel="1">
      <c r="A74" s="62">
        <v>72</v>
      </c>
      <c r="B74" s="75">
        <v>261</v>
      </c>
      <c r="C74" s="75">
        <v>20371</v>
      </c>
      <c r="D74" s="62" t="s">
        <v>77</v>
      </c>
      <c r="E74" s="62">
        <v>38.83</v>
      </c>
      <c r="F74" s="348" t="s">
        <v>15</v>
      </c>
      <c r="G74" s="62" t="s">
        <v>121</v>
      </c>
      <c r="H74" s="62" t="s">
        <v>16</v>
      </c>
      <c r="I74" s="352">
        <v>4032425.99</v>
      </c>
      <c r="J74" s="62">
        <v>1</v>
      </c>
      <c r="K74" s="62" t="s">
        <v>583</v>
      </c>
      <c r="L74" s="62" t="s">
        <v>18</v>
      </c>
      <c r="M74" s="539">
        <v>44645</v>
      </c>
      <c r="N74" s="62"/>
      <c r="O74" s="348" t="s">
        <v>1017</v>
      </c>
      <c r="P74" s="76" t="s">
        <v>111</v>
      </c>
      <c r="Q74" s="76" t="s">
        <v>111</v>
      </c>
      <c r="R74" s="941" t="s">
        <v>77</v>
      </c>
      <c r="S74" s="941" t="s">
        <v>77</v>
      </c>
      <c r="T74" s="941" t="s">
        <v>77</v>
      </c>
      <c r="U74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3818860.99</v>
      </c>
    </row>
    <row r="75" spans="1:21" s="1229" customFormat="1" hidden="1" outlineLevel="1">
      <c r="A75" s="62">
        <v>73</v>
      </c>
      <c r="B75" s="75">
        <v>100</v>
      </c>
      <c r="C75" s="75">
        <v>19151</v>
      </c>
      <c r="D75" s="62" t="s">
        <v>73</v>
      </c>
      <c r="E75" s="62">
        <v>58.99</v>
      </c>
      <c r="F75" s="1007" t="s">
        <v>15</v>
      </c>
      <c r="G75" s="62" t="s">
        <v>121</v>
      </c>
      <c r="H75" s="62" t="s">
        <v>575</v>
      </c>
      <c r="I75" s="352">
        <v>4982365.8899999997</v>
      </c>
      <c r="J75" s="62">
        <v>2</v>
      </c>
      <c r="K75" s="62" t="s">
        <v>583</v>
      </c>
      <c r="L75" s="62" t="s">
        <v>12</v>
      </c>
      <c r="M75" s="539">
        <v>44645</v>
      </c>
      <c r="N75" s="62" t="s">
        <v>17</v>
      </c>
      <c r="O75" s="348" t="s">
        <v>1018</v>
      </c>
      <c r="P75" s="76" t="s">
        <v>111</v>
      </c>
      <c r="Q75" s="76" t="s">
        <v>111</v>
      </c>
      <c r="R75" s="76" t="s">
        <v>73</v>
      </c>
      <c r="S75" s="76" t="s">
        <v>77</v>
      </c>
      <c r="T75" s="76" t="s">
        <v>73</v>
      </c>
      <c r="U75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4657920.8899999997</v>
      </c>
    </row>
    <row r="76" spans="1:21" s="1229" customFormat="1" hidden="1" outlineLevel="1">
      <c r="A76" s="62">
        <v>74</v>
      </c>
      <c r="B76" s="75">
        <v>65</v>
      </c>
      <c r="C76" s="75">
        <v>20337</v>
      </c>
      <c r="D76" s="62"/>
      <c r="E76" s="62">
        <v>37.94</v>
      </c>
      <c r="F76" s="1007" t="s">
        <v>9</v>
      </c>
      <c r="G76" s="62" t="s">
        <v>27</v>
      </c>
      <c r="H76" s="62" t="s">
        <v>575</v>
      </c>
      <c r="I76" s="352">
        <v>3454693.47</v>
      </c>
      <c r="J76" s="62">
        <v>1</v>
      </c>
      <c r="K76" s="62" t="s">
        <v>583</v>
      </c>
      <c r="L76" s="62" t="s">
        <v>18</v>
      </c>
      <c r="M76" s="539">
        <v>44646</v>
      </c>
      <c r="N76" s="62" t="s">
        <v>17</v>
      </c>
      <c r="O76" s="348" t="s">
        <v>1019</v>
      </c>
      <c r="P76" s="76" t="s">
        <v>111</v>
      </c>
      <c r="Q76" s="76" t="s">
        <v>111</v>
      </c>
      <c r="R76" s="76"/>
      <c r="S76" s="76" t="s">
        <v>63</v>
      </c>
      <c r="T76" s="76" t="s">
        <v>63</v>
      </c>
      <c r="U76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3454693.4700000007</v>
      </c>
    </row>
    <row r="77" spans="1:21" s="1229" customFormat="1" hidden="1" outlineLevel="1">
      <c r="A77" s="62">
        <v>75</v>
      </c>
      <c r="B77" s="75">
        <v>710</v>
      </c>
      <c r="C77" s="75">
        <v>20524</v>
      </c>
      <c r="D77" s="62" t="s">
        <v>77</v>
      </c>
      <c r="E77" s="62">
        <v>38.909999999999997</v>
      </c>
      <c r="F77" s="1007" t="s">
        <v>9</v>
      </c>
      <c r="G77" s="62" t="s">
        <v>27</v>
      </c>
      <c r="H77" s="62" t="s">
        <v>16</v>
      </c>
      <c r="I77" s="352">
        <v>3760028.55</v>
      </c>
      <c r="J77" s="62">
        <v>1</v>
      </c>
      <c r="K77" s="62" t="s">
        <v>583</v>
      </c>
      <c r="L77" s="62" t="s">
        <v>18</v>
      </c>
      <c r="M77" s="539"/>
      <c r="N77" s="62" t="s">
        <v>17</v>
      </c>
      <c r="O77" s="348" t="s">
        <v>1020</v>
      </c>
      <c r="P77" s="76" t="s">
        <v>111</v>
      </c>
      <c r="Q77" s="76" t="s">
        <v>111</v>
      </c>
      <c r="R77" s="76" t="s">
        <v>77</v>
      </c>
      <c r="S77" s="76" t="s">
        <v>77</v>
      </c>
      <c r="T77" s="76" t="s">
        <v>77</v>
      </c>
      <c r="U77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3760028.55</v>
      </c>
    </row>
    <row r="78" spans="1:21" s="1229" customFormat="1" hidden="1" outlineLevel="1">
      <c r="A78" s="62">
        <v>76</v>
      </c>
      <c r="B78" s="75">
        <v>314</v>
      </c>
      <c r="C78" s="75">
        <v>18348</v>
      </c>
      <c r="D78" s="62" t="s">
        <v>471</v>
      </c>
      <c r="E78" s="62">
        <v>25.91</v>
      </c>
      <c r="F78" s="1007" t="s">
        <v>15</v>
      </c>
      <c r="G78" s="62" t="s">
        <v>121</v>
      </c>
      <c r="H78" s="62" t="s">
        <v>16</v>
      </c>
      <c r="I78" s="352">
        <v>2975020.66</v>
      </c>
      <c r="J78" s="62">
        <v>0</v>
      </c>
      <c r="K78" s="62" t="s">
        <v>583</v>
      </c>
      <c r="L78" s="62" t="s">
        <v>18</v>
      </c>
      <c r="M78" s="539"/>
      <c r="N78" s="62" t="s">
        <v>17</v>
      </c>
      <c r="O78" s="348" t="s">
        <v>1021</v>
      </c>
      <c r="P78" s="76" t="s">
        <v>111</v>
      </c>
      <c r="Q78" s="76" t="s">
        <v>111</v>
      </c>
      <c r="R78" s="76" t="s">
        <v>471</v>
      </c>
      <c r="S78" s="76" t="s">
        <v>471</v>
      </c>
      <c r="T78" s="76" t="s">
        <v>471</v>
      </c>
      <c r="U78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2832515.66</v>
      </c>
    </row>
    <row r="79" spans="1:21" s="929" customFormat="1" hidden="1" outlineLevel="1">
      <c r="A79" s="62">
        <v>77</v>
      </c>
      <c r="B79" s="75">
        <v>820</v>
      </c>
      <c r="C79" s="75">
        <v>20616</v>
      </c>
      <c r="D79" s="62" t="s">
        <v>63</v>
      </c>
      <c r="E79" s="62">
        <v>38.909999999999997</v>
      </c>
      <c r="F79" s="1007" t="s">
        <v>9</v>
      </c>
      <c r="G79" s="62" t="s">
        <v>27</v>
      </c>
      <c r="H79" s="62" t="s">
        <v>16</v>
      </c>
      <c r="I79" s="352">
        <v>4100314.4</v>
      </c>
      <c r="J79" s="62">
        <v>1</v>
      </c>
      <c r="K79" s="62" t="s">
        <v>583</v>
      </c>
      <c r="L79" s="62" t="s">
        <v>18</v>
      </c>
      <c r="M79" s="539">
        <v>44650</v>
      </c>
      <c r="N79" s="62" t="s">
        <v>11</v>
      </c>
      <c r="O79" s="348" t="s">
        <v>1022</v>
      </c>
      <c r="P79" s="76" t="s">
        <v>111</v>
      </c>
      <c r="Q79" s="76" t="s">
        <v>111</v>
      </c>
      <c r="R79" s="76" t="s">
        <v>63</v>
      </c>
      <c r="S79" s="76" t="s">
        <v>63</v>
      </c>
      <c r="T79" s="76" t="s">
        <v>63</v>
      </c>
      <c r="U79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4100314.3999999994</v>
      </c>
    </row>
    <row r="80" spans="1:21" s="929" customFormat="1" hidden="1" outlineLevel="1">
      <c r="A80" s="62">
        <v>78</v>
      </c>
      <c r="B80" s="75">
        <v>732</v>
      </c>
      <c r="C80" s="75">
        <v>20633</v>
      </c>
      <c r="D80" s="62" t="s">
        <v>73</v>
      </c>
      <c r="E80" s="62">
        <v>40.75</v>
      </c>
      <c r="F80" s="1007" t="s">
        <v>15</v>
      </c>
      <c r="G80" s="62" t="s">
        <v>27</v>
      </c>
      <c r="H80" s="62" t="s">
        <v>16</v>
      </c>
      <c r="I80" s="352">
        <v>3994997.97</v>
      </c>
      <c r="J80" s="62">
        <v>1</v>
      </c>
      <c r="K80" s="62" t="s">
        <v>583</v>
      </c>
      <c r="L80" s="62" t="s">
        <v>18</v>
      </c>
      <c r="M80" s="539">
        <v>44650</v>
      </c>
      <c r="N80" s="62" t="s">
        <v>17</v>
      </c>
      <c r="O80" s="348" t="s">
        <v>1023</v>
      </c>
      <c r="P80" s="76" t="s">
        <v>111</v>
      </c>
      <c r="Q80" s="76" t="s">
        <v>111</v>
      </c>
      <c r="R80" s="76" t="s">
        <v>73</v>
      </c>
      <c r="S80" s="76" t="s">
        <v>77</v>
      </c>
      <c r="T80" s="76" t="s">
        <v>73</v>
      </c>
      <c r="U80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3770872.97</v>
      </c>
    </row>
    <row r="81" spans="1:21" s="65" customFormat="1" hidden="1" outlineLevel="1">
      <c r="A81" s="62">
        <v>80</v>
      </c>
      <c r="B81" s="75">
        <v>160</v>
      </c>
      <c r="C81" s="75">
        <v>20588</v>
      </c>
      <c r="D81" s="62"/>
      <c r="E81" s="62">
        <v>59.96</v>
      </c>
      <c r="F81" s="1007" t="s">
        <v>25</v>
      </c>
      <c r="G81" s="62" t="s">
        <v>121</v>
      </c>
      <c r="H81" s="62" t="s">
        <v>16</v>
      </c>
      <c r="I81" s="352">
        <v>6808293.1100000003</v>
      </c>
      <c r="J81" s="62">
        <v>2</v>
      </c>
      <c r="K81" s="62" t="s">
        <v>583</v>
      </c>
      <c r="L81" s="62" t="s">
        <v>18</v>
      </c>
      <c r="M81" s="539">
        <v>44651</v>
      </c>
      <c r="N81" s="62" t="s">
        <v>17</v>
      </c>
      <c r="O81" s="348" t="s">
        <v>1024</v>
      </c>
      <c r="P81" s="76" t="s">
        <v>111</v>
      </c>
      <c r="Q81" s="76" t="s">
        <v>111</v>
      </c>
      <c r="R81" s="76"/>
      <c r="S81" s="76" t="s">
        <v>77</v>
      </c>
      <c r="T81" s="76" t="s">
        <v>30</v>
      </c>
      <c r="U81" s="946">
        <f>IFERROR(SUM(Февраль202230[[#This Row],[сумма]]/Февраль202230[[#This Row],[м2]],IF(Февраль202230[[#This Row],[Отделка]]="Черновая",0,"")&amp;IF(Февраль202230[[#This Row],[Отделка]]="Предчистовая",-5500,"")&amp;IF(Февраль202230[[#This Row],[Отделка]]="Чистовая",-16000,""))*Февраль202230[[#This Row],[м2]],"")</f>
        <v>5848933.1100000003</v>
      </c>
    </row>
    <row r="82" spans="1:21" collapsed="1">
      <c r="A82" s="65"/>
      <c r="B82" s="79"/>
      <c r="C82" s="79"/>
      <c r="D82" s="65"/>
      <c r="E82" s="65"/>
      <c r="F82" s="934"/>
      <c r="G82" s="65"/>
      <c r="H82" s="65"/>
      <c r="I82" s="105"/>
      <c r="J82" s="65"/>
      <c r="K82" s="65"/>
      <c r="L82" s="108"/>
      <c r="M82" s="110"/>
      <c r="N82" s="65"/>
      <c r="O82" s="72"/>
      <c r="P82" s="86"/>
      <c r="Q82" s="86"/>
      <c r="R82" s="86"/>
      <c r="S82" s="86"/>
      <c r="T82" s="86"/>
      <c r="U82" s="948"/>
    </row>
    <row r="83" spans="1:21" s="1214" customFormat="1">
      <c r="A83" s="2290" t="s">
        <v>713</v>
      </c>
      <c r="B83" s="2291"/>
      <c r="C83" s="972" t="s">
        <v>121</v>
      </c>
      <c r="D83" s="2295"/>
      <c r="E83" s="2296"/>
      <c r="F83" s="2296"/>
      <c r="G83" s="2296"/>
      <c r="H83" s="2296"/>
      <c r="I83" s="2296"/>
      <c r="J83" s="2296"/>
      <c r="K83" s="2296"/>
      <c r="L83" s="2296"/>
      <c r="M83" s="2296"/>
      <c r="N83" s="2296"/>
      <c r="O83" s="2296"/>
      <c r="P83" s="2296"/>
      <c r="Q83" s="86"/>
      <c r="R83" s="86"/>
      <c r="S83" s="86"/>
      <c r="T83" s="86"/>
      <c r="U83" s="43"/>
    </row>
    <row r="84" spans="1:21" ht="25.5">
      <c r="A84" s="692" t="s">
        <v>1</v>
      </c>
      <c r="B84" s="686" t="s">
        <v>100</v>
      </c>
      <c r="C84" s="687" t="s">
        <v>97</v>
      </c>
      <c r="D84" s="688" t="s">
        <v>95</v>
      </c>
      <c r="E84" s="1033" t="s">
        <v>494</v>
      </c>
      <c r="F84" s="1033" t="s">
        <v>495</v>
      </c>
      <c r="G84" s="1033" t="s">
        <v>496</v>
      </c>
      <c r="H84" s="1034" t="s">
        <v>101</v>
      </c>
      <c r="I84" s="1023" t="s">
        <v>98</v>
      </c>
      <c r="J84" s="1023" t="s">
        <v>96</v>
      </c>
      <c r="K84" s="1023" t="s">
        <v>715</v>
      </c>
      <c r="L84" s="1060" t="s">
        <v>716</v>
      </c>
      <c r="M84" s="1033">
        <v>0</v>
      </c>
      <c r="N84" s="1033">
        <v>1</v>
      </c>
      <c r="O84" s="1033">
        <v>2</v>
      </c>
      <c r="P84" s="1033">
        <v>3</v>
      </c>
      <c r="Q84" s="1104">
        <v>4</v>
      </c>
      <c r="R84" s="950"/>
      <c r="S84" s="950"/>
      <c r="T84" s="950"/>
      <c r="U84" s="951"/>
    </row>
    <row r="85" spans="1:21">
      <c r="A85" s="1020" t="s">
        <v>73</v>
      </c>
      <c r="B85" s="1109">
        <v>0</v>
      </c>
      <c r="C85" s="939">
        <v>0</v>
      </c>
      <c r="D85" s="1069"/>
      <c r="E85" s="145">
        <v>118.95</v>
      </c>
      <c r="F85" s="939">
        <v>9825837.3100000005</v>
      </c>
      <c r="G85" s="1038">
        <v>2</v>
      </c>
      <c r="H85" s="148">
        <v>118.95</v>
      </c>
      <c r="I85" s="149">
        <v>9825837.3100000005</v>
      </c>
      <c r="J85" s="220">
        <v>2</v>
      </c>
      <c r="K85" s="943" t="s">
        <v>717</v>
      </c>
      <c r="L85" s="1061" t="s">
        <v>717</v>
      </c>
      <c r="M85" s="339">
        <v>0</v>
      </c>
      <c r="N85" s="339">
        <v>0</v>
      </c>
      <c r="O85" s="339">
        <v>2</v>
      </c>
      <c r="P85" s="339">
        <v>0</v>
      </c>
      <c r="Q85" s="1099">
        <v>0</v>
      </c>
      <c r="R85" s="949"/>
      <c r="S85" s="949"/>
      <c r="T85" s="949"/>
      <c r="U85" s="930"/>
    </row>
    <row r="86" spans="1:21">
      <c r="A86" s="981" t="s">
        <v>77</v>
      </c>
      <c r="B86" s="1109">
        <v>0</v>
      </c>
      <c r="C86" s="939">
        <v>0</v>
      </c>
      <c r="D86" s="1069"/>
      <c r="E86" s="257">
        <v>173.88</v>
      </c>
      <c r="F86" s="954">
        <v>16796302.84</v>
      </c>
      <c r="G86" s="1234">
        <v>4</v>
      </c>
      <c r="H86" s="148">
        <v>233.84</v>
      </c>
      <c r="I86" s="149">
        <v>22645235.949999999</v>
      </c>
      <c r="J86" s="220">
        <v>5</v>
      </c>
      <c r="K86" s="987" t="s">
        <v>717</v>
      </c>
      <c r="L86" s="1062" t="s">
        <v>717</v>
      </c>
      <c r="M86" s="339">
        <v>0</v>
      </c>
      <c r="N86" s="339">
        <v>3</v>
      </c>
      <c r="O86" s="339">
        <v>2</v>
      </c>
      <c r="P86" s="339">
        <v>0</v>
      </c>
      <c r="Q86" s="1099">
        <v>0</v>
      </c>
      <c r="R86" s="949"/>
      <c r="S86" s="949"/>
      <c r="T86" s="949"/>
      <c r="U86" s="930"/>
    </row>
    <row r="87" spans="1:21">
      <c r="A87" s="981" t="s">
        <v>471</v>
      </c>
      <c r="B87" s="1109">
        <v>0</v>
      </c>
      <c r="C87" s="939">
        <v>0</v>
      </c>
      <c r="D87" s="1069"/>
      <c r="E87" s="257">
        <v>64.739999999999995</v>
      </c>
      <c r="F87" s="954">
        <v>6469526.0599999996</v>
      </c>
      <c r="G87" s="1234">
        <v>2</v>
      </c>
      <c r="H87" s="148">
        <v>101.16</v>
      </c>
      <c r="I87" s="149">
        <v>9970504.5399999991</v>
      </c>
      <c r="J87" s="220">
        <v>3</v>
      </c>
      <c r="K87" s="987" t="s">
        <v>717</v>
      </c>
      <c r="L87" s="1062" t="s">
        <v>717</v>
      </c>
      <c r="M87" s="339">
        <v>1</v>
      </c>
      <c r="N87" s="339">
        <v>2</v>
      </c>
      <c r="O87" s="339">
        <v>0</v>
      </c>
      <c r="P87" s="339">
        <v>0</v>
      </c>
      <c r="Q87" s="1099">
        <v>0</v>
      </c>
      <c r="R87" s="949"/>
      <c r="S87" s="949"/>
      <c r="T87" s="949"/>
      <c r="U87" s="930"/>
    </row>
    <row r="88" spans="1:21">
      <c r="A88" s="981" t="s">
        <v>20</v>
      </c>
      <c r="B88" s="1109">
        <v>0</v>
      </c>
      <c r="C88" s="939">
        <v>0</v>
      </c>
      <c r="D88" s="1069"/>
      <c r="E88" s="257">
        <v>77.150000000000006</v>
      </c>
      <c r="F88" s="954">
        <v>7628790.8700000001</v>
      </c>
      <c r="G88" s="1234">
        <v>2</v>
      </c>
      <c r="H88" s="148">
        <v>77.05</v>
      </c>
      <c r="I88" s="149">
        <v>7629340.8700000001</v>
      </c>
      <c r="J88" s="220">
        <v>2</v>
      </c>
      <c r="K88" s="987" t="s">
        <v>717</v>
      </c>
      <c r="L88" s="1062" t="s">
        <v>717</v>
      </c>
      <c r="M88" s="339">
        <v>0</v>
      </c>
      <c r="N88" s="339">
        <v>2</v>
      </c>
      <c r="O88" s="339">
        <v>0</v>
      </c>
      <c r="P88" s="339">
        <v>0</v>
      </c>
      <c r="Q88" s="1099">
        <v>0</v>
      </c>
      <c r="R88" s="949"/>
      <c r="S88" s="949"/>
      <c r="T88" s="949"/>
      <c r="U88" s="930"/>
    </row>
    <row r="89" spans="1:21">
      <c r="A89" s="1042" t="s">
        <v>63</v>
      </c>
      <c r="B89" s="1109">
        <v>0</v>
      </c>
      <c r="C89" s="939">
        <v>0</v>
      </c>
      <c r="D89" s="1069"/>
      <c r="E89" s="329">
        <v>38.22</v>
      </c>
      <c r="F89" s="958">
        <v>3579874.77</v>
      </c>
      <c r="G89" s="983">
        <v>1</v>
      </c>
      <c r="H89" s="148">
        <v>38.22</v>
      </c>
      <c r="I89" s="149">
        <v>3579874.77</v>
      </c>
      <c r="J89" s="220">
        <v>1</v>
      </c>
      <c r="K89" s="1063" t="s">
        <v>717</v>
      </c>
      <c r="L89" s="1064" t="s">
        <v>717</v>
      </c>
      <c r="M89" s="339">
        <v>0</v>
      </c>
      <c r="N89" s="339">
        <v>1</v>
      </c>
      <c r="O89" s="339">
        <v>0</v>
      </c>
      <c r="P89" s="339">
        <v>0</v>
      </c>
      <c r="Q89" s="1099">
        <v>0</v>
      </c>
      <c r="R89" s="949"/>
      <c r="S89" s="949"/>
      <c r="T89" s="949"/>
      <c r="U89" s="930"/>
    </row>
    <row r="90" spans="1:21" s="1214" customFormat="1">
      <c r="A90" s="984" t="s">
        <v>114</v>
      </c>
      <c r="B90" s="1195">
        <v>0</v>
      </c>
      <c r="C90" s="1196">
        <v>0</v>
      </c>
      <c r="D90" s="1162"/>
      <c r="E90" s="1123">
        <v>472.94</v>
      </c>
      <c r="F90" s="1163">
        <v>44300331.850000001</v>
      </c>
      <c r="G90" s="1164">
        <v>11</v>
      </c>
      <c r="H90" s="906">
        <v>569.22</v>
      </c>
      <c r="I90" s="1124">
        <v>53650793.439999998</v>
      </c>
      <c r="J90" s="1123">
        <v>13</v>
      </c>
      <c r="K90" s="1140" t="s">
        <v>717</v>
      </c>
      <c r="L90" s="1141" t="s">
        <v>717</v>
      </c>
      <c r="M90" s="1123">
        <v>1</v>
      </c>
      <c r="N90" s="1123">
        <v>8</v>
      </c>
      <c r="O90" s="1123">
        <v>4</v>
      </c>
      <c r="P90" s="1185">
        <v>0</v>
      </c>
      <c r="Q90" s="1167">
        <v>0</v>
      </c>
      <c r="R90" s="949"/>
      <c r="S90" s="949"/>
      <c r="T90" s="949"/>
      <c r="U90" s="930"/>
    </row>
    <row r="91" spans="1:21" ht="25.5">
      <c r="A91" s="692" t="s">
        <v>115</v>
      </c>
      <c r="B91" s="686" t="s">
        <v>100</v>
      </c>
      <c r="C91" s="693" t="s">
        <v>97</v>
      </c>
      <c r="D91" s="688" t="s">
        <v>95</v>
      </c>
      <c r="E91" s="1033" t="s">
        <v>494</v>
      </c>
      <c r="F91" s="1033" t="s">
        <v>495</v>
      </c>
      <c r="G91" s="1104" t="s">
        <v>496</v>
      </c>
      <c r="H91" s="1034" t="s">
        <v>101</v>
      </c>
      <c r="I91" s="1023" t="s">
        <v>98</v>
      </c>
      <c r="J91" s="1023" t="s">
        <v>96</v>
      </c>
      <c r="K91" s="1186" t="s">
        <v>715</v>
      </c>
      <c r="L91" s="1187" t="s">
        <v>716</v>
      </c>
      <c r="M91" s="1033">
        <v>0</v>
      </c>
      <c r="N91" s="1033">
        <v>1</v>
      </c>
      <c r="O91" s="1033">
        <v>2</v>
      </c>
      <c r="P91" s="1033">
        <v>3</v>
      </c>
      <c r="Q91" s="1104">
        <v>4</v>
      </c>
      <c r="R91" s="950"/>
      <c r="S91" s="950"/>
      <c r="T91" s="950"/>
      <c r="U91" s="951"/>
    </row>
    <row r="92" spans="1:21">
      <c r="A92" s="1020" t="s">
        <v>16</v>
      </c>
      <c r="B92" s="1197">
        <v>0</v>
      </c>
      <c r="C92" s="939">
        <v>0</v>
      </c>
      <c r="D92" s="1069"/>
      <c r="E92" s="1129">
        <v>223.93</v>
      </c>
      <c r="F92" s="149">
        <v>22153551.370000001</v>
      </c>
      <c r="G92" s="940">
        <v>5</v>
      </c>
      <c r="H92" s="148">
        <v>223.83</v>
      </c>
      <c r="I92" s="220">
        <v>22154101.370000001</v>
      </c>
      <c r="J92" s="220">
        <v>5</v>
      </c>
      <c r="K92" s="943" t="s">
        <v>717</v>
      </c>
      <c r="L92" s="1061" t="s">
        <v>717</v>
      </c>
      <c r="M92" s="339">
        <v>1</v>
      </c>
      <c r="N92" s="339">
        <v>2</v>
      </c>
      <c r="O92" s="339">
        <v>2</v>
      </c>
      <c r="P92" s="339">
        <v>0</v>
      </c>
      <c r="Q92" s="1099">
        <v>0</v>
      </c>
      <c r="R92" s="949"/>
      <c r="S92" s="949"/>
      <c r="T92" s="949"/>
      <c r="U92" s="930"/>
    </row>
    <row r="93" spans="1:21">
      <c r="A93" s="1042" t="s">
        <v>575</v>
      </c>
      <c r="B93" s="1197">
        <v>0</v>
      </c>
      <c r="C93" s="958">
        <v>0</v>
      </c>
      <c r="D93" s="1054"/>
      <c r="E93" s="1222">
        <v>210.79</v>
      </c>
      <c r="F93" s="359">
        <v>19247922.399999999</v>
      </c>
      <c r="G93" s="959">
        <v>5</v>
      </c>
      <c r="H93" s="967">
        <v>210.79</v>
      </c>
      <c r="I93" s="1223">
        <v>19247922.399999999</v>
      </c>
      <c r="J93" s="1223">
        <v>5</v>
      </c>
      <c r="K93" s="1063" t="s">
        <v>717</v>
      </c>
      <c r="L93" s="1064" t="s">
        <v>717</v>
      </c>
      <c r="M93" s="339">
        <v>0</v>
      </c>
      <c r="N93" s="339">
        <v>4</v>
      </c>
      <c r="O93" s="339">
        <v>1</v>
      </c>
      <c r="P93" s="339">
        <v>0</v>
      </c>
      <c r="Q93" s="1099">
        <v>0</v>
      </c>
      <c r="R93" s="949"/>
      <c r="S93" s="949"/>
      <c r="T93" s="949"/>
      <c r="U93" s="930"/>
    </row>
    <row r="94" spans="1:21">
      <c r="A94" s="906" t="s">
        <v>114</v>
      </c>
      <c r="B94" s="1198">
        <v>0</v>
      </c>
      <c r="C94" s="1165">
        <v>0</v>
      </c>
      <c r="D94" s="1166"/>
      <c r="E94" s="1123">
        <v>434.72</v>
      </c>
      <c r="F94" s="1124">
        <v>41401473.770000003</v>
      </c>
      <c r="G94" s="1167">
        <v>10</v>
      </c>
      <c r="H94" s="906">
        <v>434.62</v>
      </c>
      <c r="I94" s="1123">
        <v>41402023.770000003</v>
      </c>
      <c r="J94" s="1123">
        <v>10</v>
      </c>
      <c r="K94" s="1199" t="s">
        <v>717</v>
      </c>
      <c r="L94" s="1200" t="s">
        <v>717</v>
      </c>
      <c r="M94" s="1123">
        <v>1</v>
      </c>
      <c r="N94" s="1123">
        <v>6</v>
      </c>
      <c r="O94" s="1123">
        <v>3</v>
      </c>
      <c r="P94" s="1123">
        <v>0</v>
      </c>
      <c r="Q94" s="1167">
        <v>0</v>
      </c>
      <c r="R94" s="65"/>
      <c r="S94" s="65"/>
      <c r="T94" s="65"/>
      <c r="U94" s="339"/>
    </row>
    <row r="95" spans="1:21">
      <c r="A95" s="7"/>
      <c r="B95" s="968"/>
      <c r="C95" s="968"/>
      <c r="D95" s="7"/>
      <c r="E95" s="7"/>
      <c r="F95" s="7"/>
      <c r="G95" s="7"/>
      <c r="H95" s="134"/>
      <c r="I95" s="134"/>
      <c r="J95" s="134"/>
      <c r="K95" s="7"/>
      <c r="L95" s="994"/>
      <c r="M95" s="134"/>
      <c r="N95" s="134"/>
      <c r="O95" s="134"/>
      <c r="P95" s="262"/>
      <c r="Q95" s="134"/>
      <c r="R95" s="949"/>
      <c r="S95" s="949"/>
      <c r="T95" s="949"/>
      <c r="U95" s="930"/>
    </row>
    <row r="96" spans="1:21" s="1214" customFormat="1">
      <c r="A96" s="2290" t="s">
        <v>713</v>
      </c>
      <c r="B96" s="2291"/>
      <c r="C96" s="935" t="s">
        <v>27</v>
      </c>
      <c r="D96" s="2292"/>
      <c r="E96" s="2292"/>
      <c r="F96" s="2292"/>
      <c r="G96" s="2292"/>
      <c r="H96" s="2292"/>
      <c r="I96" s="2292"/>
      <c r="J96" s="2292"/>
      <c r="K96" s="2292"/>
      <c r="L96" s="2292"/>
      <c r="M96" s="2292"/>
      <c r="N96" s="2292"/>
      <c r="O96" s="2292"/>
      <c r="P96" s="2292"/>
      <c r="Q96" s="7"/>
      <c r="R96" s="949"/>
      <c r="S96" s="949"/>
      <c r="T96" s="949"/>
      <c r="U96" s="930"/>
    </row>
    <row r="97" spans="1:21" ht="25.5">
      <c r="A97" s="692" t="s">
        <v>1</v>
      </c>
      <c r="B97" s="686" t="s">
        <v>100</v>
      </c>
      <c r="C97" s="688" t="s">
        <v>97</v>
      </c>
      <c r="D97" s="688" t="s">
        <v>95</v>
      </c>
      <c r="E97" s="1022" t="s">
        <v>494</v>
      </c>
      <c r="F97" s="138" t="s">
        <v>495</v>
      </c>
      <c r="G97" s="139" t="s">
        <v>496</v>
      </c>
      <c r="H97" s="140" t="s">
        <v>101</v>
      </c>
      <c r="I97" s="141" t="s">
        <v>98</v>
      </c>
      <c r="J97" s="141" t="s">
        <v>96</v>
      </c>
      <c r="K97" s="141" t="s">
        <v>715</v>
      </c>
      <c r="L97" s="1026" t="s">
        <v>716</v>
      </c>
      <c r="M97" s="1087">
        <v>0</v>
      </c>
      <c r="N97" s="1033">
        <v>1</v>
      </c>
      <c r="O97" s="1033">
        <v>2</v>
      </c>
      <c r="P97" s="1033">
        <v>3</v>
      </c>
      <c r="Q97" s="1104">
        <v>4</v>
      </c>
      <c r="R97" s="950"/>
      <c r="S97" s="950"/>
      <c r="T97" s="950"/>
      <c r="U97" s="951"/>
    </row>
    <row r="98" spans="1:21">
      <c r="A98" s="1035" t="s">
        <v>73</v>
      </c>
      <c r="B98" s="1126">
        <v>282</v>
      </c>
      <c r="C98" s="1059">
        <v>20191693.29978</v>
      </c>
      <c r="D98" s="1074">
        <v>7</v>
      </c>
      <c r="E98" s="145">
        <v>453.05</v>
      </c>
      <c r="F98" s="939">
        <v>36097399.450000003</v>
      </c>
      <c r="G98" s="940">
        <v>11</v>
      </c>
      <c r="H98" s="148">
        <v>453.05</v>
      </c>
      <c r="I98" s="149">
        <v>35976274.450000003</v>
      </c>
      <c r="J98" s="220">
        <v>11</v>
      </c>
      <c r="K98" s="943">
        <v>1.60656028368794</v>
      </c>
      <c r="L98" s="1061">
        <v>1.78173637623507</v>
      </c>
      <c r="M98" s="1090">
        <v>1</v>
      </c>
      <c r="N98" s="339">
        <v>8</v>
      </c>
      <c r="O98" s="339">
        <v>2</v>
      </c>
      <c r="P98" s="339">
        <v>0</v>
      </c>
      <c r="Q98" s="1099">
        <v>0</v>
      </c>
      <c r="R98" s="949"/>
      <c r="S98" s="949"/>
      <c r="T98" s="949"/>
      <c r="U98" s="930"/>
    </row>
    <row r="99" spans="1:21">
      <c r="A99" s="1039" t="s">
        <v>77</v>
      </c>
      <c r="B99" s="1127">
        <v>401</v>
      </c>
      <c r="C99" s="954">
        <v>28712301.465289999</v>
      </c>
      <c r="D99" s="1041">
        <v>11</v>
      </c>
      <c r="E99" s="257">
        <v>753.69</v>
      </c>
      <c r="F99" s="954">
        <v>57925949.890000001</v>
      </c>
      <c r="G99" s="955">
        <v>15</v>
      </c>
      <c r="H99" s="202">
        <v>753.69</v>
      </c>
      <c r="I99" s="203">
        <v>57378745.549999997</v>
      </c>
      <c r="J99" s="226">
        <v>15</v>
      </c>
      <c r="K99" s="987">
        <v>1.8795261845386499</v>
      </c>
      <c r="L99" s="1062">
        <v>1.9984028664286799</v>
      </c>
      <c r="M99" s="1090">
        <v>1</v>
      </c>
      <c r="N99" s="339">
        <v>8</v>
      </c>
      <c r="O99" s="339">
        <v>4</v>
      </c>
      <c r="P99" s="339">
        <v>1</v>
      </c>
      <c r="Q99" s="1099">
        <v>1</v>
      </c>
      <c r="R99" s="949"/>
      <c r="S99" s="949"/>
      <c r="T99" s="949"/>
      <c r="U99" s="930"/>
    </row>
    <row r="100" spans="1:21">
      <c r="A100" s="1039" t="s">
        <v>471</v>
      </c>
      <c r="B100" s="1127">
        <v>282</v>
      </c>
      <c r="C100" s="954">
        <v>20191693.29978</v>
      </c>
      <c r="D100" s="1041">
        <v>7</v>
      </c>
      <c r="E100" s="257">
        <v>234.99</v>
      </c>
      <c r="F100" s="954">
        <v>18940974.079999998</v>
      </c>
      <c r="G100" s="955">
        <v>6</v>
      </c>
      <c r="H100" s="202">
        <v>364.51</v>
      </c>
      <c r="I100" s="203">
        <v>28447709.850000001</v>
      </c>
      <c r="J100" s="226">
        <v>9</v>
      </c>
      <c r="K100" s="987">
        <v>1.2925886524822701</v>
      </c>
      <c r="L100" s="1062">
        <v>1.4088818321299501</v>
      </c>
      <c r="M100" s="1090">
        <v>1</v>
      </c>
      <c r="N100" s="339">
        <v>6</v>
      </c>
      <c r="O100" s="339">
        <v>2</v>
      </c>
      <c r="P100" s="339">
        <v>0</v>
      </c>
      <c r="Q100" s="1099">
        <v>0</v>
      </c>
      <c r="R100" s="949"/>
      <c r="S100" s="949"/>
      <c r="T100" s="949"/>
      <c r="U100" s="930"/>
    </row>
    <row r="101" spans="1:21">
      <c r="A101" s="1039" t="s">
        <v>20</v>
      </c>
      <c r="B101" s="1127">
        <v>401</v>
      </c>
      <c r="C101" s="954">
        <v>28712301.465289999</v>
      </c>
      <c r="D101" s="1041">
        <v>11</v>
      </c>
      <c r="E101" s="257">
        <v>535.54999999999995</v>
      </c>
      <c r="F101" s="954">
        <v>39310073.009999998</v>
      </c>
      <c r="G101" s="955">
        <v>13</v>
      </c>
      <c r="H101" s="202">
        <v>609.77</v>
      </c>
      <c r="I101" s="203">
        <v>44468942.159999996</v>
      </c>
      <c r="J101" s="226">
        <v>15</v>
      </c>
      <c r="K101" s="987">
        <v>1.5206234413965101</v>
      </c>
      <c r="L101" s="1062">
        <v>1.5487766528837099</v>
      </c>
      <c r="M101" s="1090">
        <v>0</v>
      </c>
      <c r="N101" s="339">
        <v>14</v>
      </c>
      <c r="O101" s="339">
        <v>0</v>
      </c>
      <c r="P101" s="339">
        <v>1</v>
      </c>
      <c r="Q101" s="1099">
        <v>0</v>
      </c>
      <c r="R101" s="949"/>
      <c r="S101" s="949"/>
      <c r="T101" s="949"/>
      <c r="U101" s="930"/>
    </row>
    <row r="102" spans="1:21">
      <c r="A102" s="1110" t="s">
        <v>63</v>
      </c>
      <c r="B102" s="1128">
        <v>401</v>
      </c>
      <c r="C102" s="958">
        <v>28712301.465289999</v>
      </c>
      <c r="D102" s="1054">
        <v>11</v>
      </c>
      <c r="E102" s="329">
        <v>443.76</v>
      </c>
      <c r="F102" s="958">
        <v>35523773.020000003</v>
      </c>
      <c r="G102" s="959">
        <v>10</v>
      </c>
      <c r="H102" s="358">
        <v>480.05</v>
      </c>
      <c r="I102" s="359">
        <v>38416756.490000002</v>
      </c>
      <c r="J102" s="330">
        <v>11</v>
      </c>
      <c r="K102" s="1063">
        <v>1.1971321695760599</v>
      </c>
      <c r="L102" s="1064">
        <v>1.33798945154019</v>
      </c>
      <c r="M102" s="1090">
        <v>3</v>
      </c>
      <c r="N102" s="339">
        <v>4</v>
      </c>
      <c r="O102" s="339">
        <v>3</v>
      </c>
      <c r="P102" s="339">
        <v>1</v>
      </c>
      <c r="Q102" s="1099">
        <v>0</v>
      </c>
      <c r="R102" s="949"/>
      <c r="S102" s="949"/>
      <c r="T102" s="949"/>
      <c r="U102" s="930"/>
    </row>
    <row r="103" spans="1:21" s="1214" customFormat="1">
      <c r="A103" s="984" t="s">
        <v>114</v>
      </c>
      <c r="B103" s="1195">
        <v>1767</v>
      </c>
      <c r="C103" s="1196">
        <v>126520290.99542999</v>
      </c>
      <c r="D103" s="1162">
        <v>47</v>
      </c>
      <c r="E103" s="1168">
        <v>2421.04</v>
      </c>
      <c r="F103" s="1169">
        <v>187798169.44999999</v>
      </c>
      <c r="G103" s="1170">
        <v>55</v>
      </c>
      <c r="H103" s="1171">
        <v>2661.07</v>
      </c>
      <c r="I103" s="1165">
        <v>204688428.5</v>
      </c>
      <c r="J103" s="1182">
        <v>61</v>
      </c>
      <c r="K103" s="1201">
        <v>1.50598189020939</v>
      </c>
      <c r="L103" s="1202">
        <v>1.61783083874976</v>
      </c>
      <c r="M103" s="906">
        <v>6</v>
      </c>
      <c r="N103" s="1123">
        <v>40</v>
      </c>
      <c r="O103" s="1123">
        <v>11</v>
      </c>
      <c r="P103" s="1185">
        <v>3</v>
      </c>
      <c r="Q103" s="1167">
        <v>1</v>
      </c>
      <c r="R103" s="949"/>
      <c r="S103" s="949"/>
      <c r="T103" s="949"/>
      <c r="U103" s="930"/>
    </row>
    <row r="104" spans="1:21" ht="25.5">
      <c r="A104" s="692" t="s">
        <v>115</v>
      </c>
      <c r="B104" s="686" t="s">
        <v>100</v>
      </c>
      <c r="C104" s="693" t="s">
        <v>97</v>
      </c>
      <c r="D104" s="688" t="s">
        <v>95</v>
      </c>
      <c r="E104" s="1051" t="s">
        <v>494</v>
      </c>
      <c r="F104" s="138" t="s">
        <v>495</v>
      </c>
      <c r="G104" s="139" t="s">
        <v>496</v>
      </c>
      <c r="H104" s="140" t="s">
        <v>101</v>
      </c>
      <c r="I104" s="141" t="s">
        <v>98</v>
      </c>
      <c r="J104" s="141" t="s">
        <v>96</v>
      </c>
      <c r="K104" s="495" t="s">
        <v>715</v>
      </c>
      <c r="L104" s="1027" t="s">
        <v>716</v>
      </c>
      <c r="M104" s="1087">
        <v>0</v>
      </c>
      <c r="N104" s="1033">
        <v>1</v>
      </c>
      <c r="O104" s="1033">
        <v>2</v>
      </c>
      <c r="P104" s="1033">
        <v>3</v>
      </c>
      <c r="Q104" s="1104">
        <v>4</v>
      </c>
      <c r="R104" s="950"/>
      <c r="S104" s="950"/>
      <c r="T104" s="950"/>
      <c r="U104" s="951"/>
    </row>
    <row r="105" spans="1:21">
      <c r="A105" s="1035" t="s">
        <v>16</v>
      </c>
      <c r="B105" s="1197">
        <v>618.45000000000005</v>
      </c>
      <c r="C105" s="939">
        <v>44282101.848400503</v>
      </c>
      <c r="D105" s="1069">
        <v>16</v>
      </c>
      <c r="E105" s="1129">
        <v>1532.42</v>
      </c>
      <c r="F105" s="149">
        <v>115691319.69</v>
      </c>
      <c r="G105" s="940">
        <v>31</v>
      </c>
      <c r="H105" s="148">
        <v>1532.42</v>
      </c>
      <c r="I105" s="149">
        <v>114826829.01000001</v>
      </c>
      <c r="J105" s="220">
        <v>31</v>
      </c>
      <c r="K105" s="943">
        <v>2.4778397606920501</v>
      </c>
      <c r="L105" s="1061">
        <v>2.5930754010527499</v>
      </c>
      <c r="M105" s="1090">
        <v>0</v>
      </c>
      <c r="N105" s="339">
        <v>19</v>
      </c>
      <c r="O105" s="339">
        <v>8</v>
      </c>
      <c r="P105" s="339">
        <v>3</v>
      </c>
      <c r="Q105" s="1099">
        <v>1</v>
      </c>
      <c r="R105" s="949"/>
      <c r="S105" s="949"/>
      <c r="T105" s="949"/>
      <c r="U105" s="930"/>
    </row>
    <row r="106" spans="1:21">
      <c r="A106" s="1110" t="s">
        <v>575</v>
      </c>
      <c r="B106" s="1128">
        <v>618.45000000000005</v>
      </c>
      <c r="C106" s="958">
        <v>44282101.848400503</v>
      </c>
      <c r="D106" s="1054">
        <v>16</v>
      </c>
      <c r="E106" s="1222">
        <v>704.84</v>
      </c>
      <c r="F106" s="359">
        <v>58942211.43</v>
      </c>
      <c r="G106" s="959">
        <v>19</v>
      </c>
      <c r="H106" s="967">
        <v>703.19</v>
      </c>
      <c r="I106" s="1224">
        <v>58025852.770000003</v>
      </c>
      <c r="J106" s="1223">
        <v>19</v>
      </c>
      <c r="K106" s="1063">
        <v>1.1370199692780301</v>
      </c>
      <c r="L106" s="1064">
        <v>1.3103680798316899</v>
      </c>
      <c r="M106" s="1225">
        <v>5</v>
      </c>
      <c r="N106" s="930">
        <v>12</v>
      </c>
      <c r="O106" s="930">
        <v>2</v>
      </c>
      <c r="P106" s="930">
        <v>0</v>
      </c>
      <c r="Q106" s="1226">
        <v>0</v>
      </c>
      <c r="R106" s="949"/>
      <c r="S106" s="949"/>
      <c r="T106" s="949"/>
      <c r="U106" s="930"/>
    </row>
    <row r="107" spans="1:21">
      <c r="A107" s="906" t="s">
        <v>114</v>
      </c>
      <c r="B107" s="1171">
        <v>1236.9000000000001</v>
      </c>
      <c r="C107" s="1165">
        <v>88564203.696801007</v>
      </c>
      <c r="D107" s="1166">
        <v>32</v>
      </c>
      <c r="E107" s="1173">
        <v>2237.2600000000002</v>
      </c>
      <c r="F107" s="1165">
        <v>174633531.12</v>
      </c>
      <c r="G107" s="1166">
        <v>50</v>
      </c>
      <c r="H107" s="1171">
        <v>2235.61</v>
      </c>
      <c r="I107" s="1165">
        <v>172852681.78</v>
      </c>
      <c r="J107" s="1182">
        <v>50</v>
      </c>
      <c r="K107" s="1183">
        <v>1.80742986498504</v>
      </c>
      <c r="L107" s="1184">
        <v>1.95172174044222</v>
      </c>
      <c r="M107" s="906">
        <v>5</v>
      </c>
      <c r="N107" s="1123">
        <v>31</v>
      </c>
      <c r="O107" s="1123">
        <v>10</v>
      </c>
      <c r="P107" s="1123">
        <v>3</v>
      </c>
      <c r="Q107" s="1167">
        <v>1</v>
      </c>
      <c r="R107" s="949"/>
      <c r="S107" s="949"/>
      <c r="T107" s="949"/>
      <c r="U107" s="930"/>
    </row>
    <row r="108" spans="1:21">
      <c r="A108" s="7"/>
      <c r="B108" s="968"/>
      <c r="C108" s="968"/>
      <c r="D108" s="969"/>
      <c r="E108" s="7"/>
      <c r="F108" s="7"/>
      <c r="G108" s="7"/>
      <c r="H108" s="134"/>
      <c r="I108" s="134"/>
      <c r="J108" s="134"/>
      <c r="K108" s="7"/>
      <c r="L108" s="994"/>
      <c r="M108" s="134"/>
      <c r="N108" s="134"/>
      <c r="O108" s="134"/>
      <c r="P108" s="262"/>
      <c r="Q108" s="134"/>
      <c r="R108" s="949"/>
      <c r="S108" s="949"/>
      <c r="T108" s="949"/>
      <c r="U108" s="930"/>
    </row>
    <row r="109" spans="1:21">
      <c r="A109" s="2293" t="s">
        <v>713</v>
      </c>
      <c r="B109" s="2294"/>
      <c r="C109" s="972" t="s">
        <v>718</v>
      </c>
      <c r="D109" s="2295"/>
      <c r="E109" s="2296"/>
      <c r="F109" s="2296"/>
      <c r="G109" s="2296"/>
      <c r="H109" s="2296"/>
      <c r="I109" s="2296"/>
      <c r="J109" s="2296"/>
      <c r="K109" s="2296"/>
      <c r="L109" s="2296"/>
      <c r="M109" s="2296"/>
      <c r="N109" s="2296"/>
      <c r="O109" s="2296"/>
      <c r="P109" s="2296"/>
      <c r="Q109" s="7"/>
      <c r="R109" s="949"/>
      <c r="S109" s="949"/>
      <c r="T109" s="949"/>
      <c r="U109" s="930"/>
    </row>
    <row r="110" spans="1:21" ht="25.5">
      <c r="A110" s="685" t="s">
        <v>1</v>
      </c>
      <c r="B110" s="723" t="s">
        <v>100</v>
      </c>
      <c r="C110" s="724" t="s">
        <v>97</v>
      </c>
      <c r="D110" s="688" t="s">
        <v>95</v>
      </c>
      <c r="E110" s="1022" t="s">
        <v>494</v>
      </c>
      <c r="F110" s="138" t="s">
        <v>495</v>
      </c>
      <c r="G110" s="1082" t="s">
        <v>496</v>
      </c>
      <c r="H110" s="980" t="s">
        <v>101</v>
      </c>
      <c r="I110" s="141" t="s">
        <v>98</v>
      </c>
      <c r="J110" s="141" t="s">
        <v>96</v>
      </c>
      <c r="K110" s="141" t="s">
        <v>715</v>
      </c>
      <c r="L110" s="1026" t="s">
        <v>716</v>
      </c>
      <c r="M110" s="1087">
        <v>0</v>
      </c>
      <c r="N110" s="1033">
        <v>1</v>
      </c>
      <c r="O110" s="1033">
        <v>2</v>
      </c>
      <c r="P110" s="1033">
        <v>3</v>
      </c>
      <c r="Q110" s="1104">
        <v>4</v>
      </c>
      <c r="R110" s="950"/>
      <c r="S110" s="950"/>
      <c r="T110" s="950"/>
      <c r="U110" s="951"/>
    </row>
    <row r="111" spans="1:21">
      <c r="A111" s="936" t="s">
        <v>73</v>
      </c>
      <c r="B111" s="514">
        <v>282</v>
      </c>
      <c r="C111" s="549">
        <v>20191693.29978</v>
      </c>
      <c r="D111" s="1174">
        <v>7</v>
      </c>
      <c r="E111" s="267">
        <v>572</v>
      </c>
      <c r="F111" s="146">
        <v>45923236.759999998</v>
      </c>
      <c r="G111" s="702">
        <v>13</v>
      </c>
      <c r="H111" s="514">
        <v>572</v>
      </c>
      <c r="I111" s="146">
        <v>45802111.759999998</v>
      </c>
      <c r="J111" s="1190">
        <v>13</v>
      </c>
      <c r="K111" s="943">
        <v>2.0283687943262398</v>
      </c>
      <c r="L111" s="1061">
        <v>2.26836407823702</v>
      </c>
      <c r="M111" s="1148" t="s">
        <v>830</v>
      </c>
      <c r="N111" s="1008">
        <v>8</v>
      </c>
      <c r="O111" s="1008">
        <v>4</v>
      </c>
      <c r="P111" s="1008">
        <v>0</v>
      </c>
      <c r="Q111" s="1106">
        <v>0</v>
      </c>
      <c r="R111" s="949"/>
      <c r="S111" s="949"/>
      <c r="T111" s="949"/>
      <c r="U111" s="930"/>
    </row>
    <row r="112" spans="1:21">
      <c r="A112" s="952" t="s">
        <v>77</v>
      </c>
      <c r="B112" s="514">
        <v>401</v>
      </c>
      <c r="C112" s="549">
        <v>28712301.465289999</v>
      </c>
      <c r="D112" s="1174">
        <v>11</v>
      </c>
      <c r="E112" s="271">
        <v>927.57</v>
      </c>
      <c r="F112" s="52">
        <v>74722252.730000004</v>
      </c>
      <c r="G112" s="717">
        <v>19</v>
      </c>
      <c r="H112" s="514">
        <v>987.53</v>
      </c>
      <c r="I112" s="146">
        <v>80023981.5</v>
      </c>
      <c r="J112" s="1190">
        <v>20</v>
      </c>
      <c r="K112" s="943">
        <v>2.4626683291770601</v>
      </c>
      <c r="L112" s="1061">
        <v>2.7870974257058498</v>
      </c>
      <c r="M112" s="1148">
        <v>1</v>
      </c>
      <c r="N112" s="1008">
        <v>11</v>
      </c>
      <c r="O112" s="1008">
        <v>6</v>
      </c>
      <c r="P112" s="1008">
        <v>1</v>
      </c>
      <c r="Q112" s="1106">
        <v>1</v>
      </c>
      <c r="R112" s="949"/>
      <c r="S112" s="949"/>
      <c r="T112" s="949"/>
      <c r="U112" s="930"/>
    </row>
    <row r="113" spans="1:21">
      <c r="A113" s="952" t="s">
        <v>471</v>
      </c>
      <c r="B113" s="514">
        <v>282</v>
      </c>
      <c r="C113" s="549">
        <v>20191693.29978</v>
      </c>
      <c r="D113" s="1174">
        <v>7</v>
      </c>
      <c r="E113" s="271">
        <v>299.73</v>
      </c>
      <c r="F113" s="52">
        <v>25410500.140000001</v>
      </c>
      <c r="G113" s="717">
        <v>8</v>
      </c>
      <c r="H113" s="514">
        <v>465.67</v>
      </c>
      <c r="I113" s="146">
        <v>38418214.390000001</v>
      </c>
      <c r="J113" s="1190">
        <v>12</v>
      </c>
      <c r="K113" s="943">
        <v>1.6513120567375901</v>
      </c>
      <c r="L113" s="1061">
        <v>1.9026742244752</v>
      </c>
      <c r="M113" s="1148">
        <v>2</v>
      </c>
      <c r="N113" s="1008">
        <v>8</v>
      </c>
      <c r="O113" s="1008">
        <v>2</v>
      </c>
      <c r="P113" s="1008">
        <v>0</v>
      </c>
      <c r="Q113" s="1106">
        <v>0</v>
      </c>
      <c r="R113" s="949"/>
      <c r="S113" s="949"/>
      <c r="T113" s="949"/>
      <c r="U113" s="930"/>
    </row>
    <row r="114" spans="1:21">
      <c r="A114" s="952" t="s">
        <v>20</v>
      </c>
      <c r="B114" s="514">
        <v>401</v>
      </c>
      <c r="C114" s="549">
        <v>28712301.465289999</v>
      </c>
      <c r="D114" s="1174">
        <v>11</v>
      </c>
      <c r="E114" s="271">
        <v>612.70000000000005</v>
      </c>
      <c r="F114" s="52">
        <v>46938863.880000003</v>
      </c>
      <c r="G114" s="717">
        <v>15</v>
      </c>
      <c r="H114" s="514">
        <v>686.82</v>
      </c>
      <c r="I114" s="146">
        <v>52098283.030000001</v>
      </c>
      <c r="J114" s="1190">
        <v>17</v>
      </c>
      <c r="K114" s="943">
        <v>1.7127680798005001</v>
      </c>
      <c r="L114" s="1061">
        <v>1.8144934530232999</v>
      </c>
      <c r="M114" s="1148">
        <v>0</v>
      </c>
      <c r="N114" s="1008">
        <v>16</v>
      </c>
      <c r="O114" s="1008">
        <v>0</v>
      </c>
      <c r="P114" s="1008">
        <v>1</v>
      </c>
      <c r="Q114" s="1106">
        <v>0</v>
      </c>
      <c r="R114" s="949"/>
      <c r="S114" s="949"/>
      <c r="T114" s="949"/>
      <c r="U114" s="930"/>
    </row>
    <row r="115" spans="1:21">
      <c r="A115" s="956" t="s">
        <v>63</v>
      </c>
      <c r="B115" s="514">
        <v>401</v>
      </c>
      <c r="C115" s="549">
        <v>28712301.465289999</v>
      </c>
      <c r="D115" s="1174">
        <v>11</v>
      </c>
      <c r="E115" s="315">
        <v>481.98</v>
      </c>
      <c r="F115" s="363">
        <v>39103647.789999999</v>
      </c>
      <c r="G115" s="703">
        <v>11</v>
      </c>
      <c r="H115" s="1175">
        <v>518.27</v>
      </c>
      <c r="I115" s="403">
        <v>41996631.259999998</v>
      </c>
      <c r="J115" s="1191">
        <v>12</v>
      </c>
      <c r="K115" s="1192">
        <v>1.2924438902743101</v>
      </c>
      <c r="L115" s="1061">
        <v>1.46267032305889</v>
      </c>
      <c r="M115" s="1148">
        <v>3</v>
      </c>
      <c r="N115" s="1008">
        <v>5</v>
      </c>
      <c r="O115" s="1008">
        <v>3</v>
      </c>
      <c r="P115" s="1008">
        <v>1</v>
      </c>
      <c r="Q115" s="1106">
        <v>0</v>
      </c>
      <c r="R115" s="949"/>
      <c r="S115" s="949"/>
      <c r="T115" s="949"/>
      <c r="U115" s="930"/>
    </row>
    <row r="116" spans="1:21">
      <c r="A116" s="1176" t="s">
        <v>114</v>
      </c>
      <c r="B116" s="1177">
        <v>1767</v>
      </c>
      <c r="C116" s="1178">
        <v>126520290.99542999</v>
      </c>
      <c r="D116" s="1179">
        <v>47</v>
      </c>
      <c r="E116" s="1172">
        <v>2893.98</v>
      </c>
      <c r="F116" s="1165">
        <v>232098501.30000001</v>
      </c>
      <c r="G116" s="1180">
        <v>66</v>
      </c>
      <c r="H116" s="1172">
        <v>3230.29</v>
      </c>
      <c r="I116" s="1165">
        <v>258339221.94</v>
      </c>
      <c r="J116" s="1193">
        <v>74</v>
      </c>
      <c r="K116" s="1201">
        <v>1.8281211092246701</v>
      </c>
      <c r="L116" s="1061">
        <v>2.0418797641662998</v>
      </c>
      <c r="M116" s="906">
        <v>6</v>
      </c>
      <c r="N116" s="1123">
        <v>48</v>
      </c>
      <c r="O116" s="1123">
        <v>15</v>
      </c>
      <c r="P116" s="1185">
        <v>3</v>
      </c>
      <c r="Q116" s="1167">
        <v>1</v>
      </c>
      <c r="R116" s="949"/>
      <c r="S116" s="949"/>
      <c r="T116" s="949"/>
      <c r="U116" s="930"/>
    </row>
    <row r="117" spans="1:21" ht="25.5">
      <c r="A117" s="685" t="s">
        <v>115</v>
      </c>
      <c r="B117" s="723" t="s">
        <v>100</v>
      </c>
      <c r="C117" s="1086" t="s">
        <v>97</v>
      </c>
      <c r="D117" s="688" t="s">
        <v>95</v>
      </c>
      <c r="E117" s="1022" t="s">
        <v>494</v>
      </c>
      <c r="F117" s="138" t="s">
        <v>495</v>
      </c>
      <c r="G117" s="139" t="s">
        <v>496</v>
      </c>
      <c r="H117" s="980" t="s">
        <v>101</v>
      </c>
      <c r="I117" s="141" t="s">
        <v>98</v>
      </c>
      <c r="J117" s="141" t="s">
        <v>96</v>
      </c>
      <c r="K117" s="141" t="s">
        <v>715</v>
      </c>
      <c r="L117" s="1026" t="s">
        <v>716</v>
      </c>
      <c r="M117" s="1087">
        <v>0</v>
      </c>
      <c r="N117" s="1033">
        <v>1</v>
      </c>
      <c r="O117" s="1033">
        <v>2</v>
      </c>
      <c r="P117" s="1033">
        <v>3</v>
      </c>
      <c r="Q117" s="1104">
        <v>4</v>
      </c>
      <c r="R117" s="950"/>
      <c r="S117" s="950"/>
      <c r="T117" s="950"/>
      <c r="U117" s="951"/>
    </row>
    <row r="118" spans="1:21">
      <c r="A118" s="936" t="s">
        <v>16</v>
      </c>
      <c r="B118" s="1132">
        <v>618.45000000000005</v>
      </c>
      <c r="C118" s="549">
        <v>44282101.848400503</v>
      </c>
      <c r="D118" s="1181">
        <v>16</v>
      </c>
      <c r="E118" s="997">
        <v>1756.35</v>
      </c>
      <c r="F118" s="146">
        <v>137844871.06</v>
      </c>
      <c r="G118" s="689">
        <v>36</v>
      </c>
      <c r="H118" s="877">
        <v>1756.25</v>
      </c>
      <c r="I118" s="146">
        <v>136980930.38</v>
      </c>
      <c r="J118" s="878">
        <v>36</v>
      </c>
      <c r="K118" s="221">
        <v>2.8397606920527099</v>
      </c>
      <c r="L118" s="222">
        <v>3.09337011257852</v>
      </c>
      <c r="M118" s="1148">
        <v>1</v>
      </c>
      <c r="N118" s="1008">
        <v>21</v>
      </c>
      <c r="O118" s="1008">
        <v>10</v>
      </c>
      <c r="P118" s="1008">
        <v>3</v>
      </c>
      <c r="Q118" s="1106">
        <v>1</v>
      </c>
      <c r="R118" s="949"/>
      <c r="S118" s="949"/>
      <c r="T118" s="949"/>
      <c r="U118" s="930"/>
    </row>
    <row r="119" spans="1:21">
      <c r="A119" s="956" t="s">
        <v>575</v>
      </c>
      <c r="B119" s="362">
        <v>618.45000000000005</v>
      </c>
      <c r="C119" s="550">
        <v>44282101.848400503</v>
      </c>
      <c r="D119" s="1181">
        <v>16</v>
      </c>
      <c r="E119" s="999">
        <v>915.63</v>
      </c>
      <c r="F119" s="363">
        <v>78190133.829999998</v>
      </c>
      <c r="G119" s="366">
        <v>24</v>
      </c>
      <c r="H119" s="364">
        <v>913.98</v>
      </c>
      <c r="I119" s="363">
        <v>77273775.170000002</v>
      </c>
      <c r="J119" s="365">
        <v>24</v>
      </c>
      <c r="K119" s="360">
        <v>1.4778559301479499</v>
      </c>
      <c r="L119" s="361">
        <v>1.74503404184712</v>
      </c>
      <c r="M119" s="1148">
        <v>5</v>
      </c>
      <c r="N119" s="1008">
        <v>16</v>
      </c>
      <c r="O119" s="1008">
        <v>3</v>
      </c>
      <c r="P119" s="1008">
        <v>0</v>
      </c>
      <c r="Q119" s="1106">
        <v>0</v>
      </c>
      <c r="R119" s="949"/>
      <c r="S119" s="949"/>
      <c r="T119" s="949"/>
      <c r="U119" s="930"/>
    </row>
    <row r="120" spans="1:21">
      <c r="A120" s="975" t="s">
        <v>114</v>
      </c>
      <c r="B120" s="1177">
        <v>1236.9000000000001</v>
      </c>
      <c r="C120" s="1178">
        <v>88564203.696801007</v>
      </c>
      <c r="D120" s="1123">
        <v>32</v>
      </c>
      <c r="E120" s="1171">
        <v>2671.98</v>
      </c>
      <c r="F120" s="1182">
        <v>216035004.88999999</v>
      </c>
      <c r="G120" s="1166">
        <v>60</v>
      </c>
      <c r="H120" s="1173">
        <v>2670.23</v>
      </c>
      <c r="I120" s="1182">
        <v>214254705.55000001</v>
      </c>
      <c r="J120" s="1182">
        <v>60</v>
      </c>
      <c r="K120" s="1183">
        <v>2.15880831110033</v>
      </c>
      <c r="L120" s="1184">
        <v>2.41920207721282</v>
      </c>
      <c r="M120" s="906">
        <v>6</v>
      </c>
      <c r="N120" s="1123">
        <v>37</v>
      </c>
      <c r="O120" s="1123">
        <v>13</v>
      </c>
      <c r="P120" s="1123">
        <v>3</v>
      </c>
      <c r="Q120" s="1167">
        <v>1</v>
      </c>
      <c r="R120" s="949"/>
      <c r="S120" s="949"/>
      <c r="T120" s="949"/>
      <c r="U120" s="930"/>
    </row>
    <row r="121" spans="1:21">
      <c r="A121" s="65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30"/>
    </row>
    <row r="122" spans="1:21">
      <c r="A122" s="2301" t="s">
        <v>945</v>
      </c>
      <c r="B122" s="2302"/>
      <c r="C122" s="2302"/>
      <c r="D122" s="2302"/>
      <c r="E122" s="2302"/>
      <c r="F122" s="2302"/>
      <c r="G122" s="2302"/>
      <c r="H122" s="2303"/>
      <c r="I122" s="2303"/>
      <c r="J122" s="2303"/>
      <c r="K122" s="2303"/>
      <c r="L122" s="2303"/>
      <c r="M122" s="2303"/>
      <c r="N122" s="2304"/>
      <c r="O122" s="949"/>
      <c r="P122" s="949"/>
      <c r="Q122" s="86"/>
      <c r="R122" s="949"/>
      <c r="S122" s="949"/>
      <c r="T122" s="949"/>
      <c r="U122" s="930"/>
    </row>
    <row r="123" spans="1:21" ht="25.5">
      <c r="A123" s="685" t="s">
        <v>1</v>
      </c>
      <c r="B123" s="723" t="s">
        <v>101</v>
      </c>
      <c r="C123" s="724" t="s">
        <v>98</v>
      </c>
      <c r="D123" s="688" t="s">
        <v>96</v>
      </c>
      <c r="E123" s="1022" t="s">
        <v>494</v>
      </c>
      <c r="F123" s="138" t="s">
        <v>495</v>
      </c>
      <c r="G123" s="296" t="s">
        <v>496</v>
      </c>
      <c r="H123" s="140" t="s">
        <v>946</v>
      </c>
      <c r="I123" s="141" t="s">
        <v>947</v>
      </c>
      <c r="J123" s="1150">
        <v>0</v>
      </c>
      <c r="K123" s="1150">
        <v>1</v>
      </c>
      <c r="L123" s="1150">
        <v>2</v>
      </c>
      <c r="M123" s="1150">
        <v>3</v>
      </c>
      <c r="N123" s="1151">
        <v>4</v>
      </c>
      <c r="O123" s="949"/>
      <c r="P123" s="949"/>
      <c r="Q123" s="86"/>
      <c r="R123" s="949"/>
      <c r="S123" s="949"/>
      <c r="T123" s="949"/>
      <c r="U123" s="930"/>
    </row>
    <row r="124" spans="1:21">
      <c r="A124" s="985" t="s">
        <v>73</v>
      </c>
      <c r="B124" s="291">
        <v>0</v>
      </c>
      <c r="C124" s="292">
        <v>0</v>
      </c>
      <c r="D124" s="694">
        <v>0</v>
      </c>
      <c r="E124" s="1015"/>
      <c r="F124" s="292"/>
      <c r="G124" s="720"/>
      <c r="H124" s="291">
        <v>0</v>
      </c>
      <c r="I124" s="312">
        <v>0</v>
      </c>
      <c r="J124" s="346">
        <v>0</v>
      </c>
      <c r="K124" s="243">
        <v>0</v>
      </c>
      <c r="L124" s="243">
        <v>0</v>
      </c>
      <c r="M124" s="243">
        <v>0</v>
      </c>
      <c r="N124" s="246">
        <v>0</v>
      </c>
      <c r="O124" s="949"/>
      <c r="P124" s="949"/>
      <c r="Q124" s="86"/>
      <c r="R124" s="949"/>
      <c r="S124" s="949"/>
      <c r="T124" s="949"/>
      <c r="U124" s="930"/>
    </row>
    <row r="125" spans="1:21">
      <c r="A125" s="981" t="s">
        <v>77</v>
      </c>
      <c r="B125" s="271">
        <v>0</v>
      </c>
      <c r="C125" s="52">
        <v>0</v>
      </c>
      <c r="D125" s="717">
        <v>0</v>
      </c>
      <c r="E125" s="416"/>
      <c r="F125" s="52"/>
      <c r="G125" s="421"/>
      <c r="H125" s="271">
        <v>0</v>
      </c>
      <c r="I125" s="272">
        <v>0</v>
      </c>
      <c r="J125" s="257">
        <v>0</v>
      </c>
      <c r="K125" s="226">
        <v>0</v>
      </c>
      <c r="L125" s="226">
        <v>0</v>
      </c>
      <c r="M125" s="226">
        <v>0</v>
      </c>
      <c r="N125" s="227">
        <v>0</v>
      </c>
      <c r="O125" s="949"/>
      <c r="P125" s="949"/>
      <c r="Q125" s="86"/>
      <c r="R125" s="949"/>
      <c r="S125" s="949"/>
      <c r="T125" s="949"/>
      <c r="U125" s="930"/>
    </row>
    <row r="126" spans="1:21">
      <c r="A126" s="981" t="s">
        <v>471</v>
      </c>
      <c r="B126" s="271">
        <v>129.52000000000001</v>
      </c>
      <c r="C126" s="52">
        <v>9921995.7699999996</v>
      </c>
      <c r="D126" s="717">
        <v>3</v>
      </c>
      <c r="E126" s="416"/>
      <c r="F126" s="52"/>
      <c r="G126" s="421"/>
      <c r="H126" s="271">
        <v>64.760000000000005</v>
      </c>
      <c r="I126" s="272">
        <v>4960997.8849999998</v>
      </c>
      <c r="J126" s="257">
        <v>0</v>
      </c>
      <c r="K126" s="226">
        <v>2</v>
      </c>
      <c r="L126" s="226">
        <v>1</v>
      </c>
      <c r="M126" s="226">
        <v>0</v>
      </c>
      <c r="N126" s="227">
        <v>0</v>
      </c>
      <c r="O126" s="949"/>
      <c r="P126" s="949"/>
      <c r="Q126" s="86"/>
      <c r="R126" s="949"/>
      <c r="S126" s="949"/>
      <c r="T126" s="949"/>
      <c r="U126" s="930"/>
    </row>
    <row r="127" spans="1:21">
      <c r="A127" s="981" t="s">
        <v>20</v>
      </c>
      <c r="B127" s="271">
        <v>74.22</v>
      </c>
      <c r="C127" s="52">
        <v>5624539.2999999998</v>
      </c>
      <c r="D127" s="717">
        <v>2</v>
      </c>
      <c r="E127" s="416"/>
      <c r="F127" s="52"/>
      <c r="G127" s="421"/>
      <c r="H127" s="271">
        <v>37.11</v>
      </c>
      <c r="I127" s="272">
        <v>2812269.65</v>
      </c>
      <c r="J127" s="257">
        <v>0</v>
      </c>
      <c r="K127" s="226">
        <v>2</v>
      </c>
      <c r="L127" s="226">
        <v>0</v>
      </c>
      <c r="M127" s="226">
        <v>0</v>
      </c>
      <c r="N127" s="227">
        <v>0</v>
      </c>
      <c r="O127" s="949"/>
      <c r="P127" s="949"/>
      <c r="Q127" s="86"/>
      <c r="R127" s="949"/>
      <c r="S127" s="949"/>
      <c r="T127" s="949"/>
      <c r="U127" s="930"/>
    </row>
    <row r="128" spans="1:21">
      <c r="A128" s="981" t="s">
        <v>63</v>
      </c>
      <c r="B128" s="271">
        <v>144.19</v>
      </c>
      <c r="C128" s="52">
        <v>10772140.050000001</v>
      </c>
      <c r="D128" s="717">
        <v>3</v>
      </c>
      <c r="E128" s="416"/>
      <c r="F128" s="52"/>
      <c r="G128" s="421"/>
      <c r="H128" s="271">
        <v>91.55</v>
      </c>
      <c r="I128" s="272">
        <v>7436227.2249999996</v>
      </c>
      <c r="J128" s="257">
        <v>1</v>
      </c>
      <c r="K128" s="226">
        <v>2</v>
      </c>
      <c r="L128" s="226">
        <v>0</v>
      </c>
      <c r="M128" s="226">
        <v>1</v>
      </c>
      <c r="N128" s="227">
        <v>0</v>
      </c>
      <c r="O128" s="949"/>
      <c r="P128" s="949"/>
      <c r="Q128" s="86"/>
      <c r="R128" s="949"/>
      <c r="S128" s="949"/>
      <c r="T128" s="949"/>
      <c r="U128" s="930"/>
    </row>
    <row r="129" spans="1:21">
      <c r="A129" s="982" t="s">
        <v>29</v>
      </c>
      <c r="B129" s="516">
        <v>121.53</v>
      </c>
      <c r="C129" s="554">
        <v>9840575.4800000004</v>
      </c>
      <c r="D129" s="695">
        <v>4</v>
      </c>
      <c r="E129" s="329">
        <v>123.16</v>
      </c>
      <c r="F129" s="958">
        <v>9896315.4800000004</v>
      </c>
      <c r="G129" s="959">
        <v>4</v>
      </c>
      <c r="H129" s="516">
        <v>60.765000000000001</v>
      </c>
      <c r="I129" s="517">
        <v>4920287.74</v>
      </c>
      <c r="J129" s="426">
        <v>2</v>
      </c>
      <c r="K129" s="251">
        <v>2</v>
      </c>
      <c r="L129" s="251">
        <v>0</v>
      </c>
      <c r="M129" s="251">
        <v>0</v>
      </c>
      <c r="N129" s="254">
        <v>0</v>
      </c>
      <c r="O129" s="949"/>
      <c r="P129" s="949"/>
      <c r="Q129" s="86"/>
      <c r="R129" s="949"/>
      <c r="S129" s="949"/>
      <c r="T129" s="949"/>
      <c r="U129" s="930"/>
    </row>
    <row r="130" spans="1:21">
      <c r="A130" s="984" t="s">
        <v>114</v>
      </c>
      <c r="B130" s="323">
        <v>469.46</v>
      </c>
      <c r="C130" s="429">
        <v>36159250.600000001</v>
      </c>
      <c r="D130" s="319">
        <v>12</v>
      </c>
      <c r="E130" s="428">
        <v>123.16</v>
      </c>
      <c r="F130" s="429">
        <v>9896315.4800000004</v>
      </c>
      <c r="G130" s="322">
        <v>4</v>
      </c>
      <c r="H130" s="323">
        <v>254.185</v>
      </c>
      <c r="I130" s="324">
        <v>20129782.5</v>
      </c>
      <c r="J130" s="320">
        <v>3</v>
      </c>
      <c r="K130" s="321">
        <v>8</v>
      </c>
      <c r="L130" s="321">
        <v>1</v>
      </c>
      <c r="M130" s="321">
        <v>1</v>
      </c>
      <c r="N130" s="319">
        <v>0</v>
      </c>
      <c r="O130" s="949"/>
      <c r="P130" s="949"/>
      <c r="Q130" s="86"/>
      <c r="R130" s="949"/>
      <c r="S130" s="949"/>
      <c r="T130" s="949"/>
      <c r="U130" s="930"/>
    </row>
    <row r="131" spans="1:21" ht="25.5">
      <c r="A131" s="725" t="s">
        <v>115</v>
      </c>
      <c r="B131" s="706" t="s">
        <v>101</v>
      </c>
      <c r="C131" s="726" t="s">
        <v>98</v>
      </c>
      <c r="D131" s="708" t="s">
        <v>96</v>
      </c>
      <c r="E131" s="1024" t="s">
        <v>494</v>
      </c>
      <c r="F131" s="487" t="s">
        <v>495</v>
      </c>
      <c r="G131" s="524" t="s">
        <v>496</v>
      </c>
      <c r="H131" s="489" t="s">
        <v>946</v>
      </c>
      <c r="I131" s="525" t="s">
        <v>947</v>
      </c>
      <c r="J131" s="1103">
        <v>0</v>
      </c>
      <c r="K131" s="1096">
        <v>1</v>
      </c>
      <c r="L131" s="1096">
        <v>2</v>
      </c>
      <c r="M131" s="1096">
        <v>3</v>
      </c>
      <c r="N131" s="1097">
        <v>4</v>
      </c>
      <c r="O131" s="949"/>
      <c r="P131" s="949"/>
      <c r="Q131" s="86"/>
      <c r="R131" s="949"/>
      <c r="S131" s="949"/>
      <c r="T131" s="949"/>
      <c r="U131" s="930"/>
    </row>
    <row r="132" spans="1:21">
      <c r="A132" s="985" t="s">
        <v>16</v>
      </c>
      <c r="B132" s="291">
        <v>249.39</v>
      </c>
      <c r="C132" s="292">
        <v>18298216.190000001</v>
      </c>
      <c r="D132" s="694">
        <v>5</v>
      </c>
      <c r="E132" s="551"/>
      <c r="F132" s="292"/>
      <c r="G132" s="552"/>
      <c r="H132" s="291">
        <v>144.15</v>
      </c>
      <c r="I132" s="312">
        <v>11199265.295</v>
      </c>
      <c r="J132" s="346">
        <v>0</v>
      </c>
      <c r="K132" s="243">
        <v>4</v>
      </c>
      <c r="L132" s="243">
        <v>1</v>
      </c>
      <c r="M132" s="243">
        <v>1</v>
      </c>
      <c r="N132" s="246">
        <v>0</v>
      </c>
      <c r="O132" s="949"/>
      <c r="P132" s="949"/>
      <c r="Q132" s="86"/>
      <c r="R132" s="949"/>
      <c r="S132" s="949"/>
      <c r="T132" s="949"/>
      <c r="U132" s="930"/>
    </row>
    <row r="133" spans="1:21">
      <c r="A133" s="981" t="s">
        <v>575</v>
      </c>
      <c r="B133" s="271">
        <v>98.59</v>
      </c>
      <c r="C133" s="52">
        <v>8433016.9299999997</v>
      </c>
      <c r="D133" s="717">
        <v>3</v>
      </c>
      <c r="E133" s="325"/>
      <c r="F133" s="52"/>
      <c r="G133" s="1227"/>
      <c r="H133" s="271">
        <v>49.295000000000002</v>
      </c>
      <c r="I133" s="272">
        <v>4216508.4649999999</v>
      </c>
      <c r="J133" s="257">
        <v>1</v>
      </c>
      <c r="K133" s="226">
        <v>2</v>
      </c>
      <c r="L133" s="226">
        <v>0</v>
      </c>
      <c r="M133" s="226">
        <v>0</v>
      </c>
      <c r="N133" s="227">
        <v>0</v>
      </c>
      <c r="O133" s="949"/>
      <c r="P133" s="949"/>
      <c r="Q133" s="86"/>
      <c r="R133" s="949"/>
      <c r="S133" s="949"/>
      <c r="T133" s="949"/>
      <c r="U133" s="930"/>
    </row>
    <row r="134" spans="1:21">
      <c r="A134" s="982" t="s">
        <v>114</v>
      </c>
      <c r="B134" s="1135">
        <v>347.98</v>
      </c>
      <c r="C134" s="1136">
        <v>26731233.120000001</v>
      </c>
      <c r="D134" s="1137">
        <v>8</v>
      </c>
      <c r="E134" s="1138">
        <v>0</v>
      </c>
      <c r="F134" s="1136">
        <v>0</v>
      </c>
      <c r="G134" s="1139">
        <v>0</v>
      </c>
      <c r="H134" s="1135">
        <v>193.44499999999999</v>
      </c>
      <c r="I134" s="1152">
        <v>15415773.76</v>
      </c>
      <c r="J134" s="1153">
        <v>1</v>
      </c>
      <c r="K134" s="1154">
        <v>6</v>
      </c>
      <c r="L134" s="1154">
        <v>1</v>
      </c>
      <c r="M134" s="1154">
        <v>1</v>
      </c>
      <c r="N134" s="1137">
        <v>0</v>
      </c>
      <c r="O134" s="949"/>
      <c r="P134" s="949"/>
      <c r="Q134" s="86"/>
      <c r="R134" s="949"/>
      <c r="S134" s="949"/>
      <c r="T134" s="949"/>
      <c r="U134" s="930"/>
    </row>
    <row r="135" spans="1:2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2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2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2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2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2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2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2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</row>
    <row r="248" spans="1:22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U248" s="930"/>
    </row>
    <row r="249" spans="1:22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U249" s="930"/>
      <c r="V249" s="931" t="s">
        <v>830</v>
      </c>
    </row>
    <row r="250" spans="1:22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U250" s="930"/>
    </row>
    <row r="251" spans="1:22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U251" s="930"/>
    </row>
    <row r="252" spans="1:22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U252" s="930"/>
    </row>
    <row r="253" spans="1:22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U253" s="930"/>
    </row>
    <row r="254" spans="1:22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U254" s="930"/>
    </row>
    <row r="255" spans="1:22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U255" s="930"/>
    </row>
    <row r="256" spans="1:22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U256" s="930"/>
    </row>
    <row r="257" spans="1:2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T257" s="949"/>
      <c r="U257" s="930"/>
    </row>
    <row r="258" spans="1:2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T258" s="949"/>
      <c r="U258" s="930"/>
    </row>
    <row r="259" spans="1:21">
      <c r="A259" s="65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T259" s="949"/>
      <c r="U259" s="930"/>
    </row>
    <row r="260" spans="1:21">
      <c r="A260" s="65"/>
      <c r="B260" s="65"/>
      <c r="C260" s="65"/>
      <c r="D260" s="65"/>
      <c r="E260" s="65"/>
      <c r="F260" s="949"/>
      <c r="G260" s="65"/>
      <c r="H260" s="65"/>
      <c r="I260" s="949"/>
      <c r="J260" s="65"/>
      <c r="K260" s="65"/>
      <c r="L260" s="65"/>
      <c r="M260" s="949"/>
      <c r="N260" s="65"/>
      <c r="O260" s="949"/>
      <c r="P260" s="949"/>
      <c r="Q260" s="86"/>
      <c r="R260" s="949"/>
      <c r="S260" s="949"/>
      <c r="T260" s="949"/>
      <c r="U260" s="930"/>
    </row>
    <row r="261" spans="1:21">
      <c r="A261" s="65"/>
      <c r="B261" s="65"/>
      <c r="C261" s="65"/>
      <c r="D261" s="65"/>
      <c r="E261" s="65"/>
      <c r="F261" s="949"/>
      <c r="G261" s="65"/>
      <c r="H261" s="65"/>
      <c r="I261" s="949"/>
      <c r="J261" s="65"/>
      <c r="K261" s="65"/>
      <c r="L261" s="65"/>
      <c r="M261" s="949"/>
      <c r="N261" s="65"/>
      <c r="O261" s="949"/>
      <c r="P261" s="949"/>
      <c r="Q261" s="86"/>
      <c r="R261" s="949"/>
      <c r="S261" s="949"/>
      <c r="T261" s="949"/>
      <c r="U261" s="930"/>
    </row>
    <row r="262" spans="1:21">
      <c r="A262" s="65"/>
      <c r="B262" s="65"/>
      <c r="C262" s="65"/>
      <c r="D262" s="65"/>
      <c r="E262" s="65"/>
      <c r="F262" s="949"/>
      <c r="G262" s="65"/>
      <c r="H262" s="65"/>
      <c r="I262" s="949"/>
      <c r="J262" s="65"/>
      <c r="K262" s="65"/>
      <c r="L262" s="65"/>
      <c r="M262" s="949"/>
      <c r="N262" s="65"/>
      <c r="O262" s="949"/>
      <c r="P262" s="949"/>
      <c r="Q262" s="86"/>
      <c r="R262" s="949"/>
      <c r="S262" s="949"/>
      <c r="T262" s="949"/>
      <c r="U262" s="930"/>
    </row>
    <row r="263" spans="1:21">
      <c r="A263" s="65"/>
      <c r="B263" s="65"/>
      <c r="C263" s="65"/>
      <c r="D263" s="65"/>
      <c r="E263" s="65"/>
      <c r="F263" s="949"/>
      <c r="G263" s="65"/>
      <c r="H263" s="65"/>
      <c r="I263" s="949"/>
      <c r="J263" s="65"/>
      <c r="K263" s="65"/>
      <c r="L263" s="65"/>
      <c r="M263" s="949"/>
      <c r="N263" s="65"/>
      <c r="O263" s="949"/>
      <c r="P263" s="949"/>
      <c r="Q263" s="86"/>
      <c r="R263" s="949"/>
      <c r="S263" s="949"/>
      <c r="T263" s="949"/>
      <c r="U263" s="930"/>
    </row>
  </sheetData>
  <sheetProtection formatCells="0" formatColumns="0" formatRows="0" sort="0" autoFilter="0" pivotTables="0"/>
  <mergeCells count="8">
    <mergeCell ref="A109:B109"/>
    <mergeCell ref="D109:P109"/>
    <mergeCell ref="A122:N122"/>
    <mergeCell ref="A1:S1"/>
    <mergeCell ref="A83:B83"/>
    <mergeCell ref="D83:P83"/>
    <mergeCell ref="A96:B96"/>
    <mergeCell ref="D96:P96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000-000000000000}">
          <x14:formula1>
            <xm:f>Списки!$C$3:$C$7</xm:f>
          </x14:formula1>
          <xm:sqref>T6 T10 R34:T34 T37 D3:D82 T40:T44 R35:S47 R3:S33</xm:sqref>
        </x14:dataValidation>
        <x14:dataValidation type="list" allowBlank="1" showInputMessage="1" showErrorMessage="1" xr:uid="{00000000-0002-0000-1000-000001000000}">
          <x14:formula1>
            <xm:f>Списки!$D$2:$D$7</xm:f>
          </x14:formula1>
          <xm:sqref>F3:F82</xm:sqref>
        </x14:dataValidation>
        <x14:dataValidation type="list" allowBlank="1" showInputMessage="1" showErrorMessage="1" xr:uid="{00000000-0002-0000-1000-000002000000}">
          <x14:formula1>
            <xm:f>Списки!$B$2:$B$5</xm:f>
          </x14:formula1>
          <xm:sqref>G3:G82</xm:sqref>
        </x14:dataValidation>
        <x14:dataValidation type="list" allowBlank="1" showInputMessage="1" showErrorMessage="1" xr:uid="{00000000-0002-0000-1000-000003000000}">
          <x14:formula1>
            <xm:f>Списки!$E$2:$E$7</xm:f>
          </x14:formula1>
          <xm:sqref>H3:H82</xm:sqref>
        </x14:dataValidation>
        <x14:dataValidation type="list" allowBlank="1" showInputMessage="1" showErrorMessage="1" xr:uid="{00000000-0002-0000-1000-000004000000}">
          <x14:formula1>
            <xm:f>Списки!$G$2:$G$3</xm:f>
          </x14:formula1>
          <xm:sqref>L3:L82</xm:sqref>
        </x14:dataValidation>
        <x14:dataValidation type="list" allowBlank="1" showInputMessage="1" showErrorMessage="1" xr:uid="{00000000-0002-0000-1000-000005000000}">
          <x14:formula1>
            <xm:f>Списки!$F$2:$F$3</xm:f>
          </x14:formula1>
          <xm:sqref>N3:N82</xm:sqref>
        </x14:dataValidation>
        <x14:dataValidation type="list" allowBlank="1" showInputMessage="1" showErrorMessage="1" xr:uid="{00000000-0002-0000-1000-000006000000}">
          <x14:formula1>
            <xm:f>Списки!$C$3:$C$10</xm:f>
          </x14:formula1>
          <xm:sqref>T3:T5 T7:T9 T11:T33 T35:T36 T38:T39 T45:T47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V264"/>
  <sheetViews>
    <sheetView topLeftCell="A85" zoomScale="85" zoomScaleNormal="85" workbookViewId="0">
      <selection activeCell="F122" sqref="F122"/>
    </sheetView>
  </sheetViews>
  <sheetFormatPr defaultColWidth="9.140625" defaultRowHeight="12.75" outlineLevelRow="1"/>
  <cols>
    <col min="1" max="1" width="11.7109375" style="931" customWidth="1"/>
    <col min="2" max="2" width="8.42578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7.2851562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7.85546875" style="931" customWidth="1"/>
    <col min="15" max="15" width="25.5703125" style="931" customWidth="1"/>
    <col min="16" max="16" width="29.42578125" style="931" customWidth="1"/>
    <col min="17" max="17" width="34.42578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43" customWidth="1"/>
    <col min="22" max="16384" width="9.140625" style="931"/>
  </cols>
  <sheetData>
    <row r="1" spans="1:22">
      <c r="A1" s="2297">
        <v>44681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</row>
    <row r="2" spans="1:22" s="949" customFormat="1" ht="30" hidden="1" customHeight="1" outlineLevel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66" customFormat="1" ht="15" hidden="1" customHeight="1" outlineLevel="1">
      <c r="A3" s="62">
        <v>1</v>
      </c>
      <c r="B3" s="62">
        <v>56</v>
      </c>
      <c r="C3" s="62">
        <v>11273</v>
      </c>
      <c r="D3" s="117" t="s">
        <v>77</v>
      </c>
      <c r="E3" s="62">
        <v>37.94</v>
      </c>
      <c r="F3" s="117" t="s">
        <v>15</v>
      </c>
      <c r="G3" s="117" t="s">
        <v>27</v>
      </c>
      <c r="H3" s="117" t="s">
        <v>16</v>
      </c>
      <c r="I3" s="95">
        <v>3720273.47</v>
      </c>
      <c r="J3" s="62">
        <v>1</v>
      </c>
      <c r="K3" s="117" t="s">
        <v>65</v>
      </c>
      <c r="L3" s="117" t="s">
        <v>12</v>
      </c>
      <c r="M3" s="92">
        <v>44657</v>
      </c>
      <c r="N3" s="117"/>
      <c r="O3" s="117" t="s">
        <v>1025</v>
      </c>
      <c r="P3" s="76" t="s">
        <v>111</v>
      </c>
      <c r="Q3" s="76" t="s">
        <v>111</v>
      </c>
      <c r="R3" s="117" t="s">
        <v>77</v>
      </c>
      <c r="S3" s="117" t="s">
        <v>77</v>
      </c>
      <c r="T3" s="117" t="s">
        <v>77</v>
      </c>
      <c r="U3" s="1211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3454693.4700000007</v>
      </c>
    </row>
    <row r="4" spans="1:22" ht="12" hidden="1" customHeight="1" outlineLevel="1">
      <c r="A4" s="62">
        <v>2</v>
      </c>
      <c r="B4" s="62">
        <v>138</v>
      </c>
      <c r="C4" s="62">
        <v>20918</v>
      </c>
      <c r="D4" s="117" t="s">
        <v>77</v>
      </c>
      <c r="E4" s="62">
        <v>41.06</v>
      </c>
      <c r="F4" s="117" t="s">
        <v>15</v>
      </c>
      <c r="G4" s="117" t="s">
        <v>27</v>
      </c>
      <c r="H4" s="117" t="s">
        <v>16</v>
      </c>
      <c r="I4" s="95">
        <v>4111292.63</v>
      </c>
      <c r="J4" s="62">
        <v>1</v>
      </c>
      <c r="K4" s="117" t="s">
        <v>65</v>
      </c>
      <c r="L4" s="117" t="s">
        <v>18</v>
      </c>
      <c r="M4" s="92">
        <v>44659</v>
      </c>
      <c r="N4" s="117"/>
      <c r="O4" s="117" t="s">
        <v>1026</v>
      </c>
      <c r="P4" s="76" t="s">
        <v>111</v>
      </c>
      <c r="Q4" s="76" t="s">
        <v>111</v>
      </c>
      <c r="R4" s="945" t="s">
        <v>77</v>
      </c>
      <c r="S4" s="945" t="s">
        <v>77</v>
      </c>
      <c r="T4" s="945" t="s">
        <v>77</v>
      </c>
      <c r="U4" s="946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3823872.6300000004</v>
      </c>
    </row>
    <row r="5" spans="1:22" s="62" customFormat="1" hidden="1" outlineLevel="1">
      <c r="A5" s="62">
        <v>3</v>
      </c>
      <c r="B5" s="62">
        <v>278</v>
      </c>
      <c r="C5" s="62">
        <v>21075</v>
      </c>
      <c r="D5" s="62" t="s">
        <v>73</v>
      </c>
      <c r="E5" s="62">
        <v>59.93</v>
      </c>
      <c r="F5" s="117" t="s">
        <v>15</v>
      </c>
      <c r="G5" s="62" t="s">
        <v>27</v>
      </c>
      <c r="H5" s="62" t="s">
        <v>84</v>
      </c>
      <c r="I5" s="95">
        <v>5159493.55</v>
      </c>
      <c r="J5" s="62">
        <v>2</v>
      </c>
      <c r="K5" s="117" t="s">
        <v>85</v>
      </c>
      <c r="L5" s="117" t="s">
        <v>18</v>
      </c>
      <c r="M5" s="92">
        <v>44678</v>
      </c>
      <c r="N5" s="117"/>
      <c r="O5" s="62" t="s">
        <v>1027</v>
      </c>
      <c r="P5" s="76" t="s">
        <v>111</v>
      </c>
      <c r="Q5" s="76" t="s">
        <v>111</v>
      </c>
      <c r="R5" s="117" t="s">
        <v>73</v>
      </c>
      <c r="S5" s="117" t="s">
        <v>73</v>
      </c>
      <c r="T5" s="117" t="s">
        <v>73</v>
      </c>
      <c r="U5" s="1217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4739983.55</v>
      </c>
    </row>
    <row r="6" spans="1:22" hidden="1" outlineLevel="1">
      <c r="A6" s="62">
        <v>4</v>
      </c>
      <c r="B6" s="62">
        <v>78</v>
      </c>
      <c r="C6" s="62">
        <v>20933</v>
      </c>
      <c r="D6" s="62" t="s">
        <v>63</v>
      </c>
      <c r="E6" s="62">
        <v>54.67</v>
      </c>
      <c r="F6" s="62" t="s">
        <v>9</v>
      </c>
      <c r="G6" s="62" t="s">
        <v>27</v>
      </c>
      <c r="H6" s="62" t="s">
        <v>575</v>
      </c>
      <c r="I6" s="95">
        <v>4109940.79</v>
      </c>
      <c r="J6" s="62">
        <v>2</v>
      </c>
      <c r="K6" s="62" t="s">
        <v>65</v>
      </c>
      <c r="L6" s="62" t="s">
        <v>18</v>
      </c>
      <c r="M6" s="942">
        <v>44677</v>
      </c>
      <c r="N6" s="117"/>
      <c r="O6" s="941" t="s">
        <v>1028</v>
      </c>
      <c r="P6" s="76" t="s">
        <v>111</v>
      </c>
      <c r="Q6" s="76" t="s">
        <v>111</v>
      </c>
      <c r="R6" s="892" t="s">
        <v>63</v>
      </c>
      <c r="S6" s="945" t="s">
        <v>63</v>
      </c>
      <c r="T6" s="945" t="s">
        <v>63</v>
      </c>
      <c r="U6" s="946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4109940.7900000005</v>
      </c>
    </row>
    <row r="7" spans="1:22" s="1006" customFormat="1" ht="12.75" hidden="1" customHeight="1" outlineLevel="1">
      <c r="A7" s="369">
        <v>5</v>
      </c>
      <c r="B7" s="369">
        <v>222</v>
      </c>
      <c r="C7" s="369">
        <v>21101</v>
      </c>
      <c r="D7" s="369" t="s">
        <v>73</v>
      </c>
      <c r="E7" s="369">
        <v>59.93</v>
      </c>
      <c r="F7" s="1215" t="s">
        <v>9</v>
      </c>
      <c r="G7" s="369" t="s">
        <v>27</v>
      </c>
      <c r="H7" s="369" t="s">
        <v>575</v>
      </c>
      <c r="I7" s="457">
        <v>4813431.96</v>
      </c>
      <c r="J7" s="369">
        <v>2</v>
      </c>
      <c r="K7" s="369" t="s">
        <v>65</v>
      </c>
      <c r="L7" s="369" t="s">
        <v>18</v>
      </c>
      <c r="M7" s="1216">
        <v>44681</v>
      </c>
      <c r="N7" s="456"/>
      <c r="O7" s="1215" t="s">
        <v>1029</v>
      </c>
      <c r="P7" s="446" t="s">
        <v>111</v>
      </c>
      <c r="Q7" s="446" t="s">
        <v>111</v>
      </c>
      <c r="R7" s="1218"/>
      <c r="S7" s="1219" t="s">
        <v>73</v>
      </c>
      <c r="T7" s="1219" t="s">
        <v>73</v>
      </c>
      <c r="U7" s="1220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4813431.96</v>
      </c>
    </row>
    <row r="8" spans="1:22" s="1213" customFormat="1" ht="18" hidden="1" customHeight="1" outlineLevel="1">
      <c r="A8" s="62">
        <v>6</v>
      </c>
      <c r="B8" s="62">
        <v>235</v>
      </c>
      <c r="C8" s="62">
        <v>21141</v>
      </c>
      <c r="D8" s="62"/>
      <c r="E8" s="62">
        <v>40</v>
      </c>
      <c r="F8" s="941" t="s">
        <v>15</v>
      </c>
      <c r="G8" s="62" t="s">
        <v>27</v>
      </c>
      <c r="H8" s="62" t="s">
        <v>84</v>
      </c>
      <c r="I8" s="95">
        <v>3995051.2</v>
      </c>
      <c r="J8" s="62">
        <v>1</v>
      </c>
      <c r="K8" s="62" t="s">
        <v>130</v>
      </c>
      <c r="L8" s="62" t="s">
        <v>18</v>
      </c>
      <c r="M8" s="1016">
        <v>44680</v>
      </c>
      <c r="N8" s="117"/>
      <c r="O8" s="62" t="s">
        <v>1030</v>
      </c>
      <c r="P8" s="76" t="s">
        <v>111</v>
      </c>
      <c r="Q8" s="76" t="s">
        <v>111</v>
      </c>
      <c r="R8" s="892"/>
      <c r="S8" s="945" t="s">
        <v>73</v>
      </c>
      <c r="T8" s="945" t="s">
        <v>73</v>
      </c>
      <c r="U8" s="946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>3715051.2</v>
      </c>
    </row>
    <row r="9" spans="1:22" hidden="1" outlineLevel="1">
      <c r="A9" s="65">
        <v>7</v>
      </c>
      <c r="B9" s="65"/>
      <c r="C9" s="65"/>
      <c r="D9" s="65"/>
      <c r="E9" s="65"/>
      <c r="F9" s="949"/>
      <c r="G9" s="65"/>
      <c r="H9" s="65"/>
      <c r="I9" s="93"/>
      <c r="J9" s="65"/>
      <c r="K9" s="65"/>
      <c r="L9" s="65"/>
      <c r="M9" s="1209"/>
      <c r="N9" s="80"/>
      <c r="O9" s="65"/>
      <c r="P9" s="86"/>
      <c r="Q9" s="86"/>
      <c r="R9" s="80"/>
      <c r="S9" s="80"/>
      <c r="T9" s="80"/>
      <c r="U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0" spans="1:22" ht="12.75" hidden="1" customHeight="1" outlineLevel="1">
      <c r="A10" s="65">
        <v>8</v>
      </c>
      <c r="B10" s="79"/>
      <c r="C10" s="79"/>
      <c r="D10" s="65"/>
      <c r="E10" s="65"/>
      <c r="F10" s="949"/>
      <c r="G10" s="65"/>
      <c r="H10" s="65"/>
      <c r="I10" s="93"/>
      <c r="J10" s="65"/>
      <c r="K10" s="65"/>
      <c r="L10" s="65"/>
      <c r="M10" s="98"/>
      <c r="N10" s="65"/>
      <c r="O10" s="65"/>
      <c r="P10" s="86"/>
      <c r="Q10" s="86"/>
      <c r="R10" s="65"/>
      <c r="S10" s="65"/>
      <c r="T10" s="65"/>
      <c r="U1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1" spans="1:22" hidden="1" outlineLevel="1">
      <c r="A11" s="65">
        <v>9</v>
      </c>
      <c r="B11" s="65"/>
      <c r="C11" s="65"/>
      <c r="D11" s="65"/>
      <c r="E11" s="65"/>
      <c r="F11" s="65"/>
      <c r="G11" s="65"/>
      <c r="H11" s="65"/>
      <c r="I11" s="93"/>
      <c r="J11" s="65"/>
      <c r="K11" s="65"/>
      <c r="L11" s="65"/>
      <c r="M11" s="98"/>
      <c r="N11" s="65"/>
      <c r="O11" s="65"/>
      <c r="P11" s="86"/>
      <c r="Q11" s="86"/>
      <c r="R11" s="86"/>
      <c r="S11" s="949"/>
      <c r="T11" s="949"/>
      <c r="U1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  <c r="V11" s="1221"/>
    </row>
    <row r="12" spans="1:22" ht="12.75" hidden="1" customHeight="1" outlineLevel="1">
      <c r="A12" s="65">
        <v>10</v>
      </c>
      <c r="B12" s="65"/>
      <c r="C12" s="65"/>
      <c r="D12" s="65"/>
      <c r="E12" s="65"/>
      <c r="F12" s="949"/>
      <c r="G12" s="65"/>
      <c r="H12" s="65"/>
      <c r="I12" s="93"/>
      <c r="J12" s="65"/>
      <c r="K12" s="65"/>
      <c r="L12" s="65"/>
      <c r="M12" s="98"/>
      <c r="N12" s="80"/>
      <c r="O12" s="65"/>
      <c r="P12" s="86"/>
      <c r="Q12" s="86"/>
      <c r="R12" s="1156"/>
      <c r="S12" s="947"/>
      <c r="T12" s="947"/>
      <c r="U1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3" spans="1:22" hidden="1" outlineLevel="1">
      <c r="A13" s="65">
        <v>11</v>
      </c>
      <c r="B13" s="65"/>
      <c r="C13" s="65"/>
      <c r="D13" s="80"/>
      <c r="E13" s="65"/>
      <c r="F13" s="947"/>
      <c r="G13" s="80"/>
      <c r="H13" s="80"/>
      <c r="I13" s="93"/>
      <c r="J13" s="65"/>
      <c r="K13" s="80"/>
      <c r="L13" s="80"/>
      <c r="M13" s="98"/>
      <c r="N13" s="80"/>
      <c r="O13" s="80"/>
      <c r="P13" s="86"/>
      <c r="Q13" s="86"/>
      <c r="R13" s="1156"/>
      <c r="S13" s="947"/>
      <c r="T13" s="947"/>
      <c r="U1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4" spans="1:22" hidden="1" outlineLevel="1">
      <c r="A14" s="65">
        <v>12</v>
      </c>
      <c r="B14" s="65"/>
      <c r="C14" s="65"/>
      <c r="D14" s="80"/>
      <c r="E14" s="65"/>
      <c r="F14" s="947"/>
      <c r="G14" s="80"/>
      <c r="H14" s="80"/>
      <c r="I14" s="1210"/>
      <c r="J14" s="65"/>
      <c r="K14" s="80"/>
      <c r="L14" s="80"/>
      <c r="M14" s="98"/>
      <c r="N14" s="80"/>
      <c r="O14" s="80"/>
      <c r="P14" s="86"/>
      <c r="Q14" s="86"/>
      <c r="R14" s="1156"/>
      <c r="S14" s="947"/>
      <c r="T14" s="947"/>
      <c r="U1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5" spans="1:22" ht="12.75" hidden="1" customHeight="1" outlineLevel="1">
      <c r="A15" s="65">
        <v>13</v>
      </c>
      <c r="B15" s="65"/>
      <c r="C15" s="65"/>
      <c r="D15" s="65"/>
      <c r="E15" s="65"/>
      <c r="F15" s="949"/>
      <c r="G15" s="65"/>
      <c r="H15" s="65"/>
      <c r="I15" s="93"/>
      <c r="J15" s="65"/>
      <c r="K15" s="65"/>
      <c r="L15" s="65"/>
      <c r="M15" s="98"/>
      <c r="N15" s="80"/>
      <c r="O15" s="65"/>
      <c r="P15" s="1156"/>
      <c r="Q15" s="1156"/>
      <c r="R15" s="1156"/>
      <c r="S15" s="947"/>
      <c r="T15" s="947"/>
      <c r="U1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6" spans="1:22" hidden="1" outlineLevel="1">
      <c r="A16" s="65">
        <v>14</v>
      </c>
      <c r="B16" s="65"/>
      <c r="C16" s="65"/>
      <c r="D16" s="65"/>
      <c r="E16" s="65"/>
      <c r="F16" s="947"/>
      <c r="G16" s="65"/>
      <c r="H16" s="65"/>
      <c r="I16" s="93"/>
      <c r="J16" s="65"/>
      <c r="K16" s="65"/>
      <c r="L16" s="65"/>
      <c r="M16" s="98"/>
      <c r="N16" s="80"/>
      <c r="O16" s="65"/>
      <c r="P16" s="1156"/>
      <c r="Q16" s="1156"/>
      <c r="R16" s="1156"/>
      <c r="S16" s="947"/>
      <c r="T16" s="947"/>
      <c r="U1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7" spans="1:21" ht="12.75" hidden="1" customHeight="1" outlineLevel="1">
      <c r="A17" s="65">
        <v>15</v>
      </c>
      <c r="B17" s="65"/>
      <c r="C17" s="65"/>
      <c r="D17" s="65"/>
      <c r="E17" s="65"/>
      <c r="F17" s="947"/>
      <c r="G17" s="65"/>
      <c r="H17" s="65"/>
      <c r="I17" s="93"/>
      <c r="J17" s="65"/>
      <c r="K17" s="65"/>
      <c r="L17" s="65"/>
      <c r="M17" s="98"/>
      <c r="N17" s="80"/>
      <c r="O17" s="65"/>
      <c r="P17" s="1156"/>
      <c r="Q17" s="1156"/>
      <c r="R17" s="1156"/>
      <c r="S17" s="947"/>
      <c r="T17" s="947"/>
      <c r="U1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8" spans="1:21" ht="12.75" hidden="1" customHeight="1" outlineLevel="1">
      <c r="A18" s="65">
        <v>16</v>
      </c>
      <c r="B18" s="65"/>
      <c r="C18" s="65"/>
      <c r="D18" s="65"/>
      <c r="E18" s="65"/>
      <c r="F18" s="947"/>
      <c r="G18" s="65"/>
      <c r="H18" s="65"/>
      <c r="I18" s="104"/>
      <c r="J18" s="65"/>
      <c r="K18" s="65"/>
      <c r="L18" s="65"/>
      <c r="M18" s="98"/>
      <c r="N18" s="80"/>
      <c r="O18" s="86"/>
      <c r="P18" s="86"/>
      <c r="Q18" s="86"/>
      <c r="R18" s="1156"/>
      <c r="S18" s="947"/>
      <c r="T18" s="947"/>
      <c r="U1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19" spans="1:21" ht="12.75" hidden="1" customHeight="1" outlineLevel="1">
      <c r="A19" s="65">
        <v>17</v>
      </c>
      <c r="B19" s="79"/>
      <c r="C19" s="79"/>
      <c r="D19" s="65"/>
      <c r="E19" s="65"/>
      <c r="F19" s="947"/>
      <c r="G19" s="65"/>
      <c r="H19" s="65"/>
      <c r="I19" s="93"/>
      <c r="J19" s="65"/>
      <c r="K19" s="65"/>
      <c r="L19" s="65"/>
      <c r="M19" s="98"/>
      <c r="N19" s="80"/>
      <c r="O19" s="65"/>
      <c r="P19" s="1156"/>
      <c r="Q19" s="1156"/>
      <c r="R19" s="1156"/>
      <c r="S19" s="947"/>
      <c r="T19" s="947"/>
      <c r="U1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0" spans="1:21" ht="12.75" hidden="1" customHeight="1" outlineLevel="1">
      <c r="A20" s="65">
        <v>18</v>
      </c>
      <c r="B20" s="79"/>
      <c r="C20" s="79"/>
      <c r="D20" s="65"/>
      <c r="E20" s="65"/>
      <c r="F20" s="80"/>
      <c r="G20" s="65"/>
      <c r="H20" s="65"/>
      <c r="I20" s="93"/>
      <c r="J20" s="65"/>
      <c r="K20" s="65"/>
      <c r="L20" s="65"/>
      <c r="M20" s="98"/>
      <c r="N20" s="80"/>
      <c r="O20" s="65"/>
      <c r="P20" s="86"/>
      <c r="Q20" s="86"/>
      <c r="R20" s="1156"/>
      <c r="S20" s="947"/>
      <c r="T20" s="947"/>
      <c r="U2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1" spans="1:21" ht="14.25" hidden="1" customHeight="1" outlineLevel="1">
      <c r="A21" s="65">
        <v>19</v>
      </c>
      <c r="B21" s="79"/>
      <c r="C21" s="79"/>
      <c r="D21" s="65"/>
      <c r="E21" s="65"/>
      <c r="F21" s="949"/>
      <c r="G21" s="65"/>
      <c r="H21" s="65"/>
      <c r="I21" s="93"/>
      <c r="J21" s="65"/>
      <c r="K21" s="65"/>
      <c r="L21" s="65"/>
      <c r="M21" s="98"/>
      <c r="N21" s="80"/>
      <c r="O21" s="65"/>
      <c r="P21" s="86"/>
      <c r="Q21" s="86"/>
      <c r="R21" s="1156"/>
      <c r="S21" s="947"/>
      <c r="T21" s="947"/>
      <c r="U2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2" spans="1:21" ht="12.75" hidden="1" customHeight="1" outlineLevel="1">
      <c r="A22" s="65">
        <v>20</v>
      </c>
      <c r="B22" s="79"/>
      <c r="C22" s="79"/>
      <c r="D22" s="65"/>
      <c r="E22" s="65"/>
      <c r="F22" s="949"/>
      <c r="G22" s="65"/>
      <c r="H22" s="65"/>
      <c r="I22" s="1157"/>
      <c r="J22" s="65"/>
      <c r="K22" s="65"/>
      <c r="L22" s="65"/>
      <c r="M22" s="98"/>
      <c r="N22" s="80"/>
      <c r="O22" s="65"/>
      <c r="P22" s="86"/>
      <c r="Q22" s="86"/>
      <c r="R22" s="1156"/>
      <c r="S22" s="947"/>
      <c r="T22" s="947"/>
      <c r="U2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3" spans="1:21" hidden="1" outlineLevel="1">
      <c r="A23" s="65">
        <v>21</v>
      </c>
      <c r="B23" s="79"/>
      <c r="C23" s="79"/>
      <c r="D23" s="65"/>
      <c r="E23" s="65"/>
      <c r="F23" s="949"/>
      <c r="G23" s="65"/>
      <c r="H23" s="65"/>
      <c r="I23" s="93"/>
      <c r="J23" s="65"/>
      <c r="K23" s="65"/>
      <c r="L23" s="65"/>
      <c r="M23" s="98"/>
      <c r="N23" s="80"/>
      <c r="O23" s="65"/>
      <c r="P23" s="86"/>
      <c r="Q23" s="86"/>
      <c r="R23" s="1156"/>
      <c r="S23" s="947"/>
      <c r="T23" s="947"/>
      <c r="U2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4" spans="1:21" ht="12.75" hidden="1" customHeight="1" outlineLevel="1">
      <c r="A24" s="65">
        <v>22</v>
      </c>
      <c r="B24" s="65"/>
      <c r="C24" s="79"/>
      <c r="D24" s="65"/>
      <c r="E24" s="65"/>
      <c r="F24" s="949"/>
      <c r="G24" s="65"/>
      <c r="H24" s="65"/>
      <c r="I24" s="104"/>
      <c r="J24" s="65"/>
      <c r="K24" s="65"/>
      <c r="L24" s="65"/>
      <c r="M24" s="1158"/>
      <c r="N24" s="80"/>
      <c r="O24" s="65"/>
      <c r="P24" s="86"/>
      <c r="Q24" s="86"/>
      <c r="R24" s="1156"/>
      <c r="S24" s="947"/>
      <c r="T24" s="947"/>
      <c r="U2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5" spans="1:21" ht="12.75" hidden="1" customHeight="1" outlineLevel="1">
      <c r="A25" s="65">
        <v>23</v>
      </c>
      <c r="B25" s="79"/>
      <c r="C25" s="79"/>
      <c r="D25" s="65"/>
      <c r="E25" s="65"/>
      <c r="F25" s="949"/>
      <c r="G25" s="65"/>
      <c r="H25" s="65"/>
      <c r="I25" s="93"/>
      <c r="J25" s="65"/>
      <c r="K25" s="65"/>
      <c r="L25" s="65"/>
      <c r="M25" s="98"/>
      <c r="N25" s="80"/>
      <c r="O25" s="65"/>
      <c r="P25" s="86"/>
      <c r="Q25" s="86"/>
      <c r="R25" s="1156"/>
      <c r="S25" s="947"/>
      <c r="T25" s="947"/>
      <c r="U2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6" spans="1:21" ht="12.75" hidden="1" customHeight="1" outlineLevel="1">
      <c r="A26" s="65">
        <v>24</v>
      </c>
      <c r="B26" s="79"/>
      <c r="C26" s="79"/>
      <c r="D26" s="65"/>
      <c r="E26" s="65"/>
      <c r="F26" s="80"/>
      <c r="G26" s="65"/>
      <c r="H26" s="65"/>
      <c r="I26" s="93"/>
      <c r="J26" s="65"/>
      <c r="K26" s="65"/>
      <c r="L26" s="65"/>
      <c r="M26" s="98"/>
      <c r="N26" s="80"/>
      <c r="O26" s="65"/>
      <c r="P26" s="86"/>
      <c r="Q26" s="1156"/>
      <c r="R26" s="1156"/>
      <c r="S26" s="947"/>
      <c r="T26" s="947"/>
      <c r="U2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7" spans="1:21" ht="12.75" hidden="1" customHeight="1" outlineLevel="1">
      <c r="A27" s="65">
        <v>25</v>
      </c>
      <c r="B27" s="79"/>
      <c r="C27" s="79"/>
      <c r="D27" s="65"/>
      <c r="E27" s="65"/>
      <c r="F27" s="949"/>
      <c r="G27" s="65"/>
      <c r="H27" s="65"/>
      <c r="I27" s="93"/>
      <c r="J27" s="65"/>
      <c r="K27" s="65"/>
      <c r="L27" s="65"/>
      <c r="M27" s="98"/>
      <c r="N27" s="80"/>
      <c r="O27" s="949"/>
      <c r="P27" s="86"/>
      <c r="Q27" s="1156"/>
      <c r="R27" s="1156"/>
      <c r="S27" s="947"/>
      <c r="T27" s="947"/>
      <c r="U2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8" spans="1:21" ht="12.75" hidden="1" customHeight="1" outlineLevel="1">
      <c r="A28" s="65">
        <v>26</v>
      </c>
      <c r="B28" s="65"/>
      <c r="C28" s="79"/>
      <c r="D28" s="65"/>
      <c r="E28" s="65"/>
      <c r="F28" s="949"/>
      <c r="G28" s="65"/>
      <c r="H28" s="65"/>
      <c r="I28" s="93"/>
      <c r="J28" s="65"/>
      <c r="K28" s="65"/>
      <c r="L28" s="65"/>
      <c r="M28" s="1004"/>
      <c r="N28" s="80"/>
      <c r="O28" s="949"/>
      <c r="P28" s="949"/>
      <c r="Q28" s="949"/>
      <c r="R28" s="1156"/>
      <c r="S28" s="947"/>
      <c r="T28" s="947"/>
      <c r="U2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29" spans="1:21" ht="12.75" hidden="1" customHeight="1" outlineLevel="1">
      <c r="A29" s="65">
        <v>27</v>
      </c>
      <c r="B29" s="79"/>
      <c r="C29" s="79"/>
      <c r="D29" s="65"/>
      <c r="E29" s="65"/>
      <c r="F29" s="86"/>
      <c r="G29" s="65"/>
      <c r="H29" s="65"/>
      <c r="I29" s="104"/>
      <c r="J29" s="65"/>
      <c r="K29" s="65"/>
      <c r="L29" s="65"/>
      <c r="M29" s="109"/>
      <c r="N29" s="80"/>
      <c r="O29" s="86"/>
      <c r="P29" s="86"/>
      <c r="Q29" s="1156"/>
      <c r="R29" s="1156"/>
      <c r="S29" s="947"/>
      <c r="T29" s="947"/>
      <c r="U2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0" spans="1:21" ht="12.75" hidden="1" customHeight="1" outlineLevel="1">
      <c r="A30" s="65">
        <v>28</v>
      </c>
      <c r="B30" s="79"/>
      <c r="C30" s="79"/>
      <c r="D30" s="65"/>
      <c r="E30" s="65"/>
      <c r="F30" s="949"/>
      <c r="G30" s="65"/>
      <c r="H30" s="65"/>
      <c r="I30" s="93"/>
      <c r="J30" s="65"/>
      <c r="K30" s="65"/>
      <c r="L30" s="65"/>
      <c r="M30" s="98"/>
      <c r="N30" s="65"/>
      <c r="O30" s="65"/>
      <c r="P30" s="86"/>
      <c r="Q30" s="86"/>
      <c r="R30" s="1156"/>
      <c r="S30" s="1156"/>
      <c r="T30" s="1156"/>
      <c r="U3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1" spans="1:21" ht="12.75" hidden="1" customHeight="1" outlineLevel="1">
      <c r="A31" s="65">
        <v>29</v>
      </c>
      <c r="B31" s="79"/>
      <c r="C31" s="79"/>
      <c r="D31" s="65"/>
      <c r="E31" s="65"/>
      <c r="F31" s="949"/>
      <c r="G31" s="65"/>
      <c r="H31" s="65"/>
      <c r="I31" s="93"/>
      <c r="J31" s="65"/>
      <c r="K31" s="65"/>
      <c r="L31" s="65"/>
      <c r="M31" s="98"/>
      <c r="N31" s="80"/>
      <c r="O31" s="65"/>
      <c r="P31" s="86"/>
      <c r="Q31" s="86"/>
      <c r="R31" s="1156"/>
      <c r="S31" s="947"/>
      <c r="T31" s="947"/>
      <c r="U3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2" spans="1:21" ht="12.75" hidden="1" customHeight="1" outlineLevel="1">
      <c r="A32" s="65">
        <v>30</v>
      </c>
      <c r="B32" s="79"/>
      <c r="C32" s="79"/>
      <c r="D32" s="65"/>
      <c r="E32" s="65"/>
      <c r="F32" s="949"/>
      <c r="G32" s="65"/>
      <c r="H32" s="65"/>
      <c r="I32" s="93"/>
      <c r="J32" s="65"/>
      <c r="K32" s="65"/>
      <c r="L32" s="65"/>
      <c r="M32" s="98"/>
      <c r="N32" s="80"/>
      <c r="O32" s="65"/>
      <c r="P32" s="86"/>
      <c r="Q32" s="86"/>
      <c r="R32" s="1156"/>
      <c r="S32" s="1156"/>
      <c r="T32" s="1156"/>
      <c r="U3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3" spans="1:21" ht="12.75" hidden="1" customHeight="1" outlineLevel="1">
      <c r="A33" s="65">
        <v>31</v>
      </c>
      <c r="B33" s="79"/>
      <c r="C33" s="79"/>
      <c r="D33" s="65"/>
      <c r="E33" s="65"/>
      <c r="F33" s="949"/>
      <c r="G33" s="65"/>
      <c r="H33" s="65"/>
      <c r="I33" s="93"/>
      <c r="J33" s="65"/>
      <c r="K33" s="65"/>
      <c r="L33" s="65"/>
      <c r="M33" s="98"/>
      <c r="N33" s="80"/>
      <c r="O33" s="65"/>
      <c r="P33" s="86"/>
      <c r="Q33" s="86"/>
      <c r="R33" s="1156"/>
      <c r="S33" s="1156"/>
      <c r="T33" s="1156"/>
      <c r="U3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4" spans="1:21" ht="12.75" hidden="1" customHeight="1" outlineLevel="1">
      <c r="A34" s="65">
        <v>32</v>
      </c>
      <c r="B34" s="79"/>
      <c r="C34" s="79"/>
      <c r="D34" s="65"/>
      <c r="E34" s="65"/>
      <c r="F34" s="949"/>
      <c r="G34" s="65"/>
      <c r="H34" s="65"/>
      <c r="I34" s="105"/>
      <c r="J34" s="65"/>
      <c r="K34" s="65"/>
      <c r="L34" s="65"/>
      <c r="M34" s="110"/>
      <c r="N34" s="80"/>
      <c r="O34" s="65"/>
      <c r="P34" s="86"/>
      <c r="Q34" s="86"/>
      <c r="R34" s="1156"/>
      <c r="S34" s="947"/>
      <c r="T34" s="947"/>
      <c r="U3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5" spans="1:21" ht="18" hidden="1" customHeight="1" outlineLevel="1">
      <c r="A35" s="65">
        <v>33</v>
      </c>
      <c r="B35" s="79"/>
      <c r="C35" s="79"/>
      <c r="D35" s="65"/>
      <c r="E35" s="65"/>
      <c r="F35" s="949"/>
      <c r="G35" s="65"/>
      <c r="H35" s="65"/>
      <c r="I35" s="544"/>
      <c r="J35" s="65"/>
      <c r="K35" s="65"/>
      <c r="L35" s="65"/>
      <c r="M35" s="1158"/>
      <c r="N35" s="80"/>
      <c r="O35" s="86"/>
      <c r="P35" s="86"/>
      <c r="Q35" s="86"/>
      <c r="R35" s="1156"/>
      <c r="S35" s="947"/>
      <c r="T35" s="947"/>
      <c r="U3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6" spans="1:21" ht="12.75" hidden="1" customHeight="1" outlineLevel="1">
      <c r="A36" s="65">
        <v>34</v>
      </c>
      <c r="B36" s="79"/>
      <c r="C36" s="79"/>
      <c r="D36" s="65"/>
      <c r="E36" s="65"/>
      <c r="F36" s="934"/>
      <c r="G36" s="65"/>
      <c r="H36" s="65"/>
      <c r="I36" s="105"/>
      <c r="J36" s="65"/>
      <c r="K36" s="65"/>
      <c r="L36" s="65"/>
      <c r="M36" s="98"/>
      <c r="N36" s="80"/>
      <c r="O36" s="72"/>
      <c r="P36" s="86"/>
      <c r="Q36" s="86"/>
      <c r="R36" s="1156"/>
      <c r="S36" s="1156"/>
      <c r="T36" s="1156"/>
      <c r="U3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7" spans="1:21" ht="12.75" hidden="1" customHeight="1" outlineLevel="1">
      <c r="A37" s="65">
        <v>35</v>
      </c>
      <c r="B37" s="79"/>
      <c r="C37" s="79"/>
      <c r="D37" s="65"/>
      <c r="E37" s="65"/>
      <c r="F37" s="934"/>
      <c r="G37" s="65"/>
      <c r="H37" s="65"/>
      <c r="I37" s="105"/>
      <c r="J37" s="65"/>
      <c r="K37" s="65"/>
      <c r="L37" s="65"/>
      <c r="M37" s="110"/>
      <c r="N37" s="80"/>
      <c r="O37" s="949"/>
      <c r="P37" s="86"/>
      <c r="Q37" s="86"/>
      <c r="R37" s="1156"/>
      <c r="S37" s="947"/>
      <c r="T37" s="947"/>
      <c r="U3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8" spans="1:21" ht="12.75" hidden="1" customHeight="1" outlineLevel="1">
      <c r="A38" s="65">
        <v>36</v>
      </c>
      <c r="B38" s="65"/>
      <c r="C38" s="79"/>
      <c r="D38" s="65"/>
      <c r="E38" s="65"/>
      <c r="F38" s="934"/>
      <c r="G38" s="65"/>
      <c r="H38" s="65"/>
      <c r="I38" s="105"/>
      <c r="J38" s="65"/>
      <c r="K38" s="65"/>
      <c r="L38" s="65"/>
      <c r="M38" s="1159"/>
      <c r="N38" s="80"/>
      <c r="O38" s="934"/>
      <c r="P38" s="86"/>
      <c r="Q38" s="86"/>
      <c r="R38" s="1156"/>
      <c r="S38" s="947"/>
      <c r="T38" s="947"/>
      <c r="U3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39" spans="1:21" ht="12.75" hidden="1" customHeight="1" outlineLevel="1">
      <c r="A39" s="65">
        <v>37</v>
      </c>
      <c r="B39" s="79"/>
      <c r="C39" s="79"/>
      <c r="D39" s="65"/>
      <c r="E39" s="65"/>
      <c r="F39" s="70"/>
      <c r="G39" s="65"/>
      <c r="H39" s="65"/>
      <c r="I39" s="544"/>
      <c r="J39" s="65"/>
      <c r="K39" s="65"/>
      <c r="L39" s="65"/>
      <c r="M39" s="1158"/>
      <c r="N39" s="80"/>
      <c r="O39" s="70"/>
      <c r="P39" s="86"/>
      <c r="Q39" s="86"/>
      <c r="R39" s="1156"/>
      <c r="S39" s="1156"/>
      <c r="T39" s="1156"/>
      <c r="U3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0" spans="1:21" ht="12.75" hidden="1" customHeight="1" outlineLevel="1">
      <c r="A40" s="65">
        <v>38</v>
      </c>
      <c r="B40" s="79"/>
      <c r="C40" s="79"/>
      <c r="D40" s="65"/>
      <c r="E40" s="65"/>
      <c r="F40" s="70"/>
      <c r="G40" s="65"/>
      <c r="H40" s="65"/>
      <c r="I40" s="544"/>
      <c r="J40" s="65"/>
      <c r="K40" s="80"/>
      <c r="L40" s="65"/>
      <c r="M40" s="1158"/>
      <c r="N40" s="65"/>
      <c r="O40" s="1155"/>
      <c r="P40" s="86"/>
      <c r="Q40" s="86"/>
      <c r="R40" s="1156"/>
      <c r="S40" s="1156"/>
      <c r="T40" s="1156"/>
      <c r="U4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1" spans="1:21" ht="12.75" hidden="1" customHeight="1" outlineLevel="1">
      <c r="A41" s="65">
        <v>39</v>
      </c>
      <c r="B41" s="79"/>
      <c r="C41" s="79"/>
      <c r="D41" s="80"/>
      <c r="E41" s="65"/>
      <c r="F41" s="1155"/>
      <c r="G41" s="80"/>
      <c r="H41" s="80"/>
      <c r="I41" s="544"/>
      <c r="J41" s="65"/>
      <c r="K41" s="80"/>
      <c r="L41" s="80"/>
      <c r="M41" s="1158"/>
      <c r="N41" s="80"/>
      <c r="O41" s="1155"/>
      <c r="P41" s="86"/>
      <c r="Q41" s="86"/>
      <c r="R41" s="1156"/>
      <c r="S41" s="1156"/>
      <c r="T41" s="1156"/>
      <c r="U4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2" spans="1:21" hidden="1" outlineLevel="1">
      <c r="A42" s="65">
        <v>40</v>
      </c>
      <c r="B42" s="79"/>
      <c r="C42" s="79"/>
      <c r="D42" s="65"/>
      <c r="E42" s="65"/>
      <c r="F42" s="949"/>
      <c r="G42" s="65"/>
      <c r="H42" s="65"/>
      <c r="I42" s="105"/>
      <c r="J42" s="65"/>
      <c r="K42" s="65"/>
      <c r="L42" s="65"/>
      <c r="M42" s="98"/>
      <c r="N42" s="80"/>
      <c r="O42" s="65"/>
      <c r="P42" s="86"/>
      <c r="Q42" s="86"/>
      <c r="R42" s="1156"/>
      <c r="S42" s="1156"/>
      <c r="T42" s="1156"/>
      <c r="U4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3" spans="1:21" hidden="1" outlineLevel="1">
      <c r="A43" s="65">
        <v>41</v>
      </c>
      <c r="B43" s="79"/>
      <c r="C43" s="79"/>
      <c r="D43" s="65"/>
      <c r="E43" s="65"/>
      <c r="F43" s="949"/>
      <c r="G43" s="65"/>
      <c r="H43" s="65"/>
      <c r="I43" s="105"/>
      <c r="J43" s="65"/>
      <c r="K43" s="65"/>
      <c r="L43" s="65"/>
      <c r="M43" s="98"/>
      <c r="N43" s="80"/>
      <c r="O43" s="65"/>
      <c r="P43" s="86"/>
      <c r="Q43" s="86"/>
      <c r="R43" s="1156"/>
      <c r="S43" s="1156"/>
      <c r="T43" s="1156"/>
      <c r="U4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4" spans="1:21" ht="12.75" hidden="1" customHeight="1" outlineLevel="1">
      <c r="A44" s="65">
        <v>42</v>
      </c>
      <c r="B44" s="79"/>
      <c r="C44" s="79"/>
      <c r="D44" s="65"/>
      <c r="E44" s="65"/>
      <c r="F44" s="949"/>
      <c r="G44" s="65"/>
      <c r="H44" s="65"/>
      <c r="I44" s="105"/>
      <c r="J44" s="65"/>
      <c r="K44" s="65"/>
      <c r="L44" s="65"/>
      <c r="M44" s="98"/>
      <c r="N44" s="80"/>
      <c r="O44" s="65"/>
      <c r="P44" s="86"/>
      <c r="Q44" s="86"/>
      <c r="R44" s="1156"/>
      <c r="S44" s="947"/>
      <c r="T44" s="947"/>
      <c r="U4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5" spans="1:21" ht="12.75" hidden="1" customHeight="1" outlineLevel="1">
      <c r="A45" s="65">
        <v>43</v>
      </c>
      <c r="B45" s="79"/>
      <c r="C45" s="79"/>
      <c r="D45" s="65"/>
      <c r="E45" s="65"/>
      <c r="F45" s="949"/>
      <c r="G45" s="65"/>
      <c r="H45" s="65"/>
      <c r="I45" s="105"/>
      <c r="J45" s="65"/>
      <c r="K45" s="65"/>
      <c r="L45" s="65"/>
      <c r="M45" s="98"/>
      <c r="N45" s="65"/>
      <c r="O45" s="65"/>
      <c r="P45" s="86"/>
      <c r="Q45" s="86"/>
      <c r="R45" s="86"/>
      <c r="S45" s="949"/>
      <c r="T45" s="949"/>
      <c r="U4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6" spans="1:21" ht="12.75" hidden="1" customHeight="1" outlineLevel="1">
      <c r="A46" s="65">
        <v>44</v>
      </c>
      <c r="B46" s="79"/>
      <c r="C46" s="79"/>
      <c r="D46" s="65"/>
      <c r="E46" s="65"/>
      <c r="F46" s="949"/>
      <c r="G46" s="65"/>
      <c r="H46" s="65"/>
      <c r="I46" s="105"/>
      <c r="J46" s="65"/>
      <c r="K46" s="65"/>
      <c r="L46" s="65"/>
      <c r="M46" s="98"/>
      <c r="N46" s="65"/>
      <c r="O46" s="65"/>
      <c r="P46" s="86"/>
      <c r="Q46" s="86"/>
      <c r="R46" s="86"/>
      <c r="S46" s="949"/>
      <c r="T46" s="949"/>
      <c r="U4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7" spans="1:21" collapsed="1">
      <c r="A47" s="65">
        <v>45</v>
      </c>
      <c r="B47" s="79"/>
      <c r="C47" s="79"/>
      <c r="D47" s="65"/>
      <c r="E47" s="65"/>
      <c r="F47" s="934"/>
      <c r="G47" s="65"/>
      <c r="H47" s="65"/>
      <c r="I47" s="105"/>
      <c r="J47" s="65"/>
      <c r="K47" s="65"/>
      <c r="L47" s="108"/>
      <c r="M47" s="110"/>
      <c r="N47" s="65"/>
      <c r="O47" s="72"/>
      <c r="P47" s="86"/>
      <c r="Q47" s="86"/>
      <c r="R47" s="949"/>
      <c r="S47" s="949"/>
      <c r="T47" s="949"/>
      <c r="U4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8" spans="1:21">
      <c r="A48" s="65">
        <v>46</v>
      </c>
      <c r="B48" s="79"/>
      <c r="C48" s="78"/>
      <c r="D48" s="65"/>
      <c r="E48" s="65"/>
      <c r="F48" s="949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9"/>
      <c r="S48" s="949"/>
      <c r="T48" s="949"/>
      <c r="U4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49" spans="1:21">
      <c r="A49" s="65">
        <v>47</v>
      </c>
      <c r="B49" s="79"/>
      <c r="C49" s="79"/>
      <c r="D49" s="65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9"/>
      <c r="S49" s="949"/>
      <c r="T49" s="949"/>
      <c r="U4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0" spans="1:21">
      <c r="A50" s="65">
        <v>48</v>
      </c>
      <c r="B50" s="79"/>
      <c r="C50" s="79"/>
      <c r="D50" s="65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9"/>
      <c r="S50" s="949"/>
      <c r="T50" s="949"/>
      <c r="U5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1" spans="1:21">
      <c r="A51" s="65">
        <v>49</v>
      </c>
      <c r="B51" s="79"/>
      <c r="C51" s="79"/>
      <c r="D51" s="65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9"/>
      <c r="S51" s="949"/>
      <c r="T51" s="949"/>
      <c r="U5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2" spans="1:21">
      <c r="A52" s="65">
        <v>50</v>
      </c>
      <c r="B52" s="79"/>
      <c r="C52" s="79"/>
      <c r="D52" s="65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9"/>
      <c r="S52" s="949"/>
      <c r="T52" s="949"/>
      <c r="U5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3" spans="1:21">
      <c r="A53" s="65">
        <v>51</v>
      </c>
      <c r="B53" s="79"/>
      <c r="C53" s="79"/>
      <c r="D53" s="65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9"/>
      <c r="S53" s="949"/>
      <c r="T53" s="949"/>
      <c r="U5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4" spans="1:21">
      <c r="A54" s="65">
        <v>52</v>
      </c>
      <c r="B54" s="79"/>
      <c r="C54" s="79"/>
      <c r="D54" s="65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9"/>
      <c r="S54" s="949"/>
      <c r="T54" s="949"/>
      <c r="U5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5" spans="1:21">
      <c r="A55" s="65">
        <v>53</v>
      </c>
      <c r="B55" s="79"/>
      <c r="C55" s="79"/>
      <c r="D55" s="65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9"/>
      <c r="S55" s="949"/>
      <c r="T55" s="949"/>
      <c r="U5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6" spans="1:21">
      <c r="A56" s="65">
        <v>54</v>
      </c>
      <c r="B56" s="79"/>
      <c r="C56" s="79"/>
      <c r="D56" s="65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9"/>
      <c r="S56" s="949"/>
      <c r="T56" s="949"/>
      <c r="U5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7" spans="1:21">
      <c r="A57" s="65">
        <v>55</v>
      </c>
      <c r="B57" s="79"/>
      <c r="C57" s="79"/>
      <c r="D57" s="65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9"/>
      <c r="S57" s="949"/>
      <c r="T57" s="949"/>
      <c r="U5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8" spans="1:21">
      <c r="A58" s="65">
        <v>56</v>
      </c>
      <c r="B58" s="79"/>
      <c r="C58" s="79"/>
      <c r="D58" s="65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9"/>
      <c r="S58" s="949"/>
      <c r="T58" s="949"/>
      <c r="U5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59" spans="1:21">
      <c r="A59" s="65">
        <v>57</v>
      </c>
      <c r="B59" s="79"/>
      <c r="C59" s="79"/>
      <c r="D59" s="65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9"/>
      <c r="S59" s="949"/>
      <c r="T59" s="949"/>
      <c r="U5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0" spans="1:21">
      <c r="A60" s="65">
        <v>58</v>
      </c>
      <c r="B60" s="79"/>
      <c r="C60" s="79"/>
      <c r="D60" s="65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9"/>
      <c r="S60" s="949"/>
      <c r="T60" s="949"/>
      <c r="U6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1" spans="1:21" ht="12" customHeight="1">
      <c r="A61" s="65">
        <v>59</v>
      </c>
      <c r="B61" s="79"/>
      <c r="C61" s="79"/>
      <c r="D61" s="65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9"/>
      <c r="S61" s="949"/>
      <c r="T61" s="949"/>
      <c r="U6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2" spans="1:21">
      <c r="A62" s="65">
        <v>60</v>
      </c>
      <c r="B62" s="79"/>
      <c r="C62" s="79"/>
      <c r="D62" s="65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9"/>
      <c r="S62" s="949"/>
      <c r="T62" s="949"/>
      <c r="U6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3" spans="1:21">
      <c r="A63" s="65">
        <v>61</v>
      </c>
      <c r="B63" s="79"/>
      <c r="C63" s="79"/>
      <c r="D63" s="65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9"/>
      <c r="S63" s="949"/>
      <c r="T63" s="949"/>
      <c r="U6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4" spans="1:21">
      <c r="A64" s="65">
        <v>62</v>
      </c>
      <c r="B64" s="79"/>
      <c r="C64" s="79"/>
      <c r="D64" s="65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86"/>
      <c r="S64" s="86"/>
      <c r="T64" s="86"/>
      <c r="U6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5" spans="1:21">
      <c r="A65" s="65">
        <v>63</v>
      </c>
      <c r="B65" s="79"/>
      <c r="C65" s="79"/>
      <c r="D65" s="65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86"/>
      <c r="S65" s="86"/>
      <c r="T65" s="86"/>
      <c r="U6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6" spans="1:21">
      <c r="A66" s="65">
        <v>64</v>
      </c>
      <c r="B66" s="79"/>
      <c r="C66" s="79"/>
      <c r="D66" s="65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86"/>
      <c r="S66" s="86"/>
      <c r="T66" s="86"/>
      <c r="U6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7" spans="1:21" s="65" customFormat="1" ht="15.75" customHeight="1">
      <c r="A67" s="65">
        <v>65</v>
      </c>
      <c r="B67" s="79"/>
      <c r="C67" s="79"/>
      <c r="F67" s="72"/>
      <c r="I67" s="105"/>
      <c r="M67" s="110"/>
      <c r="O67" s="72"/>
      <c r="P67" s="86"/>
      <c r="Q67" s="86"/>
      <c r="R67" s="86"/>
      <c r="S67" s="86"/>
      <c r="T67" s="86"/>
      <c r="U6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8" spans="1:21">
      <c r="A68" s="65">
        <v>66</v>
      </c>
      <c r="B68" s="79"/>
      <c r="C68" s="79"/>
      <c r="D68" s="65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9"/>
      <c r="S68" s="949"/>
      <c r="T68" s="949"/>
      <c r="U6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69" spans="1:21">
      <c r="A69" s="65">
        <v>67</v>
      </c>
      <c r="B69" s="79"/>
      <c r="C69" s="79"/>
      <c r="D69" s="65"/>
      <c r="E69" s="65"/>
      <c r="F69" s="72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9"/>
      <c r="S69" s="949"/>
      <c r="T69" s="949"/>
      <c r="U6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0" spans="1:21">
      <c r="A70" s="65">
        <v>68</v>
      </c>
      <c r="B70" s="79"/>
      <c r="C70" s="79"/>
      <c r="D70" s="65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86"/>
      <c r="S70" s="86"/>
      <c r="T70" s="86"/>
      <c r="U7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1" spans="1:21">
      <c r="A71" s="65">
        <v>69</v>
      </c>
      <c r="B71" s="79"/>
      <c r="C71" s="79"/>
      <c r="D71" s="65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86"/>
      <c r="S71" s="86"/>
      <c r="T71" s="86"/>
      <c r="U7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2" spans="1:21">
      <c r="A72" s="65">
        <v>70</v>
      </c>
      <c r="B72" s="79"/>
      <c r="C72" s="79"/>
      <c r="D72" s="65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388"/>
      <c r="P72" s="86"/>
      <c r="Q72" s="86"/>
      <c r="R72" s="86"/>
      <c r="S72" s="86"/>
      <c r="T72" s="86"/>
      <c r="U7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3" spans="1:21" s="1214" customFormat="1">
      <c r="A73" s="65">
        <v>71</v>
      </c>
      <c r="B73" s="79"/>
      <c r="C73" s="79"/>
      <c r="D73" s="65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86"/>
      <c r="S73" s="86"/>
      <c r="T73" s="86"/>
      <c r="U73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4" spans="1:21" s="1214" customFormat="1">
      <c r="A74" s="65">
        <v>72</v>
      </c>
      <c r="B74" s="79"/>
      <c r="C74" s="79"/>
      <c r="D74" s="65"/>
      <c r="E74" s="65"/>
      <c r="F74" s="72"/>
      <c r="G74" s="65"/>
      <c r="H74" s="65"/>
      <c r="I74" s="105"/>
      <c r="J74" s="65"/>
      <c r="K74" s="65"/>
      <c r="L74" s="65"/>
      <c r="M74" s="110"/>
      <c r="N74" s="65"/>
      <c r="O74" s="72"/>
      <c r="P74" s="86"/>
      <c r="Q74" s="86"/>
      <c r="R74" s="949"/>
      <c r="S74" s="949"/>
      <c r="T74" s="949"/>
      <c r="U74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5" spans="1:21" s="1214" customFormat="1">
      <c r="A75" s="65">
        <v>73</v>
      </c>
      <c r="B75" s="79"/>
      <c r="C75" s="79"/>
      <c r="D75" s="65"/>
      <c r="E75" s="65"/>
      <c r="F75" s="934"/>
      <c r="G75" s="65"/>
      <c r="H75" s="65"/>
      <c r="I75" s="105"/>
      <c r="J75" s="65"/>
      <c r="K75" s="65"/>
      <c r="L75" s="65"/>
      <c r="M75" s="110"/>
      <c r="N75" s="65"/>
      <c r="O75" s="72"/>
      <c r="P75" s="86"/>
      <c r="Q75" s="86"/>
      <c r="R75" s="86"/>
      <c r="S75" s="86"/>
      <c r="T75" s="86"/>
      <c r="U75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6" spans="1:21" s="1214" customFormat="1">
      <c r="A76" s="65">
        <v>74</v>
      </c>
      <c r="B76" s="79"/>
      <c r="C76" s="79"/>
      <c r="D76" s="65"/>
      <c r="E76" s="65"/>
      <c r="F76" s="934"/>
      <c r="G76" s="65"/>
      <c r="H76" s="65"/>
      <c r="I76" s="105"/>
      <c r="J76" s="65"/>
      <c r="K76" s="65"/>
      <c r="L76" s="65"/>
      <c r="M76" s="110"/>
      <c r="N76" s="65"/>
      <c r="O76" s="72"/>
      <c r="P76" s="86"/>
      <c r="Q76" s="86"/>
      <c r="R76" s="86"/>
      <c r="S76" s="86"/>
      <c r="T76" s="948"/>
      <c r="U76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7" spans="1:21" s="1214" customFormat="1">
      <c r="A77" s="65">
        <v>75</v>
      </c>
      <c r="B77" s="79"/>
      <c r="C77" s="79"/>
      <c r="D77" s="65"/>
      <c r="E77" s="65"/>
      <c r="F77" s="934"/>
      <c r="G77" s="65"/>
      <c r="H77" s="65"/>
      <c r="I77" s="105"/>
      <c r="J77" s="65"/>
      <c r="K77" s="65"/>
      <c r="L77" s="65"/>
      <c r="M77" s="110"/>
      <c r="N77" s="65"/>
      <c r="O77" s="72"/>
      <c r="P77" s="86"/>
      <c r="Q77" s="86"/>
      <c r="R77" s="86"/>
      <c r="S77" s="86"/>
      <c r="T77" s="86"/>
      <c r="U77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8" spans="1:21" s="1214" customFormat="1">
      <c r="A78" s="65">
        <v>76</v>
      </c>
      <c r="B78" s="79"/>
      <c r="C78" s="79"/>
      <c r="D78" s="65"/>
      <c r="E78" s="65"/>
      <c r="F78" s="934"/>
      <c r="G78" s="65"/>
      <c r="H78" s="65"/>
      <c r="I78" s="105"/>
      <c r="J78" s="65"/>
      <c r="K78" s="65"/>
      <c r="L78" s="65"/>
      <c r="M78" s="110"/>
      <c r="N78" s="65"/>
      <c r="O78" s="72"/>
      <c r="P78" s="86"/>
      <c r="Q78" s="86"/>
      <c r="R78" s="86"/>
      <c r="S78" s="86"/>
      <c r="T78" s="86"/>
      <c r="U78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79" spans="1:21" s="1214" customFormat="1">
      <c r="A79" s="65">
        <v>77</v>
      </c>
      <c r="B79" s="79"/>
      <c r="C79" s="79"/>
      <c r="D79" s="65"/>
      <c r="E79" s="65"/>
      <c r="F79" s="934"/>
      <c r="G79" s="65"/>
      <c r="H79" s="65"/>
      <c r="I79" s="105"/>
      <c r="J79" s="65"/>
      <c r="K79" s="65"/>
      <c r="L79" s="65"/>
      <c r="M79" s="110"/>
      <c r="N79" s="65"/>
      <c r="O79" s="72"/>
      <c r="P79" s="86"/>
      <c r="Q79" s="86"/>
      <c r="R79" s="86"/>
      <c r="S79" s="86"/>
      <c r="T79" s="86"/>
      <c r="U79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80" spans="1:21">
      <c r="A80" s="65">
        <v>78</v>
      </c>
      <c r="B80" s="79"/>
      <c r="C80" s="79"/>
      <c r="D80" s="65"/>
      <c r="E80" s="65"/>
      <c r="F80" s="934"/>
      <c r="G80" s="65"/>
      <c r="H80" s="65"/>
      <c r="I80" s="105"/>
      <c r="J80" s="65"/>
      <c r="K80" s="65"/>
      <c r="L80" s="65"/>
      <c r="M80" s="110"/>
      <c r="N80" s="65"/>
      <c r="O80" s="72"/>
      <c r="P80" s="86"/>
      <c r="Q80" s="86"/>
      <c r="R80" s="86"/>
      <c r="S80" s="86"/>
      <c r="T80" s="86"/>
      <c r="U80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81" spans="1:21">
      <c r="A81" s="65">
        <v>79</v>
      </c>
      <c r="B81" s="79"/>
      <c r="C81" s="79"/>
      <c r="D81" s="65"/>
      <c r="E81" s="65"/>
      <c r="F81" s="934"/>
      <c r="G81" s="65"/>
      <c r="H81" s="65"/>
      <c r="I81" s="105"/>
      <c r="J81" s="65"/>
      <c r="K81" s="65"/>
      <c r="L81" s="65"/>
      <c r="M81" s="110"/>
      <c r="N81" s="65"/>
      <c r="O81" s="72"/>
      <c r="P81" s="86"/>
      <c r="Q81" s="86"/>
      <c r="R81" s="86"/>
      <c r="S81" s="86"/>
      <c r="T81" s="86"/>
      <c r="U81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82" spans="1:21" s="65" customFormat="1">
      <c r="A82" s="65">
        <v>80</v>
      </c>
      <c r="B82" s="79"/>
      <c r="C82" s="79"/>
      <c r="F82" s="934"/>
      <c r="I82" s="105"/>
      <c r="M82" s="110"/>
      <c r="O82" s="72"/>
      <c r="P82" s="86"/>
      <c r="Q82" s="86"/>
      <c r="R82" s="86"/>
      <c r="S82" s="86"/>
      <c r="T82" s="86"/>
      <c r="U82" s="948" t="str">
        <f>IFERROR(SUM(Апрель2022[[#This Row],[сумма]]/Апрель2022[[#This Row],[м2]],IF(Апрель2022[[#This Row],[Отделка]]="Черновая",0,"")&amp;IF(Апрель2022[[#This Row],[Отделка]]="Предчистовая",-7000,"")&amp;IF(Апрель2022[[#This Row],[Отделка]]="Чистовая",-20000,""))*Апрель2022[[#This Row],[м2]],"")</f>
        <v/>
      </c>
    </row>
    <row r="83" spans="1:21">
      <c r="A83" s="65"/>
      <c r="B83" s="79"/>
      <c r="C83" s="79"/>
      <c r="D83" s="65"/>
      <c r="E83" s="65"/>
      <c r="F83" s="934"/>
      <c r="G83" s="65"/>
      <c r="H83" s="65"/>
      <c r="I83" s="105"/>
      <c r="J83" s="65"/>
      <c r="K83" s="65"/>
      <c r="L83" s="108"/>
      <c r="M83" s="110"/>
      <c r="N83" s="65"/>
      <c r="O83" s="72"/>
      <c r="P83" s="86"/>
      <c r="Q83" s="86"/>
      <c r="R83" s="86"/>
      <c r="S83" s="86"/>
      <c r="T83" s="86"/>
      <c r="U83" s="948"/>
    </row>
    <row r="84" spans="1:21" s="1214" customFormat="1">
      <c r="A84" s="2290" t="s">
        <v>713</v>
      </c>
      <c r="B84" s="2291"/>
      <c r="C84" s="972" t="s">
        <v>121</v>
      </c>
      <c r="D84" s="2295"/>
      <c r="E84" s="2296"/>
      <c r="F84" s="2296"/>
      <c r="G84" s="2296"/>
      <c r="H84" s="2296"/>
      <c r="I84" s="2296"/>
      <c r="J84" s="2296"/>
      <c r="K84" s="2296"/>
      <c r="L84" s="2296"/>
      <c r="M84" s="2296"/>
      <c r="N84" s="2296"/>
      <c r="O84" s="2296"/>
      <c r="P84" s="2296"/>
      <c r="Q84" s="86"/>
      <c r="R84" s="86"/>
      <c r="S84" s="86"/>
      <c r="T84" s="86"/>
      <c r="U84" s="43"/>
    </row>
    <row r="85" spans="1:21" ht="25.5">
      <c r="A85" s="692" t="s">
        <v>1</v>
      </c>
      <c r="B85" s="686" t="s">
        <v>100</v>
      </c>
      <c r="C85" s="687" t="s">
        <v>97</v>
      </c>
      <c r="D85" s="688" t="s">
        <v>95</v>
      </c>
      <c r="E85" s="1033" t="s">
        <v>494</v>
      </c>
      <c r="F85" s="1033" t="s">
        <v>495</v>
      </c>
      <c r="G85" s="1033" t="s">
        <v>496</v>
      </c>
      <c r="H85" s="1034" t="s">
        <v>101</v>
      </c>
      <c r="I85" s="1023" t="s">
        <v>98</v>
      </c>
      <c r="J85" s="1023" t="s">
        <v>96</v>
      </c>
      <c r="K85" s="1023" t="s">
        <v>715</v>
      </c>
      <c r="L85" s="1060" t="s">
        <v>716</v>
      </c>
      <c r="M85" s="1033">
        <v>0</v>
      </c>
      <c r="N85" s="1033">
        <v>1</v>
      </c>
      <c r="O85" s="1033">
        <v>2</v>
      </c>
      <c r="P85" s="1033">
        <v>3</v>
      </c>
      <c r="Q85" s="1104">
        <v>4</v>
      </c>
      <c r="R85" s="950"/>
      <c r="S85" s="950"/>
      <c r="T85" s="950"/>
      <c r="U85" s="951"/>
    </row>
    <row r="86" spans="1:21">
      <c r="A86" s="1020" t="s">
        <v>73</v>
      </c>
      <c r="B86" s="1109">
        <v>173</v>
      </c>
      <c r="C86" s="939">
        <v>13289901.6</v>
      </c>
      <c r="D86" s="1069">
        <v>4</v>
      </c>
      <c r="E86" s="145">
        <v>0</v>
      </c>
      <c r="F86" s="939">
        <v>0</v>
      </c>
      <c r="G86" s="1038">
        <v>0</v>
      </c>
      <c r="H86" s="148">
        <v>0</v>
      </c>
      <c r="I86" s="149">
        <v>0</v>
      </c>
      <c r="J86" s="220">
        <v>0</v>
      </c>
      <c r="K86" s="943">
        <v>0</v>
      </c>
      <c r="L86" s="1061">
        <v>0</v>
      </c>
      <c r="M86" s="339">
        <v>0</v>
      </c>
      <c r="N86" s="339">
        <v>0</v>
      </c>
      <c r="O86" s="339">
        <v>0</v>
      </c>
      <c r="P86" s="339">
        <v>0</v>
      </c>
      <c r="Q86" s="1099">
        <v>0</v>
      </c>
      <c r="R86" s="949"/>
      <c r="S86" s="949"/>
      <c r="T86" s="949"/>
      <c r="U86" s="930"/>
    </row>
    <row r="87" spans="1:21">
      <c r="A87" s="981" t="s">
        <v>77</v>
      </c>
      <c r="B87" s="1109">
        <v>173</v>
      </c>
      <c r="C87" s="939">
        <v>13289901.6</v>
      </c>
      <c r="D87" s="1069">
        <v>4</v>
      </c>
      <c r="E87" s="145">
        <v>0</v>
      </c>
      <c r="F87" s="939">
        <v>0</v>
      </c>
      <c r="G87" s="1038">
        <v>0</v>
      </c>
      <c r="H87" s="148">
        <v>0</v>
      </c>
      <c r="I87" s="149">
        <v>0</v>
      </c>
      <c r="J87" s="220">
        <v>0</v>
      </c>
      <c r="K87" s="987">
        <v>0</v>
      </c>
      <c r="L87" s="1062">
        <v>0</v>
      </c>
      <c r="M87" s="339">
        <v>0</v>
      </c>
      <c r="N87" s="339">
        <v>0</v>
      </c>
      <c r="O87" s="339">
        <v>0</v>
      </c>
      <c r="P87" s="339">
        <v>0</v>
      </c>
      <c r="Q87" s="1099">
        <v>0</v>
      </c>
      <c r="R87" s="949"/>
      <c r="S87" s="949"/>
      <c r="T87" s="949"/>
      <c r="U87" s="930"/>
    </row>
    <row r="88" spans="1:21">
      <c r="A88" s="981" t="s">
        <v>471</v>
      </c>
      <c r="B88" s="1109">
        <v>173</v>
      </c>
      <c r="C88" s="939">
        <v>13289901.6</v>
      </c>
      <c r="D88" s="1069">
        <v>4</v>
      </c>
      <c r="E88" s="145">
        <v>0</v>
      </c>
      <c r="F88" s="939">
        <v>0</v>
      </c>
      <c r="G88" s="1038">
        <v>0</v>
      </c>
      <c r="H88" s="148">
        <v>0</v>
      </c>
      <c r="I88" s="149">
        <v>0</v>
      </c>
      <c r="J88" s="220">
        <v>0</v>
      </c>
      <c r="K88" s="987">
        <v>0</v>
      </c>
      <c r="L88" s="1062">
        <v>0</v>
      </c>
      <c r="M88" s="339">
        <v>0</v>
      </c>
      <c r="N88" s="339">
        <v>0</v>
      </c>
      <c r="O88" s="339">
        <v>0</v>
      </c>
      <c r="P88" s="339">
        <v>0</v>
      </c>
      <c r="Q88" s="1099">
        <v>0</v>
      </c>
      <c r="R88" s="949"/>
      <c r="S88" s="949"/>
      <c r="T88" s="949"/>
      <c r="U88" s="930"/>
    </row>
    <row r="89" spans="1:21">
      <c r="A89" s="981" t="s">
        <v>20</v>
      </c>
      <c r="B89" s="1109">
        <v>173</v>
      </c>
      <c r="C89" s="939">
        <v>13289901.6</v>
      </c>
      <c r="D89" s="1069">
        <v>4</v>
      </c>
      <c r="E89" s="145">
        <v>0</v>
      </c>
      <c r="F89" s="939">
        <v>0</v>
      </c>
      <c r="G89" s="1038">
        <v>0</v>
      </c>
      <c r="H89" s="148">
        <v>0</v>
      </c>
      <c r="I89" s="149">
        <v>0</v>
      </c>
      <c r="J89" s="220">
        <v>0</v>
      </c>
      <c r="K89" s="987">
        <v>0</v>
      </c>
      <c r="L89" s="1062">
        <v>0</v>
      </c>
      <c r="M89" s="339">
        <v>0</v>
      </c>
      <c r="N89" s="339">
        <v>0</v>
      </c>
      <c r="O89" s="339">
        <v>0</v>
      </c>
      <c r="P89" s="339">
        <v>0</v>
      </c>
      <c r="Q89" s="1099">
        <v>0</v>
      </c>
      <c r="R89" s="949"/>
      <c r="S89" s="949"/>
      <c r="T89" s="949"/>
      <c r="U89" s="930"/>
    </row>
    <row r="90" spans="1:21">
      <c r="A90" s="1042" t="s">
        <v>63</v>
      </c>
      <c r="B90" s="1109">
        <v>173</v>
      </c>
      <c r="C90" s="939">
        <v>13289901.6</v>
      </c>
      <c r="D90" s="1069">
        <v>4</v>
      </c>
      <c r="E90" s="145">
        <v>0</v>
      </c>
      <c r="F90" s="939">
        <v>0</v>
      </c>
      <c r="G90" s="1038">
        <v>0</v>
      </c>
      <c r="H90" s="148">
        <v>0</v>
      </c>
      <c r="I90" s="149">
        <v>0</v>
      </c>
      <c r="J90" s="220">
        <v>0</v>
      </c>
      <c r="K90" s="1063">
        <v>0</v>
      </c>
      <c r="L90" s="1064">
        <v>0</v>
      </c>
      <c r="M90" s="339">
        <v>0</v>
      </c>
      <c r="N90" s="339">
        <v>0</v>
      </c>
      <c r="O90" s="339">
        <v>0</v>
      </c>
      <c r="P90" s="339">
        <v>0</v>
      </c>
      <c r="Q90" s="1099">
        <v>0</v>
      </c>
      <c r="R90" s="949"/>
      <c r="S90" s="949"/>
      <c r="T90" s="949"/>
      <c r="U90" s="930"/>
    </row>
    <row r="91" spans="1:21" s="1214" customFormat="1">
      <c r="A91" s="984" t="s">
        <v>114</v>
      </c>
      <c r="B91" s="1195">
        <v>865</v>
      </c>
      <c r="C91" s="1196">
        <v>66449508</v>
      </c>
      <c r="D91" s="1162">
        <v>20</v>
      </c>
      <c r="E91" s="1123">
        <v>0</v>
      </c>
      <c r="F91" s="1163">
        <v>0</v>
      </c>
      <c r="G91" s="1164">
        <v>0</v>
      </c>
      <c r="H91" s="906">
        <v>0</v>
      </c>
      <c r="I91" s="1124">
        <v>0</v>
      </c>
      <c r="J91" s="1123">
        <v>0</v>
      </c>
      <c r="K91" s="1140">
        <v>0</v>
      </c>
      <c r="L91" s="1141">
        <v>0</v>
      </c>
      <c r="M91" s="1123">
        <v>0</v>
      </c>
      <c r="N91" s="1123">
        <v>0</v>
      </c>
      <c r="O91" s="1123">
        <v>0</v>
      </c>
      <c r="P91" s="1185">
        <v>0</v>
      </c>
      <c r="Q91" s="1167">
        <v>0</v>
      </c>
      <c r="R91" s="949"/>
      <c r="S91" s="949"/>
      <c r="T91" s="949"/>
      <c r="U91" s="930"/>
    </row>
    <row r="92" spans="1:21" ht="25.5">
      <c r="A92" s="692" t="s">
        <v>115</v>
      </c>
      <c r="B92" s="686" t="s">
        <v>100</v>
      </c>
      <c r="C92" s="693" t="s">
        <v>97</v>
      </c>
      <c r="D92" s="688" t="s">
        <v>95</v>
      </c>
      <c r="E92" s="1033" t="s">
        <v>494</v>
      </c>
      <c r="F92" s="1033" t="s">
        <v>495</v>
      </c>
      <c r="G92" s="1104" t="s">
        <v>496</v>
      </c>
      <c r="H92" s="1034" t="s">
        <v>101</v>
      </c>
      <c r="I92" s="1023" t="s">
        <v>98</v>
      </c>
      <c r="J92" s="1023" t="s">
        <v>96</v>
      </c>
      <c r="K92" s="1186" t="s">
        <v>715</v>
      </c>
      <c r="L92" s="1187" t="s">
        <v>716</v>
      </c>
      <c r="M92" s="1033">
        <v>0</v>
      </c>
      <c r="N92" s="1033">
        <v>1</v>
      </c>
      <c r="O92" s="1033">
        <v>2</v>
      </c>
      <c r="P92" s="1033">
        <v>3</v>
      </c>
      <c r="Q92" s="1104">
        <v>4</v>
      </c>
      <c r="R92" s="950"/>
      <c r="S92" s="950"/>
      <c r="T92" s="950"/>
      <c r="U92" s="951"/>
    </row>
    <row r="93" spans="1:21">
      <c r="A93" s="1020" t="s">
        <v>16</v>
      </c>
      <c r="B93" s="1197">
        <v>302.75</v>
      </c>
      <c r="C93" s="939">
        <v>23257327.800000001</v>
      </c>
      <c r="D93" s="1069">
        <v>7</v>
      </c>
      <c r="E93" s="1129">
        <v>0</v>
      </c>
      <c r="F93" s="149">
        <v>0</v>
      </c>
      <c r="G93" s="940">
        <v>0</v>
      </c>
      <c r="H93" s="148">
        <v>0</v>
      </c>
      <c r="I93" s="220">
        <v>0</v>
      </c>
      <c r="J93" s="220">
        <v>0</v>
      </c>
      <c r="K93" s="943">
        <v>0</v>
      </c>
      <c r="L93" s="1061">
        <v>0</v>
      </c>
      <c r="M93" s="339">
        <v>0</v>
      </c>
      <c r="N93" s="339">
        <v>0</v>
      </c>
      <c r="O93" s="339">
        <v>0</v>
      </c>
      <c r="P93" s="339">
        <v>0</v>
      </c>
      <c r="Q93" s="1099">
        <v>0</v>
      </c>
      <c r="R93" s="949"/>
      <c r="S93" s="949"/>
      <c r="T93" s="949"/>
      <c r="U93" s="930"/>
    </row>
    <row r="94" spans="1:21">
      <c r="A94" s="1042" t="s">
        <v>575</v>
      </c>
      <c r="B94" s="1197">
        <v>302.75</v>
      </c>
      <c r="C94" s="958">
        <v>23257327.800000001</v>
      </c>
      <c r="D94" s="1054">
        <v>7</v>
      </c>
      <c r="E94" s="1129">
        <v>0</v>
      </c>
      <c r="F94" s="149">
        <v>0</v>
      </c>
      <c r="G94" s="940">
        <v>0</v>
      </c>
      <c r="H94" s="967">
        <v>0</v>
      </c>
      <c r="I94" s="1223">
        <v>0</v>
      </c>
      <c r="J94" s="1223">
        <v>0</v>
      </c>
      <c r="K94" s="1063">
        <v>0</v>
      </c>
      <c r="L94" s="1064">
        <v>0</v>
      </c>
      <c r="M94" s="339">
        <v>0</v>
      </c>
      <c r="N94" s="339">
        <v>0</v>
      </c>
      <c r="O94" s="339">
        <v>0</v>
      </c>
      <c r="P94" s="339">
        <v>0</v>
      </c>
      <c r="Q94" s="1099">
        <v>0</v>
      </c>
      <c r="R94" s="949"/>
      <c r="S94" s="949"/>
      <c r="T94" s="949"/>
      <c r="U94" s="930"/>
    </row>
    <row r="95" spans="1:21">
      <c r="A95" s="906" t="s">
        <v>114</v>
      </c>
      <c r="B95" s="1198">
        <v>605.5</v>
      </c>
      <c r="C95" s="1165">
        <v>46514655.600000001</v>
      </c>
      <c r="D95" s="1166">
        <v>14</v>
      </c>
      <c r="E95" s="1123">
        <v>0</v>
      </c>
      <c r="F95" s="1124">
        <v>0</v>
      </c>
      <c r="G95" s="1167">
        <v>0</v>
      </c>
      <c r="H95" s="906">
        <v>0</v>
      </c>
      <c r="I95" s="1123">
        <v>0</v>
      </c>
      <c r="J95" s="1123">
        <v>0</v>
      </c>
      <c r="K95" s="1199">
        <v>0</v>
      </c>
      <c r="L95" s="1200">
        <v>0</v>
      </c>
      <c r="M95" s="1123">
        <v>0</v>
      </c>
      <c r="N95" s="1123">
        <v>0</v>
      </c>
      <c r="O95" s="1123">
        <v>0</v>
      </c>
      <c r="P95" s="1123">
        <v>0</v>
      </c>
      <c r="Q95" s="1167">
        <v>0</v>
      </c>
      <c r="R95" s="65"/>
      <c r="S95" s="65"/>
      <c r="T95" s="65"/>
      <c r="U95" s="339"/>
    </row>
    <row r="96" spans="1:21">
      <c r="A96" s="7"/>
      <c r="B96" s="968"/>
      <c r="C96" s="968"/>
      <c r="D96" s="7"/>
      <c r="E96" s="7"/>
      <c r="F96" s="7"/>
      <c r="G96" s="7"/>
      <c r="H96" s="134"/>
      <c r="I96" s="134"/>
      <c r="J96" s="134"/>
      <c r="K96" s="7"/>
      <c r="L96" s="994"/>
      <c r="M96" s="134"/>
      <c r="N96" s="134"/>
      <c r="O96" s="134"/>
      <c r="P96" s="262"/>
      <c r="Q96" s="134"/>
      <c r="R96" s="949"/>
      <c r="S96" s="949"/>
      <c r="T96" s="949"/>
      <c r="U96" s="930"/>
    </row>
    <row r="97" spans="1:21" s="1214" customFormat="1">
      <c r="A97" s="2290" t="s">
        <v>713</v>
      </c>
      <c r="B97" s="2291"/>
      <c r="C97" s="935" t="s">
        <v>27</v>
      </c>
      <c r="D97" s="2292"/>
      <c r="E97" s="2292"/>
      <c r="F97" s="2292"/>
      <c r="G97" s="2292"/>
      <c r="H97" s="2292"/>
      <c r="I97" s="2292"/>
      <c r="J97" s="2292"/>
      <c r="K97" s="2292"/>
      <c r="L97" s="2292"/>
      <c r="M97" s="2292"/>
      <c r="N97" s="2292"/>
      <c r="O97" s="2292"/>
      <c r="P97" s="2292"/>
      <c r="Q97" s="7"/>
      <c r="R97" s="949"/>
      <c r="S97" s="949"/>
      <c r="T97" s="949"/>
      <c r="U97" s="930"/>
    </row>
    <row r="98" spans="1:21" ht="25.5">
      <c r="A98" s="692" t="s">
        <v>1</v>
      </c>
      <c r="B98" s="686" t="s">
        <v>100</v>
      </c>
      <c r="C98" s="688" t="s">
        <v>97</v>
      </c>
      <c r="D98" s="688" t="s">
        <v>95</v>
      </c>
      <c r="E98" s="1022" t="s">
        <v>494</v>
      </c>
      <c r="F98" s="138" t="s">
        <v>495</v>
      </c>
      <c r="G98" s="139" t="s">
        <v>496</v>
      </c>
      <c r="H98" s="140" t="s">
        <v>101</v>
      </c>
      <c r="I98" s="141" t="s">
        <v>98</v>
      </c>
      <c r="J98" s="141" t="s">
        <v>96</v>
      </c>
      <c r="K98" s="141" t="s">
        <v>715</v>
      </c>
      <c r="L98" s="1026" t="s">
        <v>716</v>
      </c>
      <c r="M98" s="1087">
        <v>0</v>
      </c>
      <c r="N98" s="1033">
        <v>1</v>
      </c>
      <c r="O98" s="1033">
        <v>2</v>
      </c>
      <c r="P98" s="1033">
        <v>3</v>
      </c>
      <c r="Q98" s="1104">
        <v>4</v>
      </c>
      <c r="R98" s="950"/>
      <c r="S98" s="950"/>
      <c r="T98" s="950"/>
      <c r="U98" s="951"/>
    </row>
    <row r="99" spans="1:21">
      <c r="A99" s="1035" t="s">
        <v>73</v>
      </c>
      <c r="B99" s="1126">
        <v>366.4</v>
      </c>
      <c r="C99" s="1059">
        <v>26345281.199999999</v>
      </c>
      <c r="D99" s="1074">
        <v>8</v>
      </c>
      <c r="E99" s="145">
        <v>119.86</v>
      </c>
      <c r="F99" s="939">
        <v>9553415.5099999998</v>
      </c>
      <c r="G99" s="940">
        <v>2</v>
      </c>
      <c r="H99" s="148">
        <v>159.86000000000001</v>
      </c>
      <c r="I99" s="149">
        <v>13268466.710000001</v>
      </c>
      <c r="J99" s="220">
        <v>3</v>
      </c>
      <c r="K99" s="943">
        <v>0.43629912663755499</v>
      </c>
      <c r="L99" s="1061">
        <v>0.50363731589245697</v>
      </c>
      <c r="M99" s="1090">
        <v>0</v>
      </c>
      <c r="N99" s="339">
        <v>1</v>
      </c>
      <c r="O99" s="339">
        <v>2</v>
      </c>
      <c r="P99" s="339">
        <v>0</v>
      </c>
      <c r="Q99" s="1099">
        <v>0</v>
      </c>
      <c r="R99" s="949"/>
      <c r="S99" s="949"/>
      <c r="T99" s="949"/>
      <c r="U99" s="930"/>
    </row>
    <row r="100" spans="1:21">
      <c r="A100" s="1039" t="s">
        <v>77</v>
      </c>
      <c r="B100" s="1127">
        <v>366.4</v>
      </c>
      <c r="C100" s="954">
        <v>26345281.199999999</v>
      </c>
      <c r="D100" s="1041">
        <v>8</v>
      </c>
      <c r="E100" s="145">
        <v>79</v>
      </c>
      <c r="F100" s="939">
        <v>7278566.0999999996</v>
      </c>
      <c r="G100" s="940">
        <v>2</v>
      </c>
      <c r="H100" s="202">
        <v>79</v>
      </c>
      <c r="I100" s="203">
        <v>7278566.0999999996</v>
      </c>
      <c r="J100" s="226">
        <v>2</v>
      </c>
      <c r="K100" s="987">
        <v>0.21561135371178999</v>
      </c>
      <c r="L100" s="1062">
        <v>0.27627589338465702</v>
      </c>
      <c r="M100" s="1090">
        <v>0</v>
      </c>
      <c r="N100" s="339">
        <v>2</v>
      </c>
      <c r="O100" s="339">
        <v>0</v>
      </c>
      <c r="P100" s="339">
        <v>0</v>
      </c>
      <c r="Q100" s="1099">
        <v>0</v>
      </c>
      <c r="R100" s="949"/>
      <c r="S100" s="949"/>
      <c r="T100" s="949"/>
      <c r="U100" s="930"/>
    </row>
    <row r="101" spans="1:21">
      <c r="A101" s="1039" t="s">
        <v>471</v>
      </c>
      <c r="B101" s="1127">
        <v>366.4</v>
      </c>
      <c r="C101" s="954">
        <v>26345281.199999999</v>
      </c>
      <c r="D101" s="1041">
        <v>8</v>
      </c>
      <c r="E101" s="145">
        <v>0</v>
      </c>
      <c r="F101" s="939">
        <v>0</v>
      </c>
      <c r="G101" s="940">
        <v>0</v>
      </c>
      <c r="H101" s="202">
        <v>0</v>
      </c>
      <c r="I101" s="203">
        <v>0</v>
      </c>
      <c r="J101" s="226">
        <v>0</v>
      </c>
      <c r="K101" s="987">
        <v>0</v>
      </c>
      <c r="L101" s="1062">
        <v>0</v>
      </c>
      <c r="M101" s="1090">
        <v>0</v>
      </c>
      <c r="N101" s="339">
        <v>0</v>
      </c>
      <c r="O101" s="339">
        <v>0</v>
      </c>
      <c r="P101" s="339">
        <v>0</v>
      </c>
      <c r="Q101" s="1099">
        <v>0</v>
      </c>
      <c r="R101" s="949"/>
      <c r="S101" s="949"/>
      <c r="T101" s="949"/>
      <c r="U101" s="930"/>
    </row>
    <row r="102" spans="1:21">
      <c r="A102" s="1039" t="s">
        <v>20</v>
      </c>
      <c r="B102" s="1127">
        <v>366.4</v>
      </c>
      <c r="C102" s="954">
        <v>26345281.199999999</v>
      </c>
      <c r="D102" s="1041">
        <v>8</v>
      </c>
      <c r="E102" s="145">
        <v>0</v>
      </c>
      <c r="F102" s="939">
        <v>0</v>
      </c>
      <c r="G102" s="940">
        <v>0</v>
      </c>
      <c r="H102" s="202">
        <v>0</v>
      </c>
      <c r="I102" s="203">
        <v>0</v>
      </c>
      <c r="J102" s="226">
        <v>0</v>
      </c>
      <c r="K102" s="987">
        <v>0</v>
      </c>
      <c r="L102" s="1062">
        <v>0</v>
      </c>
      <c r="M102" s="1090">
        <v>0</v>
      </c>
      <c r="N102" s="339">
        <v>0</v>
      </c>
      <c r="O102" s="339">
        <v>0</v>
      </c>
      <c r="P102" s="339">
        <v>0</v>
      </c>
      <c r="Q102" s="1099">
        <v>0</v>
      </c>
      <c r="R102" s="949"/>
      <c r="S102" s="949"/>
      <c r="T102" s="949"/>
      <c r="U102" s="930"/>
    </row>
    <row r="103" spans="1:21">
      <c r="A103" s="1110" t="s">
        <v>63</v>
      </c>
      <c r="B103" s="1128">
        <v>366.4</v>
      </c>
      <c r="C103" s="958">
        <v>26345281.199999999</v>
      </c>
      <c r="D103" s="1054">
        <v>8</v>
      </c>
      <c r="E103" s="145">
        <v>54.67</v>
      </c>
      <c r="F103" s="939">
        <v>4109940.79</v>
      </c>
      <c r="G103" s="940">
        <v>1</v>
      </c>
      <c r="H103" s="358">
        <v>54.67</v>
      </c>
      <c r="I103" s="359">
        <v>4109940.79</v>
      </c>
      <c r="J103" s="330">
        <v>1</v>
      </c>
      <c r="K103" s="1063">
        <v>0.14920851528384299</v>
      </c>
      <c r="L103" s="1064">
        <v>0.15600291979422901</v>
      </c>
      <c r="M103" s="1090">
        <v>0</v>
      </c>
      <c r="N103" s="339">
        <v>0</v>
      </c>
      <c r="O103" s="339">
        <v>1</v>
      </c>
      <c r="P103" s="339">
        <v>0</v>
      </c>
      <c r="Q103" s="1099">
        <v>0</v>
      </c>
      <c r="R103" s="949"/>
      <c r="S103" s="949"/>
      <c r="T103" s="949"/>
      <c r="U103" s="930"/>
    </row>
    <row r="104" spans="1:21" s="1214" customFormat="1">
      <c r="A104" s="984" t="s">
        <v>114</v>
      </c>
      <c r="B104" s="1195">
        <v>1832</v>
      </c>
      <c r="C104" s="1196">
        <v>131726406</v>
      </c>
      <c r="D104" s="1162">
        <v>40</v>
      </c>
      <c r="E104" s="1168">
        <v>253.53</v>
      </c>
      <c r="F104" s="1169">
        <v>20941922.399999999</v>
      </c>
      <c r="G104" s="1170">
        <v>5</v>
      </c>
      <c r="H104" s="1171">
        <v>293.52999999999997</v>
      </c>
      <c r="I104" s="1165">
        <v>24656973.600000001</v>
      </c>
      <c r="J104" s="1182">
        <v>6</v>
      </c>
      <c r="K104" s="1201">
        <v>0.16022379912663801</v>
      </c>
      <c r="L104" s="1202">
        <v>0.187183225814268</v>
      </c>
      <c r="M104" s="906">
        <v>0</v>
      </c>
      <c r="N104" s="1123">
        <v>3</v>
      </c>
      <c r="O104" s="1123">
        <v>3</v>
      </c>
      <c r="P104" s="1185">
        <v>0</v>
      </c>
      <c r="Q104" s="1167">
        <v>0</v>
      </c>
      <c r="R104" s="949"/>
      <c r="S104" s="949"/>
      <c r="T104" s="949"/>
      <c r="U104" s="930"/>
    </row>
    <row r="105" spans="1:21" ht="25.5">
      <c r="A105" s="692" t="s">
        <v>115</v>
      </c>
      <c r="B105" s="686" t="s">
        <v>100</v>
      </c>
      <c r="C105" s="693" t="s">
        <v>97</v>
      </c>
      <c r="D105" s="688" t="s">
        <v>95</v>
      </c>
      <c r="E105" s="1051" t="s">
        <v>494</v>
      </c>
      <c r="F105" s="138" t="s">
        <v>495</v>
      </c>
      <c r="G105" s="139" t="s">
        <v>496</v>
      </c>
      <c r="H105" s="140" t="s">
        <v>101</v>
      </c>
      <c r="I105" s="141" t="s">
        <v>98</v>
      </c>
      <c r="J105" s="141" t="s">
        <v>96</v>
      </c>
      <c r="K105" s="495" t="s">
        <v>715</v>
      </c>
      <c r="L105" s="1027" t="s">
        <v>716</v>
      </c>
      <c r="M105" s="1087">
        <v>0</v>
      </c>
      <c r="N105" s="1033">
        <v>1</v>
      </c>
      <c r="O105" s="1033">
        <v>2</v>
      </c>
      <c r="P105" s="1033">
        <v>3</v>
      </c>
      <c r="Q105" s="1104">
        <v>4</v>
      </c>
      <c r="R105" s="950"/>
      <c r="S105" s="950"/>
      <c r="T105" s="950"/>
      <c r="U105" s="951"/>
    </row>
    <row r="106" spans="1:21">
      <c r="A106" s="1035" t="s">
        <v>16</v>
      </c>
      <c r="B106" s="1197">
        <v>641.20000000000005</v>
      </c>
      <c r="C106" s="939">
        <v>46104242.100000001</v>
      </c>
      <c r="D106" s="1069">
        <v>14</v>
      </c>
      <c r="E106" s="1129">
        <v>79</v>
      </c>
      <c r="F106" s="149">
        <v>7278566.0999999996</v>
      </c>
      <c r="G106" s="940">
        <v>2</v>
      </c>
      <c r="H106" s="148">
        <v>79</v>
      </c>
      <c r="I106" s="149">
        <v>7278566.0999999996</v>
      </c>
      <c r="J106" s="220">
        <v>2</v>
      </c>
      <c r="K106" s="943">
        <v>0.12320648783530901</v>
      </c>
      <c r="L106" s="1061">
        <v>0.15787193907694699</v>
      </c>
      <c r="M106" s="1090">
        <v>0</v>
      </c>
      <c r="N106" s="339">
        <v>2</v>
      </c>
      <c r="O106" s="339">
        <v>0</v>
      </c>
      <c r="P106" s="339">
        <v>0</v>
      </c>
      <c r="Q106" s="1099">
        <v>0</v>
      </c>
      <c r="R106" s="949"/>
      <c r="S106" s="949"/>
      <c r="T106" s="949"/>
      <c r="U106" s="930"/>
    </row>
    <row r="107" spans="1:21">
      <c r="A107" s="1110" t="s">
        <v>575</v>
      </c>
      <c r="B107" s="1128">
        <v>641.20000000000005</v>
      </c>
      <c r="C107" s="958">
        <v>46104242.100000001</v>
      </c>
      <c r="D107" s="1054">
        <v>14</v>
      </c>
      <c r="E107" s="1222">
        <v>114.6</v>
      </c>
      <c r="F107" s="359">
        <v>8923372.75</v>
      </c>
      <c r="G107" s="959">
        <v>2</v>
      </c>
      <c r="H107" s="967">
        <v>114.6</v>
      </c>
      <c r="I107" s="1224">
        <v>8923372.75</v>
      </c>
      <c r="J107" s="1223">
        <v>2</v>
      </c>
      <c r="K107" s="1063">
        <v>0.178727386150967</v>
      </c>
      <c r="L107" s="1064">
        <v>0.193547759241877</v>
      </c>
      <c r="M107" s="1225">
        <v>0</v>
      </c>
      <c r="N107" s="930">
        <v>0</v>
      </c>
      <c r="O107" s="930">
        <v>2</v>
      </c>
      <c r="P107" s="930">
        <v>0</v>
      </c>
      <c r="Q107" s="1226">
        <v>0</v>
      </c>
      <c r="R107" s="949"/>
      <c r="S107" s="949"/>
      <c r="T107" s="949"/>
      <c r="U107" s="930"/>
    </row>
    <row r="108" spans="1:21">
      <c r="A108" s="906" t="s">
        <v>114</v>
      </c>
      <c r="B108" s="1171">
        <v>1282.4000000000001</v>
      </c>
      <c r="C108" s="1165">
        <v>92208484.200000003</v>
      </c>
      <c r="D108" s="1166">
        <v>28</v>
      </c>
      <c r="E108" s="1173">
        <v>193.6</v>
      </c>
      <c r="F108" s="1165">
        <v>16201938.85</v>
      </c>
      <c r="G108" s="1166">
        <v>4</v>
      </c>
      <c r="H108" s="1171">
        <v>193.6</v>
      </c>
      <c r="I108" s="1165">
        <v>16201938.85</v>
      </c>
      <c r="J108" s="1182">
        <v>4</v>
      </c>
      <c r="K108" s="1183">
        <v>0.15096693699313801</v>
      </c>
      <c r="L108" s="1184">
        <v>0.17570984915941201</v>
      </c>
      <c r="M108" s="906">
        <v>0</v>
      </c>
      <c r="N108" s="1123">
        <v>2</v>
      </c>
      <c r="O108" s="1123">
        <v>2</v>
      </c>
      <c r="P108" s="1123">
        <v>0</v>
      </c>
      <c r="Q108" s="1167">
        <v>0</v>
      </c>
      <c r="R108" s="949"/>
      <c r="S108" s="949"/>
      <c r="T108" s="949"/>
      <c r="U108" s="930"/>
    </row>
    <row r="109" spans="1:21">
      <c r="A109" s="7"/>
      <c r="B109" s="968"/>
      <c r="C109" s="968"/>
      <c r="D109" s="969"/>
      <c r="E109" s="7"/>
      <c r="F109" s="7"/>
      <c r="G109" s="7"/>
      <c r="H109" s="134"/>
      <c r="I109" s="134"/>
      <c r="J109" s="134"/>
      <c r="K109" s="7"/>
      <c r="L109" s="994"/>
      <c r="M109" s="134"/>
      <c r="N109" s="134"/>
      <c r="O109" s="134"/>
      <c r="P109" s="262"/>
      <c r="Q109" s="134"/>
      <c r="R109" s="949"/>
      <c r="S109" s="949"/>
      <c r="T109" s="949"/>
      <c r="U109" s="930"/>
    </row>
    <row r="110" spans="1:21">
      <c r="A110" s="2293" t="s">
        <v>713</v>
      </c>
      <c r="B110" s="2294"/>
      <c r="C110" s="972" t="s">
        <v>718</v>
      </c>
      <c r="D110" s="2295"/>
      <c r="E110" s="2296"/>
      <c r="F110" s="2296"/>
      <c r="G110" s="2296"/>
      <c r="H110" s="2296"/>
      <c r="I110" s="2296"/>
      <c r="J110" s="2296"/>
      <c r="K110" s="2296"/>
      <c r="L110" s="2296"/>
      <c r="M110" s="2296"/>
      <c r="N110" s="2296"/>
      <c r="O110" s="2296"/>
      <c r="P110" s="2296"/>
      <c r="Q110" s="7"/>
      <c r="R110" s="949"/>
      <c r="S110" s="949"/>
      <c r="T110" s="949"/>
      <c r="U110" s="930"/>
    </row>
    <row r="111" spans="1:21" ht="25.5">
      <c r="A111" s="685" t="s">
        <v>1</v>
      </c>
      <c r="B111" s="723" t="s">
        <v>100</v>
      </c>
      <c r="C111" s="724" t="s">
        <v>97</v>
      </c>
      <c r="D111" s="688" t="s">
        <v>95</v>
      </c>
      <c r="E111" s="1022" t="s">
        <v>494</v>
      </c>
      <c r="F111" s="138" t="s">
        <v>495</v>
      </c>
      <c r="G111" s="1082" t="s">
        <v>496</v>
      </c>
      <c r="H111" s="980" t="s">
        <v>101</v>
      </c>
      <c r="I111" s="141" t="s">
        <v>98</v>
      </c>
      <c r="J111" s="141" t="s">
        <v>96</v>
      </c>
      <c r="K111" s="141" t="s">
        <v>715</v>
      </c>
      <c r="L111" s="1026" t="s">
        <v>716</v>
      </c>
      <c r="M111" s="1087">
        <v>0</v>
      </c>
      <c r="N111" s="1033">
        <v>1</v>
      </c>
      <c r="O111" s="1033">
        <v>2</v>
      </c>
      <c r="P111" s="1033">
        <v>3</v>
      </c>
      <c r="Q111" s="1104">
        <v>4</v>
      </c>
      <c r="R111" s="950"/>
      <c r="S111" s="950"/>
      <c r="T111" s="950"/>
      <c r="U111" s="951"/>
    </row>
    <row r="112" spans="1:21">
      <c r="A112" s="936" t="s">
        <v>73</v>
      </c>
      <c r="B112" s="514">
        <v>539.4</v>
      </c>
      <c r="C112" s="549">
        <v>39635182.799999997</v>
      </c>
      <c r="D112" s="1174">
        <v>12</v>
      </c>
      <c r="E112" s="267">
        <v>119.86</v>
      </c>
      <c r="F112" s="146">
        <v>9553415.5099999998</v>
      </c>
      <c r="G112" s="702">
        <v>2</v>
      </c>
      <c r="H112" s="514">
        <v>159.86000000000001</v>
      </c>
      <c r="I112" s="146">
        <v>13268466.710000001</v>
      </c>
      <c r="J112" s="1190">
        <v>3</v>
      </c>
      <c r="K112" s="943">
        <v>0.29636633296255099</v>
      </c>
      <c r="L112" s="1061">
        <v>0.33476486728856503</v>
      </c>
      <c r="M112" s="1148" t="s">
        <v>830</v>
      </c>
      <c r="N112" s="1008">
        <v>1</v>
      </c>
      <c r="O112" s="1008">
        <v>2</v>
      </c>
      <c r="P112" s="1008">
        <v>0</v>
      </c>
      <c r="Q112" s="1106">
        <v>0</v>
      </c>
      <c r="R112" s="949"/>
      <c r="S112" s="949"/>
      <c r="T112" s="949"/>
      <c r="U112" s="930"/>
    </row>
    <row r="113" spans="1:21">
      <c r="A113" s="952" t="s">
        <v>77</v>
      </c>
      <c r="B113" s="514">
        <v>539.4</v>
      </c>
      <c r="C113" s="549">
        <v>39635182.799999997</v>
      </c>
      <c r="D113" s="1174">
        <v>12</v>
      </c>
      <c r="E113" s="271">
        <v>79</v>
      </c>
      <c r="F113" s="52">
        <v>7278566.0999999996</v>
      </c>
      <c r="G113" s="717">
        <v>2</v>
      </c>
      <c r="H113" s="514">
        <v>79</v>
      </c>
      <c r="I113" s="146">
        <v>7278566.0999999996</v>
      </c>
      <c r="J113" s="1190">
        <v>2</v>
      </c>
      <c r="K113" s="943">
        <v>0.14645902855024101</v>
      </c>
      <c r="L113" s="1061">
        <v>0.183639019320986</v>
      </c>
      <c r="M113" s="1148">
        <v>0</v>
      </c>
      <c r="N113" s="1008">
        <v>2</v>
      </c>
      <c r="O113" s="1008">
        <v>0</v>
      </c>
      <c r="P113" s="1008">
        <v>0</v>
      </c>
      <c r="Q113" s="1106">
        <v>0</v>
      </c>
      <c r="R113" s="949"/>
      <c r="S113" s="949"/>
      <c r="T113" s="949"/>
      <c r="U113" s="930"/>
    </row>
    <row r="114" spans="1:21">
      <c r="A114" s="952" t="s">
        <v>471</v>
      </c>
      <c r="B114" s="514">
        <v>539.4</v>
      </c>
      <c r="C114" s="549">
        <v>39635182.799999997</v>
      </c>
      <c r="D114" s="1174">
        <v>12</v>
      </c>
      <c r="E114" s="271">
        <v>0</v>
      </c>
      <c r="F114" s="52">
        <v>0</v>
      </c>
      <c r="G114" s="717">
        <v>0</v>
      </c>
      <c r="H114" s="514">
        <v>0</v>
      </c>
      <c r="I114" s="146">
        <v>0</v>
      </c>
      <c r="J114" s="1190">
        <v>0</v>
      </c>
      <c r="K114" s="943">
        <v>0</v>
      </c>
      <c r="L114" s="1061">
        <v>0</v>
      </c>
      <c r="M114" s="1148">
        <v>0</v>
      </c>
      <c r="N114" s="1008">
        <v>0</v>
      </c>
      <c r="O114" s="1008">
        <v>0</v>
      </c>
      <c r="P114" s="1008">
        <v>0</v>
      </c>
      <c r="Q114" s="1106">
        <v>0</v>
      </c>
      <c r="R114" s="949"/>
      <c r="S114" s="949"/>
      <c r="T114" s="949"/>
      <c r="U114" s="930"/>
    </row>
    <row r="115" spans="1:21">
      <c r="A115" s="952" t="s">
        <v>20</v>
      </c>
      <c r="B115" s="514">
        <v>539.4</v>
      </c>
      <c r="C115" s="549">
        <v>39635182.799999997</v>
      </c>
      <c r="D115" s="1174">
        <v>12</v>
      </c>
      <c r="E115" s="271">
        <v>0</v>
      </c>
      <c r="F115" s="52">
        <v>0</v>
      </c>
      <c r="G115" s="717">
        <v>0</v>
      </c>
      <c r="H115" s="514">
        <v>0</v>
      </c>
      <c r="I115" s="146">
        <v>0</v>
      </c>
      <c r="J115" s="1190">
        <v>0</v>
      </c>
      <c r="K115" s="943">
        <v>0</v>
      </c>
      <c r="L115" s="1061">
        <v>0</v>
      </c>
      <c r="M115" s="1148">
        <v>0</v>
      </c>
      <c r="N115" s="1008">
        <v>0</v>
      </c>
      <c r="O115" s="1008">
        <v>0</v>
      </c>
      <c r="P115" s="1008">
        <v>0</v>
      </c>
      <c r="Q115" s="1106">
        <v>0</v>
      </c>
      <c r="R115" s="949"/>
      <c r="S115" s="949"/>
      <c r="T115" s="949"/>
      <c r="U115" s="930"/>
    </row>
    <row r="116" spans="1:21">
      <c r="A116" s="956" t="s">
        <v>63</v>
      </c>
      <c r="B116" s="514">
        <v>539.4</v>
      </c>
      <c r="C116" s="549">
        <v>39635182.799999997</v>
      </c>
      <c r="D116" s="1174">
        <v>12</v>
      </c>
      <c r="E116" s="315">
        <v>54.67</v>
      </c>
      <c r="F116" s="363">
        <v>4109940.79</v>
      </c>
      <c r="G116" s="703">
        <v>1</v>
      </c>
      <c r="H116" s="1175">
        <v>54.67</v>
      </c>
      <c r="I116" s="403">
        <v>4109940.79</v>
      </c>
      <c r="J116" s="1191">
        <v>1</v>
      </c>
      <c r="K116" s="1192">
        <v>0.101353355580274</v>
      </c>
      <c r="L116" s="1061">
        <v>0.10369425595282</v>
      </c>
      <c r="M116" s="1148">
        <v>0</v>
      </c>
      <c r="N116" s="1008">
        <v>0</v>
      </c>
      <c r="O116" s="1008">
        <v>1</v>
      </c>
      <c r="P116" s="1008">
        <v>0</v>
      </c>
      <c r="Q116" s="1106">
        <v>0</v>
      </c>
      <c r="R116" s="949"/>
      <c r="S116" s="949"/>
      <c r="T116" s="949"/>
      <c r="U116" s="930"/>
    </row>
    <row r="117" spans="1:21">
      <c r="A117" s="1176" t="s">
        <v>114</v>
      </c>
      <c r="B117" s="1177">
        <v>2697</v>
      </c>
      <c r="C117" s="1178">
        <v>198175914</v>
      </c>
      <c r="D117" s="1179">
        <v>60</v>
      </c>
      <c r="E117" s="1172">
        <v>253.53</v>
      </c>
      <c r="F117" s="1165">
        <v>20941922.399999999</v>
      </c>
      <c r="G117" s="1180">
        <v>5</v>
      </c>
      <c r="H117" s="1172">
        <v>293.52999999999997</v>
      </c>
      <c r="I117" s="1165">
        <v>24656973.600000001</v>
      </c>
      <c r="J117" s="1193">
        <v>6</v>
      </c>
      <c r="K117" s="1201">
        <v>0.108835743418613</v>
      </c>
      <c r="L117" s="1061">
        <v>0.124419628512474</v>
      </c>
      <c r="M117" s="906">
        <v>0</v>
      </c>
      <c r="N117" s="1123">
        <v>3</v>
      </c>
      <c r="O117" s="1123">
        <v>3</v>
      </c>
      <c r="P117" s="1185">
        <v>0</v>
      </c>
      <c r="Q117" s="1167">
        <v>0</v>
      </c>
      <c r="R117" s="949"/>
      <c r="S117" s="949"/>
      <c r="T117" s="949"/>
      <c r="U117" s="930"/>
    </row>
    <row r="118" spans="1:21" ht="25.5">
      <c r="A118" s="685" t="s">
        <v>115</v>
      </c>
      <c r="B118" s="723" t="s">
        <v>100</v>
      </c>
      <c r="C118" s="1086" t="s">
        <v>97</v>
      </c>
      <c r="D118" s="688" t="s">
        <v>95</v>
      </c>
      <c r="E118" s="1022" t="s">
        <v>494</v>
      </c>
      <c r="F118" s="138" t="s">
        <v>495</v>
      </c>
      <c r="G118" s="139" t="s">
        <v>496</v>
      </c>
      <c r="H118" s="980" t="s">
        <v>101</v>
      </c>
      <c r="I118" s="141" t="s">
        <v>98</v>
      </c>
      <c r="J118" s="141" t="s">
        <v>96</v>
      </c>
      <c r="K118" s="141" t="s">
        <v>715</v>
      </c>
      <c r="L118" s="1026" t="s">
        <v>716</v>
      </c>
      <c r="M118" s="1087">
        <v>0</v>
      </c>
      <c r="N118" s="1033">
        <v>1</v>
      </c>
      <c r="O118" s="1033">
        <v>2</v>
      </c>
      <c r="P118" s="1033">
        <v>3</v>
      </c>
      <c r="Q118" s="1104">
        <v>4</v>
      </c>
      <c r="R118" s="950"/>
      <c r="S118" s="950"/>
      <c r="T118" s="950"/>
      <c r="U118" s="951"/>
    </row>
    <row r="119" spans="1:21">
      <c r="A119" s="936" t="s">
        <v>16</v>
      </c>
      <c r="B119" s="1132">
        <v>943.95</v>
      </c>
      <c r="C119" s="549">
        <v>69361569.900000006</v>
      </c>
      <c r="D119" s="1181">
        <v>21</v>
      </c>
      <c r="E119" s="997">
        <v>79</v>
      </c>
      <c r="F119" s="146">
        <v>7278566.0999999996</v>
      </c>
      <c r="G119" s="689">
        <v>2</v>
      </c>
      <c r="H119" s="877">
        <v>79</v>
      </c>
      <c r="I119" s="146">
        <v>7278566.0999999996</v>
      </c>
      <c r="J119" s="878">
        <v>2</v>
      </c>
      <c r="K119" s="221">
        <v>8.3690873457280601E-2</v>
      </c>
      <c r="L119" s="222">
        <v>0.104936582469135</v>
      </c>
      <c r="M119" s="1148">
        <v>0</v>
      </c>
      <c r="N119" s="1008">
        <v>2</v>
      </c>
      <c r="O119" s="1008">
        <v>0</v>
      </c>
      <c r="P119" s="1008">
        <v>0</v>
      </c>
      <c r="Q119" s="1106">
        <v>0</v>
      </c>
      <c r="R119" s="949"/>
      <c r="S119" s="949"/>
      <c r="T119" s="949"/>
      <c r="U119" s="930"/>
    </row>
    <row r="120" spans="1:21">
      <c r="A120" s="956" t="s">
        <v>575</v>
      </c>
      <c r="B120" s="362">
        <v>943.95</v>
      </c>
      <c r="C120" s="550">
        <v>69361569.900000006</v>
      </c>
      <c r="D120" s="1181">
        <v>21</v>
      </c>
      <c r="E120" s="999">
        <v>114.6</v>
      </c>
      <c r="F120" s="363">
        <v>8923372.75</v>
      </c>
      <c r="G120" s="366">
        <v>2</v>
      </c>
      <c r="H120" s="364">
        <v>114.6</v>
      </c>
      <c r="I120" s="363">
        <v>8923372.75</v>
      </c>
      <c r="J120" s="365">
        <v>2</v>
      </c>
      <c r="K120" s="360">
        <v>0.121404735420308</v>
      </c>
      <c r="L120" s="361">
        <v>0.128650097782749</v>
      </c>
      <c r="M120" s="1148">
        <v>0</v>
      </c>
      <c r="N120" s="1008">
        <v>0</v>
      </c>
      <c r="O120" s="1008">
        <v>2</v>
      </c>
      <c r="P120" s="1008">
        <v>0</v>
      </c>
      <c r="Q120" s="1106">
        <v>0</v>
      </c>
      <c r="R120" s="949"/>
      <c r="S120" s="949"/>
      <c r="T120" s="949"/>
      <c r="U120" s="930"/>
    </row>
    <row r="121" spans="1:21">
      <c r="A121" s="975" t="s">
        <v>114</v>
      </c>
      <c r="B121" s="1177">
        <v>1887.9</v>
      </c>
      <c r="C121" s="1178">
        <v>138723139.80000001</v>
      </c>
      <c r="D121" s="1123">
        <v>42</v>
      </c>
      <c r="E121" s="1171">
        <v>193.6</v>
      </c>
      <c r="F121" s="1182">
        <v>16201938.85</v>
      </c>
      <c r="G121" s="1166">
        <v>4</v>
      </c>
      <c r="H121" s="1173">
        <v>193.6</v>
      </c>
      <c r="I121" s="1182">
        <v>16201938.85</v>
      </c>
      <c r="J121" s="1182">
        <v>4</v>
      </c>
      <c r="K121" s="1183">
        <v>0.10254780443879399</v>
      </c>
      <c r="L121" s="1184">
        <v>0.116793340125942</v>
      </c>
      <c r="M121" s="906">
        <v>0</v>
      </c>
      <c r="N121" s="1123">
        <v>2</v>
      </c>
      <c r="O121" s="1123">
        <v>2</v>
      </c>
      <c r="P121" s="1123">
        <v>0</v>
      </c>
      <c r="Q121" s="1167">
        <v>0</v>
      </c>
      <c r="R121" s="949"/>
      <c r="S121" s="949"/>
      <c r="T121" s="949"/>
      <c r="U121" s="930"/>
    </row>
    <row r="122" spans="1:21">
      <c r="A122" s="65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30"/>
    </row>
    <row r="123" spans="1:21">
      <c r="A123" s="2301" t="s">
        <v>945</v>
      </c>
      <c r="B123" s="2302"/>
      <c r="C123" s="2302"/>
      <c r="D123" s="2302"/>
      <c r="E123" s="2302"/>
      <c r="F123" s="2302"/>
      <c r="G123" s="2302"/>
      <c r="H123" s="2303"/>
      <c r="I123" s="2303"/>
      <c r="J123" s="2303"/>
      <c r="K123" s="2303"/>
      <c r="L123" s="2303"/>
      <c r="M123" s="2303"/>
      <c r="N123" s="2304"/>
      <c r="O123" s="949"/>
      <c r="P123" s="949"/>
      <c r="Q123" s="86"/>
      <c r="R123" s="949"/>
      <c r="S123" s="949"/>
      <c r="T123" s="949"/>
      <c r="U123" s="930"/>
    </row>
    <row r="124" spans="1:21" ht="25.5">
      <c r="A124" s="685" t="s">
        <v>1</v>
      </c>
      <c r="B124" s="723" t="s">
        <v>101</v>
      </c>
      <c r="C124" s="724" t="s">
        <v>98</v>
      </c>
      <c r="D124" s="688" t="s">
        <v>96</v>
      </c>
      <c r="E124" s="1022" t="s">
        <v>494</v>
      </c>
      <c r="F124" s="138" t="s">
        <v>495</v>
      </c>
      <c r="G124" s="296" t="s">
        <v>496</v>
      </c>
      <c r="H124" s="140" t="s">
        <v>946</v>
      </c>
      <c r="I124" s="141" t="s">
        <v>947</v>
      </c>
      <c r="J124" s="1150">
        <v>0</v>
      </c>
      <c r="K124" s="1150">
        <v>1</v>
      </c>
      <c r="L124" s="1150">
        <v>2</v>
      </c>
      <c r="M124" s="1150">
        <v>3</v>
      </c>
      <c r="N124" s="1151">
        <v>4</v>
      </c>
      <c r="O124" s="949"/>
      <c r="P124" s="949"/>
      <c r="Q124" s="86"/>
      <c r="R124" s="949"/>
      <c r="S124" s="949"/>
      <c r="T124" s="949"/>
      <c r="U124" s="930"/>
    </row>
    <row r="125" spans="1:21">
      <c r="A125" s="985" t="s">
        <v>73</v>
      </c>
      <c r="B125" s="291">
        <v>40</v>
      </c>
      <c r="C125" s="292">
        <v>3715051.2</v>
      </c>
      <c r="D125" s="694">
        <v>1</v>
      </c>
      <c r="E125" s="1015"/>
      <c r="F125" s="292"/>
      <c r="G125" s="720"/>
      <c r="H125" s="291">
        <v>20</v>
      </c>
      <c r="I125" s="312">
        <v>1857525.6</v>
      </c>
      <c r="J125" s="346">
        <v>0</v>
      </c>
      <c r="K125" s="243">
        <v>1</v>
      </c>
      <c r="L125" s="243">
        <v>0</v>
      </c>
      <c r="M125" s="243">
        <v>0</v>
      </c>
      <c r="N125" s="246">
        <v>0</v>
      </c>
      <c r="O125" s="949"/>
      <c r="P125" s="949"/>
      <c r="Q125" s="86"/>
      <c r="R125" s="949"/>
      <c r="S125" s="949"/>
      <c r="T125" s="949"/>
      <c r="U125" s="930"/>
    </row>
    <row r="126" spans="1:21">
      <c r="A126" s="981" t="s">
        <v>77</v>
      </c>
      <c r="B126" s="271">
        <v>0</v>
      </c>
      <c r="C126" s="52">
        <v>0</v>
      </c>
      <c r="D126" s="717">
        <v>0</v>
      </c>
      <c r="E126" s="416"/>
      <c r="F126" s="52"/>
      <c r="G126" s="421"/>
      <c r="H126" s="271">
        <v>0</v>
      </c>
      <c r="I126" s="272">
        <v>0</v>
      </c>
      <c r="J126" s="257">
        <v>0</v>
      </c>
      <c r="K126" s="226">
        <v>0</v>
      </c>
      <c r="L126" s="226">
        <v>0</v>
      </c>
      <c r="M126" s="226">
        <v>0</v>
      </c>
      <c r="N126" s="227">
        <v>0</v>
      </c>
      <c r="O126" s="949"/>
      <c r="P126" s="949"/>
      <c r="Q126" s="86"/>
      <c r="R126" s="949"/>
      <c r="S126" s="949"/>
      <c r="T126" s="949"/>
      <c r="U126" s="930"/>
    </row>
    <row r="127" spans="1:21">
      <c r="A127" s="981" t="s">
        <v>471</v>
      </c>
      <c r="B127" s="271">
        <v>0</v>
      </c>
      <c r="C127" s="52">
        <v>0</v>
      </c>
      <c r="D127" s="717">
        <v>0</v>
      </c>
      <c r="E127" s="416"/>
      <c r="F127" s="52"/>
      <c r="G127" s="421"/>
      <c r="H127" s="271">
        <v>0</v>
      </c>
      <c r="I127" s="272">
        <v>0</v>
      </c>
      <c r="J127" s="257">
        <v>0</v>
      </c>
      <c r="K127" s="226">
        <v>0</v>
      </c>
      <c r="L127" s="226">
        <v>0</v>
      </c>
      <c r="M127" s="226">
        <v>0</v>
      </c>
      <c r="N127" s="227">
        <v>0</v>
      </c>
      <c r="O127" s="949"/>
      <c r="P127" s="949"/>
      <c r="Q127" s="86"/>
      <c r="R127" s="949"/>
      <c r="S127" s="949"/>
      <c r="T127" s="949"/>
      <c r="U127" s="930"/>
    </row>
    <row r="128" spans="1:21">
      <c r="A128" s="981" t="s">
        <v>20</v>
      </c>
      <c r="B128" s="271">
        <v>0</v>
      </c>
      <c r="C128" s="52">
        <v>0</v>
      </c>
      <c r="D128" s="717">
        <v>0</v>
      </c>
      <c r="E128" s="416"/>
      <c r="F128" s="52"/>
      <c r="G128" s="421"/>
      <c r="H128" s="271">
        <v>0</v>
      </c>
      <c r="I128" s="272">
        <v>0</v>
      </c>
      <c r="J128" s="257">
        <v>0</v>
      </c>
      <c r="K128" s="226">
        <v>0</v>
      </c>
      <c r="L128" s="226">
        <v>0</v>
      </c>
      <c r="M128" s="226">
        <v>0</v>
      </c>
      <c r="N128" s="227">
        <v>0</v>
      </c>
      <c r="O128" s="949"/>
      <c r="P128" s="949"/>
      <c r="Q128" s="86"/>
      <c r="R128" s="949"/>
      <c r="S128" s="949"/>
      <c r="T128" s="949"/>
      <c r="U128" s="930"/>
    </row>
    <row r="129" spans="1:21">
      <c r="A129" s="981" t="s">
        <v>63</v>
      </c>
      <c r="B129" s="271">
        <v>0</v>
      </c>
      <c r="C129" s="52">
        <v>0</v>
      </c>
      <c r="D129" s="717">
        <v>0</v>
      </c>
      <c r="E129" s="416"/>
      <c r="F129" s="52"/>
      <c r="G129" s="421"/>
      <c r="H129" s="271">
        <v>0</v>
      </c>
      <c r="I129" s="272">
        <v>0</v>
      </c>
      <c r="J129" s="257">
        <v>0</v>
      </c>
      <c r="K129" s="226">
        <v>0</v>
      </c>
      <c r="L129" s="226">
        <v>0</v>
      </c>
      <c r="M129" s="226">
        <v>0</v>
      </c>
      <c r="N129" s="227">
        <v>0</v>
      </c>
      <c r="O129" s="949"/>
      <c r="P129" s="949"/>
      <c r="Q129" s="86"/>
      <c r="R129" s="949"/>
      <c r="S129" s="949"/>
      <c r="T129" s="949"/>
      <c r="U129" s="930"/>
    </row>
    <row r="130" spans="1:21">
      <c r="A130" s="982" t="s">
        <v>29</v>
      </c>
      <c r="B130" s="516">
        <v>0</v>
      </c>
      <c r="C130" s="554">
        <v>0</v>
      </c>
      <c r="D130" s="695">
        <v>0</v>
      </c>
      <c r="E130" s="329">
        <v>0</v>
      </c>
      <c r="F130" s="958">
        <v>0</v>
      </c>
      <c r="G130" s="959">
        <v>0</v>
      </c>
      <c r="H130" s="516">
        <v>0</v>
      </c>
      <c r="I130" s="517">
        <v>0</v>
      </c>
      <c r="J130" s="426">
        <v>0</v>
      </c>
      <c r="K130" s="251">
        <v>0</v>
      </c>
      <c r="L130" s="251">
        <v>0</v>
      </c>
      <c r="M130" s="251">
        <v>0</v>
      </c>
      <c r="N130" s="254">
        <v>0</v>
      </c>
      <c r="O130" s="949"/>
      <c r="P130" s="949"/>
      <c r="Q130" s="86"/>
      <c r="R130" s="949"/>
      <c r="S130" s="949"/>
      <c r="T130" s="949"/>
      <c r="U130" s="930"/>
    </row>
    <row r="131" spans="1:21">
      <c r="A131" s="984" t="s">
        <v>114</v>
      </c>
      <c r="B131" s="323">
        <v>40</v>
      </c>
      <c r="C131" s="429">
        <v>3715051.2</v>
      </c>
      <c r="D131" s="319">
        <v>1</v>
      </c>
      <c r="E131" s="428">
        <v>0</v>
      </c>
      <c r="F131" s="429">
        <v>0</v>
      </c>
      <c r="G131" s="322">
        <v>0</v>
      </c>
      <c r="H131" s="323">
        <v>20</v>
      </c>
      <c r="I131" s="324">
        <v>1857525.6</v>
      </c>
      <c r="J131" s="320">
        <v>0</v>
      </c>
      <c r="K131" s="321">
        <v>1</v>
      </c>
      <c r="L131" s="321">
        <v>0</v>
      </c>
      <c r="M131" s="321">
        <v>0</v>
      </c>
      <c r="N131" s="319">
        <v>0</v>
      </c>
      <c r="O131" s="949"/>
      <c r="P131" s="949"/>
      <c r="Q131" s="86"/>
      <c r="R131" s="949"/>
      <c r="S131" s="949"/>
      <c r="T131" s="949"/>
      <c r="U131" s="930"/>
    </row>
    <row r="132" spans="1:21" ht="25.5">
      <c r="A132" s="725" t="s">
        <v>115</v>
      </c>
      <c r="B132" s="706" t="s">
        <v>101</v>
      </c>
      <c r="C132" s="726" t="s">
        <v>98</v>
      </c>
      <c r="D132" s="708" t="s">
        <v>96</v>
      </c>
      <c r="E132" s="1024" t="s">
        <v>494</v>
      </c>
      <c r="F132" s="487" t="s">
        <v>495</v>
      </c>
      <c r="G132" s="524" t="s">
        <v>496</v>
      </c>
      <c r="H132" s="489" t="s">
        <v>946</v>
      </c>
      <c r="I132" s="525" t="s">
        <v>947</v>
      </c>
      <c r="J132" s="1103">
        <v>0</v>
      </c>
      <c r="K132" s="1096">
        <v>1</v>
      </c>
      <c r="L132" s="1096">
        <v>2</v>
      </c>
      <c r="M132" s="1096">
        <v>3</v>
      </c>
      <c r="N132" s="1097">
        <v>4</v>
      </c>
      <c r="O132" s="949"/>
      <c r="P132" s="949"/>
      <c r="Q132" s="86"/>
      <c r="R132" s="949"/>
      <c r="S132" s="949"/>
      <c r="T132" s="949"/>
      <c r="U132" s="930"/>
    </row>
    <row r="133" spans="1:21">
      <c r="A133" s="985" t="s">
        <v>16</v>
      </c>
      <c r="B133" s="291">
        <v>0</v>
      </c>
      <c r="C133" s="292">
        <v>0</v>
      </c>
      <c r="D133" s="694">
        <v>0</v>
      </c>
      <c r="E133" s="551"/>
      <c r="F133" s="292"/>
      <c r="G133" s="552"/>
      <c r="H133" s="291">
        <v>0</v>
      </c>
      <c r="I133" s="312">
        <v>0</v>
      </c>
      <c r="J133" s="346">
        <v>0</v>
      </c>
      <c r="K133" s="243">
        <v>0</v>
      </c>
      <c r="L133" s="243">
        <v>0</v>
      </c>
      <c r="M133" s="243">
        <v>0</v>
      </c>
      <c r="N133" s="246">
        <v>0</v>
      </c>
      <c r="O133" s="949"/>
      <c r="P133" s="949"/>
      <c r="Q133" s="86"/>
      <c r="R133" s="949"/>
      <c r="S133" s="949"/>
      <c r="T133" s="949"/>
      <c r="U133" s="930"/>
    </row>
    <row r="134" spans="1:21">
      <c r="A134" s="981" t="s">
        <v>575</v>
      </c>
      <c r="B134" s="271">
        <v>0</v>
      </c>
      <c r="C134" s="52">
        <v>0</v>
      </c>
      <c r="D134" s="717">
        <v>0</v>
      </c>
      <c r="E134" s="325"/>
      <c r="F134" s="52"/>
      <c r="G134" s="1227"/>
      <c r="H134" s="271">
        <v>0</v>
      </c>
      <c r="I134" s="272">
        <v>0</v>
      </c>
      <c r="J134" s="257">
        <v>0</v>
      </c>
      <c r="K134" s="226">
        <v>0</v>
      </c>
      <c r="L134" s="226">
        <v>0</v>
      </c>
      <c r="M134" s="226">
        <v>0</v>
      </c>
      <c r="N134" s="227">
        <v>0</v>
      </c>
      <c r="O134" s="949"/>
      <c r="P134" s="949"/>
      <c r="Q134" s="86"/>
      <c r="R134" s="949"/>
      <c r="S134" s="949"/>
      <c r="T134" s="949"/>
      <c r="U134" s="930"/>
    </row>
    <row r="135" spans="1:21">
      <c r="A135" s="982" t="s">
        <v>114</v>
      </c>
      <c r="B135" s="1135">
        <v>0</v>
      </c>
      <c r="C135" s="1136">
        <v>0</v>
      </c>
      <c r="D135" s="1137">
        <v>0</v>
      </c>
      <c r="E135" s="1138">
        <v>0</v>
      </c>
      <c r="F135" s="1136">
        <v>0</v>
      </c>
      <c r="G135" s="1139">
        <v>0</v>
      </c>
      <c r="H135" s="1135">
        <v>0</v>
      </c>
      <c r="I135" s="1152">
        <v>0</v>
      </c>
      <c r="J135" s="1153">
        <v>0</v>
      </c>
      <c r="K135" s="1154">
        <v>0</v>
      </c>
      <c r="L135" s="1154">
        <v>0</v>
      </c>
      <c r="M135" s="1154">
        <v>0</v>
      </c>
      <c r="N135" s="1137">
        <v>0</v>
      </c>
      <c r="O135" s="949"/>
      <c r="P135" s="949"/>
      <c r="Q135" s="86"/>
      <c r="R135" s="949"/>
      <c r="S135" s="949"/>
      <c r="T135" s="949"/>
      <c r="U135" s="930"/>
    </row>
    <row r="136" spans="1:2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2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2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2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2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2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2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2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</row>
    <row r="248" spans="1:22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U248" s="930"/>
    </row>
    <row r="249" spans="1:22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U249" s="930"/>
    </row>
    <row r="250" spans="1:22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U250" s="930"/>
      <c r="V250" s="931" t="s">
        <v>830</v>
      </c>
    </row>
    <row r="251" spans="1:22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U251" s="930"/>
    </row>
    <row r="252" spans="1:22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U252" s="930"/>
    </row>
    <row r="253" spans="1:22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U253" s="930"/>
    </row>
    <row r="254" spans="1:22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U254" s="930"/>
    </row>
    <row r="255" spans="1:22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U255" s="930"/>
    </row>
    <row r="256" spans="1:22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U256" s="930"/>
    </row>
    <row r="257" spans="1:2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T257" s="949"/>
      <c r="U257" s="930"/>
    </row>
    <row r="258" spans="1:2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T258" s="949"/>
      <c r="U258" s="930"/>
    </row>
    <row r="259" spans="1:21">
      <c r="A259" s="65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T259" s="949"/>
      <c r="U259" s="930"/>
    </row>
    <row r="260" spans="1:21">
      <c r="A260" s="65"/>
      <c r="B260" s="65"/>
      <c r="C260" s="65"/>
      <c r="D260" s="65"/>
      <c r="E260" s="65"/>
      <c r="F260" s="949"/>
      <c r="G260" s="65"/>
      <c r="H260" s="65"/>
      <c r="I260" s="949"/>
      <c r="J260" s="65"/>
      <c r="K260" s="65"/>
      <c r="L260" s="65"/>
      <c r="M260" s="949"/>
      <c r="N260" s="65"/>
      <c r="O260" s="949"/>
      <c r="P260" s="949"/>
      <c r="Q260" s="86"/>
      <c r="R260" s="949"/>
      <c r="S260" s="949"/>
      <c r="T260" s="949"/>
      <c r="U260" s="930"/>
    </row>
    <row r="261" spans="1:21">
      <c r="A261" s="65"/>
      <c r="B261" s="65"/>
      <c r="C261" s="65"/>
      <c r="D261" s="65"/>
      <c r="E261" s="65"/>
      <c r="F261" s="949"/>
      <c r="G261" s="65"/>
      <c r="H261" s="65"/>
      <c r="I261" s="949"/>
      <c r="J261" s="65"/>
      <c r="K261" s="65"/>
      <c r="L261" s="65"/>
      <c r="M261" s="949"/>
      <c r="N261" s="65"/>
      <c r="O261" s="949"/>
      <c r="P261" s="949"/>
      <c r="Q261" s="86"/>
      <c r="R261" s="949"/>
      <c r="S261" s="949"/>
      <c r="T261" s="949"/>
      <c r="U261" s="930"/>
    </row>
    <row r="262" spans="1:21">
      <c r="A262" s="65"/>
      <c r="B262" s="65"/>
      <c r="C262" s="65"/>
      <c r="D262" s="65"/>
      <c r="E262" s="65"/>
      <c r="F262" s="949"/>
      <c r="G262" s="65"/>
      <c r="H262" s="65"/>
      <c r="I262" s="949"/>
      <c r="J262" s="65"/>
      <c r="K262" s="65"/>
      <c r="L262" s="65"/>
      <c r="M262" s="949"/>
      <c r="N262" s="65"/>
      <c r="O262" s="949"/>
      <c r="P262" s="949"/>
      <c r="Q262" s="86"/>
      <c r="R262" s="949"/>
      <c r="S262" s="949"/>
      <c r="T262" s="949"/>
      <c r="U262" s="930"/>
    </row>
    <row r="263" spans="1:21">
      <c r="A263" s="65"/>
      <c r="B263" s="65"/>
      <c r="C263" s="65"/>
      <c r="D263" s="65"/>
      <c r="E263" s="65"/>
      <c r="F263" s="949"/>
      <c r="G263" s="65"/>
      <c r="H263" s="65"/>
      <c r="I263" s="949"/>
      <c r="J263" s="65"/>
      <c r="K263" s="65"/>
      <c r="L263" s="65"/>
      <c r="M263" s="949"/>
      <c r="N263" s="65"/>
      <c r="O263" s="949"/>
      <c r="P263" s="949"/>
      <c r="Q263" s="86"/>
      <c r="R263" s="949"/>
      <c r="S263" s="949"/>
      <c r="T263" s="949"/>
      <c r="U263" s="930"/>
    </row>
    <row r="264" spans="1:21">
      <c r="A264" s="65"/>
      <c r="B264" s="65"/>
      <c r="C264" s="65"/>
      <c r="D264" s="65"/>
      <c r="E264" s="65"/>
      <c r="F264" s="949"/>
      <c r="G264" s="65"/>
      <c r="H264" s="65"/>
      <c r="I264" s="949"/>
      <c r="J264" s="65"/>
      <c r="K264" s="65"/>
      <c r="L264" s="65"/>
      <c r="M264" s="949"/>
      <c r="N264" s="65"/>
      <c r="O264" s="949"/>
      <c r="P264" s="949"/>
      <c r="Q264" s="86"/>
      <c r="R264" s="949"/>
      <c r="S264" s="949"/>
      <c r="T264" s="949"/>
      <c r="U264" s="930"/>
    </row>
  </sheetData>
  <sheetProtection formatCells="0" formatColumns="0" formatRows="0" sort="0" autoFilter="0" pivotTables="0"/>
  <mergeCells count="8">
    <mergeCell ref="A110:B110"/>
    <mergeCell ref="D110:P110"/>
    <mergeCell ref="A123:N123"/>
    <mergeCell ref="A1:S1"/>
    <mergeCell ref="A84:B84"/>
    <mergeCell ref="D84:P84"/>
    <mergeCell ref="A97:B97"/>
    <mergeCell ref="D97:P97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100-000000000000}">
          <x14:formula1>
            <xm:f>Списки!$C$3:$C$7</xm:f>
          </x14:formula1>
          <xm:sqref>T9 R33:T33 T36 D3:D83 T39:T43 R3:S32 R34:S46</xm:sqref>
        </x14:dataValidation>
        <x14:dataValidation type="list" allowBlank="1" showInputMessage="1" showErrorMessage="1" xr:uid="{00000000-0002-0000-1100-000001000000}">
          <x14:formula1>
            <xm:f>Списки!$D$2:$D$7</xm:f>
          </x14:formula1>
          <xm:sqref>F3:F83</xm:sqref>
        </x14:dataValidation>
        <x14:dataValidation type="list" allowBlank="1" showInputMessage="1" showErrorMessage="1" xr:uid="{00000000-0002-0000-1100-000002000000}">
          <x14:formula1>
            <xm:f>Списки!$B$2:$B$5</xm:f>
          </x14:formula1>
          <xm:sqref>G3:G83</xm:sqref>
        </x14:dataValidation>
        <x14:dataValidation type="list" allowBlank="1" showInputMessage="1" showErrorMessage="1" xr:uid="{00000000-0002-0000-1100-000003000000}">
          <x14:formula1>
            <xm:f>Списки!$E$2:$E$7</xm:f>
          </x14:formula1>
          <xm:sqref>H3:H83</xm:sqref>
        </x14:dataValidation>
        <x14:dataValidation type="list" allowBlank="1" showInputMessage="1" showErrorMessage="1" xr:uid="{00000000-0002-0000-1100-000004000000}">
          <x14:formula1>
            <xm:f>Списки!$G$2:$G$3</xm:f>
          </x14:formula1>
          <xm:sqref>L3:L83</xm:sqref>
        </x14:dataValidation>
        <x14:dataValidation type="list" allowBlank="1" showInputMessage="1" showErrorMessage="1" xr:uid="{00000000-0002-0000-1100-000005000000}">
          <x14:formula1>
            <xm:f>Списки!$F$2:$F$3</xm:f>
          </x14:formula1>
          <xm:sqref>N3:N83</xm:sqref>
        </x14:dataValidation>
        <x14:dataValidation type="list" allowBlank="1" showInputMessage="1" showErrorMessage="1" xr:uid="{00000000-0002-0000-1100-000006000000}">
          <x14:formula1>
            <xm:f>Списки!$C$3:$C$10</xm:f>
          </x14:formula1>
          <xm:sqref>T3:T8 T10:T32 T34:T35 T37:T38 T44:T46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V252"/>
  <sheetViews>
    <sheetView zoomScale="85" zoomScaleNormal="85" workbookViewId="0">
      <pane ySplit="2" topLeftCell="A90" activePane="bottomLeft" state="frozen"/>
      <selection pane="bottomLeft" activeCell="F122" sqref="F122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25.5703125" style="931" customWidth="1"/>
    <col min="16" max="16" width="29.42578125" style="931" customWidth="1"/>
    <col min="17" max="17" width="34.42578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43" customWidth="1"/>
    <col min="22" max="16384" width="9.140625" style="2309"/>
  </cols>
  <sheetData>
    <row r="1" spans="1:22" ht="15" customHeight="1">
      <c r="A1" s="2297">
        <v>44712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2309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ht="15" customHeight="1" outlineLevel="1">
      <c r="A3" s="1203">
        <v>1</v>
      </c>
      <c r="B3" s="1203">
        <v>536</v>
      </c>
      <c r="C3" s="1203">
        <v>20962</v>
      </c>
      <c r="D3" s="1204" t="s">
        <v>471</v>
      </c>
      <c r="E3" s="1203">
        <v>84.79</v>
      </c>
      <c r="F3" s="1204" t="s">
        <v>9</v>
      </c>
      <c r="G3" s="1204" t="s">
        <v>27</v>
      </c>
      <c r="H3" s="1204" t="s">
        <v>16</v>
      </c>
      <c r="I3" s="1205" t="s">
        <v>1031</v>
      </c>
      <c r="J3" s="1203">
        <v>3</v>
      </c>
      <c r="K3" s="1204" t="s">
        <v>583</v>
      </c>
      <c r="L3" s="1204" t="s">
        <v>18</v>
      </c>
      <c r="M3" s="1206">
        <v>44687</v>
      </c>
      <c r="N3" s="1204" t="s">
        <v>17</v>
      </c>
      <c r="O3" s="1207" t="s">
        <v>1032</v>
      </c>
      <c r="P3" s="1208" t="s">
        <v>67</v>
      </c>
      <c r="Q3" s="1208" t="s">
        <v>67</v>
      </c>
      <c r="R3" s="1204"/>
      <c r="S3" s="1204"/>
      <c r="T3" s="1204"/>
      <c r="U3" s="1211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" spans="1:22" ht="12" customHeight="1" outlineLevel="1">
      <c r="A4" s="65">
        <v>2</v>
      </c>
      <c r="B4" s="65"/>
      <c r="C4" s="65"/>
      <c r="D4" s="80"/>
      <c r="E4" s="65"/>
      <c r="F4" s="80"/>
      <c r="G4" s="80"/>
      <c r="H4" s="80"/>
      <c r="I4" s="93"/>
      <c r="J4" s="65"/>
      <c r="K4" s="80"/>
      <c r="L4" s="80"/>
      <c r="M4" s="98"/>
      <c r="N4" s="80"/>
      <c r="O4" s="80"/>
      <c r="P4" s="86"/>
      <c r="Q4" s="86"/>
      <c r="R4" s="947"/>
      <c r="S4" s="947"/>
      <c r="T4" s="947"/>
      <c r="U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" spans="1:22" outlineLevel="1">
      <c r="A5" s="65">
        <v>3</v>
      </c>
      <c r="B5" s="65"/>
      <c r="C5" s="65"/>
      <c r="D5" s="65"/>
      <c r="E5" s="65"/>
      <c r="F5" s="80"/>
      <c r="G5" s="65"/>
      <c r="H5" s="65"/>
      <c r="I5" s="93"/>
      <c r="J5" s="65"/>
      <c r="K5" s="80"/>
      <c r="L5" s="80"/>
      <c r="M5" s="98"/>
      <c r="N5" s="80"/>
      <c r="O5" s="65"/>
      <c r="P5" s="86"/>
      <c r="Q5" s="86"/>
      <c r="R5" s="80"/>
      <c r="S5" s="80"/>
      <c r="T5" s="80"/>
      <c r="U5" s="1212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" spans="1:22" outlineLevel="1">
      <c r="A6" s="65">
        <v>4</v>
      </c>
      <c r="B6" s="65"/>
      <c r="C6" s="65"/>
      <c r="D6" s="65"/>
      <c r="E6" s="65"/>
      <c r="F6" s="65"/>
      <c r="G6" s="65"/>
      <c r="H6" s="65"/>
      <c r="I6" s="93"/>
      <c r="J6" s="65"/>
      <c r="K6" s="65"/>
      <c r="L6" s="65"/>
      <c r="M6" s="1004"/>
      <c r="N6" s="80"/>
      <c r="O6" s="949"/>
      <c r="P6" s="86"/>
      <c r="Q6" s="86"/>
      <c r="R6" s="1156"/>
      <c r="S6" s="947"/>
      <c r="T6" s="947"/>
      <c r="U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" spans="1:22" ht="12.75" customHeight="1" outlineLevel="1">
      <c r="A7" s="65">
        <v>5</v>
      </c>
      <c r="B7" s="65"/>
      <c r="C7" s="65"/>
      <c r="D7" s="65"/>
      <c r="E7" s="65"/>
      <c r="F7" s="949"/>
      <c r="G7" s="65"/>
      <c r="H7" s="65"/>
      <c r="I7" s="104"/>
      <c r="J7" s="65"/>
      <c r="K7" s="65"/>
      <c r="L7" s="65"/>
      <c r="M7" s="1004"/>
      <c r="N7" s="80"/>
      <c r="O7" s="949"/>
      <c r="P7" s="86"/>
      <c r="Q7" s="86"/>
      <c r="R7" s="1156"/>
      <c r="S7" s="947"/>
      <c r="T7" s="947"/>
      <c r="U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8" spans="1:22" ht="18" customHeight="1" outlineLevel="1">
      <c r="A8" s="65">
        <v>6</v>
      </c>
      <c r="B8" s="65"/>
      <c r="C8" s="65"/>
      <c r="D8" s="65"/>
      <c r="E8" s="65"/>
      <c r="F8" s="949"/>
      <c r="G8" s="65"/>
      <c r="H8" s="65"/>
      <c r="I8" s="93"/>
      <c r="J8" s="65"/>
      <c r="K8" s="65"/>
      <c r="L8" s="65"/>
      <c r="M8" s="1209"/>
      <c r="N8" s="80"/>
      <c r="O8" s="65"/>
      <c r="P8" s="86"/>
      <c r="Q8" s="86"/>
      <c r="R8" s="1156"/>
      <c r="S8" s="947"/>
      <c r="T8" s="947"/>
      <c r="U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9" spans="1:22" outlineLevel="1">
      <c r="A9" s="65">
        <v>7</v>
      </c>
      <c r="B9" s="65"/>
      <c r="C9" s="65"/>
      <c r="D9" s="65"/>
      <c r="E9" s="65"/>
      <c r="F9" s="949"/>
      <c r="G9" s="65"/>
      <c r="H9" s="65"/>
      <c r="I9" s="93"/>
      <c r="J9" s="65"/>
      <c r="K9" s="65"/>
      <c r="L9" s="65"/>
      <c r="M9" s="1209"/>
      <c r="N9" s="80"/>
      <c r="O9" s="65"/>
      <c r="P9" s="86"/>
      <c r="Q9" s="86"/>
      <c r="R9" s="80"/>
      <c r="S9" s="80"/>
      <c r="T9" s="80"/>
      <c r="U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0" spans="1:22" ht="12.75" customHeight="1" outlineLevel="1">
      <c r="A10" s="65">
        <v>8</v>
      </c>
      <c r="B10" s="79"/>
      <c r="C10" s="79"/>
      <c r="D10" s="65"/>
      <c r="E10" s="65"/>
      <c r="F10" s="949"/>
      <c r="G10" s="65"/>
      <c r="H10" s="65"/>
      <c r="I10" s="93"/>
      <c r="J10" s="65"/>
      <c r="K10" s="65"/>
      <c r="L10" s="65"/>
      <c r="M10" s="98"/>
      <c r="N10" s="65"/>
      <c r="O10" s="65"/>
      <c r="P10" s="86"/>
      <c r="Q10" s="86"/>
      <c r="R10" s="65"/>
      <c r="S10" s="65"/>
      <c r="T10" s="65"/>
      <c r="U1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1" spans="1:22" outlineLevel="1">
      <c r="A11" s="65">
        <v>9</v>
      </c>
      <c r="B11" s="65"/>
      <c r="C11" s="65"/>
      <c r="D11" s="65"/>
      <c r="E11" s="65"/>
      <c r="F11" s="65"/>
      <c r="G11" s="65"/>
      <c r="H11" s="65"/>
      <c r="I11" s="93"/>
      <c r="J11" s="65"/>
      <c r="K11" s="65"/>
      <c r="L11" s="65"/>
      <c r="M11" s="98"/>
      <c r="N11" s="65"/>
      <c r="O11" s="65"/>
      <c r="P11" s="86"/>
      <c r="Q11" s="86"/>
      <c r="R11" s="86"/>
      <c r="S11" s="949"/>
      <c r="T11" s="949"/>
      <c r="U1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2" spans="1:22" ht="12.75" customHeight="1" outlineLevel="1">
      <c r="A12" s="65">
        <v>10</v>
      </c>
      <c r="B12" s="65"/>
      <c r="C12" s="65"/>
      <c r="D12" s="65"/>
      <c r="E12" s="65"/>
      <c r="F12" s="949"/>
      <c r="G12" s="65"/>
      <c r="H12" s="65"/>
      <c r="I12" s="93"/>
      <c r="J12" s="65"/>
      <c r="K12" s="65"/>
      <c r="L12" s="65"/>
      <c r="M12" s="98"/>
      <c r="N12" s="80"/>
      <c r="O12" s="65"/>
      <c r="P12" s="86"/>
      <c r="Q12" s="86"/>
      <c r="R12" s="1156"/>
      <c r="S12" s="947"/>
      <c r="T12" s="947"/>
      <c r="U1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3" spans="1:22" outlineLevel="1">
      <c r="A13" s="65">
        <v>11</v>
      </c>
      <c r="B13" s="65"/>
      <c r="C13" s="65"/>
      <c r="D13" s="80"/>
      <c r="E13" s="65"/>
      <c r="F13" s="947"/>
      <c r="G13" s="80"/>
      <c r="H13" s="80"/>
      <c r="I13" s="93"/>
      <c r="J13" s="65"/>
      <c r="K13" s="80"/>
      <c r="L13" s="80"/>
      <c r="M13" s="98"/>
      <c r="N13" s="80"/>
      <c r="O13" s="80"/>
      <c r="P13" s="86"/>
      <c r="Q13" s="86"/>
      <c r="R13" s="1156"/>
      <c r="S13" s="947"/>
      <c r="T13" s="947"/>
      <c r="U1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4" spans="1:22" outlineLevel="1">
      <c r="A14" s="65">
        <v>12</v>
      </c>
      <c r="B14" s="65"/>
      <c r="C14" s="65"/>
      <c r="D14" s="80"/>
      <c r="E14" s="65"/>
      <c r="F14" s="947"/>
      <c r="G14" s="80"/>
      <c r="H14" s="80"/>
      <c r="I14" s="1210"/>
      <c r="J14" s="65"/>
      <c r="K14" s="80"/>
      <c r="L14" s="80"/>
      <c r="M14" s="98"/>
      <c r="N14" s="80"/>
      <c r="O14" s="80"/>
      <c r="P14" s="86"/>
      <c r="Q14" s="86"/>
      <c r="R14" s="1156"/>
      <c r="S14" s="947"/>
      <c r="T14" s="947"/>
      <c r="U1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5" spans="1:22" ht="12.75" customHeight="1" outlineLevel="1">
      <c r="A15" s="65">
        <v>13</v>
      </c>
      <c r="B15" s="65"/>
      <c r="C15" s="65"/>
      <c r="D15" s="65"/>
      <c r="E15" s="65"/>
      <c r="F15" s="949"/>
      <c r="G15" s="65"/>
      <c r="H15" s="65"/>
      <c r="I15" s="93"/>
      <c r="J15" s="65"/>
      <c r="K15" s="65"/>
      <c r="L15" s="65"/>
      <c r="M15" s="98"/>
      <c r="N15" s="80"/>
      <c r="O15" s="65"/>
      <c r="P15" s="1156"/>
      <c r="Q15" s="1156"/>
      <c r="R15" s="1156"/>
      <c r="S15" s="947"/>
      <c r="T15" s="947"/>
      <c r="U1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6" spans="1:22" outlineLevel="1">
      <c r="A16" s="65">
        <v>14</v>
      </c>
      <c r="B16" s="65"/>
      <c r="C16" s="65"/>
      <c r="D16" s="65"/>
      <c r="E16" s="65"/>
      <c r="F16" s="947"/>
      <c r="G16" s="65"/>
      <c r="H16" s="65"/>
      <c r="I16" s="93"/>
      <c r="J16" s="65"/>
      <c r="K16" s="65"/>
      <c r="L16" s="65"/>
      <c r="M16" s="98"/>
      <c r="N16" s="80"/>
      <c r="O16" s="65"/>
      <c r="P16" s="1156"/>
      <c r="Q16" s="1156"/>
      <c r="R16" s="1156"/>
      <c r="S16" s="947"/>
      <c r="T16" s="947"/>
      <c r="U1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7" spans="1:21" ht="12.75" customHeight="1" outlineLevel="1">
      <c r="A17" s="65">
        <v>15</v>
      </c>
      <c r="B17" s="65"/>
      <c r="C17" s="65"/>
      <c r="D17" s="65"/>
      <c r="E17" s="65"/>
      <c r="F17" s="947"/>
      <c r="G17" s="65"/>
      <c r="H17" s="65"/>
      <c r="I17" s="93"/>
      <c r="J17" s="65"/>
      <c r="K17" s="65"/>
      <c r="L17" s="65"/>
      <c r="M17" s="98"/>
      <c r="N17" s="80"/>
      <c r="O17" s="65"/>
      <c r="P17" s="1156"/>
      <c r="Q17" s="1156"/>
      <c r="R17" s="1156"/>
      <c r="S17" s="947"/>
      <c r="T17" s="947"/>
      <c r="U1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8" spans="1:21" ht="12.75" customHeight="1" outlineLevel="1">
      <c r="A18" s="65">
        <v>16</v>
      </c>
      <c r="B18" s="65"/>
      <c r="C18" s="65"/>
      <c r="D18" s="65"/>
      <c r="E18" s="65"/>
      <c r="F18" s="947"/>
      <c r="G18" s="65"/>
      <c r="H18" s="65"/>
      <c r="I18" s="104"/>
      <c r="J18" s="65"/>
      <c r="K18" s="65"/>
      <c r="L18" s="65"/>
      <c r="M18" s="98"/>
      <c r="N18" s="80"/>
      <c r="O18" s="86"/>
      <c r="P18" s="86"/>
      <c r="Q18" s="86"/>
      <c r="R18" s="1156"/>
      <c r="S18" s="947"/>
      <c r="T18" s="947"/>
      <c r="U1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19" spans="1:21" ht="12.75" customHeight="1" outlineLevel="1">
      <c r="A19" s="65">
        <v>17</v>
      </c>
      <c r="B19" s="79"/>
      <c r="C19" s="79"/>
      <c r="D19" s="65"/>
      <c r="E19" s="65"/>
      <c r="F19" s="947"/>
      <c r="G19" s="65"/>
      <c r="H19" s="65"/>
      <c r="I19" s="93"/>
      <c r="J19" s="65"/>
      <c r="K19" s="65"/>
      <c r="L19" s="65"/>
      <c r="M19" s="98"/>
      <c r="N19" s="80"/>
      <c r="O19" s="65"/>
      <c r="P19" s="1156"/>
      <c r="Q19" s="1156"/>
      <c r="R19" s="1156"/>
      <c r="S19" s="947"/>
      <c r="T19" s="947"/>
      <c r="U1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0" spans="1:21" ht="12.75" customHeight="1" outlineLevel="1">
      <c r="A20" s="65">
        <v>18</v>
      </c>
      <c r="B20" s="79"/>
      <c r="C20" s="79"/>
      <c r="D20" s="65"/>
      <c r="E20" s="65"/>
      <c r="F20" s="80"/>
      <c r="G20" s="65"/>
      <c r="H20" s="65"/>
      <c r="I20" s="93"/>
      <c r="J20" s="65"/>
      <c r="K20" s="65"/>
      <c r="L20" s="65"/>
      <c r="M20" s="98"/>
      <c r="N20" s="80"/>
      <c r="O20" s="65"/>
      <c r="P20" s="86"/>
      <c r="Q20" s="86"/>
      <c r="R20" s="1156"/>
      <c r="S20" s="947"/>
      <c r="T20" s="947"/>
      <c r="U2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1" spans="1:21" ht="14.25" customHeight="1" outlineLevel="1">
      <c r="A21" s="65">
        <v>19</v>
      </c>
      <c r="B21" s="79"/>
      <c r="C21" s="79"/>
      <c r="D21" s="65"/>
      <c r="E21" s="65"/>
      <c r="F21" s="949"/>
      <c r="G21" s="65"/>
      <c r="H21" s="65"/>
      <c r="I21" s="93"/>
      <c r="J21" s="65"/>
      <c r="K21" s="65"/>
      <c r="L21" s="65"/>
      <c r="M21" s="98"/>
      <c r="N21" s="80"/>
      <c r="O21" s="65"/>
      <c r="P21" s="86"/>
      <c r="Q21" s="86"/>
      <c r="R21" s="1156"/>
      <c r="S21" s="947"/>
      <c r="T21" s="947"/>
      <c r="U2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2" spans="1:21" ht="12.75" customHeight="1" outlineLevel="1">
      <c r="A22" s="65">
        <v>20</v>
      </c>
      <c r="B22" s="79"/>
      <c r="C22" s="79"/>
      <c r="D22" s="65"/>
      <c r="E22" s="65"/>
      <c r="F22" s="949"/>
      <c r="G22" s="65"/>
      <c r="H22" s="65"/>
      <c r="I22" s="1157"/>
      <c r="J22" s="65"/>
      <c r="K22" s="65"/>
      <c r="L22" s="65"/>
      <c r="M22" s="98"/>
      <c r="N22" s="80"/>
      <c r="O22" s="65"/>
      <c r="P22" s="86"/>
      <c r="Q22" s="86"/>
      <c r="R22" s="1156"/>
      <c r="S22" s="947"/>
      <c r="T22" s="947"/>
      <c r="U2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3" spans="1:21" outlineLevel="1">
      <c r="A23" s="65">
        <v>21</v>
      </c>
      <c r="B23" s="79"/>
      <c r="C23" s="79"/>
      <c r="D23" s="65"/>
      <c r="E23" s="65"/>
      <c r="F23" s="949"/>
      <c r="G23" s="65"/>
      <c r="H23" s="65"/>
      <c r="I23" s="93"/>
      <c r="J23" s="65"/>
      <c r="K23" s="65"/>
      <c r="L23" s="65"/>
      <c r="M23" s="98"/>
      <c r="N23" s="80"/>
      <c r="O23" s="65"/>
      <c r="P23" s="86"/>
      <c r="Q23" s="86"/>
      <c r="R23" s="1156"/>
      <c r="S23" s="947"/>
      <c r="T23" s="947"/>
      <c r="U2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4" spans="1:21" ht="12.75" customHeight="1" outlineLevel="1">
      <c r="A24" s="65">
        <v>22</v>
      </c>
      <c r="B24" s="65"/>
      <c r="C24" s="79"/>
      <c r="D24" s="65"/>
      <c r="E24" s="65"/>
      <c r="F24" s="949"/>
      <c r="G24" s="65"/>
      <c r="H24" s="65"/>
      <c r="I24" s="104"/>
      <c r="J24" s="65"/>
      <c r="K24" s="65"/>
      <c r="L24" s="65"/>
      <c r="M24" s="1158"/>
      <c r="N24" s="80"/>
      <c r="O24" s="65"/>
      <c r="P24" s="86"/>
      <c r="Q24" s="86"/>
      <c r="R24" s="1156"/>
      <c r="S24" s="947"/>
      <c r="T24" s="947"/>
      <c r="U2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5" spans="1:21" ht="12.75" customHeight="1" outlineLevel="1">
      <c r="A25" s="65">
        <v>23</v>
      </c>
      <c r="B25" s="79"/>
      <c r="C25" s="79"/>
      <c r="D25" s="65"/>
      <c r="E25" s="65"/>
      <c r="F25" s="949"/>
      <c r="G25" s="65"/>
      <c r="H25" s="65"/>
      <c r="I25" s="93"/>
      <c r="J25" s="65"/>
      <c r="K25" s="65"/>
      <c r="L25" s="65"/>
      <c r="M25" s="98"/>
      <c r="N25" s="80"/>
      <c r="O25" s="65"/>
      <c r="P25" s="86"/>
      <c r="Q25" s="86"/>
      <c r="R25" s="1156"/>
      <c r="S25" s="947"/>
      <c r="T25" s="947"/>
      <c r="U2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6" spans="1:21" ht="12.75" customHeight="1" outlineLevel="1">
      <c r="A26" s="65">
        <v>24</v>
      </c>
      <c r="B26" s="79"/>
      <c r="C26" s="79"/>
      <c r="D26" s="65"/>
      <c r="E26" s="65"/>
      <c r="F26" s="80"/>
      <c r="G26" s="65"/>
      <c r="H26" s="65"/>
      <c r="I26" s="93"/>
      <c r="J26" s="65"/>
      <c r="K26" s="65"/>
      <c r="L26" s="65"/>
      <c r="M26" s="98"/>
      <c r="N26" s="80"/>
      <c r="O26" s="65"/>
      <c r="P26" s="86"/>
      <c r="Q26" s="1156"/>
      <c r="R26" s="1156"/>
      <c r="S26" s="947"/>
      <c r="T26" s="947"/>
      <c r="U2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7" spans="1:21" ht="12.75" customHeight="1" outlineLevel="1">
      <c r="A27" s="65">
        <v>25</v>
      </c>
      <c r="B27" s="79"/>
      <c r="C27" s="79"/>
      <c r="D27" s="65"/>
      <c r="E27" s="65"/>
      <c r="F27" s="949"/>
      <c r="G27" s="65"/>
      <c r="H27" s="65"/>
      <c r="I27" s="93"/>
      <c r="J27" s="65"/>
      <c r="K27" s="65"/>
      <c r="L27" s="65"/>
      <c r="M27" s="98"/>
      <c r="N27" s="80"/>
      <c r="O27" s="949"/>
      <c r="P27" s="86"/>
      <c r="Q27" s="1156"/>
      <c r="R27" s="1156"/>
      <c r="S27" s="947"/>
      <c r="T27" s="947"/>
      <c r="U2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8" spans="1:21" ht="12.75" customHeight="1" outlineLevel="1">
      <c r="A28" s="65">
        <v>26</v>
      </c>
      <c r="B28" s="65"/>
      <c r="C28" s="79"/>
      <c r="D28" s="65"/>
      <c r="E28" s="65"/>
      <c r="F28" s="949"/>
      <c r="G28" s="65"/>
      <c r="H28" s="65"/>
      <c r="I28" s="93"/>
      <c r="J28" s="65"/>
      <c r="K28" s="65"/>
      <c r="L28" s="65"/>
      <c r="M28" s="1004"/>
      <c r="N28" s="80"/>
      <c r="O28" s="949"/>
      <c r="P28" s="949"/>
      <c r="Q28" s="949"/>
      <c r="R28" s="1156"/>
      <c r="S28" s="947"/>
      <c r="T28" s="947"/>
      <c r="U2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29" spans="1:21" ht="12.75" customHeight="1" outlineLevel="1">
      <c r="A29" s="65">
        <v>27</v>
      </c>
      <c r="B29" s="79"/>
      <c r="C29" s="79"/>
      <c r="D29" s="65"/>
      <c r="E29" s="65"/>
      <c r="F29" s="86"/>
      <c r="G29" s="65"/>
      <c r="H29" s="65"/>
      <c r="I29" s="104"/>
      <c r="J29" s="65"/>
      <c r="K29" s="65"/>
      <c r="L29" s="65"/>
      <c r="M29" s="109"/>
      <c r="N29" s="80"/>
      <c r="O29" s="86"/>
      <c r="P29" s="86"/>
      <c r="Q29" s="1156"/>
      <c r="R29" s="1156"/>
      <c r="S29" s="947"/>
      <c r="T29" s="947"/>
      <c r="U2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0" spans="1:21" ht="12.75" customHeight="1" outlineLevel="1">
      <c r="A30" s="65">
        <v>28</v>
      </c>
      <c r="B30" s="79"/>
      <c r="C30" s="79"/>
      <c r="D30" s="65"/>
      <c r="E30" s="65"/>
      <c r="F30" s="949"/>
      <c r="G30" s="65"/>
      <c r="H30" s="65"/>
      <c r="I30" s="93"/>
      <c r="J30" s="65"/>
      <c r="K30" s="65"/>
      <c r="L30" s="65"/>
      <c r="M30" s="98"/>
      <c r="N30" s="65"/>
      <c r="O30" s="65"/>
      <c r="P30" s="86"/>
      <c r="Q30" s="86"/>
      <c r="R30" s="1156"/>
      <c r="S30" s="1156"/>
      <c r="T30" s="1156"/>
      <c r="U3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1" spans="1:21" ht="12.75" customHeight="1" outlineLevel="1">
      <c r="A31" s="65">
        <v>29</v>
      </c>
      <c r="B31" s="79"/>
      <c r="C31" s="79"/>
      <c r="D31" s="65"/>
      <c r="E31" s="65"/>
      <c r="F31" s="949"/>
      <c r="G31" s="65"/>
      <c r="H31" s="65"/>
      <c r="I31" s="93"/>
      <c r="J31" s="65"/>
      <c r="K31" s="65"/>
      <c r="L31" s="65"/>
      <c r="M31" s="98"/>
      <c r="N31" s="80"/>
      <c r="O31" s="65"/>
      <c r="P31" s="86"/>
      <c r="Q31" s="86"/>
      <c r="R31" s="1156"/>
      <c r="S31" s="947"/>
      <c r="T31" s="947"/>
      <c r="U3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2" spans="1:21" ht="12.75" customHeight="1" outlineLevel="1">
      <c r="A32" s="65">
        <v>30</v>
      </c>
      <c r="B32" s="79"/>
      <c r="C32" s="79"/>
      <c r="D32" s="65"/>
      <c r="E32" s="65"/>
      <c r="F32" s="949"/>
      <c r="G32" s="65"/>
      <c r="H32" s="65"/>
      <c r="I32" s="93"/>
      <c r="J32" s="65"/>
      <c r="K32" s="65"/>
      <c r="L32" s="65"/>
      <c r="M32" s="98"/>
      <c r="N32" s="80"/>
      <c r="O32" s="65"/>
      <c r="P32" s="86"/>
      <c r="Q32" s="86"/>
      <c r="R32" s="1156"/>
      <c r="S32" s="1156"/>
      <c r="T32" s="1156"/>
      <c r="U3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3" spans="1:21" ht="12.75" customHeight="1" outlineLevel="1">
      <c r="A33" s="65">
        <v>31</v>
      </c>
      <c r="B33" s="79"/>
      <c r="C33" s="79"/>
      <c r="D33" s="65"/>
      <c r="E33" s="65"/>
      <c r="F33" s="949"/>
      <c r="G33" s="65"/>
      <c r="H33" s="65"/>
      <c r="I33" s="93"/>
      <c r="J33" s="65"/>
      <c r="K33" s="65"/>
      <c r="L33" s="65"/>
      <c r="M33" s="98"/>
      <c r="N33" s="80"/>
      <c r="O33" s="65"/>
      <c r="P33" s="86"/>
      <c r="Q33" s="86"/>
      <c r="R33" s="1156"/>
      <c r="S33" s="1156"/>
      <c r="T33" s="1156"/>
      <c r="U3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4" spans="1:21" ht="12.75" customHeight="1" outlineLevel="1">
      <c r="A34" s="65">
        <v>32</v>
      </c>
      <c r="B34" s="79"/>
      <c r="C34" s="79"/>
      <c r="D34" s="65"/>
      <c r="E34" s="65"/>
      <c r="F34" s="949"/>
      <c r="G34" s="65"/>
      <c r="H34" s="65"/>
      <c r="I34" s="105"/>
      <c r="J34" s="65"/>
      <c r="K34" s="65"/>
      <c r="L34" s="65"/>
      <c r="M34" s="110"/>
      <c r="N34" s="80"/>
      <c r="O34" s="65"/>
      <c r="P34" s="86"/>
      <c r="Q34" s="86"/>
      <c r="R34" s="1156"/>
      <c r="S34" s="947"/>
      <c r="T34" s="947"/>
      <c r="U3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5" spans="1:21" ht="18" customHeight="1" outlineLevel="1">
      <c r="A35" s="65">
        <v>33</v>
      </c>
      <c r="B35" s="79"/>
      <c r="C35" s="79"/>
      <c r="D35" s="65"/>
      <c r="E35" s="65"/>
      <c r="F35" s="949"/>
      <c r="G35" s="65"/>
      <c r="H35" s="65"/>
      <c r="I35" s="544"/>
      <c r="J35" s="65"/>
      <c r="K35" s="65"/>
      <c r="L35" s="65"/>
      <c r="M35" s="1158"/>
      <c r="N35" s="80"/>
      <c r="O35" s="86"/>
      <c r="P35" s="86"/>
      <c r="Q35" s="86"/>
      <c r="R35" s="1156"/>
      <c r="S35" s="947"/>
      <c r="T35" s="947"/>
      <c r="U3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6" spans="1:21" ht="12.75" customHeight="1" outlineLevel="1">
      <c r="A36" s="65">
        <v>34</v>
      </c>
      <c r="B36" s="79"/>
      <c r="C36" s="79"/>
      <c r="D36" s="65"/>
      <c r="E36" s="65"/>
      <c r="F36" s="934"/>
      <c r="G36" s="65"/>
      <c r="H36" s="65"/>
      <c r="I36" s="105"/>
      <c r="J36" s="65"/>
      <c r="K36" s="65"/>
      <c r="L36" s="65"/>
      <c r="M36" s="98"/>
      <c r="N36" s="80"/>
      <c r="O36" s="72"/>
      <c r="P36" s="86"/>
      <c r="Q36" s="86"/>
      <c r="R36" s="1156"/>
      <c r="S36" s="1156"/>
      <c r="T36" s="1156"/>
      <c r="U3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7" spans="1:21" ht="12.75" customHeight="1" outlineLevel="1">
      <c r="A37" s="65">
        <v>35</v>
      </c>
      <c r="B37" s="79"/>
      <c r="C37" s="79"/>
      <c r="D37" s="65"/>
      <c r="E37" s="65"/>
      <c r="F37" s="934"/>
      <c r="G37" s="65"/>
      <c r="H37" s="65"/>
      <c r="I37" s="105"/>
      <c r="J37" s="65"/>
      <c r="K37" s="65"/>
      <c r="L37" s="65"/>
      <c r="M37" s="110"/>
      <c r="N37" s="80"/>
      <c r="O37" s="949"/>
      <c r="P37" s="86"/>
      <c r="Q37" s="86"/>
      <c r="R37" s="1156"/>
      <c r="S37" s="947"/>
      <c r="T37" s="947"/>
      <c r="U3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8" spans="1:21" ht="12.75" customHeight="1" outlineLevel="1">
      <c r="A38" s="65">
        <v>36</v>
      </c>
      <c r="B38" s="65"/>
      <c r="C38" s="79"/>
      <c r="D38" s="65"/>
      <c r="E38" s="65"/>
      <c r="F38" s="934"/>
      <c r="G38" s="65"/>
      <c r="H38" s="65"/>
      <c r="I38" s="105"/>
      <c r="J38" s="65"/>
      <c r="K38" s="65"/>
      <c r="L38" s="65"/>
      <c r="M38" s="1159"/>
      <c r="N38" s="80"/>
      <c r="O38" s="934"/>
      <c r="P38" s="86"/>
      <c r="Q38" s="86"/>
      <c r="R38" s="1156"/>
      <c r="S38" s="947"/>
      <c r="T38" s="947"/>
      <c r="U3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39" spans="1:21" ht="12.75" customHeight="1" outlineLevel="1">
      <c r="A39" s="65">
        <v>37</v>
      </c>
      <c r="B39" s="79"/>
      <c r="C39" s="79"/>
      <c r="D39" s="65"/>
      <c r="E39" s="65"/>
      <c r="F39" s="70"/>
      <c r="G39" s="65"/>
      <c r="H39" s="65"/>
      <c r="I39" s="544"/>
      <c r="J39" s="65"/>
      <c r="K39" s="65"/>
      <c r="L39" s="65"/>
      <c r="M39" s="1158"/>
      <c r="N39" s="80"/>
      <c r="O39" s="70"/>
      <c r="P39" s="86"/>
      <c r="Q39" s="86"/>
      <c r="R39" s="1156"/>
      <c r="S39" s="1156"/>
      <c r="T39" s="1156"/>
      <c r="U3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0" spans="1:21" ht="12.75" customHeight="1" outlineLevel="1">
      <c r="A40" s="65">
        <v>38</v>
      </c>
      <c r="B40" s="79"/>
      <c r="C40" s="79"/>
      <c r="D40" s="65"/>
      <c r="E40" s="65"/>
      <c r="F40" s="70"/>
      <c r="G40" s="65"/>
      <c r="H40" s="65"/>
      <c r="I40" s="544"/>
      <c r="J40" s="65"/>
      <c r="K40" s="80"/>
      <c r="L40" s="65"/>
      <c r="M40" s="1158"/>
      <c r="N40" s="65"/>
      <c r="O40" s="1155"/>
      <c r="P40" s="86"/>
      <c r="Q40" s="86"/>
      <c r="R40" s="1156"/>
      <c r="S40" s="1156"/>
      <c r="T40" s="1156"/>
      <c r="U4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1" spans="1:21" ht="12.75" customHeight="1" outlineLevel="1">
      <c r="A41" s="65">
        <v>39</v>
      </c>
      <c r="B41" s="79"/>
      <c r="C41" s="79"/>
      <c r="D41" s="80"/>
      <c r="E41" s="65"/>
      <c r="F41" s="1155"/>
      <c r="G41" s="80"/>
      <c r="H41" s="80"/>
      <c r="I41" s="544"/>
      <c r="J41" s="65"/>
      <c r="K41" s="80"/>
      <c r="L41" s="80"/>
      <c r="M41" s="1158"/>
      <c r="N41" s="80"/>
      <c r="O41" s="1155"/>
      <c r="P41" s="86"/>
      <c r="Q41" s="86"/>
      <c r="R41" s="1156"/>
      <c r="S41" s="1156"/>
      <c r="T41" s="1156"/>
      <c r="U4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2" spans="1:21" outlineLevel="1">
      <c r="A42" s="65">
        <v>40</v>
      </c>
      <c r="B42" s="79"/>
      <c r="C42" s="79"/>
      <c r="D42" s="65"/>
      <c r="E42" s="65"/>
      <c r="F42" s="949"/>
      <c r="G42" s="65"/>
      <c r="H42" s="65"/>
      <c r="I42" s="105"/>
      <c r="J42" s="65"/>
      <c r="K42" s="65"/>
      <c r="L42" s="65"/>
      <c r="M42" s="98"/>
      <c r="N42" s="80"/>
      <c r="O42" s="65"/>
      <c r="P42" s="86"/>
      <c r="Q42" s="86"/>
      <c r="R42" s="1156"/>
      <c r="S42" s="1156"/>
      <c r="T42" s="1156"/>
      <c r="U4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3" spans="1:21" outlineLevel="1">
      <c r="A43" s="65">
        <v>41</v>
      </c>
      <c r="B43" s="79"/>
      <c r="C43" s="79"/>
      <c r="D43" s="65"/>
      <c r="E43" s="65"/>
      <c r="F43" s="949"/>
      <c r="G43" s="65"/>
      <c r="H43" s="65"/>
      <c r="I43" s="105"/>
      <c r="J43" s="65"/>
      <c r="K43" s="65"/>
      <c r="L43" s="65"/>
      <c r="M43" s="98"/>
      <c r="N43" s="80"/>
      <c r="O43" s="65"/>
      <c r="P43" s="86"/>
      <c r="Q43" s="86"/>
      <c r="R43" s="1156"/>
      <c r="S43" s="1156"/>
      <c r="T43" s="1156"/>
      <c r="U4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4" spans="1:21" ht="12.75" customHeight="1" outlineLevel="1">
      <c r="A44" s="65">
        <v>42</v>
      </c>
      <c r="B44" s="79"/>
      <c r="C44" s="79"/>
      <c r="D44" s="65"/>
      <c r="E44" s="65"/>
      <c r="F44" s="949"/>
      <c r="G44" s="65"/>
      <c r="H44" s="65"/>
      <c r="I44" s="105"/>
      <c r="J44" s="65"/>
      <c r="K44" s="65"/>
      <c r="L44" s="65"/>
      <c r="M44" s="98"/>
      <c r="N44" s="80"/>
      <c r="O44" s="65"/>
      <c r="P44" s="86"/>
      <c r="Q44" s="86"/>
      <c r="R44" s="1156"/>
      <c r="S44" s="947"/>
      <c r="T44" s="947"/>
      <c r="U4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5" spans="1:21" ht="12.75" customHeight="1" outlineLevel="1">
      <c r="A45" s="65">
        <v>43</v>
      </c>
      <c r="B45" s="79"/>
      <c r="C45" s="79"/>
      <c r="D45" s="65"/>
      <c r="E45" s="65"/>
      <c r="F45" s="949"/>
      <c r="G45" s="65"/>
      <c r="H45" s="65"/>
      <c r="I45" s="105"/>
      <c r="J45" s="65"/>
      <c r="K45" s="65"/>
      <c r="L45" s="65"/>
      <c r="M45" s="98"/>
      <c r="N45" s="65"/>
      <c r="O45" s="65"/>
      <c r="P45" s="86"/>
      <c r="Q45" s="86"/>
      <c r="R45" s="86"/>
      <c r="S45" s="949"/>
      <c r="T45" s="949"/>
      <c r="U4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6" spans="1:21" ht="12.75" customHeight="1" outlineLevel="1">
      <c r="A46" s="65">
        <v>44</v>
      </c>
      <c r="B46" s="79"/>
      <c r="C46" s="79"/>
      <c r="D46" s="65"/>
      <c r="E46" s="65"/>
      <c r="F46" s="949"/>
      <c r="G46" s="65"/>
      <c r="H46" s="65"/>
      <c r="I46" s="105"/>
      <c r="J46" s="65"/>
      <c r="K46" s="65"/>
      <c r="L46" s="65"/>
      <c r="M46" s="98"/>
      <c r="N46" s="65"/>
      <c r="O46" s="65"/>
      <c r="P46" s="86"/>
      <c r="Q46" s="86"/>
      <c r="R46" s="86"/>
      <c r="S46" s="949"/>
      <c r="T46" s="949"/>
      <c r="U4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7" spans="1:21" outlineLevel="1">
      <c r="A47" s="65">
        <v>45</v>
      </c>
      <c r="B47" s="79"/>
      <c r="C47" s="79"/>
      <c r="D47" s="65"/>
      <c r="E47" s="65"/>
      <c r="F47" s="934"/>
      <c r="G47" s="65"/>
      <c r="H47" s="65"/>
      <c r="I47" s="105"/>
      <c r="J47" s="65"/>
      <c r="K47" s="65"/>
      <c r="L47" s="108"/>
      <c r="M47" s="110"/>
      <c r="N47" s="65"/>
      <c r="O47" s="72"/>
      <c r="P47" s="86"/>
      <c r="Q47" s="86"/>
      <c r="R47" s="949"/>
      <c r="S47" s="949"/>
      <c r="T47" s="949"/>
      <c r="U4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8" spans="1:21" outlineLevel="1">
      <c r="A48" s="65">
        <v>46</v>
      </c>
      <c r="B48" s="79"/>
      <c r="C48" s="78"/>
      <c r="D48" s="65"/>
      <c r="E48" s="65"/>
      <c r="F48" s="949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9"/>
      <c r="S48" s="949"/>
      <c r="T48" s="949"/>
      <c r="U4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49" spans="1:21" outlineLevel="1">
      <c r="A49" s="65">
        <v>47</v>
      </c>
      <c r="B49" s="79"/>
      <c r="C49" s="79"/>
      <c r="D49" s="65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9"/>
      <c r="S49" s="949"/>
      <c r="T49" s="949"/>
      <c r="U4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0" spans="1:21" outlineLevel="1">
      <c r="A50" s="65">
        <v>48</v>
      </c>
      <c r="B50" s="79"/>
      <c r="C50" s="79"/>
      <c r="D50" s="65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9"/>
      <c r="S50" s="949"/>
      <c r="T50" s="949"/>
      <c r="U5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1" spans="1:21" outlineLevel="1">
      <c r="A51" s="65">
        <v>49</v>
      </c>
      <c r="B51" s="79"/>
      <c r="C51" s="79"/>
      <c r="D51" s="65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9"/>
      <c r="S51" s="949"/>
      <c r="T51" s="949"/>
      <c r="U5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2" spans="1:21" outlineLevel="1">
      <c r="A52" s="65">
        <v>50</v>
      </c>
      <c r="B52" s="79"/>
      <c r="C52" s="79"/>
      <c r="D52" s="65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9"/>
      <c r="S52" s="949"/>
      <c r="T52" s="949"/>
      <c r="U5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3" spans="1:21" outlineLevel="1">
      <c r="A53" s="65">
        <v>51</v>
      </c>
      <c r="B53" s="79"/>
      <c r="C53" s="79"/>
      <c r="D53" s="65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9"/>
      <c r="S53" s="949"/>
      <c r="T53" s="949"/>
      <c r="U5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4" spans="1:21" outlineLevel="1">
      <c r="A54" s="65">
        <v>52</v>
      </c>
      <c r="B54" s="79"/>
      <c r="C54" s="79"/>
      <c r="D54" s="65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9"/>
      <c r="S54" s="949"/>
      <c r="T54" s="949"/>
      <c r="U5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5" spans="1:21" outlineLevel="1">
      <c r="A55" s="65">
        <v>53</v>
      </c>
      <c r="B55" s="79"/>
      <c r="C55" s="79"/>
      <c r="D55" s="65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9"/>
      <c r="S55" s="949"/>
      <c r="T55" s="949"/>
      <c r="U5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6" spans="1:21" outlineLevel="1">
      <c r="A56" s="65">
        <v>54</v>
      </c>
      <c r="B56" s="79"/>
      <c r="C56" s="79"/>
      <c r="D56" s="65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9"/>
      <c r="S56" s="949"/>
      <c r="T56" s="949"/>
      <c r="U5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7" spans="1:21" outlineLevel="1">
      <c r="A57" s="65">
        <v>55</v>
      </c>
      <c r="B57" s="79"/>
      <c r="C57" s="79"/>
      <c r="D57" s="65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9"/>
      <c r="S57" s="949"/>
      <c r="T57" s="949"/>
      <c r="U5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8" spans="1:21" outlineLevel="1">
      <c r="A58" s="65">
        <v>56</v>
      </c>
      <c r="B58" s="79"/>
      <c r="C58" s="79"/>
      <c r="D58" s="65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9"/>
      <c r="S58" s="949"/>
      <c r="T58" s="949"/>
      <c r="U5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59" spans="1:21" outlineLevel="1">
      <c r="A59" s="65">
        <v>57</v>
      </c>
      <c r="B59" s="79"/>
      <c r="C59" s="79"/>
      <c r="D59" s="65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9"/>
      <c r="S59" s="949"/>
      <c r="T59" s="949"/>
      <c r="U5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0" spans="1:21" outlineLevel="1">
      <c r="A60" s="65">
        <v>58</v>
      </c>
      <c r="B60" s="79"/>
      <c r="C60" s="79"/>
      <c r="D60" s="65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9"/>
      <c r="S60" s="949"/>
      <c r="T60" s="949"/>
      <c r="U6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1" spans="1:21" ht="12" customHeight="1" outlineLevel="1">
      <c r="A61" s="65">
        <v>59</v>
      </c>
      <c r="B61" s="79"/>
      <c r="C61" s="79"/>
      <c r="D61" s="65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9"/>
      <c r="S61" s="949"/>
      <c r="T61" s="949"/>
      <c r="U6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2" spans="1:21" outlineLevel="1">
      <c r="A62" s="65">
        <v>60</v>
      </c>
      <c r="B62" s="79"/>
      <c r="C62" s="79"/>
      <c r="D62" s="65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9"/>
      <c r="S62" s="949"/>
      <c r="T62" s="949"/>
      <c r="U6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3" spans="1:21" outlineLevel="1">
      <c r="A63" s="65">
        <v>61</v>
      </c>
      <c r="B63" s="79"/>
      <c r="C63" s="79"/>
      <c r="D63" s="65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9"/>
      <c r="S63" s="949"/>
      <c r="T63" s="949"/>
      <c r="U6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4" spans="1:21" outlineLevel="1">
      <c r="A64" s="65">
        <v>62</v>
      </c>
      <c r="B64" s="79"/>
      <c r="C64" s="79"/>
      <c r="D64" s="65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86"/>
      <c r="S64" s="86"/>
      <c r="T64" s="86"/>
      <c r="U6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5" spans="1:21" outlineLevel="1">
      <c r="A65" s="65">
        <v>63</v>
      </c>
      <c r="B65" s="79"/>
      <c r="C65" s="79"/>
      <c r="D65" s="65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86"/>
      <c r="S65" s="86"/>
      <c r="T65" s="86"/>
      <c r="U6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6" spans="1:21" outlineLevel="1">
      <c r="A66" s="65">
        <v>64</v>
      </c>
      <c r="B66" s="79"/>
      <c r="C66" s="79"/>
      <c r="D66" s="65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86"/>
      <c r="S66" s="86"/>
      <c r="T66" s="86"/>
      <c r="U6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7" spans="1:21" ht="15.75" customHeight="1" outlineLevel="1">
      <c r="A67" s="65">
        <v>65</v>
      </c>
      <c r="B67" s="79"/>
      <c r="C67" s="79"/>
      <c r="D67" s="65"/>
      <c r="E67" s="65"/>
      <c r="F67" s="72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86"/>
      <c r="S67" s="86"/>
      <c r="T67" s="86"/>
      <c r="U6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8" spans="1:21" outlineLevel="1">
      <c r="A68" s="65">
        <v>66</v>
      </c>
      <c r="B68" s="79"/>
      <c r="C68" s="79"/>
      <c r="D68" s="65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9"/>
      <c r="S68" s="949"/>
      <c r="T68" s="949"/>
      <c r="U6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69" spans="1:21" outlineLevel="1">
      <c r="A69" s="65">
        <v>67</v>
      </c>
      <c r="B69" s="79"/>
      <c r="C69" s="79"/>
      <c r="D69" s="65"/>
      <c r="E69" s="65"/>
      <c r="F69" s="72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9"/>
      <c r="S69" s="949"/>
      <c r="T69" s="949"/>
      <c r="U6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0" spans="1:21" outlineLevel="1">
      <c r="A70" s="65">
        <v>68</v>
      </c>
      <c r="B70" s="79"/>
      <c r="C70" s="79"/>
      <c r="D70" s="65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86"/>
      <c r="S70" s="86"/>
      <c r="T70" s="86"/>
      <c r="U7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1" spans="1:21" outlineLevel="1">
      <c r="A71" s="65">
        <v>69</v>
      </c>
      <c r="B71" s="79"/>
      <c r="C71" s="79"/>
      <c r="D71" s="65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86"/>
      <c r="S71" s="86"/>
      <c r="T71" s="86"/>
      <c r="U7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2" spans="1:21" outlineLevel="1">
      <c r="A72" s="65">
        <v>70</v>
      </c>
      <c r="B72" s="79"/>
      <c r="C72" s="79"/>
      <c r="D72" s="65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388"/>
      <c r="P72" s="86"/>
      <c r="Q72" s="86"/>
      <c r="R72" s="86"/>
      <c r="S72" s="86"/>
      <c r="T72" s="86"/>
      <c r="U7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3" spans="1:21" outlineLevel="1">
      <c r="A73" s="65">
        <v>71</v>
      </c>
      <c r="B73" s="79"/>
      <c r="C73" s="79"/>
      <c r="D73" s="65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86"/>
      <c r="S73" s="86"/>
      <c r="T73" s="86"/>
      <c r="U73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4" spans="1:21" outlineLevel="1">
      <c r="A74" s="65">
        <v>72</v>
      </c>
      <c r="B74" s="79"/>
      <c r="C74" s="79"/>
      <c r="D74" s="65"/>
      <c r="E74" s="65"/>
      <c r="F74" s="72"/>
      <c r="G74" s="65"/>
      <c r="H74" s="65"/>
      <c r="I74" s="105"/>
      <c r="J74" s="65"/>
      <c r="K74" s="65"/>
      <c r="L74" s="65"/>
      <c r="M74" s="110"/>
      <c r="N74" s="65"/>
      <c r="O74" s="72"/>
      <c r="P74" s="86"/>
      <c r="Q74" s="86"/>
      <c r="R74" s="949"/>
      <c r="S74" s="949"/>
      <c r="T74" s="949"/>
      <c r="U74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5" spans="1:21" outlineLevel="1">
      <c r="A75" s="65">
        <v>73</v>
      </c>
      <c r="B75" s="79"/>
      <c r="C75" s="79"/>
      <c r="D75" s="65"/>
      <c r="E75" s="65"/>
      <c r="F75" s="934"/>
      <c r="G75" s="65"/>
      <c r="H75" s="65"/>
      <c r="I75" s="105"/>
      <c r="J75" s="65"/>
      <c r="K75" s="65"/>
      <c r="L75" s="65"/>
      <c r="M75" s="110"/>
      <c r="N75" s="65"/>
      <c r="O75" s="72"/>
      <c r="P75" s="86"/>
      <c r="Q75" s="86"/>
      <c r="R75" s="86"/>
      <c r="S75" s="86"/>
      <c r="T75" s="86"/>
      <c r="U75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6" spans="1:21" outlineLevel="1">
      <c r="A76" s="65">
        <v>74</v>
      </c>
      <c r="B76" s="79"/>
      <c r="C76" s="79"/>
      <c r="D76" s="65"/>
      <c r="E76" s="65"/>
      <c r="F76" s="934"/>
      <c r="G76" s="65"/>
      <c r="H76" s="65"/>
      <c r="I76" s="105"/>
      <c r="J76" s="65"/>
      <c r="K76" s="65"/>
      <c r="L76" s="65"/>
      <c r="M76" s="110"/>
      <c r="N76" s="65"/>
      <c r="O76" s="72"/>
      <c r="P76" s="86"/>
      <c r="Q76" s="86"/>
      <c r="R76" s="86"/>
      <c r="S76" s="86"/>
      <c r="T76" s="948"/>
      <c r="U76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7" spans="1:21" outlineLevel="1">
      <c r="A77" s="65">
        <v>75</v>
      </c>
      <c r="B77" s="79"/>
      <c r="C77" s="79"/>
      <c r="D77" s="65"/>
      <c r="E77" s="65"/>
      <c r="F77" s="934"/>
      <c r="G77" s="65"/>
      <c r="H77" s="65"/>
      <c r="I77" s="105"/>
      <c r="J77" s="65"/>
      <c r="K77" s="65"/>
      <c r="L77" s="65"/>
      <c r="M77" s="110"/>
      <c r="N77" s="65"/>
      <c r="O77" s="72"/>
      <c r="P77" s="86"/>
      <c r="Q77" s="86"/>
      <c r="R77" s="86"/>
      <c r="S77" s="86"/>
      <c r="T77" s="86"/>
      <c r="U77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8" spans="1:21" outlineLevel="1">
      <c r="A78" s="65">
        <v>76</v>
      </c>
      <c r="B78" s="79"/>
      <c r="C78" s="79"/>
      <c r="D78" s="65"/>
      <c r="E78" s="65"/>
      <c r="F78" s="934"/>
      <c r="G78" s="65"/>
      <c r="H78" s="65"/>
      <c r="I78" s="105"/>
      <c r="J78" s="65"/>
      <c r="K78" s="65"/>
      <c r="L78" s="65"/>
      <c r="M78" s="110"/>
      <c r="N78" s="65"/>
      <c r="O78" s="72"/>
      <c r="P78" s="86"/>
      <c r="Q78" s="86"/>
      <c r="R78" s="86"/>
      <c r="S78" s="86"/>
      <c r="T78" s="86"/>
      <c r="U78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79" spans="1:21" outlineLevel="1">
      <c r="A79" s="65">
        <v>77</v>
      </c>
      <c r="B79" s="79"/>
      <c r="C79" s="79"/>
      <c r="D79" s="65"/>
      <c r="E79" s="65"/>
      <c r="F79" s="934"/>
      <c r="G79" s="65"/>
      <c r="H79" s="65"/>
      <c r="I79" s="105"/>
      <c r="J79" s="65"/>
      <c r="K79" s="65"/>
      <c r="L79" s="65"/>
      <c r="M79" s="110"/>
      <c r="N79" s="65"/>
      <c r="O79" s="72"/>
      <c r="P79" s="86"/>
      <c r="Q79" s="86"/>
      <c r="R79" s="86"/>
      <c r="S79" s="86"/>
      <c r="T79" s="86"/>
      <c r="U79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80" spans="1:21" outlineLevel="1">
      <c r="A80" s="65">
        <v>78</v>
      </c>
      <c r="B80" s="79"/>
      <c r="C80" s="79"/>
      <c r="D80" s="65"/>
      <c r="E80" s="65"/>
      <c r="F80" s="934"/>
      <c r="G80" s="65"/>
      <c r="H80" s="65"/>
      <c r="I80" s="105"/>
      <c r="J80" s="65"/>
      <c r="K80" s="65"/>
      <c r="L80" s="65"/>
      <c r="M80" s="110"/>
      <c r="N80" s="65"/>
      <c r="O80" s="72"/>
      <c r="P80" s="86"/>
      <c r="Q80" s="86"/>
      <c r="R80" s="86"/>
      <c r="S80" s="86"/>
      <c r="T80" s="86"/>
      <c r="U80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81" spans="1:21" outlineLevel="1">
      <c r="A81" s="65">
        <v>79</v>
      </c>
      <c r="B81" s="79"/>
      <c r="C81" s="79"/>
      <c r="D81" s="65"/>
      <c r="E81" s="65"/>
      <c r="F81" s="934"/>
      <c r="G81" s="65"/>
      <c r="H81" s="65"/>
      <c r="I81" s="105"/>
      <c r="J81" s="65"/>
      <c r="K81" s="65"/>
      <c r="L81" s="65"/>
      <c r="M81" s="110"/>
      <c r="N81" s="65"/>
      <c r="O81" s="72"/>
      <c r="P81" s="86"/>
      <c r="Q81" s="86"/>
      <c r="R81" s="86"/>
      <c r="S81" s="86"/>
      <c r="T81" s="86"/>
      <c r="U81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82" spans="1:21" outlineLevel="1">
      <c r="A82" s="65">
        <v>80</v>
      </c>
      <c r="B82" s="79"/>
      <c r="C82" s="79"/>
      <c r="D82" s="65"/>
      <c r="E82" s="65"/>
      <c r="F82" s="934"/>
      <c r="G82" s="65"/>
      <c r="H82" s="65"/>
      <c r="I82" s="105"/>
      <c r="J82" s="65"/>
      <c r="K82" s="65"/>
      <c r="L82" s="65"/>
      <c r="M82" s="110"/>
      <c r="N82" s="65"/>
      <c r="O82" s="72"/>
      <c r="P82" s="86"/>
      <c r="Q82" s="86"/>
      <c r="R82" s="86"/>
      <c r="S82" s="86"/>
      <c r="T82" s="86"/>
      <c r="U82" s="948" t="str">
        <f>IFERROR(SUM(Май2022[[#This Row],[сумма]]/Май2022[[#This Row],[м2]],IF(Май2022[[#This Row],[Отделка]]="Черновая",0,"")&amp;IF(Май2022[[#This Row],[Отделка]]="Предчистовая",-7000,"")&amp;IF(Май2022[[#This Row],[Отделка]]="Чистовая",-20000,""))*Май2022[[#This Row],[м2]],"")</f>
        <v/>
      </c>
    </row>
    <row r="83" spans="1:21">
      <c r="A83" s="65"/>
      <c r="B83" s="79"/>
      <c r="C83" s="79"/>
      <c r="D83" s="65"/>
      <c r="E83" s="65"/>
      <c r="F83" s="934"/>
      <c r="G83" s="65"/>
      <c r="H83" s="65"/>
      <c r="I83" s="105"/>
      <c r="J83" s="65"/>
      <c r="K83" s="65"/>
      <c r="L83" s="108"/>
      <c r="M83" s="110"/>
      <c r="N83" s="65"/>
      <c r="O83" s="72"/>
      <c r="P83" s="86"/>
      <c r="Q83" s="86"/>
      <c r="R83" s="86"/>
      <c r="S83" s="86"/>
      <c r="T83" s="86"/>
      <c r="U83" s="948"/>
    </row>
    <row r="84" spans="1:21">
      <c r="A84" s="2290" t="s">
        <v>713</v>
      </c>
      <c r="B84" s="2291"/>
      <c r="C84" s="972" t="s">
        <v>121</v>
      </c>
      <c r="D84" s="2295"/>
      <c r="E84" s="2296"/>
      <c r="F84" s="2296"/>
      <c r="G84" s="2296"/>
      <c r="H84" s="2296"/>
      <c r="I84" s="2296"/>
      <c r="J84" s="2296"/>
      <c r="K84" s="2296"/>
      <c r="L84" s="2296"/>
      <c r="M84" s="2296"/>
      <c r="N84" s="2296"/>
      <c r="O84" s="2296"/>
      <c r="P84" s="2296"/>
      <c r="Q84" s="86"/>
      <c r="R84" s="86"/>
      <c r="S84" s="86"/>
      <c r="T84" s="86"/>
    </row>
    <row r="85" spans="1:21" ht="25.5">
      <c r="A85" s="692" t="s">
        <v>1</v>
      </c>
      <c r="B85" s="686" t="s">
        <v>100</v>
      </c>
      <c r="C85" s="687" t="s">
        <v>97</v>
      </c>
      <c r="D85" s="688" t="s">
        <v>95</v>
      </c>
      <c r="E85" s="1033" t="s">
        <v>494</v>
      </c>
      <c r="F85" s="1033" t="s">
        <v>495</v>
      </c>
      <c r="G85" s="1033" t="s">
        <v>496</v>
      </c>
      <c r="H85" s="1034" t="s">
        <v>101</v>
      </c>
      <c r="I85" s="1023" t="s">
        <v>98</v>
      </c>
      <c r="J85" s="1023" t="s">
        <v>96</v>
      </c>
      <c r="K85" s="1023" t="s">
        <v>715</v>
      </c>
      <c r="L85" s="1060" t="s">
        <v>716</v>
      </c>
      <c r="M85" s="1033">
        <v>0</v>
      </c>
      <c r="N85" s="1033">
        <v>1</v>
      </c>
      <c r="O85" s="1033">
        <v>2</v>
      </c>
      <c r="P85" s="1033">
        <v>3</v>
      </c>
      <c r="Q85" s="1104">
        <v>4</v>
      </c>
      <c r="R85" s="950"/>
      <c r="S85" s="950"/>
      <c r="T85" s="950"/>
      <c r="U85" s="951"/>
    </row>
    <row r="86" spans="1:21">
      <c r="A86" s="1020" t="s">
        <v>73</v>
      </c>
      <c r="B86" s="1109">
        <v>310</v>
      </c>
      <c r="C86" s="939">
        <v>23471276.666999999</v>
      </c>
      <c r="D86" s="1069">
        <v>7</v>
      </c>
      <c r="E86" s="145">
        <f>SUMIFS(Май2022[м2],Май2022[МОП],$A86,Май2022[№ дома],$C$84)</f>
        <v>0</v>
      </c>
      <c r="F86" s="939">
        <f>SUMIFS(Май2022[сумма без отделки],Май2022[МОП],$A86,Май2022[№ дома],$C$84)</f>
        <v>0</v>
      </c>
      <c r="G86" s="1038">
        <f>COUNTIFS(Май2022[МОП],$A86,Май2022[№ дома],$C$84)</f>
        <v>0</v>
      </c>
      <c r="H86" s="148" t="e">
        <f>SUMIFS(#REF!,#REF!,2,#REF!,A86,#REF!,"&lt;="&amp;$A$1,#REF!,"&gt;="&amp;DATE(YEAR($A$1),MONTH($A$1),1))</f>
        <v>#REF!</v>
      </c>
      <c r="I86" s="149" t="e">
        <f>SUMIFS(#REF!,#REF!,2,#REF!,A86,#REF!,"&lt;="&amp;$A$1,#REF!,"&gt;="&amp;DATE(YEAR($A$1),MONTH($A$1),1))</f>
        <v>#REF!</v>
      </c>
      <c r="J86" s="220" t="e">
        <f>COUNTIFS(#REF!,2,#REF!,A86,#REF!,"&lt;="&amp;$A$1,#REF!,"&gt;="&amp;DATE(YEAR($A$1),MONTH($A$1),1))</f>
        <v>#REF!</v>
      </c>
      <c r="K86" s="943" t="str">
        <f>IFERROR(H86/B86,"")</f>
        <v/>
      </c>
      <c r="L86" s="1061" t="str">
        <f>IFERROR(I86/C86,"")</f>
        <v/>
      </c>
      <c r="M86" s="339" t="e">
        <f>COUNTIFS(#REF!,M$85,#REF!,$A86,#REF!,2,#REF!,"&lt;="&amp;$A$1,#REF!,"&gt;="&amp;DATE(YEAR($A$1),MONTH($A$1),1))</f>
        <v>#REF!</v>
      </c>
      <c r="N86" s="339" t="e">
        <f>COUNTIFS(#REF!,N$85,#REF!,$A86,#REF!,2,#REF!,"&lt;="&amp;$A$1,#REF!,"&gt;="&amp;DATE(YEAR($A$1),MONTH($A$1),1))</f>
        <v>#REF!</v>
      </c>
      <c r="O86" s="339" t="e">
        <f>COUNTIFS(#REF!,O$85,#REF!,$A86,#REF!,2,#REF!,"&lt;="&amp;$A$1,#REF!,"&gt;="&amp;DATE(YEAR($A$1),MONTH($A$1),1))</f>
        <v>#REF!</v>
      </c>
      <c r="P86" s="339" t="e">
        <f>COUNTIFS(#REF!,P$85,#REF!,$A86,#REF!,2,#REF!,"&lt;="&amp;$A$1,#REF!,"&gt;="&amp;DATE(YEAR($A$1),MONTH($A$1),1))</f>
        <v>#REF!</v>
      </c>
      <c r="Q86" s="1099" t="e">
        <f>COUNTIFS(#REF!,Q$85,#REF!,$A86,#REF!,2,#REF!,"&lt;="&amp;$A$1,#REF!,"&gt;="&amp;DATE(YEAR($A$1),MONTH($A$1),1))</f>
        <v>#REF!</v>
      </c>
      <c r="R86" s="949"/>
      <c r="S86" s="949"/>
      <c r="T86" s="949"/>
      <c r="U86" s="930"/>
    </row>
    <row r="87" spans="1:21">
      <c r="A87" s="981" t="s">
        <v>77</v>
      </c>
      <c r="B87" s="1109">
        <v>261</v>
      </c>
      <c r="C87" s="939">
        <v>19761300.677700002</v>
      </c>
      <c r="D87" s="1069">
        <v>6</v>
      </c>
      <c r="E87" s="145">
        <v>0</v>
      </c>
      <c r="F87" s="939">
        <v>0</v>
      </c>
      <c r="G87" s="1038">
        <v>0</v>
      </c>
      <c r="H87" s="148">
        <v>0</v>
      </c>
      <c r="I87" s="149">
        <v>0</v>
      </c>
      <c r="J87" s="220">
        <v>0</v>
      </c>
      <c r="K87" s="987">
        <v>0</v>
      </c>
      <c r="L87" s="1062">
        <v>0</v>
      </c>
      <c r="M87" s="339">
        <v>0</v>
      </c>
      <c r="N87" s="339">
        <v>0</v>
      </c>
      <c r="O87" s="339">
        <v>0</v>
      </c>
      <c r="P87" s="339">
        <v>0</v>
      </c>
      <c r="Q87" s="1099">
        <v>0</v>
      </c>
      <c r="R87" s="949"/>
      <c r="S87" s="949"/>
      <c r="T87" s="949"/>
      <c r="U87" s="930"/>
    </row>
    <row r="88" spans="1:21">
      <c r="A88" s="1042" t="s">
        <v>63</v>
      </c>
      <c r="B88" s="1109">
        <v>310</v>
      </c>
      <c r="C88" s="939">
        <v>23471276.666999999</v>
      </c>
      <c r="D88" s="1069">
        <v>7</v>
      </c>
      <c r="E88" s="145">
        <v>0</v>
      </c>
      <c r="F88" s="939">
        <v>0</v>
      </c>
      <c r="G88" s="1038">
        <v>0</v>
      </c>
      <c r="H88" s="148">
        <v>0</v>
      </c>
      <c r="I88" s="149">
        <v>0</v>
      </c>
      <c r="J88" s="220">
        <v>0</v>
      </c>
      <c r="K88" s="1063">
        <v>0</v>
      </c>
      <c r="L88" s="1064">
        <v>0</v>
      </c>
      <c r="M88" s="339">
        <v>0</v>
      </c>
      <c r="N88" s="339">
        <v>0</v>
      </c>
      <c r="O88" s="339">
        <v>0</v>
      </c>
      <c r="P88" s="339">
        <v>0</v>
      </c>
      <c r="Q88" s="1099">
        <v>0</v>
      </c>
      <c r="R88" s="949"/>
      <c r="S88" s="949"/>
      <c r="T88" s="949"/>
      <c r="U88" s="930"/>
    </row>
    <row r="89" spans="1:21">
      <c r="A89" s="984" t="s">
        <v>114</v>
      </c>
      <c r="B89" s="1195">
        <v>881</v>
      </c>
      <c r="C89" s="1196">
        <v>66703854.011699997</v>
      </c>
      <c r="D89" s="1162">
        <v>20</v>
      </c>
      <c r="E89" s="1123">
        <v>0</v>
      </c>
      <c r="F89" s="1163">
        <v>0</v>
      </c>
      <c r="G89" s="1164">
        <v>0</v>
      </c>
      <c r="H89" s="906">
        <v>0</v>
      </c>
      <c r="I89" s="1124">
        <v>0</v>
      </c>
      <c r="J89" s="1123">
        <v>0</v>
      </c>
      <c r="K89" s="1140">
        <v>0</v>
      </c>
      <c r="L89" s="1141">
        <v>0</v>
      </c>
      <c r="M89" s="1123">
        <v>0</v>
      </c>
      <c r="N89" s="1123">
        <v>0</v>
      </c>
      <c r="O89" s="1123">
        <v>0</v>
      </c>
      <c r="P89" s="1185">
        <v>0</v>
      </c>
      <c r="Q89" s="1167">
        <v>0</v>
      </c>
      <c r="R89" s="949"/>
      <c r="S89" s="949"/>
      <c r="T89" s="949"/>
      <c r="U89" s="930"/>
    </row>
    <row r="90" spans="1:21" ht="25.5">
      <c r="A90" s="692" t="s">
        <v>115</v>
      </c>
      <c r="B90" s="686" t="s">
        <v>100</v>
      </c>
      <c r="C90" s="693" t="s">
        <v>97</v>
      </c>
      <c r="D90" s="688" t="s">
        <v>95</v>
      </c>
      <c r="E90" s="1033" t="s">
        <v>494</v>
      </c>
      <c r="F90" s="1033" t="s">
        <v>495</v>
      </c>
      <c r="G90" s="1104" t="s">
        <v>496</v>
      </c>
      <c r="H90" s="1034" t="s">
        <v>101</v>
      </c>
      <c r="I90" s="1023" t="s">
        <v>98</v>
      </c>
      <c r="J90" s="1023" t="s">
        <v>96</v>
      </c>
      <c r="K90" s="1186" t="s">
        <v>715</v>
      </c>
      <c r="L90" s="1187" t="s">
        <v>716</v>
      </c>
      <c r="M90" s="1033">
        <v>0</v>
      </c>
      <c r="N90" s="1033">
        <v>1</v>
      </c>
      <c r="O90" s="1033">
        <v>2</v>
      </c>
      <c r="P90" s="1033">
        <v>3</v>
      </c>
      <c r="Q90" s="1104">
        <v>4</v>
      </c>
      <c r="R90" s="950"/>
      <c r="S90" s="950"/>
      <c r="T90" s="950"/>
      <c r="U90" s="951"/>
    </row>
    <row r="91" spans="1:21">
      <c r="A91" s="1020" t="s">
        <v>16</v>
      </c>
      <c r="B91" s="1197">
        <v>616.70000000000005</v>
      </c>
      <c r="C91" s="939">
        <v>46692697.799999997</v>
      </c>
      <c r="D91" s="1069">
        <v>7</v>
      </c>
      <c r="E91" s="1129">
        <v>0</v>
      </c>
      <c r="F91" s="149">
        <v>0</v>
      </c>
      <c r="G91" s="940">
        <v>0</v>
      </c>
      <c r="H91" s="148">
        <v>0</v>
      </c>
      <c r="I91" s="220">
        <v>0</v>
      </c>
      <c r="J91" s="220">
        <v>0</v>
      </c>
      <c r="K91" s="943">
        <v>0</v>
      </c>
      <c r="L91" s="1061">
        <v>0</v>
      </c>
      <c r="M91" s="339">
        <v>0</v>
      </c>
      <c r="N91" s="339">
        <v>0</v>
      </c>
      <c r="O91" s="339">
        <v>0</v>
      </c>
      <c r="P91" s="339">
        <v>0</v>
      </c>
      <c r="Q91" s="1099">
        <v>0</v>
      </c>
      <c r="R91" s="949"/>
      <c r="S91" s="949"/>
      <c r="T91" s="949"/>
      <c r="U91" s="930"/>
    </row>
    <row r="92" spans="1:21">
      <c r="A92" s="906" t="s">
        <v>114</v>
      </c>
      <c r="B92" s="1198">
        <v>616.70000000000005</v>
      </c>
      <c r="C92" s="1165">
        <v>46692697.799999997</v>
      </c>
      <c r="D92" s="1166">
        <v>14</v>
      </c>
      <c r="E92" s="1123">
        <v>0</v>
      </c>
      <c r="F92" s="1124">
        <v>0</v>
      </c>
      <c r="G92" s="1167">
        <v>0</v>
      </c>
      <c r="H92" s="906">
        <v>0</v>
      </c>
      <c r="I92" s="1123">
        <v>0</v>
      </c>
      <c r="J92" s="1123">
        <v>0</v>
      </c>
      <c r="K92" s="1199">
        <v>0</v>
      </c>
      <c r="L92" s="1200">
        <v>0</v>
      </c>
      <c r="M92" s="1123">
        <v>0</v>
      </c>
      <c r="N92" s="1123">
        <v>0</v>
      </c>
      <c r="O92" s="1123">
        <v>0</v>
      </c>
      <c r="P92" s="1123">
        <v>0</v>
      </c>
      <c r="Q92" s="1167">
        <v>0</v>
      </c>
      <c r="R92" s="65"/>
      <c r="S92" s="65"/>
      <c r="T92" s="65"/>
      <c r="U92" s="339"/>
    </row>
    <row r="93" spans="1:21">
      <c r="A93" s="7"/>
      <c r="B93" s="968"/>
      <c r="C93" s="968"/>
      <c r="D93" s="7"/>
      <c r="E93" s="7"/>
      <c r="F93" s="7"/>
      <c r="G93" s="7"/>
      <c r="H93" s="134"/>
      <c r="I93" s="134"/>
      <c r="J93" s="134"/>
      <c r="K93" s="7"/>
      <c r="L93" s="994"/>
      <c r="M93" s="134"/>
      <c r="N93" s="134"/>
      <c r="O93" s="134"/>
      <c r="P93" s="262"/>
      <c r="Q93" s="134"/>
      <c r="R93" s="949"/>
      <c r="S93" s="949"/>
      <c r="T93" s="949"/>
      <c r="U93" s="930"/>
    </row>
    <row r="94" spans="1:21">
      <c r="A94" s="2290" t="s">
        <v>713</v>
      </c>
      <c r="B94" s="2291"/>
      <c r="C94" s="935" t="s">
        <v>27</v>
      </c>
      <c r="D94" s="2292"/>
      <c r="E94" s="2292"/>
      <c r="F94" s="2292"/>
      <c r="G94" s="2292"/>
      <c r="H94" s="2292"/>
      <c r="I94" s="2292"/>
      <c r="J94" s="2292"/>
      <c r="K94" s="2292"/>
      <c r="L94" s="2292"/>
      <c r="M94" s="2292"/>
      <c r="N94" s="2292"/>
      <c r="O94" s="2292"/>
      <c r="P94" s="2292"/>
      <c r="Q94" s="7"/>
      <c r="R94" s="949"/>
      <c r="S94" s="949"/>
      <c r="T94" s="949"/>
      <c r="U94" s="930"/>
    </row>
    <row r="95" spans="1:21" ht="25.5">
      <c r="A95" s="692" t="s">
        <v>1</v>
      </c>
      <c r="B95" s="686" t="s">
        <v>100</v>
      </c>
      <c r="C95" s="688" t="s">
        <v>97</v>
      </c>
      <c r="D95" s="688" t="s">
        <v>95</v>
      </c>
      <c r="E95" s="1022" t="s">
        <v>494</v>
      </c>
      <c r="F95" s="138" t="s">
        <v>495</v>
      </c>
      <c r="G95" s="139" t="s">
        <v>496</v>
      </c>
      <c r="H95" s="140" t="s">
        <v>101</v>
      </c>
      <c r="I95" s="141" t="s">
        <v>98</v>
      </c>
      <c r="J95" s="141" t="s">
        <v>96</v>
      </c>
      <c r="K95" s="141" t="s">
        <v>715</v>
      </c>
      <c r="L95" s="1026" t="s">
        <v>716</v>
      </c>
      <c r="M95" s="1087">
        <v>0</v>
      </c>
      <c r="N95" s="1033">
        <v>1</v>
      </c>
      <c r="O95" s="1033">
        <v>2</v>
      </c>
      <c r="P95" s="1033">
        <v>3</v>
      </c>
      <c r="Q95" s="1104">
        <v>4</v>
      </c>
      <c r="R95" s="950"/>
      <c r="S95" s="950"/>
      <c r="T95" s="950"/>
      <c r="U95" s="951"/>
    </row>
    <row r="96" spans="1:21">
      <c r="A96" s="1035" t="s">
        <v>73</v>
      </c>
      <c r="B96" s="1126">
        <v>550</v>
      </c>
      <c r="C96" s="1059">
        <v>39675923.177000001</v>
      </c>
      <c r="D96" s="1074">
        <v>15</v>
      </c>
      <c r="E96" s="145">
        <v>0</v>
      </c>
      <c r="F96" s="939">
        <v>0</v>
      </c>
      <c r="G96" s="940">
        <v>0</v>
      </c>
      <c r="H96" s="148">
        <v>82.27</v>
      </c>
      <c r="I96" s="149">
        <v>5272137.66</v>
      </c>
      <c r="J96" s="220">
        <v>1</v>
      </c>
      <c r="K96" s="943">
        <v>0.14958181818181801</v>
      </c>
      <c r="L96" s="1061">
        <v>0.13288002490780701</v>
      </c>
      <c r="M96" s="1090">
        <v>0</v>
      </c>
      <c r="N96" s="339">
        <v>0</v>
      </c>
      <c r="O96" s="339">
        <v>0</v>
      </c>
      <c r="P96" s="339">
        <v>1</v>
      </c>
      <c r="Q96" s="1099">
        <v>0</v>
      </c>
      <c r="R96" s="949"/>
      <c r="S96" s="949"/>
      <c r="T96" s="949"/>
      <c r="U96" s="930"/>
    </row>
    <row r="97" spans="1:21">
      <c r="A97" s="1039" t="s">
        <v>77</v>
      </c>
      <c r="B97" s="1127">
        <v>490</v>
      </c>
      <c r="C97" s="954">
        <v>35347640.648599997</v>
      </c>
      <c r="D97" s="1041">
        <v>10</v>
      </c>
      <c r="E97" s="145">
        <v>0</v>
      </c>
      <c r="F97" s="939">
        <v>0</v>
      </c>
      <c r="G97" s="940">
        <v>0</v>
      </c>
      <c r="H97" s="202">
        <v>0</v>
      </c>
      <c r="I97" s="203">
        <v>0</v>
      </c>
      <c r="J97" s="226">
        <v>0</v>
      </c>
      <c r="K97" s="987">
        <v>0</v>
      </c>
      <c r="L97" s="1062">
        <v>0</v>
      </c>
      <c r="M97" s="1090">
        <v>0</v>
      </c>
      <c r="N97" s="339">
        <v>0</v>
      </c>
      <c r="O97" s="339">
        <v>0</v>
      </c>
      <c r="P97" s="339">
        <v>0</v>
      </c>
      <c r="Q97" s="1099">
        <v>0</v>
      </c>
      <c r="R97" s="949"/>
      <c r="S97" s="949"/>
      <c r="T97" s="949"/>
      <c r="U97" s="930"/>
    </row>
    <row r="98" spans="1:21">
      <c r="A98" s="1110" t="s">
        <v>63</v>
      </c>
      <c r="B98" s="1128">
        <v>550</v>
      </c>
      <c r="C98" s="958">
        <v>39675923.177000001</v>
      </c>
      <c r="D98" s="1054">
        <v>15</v>
      </c>
      <c r="E98" s="145">
        <v>0</v>
      </c>
      <c r="F98" s="939">
        <v>0</v>
      </c>
      <c r="G98" s="940">
        <v>0</v>
      </c>
      <c r="H98" s="358">
        <v>0</v>
      </c>
      <c r="I98" s="359">
        <v>0</v>
      </c>
      <c r="J98" s="330">
        <v>0</v>
      </c>
      <c r="K98" s="1063">
        <v>0</v>
      </c>
      <c r="L98" s="1064">
        <v>0</v>
      </c>
      <c r="M98" s="1090">
        <v>0</v>
      </c>
      <c r="N98" s="339">
        <v>0</v>
      </c>
      <c r="O98" s="339">
        <v>0</v>
      </c>
      <c r="P98" s="339">
        <v>0</v>
      </c>
      <c r="Q98" s="1099">
        <v>0</v>
      </c>
      <c r="R98" s="949"/>
      <c r="S98" s="949"/>
      <c r="T98" s="949"/>
      <c r="U98" s="930"/>
    </row>
    <row r="99" spans="1:21">
      <c r="A99" s="984" t="s">
        <v>114</v>
      </c>
      <c r="B99" s="1195">
        <v>1590</v>
      </c>
      <c r="C99" s="1196">
        <v>114699487.0026</v>
      </c>
      <c r="D99" s="1162">
        <v>40</v>
      </c>
      <c r="E99" s="1168">
        <v>0</v>
      </c>
      <c r="F99" s="1169">
        <v>0</v>
      </c>
      <c r="G99" s="1170">
        <v>0</v>
      </c>
      <c r="H99" s="1171">
        <v>82.27</v>
      </c>
      <c r="I99" s="1165">
        <v>5272137.66</v>
      </c>
      <c r="J99" s="1182">
        <v>1</v>
      </c>
      <c r="K99" s="1201">
        <v>5.1742138364779901E-2</v>
      </c>
      <c r="L99" s="1202">
        <v>4.5964788490121901E-2</v>
      </c>
      <c r="M99" s="906">
        <v>0</v>
      </c>
      <c r="N99" s="1123">
        <v>0</v>
      </c>
      <c r="O99" s="1123">
        <v>0</v>
      </c>
      <c r="P99" s="1185">
        <v>1</v>
      </c>
      <c r="Q99" s="1167">
        <v>0</v>
      </c>
      <c r="R99" s="949"/>
      <c r="S99" s="949"/>
      <c r="T99" s="949"/>
      <c r="U99" s="930"/>
    </row>
    <row r="100" spans="1:21" ht="25.5">
      <c r="A100" s="692" t="s">
        <v>115</v>
      </c>
      <c r="B100" s="686" t="s">
        <v>100</v>
      </c>
      <c r="C100" s="693" t="s">
        <v>97</v>
      </c>
      <c r="D100" s="688" t="s">
        <v>95</v>
      </c>
      <c r="E100" s="1051" t="s">
        <v>494</v>
      </c>
      <c r="F100" s="138" t="s">
        <v>495</v>
      </c>
      <c r="G100" s="139" t="s">
        <v>496</v>
      </c>
      <c r="H100" s="140" t="s">
        <v>101</v>
      </c>
      <c r="I100" s="141" t="s">
        <v>98</v>
      </c>
      <c r="J100" s="141" t="s">
        <v>96</v>
      </c>
      <c r="K100" s="495" t="s">
        <v>715</v>
      </c>
      <c r="L100" s="1027" t="s">
        <v>716</v>
      </c>
      <c r="M100" s="1087">
        <v>0</v>
      </c>
      <c r="N100" s="1033">
        <v>1</v>
      </c>
      <c r="O100" s="1033">
        <v>2</v>
      </c>
      <c r="P100" s="1033">
        <v>3</v>
      </c>
      <c r="Q100" s="1104">
        <v>4</v>
      </c>
      <c r="R100" s="950"/>
      <c r="S100" s="950"/>
      <c r="T100" s="950"/>
      <c r="U100" s="951"/>
    </row>
    <row r="101" spans="1:21">
      <c r="A101" s="1035" t="s">
        <v>16</v>
      </c>
      <c r="B101" s="1197">
        <v>1113</v>
      </c>
      <c r="C101" s="939">
        <v>80289640.900000006</v>
      </c>
      <c r="D101" s="1069">
        <v>14</v>
      </c>
      <c r="E101" s="1129">
        <v>84.79</v>
      </c>
      <c r="F101" s="149">
        <v>0</v>
      </c>
      <c r="G101" s="940">
        <v>1</v>
      </c>
      <c r="H101" s="148">
        <v>82.27</v>
      </c>
      <c r="I101" s="149">
        <v>5272137.66</v>
      </c>
      <c r="J101" s="220">
        <v>1</v>
      </c>
      <c r="K101" s="943">
        <v>7.3917340521114094E-2</v>
      </c>
      <c r="L101" s="1061">
        <v>6.5663983558805497E-2</v>
      </c>
      <c r="M101" s="1090">
        <v>0</v>
      </c>
      <c r="N101" s="339">
        <v>0</v>
      </c>
      <c r="O101" s="339">
        <v>0</v>
      </c>
      <c r="P101" s="339">
        <v>1</v>
      </c>
      <c r="Q101" s="1099">
        <v>0</v>
      </c>
      <c r="R101" s="949"/>
      <c r="S101" s="949"/>
      <c r="T101" s="949"/>
      <c r="U101" s="930"/>
    </row>
    <row r="102" spans="1:21">
      <c r="A102" s="906" t="s">
        <v>114</v>
      </c>
      <c r="B102" s="1171">
        <v>1113</v>
      </c>
      <c r="C102" s="1165">
        <v>80289640.900000006</v>
      </c>
      <c r="D102" s="1166">
        <v>28</v>
      </c>
      <c r="E102" s="1173">
        <v>84.79</v>
      </c>
      <c r="F102" s="1165">
        <v>0</v>
      </c>
      <c r="G102" s="1166">
        <v>1</v>
      </c>
      <c r="H102" s="1171">
        <v>82.27</v>
      </c>
      <c r="I102" s="1165">
        <v>5272137.66</v>
      </c>
      <c r="J102" s="1182">
        <v>1</v>
      </c>
      <c r="K102" s="1183">
        <v>7.3917340521114094E-2</v>
      </c>
      <c r="L102" s="1184">
        <v>6.5663983558805497E-2</v>
      </c>
      <c r="M102" s="906">
        <v>0</v>
      </c>
      <c r="N102" s="1123">
        <v>0</v>
      </c>
      <c r="O102" s="1123">
        <v>0</v>
      </c>
      <c r="P102" s="1123">
        <v>1</v>
      </c>
      <c r="Q102" s="1167">
        <v>0</v>
      </c>
      <c r="R102" s="949"/>
      <c r="S102" s="949"/>
      <c r="T102" s="949"/>
      <c r="U102" s="930"/>
    </row>
    <row r="103" spans="1:21">
      <c r="A103" s="7"/>
      <c r="B103" s="968"/>
      <c r="C103" s="968"/>
      <c r="D103" s="969"/>
      <c r="E103" s="7"/>
      <c r="F103" s="7"/>
      <c r="G103" s="7"/>
      <c r="H103" s="134"/>
      <c r="I103" s="134"/>
      <c r="J103" s="134"/>
      <c r="K103" s="7"/>
      <c r="L103" s="994"/>
      <c r="M103" s="134"/>
      <c r="N103" s="134"/>
      <c r="O103" s="134"/>
      <c r="P103" s="262"/>
      <c r="Q103" s="134"/>
      <c r="R103" s="949"/>
      <c r="S103" s="949"/>
      <c r="T103" s="949"/>
      <c r="U103" s="930"/>
    </row>
    <row r="104" spans="1:21">
      <c r="A104" s="2293" t="s">
        <v>713</v>
      </c>
      <c r="B104" s="2294"/>
      <c r="C104" s="972" t="s">
        <v>718</v>
      </c>
      <c r="D104" s="2295"/>
      <c r="E104" s="2296"/>
      <c r="F104" s="2296"/>
      <c r="G104" s="2296"/>
      <c r="H104" s="2296"/>
      <c r="I104" s="2296"/>
      <c r="J104" s="2296"/>
      <c r="K104" s="2296"/>
      <c r="L104" s="2296"/>
      <c r="M104" s="2296"/>
      <c r="N104" s="2296"/>
      <c r="O104" s="2296"/>
      <c r="P104" s="2296"/>
      <c r="Q104" s="7"/>
      <c r="R104" s="949"/>
      <c r="S104" s="949"/>
      <c r="T104" s="949"/>
      <c r="U104" s="930"/>
    </row>
    <row r="105" spans="1:21" ht="25.5">
      <c r="A105" s="685" t="s">
        <v>1</v>
      </c>
      <c r="B105" s="723" t="s">
        <v>100</v>
      </c>
      <c r="C105" s="724" t="s">
        <v>97</v>
      </c>
      <c r="D105" s="688" t="s">
        <v>95</v>
      </c>
      <c r="E105" s="1022" t="s">
        <v>494</v>
      </c>
      <c r="F105" s="138" t="s">
        <v>495</v>
      </c>
      <c r="G105" s="1082" t="s">
        <v>496</v>
      </c>
      <c r="H105" s="980" t="s">
        <v>101</v>
      </c>
      <c r="I105" s="141" t="s">
        <v>98</v>
      </c>
      <c r="J105" s="141" t="s">
        <v>96</v>
      </c>
      <c r="K105" s="141" t="s">
        <v>715</v>
      </c>
      <c r="L105" s="1026" t="s">
        <v>716</v>
      </c>
      <c r="M105" s="1087">
        <v>0</v>
      </c>
      <c r="N105" s="1033">
        <v>1</v>
      </c>
      <c r="O105" s="1033">
        <v>2</v>
      </c>
      <c r="P105" s="1033">
        <v>3</v>
      </c>
      <c r="Q105" s="1104">
        <v>4</v>
      </c>
      <c r="R105" s="950"/>
      <c r="S105" s="950"/>
      <c r="T105" s="950"/>
      <c r="U105" s="951"/>
    </row>
    <row r="106" spans="1:21">
      <c r="A106" s="936" t="s">
        <v>73</v>
      </c>
      <c r="B106" s="514">
        <v>860</v>
      </c>
      <c r="C106" s="549">
        <v>63147199.843999997</v>
      </c>
      <c r="D106" s="1174">
        <v>22</v>
      </c>
      <c r="E106" s="267">
        <v>0</v>
      </c>
      <c r="F106" s="146">
        <v>0</v>
      </c>
      <c r="G106" s="702">
        <v>0</v>
      </c>
      <c r="H106" s="514">
        <v>82.27</v>
      </c>
      <c r="I106" s="146">
        <v>5272137.66</v>
      </c>
      <c r="J106" s="1190">
        <v>1</v>
      </c>
      <c r="K106" s="943">
        <v>9.5662790697674402E-2</v>
      </c>
      <c r="L106" s="1061">
        <v>8.3489650737077606E-2</v>
      </c>
      <c r="M106" s="1148" t="s">
        <v>830</v>
      </c>
      <c r="N106" s="1008">
        <v>0</v>
      </c>
      <c r="O106" s="1008">
        <v>0</v>
      </c>
      <c r="P106" s="1008">
        <v>1</v>
      </c>
      <c r="Q106" s="1106">
        <v>0</v>
      </c>
      <c r="R106" s="949"/>
      <c r="S106" s="949"/>
      <c r="T106" s="949"/>
      <c r="U106" s="930"/>
    </row>
    <row r="107" spans="1:21">
      <c r="A107" s="952" t="s">
        <v>77</v>
      </c>
      <c r="B107" s="514">
        <v>751</v>
      </c>
      <c r="C107" s="549">
        <v>55108941.326300003</v>
      </c>
      <c r="D107" s="1174">
        <v>16</v>
      </c>
      <c r="E107" s="271">
        <v>0</v>
      </c>
      <c r="F107" s="52">
        <v>0</v>
      </c>
      <c r="G107" s="717">
        <v>0</v>
      </c>
      <c r="H107" s="514">
        <v>0</v>
      </c>
      <c r="I107" s="146">
        <v>0</v>
      </c>
      <c r="J107" s="1190">
        <v>0</v>
      </c>
      <c r="K107" s="943">
        <v>0</v>
      </c>
      <c r="L107" s="1061">
        <v>0</v>
      </c>
      <c r="M107" s="1148">
        <v>0</v>
      </c>
      <c r="N107" s="1008">
        <v>0</v>
      </c>
      <c r="O107" s="1008">
        <v>0</v>
      </c>
      <c r="P107" s="1008">
        <v>0</v>
      </c>
      <c r="Q107" s="1106">
        <v>0</v>
      </c>
      <c r="R107" s="949"/>
      <c r="S107" s="949"/>
      <c r="T107" s="949"/>
      <c r="U107" s="930"/>
    </row>
    <row r="108" spans="1:21">
      <c r="A108" s="956" t="s">
        <v>63</v>
      </c>
      <c r="B108" s="514">
        <v>860</v>
      </c>
      <c r="C108" s="549">
        <v>63147199.843999997</v>
      </c>
      <c r="D108" s="1174">
        <v>22</v>
      </c>
      <c r="E108" s="315">
        <v>0</v>
      </c>
      <c r="F108" s="363">
        <v>0</v>
      </c>
      <c r="G108" s="703">
        <v>0</v>
      </c>
      <c r="H108" s="1175">
        <v>0</v>
      </c>
      <c r="I108" s="403">
        <v>0</v>
      </c>
      <c r="J108" s="1191">
        <v>0</v>
      </c>
      <c r="K108" s="1192">
        <v>0</v>
      </c>
      <c r="L108" s="1061">
        <v>0</v>
      </c>
      <c r="M108" s="1148">
        <v>0</v>
      </c>
      <c r="N108" s="1008">
        <v>0</v>
      </c>
      <c r="O108" s="1008">
        <v>0</v>
      </c>
      <c r="P108" s="1008">
        <v>0</v>
      </c>
      <c r="Q108" s="1106">
        <v>0</v>
      </c>
      <c r="R108" s="949"/>
      <c r="S108" s="949"/>
      <c r="T108" s="949"/>
      <c r="U108" s="930"/>
    </row>
    <row r="109" spans="1:21">
      <c r="A109" s="1176" t="s">
        <v>114</v>
      </c>
      <c r="B109" s="1177">
        <v>2471</v>
      </c>
      <c r="C109" s="1178">
        <v>181403341.01429999</v>
      </c>
      <c r="D109" s="1179">
        <v>60</v>
      </c>
      <c r="E109" s="1172">
        <v>0</v>
      </c>
      <c r="F109" s="1165">
        <v>0</v>
      </c>
      <c r="G109" s="1180">
        <v>0</v>
      </c>
      <c r="H109" s="1172">
        <v>82.27</v>
      </c>
      <c r="I109" s="1165">
        <v>5272137.66</v>
      </c>
      <c r="J109" s="1193">
        <v>1</v>
      </c>
      <c r="K109" s="1201">
        <v>3.3294212869283697E-2</v>
      </c>
      <c r="L109" s="1061">
        <v>2.9063068136018499E-2</v>
      </c>
      <c r="M109" s="906">
        <v>0</v>
      </c>
      <c r="N109" s="1123">
        <v>0</v>
      </c>
      <c r="O109" s="1123">
        <v>0</v>
      </c>
      <c r="P109" s="1185">
        <v>1</v>
      </c>
      <c r="Q109" s="1167">
        <v>0</v>
      </c>
      <c r="R109" s="949"/>
      <c r="S109" s="949"/>
      <c r="T109" s="949"/>
      <c r="U109" s="930"/>
    </row>
    <row r="110" spans="1:21" ht="25.5">
      <c r="A110" s="685" t="s">
        <v>115</v>
      </c>
      <c r="B110" s="723" t="s">
        <v>100</v>
      </c>
      <c r="C110" s="1086" t="s">
        <v>97</v>
      </c>
      <c r="D110" s="688" t="s">
        <v>95</v>
      </c>
      <c r="E110" s="1022" t="s">
        <v>494</v>
      </c>
      <c r="F110" s="138" t="s">
        <v>495</v>
      </c>
      <c r="G110" s="139" t="s">
        <v>496</v>
      </c>
      <c r="H110" s="980" t="s">
        <v>101</v>
      </c>
      <c r="I110" s="141" t="s">
        <v>98</v>
      </c>
      <c r="J110" s="141" t="s">
        <v>96</v>
      </c>
      <c r="K110" s="141" t="s">
        <v>715</v>
      </c>
      <c r="L110" s="1026" t="s">
        <v>716</v>
      </c>
      <c r="M110" s="1087">
        <v>0</v>
      </c>
      <c r="N110" s="1033">
        <v>1</v>
      </c>
      <c r="O110" s="1033">
        <v>2</v>
      </c>
      <c r="P110" s="1033">
        <v>3</v>
      </c>
      <c r="Q110" s="1104">
        <v>4</v>
      </c>
      <c r="R110" s="950"/>
      <c r="S110" s="950"/>
      <c r="T110" s="950"/>
      <c r="U110" s="951"/>
    </row>
    <row r="111" spans="1:21">
      <c r="A111" s="936" t="s">
        <v>16</v>
      </c>
      <c r="B111" s="1132">
        <v>1729.7</v>
      </c>
      <c r="C111" s="549">
        <v>126982338.7</v>
      </c>
      <c r="D111" s="1181">
        <v>21</v>
      </c>
      <c r="E111" s="997">
        <v>84.79</v>
      </c>
      <c r="F111" s="146">
        <v>0</v>
      </c>
      <c r="G111" s="689">
        <v>1</v>
      </c>
      <c r="H111" s="877">
        <v>82.27</v>
      </c>
      <c r="I111" s="146">
        <v>5272137.66</v>
      </c>
      <c r="J111" s="878">
        <v>1</v>
      </c>
      <c r="K111" s="221">
        <v>4.7563161241833803E-2</v>
      </c>
      <c r="L111" s="222">
        <v>4.1518668769013597E-2</v>
      </c>
      <c r="M111" s="1148">
        <v>0</v>
      </c>
      <c r="N111" s="1008">
        <v>0</v>
      </c>
      <c r="O111" s="1008">
        <v>0</v>
      </c>
      <c r="P111" s="1008">
        <v>1</v>
      </c>
      <c r="Q111" s="1106">
        <v>0</v>
      </c>
      <c r="R111" s="949"/>
      <c r="S111" s="949"/>
      <c r="T111" s="949"/>
      <c r="U111" s="930"/>
    </row>
    <row r="112" spans="1:21">
      <c r="A112" s="975" t="s">
        <v>114</v>
      </c>
      <c r="B112" s="1177">
        <v>1729.7</v>
      </c>
      <c r="C112" s="1178">
        <v>126982338.7</v>
      </c>
      <c r="D112" s="1123">
        <v>21</v>
      </c>
      <c r="E112" s="1171">
        <v>84.79</v>
      </c>
      <c r="F112" s="1182">
        <v>0</v>
      </c>
      <c r="G112" s="1166">
        <v>1</v>
      </c>
      <c r="H112" s="1173">
        <v>82.27</v>
      </c>
      <c r="I112" s="1182">
        <v>5272137.66</v>
      </c>
      <c r="J112" s="1182">
        <v>1</v>
      </c>
      <c r="K112" s="1183">
        <v>4.7563161241833803E-2</v>
      </c>
      <c r="L112" s="1184">
        <v>4.1518668769013597E-2</v>
      </c>
      <c r="M112" s="906">
        <v>0</v>
      </c>
      <c r="N112" s="1123">
        <v>0</v>
      </c>
      <c r="O112" s="1123">
        <v>0</v>
      </c>
      <c r="P112" s="1123">
        <v>1</v>
      </c>
      <c r="Q112" s="1167">
        <v>0</v>
      </c>
      <c r="R112" s="949"/>
      <c r="S112" s="949"/>
      <c r="T112" s="949"/>
      <c r="U112" s="930"/>
    </row>
    <row r="113" spans="1:21">
      <c r="A113" s="65"/>
      <c r="B113" s="65"/>
      <c r="C113" s="65"/>
      <c r="D113" s="65"/>
      <c r="E113" s="65"/>
      <c r="F113" s="949"/>
      <c r="G113" s="65"/>
      <c r="H113" s="65"/>
      <c r="I113" s="949"/>
      <c r="J113" s="65"/>
      <c r="K113" s="65"/>
      <c r="L113" s="65"/>
      <c r="M113" s="949"/>
      <c r="N113" s="65"/>
      <c r="O113" s="949"/>
      <c r="P113" s="949"/>
      <c r="Q113" s="86"/>
      <c r="R113" s="949"/>
      <c r="S113" s="949"/>
      <c r="T113" s="949"/>
      <c r="U113" s="930"/>
    </row>
    <row r="114" spans="1:21">
      <c r="A114" s="2301" t="s">
        <v>945</v>
      </c>
      <c r="B114" s="2302"/>
      <c r="C114" s="2302"/>
      <c r="D114" s="2302"/>
      <c r="E114" s="2302"/>
      <c r="F114" s="2302"/>
      <c r="G114" s="2302"/>
      <c r="H114" s="2303"/>
      <c r="I114" s="2303"/>
      <c r="J114" s="2303"/>
      <c r="K114" s="2303"/>
      <c r="L114" s="2303"/>
      <c r="M114" s="2303"/>
      <c r="N114" s="2304"/>
      <c r="O114" s="949"/>
      <c r="P114" s="949"/>
      <c r="Q114" s="86"/>
      <c r="R114" s="949"/>
      <c r="S114" s="949"/>
      <c r="T114" s="949"/>
      <c r="U114" s="930"/>
    </row>
    <row r="115" spans="1:21" ht="25.5">
      <c r="A115" s="685" t="s">
        <v>1</v>
      </c>
      <c r="B115" s="723" t="s">
        <v>101</v>
      </c>
      <c r="C115" s="724" t="s">
        <v>98</v>
      </c>
      <c r="D115" s="688" t="s">
        <v>96</v>
      </c>
      <c r="E115" s="1022" t="s">
        <v>494</v>
      </c>
      <c r="F115" s="138" t="s">
        <v>495</v>
      </c>
      <c r="G115" s="296" t="s">
        <v>496</v>
      </c>
      <c r="H115" s="140" t="s">
        <v>946</v>
      </c>
      <c r="I115" s="141" t="s">
        <v>947</v>
      </c>
      <c r="J115" s="1150">
        <v>0</v>
      </c>
      <c r="K115" s="1150">
        <v>1</v>
      </c>
      <c r="L115" s="1150">
        <v>2</v>
      </c>
      <c r="M115" s="1150">
        <v>3</v>
      </c>
      <c r="N115" s="1151">
        <v>4</v>
      </c>
      <c r="O115" s="949"/>
      <c r="P115" s="949"/>
      <c r="Q115" s="86"/>
      <c r="R115" s="949"/>
      <c r="S115" s="949"/>
      <c r="T115" s="949"/>
      <c r="U115" s="930"/>
    </row>
    <row r="116" spans="1:21">
      <c r="A116" s="985" t="s">
        <v>73</v>
      </c>
      <c r="B116" s="291">
        <v>0</v>
      </c>
      <c r="C116" s="292">
        <v>0</v>
      </c>
      <c r="D116" s="694">
        <v>0</v>
      </c>
      <c r="E116" s="1015"/>
      <c r="F116" s="292"/>
      <c r="G116" s="720"/>
      <c r="H116" s="291">
        <v>0</v>
      </c>
      <c r="I116" s="312">
        <v>0</v>
      </c>
      <c r="J116" s="346">
        <v>0</v>
      </c>
      <c r="K116" s="243">
        <v>0</v>
      </c>
      <c r="L116" s="243">
        <v>0</v>
      </c>
      <c r="M116" s="243">
        <v>0</v>
      </c>
      <c r="N116" s="246">
        <v>0</v>
      </c>
      <c r="O116" s="949"/>
      <c r="P116" s="949"/>
      <c r="Q116" s="86"/>
      <c r="R116" s="949"/>
      <c r="S116" s="949"/>
      <c r="T116" s="949"/>
      <c r="U116" s="930"/>
    </row>
    <row r="117" spans="1:21">
      <c r="A117" s="981" t="s">
        <v>77</v>
      </c>
      <c r="B117" s="271">
        <v>0</v>
      </c>
      <c r="C117" s="52">
        <v>0</v>
      </c>
      <c r="D117" s="717">
        <v>0</v>
      </c>
      <c r="E117" s="416"/>
      <c r="F117" s="52"/>
      <c r="G117" s="421"/>
      <c r="H117" s="271">
        <v>0</v>
      </c>
      <c r="I117" s="272">
        <v>0</v>
      </c>
      <c r="J117" s="257">
        <v>0</v>
      </c>
      <c r="K117" s="226">
        <v>0</v>
      </c>
      <c r="L117" s="226">
        <v>0</v>
      </c>
      <c r="M117" s="226">
        <v>0</v>
      </c>
      <c r="N117" s="227">
        <v>0</v>
      </c>
      <c r="O117" s="949"/>
      <c r="P117" s="949"/>
      <c r="Q117" s="86"/>
      <c r="R117" s="949"/>
      <c r="S117" s="949"/>
      <c r="T117" s="949"/>
      <c r="U117" s="930"/>
    </row>
    <row r="118" spans="1:21">
      <c r="A118" s="981" t="s">
        <v>63</v>
      </c>
      <c r="B118" s="271">
        <v>0</v>
      </c>
      <c r="C118" s="52">
        <v>0</v>
      </c>
      <c r="D118" s="717">
        <v>0</v>
      </c>
      <c r="E118" s="416"/>
      <c r="F118" s="52"/>
      <c r="G118" s="421"/>
      <c r="H118" s="271">
        <v>0</v>
      </c>
      <c r="I118" s="272">
        <v>0</v>
      </c>
      <c r="J118" s="257">
        <v>0</v>
      </c>
      <c r="K118" s="226">
        <v>0</v>
      </c>
      <c r="L118" s="226">
        <v>0</v>
      </c>
      <c r="M118" s="226">
        <v>0</v>
      </c>
      <c r="N118" s="227">
        <v>0</v>
      </c>
      <c r="O118" s="949"/>
      <c r="P118" s="949"/>
      <c r="Q118" s="86"/>
      <c r="R118" s="949"/>
      <c r="S118" s="949"/>
      <c r="T118" s="949"/>
      <c r="U118" s="930"/>
    </row>
    <row r="119" spans="1:21">
      <c r="A119" s="982" t="s">
        <v>29</v>
      </c>
      <c r="B119" s="516">
        <v>0</v>
      </c>
      <c r="C119" s="554">
        <v>0</v>
      </c>
      <c r="D119" s="695">
        <v>0</v>
      </c>
      <c r="E119" s="329">
        <v>0</v>
      </c>
      <c r="F119" s="958">
        <v>0</v>
      </c>
      <c r="G119" s="959">
        <v>0</v>
      </c>
      <c r="H119" s="516">
        <v>0</v>
      </c>
      <c r="I119" s="517">
        <v>0</v>
      </c>
      <c r="J119" s="426">
        <v>0</v>
      </c>
      <c r="K119" s="251">
        <v>0</v>
      </c>
      <c r="L119" s="251">
        <v>0</v>
      </c>
      <c r="M119" s="251">
        <v>0</v>
      </c>
      <c r="N119" s="254">
        <v>0</v>
      </c>
      <c r="O119" s="949"/>
      <c r="P119" s="949"/>
      <c r="Q119" s="86"/>
      <c r="R119" s="949"/>
      <c r="S119" s="949"/>
      <c r="T119" s="949"/>
      <c r="U119" s="930"/>
    </row>
    <row r="120" spans="1:21">
      <c r="A120" s="984" t="s">
        <v>114</v>
      </c>
      <c r="B120" s="323">
        <v>0</v>
      </c>
      <c r="C120" s="429">
        <v>0</v>
      </c>
      <c r="D120" s="319">
        <v>0</v>
      </c>
      <c r="E120" s="428">
        <v>0</v>
      </c>
      <c r="F120" s="429">
        <v>0</v>
      </c>
      <c r="G120" s="322">
        <v>0</v>
      </c>
      <c r="H120" s="323">
        <v>0</v>
      </c>
      <c r="I120" s="324">
        <v>0</v>
      </c>
      <c r="J120" s="320">
        <v>0</v>
      </c>
      <c r="K120" s="321">
        <v>0</v>
      </c>
      <c r="L120" s="321">
        <v>0</v>
      </c>
      <c r="M120" s="321">
        <v>0</v>
      </c>
      <c r="N120" s="319">
        <v>0</v>
      </c>
      <c r="O120" s="949"/>
      <c r="P120" s="949"/>
      <c r="Q120" s="86"/>
      <c r="R120" s="949"/>
      <c r="S120" s="949"/>
      <c r="T120" s="949"/>
      <c r="U120" s="930"/>
    </row>
    <row r="121" spans="1:21" ht="25.5">
      <c r="A121" s="725" t="s">
        <v>115</v>
      </c>
      <c r="B121" s="706" t="s">
        <v>101</v>
      </c>
      <c r="C121" s="726" t="s">
        <v>98</v>
      </c>
      <c r="D121" s="708" t="s">
        <v>96</v>
      </c>
      <c r="E121" s="1024" t="s">
        <v>494</v>
      </c>
      <c r="F121" s="487" t="s">
        <v>495</v>
      </c>
      <c r="G121" s="524" t="s">
        <v>496</v>
      </c>
      <c r="H121" s="489" t="s">
        <v>946</v>
      </c>
      <c r="I121" s="525" t="s">
        <v>947</v>
      </c>
      <c r="J121" s="1103">
        <v>0</v>
      </c>
      <c r="K121" s="1096">
        <v>1</v>
      </c>
      <c r="L121" s="1096">
        <v>2</v>
      </c>
      <c r="M121" s="1096">
        <v>3</v>
      </c>
      <c r="N121" s="1097">
        <v>4</v>
      </c>
      <c r="O121" s="949"/>
      <c r="P121" s="949"/>
      <c r="Q121" s="86"/>
      <c r="R121" s="949"/>
      <c r="S121" s="949"/>
      <c r="T121" s="949"/>
      <c r="U121" s="930"/>
    </row>
    <row r="122" spans="1:21">
      <c r="A122" s="985" t="s">
        <v>16</v>
      </c>
      <c r="B122" s="291">
        <v>0</v>
      </c>
      <c r="C122" s="292">
        <v>0</v>
      </c>
      <c r="D122" s="694">
        <v>0</v>
      </c>
      <c r="E122" s="551"/>
      <c r="F122" s="292"/>
      <c r="G122" s="552"/>
      <c r="H122" s="291">
        <v>0</v>
      </c>
      <c r="I122" s="312">
        <v>0</v>
      </c>
      <c r="J122" s="346">
        <v>0</v>
      </c>
      <c r="K122" s="243">
        <v>0</v>
      </c>
      <c r="L122" s="243">
        <v>0</v>
      </c>
      <c r="M122" s="243">
        <v>0</v>
      </c>
      <c r="N122" s="246">
        <v>0</v>
      </c>
      <c r="O122" s="949"/>
      <c r="P122" s="949"/>
      <c r="Q122" s="86"/>
      <c r="R122" s="949"/>
      <c r="S122" s="949"/>
      <c r="T122" s="949"/>
      <c r="U122" s="930"/>
    </row>
    <row r="123" spans="1:21">
      <c r="A123" s="982" t="s">
        <v>114</v>
      </c>
      <c r="B123" s="1135">
        <v>0</v>
      </c>
      <c r="C123" s="1136">
        <v>0</v>
      </c>
      <c r="D123" s="1137">
        <v>0</v>
      </c>
      <c r="E123" s="1138">
        <v>0</v>
      </c>
      <c r="F123" s="1136">
        <v>0</v>
      </c>
      <c r="G123" s="1139">
        <v>0</v>
      </c>
      <c r="H123" s="1135">
        <v>0</v>
      </c>
      <c r="I123" s="1152">
        <v>0</v>
      </c>
      <c r="J123" s="1153">
        <v>0</v>
      </c>
      <c r="K123" s="1154">
        <v>0</v>
      </c>
      <c r="L123" s="1154">
        <v>0</v>
      </c>
      <c r="M123" s="1154">
        <v>0</v>
      </c>
      <c r="N123" s="1137">
        <v>0</v>
      </c>
      <c r="O123" s="949"/>
      <c r="P123" s="949"/>
      <c r="Q123" s="86"/>
      <c r="R123" s="949"/>
      <c r="S123" s="949"/>
      <c r="T123" s="949"/>
      <c r="U123" s="930"/>
    </row>
    <row r="124" spans="1:21">
      <c r="A124" s="65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30"/>
    </row>
    <row r="125" spans="1:2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30"/>
    </row>
    <row r="126" spans="1:2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30"/>
    </row>
    <row r="127" spans="1:2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30"/>
    </row>
    <row r="128" spans="1:2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30"/>
    </row>
    <row r="129" spans="1:2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30"/>
    </row>
    <row r="130" spans="1:2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30"/>
    </row>
    <row r="131" spans="1:2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30"/>
    </row>
    <row r="132" spans="1:2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30"/>
    </row>
    <row r="133" spans="1:2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30"/>
    </row>
    <row r="134" spans="1:2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30"/>
    </row>
    <row r="135" spans="1:2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30"/>
    </row>
    <row r="136" spans="1:2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30"/>
    </row>
    <row r="137" spans="1:2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30"/>
    </row>
    <row r="138" spans="1:2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30"/>
    </row>
    <row r="139" spans="1:2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30"/>
    </row>
    <row r="140" spans="1:2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30"/>
    </row>
    <row r="141" spans="1:2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30"/>
    </row>
    <row r="142" spans="1:2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30"/>
    </row>
    <row r="143" spans="1:2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30"/>
    </row>
    <row r="144" spans="1:2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30"/>
    </row>
    <row r="145" spans="1:2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30"/>
    </row>
    <row r="146" spans="1:2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30"/>
    </row>
    <row r="147" spans="1:2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30"/>
    </row>
    <row r="148" spans="1:2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30"/>
    </row>
    <row r="149" spans="1:2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30"/>
    </row>
    <row r="150" spans="1:2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30"/>
    </row>
    <row r="151" spans="1:2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30"/>
    </row>
    <row r="152" spans="1:2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30"/>
    </row>
    <row r="153" spans="1:2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30"/>
    </row>
    <row r="154" spans="1:2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30"/>
    </row>
    <row r="155" spans="1:2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30"/>
    </row>
    <row r="156" spans="1:2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30"/>
    </row>
    <row r="157" spans="1:2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30"/>
    </row>
    <row r="158" spans="1:2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30"/>
    </row>
    <row r="159" spans="1:2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30"/>
    </row>
    <row r="160" spans="1:2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30"/>
    </row>
    <row r="161" spans="1:2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30"/>
    </row>
    <row r="162" spans="1:2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30"/>
    </row>
    <row r="163" spans="1:2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30"/>
    </row>
    <row r="164" spans="1:2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30"/>
    </row>
    <row r="165" spans="1:2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30"/>
    </row>
    <row r="166" spans="1:2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30"/>
    </row>
    <row r="167" spans="1:2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30"/>
    </row>
    <row r="168" spans="1:2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30"/>
    </row>
    <row r="169" spans="1:2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30"/>
    </row>
    <row r="170" spans="1:2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30"/>
    </row>
    <row r="171" spans="1:2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30"/>
    </row>
    <row r="172" spans="1:2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30"/>
    </row>
    <row r="173" spans="1:2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30"/>
    </row>
    <row r="174" spans="1:2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30"/>
    </row>
    <row r="175" spans="1:2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30"/>
    </row>
    <row r="176" spans="1:2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30"/>
    </row>
    <row r="177" spans="1:2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30"/>
    </row>
    <row r="178" spans="1:2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30"/>
    </row>
    <row r="179" spans="1:2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30"/>
    </row>
    <row r="180" spans="1:2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30"/>
    </row>
    <row r="181" spans="1:2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30"/>
    </row>
    <row r="182" spans="1:2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30"/>
    </row>
    <row r="183" spans="1:2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30"/>
    </row>
    <row r="184" spans="1:2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30"/>
    </row>
    <row r="185" spans="1:2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30"/>
    </row>
    <row r="186" spans="1:2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30"/>
    </row>
    <row r="187" spans="1:2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30"/>
    </row>
    <row r="188" spans="1:2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30"/>
    </row>
    <row r="189" spans="1:2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30"/>
    </row>
    <row r="190" spans="1:2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30"/>
    </row>
    <row r="191" spans="1:2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30"/>
    </row>
    <row r="192" spans="1:2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30"/>
    </row>
    <row r="193" spans="1:2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30"/>
    </row>
    <row r="194" spans="1:2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30"/>
    </row>
    <row r="195" spans="1:2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30"/>
    </row>
    <row r="196" spans="1:2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30"/>
    </row>
    <row r="197" spans="1:2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30"/>
    </row>
    <row r="198" spans="1:2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30"/>
    </row>
    <row r="199" spans="1:2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30"/>
    </row>
    <row r="200" spans="1:2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30"/>
    </row>
    <row r="201" spans="1:2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30"/>
    </row>
    <row r="202" spans="1:2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30"/>
    </row>
    <row r="203" spans="1:2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30"/>
    </row>
    <row r="204" spans="1:2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30"/>
    </row>
    <row r="205" spans="1:2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30"/>
    </row>
    <row r="206" spans="1:2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30"/>
    </row>
    <row r="207" spans="1:2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30"/>
    </row>
    <row r="208" spans="1:2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30"/>
    </row>
    <row r="209" spans="1:2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30"/>
    </row>
    <row r="210" spans="1:2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30"/>
    </row>
    <row r="211" spans="1:2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30"/>
    </row>
    <row r="212" spans="1:2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30"/>
    </row>
    <row r="213" spans="1:2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30"/>
    </row>
    <row r="214" spans="1:2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30"/>
    </row>
    <row r="215" spans="1:2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30"/>
    </row>
    <row r="216" spans="1:2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30"/>
    </row>
    <row r="217" spans="1:2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30"/>
    </row>
    <row r="218" spans="1:2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30"/>
    </row>
    <row r="219" spans="1:2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30"/>
    </row>
    <row r="220" spans="1:2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30"/>
    </row>
    <row r="221" spans="1:2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30"/>
    </row>
    <row r="222" spans="1:2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30"/>
    </row>
    <row r="223" spans="1:2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30"/>
    </row>
    <row r="224" spans="1:2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30"/>
    </row>
    <row r="225" spans="1:2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30"/>
    </row>
    <row r="226" spans="1:2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30"/>
    </row>
    <row r="227" spans="1:2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30"/>
    </row>
    <row r="228" spans="1:2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30"/>
    </row>
    <row r="229" spans="1:2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30"/>
    </row>
    <row r="230" spans="1:2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30"/>
    </row>
    <row r="231" spans="1:2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30"/>
    </row>
    <row r="232" spans="1:2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30"/>
    </row>
    <row r="233" spans="1:2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30"/>
    </row>
    <row r="234" spans="1:2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30"/>
    </row>
    <row r="235" spans="1:2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30"/>
    </row>
    <row r="236" spans="1:2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30"/>
    </row>
    <row r="237" spans="1:2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30"/>
    </row>
    <row r="238" spans="1:2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30"/>
    </row>
    <row r="239" spans="1:2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30"/>
    </row>
    <row r="240" spans="1:2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30"/>
    </row>
    <row r="241" spans="1:2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30"/>
    </row>
    <row r="242" spans="1:2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30"/>
    </row>
    <row r="243" spans="1:2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30"/>
    </row>
    <row r="244" spans="1:2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30"/>
    </row>
    <row r="245" spans="1:2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30"/>
    </row>
    <row r="246" spans="1:2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30"/>
    </row>
    <row r="247" spans="1:2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30"/>
    </row>
    <row r="248" spans="1:2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U248" s="930"/>
    </row>
    <row r="249" spans="1:2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U249" s="930"/>
    </row>
    <row r="250" spans="1:2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U250" s="930"/>
    </row>
    <row r="251" spans="1:2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U251" s="930"/>
    </row>
    <row r="252" spans="1:2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U252" s="930"/>
    </row>
  </sheetData>
  <sheetProtection formatCells="0" formatColumns="0" formatRows="0" sort="0" autoFilter="0" pivotTables="0"/>
  <mergeCells count="9">
    <mergeCell ref="A104:B104"/>
    <mergeCell ref="D104:P104"/>
    <mergeCell ref="A114:N114"/>
    <mergeCell ref="V1:XFD1048576"/>
    <mergeCell ref="A1:S1"/>
    <mergeCell ref="A84:B84"/>
    <mergeCell ref="D84:P84"/>
    <mergeCell ref="A94:B94"/>
    <mergeCell ref="D94:P94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200-000000000000}">
          <x14:formula1>
            <xm:f>Списки!$C$3:$C$7</xm:f>
          </x14:formula1>
          <xm:sqref>T9 R33:T33 T36 D3:D83 T39:T43 R3:S32 R34:S46</xm:sqref>
        </x14:dataValidation>
        <x14:dataValidation type="list" allowBlank="1" showInputMessage="1" showErrorMessage="1" xr:uid="{00000000-0002-0000-1200-000001000000}">
          <x14:formula1>
            <xm:f>Списки!$D$2:$D$7</xm:f>
          </x14:formula1>
          <xm:sqref>F3:F83</xm:sqref>
        </x14:dataValidation>
        <x14:dataValidation type="list" allowBlank="1" showInputMessage="1" showErrorMessage="1" xr:uid="{00000000-0002-0000-1200-000002000000}">
          <x14:formula1>
            <xm:f>Списки!$B$2:$B$5</xm:f>
          </x14:formula1>
          <xm:sqref>G3:G83</xm:sqref>
        </x14:dataValidation>
        <x14:dataValidation type="list" allowBlank="1" showInputMessage="1" showErrorMessage="1" xr:uid="{00000000-0002-0000-1200-000003000000}">
          <x14:formula1>
            <xm:f>Списки!$E$2:$E$7</xm:f>
          </x14:formula1>
          <xm:sqref>H3:H83</xm:sqref>
        </x14:dataValidation>
        <x14:dataValidation type="list" allowBlank="1" showInputMessage="1" showErrorMessage="1" xr:uid="{00000000-0002-0000-1200-000004000000}">
          <x14:formula1>
            <xm:f>Списки!$G$2:$G$3</xm:f>
          </x14:formula1>
          <xm:sqref>L3:L83</xm:sqref>
        </x14:dataValidation>
        <x14:dataValidation type="list" allowBlank="1" showInputMessage="1" showErrorMessage="1" xr:uid="{00000000-0002-0000-1200-000005000000}">
          <x14:formula1>
            <xm:f>Списки!$F$2:$F$3</xm:f>
          </x14:formula1>
          <xm:sqref>N3:N83</xm:sqref>
        </x14:dataValidation>
        <x14:dataValidation type="list" allowBlank="1" showInputMessage="1" showErrorMessage="1" xr:uid="{00000000-0002-0000-1200-000006000000}">
          <x14:formula1>
            <xm:f>Списки!$C$3:$C$10</xm:f>
          </x14:formula1>
          <xm:sqref>T3:T8 T10:T32 T34:T35 T37:T38 T44:T46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V247"/>
  <sheetViews>
    <sheetView zoomScale="85" zoomScaleNormal="85" workbookViewId="0">
      <pane ySplit="2" topLeftCell="A3" activePane="bottomLeft" state="frozen"/>
      <selection pane="bottomLeft" activeCell="K4" sqref="K4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25.5703125" style="931" customWidth="1"/>
    <col min="16" max="16" width="42.42578125" style="931" customWidth="1"/>
    <col min="17" max="17" width="34.42578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2309"/>
  </cols>
  <sheetData>
    <row r="1" spans="1:22" ht="15" customHeight="1">
      <c r="A1" s="2297">
        <v>44742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2309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ht="12" customHeight="1" outlineLevel="1">
      <c r="A3" s="62">
        <v>1</v>
      </c>
      <c r="B3" s="62">
        <v>553</v>
      </c>
      <c r="C3" s="62">
        <v>15267</v>
      </c>
      <c r="D3" s="117" t="s">
        <v>73</v>
      </c>
      <c r="E3" s="62">
        <v>37.159999999999997</v>
      </c>
      <c r="F3" s="117" t="s">
        <v>9</v>
      </c>
      <c r="G3" s="117" t="s">
        <v>27</v>
      </c>
      <c r="H3" s="117" t="s">
        <v>16</v>
      </c>
      <c r="I3" s="95">
        <v>3311714.49</v>
      </c>
      <c r="J3" s="62">
        <v>1</v>
      </c>
      <c r="K3" s="117" t="s">
        <v>65</v>
      </c>
      <c r="L3" s="117" t="s">
        <v>12</v>
      </c>
      <c r="M3" s="92">
        <v>44729</v>
      </c>
      <c r="N3" s="117" t="s">
        <v>17</v>
      </c>
      <c r="O3" s="117" t="s">
        <v>1033</v>
      </c>
      <c r="P3" s="76" t="s">
        <v>67</v>
      </c>
      <c r="Q3" s="76" t="s">
        <v>67</v>
      </c>
      <c r="R3" s="945" t="s">
        <v>73</v>
      </c>
      <c r="S3" s="945" t="s">
        <v>63</v>
      </c>
      <c r="T3" s="945" t="s">
        <v>73</v>
      </c>
      <c r="U3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3311714.49</v>
      </c>
    </row>
    <row r="4" spans="1:22" outlineLevel="1">
      <c r="A4" s="62">
        <v>2</v>
      </c>
      <c r="B4" s="62">
        <v>120</v>
      </c>
      <c r="C4" s="62">
        <v>20125</v>
      </c>
      <c r="D4" s="62" t="s">
        <v>73</v>
      </c>
      <c r="E4" s="62">
        <v>41.06</v>
      </c>
      <c r="F4" s="117" t="s">
        <v>9</v>
      </c>
      <c r="G4" s="117" t="s">
        <v>27</v>
      </c>
      <c r="H4" s="62" t="s">
        <v>10</v>
      </c>
      <c r="I4" s="95">
        <v>3643872.63</v>
      </c>
      <c r="J4" s="62">
        <v>1</v>
      </c>
      <c r="K4" s="117" t="s">
        <v>85</v>
      </c>
      <c r="L4" s="117" t="s">
        <v>12</v>
      </c>
      <c r="M4" s="92">
        <v>44740</v>
      </c>
      <c r="N4" s="117" t="s">
        <v>11</v>
      </c>
      <c r="O4" s="62" t="s">
        <v>1034</v>
      </c>
      <c r="P4" s="76" t="s">
        <v>67</v>
      </c>
      <c r="Q4" s="76" t="s">
        <v>67</v>
      </c>
      <c r="R4" s="117" t="s">
        <v>73</v>
      </c>
      <c r="S4" s="117" t="s">
        <v>77</v>
      </c>
      <c r="T4" s="117" t="s">
        <v>73</v>
      </c>
      <c r="U4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3643872.63</v>
      </c>
    </row>
    <row r="5" spans="1:22" outlineLevel="1">
      <c r="A5" s="62">
        <v>3</v>
      </c>
      <c r="B5" s="62">
        <v>9</v>
      </c>
      <c r="C5" s="62">
        <v>21401</v>
      </c>
      <c r="D5" s="62" t="s">
        <v>73</v>
      </c>
      <c r="E5" s="62">
        <v>37.94</v>
      </c>
      <c r="F5" s="62" t="s">
        <v>9</v>
      </c>
      <c r="G5" s="62" t="s">
        <v>27</v>
      </c>
      <c r="H5" s="62" t="s">
        <v>84</v>
      </c>
      <c r="I5" s="95">
        <v>3142271.87</v>
      </c>
      <c r="J5" s="62">
        <v>1</v>
      </c>
      <c r="K5" s="117" t="s">
        <v>85</v>
      </c>
      <c r="L5" s="117" t="s">
        <v>12</v>
      </c>
      <c r="M5" s="942">
        <v>44740</v>
      </c>
      <c r="N5" s="117" t="s">
        <v>11</v>
      </c>
      <c r="O5" s="62" t="s">
        <v>1034</v>
      </c>
      <c r="P5" s="76" t="s">
        <v>67</v>
      </c>
      <c r="Q5" s="76" t="s">
        <v>67</v>
      </c>
      <c r="R5" s="892" t="s">
        <v>73</v>
      </c>
      <c r="S5" s="117" t="s">
        <v>77</v>
      </c>
      <c r="T5" s="945" t="s">
        <v>73</v>
      </c>
      <c r="U5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3142271.87</v>
      </c>
    </row>
    <row r="6" spans="1:22" ht="12.75" hidden="1" customHeight="1" outlineLevel="1">
      <c r="A6" s="62">
        <v>4</v>
      </c>
      <c r="B6" s="62">
        <v>55</v>
      </c>
      <c r="C6" s="62">
        <v>21417</v>
      </c>
      <c r="D6" s="62" t="s">
        <v>63</v>
      </c>
      <c r="E6" s="62">
        <v>82.71</v>
      </c>
      <c r="F6" s="941" t="s">
        <v>15</v>
      </c>
      <c r="G6" s="62" t="s">
        <v>27</v>
      </c>
      <c r="H6" s="62" t="s">
        <v>16</v>
      </c>
      <c r="I6" s="91">
        <v>6473334.6100000003</v>
      </c>
      <c r="J6" s="62">
        <v>3</v>
      </c>
      <c r="K6" s="62" t="s">
        <v>65</v>
      </c>
      <c r="L6" s="62" t="s">
        <v>18</v>
      </c>
      <c r="M6" s="942">
        <v>44722</v>
      </c>
      <c r="N6" s="117" t="s">
        <v>17</v>
      </c>
      <c r="O6" s="941" t="s">
        <v>1035</v>
      </c>
      <c r="P6" s="76" t="s">
        <v>67</v>
      </c>
      <c r="Q6" s="76" t="s">
        <v>67</v>
      </c>
      <c r="R6" s="892" t="s">
        <v>63</v>
      </c>
      <c r="S6" s="945" t="s">
        <v>63</v>
      </c>
      <c r="T6" s="945" t="s">
        <v>63</v>
      </c>
      <c r="U6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5894364.6100000003</v>
      </c>
    </row>
    <row r="7" spans="1:22" outlineLevel="1">
      <c r="A7" s="62">
        <v>5</v>
      </c>
      <c r="B7" s="62">
        <v>372</v>
      </c>
      <c r="C7" s="62">
        <v>21356</v>
      </c>
      <c r="D7" s="62" t="s">
        <v>73</v>
      </c>
      <c r="E7" s="62">
        <v>23.63</v>
      </c>
      <c r="F7" s="941" t="s">
        <v>9</v>
      </c>
      <c r="G7" s="62" t="s">
        <v>27</v>
      </c>
      <c r="H7" s="62" t="s">
        <v>16</v>
      </c>
      <c r="I7" s="95">
        <v>2205480.7000000002</v>
      </c>
      <c r="J7" s="62">
        <v>0</v>
      </c>
      <c r="K7" s="62" t="s">
        <v>65</v>
      </c>
      <c r="L7" s="62" t="s">
        <v>18</v>
      </c>
      <c r="M7" s="1016">
        <v>44718</v>
      </c>
      <c r="N7" s="117" t="s">
        <v>17</v>
      </c>
      <c r="O7" s="62" t="s">
        <v>1036</v>
      </c>
      <c r="P7" s="76" t="s">
        <v>67</v>
      </c>
      <c r="Q7" s="76" t="s">
        <v>67</v>
      </c>
      <c r="R7" s="892" t="s">
        <v>73</v>
      </c>
      <c r="S7" s="945" t="s">
        <v>73</v>
      </c>
      <c r="T7" s="945" t="s">
        <v>73</v>
      </c>
      <c r="U7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2205480.7000000002</v>
      </c>
    </row>
    <row r="8" spans="1:22" outlineLevel="1">
      <c r="A8" s="62">
        <v>6</v>
      </c>
      <c r="B8" s="62">
        <v>506</v>
      </c>
      <c r="C8" s="62">
        <v>21481</v>
      </c>
      <c r="D8" s="62" t="s">
        <v>77</v>
      </c>
      <c r="E8" s="62">
        <v>23.54</v>
      </c>
      <c r="F8" s="941" t="s">
        <v>9</v>
      </c>
      <c r="G8" s="62" t="s">
        <v>27</v>
      </c>
      <c r="H8" s="62" t="s">
        <v>16</v>
      </c>
      <c r="I8" s="95">
        <v>2075699.24</v>
      </c>
      <c r="J8" s="62">
        <v>0</v>
      </c>
      <c r="K8" s="62" t="s">
        <v>65</v>
      </c>
      <c r="L8" s="62" t="s">
        <v>12</v>
      </c>
      <c r="M8" s="1016">
        <v>44739</v>
      </c>
      <c r="N8" s="117" t="s">
        <v>17</v>
      </c>
      <c r="O8" s="62" t="s">
        <v>731</v>
      </c>
      <c r="P8" s="76" t="s">
        <v>67</v>
      </c>
      <c r="Q8" s="76" t="s">
        <v>67</v>
      </c>
      <c r="R8" s="117" t="s">
        <v>77</v>
      </c>
      <c r="S8" s="117" t="s">
        <v>77</v>
      </c>
      <c r="T8" s="117" t="s">
        <v>77</v>
      </c>
      <c r="U8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2075699.2399999998</v>
      </c>
    </row>
    <row r="9" spans="1:22" ht="12.75" hidden="1" customHeight="1" outlineLevel="1">
      <c r="A9" s="62">
        <v>7</v>
      </c>
      <c r="B9" s="75">
        <v>691</v>
      </c>
      <c r="C9" s="75">
        <v>21144</v>
      </c>
      <c r="D9" s="62" t="s">
        <v>73</v>
      </c>
      <c r="E9" s="62">
        <v>61.95</v>
      </c>
      <c r="F9" s="941" t="s">
        <v>9</v>
      </c>
      <c r="G9" s="62" t="s">
        <v>27</v>
      </c>
      <c r="H9" s="62" t="s">
        <v>16</v>
      </c>
      <c r="I9" s="95">
        <v>4361295.49</v>
      </c>
      <c r="J9" s="62">
        <v>2</v>
      </c>
      <c r="K9" s="62" t="s">
        <v>65</v>
      </c>
      <c r="L9" s="62" t="s">
        <v>18</v>
      </c>
      <c r="M9" s="92">
        <v>44781</v>
      </c>
      <c r="N9" s="117" t="s">
        <v>11</v>
      </c>
      <c r="O9" s="62" t="s">
        <v>1037</v>
      </c>
      <c r="P9" s="76" t="s">
        <v>67</v>
      </c>
      <c r="Q9" s="76" t="s">
        <v>67</v>
      </c>
      <c r="R9" s="62" t="s">
        <v>73</v>
      </c>
      <c r="S9" s="62" t="s">
        <v>73</v>
      </c>
      <c r="T9" s="62" t="s">
        <v>73</v>
      </c>
      <c r="U9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4361295.49</v>
      </c>
    </row>
    <row r="10" spans="1:22" outlineLevel="1">
      <c r="A10" s="62">
        <v>8</v>
      </c>
      <c r="B10" s="62">
        <v>683</v>
      </c>
      <c r="C10" s="62">
        <v>21308</v>
      </c>
      <c r="D10" s="62" t="s">
        <v>63</v>
      </c>
      <c r="E10" s="62">
        <v>38.909999999999997</v>
      </c>
      <c r="F10" s="62" t="s">
        <v>25</v>
      </c>
      <c r="G10" s="62" t="s">
        <v>27</v>
      </c>
      <c r="H10" s="62" t="s">
        <v>16</v>
      </c>
      <c r="I10" s="95">
        <v>4220937.21</v>
      </c>
      <c r="J10" s="62">
        <v>1</v>
      </c>
      <c r="K10" s="62" t="s">
        <v>65</v>
      </c>
      <c r="L10" s="62" t="s">
        <v>18</v>
      </c>
      <c r="M10" s="1016">
        <v>44729</v>
      </c>
      <c r="N10" s="62" t="s">
        <v>17</v>
      </c>
      <c r="O10" s="62" t="s">
        <v>1038</v>
      </c>
      <c r="P10" s="76" t="s">
        <v>67</v>
      </c>
      <c r="Q10" s="76" t="s">
        <v>67</v>
      </c>
      <c r="R10" s="76" t="s">
        <v>63</v>
      </c>
      <c r="S10" s="941" t="s">
        <v>77</v>
      </c>
      <c r="T10" s="941" t="s">
        <v>63</v>
      </c>
      <c r="U10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3442737.2100000004</v>
      </c>
    </row>
    <row r="11" spans="1:22" ht="12.75" hidden="1" customHeight="1" outlineLevel="1">
      <c r="A11" s="62">
        <v>9</v>
      </c>
      <c r="B11" s="62">
        <v>670</v>
      </c>
      <c r="C11" s="62">
        <v>20392</v>
      </c>
      <c r="D11" s="62" t="s">
        <v>73</v>
      </c>
      <c r="E11" s="62">
        <v>56.33</v>
      </c>
      <c r="F11" s="941" t="s">
        <v>9</v>
      </c>
      <c r="G11" s="62" t="s">
        <v>27</v>
      </c>
      <c r="H11" s="62" t="s">
        <v>16</v>
      </c>
      <c r="I11" s="95">
        <v>4400981.01</v>
      </c>
      <c r="J11" s="62">
        <v>2</v>
      </c>
      <c r="K11" s="62" t="s">
        <v>65</v>
      </c>
      <c r="L11" s="62" t="s">
        <v>18</v>
      </c>
      <c r="M11" s="92">
        <v>44736</v>
      </c>
      <c r="N11" s="117" t="s">
        <v>17</v>
      </c>
      <c r="O11" s="62" t="s">
        <v>1039</v>
      </c>
      <c r="P11" s="76" t="s">
        <v>67</v>
      </c>
      <c r="Q11" s="76" t="s">
        <v>67</v>
      </c>
      <c r="R11" s="892" t="s">
        <v>73</v>
      </c>
      <c r="S11" s="945" t="s">
        <v>73</v>
      </c>
      <c r="T11" s="945" t="s">
        <v>73</v>
      </c>
      <c r="U11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4400981.01</v>
      </c>
    </row>
    <row r="12" spans="1:22" outlineLevel="1">
      <c r="A12" s="62">
        <v>10</v>
      </c>
      <c r="B12" s="62">
        <v>29</v>
      </c>
      <c r="C12" s="62">
        <v>20398</v>
      </c>
      <c r="D12" s="117" t="s">
        <v>77</v>
      </c>
      <c r="E12" s="62">
        <v>37.94</v>
      </c>
      <c r="F12" s="945" t="s">
        <v>9</v>
      </c>
      <c r="G12" s="117" t="s">
        <v>27</v>
      </c>
      <c r="H12" s="117" t="s">
        <v>16</v>
      </c>
      <c r="I12" s="95">
        <v>3454693.47</v>
      </c>
      <c r="J12" s="62">
        <v>1</v>
      </c>
      <c r="K12" s="117" t="s">
        <v>65</v>
      </c>
      <c r="L12" s="117" t="s">
        <v>18</v>
      </c>
      <c r="M12" s="92">
        <v>44740</v>
      </c>
      <c r="N12" s="117" t="s">
        <v>17</v>
      </c>
      <c r="O12" s="117" t="s">
        <v>1040</v>
      </c>
      <c r="P12" s="76" t="s">
        <v>67</v>
      </c>
      <c r="Q12" s="76" t="s">
        <v>67</v>
      </c>
      <c r="R12" s="892" t="s">
        <v>77</v>
      </c>
      <c r="S12" s="945" t="s">
        <v>63</v>
      </c>
      <c r="T12" s="945" t="s">
        <v>77</v>
      </c>
      <c r="U12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3454693.4700000007</v>
      </c>
    </row>
    <row r="13" spans="1:22" hidden="1" outlineLevel="1">
      <c r="A13" s="62">
        <v>11</v>
      </c>
      <c r="B13" s="62">
        <v>724</v>
      </c>
      <c r="C13" s="62">
        <v>21602</v>
      </c>
      <c r="D13" s="117" t="s">
        <v>77</v>
      </c>
      <c r="E13" s="62">
        <v>56.33</v>
      </c>
      <c r="F13" s="945" t="s">
        <v>9</v>
      </c>
      <c r="G13" s="117" t="s">
        <v>27</v>
      </c>
      <c r="H13" s="117" t="s">
        <v>16</v>
      </c>
      <c r="I13" s="1019">
        <v>4604208.5999999996</v>
      </c>
      <c r="J13" s="62">
        <v>2</v>
      </c>
      <c r="K13" s="117" t="s">
        <v>65</v>
      </c>
      <c r="L13" s="117" t="s">
        <v>18</v>
      </c>
      <c r="M13" s="92">
        <v>44742</v>
      </c>
      <c r="N13" s="117" t="s">
        <v>17</v>
      </c>
      <c r="O13" s="117" t="s">
        <v>1041</v>
      </c>
      <c r="P13" s="76" t="s">
        <v>67</v>
      </c>
      <c r="Q13" s="76" t="s">
        <v>67</v>
      </c>
      <c r="R13" s="892" t="s">
        <v>77</v>
      </c>
      <c r="S13" s="945" t="s">
        <v>77</v>
      </c>
      <c r="T13" s="945" t="s">
        <v>77</v>
      </c>
      <c r="U13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4604208.5999999996</v>
      </c>
    </row>
    <row r="14" spans="1:22" ht="12.75" hidden="1" customHeight="1" outlineLevel="1">
      <c r="A14" s="62">
        <v>12</v>
      </c>
      <c r="B14" s="62">
        <v>159</v>
      </c>
      <c r="C14" s="62">
        <v>21321</v>
      </c>
      <c r="D14" s="62" t="s">
        <v>73</v>
      </c>
      <c r="E14" s="62">
        <v>54.67</v>
      </c>
      <c r="F14" s="941" t="s">
        <v>9</v>
      </c>
      <c r="G14" s="62" t="s">
        <v>27</v>
      </c>
      <c r="H14" s="62" t="s">
        <v>16</v>
      </c>
      <c r="I14" s="95">
        <v>4367417.8099999996</v>
      </c>
      <c r="J14" s="62">
        <v>2</v>
      </c>
      <c r="K14" s="62" t="s">
        <v>65</v>
      </c>
      <c r="L14" s="62" t="s">
        <v>18</v>
      </c>
      <c r="M14" s="92">
        <v>44739</v>
      </c>
      <c r="N14" s="117" t="s">
        <v>17</v>
      </c>
      <c r="O14" s="62" t="s">
        <v>1042</v>
      </c>
      <c r="P14" s="76" t="s">
        <v>67</v>
      </c>
      <c r="Q14" s="76" t="s">
        <v>67</v>
      </c>
      <c r="R14" s="892" t="s">
        <v>73</v>
      </c>
      <c r="S14" s="945" t="s">
        <v>73</v>
      </c>
      <c r="T14" s="945" t="s">
        <v>73</v>
      </c>
      <c r="U14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4367417.8099999996</v>
      </c>
    </row>
    <row r="15" spans="1:22" hidden="1" outlineLevel="1">
      <c r="A15" s="62">
        <v>13</v>
      </c>
      <c r="B15" s="62">
        <v>895</v>
      </c>
      <c r="C15" s="62">
        <v>3276</v>
      </c>
      <c r="D15" s="62" t="s">
        <v>73</v>
      </c>
      <c r="E15" s="62">
        <v>86.1</v>
      </c>
      <c r="F15" s="945" t="s">
        <v>9</v>
      </c>
      <c r="G15" s="62" t="s">
        <v>27</v>
      </c>
      <c r="H15" s="62" t="s">
        <v>16</v>
      </c>
      <c r="I15" s="95">
        <v>6733902.4500000002</v>
      </c>
      <c r="J15" s="62">
        <v>3</v>
      </c>
      <c r="K15" s="62" t="s">
        <v>65</v>
      </c>
      <c r="L15" s="62" t="s">
        <v>18</v>
      </c>
      <c r="M15" s="92">
        <v>44742</v>
      </c>
      <c r="N15" s="117" t="s">
        <v>17</v>
      </c>
      <c r="O15" s="62" t="s">
        <v>1043</v>
      </c>
      <c r="P15" s="76" t="s">
        <v>67</v>
      </c>
      <c r="Q15" s="76" t="s">
        <v>67</v>
      </c>
      <c r="R15" s="892" t="s">
        <v>73</v>
      </c>
      <c r="S15" s="117" t="s">
        <v>73</v>
      </c>
      <c r="T15" s="117" t="s">
        <v>73</v>
      </c>
      <c r="U15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6733902.4500000002</v>
      </c>
    </row>
    <row r="16" spans="1:22" ht="12.75" hidden="1" customHeight="1" outlineLevel="1">
      <c r="A16" s="62">
        <v>14</v>
      </c>
      <c r="B16" s="62">
        <v>803</v>
      </c>
      <c r="C16" s="81">
        <v>21561</v>
      </c>
      <c r="D16" s="117" t="s">
        <v>77</v>
      </c>
      <c r="E16" s="62">
        <v>61.96</v>
      </c>
      <c r="F16" s="945" t="s">
        <v>9</v>
      </c>
      <c r="G16" s="62" t="s">
        <v>27</v>
      </c>
      <c r="H16" s="62" t="s">
        <v>16</v>
      </c>
      <c r="I16" s="95">
        <v>4762810.3099999996</v>
      </c>
      <c r="J16" s="62">
        <v>2</v>
      </c>
      <c r="K16" s="62" t="s">
        <v>65</v>
      </c>
      <c r="L16" s="62" t="s">
        <v>18</v>
      </c>
      <c r="M16" s="92">
        <v>44739</v>
      </c>
      <c r="N16" s="117" t="s">
        <v>17</v>
      </c>
      <c r="O16" s="62" t="s">
        <v>1044</v>
      </c>
      <c r="P16" s="76" t="s">
        <v>67</v>
      </c>
      <c r="Q16" s="76" t="s">
        <v>67</v>
      </c>
      <c r="R16" s="892" t="s">
        <v>77</v>
      </c>
      <c r="S16" s="892" t="s">
        <v>77</v>
      </c>
      <c r="T16" s="892" t="s">
        <v>77</v>
      </c>
      <c r="U16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4762810.3099999996</v>
      </c>
    </row>
    <row r="17" spans="1:21" ht="12.75" customHeight="1" outlineLevel="1">
      <c r="A17" s="62">
        <v>15</v>
      </c>
      <c r="B17" s="62">
        <v>38</v>
      </c>
      <c r="C17" s="62">
        <v>19891</v>
      </c>
      <c r="D17" s="117" t="s">
        <v>77</v>
      </c>
      <c r="E17" s="62">
        <v>37.94</v>
      </c>
      <c r="F17" s="945" t="s">
        <v>9</v>
      </c>
      <c r="G17" s="62" t="s">
        <v>27</v>
      </c>
      <c r="H17" s="62" t="s">
        <v>16</v>
      </c>
      <c r="I17" s="91">
        <v>3454693.47</v>
      </c>
      <c r="J17" s="62">
        <v>1</v>
      </c>
      <c r="K17" s="62" t="s">
        <v>65</v>
      </c>
      <c r="L17" s="62" t="s">
        <v>18</v>
      </c>
      <c r="M17" s="92">
        <v>44742</v>
      </c>
      <c r="N17" s="117"/>
      <c r="O17" s="76" t="s">
        <v>1045</v>
      </c>
      <c r="P17" s="76" t="s">
        <v>67</v>
      </c>
      <c r="Q17" s="76" t="s">
        <v>67</v>
      </c>
      <c r="R17" s="892" t="s">
        <v>77</v>
      </c>
      <c r="S17" s="892" t="s">
        <v>63</v>
      </c>
      <c r="T17" s="892" t="s">
        <v>77</v>
      </c>
      <c r="U17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3454693.4700000007</v>
      </c>
    </row>
    <row r="18" spans="1:21" ht="12.75" hidden="1" customHeight="1" outlineLevel="1">
      <c r="A18" s="62">
        <v>16</v>
      </c>
      <c r="B18" s="62">
        <v>101</v>
      </c>
      <c r="C18" s="62">
        <v>21639</v>
      </c>
      <c r="D18" s="117" t="s">
        <v>1046</v>
      </c>
      <c r="E18" s="62">
        <v>77.2</v>
      </c>
      <c r="F18" s="117" t="s">
        <v>9</v>
      </c>
      <c r="G18" s="117" t="s">
        <v>121</v>
      </c>
      <c r="H18" s="117" t="s">
        <v>10</v>
      </c>
      <c r="I18" s="95">
        <v>7033525.25</v>
      </c>
      <c r="J18" s="62">
        <v>3</v>
      </c>
      <c r="K18" s="117" t="s">
        <v>85</v>
      </c>
      <c r="L18" s="117" t="s">
        <v>18</v>
      </c>
      <c r="M18" s="92">
        <v>44743</v>
      </c>
      <c r="N18" s="117" t="s">
        <v>11</v>
      </c>
      <c r="O18" s="117" t="s">
        <v>1047</v>
      </c>
      <c r="P18" s="76" t="s">
        <v>67</v>
      </c>
      <c r="Q18" s="76" t="s">
        <v>67</v>
      </c>
      <c r="R18" s="945" t="s">
        <v>1046</v>
      </c>
      <c r="S18" s="945" t="s">
        <v>1046</v>
      </c>
      <c r="T18" s="945" t="s">
        <v>1046</v>
      </c>
      <c r="U18" s="946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>7033525.25</v>
      </c>
    </row>
    <row r="19" spans="1:21" ht="12.75" hidden="1" customHeight="1" outlineLevel="1">
      <c r="A19" s="65">
        <v>17</v>
      </c>
      <c r="B19" s="79"/>
      <c r="C19" s="79"/>
      <c r="D19" s="65"/>
      <c r="E19" s="65"/>
      <c r="F19" s="80"/>
      <c r="G19" s="65"/>
      <c r="H19" s="65"/>
      <c r="I19" s="93"/>
      <c r="J19" s="65"/>
      <c r="K19" s="65"/>
      <c r="L19" s="65"/>
      <c r="M19" s="98"/>
      <c r="N19" s="80"/>
      <c r="O19" s="65"/>
      <c r="P19" s="86"/>
      <c r="Q19" s="86"/>
      <c r="R19" s="1156"/>
      <c r="S19" s="1156"/>
      <c r="T19" s="1156"/>
      <c r="U1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0" spans="1:21" ht="14.25" hidden="1" customHeight="1" outlineLevel="1">
      <c r="A20" s="65">
        <v>18</v>
      </c>
      <c r="B20" s="79"/>
      <c r="C20" s="79"/>
      <c r="D20" s="65"/>
      <c r="E20" s="65"/>
      <c r="F20" s="949"/>
      <c r="G20" s="65"/>
      <c r="H20" s="65"/>
      <c r="I20" s="93"/>
      <c r="J20" s="65"/>
      <c r="K20" s="65"/>
      <c r="L20" s="65"/>
      <c r="M20" s="98"/>
      <c r="N20" s="80"/>
      <c r="O20" s="65"/>
      <c r="P20" s="86"/>
      <c r="Q20" s="86"/>
      <c r="R20" s="1156"/>
      <c r="S20" s="1156"/>
      <c r="T20" s="1156"/>
      <c r="U2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1" spans="1:21" ht="12.75" hidden="1" customHeight="1" outlineLevel="1">
      <c r="A21" s="65">
        <v>19</v>
      </c>
      <c r="B21" s="79"/>
      <c r="C21" s="79"/>
      <c r="D21" s="65"/>
      <c r="E21" s="65"/>
      <c r="F21" s="949"/>
      <c r="G21" s="65"/>
      <c r="H21" s="65"/>
      <c r="I21" s="1157"/>
      <c r="J21" s="65"/>
      <c r="K21" s="65"/>
      <c r="L21" s="65"/>
      <c r="M21" s="98"/>
      <c r="N21" s="80"/>
      <c r="O21" s="65"/>
      <c r="P21" s="86"/>
      <c r="Q21" s="86"/>
      <c r="R21" s="1156"/>
      <c r="S21" s="1156"/>
      <c r="T21" s="1156"/>
      <c r="U2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2" spans="1:21" hidden="1" outlineLevel="1">
      <c r="A22" s="65">
        <v>20</v>
      </c>
      <c r="B22" s="79"/>
      <c r="C22" s="79"/>
      <c r="D22" s="65"/>
      <c r="E22" s="65"/>
      <c r="F22" s="949"/>
      <c r="G22" s="65"/>
      <c r="H22" s="65"/>
      <c r="I22" s="93"/>
      <c r="J22" s="65"/>
      <c r="K22" s="65"/>
      <c r="L22" s="65"/>
      <c r="M22" s="98"/>
      <c r="N22" s="80"/>
      <c r="O22" s="65"/>
      <c r="P22" s="86"/>
      <c r="Q22" s="86"/>
      <c r="R22" s="1156"/>
      <c r="S22" s="1156"/>
      <c r="T22" s="1156"/>
      <c r="U2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3" spans="1:21" ht="12.75" hidden="1" customHeight="1" outlineLevel="1">
      <c r="A23" s="65">
        <v>21</v>
      </c>
      <c r="B23" s="65"/>
      <c r="C23" s="79"/>
      <c r="D23" s="65"/>
      <c r="E23" s="65"/>
      <c r="F23" s="949"/>
      <c r="G23" s="65"/>
      <c r="H23" s="65"/>
      <c r="I23" s="104"/>
      <c r="J23" s="65"/>
      <c r="K23" s="65"/>
      <c r="L23" s="65"/>
      <c r="M23" s="1158"/>
      <c r="N23" s="80"/>
      <c r="O23" s="65"/>
      <c r="P23" s="86"/>
      <c r="Q23" s="86"/>
      <c r="R23" s="1156"/>
      <c r="S23" s="1156"/>
      <c r="T23" s="1156"/>
      <c r="U2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4" spans="1:21" ht="12.75" hidden="1" customHeight="1" outlineLevel="1">
      <c r="A24" s="65">
        <v>22</v>
      </c>
      <c r="B24" s="79"/>
      <c r="C24" s="79"/>
      <c r="D24" s="65"/>
      <c r="E24" s="65"/>
      <c r="F24" s="949"/>
      <c r="G24" s="65"/>
      <c r="H24" s="65"/>
      <c r="I24" s="93"/>
      <c r="J24" s="65"/>
      <c r="K24" s="65"/>
      <c r="L24" s="65"/>
      <c r="M24" s="98"/>
      <c r="N24" s="80"/>
      <c r="O24" s="65"/>
      <c r="P24" s="86"/>
      <c r="Q24" s="86"/>
      <c r="R24" s="1156"/>
      <c r="S24" s="1156"/>
      <c r="T24" s="1156"/>
      <c r="U2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5" spans="1:21" ht="12.75" hidden="1" customHeight="1" outlineLevel="1">
      <c r="A25" s="65">
        <v>23</v>
      </c>
      <c r="B25" s="79"/>
      <c r="C25" s="79"/>
      <c r="D25" s="65"/>
      <c r="E25" s="65"/>
      <c r="F25" s="80"/>
      <c r="G25" s="65"/>
      <c r="H25" s="65"/>
      <c r="I25" s="93"/>
      <c r="J25" s="65"/>
      <c r="K25" s="65"/>
      <c r="L25" s="65"/>
      <c r="M25" s="98"/>
      <c r="N25" s="80"/>
      <c r="O25" s="65"/>
      <c r="P25" s="86"/>
      <c r="Q25" s="1156"/>
      <c r="R25" s="1156"/>
      <c r="S25" s="1156"/>
      <c r="T25" s="1156"/>
      <c r="U2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6" spans="1:21" ht="12.75" hidden="1" customHeight="1" outlineLevel="1">
      <c r="A26" s="65">
        <v>24</v>
      </c>
      <c r="B26" s="79"/>
      <c r="C26" s="79"/>
      <c r="D26" s="65"/>
      <c r="E26" s="65"/>
      <c r="F26" s="949"/>
      <c r="G26" s="65"/>
      <c r="H26" s="65"/>
      <c r="I26" s="93"/>
      <c r="J26" s="65"/>
      <c r="K26" s="65"/>
      <c r="L26" s="65"/>
      <c r="M26" s="98"/>
      <c r="N26" s="80"/>
      <c r="O26" s="949"/>
      <c r="P26" s="86"/>
      <c r="Q26" s="1156"/>
      <c r="R26" s="1156"/>
      <c r="S26" s="1156"/>
      <c r="T26" s="1156"/>
      <c r="U2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7" spans="1:21" ht="12.75" hidden="1" customHeight="1" outlineLevel="1">
      <c r="A27" s="65">
        <v>25</v>
      </c>
      <c r="B27" s="65"/>
      <c r="C27" s="79"/>
      <c r="D27" s="65"/>
      <c r="E27" s="65"/>
      <c r="F27" s="949"/>
      <c r="G27" s="65"/>
      <c r="H27" s="65"/>
      <c r="I27" s="93"/>
      <c r="J27" s="65"/>
      <c r="K27" s="65"/>
      <c r="L27" s="65"/>
      <c r="M27" s="1004"/>
      <c r="N27" s="80"/>
      <c r="O27" s="949"/>
      <c r="P27" s="949"/>
      <c r="Q27" s="949"/>
      <c r="R27" s="1156"/>
      <c r="S27" s="1156"/>
      <c r="T27" s="1156"/>
      <c r="U2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8" spans="1:21" ht="12.75" hidden="1" customHeight="1" outlineLevel="1">
      <c r="A28" s="65">
        <v>26</v>
      </c>
      <c r="B28" s="79"/>
      <c r="C28" s="79"/>
      <c r="D28" s="65"/>
      <c r="E28" s="65"/>
      <c r="F28" s="86"/>
      <c r="G28" s="65"/>
      <c r="H28" s="65"/>
      <c r="I28" s="104"/>
      <c r="J28" s="65"/>
      <c r="K28" s="65"/>
      <c r="L28" s="65"/>
      <c r="M28" s="109"/>
      <c r="N28" s="80"/>
      <c r="O28" s="86"/>
      <c r="P28" s="86"/>
      <c r="Q28" s="1156"/>
      <c r="R28" s="1156"/>
      <c r="S28" s="1156"/>
      <c r="T28" s="1156"/>
      <c r="U28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29" spans="1:21" ht="12.75" hidden="1" customHeight="1" outlineLevel="1">
      <c r="A29" s="65">
        <v>27</v>
      </c>
      <c r="B29" s="79"/>
      <c r="C29" s="79"/>
      <c r="D29" s="65"/>
      <c r="E29" s="65"/>
      <c r="F29" s="949"/>
      <c r="G29" s="65"/>
      <c r="H29" s="65"/>
      <c r="I29" s="93"/>
      <c r="J29" s="65"/>
      <c r="K29" s="65"/>
      <c r="L29" s="65"/>
      <c r="M29" s="98"/>
      <c r="N29" s="65"/>
      <c r="O29" s="65"/>
      <c r="P29" s="86"/>
      <c r="Q29" s="86"/>
      <c r="R29" s="1156"/>
      <c r="S29" s="1156"/>
      <c r="T29" s="1156"/>
      <c r="U2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0" spans="1:21" ht="12.75" hidden="1" customHeight="1" outlineLevel="1">
      <c r="A30" s="65">
        <v>28</v>
      </c>
      <c r="B30" s="79"/>
      <c r="C30" s="79"/>
      <c r="D30" s="65"/>
      <c r="E30" s="65"/>
      <c r="F30" s="949"/>
      <c r="G30" s="65"/>
      <c r="H30" s="65"/>
      <c r="I30" s="93"/>
      <c r="J30" s="65"/>
      <c r="K30" s="65"/>
      <c r="L30" s="65"/>
      <c r="M30" s="98"/>
      <c r="N30" s="80"/>
      <c r="O30" s="65"/>
      <c r="P30" s="86"/>
      <c r="Q30" s="86"/>
      <c r="R30" s="1156"/>
      <c r="S30" s="1156"/>
      <c r="T30" s="1156"/>
      <c r="U3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1" spans="1:21" ht="12.75" hidden="1" customHeight="1" outlineLevel="1">
      <c r="A31" s="65">
        <v>29</v>
      </c>
      <c r="B31" s="79"/>
      <c r="C31" s="79"/>
      <c r="D31" s="65"/>
      <c r="E31" s="65"/>
      <c r="F31" s="949"/>
      <c r="G31" s="65"/>
      <c r="H31" s="65"/>
      <c r="I31" s="93"/>
      <c r="J31" s="65"/>
      <c r="K31" s="65"/>
      <c r="L31" s="65"/>
      <c r="M31" s="98"/>
      <c r="N31" s="80"/>
      <c r="O31" s="65"/>
      <c r="P31" s="86"/>
      <c r="Q31" s="86"/>
      <c r="R31" s="1156"/>
      <c r="S31" s="1156"/>
      <c r="T31" s="1156"/>
      <c r="U3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2" spans="1:21" ht="12.75" hidden="1" customHeight="1" outlineLevel="1">
      <c r="A32" s="65">
        <v>30</v>
      </c>
      <c r="B32" s="79"/>
      <c r="C32" s="79"/>
      <c r="D32" s="65"/>
      <c r="E32" s="65"/>
      <c r="F32" s="949"/>
      <c r="G32" s="65"/>
      <c r="H32" s="65"/>
      <c r="I32" s="93"/>
      <c r="J32" s="65"/>
      <c r="K32" s="65"/>
      <c r="L32" s="65"/>
      <c r="M32" s="98"/>
      <c r="N32" s="80"/>
      <c r="O32" s="65"/>
      <c r="P32" s="86"/>
      <c r="Q32" s="86"/>
      <c r="R32" s="1156"/>
      <c r="S32" s="1156"/>
      <c r="T32" s="1156"/>
      <c r="U3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3" spans="1:21" ht="12.75" hidden="1" customHeight="1" outlineLevel="1">
      <c r="A33" s="65">
        <v>31</v>
      </c>
      <c r="B33" s="79"/>
      <c r="C33" s="79"/>
      <c r="D33" s="65"/>
      <c r="E33" s="65"/>
      <c r="F33" s="949"/>
      <c r="G33" s="65"/>
      <c r="H33" s="65"/>
      <c r="I33" s="105"/>
      <c r="J33" s="65"/>
      <c r="K33" s="65"/>
      <c r="L33" s="65"/>
      <c r="M33" s="110"/>
      <c r="N33" s="80"/>
      <c r="O33" s="65"/>
      <c r="P33" s="86"/>
      <c r="Q33" s="86"/>
      <c r="R33" s="1156"/>
      <c r="S33" s="1156"/>
      <c r="T33" s="1156"/>
      <c r="U3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4" spans="1:21" ht="18" hidden="1" customHeight="1" outlineLevel="1">
      <c r="A34" s="65">
        <v>32</v>
      </c>
      <c r="B34" s="79"/>
      <c r="C34" s="79"/>
      <c r="D34" s="65"/>
      <c r="E34" s="65"/>
      <c r="F34" s="949"/>
      <c r="G34" s="65"/>
      <c r="H34" s="65"/>
      <c r="I34" s="544"/>
      <c r="J34" s="65"/>
      <c r="K34" s="65"/>
      <c r="L34" s="65"/>
      <c r="M34" s="1158"/>
      <c r="N34" s="80"/>
      <c r="O34" s="86"/>
      <c r="P34" s="86"/>
      <c r="Q34" s="86"/>
      <c r="R34" s="1156"/>
      <c r="S34" s="1156"/>
      <c r="T34" s="1156"/>
      <c r="U3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5" spans="1:21" ht="12.75" hidden="1" customHeight="1" outlineLevel="1">
      <c r="A35" s="65">
        <v>33</v>
      </c>
      <c r="B35" s="79"/>
      <c r="C35" s="79"/>
      <c r="D35" s="65"/>
      <c r="E35" s="65"/>
      <c r="F35" s="934"/>
      <c r="G35" s="65"/>
      <c r="H35" s="65"/>
      <c r="I35" s="105"/>
      <c r="J35" s="65"/>
      <c r="K35" s="65"/>
      <c r="L35" s="65"/>
      <c r="M35" s="98"/>
      <c r="N35" s="80"/>
      <c r="O35" s="72"/>
      <c r="P35" s="86"/>
      <c r="Q35" s="86"/>
      <c r="R35" s="1156"/>
      <c r="S35" s="1156"/>
      <c r="T35" s="1156"/>
      <c r="U3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6" spans="1:21" ht="12.75" hidden="1" customHeight="1" outlineLevel="1">
      <c r="A36" s="65">
        <v>34</v>
      </c>
      <c r="B36" s="79"/>
      <c r="C36" s="79"/>
      <c r="D36" s="65"/>
      <c r="E36" s="65"/>
      <c r="F36" s="934"/>
      <c r="G36" s="65"/>
      <c r="H36" s="65"/>
      <c r="I36" s="105"/>
      <c r="J36" s="65"/>
      <c r="K36" s="65"/>
      <c r="L36" s="65"/>
      <c r="M36" s="110"/>
      <c r="N36" s="80"/>
      <c r="O36" s="949"/>
      <c r="P36" s="86" t="s">
        <v>1048</v>
      </c>
      <c r="Q36" s="86"/>
      <c r="R36" s="1156"/>
      <c r="S36" s="1156"/>
      <c r="T36" s="1156"/>
      <c r="U3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7" spans="1:21" ht="12.75" hidden="1" customHeight="1" outlineLevel="1">
      <c r="A37" s="65">
        <v>35</v>
      </c>
      <c r="B37" s="65"/>
      <c r="C37" s="79"/>
      <c r="D37" s="65"/>
      <c r="E37" s="65"/>
      <c r="F37" s="934"/>
      <c r="G37" s="65"/>
      <c r="H37" s="65"/>
      <c r="I37" s="105"/>
      <c r="J37" s="65"/>
      <c r="K37" s="65"/>
      <c r="L37" s="65"/>
      <c r="M37" s="1159"/>
      <c r="N37" s="80"/>
      <c r="O37" s="934"/>
      <c r="P37" s="86"/>
      <c r="Q37" s="86"/>
      <c r="R37" s="1156"/>
      <c r="S37" s="1156"/>
      <c r="T37" s="1156"/>
      <c r="U3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8" spans="1:21" ht="12.75" hidden="1" customHeight="1" outlineLevel="1">
      <c r="A38" s="65">
        <v>36</v>
      </c>
      <c r="B38" s="79"/>
      <c r="C38" s="79"/>
      <c r="D38" s="65"/>
      <c r="E38" s="65"/>
      <c r="F38" s="70"/>
      <c r="G38" s="65"/>
      <c r="H38" s="65"/>
      <c r="I38" s="544"/>
      <c r="J38" s="65"/>
      <c r="K38" s="65"/>
      <c r="L38" s="65"/>
      <c r="M38" s="1158"/>
      <c r="N38" s="80"/>
      <c r="O38" s="70"/>
      <c r="P38" s="86"/>
      <c r="Q38" s="86"/>
      <c r="R38" s="1156"/>
      <c r="S38" s="1156"/>
      <c r="T38" s="1156"/>
      <c r="U38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39" spans="1:21" ht="12.75" hidden="1" customHeight="1" outlineLevel="1">
      <c r="A39" s="65">
        <v>37</v>
      </c>
      <c r="B39" s="79"/>
      <c r="C39" s="79"/>
      <c r="D39" s="65"/>
      <c r="E39" s="65"/>
      <c r="F39" s="70"/>
      <c r="G39" s="65"/>
      <c r="H39" s="65"/>
      <c r="I39" s="544"/>
      <c r="J39" s="65"/>
      <c r="K39" s="80"/>
      <c r="L39" s="65"/>
      <c r="M39" s="1158"/>
      <c r="N39" s="65"/>
      <c r="O39" s="1155"/>
      <c r="P39" s="86"/>
      <c r="Q39" s="86"/>
      <c r="R39" s="1156"/>
      <c r="S39" s="1156"/>
      <c r="T39" s="1156"/>
      <c r="U3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0" spans="1:21" ht="12.75" hidden="1" customHeight="1" outlineLevel="1">
      <c r="A40" s="65">
        <v>38</v>
      </c>
      <c r="B40" s="79"/>
      <c r="C40" s="79"/>
      <c r="D40" s="65"/>
      <c r="E40" s="65"/>
      <c r="F40" s="1155"/>
      <c r="G40" s="80"/>
      <c r="H40" s="80"/>
      <c r="I40" s="544"/>
      <c r="J40" s="65"/>
      <c r="K40" s="80"/>
      <c r="L40" s="80"/>
      <c r="M40" s="1158"/>
      <c r="N40" s="80"/>
      <c r="O40" s="1155"/>
      <c r="P40" s="86"/>
      <c r="Q40" s="86"/>
      <c r="R40" s="1156"/>
      <c r="S40" s="1156"/>
      <c r="T40" s="1156"/>
      <c r="U4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1" spans="1:21" hidden="1" outlineLevel="1">
      <c r="A41" s="65">
        <v>39</v>
      </c>
      <c r="B41" s="79"/>
      <c r="C41" s="79"/>
      <c r="D41" s="65"/>
      <c r="E41" s="65"/>
      <c r="F41" s="949"/>
      <c r="G41" s="65"/>
      <c r="H41" s="65"/>
      <c r="I41" s="105"/>
      <c r="J41" s="65"/>
      <c r="K41" s="65"/>
      <c r="L41" s="65"/>
      <c r="M41" s="98"/>
      <c r="N41" s="80"/>
      <c r="O41" s="65"/>
      <c r="P41" s="86"/>
      <c r="Q41" s="86"/>
      <c r="R41" s="1156"/>
      <c r="S41" s="1156"/>
      <c r="T41" s="1156"/>
      <c r="U4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2" spans="1:21" hidden="1" outlineLevel="1">
      <c r="A42" s="65">
        <v>40</v>
      </c>
      <c r="B42" s="79"/>
      <c r="C42" s="79"/>
      <c r="D42" s="65"/>
      <c r="E42" s="65"/>
      <c r="F42" s="949"/>
      <c r="G42" s="65"/>
      <c r="H42" s="65"/>
      <c r="I42" s="105"/>
      <c r="J42" s="65"/>
      <c r="K42" s="65"/>
      <c r="L42" s="65"/>
      <c r="M42" s="98"/>
      <c r="N42" s="80"/>
      <c r="O42" s="65"/>
      <c r="P42" s="86"/>
      <c r="Q42" s="86"/>
      <c r="R42" s="1156"/>
      <c r="S42" s="1156"/>
      <c r="T42" s="1156"/>
      <c r="U4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3" spans="1:21" ht="12.75" hidden="1" customHeight="1" outlineLevel="1">
      <c r="A43" s="65">
        <v>41</v>
      </c>
      <c r="B43" s="79"/>
      <c r="C43" s="79"/>
      <c r="D43" s="65"/>
      <c r="E43" s="65"/>
      <c r="F43" s="949"/>
      <c r="G43" s="65"/>
      <c r="H43" s="65"/>
      <c r="I43" s="105"/>
      <c r="J43" s="65"/>
      <c r="K43" s="65"/>
      <c r="L43" s="65"/>
      <c r="M43" s="98"/>
      <c r="N43" s="80"/>
      <c r="O43" s="65"/>
      <c r="P43" s="86"/>
      <c r="Q43" s="86"/>
      <c r="R43" s="1156"/>
      <c r="S43" s="1156"/>
      <c r="T43" s="1156"/>
      <c r="U4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4" spans="1:21" ht="12.75" hidden="1" customHeight="1" outlineLevel="1">
      <c r="A44" s="65">
        <v>42</v>
      </c>
      <c r="B44" s="79"/>
      <c r="C44" s="79"/>
      <c r="D44" s="65"/>
      <c r="E44" s="65"/>
      <c r="F44" s="949"/>
      <c r="G44" s="65"/>
      <c r="H44" s="65"/>
      <c r="I44" s="105"/>
      <c r="J44" s="65"/>
      <c r="K44" s="65"/>
      <c r="L44" s="65"/>
      <c r="M44" s="98"/>
      <c r="N44" s="65"/>
      <c r="O44" s="65"/>
      <c r="P44" s="86"/>
      <c r="Q44" s="86"/>
      <c r="R44" s="1156"/>
      <c r="S44" s="1156"/>
      <c r="T44" s="1156"/>
      <c r="U4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5" spans="1:21" ht="12.75" hidden="1" customHeight="1" outlineLevel="1">
      <c r="A45" s="65">
        <v>43</v>
      </c>
      <c r="B45" s="79"/>
      <c r="C45" s="79"/>
      <c r="D45" s="65"/>
      <c r="E45" s="65"/>
      <c r="F45" s="949"/>
      <c r="G45" s="65"/>
      <c r="H45" s="65"/>
      <c r="I45" s="105"/>
      <c r="J45" s="65"/>
      <c r="K45" s="65"/>
      <c r="L45" s="65"/>
      <c r="M45" s="98"/>
      <c r="N45" s="65"/>
      <c r="O45" s="65"/>
      <c r="P45" s="86"/>
      <c r="Q45" s="86"/>
      <c r="R45" s="1156"/>
      <c r="S45" s="1156"/>
      <c r="T45" s="1156"/>
      <c r="U4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6" spans="1:21" hidden="1" outlineLevel="1">
      <c r="A46" s="65">
        <v>44</v>
      </c>
      <c r="B46" s="79"/>
      <c r="C46" s="79"/>
      <c r="D46" s="65"/>
      <c r="E46" s="65"/>
      <c r="F46" s="934"/>
      <c r="G46" s="65"/>
      <c r="H46" s="65"/>
      <c r="I46" s="105"/>
      <c r="J46" s="65"/>
      <c r="K46" s="65"/>
      <c r="L46" s="108"/>
      <c r="M46" s="110"/>
      <c r="N46" s="65"/>
      <c r="O46" s="72"/>
      <c r="P46" s="86"/>
      <c r="Q46" s="86"/>
      <c r="R46" s="1156"/>
      <c r="S46" s="1156"/>
      <c r="T46" s="1156"/>
      <c r="U4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7" spans="1:21" hidden="1" outlineLevel="1">
      <c r="A47" s="65">
        <v>45</v>
      </c>
      <c r="B47" s="79"/>
      <c r="C47" s="78"/>
      <c r="D47" s="65"/>
      <c r="E47" s="65"/>
      <c r="F47" s="949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1156"/>
      <c r="S47" s="1156"/>
      <c r="T47" s="1156"/>
      <c r="U4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8" spans="1:21" hidden="1" outlineLevel="1">
      <c r="A48" s="65">
        <v>46</v>
      </c>
      <c r="B48" s="79"/>
      <c r="C48" s="79"/>
      <c r="D48" s="65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1156"/>
      <c r="S48" s="1156"/>
      <c r="T48" s="1156"/>
      <c r="U48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49" spans="1:21" hidden="1" outlineLevel="1">
      <c r="A49" s="65">
        <v>47</v>
      </c>
      <c r="B49" s="79"/>
      <c r="C49" s="79"/>
      <c r="D49" s="65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1156"/>
      <c r="S49" s="1156"/>
      <c r="T49" s="1156"/>
      <c r="U4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0" spans="1:21" hidden="1" outlineLevel="1">
      <c r="A50" s="65">
        <v>48</v>
      </c>
      <c r="B50" s="79"/>
      <c r="C50" s="79"/>
      <c r="D50" s="65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1156"/>
      <c r="S50" s="1156"/>
      <c r="T50" s="1156"/>
      <c r="U5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1" spans="1:21" hidden="1" outlineLevel="1">
      <c r="A51" s="65">
        <v>49</v>
      </c>
      <c r="B51" s="79"/>
      <c r="C51" s="79"/>
      <c r="D51" s="65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1156"/>
      <c r="S51" s="1156"/>
      <c r="T51" s="1156"/>
      <c r="U5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2" spans="1:21" hidden="1" outlineLevel="1">
      <c r="A52" s="65">
        <v>50</v>
      </c>
      <c r="B52" s="79"/>
      <c r="C52" s="79"/>
      <c r="D52" s="65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1156"/>
      <c r="S52" s="1156"/>
      <c r="T52" s="1156"/>
      <c r="U5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3" spans="1:21" hidden="1" outlineLevel="1">
      <c r="A53" s="65">
        <v>51</v>
      </c>
      <c r="B53" s="79"/>
      <c r="C53" s="79"/>
      <c r="D53" s="65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1156"/>
      <c r="S53" s="1156"/>
      <c r="T53" s="1156"/>
      <c r="U5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4" spans="1:21" hidden="1" outlineLevel="1">
      <c r="A54" s="65">
        <v>52</v>
      </c>
      <c r="B54" s="79"/>
      <c r="C54" s="79"/>
      <c r="D54" s="65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1156"/>
      <c r="S54" s="1156"/>
      <c r="T54" s="1156"/>
      <c r="U5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5" spans="1:21" hidden="1" outlineLevel="1">
      <c r="A55" s="65">
        <v>53</v>
      </c>
      <c r="B55" s="79"/>
      <c r="C55" s="79"/>
      <c r="D55" s="65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1156"/>
      <c r="S55" s="1156"/>
      <c r="T55" s="1156"/>
      <c r="U5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6" spans="1:21" hidden="1" outlineLevel="1">
      <c r="A56" s="65">
        <v>54</v>
      </c>
      <c r="B56" s="79"/>
      <c r="C56" s="79"/>
      <c r="D56" s="65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1156"/>
      <c r="S56" s="1156"/>
      <c r="T56" s="1156"/>
      <c r="U5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7" spans="1:21" hidden="1" outlineLevel="1">
      <c r="A57" s="65">
        <v>55</v>
      </c>
      <c r="B57" s="79"/>
      <c r="C57" s="79"/>
      <c r="D57" s="65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1156"/>
      <c r="S57" s="1156"/>
      <c r="T57" s="1156"/>
      <c r="U5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8" spans="1:21" hidden="1" outlineLevel="1">
      <c r="A58" s="65">
        <v>56</v>
      </c>
      <c r="B58" s="79"/>
      <c r="C58" s="79"/>
      <c r="D58" s="65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1156"/>
      <c r="S58" s="1156"/>
      <c r="T58" s="1156"/>
      <c r="U58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59" spans="1:21" hidden="1" outlineLevel="1">
      <c r="A59" s="65">
        <v>57</v>
      </c>
      <c r="B59" s="79"/>
      <c r="C59" s="79"/>
      <c r="D59" s="65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1156"/>
      <c r="S59" s="1156"/>
      <c r="T59" s="1156"/>
      <c r="U5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0" spans="1:21" ht="12" hidden="1" customHeight="1" outlineLevel="1">
      <c r="A60" s="65">
        <v>58</v>
      </c>
      <c r="B60" s="79"/>
      <c r="C60" s="79"/>
      <c r="D60" s="65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1156"/>
      <c r="S60" s="1156"/>
      <c r="T60" s="1156"/>
      <c r="U6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1" spans="1:21" hidden="1" outlineLevel="1">
      <c r="A61" s="65">
        <v>59</v>
      </c>
      <c r="B61" s="79"/>
      <c r="C61" s="79"/>
      <c r="D61" s="65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1156"/>
      <c r="S61" s="1156"/>
      <c r="T61" s="1156"/>
      <c r="U6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2" spans="1:21" hidden="1" outlineLevel="1">
      <c r="A62" s="65">
        <v>60</v>
      </c>
      <c r="B62" s="79"/>
      <c r="C62" s="79"/>
      <c r="D62" s="65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1156"/>
      <c r="S62" s="1156"/>
      <c r="T62" s="1156"/>
      <c r="U6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3" spans="1:21" hidden="1" outlineLevel="1">
      <c r="A63" s="65">
        <v>61</v>
      </c>
      <c r="B63" s="79"/>
      <c r="C63" s="79"/>
      <c r="D63" s="65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1156"/>
      <c r="S63" s="1156"/>
      <c r="T63" s="1156"/>
      <c r="U6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4" spans="1:21" hidden="1" outlineLevel="1">
      <c r="A64" s="65">
        <v>62</v>
      </c>
      <c r="B64" s="79"/>
      <c r="C64" s="79"/>
      <c r="D64" s="65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1156"/>
      <c r="S64" s="1156"/>
      <c r="T64" s="1156"/>
      <c r="U6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5" spans="1:21" hidden="1" outlineLevel="1">
      <c r="A65" s="65">
        <v>63</v>
      </c>
      <c r="B65" s="79"/>
      <c r="C65" s="79"/>
      <c r="D65" s="65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1156"/>
      <c r="S65" s="1156"/>
      <c r="T65" s="1156"/>
      <c r="U6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6" spans="1:21" ht="15.75" hidden="1" customHeight="1" outlineLevel="1">
      <c r="A66" s="65">
        <v>64</v>
      </c>
      <c r="B66" s="79"/>
      <c r="C66" s="79"/>
      <c r="D66" s="65"/>
      <c r="E66" s="65"/>
      <c r="F66" s="72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1156"/>
      <c r="S66" s="1156"/>
      <c r="T66" s="1156"/>
      <c r="U6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7" spans="1:21" hidden="1" outlineLevel="1">
      <c r="A67" s="65">
        <v>65</v>
      </c>
      <c r="B67" s="79"/>
      <c r="C67" s="79"/>
      <c r="D67" s="65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1156"/>
      <c r="S67" s="1156"/>
      <c r="T67" s="1156"/>
      <c r="U6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8" spans="1:21" hidden="1" outlineLevel="1">
      <c r="A68" s="65">
        <v>66</v>
      </c>
      <c r="B68" s="79"/>
      <c r="C68" s="79"/>
      <c r="D68" s="65"/>
      <c r="E68" s="65"/>
      <c r="F68" s="72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1156"/>
      <c r="S68" s="1156"/>
      <c r="T68" s="1156"/>
      <c r="U68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69" spans="1:21" hidden="1" outlineLevel="1">
      <c r="A69" s="65">
        <v>67</v>
      </c>
      <c r="B69" s="79"/>
      <c r="C69" s="79"/>
      <c r="D69" s="65"/>
      <c r="E69" s="65"/>
      <c r="F69" s="934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1156"/>
      <c r="S69" s="1156"/>
      <c r="T69" s="1156"/>
      <c r="U69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0" spans="1:21" hidden="1" outlineLevel="1">
      <c r="A70" s="65">
        <v>68</v>
      </c>
      <c r="B70" s="79"/>
      <c r="C70" s="79"/>
      <c r="D70" s="65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1156"/>
      <c r="S70" s="1156"/>
      <c r="T70" s="1156"/>
      <c r="U70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1" spans="1:21" hidden="1" outlineLevel="1">
      <c r="A71" s="65">
        <v>69</v>
      </c>
      <c r="B71" s="79"/>
      <c r="C71" s="79"/>
      <c r="D71" s="65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388"/>
      <c r="P71" s="86"/>
      <c r="Q71" s="86"/>
      <c r="R71" s="1156"/>
      <c r="S71" s="1156"/>
      <c r="T71" s="1156"/>
      <c r="U71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2" spans="1:21" hidden="1" outlineLevel="1">
      <c r="A72" s="65">
        <v>70</v>
      </c>
      <c r="B72" s="79"/>
      <c r="C72" s="79"/>
      <c r="D72" s="65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1156"/>
      <c r="S72" s="1156"/>
      <c r="T72" s="1156"/>
      <c r="U72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3" spans="1:21" hidden="1" outlineLevel="1">
      <c r="A73" s="65">
        <v>71</v>
      </c>
      <c r="B73" s="79"/>
      <c r="C73" s="79"/>
      <c r="D73" s="65"/>
      <c r="E73" s="65"/>
      <c r="F73" s="72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1156"/>
      <c r="S73" s="1156"/>
      <c r="T73" s="1156"/>
      <c r="U73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4" spans="1:21" hidden="1" outlineLevel="1">
      <c r="A74" s="65">
        <v>72</v>
      </c>
      <c r="B74" s="79"/>
      <c r="C74" s="79"/>
      <c r="D74" s="65"/>
      <c r="E74" s="65"/>
      <c r="F74" s="934"/>
      <c r="G74" s="65"/>
      <c r="H74" s="65"/>
      <c r="I74" s="105"/>
      <c r="J74" s="65"/>
      <c r="K74" s="65"/>
      <c r="L74" s="65"/>
      <c r="M74" s="110"/>
      <c r="N74" s="65"/>
      <c r="O74" s="72"/>
      <c r="P74" s="86"/>
      <c r="Q74" s="86"/>
      <c r="R74" s="1156"/>
      <c r="S74" s="1156"/>
      <c r="T74" s="1156"/>
      <c r="U74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5" spans="1:21" hidden="1" outlineLevel="1">
      <c r="A75" s="65">
        <v>73</v>
      </c>
      <c r="B75" s="79"/>
      <c r="C75" s="79"/>
      <c r="D75" s="65"/>
      <c r="E75" s="65"/>
      <c r="F75" s="934"/>
      <c r="G75" s="65"/>
      <c r="H75" s="65"/>
      <c r="I75" s="105"/>
      <c r="J75" s="65"/>
      <c r="K75" s="65"/>
      <c r="L75" s="65"/>
      <c r="M75" s="110"/>
      <c r="N75" s="65"/>
      <c r="O75" s="72"/>
      <c r="P75" s="86"/>
      <c r="Q75" s="86"/>
      <c r="R75" s="1156"/>
      <c r="S75" s="1156"/>
      <c r="T75" s="1156"/>
      <c r="U75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6" spans="1:21" hidden="1" outlineLevel="1">
      <c r="A76" s="65">
        <v>74</v>
      </c>
      <c r="B76" s="79"/>
      <c r="C76" s="79"/>
      <c r="D76" s="65"/>
      <c r="E76" s="65"/>
      <c r="F76" s="934"/>
      <c r="G76" s="65"/>
      <c r="H76" s="65"/>
      <c r="I76" s="105"/>
      <c r="J76" s="65"/>
      <c r="K76" s="65"/>
      <c r="L76" s="65"/>
      <c r="M76" s="110"/>
      <c r="N76" s="65"/>
      <c r="O76" s="72"/>
      <c r="P76" s="86"/>
      <c r="Q76" s="86"/>
      <c r="R76" s="1156"/>
      <c r="S76" s="1156"/>
      <c r="T76" s="1156"/>
      <c r="U76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7" spans="1:21" hidden="1" outlineLevel="1">
      <c r="A77" s="65">
        <v>75</v>
      </c>
      <c r="B77" s="79"/>
      <c r="C77" s="79"/>
      <c r="D77" s="65"/>
      <c r="E77" s="65"/>
      <c r="F77" s="934"/>
      <c r="G77" s="65"/>
      <c r="H77" s="65"/>
      <c r="I77" s="105"/>
      <c r="J77" s="65"/>
      <c r="K77" s="65"/>
      <c r="L77" s="65"/>
      <c r="M77" s="110"/>
      <c r="N77" s="65"/>
      <c r="O77" s="72"/>
      <c r="P77" s="86"/>
      <c r="Q77" s="86"/>
      <c r="R77" s="1156"/>
      <c r="S77" s="1156"/>
      <c r="T77" s="1156"/>
      <c r="U77" s="948" t="str">
        <f>IFERROR(SUM(Май202234[[#This Row],[сумма]]/Май202234[[#This Row],[м2]],IF(Май202234[[#This Row],[Отделка]]="Черновая",0,"")&amp;IF(Май202234[[#This Row],[Отделка]]="Предчистовая",-7000,"")&amp;IF(Май202234[[#This Row],[Отделка]]="Чистовая",-20000,""))*Май202234[[#This Row],[м2]],"")</f>
        <v/>
      </c>
    </row>
    <row r="78" spans="1:21">
      <c r="A78" s="65"/>
      <c r="B78" s="79"/>
      <c r="C78" s="79"/>
      <c r="D78" s="65"/>
      <c r="E78" s="65"/>
      <c r="F78" s="934"/>
      <c r="G78" s="65"/>
      <c r="H78" s="65"/>
      <c r="I78" s="105"/>
      <c r="J78" s="65"/>
      <c r="K78" s="65"/>
      <c r="L78" s="108"/>
      <c r="M78" s="110"/>
      <c r="N78" s="65"/>
      <c r="O78" s="72"/>
      <c r="P78" s="86"/>
      <c r="Q78" s="86"/>
      <c r="R78" s="86"/>
      <c r="S78" s="86"/>
      <c r="T78" s="86"/>
      <c r="U78" s="948"/>
    </row>
    <row r="79" spans="1:21">
      <c r="A79" s="2290" t="s">
        <v>713</v>
      </c>
      <c r="B79" s="2291"/>
      <c r="C79" s="972" t="s">
        <v>121</v>
      </c>
      <c r="D79" s="2295"/>
      <c r="E79" s="2296"/>
      <c r="F79" s="2296"/>
      <c r="G79" s="2296"/>
      <c r="H79" s="2296"/>
      <c r="I79" s="2296"/>
      <c r="J79" s="2296"/>
      <c r="K79" s="2296"/>
      <c r="L79" s="2296"/>
      <c r="M79" s="2296"/>
      <c r="N79" s="2296"/>
      <c r="O79" s="2296"/>
      <c r="P79" s="2296"/>
      <c r="Q79" s="86"/>
      <c r="R79" s="86"/>
      <c r="S79" s="86"/>
      <c r="T79" s="86"/>
    </row>
    <row r="80" spans="1:21" ht="25.5">
      <c r="A80" s="692" t="s">
        <v>1</v>
      </c>
      <c r="B80" s="686" t="s">
        <v>100</v>
      </c>
      <c r="C80" s="687" t="s">
        <v>97</v>
      </c>
      <c r="D80" s="688" t="s">
        <v>95</v>
      </c>
      <c r="E80" s="1033" t="s">
        <v>494</v>
      </c>
      <c r="F80" s="1033" t="s">
        <v>495</v>
      </c>
      <c r="G80" s="1033" t="s">
        <v>496</v>
      </c>
      <c r="H80" s="1034" t="s">
        <v>101</v>
      </c>
      <c r="I80" s="1023" t="s">
        <v>98</v>
      </c>
      <c r="J80" s="1023" t="s">
        <v>96</v>
      </c>
      <c r="K80" s="1023" t="s">
        <v>715</v>
      </c>
      <c r="L80" s="1060" t="s">
        <v>716</v>
      </c>
      <c r="M80" s="1087">
        <v>0</v>
      </c>
      <c r="N80" s="1033">
        <v>1</v>
      </c>
      <c r="O80" s="1033">
        <v>2</v>
      </c>
      <c r="P80" s="1033">
        <v>3</v>
      </c>
      <c r="Q80" s="1104">
        <v>4</v>
      </c>
      <c r="R80" s="950"/>
      <c r="S80" s="950"/>
      <c r="T80" s="950"/>
      <c r="U80" s="951"/>
    </row>
    <row r="81" spans="1:21">
      <c r="A81" s="1020" t="s">
        <v>73</v>
      </c>
      <c r="B81" s="1109">
        <v>200</v>
      </c>
      <c r="C81" s="939">
        <v>15517315.532</v>
      </c>
      <c r="D81" s="1069">
        <v>5</v>
      </c>
      <c r="E81" s="145">
        <f>SUMIFS(Май202234[м2],Май202234[МОП],$A81,Май202234[№ дома],$C$79)</f>
        <v>0</v>
      </c>
      <c r="F81" s="939">
        <f>SUMIFS(Май202234[сумма без отделки],Май202234[МОП],$A81,Май202234[№ дома],$C$79)</f>
        <v>0</v>
      </c>
      <c r="G81" s="1038">
        <f>COUNTIFS(Май202234[МОП],$A81,Май202234[№ дома],$C$79)</f>
        <v>0</v>
      </c>
      <c r="H81" s="148">
        <f>SUMIFS(РД[S],РД[Дом],$C$79,РД[МОП],A81,РД[Дата подачи на регистрацию],"&lt;="&amp;$A$1,РД[Дата подачи на регистрацию],"&gt;="&amp;DATE(YEAR($A$1),MONTH($A$1),1))</f>
        <v>0</v>
      </c>
      <c r="I81" s="149">
        <f>SUMIFS(РД[Стоимость без отделки итог],РД[Дом],$C$79,РД[МОП],A81,РД[Дата подачи на регистрацию],"&lt;="&amp;$A$1,РД[Дата подачи на регистрацию],"&gt;="&amp;DATE(YEAR($A$1),MONTH($A$1),1))</f>
        <v>0</v>
      </c>
      <c r="J81" s="220">
        <f>COUNTIFS(РД[Дом],$C$79,РД[МОП],A81,РД[Дата подачи на регистрацию],"&lt;="&amp;$A$1,РД[Дата подачи на регистрацию],"&gt;="&amp;DATE(YEAR($A$1),MONTH($A$1),1))</f>
        <v>0</v>
      </c>
      <c r="K81" s="943">
        <f t="shared" ref="K81:L84" si="0">IFERROR(H81/B81,"")</f>
        <v>0</v>
      </c>
      <c r="L81" s="1061">
        <f t="shared" si="0"/>
        <v>0</v>
      </c>
      <c r="M81" s="1088">
        <f>COUNTIFS(РД[Тип кв],M$80,РД[МОП],$A81,РД[Дом],$C$79,РД[Дата подачи на регистрацию],"&lt;="&amp;$A$1,РД[Дата подачи на регистрацию],"&gt;="&amp;DATE(YEAR($A$1),MONTH($A$1),1))</f>
        <v>0</v>
      </c>
      <c r="N81" s="1089">
        <f>COUNTIFS(РД[Тип кв],N$80,РД[МОП],$A81,РД[Дом],$C$79,РД[Дата подачи на регистрацию],"&lt;="&amp;$A$1,РД[Дата подачи на регистрацию],"&gt;="&amp;DATE(YEAR($A$1),MONTH($A$1),1))</f>
        <v>0</v>
      </c>
      <c r="O81" s="1089">
        <f>COUNTIFS(РД[Тип кв],O$80,РД[МОП],$A81,РД[Дом],$C$79,РД[Дата подачи на регистрацию],"&lt;="&amp;$A$1,РД[Дата подачи на регистрацию],"&gt;="&amp;DATE(YEAR($A$1),MONTH($A$1),1))</f>
        <v>0</v>
      </c>
      <c r="P81" s="1089">
        <f>COUNTIFS(РД[Тип кв],P$80,РД[МОП],$A81,РД[Дом],$C$79,РД[Дата подачи на регистрацию],"&lt;="&amp;$A$1,РД[Дата подачи на регистрацию],"&gt;="&amp;DATE(YEAR($A$1),MONTH($A$1),1))</f>
        <v>0</v>
      </c>
      <c r="Q81" s="1098">
        <f>COUNTIFS(РД[Тип кв],Q$80,РД[МОП],$A81,РД[Дом],$C$79,РД[Дата подачи на регистрацию],"&lt;="&amp;$A$1,РД[Дата подачи на регистрацию],"&gt;="&amp;DATE(YEAR($A$1),MONTH($A$1),1))</f>
        <v>0</v>
      </c>
      <c r="R81" s="949"/>
      <c r="S81" s="949"/>
      <c r="T81" s="949"/>
    </row>
    <row r="82" spans="1:21">
      <c r="A82" s="981" t="s">
        <v>77</v>
      </c>
      <c r="B82" s="1109">
        <v>153</v>
      </c>
      <c r="C82" s="939">
        <v>11870746.38198</v>
      </c>
      <c r="D82" s="1069">
        <v>3</v>
      </c>
      <c r="E82" s="145">
        <f>SUMIFS(Май202234[м2],Май202234[МОП],$A82,Май202234[№ дома],$C$79)</f>
        <v>0</v>
      </c>
      <c r="F82" s="939">
        <f>SUMIFS(Май202234[сумма без отделки],Май202234[МОП],$A82,Май202234[№ дома],$C$79)</f>
        <v>0</v>
      </c>
      <c r="G82" s="1038">
        <f>COUNTIFS(Май202234[МОП],$A82,Май202234[№ дома],$C$79)</f>
        <v>0</v>
      </c>
      <c r="H82" s="148">
        <f>SUMIFS(РД[S],РД[Дом],$C$79,РД[МОП],A82,РД[Дата подачи на регистрацию],"&lt;="&amp;$A$1,РД[Дата подачи на регистрацию],"&gt;="&amp;DATE(YEAR($A$1),MONTH($A$1),1))</f>
        <v>0</v>
      </c>
      <c r="I82" s="149">
        <f>SUMIFS(РД[Стоимость без отделки итог],РД[Дом],$C$79,РД[МОП],A82,РД[Дата подачи на регистрацию],"&lt;="&amp;$A$1,РД[Дата подачи на регистрацию],"&gt;="&amp;DATE(YEAR($A$1),MONTH($A$1),1))</f>
        <v>0</v>
      </c>
      <c r="J82" s="220">
        <f>COUNTIFS(РД[Дом],$C$79,РД[МОП],A82,РД[Дата подачи на регистрацию],"&lt;="&amp;$A$1,РД[Дата подачи на регистрацию],"&gt;="&amp;DATE(YEAR($A$1),MONTH($A$1),1))</f>
        <v>0</v>
      </c>
      <c r="K82" s="987">
        <f t="shared" si="0"/>
        <v>0</v>
      </c>
      <c r="L82" s="1062">
        <f t="shared" si="0"/>
        <v>0</v>
      </c>
      <c r="M82" s="1090">
        <f>COUNTIFS(РД[Тип кв],M$80,РД[МОП],$A82,РД[Дом],$C$79,РД[Дата подачи на регистрацию],"&lt;="&amp;$A$1,РД[Дата подачи на регистрацию],"&gt;="&amp;DATE(YEAR($A$1),MONTH($A$1),1))</f>
        <v>0</v>
      </c>
      <c r="N82" s="339">
        <f>COUNTIFS(РД[Тип кв],N$80,РД[МОП],$A82,РД[Дом],$C$79,РД[Дата подачи на регистрацию],"&lt;="&amp;$A$1,РД[Дата подачи на регистрацию],"&gt;="&amp;DATE(YEAR($A$1),MONTH($A$1),1))</f>
        <v>0</v>
      </c>
      <c r="O82" s="339">
        <f>COUNTIFS(РД[Тип кв],O$80,РД[МОП],$A82,РД[Дом],$C$79,РД[Дата подачи на регистрацию],"&lt;="&amp;$A$1,РД[Дата подачи на регистрацию],"&gt;="&amp;DATE(YEAR($A$1),MONTH($A$1),1))</f>
        <v>0</v>
      </c>
      <c r="P82" s="339">
        <f>COUNTIFS(РД[Тип кв],P$80,РД[МОП],$A82,РД[Дом],$C$79,РД[Дата подачи на регистрацию],"&lt;="&amp;$A$1,РД[Дата подачи на регистрацию],"&gt;="&amp;DATE(YEAR($A$1),MONTH($A$1),1))</f>
        <v>0</v>
      </c>
      <c r="Q82" s="1099">
        <f>COUNTIFS(РД[Тип кв],Q$80,РД[МОП],$A82,РД[Дом],$C$79,РД[Дата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1042" t="s">
        <v>63</v>
      </c>
      <c r="B83" s="1109">
        <v>220</v>
      </c>
      <c r="C83" s="939">
        <v>17069047.085200001</v>
      </c>
      <c r="D83" s="1069">
        <v>5</v>
      </c>
      <c r="E83" s="145">
        <f>SUMIFS(Май202234[м2],Май202234[МОП],$A83,Май202234[№ дома],$C$79)</f>
        <v>0</v>
      </c>
      <c r="F83" s="939">
        <f>SUMIFS(Май202234[сумма без отделки],Май202234[МОП],$A83,Май202234[№ дома],$C$79)</f>
        <v>0</v>
      </c>
      <c r="G83" s="1038">
        <f>COUNTIFS(Май202234[МОП],$A83,Май202234[№ дома],$C$79)</f>
        <v>0</v>
      </c>
      <c r="H83" s="148">
        <f>SUMIFS(РД[S],РД[Дом],$C$79,РД[МОП],A83,РД[Дата подачи на регистрацию],"&lt;="&amp;$A$1,РД[Дата подачи на регистрацию],"&gt;="&amp;DATE(YEAR($A$1),MONTH($A$1),1))</f>
        <v>0</v>
      </c>
      <c r="I83" s="149">
        <f>SUMIFS(РД[Стоимость без отделки итог],РД[Дом],$C$79,РД[МОП],A83,РД[Дата подачи на регистрацию],"&lt;="&amp;$A$1,РД[Дата подачи на регистрацию],"&gt;="&amp;DATE(YEAR($A$1),MONTH($A$1),1))</f>
        <v>0</v>
      </c>
      <c r="J83" s="220">
        <f>COUNTIFS(РД[Дом],$C$79,РД[МОП],A83,РД[Дата подачи на регистрацию],"&lt;="&amp;$A$1,РД[Дата подачи на регистрацию],"&gt;="&amp;DATE(YEAR($A$1),MONTH($A$1),1))</f>
        <v>0</v>
      </c>
      <c r="K83" s="1063">
        <f t="shared" si="0"/>
        <v>0</v>
      </c>
      <c r="L83" s="1064">
        <f t="shared" si="0"/>
        <v>0</v>
      </c>
      <c r="M83" s="1100">
        <f>COUNTIFS(РД[Тип кв],M$80,РД[МОП],$A83,РД[Дом],$C$79,РД[Дата подачи на регистрацию],"&lt;="&amp;$A$1,РД[Дата подачи на регистрацию],"&gt;="&amp;DATE(YEAR($A$1),MONTH($A$1),1))</f>
        <v>0</v>
      </c>
      <c r="N83" s="1101">
        <f>COUNTIFS(РД[Тип кв],N$80,РД[МОП],$A83,РД[Дом],$C$79,РД[Дата подачи на регистрацию],"&lt;="&amp;$A$1,РД[Дата подачи на регистрацию],"&gt;="&amp;DATE(YEAR($A$1),MONTH($A$1),1))</f>
        <v>0</v>
      </c>
      <c r="O83" s="1101">
        <f>COUNTIFS(РД[Тип кв],O$80,РД[МОП],$A83,РД[Дом],$C$79,РД[Дата подачи на регистрацию],"&lt;="&amp;$A$1,РД[Дата подачи на регистрацию],"&gt;="&amp;DATE(YEAR($A$1),MONTH($A$1),1))</f>
        <v>0</v>
      </c>
      <c r="P83" s="1101">
        <f>COUNTIFS(РД[Тип кв],P$80,РД[МОП],$A83,РД[Дом],$C$79,РД[Дата подачи на регистрацию],"&lt;="&amp;$A$1,РД[Дата подачи на регистрацию],"&gt;="&amp;DATE(YEAR($A$1),MONTH($A$1),1))</f>
        <v>0</v>
      </c>
      <c r="Q83" s="1102">
        <f>COUNTIFS(РД[Тип кв],Q$80,РД[МОП],$A83,РД[Дом],$C$79,РД[Дата подачи на регистрацию],"&lt;="&amp;$A$1,РД[Дата подачи на регистрацию],"&gt;="&amp;DATE(YEAR($A$1),MONTH($A$1),1))</f>
        <v>0</v>
      </c>
      <c r="R83" s="949"/>
      <c r="S83" s="949"/>
      <c r="T83" s="949"/>
    </row>
    <row r="84" spans="1:21">
      <c r="A84" s="984" t="s">
        <v>114</v>
      </c>
      <c r="B84" s="1195">
        <v>573</v>
      </c>
      <c r="C84" s="1196">
        <v>44457108.999179997</v>
      </c>
      <c r="D84" s="1162">
        <v>13</v>
      </c>
      <c r="E84" s="1123">
        <f t="shared" ref="E84:J84" si="1">SUM(E81:E83)</f>
        <v>0</v>
      </c>
      <c r="F84" s="1163">
        <f t="shared" si="1"/>
        <v>0</v>
      </c>
      <c r="G84" s="1164">
        <f t="shared" si="1"/>
        <v>0</v>
      </c>
      <c r="H84" s="906">
        <f t="shared" si="1"/>
        <v>0</v>
      </c>
      <c r="I84" s="1124">
        <f t="shared" si="1"/>
        <v>0</v>
      </c>
      <c r="J84" s="1123">
        <f t="shared" si="1"/>
        <v>0</v>
      </c>
      <c r="K84" s="1140">
        <f t="shared" si="0"/>
        <v>0</v>
      </c>
      <c r="L84" s="1141">
        <f t="shared" si="0"/>
        <v>0</v>
      </c>
      <c r="M84" s="906">
        <f>SUM(M81:M83)</f>
        <v>0</v>
      </c>
      <c r="N84" s="1123">
        <f>SUM(N81:N83)</f>
        <v>0</v>
      </c>
      <c r="O84" s="1123">
        <f>SUM(O81:O83)</f>
        <v>0</v>
      </c>
      <c r="P84" s="1185">
        <f>SUM(P81:P83)</f>
        <v>0</v>
      </c>
      <c r="Q84" s="1167">
        <f>SUM(Q81:Q83)</f>
        <v>0</v>
      </c>
      <c r="R84" s="949"/>
      <c r="S84" s="949"/>
      <c r="T84" s="949"/>
    </row>
    <row r="85" spans="1:21" ht="25.5">
      <c r="A85" s="692" t="s">
        <v>115</v>
      </c>
      <c r="B85" s="686" t="s">
        <v>100</v>
      </c>
      <c r="C85" s="693" t="s">
        <v>97</v>
      </c>
      <c r="D85" s="688" t="s">
        <v>95</v>
      </c>
      <c r="E85" s="1033" t="s">
        <v>494</v>
      </c>
      <c r="F85" s="1033" t="s">
        <v>495</v>
      </c>
      <c r="G85" s="1104" t="s">
        <v>496</v>
      </c>
      <c r="H85" s="1034" t="s">
        <v>101</v>
      </c>
      <c r="I85" s="1023" t="s">
        <v>98</v>
      </c>
      <c r="J85" s="1023" t="s">
        <v>96</v>
      </c>
      <c r="K85" s="1186" t="s">
        <v>715</v>
      </c>
      <c r="L85" s="1187" t="s">
        <v>716</v>
      </c>
      <c r="M85" s="1087">
        <v>0</v>
      </c>
      <c r="N85" s="1033">
        <v>1</v>
      </c>
      <c r="O85" s="1033">
        <v>2</v>
      </c>
      <c r="P85" s="1033">
        <v>3</v>
      </c>
      <c r="Q85" s="1104">
        <v>4</v>
      </c>
      <c r="R85" s="950"/>
      <c r="S85" s="950"/>
      <c r="T85" s="950"/>
      <c r="U85" s="951"/>
    </row>
    <row r="86" spans="1:21">
      <c r="A86" s="1020" t="s">
        <v>16</v>
      </c>
      <c r="B86" s="1197">
        <v>401.1</v>
      </c>
      <c r="C86" s="939">
        <v>31119976.300000001</v>
      </c>
      <c r="D86" s="1069">
        <v>9</v>
      </c>
      <c r="E86" s="1129">
        <f>SUMIFS(Май202234[м2],Май202234[ИМ],A86,Май202234[№ дома],$C$79)</f>
        <v>0</v>
      </c>
      <c r="F86" s="149">
        <f>SUMIFS(Май202234[сумма без отделки],Май202234[ИМ],$A86,Май202234[№ дома],$C$79)</f>
        <v>0</v>
      </c>
      <c r="G86" s="940">
        <f>COUNTIFS(Май202234[ИМ],$A86,Май202234[№ дома],$C$79)</f>
        <v>0</v>
      </c>
      <c r="H86" s="148">
        <f>SUMIFS(РД[S],РД[Дом],$C$79,РД[ИМ],A86,РД[Дата подачи на регистрацию],"&lt;="&amp;$A$1,РД[Дата подачи на регистрацию],"&gt;="&amp;DATE(YEAR($A$1),MONTH($A$1),1))</f>
        <v>0</v>
      </c>
      <c r="I86" s="149">
        <f>SUMIFS(РД[Стоимость без отделки итог],РД[Дом],$C$79,РД[ИМ],A86,РД[Дата подачи на регистрацию],"&lt;="&amp;$A$1,РД[Дата подачи на регистрацию],"&gt;="&amp;DATE(YEAR($A$1),MONTH($A$1),1))</f>
        <v>0</v>
      </c>
      <c r="J86" s="220">
        <f>COUNTIFS(РД[Дом],$C$79,РД[ИМ],A86,РД[Дата подачи на регистрацию],"&lt;="&amp;$A$1,РД[Дата подачи на регистрацию],"&gt;="&amp;DATE(YEAR($A$1),MONTH($A$1),1))</f>
        <v>0</v>
      </c>
      <c r="K86" s="943">
        <f>IFERROR(H86/B86,"")</f>
        <v>0</v>
      </c>
      <c r="L86" s="1061">
        <f>IFERROR(I86/C86,"")</f>
        <v>0</v>
      </c>
      <c r="M86" s="1100">
        <f>COUNTIFS(РД[Тип кв],M$80,РД[ИМ],$A86,РД[Дом],$C$79,РД[Дата подачи на регистрацию],"&lt;="&amp;$A$1,РД[Дата подачи на регистрацию],"&gt;="&amp;DATE(YEAR($A$1),MONTH($A$1),1))</f>
        <v>0</v>
      </c>
      <c r="N86" s="1101">
        <f>COUNTIFS(РД[Тип кв],N$80,РД[ИМ],$A86,РД[Дом],$C$79,РД[Дата подачи на регистрацию],"&lt;="&amp;$A$1,РД[Дата подачи на регистрацию],"&gt;="&amp;DATE(YEAR($A$1),MONTH($A$1),1))</f>
        <v>0</v>
      </c>
      <c r="O86" s="1101">
        <f>COUNTIFS(РД[Тип кв],O$80,РД[ИМ],$A86,РД[Дом],$C$79,РД[Дата подачи на регистрацию],"&lt;="&amp;$A$1,РД[Дата подачи на регистрацию],"&gt;="&amp;DATE(YEAR($A$1),MONTH($A$1),1))</f>
        <v>0</v>
      </c>
      <c r="P86" s="1101">
        <f>COUNTIFS(РД[Тип кв],P$80,РД[ИМ],$A86,РД[Дом],$C$79,РД[Дата подачи на регистрацию],"&lt;="&amp;$A$1,РД[Дата подачи на регистрацию],"&gt;="&amp;DATE(YEAR($A$1),MONTH($A$1),1))</f>
        <v>0</v>
      </c>
      <c r="Q86" s="1102">
        <f>COUNTIFS(РД[Тип кв],Q$80,РД[ИМ],$A86,РД[Дом],$C$79,РД[Дата подачи на регистрацию],"&lt;="&amp;$A$1,РД[Дата подачи на регистрацию],"&gt;="&amp;DATE(YEAR($A$1),MONTH($A$1),1))</f>
        <v>0</v>
      </c>
      <c r="R86" s="949"/>
      <c r="S86" s="949"/>
      <c r="T86" s="949"/>
    </row>
    <row r="87" spans="1:21">
      <c r="A87" s="906" t="s">
        <v>114</v>
      </c>
      <c r="B87" s="1198">
        <v>401.1</v>
      </c>
      <c r="C87" s="1165">
        <v>31119976.300000001</v>
      </c>
      <c r="D87" s="1166">
        <v>9</v>
      </c>
      <c r="E87" s="1123">
        <f t="shared" ref="E87:J87" si="2">SUM(E86:E86)</f>
        <v>0</v>
      </c>
      <c r="F87" s="1124">
        <f t="shared" si="2"/>
        <v>0</v>
      </c>
      <c r="G87" s="1167">
        <f t="shared" si="2"/>
        <v>0</v>
      </c>
      <c r="H87" s="906">
        <f t="shared" si="2"/>
        <v>0</v>
      </c>
      <c r="I87" s="1123">
        <f t="shared" si="2"/>
        <v>0</v>
      </c>
      <c r="J87" s="1123">
        <f t="shared" si="2"/>
        <v>0</v>
      </c>
      <c r="K87" s="1199">
        <f>IFERROR(H87/B87,"")</f>
        <v>0</v>
      </c>
      <c r="L87" s="1200">
        <f>IFERROR(I87/C87,"")</f>
        <v>0</v>
      </c>
      <c r="M87" s="1123">
        <f>SUM(M86:M86)</f>
        <v>0</v>
      </c>
      <c r="N87" s="1123">
        <f>SUM(N86:N86)</f>
        <v>0</v>
      </c>
      <c r="O87" s="1123">
        <f>SUM(O86:O86)</f>
        <v>0</v>
      </c>
      <c r="P87" s="1123">
        <f>SUM(P86:P86)</f>
        <v>0</v>
      </c>
      <c r="Q87" s="1167">
        <f>SUM(Q86:Q86)</f>
        <v>0</v>
      </c>
      <c r="R87" s="65"/>
      <c r="S87" s="65"/>
      <c r="T87" s="65"/>
      <c r="U87" s="339"/>
    </row>
    <row r="88" spans="1:21">
      <c r="A88" s="7"/>
      <c r="B88" s="968"/>
      <c r="C88" s="968"/>
      <c r="D88" s="7"/>
      <c r="E88" s="7"/>
      <c r="F88" s="7"/>
      <c r="G88" s="7"/>
      <c r="H88" s="134"/>
      <c r="I88" s="134"/>
      <c r="J88" s="134"/>
      <c r="K88" s="7"/>
      <c r="L88" s="994"/>
      <c r="M88" s="134"/>
      <c r="N88" s="134"/>
      <c r="O88" s="134"/>
      <c r="P88" s="262"/>
      <c r="Q88" s="134"/>
      <c r="R88" s="949"/>
      <c r="S88" s="949"/>
      <c r="T88" s="949"/>
    </row>
    <row r="89" spans="1:21">
      <c r="A89" s="2290" t="s">
        <v>713</v>
      </c>
      <c r="B89" s="2291"/>
      <c r="C89" s="935" t="s">
        <v>27</v>
      </c>
      <c r="D89" s="2292"/>
      <c r="E89" s="2292"/>
      <c r="F89" s="2292"/>
      <c r="G89" s="2292"/>
      <c r="H89" s="2292"/>
      <c r="I89" s="2292"/>
      <c r="J89" s="2292"/>
      <c r="K89" s="2292"/>
      <c r="L89" s="2292"/>
      <c r="M89" s="2292"/>
      <c r="N89" s="2292"/>
      <c r="O89" s="2292"/>
      <c r="P89" s="2292"/>
      <c r="Q89" s="7"/>
      <c r="R89" s="949"/>
      <c r="S89" s="949"/>
      <c r="T89" s="949"/>
    </row>
    <row r="90" spans="1:21" ht="25.5">
      <c r="A90" s="692" t="s">
        <v>1</v>
      </c>
      <c r="B90" s="686" t="s">
        <v>100</v>
      </c>
      <c r="C90" s="688" t="s">
        <v>97</v>
      </c>
      <c r="D90" s="688" t="s">
        <v>95</v>
      </c>
      <c r="E90" s="1022" t="s">
        <v>494</v>
      </c>
      <c r="F90" s="138" t="s">
        <v>495</v>
      </c>
      <c r="G90" s="139" t="s">
        <v>496</v>
      </c>
      <c r="H90" s="140" t="s">
        <v>101</v>
      </c>
      <c r="I90" s="141" t="s">
        <v>98</v>
      </c>
      <c r="J90" s="141" t="s">
        <v>96</v>
      </c>
      <c r="K90" s="141" t="s">
        <v>715</v>
      </c>
      <c r="L90" s="1026" t="s">
        <v>716</v>
      </c>
      <c r="M90" s="1092">
        <v>0</v>
      </c>
      <c r="N90" s="1044">
        <v>1</v>
      </c>
      <c r="O90" s="1044">
        <v>2</v>
      </c>
      <c r="P90" s="1044">
        <v>3</v>
      </c>
      <c r="Q90" s="1045">
        <v>4</v>
      </c>
      <c r="R90" s="950"/>
      <c r="S90" s="950"/>
      <c r="T90" s="950"/>
      <c r="U90" s="951"/>
    </row>
    <row r="91" spans="1:21">
      <c r="A91" s="1035" t="s">
        <v>73</v>
      </c>
      <c r="B91" s="1126">
        <v>450</v>
      </c>
      <c r="C91" s="1059">
        <v>32577124.054499999</v>
      </c>
      <c r="D91" s="1074">
        <v>11</v>
      </c>
      <c r="E91" s="145">
        <f>SUMIFS(Май202234[м2],Май202234[МОП],$A91,Май202234[№ дома],$C$89)</f>
        <v>398.84000000000003</v>
      </c>
      <c r="F91" s="939">
        <f>SUMIFS(Май202234[сумма без отделки],Май202234[МОП],$A91,Май202234[№ дома],$C$89)</f>
        <v>32166936.449999999</v>
      </c>
      <c r="G91" s="940">
        <f>COUNTIFS(Май202234[МОП],$A91,Май202234[№ дома],$C$89)</f>
        <v>8</v>
      </c>
      <c r="H91" s="148">
        <f>SUMIFS(РД[S],РД[Дом],$C$89,РД[МОП],A91,РД[Дата подачи на регистрацию],"&lt;="&amp;$A$1,РД[Дата подачи на регистрацию],"&gt;="&amp;DATE(YEAR($A$1),MONTH($A$1),1))</f>
        <v>398.84000000000003</v>
      </c>
      <c r="I91" s="149">
        <f>SUMIFS(РД[Стоимость без отделки итог],РД[Дом],$C$89,РД[МОП],A91,РД[Дата подачи на регистрацию],"&lt;="&amp;$A$1,РД[Дата подачи на регистрацию],"&gt;="&amp;DATE(YEAR($A$1),MONTH($A$1),1))</f>
        <v>32166936.449999999</v>
      </c>
      <c r="J91" s="220">
        <f>COUNTIFS(РД[Дом],$C$89,РД[МОП],A91,РД[Дата подачи на регистрацию],"&lt;="&amp;$A$1,РД[Дата подачи на регистрацию],"&gt;="&amp;DATE(YEAR($A$1),MONTH($A$1),1))</f>
        <v>8</v>
      </c>
      <c r="K91" s="943">
        <f t="shared" ref="K91:L94" si="3">IFERROR(H91/B91,"")</f>
        <v>0.88631111111111116</v>
      </c>
      <c r="L91" s="944">
        <f t="shared" si="3"/>
        <v>0.98740872264188284</v>
      </c>
      <c r="M91" s="1088">
        <f>COUNTIFS(РД[Тип кв],M$90,РД[МОП],$A91,РД[Дом],$C$89,РД[Дата подачи на регистрацию],"&lt;="&amp;$A$1,РД[Дата подачи на регистрацию],"&gt;="&amp;DATE(YEAR($A$1),MONTH($A$1),1))</f>
        <v>1</v>
      </c>
      <c r="N91" s="1089">
        <f>COUNTIFS(РД[Тип кв],N$90,РД[МОП],$A91,РД[Дом],$C$89,РД[Дата подачи на регистрацию],"&lt;="&amp;$A$1,РД[Дата подачи на регистрацию],"&gt;="&amp;DATE(YEAR($A$1),MONTH($A$1),1))</f>
        <v>3</v>
      </c>
      <c r="O91" s="1089">
        <f>COUNTIFS(РД[Тип кв],O$90,РД[МОП],$A91,РД[Дом],$C$89,РД[Дата подачи на регистрацию],"&lt;="&amp;$A$1,РД[Дата подачи на регистрацию],"&gt;="&amp;DATE(YEAR($A$1),MONTH($A$1),1))</f>
        <v>3</v>
      </c>
      <c r="P91" s="1089">
        <f>COUNTIFS(РД[Тип кв],P$90,РД[МОП],$A91,РД[Дом],$C$89,РД[Дата подачи на регистрацию],"&lt;="&amp;$A$1,РД[Дата подачи на регистрацию],"&gt;="&amp;DATE(YEAR($A$1),MONTH($A$1),1))</f>
        <v>1</v>
      </c>
      <c r="Q91" s="1098">
        <f>COUNTIFS(РД[Тип кв],Q$90,РД[МОП],$A91,РД[Дом],$C$89,РД[Дата подачи на регистрацию],"&lt;="&amp;$A$1,РД[Дата подачи на регистрацию],"&gt;="&amp;DATE(YEAR($A$1),MONTH($A$1),1))</f>
        <v>0</v>
      </c>
      <c r="R91" s="949"/>
      <c r="S91" s="949"/>
      <c r="T91" s="949"/>
    </row>
    <row r="92" spans="1:21">
      <c r="A92" s="1039" t="s">
        <v>77</v>
      </c>
      <c r="B92" s="1127">
        <v>406</v>
      </c>
      <c r="C92" s="954">
        <v>29391805.258060001</v>
      </c>
      <c r="D92" s="1041">
        <v>10</v>
      </c>
      <c r="E92" s="145">
        <f>SUMIFS(Май202234[м2],Май202234[МОП],$A92,Май202234[№ дома],$C$89)</f>
        <v>217.71</v>
      </c>
      <c r="F92" s="939">
        <f>SUMIFS(Май202234[сумма без отделки],Май202234[МОП],$A92,Май202234[№ дома],$C$89)</f>
        <v>18352105.090000004</v>
      </c>
      <c r="G92" s="940">
        <f>COUNTIFS(Май202234[МОП],$A92,Май202234[№ дома],$C$89)</f>
        <v>5</v>
      </c>
      <c r="H92" s="148">
        <f>SUMIFS(РД[S],РД[Дом],$C$89,РД[МОП],A92,РД[Дата подачи на регистрацию],"&lt;="&amp;$A$1,РД[Дата подачи на регистрацию],"&gt;="&amp;DATE(YEAR($A$1),MONTH($A$1),1))</f>
        <v>217.70999999999998</v>
      </c>
      <c r="I92" s="149">
        <f>SUMIFS(РД[Стоимость без отделки итог],РД[Дом],$C$89,РД[МОП],A92,РД[Дата подачи на регистрацию],"&lt;="&amp;$A$1,РД[Дата подачи на регистрацию],"&gt;="&amp;DATE(YEAR($A$1),MONTH($A$1),1))</f>
        <v>17820944.869999997</v>
      </c>
      <c r="J92" s="220">
        <f>COUNTIFS(РД[Дом],$C$89,РД[МОП],A92,РД[Дата подачи на регистрацию],"&lt;="&amp;$A$1,РД[Дата подачи на регистрацию],"&gt;="&amp;DATE(YEAR($A$1),MONTH($A$1),1))</f>
        <v>5</v>
      </c>
      <c r="K92" s="987">
        <f t="shared" si="3"/>
        <v>0.53623152709359601</v>
      </c>
      <c r="L92" s="988">
        <f t="shared" si="3"/>
        <v>0.60632358963772837</v>
      </c>
      <c r="M92" s="1090">
        <f>COUNTIFS(РД[Тип кв],M$90,РД[МОП],$A92,РД[Дом],$C$89,РД[Дата подачи на регистрацию],"&lt;="&amp;$A$1,РД[Дата подачи на регистрацию],"&gt;="&amp;DATE(YEAR($A$1),MONTH($A$1),1))</f>
        <v>1</v>
      </c>
      <c r="N92" s="339">
        <f>COUNTIFS(РД[Тип кв],N$90,РД[МОП],$A92,РД[Дом],$C$89,РД[Дата подачи на регистрацию],"&lt;="&amp;$A$1,РД[Дата подачи на регистрацию],"&gt;="&amp;DATE(YEAR($A$1),MONTH($A$1),1))</f>
        <v>2</v>
      </c>
      <c r="O92" s="339">
        <f>COUNTIFS(РД[Тип кв],O$90,РД[МОП],$A92,РД[Дом],$C$89,РД[Дата подачи на регистрацию],"&lt;="&amp;$A$1,РД[Дата подачи на регистрацию],"&gt;="&amp;DATE(YEAR($A$1),MONTH($A$1),1))</f>
        <v>2</v>
      </c>
      <c r="P92" s="339">
        <f>COUNTIFS(РД[Тип кв],P$90,РД[МОП],$A92,РД[Дом],$C$89,РД[Дата подачи на регистрацию],"&lt;="&amp;$A$1,РД[Дата подачи на регистрацию],"&gt;="&amp;DATE(YEAR($A$1),MONTH($A$1),1))</f>
        <v>0</v>
      </c>
      <c r="Q92" s="1099">
        <f>COUNTIFS(РД[Тип кв],Q$90,РД[МОП],$A92,РД[Дом],$C$89,РД[Дата подачи на регистрацию],"&lt;="&amp;$A$1,РД[Дата подачи на регистрацию],"&gt;="&amp;DATE(YEAR($A$1),MONTH($A$1),1))</f>
        <v>0</v>
      </c>
      <c r="R92" s="949"/>
      <c r="S92" s="949"/>
      <c r="T92" s="949"/>
    </row>
    <row r="93" spans="1:21">
      <c r="A93" s="1110" t="s">
        <v>63</v>
      </c>
      <c r="B93" s="1128">
        <v>520</v>
      </c>
      <c r="C93" s="958">
        <v>37644676.685199998</v>
      </c>
      <c r="D93" s="1054">
        <v>13</v>
      </c>
      <c r="E93" s="145">
        <f>SUMIFS(Май202234[м2],Май202234[МОП],$A93,Май202234[№ дома],$C$89)</f>
        <v>121.61999999999999</v>
      </c>
      <c r="F93" s="939">
        <f>SUMIFS(Май202234[сумма без отделки],Май202234[МОП],$A93,Май202234[№ дома],$C$89)</f>
        <v>9337101.8200000003</v>
      </c>
      <c r="G93" s="940">
        <f>COUNTIFS(Май202234[МОП],$A93,Май202234[№ дома],$C$89)</f>
        <v>2</v>
      </c>
      <c r="H93" s="148">
        <f>SUMIFS(РД[S],РД[Дом],$C$89,РД[МОП],A93,РД[Дата подачи на регистрацию],"&lt;="&amp;$A$1,РД[Дата подачи на регистрацию],"&gt;="&amp;DATE(YEAR($A$1),MONTH($A$1),1))</f>
        <v>121.61999999999999</v>
      </c>
      <c r="I93" s="149">
        <f>SUMIFS(РД[Стоимость без отделки итог],РД[Дом],$C$89,РД[МОП],A93,РД[Дата подачи на регистрацию],"&lt;="&amp;$A$1,РД[Дата подачи на регистрацию],"&gt;="&amp;DATE(YEAR($A$1),MONTH($A$1),1))</f>
        <v>8758131.75</v>
      </c>
      <c r="J93" s="220">
        <f>COUNTIFS(РД[Дом],$C$89,РД[МОП],A93,РД[Дата подачи на регистрацию],"&lt;="&amp;$A$1,РД[Дата подачи на регистрацию],"&gt;="&amp;DATE(YEAR($A$1),MONTH($A$1),1))</f>
        <v>2</v>
      </c>
      <c r="K93" s="1063">
        <f t="shared" si="3"/>
        <v>0.23388461538461536</v>
      </c>
      <c r="L93" s="1065">
        <f t="shared" si="3"/>
        <v>0.23265259583018968</v>
      </c>
      <c r="M93" s="1100">
        <f>COUNTIFS(РД[Тип кв],M$90,РД[МОП],$A93,РД[Дом],$C$89,РД[Дата подачи на регистрацию],"&lt;="&amp;$A$1,РД[Дата подачи на регистрацию],"&gt;="&amp;DATE(YEAR($A$1),MONTH($A$1),1))</f>
        <v>0</v>
      </c>
      <c r="N93" s="1101">
        <f>COUNTIFS(РД[Тип кв],N$90,РД[МОП],$A93,РД[Дом],$C$89,РД[Дата подачи на регистрацию],"&lt;="&amp;$A$1,РД[Дата подачи на регистрацию],"&gt;="&amp;DATE(YEAR($A$1),MONTH($A$1),1))</f>
        <v>1</v>
      </c>
      <c r="O93" s="1101">
        <f>COUNTIFS(РД[Тип кв],O$90,РД[МОП],$A93,РД[Дом],$C$89,РД[Дата подачи на регистрацию],"&lt;="&amp;$A$1,РД[Дата подачи на регистрацию],"&gt;="&amp;DATE(YEAR($A$1),MONTH($A$1),1))</f>
        <v>0</v>
      </c>
      <c r="P93" s="1101">
        <f>COUNTIFS(РД[Тип кв],P$90,РД[МОП],$A93,РД[Дом],$C$89,РД[Дата подачи на регистрацию],"&lt;="&amp;$A$1,РД[Дата подачи на регистрацию],"&gt;="&amp;DATE(YEAR($A$1),MONTH($A$1),1))</f>
        <v>1</v>
      </c>
      <c r="Q93" s="1102">
        <f>COUNTIFS(РД[Тип кв],Q$90,РД[МОП],$A93,РД[Дом],$C$89,РД[Дата подачи на регистрацию],"&lt;="&amp;$A$1,РД[Дата подачи на регистрацию],"&gt;="&amp;DATE(YEAR($A$1),MONTH($A$1),1))</f>
        <v>0</v>
      </c>
      <c r="R93" s="949"/>
      <c r="S93" s="949"/>
      <c r="T93" s="949"/>
    </row>
    <row r="94" spans="1:21">
      <c r="A94" s="984" t="s">
        <v>114</v>
      </c>
      <c r="B94" s="1195">
        <v>1376</v>
      </c>
      <c r="C94" s="1196">
        <v>99613605.997759998</v>
      </c>
      <c r="D94" s="1162">
        <v>34</v>
      </c>
      <c r="E94" s="1168">
        <f t="shared" ref="E94:J94" si="4">SUM(E91:E93)</f>
        <v>738.17000000000007</v>
      </c>
      <c r="F94" s="1169">
        <f t="shared" si="4"/>
        <v>59856143.360000007</v>
      </c>
      <c r="G94" s="1170">
        <f t="shared" si="4"/>
        <v>15</v>
      </c>
      <c r="H94" s="1171">
        <f t="shared" si="4"/>
        <v>738.17</v>
      </c>
      <c r="I94" s="1165">
        <f t="shared" si="4"/>
        <v>58746013.069999993</v>
      </c>
      <c r="J94" s="1182">
        <f t="shared" si="4"/>
        <v>15</v>
      </c>
      <c r="K94" s="1201">
        <f t="shared" si="3"/>
        <v>0.53646075581395347</v>
      </c>
      <c r="L94" s="1202">
        <f t="shared" si="3"/>
        <v>0.58973884623071482</v>
      </c>
      <c r="M94" s="513">
        <f>SUM(M91:M93)</f>
        <v>2</v>
      </c>
      <c r="N94" s="1188">
        <f>SUM(N91:N93)</f>
        <v>6</v>
      </c>
      <c r="O94" s="1188">
        <f>SUM(O91:O93)</f>
        <v>5</v>
      </c>
      <c r="P94" s="1189">
        <f>SUM(P91:P93)</f>
        <v>2</v>
      </c>
      <c r="Q94" s="1194">
        <f>SUM(Q91:Q93)</f>
        <v>0</v>
      </c>
      <c r="R94" s="949"/>
      <c r="S94" s="949"/>
      <c r="T94" s="949"/>
    </row>
    <row r="95" spans="1:21" ht="25.5">
      <c r="A95" s="692" t="s">
        <v>115</v>
      </c>
      <c r="B95" s="686" t="s">
        <v>100</v>
      </c>
      <c r="C95" s="693" t="s">
        <v>97</v>
      </c>
      <c r="D95" s="688" t="s">
        <v>95</v>
      </c>
      <c r="E95" s="1051" t="s">
        <v>494</v>
      </c>
      <c r="F95" s="138" t="s">
        <v>495</v>
      </c>
      <c r="G95" s="139" t="s">
        <v>496</v>
      </c>
      <c r="H95" s="140" t="s">
        <v>101</v>
      </c>
      <c r="I95" s="141" t="s">
        <v>98</v>
      </c>
      <c r="J95" s="141" t="s">
        <v>96</v>
      </c>
      <c r="K95" s="495" t="s">
        <v>715</v>
      </c>
      <c r="L95" s="1027" t="s">
        <v>716</v>
      </c>
      <c r="M95" s="1087">
        <v>0</v>
      </c>
      <c r="N95" s="1033">
        <v>1</v>
      </c>
      <c r="O95" s="1033">
        <v>2</v>
      </c>
      <c r="P95" s="1033">
        <v>3</v>
      </c>
      <c r="Q95" s="1104">
        <v>4</v>
      </c>
      <c r="R95" s="950"/>
      <c r="S95" s="950"/>
      <c r="T95" s="950"/>
      <c r="U95" s="951"/>
    </row>
    <row r="96" spans="1:21">
      <c r="A96" s="1035" t="s">
        <v>16</v>
      </c>
      <c r="B96" s="1197">
        <v>963.2</v>
      </c>
      <c r="C96" s="939">
        <v>69729524.200000003</v>
      </c>
      <c r="D96" s="1069">
        <v>24</v>
      </c>
      <c r="E96" s="1129">
        <f>SUMIFS(Май202234[м2],Май202234[ИМ],A96,Май202234[№ дома],$C$89)</f>
        <v>659.17000000000007</v>
      </c>
      <c r="F96" s="149">
        <f>SUMIFS(Май202234[сумма без отделки],Май202234[ИМ],$A96,Май202234[№ дома],$C$89)</f>
        <v>53069998.860000007</v>
      </c>
      <c r="G96" s="940">
        <f>COUNTIFS(Май202234[ИМ],$A96,Май202234[№ дома],$C$89)</f>
        <v>13</v>
      </c>
      <c r="H96" s="148">
        <f>SUMIFS(РД[S],РД[Дом],$C$89,РД[ИМ],A96,РД[Дата подачи на регистрацию],"&lt;="&amp;$A$1,РД[Дата подачи на регистрацию],"&gt;="&amp;DATE(YEAR($A$1),MONTH($A$1),1))</f>
        <v>659.17</v>
      </c>
      <c r="I96" s="149">
        <f>SUMIFS(РД[Стоимость без отделки итог],РД[Дом],$C$89,РД[ИМ],A96,РД[Дата подачи на регистрацию],"&lt;="&amp;$A$1,РД[Дата подачи на регистрацию],"&gt;="&amp;DATE(YEAR($A$1),MONTH($A$1),1))</f>
        <v>51959868.57</v>
      </c>
      <c r="J96" s="220">
        <f>COUNTIFS(РД[Дом],$C$89,РД[ИМ],A96,РД[Дата подачи на регистрацию],"&lt;="&amp;$A$1,РД[Дата подачи на регистрацию],"&gt;="&amp;DATE(YEAR($A$1),MONTH($A$1),1))</f>
        <v>13</v>
      </c>
      <c r="K96" s="943">
        <f>IFERROR(H96/B96,"")</f>
        <v>0.68435423588039856</v>
      </c>
      <c r="L96" s="1061">
        <f>IFERROR(I96/C96,"")</f>
        <v>0.74516310223152216</v>
      </c>
      <c r="M96" s="1088">
        <f>COUNTIFS(РД[Тип кв],M$90,РД[ИМ],$A96,РД[Дом],$C$89,РД[Дата подачи на регистрацию],"&lt;="&amp;$A$1,РД[Дата подачи на регистрацию],"&gt;="&amp;DATE(YEAR($A$1),MONTH($A$1),1))</f>
        <v>2</v>
      </c>
      <c r="N96" s="1089">
        <f>COUNTIFS(РД[Тип кв],N$90,РД[ИМ],$A96,РД[Дом],$C$89,РД[Дата подачи на регистрацию],"&lt;="&amp;$A$1,РД[Дата подачи на регистрацию],"&gt;="&amp;DATE(YEAR($A$1),MONTH($A$1),1))</f>
        <v>4</v>
      </c>
      <c r="O96" s="1089">
        <f>COUNTIFS(РД[Тип кв],O$90,РД[ИМ],$A96,РД[Дом],$C$89,РД[Дата подачи на регистрацию],"&lt;="&amp;$A$1,РД[Дата подачи на регистрацию],"&gt;="&amp;DATE(YEAR($A$1),MONTH($A$1),1))</f>
        <v>5</v>
      </c>
      <c r="P96" s="1089">
        <f>COUNTIFS(РД[Тип кв],P$90,РД[ИМ],$A96,РД[Дом],$C$89,РД[Дата подачи на регистрацию],"&lt;="&amp;$A$1,РД[Дата подачи на регистрацию],"&gt;="&amp;DATE(YEAR($A$1),MONTH($A$1),1))</f>
        <v>2</v>
      </c>
      <c r="Q96" s="1098">
        <f>COUNTIFS(РД[Тип кв],Q$90,РД[ИМ],$A96,РД[Дом],$C$89,РД[Дата подачи на регистрацию],"&lt;="&amp;$A$1,РД[Дата подачи на регистрацию],"&gt;="&amp;DATE(YEAR($A$1),MONTH($A$1),1))</f>
        <v>0</v>
      </c>
      <c r="R96" s="949"/>
      <c r="S96" s="949"/>
      <c r="T96" s="949"/>
    </row>
    <row r="97" spans="1:21">
      <c r="A97" s="906" t="s">
        <v>114</v>
      </c>
      <c r="B97" s="1171">
        <v>963.2</v>
      </c>
      <c r="C97" s="1165">
        <v>69729524.200000003</v>
      </c>
      <c r="D97" s="1166">
        <v>24</v>
      </c>
      <c r="E97" s="1173">
        <f t="shared" ref="E97:J97" si="5">SUM(E96:E96)</f>
        <v>659.17000000000007</v>
      </c>
      <c r="F97" s="1165">
        <f t="shared" si="5"/>
        <v>53069998.860000007</v>
      </c>
      <c r="G97" s="1166">
        <f t="shared" si="5"/>
        <v>13</v>
      </c>
      <c r="H97" s="1171">
        <f t="shared" si="5"/>
        <v>659.17</v>
      </c>
      <c r="I97" s="1165">
        <f t="shared" si="5"/>
        <v>51959868.57</v>
      </c>
      <c r="J97" s="1182">
        <f t="shared" si="5"/>
        <v>13</v>
      </c>
      <c r="K97" s="1183">
        <f>H97/B97</f>
        <v>0.68435423588039856</v>
      </c>
      <c r="L97" s="1184">
        <f>IFERROR(I97/C97,"")</f>
        <v>0.74516310223152216</v>
      </c>
      <c r="M97" s="906">
        <f>SUM(M96:M96)</f>
        <v>2</v>
      </c>
      <c r="N97" s="1123">
        <f>SUM(N96:N96)</f>
        <v>4</v>
      </c>
      <c r="O97" s="1123">
        <f>SUM(O96:O96)</f>
        <v>5</v>
      </c>
      <c r="P97" s="1123">
        <f>SUM(P96:P96)</f>
        <v>2</v>
      </c>
      <c r="Q97" s="1167">
        <f>SUM(Q96:Q96)</f>
        <v>0</v>
      </c>
      <c r="R97" s="949"/>
      <c r="S97" s="949"/>
      <c r="T97" s="949"/>
    </row>
    <row r="98" spans="1:21">
      <c r="A98" s="7"/>
      <c r="B98" s="968"/>
      <c r="C98" s="968"/>
      <c r="D98" s="969"/>
      <c r="E98" s="7"/>
      <c r="F98" s="7"/>
      <c r="G98" s="7"/>
      <c r="H98" s="134"/>
      <c r="I98" s="134"/>
      <c r="J98" s="134"/>
      <c r="K98" s="7"/>
      <c r="L98" s="994"/>
      <c r="M98" s="134"/>
      <c r="N98" s="134"/>
      <c r="O98" s="134"/>
      <c r="P98" s="262"/>
      <c r="Q98" s="134"/>
      <c r="R98" s="949"/>
      <c r="S98" s="949"/>
      <c r="T98" s="949"/>
    </row>
    <row r="99" spans="1:21">
      <c r="A99" s="2293" t="s">
        <v>713</v>
      </c>
      <c r="B99" s="2294"/>
      <c r="C99" s="972" t="s">
        <v>718</v>
      </c>
      <c r="D99" s="2295"/>
      <c r="E99" s="2296"/>
      <c r="F99" s="2296"/>
      <c r="G99" s="2296"/>
      <c r="H99" s="2296"/>
      <c r="I99" s="2296"/>
      <c r="J99" s="2296"/>
      <c r="K99" s="2296"/>
      <c r="L99" s="2296"/>
      <c r="M99" s="2296"/>
      <c r="N99" s="2296"/>
      <c r="O99" s="2296"/>
      <c r="P99" s="2296"/>
      <c r="Q99" s="7"/>
      <c r="R99" s="949"/>
      <c r="S99" s="949"/>
      <c r="T99" s="949"/>
    </row>
    <row r="100" spans="1:21" ht="25.5">
      <c r="A100" s="685" t="s">
        <v>1</v>
      </c>
      <c r="B100" s="723" t="s">
        <v>100</v>
      </c>
      <c r="C100" s="724" t="s">
        <v>97</v>
      </c>
      <c r="D100" s="688" t="s">
        <v>95</v>
      </c>
      <c r="E100" s="1022" t="s">
        <v>494</v>
      </c>
      <c r="F100" s="138" t="s">
        <v>495</v>
      </c>
      <c r="G100" s="1082" t="s">
        <v>496</v>
      </c>
      <c r="H100" s="980" t="s">
        <v>101</v>
      </c>
      <c r="I100" s="141" t="s">
        <v>98</v>
      </c>
      <c r="J100" s="141" t="s">
        <v>96</v>
      </c>
      <c r="K100" s="141" t="s">
        <v>715</v>
      </c>
      <c r="L100" s="1026" t="s">
        <v>716</v>
      </c>
      <c r="M100" s="1087">
        <v>0</v>
      </c>
      <c r="N100" s="1033">
        <v>1</v>
      </c>
      <c r="O100" s="1033">
        <v>2</v>
      </c>
      <c r="P100" s="1033">
        <v>3</v>
      </c>
      <c r="Q100" s="1104">
        <v>4</v>
      </c>
      <c r="R100" s="950"/>
      <c r="S100" s="950"/>
      <c r="T100" s="950"/>
      <c r="U100" s="951"/>
    </row>
    <row r="101" spans="1:21" ht="9.75" customHeight="1">
      <c r="A101" s="936" t="s">
        <v>73</v>
      </c>
      <c r="B101" s="514">
        <v>650</v>
      </c>
      <c r="C101" s="549">
        <v>48094439.586499996</v>
      </c>
      <c r="D101" s="1174">
        <v>16</v>
      </c>
      <c r="E101" s="267">
        <f t="shared" ref="E101:J103" si="6">E81+E91</f>
        <v>398.84000000000003</v>
      </c>
      <c r="F101" s="146">
        <f t="shared" si="6"/>
        <v>32166936.449999999</v>
      </c>
      <c r="G101" s="702">
        <f t="shared" si="6"/>
        <v>8</v>
      </c>
      <c r="H101" s="514">
        <f t="shared" si="6"/>
        <v>398.84000000000003</v>
      </c>
      <c r="I101" s="146">
        <f t="shared" si="6"/>
        <v>32166936.449999999</v>
      </c>
      <c r="J101" s="1190">
        <f t="shared" si="6"/>
        <v>8</v>
      </c>
      <c r="K101" s="943">
        <f t="shared" ref="K101:L104" si="7">IFERROR(H101/B101,"")</f>
        <v>0.61360000000000003</v>
      </c>
      <c r="L101" s="1061">
        <f t="shared" si="7"/>
        <v>0.66882859487626067</v>
      </c>
      <c r="M101" s="1148">
        <f>M81+M91</f>
        <v>1</v>
      </c>
      <c r="N101" s="1008">
        <f t="shared" ref="N101:Q103" si="8">N81+N91</f>
        <v>3</v>
      </c>
      <c r="O101" s="1008">
        <f t="shared" si="8"/>
        <v>3</v>
      </c>
      <c r="P101" s="1008">
        <f t="shared" si="8"/>
        <v>1</v>
      </c>
      <c r="Q101" s="1106">
        <f t="shared" si="8"/>
        <v>0</v>
      </c>
      <c r="R101" s="949"/>
      <c r="S101" s="949"/>
      <c r="T101" s="949"/>
    </row>
    <row r="102" spans="1:21">
      <c r="A102" s="952" t="s">
        <v>77</v>
      </c>
      <c r="B102" s="514">
        <v>559</v>
      </c>
      <c r="C102" s="549">
        <v>41262551.640040003</v>
      </c>
      <c r="D102" s="1174">
        <v>13</v>
      </c>
      <c r="E102" s="271">
        <f t="shared" si="6"/>
        <v>217.71</v>
      </c>
      <c r="F102" s="52">
        <f t="shared" si="6"/>
        <v>18352105.090000004</v>
      </c>
      <c r="G102" s="717">
        <f t="shared" si="6"/>
        <v>5</v>
      </c>
      <c r="H102" s="514">
        <f t="shared" si="6"/>
        <v>217.70999999999998</v>
      </c>
      <c r="I102" s="146">
        <f t="shared" si="6"/>
        <v>17820944.869999997</v>
      </c>
      <c r="J102" s="1190">
        <f t="shared" si="6"/>
        <v>5</v>
      </c>
      <c r="K102" s="943">
        <f t="shared" si="7"/>
        <v>0.38946332737030409</v>
      </c>
      <c r="L102" s="1061">
        <f t="shared" si="7"/>
        <v>0.43189148905437685</v>
      </c>
      <c r="M102" s="1148">
        <f>M82+M92</f>
        <v>1</v>
      </c>
      <c r="N102" s="1008">
        <f t="shared" si="8"/>
        <v>2</v>
      </c>
      <c r="O102" s="1008">
        <f t="shared" si="8"/>
        <v>2</v>
      </c>
      <c r="P102" s="1008">
        <f t="shared" si="8"/>
        <v>0</v>
      </c>
      <c r="Q102" s="1106">
        <f t="shared" si="8"/>
        <v>0</v>
      </c>
      <c r="R102" s="949"/>
      <c r="S102" s="949"/>
      <c r="T102" s="949"/>
    </row>
    <row r="103" spans="1:21">
      <c r="A103" s="956" t="s">
        <v>63</v>
      </c>
      <c r="B103" s="514">
        <v>740</v>
      </c>
      <c r="C103" s="549">
        <v>54713723.770400003</v>
      </c>
      <c r="D103" s="1174">
        <v>18</v>
      </c>
      <c r="E103" s="315">
        <f t="shared" si="6"/>
        <v>121.61999999999999</v>
      </c>
      <c r="F103" s="363">
        <f t="shared" si="6"/>
        <v>9337101.8200000003</v>
      </c>
      <c r="G103" s="703">
        <f t="shared" si="6"/>
        <v>2</v>
      </c>
      <c r="H103" s="1175">
        <f t="shared" si="6"/>
        <v>121.61999999999999</v>
      </c>
      <c r="I103" s="403">
        <f t="shared" si="6"/>
        <v>8758131.75</v>
      </c>
      <c r="J103" s="1191">
        <f t="shared" si="6"/>
        <v>2</v>
      </c>
      <c r="K103" s="1192">
        <f t="shared" si="7"/>
        <v>0.16435135135135134</v>
      </c>
      <c r="L103" s="1061">
        <f t="shared" si="7"/>
        <v>0.16007193710215223</v>
      </c>
      <c r="M103" s="1148">
        <f>M83+M93</f>
        <v>0</v>
      </c>
      <c r="N103" s="1008">
        <f t="shared" si="8"/>
        <v>1</v>
      </c>
      <c r="O103" s="1008">
        <f t="shared" si="8"/>
        <v>0</v>
      </c>
      <c r="P103" s="1008">
        <f t="shared" si="8"/>
        <v>1</v>
      </c>
      <c r="Q103" s="1106">
        <f t="shared" si="8"/>
        <v>0</v>
      </c>
      <c r="R103" s="949"/>
      <c r="S103" s="949"/>
      <c r="T103" s="949"/>
    </row>
    <row r="104" spans="1:21">
      <c r="A104" s="1176" t="s">
        <v>114</v>
      </c>
      <c r="B104" s="1177">
        <v>1949</v>
      </c>
      <c r="C104" s="1178">
        <v>144070714.99693999</v>
      </c>
      <c r="D104" s="1179">
        <v>47</v>
      </c>
      <c r="E104" s="1172">
        <f t="shared" ref="E104:J104" si="9">SUM(E101:E103)</f>
        <v>738.17000000000007</v>
      </c>
      <c r="F104" s="1165">
        <f t="shared" si="9"/>
        <v>59856143.360000007</v>
      </c>
      <c r="G104" s="1180">
        <f t="shared" si="9"/>
        <v>15</v>
      </c>
      <c r="H104" s="1172">
        <f t="shared" si="9"/>
        <v>738.17</v>
      </c>
      <c r="I104" s="1165">
        <f t="shared" si="9"/>
        <v>58746013.069999993</v>
      </c>
      <c r="J104" s="1193">
        <f t="shared" si="9"/>
        <v>15</v>
      </c>
      <c r="K104" s="1201">
        <f t="shared" si="7"/>
        <v>0.3787429451000513</v>
      </c>
      <c r="L104" s="1061">
        <f t="shared" si="7"/>
        <v>0.40775818368950095</v>
      </c>
      <c r="M104" s="906">
        <f>SUM(M101:M103)</f>
        <v>2</v>
      </c>
      <c r="N104" s="1123">
        <f>SUM(N101:N103)</f>
        <v>6</v>
      </c>
      <c r="O104" s="1123">
        <f>SUM(O101:O103)</f>
        <v>5</v>
      </c>
      <c r="P104" s="1185">
        <f>SUM(P101:P103)</f>
        <v>2</v>
      </c>
      <c r="Q104" s="1167">
        <f>SUM(Q101:Q103)</f>
        <v>0</v>
      </c>
      <c r="R104" s="949"/>
      <c r="S104" s="949"/>
      <c r="T104" s="949"/>
    </row>
    <row r="105" spans="1:21" ht="25.5">
      <c r="A105" s="685" t="s">
        <v>115</v>
      </c>
      <c r="B105" s="723" t="s">
        <v>100</v>
      </c>
      <c r="C105" s="1086" t="s">
        <v>97</v>
      </c>
      <c r="D105" s="688" t="s">
        <v>95</v>
      </c>
      <c r="E105" s="1022" t="s">
        <v>494</v>
      </c>
      <c r="F105" s="138" t="s">
        <v>495</v>
      </c>
      <c r="G105" s="139" t="s">
        <v>496</v>
      </c>
      <c r="H105" s="980" t="s">
        <v>101</v>
      </c>
      <c r="I105" s="141" t="s">
        <v>98</v>
      </c>
      <c r="J105" s="141" t="s">
        <v>96</v>
      </c>
      <c r="K105" s="141" t="s">
        <v>715</v>
      </c>
      <c r="L105" s="1026" t="s">
        <v>716</v>
      </c>
      <c r="M105" s="1087">
        <v>0</v>
      </c>
      <c r="N105" s="1033">
        <v>1</v>
      </c>
      <c r="O105" s="1033">
        <v>2</v>
      </c>
      <c r="P105" s="1033">
        <v>3</v>
      </c>
      <c r="Q105" s="1104">
        <v>4</v>
      </c>
      <c r="R105" s="950"/>
      <c r="S105" s="950"/>
      <c r="T105" s="950"/>
      <c r="U105" s="951"/>
    </row>
    <row r="106" spans="1:21">
      <c r="A106" s="936" t="s">
        <v>16</v>
      </c>
      <c r="B106" s="1132">
        <v>1364.3</v>
      </c>
      <c r="C106" s="549">
        <v>100849500.5</v>
      </c>
      <c r="D106" s="1181">
        <v>33</v>
      </c>
      <c r="E106" s="997">
        <f t="shared" ref="E106:J106" si="10">E86+E96</f>
        <v>659.17000000000007</v>
      </c>
      <c r="F106" s="146">
        <f t="shared" si="10"/>
        <v>53069998.860000007</v>
      </c>
      <c r="G106" s="689">
        <f t="shared" si="10"/>
        <v>13</v>
      </c>
      <c r="H106" s="877">
        <f t="shared" si="10"/>
        <v>659.17</v>
      </c>
      <c r="I106" s="146">
        <f t="shared" si="10"/>
        <v>51959868.57</v>
      </c>
      <c r="J106" s="878">
        <f t="shared" si="10"/>
        <v>13</v>
      </c>
      <c r="K106" s="221">
        <f>IFERROR(H106/B106,"")</f>
        <v>0.48315619731730558</v>
      </c>
      <c r="L106" s="222">
        <f>IFERROR(I106/C106,"")</f>
        <v>0.51522187331012115</v>
      </c>
      <c r="M106" s="1148">
        <f>M86+M96</f>
        <v>2</v>
      </c>
      <c r="N106" s="1008">
        <f>N86+N96</f>
        <v>4</v>
      </c>
      <c r="O106" s="1008">
        <f>O86+O96</f>
        <v>5</v>
      </c>
      <c r="P106" s="1008">
        <f>P86+P96</f>
        <v>2</v>
      </c>
      <c r="Q106" s="1106">
        <f>Q86+Q96</f>
        <v>0</v>
      </c>
      <c r="R106" s="949"/>
      <c r="S106" s="949"/>
      <c r="T106" s="949"/>
    </row>
    <row r="107" spans="1:21">
      <c r="A107" s="975" t="s">
        <v>114</v>
      </c>
      <c r="B107" s="1177">
        <v>1364.3</v>
      </c>
      <c r="C107" s="1178">
        <v>100849500.5</v>
      </c>
      <c r="D107" s="1123">
        <v>33</v>
      </c>
      <c r="E107" s="1171">
        <f t="shared" ref="E107:J107" si="11">SUM(E106:E106)</f>
        <v>659.17000000000007</v>
      </c>
      <c r="F107" s="1182">
        <f t="shared" si="11"/>
        <v>53069998.860000007</v>
      </c>
      <c r="G107" s="1166">
        <f t="shared" si="11"/>
        <v>13</v>
      </c>
      <c r="H107" s="1173">
        <f t="shared" si="11"/>
        <v>659.17</v>
      </c>
      <c r="I107" s="1182">
        <f t="shared" si="11"/>
        <v>51959868.57</v>
      </c>
      <c r="J107" s="1182">
        <f t="shared" si="11"/>
        <v>13</v>
      </c>
      <c r="K107" s="1183">
        <f>H107/B107</f>
        <v>0.48315619731730558</v>
      </c>
      <c r="L107" s="1184">
        <f>IFERROR(I107/C107,"")</f>
        <v>0.51522187331012115</v>
      </c>
      <c r="M107" s="906">
        <f>SUM(M106:M106)</f>
        <v>2</v>
      </c>
      <c r="N107" s="1123">
        <f>SUM(N106:N106)</f>
        <v>4</v>
      </c>
      <c r="O107" s="1123">
        <f>SUM(O106:O106)</f>
        <v>5</v>
      </c>
      <c r="P107" s="1123">
        <f>SUM(P106:P106)</f>
        <v>2</v>
      </c>
      <c r="Q107" s="1167">
        <f>SUM(Q106:Q106)</f>
        <v>0</v>
      </c>
      <c r="R107" s="949"/>
      <c r="S107" s="949"/>
      <c r="T107" s="949"/>
    </row>
    <row r="108" spans="1:21">
      <c r="A108" s="65"/>
      <c r="B108" s="65"/>
      <c r="C108" s="65"/>
      <c r="D108" s="65"/>
      <c r="E108" s="65"/>
      <c r="F108" s="949"/>
      <c r="G108" s="65"/>
      <c r="H108" s="65"/>
      <c r="I108" s="949"/>
      <c r="J108" s="65"/>
      <c r="K108" s="65"/>
      <c r="L108" s="65"/>
      <c r="M108" s="949"/>
      <c r="N108" s="65"/>
      <c r="O108" s="949"/>
      <c r="P108" s="949"/>
      <c r="Q108" s="86"/>
      <c r="R108" s="949"/>
      <c r="S108" s="949"/>
      <c r="T108" s="949"/>
    </row>
    <row r="109" spans="1:21">
      <c r="A109" s="2301" t="s">
        <v>945</v>
      </c>
      <c r="B109" s="2302"/>
      <c r="C109" s="2302"/>
      <c r="D109" s="2302"/>
      <c r="E109" s="2302"/>
      <c r="F109" s="2302"/>
      <c r="G109" s="2302"/>
      <c r="H109" s="2303"/>
      <c r="I109" s="2303"/>
      <c r="J109" s="2303"/>
      <c r="K109" s="2303"/>
      <c r="L109" s="2303"/>
      <c r="M109" s="2303"/>
      <c r="N109" s="2304"/>
      <c r="O109" s="949"/>
      <c r="P109" s="949"/>
      <c r="Q109" s="86"/>
      <c r="R109" s="949"/>
      <c r="S109" s="949"/>
      <c r="T109" s="949"/>
    </row>
    <row r="110" spans="1:21" ht="25.5">
      <c r="A110" s="685" t="s">
        <v>1</v>
      </c>
      <c r="B110" s="723" t="s">
        <v>101</v>
      </c>
      <c r="C110" s="724" t="s">
        <v>98</v>
      </c>
      <c r="D110" s="688" t="s">
        <v>96</v>
      </c>
      <c r="E110" s="1022" t="s">
        <v>494</v>
      </c>
      <c r="F110" s="138" t="s">
        <v>495</v>
      </c>
      <c r="G110" s="296" t="s">
        <v>496</v>
      </c>
      <c r="H110" s="140" t="s">
        <v>946</v>
      </c>
      <c r="I110" s="141" t="s">
        <v>947</v>
      </c>
      <c r="J110" s="1096">
        <v>0</v>
      </c>
      <c r="K110" s="1096">
        <v>1</v>
      </c>
      <c r="L110" s="1096">
        <v>2</v>
      </c>
      <c r="M110" s="1096">
        <v>3</v>
      </c>
      <c r="N110" s="1097">
        <v>4</v>
      </c>
      <c r="O110" s="949"/>
      <c r="P110" s="949"/>
      <c r="Q110" s="86"/>
      <c r="R110" s="949"/>
      <c r="S110" s="949"/>
      <c r="T110" s="949"/>
    </row>
    <row r="111" spans="1:21">
      <c r="A111" s="985" t="s">
        <v>73</v>
      </c>
      <c r="B111" s="291">
        <f>SUMIFS(РД[S],РД[МОП],A111,РД[Дата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1" s="292">
        <f>SUMIFS(РД[Стоимость без отделки итог],РД[МОП],A111,РД[Дата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1" s="694">
        <f>COUNTIFS(РД[МОП],A111,РД[Дата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1" s="1015"/>
      <c r="F111" s="292"/>
      <c r="G111" s="720"/>
      <c r="H111" s="291">
        <f>SUMIFS(РД[S],РД[МОП],A111,РД[Дата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1" s="879">
        <f>SUMIFS(РД[Стоимость без отделки итог],РД[МОП],A111,РД[Дата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1" s="1088">
        <f>COUNTIFS(РД[Тип кв],J$110,РД[МОП],$A111,РД[Дата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1" s="1089">
        <f>COUNTIFS(РД[Тип кв],K$110,РД[МОП],$A111,РД[Дата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1" s="1089">
        <f>COUNTIFS(РД[Тип кв],L$110,РД[МОП],$A111,РД[Дата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1" s="1089">
        <f>COUNTIFS(РД[Тип кв],M$110,РД[МОП],$A111,РД[Дата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1" s="1098">
        <f>COUNTIFS(РД[Тип кв],N$110,РД[МОП],$A111,РД[Дата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1" s="949"/>
      <c r="P111" s="949"/>
      <c r="Q111" s="86"/>
      <c r="R111" s="949"/>
      <c r="S111" s="949"/>
      <c r="T111" s="949"/>
    </row>
    <row r="112" spans="1:21">
      <c r="A112" s="981" t="s">
        <v>77</v>
      </c>
      <c r="B112" s="271">
        <f>SUMIFS(РД[S],РД[МОП],A112,РД[Дата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2" s="52">
        <f>SUMIFS(РД[Стоимость без отделки итог],РД[МОП],A112,РД[Дата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2" s="717">
        <f>COUNTIFS(РД[МОП],A112,РД[Дата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2" s="416"/>
      <c r="F112" s="52"/>
      <c r="G112" s="421"/>
      <c r="H112" s="271">
        <f>SUMIFS(РД[S],РД[МОП],A112,РД[Дата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2" s="546">
        <f>SUMIFS(РД[Стоимость без отделки итог],РД[МОП],A112,РД[Дата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2" s="1090">
        <f>COUNTIFS(РД[Тип кв],J$110,РД[МОП],$A112,РД[Дата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2" s="339">
        <f>COUNTIFS(РД[Тип кв],K$110,РД[МОП],$A112,РД[Дата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2" s="339">
        <f>COUNTIFS(РД[Тип кв],L$110,РД[МОП],$A112,РД[Дата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2" s="339">
        <f>COUNTIFS(РД[Тип кв],M$110,РД[МОП],$A112,РД[Дата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2" s="1099">
        <f>COUNTIFS(РД[Тип кв],N$110,РД[МОП],$A112,РД[Дата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2" s="949"/>
      <c r="P112" s="949"/>
      <c r="Q112" s="86"/>
      <c r="R112" s="949"/>
      <c r="S112" s="949"/>
      <c r="T112" s="949"/>
    </row>
    <row r="113" spans="1:21">
      <c r="A113" s="981" t="s">
        <v>63</v>
      </c>
      <c r="B113" s="271">
        <f>SUMIFS(РД[S],РД[МОП],A113,РД[Дата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3" s="52">
        <f>SUMIFS(РД[Стоимость без отделки итог],РД[МОП],A113,РД[Дата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3" s="717">
        <f>COUNTIFS(РД[МОП],A113,РД[Дата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3" s="416"/>
      <c r="F113" s="52"/>
      <c r="G113" s="421"/>
      <c r="H113" s="271">
        <f>SUMIFS(РД[S],РД[МОП],A113,РД[Дата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3" s="546">
        <f>SUMIFS(РД[Стоимость без отделки итог],РД[МОП],A113,РД[Дата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3" s="1090">
        <f>COUNTIFS(РД[Тип кв],J$110,РД[МОП],$A113,РД[Дата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3" s="339">
        <f>COUNTIFS(РД[Тип кв],K$110,РД[МОП],$A113,РД[Дата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3" s="339">
        <f>COUNTIFS(РД[Тип кв],L$110,РД[МОП],$A113,РД[Дата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3" s="339">
        <f>COUNTIFS(РД[Тип кв],M$110,РД[МОП],$A113,РД[Дата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3" s="1099">
        <f>COUNTIFS(РД[Тип кв],N$110,РД[МОП],$A113,РД[Дата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3" s="949"/>
      <c r="P113" s="949"/>
      <c r="Q113" s="86"/>
      <c r="R113" s="949"/>
      <c r="S113" s="949"/>
      <c r="T113" s="949"/>
      <c r="U113" s="949"/>
    </row>
    <row r="114" spans="1:21">
      <c r="A114" s="982" t="s">
        <v>29</v>
      </c>
      <c r="B114" s="516">
        <f>SUMIFS(РД[S],РД[МОП],A114,РД[Дата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4" s="554">
        <f>SUMIFS(РД[Стоимость без отделки итог],РД[МОП],A114,РД[Дата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4" s="695">
        <f>COUNTIFS(РД[МОП],A114,РД[Дата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4" s="329">
        <f>SUMIFS(Май202234[м2],Май202234[МОП],$A114,Май202234[№ дома],$C$89)</f>
        <v>0</v>
      </c>
      <c r="F114" s="958">
        <f>SUMIFS(Май202234[сумма без отделки],Май202234[МОП],$A114,Май202234[№ дома],$C$89)</f>
        <v>0</v>
      </c>
      <c r="G114" s="959">
        <f>COUNTIFS(Май202234[МОП],$A114,Май202234[№ дома],$C$89)</f>
        <v>0</v>
      </c>
      <c r="H114" s="516">
        <f>SUMIFS(РД[S],РД[МОП],A114,РД[Дата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4" s="1002">
        <f>SUMIFS(РД[Стоимость без отделки итог],РД[МОП],A114,РД[Дата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4" s="1100">
        <f>COUNTIFS(РД[Тип кв],J$110,РД[МОП],$A114,РД[Дата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4" s="1101">
        <f>COUNTIFS(РД[Тип кв],K$110,РД[МОП],$A114,РД[Дата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4" s="1101">
        <f>COUNTIFS(РД[Тип кв],L$110,РД[МОП],$A114,РД[Дата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4" s="1101">
        <f>COUNTIFS(РД[Тип кв],M$110,РД[МОП],$A114,РД[Дата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4" s="1102">
        <f>COUNTIFS(РД[Тип кв],N$110,РД[МОП],$A114,РД[Дата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4" s="949"/>
      <c r="P114" s="949"/>
      <c r="Q114" s="86"/>
      <c r="R114" s="949"/>
      <c r="S114" s="949"/>
      <c r="T114" s="949"/>
      <c r="U114" s="949"/>
    </row>
    <row r="115" spans="1:21">
      <c r="A115" s="984" t="s">
        <v>114</v>
      </c>
      <c r="B115" s="323">
        <f t="shared" ref="B115:N115" si="12">SUM(B111:B114)</f>
        <v>0</v>
      </c>
      <c r="C115" s="429">
        <f t="shared" si="12"/>
        <v>0</v>
      </c>
      <c r="D115" s="319">
        <f t="shared" si="12"/>
        <v>0</v>
      </c>
      <c r="E115" s="428">
        <f t="shared" si="12"/>
        <v>0</v>
      </c>
      <c r="F115" s="429">
        <f t="shared" si="12"/>
        <v>0</v>
      </c>
      <c r="G115" s="322">
        <f t="shared" si="12"/>
        <v>0</v>
      </c>
      <c r="H115" s="323">
        <f t="shared" si="12"/>
        <v>0</v>
      </c>
      <c r="I115" s="324">
        <f t="shared" si="12"/>
        <v>0</v>
      </c>
      <c r="J115" s="284">
        <f t="shared" si="12"/>
        <v>0</v>
      </c>
      <c r="K115" s="285">
        <f t="shared" si="12"/>
        <v>0</v>
      </c>
      <c r="L115" s="285">
        <f t="shared" si="12"/>
        <v>0</v>
      </c>
      <c r="M115" s="285">
        <f t="shared" si="12"/>
        <v>0</v>
      </c>
      <c r="N115" s="305">
        <f t="shared" si="12"/>
        <v>0</v>
      </c>
      <c r="O115" s="949"/>
      <c r="P115" s="949"/>
      <c r="Q115" s="86"/>
      <c r="R115" s="949"/>
      <c r="S115" s="949"/>
      <c r="T115" s="949"/>
      <c r="U115" s="949"/>
    </row>
    <row r="116" spans="1:21" ht="25.5">
      <c r="A116" s="725" t="s">
        <v>115</v>
      </c>
      <c r="B116" s="686" t="s">
        <v>101</v>
      </c>
      <c r="C116" s="724" t="s">
        <v>98</v>
      </c>
      <c r="D116" s="688" t="s">
        <v>96</v>
      </c>
      <c r="E116" s="1051" t="s">
        <v>494</v>
      </c>
      <c r="F116" s="138" t="s">
        <v>495</v>
      </c>
      <c r="G116" s="296" t="s">
        <v>496</v>
      </c>
      <c r="H116" s="140" t="s">
        <v>946</v>
      </c>
      <c r="I116" s="1026" t="s">
        <v>947</v>
      </c>
      <c r="J116" s="1149">
        <v>0</v>
      </c>
      <c r="K116" s="1150">
        <v>1</v>
      </c>
      <c r="L116" s="1150">
        <v>2</v>
      </c>
      <c r="M116" s="1150">
        <v>3</v>
      </c>
      <c r="N116" s="1151">
        <v>4</v>
      </c>
      <c r="O116" s="949"/>
      <c r="P116" s="949"/>
      <c r="Q116" s="86"/>
      <c r="R116" s="949"/>
      <c r="S116" s="949"/>
      <c r="T116" s="949"/>
      <c r="U116" s="949"/>
    </row>
    <row r="117" spans="1:21">
      <c r="A117" s="985" t="s">
        <v>16</v>
      </c>
      <c r="B117" s="267">
        <f>SUMIFS(РД[S],РД[ИМ],A117,РД[Дата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7" s="146">
        <f>SUMIFS(РД[Стоимость без отделки итог],РД[ИМ],A117,РД[Дата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7" s="702">
        <f>COUNTIFS(РД[ИМ],A117,РД[Дата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7" s="877"/>
      <c r="F117" s="146"/>
      <c r="G117" s="1134"/>
      <c r="H117" s="267">
        <f>SUMIFS(РД[S],РД[ИМ],A117,РД[Дата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268">
        <f>SUMIFS(РД[Стоимость без отделки итог],РД[ИМ],A117,РД[Дата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1090">
        <f>COUNTIFS(РД[Тип кв],J$110,РД[ИМ],$A117,РД[Дата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339">
        <f>COUNTIFS(РД[Тип кв],K$110,РД[ИМ],$A117,РД[Дата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339">
        <f>COUNTIFS(РД[Тип кв],L$110,РД[ИМ],$A117,РД[Дата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339">
        <f>COUNTIFS(РД[Тип кв],M$110,РД[ИМ],$A117,РД[Дата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1099">
        <f>COUNTIFS(РД[Тип кв],N$110,РД[ИМ],$A117,РД[Дата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T117" s="949"/>
      <c r="U117" s="949"/>
    </row>
    <row r="118" spans="1:21">
      <c r="A118" s="982" t="s">
        <v>114</v>
      </c>
      <c r="B118" s="1135">
        <f t="shared" ref="B118:N118" si="13">SUM(B117:B117)</f>
        <v>0</v>
      </c>
      <c r="C118" s="1136">
        <f t="shared" si="13"/>
        <v>0</v>
      </c>
      <c r="D118" s="1137">
        <f t="shared" si="13"/>
        <v>0</v>
      </c>
      <c r="E118" s="1138">
        <f t="shared" si="13"/>
        <v>0</v>
      </c>
      <c r="F118" s="1136">
        <f t="shared" si="13"/>
        <v>0</v>
      </c>
      <c r="G118" s="1139">
        <f t="shared" si="13"/>
        <v>0</v>
      </c>
      <c r="H118" s="1135">
        <f t="shared" si="13"/>
        <v>0</v>
      </c>
      <c r="I118" s="1152">
        <f t="shared" si="13"/>
        <v>0</v>
      </c>
      <c r="J118" s="1153">
        <f t="shared" si="13"/>
        <v>0</v>
      </c>
      <c r="K118" s="1154">
        <f t="shared" si="13"/>
        <v>0</v>
      </c>
      <c r="L118" s="1154">
        <f t="shared" si="13"/>
        <v>0</v>
      </c>
      <c r="M118" s="1154">
        <f t="shared" si="13"/>
        <v>0</v>
      </c>
      <c r="N118" s="1137">
        <f t="shared" si="13"/>
        <v>0</v>
      </c>
      <c r="O118" s="949"/>
      <c r="P118" s="949"/>
      <c r="Q118" s="86"/>
      <c r="R118" s="949"/>
      <c r="S118" s="949"/>
      <c r="T118" s="949"/>
      <c r="U118" s="949"/>
    </row>
    <row r="119" spans="1:21">
      <c r="A119" s="65"/>
      <c r="B119" s="65"/>
      <c r="C119" s="65"/>
      <c r="D119" s="65"/>
      <c r="E119" s="65"/>
      <c r="F119" s="949"/>
      <c r="G119" s="65"/>
      <c r="H119" s="65"/>
      <c r="I119" s="949"/>
      <c r="J119" s="65"/>
      <c r="K119" s="65"/>
      <c r="L119" s="65"/>
      <c r="M119" s="949"/>
      <c r="N119" s="65"/>
      <c r="O119" s="949"/>
      <c r="P119" s="949"/>
      <c r="Q119" s="86"/>
      <c r="R119" s="949"/>
      <c r="S119" s="949"/>
      <c r="T119" s="949"/>
      <c r="U119" s="949"/>
    </row>
    <row r="120" spans="1:21">
      <c r="A120" s="65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T120" s="949"/>
      <c r="U120" s="949"/>
    </row>
    <row r="121" spans="1:21">
      <c r="A121" s="65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T121" s="949"/>
      <c r="U121" s="949"/>
    </row>
    <row r="122" spans="1:21">
      <c r="A122" s="65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  <c r="U122" s="949"/>
    </row>
    <row r="123" spans="1:21">
      <c r="A123" s="65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  <c r="U123" s="949"/>
    </row>
    <row r="124" spans="1:21">
      <c r="A124" s="65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  <c r="U124" s="949"/>
    </row>
    <row r="125" spans="1:2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U125" s="949"/>
    </row>
    <row r="126" spans="1:2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U126" s="949"/>
    </row>
    <row r="127" spans="1:2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U127" s="949"/>
    </row>
    <row r="128" spans="1:2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U128" s="949"/>
    </row>
    <row r="129" spans="1:2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U129" s="949"/>
    </row>
    <row r="130" spans="1:2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U130" s="949"/>
    </row>
    <row r="131" spans="1:2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U131" s="949"/>
    </row>
    <row r="132" spans="1:2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U132" s="949"/>
    </row>
    <row r="133" spans="1:2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U133" s="949"/>
    </row>
    <row r="134" spans="1:2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U134" s="949"/>
    </row>
    <row r="135" spans="1:2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U135" s="949"/>
    </row>
    <row r="136" spans="1:2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U136" s="949"/>
    </row>
    <row r="137" spans="1:2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U137" s="949"/>
    </row>
    <row r="138" spans="1:2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U138" s="949"/>
    </row>
    <row r="139" spans="1:2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U139" s="949"/>
    </row>
    <row r="140" spans="1:2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U140" s="949"/>
    </row>
    <row r="141" spans="1:2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U141" s="949"/>
    </row>
    <row r="142" spans="1:2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U142" s="949"/>
    </row>
    <row r="143" spans="1:2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U143" s="949"/>
    </row>
    <row r="144" spans="1:2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U144" s="949"/>
    </row>
    <row r="145" spans="1:2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U145" s="949"/>
    </row>
    <row r="146" spans="1:2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U146" s="949"/>
    </row>
    <row r="147" spans="1:2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U147" s="949"/>
    </row>
    <row r="148" spans="1:2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U148" s="949"/>
    </row>
    <row r="149" spans="1:2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U149" s="949"/>
    </row>
    <row r="150" spans="1:2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U150" s="949"/>
    </row>
    <row r="151" spans="1:2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U151" s="949"/>
    </row>
    <row r="152" spans="1:2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U152" s="949"/>
    </row>
    <row r="153" spans="1:2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U153" s="949"/>
    </row>
    <row r="154" spans="1:2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U154" s="949"/>
    </row>
    <row r="155" spans="1:2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U155" s="949"/>
    </row>
    <row r="156" spans="1:2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U156" s="949"/>
    </row>
    <row r="157" spans="1:2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U157" s="949"/>
    </row>
    <row r="158" spans="1:2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U158" s="949"/>
    </row>
    <row r="159" spans="1:2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U159" s="949"/>
    </row>
    <row r="160" spans="1:2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U160" s="949"/>
    </row>
    <row r="161" spans="1:2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U161" s="949"/>
    </row>
    <row r="162" spans="1:2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U162" s="949"/>
    </row>
    <row r="163" spans="1:2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U163" s="949"/>
    </row>
    <row r="164" spans="1:2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U164" s="949"/>
    </row>
    <row r="165" spans="1:2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U165" s="949"/>
    </row>
    <row r="166" spans="1:2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U166" s="949"/>
    </row>
    <row r="167" spans="1:2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U167" s="949"/>
    </row>
    <row r="168" spans="1:2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U168" s="949"/>
    </row>
    <row r="169" spans="1:2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U169" s="949"/>
    </row>
    <row r="170" spans="1:2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U170" s="949"/>
    </row>
    <row r="171" spans="1:2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U171" s="949"/>
    </row>
    <row r="172" spans="1:2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U172" s="949"/>
    </row>
    <row r="173" spans="1:2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U173" s="949"/>
    </row>
    <row r="174" spans="1:2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U174" s="949"/>
    </row>
    <row r="175" spans="1:2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U175" s="949"/>
    </row>
    <row r="176" spans="1:2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U176" s="949"/>
    </row>
    <row r="177" spans="1:2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U177" s="949"/>
    </row>
    <row r="178" spans="1:2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U178" s="949"/>
    </row>
    <row r="179" spans="1:2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U179" s="949"/>
    </row>
    <row r="180" spans="1:2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U180" s="949"/>
    </row>
    <row r="181" spans="1:2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U181" s="949"/>
    </row>
    <row r="182" spans="1:2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U182" s="949"/>
    </row>
    <row r="183" spans="1:2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U183" s="949"/>
    </row>
    <row r="184" spans="1:2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U184" s="949"/>
    </row>
    <row r="185" spans="1:2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U185" s="949"/>
    </row>
    <row r="186" spans="1:2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U186" s="949"/>
    </row>
    <row r="187" spans="1:2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U187" s="949"/>
    </row>
    <row r="188" spans="1:2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U188" s="949"/>
    </row>
    <row r="189" spans="1:2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U189" s="949"/>
    </row>
    <row r="190" spans="1:2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U190" s="949"/>
    </row>
    <row r="191" spans="1:2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U191" s="949"/>
    </row>
    <row r="192" spans="1:2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U192" s="949"/>
    </row>
    <row r="193" spans="1:2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U193" s="949"/>
    </row>
    <row r="194" spans="1:2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U194" s="949"/>
    </row>
    <row r="195" spans="1:2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U195" s="949"/>
    </row>
    <row r="196" spans="1:2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U196" s="949"/>
    </row>
    <row r="197" spans="1:2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U197" s="949"/>
    </row>
    <row r="198" spans="1:2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U198" s="949"/>
    </row>
    <row r="199" spans="1:2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U199" s="949"/>
    </row>
    <row r="200" spans="1:2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U200" s="949"/>
    </row>
    <row r="201" spans="1:2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U201" s="949"/>
    </row>
    <row r="202" spans="1:2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U202" s="949"/>
    </row>
    <row r="203" spans="1:2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U203" s="949"/>
    </row>
    <row r="204" spans="1:2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U204" s="949"/>
    </row>
    <row r="205" spans="1:2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U205" s="949"/>
    </row>
    <row r="206" spans="1:2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U206" s="949"/>
    </row>
    <row r="207" spans="1:2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U207" s="949"/>
    </row>
    <row r="208" spans="1:2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U208" s="949"/>
    </row>
    <row r="209" spans="1:2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U209" s="949"/>
    </row>
    <row r="210" spans="1:2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U210" s="949"/>
    </row>
    <row r="211" spans="1:2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U211" s="949"/>
    </row>
    <row r="212" spans="1:2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U212" s="949"/>
    </row>
    <row r="213" spans="1:2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U213" s="949"/>
    </row>
    <row r="214" spans="1:2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U214" s="949"/>
    </row>
    <row r="215" spans="1:2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U215" s="949"/>
    </row>
    <row r="216" spans="1:2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U216" s="949"/>
    </row>
    <row r="217" spans="1:2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U217" s="949"/>
    </row>
    <row r="218" spans="1:2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U218" s="949"/>
    </row>
    <row r="219" spans="1:2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U219" s="949"/>
    </row>
    <row r="220" spans="1:2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U220" s="949"/>
    </row>
    <row r="221" spans="1:2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U221" s="949"/>
    </row>
    <row r="222" spans="1:2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U222" s="949"/>
    </row>
    <row r="223" spans="1:2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U223" s="949"/>
    </row>
    <row r="224" spans="1:2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U224" s="949"/>
    </row>
    <row r="225" spans="1:2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U225" s="949"/>
    </row>
    <row r="226" spans="1:2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U226" s="949"/>
    </row>
    <row r="227" spans="1:2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U227" s="949"/>
    </row>
    <row r="228" spans="1:2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U228" s="949"/>
    </row>
    <row r="229" spans="1:2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U229" s="949"/>
    </row>
    <row r="230" spans="1:2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U230" s="949"/>
    </row>
    <row r="231" spans="1:2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U231" s="949"/>
    </row>
    <row r="232" spans="1:2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U232" s="949"/>
    </row>
    <row r="233" spans="1:2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U233" s="949"/>
    </row>
    <row r="234" spans="1:2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U234" s="949"/>
    </row>
    <row r="235" spans="1:2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U235" s="949"/>
    </row>
    <row r="236" spans="1:2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U236" s="949"/>
    </row>
    <row r="237" spans="1:2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U237" s="949"/>
    </row>
    <row r="238" spans="1:2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U238" s="949"/>
    </row>
    <row r="239" spans="1:2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U239" s="949"/>
    </row>
    <row r="240" spans="1:2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U240" s="949"/>
    </row>
    <row r="241" spans="1:2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U241" s="949"/>
    </row>
    <row r="242" spans="1:2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U242" s="949"/>
    </row>
    <row r="243" spans="1:2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U243" s="949"/>
    </row>
    <row r="244" spans="1:2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U244" s="949"/>
    </row>
    <row r="245" spans="1:2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U245" s="949"/>
    </row>
    <row r="246" spans="1:2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U246" s="949"/>
    </row>
    <row r="247" spans="1:2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U247" s="949"/>
    </row>
  </sheetData>
  <sheetProtection formatCells="0" formatColumns="0" formatRows="0" sort="0" autoFilter="0" pivotTables="0"/>
  <mergeCells count="9">
    <mergeCell ref="A99:B99"/>
    <mergeCell ref="D99:P99"/>
    <mergeCell ref="A109:N109"/>
    <mergeCell ref="V1:XFD1048576"/>
    <mergeCell ref="A1:S1"/>
    <mergeCell ref="A79:B79"/>
    <mergeCell ref="D79:P79"/>
    <mergeCell ref="A89:B89"/>
    <mergeCell ref="D89:P89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1300-000000000000}">
          <x14:formula1>
            <xm:f>Списки!$C$3:$C$7</xm:f>
          </x14:formula1>
          <xm:sqref>T8 D17 D78 D3:D15 R3:R17 S3:S16</xm:sqref>
        </x14:dataValidation>
        <x14:dataValidation type="list" allowBlank="1" showInputMessage="1" showErrorMessage="1" xr:uid="{00000000-0002-0000-1300-000001000000}">
          <x14:formula1>
            <xm:f>Списки!$C$3:$C$11</xm:f>
          </x14:formula1>
          <xm:sqref>D16 D18:D77 R18:R77 S17:T77</xm:sqref>
        </x14:dataValidation>
        <x14:dataValidation type="list" allowBlank="1" showInputMessage="1" showErrorMessage="1" xr:uid="{00000000-0002-0000-1300-000002000000}">
          <x14:formula1>
            <xm:f>Списки!$D$2:$D$7</xm:f>
          </x14:formula1>
          <xm:sqref>F3:F78</xm:sqref>
        </x14:dataValidation>
        <x14:dataValidation type="list" allowBlank="1" showInputMessage="1" showErrorMessage="1" xr:uid="{00000000-0002-0000-1300-000003000000}">
          <x14:formula1>
            <xm:f>Списки!$B$2:$B$5</xm:f>
          </x14:formula1>
          <xm:sqref>G3:G78</xm:sqref>
        </x14:dataValidation>
        <x14:dataValidation type="list" allowBlank="1" showInputMessage="1" showErrorMessage="1" xr:uid="{00000000-0002-0000-1300-000004000000}">
          <x14:formula1>
            <xm:f>Списки!$E$2:$E$7</xm:f>
          </x14:formula1>
          <xm:sqref>H3:H78</xm:sqref>
        </x14:dataValidation>
        <x14:dataValidation type="list" allowBlank="1" showInputMessage="1" showErrorMessage="1" xr:uid="{00000000-0002-0000-1300-000005000000}">
          <x14:formula1>
            <xm:f>Списки!$G$2:$G$3</xm:f>
          </x14:formula1>
          <xm:sqref>L3:L78</xm:sqref>
        </x14:dataValidation>
        <x14:dataValidation type="list" allowBlank="1" showInputMessage="1" showErrorMessage="1" xr:uid="{00000000-0002-0000-1300-000006000000}">
          <x14:formula1>
            <xm:f>Списки!$F$2:$F$3</xm:f>
          </x14:formula1>
          <xm:sqref>N3:N78</xm:sqref>
        </x14:dataValidation>
        <x14:dataValidation type="list" allowBlank="1" showInputMessage="1" showErrorMessage="1" xr:uid="{00000000-0002-0000-1300-000007000000}">
          <x14:formula1>
            <xm:f>Списки!$C$3:$C$10</xm:f>
          </x14:formula1>
          <xm:sqref>T3:T7 T9:T16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250"/>
  <sheetViews>
    <sheetView zoomScale="85" zoomScaleNormal="85" workbookViewId="0">
      <pane ySplit="2" topLeftCell="A3" activePane="bottomLeft" state="frozen"/>
      <selection pane="bottomLeft" activeCell="I88" sqref="I88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25.5703125" style="931" customWidth="1"/>
    <col min="16" max="16" width="23.5703125" style="931" customWidth="1"/>
    <col min="17" max="17" width="40.8554687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44773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929" customFormat="1" ht="12" customHeight="1" outlineLevel="1">
      <c r="A3" s="62">
        <v>1</v>
      </c>
      <c r="B3" s="62">
        <v>386</v>
      </c>
      <c r="C3" s="62">
        <v>21673</v>
      </c>
      <c r="D3" s="117" t="s">
        <v>63</v>
      </c>
      <c r="E3" s="62">
        <v>23.54</v>
      </c>
      <c r="F3" s="117" t="s">
        <v>9</v>
      </c>
      <c r="G3" s="117" t="s">
        <v>27</v>
      </c>
      <c r="H3" s="117" t="s">
        <v>10</v>
      </c>
      <c r="I3" s="95">
        <v>2319229.1800000002</v>
      </c>
      <c r="J3" s="62">
        <v>0</v>
      </c>
      <c r="K3" s="117" t="s">
        <v>130</v>
      </c>
      <c r="L3" s="117" t="s">
        <v>18</v>
      </c>
      <c r="M3" s="92">
        <v>44744</v>
      </c>
      <c r="N3" s="117" t="s">
        <v>11</v>
      </c>
      <c r="O3" s="117" t="s">
        <v>1049</v>
      </c>
      <c r="P3" s="76"/>
      <c r="Q3" s="76" t="s">
        <v>111</v>
      </c>
      <c r="R3" s="945" t="s">
        <v>63</v>
      </c>
      <c r="S3" s="945" t="s">
        <v>1046</v>
      </c>
      <c r="T3" s="945" t="s">
        <v>63</v>
      </c>
      <c r="U3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2319229.1800000002</v>
      </c>
    </row>
    <row r="4" spans="1:22" ht="16.5" customHeight="1" outlineLevel="1">
      <c r="A4" s="62">
        <v>2</v>
      </c>
      <c r="B4" s="62">
        <v>82</v>
      </c>
      <c r="C4" s="62">
        <v>4483</v>
      </c>
      <c r="D4" s="117" t="s">
        <v>77</v>
      </c>
      <c r="E4" s="62">
        <v>82.71</v>
      </c>
      <c r="F4" s="117" t="s">
        <v>9</v>
      </c>
      <c r="G4" s="117" t="s">
        <v>27</v>
      </c>
      <c r="H4" s="62" t="s">
        <v>16</v>
      </c>
      <c r="I4" s="95">
        <v>5894364.6100000003</v>
      </c>
      <c r="J4" s="62">
        <v>3</v>
      </c>
      <c r="K4" s="117" t="s">
        <v>583</v>
      </c>
      <c r="L4" s="117" t="s">
        <v>18</v>
      </c>
      <c r="M4" s="92">
        <v>44760</v>
      </c>
      <c r="N4" s="117" t="s">
        <v>11</v>
      </c>
      <c r="O4" s="62" t="s">
        <v>1050</v>
      </c>
      <c r="P4" s="76" t="s">
        <v>111</v>
      </c>
      <c r="Q4" s="76" t="s">
        <v>1051</v>
      </c>
      <c r="R4" s="945" t="s">
        <v>77</v>
      </c>
      <c r="S4" s="945" t="s">
        <v>77</v>
      </c>
      <c r="T4" s="945" t="s">
        <v>77</v>
      </c>
      <c r="U4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5894364.6100000003</v>
      </c>
    </row>
    <row r="5" spans="1:22" outlineLevel="1">
      <c r="A5" s="62">
        <v>3</v>
      </c>
      <c r="B5" s="62">
        <v>89</v>
      </c>
      <c r="C5" s="62">
        <v>21716</v>
      </c>
      <c r="D5" s="117" t="s">
        <v>77</v>
      </c>
      <c r="E5" s="62">
        <v>37.69</v>
      </c>
      <c r="F5" s="62" t="s">
        <v>9</v>
      </c>
      <c r="G5" s="62" t="s">
        <v>27</v>
      </c>
      <c r="H5" s="62" t="s">
        <v>16</v>
      </c>
      <c r="I5" s="95">
        <v>3432013.71</v>
      </c>
      <c r="J5" s="62">
        <v>1</v>
      </c>
      <c r="K5" s="117" t="s">
        <v>583</v>
      </c>
      <c r="L5" s="117" t="s">
        <v>18</v>
      </c>
      <c r="M5" s="942">
        <v>44762</v>
      </c>
      <c r="N5" s="117" t="s">
        <v>17</v>
      </c>
      <c r="O5" s="62" t="s">
        <v>1052</v>
      </c>
      <c r="P5" s="76" t="s">
        <v>111</v>
      </c>
      <c r="Q5" s="76" t="s">
        <v>1051</v>
      </c>
      <c r="R5" s="945" t="s">
        <v>77</v>
      </c>
      <c r="S5" s="945" t="s">
        <v>77</v>
      </c>
      <c r="T5" s="945" t="s">
        <v>77</v>
      </c>
      <c r="U5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3432013.71</v>
      </c>
    </row>
    <row r="6" spans="1:22" ht="12.75" customHeight="1" outlineLevel="1">
      <c r="A6" s="62">
        <v>4</v>
      </c>
      <c r="B6" s="62">
        <v>73</v>
      </c>
      <c r="C6" s="62">
        <v>21615</v>
      </c>
      <c r="D6" s="117" t="s">
        <v>73</v>
      </c>
      <c r="E6" s="62">
        <v>82.71</v>
      </c>
      <c r="F6" s="941" t="s">
        <v>9</v>
      </c>
      <c r="G6" s="62" t="s">
        <v>27</v>
      </c>
      <c r="H6" s="62" t="s">
        <v>16</v>
      </c>
      <c r="I6" s="91">
        <v>5894364.6100000003</v>
      </c>
      <c r="J6" s="62">
        <v>3</v>
      </c>
      <c r="K6" s="62" t="s">
        <v>583</v>
      </c>
      <c r="L6" s="62" t="s">
        <v>12</v>
      </c>
      <c r="M6" s="942">
        <v>44761</v>
      </c>
      <c r="N6" s="117" t="s">
        <v>17</v>
      </c>
      <c r="O6" s="941" t="s">
        <v>1053</v>
      </c>
      <c r="P6" s="76" t="s">
        <v>111</v>
      </c>
      <c r="Q6" s="76" t="s">
        <v>111</v>
      </c>
      <c r="R6" s="945" t="s">
        <v>73</v>
      </c>
      <c r="S6" s="945" t="s">
        <v>63</v>
      </c>
      <c r="T6" s="945" t="s">
        <v>73</v>
      </c>
      <c r="U6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5894364.6100000003</v>
      </c>
    </row>
    <row r="7" spans="1:22" s="929" customFormat="1" ht="18" customHeight="1" outlineLevel="1">
      <c r="A7" s="62">
        <v>5</v>
      </c>
      <c r="B7" s="62">
        <v>858</v>
      </c>
      <c r="C7" s="62" t="s">
        <v>1054</v>
      </c>
      <c r="D7" s="945" t="s">
        <v>1046</v>
      </c>
      <c r="E7" s="62">
        <v>37.15</v>
      </c>
      <c r="F7" s="941" t="s">
        <v>15</v>
      </c>
      <c r="G7" s="62" t="s">
        <v>27</v>
      </c>
      <c r="H7" s="62" t="s">
        <v>16</v>
      </c>
      <c r="I7" s="95">
        <v>3382987.48</v>
      </c>
      <c r="J7" s="62">
        <v>1</v>
      </c>
      <c r="K7" s="62" t="s">
        <v>583</v>
      </c>
      <c r="L7" s="62" t="s">
        <v>18</v>
      </c>
      <c r="M7" s="1016">
        <v>44763</v>
      </c>
      <c r="N7" s="117" t="s">
        <v>17</v>
      </c>
      <c r="O7" s="62" t="s">
        <v>1055</v>
      </c>
      <c r="P7" s="76" t="s">
        <v>1056</v>
      </c>
      <c r="Q7" s="76" t="s">
        <v>1056</v>
      </c>
      <c r="R7" s="945" t="s">
        <v>1046</v>
      </c>
      <c r="S7" s="945" t="s">
        <v>1046</v>
      </c>
      <c r="T7" s="945" t="s">
        <v>1046</v>
      </c>
      <c r="U7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3122937.48</v>
      </c>
    </row>
    <row r="8" spans="1:22" outlineLevel="1">
      <c r="A8" s="62">
        <v>6</v>
      </c>
      <c r="B8" s="62">
        <v>185</v>
      </c>
      <c r="C8" s="62">
        <v>21633</v>
      </c>
      <c r="D8" s="117" t="s">
        <v>63</v>
      </c>
      <c r="E8" s="62">
        <v>24.47</v>
      </c>
      <c r="F8" s="941" t="s">
        <v>15</v>
      </c>
      <c r="G8" s="62" t="s">
        <v>27</v>
      </c>
      <c r="H8" s="62" t="s">
        <v>16</v>
      </c>
      <c r="I8" s="95">
        <v>2671362</v>
      </c>
      <c r="J8" s="62">
        <v>0</v>
      </c>
      <c r="K8" s="62" t="s">
        <v>583</v>
      </c>
      <c r="L8" s="62" t="s">
        <v>18</v>
      </c>
      <c r="M8" s="1016">
        <v>44754</v>
      </c>
      <c r="N8" s="117" t="s">
        <v>17</v>
      </c>
      <c r="O8" s="62" t="s">
        <v>788</v>
      </c>
      <c r="P8" s="76" t="s">
        <v>111</v>
      </c>
      <c r="Q8" s="76" t="s">
        <v>111</v>
      </c>
      <c r="R8" s="945" t="s">
        <v>63</v>
      </c>
      <c r="S8" s="945" t="s">
        <v>63</v>
      </c>
      <c r="T8" s="945" t="s">
        <v>63</v>
      </c>
      <c r="U8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2500072</v>
      </c>
    </row>
    <row r="9" spans="1:22" outlineLevel="1">
      <c r="A9" s="62">
        <v>7</v>
      </c>
      <c r="B9" s="75">
        <v>600</v>
      </c>
      <c r="C9" s="75">
        <v>21726</v>
      </c>
      <c r="D9" s="945" t="s">
        <v>1046</v>
      </c>
      <c r="E9" s="62">
        <v>82.27</v>
      </c>
      <c r="F9" s="941" t="s">
        <v>9</v>
      </c>
      <c r="G9" s="62" t="s">
        <v>27</v>
      </c>
      <c r="H9" s="62" t="s">
        <v>16</v>
      </c>
      <c r="I9" s="95">
        <v>5657137.6600000001</v>
      </c>
      <c r="J9" s="62">
        <v>3</v>
      </c>
      <c r="K9" s="62" t="s">
        <v>583</v>
      </c>
      <c r="L9" s="62" t="s">
        <v>12</v>
      </c>
      <c r="M9" s="92">
        <v>44770</v>
      </c>
      <c r="N9" s="117" t="s">
        <v>17</v>
      </c>
      <c r="O9" s="62" t="s">
        <v>1057</v>
      </c>
      <c r="P9" s="76" t="s">
        <v>111</v>
      </c>
      <c r="Q9" s="76" t="s">
        <v>111</v>
      </c>
      <c r="R9" s="945" t="s">
        <v>1046</v>
      </c>
      <c r="S9" s="945" t="s">
        <v>1046</v>
      </c>
      <c r="T9" s="945" t="s">
        <v>1046</v>
      </c>
      <c r="U9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5657137.6600000001</v>
      </c>
    </row>
    <row r="10" spans="1:22" outlineLevel="1">
      <c r="A10" s="62">
        <v>8</v>
      </c>
      <c r="B10" s="62">
        <v>860</v>
      </c>
      <c r="C10" s="62">
        <v>21842</v>
      </c>
      <c r="D10" s="117" t="s">
        <v>73</v>
      </c>
      <c r="E10" s="62">
        <v>37.31</v>
      </c>
      <c r="F10" s="62" t="s">
        <v>9</v>
      </c>
      <c r="G10" s="62" t="s">
        <v>27</v>
      </c>
      <c r="H10" s="62" t="s">
        <v>16</v>
      </c>
      <c r="I10" s="95">
        <v>3267287.44</v>
      </c>
      <c r="J10" s="62">
        <v>1</v>
      </c>
      <c r="K10" s="62" t="s">
        <v>583</v>
      </c>
      <c r="L10" s="62" t="s">
        <v>18</v>
      </c>
      <c r="M10" s="1016">
        <v>44764</v>
      </c>
      <c r="N10" s="62" t="s">
        <v>17</v>
      </c>
      <c r="O10" s="62" t="s">
        <v>1058</v>
      </c>
      <c r="P10" s="76" t="s">
        <v>111</v>
      </c>
      <c r="Q10" s="76" t="s">
        <v>111</v>
      </c>
      <c r="R10" s="945" t="s">
        <v>73</v>
      </c>
      <c r="S10" s="945" t="s">
        <v>73</v>
      </c>
      <c r="T10" s="945" t="s">
        <v>73</v>
      </c>
      <c r="U10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3267287.44</v>
      </c>
    </row>
    <row r="11" spans="1:22" ht="12.75" customHeight="1" outlineLevel="1">
      <c r="A11" s="62">
        <v>9</v>
      </c>
      <c r="B11" s="62">
        <v>887</v>
      </c>
      <c r="C11" s="62">
        <v>21805</v>
      </c>
      <c r="D11" s="117" t="s">
        <v>77</v>
      </c>
      <c r="E11" s="62">
        <v>37.31</v>
      </c>
      <c r="F11" s="941" t="s">
        <v>9</v>
      </c>
      <c r="G11" s="62" t="s">
        <v>27</v>
      </c>
      <c r="H11" s="62" t="s">
        <v>16</v>
      </c>
      <c r="I11" s="95">
        <v>3267287.44</v>
      </c>
      <c r="J11" s="62">
        <v>1</v>
      </c>
      <c r="K11" s="62" t="s">
        <v>583</v>
      </c>
      <c r="L11" s="62" t="s">
        <v>18</v>
      </c>
      <c r="M11" s="92">
        <v>44763</v>
      </c>
      <c r="N11" s="117" t="s">
        <v>17</v>
      </c>
      <c r="O11" s="62" t="s">
        <v>1059</v>
      </c>
      <c r="P11" s="76" t="s">
        <v>111</v>
      </c>
      <c r="Q11" s="76" t="s">
        <v>111</v>
      </c>
      <c r="R11" s="945" t="s">
        <v>77</v>
      </c>
      <c r="S11" s="945" t="s">
        <v>77</v>
      </c>
      <c r="T11" s="945" t="s">
        <v>77</v>
      </c>
      <c r="U11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3267287.44</v>
      </c>
    </row>
    <row r="12" spans="1:22" outlineLevel="1">
      <c r="A12" s="62">
        <v>10</v>
      </c>
      <c r="B12" s="62">
        <v>41</v>
      </c>
      <c r="C12" s="62">
        <v>21866</v>
      </c>
      <c r="D12" s="117" t="s">
        <v>73</v>
      </c>
      <c r="E12" s="62">
        <v>60.2</v>
      </c>
      <c r="F12" s="945" t="s">
        <v>9</v>
      </c>
      <c r="G12" s="117" t="s">
        <v>121</v>
      </c>
      <c r="H12" s="117" t="s">
        <v>16</v>
      </c>
      <c r="I12" s="95">
        <v>5349785.9800000004</v>
      </c>
      <c r="J12" s="62">
        <v>2</v>
      </c>
      <c r="K12" s="117" t="s">
        <v>583</v>
      </c>
      <c r="L12" s="117" t="s">
        <v>18</v>
      </c>
      <c r="M12" s="92">
        <v>44767</v>
      </c>
      <c r="N12" s="117" t="s">
        <v>17</v>
      </c>
      <c r="O12" s="117" t="s">
        <v>1060</v>
      </c>
      <c r="P12" s="76" t="s">
        <v>111</v>
      </c>
      <c r="Q12" s="76" t="s">
        <v>111</v>
      </c>
      <c r="R12" s="945" t="s">
        <v>73</v>
      </c>
      <c r="S12" s="945" t="s">
        <v>73</v>
      </c>
      <c r="T12" s="945" t="s">
        <v>73</v>
      </c>
      <c r="U12" s="946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>5349785.9800000004</v>
      </c>
    </row>
    <row r="13" spans="1:22" ht="12.75" hidden="1" customHeight="1" outlineLevel="1">
      <c r="A13" s="65">
        <v>12</v>
      </c>
      <c r="B13" s="65"/>
      <c r="C13" s="65"/>
      <c r="D13" s="80"/>
      <c r="E13" s="65"/>
      <c r="F13" s="949"/>
      <c r="G13" s="65"/>
      <c r="H13" s="65"/>
      <c r="I13" s="93"/>
      <c r="J13" s="65"/>
      <c r="K13" s="65"/>
      <c r="L13" s="65"/>
      <c r="M13" s="98"/>
      <c r="N13" s="80"/>
      <c r="O13" s="65"/>
      <c r="P13" s="86"/>
      <c r="Q13" s="86"/>
      <c r="R13" s="947"/>
      <c r="S13" s="947"/>
      <c r="T13" s="947"/>
      <c r="U1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4" spans="1:22" hidden="1" outlineLevel="1">
      <c r="A14" s="65">
        <v>13</v>
      </c>
      <c r="B14" s="65"/>
      <c r="C14" s="65"/>
      <c r="D14" s="80"/>
      <c r="E14" s="65"/>
      <c r="F14" s="947"/>
      <c r="G14" s="65"/>
      <c r="H14" s="65"/>
      <c r="I14" s="93"/>
      <c r="J14" s="65"/>
      <c r="K14" s="65"/>
      <c r="L14" s="65"/>
      <c r="M14" s="98"/>
      <c r="N14" s="80"/>
      <c r="O14" s="65"/>
      <c r="P14" s="1156"/>
      <c r="Q14" s="1156"/>
      <c r="R14" s="947"/>
      <c r="S14" s="947"/>
      <c r="T14" s="947"/>
      <c r="U1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5" spans="1:22" ht="12.75" hidden="1" customHeight="1" outlineLevel="1">
      <c r="A15" s="65">
        <v>14</v>
      </c>
      <c r="B15" s="65"/>
      <c r="C15" s="77"/>
      <c r="D15" s="80"/>
      <c r="E15" s="65"/>
      <c r="F15" s="947"/>
      <c r="G15" s="65"/>
      <c r="H15" s="65"/>
      <c r="I15" s="93"/>
      <c r="J15" s="65"/>
      <c r="K15" s="65"/>
      <c r="L15" s="65"/>
      <c r="M15" s="98"/>
      <c r="N15" s="80"/>
      <c r="O15" s="65"/>
      <c r="P15" s="1156"/>
      <c r="Q15" s="86"/>
      <c r="R15" s="947"/>
      <c r="S15" s="947"/>
      <c r="T15" s="947"/>
      <c r="U1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6" spans="1:22" ht="12.75" hidden="1" customHeight="1" outlineLevel="1">
      <c r="A16" s="65">
        <v>15</v>
      </c>
      <c r="B16" s="65"/>
      <c r="C16" s="65"/>
      <c r="D16" s="80"/>
      <c r="E16" s="65"/>
      <c r="F16" s="947"/>
      <c r="G16" s="65"/>
      <c r="H16" s="65"/>
      <c r="I16" s="104"/>
      <c r="J16" s="65"/>
      <c r="K16" s="65"/>
      <c r="L16" s="65"/>
      <c r="M16" s="98"/>
      <c r="N16" s="80"/>
      <c r="O16" s="86"/>
      <c r="P16" s="86"/>
      <c r="Q16" s="86"/>
      <c r="R16" s="947"/>
      <c r="S16" s="947"/>
      <c r="T16" s="947"/>
      <c r="U1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7" spans="1:21" ht="12.75" hidden="1" customHeight="1" outlineLevel="1">
      <c r="A17" s="65">
        <v>16</v>
      </c>
      <c r="B17" s="79"/>
      <c r="C17" s="79"/>
      <c r="D17" s="80"/>
      <c r="E17" s="65"/>
      <c r="F17" s="947"/>
      <c r="G17" s="65"/>
      <c r="H17" s="65"/>
      <c r="I17" s="93"/>
      <c r="J17" s="65"/>
      <c r="K17" s="65"/>
      <c r="L17" s="65"/>
      <c r="M17" s="98"/>
      <c r="N17" s="80"/>
      <c r="O17" s="65"/>
      <c r="P17" s="1156"/>
      <c r="Q17" s="1156"/>
      <c r="R17" s="947"/>
      <c r="S17" s="947"/>
      <c r="T17" s="947"/>
      <c r="U1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8" spans="1:21" ht="12.75" hidden="1" customHeight="1" outlineLevel="1">
      <c r="A18" s="65">
        <v>17</v>
      </c>
      <c r="B18" s="79"/>
      <c r="C18" s="79"/>
      <c r="D18" s="80"/>
      <c r="E18" s="65"/>
      <c r="F18" s="80"/>
      <c r="G18" s="65"/>
      <c r="H18" s="65"/>
      <c r="I18" s="93"/>
      <c r="J18" s="65"/>
      <c r="K18" s="65"/>
      <c r="L18" s="65"/>
      <c r="M18" s="98"/>
      <c r="N18" s="80"/>
      <c r="O18" s="65"/>
      <c r="P18" s="86"/>
      <c r="Q18" s="86"/>
      <c r="R18" s="947"/>
      <c r="S18" s="947"/>
      <c r="T18" s="947"/>
      <c r="U1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19" spans="1:21" ht="14.25" hidden="1" customHeight="1" outlineLevel="1">
      <c r="A19" s="65">
        <v>18</v>
      </c>
      <c r="B19" s="79"/>
      <c r="C19" s="79"/>
      <c r="D19" s="80"/>
      <c r="E19" s="65"/>
      <c r="F19" s="949"/>
      <c r="G19" s="65"/>
      <c r="H19" s="65"/>
      <c r="I19" s="93"/>
      <c r="J19" s="65"/>
      <c r="K19" s="65"/>
      <c r="L19" s="65"/>
      <c r="M19" s="98"/>
      <c r="N19" s="80"/>
      <c r="O19" s="65"/>
      <c r="P19" s="86"/>
      <c r="Q19" s="86"/>
      <c r="R19" s="947"/>
      <c r="S19" s="947"/>
      <c r="T19" s="947"/>
      <c r="U1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0" spans="1:21" ht="12.75" hidden="1" customHeight="1" outlineLevel="1">
      <c r="A20" s="65">
        <v>19</v>
      </c>
      <c r="B20" s="79"/>
      <c r="C20" s="79"/>
      <c r="D20" s="80"/>
      <c r="E20" s="65"/>
      <c r="F20" s="949"/>
      <c r="G20" s="65"/>
      <c r="H20" s="65"/>
      <c r="I20" s="1157"/>
      <c r="J20" s="65"/>
      <c r="K20" s="65"/>
      <c r="L20" s="65"/>
      <c r="M20" s="98"/>
      <c r="N20" s="80"/>
      <c r="O20" s="65"/>
      <c r="P20" s="86"/>
      <c r="Q20" s="86"/>
      <c r="R20" s="947"/>
      <c r="S20" s="947"/>
      <c r="T20" s="947"/>
      <c r="U2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1" spans="1:21" hidden="1" outlineLevel="1">
      <c r="A21" s="65">
        <v>20</v>
      </c>
      <c r="B21" s="79"/>
      <c r="C21" s="79"/>
      <c r="D21" s="80"/>
      <c r="E21" s="65"/>
      <c r="F21" s="949"/>
      <c r="G21" s="65"/>
      <c r="H21" s="65"/>
      <c r="I21" s="93"/>
      <c r="J21" s="65"/>
      <c r="K21" s="65"/>
      <c r="L21" s="65"/>
      <c r="M21" s="98"/>
      <c r="N21" s="80"/>
      <c r="O21" s="65"/>
      <c r="P21" s="86"/>
      <c r="Q21" s="86"/>
      <c r="R21" s="947"/>
      <c r="S21" s="947"/>
      <c r="T21" s="947"/>
      <c r="U2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2" spans="1:21" ht="12.75" hidden="1" customHeight="1" outlineLevel="1">
      <c r="A22" s="65">
        <v>21</v>
      </c>
      <c r="B22" s="65"/>
      <c r="C22" s="79"/>
      <c r="D22" s="80"/>
      <c r="E22" s="65"/>
      <c r="F22" s="949"/>
      <c r="G22" s="65"/>
      <c r="H22" s="65"/>
      <c r="I22" s="104"/>
      <c r="J22" s="65"/>
      <c r="K22" s="65"/>
      <c r="L22" s="65"/>
      <c r="M22" s="1158"/>
      <c r="N22" s="80"/>
      <c r="O22" s="65"/>
      <c r="P22" s="86"/>
      <c r="Q22" s="86"/>
      <c r="R22" s="947"/>
      <c r="S22" s="947"/>
      <c r="T22" s="947"/>
      <c r="U2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3" spans="1:21" ht="12.75" hidden="1" customHeight="1" outlineLevel="1">
      <c r="A23" s="65">
        <v>22</v>
      </c>
      <c r="B23" s="79"/>
      <c r="C23" s="79"/>
      <c r="D23" s="80"/>
      <c r="E23" s="65"/>
      <c r="F23" s="949"/>
      <c r="G23" s="65"/>
      <c r="H23" s="65"/>
      <c r="I23" s="93"/>
      <c r="J23" s="65"/>
      <c r="K23" s="65"/>
      <c r="L23" s="65"/>
      <c r="M23" s="98"/>
      <c r="N23" s="80"/>
      <c r="O23" s="65"/>
      <c r="P23" s="86"/>
      <c r="Q23" s="86"/>
      <c r="R23" s="947"/>
      <c r="S23" s="947"/>
      <c r="T23" s="947"/>
      <c r="U2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4" spans="1:21" ht="12.75" hidden="1" customHeight="1" outlineLevel="1">
      <c r="A24" s="65">
        <v>23</v>
      </c>
      <c r="B24" s="79"/>
      <c r="C24" s="79"/>
      <c r="D24" s="80"/>
      <c r="E24" s="65"/>
      <c r="F24" s="80"/>
      <c r="G24" s="65"/>
      <c r="H24" s="65"/>
      <c r="I24" s="93"/>
      <c r="J24" s="65"/>
      <c r="K24" s="65"/>
      <c r="L24" s="65"/>
      <c r="M24" s="98"/>
      <c r="N24" s="80"/>
      <c r="O24" s="65"/>
      <c r="P24" s="86"/>
      <c r="Q24" s="1156"/>
      <c r="R24" s="947"/>
      <c r="S24" s="947"/>
      <c r="T24" s="947"/>
      <c r="U2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5" spans="1:21" ht="12.75" hidden="1" customHeight="1" outlineLevel="1">
      <c r="A25" s="65">
        <v>24</v>
      </c>
      <c r="B25" s="79"/>
      <c r="C25" s="79"/>
      <c r="D25" s="80"/>
      <c r="E25" s="65"/>
      <c r="F25" s="949"/>
      <c r="G25" s="65"/>
      <c r="H25" s="65"/>
      <c r="I25" s="93"/>
      <c r="J25" s="65"/>
      <c r="K25" s="65"/>
      <c r="L25" s="65"/>
      <c r="M25" s="98"/>
      <c r="N25" s="80"/>
      <c r="O25" s="949"/>
      <c r="P25" s="86"/>
      <c r="Q25" s="1156"/>
      <c r="R25" s="947"/>
      <c r="S25" s="947"/>
      <c r="T25" s="947"/>
      <c r="U2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6" spans="1:21" ht="12.75" hidden="1" customHeight="1" outlineLevel="1">
      <c r="A26" s="65">
        <v>25</v>
      </c>
      <c r="B26" s="65"/>
      <c r="C26" s="79"/>
      <c r="D26" s="80"/>
      <c r="E26" s="65"/>
      <c r="F26" s="949"/>
      <c r="G26" s="65"/>
      <c r="H26" s="65"/>
      <c r="I26" s="93"/>
      <c r="J26" s="65"/>
      <c r="K26" s="65"/>
      <c r="L26" s="65"/>
      <c r="M26" s="1004"/>
      <c r="N26" s="80"/>
      <c r="O26" s="949"/>
      <c r="P26" s="949"/>
      <c r="Q26" s="949"/>
      <c r="R26" s="947"/>
      <c r="S26" s="947"/>
      <c r="T26" s="947"/>
      <c r="U2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7" spans="1:21" ht="12.75" hidden="1" customHeight="1" outlineLevel="1">
      <c r="A27" s="65">
        <v>26</v>
      </c>
      <c r="B27" s="79"/>
      <c r="C27" s="79"/>
      <c r="D27" s="80"/>
      <c r="E27" s="65"/>
      <c r="F27" s="86"/>
      <c r="G27" s="65"/>
      <c r="H27" s="65"/>
      <c r="I27" s="104"/>
      <c r="J27" s="65"/>
      <c r="K27" s="65"/>
      <c r="L27" s="65"/>
      <c r="M27" s="109"/>
      <c r="N27" s="80"/>
      <c r="O27" s="86"/>
      <c r="P27" s="86"/>
      <c r="Q27" s="1156"/>
      <c r="R27" s="947"/>
      <c r="S27" s="947"/>
      <c r="T27" s="947"/>
      <c r="U2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8" spans="1:21" ht="12.75" hidden="1" customHeight="1" outlineLevel="1">
      <c r="A28" s="65">
        <v>27</v>
      </c>
      <c r="B28" s="79"/>
      <c r="C28" s="79"/>
      <c r="D28" s="80"/>
      <c r="E28" s="65"/>
      <c r="F28" s="949"/>
      <c r="G28" s="65"/>
      <c r="H28" s="65"/>
      <c r="I28" s="93"/>
      <c r="J28" s="65"/>
      <c r="K28" s="65"/>
      <c r="L28" s="65"/>
      <c r="M28" s="98"/>
      <c r="N28" s="65"/>
      <c r="O28" s="65"/>
      <c r="P28" s="86"/>
      <c r="Q28" s="86"/>
      <c r="R28" s="947"/>
      <c r="S28" s="947"/>
      <c r="T28" s="947"/>
      <c r="U2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29" spans="1:21" ht="12.75" hidden="1" customHeight="1" outlineLevel="1">
      <c r="A29" s="65">
        <v>28</v>
      </c>
      <c r="B29" s="79"/>
      <c r="C29" s="79"/>
      <c r="D29" s="80"/>
      <c r="E29" s="65"/>
      <c r="F29" s="949"/>
      <c r="G29" s="65"/>
      <c r="H29" s="65"/>
      <c r="I29" s="93"/>
      <c r="J29" s="65"/>
      <c r="K29" s="65"/>
      <c r="L29" s="65"/>
      <c r="M29" s="98"/>
      <c r="N29" s="80"/>
      <c r="O29" s="65"/>
      <c r="P29" s="86"/>
      <c r="Q29" s="86"/>
      <c r="R29" s="947"/>
      <c r="S29" s="947"/>
      <c r="T29" s="947"/>
      <c r="U2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0" spans="1:21" ht="12.75" hidden="1" customHeight="1" outlineLevel="1">
      <c r="A30" s="65">
        <v>29</v>
      </c>
      <c r="B30" s="79"/>
      <c r="C30" s="79"/>
      <c r="D30" s="80"/>
      <c r="E30" s="65"/>
      <c r="F30" s="949"/>
      <c r="G30" s="65"/>
      <c r="H30" s="65"/>
      <c r="I30" s="93"/>
      <c r="J30" s="65"/>
      <c r="K30" s="65"/>
      <c r="L30" s="65"/>
      <c r="M30" s="98"/>
      <c r="N30" s="80"/>
      <c r="O30" s="65"/>
      <c r="P30" s="86"/>
      <c r="Q30" s="86"/>
      <c r="R30" s="947"/>
      <c r="S30" s="947"/>
      <c r="T30" s="947"/>
      <c r="U3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1" spans="1:21" ht="12.75" hidden="1" customHeight="1" outlineLevel="1">
      <c r="A31" s="65">
        <v>30</v>
      </c>
      <c r="B31" s="79"/>
      <c r="C31" s="79"/>
      <c r="D31" s="80"/>
      <c r="E31" s="65"/>
      <c r="F31" s="949"/>
      <c r="G31" s="65"/>
      <c r="H31" s="65"/>
      <c r="I31" s="93"/>
      <c r="J31" s="65"/>
      <c r="K31" s="65"/>
      <c r="L31" s="65"/>
      <c r="M31" s="98"/>
      <c r="N31" s="80"/>
      <c r="O31" s="65"/>
      <c r="P31" s="86"/>
      <c r="Q31" s="86"/>
      <c r="R31" s="947"/>
      <c r="S31" s="947"/>
      <c r="T31" s="947"/>
      <c r="U3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2" spans="1:21" ht="12.75" hidden="1" customHeight="1" outlineLevel="1">
      <c r="A32" s="65">
        <v>31</v>
      </c>
      <c r="B32" s="79"/>
      <c r="C32" s="79"/>
      <c r="D32" s="80"/>
      <c r="E32" s="65"/>
      <c r="F32" s="949"/>
      <c r="G32" s="65"/>
      <c r="H32" s="65"/>
      <c r="I32" s="105"/>
      <c r="J32" s="65"/>
      <c r="K32" s="65"/>
      <c r="L32" s="65"/>
      <c r="M32" s="110"/>
      <c r="N32" s="80"/>
      <c r="O32" s="65"/>
      <c r="P32" s="86"/>
      <c r="Q32" s="86"/>
      <c r="R32" s="947"/>
      <c r="S32" s="947"/>
      <c r="T32" s="947"/>
      <c r="U3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3" spans="1:21" ht="18" hidden="1" customHeight="1" outlineLevel="1">
      <c r="A33" s="65">
        <v>32</v>
      </c>
      <c r="B33" s="79"/>
      <c r="C33" s="79"/>
      <c r="D33" s="80"/>
      <c r="E33" s="65"/>
      <c r="F33" s="949"/>
      <c r="G33" s="65"/>
      <c r="H33" s="65"/>
      <c r="I33" s="544"/>
      <c r="J33" s="65"/>
      <c r="K33" s="65"/>
      <c r="L33" s="65"/>
      <c r="M33" s="1158"/>
      <c r="N33" s="80"/>
      <c r="O33" s="86"/>
      <c r="P33" s="86"/>
      <c r="Q33" s="86"/>
      <c r="R33" s="947"/>
      <c r="S33" s="947"/>
      <c r="T33" s="947"/>
      <c r="U3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4" spans="1:21" ht="12.75" hidden="1" customHeight="1" outlineLevel="1">
      <c r="A34" s="65">
        <v>33</v>
      </c>
      <c r="B34" s="79"/>
      <c r="C34" s="79"/>
      <c r="D34" s="80"/>
      <c r="E34" s="65"/>
      <c r="F34" s="934"/>
      <c r="G34" s="65"/>
      <c r="H34" s="65"/>
      <c r="I34" s="105"/>
      <c r="J34" s="65"/>
      <c r="K34" s="65"/>
      <c r="L34" s="65"/>
      <c r="M34" s="98"/>
      <c r="N34" s="80"/>
      <c r="O34" s="72"/>
      <c r="P34" s="86"/>
      <c r="Q34" s="86"/>
      <c r="R34" s="947"/>
      <c r="S34" s="947"/>
      <c r="T34" s="947"/>
      <c r="U3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5" spans="1:21" ht="12.75" hidden="1" customHeight="1" outlineLevel="1">
      <c r="A35" s="65">
        <v>34</v>
      </c>
      <c r="B35" s="79"/>
      <c r="C35" s="79"/>
      <c r="D35" s="80"/>
      <c r="E35" s="65"/>
      <c r="F35" s="934"/>
      <c r="G35" s="65"/>
      <c r="H35" s="65"/>
      <c r="I35" s="105"/>
      <c r="J35" s="65"/>
      <c r="K35" s="65"/>
      <c r="L35" s="65"/>
      <c r="M35" s="110"/>
      <c r="N35" s="80"/>
      <c r="O35" s="949"/>
      <c r="P35" s="86"/>
      <c r="Q35" s="86"/>
      <c r="R35" s="947"/>
      <c r="S35" s="947"/>
      <c r="T35" s="947"/>
      <c r="U3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6" spans="1:21" ht="12.75" hidden="1" customHeight="1" outlineLevel="1">
      <c r="A36" s="65">
        <v>35</v>
      </c>
      <c r="B36" s="65"/>
      <c r="C36" s="79"/>
      <c r="D36" s="80"/>
      <c r="E36" s="65"/>
      <c r="F36" s="934"/>
      <c r="G36" s="65"/>
      <c r="H36" s="65"/>
      <c r="I36" s="105"/>
      <c r="J36" s="65"/>
      <c r="K36" s="65"/>
      <c r="L36" s="65"/>
      <c r="M36" s="1159"/>
      <c r="N36" s="80"/>
      <c r="O36" s="934"/>
      <c r="P36" s="86"/>
      <c r="Q36" s="86"/>
      <c r="R36" s="947"/>
      <c r="S36" s="947"/>
      <c r="T36" s="947"/>
      <c r="U3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7" spans="1:21" ht="12.75" hidden="1" customHeight="1" outlineLevel="1">
      <c r="A37" s="65">
        <v>36</v>
      </c>
      <c r="B37" s="79"/>
      <c r="C37" s="79"/>
      <c r="D37" s="80"/>
      <c r="E37" s="65"/>
      <c r="F37" s="70"/>
      <c r="G37" s="65"/>
      <c r="H37" s="65"/>
      <c r="I37" s="544"/>
      <c r="J37" s="65"/>
      <c r="K37" s="65"/>
      <c r="L37" s="65"/>
      <c r="M37" s="1158"/>
      <c r="N37" s="80"/>
      <c r="O37" s="70"/>
      <c r="P37" s="86"/>
      <c r="Q37" s="86"/>
      <c r="R37" s="947"/>
      <c r="S37" s="947"/>
      <c r="T37" s="947"/>
      <c r="U3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8" spans="1:21" ht="12.75" hidden="1" customHeight="1" outlineLevel="1">
      <c r="A38" s="65">
        <v>37</v>
      </c>
      <c r="B38" s="79"/>
      <c r="C38" s="79"/>
      <c r="D38" s="80"/>
      <c r="E38" s="65"/>
      <c r="F38" s="70"/>
      <c r="G38" s="65"/>
      <c r="H38" s="65"/>
      <c r="I38" s="544"/>
      <c r="J38" s="65"/>
      <c r="K38" s="80"/>
      <c r="L38" s="65"/>
      <c r="M38" s="1158"/>
      <c r="N38" s="65"/>
      <c r="O38" s="1155"/>
      <c r="P38" s="86"/>
      <c r="Q38" s="86"/>
      <c r="R38" s="947"/>
      <c r="S38" s="947"/>
      <c r="T38" s="947"/>
      <c r="U3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39" spans="1:21" ht="12.75" hidden="1" customHeight="1" outlineLevel="1">
      <c r="A39" s="65">
        <v>38</v>
      </c>
      <c r="B39" s="79"/>
      <c r="C39" s="79"/>
      <c r="D39" s="80"/>
      <c r="E39" s="65"/>
      <c r="F39" s="1155"/>
      <c r="G39" s="80"/>
      <c r="H39" s="80"/>
      <c r="I39" s="544"/>
      <c r="J39" s="65"/>
      <c r="K39" s="80"/>
      <c r="L39" s="80"/>
      <c r="M39" s="1158"/>
      <c r="N39" s="80"/>
      <c r="O39" s="1155"/>
      <c r="P39" s="86"/>
      <c r="Q39" s="86"/>
      <c r="R39" s="947"/>
      <c r="S39" s="947"/>
      <c r="T39" s="947"/>
      <c r="U3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0" spans="1:21" hidden="1" outlineLevel="1">
      <c r="A40" s="65">
        <v>39</v>
      </c>
      <c r="B40" s="79"/>
      <c r="C40" s="79"/>
      <c r="D40" s="80"/>
      <c r="E40" s="65"/>
      <c r="F40" s="949"/>
      <c r="G40" s="65"/>
      <c r="H40" s="65"/>
      <c r="I40" s="105"/>
      <c r="J40" s="65"/>
      <c r="K40" s="65"/>
      <c r="L40" s="65"/>
      <c r="M40" s="98"/>
      <c r="N40" s="80"/>
      <c r="O40" s="65"/>
      <c r="P40" s="86"/>
      <c r="Q40" s="86"/>
      <c r="R40" s="947"/>
      <c r="S40" s="947"/>
      <c r="T40" s="947"/>
      <c r="U4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1" spans="1:21" hidden="1" outlineLevel="1">
      <c r="A41" s="65">
        <v>40</v>
      </c>
      <c r="B41" s="79"/>
      <c r="C41" s="79"/>
      <c r="D41" s="80"/>
      <c r="E41" s="65"/>
      <c r="F41" s="949"/>
      <c r="G41" s="65"/>
      <c r="H41" s="65"/>
      <c r="I41" s="105"/>
      <c r="J41" s="65"/>
      <c r="K41" s="65"/>
      <c r="L41" s="65"/>
      <c r="M41" s="98"/>
      <c r="N41" s="80"/>
      <c r="O41" s="65"/>
      <c r="P41" s="86"/>
      <c r="Q41" s="86"/>
      <c r="R41" s="947"/>
      <c r="S41" s="947"/>
      <c r="T41" s="947"/>
      <c r="U4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2" spans="1:21" ht="12.75" hidden="1" customHeight="1" outlineLevel="1">
      <c r="A42" s="65">
        <v>41</v>
      </c>
      <c r="B42" s="79"/>
      <c r="C42" s="79"/>
      <c r="D42" s="80"/>
      <c r="E42" s="65"/>
      <c r="F42" s="949"/>
      <c r="G42" s="65"/>
      <c r="H42" s="65"/>
      <c r="I42" s="105"/>
      <c r="J42" s="65"/>
      <c r="K42" s="65"/>
      <c r="L42" s="65"/>
      <c r="M42" s="98"/>
      <c r="N42" s="80"/>
      <c r="O42" s="65"/>
      <c r="P42" s="86"/>
      <c r="Q42" s="86"/>
      <c r="R42" s="947"/>
      <c r="S42" s="947"/>
      <c r="T42" s="947"/>
      <c r="U4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3" spans="1:21" ht="12.75" hidden="1" customHeight="1" outlineLevel="1">
      <c r="A43" s="65">
        <v>42</v>
      </c>
      <c r="B43" s="79"/>
      <c r="C43" s="79"/>
      <c r="D43" s="80"/>
      <c r="E43" s="65"/>
      <c r="F43" s="949"/>
      <c r="G43" s="65"/>
      <c r="H43" s="65"/>
      <c r="I43" s="105"/>
      <c r="J43" s="65"/>
      <c r="K43" s="65"/>
      <c r="L43" s="65"/>
      <c r="M43" s="98"/>
      <c r="N43" s="65"/>
      <c r="O43" s="65"/>
      <c r="P43" s="86"/>
      <c r="Q43" s="86"/>
      <c r="R43" s="947"/>
      <c r="S43" s="947"/>
      <c r="T43" s="947"/>
      <c r="U4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4" spans="1:21" ht="12.75" hidden="1" customHeight="1" outlineLevel="1">
      <c r="A44" s="65">
        <v>43</v>
      </c>
      <c r="B44" s="79"/>
      <c r="C44" s="79"/>
      <c r="D44" s="80"/>
      <c r="E44" s="65"/>
      <c r="F44" s="949"/>
      <c r="G44" s="65"/>
      <c r="H44" s="65"/>
      <c r="I44" s="105"/>
      <c r="J44" s="65"/>
      <c r="K44" s="65"/>
      <c r="L44" s="65"/>
      <c r="M44" s="98"/>
      <c r="N44" s="65"/>
      <c r="O44" s="65"/>
      <c r="P44" s="86"/>
      <c r="Q44" s="86"/>
      <c r="R44" s="947"/>
      <c r="S44" s="947"/>
      <c r="T44" s="947"/>
      <c r="U4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5" spans="1:21" hidden="1" outlineLevel="1">
      <c r="A45" s="65">
        <v>44</v>
      </c>
      <c r="B45" s="79"/>
      <c r="C45" s="79"/>
      <c r="D45" s="80"/>
      <c r="E45" s="65"/>
      <c r="F45" s="934"/>
      <c r="G45" s="65"/>
      <c r="H45" s="65"/>
      <c r="I45" s="105"/>
      <c r="J45" s="65"/>
      <c r="K45" s="65"/>
      <c r="L45" s="108"/>
      <c r="M45" s="110"/>
      <c r="N45" s="65"/>
      <c r="O45" s="72"/>
      <c r="P45" s="86"/>
      <c r="Q45" s="86"/>
      <c r="R45" s="947"/>
      <c r="S45" s="947"/>
      <c r="T45" s="947"/>
      <c r="U4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6" spans="1:21" hidden="1" outlineLevel="1">
      <c r="A46" s="65">
        <v>45</v>
      </c>
      <c r="B46" s="79"/>
      <c r="C46" s="78"/>
      <c r="D46" s="80"/>
      <c r="E46" s="65"/>
      <c r="F46" s="949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7"/>
      <c r="S46" s="947"/>
      <c r="T46" s="947"/>
      <c r="U4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7" spans="1:21" hidden="1" outlineLevel="1">
      <c r="A47" s="65">
        <v>46</v>
      </c>
      <c r="B47" s="79"/>
      <c r="C47" s="79"/>
      <c r="D47" s="80"/>
      <c r="E47" s="65"/>
      <c r="F47" s="934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7"/>
      <c r="S47" s="947"/>
      <c r="T47" s="947"/>
      <c r="U4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8" spans="1:21" hidden="1" outlineLevel="1">
      <c r="A48" s="65">
        <v>47</v>
      </c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7"/>
      <c r="U4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49" spans="1:21" hidden="1" outlineLevel="1">
      <c r="A49" s="65">
        <v>48</v>
      </c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7"/>
      <c r="U4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0" spans="1:21" hidden="1" outlineLevel="1">
      <c r="A50" s="65">
        <v>49</v>
      </c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7"/>
      <c r="U5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1" spans="1:21" hidden="1" outlineLevel="1">
      <c r="A51" s="65">
        <v>50</v>
      </c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7"/>
      <c r="U5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2" spans="1:21" hidden="1" outlineLevel="1">
      <c r="A52" s="65">
        <v>51</v>
      </c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3" spans="1:21" hidden="1" outlineLevel="1">
      <c r="A53" s="65">
        <v>52</v>
      </c>
      <c r="B53" s="79"/>
      <c r="C53" s="79"/>
      <c r="D53" s="80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7"/>
      <c r="U5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4" spans="1:21" hidden="1" outlineLevel="1">
      <c r="A54" s="65">
        <v>53</v>
      </c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5" spans="1:21" hidden="1" outlineLevel="1">
      <c r="A55" s="65">
        <v>54</v>
      </c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6" spans="1:21" hidden="1" outlineLevel="1">
      <c r="A56" s="65">
        <v>55</v>
      </c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7"/>
      <c r="U5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7" spans="1:21" hidden="1" outlineLevel="1">
      <c r="A57" s="65">
        <v>56</v>
      </c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8" spans="1:21" hidden="1" outlineLevel="1">
      <c r="A58" s="65">
        <v>57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59" spans="1:21" ht="12" hidden="1" customHeight="1" outlineLevel="1">
      <c r="A59" s="65">
        <v>58</v>
      </c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0" spans="1:21" hidden="1" outlineLevel="1">
      <c r="A60" s="65">
        <v>59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1" spans="1:21" hidden="1" outlineLevel="1">
      <c r="A61" s="65">
        <v>60</v>
      </c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2" spans="1:21" hidden="1" outlineLevel="1">
      <c r="A62" s="65">
        <v>61</v>
      </c>
      <c r="B62" s="79"/>
      <c r="C62" s="79"/>
      <c r="D62" s="80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3" spans="1:21" hidden="1" outlineLevel="1">
      <c r="A63" s="65">
        <v>62</v>
      </c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4" spans="1:21" hidden="1" outlineLevel="1">
      <c r="A64" s="65">
        <v>63</v>
      </c>
      <c r="B64" s="79"/>
      <c r="C64" s="79"/>
      <c r="D64" s="80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5" spans="1:21" ht="15.75" hidden="1" customHeight="1" outlineLevel="1">
      <c r="A65" s="65">
        <v>64</v>
      </c>
      <c r="B65" s="79"/>
      <c r="C65" s="79"/>
      <c r="D65" s="80"/>
      <c r="E65" s="65"/>
      <c r="F65" s="72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6" spans="1:21" hidden="1" outlineLevel="1">
      <c r="A66" s="65">
        <v>65</v>
      </c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7" spans="1:21" hidden="1" outlineLevel="1">
      <c r="A67" s="65">
        <v>66</v>
      </c>
      <c r="B67" s="79"/>
      <c r="C67" s="79"/>
      <c r="D67" s="80"/>
      <c r="E67" s="65"/>
      <c r="F67" s="72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947"/>
      <c r="S67" s="947"/>
      <c r="T67" s="947"/>
      <c r="U67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8" spans="1:21" hidden="1" outlineLevel="1">
      <c r="A68" s="65">
        <v>67</v>
      </c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69" spans="1:21" hidden="1" outlineLevel="1">
      <c r="A69" s="65">
        <v>68</v>
      </c>
      <c r="B69" s="79"/>
      <c r="C69" s="79"/>
      <c r="D69" s="80"/>
      <c r="E69" s="65"/>
      <c r="F69" s="934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0" spans="1:21" hidden="1" outlineLevel="1">
      <c r="A70" s="65">
        <v>69</v>
      </c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388"/>
      <c r="P70" s="86"/>
      <c r="Q70" s="86"/>
      <c r="R70" s="947"/>
      <c r="S70" s="947"/>
      <c r="T70" s="947"/>
      <c r="U70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1" spans="1:21" hidden="1" outlineLevel="1">
      <c r="A71" s="65">
        <v>70</v>
      </c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2" spans="1:21" hidden="1" outlineLevel="1">
      <c r="A72" s="65">
        <v>71</v>
      </c>
      <c r="B72" s="79"/>
      <c r="C72" s="79"/>
      <c r="D72" s="80"/>
      <c r="E72" s="65"/>
      <c r="F72" s="72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947"/>
      <c r="S72" s="947"/>
      <c r="T72" s="947"/>
      <c r="U72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3" spans="1:21" hidden="1" outlineLevel="1">
      <c r="A73" s="65">
        <v>72</v>
      </c>
      <c r="B73" s="79"/>
      <c r="C73" s="79"/>
      <c r="D73" s="80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947"/>
      <c r="S73" s="947"/>
      <c r="T73" s="947"/>
      <c r="U73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4" spans="1:21" hidden="1" outlineLevel="1">
      <c r="A74" s="65">
        <v>73</v>
      </c>
      <c r="B74" s="79"/>
      <c r="C74" s="79"/>
      <c r="D74" s="80"/>
      <c r="E74" s="65"/>
      <c r="F74" s="934"/>
      <c r="G74" s="65"/>
      <c r="H74" s="65"/>
      <c r="I74" s="105"/>
      <c r="J74" s="65"/>
      <c r="K74" s="65"/>
      <c r="L74" s="65"/>
      <c r="M74" s="110"/>
      <c r="N74" s="65"/>
      <c r="O74" s="72"/>
      <c r="P74" s="86"/>
      <c r="Q74" s="86"/>
      <c r="R74" s="947"/>
      <c r="S74" s="947"/>
      <c r="T74" s="947"/>
      <c r="U74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5" spans="1:21" hidden="1" outlineLevel="1">
      <c r="A75" s="65">
        <v>74</v>
      </c>
      <c r="B75" s="79"/>
      <c r="C75" s="79"/>
      <c r="D75" s="80"/>
      <c r="E75" s="65"/>
      <c r="F75" s="934"/>
      <c r="G75" s="65"/>
      <c r="H75" s="65"/>
      <c r="I75" s="105"/>
      <c r="J75" s="65"/>
      <c r="K75" s="65"/>
      <c r="L75" s="65"/>
      <c r="M75" s="110"/>
      <c r="N75" s="65"/>
      <c r="O75" s="72"/>
      <c r="P75" s="86"/>
      <c r="Q75" s="86"/>
      <c r="R75" s="947"/>
      <c r="S75" s="947"/>
      <c r="T75" s="947"/>
      <c r="U75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6" spans="1:21" hidden="1" outlineLevel="1">
      <c r="A76" s="65">
        <v>75</v>
      </c>
      <c r="B76" s="79"/>
      <c r="C76" s="79"/>
      <c r="D76" s="80"/>
      <c r="E76" s="65"/>
      <c r="F76" s="934"/>
      <c r="G76" s="65"/>
      <c r="H76" s="65"/>
      <c r="I76" s="105"/>
      <c r="J76" s="65"/>
      <c r="K76" s="65"/>
      <c r="L76" s="65"/>
      <c r="M76" s="110"/>
      <c r="N76" s="65"/>
      <c r="O76" s="72"/>
      <c r="P76" s="86"/>
      <c r="Q76" s="86"/>
      <c r="R76" s="947"/>
      <c r="S76" s="947"/>
      <c r="T76" s="947"/>
      <c r="U76" s="948" t="str">
        <f>IFERROR(IF(Май2022349[[#This Row],[№ дома]]="Дом 2",SUM(Май2022349[[#This Row],[сумма]]/Май2022349[[#This Row],[м2]],IF(Май2022349[[#This Row],[Отделка]]="Черновая",0,"")&amp;IF(Май2022349[[#This Row],[Отделка]]="Предчистовая",-5500,"")&amp;IF(Май2022349[[#This Row],[Отделка]]="Чистовая",-16000,""))*Май2022349[[#This Row],[м2]],SUM(Май2022349[[#This Row],[сумма]]/Май2022349[[#This Row],[м2]],IF(Май2022349[[#This Row],[Отделка]]="Черновая",0,"")&amp;IF(Май2022349[[#This Row],[Отделка]]="Предчистовая",-7000,"")&amp;IF(Май2022349[[#This Row],[Отделка]]="Чистовая",-20000,""))*Май2022349[[#This Row],[м2]]),"")</f>
        <v/>
      </c>
    </row>
    <row r="77" spans="1:21">
      <c r="A77" s="65"/>
      <c r="B77" s="79"/>
      <c r="C77" s="79"/>
      <c r="D77" s="65"/>
      <c r="E77" s="65"/>
      <c r="F77" s="934"/>
      <c r="G77" s="65"/>
      <c r="H77" s="65"/>
      <c r="I77" s="105"/>
      <c r="J77" s="65"/>
      <c r="K77" s="65"/>
      <c r="L77" s="108"/>
      <c r="M77" s="110"/>
      <c r="N77" s="65"/>
      <c r="O77" s="72"/>
      <c r="P77" s="86"/>
      <c r="Q77" s="86"/>
      <c r="R77" s="86"/>
      <c r="S77" s="86"/>
      <c r="T77" s="86"/>
      <c r="U77" s="948"/>
    </row>
    <row r="78" spans="1:21">
      <c r="A78" s="2290" t="s">
        <v>713</v>
      </c>
      <c r="B78" s="2291"/>
      <c r="C78" s="972" t="s">
        <v>121</v>
      </c>
      <c r="D78" s="2295"/>
      <c r="E78" s="2296"/>
      <c r="F78" s="2296"/>
      <c r="G78" s="2296"/>
      <c r="H78" s="2296"/>
      <c r="I78" s="2296"/>
      <c r="J78" s="2296"/>
      <c r="K78" s="2296"/>
      <c r="L78" s="2296"/>
      <c r="M78" s="2296"/>
      <c r="N78" s="2296"/>
      <c r="O78" s="2296"/>
      <c r="P78" s="2296"/>
      <c r="Q78" s="86"/>
      <c r="R78" s="86"/>
      <c r="S78" s="86"/>
      <c r="T78" s="86"/>
    </row>
    <row r="79" spans="1:21" ht="25.5">
      <c r="A79" s="692" t="s">
        <v>1</v>
      </c>
      <c r="B79" s="686" t="s">
        <v>100</v>
      </c>
      <c r="C79" s="687" t="s">
        <v>97</v>
      </c>
      <c r="D79" s="688" t="s">
        <v>95</v>
      </c>
      <c r="E79" s="1033" t="s">
        <v>494</v>
      </c>
      <c r="F79" s="1033" t="s">
        <v>495</v>
      </c>
      <c r="G79" s="1033" t="s">
        <v>496</v>
      </c>
      <c r="H79" s="1034" t="s">
        <v>101</v>
      </c>
      <c r="I79" s="1023" t="s">
        <v>98</v>
      </c>
      <c r="J79" s="1023" t="s">
        <v>96</v>
      </c>
      <c r="K79" s="1023" t="s">
        <v>715</v>
      </c>
      <c r="L79" s="1060" t="s">
        <v>716</v>
      </c>
      <c r="M79" s="1087">
        <v>0</v>
      </c>
      <c r="N79" s="1033">
        <v>1</v>
      </c>
      <c r="O79" s="1033">
        <v>2</v>
      </c>
      <c r="P79" s="1033">
        <v>3</v>
      </c>
      <c r="Q79" s="1104">
        <v>4</v>
      </c>
      <c r="R79" s="950"/>
      <c r="S79" s="950"/>
      <c r="T79" s="950"/>
      <c r="U79" s="951"/>
    </row>
    <row r="80" spans="1:21">
      <c r="A80" s="1020" t="s">
        <v>73</v>
      </c>
      <c r="B80" s="1160">
        <v>85</v>
      </c>
      <c r="C80" s="939">
        <v>6522125.2675000001</v>
      </c>
      <c r="D80" s="1069">
        <v>2</v>
      </c>
      <c r="E80" s="145">
        <f>SUMIFS(Май2022349[м2],Май2022349[МОП],$A80,Май2022349[№ дома],$C$78)</f>
        <v>60.2</v>
      </c>
      <c r="F80" s="939">
        <f>SUMIFS(Май2022349[сумма без отделки],Май2022349[МОП],$A80,Май2022349[№ дома],$C$78)</f>
        <v>5349785.9800000004</v>
      </c>
      <c r="G80" s="1038">
        <f>COUNTIFS(Май2022349[МОП],$A80,Май2022349[№ дома],$C$78)</f>
        <v>1</v>
      </c>
      <c r="H80" s="148">
        <f>SUMIFS(РД[S],РД[Дом],$C$78,РД[МОП],A80,РД[Дата подачи на регистрацию],"&lt;="&amp;$A$1,РД[Дата подачи на регистрацию],"&gt;="&amp;DATE(YEAR($A$1),MONTH($A$1),1))</f>
        <v>61.7</v>
      </c>
      <c r="I80" s="149">
        <f>SUMIFS(РД[Стоимость без отделки итог],РД[Дом],$C$78,РД[МОП],A80,РД[Дата подачи на регистрацию],"&lt;="&amp;$A$1,РД[Дата подачи на регистрацию],"&gt;="&amp;DATE(YEAR($A$1),MONTH($A$1),1))</f>
        <v>5349785.9800000004</v>
      </c>
      <c r="J80" s="220">
        <f>COUNTIFS(РД[Дом],$C$78,РД[МОП],A80,РД[Дата подачи на регистрацию],"&lt;="&amp;$A$1,РД[Дата подачи на регистрацию],"&gt;="&amp;DATE(YEAR($A$1),MONTH($A$1),1))</f>
        <v>1</v>
      </c>
      <c r="K80" s="943">
        <f t="shared" ref="K80:L84" si="0">IFERROR(H80/B80,)</f>
        <v>0.72588235294117653</v>
      </c>
      <c r="L80" s="1061">
        <f t="shared" si="0"/>
        <v>0.82025195171552268</v>
      </c>
      <c r="M80" s="1088">
        <f>COUNTIFS(РД[Тип кв],M$79,РД[МОП],$A80,РД[Дом],$C$78,РД[Дата подачи на регистрацию],"&lt;="&amp;$A$1,РД[Дата подачи на регистрацию],"&gt;="&amp;DATE(YEAR($A$1),MONTH($A$1),1))</f>
        <v>0</v>
      </c>
      <c r="N80" s="1089">
        <f>COUNTIFS(РД[Тип кв],N$79,РД[МОП],$A80,РД[Дом],$C$78,РД[Дата подачи на регистрацию],"&lt;="&amp;$A$1,РД[Дата подачи на регистрацию],"&gt;="&amp;DATE(YEAR($A$1),MONTH($A$1),1))</f>
        <v>0</v>
      </c>
      <c r="O80" s="1089">
        <f>COUNTIFS(РД[Тип кв],O$79,РД[МОП],$A80,РД[Дом],$C$78,РД[Дата подачи на регистрацию],"&lt;="&amp;$A$1,РД[Дата подачи на регистрацию],"&gt;="&amp;DATE(YEAR($A$1),MONTH($A$1),1))</f>
        <v>1</v>
      </c>
      <c r="P80" s="1089">
        <f>COUNTIFS(РД[Тип кв],P$79,РД[МОП],$A80,РД[Дом],$C$78,РД[Дата подачи на регистрацию],"&lt;="&amp;$A$1,РД[Дата подачи на регистрацию],"&gt;="&amp;DATE(YEAR($A$1),MONTH($A$1),1))</f>
        <v>0</v>
      </c>
      <c r="Q80" s="1098">
        <f>COUNTIFS(РД[Тип кв],Q$79,РД[МОП],$A80,РД[Дом],$C$78,РД[Дата подачи на регистрацию],"&lt;="&amp;$A$1,РД[Дата подачи на регистрацию],"&gt;="&amp;DATE(YEAR($A$1),MONTH($A$1),1))</f>
        <v>0</v>
      </c>
      <c r="R80" s="949"/>
      <c r="S80" s="949"/>
      <c r="T80" s="949"/>
    </row>
    <row r="81" spans="1:21">
      <c r="A81" s="981" t="s">
        <v>77</v>
      </c>
      <c r="B81" s="1160">
        <v>150</v>
      </c>
      <c r="C81" s="939">
        <v>11509632.824999999</v>
      </c>
      <c r="D81" s="1069">
        <v>3</v>
      </c>
      <c r="E81" s="145">
        <f>SUMIFS(Май2022349[м2],Май2022349[МОП],$A81,Май2022349[№ дома],$C$78)</f>
        <v>0</v>
      </c>
      <c r="F81" s="939">
        <f>SUMIFS(Май2022349[сумма без отделки],Май2022349[МОП],$A81,Май2022349[№ дома],$C$78)</f>
        <v>0</v>
      </c>
      <c r="G81" s="1038">
        <f>COUNTIFS(Май2022349[МОП],$A81,Май2022349[№ дома],$C$78)</f>
        <v>0</v>
      </c>
      <c r="H81" s="148">
        <f>SUMIFS(РД[S],РД[Дом],$C$78,РД[МОП],A81,РД[Дата подачи на регистрацию],"&lt;="&amp;$A$1,РД[Дата подачи на регистрацию],"&gt;="&amp;DATE(YEAR($A$1),MONTH($A$1),1))</f>
        <v>0</v>
      </c>
      <c r="I81" s="149">
        <f>SUMIFS(РД[Стоимость без отделки итог],РД[Дом],$C$78,РД[МОП],A81,РД[Дата подачи на регистрацию],"&lt;="&amp;$A$1,РД[Дата подачи на регистрацию],"&gt;="&amp;DATE(YEAR($A$1),MONTH($A$1),1))</f>
        <v>0</v>
      </c>
      <c r="J81" s="220">
        <f>COUNTIFS(РД[Дом],$C$78,РД[МОП],A81,РД[Дата подачи на регистрацию],"&lt;="&amp;$A$1,РД[Дата подачи на регистрацию],"&gt;="&amp;DATE(YEAR($A$1),MONTH($A$1),1))</f>
        <v>0</v>
      </c>
      <c r="K81" s="987">
        <f t="shared" si="0"/>
        <v>0</v>
      </c>
      <c r="L81" s="1062">
        <f t="shared" si="0"/>
        <v>0</v>
      </c>
      <c r="M81" s="1090">
        <f>COUNTIFS(РД[Тип кв],M$79,РД[МОП],$A81,РД[Дом],$C$78,РД[Дата подачи на регистрацию],"&lt;="&amp;$A$1,РД[Дата подачи на регистрацию],"&gt;="&amp;DATE(YEAR($A$1),MONTH($A$1),1))</f>
        <v>0</v>
      </c>
      <c r="N81" s="339">
        <f>COUNTIFS(РД[Тип кв],N$79,РД[МОП],$A81,РД[Дом],$C$78,РД[Дата подачи на регистрацию],"&lt;="&amp;$A$1,РД[Дата подачи на регистрацию],"&gt;="&amp;DATE(YEAR($A$1),MONTH($A$1),1))</f>
        <v>0</v>
      </c>
      <c r="O81" s="339">
        <f>COUNTIFS(РД[Тип кв],O$79,РД[МОП],$A81,РД[Дом],$C$78,РД[Дата подачи на регистрацию],"&lt;="&amp;$A$1,РД[Дата подачи на регистрацию],"&gt;="&amp;DATE(YEAR($A$1),MONTH($A$1),1))</f>
        <v>0</v>
      </c>
      <c r="P81" s="339">
        <f>COUNTIFS(РД[Тип кв],P$79,РД[МОП],$A81,РД[Дом],$C$78,РД[Дата подачи на регистрацию],"&lt;="&amp;$A$1,РД[Дата подачи на регистрацию],"&gt;="&amp;DATE(YEAR($A$1),MONTH($A$1),1))</f>
        <v>0</v>
      </c>
      <c r="Q81" s="1099">
        <f>COUNTIFS(РД[Тип кв],Q$79,РД[МОП],$A81,РД[Дом],$C$78,РД[Дата подачи на регистрацию],"&lt;="&amp;$A$1,РД[Дата подачи на регистрацию],"&gt;="&amp;DATE(YEAR($A$1),MONTH($A$1),1))</f>
        <v>0</v>
      </c>
      <c r="R81" s="949"/>
      <c r="S81" s="949"/>
      <c r="T81" s="949"/>
    </row>
    <row r="82" spans="1:21">
      <c r="A82" s="1042" t="s">
        <v>1046</v>
      </c>
      <c r="B82" s="1160">
        <v>150</v>
      </c>
      <c r="C82" s="939">
        <v>11509632.824999999</v>
      </c>
      <c r="D82" s="1069">
        <v>3</v>
      </c>
      <c r="E82" s="145">
        <f>SUMIFS(Май2022349[м2],Май2022349[МОП],$A82,Май2022349[№ дома],$C$78)</f>
        <v>0</v>
      </c>
      <c r="F82" s="939">
        <f>SUMIFS(Май2022349[сумма без отделки],Май2022349[МОП],$A82,Май2022349[№ дома],$C$78)</f>
        <v>0</v>
      </c>
      <c r="G82" s="1038">
        <f>COUNTIFS(Май2022349[МОП],$A82,Май2022349[№ дома],$C$78)</f>
        <v>0</v>
      </c>
      <c r="H82" s="148">
        <f>SUMIFS(РД[S],РД[Дом],$C$78,РД[МОП],A82,РД[Дата подачи на регистрацию],"&lt;="&amp;$A$1,РД[Дата подачи на регистрацию],"&gt;="&amp;DATE(YEAR($A$1),MONTH($A$1),1))</f>
        <v>0</v>
      </c>
      <c r="I82" s="149">
        <f>SUMIFS(РД[Стоимость без отделки итог],РД[Дом],$C$78,РД[МОП],A82,РД[Дата подачи на регистрацию],"&lt;="&amp;$A$1,РД[Дата подачи на регистрацию],"&gt;="&amp;DATE(YEAR($A$1),MONTH($A$1),1))</f>
        <v>0</v>
      </c>
      <c r="J82" s="220">
        <f>COUNTIFS(РД[Дом],$C$78,РД[МОП],A82,РД[Дата подачи на регистрацию],"&lt;="&amp;$A$1,РД[Дата подачи на регистрацию],"&gt;="&amp;DATE(YEAR($A$1),MONTH($A$1),1))</f>
        <v>0</v>
      </c>
      <c r="K82" s="987">
        <f t="shared" si="0"/>
        <v>0</v>
      </c>
      <c r="L82" s="1062">
        <f t="shared" si="0"/>
        <v>0</v>
      </c>
      <c r="M82" s="1090">
        <f>COUNTIFS(РД[Тип кв],M$79,РД[МОП],$A82,РД[Дом],$C$78,РД[Дата подачи на регистрацию],"&lt;="&amp;$A$1,РД[Дата подачи на регистрацию],"&gt;="&amp;DATE(YEAR($A$1),MONTH($A$1),1))</f>
        <v>0</v>
      </c>
      <c r="N82" s="339">
        <f>COUNTIFS(РД[Тип кв],N$79,РД[МОП],$A82,РД[Дом],$C$78,РД[Дата подачи на регистрацию],"&lt;="&amp;$A$1,РД[Дата подачи на регистрацию],"&gt;="&amp;DATE(YEAR($A$1),MONTH($A$1),1))</f>
        <v>0</v>
      </c>
      <c r="O82" s="339">
        <f>COUNTIFS(РД[Тип кв],O$79,РД[МОП],$A82,РД[Дом],$C$78,РД[Дата подачи на регистрацию],"&lt;="&amp;$A$1,РД[Дата подачи на регистрацию],"&gt;="&amp;DATE(YEAR($A$1),MONTH($A$1),1))</f>
        <v>0</v>
      </c>
      <c r="P82" s="339">
        <f>COUNTIFS(РД[Тип кв],P$79,РД[МОП],$A82,РД[Дом],$C$78,РД[Дата подачи на регистрацию],"&lt;="&amp;$A$1,РД[Дата подачи на регистрацию],"&gt;="&amp;DATE(YEAR($A$1),MONTH($A$1),1))</f>
        <v>0</v>
      </c>
      <c r="Q82" s="1099">
        <f>COUNTIFS(РД[Тип кв],Q$79,РД[МОП],$A82,РД[Дом],$C$78,РД[Дата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1042" t="s">
        <v>63</v>
      </c>
      <c r="B83" s="1160">
        <v>69</v>
      </c>
      <c r="C83" s="939">
        <v>5294431.0994999995</v>
      </c>
      <c r="D83" s="1069">
        <v>1</v>
      </c>
      <c r="E83" s="145">
        <f>SUMIFS(Май2022349[м2],Май2022349[МОП],$A83,Май2022349[№ дома],$C$78)</f>
        <v>0</v>
      </c>
      <c r="F83" s="939">
        <f>SUMIFS(Май2022349[сумма без отделки],Май2022349[МОП],$A83,Май2022349[№ дома],$C$78)</f>
        <v>0</v>
      </c>
      <c r="G83" s="1038">
        <f>COUNTIFS(Май2022349[МОП],$A83,Май2022349[№ дома],$C$78)</f>
        <v>0</v>
      </c>
      <c r="H83" s="148">
        <f>SUMIFS(РД[S],РД[Дом],$C$78,РД[МОП],A83,РД[Дата подачи на регистрацию],"&lt;="&amp;$A$1,РД[Дата подачи на регистрацию],"&gt;="&amp;DATE(YEAR($A$1),MONTH($A$1),1))</f>
        <v>0</v>
      </c>
      <c r="I83" s="149">
        <f>SUMIFS(РД[Стоимость без отделки итог],РД[Дом],$C$78,РД[МОП],A83,РД[Дата подачи на регистрацию],"&lt;="&amp;$A$1,РД[Дата подачи на регистрацию],"&gt;="&amp;DATE(YEAR($A$1),MONTH($A$1),1))</f>
        <v>0</v>
      </c>
      <c r="J83" s="220">
        <f>COUNTIFS(РД[Дом],$C$78,РД[МОП],A83,РД[Дата подачи на регистрацию],"&lt;="&amp;$A$1,РД[Дата подачи на регистрацию],"&gt;="&amp;DATE(YEAR($A$1),MONTH($A$1),1))</f>
        <v>0</v>
      </c>
      <c r="K83" s="987">
        <f t="shared" si="0"/>
        <v>0</v>
      </c>
      <c r="L83" s="1062">
        <f t="shared" si="0"/>
        <v>0</v>
      </c>
      <c r="M83" s="1090">
        <f>COUNTIFS(РД[Тип кв],M$79,РД[МОП],$A83,РД[Дом],$C$78,РД[Дата подачи на регистрацию],"&lt;="&amp;$A$1,РД[Дата подачи на регистрацию],"&gt;="&amp;DATE(YEAR($A$1),MONTH($A$1),1))</f>
        <v>0</v>
      </c>
      <c r="N83" s="339">
        <f>COUNTIFS(РД[Тип кв],N$79,РД[МОП],$A83,РД[Дом],$C$78,РД[Дата подачи на регистрацию],"&lt;="&amp;$A$1,РД[Дата подачи на регистрацию],"&gt;="&amp;DATE(YEAR($A$1),MONTH($A$1),1))</f>
        <v>0</v>
      </c>
      <c r="O83" s="339">
        <f>COUNTIFS(РД[Тип кв],O$79,РД[МОП],$A83,РД[Дом],$C$78,РД[Дата подачи на регистрацию],"&lt;="&amp;$A$1,РД[Дата подачи на регистрацию],"&gt;="&amp;DATE(YEAR($A$1),MONTH($A$1),1))</f>
        <v>0</v>
      </c>
      <c r="P83" s="339">
        <f>COUNTIFS(РД[Тип кв],P$79,РД[МОП],$A83,РД[Дом],$C$78,РД[Дата подачи на регистрацию],"&lt;="&amp;$A$1,РД[Дата подачи на регистрацию],"&gt;="&amp;DATE(YEAR($A$1),MONTH($A$1),1))</f>
        <v>0</v>
      </c>
      <c r="Q83" s="1099">
        <f>COUNTIFS(РД[Тип кв],Q$79,РД[МОП],$A83,РД[Дом],$C$78,РД[Дата подачи на регистрацию],"&lt;="&amp;$A$1,РД[Дата подачи на регистрацию],"&gt;="&amp;DATE(YEAR($A$1),MONTH($A$1),1))</f>
        <v>0</v>
      </c>
      <c r="R83" s="949"/>
      <c r="S83" s="949"/>
      <c r="T83" s="949"/>
    </row>
    <row r="84" spans="1:21">
      <c r="A84" s="984" t="s">
        <v>114</v>
      </c>
      <c r="B84" s="1161">
        <v>454</v>
      </c>
      <c r="C84" s="1161">
        <v>34835822</v>
      </c>
      <c r="D84" s="1162">
        <f>SUM(D80:D83)</f>
        <v>9</v>
      </c>
      <c r="E84" s="1123">
        <f t="shared" ref="E84:J84" si="1">SUM(E80:E83)</f>
        <v>60.2</v>
      </c>
      <c r="F84" s="1163">
        <f t="shared" si="1"/>
        <v>5349785.9800000004</v>
      </c>
      <c r="G84" s="1164">
        <f t="shared" si="1"/>
        <v>1</v>
      </c>
      <c r="H84" s="906">
        <f t="shared" si="1"/>
        <v>61.7</v>
      </c>
      <c r="I84" s="1124">
        <f t="shared" si="1"/>
        <v>5349785.9800000004</v>
      </c>
      <c r="J84" s="1123">
        <f t="shared" si="1"/>
        <v>1</v>
      </c>
      <c r="K84" s="1183">
        <f t="shared" si="0"/>
        <v>0.13590308370044055</v>
      </c>
      <c r="L84" s="1184">
        <f t="shared" si="0"/>
        <v>0.153571400726528</v>
      </c>
      <c r="M84" s="906">
        <f>SUM(M80:M83)</f>
        <v>0</v>
      </c>
      <c r="N84" s="1123">
        <f>SUM(N80:N83)</f>
        <v>0</v>
      </c>
      <c r="O84" s="1123">
        <f>SUM(O80:O83)</f>
        <v>1</v>
      </c>
      <c r="P84" s="1185">
        <f>SUM(P80:P83)</f>
        <v>0</v>
      </c>
      <c r="Q84" s="1167">
        <f>SUM(Q80:Q83)</f>
        <v>0</v>
      </c>
      <c r="R84" s="949"/>
      <c r="S84" s="949"/>
      <c r="T84" s="949"/>
    </row>
    <row r="85" spans="1:21" ht="25.5">
      <c r="A85" s="692" t="s">
        <v>115</v>
      </c>
      <c r="B85" s="686" t="s">
        <v>100</v>
      </c>
      <c r="C85" s="693" t="s">
        <v>97</v>
      </c>
      <c r="D85" s="688" t="s">
        <v>95</v>
      </c>
      <c r="E85" s="1033" t="s">
        <v>494</v>
      </c>
      <c r="F85" s="1033" t="s">
        <v>495</v>
      </c>
      <c r="G85" s="1104" t="s">
        <v>496</v>
      </c>
      <c r="H85" s="1034" t="s">
        <v>101</v>
      </c>
      <c r="I85" s="1023" t="s">
        <v>98</v>
      </c>
      <c r="J85" s="1023" t="s">
        <v>96</v>
      </c>
      <c r="K85" s="1186" t="s">
        <v>715</v>
      </c>
      <c r="L85" s="1187" t="s">
        <v>716</v>
      </c>
      <c r="M85" s="1087">
        <v>0</v>
      </c>
      <c r="N85" s="1033">
        <v>1</v>
      </c>
      <c r="O85" s="1033">
        <v>2</v>
      </c>
      <c r="P85" s="1033">
        <v>3</v>
      </c>
      <c r="Q85" s="1104">
        <v>4</v>
      </c>
      <c r="R85" s="950"/>
      <c r="S85" s="950"/>
      <c r="T85" s="950"/>
      <c r="U85" s="951"/>
    </row>
    <row r="86" spans="1:21">
      <c r="A86" s="1020" t="s">
        <v>16</v>
      </c>
      <c r="B86" s="1036">
        <v>317.8</v>
      </c>
      <c r="C86" s="939">
        <v>24385075.399999999</v>
      </c>
      <c r="D86" s="1069">
        <v>7</v>
      </c>
      <c r="E86" s="1129">
        <f>SUMIFS(Май2022349[м2],Май2022349[ИМ],A86,Май2022349[№ дома],$C$78)</f>
        <v>60.2</v>
      </c>
      <c r="F86" s="149">
        <f>SUMIFS(Май2022349[сумма без отделки],Май2022349[ИМ],$A86,Май2022349[№ дома],$C$78)</f>
        <v>5349785.9800000004</v>
      </c>
      <c r="G86" s="940">
        <f>COUNTIFS(Май2022349[ИМ],$A86,Май2022349[№ дома],$C$78)</f>
        <v>1</v>
      </c>
      <c r="H86" s="148">
        <f>SUMIFS(РД[S],РД[Дом],$C$78,РД[ИМ],A86,РД[Дата подачи на регистрацию],"&lt;="&amp;$A$1,РД[Дата подачи на регистрацию],"&gt;="&amp;DATE(YEAR($A$1),MONTH($A$1),1))</f>
        <v>61.7</v>
      </c>
      <c r="I86" s="149">
        <f>SUMIFS(РД[Стоимость без отделки итог],РД[Дом],$C$78,РД[ИМ],A86,РД[Дата подачи на регистрацию],"&lt;="&amp;$A$1,РД[Дата подачи на регистрацию],"&gt;="&amp;DATE(YEAR($A$1),MONTH($A$1),1))</f>
        <v>5349785.9800000004</v>
      </c>
      <c r="J86" s="220">
        <f>COUNTIFS(РД[Дом],$C$78,РД[ИМ],A86,РД[Дата подачи на регистрацию],"&lt;="&amp;$A$1,РД[Дата подачи на регистрацию],"&gt;="&amp;DATE(YEAR($A$1),MONTH($A$1),1))</f>
        <v>1</v>
      </c>
      <c r="K86" s="943">
        <f>IFERROR(H86/B86,"")</f>
        <v>0.19414726242920075</v>
      </c>
      <c r="L86" s="1061">
        <f>IFERROR(I86/C86,"")</f>
        <v>0.21938771532361145</v>
      </c>
      <c r="M86" s="1100">
        <f>COUNTIFS(РД[Тип кв],M$79,РД[ИМ],$A86,РД[Дом],$C$78,РД[Дата подачи на регистрацию],"&lt;="&amp;$A$1,РД[Дата подачи на регистрацию],"&gt;="&amp;DATE(YEAR($A$1),MONTH($A$1),1))</f>
        <v>0</v>
      </c>
      <c r="N86" s="1101">
        <f>COUNTIFS(РД[Тип кв],N$79,РД[ИМ],$A86,РД[Дом],$C$78,РД[Дата подачи на регистрацию],"&lt;="&amp;$A$1,РД[Дата подачи на регистрацию],"&gt;="&amp;DATE(YEAR($A$1),MONTH($A$1),1))</f>
        <v>0</v>
      </c>
      <c r="O86" s="1101">
        <f>COUNTIFS(РД[Тип кв],O$79,РД[ИМ],$A86,РД[Дом],$C$78,РД[Дата подачи на регистрацию],"&lt;="&amp;$A$1,РД[Дата подачи на регистрацию],"&gt;="&amp;DATE(YEAR($A$1),MONTH($A$1),1))</f>
        <v>1</v>
      </c>
      <c r="P86" s="1101">
        <f>COUNTIFS(РД[Тип кв],P$79,РД[ИМ],$A86,РД[Дом],$C$78,РД[Дата подачи на регистрацию],"&lt;="&amp;$A$1,РД[Дата подачи на регистрацию],"&gt;="&amp;DATE(YEAR($A$1),MONTH($A$1),1))</f>
        <v>0</v>
      </c>
      <c r="Q86" s="1102">
        <f>COUNTIFS(РД[Тип кв],Q$79,РД[ИМ],$A86,РД[Дом],$C$78,РД[Дата подачи на регистрацию],"&lt;="&amp;$A$1,РД[Дата подачи на регистрацию],"&gt;="&amp;DATE(YEAR($A$1),MONTH($A$1),1))</f>
        <v>0</v>
      </c>
      <c r="R86" s="949"/>
      <c r="S86" s="949"/>
      <c r="T86" s="949"/>
    </row>
    <row r="87" spans="1:21">
      <c r="A87" s="906" t="s">
        <v>114</v>
      </c>
      <c r="B87" s="1161">
        <v>317.8</v>
      </c>
      <c r="C87" s="1165">
        <v>24385075.399999999</v>
      </c>
      <c r="D87" s="1166">
        <f>D86</f>
        <v>7</v>
      </c>
      <c r="E87" s="1123">
        <f t="shared" ref="E87:J87" si="2">SUM(E86:E86)</f>
        <v>60.2</v>
      </c>
      <c r="F87" s="1124">
        <f t="shared" si="2"/>
        <v>5349785.9800000004</v>
      </c>
      <c r="G87" s="1167">
        <f t="shared" si="2"/>
        <v>1</v>
      </c>
      <c r="H87" s="906">
        <f t="shared" si="2"/>
        <v>61.7</v>
      </c>
      <c r="I87" s="1123">
        <f t="shared" si="2"/>
        <v>5349785.9800000004</v>
      </c>
      <c r="J87" s="1123">
        <f t="shared" si="2"/>
        <v>1</v>
      </c>
      <c r="K87" s="1183">
        <f>IFERROR(H87/B87,)</f>
        <v>0.19414726242920075</v>
      </c>
      <c r="L87" s="1184">
        <f>IFERROR(I87/C87,)</f>
        <v>0.21938771532361145</v>
      </c>
      <c r="M87" s="1123">
        <f>SUM(M86:M86)</f>
        <v>0</v>
      </c>
      <c r="N87" s="1123">
        <f>SUM(N86:N86)</f>
        <v>0</v>
      </c>
      <c r="O87" s="1123">
        <f>SUM(O86:O86)</f>
        <v>1</v>
      </c>
      <c r="P87" s="1123">
        <f>SUM(P86:P86)</f>
        <v>0</v>
      </c>
      <c r="Q87" s="1167">
        <f>SUM(Q86:Q86)</f>
        <v>0</v>
      </c>
      <c r="R87" s="65"/>
      <c r="S87" s="65"/>
      <c r="T87" s="65"/>
      <c r="U87" s="339"/>
    </row>
    <row r="88" spans="1:21">
      <c r="A88" s="7"/>
      <c r="B88" s="968"/>
      <c r="C88" s="968"/>
      <c r="D88" s="7"/>
      <c r="E88" s="7"/>
      <c r="F88" s="7"/>
      <c r="G88" s="7"/>
      <c r="H88" s="134"/>
      <c r="I88" s="134"/>
      <c r="J88" s="134"/>
      <c r="K88" s="7"/>
      <c r="L88" s="994"/>
      <c r="M88" s="134"/>
      <c r="N88" s="134"/>
      <c r="O88" s="134"/>
      <c r="P88" s="262"/>
      <c r="Q88" s="134"/>
      <c r="R88" s="949"/>
      <c r="S88" s="949"/>
      <c r="T88" s="949"/>
    </row>
    <row r="89" spans="1:21">
      <c r="A89" s="2290" t="s">
        <v>713</v>
      </c>
      <c r="B89" s="2291"/>
      <c r="C89" s="935" t="s">
        <v>27</v>
      </c>
      <c r="D89" s="2292"/>
      <c r="E89" s="2292"/>
      <c r="F89" s="2292"/>
      <c r="G89" s="2292"/>
      <c r="H89" s="2292"/>
      <c r="I89" s="2292"/>
      <c r="J89" s="2292"/>
      <c r="K89" s="2292"/>
      <c r="L89" s="2292"/>
      <c r="M89" s="2292"/>
      <c r="N89" s="2292"/>
      <c r="O89" s="2292"/>
      <c r="P89" s="2292"/>
      <c r="Q89" s="7"/>
      <c r="R89" s="949"/>
      <c r="S89" s="949"/>
      <c r="T89" s="949"/>
    </row>
    <row r="90" spans="1:21" ht="25.5">
      <c r="A90" s="692" t="s">
        <v>1</v>
      </c>
      <c r="B90" s="686" t="s">
        <v>100</v>
      </c>
      <c r="C90" s="688" t="s">
        <v>97</v>
      </c>
      <c r="D90" s="688" t="s">
        <v>95</v>
      </c>
      <c r="E90" s="1022" t="s">
        <v>494</v>
      </c>
      <c r="F90" s="138" t="s">
        <v>495</v>
      </c>
      <c r="G90" s="139" t="s">
        <v>496</v>
      </c>
      <c r="H90" s="140" t="s">
        <v>101</v>
      </c>
      <c r="I90" s="141" t="s">
        <v>98</v>
      </c>
      <c r="J90" s="141" t="s">
        <v>96</v>
      </c>
      <c r="K90" s="141" t="s">
        <v>715</v>
      </c>
      <c r="L90" s="1026" t="s">
        <v>716</v>
      </c>
      <c r="M90" s="1092">
        <v>0</v>
      </c>
      <c r="N90" s="1044">
        <v>1</v>
      </c>
      <c r="O90" s="1044">
        <v>2</v>
      </c>
      <c r="P90" s="1044">
        <v>3</v>
      </c>
      <c r="Q90" s="1045">
        <v>4</v>
      </c>
      <c r="R90" s="950"/>
      <c r="S90" s="950"/>
      <c r="T90" s="950"/>
      <c r="U90" s="951"/>
    </row>
    <row r="91" spans="1:21">
      <c r="A91" s="1035" t="s">
        <v>73</v>
      </c>
      <c r="B91" s="1160">
        <v>62</v>
      </c>
      <c r="C91" s="1059">
        <v>5779931.6666000001</v>
      </c>
      <c r="D91" s="1074">
        <v>2</v>
      </c>
      <c r="E91" s="145">
        <f>SUMIFS(Май2022349[м2],Май2022349[МОП],$A91,Май2022349[№ дома],$C$89)</f>
        <v>120.02</v>
      </c>
      <c r="F91" s="939">
        <f>SUMIFS(Май2022349[сумма без отделки],Май2022349[МОП],$A91,Май2022349[№ дома],$C$89)</f>
        <v>9161652.0500000007</v>
      </c>
      <c r="G91" s="940">
        <f>COUNTIFS(Май2022349[МОП],$A91,Май2022349[№ дома],$C$89)</f>
        <v>2</v>
      </c>
      <c r="H91" s="148">
        <f>SUMIFS(РД[S],РД[Дом],$C$89,РД[МОП],A91,РД[Дата подачи на регистрацию],"&lt;="&amp;$A$1,РД[Дата подачи на регистрацию],"&gt;="&amp;DATE(YEAR($A$1),MONTH($A$1),1))</f>
        <v>120.02</v>
      </c>
      <c r="I91" s="149">
        <f>SUMIFS(РД[Стоимость без отделки итог],РД[Дом],$C$89,РД[МОП],A91,РД[Дата подачи на регистрацию],"&lt;="&amp;$A$1,РД[Дата подачи на регистрацию],"&gt;="&amp;DATE(YEAR($A$1),MONTH($A$1),1))</f>
        <v>8302857.6600000001</v>
      </c>
      <c r="J91" s="220">
        <f>COUNTIFS(РД[Дом],$C$89,РД[МОП],A91,РД[Дата подачи на регистрацию],"&lt;="&amp;$A$1,РД[Дата подачи на регистрацию],"&gt;="&amp;DATE(YEAR($A$1),MONTH($A$1),1))</f>
        <v>2</v>
      </c>
      <c r="K91" s="943">
        <f t="shared" ref="K91:L94" si="3">IFERROR(H91/B91,"")</f>
        <v>1.9358064516129032</v>
      </c>
      <c r="L91" s="944">
        <f t="shared" si="3"/>
        <v>1.4364975468445444</v>
      </c>
      <c r="M91" s="1088">
        <f>COUNTIFS(РД[Тип кв],M$90,РД[МОП],$A91,РД[Дом],$C$89,РД[Дата подачи на регистрацию],"&lt;="&amp;$A$1,РД[Дата подачи на регистрацию],"&gt;="&amp;DATE(YEAR($A$1),MONTH($A$1),1))</f>
        <v>0</v>
      </c>
      <c r="N91" s="1089">
        <f>COUNTIFS(РД[Тип кв],N$90,РД[МОП],$A91,РД[Дом],$C$89,РД[Дата подачи на регистрацию],"&lt;="&amp;$A$1,РД[Дата подачи на регистрацию],"&gt;="&amp;DATE(YEAR($A$1),MONTH($A$1),1))</f>
        <v>1</v>
      </c>
      <c r="O91" s="1089">
        <f>COUNTIFS(РД[Тип кв],O$90,РД[МОП],$A91,РД[Дом],$C$89,РД[Дата подачи на регистрацию],"&lt;="&amp;$A$1,РД[Дата подачи на регистрацию],"&gt;="&amp;DATE(YEAR($A$1),MONTH($A$1),1))</f>
        <v>0</v>
      </c>
      <c r="P91" s="1089">
        <f>COUNTIFS(РД[Тип кв],P$90,РД[МОП],$A91,РД[Дом],$C$89,РД[Дата подачи на регистрацию],"&lt;="&amp;$A$1,РД[Дата подачи на регистрацию],"&gt;="&amp;DATE(YEAR($A$1),MONTH($A$1),1))</f>
        <v>1</v>
      </c>
      <c r="Q91" s="1098">
        <f>COUNTIFS(РД[Тип кв],Q$90,РД[МОП],$A91,РД[Дом],$C$89,РД[Дата подачи на регистрацию],"&lt;="&amp;$A$1,РД[Дата подачи на регистрацию],"&gt;="&amp;DATE(YEAR($A$1),MONTH($A$1),1))</f>
        <v>0</v>
      </c>
      <c r="R91" s="949"/>
      <c r="S91" s="949"/>
      <c r="T91" s="949"/>
    </row>
    <row r="92" spans="1:21">
      <c r="A92" s="1039" t="s">
        <v>77</v>
      </c>
      <c r="B92" s="1160">
        <v>130</v>
      </c>
      <c r="C92" s="954">
        <v>12119211.559</v>
      </c>
      <c r="D92" s="1041">
        <v>4</v>
      </c>
      <c r="E92" s="145">
        <f>SUMIFS(Май2022349[м2],Май2022349[МОП],$A92,Май2022349[№ дома],$C$89)</f>
        <v>157.70999999999998</v>
      </c>
      <c r="F92" s="939">
        <f>SUMIFS(Май2022349[сумма без отделки],Май2022349[МОП],$A92,Май2022349[№ дома],$C$89)</f>
        <v>12593665.76</v>
      </c>
      <c r="G92" s="940">
        <f>COUNTIFS(Май2022349[МОП],$A92,Май2022349[№ дома],$C$89)</f>
        <v>3</v>
      </c>
      <c r="H92" s="148">
        <f>SUMIFS(РД[S],РД[Дом],$C$89,РД[МОП],A92,РД[Дата подачи на регистрацию],"&lt;="&amp;$A$1,РД[Дата подачи на регистрацию],"&gt;="&amp;DATE(YEAR($A$1),MONTH($A$1),1))</f>
        <v>157.70999999999998</v>
      </c>
      <c r="I92" s="149">
        <f>SUMIFS(РД[Стоимость без отделки итог],РД[Дом],$C$89,РД[МОП],A92,РД[Дата подачи на регистрацию],"&lt;="&amp;$A$1,РД[Дата подачи на регистрацию],"&gt;="&amp;DATE(YEAR($A$1),MONTH($A$1),1))</f>
        <v>11471028.699999999</v>
      </c>
      <c r="J92" s="220">
        <f>COUNTIFS(РД[Дом],$C$89,РД[МОП],A92,РД[Дата подачи на регистрацию],"&lt;="&amp;$A$1,РД[Дата подачи на регистрацию],"&gt;="&amp;DATE(YEAR($A$1),MONTH($A$1),1))</f>
        <v>3</v>
      </c>
      <c r="K92" s="987">
        <f t="shared" si="3"/>
        <v>1.213153846153846</v>
      </c>
      <c r="L92" s="988">
        <f t="shared" si="3"/>
        <v>0.94651608680610533</v>
      </c>
      <c r="M92" s="1090">
        <f>COUNTIFS(РД[Тип кв],M$90,РД[МОП],$A92,РД[Дом],$C$89,РД[Дата подачи на регистрацию],"&lt;="&amp;$A$1,РД[Дата подачи на регистрацию],"&gt;="&amp;DATE(YEAR($A$1),MONTH($A$1),1))</f>
        <v>0</v>
      </c>
      <c r="N92" s="339">
        <f>COUNTIFS(РД[Тип кв],N$90,РД[МОП],$A92,РД[Дом],$C$89,РД[Дата подачи на регистрацию],"&lt;="&amp;$A$1,РД[Дата подачи на регистрацию],"&gt;="&amp;DATE(YEAR($A$1),MONTH($A$1),1))</f>
        <v>2</v>
      </c>
      <c r="O92" s="339">
        <f>COUNTIFS(РД[Тип кв],O$90,РД[МОП],$A92,РД[Дом],$C$89,РД[Дата подачи на регистрацию],"&lt;="&amp;$A$1,РД[Дата подачи на регистрацию],"&gt;="&amp;DATE(YEAR($A$1),MONTH($A$1),1))</f>
        <v>0</v>
      </c>
      <c r="P92" s="339">
        <f>COUNTIFS(РД[Тип кв],P$90,РД[МОП],$A92,РД[Дом],$C$89,РД[Дата подачи на регистрацию],"&lt;="&amp;$A$1,РД[Дата подачи на регистрацию],"&gt;="&amp;DATE(YEAR($A$1),MONTH($A$1),1))</f>
        <v>1</v>
      </c>
      <c r="Q92" s="1099">
        <f>COUNTIFS(РД[Тип кв],Q$90,РД[МОП],$A92,РД[Дом],$C$89,РД[Дата подачи на регистрацию],"&lt;="&amp;$A$1,РД[Дата подачи на регистрацию],"&gt;="&amp;DATE(YEAR($A$1),MONTH($A$1),1))</f>
        <v>0</v>
      </c>
      <c r="R92" s="949"/>
      <c r="S92" s="949"/>
      <c r="T92" s="949"/>
    </row>
    <row r="93" spans="1:21">
      <c r="A93" s="1042" t="s">
        <v>1046</v>
      </c>
      <c r="B93" s="1160">
        <v>130</v>
      </c>
      <c r="C93" s="954">
        <v>12119211.559</v>
      </c>
      <c r="D93" s="1041">
        <v>4</v>
      </c>
      <c r="E93" s="145">
        <f>SUMIFS(Май2022349[м2],Май2022349[МОП],$A93,Май2022349[№ дома],$C$89)</f>
        <v>119.41999999999999</v>
      </c>
      <c r="F93" s="939">
        <f>SUMIFS(Май2022349[сумма без отделки],Май2022349[МОП],$A93,Май2022349[№ дома],$C$89)</f>
        <v>8780075.1400000006</v>
      </c>
      <c r="G93" s="940">
        <f>COUNTIFS(Май2022349[МОП],$A93,Май2022349[№ дома],$C$89)</f>
        <v>2</v>
      </c>
      <c r="H93" s="148">
        <f>SUMIFS(РД[S],РД[Дом],$C$89,РД[МОП],A93,РД[Дата подачи на регистрацию],"&lt;="&amp;$A$1,РД[Дата подачи на регистрацию],"&gt;="&amp;DATE(YEAR($A$1),MONTH($A$1),1))</f>
        <v>119.41999999999999</v>
      </c>
      <c r="I93" s="149">
        <f>SUMIFS(РД[Стоимость без отделки итог],РД[Дом],$C$89,РД[МОП],A93,РД[Дата подачи на регистрацию],"&lt;="&amp;$A$1,РД[Дата подачи на регистрацию],"&gt;="&amp;DATE(YEAR($A$1),MONTH($A$1),1))</f>
        <v>8795075.1400000006</v>
      </c>
      <c r="J93" s="220">
        <f>COUNTIFS(РД[Дом],$C$89,РД[МОП],A93,РД[Дата подачи на регистрацию],"&lt;="&amp;$A$1,РД[Дата подачи на регистрацию],"&gt;="&amp;DATE(YEAR($A$1),MONTH($A$1),1))</f>
        <v>2</v>
      </c>
      <c r="K93" s="987">
        <f t="shared" si="3"/>
        <v>0.9186153846153845</v>
      </c>
      <c r="L93" s="988">
        <f t="shared" si="3"/>
        <v>0.7257134754338519</v>
      </c>
      <c r="M93" s="1090">
        <f>COUNTIFS(РД[Тип кв],M$90,РД[МОП],$A93,РД[Дом],$C$89,РД[Дата подачи на регистрацию],"&lt;="&amp;$A$1,РД[Дата подачи на регистрацию],"&gt;="&amp;DATE(YEAR($A$1),MONTH($A$1),1))</f>
        <v>0</v>
      </c>
      <c r="N93" s="339">
        <f>COUNTIFS(РД[Тип кв],N$90,РД[МОП],$A93,РД[Дом],$C$89,РД[Дата подачи на регистрацию],"&lt;="&amp;$A$1,РД[Дата подачи на регистрацию],"&gt;="&amp;DATE(YEAR($A$1),MONTH($A$1),1))</f>
        <v>1</v>
      </c>
      <c r="O93" s="339">
        <f>COUNTIFS(РД[Тип кв],O$90,РД[МОП],$A93,РД[Дом],$C$89,РД[Дата подачи на регистрацию],"&lt;="&amp;$A$1,РД[Дата подачи на регистрацию],"&gt;="&amp;DATE(YEAR($A$1),MONTH($A$1),1))</f>
        <v>0</v>
      </c>
      <c r="P93" s="339">
        <f>COUNTIFS(РД[Тип кв],P$90,РД[МОП],$A93,РД[Дом],$C$89,РД[Дата подачи на регистрацию],"&lt;="&amp;$A$1,РД[Дата подачи на регистрацию],"&gt;="&amp;DATE(YEAR($A$1),MONTH($A$1),1))</f>
        <v>1</v>
      </c>
      <c r="Q93" s="1099">
        <f>COUNTIFS(РД[Тип кв],Q$90,РД[МОП],$A93,РД[Дом],$C$89,РД[Дата подачи на регистрацию],"&lt;="&amp;$A$1,РД[Дата подачи на регистрацию],"&gt;="&amp;DATE(YEAR($A$1),MONTH($A$1),1))</f>
        <v>0</v>
      </c>
      <c r="R93" s="949"/>
      <c r="S93" s="949"/>
      <c r="T93" s="949"/>
    </row>
    <row r="94" spans="1:21">
      <c r="A94" s="1110" t="s">
        <v>63</v>
      </c>
      <c r="B94" s="1160">
        <v>50</v>
      </c>
      <c r="C94" s="958">
        <v>4661235.2149999999</v>
      </c>
      <c r="D94" s="1054">
        <v>3</v>
      </c>
      <c r="E94" s="145">
        <f>SUMIFS(Май2022349[м2],Май2022349[МОП],$A94,Май2022349[№ дома],$C$89)</f>
        <v>48.01</v>
      </c>
      <c r="F94" s="939">
        <f>SUMIFS(Май2022349[сумма без отделки],Май2022349[МОП],$A94,Май2022349[№ дома],$C$89)</f>
        <v>4819301.18</v>
      </c>
      <c r="G94" s="940">
        <f>COUNTIFS(Май2022349[МОП],$A94,Май2022349[№ дома],$C$89)</f>
        <v>2</v>
      </c>
      <c r="H94" s="148">
        <f>SUMIFS(РД[S],РД[Дом],$C$89,РД[МОП],A94,РД[Дата подачи на регистрацию],"&lt;="&amp;$A$1,РД[Дата подачи на регистрацию],"&gt;="&amp;DATE(YEAR($A$1),MONTH($A$1),1))</f>
        <v>48.01</v>
      </c>
      <c r="I94" s="149">
        <f>SUMIFS(РД[Стоимость без отделки итог],РД[Дом],$C$89,РД[МОП],A94,РД[Дата подачи на регистрацию],"&lt;="&amp;$A$1,РД[Дата подачи на регистрацию],"&gt;="&amp;DATE(YEAR($A$1),MONTH($A$1),1))</f>
        <v>4819301.1800000072</v>
      </c>
      <c r="J94" s="220">
        <f>COUNTIFS(РД[Дом],$C$89,РД[МОП],A94,РД[Дата подачи на регистрацию],"&lt;="&amp;$A$1,РД[Дата подачи на регистрацию],"&gt;="&amp;DATE(YEAR($A$1),MONTH($A$1),1))</f>
        <v>2</v>
      </c>
      <c r="K94" s="1063">
        <f t="shared" si="3"/>
        <v>0.96019999999999994</v>
      </c>
      <c r="L94" s="1065">
        <f t="shared" si="3"/>
        <v>1.0339107463385127</v>
      </c>
      <c r="M94" s="1100">
        <f>COUNTIFS(РД[Тип кв],M$90,РД[МОП],$A94,РД[Дом],$C$89,РД[Дата подачи на регистрацию],"&lt;="&amp;$A$1,РД[Дата подачи на регистрацию],"&gt;="&amp;DATE(YEAR($A$1),MONTH($A$1),1))</f>
        <v>2</v>
      </c>
      <c r="N94" s="1101">
        <f>COUNTIFS(РД[Тип кв],N$90,РД[МОП],$A94,РД[Дом],$C$89,РД[Дата подачи на регистрацию],"&lt;="&amp;$A$1,РД[Дата подачи на регистрацию],"&gt;="&amp;DATE(YEAR($A$1),MONTH($A$1),1))</f>
        <v>0</v>
      </c>
      <c r="O94" s="1101">
        <f>COUNTIFS(РД[Тип кв],O$90,РД[МОП],$A94,РД[Дом],$C$89,РД[Дата подачи на регистрацию],"&lt;="&amp;$A$1,РД[Дата подачи на регистрацию],"&gt;="&amp;DATE(YEAR($A$1),MONTH($A$1),1))</f>
        <v>0</v>
      </c>
      <c r="P94" s="1101">
        <f>COUNTIFS(РД[Тип кв],P$90,РД[МОП],$A94,РД[Дом],$C$89,РД[Дата подачи на регистрацию],"&lt;="&amp;$A$1,РД[Дата подачи на регистрацию],"&gt;="&amp;DATE(YEAR($A$1),MONTH($A$1),1))</f>
        <v>0</v>
      </c>
      <c r="Q94" s="1102">
        <f>COUNTIFS(РД[Тип кв],Q$90,РД[МОП],$A94,РД[Дом],$C$89,РД[Дата подачи на регистрацию],"&lt;="&amp;$A$1,РД[Дата подачи на регистрацию],"&gt;="&amp;DATE(YEAR($A$1),MONTH($A$1),1))</f>
        <v>0</v>
      </c>
      <c r="R94" s="949"/>
      <c r="S94" s="949"/>
      <c r="T94" s="949"/>
    </row>
    <row r="95" spans="1:21">
      <c r="A95" s="984" t="s">
        <v>114</v>
      </c>
      <c r="B95" s="1161">
        <v>372</v>
      </c>
      <c r="C95" s="1161">
        <v>34679590</v>
      </c>
      <c r="D95" s="1162">
        <f>SUM(D91:D94)</f>
        <v>13</v>
      </c>
      <c r="E95" s="1168">
        <f t="shared" ref="E95:J95" si="4">SUM(E91:E94)</f>
        <v>445.15999999999997</v>
      </c>
      <c r="F95" s="1169">
        <f t="shared" si="4"/>
        <v>35354694.130000003</v>
      </c>
      <c r="G95" s="1170">
        <f t="shared" si="4"/>
        <v>9</v>
      </c>
      <c r="H95" s="1171">
        <f t="shared" si="4"/>
        <v>445.15999999999997</v>
      </c>
      <c r="I95" s="1165">
        <f t="shared" si="4"/>
        <v>33388262.680000007</v>
      </c>
      <c r="J95" s="1182">
        <f t="shared" si="4"/>
        <v>9</v>
      </c>
      <c r="K95" s="1183">
        <f>IFERROR(H95/B95,)</f>
        <v>1.1966666666666665</v>
      </c>
      <c r="L95" s="1184">
        <f>IFERROR(I95/C95,)</f>
        <v>0.96276405459234116</v>
      </c>
      <c r="M95" s="513">
        <f>SUM(M91:M94)</f>
        <v>2</v>
      </c>
      <c r="N95" s="1188">
        <f>SUM(N91:N94)</f>
        <v>4</v>
      </c>
      <c r="O95" s="1188">
        <f>SUM(O91:O94)</f>
        <v>0</v>
      </c>
      <c r="P95" s="1189">
        <f>SUM(P91:P94)</f>
        <v>3</v>
      </c>
      <c r="Q95" s="1194">
        <f>SUM(Q91:Q94)</f>
        <v>0</v>
      </c>
      <c r="R95" s="949"/>
      <c r="S95" s="949"/>
      <c r="T95" s="949"/>
    </row>
    <row r="96" spans="1:21" ht="25.5">
      <c r="A96" s="692" t="s">
        <v>115</v>
      </c>
      <c r="B96" s="686" t="s">
        <v>100</v>
      </c>
      <c r="C96" s="693" t="s">
        <v>97</v>
      </c>
      <c r="D96" s="688" t="s">
        <v>95</v>
      </c>
      <c r="E96" s="1051" t="s">
        <v>494</v>
      </c>
      <c r="F96" s="138" t="s">
        <v>495</v>
      </c>
      <c r="G96" s="139" t="s">
        <v>496</v>
      </c>
      <c r="H96" s="140" t="s">
        <v>101</v>
      </c>
      <c r="I96" s="141" t="s">
        <v>98</v>
      </c>
      <c r="J96" s="141" t="s">
        <v>96</v>
      </c>
      <c r="K96" s="495" t="s">
        <v>715</v>
      </c>
      <c r="L96" s="1027" t="s">
        <v>716</v>
      </c>
      <c r="M96" s="1087">
        <v>0</v>
      </c>
      <c r="N96" s="1033">
        <v>1</v>
      </c>
      <c r="O96" s="1033">
        <v>2</v>
      </c>
      <c r="P96" s="1033">
        <v>3</v>
      </c>
      <c r="Q96" s="1104">
        <v>4</v>
      </c>
      <c r="R96" s="950"/>
      <c r="S96" s="950"/>
      <c r="T96" s="950"/>
      <c r="U96" s="951"/>
    </row>
    <row r="97" spans="1:21">
      <c r="A97" s="1035" t="s">
        <v>16</v>
      </c>
      <c r="B97" s="1036">
        <v>260.39999999999998</v>
      </c>
      <c r="C97" s="1036">
        <v>24275713</v>
      </c>
      <c r="D97" s="1069">
        <v>9</v>
      </c>
      <c r="E97" s="1129">
        <f>SUMIFS(Май2022349[м2],Май2022349[ИМ],A97,Май2022349[№ дома],$C$89)</f>
        <v>421.62</v>
      </c>
      <c r="F97" s="149">
        <f>SUMIFS(Май2022349[сумма без отделки],Май2022349[ИМ],$A97,Май2022349[№ дома],$C$89)</f>
        <v>33035464.950000003</v>
      </c>
      <c r="G97" s="940">
        <f>COUNTIFS(Май2022349[ИМ],$A97,Май2022349[№ дома],$C$89)</f>
        <v>8</v>
      </c>
      <c r="H97" s="148">
        <f>SUMIFS(РД[S],РД[Дом],$C$89,РД[ИМ],A97,РД[Дата подачи на регистрацию],"&lt;="&amp;$A$1,РД[Дата подачи на регистрацию],"&gt;="&amp;DATE(YEAR($A$1),MONTH($A$1),1))</f>
        <v>421.61999999999995</v>
      </c>
      <c r="I97" s="149">
        <f>SUMIFS(РД[Стоимость без отделки итог],РД[Дом],$C$89,РД[ИМ],A97,РД[Дата подачи на регистрацию],"&lt;="&amp;$A$1,РД[Дата подачи на регистрацию],"&gt;="&amp;DATE(YEAR($A$1),MONTH($A$1),1))</f>
        <v>31069033.500000007</v>
      </c>
      <c r="J97" s="220">
        <f>COUNTIFS(РД[Дом],$C$89,РД[ИМ],A97,РД[Дата подачи на регистрацию],"&lt;="&amp;$A$1,РД[Дата подачи на регистрацию],"&gt;="&amp;DATE(YEAR($A$1),MONTH($A$1),1))</f>
        <v>8</v>
      </c>
      <c r="K97" s="943">
        <f>IFERROR(H97/B97,"")</f>
        <v>1.6191244239631335</v>
      </c>
      <c r="L97" s="1061">
        <f>IFERROR(I97/C97,"")</f>
        <v>1.2798402048994404</v>
      </c>
      <c r="M97" s="1088">
        <f>COUNTIFS(РД[Тип кв],M$90,РД[ИМ],$A97,РД[Дом],$C$89,РД[Дата подачи на регистрацию],"&lt;="&amp;$A$1,РД[Дата подачи на регистрацию],"&gt;="&amp;DATE(YEAR($A$1),MONTH($A$1),1))</f>
        <v>1</v>
      </c>
      <c r="N97" s="1089">
        <f>COUNTIFS(РД[Тип кв],N$90,РД[ИМ],$A97,РД[Дом],$C$89,РД[Дата подачи на регистрацию],"&lt;="&amp;$A$1,РД[Дата подачи на регистрацию],"&gt;="&amp;DATE(YEAR($A$1),MONTH($A$1),1))</f>
        <v>4</v>
      </c>
      <c r="O97" s="1089">
        <f>COUNTIFS(РД[Тип кв],O$90,РД[ИМ],$A97,РД[Дом],$C$89,РД[Дата подачи на регистрацию],"&lt;="&amp;$A$1,РД[Дата подачи на регистрацию],"&gt;="&amp;DATE(YEAR($A$1),MONTH($A$1),1))</f>
        <v>0</v>
      </c>
      <c r="P97" s="1089">
        <f>COUNTIFS(РД[Тип кв],P$90,РД[ИМ],$A97,РД[Дом],$C$89,РД[Дата подачи на регистрацию],"&lt;="&amp;$A$1,РД[Дата подачи на регистрацию],"&gt;="&amp;DATE(YEAR($A$1),MONTH($A$1),1))</f>
        <v>3</v>
      </c>
      <c r="Q97" s="1098">
        <f>COUNTIFS(РД[Тип кв],Q$90,РД[ИМ],$A97,РД[Дом],$C$89,РД[Дата подачи на регистрацию],"&lt;="&amp;$A$1,РД[Дата подачи на регистрацию],"&gt;="&amp;DATE(YEAR($A$1),MONTH($A$1),1))</f>
        <v>0</v>
      </c>
      <c r="R97" s="949"/>
      <c r="S97" s="949"/>
      <c r="T97" s="949"/>
    </row>
    <row r="98" spans="1:21">
      <c r="A98" s="906" t="s">
        <v>114</v>
      </c>
      <c r="B98" s="1172">
        <v>260.39999999999998</v>
      </c>
      <c r="C98" s="1165">
        <v>24275713</v>
      </c>
      <c r="D98" s="1166">
        <f>D97</f>
        <v>9</v>
      </c>
      <c r="E98" s="1173">
        <f t="shared" ref="E98:J98" si="5">SUM(E97:E97)</f>
        <v>421.62</v>
      </c>
      <c r="F98" s="1165">
        <f t="shared" si="5"/>
        <v>33035464.950000003</v>
      </c>
      <c r="G98" s="1166">
        <f t="shared" si="5"/>
        <v>8</v>
      </c>
      <c r="H98" s="1171">
        <f t="shared" si="5"/>
        <v>421.61999999999995</v>
      </c>
      <c r="I98" s="1165">
        <f t="shared" si="5"/>
        <v>31069033.500000007</v>
      </c>
      <c r="J98" s="1182">
        <f t="shared" si="5"/>
        <v>8</v>
      </c>
      <c r="K98" s="1183">
        <f>IFERROR(H98/B98,)</f>
        <v>1.6191244239631335</v>
      </c>
      <c r="L98" s="1184">
        <f>IFERROR(I98/C98,)</f>
        <v>1.2798402048994404</v>
      </c>
      <c r="M98" s="906">
        <f>SUM(M97:M97)</f>
        <v>1</v>
      </c>
      <c r="N98" s="1123">
        <f>SUM(N97:N97)</f>
        <v>4</v>
      </c>
      <c r="O98" s="1123">
        <f>SUM(O97:O97)</f>
        <v>0</v>
      </c>
      <c r="P98" s="1123">
        <f>SUM(P97:P97)</f>
        <v>3</v>
      </c>
      <c r="Q98" s="1167">
        <f>SUM(Q97:Q97)</f>
        <v>0</v>
      </c>
      <c r="R98" s="949"/>
      <c r="S98" s="949"/>
      <c r="T98" s="949"/>
    </row>
    <row r="99" spans="1:21">
      <c r="A99" s="7"/>
      <c r="B99" s="968"/>
      <c r="C99" s="968"/>
      <c r="D99" s="969"/>
      <c r="E99" s="7"/>
      <c r="F99" s="7"/>
      <c r="G99" s="7"/>
      <c r="H99" s="134"/>
      <c r="I99" s="134"/>
      <c r="J99" s="134"/>
      <c r="K99" s="7"/>
      <c r="L99" s="994"/>
      <c r="M99" s="134"/>
      <c r="N99" s="134"/>
      <c r="O99" s="134"/>
      <c r="P99" s="262"/>
      <c r="Q99" s="134"/>
      <c r="R99" s="949"/>
      <c r="S99" s="949"/>
      <c r="T99" s="949"/>
    </row>
    <row r="100" spans="1:21">
      <c r="A100" s="2293" t="s">
        <v>713</v>
      </c>
      <c r="B100" s="2294"/>
      <c r="C100" s="972" t="s">
        <v>718</v>
      </c>
      <c r="D100" s="2295"/>
      <c r="E100" s="2296"/>
      <c r="F100" s="2296"/>
      <c r="G100" s="2296"/>
      <c r="H100" s="2296"/>
      <c r="I100" s="2296"/>
      <c r="J100" s="2296"/>
      <c r="K100" s="2296"/>
      <c r="L100" s="2296"/>
      <c r="M100" s="2296"/>
      <c r="N100" s="2296"/>
      <c r="O100" s="2296"/>
      <c r="P100" s="2296"/>
      <c r="Q100" s="7"/>
      <c r="R100" s="949"/>
      <c r="S100" s="949"/>
      <c r="T100" s="949"/>
    </row>
    <row r="101" spans="1:21" ht="25.5">
      <c r="A101" s="685" t="s">
        <v>1</v>
      </c>
      <c r="B101" s="723" t="s">
        <v>100</v>
      </c>
      <c r="C101" s="724" t="s">
        <v>97</v>
      </c>
      <c r="D101" s="688" t="s">
        <v>95</v>
      </c>
      <c r="E101" s="1022" t="s">
        <v>494</v>
      </c>
      <c r="F101" s="138" t="s">
        <v>495</v>
      </c>
      <c r="G101" s="1082" t="s">
        <v>496</v>
      </c>
      <c r="H101" s="980" t="s">
        <v>101</v>
      </c>
      <c r="I101" s="141" t="s">
        <v>98</v>
      </c>
      <c r="J101" s="141" t="s">
        <v>96</v>
      </c>
      <c r="K101" s="141" t="s">
        <v>715</v>
      </c>
      <c r="L101" s="1026" t="s">
        <v>716</v>
      </c>
      <c r="M101" s="1087">
        <v>0</v>
      </c>
      <c r="N101" s="1033">
        <v>1</v>
      </c>
      <c r="O101" s="1033">
        <v>2</v>
      </c>
      <c r="P101" s="1033">
        <v>3</v>
      </c>
      <c r="Q101" s="1104">
        <v>4</v>
      </c>
      <c r="R101" s="950"/>
      <c r="S101" s="950"/>
      <c r="T101" s="950"/>
      <c r="U101" s="951"/>
    </row>
    <row r="102" spans="1:21" ht="9.75" customHeight="1">
      <c r="A102" s="936" t="s">
        <v>73</v>
      </c>
      <c r="B102" s="514">
        <v>147</v>
      </c>
      <c r="C102" s="549">
        <v>12302056.9341</v>
      </c>
      <c r="D102" s="1174">
        <f t="shared" ref="D102:J102" si="6">D80+D91</f>
        <v>4</v>
      </c>
      <c r="E102" s="267">
        <f t="shared" si="6"/>
        <v>180.22</v>
      </c>
      <c r="F102" s="146">
        <f t="shared" si="6"/>
        <v>14511438.030000001</v>
      </c>
      <c r="G102" s="702">
        <f t="shared" si="6"/>
        <v>3</v>
      </c>
      <c r="H102" s="514">
        <f t="shared" si="6"/>
        <v>181.72</v>
      </c>
      <c r="I102" s="146">
        <f t="shared" si="6"/>
        <v>13652643.640000001</v>
      </c>
      <c r="J102" s="1190">
        <f t="shared" si="6"/>
        <v>3</v>
      </c>
      <c r="K102" s="943">
        <f t="shared" ref="K102:L105" si="7">IFERROR(H102/B102,"")</f>
        <v>1.2361904761904763</v>
      </c>
      <c r="L102" s="1061">
        <f t="shared" si="7"/>
        <v>1.1097854377633642</v>
      </c>
      <c r="M102" s="1148">
        <f t="shared" ref="M102:Q105" si="8">M80+M91</f>
        <v>0</v>
      </c>
      <c r="N102" s="1008">
        <f t="shared" si="8"/>
        <v>1</v>
      </c>
      <c r="O102" s="1008">
        <f t="shared" si="8"/>
        <v>1</v>
      </c>
      <c r="P102" s="1008">
        <f t="shared" si="8"/>
        <v>1</v>
      </c>
      <c r="Q102" s="1106">
        <f t="shared" si="8"/>
        <v>0</v>
      </c>
      <c r="R102" s="949"/>
      <c r="S102" s="949"/>
      <c r="T102" s="949"/>
    </row>
    <row r="103" spans="1:21">
      <c r="A103" s="952" t="s">
        <v>77</v>
      </c>
      <c r="B103" s="514">
        <v>280</v>
      </c>
      <c r="C103" s="549">
        <v>23628844.384</v>
      </c>
      <c r="D103" s="1174">
        <f t="shared" ref="D103:J103" si="9">D81+D92</f>
        <v>7</v>
      </c>
      <c r="E103" s="271">
        <f t="shared" si="9"/>
        <v>157.70999999999998</v>
      </c>
      <c r="F103" s="52">
        <f t="shared" si="9"/>
        <v>12593665.76</v>
      </c>
      <c r="G103" s="717">
        <f t="shared" si="9"/>
        <v>3</v>
      </c>
      <c r="H103" s="514">
        <f t="shared" si="9"/>
        <v>157.70999999999998</v>
      </c>
      <c r="I103" s="146">
        <f t="shared" si="9"/>
        <v>11471028.699999999</v>
      </c>
      <c r="J103" s="1190">
        <f t="shared" si="9"/>
        <v>3</v>
      </c>
      <c r="K103" s="943">
        <f t="shared" si="7"/>
        <v>0.56324999999999992</v>
      </c>
      <c r="L103" s="1061">
        <f t="shared" si="7"/>
        <v>0.48546719059047483</v>
      </c>
      <c r="M103" s="1148">
        <f t="shared" si="8"/>
        <v>0</v>
      </c>
      <c r="N103" s="1008">
        <f t="shared" si="8"/>
        <v>2</v>
      </c>
      <c r="O103" s="1008">
        <f t="shared" si="8"/>
        <v>0</v>
      </c>
      <c r="P103" s="1008">
        <f t="shared" si="8"/>
        <v>1</v>
      </c>
      <c r="Q103" s="1106">
        <f t="shared" si="8"/>
        <v>0</v>
      </c>
      <c r="R103" s="949"/>
      <c r="S103" s="949"/>
      <c r="T103" s="949"/>
    </row>
    <row r="104" spans="1:21">
      <c r="A104" s="952" t="s">
        <v>1046</v>
      </c>
      <c r="B104" s="514">
        <v>280</v>
      </c>
      <c r="C104" s="549">
        <v>23628844.384</v>
      </c>
      <c r="D104" s="1174">
        <f t="shared" ref="D104:J104" si="10">D82+D93</f>
        <v>7</v>
      </c>
      <c r="E104" s="315">
        <f t="shared" si="10"/>
        <v>119.41999999999999</v>
      </c>
      <c r="F104" s="363">
        <f t="shared" si="10"/>
        <v>8780075.1400000006</v>
      </c>
      <c r="G104" s="703">
        <f t="shared" si="10"/>
        <v>2</v>
      </c>
      <c r="H104" s="1175">
        <f t="shared" si="10"/>
        <v>119.41999999999999</v>
      </c>
      <c r="I104" s="403">
        <f t="shared" si="10"/>
        <v>8795075.1400000006</v>
      </c>
      <c r="J104" s="1191">
        <f t="shared" si="10"/>
        <v>2</v>
      </c>
      <c r="K104" s="1192">
        <f t="shared" si="7"/>
        <v>0.42649999999999993</v>
      </c>
      <c r="L104" s="1061">
        <f t="shared" si="7"/>
        <v>0.37221774357934678</v>
      </c>
      <c r="M104" s="1148">
        <f t="shared" si="8"/>
        <v>0</v>
      </c>
      <c r="N104" s="1008">
        <f t="shared" si="8"/>
        <v>1</v>
      </c>
      <c r="O104" s="1008">
        <f t="shared" si="8"/>
        <v>0</v>
      </c>
      <c r="P104" s="1008">
        <f t="shared" si="8"/>
        <v>1</v>
      </c>
      <c r="Q104" s="1106">
        <f t="shared" si="8"/>
        <v>0</v>
      </c>
      <c r="R104" s="949"/>
      <c r="S104" s="949"/>
      <c r="T104" s="949"/>
    </row>
    <row r="105" spans="1:21">
      <c r="A105" s="956" t="s">
        <v>63</v>
      </c>
      <c r="B105" s="514">
        <v>119</v>
      </c>
      <c r="C105" s="549">
        <v>9955666.3145000003</v>
      </c>
      <c r="D105" s="1174">
        <f t="shared" ref="D105:J105" si="11">D83+D94</f>
        <v>4</v>
      </c>
      <c r="E105" s="315">
        <f t="shared" si="11"/>
        <v>48.01</v>
      </c>
      <c r="F105" s="363">
        <f t="shared" si="11"/>
        <v>4819301.18</v>
      </c>
      <c r="G105" s="703">
        <f t="shared" si="11"/>
        <v>2</v>
      </c>
      <c r="H105" s="1175">
        <f t="shared" si="11"/>
        <v>48.01</v>
      </c>
      <c r="I105" s="403">
        <f t="shared" si="11"/>
        <v>4819301.1800000072</v>
      </c>
      <c r="J105" s="1191">
        <f t="shared" si="11"/>
        <v>2</v>
      </c>
      <c r="K105" s="1192">
        <f t="shared" si="7"/>
        <v>0.40344537815126047</v>
      </c>
      <c r="L105" s="1061">
        <f t="shared" si="7"/>
        <v>0.48407620622849745</v>
      </c>
      <c r="M105" s="1148">
        <f t="shared" si="8"/>
        <v>2</v>
      </c>
      <c r="N105" s="1008">
        <f t="shared" si="8"/>
        <v>0</v>
      </c>
      <c r="O105" s="1008">
        <f t="shared" si="8"/>
        <v>0</v>
      </c>
      <c r="P105" s="1008">
        <f t="shared" si="8"/>
        <v>0</v>
      </c>
      <c r="Q105" s="1106">
        <f t="shared" si="8"/>
        <v>0</v>
      </c>
      <c r="R105" s="949"/>
      <c r="S105" s="949"/>
      <c r="T105" s="949"/>
    </row>
    <row r="106" spans="1:21">
      <c r="A106" s="1176" t="s">
        <v>114</v>
      </c>
      <c r="B106" s="1177">
        <v>826</v>
      </c>
      <c r="C106" s="1178">
        <v>69515411.996600002</v>
      </c>
      <c r="D106" s="1179">
        <f t="shared" ref="D106:J106" si="12">SUM(D102:D105)</f>
        <v>22</v>
      </c>
      <c r="E106" s="1172">
        <f t="shared" si="12"/>
        <v>505.3599999999999</v>
      </c>
      <c r="F106" s="1165">
        <f t="shared" si="12"/>
        <v>40704480.109999999</v>
      </c>
      <c r="G106" s="1180">
        <f t="shared" si="12"/>
        <v>10</v>
      </c>
      <c r="H106" s="1172">
        <f t="shared" si="12"/>
        <v>506.8599999999999</v>
      </c>
      <c r="I106" s="1165">
        <f t="shared" si="12"/>
        <v>38738048.660000011</v>
      </c>
      <c r="J106" s="1193">
        <f t="shared" si="12"/>
        <v>10</v>
      </c>
      <c r="K106" s="1183">
        <f>IFERROR(H106/B106,)</f>
        <v>0.61363196125907982</v>
      </c>
      <c r="L106" s="1184">
        <f>IFERROR(I106/C106,)</f>
        <v>0.55725842007373394</v>
      </c>
      <c r="M106" s="906">
        <f>SUM(M102:M105)</f>
        <v>2</v>
      </c>
      <c r="N106" s="1123">
        <f>SUM(N102:N105)</f>
        <v>4</v>
      </c>
      <c r="O106" s="1123">
        <f>SUM(O102:O105)</f>
        <v>1</v>
      </c>
      <c r="P106" s="1185">
        <f>SUM(P102:P105)</f>
        <v>3</v>
      </c>
      <c r="Q106" s="1167">
        <f>SUM(Q102:Q105)</f>
        <v>0</v>
      </c>
      <c r="R106" s="949"/>
      <c r="S106" s="949"/>
      <c r="T106" s="949"/>
    </row>
    <row r="107" spans="1:21" ht="25.5">
      <c r="A107" s="685" t="s">
        <v>115</v>
      </c>
      <c r="B107" s="723" t="s">
        <v>100</v>
      </c>
      <c r="C107" s="1086" t="s">
        <v>97</v>
      </c>
      <c r="D107" s="688" t="s">
        <v>95</v>
      </c>
      <c r="E107" s="1022" t="s">
        <v>494</v>
      </c>
      <c r="F107" s="138" t="s">
        <v>495</v>
      </c>
      <c r="G107" s="139" t="s">
        <v>496</v>
      </c>
      <c r="H107" s="980" t="s">
        <v>101</v>
      </c>
      <c r="I107" s="141" t="s">
        <v>98</v>
      </c>
      <c r="J107" s="141" t="s">
        <v>96</v>
      </c>
      <c r="K107" s="141" t="s">
        <v>715</v>
      </c>
      <c r="L107" s="1026" t="s">
        <v>716</v>
      </c>
      <c r="M107" s="1087">
        <v>0</v>
      </c>
      <c r="N107" s="1033">
        <v>1</v>
      </c>
      <c r="O107" s="1033">
        <v>2</v>
      </c>
      <c r="P107" s="1033">
        <v>3</v>
      </c>
      <c r="Q107" s="1104">
        <v>4</v>
      </c>
      <c r="R107" s="950"/>
      <c r="S107" s="950"/>
      <c r="T107" s="950"/>
      <c r="U107" s="951"/>
    </row>
    <row r="108" spans="1:21">
      <c r="A108" s="936" t="s">
        <v>16</v>
      </c>
      <c r="B108" s="514">
        <v>578.20000000000005</v>
      </c>
      <c r="C108" s="549">
        <v>48660788.399999999</v>
      </c>
      <c r="D108" s="1181">
        <f t="shared" ref="D108:J108" si="13">D86+D97</f>
        <v>16</v>
      </c>
      <c r="E108" s="997">
        <f t="shared" si="13"/>
        <v>481.82</v>
      </c>
      <c r="F108" s="146">
        <f t="shared" si="13"/>
        <v>38385250.930000007</v>
      </c>
      <c r="G108" s="689">
        <f t="shared" si="13"/>
        <v>9</v>
      </c>
      <c r="H108" s="877">
        <f t="shared" si="13"/>
        <v>483.31999999999994</v>
      </c>
      <c r="I108" s="146">
        <f t="shared" si="13"/>
        <v>36418819.480000004</v>
      </c>
      <c r="J108" s="878">
        <f t="shared" si="13"/>
        <v>9</v>
      </c>
      <c r="K108" s="221">
        <f>IFERROR(H108/B108,"")</f>
        <v>0.83590453130404685</v>
      </c>
      <c r="L108" s="222">
        <f>IFERROR(I108/C108,"")</f>
        <v>0.74842230628552675</v>
      </c>
      <c r="M108" s="1148">
        <f>M86+M97</f>
        <v>1</v>
      </c>
      <c r="N108" s="1008">
        <f>N86+N97</f>
        <v>4</v>
      </c>
      <c r="O108" s="1008">
        <f>O86+O97</f>
        <v>1</v>
      </c>
      <c r="P108" s="1008">
        <f>P86+P97</f>
        <v>3</v>
      </c>
      <c r="Q108" s="1106">
        <f>Q86+Q97</f>
        <v>0</v>
      </c>
      <c r="R108" s="949"/>
      <c r="S108" s="949"/>
      <c r="T108" s="949"/>
    </row>
    <row r="109" spans="1:21">
      <c r="A109" s="975" t="s">
        <v>114</v>
      </c>
      <c r="B109" s="1177">
        <v>578.20000000000005</v>
      </c>
      <c r="C109" s="1178">
        <v>48660788.399999999</v>
      </c>
      <c r="D109" s="1123">
        <f t="shared" ref="D109:J109" si="14">SUM(D108:D108)</f>
        <v>16</v>
      </c>
      <c r="E109" s="1171">
        <f t="shared" si="14"/>
        <v>481.82</v>
      </c>
      <c r="F109" s="1182">
        <f t="shared" si="14"/>
        <v>38385250.930000007</v>
      </c>
      <c r="G109" s="1166">
        <f t="shared" si="14"/>
        <v>9</v>
      </c>
      <c r="H109" s="1173">
        <f t="shared" si="14"/>
        <v>483.31999999999994</v>
      </c>
      <c r="I109" s="1182">
        <f t="shared" si="14"/>
        <v>36418819.480000004</v>
      </c>
      <c r="J109" s="1182">
        <f t="shared" si="14"/>
        <v>9</v>
      </c>
      <c r="K109" s="1183">
        <f>IFERROR(H109/B109,)</f>
        <v>0.83590453130404685</v>
      </c>
      <c r="L109" s="1184">
        <f>IFERROR(I109/C109,)</f>
        <v>0.74842230628552675</v>
      </c>
      <c r="M109" s="906">
        <f>SUM(M108:M108)</f>
        <v>1</v>
      </c>
      <c r="N109" s="1123">
        <f>SUM(N108:N108)</f>
        <v>4</v>
      </c>
      <c r="O109" s="1123">
        <f>SUM(O108:O108)</f>
        <v>1</v>
      </c>
      <c r="P109" s="1123">
        <f>SUM(P108:P108)</f>
        <v>3</v>
      </c>
      <c r="Q109" s="1167">
        <f>SUM(Q108:Q108)</f>
        <v>0</v>
      </c>
      <c r="R109" s="949"/>
      <c r="S109" s="949"/>
      <c r="T109" s="949"/>
    </row>
    <row r="110" spans="1:21">
      <c r="A110" s="65"/>
      <c r="B110" s="65"/>
      <c r="C110" s="65"/>
      <c r="D110" s="65"/>
      <c r="E110" s="65"/>
      <c r="F110" s="949"/>
      <c r="G110" s="65"/>
      <c r="H110" s="65"/>
      <c r="I110" s="949"/>
      <c r="J110" s="65"/>
      <c r="K110" s="65"/>
      <c r="L110" s="65"/>
      <c r="M110" s="949"/>
      <c r="N110" s="65"/>
      <c r="O110" s="949"/>
      <c r="P110" s="949"/>
      <c r="Q110" s="86"/>
      <c r="R110" s="949"/>
      <c r="S110" s="949"/>
      <c r="T110" s="949"/>
    </row>
    <row r="111" spans="1:21">
      <c r="A111" s="2301" t="s">
        <v>945</v>
      </c>
      <c r="B111" s="2302"/>
      <c r="C111" s="2302"/>
      <c r="D111" s="2302"/>
      <c r="E111" s="2302"/>
      <c r="F111" s="2302"/>
      <c r="G111" s="2302"/>
      <c r="H111" s="2303"/>
      <c r="I111" s="2303"/>
      <c r="J111" s="2303"/>
      <c r="K111" s="2303"/>
      <c r="L111" s="2303"/>
      <c r="M111" s="2303"/>
      <c r="N111" s="2304"/>
      <c r="O111" s="949"/>
      <c r="P111" s="949"/>
      <c r="Q111" s="86"/>
      <c r="R111" s="949"/>
      <c r="S111" s="949"/>
      <c r="T111" s="949"/>
    </row>
    <row r="112" spans="1:21" ht="25.5">
      <c r="A112" s="685" t="s">
        <v>1</v>
      </c>
      <c r="B112" s="723" t="s">
        <v>101</v>
      </c>
      <c r="C112" s="724" t="s">
        <v>98</v>
      </c>
      <c r="D112" s="688" t="s">
        <v>96</v>
      </c>
      <c r="E112" s="1022" t="s">
        <v>494</v>
      </c>
      <c r="F112" s="138" t="s">
        <v>495</v>
      </c>
      <c r="G112" s="296" t="s">
        <v>496</v>
      </c>
      <c r="H112" s="140" t="s">
        <v>946</v>
      </c>
      <c r="I112" s="141" t="s">
        <v>947</v>
      </c>
      <c r="J112" s="1096">
        <v>0</v>
      </c>
      <c r="K112" s="1096">
        <v>1</v>
      </c>
      <c r="L112" s="1096">
        <v>2</v>
      </c>
      <c r="M112" s="1096">
        <v>3</v>
      </c>
      <c r="N112" s="1097">
        <v>4</v>
      </c>
      <c r="O112" s="949"/>
      <c r="P112" s="949"/>
      <c r="Q112" s="86"/>
      <c r="R112" s="949"/>
      <c r="S112" s="949"/>
      <c r="T112" s="949"/>
    </row>
    <row r="113" spans="1:20">
      <c r="A113" s="985" t="s">
        <v>73</v>
      </c>
      <c r="B113" s="291">
        <f>SUMIFS(РД[S],РД[МОП],A113,РД[Дата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3" s="292">
        <f>SUMIFS(РД[Стоимость без отделки итог],РД[МОП],A113,РД[Дата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3" s="694">
        <f>COUNTIFS(РД[МОП],A113,РД[Дата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3" s="1015"/>
      <c r="F113" s="292"/>
      <c r="G113" s="720"/>
      <c r="H113" s="291">
        <f>SUMIFS(РД[S],РД[МОП],A113,РД[Дата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3" s="879">
        <f>SUMIFS(РД[Стоимость без отделки итог],РД[МОП],A113,РД[Дата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3" s="1088">
        <f>COUNTIFS(РД[Тип кв],J$112,РД[МОП],$A113,РД[Дата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3" s="1089">
        <f>COUNTIFS(РД[Тип кв],K$112,РД[МОП],$A113,РД[Дата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3" s="1089">
        <f>COUNTIFS(РД[Тип кв],L$112,РД[МОП],$A113,РД[Дата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3" s="1089">
        <f>COUNTIFS(РД[Тип кв],M$112,РД[МОП],$A113,РД[Дата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3" s="1098">
        <f>COUNTIFS(РД[Тип кв],N$112,РД[МОП],$A113,РД[Дата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3" s="949"/>
      <c r="P113" s="949"/>
      <c r="Q113" s="86"/>
      <c r="R113" s="949"/>
      <c r="S113" s="949"/>
      <c r="T113" s="949"/>
    </row>
    <row r="114" spans="1:20">
      <c r="A114" s="981" t="s">
        <v>77</v>
      </c>
      <c r="B114" s="271">
        <f>SUMIFS(РД[S],РД[МОП],A114,РД[Дата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4" s="52">
        <f>SUMIFS(РД[Стоимость без отделки итог],РД[МОП],A114,РД[Дата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4" s="717">
        <f>COUNTIFS(РД[МОП],A114,РД[Дата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4" s="416"/>
      <c r="F114" s="52"/>
      <c r="G114" s="421"/>
      <c r="H114" s="271">
        <f>SUMIFS(РД[S],РД[МОП],A114,РД[Дата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4" s="546">
        <f>SUMIFS(РД[Стоимость без отделки итог],РД[МОП],A114,РД[Дата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4" s="1090">
        <f>COUNTIFS(РД[Тип кв],J$112,РД[МОП],$A114,РД[Дата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4" s="339">
        <f>COUNTIFS(РД[Тип кв],K$112,РД[МОП],$A114,РД[Дата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4" s="339">
        <f>COUNTIFS(РД[Тип кв],L$112,РД[МОП],$A114,РД[Дата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4" s="339">
        <f>COUNTIFS(РД[Тип кв],M$112,РД[МОП],$A114,РД[Дата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4" s="1099">
        <f>COUNTIFS(РД[Тип кв],N$112,РД[МОП],$A114,РД[Дата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4" s="949"/>
      <c r="P114" s="949"/>
      <c r="Q114" s="86"/>
      <c r="R114" s="949"/>
      <c r="S114" s="949"/>
      <c r="T114" s="949"/>
    </row>
    <row r="115" spans="1:20">
      <c r="A115" s="1042" t="s">
        <v>1046</v>
      </c>
      <c r="B115" s="271">
        <f>SUMIFS(РД[S],РД[МОП],A115,РД[Дата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5" s="52">
        <f>SUMIFS(РД[Стоимость без отделки итог],РД[МОП],A115,РД[Дата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5" s="717">
        <f>COUNTIFS(РД[МОП],A115,РД[Дата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5" s="416"/>
      <c r="F115" s="52"/>
      <c r="G115" s="421"/>
      <c r="H115" s="271">
        <f>SUMIFS(РД[S],РД[МОП],A115,РД[Дата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5" s="546">
        <f>SUMIFS(РД[Стоимость без отделки итог],РД[МОП],A115,РД[Дата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5" s="1090">
        <f>COUNTIFS(РД[Тип кв],J$112,РД[МОП],$A115,РД[Дата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5" s="339">
        <f>COUNTIFS(РД[Тип кв],K$112,РД[МОП],$A115,РД[Дата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5" s="339">
        <f>COUNTIFS(РД[Тип кв],L$112,РД[МОП],$A115,РД[Дата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5" s="339">
        <f>COUNTIFS(РД[Тип кв],M$112,РД[МОП],$A115,РД[Дата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5" s="1099">
        <f>COUNTIFS(РД[Тип кв],N$112,РД[МОП],$A115,РД[Дата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5" s="949"/>
      <c r="P115" s="949"/>
      <c r="Q115" s="86"/>
      <c r="R115" s="949"/>
      <c r="S115" s="949"/>
      <c r="T115" s="949"/>
    </row>
    <row r="116" spans="1:20">
      <c r="A116" s="981" t="s">
        <v>63</v>
      </c>
      <c r="B116" s="271">
        <f>SUMIFS(РД[S],РД[МОП],A116,РД[Дата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6" s="52">
        <f>SUMIFS(РД[Стоимость без отделки итог],РД[МОП],A116,РД[Дата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6" s="717">
        <f>COUNTIFS(РД[МОП],A116,РД[Дата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6" s="416"/>
      <c r="F116" s="52"/>
      <c r="G116" s="421"/>
      <c r="H116" s="271">
        <f>SUMIFS(РД[S],РД[МОП],A116,РД[Дата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6" s="546">
        <f>SUMIFS(РД[Стоимость без отделки итог],РД[МОП],A116,РД[Дата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6" s="1090">
        <f>COUNTIFS(РД[Тип кв],J$112,РД[МОП],$A116,РД[Дата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6" s="339">
        <f>COUNTIFS(РД[Тип кв],K$112,РД[МОП],$A116,РД[Дата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6" s="339">
        <f>COUNTIFS(РД[Тип кв],L$112,РД[МОП],$A116,РД[Дата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6" s="339">
        <f>COUNTIFS(РД[Тип кв],M$112,РД[МОП],$A116,РД[Дата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6" s="1099">
        <f>COUNTIFS(РД[Тип кв],N$112,РД[МОП],$A116,РД[Дата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6" s="949"/>
      <c r="P116" s="949"/>
      <c r="Q116" s="86"/>
      <c r="R116" s="949"/>
      <c r="S116" s="949"/>
      <c r="T116" s="949"/>
    </row>
    <row r="117" spans="1:20">
      <c r="A117" s="982" t="s">
        <v>29</v>
      </c>
      <c r="B117" s="516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7" s="554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7" s="695">
        <f>COUNTIFS(РД[МОП],A117,РД[Дата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7" s="329">
        <f>SUMIFS(Май2022349[м2],Май2022349[МОП],$A117,Май2022349[№ дома],$C$89)</f>
        <v>0</v>
      </c>
      <c r="F117" s="958">
        <f>SUMIFS(Май2022349[сумма без отделки],Май2022349[МОП],$A117,Май2022349[№ дома],$C$89)</f>
        <v>0</v>
      </c>
      <c r="G117" s="959">
        <f>COUNTIFS(Май2022349[МОП],$A117,Май2022349[№ дома],$C$89)</f>
        <v>0</v>
      </c>
      <c r="H117" s="516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1002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1100">
        <f>COUNTIFS(РД[Тип кв],J$112,РД[МОП],$A117,РД[Дата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1101">
        <f>COUNTIFS(РД[Тип кв],K$112,РД[МОП],$A117,РД[Дата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1101">
        <f>COUNTIFS(РД[Тип кв],L$112,РД[МОП],$A117,РД[Дата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1101">
        <f>COUNTIFS(РД[Тип кв],M$112,РД[МОП],$A117,РД[Дата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1102">
        <f>COUNTIFS(РД[Тип кв],N$112,РД[МОП],$A117,РД[Дата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T117" s="949"/>
    </row>
    <row r="118" spans="1:20">
      <c r="A118" s="984" t="s">
        <v>114</v>
      </c>
      <c r="B118" s="323">
        <f t="shared" ref="B118:N118" si="15">SUM(B113:B117)</f>
        <v>0</v>
      </c>
      <c r="C118" s="429">
        <f t="shared" si="15"/>
        <v>0</v>
      </c>
      <c r="D118" s="319">
        <f t="shared" si="15"/>
        <v>0</v>
      </c>
      <c r="E118" s="428">
        <f t="shared" si="15"/>
        <v>0</v>
      </c>
      <c r="F118" s="429">
        <f t="shared" si="15"/>
        <v>0</v>
      </c>
      <c r="G118" s="322">
        <f t="shared" si="15"/>
        <v>0</v>
      </c>
      <c r="H118" s="323">
        <f t="shared" si="15"/>
        <v>0</v>
      </c>
      <c r="I118" s="324">
        <f t="shared" si="15"/>
        <v>0</v>
      </c>
      <c r="J118" s="284">
        <f t="shared" si="15"/>
        <v>0</v>
      </c>
      <c r="K118" s="285">
        <f t="shared" si="15"/>
        <v>0</v>
      </c>
      <c r="L118" s="285">
        <f t="shared" si="15"/>
        <v>0</v>
      </c>
      <c r="M118" s="285">
        <f t="shared" si="15"/>
        <v>0</v>
      </c>
      <c r="N118" s="305">
        <f t="shared" si="15"/>
        <v>0</v>
      </c>
      <c r="O118" s="949"/>
      <c r="P118" s="949"/>
      <c r="Q118" s="86"/>
      <c r="R118" s="949"/>
      <c r="S118" s="949"/>
      <c r="T118" s="949"/>
    </row>
    <row r="119" spans="1:20" ht="25.5">
      <c r="A119" s="725" t="s">
        <v>115</v>
      </c>
      <c r="B119" s="686" t="s">
        <v>101</v>
      </c>
      <c r="C119" s="724" t="s">
        <v>98</v>
      </c>
      <c r="D119" s="688" t="s">
        <v>96</v>
      </c>
      <c r="E119" s="1051" t="s">
        <v>494</v>
      </c>
      <c r="F119" s="138" t="s">
        <v>495</v>
      </c>
      <c r="G119" s="296" t="s">
        <v>496</v>
      </c>
      <c r="H119" s="140" t="s">
        <v>946</v>
      </c>
      <c r="I119" s="1026" t="s">
        <v>947</v>
      </c>
      <c r="J119" s="1149">
        <v>0</v>
      </c>
      <c r="K119" s="1150">
        <v>1</v>
      </c>
      <c r="L119" s="1150">
        <v>2</v>
      </c>
      <c r="M119" s="1150">
        <v>3</v>
      </c>
      <c r="N119" s="1151">
        <v>4</v>
      </c>
      <c r="O119" s="949"/>
      <c r="P119" s="949"/>
      <c r="Q119" s="86"/>
      <c r="R119" s="949"/>
      <c r="S119" s="949"/>
      <c r="T119" s="949"/>
    </row>
    <row r="120" spans="1:20">
      <c r="A120" s="985" t="s">
        <v>16</v>
      </c>
      <c r="B120" s="267">
        <f>SUMIFS(РД[S],РД[ИМ],A120,РД[Дата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0" s="146">
        <f>SUMIFS(РД[Стоимость без отделки итог],РД[ИМ],A120,РД[Дата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0" s="702">
        <f>COUNTIFS(РД[ИМ],A120,РД[Дата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0" s="877"/>
      <c r="F120" s="146"/>
      <c r="G120" s="1134"/>
      <c r="H120" s="267">
        <f>SUMIFS(РД[S],РД[ИМ],A120,РД[Дата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0" s="268">
        <f>SUMIFS(РД[Стоимость без отделки итог],РД[ИМ],A120,РД[Дата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0" s="1090">
        <f>COUNTIFS(РД[Тип кв],J$112,РД[ИМ],$A120,РД[Дата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0" s="339">
        <f>COUNTIFS(РД[Тип кв],K$112,РД[ИМ],$A120,РД[Дата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0" s="339">
        <f>COUNTIFS(РД[Тип кв],L$112,РД[ИМ],$A120,РД[Дата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0" s="339">
        <f>COUNTIFS(РД[Тип кв],M$112,РД[ИМ],$A120,РД[Дата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0" s="1099">
        <f>COUNTIFS(РД[Тип кв],N$112,РД[ИМ],$A120,РД[Дата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0" s="949"/>
      <c r="P120" s="949"/>
      <c r="Q120" s="86"/>
      <c r="R120" s="949"/>
      <c r="S120" s="949"/>
      <c r="T120" s="949"/>
    </row>
    <row r="121" spans="1:20">
      <c r="A121" s="982" t="s">
        <v>114</v>
      </c>
      <c r="B121" s="1135">
        <f>B120</f>
        <v>0</v>
      </c>
      <c r="C121" s="1136">
        <f>C120</f>
        <v>0</v>
      </c>
      <c r="D121" s="1137">
        <f>D120</f>
        <v>0</v>
      </c>
      <c r="E121" s="1138">
        <f t="shared" ref="E121:N121" si="16">SUM(E120:E120)</f>
        <v>0</v>
      </c>
      <c r="F121" s="1136">
        <f t="shared" si="16"/>
        <v>0</v>
      </c>
      <c r="G121" s="1139">
        <f t="shared" si="16"/>
        <v>0</v>
      </c>
      <c r="H121" s="1135">
        <f t="shared" si="16"/>
        <v>0</v>
      </c>
      <c r="I121" s="1152">
        <f t="shared" si="16"/>
        <v>0</v>
      </c>
      <c r="J121" s="1153">
        <f t="shared" si="16"/>
        <v>0</v>
      </c>
      <c r="K121" s="1154">
        <f t="shared" si="16"/>
        <v>0</v>
      </c>
      <c r="L121" s="1154">
        <f t="shared" si="16"/>
        <v>0</v>
      </c>
      <c r="M121" s="1154">
        <f t="shared" si="16"/>
        <v>0</v>
      </c>
      <c r="N121" s="1137">
        <f t="shared" si="16"/>
        <v>0</v>
      </c>
      <c r="O121" s="949"/>
      <c r="P121" s="949"/>
      <c r="Q121" s="86"/>
      <c r="R121" s="949"/>
      <c r="S121" s="949"/>
      <c r="T121" s="949"/>
    </row>
    <row r="122" spans="1:20">
      <c r="A122" s="65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T122" s="949"/>
    </row>
    <row r="123" spans="1:20">
      <c r="A123" s="65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T123" s="949"/>
    </row>
    <row r="124" spans="1:20">
      <c r="A124" s="65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T124" s="949"/>
    </row>
    <row r="125" spans="1:20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</row>
    <row r="126" spans="1:20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</row>
    <row r="127" spans="1:20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</row>
    <row r="128" spans="1:20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</row>
    <row r="129" spans="1:20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</row>
    <row r="130" spans="1:20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</row>
    <row r="131" spans="1:20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</row>
    <row r="132" spans="1:20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</row>
    <row r="133" spans="1:20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</row>
    <row r="134" spans="1:20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</row>
    <row r="135" spans="1:20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</row>
    <row r="136" spans="1:20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</row>
    <row r="137" spans="1:20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</row>
    <row r="138" spans="1:20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</row>
    <row r="139" spans="1:20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</row>
    <row r="140" spans="1:20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</row>
    <row r="141" spans="1:20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</row>
    <row r="142" spans="1:20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</row>
    <row r="143" spans="1:20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</row>
    <row r="144" spans="1:20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</row>
    <row r="145" spans="1:20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</row>
    <row r="146" spans="1:20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</row>
    <row r="147" spans="1:20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</row>
    <row r="148" spans="1:20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</row>
    <row r="149" spans="1:20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</row>
    <row r="150" spans="1:20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</row>
    <row r="151" spans="1:20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</row>
    <row r="152" spans="1:20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</row>
    <row r="153" spans="1:20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</row>
    <row r="154" spans="1:20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</row>
    <row r="155" spans="1:20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</row>
    <row r="156" spans="1:20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</row>
    <row r="157" spans="1:20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</row>
    <row r="158" spans="1:20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</row>
    <row r="159" spans="1:20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</row>
    <row r="160" spans="1:20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</row>
    <row r="161" spans="1:20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</row>
    <row r="162" spans="1:20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</row>
    <row r="163" spans="1:20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</row>
    <row r="164" spans="1:20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</row>
    <row r="165" spans="1:20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</row>
    <row r="166" spans="1:20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</row>
    <row r="167" spans="1:20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</row>
    <row r="168" spans="1:20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</row>
    <row r="169" spans="1:20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</row>
    <row r="170" spans="1:20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</row>
    <row r="171" spans="1:20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</row>
    <row r="172" spans="1:20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</row>
    <row r="173" spans="1:20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</row>
    <row r="174" spans="1:20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</row>
    <row r="175" spans="1:20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</row>
    <row r="176" spans="1:20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</row>
    <row r="177" spans="1:20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</row>
    <row r="178" spans="1:20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</row>
    <row r="179" spans="1:20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</row>
    <row r="180" spans="1:20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</row>
    <row r="181" spans="1:20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</row>
    <row r="182" spans="1:20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</row>
    <row r="183" spans="1:20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</row>
    <row r="184" spans="1:20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</row>
    <row r="185" spans="1:20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</row>
    <row r="186" spans="1:20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</row>
    <row r="187" spans="1:20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</row>
    <row r="188" spans="1:20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</row>
    <row r="189" spans="1:20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</row>
    <row r="190" spans="1:20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</row>
    <row r="191" spans="1:20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</row>
    <row r="192" spans="1:20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</row>
    <row r="193" spans="1:20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</row>
    <row r="194" spans="1:20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</row>
    <row r="195" spans="1:20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</row>
    <row r="196" spans="1:20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</row>
    <row r="197" spans="1:20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</row>
    <row r="198" spans="1:20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</row>
    <row r="199" spans="1:20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</row>
    <row r="200" spans="1:20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</row>
    <row r="201" spans="1:20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</row>
    <row r="202" spans="1:20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</row>
    <row r="203" spans="1:20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</row>
    <row r="204" spans="1:20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</row>
    <row r="205" spans="1:20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</row>
    <row r="206" spans="1:20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</row>
    <row r="207" spans="1:20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</row>
    <row r="208" spans="1:20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</row>
    <row r="209" spans="1:20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</row>
    <row r="210" spans="1:20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</row>
    <row r="211" spans="1:20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</row>
    <row r="212" spans="1:20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</row>
    <row r="213" spans="1:20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</row>
    <row r="214" spans="1:20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</row>
    <row r="215" spans="1:20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</row>
    <row r="216" spans="1:20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</row>
    <row r="217" spans="1:20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</row>
    <row r="218" spans="1:20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</row>
    <row r="219" spans="1:20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</row>
    <row r="220" spans="1:20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</row>
    <row r="221" spans="1:20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</row>
    <row r="222" spans="1:20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</row>
    <row r="223" spans="1:20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</row>
    <row r="224" spans="1:20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</row>
    <row r="225" spans="1:20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</row>
    <row r="226" spans="1:20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</row>
    <row r="227" spans="1:20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</row>
    <row r="228" spans="1:20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</row>
    <row r="229" spans="1:20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</row>
    <row r="230" spans="1:20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</row>
    <row r="231" spans="1:20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</row>
    <row r="232" spans="1:20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</row>
    <row r="233" spans="1:20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</row>
    <row r="234" spans="1:20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</row>
    <row r="235" spans="1:20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</row>
    <row r="236" spans="1:20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</row>
    <row r="237" spans="1:20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</row>
    <row r="238" spans="1:20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</row>
    <row r="239" spans="1:20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</row>
    <row r="240" spans="1:20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</row>
    <row r="241" spans="1:20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</row>
    <row r="242" spans="1:20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</row>
    <row r="243" spans="1:20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</row>
    <row r="244" spans="1:20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</row>
    <row r="245" spans="1:20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</row>
    <row r="246" spans="1:20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</row>
    <row r="247" spans="1:20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</row>
    <row r="248" spans="1:20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</row>
    <row r="249" spans="1:20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</row>
    <row r="250" spans="1:20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</row>
  </sheetData>
  <sheetProtection algorithmName="SHA-512" hashValue="xjeMbA/Fsq809pnk0Qze/8/2Vz5kPf9135k/ONsaRKQuXkvh0qHVv7W5vuatSSavVpuOdy7O+ljAgtlMrgaxlQ==" saltValue="PhaXST3OlxOsOIDcKAChCQ==" spinCount="100000" sheet="1" formatCells="0" formatColumns="0" formatRows="0" sort="0" autoFilter="0" pivotTables="0"/>
  <mergeCells count="8">
    <mergeCell ref="A100:B100"/>
    <mergeCell ref="D100:P100"/>
    <mergeCell ref="A111:N111"/>
    <mergeCell ref="A1:S1"/>
    <mergeCell ref="A78:B78"/>
    <mergeCell ref="D78:P78"/>
    <mergeCell ref="A89:B89"/>
    <mergeCell ref="D89:P89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1400-000000000000}">
          <x14:formula1>
            <xm:f>Списки!$C$3:$C$11</xm:f>
          </x14:formula1>
          <xm:sqref>D3 R3:T3 D15 D17:D76 R17:R76 S16:T76</xm:sqref>
        </x14:dataValidation>
        <x14:dataValidation type="list" allowBlank="1" showInputMessage="1" showErrorMessage="1" xr:uid="{00000000-0002-0000-1400-000001000000}">
          <x14:formula1>
            <xm:f>Списки!$C$3:$C$7</xm:f>
          </x14:formula1>
          <xm:sqref>T8 D16 D77 D4:D14 R4:R16 S4:S15</xm:sqref>
        </x14:dataValidation>
        <x14:dataValidation type="list" allowBlank="1" showInputMessage="1" showErrorMessage="1" xr:uid="{00000000-0002-0000-1400-000002000000}">
          <x14:formula1>
            <xm:f>Списки!$D$2:$D$7</xm:f>
          </x14:formula1>
          <xm:sqref>F3:F77</xm:sqref>
        </x14:dataValidation>
        <x14:dataValidation type="list" allowBlank="1" showInputMessage="1" showErrorMessage="1" xr:uid="{00000000-0002-0000-1400-000003000000}">
          <x14:formula1>
            <xm:f>Списки!$B$2:$B$5</xm:f>
          </x14:formula1>
          <xm:sqref>G3:G77</xm:sqref>
        </x14:dataValidation>
        <x14:dataValidation type="list" allowBlank="1" showInputMessage="1" showErrorMessage="1" xr:uid="{00000000-0002-0000-1400-000004000000}">
          <x14:formula1>
            <xm:f>Списки!$E$2:$E$7</xm:f>
          </x14:formula1>
          <xm:sqref>H3:H77</xm:sqref>
        </x14:dataValidation>
        <x14:dataValidation type="list" allowBlank="1" showInputMessage="1" showErrorMessage="1" xr:uid="{00000000-0002-0000-1400-000005000000}">
          <x14:formula1>
            <xm:f>Списки!$G$2:$G$3</xm:f>
          </x14:formula1>
          <xm:sqref>L3:L77</xm:sqref>
        </x14:dataValidation>
        <x14:dataValidation type="list" allowBlank="1" showInputMessage="1" showErrorMessage="1" xr:uid="{00000000-0002-0000-1400-000006000000}">
          <x14:formula1>
            <xm:f>Списки!$F$2:$F$3</xm:f>
          </x14:formula1>
          <xm:sqref>N3:N77</xm:sqref>
        </x14:dataValidation>
        <x14:dataValidation type="list" allowBlank="1" showInputMessage="1" showErrorMessage="1" xr:uid="{00000000-0002-0000-1400-000007000000}">
          <x14:formula1>
            <xm:f>Списки!$C$3:$C$10</xm:f>
          </x14:formula1>
          <xm:sqref>T4:T7 T9:T15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W253"/>
  <sheetViews>
    <sheetView zoomScale="85" zoomScaleNormal="85" workbookViewId="0">
      <pane ySplit="2" topLeftCell="A3" activePane="bottomLeft" state="frozen"/>
      <selection pane="bottomLeft" activeCell="I88" sqref="I88"/>
    </sheetView>
  </sheetViews>
  <sheetFormatPr defaultColWidth="9.140625" defaultRowHeight="12.75" outlineLevelRow="1"/>
  <cols>
    <col min="1" max="1" width="11.7109375" style="931" customWidth="1"/>
    <col min="2" max="2" width="8.85546875" style="931" customWidth="1"/>
    <col min="3" max="3" width="14.28515625" style="931" customWidth="1"/>
    <col min="4" max="4" width="12.5703125" style="931" customWidth="1"/>
    <col min="5" max="5" width="10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6.5703125" style="931" customWidth="1"/>
    <col min="14" max="14" width="14" style="931" customWidth="1"/>
    <col min="15" max="15" width="23.28515625" style="931" customWidth="1"/>
    <col min="16" max="16" width="19.7109375" style="931" customWidth="1"/>
    <col min="17" max="17" width="34.5703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44804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929" customFormat="1" hidden="1" outlineLevel="1">
      <c r="A3" s="62">
        <v>1</v>
      </c>
      <c r="B3" s="62">
        <v>885</v>
      </c>
      <c r="C3" s="62">
        <v>17247</v>
      </c>
      <c r="D3" s="117" t="s">
        <v>77</v>
      </c>
      <c r="E3" s="62">
        <v>37.15</v>
      </c>
      <c r="F3" s="117" t="s">
        <v>9</v>
      </c>
      <c r="G3" s="117" t="s">
        <v>27</v>
      </c>
      <c r="H3" s="117" t="s">
        <v>16</v>
      </c>
      <c r="I3" s="95">
        <v>3382987.48</v>
      </c>
      <c r="J3" s="62">
        <v>1</v>
      </c>
      <c r="K3" s="117" t="s">
        <v>583</v>
      </c>
      <c r="L3" s="117" t="s">
        <v>12</v>
      </c>
      <c r="M3" s="92">
        <v>44781</v>
      </c>
      <c r="N3" s="117" t="s">
        <v>17</v>
      </c>
      <c r="O3" s="117" t="s">
        <v>1061</v>
      </c>
      <c r="P3" s="76" t="s">
        <v>111</v>
      </c>
      <c r="Q3" s="76" t="s">
        <v>111</v>
      </c>
      <c r="R3" s="945" t="s">
        <v>77</v>
      </c>
      <c r="S3" s="945" t="s">
        <v>77</v>
      </c>
      <c r="T3" s="945" t="s">
        <v>77</v>
      </c>
      <c r="U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3382987.48</v>
      </c>
    </row>
    <row r="4" spans="1:22" s="929" customFormat="1" hidden="1" outlineLevel="1">
      <c r="A4" s="62">
        <v>2</v>
      </c>
      <c r="B4" s="62">
        <v>322</v>
      </c>
      <c r="C4" s="62">
        <v>21795</v>
      </c>
      <c r="D4" s="117" t="s">
        <v>77</v>
      </c>
      <c r="E4" s="62">
        <v>56.7</v>
      </c>
      <c r="F4" s="117" t="s">
        <v>9</v>
      </c>
      <c r="G4" s="117" t="s">
        <v>7</v>
      </c>
      <c r="H4" s="62" t="s">
        <v>10</v>
      </c>
      <c r="I4" s="95">
        <v>3891831.3</v>
      </c>
      <c r="J4" s="62">
        <v>2</v>
      </c>
      <c r="K4" s="62" t="s">
        <v>286</v>
      </c>
      <c r="L4" s="117" t="s">
        <v>12</v>
      </c>
      <c r="M4" s="92">
        <v>44799</v>
      </c>
      <c r="N4" s="117" t="s">
        <v>17</v>
      </c>
      <c r="O4" s="62" t="s">
        <v>1062</v>
      </c>
      <c r="P4" s="76" t="s">
        <v>111</v>
      </c>
      <c r="Q4" s="76" t="s">
        <v>111</v>
      </c>
      <c r="R4" s="945" t="s">
        <v>77</v>
      </c>
      <c r="S4" s="945" t="s">
        <v>77</v>
      </c>
      <c r="T4" s="1108" t="s">
        <v>30</v>
      </c>
      <c r="U4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3891831.3000000003</v>
      </c>
    </row>
    <row r="5" spans="1:22" s="929" customFormat="1" hidden="1" outlineLevel="1">
      <c r="A5" s="62">
        <v>3</v>
      </c>
      <c r="B5" s="62">
        <v>16</v>
      </c>
      <c r="C5" s="62">
        <v>15796</v>
      </c>
      <c r="D5" s="117" t="s">
        <v>77</v>
      </c>
      <c r="E5" s="62">
        <v>21.73</v>
      </c>
      <c r="F5" s="62" t="s">
        <v>9</v>
      </c>
      <c r="G5" s="62" t="s">
        <v>7</v>
      </c>
      <c r="H5" s="62" t="s">
        <v>16</v>
      </c>
      <c r="I5" s="95">
        <v>1642788</v>
      </c>
      <c r="J5" s="62">
        <v>0</v>
      </c>
      <c r="K5" s="117" t="s">
        <v>583</v>
      </c>
      <c r="L5" s="117" t="s">
        <v>12</v>
      </c>
      <c r="M5" s="942">
        <v>44781</v>
      </c>
      <c r="N5" s="117" t="s">
        <v>17</v>
      </c>
      <c r="O5" s="62" t="s">
        <v>1063</v>
      </c>
      <c r="P5" s="76" t="s">
        <v>111</v>
      </c>
      <c r="Q5" s="76" t="s">
        <v>111</v>
      </c>
      <c r="R5" s="117" t="s">
        <v>77</v>
      </c>
      <c r="S5" s="117" t="s">
        <v>77</v>
      </c>
      <c r="T5" s="117" t="s">
        <v>77</v>
      </c>
      <c r="U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1642788</v>
      </c>
    </row>
    <row r="6" spans="1:22" s="929" customFormat="1" ht="12.75" customHeight="1" outlineLevel="1">
      <c r="A6" s="62">
        <v>4</v>
      </c>
      <c r="B6" s="62">
        <v>155</v>
      </c>
      <c r="C6" s="62">
        <v>21829</v>
      </c>
      <c r="D6" s="117"/>
      <c r="E6" s="62">
        <v>35.380000000000003</v>
      </c>
      <c r="F6" s="941" t="s">
        <v>9</v>
      </c>
      <c r="G6" s="62" t="s">
        <v>7</v>
      </c>
      <c r="H6" s="62" t="s">
        <v>84</v>
      </c>
      <c r="I6" s="91">
        <v>2678442.9</v>
      </c>
      <c r="J6" s="62">
        <v>1</v>
      </c>
      <c r="K6" s="62" t="s">
        <v>286</v>
      </c>
      <c r="L6" s="62" t="s">
        <v>12</v>
      </c>
      <c r="M6" s="942">
        <v>44785</v>
      </c>
      <c r="N6" s="117" t="s">
        <v>11</v>
      </c>
      <c r="O6" s="941" t="s">
        <v>1064</v>
      </c>
      <c r="P6" s="76" t="s">
        <v>111</v>
      </c>
      <c r="Q6" s="76" t="s">
        <v>111</v>
      </c>
      <c r="R6" s="945"/>
      <c r="S6" s="945" t="s">
        <v>73</v>
      </c>
      <c r="T6" s="945" t="s">
        <v>73</v>
      </c>
      <c r="U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2678442.9</v>
      </c>
    </row>
    <row r="7" spans="1:22" ht="9.75" hidden="1" customHeight="1" outlineLevel="1">
      <c r="A7" s="62">
        <v>5</v>
      </c>
      <c r="B7" s="62">
        <v>87</v>
      </c>
      <c r="C7" s="62">
        <v>15314</v>
      </c>
      <c r="D7" s="945" t="s">
        <v>73</v>
      </c>
      <c r="E7" s="62">
        <v>77.2</v>
      </c>
      <c r="F7" s="941" t="s">
        <v>9</v>
      </c>
      <c r="G7" s="62" t="s">
        <v>121</v>
      </c>
      <c r="H7" s="62" t="s">
        <v>16</v>
      </c>
      <c r="I7" s="95">
        <v>5981200</v>
      </c>
      <c r="J7" s="62">
        <v>3</v>
      </c>
      <c r="K7" s="62" t="s">
        <v>583</v>
      </c>
      <c r="L7" s="62" t="s">
        <v>18</v>
      </c>
      <c r="M7" s="1016">
        <v>44804</v>
      </c>
      <c r="N7" s="117" t="s">
        <v>17</v>
      </c>
      <c r="O7" s="62" t="s">
        <v>1065</v>
      </c>
      <c r="P7" s="76" t="s">
        <v>111</v>
      </c>
      <c r="Q7" s="76" t="s">
        <v>111</v>
      </c>
      <c r="R7" s="945" t="s">
        <v>73</v>
      </c>
      <c r="S7" s="945" t="s">
        <v>77</v>
      </c>
      <c r="T7" s="945" t="s">
        <v>77</v>
      </c>
      <c r="U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5981200</v>
      </c>
    </row>
    <row r="8" spans="1:22" hidden="1" outlineLevel="1">
      <c r="A8" s="62">
        <v>6</v>
      </c>
      <c r="B8" s="62">
        <v>7</v>
      </c>
      <c r="C8" s="62">
        <v>4854</v>
      </c>
      <c r="D8" s="117" t="s">
        <v>73</v>
      </c>
      <c r="E8" s="62">
        <v>21.75</v>
      </c>
      <c r="F8" s="941" t="s">
        <v>9</v>
      </c>
      <c r="G8" s="62" t="s">
        <v>7</v>
      </c>
      <c r="H8" s="62" t="s">
        <v>16</v>
      </c>
      <c r="I8" s="95">
        <v>1644300</v>
      </c>
      <c r="J8" s="62">
        <v>0</v>
      </c>
      <c r="K8" s="62" t="s">
        <v>286</v>
      </c>
      <c r="L8" s="62" t="s">
        <v>12</v>
      </c>
      <c r="M8" s="1016">
        <v>44803</v>
      </c>
      <c r="N8" s="117" t="s">
        <v>17</v>
      </c>
      <c r="O8" s="62" t="s">
        <v>1066</v>
      </c>
      <c r="P8" s="76" t="s">
        <v>111</v>
      </c>
      <c r="Q8" s="76" t="s">
        <v>111</v>
      </c>
      <c r="R8" s="945" t="s">
        <v>73</v>
      </c>
      <c r="S8" s="945" t="s">
        <v>73</v>
      </c>
      <c r="T8" s="945" t="s">
        <v>73</v>
      </c>
      <c r="U8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1644300</v>
      </c>
    </row>
    <row r="9" spans="1:22" s="929" customFormat="1" ht="12.75" hidden="1" customHeight="1" outlineLevel="1">
      <c r="A9" s="62">
        <v>7</v>
      </c>
      <c r="B9" s="75">
        <v>345</v>
      </c>
      <c r="C9" s="75">
        <v>19193</v>
      </c>
      <c r="D9" s="945" t="s">
        <v>73</v>
      </c>
      <c r="E9" s="62">
        <v>33.840000000000003</v>
      </c>
      <c r="F9" s="941" t="s">
        <v>9</v>
      </c>
      <c r="G9" s="62" t="s">
        <v>7</v>
      </c>
      <c r="H9" s="62" t="s">
        <v>10</v>
      </c>
      <c r="I9" s="95">
        <v>2392488</v>
      </c>
      <c r="J9" s="62">
        <v>1</v>
      </c>
      <c r="K9" s="62" t="s">
        <v>583</v>
      </c>
      <c r="L9" s="62" t="s">
        <v>12</v>
      </c>
      <c r="M9" s="92">
        <v>44784</v>
      </c>
      <c r="N9" s="117"/>
      <c r="O9" s="62" t="s">
        <v>1067</v>
      </c>
      <c r="P9" s="76" t="s">
        <v>111</v>
      </c>
      <c r="Q9" s="76" t="s">
        <v>111</v>
      </c>
      <c r="R9" s="945" t="s">
        <v>73</v>
      </c>
      <c r="S9" s="945" t="s">
        <v>73</v>
      </c>
      <c r="T9" s="945" t="s">
        <v>73</v>
      </c>
      <c r="U9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2392488.0000000005</v>
      </c>
    </row>
    <row r="10" spans="1:22" hidden="1" outlineLevel="1">
      <c r="A10" s="62">
        <v>8</v>
      </c>
      <c r="B10" s="62">
        <v>310</v>
      </c>
      <c r="C10" s="62">
        <v>21413</v>
      </c>
      <c r="D10" s="945" t="s">
        <v>73</v>
      </c>
      <c r="E10" s="62">
        <v>33.840000000000003</v>
      </c>
      <c r="F10" s="62" t="s">
        <v>9</v>
      </c>
      <c r="G10" s="62" t="s">
        <v>7</v>
      </c>
      <c r="H10" s="62" t="s">
        <v>16</v>
      </c>
      <c r="I10" s="95">
        <v>2392488</v>
      </c>
      <c r="J10" s="62">
        <v>1</v>
      </c>
      <c r="K10" s="62" t="s">
        <v>583</v>
      </c>
      <c r="L10" s="62" t="s">
        <v>12</v>
      </c>
      <c r="M10" s="1016">
        <v>44777</v>
      </c>
      <c r="N10" s="62" t="s">
        <v>17</v>
      </c>
      <c r="O10" s="62" t="s">
        <v>1068</v>
      </c>
      <c r="P10" s="76" t="s">
        <v>111</v>
      </c>
      <c r="Q10" s="76" t="s">
        <v>111</v>
      </c>
      <c r="R10" s="945" t="s">
        <v>73</v>
      </c>
      <c r="S10" s="945" t="s">
        <v>73</v>
      </c>
      <c r="T10" s="945" t="s">
        <v>73</v>
      </c>
      <c r="U10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2392488.0000000005</v>
      </c>
    </row>
    <row r="11" spans="1:22" s="929" customFormat="1" ht="12.75" hidden="1" customHeight="1" outlineLevel="1">
      <c r="A11" s="62">
        <v>9</v>
      </c>
      <c r="B11" s="62">
        <v>15</v>
      </c>
      <c r="C11" s="62">
        <v>22058</v>
      </c>
      <c r="D11" s="945" t="s">
        <v>73</v>
      </c>
      <c r="E11" s="62">
        <v>21.75</v>
      </c>
      <c r="F11" s="941" t="s">
        <v>15</v>
      </c>
      <c r="G11" s="62" t="s">
        <v>7</v>
      </c>
      <c r="H11" s="62" t="s">
        <v>84</v>
      </c>
      <c r="I11" s="95">
        <v>1889640</v>
      </c>
      <c r="J11" s="62">
        <v>0</v>
      </c>
      <c r="K11" s="62" t="s">
        <v>286</v>
      </c>
      <c r="L11" s="62" t="s">
        <v>12</v>
      </c>
      <c r="M11" s="92">
        <v>44792</v>
      </c>
      <c r="N11" s="117" t="s">
        <v>17</v>
      </c>
      <c r="O11" s="62" t="s">
        <v>1069</v>
      </c>
      <c r="P11" s="76" t="s">
        <v>111</v>
      </c>
      <c r="Q11" s="76" t="s">
        <v>111</v>
      </c>
      <c r="R11" s="945" t="s">
        <v>73</v>
      </c>
      <c r="S11" s="945" t="s">
        <v>63</v>
      </c>
      <c r="T11" s="945" t="s">
        <v>73</v>
      </c>
      <c r="U11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1726515</v>
      </c>
    </row>
    <row r="12" spans="1:22" s="929" customFormat="1" ht="15.75" hidden="1" customHeight="1" outlineLevel="1">
      <c r="A12" s="62">
        <v>10</v>
      </c>
      <c r="B12" s="62">
        <v>95</v>
      </c>
      <c r="C12" s="62">
        <v>21825</v>
      </c>
      <c r="D12" s="945" t="s">
        <v>73</v>
      </c>
      <c r="E12" s="62">
        <v>21.75</v>
      </c>
      <c r="F12" s="945" t="s">
        <v>15</v>
      </c>
      <c r="G12" s="62" t="s">
        <v>7</v>
      </c>
      <c r="H12" s="117" t="s">
        <v>84</v>
      </c>
      <c r="I12" s="95">
        <v>1807425</v>
      </c>
      <c r="J12" s="62">
        <v>0</v>
      </c>
      <c r="K12" s="62" t="s">
        <v>286</v>
      </c>
      <c r="L12" s="62" t="s">
        <v>12</v>
      </c>
      <c r="M12" s="92">
        <v>44783</v>
      </c>
      <c r="N12" s="117" t="s">
        <v>11</v>
      </c>
      <c r="O12" s="117" t="s">
        <v>1070</v>
      </c>
      <c r="P12" s="76" t="s">
        <v>111</v>
      </c>
      <c r="Q12" s="76" t="s">
        <v>111</v>
      </c>
      <c r="R12" s="945" t="s">
        <v>73</v>
      </c>
      <c r="S12" s="945" t="s">
        <v>73</v>
      </c>
      <c r="T12" s="945" t="s">
        <v>73</v>
      </c>
      <c r="U12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1644300</v>
      </c>
    </row>
    <row r="13" spans="1:22" ht="12.75" customHeight="1" outlineLevel="1">
      <c r="A13" s="62">
        <v>11</v>
      </c>
      <c r="B13" s="62">
        <v>195</v>
      </c>
      <c r="C13" s="62">
        <v>21877</v>
      </c>
      <c r="D13" s="117"/>
      <c r="E13" s="62">
        <v>35.380000000000003</v>
      </c>
      <c r="F13" s="941" t="s">
        <v>9</v>
      </c>
      <c r="G13" s="62" t="s">
        <v>7</v>
      </c>
      <c r="H13" s="62" t="s">
        <v>16</v>
      </c>
      <c r="I13" s="95">
        <v>2652438.6</v>
      </c>
      <c r="J13" s="62">
        <v>1</v>
      </c>
      <c r="K13" s="117" t="s">
        <v>583</v>
      </c>
      <c r="L13" s="62"/>
      <c r="M13" s="92">
        <v>44797</v>
      </c>
      <c r="N13" s="117" t="s">
        <v>17</v>
      </c>
      <c r="O13" s="62" t="s">
        <v>1071</v>
      </c>
      <c r="P13" s="76" t="s">
        <v>111</v>
      </c>
      <c r="Q13" s="76" t="s">
        <v>111</v>
      </c>
      <c r="R13" s="945"/>
      <c r="S13" s="945" t="s">
        <v>73</v>
      </c>
      <c r="T13" s="945" t="s">
        <v>73</v>
      </c>
      <c r="U1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2652438.6</v>
      </c>
    </row>
    <row r="14" spans="1:22" hidden="1" outlineLevel="1">
      <c r="A14" s="62">
        <v>12</v>
      </c>
      <c r="B14" s="62">
        <v>271</v>
      </c>
      <c r="C14" s="62">
        <v>21692</v>
      </c>
      <c r="D14" s="945" t="s">
        <v>63</v>
      </c>
      <c r="E14" s="62">
        <v>36.450000000000003</v>
      </c>
      <c r="F14" s="945" t="s">
        <v>9</v>
      </c>
      <c r="G14" s="62" t="s">
        <v>7</v>
      </c>
      <c r="H14" s="62" t="s">
        <v>16</v>
      </c>
      <c r="I14" s="1119">
        <v>2783176.2</v>
      </c>
      <c r="J14" s="62">
        <v>1</v>
      </c>
      <c r="K14" s="117" t="s">
        <v>583</v>
      </c>
      <c r="L14" s="62" t="s">
        <v>12</v>
      </c>
      <c r="M14" s="92">
        <v>44797</v>
      </c>
      <c r="N14" s="117" t="s">
        <v>17</v>
      </c>
      <c r="O14" s="62" t="s">
        <v>1072</v>
      </c>
      <c r="P14" s="76" t="s">
        <v>111</v>
      </c>
      <c r="Q14" s="76" t="s">
        <v>111</v>
      </c>
      <c r="R14" s="945" t="s">
        <v>63</v>
      </c>
      <c r="S14" s="945" t="s">
        <v>63</v>
      </c>
      <c r="T14" s="945" t="s">
        <v>63</v>
      </c>
      <c r="U14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2783176.2</v>
      </c>
    </row>
    <row r="15" spans="1:22" s="929" customFormat="1" ht="12.75" hidden="1" customHeight="1" outlineLevel="1">
      <c r="A15" s="62">
        <v>13</v>
      </c>
      <c r="B15" s="62">
        <v>282</v>
      </c>
      <c r="C15" s="81">
        <v>2381</v>
      </c>
      <c r="D15" s="945" t="s">
        <v>77</v>
      </c>
      <c r="E15" s="62">
        <v>33.840000000000003</v>
      </c>
      <c r="F15" s="945" t="s">
        <v>9</v>
      </c>
      <c r="G15" s="62" t="s">
        <v>7</v>
      </c>
      <c r="H15" s="62" t="s">
        <v>16</v>
      </c>
      <c r="I15" s="95">
        <v>2392488</v>
      </c>
      <c r="J15" s="62">
        <v>1</v>
      </c>
      <c r="K15" s="117" t="s">
        <v>583</v>
      </c>
      <c r="L15" s="62" t="s">
        <v>12</v>
      </c>
      <c r="M15" s="92">
        <v>44792</v>
      </c>
      <c r="N15" s="117" t="s">
        <v>17</v>
      </c>
      <c r="O15" s="62" t="s">
        <v>1073</v>
      </c>
      <c r="P15" s="76" t="s">
        <v>111</v>
      </c>
      <c r="Q15" s="76" t="s">
        <v>111</v>
      </c>
      <c r="R15" s="945" t="s">
        <v>77</v>
      </c>
      <c r="S15" s="945" t="s">
        <v>77</v>
      </c>
      <c r="T15" s="945" t="s">
        <v>77</v>
      </c>
      <c r="U1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2392488.0000000005</v>
      </c>
    </row>
    <row r="16" spans="1:22" s="929" customFormat="1" ht="12.75" customHeight="1" outlineLevel="1">
      <c r="A16" s="62">
        <v>14</v>
      </c>
      <c r="B16" s="62">
        <v>349</v>
      </c>
      <c r="C16" s="62">
        <v>21884</v>
      </c>
      <c r="D16" s="117"/>
      <c r="E16" s="62">
        <v>58.55</v>
      </c>
      <c r="F16" s="945" t="s">
        <v>15</v>
      </c>
      <c r="G16" s="62" t="s">
        <v>7</v>
      </c>
      <c r="H16" s="62" t="s">
        <v>10</v>
      </c>
      <c r="I16" s="91">
        <v>4658891.42</v>
      </c>
      <c r="J16" s="62">
        <v>2</v>
      </c>
      <c r="K16" s="62" t="s">
        <v>286</v>
      </c>
      <c r="L16" s="62" t="s">
        <v>12</v>
      </c>
      <c r="M16" s="92">
        <v>44791</v>
      </c>
      <c r="N16" s="117" t="s">
        <v>17</v>
      </c>
      <c r="O16" s="76" t="s">
        <v>1074</v>
      </c>
      <c r="P16" s="76" t="s">
        <v>111</v>
      </c>
      <c r="Q16" s="76" t="s">
        <v>111</v>
      </c>
      <c r="R16" s="945"/>
      <c r="S16" s="945" t="s">
        <v>73</v>
      </c>
      <c r="T16" s="945" t="s">
        <v>73</v>
      </c>
      <c r="U1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4219766.42</v>
      </c>
    </row>
    <row r="17" spans="1:23" hidden="1" outlineLevel="1">
      <c r="A17" s="62">
        <v>15</v>
      </c>
      <c r="B17" s="75">
        <v>248</v>
      </c>
      <c r="C17" s="75">
        <v>21956</v>
      </c>
      <c r="D17" s="117" t="s">
        <v>63</v>
      </c>
      <c r="E17" s="62">
        <v>29.35</v>
      </c>
      <c r="F17" s="945" t="s">
        <v>9</v>
      </c>
      <c r="G17" s="62" t="s">
        <v>7</v>
      </c>
      <c r="H17" s="62" t="s">
        <v>16</v>
      </c>
      <c r="I17" s="95">
        <v>2329803</v>
      </c>
      <c r="J17" s="62">
        <v>0</v>
      </c>
      <c r="K17" s="62" t="s">
        <v>583</v>
      </c>
      <c r="L17" s="62" t="s">
        <v>18</v>
      </c>
      <c r="M17" s="92">
        <v>44802</v>
      </c>
      <c r="N17" s="117" t="s">
        <v>17</v>
      </c>
      <c r="O17" s="62" t="s">
        <v>1075</v>
      </c>
      <c r="P17" s="76" t="s">
        <v>111</v>
      </c>
      <c r="Q17" s="76" t="s">
        <v>111</v>
      </c>
      <c r="R17" s="945" t="s">
        <v>63</v>
      </c>
      <c r="S17" s="945" t="s">
        <v>63</v>
      </c>
      <c r="T17" s="945" t="s">
        <v>63</v>
      </c>
      <c r="U1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2329803</v>
      </c>
    </row>
    <row r="18" spans="1:23" hidden="1" outlineLevel="1">
      <c r="A18" s="62">
        <v>16</v>
      </c>
      <c r="B18" s="75">
        <v>275</v>
      </c>
      <c r="C18" s="75">
        <v>22078</v>
      </c>
      <c r="D18" s="117" t="s">
        <v>63</v>
      </c>
      <c r="E18" s="62">
        <v>33.840000000000003</v>
      </c>
      <c r="F18" s="117" t="s">
        <v>25</v>
      </c>
      <c r="G18" s="62" t="s">
        <v>7</v>
      </c>
      <c r="H18" s="62" t="s">
        <v>16</v>
      </c>
      <c r="I18" s="95">
        <v>3256592.4</v>
      </c>
      <c r="J18" s="62">
        <v>1</v>
      </c>
      <c r="K18" s="371" t="s">
        <v>583</v>
      </c>
      <c r="L18" s="62" t="s">
        <v>18</v>
      </c>
      <c r="M18" s="92">
        <v>44797</v>
      </c>
      <c r="N18" s="117" t="s">
        <v>17</v>
      </c>
      <c r="O18" s="62" t="s">
        <v>595</v>
      </c>
      <c r="P18" s="76" t="s">
        <v>111</v>
      </c>
      <c r="Q18" s="76" t="s">
        <v>111</v>
      </c>
      <c r="R18" s="945" t="s">
        <v>63</v>
      </c>
      <c r="S18" s="945" t="s">
        <v>63</v>
      </c>
      <c r="T18" s="945" t="s">
        <v>63</v>
      </c>
      <c r="U18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2512112.4</v>
      </c>
    </row>
    <row r="19" spans="1:23" s="929" customFormat="1" hidden="1" outlineLevel="1">
      <c r="A19" s="62">
        <v>17</v>
      </c>
      <c r="B19" s="75">
        <v>24</v>
      </c>
      <c r="C19" s="75">
        <v>21930</v>
      </c>
      <c r="D19" s="117" t="s">
        <v>73</v>
      </c>
      <c r="E19" s="62">
        <v>21.73</v>
      </c>
      <c r="F19" s="941" t="s">
        <v>15</v>
      </c>
      <c r="G19" s="62" t="s">
        <v>7</v>
      </c>
      <c r="H19" s="62" t="s">
        <v>16</v>
      </c>
      <c r="I19" s="95">
        <v>1887902.4</v>
      </c>
      <c r="J19" s="62">
        <v>0</v>
      </c>
      <c r="K19" s="62" t="s">
        <v>583</v>
      </c>
      <c r="L19" s="62" t="s">
        <v>12</v>
      </c>
      <c r="M19" s="92">
        <v>44785</v>
      </c>
      <c r="N19" s="117"/>
      <c r="O19" s="62" t="s">
        <v>1076</v>
      </c>
      <c r="P19" s="76" t="s">
        <v>111</v>
      </c>
      <c r="Q19" s="76" t="s">
        <v>111</v>
      </c>
      <c r="R19" s="945" t="s">
        <v>73</v>
      </c>
      <c r="S19" s="945" t="s">
        <v>73</v>
      </c>
      <c r="T19" s="945" t="s">
        <v>73</v>
      </c>
      <c r="U19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1724927.4000000001</v>
      </c>
    </row>
    <row r="20" spans="1:23" ht="12.75" hidden="1" customHeight="1" outlineLevel="1">
      <c r="A20" s="62">
        <v>18</v>
      </c>
      <c r="B20" s="75">
        <v>128</v>
      </c>
      <c r="C20" s="75">
        <v>21702</v>
      </c>
      <c r="D20" s="117" t="s">
        <v>63</v>
      </c>
      <c r="E20" s="62">
        <v>33.79</v>
      </c>
      <c r="F20" s="941" t="s">
        <v>15</v>
      </c>
      <c r="G20" s="62" t="s">
        <v>7</v>
      </c>
      <c r="H20" s="62" t="s">
        <v>16</v>
      </c>
      <c r="I20" s="1021">
        <v>2625483</v>
      </c>
      <c r="J20" s="62">
        <v>1</v>
      </c>
      <c r="K20" s="62" t="s">
        <v>583</v>
      </c>
      <c r="L20" s="62" t="s">
        <v>12</v>
      </c>
      <c r="M20" s="92">
        <v>44416</v>
      </c>
      <c r="N20" s="117" t="s">
        <v>17</v>
      </c>
      <c r="O20" s="62" t="s">
        <v>1077</v>
      </c>
      <c r="P20" s="76" t="s">
        <v>111</v>
      </c>
      <c r="Q20" s="76" t="s">
        <v>111</v>
      </c>
      <c r="R20" s="945" t="s">
        <v>63</v>
      </c>
      <c r="S20" s="945" t="s">
        <v>63</v>
      </c>
      <c r="T20" s="945" t="s">
        <v>63</v>
      </c>
      <c r="U20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2372058</v>
      </c>
    </row>
    <row r="21" spans="1:23" hidden="1" outlineLevel="1">
      <c r="A21" s="62">
        <v>19</v>
      </c>
      <c r="B21" s="75">
        <v>134</v>
      </c>
      <c r="C21" s="75">
        <v>21704.21702</v>
      </c>
      <c r="D21" s="117" t="s">
        <v>63</v>
      </c>
      <c r="E21" s="62">
        <v>36.659999999999997</v>
      </c>
      <c r="F21" s="941" t="s">
        <v>15</v>
      </c>
      <c r="G21" s="62" t="s">
        <v>7</v>
      </c>
      <c r="H21" s="62" t="s">
        <v>16</v>
      </c>
      <c r="I21" s="95">
        <v>2925468</v>
      </c>
      <c r="J21" s="62">
        <v>1</v>
      </c>
      <c r="K21" s="62" t="s">
        <v>583</v>
      </c>
      <c r="L21" s="62" t="s">
        <v>12</v>
      </c>
      <c r="M21" s="92">
        <v>44778</v>
      </c>
      <c r="N21" s="117" t="s">
        <v>17</v>
      </c>
      <c r="O21" s="62" t="s">
        <v>1077</v>
      </c>
      <c r="P21" s="76" t="s">
        <v>111</v>
      </c>
      <c r="Q21" s="76" t="s">
        <v>111</v>
      </c>
      <c r="R21" s="945" t="s">
        <v>63</v>
      </c>
      <c r="S21" s="945" t="s">
        <v>63</v>
      </c>
      <c r="T21" s="945" t="s">
        <v>63</v>
      </c>
      <c r="U21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2650518.0000000005</v>
      </c>
    </row>
    <row r="22" spans="1:23" ht="12.75" hidden="1" customHeight="1" outlineLevel="1">
      <c r="A22" s="62">
        <v>20</v>
      </c>
      <c r="B22" s="62">
        <v>331</v>
      </c>
      <c r="C22" s="75">
        <v>21701</v>
      </c>
      <c r="D22" s="117" t="s">
        <v>63</v>
      </c>
      <c r="E22" s="62">
        <v>33.840000000000003</v>
      </c>
      <c r="F22" s="941" t="s">
        <v>25</v>
      </c>
      <c r="G22" s="62" t="s">
        <v>7</v>
      </c>
      <c r="H22" s="62" t="s">
        <v>16</v>
      </c>
      <c r="I22" s="91">
        <v>3069288</v>
      </c>
      <c r="J22" s="62">
        <v>1</v>
      </c>
      <c r="K22" s="62" t="s">
        <v>583</v>
      </c>
      <c r="L22" s="62" t="s">
        <v>12</v>
      </c>
      <c r="M22" s="537">
        <v>44778</v>
      </c>
      <c r="N22" s="117" t="s">
        <v>17</v>
      </c>
      <c r="O22" s="62" t="s">
        <v>1078</v>
      </c>
      <c r="P22" s="76" t="s">
        <v>111</v>
      </c>
      <c r="Q22" s="76" t="s">
        <v>111</v>
      </c>
      <c r="R22" s="945" t="s">
        <v>63</v>
      </c>
      <c r="S22" s="945" t="s">
        <v>63</v>
      </c>
      <c r="T22" s="945" t="s">
        <v>63</v>
      </c>
      <c r="U22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2324807.9999999995</v>
      </c>
    </row>
    <row r="23" spans="1:23" ht="12.75" hidden="1" customHeight="1" outlineLevel="1">
      <c r="A23" s="62">
        <v>21</v>
      </c>
      <c r="B23" s="75">
        <v>137</v>
      </c>
      <c r="C23" s="75">
        <v>21700</v>
      </c>
      <c r="D23" s="117" t="s">
        <v>63</v>
      </c>
      <c r="E23" s="62">
        <v>28.97</v>
      </c>
      <c r="F23" s="941" t="s">
        <v>9</v>
      </c>
      <c r="G23" s="62" t="s">
        <v>7</v>
      </c>
      <c r="H23" s="62" t="s">
        <v>84</v>
      </c>
      <c r="I23" s="95">
        <v>2190132</v>
      </c>
      <c r="J23" s="62">
        <v>0</v>
      </c>
      <c r="K23" s="62" t="s">
        <v>286</v>
      </c>
      <c r="L23" s="62" t="s">
        <v>12</v>
      </c>
      <c r="M23" s="92">
        <v>44788</v>
      </c>
      <c r="N23" s="117"/>
      <c r="O23" s="62" t="s">
        <v>1079</v>
      </c>
      <c r="P23" s="76" t="s">
        <v>111</v>
      </c>
      <c r="Q23" s="76" t="s">
        <v>111</v>
      </c>
      <c r="R23" s="945" t="s">
        <v>63</v>
      </c>
      <c r="S23" s="945" t="s">
        <v>63</v>
      </c>
      <c r="T23" s="945" t="s">
        <v>63</v>
      </c>
      <c r="U2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2190132</v>
      </c>
    </row>
    <row r="24" spans="1:23" ht="12.75" hidden="1" customHeight="1" outlineLevel="1">
      <c r="A24" s="62">
        <v>22</v>
      </c>
      <c r="B24" s="62">
        <v>111</v>
      </c>
      <c r="C24" s="62">
        <v>21824</v>
      </c>
      <c r="D24" s="945" t="s">
        <v>73</v>
      </c>
      <c r="E24" s="62">
        <v>21.75</v>
      </c>
      <c r="F24" s="945" t="s">
        <v>15</v>
      </c>
      <c r="G24" s="62" t="s">
        <v>7</v>
      </c>
      <c r="H24" s="117" t="s">
        <v>84</v>
      </c>
      <c r="I24" s="95">
        <v>1807425</v>
      </c>
      <c r="J24" s="62">
        <v>0</v>
      </c>
      <c r="K24" s="117" t="s">
        <v>286</v>
      </c>
      <c r="L24" s="117" t="s">
        <v>12</v>
      </c>
      <c r="M24" s="92">
        <v>44774</v>
      </c>
      <c r="N24" s="117" t="s">
        <v>17</v>
      </c>
      <c r="O24" s="117" t="s">
        <v>1010</v>
      </c>
      <c r="P24" s="76" t="s">
        <v>111</v>
      </c>
      <c r="Q24" s="76" t="s">
        <v>111</v>
      </c>
      <c r="R24" s="945" t="s">
        <v>73</v>
      </c>
      <c r="S24" s="945" t="s">
        <v>73</v>
      </c>
      <c r="T24" s="945" t="s">
        <v>73</v>
      </c>
      <c r="U24" s="946">
        <v>1655175</v>
      </c>
    </row>
    <row r="25" spans="1:23" s="929" customFormat="1" ht="15.75" hidden="1" customHeight="1" outlineLevel="1">
      <c r="A25" s="62">
        <v>23</v>
      </c>
      <c r="B25" s="75">
        <v>296</v>
      </c>
      <c r="C25" s="75">
        <v>13814</v>
      </c>
      <c r="D25" s="117" t="s">
        <v>73</v>
      </c>
      <c r="E25" s="62">
        <v>35.15</v>
      </c>
      <c r="F25" s="941" t="s">
        <v>9</v>
      </c>
      <c r="G25" s="62" t="s">
        <v>7</v>
      </c>
      <c r="H25" s="62" t="s">
        <v>16</v>
      </c>
      <c r="I25" s="95">
        <v>2512112.4</v>
      </c>
      <c r="J25" s="62">
        <v>1</v>
      </c>
      <c r="K25" s="62" t="s">
        <v>583</v>
      </c>
      <c r="L25" s="62" t="s">
        <v>18</v>
      </c>
      <c r="M25" s="92">
        <v>44791</v>
      </c>
      <c r="N25" s="117" t="s">
        <v>17</v>
      </c>
      <c r="O25" s="941" t="s">
        <v>1080</v>
      </c>
      <c r="P25" s="76" t="s">
        <v>111</v>
      </c>
      <c r="Q25" s="76" t="s">
        <v>111</v>
      </c>
      <c r="R25" s="945" t="s">
        <v>73</v>
      </c>
      <c r="S25" s="945" t="s">
        <v>73</v>
      </c>
      <c r="T25" s="945" t="s">
        <v>73</v>
      </c>
      <c r="U2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2512112.4</v>
      </c>
    </row>
    <row r="26" spans="1:23" ht="15.75" hidden="1" customHeight="1" outlineLevel="1">
      <c r="A26" s="62">
        <v>24</v>
      </c>
      <c r="B26" s="75">
        <v>324</v>
      </c>
      <c r="C26" s="75">
        <v>21860</v>
      </c>
      <c r="D26" s="117" t="s">
        <v>77</v>
      </c>
      <c r="E26" s="62">
        <v>33.840000000000003</v>
      </c>
      <c r="F26" s="76" t="s">
        <v>15</v>
      </c>
      <c r="G26" s="62" t="s">
        <v>7</v>
      </c>
      <c r="H26" s="62" t="s">
        <v>10</v>
      </c>
      <c r="I26" s="91">
        <v>2765912.4</v>
      </c>
      <c r="J26" s="62">
        <v>1</v>
      </c>
      <c r="K26" s="62" t="s">
        <v>286</v>
      </c>
      <c r="L26" s="62" t="s">
        <v>18</v>
      </c>
      <c r="M26" s="537">
        <v>44776</v>
      </c>
      <c r="N26" s="117" t="s">
        <v>17</v>
      </c>
      <c r="O26" s="76" t="s">
        <v>1081</v>
      </c>
      <c r="P26" s="76" t="s">
        <v>111</v>
      </c>
      <c r="Q26" s="76" t="s">
        <v>111</v>
      </c>
      <c r="R26" s="945" t="s">
        <v>77</v>
      </c>
      <c r="S26" s="945" t="s">
        <v>77</v>
      </c>
      <c r="T26" s="945" t="s">
        <v>77</v>
      </c>
      <c r="U2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2512112.4</v>
      </c>
    </row>
    <row r="27" spans="1:23" ht="12.75" hidden="1" customHeight="1" outlineLevel="1">
      <c r="A27" s="62">
        <v>25</v>
      </c>
      <c r="B27" s="75">
        <v>268</v>
      </c>
      <c r="C27" s="75">
        <v>22066</v>
      </c>
      <c r="D27" s="117" t="s">
        <v>63</v>
      </c>
      <c r="E27" s="62">
        <v>33.840000000000003</v>
      </c>
      <c r="F27" s="941" t="s">
        <v>15</v>
      </c>
      <c r="G27" s="62" t="s">
        <v>7</v>
      </c>
      <c r="H27" s="62" t="s">
        <v>16</v>
      </c>
      <c r="I27" s="95">
        <v>2765912.4</v>
      </c>
      <c r="J27" s="62">
        <v>1</v>
      </c>
      <c r="K27" s="62" t="s">
        <v>583</v>
      </c>
      <c r="L27" s="62" t="s">
        <v>18</v>
      </c>
      <c r="M27" s="92">
        <v>44788</v>
      </c>
      <c r="N27" s="62" t="s">
        <v>17</v>
      </c>
      <c r="O27" s="62" t="s">
        <v>1082</v>
      </c>
      <c r="P27" s="76" t="s">
        <v>111</v>
      </c>
      <c r="Q27" s="76" t="s">
        <v>111</v>
      </c>
      <c r="R27" s="945" t="s">
        <v>63</v>
      </c>
      <c r="S27" s="945" t="s">
        <v>63</v>
      </c>
      <c r="T27" s="945" t="s">
        <v>63</v>
      </c>
      <c r="U2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2512112.4</v>
      </c>
    </row>
    <row r="28" spans="1:23" ht="16.5" hidden="1" customHeight="1" outlineLevel="1">
      <c r="A28" s="62">
        <v>26</v>
      </c>
      <c r="B28" s="75">
        <v>23</v>
      </c>
      <c r="C28" s="75">
        <v>21944</v>
      </c>
      <c r="D28" s="117" t="s">
        <v>63</v>
      </c>
      <c r="E28" s="62">
        <v>21.75</v>
      </c>
      <c r="F28" s="62" t="s">
        <v>15</v>
      </c>
      <c r="G28" s="62" t="s">
        <v>7</v>
      </c>
      <c r="H28" s="62" t="s">
        <v>16</v>
      </c>
      <c r="I28" s="95">
        <v>1889640</v>
      </c>
      <c r="J28" s="62">
        <v>0</v>
      </c>
      <c r="K28" s="62" t="s">
        <v>583</v>
      </c>
      <c r="L28" s="62" t="s">
        <v>12</v>
      </c>
      <c r="M28" s="92">
        <v>44803</v>
      </c>
      <c r="N28" s="117" t="s">
        <v>17</v>
      </c>
      <c r="O28" s="62" t="s">
        <v>1083</v>
      </c>
      <c r="P28" s="76" t="s">
        <v>111</v>
      </c>
      <c r="Q28" s="76" t="s">
        <v>111</v>
      </c>
      <c r="R28" s="945" t="s">
        <v>63</v>
      </c>
      <c r="S28" s="945" t="s">
        <v>63</v>
      </c>
      <c r="T28" s="945" t="s">
        <v>63</v>
      </c>
      <c r="U28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1726515</v>
      </c>
    </row>
    <row r="29" spans="1:23" s="1006" customFormat="1" ht="12.75" hidden="1" customHeight="1" outlineLevel="1">
      <c r="A29" s="62">
        <v>27</v>
      </c>
      <c r="B29" s="75">
        <v>289</v>
      </c>
      <c r="C29" s="75">
        <v>22032</v>
      </c>
      <c r="D29" s="117" t="s">
        <v>63</v>
      </c>
      <c r="E29" s="62">
        <v>33.840000000000003</v>
      </c>
      <c r="F29" s="941" t="s">
        <v>9</v>
      </c>
      <c r="G29" s="62" t="s">
        <v>7</v>
      </c>
      <c r="H29" s="62" t="s">
        <v>16</v>
      </c>
      <c r="I29" s="95">
        <v>2512112.4</v>
      </c>
      <c r="J29" s="62">
        <v>1</v>
      </c>
      <c r="K29" s="62" t="s">
        <v>583</v>
      </c>
      <c r="L29" s="62" t="s">
        <v>18</v>
      </c>
      <c r="M29" s="92">
        <v>44784</v>
      </c>
      <c r="N29" s="117" t="s">
        <v>17</v>
      </c>
      <c r="O29" s="62" t="s">
        <v>1084</v>
      </c>
      <c r="P29" s="892" t="s">
        <v>111</v>
      </c>
      <c r="Q29" s="76" t="s">
        <v>111</v>
      </c>
      <c r="R29" s="945" t="s">
        <v>63</v>
      </c>
      <c r="S29" s="945" t="s">
        <v>63</v>
      </c>
      <c r="T29" s="945" t="s">
        <v>63</v>
      </c>
      <c r="U29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2512112.4</v>
      </c>
      <c r="V29" s="929"/>
      <c r="W29" s="929"/>
    </row>
    <row r="30" spans="1:23" ht="12.75" hidden="1" customHeight="1" outlineLevel="1">
      <c r="A30" s="62">
        <v>28</v>
      </c>
      <c r="B30" s="75">
        <v>635</v>
      </c>
      <c r="C30" s="75">
        <v>22021</v>
      </c>
      <c r="D30" s="117" t="s">
        <v>73</v>
      </c>
      <c r="E30" s="62">
        <v>24.39</v>
      </c>
      <c r="F30" s="941" t="s">
        <v>9</v>
      </c>
      <c r="G30" s="62" t="s">
        <v>27</v>
      </c>
      <c r="H30" s="62" t="s">
        <v>84</v>
      </c>
      <c r="I30" s="95">
        <v>2150302.48</v>
      </c>
      <c r="J30" s="62">
        <v>0</v>
      </c>
      <c r="K30" s="62" t="s">
        <v>514</v>
      </c>
      <c r="L30" s="62" t="s">
        <v>12</v>
      </c>
      <c r="M30" s="92">
        <v>44802</v>
      </c>
      <c r="N30" s="117" t="s">
        <v>17</v>
      </c>
      <c r="O30" s="62" t="s">
        <v>1085</v>
      </c>
      <c r="P30" s="892" t="s">
        <v>111</v>
      </c>
      <c r="Q30" s="892" t="s">
        <v>111</v>
      </c>
      <c r="R30" s="945" t="s">
        <v>73</v>
      </c>
      <c r="S30" s="945" t="s">
        <v>73</v>
      </c>
      <c r="T30" s="945" t="s">
        <v>73</v>
      </c>
      <c r="U30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2150302.48</v>
      </c>
    </row>
    <row r="31" spans="1:23" s="929" customFormat="1" ht="12.75" hidden="1" customHeight="1" outlineLevel="1">
      <c r="A31" s="62">
        <v>29</v>
      </c>
      <c r="B31" s="75">
        <v>751</v>
      </c>
      <c r="C31" s="75">
        <v>22070</v>
      </c>
      <c r="D31" s="117" t="s">
        <v>73</v>
      </c>
      <c r="E31" s="62">
        <v>56.33</v>
      </c>
      <c r="F31" s="941" t="s">
        <v>15</v>
      </c>
      <c r="G31" s="62" t="s">
        <v>27</v>
      </c>
      <c r="H31" s="62" t="s">
        <v>16</v>
      </c>
      <c r="I31" s="95">
        <v>5055135.0999999996</v>
      </c>
      <c r="J31" s="62">
        <v>2</v>
      </c>
      <c r="K31" s="62" t="s">
        <v>583</v>
      </c>
      <c r="L31" s="62" t="s">
        <v>12</v>
      </c>
      <c r="M31" s="92">
        <v>44799</v>
      </c>
      <c r="N31" s="117" t="s">
        <v>17</v>
      </c>
      <c r="O31" s="62" t="s">
        <v>1086</v>
      </c>
      <c r="P31" s="76" t="s">
        <v>111</v>
      </c>
      <c r="Q31" s="76" t="s">
        <v>111</v>
      </c>
      <c r="R31" s="945" t="s">
        <v>73</v>
      </c>
      <c r="S31" s="945" t="s">
        <v>73</v>
      </c>
      <c r="T31" s="945" t="s">
        <v>73</v>
      </c>
      <c r="U31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4632660.0999999996</v>
      </c>
    </row>
    <row r="32" spans="1:23" s="929" customFormat="1" ht="18" hidden="1" customHeight="1" outlineLevel="1">
      <c r="A32" s="62">
        <v>30</v>
      </c>
      <c r="B32" s="75">
        <v>147</v>
      </c>
      <c r="C32" s="75">
        <v>21959</v>
      </c>
      <c r="D32" s="117" t="s">
        <v>73</v>
      </c>
      <c r="E32" s="62">
        <v>35.380000000000003</v>
      </c>
      <c r="F32" s="941" t="s">
        <v>9</v>
      </c>
      <c r="G32" s="62" t="s">
        <v>7</v>
      </c>
      <c r="H32" s="62" t="s">
        <v>16</v>
      </c>
      <c r="I32" s="91">
        <v>2121950.88</v>
      </c>
      <c r="J32" s="62">
        <v>1</v>
      </c>
      <c r="K32" s="62" t="s">
        <v>583</v>
      </c>
      <c r="L32" s="62" t="s">
        <v>18</v>
      </c>
      <c r="M32" s="537">
        <v>44796</v>
      </c>
      <c r="N32" s="117" t="s">
        <v>17</v>
      </c>
      <c r="O32" s="76" t="s">
        <v>1087</v>
      </c>
      <c r="P32" s="76" t="s">
        <v>111</v>
      </c>
      <c r="Q32" s="76" t="s">
        <v>111</v>
      </c>
      <c r="R32" s="945" t="s">
        <v>73</v>
      </c>
      <c r="S32" s="945" t="s">
        <v>73</v>
      </c>
      <c r="T32" s="945" t="s">
        <v>73</v>
      </c>
      <c r="U32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2121950.88</v>
      </c>
    </row>
    <row r="33" spans="1:21" ht="12.75" hidden="1" customHeight="1" outlineLevel="1">
      <c r="A33" s="62">
        <v>31</v>
      </c>
      <c r="B33" s="75">
        <v>145</v>
      </c>
      <c r="C33" s="75">
        <v>22077</v>
      </c>
      <c r="D33" s="117" t="s">
        <v>63</v>
      </c>
      <c r="E33" s="62">
        <v>28.97</v>
      </c>
      <c r="F33" s="941" t="s">
        <v>15</v>
      </c>
      <c r="G33" s="62" t="s">
        <v>7</v>
      </c>
      <c r="H33" s="62" t="s">
        <v>16</v>
      </c>
      <c r="I33" s="95">
        <v>2516913.6</v>
      </c>
      <c r="J33" s="62">
        <v>0</v>
      </c>
      <c r="K33" s="62" t="s">
        <v>583</v>
      </c>
      <c r="L33" s="62" t="s">
        <v>18</v>
      </c>
      <c r="M33" s="92">
        <v>44789</v>
      </c>
      <c r="N33" s="117" t="s">
        <v>17</v>
      </c>
      <c r="O33" s="62" t="s">
        <v>1088</v>
      </c>
      <c r="P33" s="76" t="s">
        <v>111</v>
      </c>
      <c r="Q33" s="76" t="s">
        <v>111</v>
      </c>
      <c r="R33" s="945" t="s">
        <v>63</v>
      </c>
      <c r="S33" s="945" t="s">
        <v>63</v>
      </c>
      <c r="T33" s="945" t="s">
        <v>63</v>
      </c>
      <c r="U3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2299638.6</v>
      </c>
    </row>
    <row r="34" spans="1:21" hidden="1" outlineLevel="1">
      <c r="A34" s="62">
        <v>32</v>
      </c>
      <c r="B34" s="75">
        <v>8</v>
      </c>
      <c r="C34" s="75">
        <v>22074</v>
      </c>
      <c r="D34" s="117" t="s">
        <v>63</v>
      </c>
      <c r="E34" s="62">
        <v>21.73</v>
      </c>
      <c r="F34" s="941" t="s">
        <v>15</v>
      </c>
      <c r="G34" s="62" t="s">
        <v>7</v>
      </c>
      <c r="H34" s="62" t="s">
        <v>16</v>
      </c>
      <c r="I34" s="95">
        <v>1887902.4</v>
      </c>
      <c r="J34" s="62">
        <v>0</v>
      </c>
      <c r="K34" s="62" t="s">
        <v>583</v>
      </c>
      <c r="L34" s="62" t="s">
        <v>18</v>
      </c>
      <c r="M34" s="92">
        <v>44789</v>
      </c>
      <c r="N34" s="117" t="s">
        <v>17</v>
      </c>
      <c r="O34" s="941" t="s">
        <v>788</v>
      </c>
      <c r="P34" s="76" t="s">
        <v>111</v>
      </c>
      <c r="Q34" s="76" t="s">
        <v>111</v>
      </c>
      <c r="R34" s="945" t="s">
        <v>63</v>
      </c>
      <c r="S34" s="945" t="s">
        <v>63</v>
      </c>
      <c r="T34" s="945" t="s">
        <v>63</v>
      </c>
      <c r="U34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1724927.4000000001</v>
      </c>
    </row>
    <row r="35" spans="1:21" s="929" customFormat="1" ht="12.75" hidden="1" customHeight="1" outlineLevel="1">
      <c r="A35" s="62">
        <v>33</v>
      </c>
      <c r="B35" s="62">
        <v>219</v>
      </c>
      <c r="C35" s="75">
        <v>22137</v>
      </c>
      <c r="D35" s="117" t="s">
        <v>77</v>
      </c>
      <c r="E35" s="62">
        <v>85.9</v>
      </c>
      <c r="F35" s="941" t="s">
        <v>9</v>
      </c>
      <c r="G35" s="62" t="s">
        <v>121</v>
      </c>
      <c r="H35" s="62" t="s">
        <v>16</v>
      </c>
      <c r="I35" s="95">
        <v>6653000</v>
      </c>
      <c r="J35" s="62">
        <v>3</v>
      </c>
      <c r="K35" s="62" t="s">
        <v>583</v>
      </c>
      <c r="L35" s="62" t="s">
        <v>18</v>
      </c>
      <c r="M35" s="942">
        <v>44792</v>
      </c>
      <c r="N35" s="117" t="s">
        <v>1089</v>
      </c>
      <c r="O35" s="941" t="s">
        <v>1090</v>
      </c>
      <c r="P35" s="76" t="s">
        <v>111</v>
      </c>
      <c r="Q35" s="76" t="s">
        <v>111</v>
      </c>
      <c r="R35" s="945" t="s">
        <v>77</v>
      </c>
      <c r="S35" s="945" t="s">
        <v>77</v>
      </c>
      <c r="T35" s="945" t="s">
        <v>77</v>
      </c>
      <c r="U3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6653000</v>
      </c>
    </row>
    <row r="36" spans="1:21" ht="12.75" hidden="1" customHeight="1" outlineLevel="1">
      <c r="A36" s="62">
        <v>34</v>
      </c>
      <c r="B36" s="75">
        <v>141</v>
      </c>
      <c r="C36" s="75">
        <v>20570</v>
      </c>
      <c r="D36" s="117" t="s">
        <v>63</v>
      </c>
      <c r="E36" s="62">
        <v>36.700000000000003</v>
      </c>
      <c r="F36" s="76" t="s">
        <v>9</v>
      </c>
      <c r="G36" s="62" t="s">
        <v>7</v>
      </c>
      <c r="H36" s="62" t="s">
        <v>16</v>
      </c>
      <c r="I36" s="91">
        <v>2805348</v>
      </c>
      <c r="J36" s="62">
        <v>1</v>
      </c>
      <c r="K36" s="62" t="s">
        <v>583</v>
      </c>
      <c r="L36" s="62" t="s">
        <v>18</v>
      </c>
      <c r="M36" s="537">
        <v>44797</v>
      </c>
      <c r="N36" s="117" t="s">
        <v>17</v>
      </c>
      <c r="O36" s="76" t="s">
        <v>1091</v>
      </c>
      <c r="P36" s="76" t="s">
        <v>111</v>
      </c>
      <c r="Q36" s="76" t="s">
        <v>111</v>
      </c>
      <c r="R36" s="945" t="s">
        <v>63</v>
      </c>
      <c r="S36" s="945" t="s">
        <v>63</v>
      </c>
      <c r="T36" s="945" t="s">
        <v>63</v>
      </c>
      <c r="U3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2805348</v>
      </c>
    </row>
    <row r="37" spans="1:21" ht="12.75" hidden="1" customHeight="1" outlineLevel="1">
      <c r="A37" s="62">
        <v>35</v>
      </c>
      <c r="B37" s="75">
        <v>17</v>
      </c>
      <c r="C37" s="75">
        <v>22159</v>
      </c>
      <c r="D37" s="117" t="s">
        <v>63</v>
      </c>
      <c r="E37" s="62">
        <v>77.3</v>
      </c>
      <c r="F37" s="76" t="s">
        <v>9</v>
      </c>
      <c r="G37" s="62" t="s">
        <v>121</v>
      </c>
      <c r="H37" s="62" t="s">
        <v>16</v>
      </c>
      <c r="I37" s="91">
        <v>5988800</v>
      </c>
      <c r="J37" s="62">
        <v>3</v>
      </c>
      <c r="K37" s="117" t="s">
        <v>583</v>
      </c>
      <c r="L37" s="62" t="s">
        <v>18</v>
      </c>
      <c r="M37" s="537">
        <v>44799</v>
      </c>
      <c r="N37" s="62" t="s">
        <v>17</v>
      </c>
      <c r="O37" s="76" t="s">
        <v>1092</v>
      </c>
      <c r="P37" s="76" t="s">
        <v>111</v>
      </c>
      <c r="Q37" s="76" t="s">
        <v>111</v>
      </c>
      <c r="R37" s="945" t="s">
        <v>63</v>
      </c>
      <c r="S37" s="945" t="s">
        <v>63</v>
      </c>
      <c r="T37" s="945" t="s">
        <v>63</v>
      </c>
      <c r="U3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5988800</v>
      </c>
    </row>
    <row r="38" spans="1:21" ht="12.75" customHeight="1" outlineLevel="1">
      <c r="A38" s="62">
        <v>36</v>
      </c>
      <c r="B38" s="75">
        <v>62</v>
      </c>
      <c r="C38" s="75">
        <v>22127</v>
      </c>
      <c r="D38" s="117"/>
      <c r="E38" s="62">
        <v>60.2</v>
      </c>
      <c r="F38" s="76" t="s">
        <v>9</v>
      </c>
      <c r="G38" s="62" t="s">
        <v>121</v>
      </c>
      <c r="H38" s="62" t="s">
        <v>16</v>
      </c>
      <c r="I38" s="91">
        <v>5750000</v>
      </c>
      <c r="J38" s="62">
        <v>2</v>
      </c>
      <c r="K38" s="117" t="s">
        <v>583</v>
      </c>
      <c r="L38" s="62" t="s">
        <v>18</v>
      </c>
      <c r="M38" s="113">
        <v>44804</v>
      </c>
      <c r="N38" s="62" t="s">
        <v>17</v>
      </c>
      <c r="O38" s="76" t="s">
        <v>1093</v>
      </c>
      <c r="P38" s="76" t="s">
        <v>111</v>
      </c>
      <c r="Q38" s="76" t="s">
        <v>111</v>
      </c>
      <c r="R38" s="945"/>
      <c r="S38" s="945" t="s">
        <v>77</v>
      </c>
      <c r="T38" s="945" t="s">
        <v>77</v>
      </c>
      <c r="U38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5750000</v>
      </c>
    </row>
    <row r="39" spans="1:21" hidden="1" outlineLevel="1">
      <c r="A39" s="62">
        <v>37</v>
      </c>
      <c r="B39" s="75">
        <v>85</v>
      </c>
      <c r="C39" s="75">
        <v>22214</v>
      </c>
      <c r="D39" s="117" t="s">
        <v>77</v>
      </c>
      <c r="E39" s="62">
        <v>24.39</v>
      </c>
      <c r="F39" s="941" t="s">
        <v>25</v>
      </c>
      <c r="G39" s="62" t="s">
        <v>27</v>
      </c>
      <c r="H39" s="62" t="s">
        <v>16</v>
      </c>
      <c r="I39" s="95">
        <v>2800544.38</v>
      </c>
      <c r="J39" s="62">
        <v>0</v>
      </c>
      <c r="K39" s="117" t="s">
        <v>583</v>
      </c>
      <c r="L39" s="62" t="s">
        <v>18</v>
      </c>
      <c r="M39" s="537">
        <v>44795</v>
      </c>
      <c r="N39" s="62" t="s">
        <v>17</v>
      </c>
      <c r="O39" s="62" t="s">
        <v>1094</v>
      </c>
      <c r="P39" s="76" t="s">
        <v>111</v>
      </c>
      <c r="Q39" s="76" t="s">
        <v>111</v>
      </c>
      <c r="R39" s="945" t="s">
        <v>77</v>
      </c>
      <c r="S39" s="945" t="s">
        <v>77</v>
      </c>
      <c r="T39" s="945" t="s">
        <v>77</v>
      </c>
      <c r="U39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2263964.38</v>
      </c>
    </row>
    <row r="40" spans="1:21" s="929" customFormat="1" hidden="1" outlineLevel="1">
      <c r="A40" s="62">
        <v>38</v>
      </c>
      <c r="B40" s="75">
        <v>130</v>
      </c>
      <c r="C40" s="75">
        <v>22102</v>
      </c>
      <c r="D40" s="117" t="s">
        <v>73</v>
      </c>
      <c r="E40" s="62">
        <v>24.39</v>
      </c>
      <c r="F40" s="941" t="s">
        <v>15</v>
      </c>
      <c r="G40" s="62" t="s">
        <v>27</v>
      </c>
      <c r="H40" s="62" t="s">
        <v>16</v>
      </c>
      <c r="I40" s="95">
        <v>2380672.77</v>
      </c>
      <c r="J40" s="62">
        <v>0</v>
      </c>
      <c r="K40" s="62" t="s">
        <v>583</v>
      </c>
      <c r="L40" s="62" t="s">
        <v>18</v>
      </c>
      <c r="M40" s="92">
        <v>44792</v>
      </c>
      <c r="N40" s="117" t="s">
        <v>17</v>
      </c>
      <c r="O40" s="62" t="s">
        <v>1095</v>
      </c>
      <c r="P40" s="76" t="s">
        <v>111</v>
      </c>
      <c r="Q40" s="76" t="s">
        <v>111</v>
      </c>
      <c r="R40" s="945" t="s">
        <v>73</v>
      </c>
      <c r="S40" s="945" t="s">
        <v>73</v>
      </c>
      <c r="T40" s="945" t="s">
        <v>73</v>
      </c>
      <c r="U40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2197747.77</v>
      </c>
    </row>
    <row r="41" spans="1:21" ht="12.75" hidden="1" customHeight="1" outlineLevel="1">
      <c r="A41" s="62">
        <v>39</v>
      </c>
      <c r="B41" s="75">
        <v>1</v>
      </c>
      <c r="C41" s="75">
        <v>22202</v>
      </c>
      <c r="D41" s="117" t="s">
        <v>29</v>
      </c>
      <c r="E41" s="62">
        <v>34.770000000000003</v>
      </c>
      <c r="F41" s="941" t="s">
        <v>15</v>
      </c>
      <c r="G41" s="62" t="s">
        <v>7</v>
      </c>
      <c r="H41" s="62" t="s">
        <v>10</v>
      </c>
      <c r="I41" s="95">
        <v>2840138.53</v>
      </c>
      <c r="J41" s="62">
        <v>1</v>
      </c>
      <c r="K41" s="62" t="s">
        <v>286</v>
      </c>
      <c r="L41" s="62" t="s">
        <v>18</v>
      </c>
      <c r="M41" s="92">
        <v>44803</v>
      </c>
      <c r="N41" s="117" t="s">
        <v>17</v>
      </c>
      <c r="O41" s="62" t="s">
        <v>1096</v>
      </c>
      <c r="P41" s="76" t="s">
        <v>111</v>
      </c>
      <c r="Q41" s="76" t="s">
        <v>111</v>
      </c>
      <c r="R41" s="945" t="s">
        <v>29</v>
      </c>
      <c r="S41" s="945"/>
      <c r="T41" s="945" t="s">
        <v>29</v>
      </c>
      <c r="U41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2579363.5299999993</v>
      </c>
    </row>
    <row r="42" spans="1:21" hidden="1" outlineLevel="1">
      <c r="A42" s="62">
        <v>40</v>
      </c>
      <c r="B42" s="75">
        <v>129</v>
      </c>
      <c r="C42" s="75">
        <v>22195</v>
      </c>
      <c r="D42" s="117" t="s">
        <v>29</v>
      </c>
      <c r="E42" s="62">
        <v>28.97</v>
      </c>
      <c r="F42" s="941" t="s">
        <v>15</v>
      </c>
      <c r="G42" s="62" t="s">
        <v>7</v>
      </c>
      <c r="H42" s="62" t="s">
        <v>10</v>
      </c>
      <c r="I42" s="95">
        <v>2516913.6</v>
      </c>
      <c r="J42" s="62">
        <v>0</v>
      </c>
      <c r="K42" s="62" t="s">
        <v>286</v>
      </c>
      <c r="L42" s="62" t="s">
        <v>18</v>
      </c>
      <c r="M42" s="92">
        <v>44803</v>
      </c>
      <c r="N42" s="62" t="s">
        <v>17</v>
      </c>
      <c r="O42" s="62" t="s">
        <v>1097</v>
      </c>
      <c r="P42" s="76" t="s">
        <v>111</v>
      </c>
      <c r="Q42" s="76" t="s">
        <v>111</v>
      </c>
      <c r="R42" s="945" t="s">
        <v>29</v>
      </c>
      <c r="S42" s="945"/>
      <c r="T42" s="945" t="s">
        <v>29</v>
      </c>
      <c r="U42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2299638.6</v>
      </c>
    </row>
    <row r="43" spans="1:21" hidden="1" outlineLevel="1">
      <c r="A43" s="62">
        <v>41</v>
      </c>
      <c r="B43" s="75">
        <v>77</v>
      </c>
      <c r="C43" s="75">
        <v>22170</v>
      </c>
      <c r="D43" s="62" t="s">
        <v>73</v>
      </c>
      <c r="E43" s="62">
        <v>54.66</v>
      </c>
      <c r="F43" s="941" t="s">
        <v>15</v>
      </c>
      <c r="G43" s="62" t="s">
        <v>7</v>
      </c>
      <c r="H43" s="62" t="s">
        <v>16</v>
      </c>
      <c r="I43" s="95">
        <v>4311112.91</v>
      </c>
      <c r="J43" s="62">
        <v>2</v>
      </c>
      <c r="K43" s="62" t="s">
        <v>583</v>
      </c>
      <c r="L43" s="431" t="s">
        <v>18</v>
      </c>
      <c r="M43" s="92">
        <v>44795</v>
      </c>
      <c r="N43" s="62" t="s">
        <v>17</v>
      </c>
      <c r="O43" s="62" t="s">
        <v>1098</v>
      </c>
      <c r="P43" s="76" t="s">
        <v>111</v>
      </c>
      <c r="Q43" s="76" t="s">
        <v>111</v>
      </c>
      <c r="R43" s="941" t="s">
        <v>73</v>
      </c>
      <c r="S43" s="941" t="s">
        <v>73</v>
      </c>
      <c r="T43" s="941" t="s">
        <v>73</v>
      </c>
      <c r="U4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3901162.9100000006</v>
      </c>
    </row>
    <row r="44" spans="1:21" s="929" customFormat="1" hidden="1" outlineLevel="1">
      <c r="A44" s="62">
        <v>42</v>
      </c>
      <c r="B44" s="75">
        <v>66</v>
      </c>
      <c r="C44" s="74">
        <v>22257</v>
      </c>
      <c r="D44" s="62" t="s">
        <v>73</v>
      </c>
      <c r="E44" s="62">
        <v>41.06</v>
      </c>
      <c r="F44" s="941" t="s">
        <v>9</v>
      </c>
      <c r="G44" s="62" t="s">
        <v>27</v>
      </c>
      <c r="H44" s="62" t="s">
        <v>16</v>
      </c>
      <c r="I44" s="95">
        <v>3441485.37</v>
      </c>
      <c r="J44" s="62">
        <v>1</v>
      </c>
      <c r="K44" s="62" t="s">
        <v>583</v>
      </c>
      <c r="L44" s="62" t="s">
        <v>18</v>
      </c>
      <c r="M44" s="92">
        <v>44796</v>
      </c>
      <c r="N44" s="62" t="s">
        <v>17</v>
      </c>
      <c r="O44" s="62" t="s">
        <v>1099</v>
      </c>
      <c r="P44" s="76" t="s">
        <v>111</v>
      </c>
      <c r="Q44" s="76" t="s">
        <v>111</v>
      </c>
      <c r="R44" s="941" t="s">
        <v>73</v>
      </c>
      <c r="S44" s="941" t="s">
        <v>73</v>
      </c>
      <c r="T44" s="941" t="s">
        <v>73</v>
      </c>
      <c r="U44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3441485.37</v>
      </c>
    </row>
    <row r="45" spans="1:21" s="1118" customFormat="1" hidden="1" outlineLevel="1">
      <c r="A45" s="62">
        <v>43</v>
      </c>
      <c r="B45" s="75">
        <v>83</v>
      </c>
      <c r="C45" s="75">
        <v>22282</v>
      </c>
      <c r="D45" s="62" t="s">
        <v>73</v>
      </c>
      <c r="E45" s="62">
        <v>37.94</v>
      </c>
      <c r="F45" s="941" t="s">
        <v>15</v>
      </c>
      <c r="G45" s="62" t="s">
        <v>27</v>
      </c>
      <c r="H45" s="62" t="s">
        <v>16</v>
      </c>
      <c r="I45" s="95">
        <v>3393774.13</v>
      </c>
      <c r="J45" s="62">
        <v>1</v>
      </c>
      <c r="K45" s="62" t="s">
        <v>583</v>
      </c>
      <c r="L45" s="62" t="s">
        <v>18</v>
      </c>
      <c r="M45" s="92">
        <v>44797</v>
      </c>
      <c r="N45" s="62" t="s">
        <v>17</v>
      </c>
      <c r="O45" s="62" t="s">
        <v>1100</v>
      </c>
      <c r="P45" s="76" t="s">
        <v>111</v>
      </c>
      <c r="Q45" s="76" t="s">
        <v>111</v>
      </c>
      <c r="R45" s="941" t="s">
        <v>73</v>
      </c>
      <c r="S45" s="941" t="s">
        <v>73</v>
      </c>
      <c r="T45" s="941" t="s">
        <v>73</v>
      </c>
      <c r="U4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3109224.13</v>
      </c>
    </row>
    <row r="46" spans="1:21" hidden="1" outlineLevel="1">
      <c r="A46" s="62">
        <v>44</v>
      </c>
      <c r="B46" s="75">
        <v>338</v>
      </c>
      <c r="C46" s="75">
        <v>22247</v>
      </c>
      <c r="D46" s="62" t="s">
        <v>77</v>
      </c>
      <c r="E46" s="62">
        <v>33.840000000000003</v>
      </c>
      <c r="F46" s="941" t="s">
        <v>9</v>
      </c>
      <c r="G46" s="62" t="s">
        <v>7</v>
      </c>
      <c r="H46" s="62" t="s">
        <v>16</v>
      </c>
      <c r="I46" s="95">
        <v>2612596.9</v>
      </c>
      <c r="J46" s="62">
        <v>1</v>
      </c>
      <c r="K46" s="62" t="s">
        <v>583</v>
      </c>
      <c r="L46" s="62" t="s">
        <v>18</v>
      </c>
      <c r="M46" s="92">
        <v>44796</v>
      </c>
      <c r="N46" s="62" t="s">
        <v>17</v>
      </c>
      <c r="O46" s="62" t="s">
        <v>1101</v>
      </c>
      <c r="P46" s="76" t="s">
        <v>111</v>
      </c>
      <c r="Q46" s="76" t="s">
        <v>111</v>
      </c>
      <c r="R46" s="941" t="s">
        <v>77</v>
      </c>
      <c r="S46" s="941" t="s">
        <v>63</v>
      </c>
      <c r="T46" s="941" t="s">
        <v>77</v>
      </c>
      <c r="U4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2612596.9</v>
      </c>
    </row>
    <row r="47" spans="1:21" hidden="1" outlineLevel="1">
      <c r="A47" s="62">
        <v>45</v>
      </c>
      <c r="B47" s="75">
        <v>506</v>
      </c>
      <c r="C47" s="75">
        <v>22288</v>
      </c>
      <c r="D47" s="117" t="s">
        <v>63</v>
      </c>
      <c r="E47" s="62">
        <v>58.62</v>
      </c>
      <c r="F47" s="941" t="s">
        <v>25</v>
      </c>
      <c r="G47" s="62" t="s">
        <v>7</v>
      </c>
      <c r="H47" s="62" t="s">
        <v>16</v>
      </c>
      <c r="I47" s="95">
        <v>4664461.4000000004</v>
      </c>
      <c r="J47" s="62">
        <v>2</v>
      </c>
      <c r="K47" s="62" t="s">
        <v>583</v>
      </c>
      <c r="L47" s="62" t="s">
        <v>18</v>
      </c>
      <c r="M47" s="92">
        <v>44798</v>
      </c>
      <c r="N47" s="62" t="s">
        <v>17</v>
      </c>
      <c r="O47" s="62" t="s">
        <v>1102</v>
      </c>
      <c r="P47" s="76" t="s">
        <v>111</v>
      </c>
      <c r="Q47" s="76" t="s">
        <v>111</v>
      </c>
      <c r="R47" s="945" t="s">
        <v>63</v>
      </c>
      <c r="S47" s="945" t="s">
        <v>63</v>
      </c>
      <c r="T47" s="945" t="s">
        <v>63</v>
      </c>
      <c r="U4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3374821.4000000004</v>
      </c>
    </row>
    <row r="48" spans="1:21" outlineLevel="1">
      <c r="A48" s="62">
        <v>46</v>
      </c>
      <c r="B48" s="75">
        <v>47</v>
      </c>
      <c r="C48" s="75">
        <v>21919</v>
      </c>
      <c r="D48" s="117"/>
      <c r="E48" s="62">
        <v>37.94</v>
      </c>
      <c r="F48" s="941" t="s">
        <v>25</v>
      </c>
      <c r="G48" s="62" t="s">
        <v>27</v>
      </c>
      <c r="H48" s="62" t="s">
        <v>16</v>
      </c>
      <c r="I48" s="95">
        <v>3943903.98</v>
      </c>
      <c r="J48" s="62">
        <v>1</v>
      </c>
      <c r="K48" s="62" t="s">
        <v>583</v>
      </c>
      <c r="L48" s="62" t="s">
        <v>18</v>
      </c>
      <c r="M48" s="92">
        <v>44802</v>
      </c>
      <c r="N48" s="62" t="s">
        <v>17</v>
      </c>
      <c r="O48" s="62" t="s">
        <v>1103</v>
      </c>
      <c r="P48" s="76" t="s">
        <v>111</v>
      </c>
      <c r="Q48" s="76" t="s">
        <v>111</v>
      </c>
      <c r="R48" s="945"/>
      <c r="S48" s="945" t="s">
        <v>73</v>
      </c>
      <c r="T48" s="945" t="s">
        <v>29</v>
      </c>
      <c r="U48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3109223.98</v>
      </c>
    </row>
    <row r="49" spans="1:21" hidden="1" outlineLevel="1">
      <c r="A49" s="62">
        <v>47</v>
      </c>
      <c r="B49" s="75">
        <v>866</v>
      </c>
      <c r="C49" s="75">
        <v>22349</v>
      </c>
      <c r="D49" s="117" t="s">
        <v>73</v>
      </c>
      <c r="E49" s="62">
        <v>23.09</v>
      </c>
      <c r="F49" s="941" t="s">
        <v>9</v>
      </c>
      <c r="G49" s="62" t="s">
        <v>27</v>
      </c>
      <c r="H49" s="62" t="s">
        <v>22</v>
      </c>
      <c r="I49" s="95">
        <v>2036203.45</v>
      </c>
      <c r="J49" s="62">
        <v>0</v>
      </c>
      <c r="K49" s="62" t="s">
        <v>583</v>
      </c>
      <c r="L49" s="62" t="s">
        <v>18</v>
      </c>
      <c r="M49" s="92">
        <v>44802</v>
      </c>
      <c r="N49" s="62" t="s">
        <v>17</v>
      </c>
      <c r="O49" s="62" t="s">
        <v>1104</v>
      </c>
      <c r="P49" s="76" t="s">
        <v>111</v>
      </c>
      <c r="Q49" s="76" t="s">
        <v>111</v>
      </c>
      <c r="R49" s="945" t="s">
        <v>73</v>
      </c>
      <c r="S49" s="945" t="s">
        <v>73</v>
      </c>
      <c r="T49" s="945" t="s">
        <v>73</v>
      </c>
      <c r="U49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2036203.45</v>
      </c>
    </row>
    <row r="50" spans="1:21" hidden="1" outlineLevel="1">
      <c r="A50" s="62">
        <v>48</v>
      </c>
      <c r="B50" s="75">
        <v>752</v>
      </c>
      <c r="C50" s="75">
        <v>22426</v>
      </c>
      <c r="D50" s="117" t="s">
        <v>73</v>
      </c>
      <c r="E50" s="62">
        <v>24.39</v>
      </c>
      <c r="F50" s="941" t="s">
        <v>25</v>
      </c>
      <c r="G50" s="62" t="s">
        <v>27</v>
      </c>
      <c r="H50" s="62" t="s">
        <v>22</v>
      </c>
      <c r="I50" s="95">
        <v>2813403.33</v>
      </c>
      <c r="J50" s="62">
        <v>0</v>
      </c>
      <c r="K50" s="62" t="s">
        <v>583</v>
      </c>
      <c r="L50" s="62" t="s">
        <v>18</v>
      </c>
      <c r="M50" s="92">
        <v>44804</v>
      </c>
      <c r="N50" s="62" t="s">
        <v>17</v>
      </c>
      <c r="O50" s="62" t="s">
        <v>1105</v>
      </c>
      <c r="P50" s="76" t="s">
        <v>111</v>
      </c>
      <c r="Q50" s="76" t="s">
        <v>111</v>
      </c>
      <c r="R50" s="945" t="s">
        <v>73</v>
      </c>
      <c r="S50" s="945" t="s">
        <v>63</v>
      </c>
      <c r="T50" s="945" t="s">
        <v>73</v>
      </c>
      <c r="U50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2276823.33</v>
      </c>
    </row>
    <row r="51" spans="1:21" hidden="1" outlineLevel="1">
      <c r="A51" s="62">
        <v>49</v>
      </c>
      <c r="B51" s="75">
        <v>74</v>
      </c>
      <c r="C51" s="75">
        <v>21936</v>
      </c>
      <c r="D51" s="117" t="s">
        <v>73</v>
      </c>
      <c r="E51" s="62">
        <v>37.94</v>
      </c>
      <c r="F51" s="941" t="s">
        <v>25</v>
      </c>
      <c r="G51" s="62" t="s">
        <v>27</v>
      </c>
      <c r="H51" s="62" t="s">
        <v>22</v>
      </c>
      <c r="I51" s="95">
        <v>3943904.13</v>
      </c>
      <c r="J51" s="62">
        <v>1</v>
      </c>
      <c r="K51" s="62" t="s">
        <v>583</v>
      </c>
      <c r="L51" s="62" t="s">
        <v>18</v>
      </c>
      <c r="M51" s="92">
        <v>44803</v>
      </c>
      <c r="N51" s="62" t="s">
        <v>17</v>
      </c>
      <c r="O51" s="62" t="s">
        <v>1106</v>
      </c>
      <c r="P51" s="76" t="s">
        <v>111</v>
      </c>
      <c r="Q51" s="76" t="s">
        <v>111</v>
      </c>
      <c r="R51" s="945" t="s">
        <v>73</v>
      </c>
      <c r="S51" s="945" t="s">
        <v>63</v>
      </c>
      <c r="T51" s="945" t="s">
        <v>63</v>
      </c>
      <c r="U51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3109224.13</v>
      </c>
    </row>
    <row r="52" spans="1:21" hidden="1" outlineLevel="1">
      <c r="A52" s="62">
        <v>50</v>
      </c>
      <c r="B52" s="75">
        <v>680</v>
      </c>
      <c r="C52" s="75">
        <v>22362</v>
      </c>
      <c r="D52" s="117" t="s">
        <v>73</v>
      </c>
      <c r="E52" s="62">
        <v>24.39</v>
      </c>
      <c r="F52" s="941" t="s">
        <v>25</v>
      </c>
      <c r="G52" s="62" t="s">
        <v>27</v>
      </c>
      <c r="H52" s="62" t="s">
        <v>22</v>
      </c>
      <c r="I52" s="95">
        <v>2813403.3</v>
      </c>
      <c r="J52" s="62">
        <v>0</v>
      </c>
      <c r="K52" s="62" t="s">
        <v>583</v>
      </c>
      <c r="L52" s="62" t="s">
        <v>18</v>
      </c>
      <c r="M52" s="92">
        <v>44803</v>
      </c>
      <c r="N52" s="62" t="s">
        <v>17</v>
      </c>
      <c r="O52" s="62" t="s">
        <v>1107</v>
      </c>
      <c r="P52" s="76" t="s">
        <v>111</v>
      </c>
      <c r="Q52" s="76" t="s">
        <v>111</v>
      </c>
      <c r="R52" s="945" t="s">
        <v>73</v>
      </c>
      <c r="S52" s="945" t="s">
        <v>63</v>
      </c>
      <c r="T52" s="945" t="s">
        <v>73</v>
      </c>
      <c r="U52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2276823.2999999998</v>
      </c>
    </row>
    <row r="53" spans="1:21" hidden="1" outlineLevel="1">
      <c r="A53" s="62">
        <v>51</v>
      </c>
      <c r="B53" s="75">
        <v>75</v>
      </c>
      <c r="C53" s="75">
        <v>22411</v>
      </c>
      <c r="D53" s="117" t="s">
        <v>73</v>
      </c>
      <c r="E53" s="62">
        <v>41.06</v>
      </c>
      <c r="F53" s="941" t="s">
        <v>15</v>
      </c>
      <c r="G53" s="62" t="s">
        <v>27</v>
      </c>
      <c r="H53" s="62" t="s">
        <v>16</v>
      </c>
      <c r="I53" s="95">
        <v>3543066.99</v>
      </c>
      <c r="J53" s="62">
        <v>1</v>
      </c>
      <c r="K53" s="62" t="s">
        <v>583</v>
      </c>
      <c r="L53" s="62" t="s">
        <v>18</v>
      </c>
      <c r="M53" s="92">
        <v>44804</v>
      </c>
      <c r="N53" s="62" t="s">
        <v>17</v>
      </c>
      <c r="O53" s="62" t="s">
        <v>1108</v>
      </c>
      <c r="P53" s="76" t="s">
        <v>111</v>
      </c>
      <c r="Q53" s="76" t="s">
        <v>111</v>
      </c>
      <c r="R53" s="945" t="s">
        <v>73</v>
      </c>
      <c r="S53" s="945" t="s">
        <v>73</v>
      </c>
      <c r="T53" s="945" t="s">
        <v>73</v>
      </c>
      <c r="U53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3235116.99</v>
      </c>
    </row>
    <row r="54" spans="1:21" hidden="1" outlineLevel="1">
      <c r="A54" s="62">
        <v>52</v>
      </c>
      <c r="B54" s="75">
        <v>11</v>
      </c>
      <c r="C54" s="75">
        <v>17342</v>
      </c>
      <c r="D54" s="117" t="s">
        <v>63</v>
      </c>
      <c r="E54" s="62">
        <v>37.94</v>
      </c>
      <c r="F54" s="941" t="s">
        <v>9</v>
      </c>
      <c r="G54" s="62" t="s">
        <v>27</v>
      </c>
      <c r="H54" s="62" t="s">
        <v>22</v>
      </c>
      <c r="I54" s="95">
        <v>3109223.98</v>
      </c>
      <c r="J54" s="62">
        <v>1</v>
      </c>
      <c r="K54" s="62" t="s">
        <v>583</v>
      </c>
      <c r="L54" s="62" t="s">
        <v>18</v>
      </c>
      <c r="M54" s="92">
        <v>44804</v>
      </c>
      <c r="N54" s="62" t="s">
        <v>17</v>
      </c>
      <c r="O54" s="62" t="s">
        <v>1109</v>
      </c>
      <c r="P54" s="76" t="s">
        <v>111</v>
      </c>
      <c r="Q54" s="76" t="s">
        <v>111</v>
      </c>
      <c r="R54" s="945" t="s">
        <v>63</v>
      </c>
      <c r="S54" s="945" t="s">
        <v>63</v>
      </c>
      <c r="T54" s="945" t="s">
        <v>63</v>
      </c>
      <c r="U54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3109223.98</v>
      </c>
    </row>
    <row r="55" spans="1:21" hidden="1" outlineLevel="1">
      <c r="A55" s="62">
        <v>53</v>
      </c>
      <c r="B55" s="75">
        <v>64</v>
      </c>
      <c r="C55" s="75">
        <v>14268</v>
      </c>
      <c r="D55" s="117" t="s">
        <v>73</v>
      </c>
      <c r="E55" s="62">
        <v>59.4</v>
      </c>
      <c r="F55" s="941" t="s">
        <v>9</v>
      </c>
      <c r="G55" s="62" t="s">
        <v>121</v>
      </c>
      <c r="H55" s="62" t="s">
        <v>16</v>
      </c>
      <c r="I55" s="95">
        <v>4951170</v>
      </c>
      <c r="J55" s="62">
        <v>2</v>
      </c>
      <c r="K55" s="62" t="s">
        <v>583</v>
      </c>
      <c r="L55" s="62" t="s">
        <v>18</v>
      </c>
      <c r="M55" s="92">
        <v>44804</v>
      </c>
      <c r="N55" s="62" t="s">
        <v>17</v>
      </c>
      <c r="O55" s="62" t="s">
        <v>1110</v>
      </c>
      <c r="P55" s="76" t="s">
        <v>111</v>
      </c>
      <c r="Q55" s="76" t="s">
        <v>111</v>
      </c>
      <c r="R55" s="945" t="s">
        <v>73</v>
      </c>
      <c r="S55" s="945" t="s">
        <v>73</v>
      </c>
      <c r="T55" s="945" t="s">
        <v>73</v>
      </c>
      <c r="U55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4951170</v>
      </c>
    </row>
    <row r="56" spans="1:21" ht="12" hidden="1" customHeight="1" outlineLevel="1">
      <c r="A56" s="62">
        <v>54</v>
      </c>
      <c r="B56" s="75">
        <v>762</v>
      </c>
      <c r="C56" s="75">
        <v>21738</v>
      </c>
      <c r="D56" s="117" t="s">
        <v>77</v>
      </c>
      <c r="E56" s="62">
        <v>38.96</v>
      </c>
      <c r="F56" s="941" t="s">
        <v>15</v>
      </c>
      <c r="G56" s="62" t="s">
        <v>27</v>
      </c>
      <c r="H56" s="62" t="s">
        <v>16</v>
      </c>
      <c r="I56" s="352">
        <v>3484748.1</v>
      </c>
      <c r="J56" s="62">
        <v>1</v>
      </c>
      <c r="K56" s="62" t="s">
        <v>583</v>
      </c>
      <c r="L56" s="62" t="s">
        <v>18</v>
      </c>
      <c r="M56" s="92">
        <v>44804</v>
      </c>
      <c r="N56" s="62" t="s">
        <v>17</v>
      </c>
      <c r="O56" s="62" t="s">
        <v>1111</v>
      </c>
      <c r="P56" s="76" t="s">
        <v>111</v>
      </c>
      <c r="Q56" s="76" t="s">
        <v>111</v>
      </c>
      <c r="R56" s="945" t="s">
        <v>77</v>
      </c>
      <c r="S56" s="945" t="s">
        <v>77</v>
      </c>
      <c r="T56" s="945" t="s">
        <v>77</v>
      </c>
      <c r="U56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3192548.1</v>
      </c>
    </row>
    <row r="57" spans="1:21" hidden="1" outlineLevel="1">
      <c r="A57" s="62">
        <v>55</v>
      </c>
      <c r="B57" s="62">
        <v>57</v>
      </c>
      <c r="C57" s="62">
        <v>19717</v>
      </c>
      <c r="D57" s="117" t="s">
        <v>63</v>
      </c>
      <c r="E57" s="62">
        <v>59.5</v>
      </c>
      <c r="F57" s="117" t="s">
        <v>15</v>
      </c>
      <c r="G57" s="117" t="s">
        <v>121</v>
      </c>
      <c r="H57" s="117" t="s">
        <v>22</v>
      </c>
      <c r="I57" s="95">
        <v>5294800</v>
      </c>
      <c r="J57" s="62">
        <v>2</v>
      </c>
      <c r="K57" s="117" t="s">
        <v>65</v>
      </c>
      <c r="L57" s="117" t="s">
        <v>18</v>
      </c>
      <c r="M57" s="92">
        <v>44804</v>
      </c>
      <c r="N57" s="117" t="s">
        <v>17</v>
      </c>
      <c r="O57" s="117" t="s">
        <v>1112</v>
      </c>
      <c r="P57" s="76" t="s">
        <v>111</v>
      </c>
      <c r="Q57" s="76" t="s">
        <v>111</v>
      </c>
      <c r="R57" s="945" t="s">
        <v>63</v>
      </c>
      <c r="S57" s="945" t="s">
        <v>63</v>
      </c>
      <c r="T57" s="945" t="s">
        <v>63</v>
      </c>
      <c r="U57" s="946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>4967550</v>
      </c>
    </row>
    <row r="58" spans="1:21" outlineLevel="1">
      <c r="A58" s="65">
        <v>56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59" spans="1:21" outlineLevel="1">
      <c r="A59" s="65">
        <v>57</v>
      </c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0" spans="1:21" outlineLevel="1">
      <c r="A60" s="65">
        <v>58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1" spans="1:21" outlineLevel="1">
      <c r="A61" s="65">
        <v>59</v>
      </c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2" spans="1:21" ht="15.75" customHeight="1" outlineLevel="1">
      <c r="A62" s="65">
        <v>60</v>
      </c>
      <c r="B62" s="79"/>
      <c r="C62" s="79"/>
      <c r="D62" s="80"/>
      <c r="E62" s="65"/>
      <c r="F62" s="72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3" spans="1:21" outlineLevel="1">
      <c r="A63" s="65">
        <v>61</v>
      </c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4" spans="1:21" outlineLevel="1">
      <c r="A64" s="65">
        <v>62</v>
      </c>
      <c r="B64" s="79"/>
      <c r="C64" s="79"/>
      <c r="D64" s="80"/>
      <c r="E64" s="65"/>
      <c r="F64" s="72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5" spans="1:21" outlineLevel="1">
      <c r="A65" s="65">
        <v>63</v>
      </c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6" spans="1:21" outlineLevel="1">
      <c r="A66" s="65">
        <v>64</v>
      </c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7" spans="1:21" outlineLevel="1">
      <c r="A67" s="65">
        <v>65</v>
      </c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388"/>
      <c r="P67" s="86"/>
      <c r="Q67" s="86"/>
      <c r="R67" s="947"/>
      <c r="S67" s="947"/>
      <c r="T67" s="947"/>
      <c r="U67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8" spans="1:21" outlineLevel="1">
      <c r="A68" s="65">
        <v>66</v>
      </c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69" spans="1:21" outlineLevel="1">
      <c r="A69" s="65">
        <v>67</v>
      </c>
      <c r="B69" s="79"/>
      <c r="C69" s="79"/>
      <c r="D69" s="80"/>
      <c r="E69" s="65"/>
      <c r="F69" s="72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70" spans="1:21" outlineLevel="1">
      <c r="A70" s="65">
        <v>68</v>
      </c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71" spans="1:21" outlineLevel="1">
      <c r="A71" s="65">
        <v>69</v>
      </c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72" spans="1:21" outlineLevel="1">
      <c r="A72" s="65">
        <v>70</v>
      </c>
      <c r="B72" s="79"/>
      <c r="C72" s="79"/>
      <c r="D72" s="80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947"/>
      <c r="S72" s="947"/>
      <c r="T72" s="947"/>
      <c r="U72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73" spans="1:21" outlineLevel="1">
      <c r="A73" s="65">
        <v>71</v>
      </c>
      <c r="B73" s="79"/>
      <c r="C73" s="79"/>
      <c r="D73" s="80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947"/>
      <c r="S73" s="947"/>
      <c r="T73" s="947"/>
      <c r="U73" s="948" t="str">
        <f>IFERROR(IF(Август2022[[#This Row],[№ дома]]="Дом 2",SUM(Август2022[[#This Row],[сумма]]/Август2022[[#This Row],[м2]],IF(Август2022[[#This Row],[Отделка]]="Черновая",0,"")&amp;IF(Август2022[[#This Row],[Отделка]]="Предчистовая",-5500,"")&amp;IF(Август2022[[#This Row],[Отделка]]="Чистовая",-16000,""))*Август2022[[#This Row],[м2]],SUM(Август2022[[#This Row],[сумма]]/Август2022[[#This Row],[м2]],IF(Август2022[[#This Row],[Отделка]]="Черновая",0,"")&amp;IF(Август2022[[#This Row],[Отделка]]="Предчистовая",-7500,"")&amp;IF(Август2022[[#This Row],[Отделка]]="Чистовая",-22000,""))*Август2022[[#This Row],[м2]]),"")</f>
        <v/>
      </c>
    </row>
    <row r="74" spans="1:21">
      <c r="A74" s="65"/>
      <c r="B74" s="79"/>
      <c r="C74" s="79"/>
      <c r="D74" s="65"/>
      <c r="E74" s="65"/>
      <c r="F74" s="934"/>
      <c r="G74" s="65"/>
      <c r="H74" s="65"/>
      <c r="I74" s="105"/>
      <c r="J74" s="65"/>
      <c r="K74" s="65"/>
      <c r="L74" s="108"/>
      <c r="M74" s="110"/>
      <c r="N74" s="65"/>
      <c r="O74" s="72"/>
      <c r="P74" s="86"/>
      <c r="Q74" s="86"/>
      <c r="R74" s="86"/>
      <c r="S74" s="86"/>
      <c r="T74" s="86"/>
      <c r="U74" s="948"/>
    </row>
    <row r="75" spans="1:21">
      <c r="A75" s="2290" t="s">
        <v>713</v>
      </c>
      <c r="B75" s="2291"/>
      <c r="C75" s="972" t="s">
        <v>121</v>
      </c>
      <c r="D75" s="2295"/>
      <c r="E75" s="2296"/>
      <c r="F75" s="2296"/>
      <c r="G75" s="2296"/>
      <c r="H75" s="2296"/>
      <c r="I75" s="2296"/>
      <c r="J75" s="2296"/>
      <c r="K75" s="2296"/>
      <c r="L75" s="2296"/>
      <c r="M75" s="2296"/>
      <c r="N75" s="2296"/>
      <c r="O75" s="2296"/>
      <c r="P75" s="2296"/>
      <c r="Q75" s="86"/>
      <c r="R75" s="86"/>
      <c r="S75" s="86"/>
      <c r="T75" s="86"/>
    </row>
    <row r="76" spans="1:21" ht="25.5">
      <c r="A76" s="692" t="s">
        <v>1</v>
      </c>
      <c r="B76" s="686" t="s">
        <v>100</v>
      </c>
      <c r="C76" s="687" t="s">
        <v>97</v>
      </c>
      <c r="D76" s="688" t="s">
        <v>95</v>
      </c>
      <c r="E76" s="1033" t="s">
        <v>494</v>
      </c>
      <c r="F76" s="1033" t="s">
        <v>495</v>
      </c>
      <c r="G76" s="1033" t="s">
        <v>496</v>
      </c>
      <c r="H76" s="1034" t="s">
        <v>101</v>
      </c>
      <c r="I76" s="1023" t="s">
        <v>98</v>
      </c>
      <c r="J76" s="1023" t="s">
        <v>96</v>
      </c>
      <c r="K76" s="1023" t="s">
        <v>715</v>
      </c>
      <c r="L76" s="1060" t="s">
        <v>716</v>
      </c>
      <c r="M76" s="1087">
        <v>0</v>
      </c>
      <c r="N76" s="1033">
        <v>1</v>
      </c>
      <c r="O76" s="1033">
        <v>2</v>
      </c>
      <c r="P76" s="1033">
        <v>3</v>
      </c>
      <c r="Q76" s="1104">
        <v>4</v>
      </c>
      <c r="R76" s="950"/>
      <c r="S76" s="950"/>
      <c r="T76" s="950"/>
      <c r="U76" s="951"/>
    </row>
    <row r="77" spans="1:21">
      <c r="A77" s="1020" t="s">
        <v>73</v>
      </c>
      <c r="B77" s="1036">
        <v>105.666666666667</v>
      </c>
      <c r="C77" s="939">
        <v>9898478.9666666705</v>
      </c>
      <c r="D77" s="1069">
        <v>2</v>
      </c>
      <c r="E77" s="145">
        <f>SUMIFS(Август2022[м2],Август2022[МОП],$A77,Август2022[№ дома],$C$75)</f>
        <v>136.6</v>
      </c>
      <c r="F77" s="939">
        <f>SUMIFS(Август2022[сумма без отделки],Август2022[МОП],$A77,Август2022[№ дома],$C$75)</f>
        <v>10932370</v>
      </c>
      <c r="G77" s="1038">
        <f>COUNTIFS(Август2022[МОП],$A77,Август2022[№ дома],$C$75)</f>
        <v>2</v>
      </c>
      <c r="H77" s="148">
        <f>SUMIFS(РД[S],РД[Дом],$C$75,РД[МОП],A77,РД[Дата подачи на регистрацию],"&lt;="&amp;$A$1,РД[Дата подачи на регистрацию],"&gt;="&amp;DATE(YEAR($A$1),MONTH($A$1),1))</f>
        <v>139.6</v>
      </c>
      <c r="I77" s="149">
        <f>SUMIFS(РД[Стоимость без отделки итог],РД[Дом],$C$75,РД[МОП],A77,РД[Дата подачи на регистрацию],"&lt;="&amp;$A$1,РД[Дата подачи на регистрацию],"&gt;="&amp;DATE(YEAR($A$1),MONTH($A$1),1))</f>
        <v>10932370</v>
      </c>
      <c r="J77" s="220">
        <f>COUNTIFS(РД[Дом],$C$75,РД[МОП],A77,РД[Дата подачи на регистрацию],"&lt;="&amp;$A$1,РД[Дата подачи на регистрацию],"&gt;="&amp;DATE(YEAR($A$1),MONTH($A$1),1))</f>
        <v>2</v>
      </c>
      <c r="K77" s="943">
        <f t="shared" ref="K77:L79" si="0">IFERROR(H77/B77,)</f>
        <v>1.3211356466876929</v>
      </c>
      <c r="L77" s="1061">
        <f t="shared" si="0"/>
        <v>1.1044494853012243</v>
      </c>
      <c r="M77" s="1088">
        <f>COUNTIFS(РД[Тип кв],M$76,РД[МОП],$A77,РД[Дом],$C$75,РД[Дата подачи на регистрацию],"&lt;="&amp;$A$1,РД[Дата подачи на регистрацию],"&gt;="&amp;DATE(YEAR($A$1),MONTH($A$1),1))</f>
        <v>0</v>
      </c>
      <c r="N77" s="1089">
        <f>COUNTIFS(РД[Тип кв],N$76,РД[МОП],$A77,РД[Дом],$C$75,РД[Дата подачи на регистрацию],"&lt;="&amp;$A$1,РД[Дата подачи на регистрацию],"&gt;="&amp;DATE(YEAR($A$1),MONTH($A$1),1))</f>
        <v>0</v>
      </c>
      <c r="O77" s="1089">
        <f>COUNTIFS(РД[Тип кв],O$76,РД[МОП],$A77,РД[Дом],$C$75,РД[Дата подачи на регистрацию],"&lt;="&amp;$A$1,РД[Дата подачи на регистрацию],"&gt;="&amp;DATE(YEAR($A$1),MONTH($A$1),1))</f>
        <v>1</v>
      </c>
      <c r="P77" s="1089">
        <f>COUNTIFS(РД[Тип кв],P$76,РД[МОП],$A77,РД[Дом],$C$75,РД[Дата подачи на регистрацию],"&lt;="&amp;$A$1,РД[Дата подачи на регистрацию],"&gt;="&amp;DATE(YEAR($A$1),MONTH($A$1),1))</f>
        <v>1</v>
      </c>
      <c r="Q77" s="1098">
        <f>COUNTIFS(РД[Тип кв],Q$76,РД[МОП],$A77,РД[Дом],$C$75,РД[Дата подачи на регистрацию],"&lt;="&amp;$A$1,РД[Дата подачи на регистрацию],"&gt;="&amp;DATE(YEAR($A$1),MONTH($A$1),1))</f>
        <v>0</v>
      </c>
      <c r="R77" s="949"/>
      <c r="S77" s="949"/>
      <c r="T77" s="949"/>
    </row>
    <row r="78" spans="1:21">
      <c r="A78" s="981" t="s">
        <v>77</v>
      </c>
      <c r="B78" s="1036">
        <v>105.666666666667</v>
      </c>
      <c r="C78" s="939">
        <v>9898478.9666666705</v>
      </c>
      <c r="D78" s="1069">
        <v>2</v>
      </c>
      <c r="E78" s="145">
        <f>SUMIFS(Август2022[м2],Август2022[МОП],$A78,Август2022[№ дома],$C$75)</f>
        <v>85.9</v>
      </c>
      <c r="F78" s="939">
        <f>SUMIFS(Август2022[сумма без отделки],Август2022[МОП],$A78,Август2022[№ дома],$C$75)</f>
        <v>6653000</v>
      </c>
      <c r="G78" s="1038">
        <f>COUNTIFS(Август2022[МОП],$A78,Август2022[№ дома],$C$75)</f>
        <v>1</v>
      </c>
      <c r="H78" s="148">
        <f>SUMIFS(РД[S],РД[Дом],$C$75,РД[МОП],A78,РД[Дата подачи на регистрацию],"&lt;="&amp;$A$1,РД[Дата подачи на регистрацию],"&gt;="&amp;DATE(YEAR($A$1),MONTH($A$1),1))</f>
        <v>150.4</v>
      </c>
      <c r="I78" s="149">
        <f>SUMIFS(РД[Стоимость без отделки итог],РД[Дом],$C$75,РД[МОП],A78,РД[Дата подачи на регистрацию],"&lt;="&amp;$A$1,РД[Дата подачи на регистрацию],"&gt;="&amp;DATE(YEAR($A$1),MONTH($A$1),1))</f>
        <v>12402285.98</v>
      </c>
      <c r="J78" s="220">
        <f>COUNTIFS(РД[Дом],$C$75,РД[МОП],A78,РД[Дата подачи на регистрацию],"&lt;="&amp;$A$1,РД[Дата подачи на регистрацию],"&gt;="&amp;DATE(YEAR($A$1),MONTH($A$1),1))</f>
        <v>2</v>
      </c>
      <c r="K78" s="987">
        <f t="shared" si="0"/>
        <v>1.4233438485804373</v>
      </c>
      <c r="L78" s="1062">
        <f t="shared" si="0"/>
        <v>1.2529486622909389</v>
      </c>
      <c r="M78" s="1090">
        <f>COUNTIFS(РД[Тип кв],M$76,РД[МОП],$A78,РД[Дом],$C$75,РД[Дата подачи на регистрацию],"&lt;="&amp;$A$1,РД[Дата подачи на регистрацию],"&gt;="&amp;DATE(YEAR($A$1),MONTH($A$1),1))</f>
        <v>0</v>
      </c>
      <c r="N78" s="339">
        <f>COUNTIFS(РД[Тип кв],N$76,РД[МОП],$A78,РД[Дом],$C$75,РД[Дата подачи на регистрацию],"&lt;="&amp;$A$1,РД[Дата подачи на регистрацию],"&gt;="&amp;DATE(YEAR($A$1),MONTH($A$1),1))</f>
        <v>0</v>
      </c>
      <c r="O78" s="339">
        <f>COUNTIFS(РД[Тип кв],O$76,РД[МОП],$A78,РД[Дом],$C$75,РД[Дата подачи на регистрацию],"&lt;="&amp;$A$1,РД[Дата подачи на регистрацию],"&gt;="&amp;DATE(YEAR($A$1),MONTH($A$1),1))</f>
        <v>1</v>
      </c>
      <c r="P78" s="339">
        <f>COUNTIFS(РД[Тип кв],P$76,РД[МОП],$A78,РД[Дом],$C$75,РД[Дата подачи на регистрацию],"&lt;="&amp;$A$1,РД[Дата подачи на регистрацию],"&gt;="&amp;DATE(YEAR($A$1),MONTH($A$1),1))</f>
        <v>1</v>
      </c>
      <c r="Q78" s="1099">
        <f>COUNTIFS(РД[Тип кв],Q$76,РД[МОП],$A78,РД[Дом],$C$75,РД[Дата подачи на регистрацию],"&lt;="&amp;$A$1,РД[Дата подачи на регистрацию],"&gt;="&amp;DATE(YEAR($A$1),MONTH($A$1),1))</f>
        <v>0</v>
      </c>
      <c r="R78" s="949"/>
      <c r="S78" s="949"/>
      <c r="T78" s="949"/>
    </row>
    <row r="79" spans="1:21">
      <c r="A79" s="1042" t="s">
        <v>63</v>
      </c>
      <c r="B79" s="1036">
        <v>105.666666666667</v>
      </c>
      <c r="C79" s="939">
        <v>9898478.9666666705</v>
      </c>
      <c r="D79" s="1069">
        <v>2</v>
      </c>
      <c r="E79" s="145">
        <f>SUMIFS(Август2022[м2],Август2022[МОП],$A79,Август2022[№ дома],$C$75)</f>
        <v>136.80000000000001</v>
      </c>
      <c r="F79" s="939">
        <f>SUMIFS(Август2022[сумма без отделки],Август2022[МОП],$A79,Август2022[№ дома],$C$75)</f>
        <v>10956350</v>
      </c>
      <c r="G79" s="1038">
        <f>COUNTIFS(Август2022[МОП],$A79,Август2022[№ дома],$C$75)</f>
        <v>2</v>
      </c>
      <c r="H79" s="148">
        <f>SUMIFS(РД[S],РД[Дом],$C$75,РД[МОП],A79,РД[Дата подачи на регистрацию],"&lt;="&amp;$A$1,РД[Дата подачи на регистрацию],"&gt;="&amp;DATE(YEAR($A$1),MONTH($A$1),1))</f>
        <v>139.80000000000001</v>
      </c>
      <c r="I79" s="149">
        <f>SUMIFS(РД[Стоимость без отделки итог],РД[Дом],$C$75,РД[МОП],A79,РД[Дата подачи на регистрацию],"&lt;="&amp;$A$1,РД[Дата подачи на регистрацию],"&gt;="&amp;DATE(YEAR($A$1),MONTH($A$1),1))</f>
        <v>10948100</v>
      </c>
      <c r="J79" s="220">
        <f>COUNTIFS(РД[Дом],$C$75,РД[МОП],A79,РД[Дата подачи на регистрацию],"&lt;="&amp;$A$1,РД[Дата подачи на регистрацию],"&gt;="&amp;DATE(YEAR($A$1),MONTH($A$1),1))</f>
        <v>2</v>
      </c>
      <c r="K79" s="987">
        <f t="shared" si="0"/>
        <v>1.3230283911671883</v>
      </c>
      <c r="L79" s="1062">
        <f t="shared" si="0"/>
        <v>1.106038618344086</v>
      </c>
      <c r="M79" s="1090">
        <f>COUNTIFS(РД[Тип кв],M$76,РД[МОП],$A79,РД[Дом],$C$75,РД[Дата подачи на регистрацию],"&lt;="&amp;$A$1,РД[Дата подачи на регистрацию],"&gt;="&amp;DATE(YEAR($A$1),MONTH($A$1),1))</f>
        <v>0</v>
      </c>
      <c r="N79" s="339">
        <f>COUNTIFS(РД[Тип кв],N$76,РД[МОП],$A79,РД[Дом],$C$75,РД[Дата подачи на регистрацию],"&lt;="&amp;$A$1,РД[Дата подачи на регистрацию],"&gt;="&amp;DATE(YEAR($A$1),MONTH($A$1),1))</f>
        <v>0</v>
      </c>
      <c r="O79" s="339">
        <f>COUNTIFS(РД[Тип кв],O$76,РД[МОП],$A79,РД[Дом],$C$75,РД[Дата подачи на регистрацию],"&lt;="&amp;$A$1,РД[Дата подачи на регистрацию],"&gt;="&amp;DATE(YEAR($A$1),MONTH($A$1),1))</f>
        <v>1</v>
      </c>
      <c r="P79" s="339">
        <f>COUNTIFS(РД[Тип кв],P$76,РД[МОП],$A79,РД[Дом],$C$75,РД[Дата подачи на регистрацию],"&lt;="&amp;$A$1,РД[Дата подачи на регистрацию],"&gt;="&amp;DATE(YEAR($A$1),MONTH($A$1),1))</f>
        <v>1</v>
      </c>
      <c r="Q79" s="1099">
        <f>COUNTIFS(РД[Тип кв],Q$76,РД[МОП],$A79,РД[Дом],$C$75,РД[Дата подачи на регистрацию],"&lt;="&amp;$A$1,РД[Дата подачи на регистрацию],"&gt;="&amp;DATE(YEAR($A$1),MONTH($A$1),1))</f>
        <v>0</v>
      </c>
      <c r="R79" s="949"/>
      <c r="S79" s="949"/>
      <c r="T79" s="949"/>
    </row>
    <row r="80" spans="1:21">
      <c r="A80" s="1043" t="s">
        <v>114</v>
      </c>
      <c r="B80" s="963">
        <v>317</v>
      </c>
      <c r="C80" s="964">
        <v>29695436.899999999</v>
      </c>
      <c r="D80" s="965">
        <v>6</v>
      </c>
      <c r="E80" s="917">
        <f t="shared" ref="E80:J80" si="1">SUM(E77:E79)</f>
        <v>359.3</v>
      </c>
      <c r="F80" s="1070">
        <f t="shared" si="1"/>
        <v>28541720</v>
      </c>
      <c r="G80" s="1071">
        <f t="shared" si="1"/>
        <v>5</v>
      </c>
      <c r="H80" s="317">
        <f t="shared" si="1"/>
        <v>429.8</v>
      </c>
      <c r="I80" s="1066">
        <f t="shared" si="1"/>
        <v>34282755.980000004</v>
      </c>
      <c r="J80" s="917">
        <f t="shared" si="1"/>
        <v>6</v>
      </c>
      <c r="K80" s="419">
        <f>IFERROR(H80/B80,)</f>
        <v>1.3558359621451104</v>
      </c>
      <c r="L80" s="507">
        <f>IFERROR(I80/C80,)</f>
        <v>1.1544789219787503</v>
      </c>
      <c r="M80" s="317">
        <f>SUM(M77:M79)</f>
        <v>0</v>
      </c>
      <c r="N80" s="917">
        <f>SUM(N77:N79)</f>
        <v>0</v>
      </c>
      <c r="O80" s="917">
        <f>SUM(O77:O79)</f>
        <v>3</v>
      </c>
      <c r="P80" s="1091">
        <f>SUM(P77:P79)</f>
        <v>3</v>
      </c>
      <c r="Q80" s="928">
        <f>SUM(Q77:Q79)</f>
        <v>0</v>
      </c>
      <c r="R80" s="949"/>
      <c r="S80" s="949"/>
      <c r="T80" s="949"/>
    </row>
    <row r="81" spans="1:21" ht="25.5">
      <c r="A81" s="692" t="s">
        <v>115</v>
      </c>
      <c r="B81" s="706" t="s">
        <v>100</v>
      </c>
      <c r="C81" s="710" t="s">
        <v>97</v>
      </c>
      <c r="D81" s="708" t="s">
        <v>95</v>
      </c>
      <c r="E81" s="1044" t="s">
        <v>494</v>
      </c>
      <c r="F81" s="1044" t="s">
        <v>495</v>
      </c>
      <c r="G81" s="1045" t="s">
        <v>496</v>
      </c>
      <c r="H81" s="481" t="s">
        <v>101</v>
      </c>
      <c r="I81" s="482" t="s">
        <v>98</v>
      </c>
      <c r="J81" s="482" t="s">
        <v>96</v>
      </c>
      <c r="K81" s="502" t="s">
        <v>715</v>
      </c>
      <c r="L81" s="1025" t="s">
        <v>716</v>
      </c>
      <c r="M81" s="1087">
        <v>0</v>
      </c>
      <c r="N81" s="1033">
        <v>1</v>
      </c>
      <c r="O81" s="1033">
        <v>2</v>
      </c>
      <c r="P81" s="1033">
        <v>3</v>
      </c>
      <c r="Q81" s="1104">
        <v>4</v>
      </c>
      <c r="R81" s="950"/>
      <c r="S81" s="950"/>
      <c r="T81" s="950"/>
      <c r="U81" s="951"/>
    </row>
    <row r="82" spans="1:21">
      <c r="A82" s="1020" t="s">
        <v>16</v>
      </c>
      <c r="B82" s="1120">
        <v>221.9</v>
      </c>
      <c r="C82" s="1121">
        <v>20786805.829999998</v>
      </c>
      <c r="D82" s="1122">
        <v>5</v>
      </c>
      <c r="E82" s="1123">
        <f>SUMIFS(Август2022[м2],Август2022[ИМ],A82,Август2022[№ дома],$C$75)</f>
        <v>360</v>
      </c>
      <c r="F82" s="1124">
        <f>SUMIFS(Август2022[сумма без отделки],Август2022[ИМ],$A82,Август2022[№ дома],$C$75)</f>
        <v>29324170</v>
      </c>
      <c r="G82" s="1123">
        <f>COUNTIFS(Август2022[ИМ],$A82,Август2022[№ дома],$C$75)</f>
        <v>5</v>
      </c>
      <c r="H82" s="1123">
        <f>SUMIFS(РД[S],РД[Дом],$C$75,РД[ИМ],A82,РД[Дата подачи на регистрацию],"&lt;="&amp;$A$1,РД[Дата подачи на регистрацию],"&gt;="&amp;DATE(YEAR($A$1),MONTH($A$1),1))</f>
        <v>368.79999999999995</v>
      </c>
      <c r="I82" s="1123">
        <f>SUMIFS(РД[Стоимость без отделки итог],РД[Дом],$C$75,РД[ИМ],A82,РД[Дата подачи на регистрацию],"&lt;="&amp;$A$1,РД[Дата подачи на регистрацию],"&gt;="&amp;DATE(YEAR($A$1),MONTH($A$1),1))</f>
        <v>29323455.98</v>
      </c>
      <c r="J82" s="1123">
        <f>COUNTIFS(РД[Дом],$C$75,РД[ИМ],A82,РД[Дата подачи на регистрацию],"&lt;="&amp;$A$1,РД[Дата подачи на регистрацию],"&gt;="&amp;DATE(YEAR($A$1),MONTH($A$1),1))</f>
        <v>5</v>
      </c>
      <c r="K82" s="1140">
        <f>IFERROR(H82/B82,"")</f>
        <v>1.6620099143758447</v>
      </c>
      <c r="L82" s="1141">
        <f>IFERROR(I82/C82,"")</f>
        <v>1.4106763790365382</v>
      </c>
      <c r="M82" s="1101">
        <f>COUNTIFS(РД[Тип кв],M$76,РД[ИМ],$A82,РД[Дом],$C$75,РД[Дата подачи на регистрацию],"&lt;="&amp;$A$1,РД[Дата подачи на регистрацию],"&gt;="&amp;DATE(YEAR($A$1),MONTH($A$1),1))</f>
        <v>0</v>
      </c>
      <c r="N82" s="1101">
        <f>COUNTIFS(РД[Тип кв],N$76,РД[ИМ],$A82,РД[Дом],$C$75,РД[Дата подачи на регистрацию],"&lt;="&amp;$A$1,РД[Дата подачи на регистрацию],"&gt;="&amp;DATE(YEAR($A$1),MONTH($A$1),1))</f>
        <v>0</v>
      </c>
      <c r="O82" s="1101">
        <f>COUNTIFS(РД[Тип кв],O$76,РД[ИМ],$A82,РД[Дом],$C$75,РД[Дата подачи на регистрацию],"&lt;="&amp;$A$1,РД[Дата подачи на регистрацию],"&gt;="&amp;DATE(YEAR($A$1),MONTH($A$1),1))</f>
        <v>2</v>
      </c>
      <c r="P82" s="1101">
        <f>COUNTIFS(РД[Тип кв],P$76,РД[ИМ],$A82,РД[Дом],$C$75,РД[Дата подачи на регистрацию],"&lt;="&amp;$A$1,РД[Дата подачи на регистрацию],"&gt;="&amp;DATE(YEAR($A$1),MONTH($A$1),1))</f>
        <v>3</v>
      </c>
      <c r="Q82" s="1102">
        <f>COUNTIFS(РД[Тип кв],Q$76,РД[ИМ],$A82,РД[Дом],$C$75,РД[Дата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317" t="s">
        <v>114</v>
      </c>
      <c r="B83" s="1125">
        <v>221.9</v>
      </c>
      <c r="C83" s="1050">
        <v>20786805.829999998</v>
      </c>
      <c r="D83" s="897">
        <v>5</v>
      </c>
      <c r="E83" s="897">
        <f t="shared" ref="E83:J83" si="2">SUM(E82:E82)</f>
        <v>360</v>
      </c>
      <c r="F83" s="1050">
        <f t="shared" si="2"/>
        <v>29324170</v>
      </c>
      <c r="G83" s="897">
        <f t="shared" si="2"/>
        <v>5</v>
      </c>
      <c r="H83" s="897">
        <f t="shared" si="2"/>
        <v>368.79999999999995</v>
      </c>
      <c r="I83" s="897">
        <f t="shared" si="2"/>
        <v>29323455.98</v>
      </c>
      <c r="J83" s="897">
        <f t="shared" si="2"/>
        <v>5</v>
      </c>
      <c r="K83" s="1142">
        <f>IFERROR(H83/B83,)</f>
        <v>1.6620099143758447</v>
      </c>
      <c r="L83" s="1143">
        <f>IFERROR(I83/C83,)</f>
        <v>1.4106763790365382</v>
      </c>
      <c r="M83" s="917">
        <f>SUM(M82:M82)</f>
        <v>0</v>
      </c>
      <c r="N83" s="917">
        <f>SUM(N82:N82)</f>
        <v>0</v>
      </c>
      <c r="O83" s="917">
        <f>SUM(O82:O82)</f>
        <v>2</v>
      </c>
      <c r="P83" s="917">
        <f>SUM(P82:P82)</f>
        <v>3</v>
      </c>
      <c r="Q83" s="928">
        <f>SUM(Q82:Q82)</f>
        <v>0</v>
      </c>
      <c r="R83" s="65"/>
      <c r="S83" s="65"/>
      <c r="T83" s="65"/>
      <c r="U83" s="339"/>
    </row>
    <row r="84" spans="1:21">
      <c r="A84" s="7"/>
      <c r="B84" s="968"/>
      <c r="C84" s="968"/>
      <c r="D84" s="7"/>
      <c r="E84" s="7"/>
      <c r="F84" s="7"/>
      <c r="G84" s="7"/>
      <c r="H84" s="134"/>
      <c r="I84" s="134"/>
      <c r="J84" s="134"/>
      <c r="K84" s="7"/>
      <c r="L84" s="994"/>
      <c r="M84" s="134"/>
      <c r="N84" s="134"/>
      <c r="O84" s="134"/>
      <c r="P84" s="262"/>
      <c r="Q84" s="134"/>
      <c r="R84" s="949"/>
      <c r="S84" s="949"/>
      <c r="T84" s="949"/>
    </row>
    <row r="85" spans="1:21">
      <c r="A85" s="2290" t="s">
        <v>713</v>
      </c>
      <c r="B85" s="2291"/>
      <c r="C85" s="935" t="s">
        <v>27</v>
      </c>
      <c r="D85" s="2292"/>
      <c r="E85" s="2292"/>
      <c r="F85" s="2292"/>
      <c r="G85" s="2292"/>
      <c r="H85" s="2292"/>
      <c r="I85" s="2292"/>
      <c r="J85" s="2292"/>
      <c r="K85" s="2292"/>
      <c r="L85" s="2292"/>
      <c r="M85" s="2292"/>
      <c r="N85" s="2292"/>
      <c r="O85" s="2292"/>
      <c r="P85" s="2292"/>
      <c r="Q85" s="7"/>
      <c r="R85" s="949"/>
      <c r="S85" s="949"/>
      <c r="T85" s="949"/>
    </row>
    <row r="86" spans="1:21" ht="25.5">
      <c r="A86" s="692" t="s">
        <v>1</v>
      </c>
      <c r="B86" s="686" t="s">
        <v>100</v>
      </c>
      <c r="C86" s="688" t="s">
        <v>97</v>
      </c>
      <c r="D86" s="688" t="s">
        <v>95</v>
      </c>
      <c r="E86" s="1022" t="s">
        <v>494</v>
      </c>
      <c r="F86" s="138" t="s">
        <v>495</v>
      </c>
      <c r="G86" s="139" t="s">
        <v>496</v>
      </c>
      <c r="H86" s="140" t="s">
        <v>101</v>
      </c>
      <c r="I86" s="141" t="s">
        <v>98</v>
      </c>
      <c r="J86" s="141" t="s">
        <v>96</v>
      </c>
      <c r="K86" s="141" t="s">
        <v>715</v>
      </c>
      <c r="L86" s="1026" t="s">
        <v>716</v>
      </c>
      <c r="M86" s="1092">
        <v>0</v>
      </c>
      <c r="N86" s="1044">
        <v>1</v>
      </c>
      <c r="O86" s="1044">
        <v>2</v>
      </c>
      <c r="P86" s="1044">
        <v>3</v>
      </c>
      <c r="Q86" s="1045">
        <v>4</v>
      </c>
      <c r="R86" s="950"/>
      <c r="S86" s="950"/>
      <c r="T86" s="950"/>
      <c r="U86" s="951"/>
    </row>
    <row r="87" spans="1:21">
      <c r="A87" s="1035" t="s">
        <v>73</v>
      </c>
      <c r="B87" s="1126">
        <v>167.666666666667</v>
      </c>
      <c r="C87" s="1059">
        <v>13160371</v>
      </c>
      <c r="D87" s="1074">
        <v>5</v>
      </c>
      <c r="E87" s="145">
        <f>SUMIFS(Август2022[м2],Август2022[МОП],$A87,Август2022[№ дома],$C$85)</f>
        <v>334.98</v>
      </c>
      <c r="F87" s="939">
        <f>SUMIFS(Август2022[сумма без отделки],Август2022[МОП],$A87,Август2022[№ дома],$C$85)</f>
        <v>28465611.049999997</v>
      </c>
      <c r="G87" s="940">
        <f>COUNTIFS(Август2022[МОП],$A87,Август2022[№ дома],$C$85)</f>
        <v>10</v>
      </c>
      <c r="H87" s="148">
        <f>SUMIFS(РД[S],РД[Дом],$C$85,РД[МОП],A87,РД[Дата подачи на регистрацию],"&lt;="&amp;$A$1,РД[Дата подачи на регистрацию],"&gt;="&amp;DATE(YEAR($A$1),MONTH($A$1),1))</f>
        <v>372.92</v>
      </c>
      <c r="I87" s="149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регистрацию],"&gt;="&amp;DATE(YEAR($A$1),MONTH($A$1),1))</f>
        <v>31554835.030000001</v>
      </c>
      <c r="J87" s="220">
        <f>COUNTIFS(РД[Дом],$C$85,РД[МОП],A87,РД[Дата подачи на регистрацию],"&lt;="&amp;$A$1,РД[Дата подачи на регистрацию],"&gt;="&amp;DATE(YEAR($A$1),MONTH($A$1),1))</f>
        <v>11</v>
      </c>
      <c r="K87" s="943">
        <f t="shared" ref="K87:L89" si="3">IFERROR(H87/B87,"")</f>
        <v>2.2241749502982064</v>
      </c>
      <c r="L87" s="944">
        <f t="shared" si="3"/>
        <v>2.3977162216779453</v>
      </c>
      <c r="M87" s="1088">
        <f>COUNTIFS(РД[Тип кв],M$86,РД[МОП],$A87,РД[Дом],$C$85,РД[Дата подачи на регистрацию],"&lt;="&amp;$A$1,РД[Дата подачи на регистрацию],"&gt;="&amp;DATE(YEAR($A$1),MONTH($A$1),1))</f>
        <v>5</v>
      </c>
      <c r="N87" s="1089">
        <f>COUNTIFS(РД[Тип кв],N$86,РД[МОП],$A87,РД[Дом],$C$85,РД[Дата подачи на регистрацию],"&lt;="&amp;$A$1,РД[Дата подачи на регистрацию],"&gt;="&amp;DATE(YEAR($A$1),MONTH($A$1),1))</f>
        <v>5</v>
      </c>
      <c r="O87" s="1089">
        <f>COUNTIFS(РД[Тип кв],O$86,РД[МОП],$A87,РД[Дом],$C$85,РД[Дата подачи на регистрацию],"&lt;="&amp;$A$1,РД[Дата подачи на регистрацию],"&gt;="&amp;DATE(YEAR($A$1),MONTH($A$1),1))</f>
        <v>1</v>
      </c>
      <c r="P87" s="1089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Q87" s="1098">
        <f>COUNTIFS(РД[Тип кв],Q$86,РД[МОП],$A87,РД[Дом],$C$85,РД[Дата подачи на регистрацию],"&lt;="&amp;$A$1,РД[Дата подачи на регистрацию],"&gt;="&amp;DATE(YEAR($A$1),MONTH($A$1),1))</f>
        <v>0</v>
      </c>
      <c r="R87" s="949"/>
      <c r="S87" s="949"/>
      <c r="T87" s="949"/>
    </row>
    <row r="88" spans="1:21">
      <c r="A88" s="1039" t="s">
        <v>77</v>
      </c>
      <c r="B88" s="1127">
        <v>167.666666666667</v>
      </c>
      <c r="C88" s="954">
        <v>13160371</v>
      </c>
      <c r="D88" s="1041">
        <v>5</v>
      </c>
      <c r="E88" s="145">
        <f>SUMIFS(Август2022[м2],Август2022[МОП],$A88,Август2022[№ дома],$C$85)</f>
        <v>100.5</v>
      </c>
      <c r="F88" s="939">
        <f>SUMIFS(Август2022[сумма без отделки],Август2022[МОП],$A88,Август2022[№ дома],$C$85)</f>
        <v>8839499.959999999</v>
      </c>
      <c r="G88" s="940">
        <f>COUNTIFS(Август2022[МОП],$A88,Август2022[№ дома],$C$85)</f>
        <v>3</v>
      </c>
      <c r="H88" s="148">
        <f>SUMIFS(РД[S],РД[Дом],$C$85,РД[МОП],A88,РД[Дата подачи на регистрацию],"&lt;="&amp;$A$1,РД[Дата подачи на регистрацию],"&gt;="&amp;DATE(YEAR($A$1),MONTH($A$1),1))</f>
        <v>100.5</v>
      </c>
      <c r="I88" s="149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регистрацию],"&gt;="&amp;DATE(YEAR($A$1),MONTH($A$1),1))</f>
        <v>8579449.959999999</v>
      </c>
      <c r="J88" s="220">
        <f>COUNTIFS(РД[Дом],$C$85,РД[МОП],A88,РД[Дата подачи на регистрацию],"&lt;="&amp;$A$1,РД[Дата подачи на регистрацию],"&gt;="&amp;DATE(YEAR($A$1),MONTH($A$1),1))</f>
        <v>3</v>
      </c>
      <c r="K88" s="987">
        <f t="shared" si="3"/>
        <v>0.59940357852882586</v>
      </c>
      <c r="L88" s="988">
        <f t="shared" si="3"/>
        <v>0.6519155090688552</v>
      </c>
      <c r="M88" s="1090">
        <f>COUNTIFS(РД[Тип кв],M$86,РД[МОП],$A88,РД[Дом],$C$85,РД[Дата подачи на регистрацию],"&lt;="&amp;$A$1,РД[Дата подачи на регистрацию],"&gt;="&amp;DATE(YEAR($A$1),MONTH($A$1),1))</f>
        <v>1</v>
      </c>
      <c r="N88" s="339">
        <f>COUNTIFS(РД[Тип кв],N$86,РД[МОП],$A88,РД[Дом],$C$85,РД[Дата подачи на регистрацию],"&lt;="&amp;$A$1,РД[Дата подачи на регистрацию],"&gt;="&amp;DATE(YEAR($A$1),MONTH($A$1),1))</f>
        <v>2</v>
      </c>
      <c r="O88" s="339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339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Q88" s="1099">
        <f>COUNTIFS(РД[Тип кв],Q$86,РД[МОП],$A88,РД[Дом],$C$85,РД[Дата подачи на регистрацию],"&lt;="&amp;$A$1,РД[Дата подачи на регистрацию],"&gt;="&amp;DATE(YEAR($A$1),MONTH($A$1),1))</f>
        <v>0</v>
      </c>
      <c r="R88" s="949"/>
      <c r="S88" s="949"/>
      <c r="T88" s="949"/>
    </row>
    <row r="89" spans="1:21">
      <c r="A89" s="1110" t="s">
        <v>63</v>
      </c>
      <c r="B89" s="1128">
        <v>167.666666666667</v>
      </c>
      <c r="C89" s="958">
        <v>13160371</v>
      </c>
      <c r="D89" s="1054">
        <v>5</v>
      </c>
      <c r="E89" s="145">
        <f>SUMIFS(Август2022[м2],Август2022[МОП],$A89,Август2022[№ дома],$C$85)</f>
        <v>37.94</v>
      </c>
      <c r="F89" s="939">
        <f>SUMIFS(Август2022[сумма без отделки],Август2022[МОП],$A89,Август2022[№ дома],$C$85)</f>
        <v>3109223.98</v>
      </c>
      <c r="G89" s="940">
        <f>COUNTIFS(Август2022[МОП],$A89,Август2022[№ дома],$C$85)</f>
        <v>1</v>
      </c>
      <c r="H89" s="148">
        <f>SUMIFS(РД[S],РД[Дом],$C$85,РД[МОП],A89,РД[Дата подачи на регистрацию],"&lt;="&amp;$A$1,РД[Дата подачи на регистрацию],"&gt;="&amp;DATE(YEAR($A$1),MONTH($A$1),1))</f>
        <v>37.94</v>
      </c>
      <c r="I89" s="149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регистрацию],"&gt;="&amp;DATE(YEAR($A$1),MONTH($A$1),1))</f>
        <v>3109223.98</v>
      </c>
      <c r="J89" s="220">
        <f>COUNTIFS(РД[Дом],$C$85,РД[МОП],A89,РД[Дата подачи на регистрацию],"&lt;="&amp;$A$1,РД[Дата подачи на регистрацию],"&gt;="&amp;DATE(YEAR($A$1),MONTH($A$1),1))</f>
        <v>1</v>
      </c>
      <c r="K89" s="1063">
        <f t="shared" si="3"/>
        <v>0.22628230616302142</v>
      </c>
      <c r="L89" s="1065">
        <f t="shared" si="3"/>
        <v>0.23625655994044545</v>
      </c>
      <c r="M89" s="1100">
        <f>COUNTIFS(РД[Тип кв],M$86,РД[МОП],$A89,РД[Дом],$C$85,РД[Дата подачи на регистрацию],"&lt;="&amp;$A$1,РД[Дата подачи на регистрацию],"&gt;="&amp;DATE(YEAR($A$1),MONTH($A$1),1))</f>
        <v>0</v>
      </c>
      <c r="N89" s="1101">
        <f>COUNTIFS(РД[Тип кв],N$86,РД[МОП],$A89,РД[Дом],$C$85,РД[Дата подачи на регистрацию],"&lt;="&amp;$A$1,РД[Дата подачи на регистрацию],"&gt;="&amp;DATE(YEAR($A$1),MONTH($A$1),1))</f>
        <v>1</v>
      </c>
      <c r="O89" s="1101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1101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Q89" s="1102">
        <f>COUNTIFS(РД[Тип кв],Q$86,РД[МОП],$A89,РД[Дом],$C$85,РД[Дата подачи на регистрацию],"&lt;="&amp;$A$1,РД[Дата подачи на регистрацию],"&gt;="&amp;DATE(YEAR($A$1),MONTH($A$1),1))</f>
        <v>0</v>
      </c>
      <c r="R89" s="949"/>
      <c r="S89" s="949"/>
      <c r="T89" s="949"/>
    </row>
    <row r="90" spans="1:21">
      <c r="A90" s="1043" t="s">
        <v>114</v>
      </c>
      <c r="B90" s="963">
        <v>503</v>
      </c>
      <c r="C90" s="964">
        <v>39481113</v>
      </c>
      <c r="D90" s="965">
        <v>15</v>
      </c>
      <c r="E90" s="1076">
        <f t="shared" ref="E90:J90" si="4">SUM(E87:E89)</f>
        <v>473.42</v>
      </c>
      <c r="F90" s="1077">
        <f t="shared" si="4"/>
        <v>40414334.989999995</v>
      </c>
      <c r="G90" s="1078">
        <f t="shared" si="4"/>
        <v>14</v>
      </c>
      <c r="H90" s="473">
        <f t="shared" si="4"/>
        <v>511.36</v>
      </c>
      <c r="I90" s="429">
        <f t="shared" si="4"/>
        <v>43243508.969999999</v>
      </c>
      <c r="J90" s="494">
        <f t="shared" si="4"/>
        <v>15</v>
      </c>
      <c r="K90" s="419">
        <f>IFERROR(H90/B90,)</f>
        <v>1.01662027833002</v>
      </c>
      <c r="L90" s="507">
        <f>IFERROR(I90/C90,)</f>
        <v>1.0952960968957486</v>
      </c>
      <c r="M90" s="168">
        <f>SUM(M87:M89)</f>
        <v>6</v>
      </c>
      <c r="N90" s="897">
        <f>SUM(N87:N89)</f>
        <v>8</v>
      </c>
      <c r="O90" s="897">
        <f>SUM(O87:O89)</f>
        <v>1</v>
      </c>
      <c r="P90" s="1093">
        <f>SUM(P87:P89)</f>
        <v>0</v>
      </c>
      <c r="Q90" s="898">
        <f>SUM(Q87:Q89)</f>
        <v>0</v>
      </c>
      <c r="R90" s="949"/>
      <c r="S90" s="949"/>
      <c r="T90" s="949"/>
    </row>
    <row r="91" spans="1:21" ht="25.5">
      <c r="A91" s="692" t="s">
        <v>115</v>
      </c>
      <c r="B91" s="686" t="s">
        <v>100</v>
      </c>
      <c r="C91" s="693" t="s">
        <v>97</v>
      </c>
      <c r="D91" s="688" t="s">
        <v>95</v>
      </c>
      <c r="E91" s="1051" t="s">
        <v>494</v>
      </c>
      <c r="F91" s="138" t="s">
        <v>495</v>
      </c>
      <c r="G91" s="139" t="s">
        <v>496</v>
      </c>
      <c r="H91" s="140" t="s">
        <v>101</v>
      </c>
      <c r="I91" s="141" t="s">
        <v>98</v>
      </c>
      <c r="J91" s="141" t="s">
        <v>96</v>
      </c>
      <c r="K91" s="495" t="s">
        <v>715</v>
      </c>
      <c r="L91" s="1027" t="s">
        <v>716</v>
      </c>
      <c r="M91" s="1087">
        <v>0</v>
      </c>
      <c r="N91" s="1033">
        <v>1</v>
      </c>
      <c r="O91" s="1033">
        <v>2</v>
      </c>
      <c r="P91" s="1033">
        <v>3</v>
      </c>
      <c r="Q91" s="1104">
        <v>4</v>
      </c>
      <c r="R91" s="950"/>
      <c r="S91" s="950"/>
      <c r="T91" s="950"/>
      <c r="U91" s="951"/>
    </row>
    <row r="92" spans="1:21">
      <c r="A92" s="1035" t="s">
        <v>16</v>
      </c>
      <c r="B92" s="1036">
        <v>352.1</v>
      </c>
      <c r="C92" s="939">
        <v>27636779.100000001</v>
      </c>
      <c r="D92" s="1069">
        <v>12</v>
      </c>
      <c r="E92" s="1129">
        <f>SUMIFS(Август2022[м2],Август2022[ИМ],A92,Август2022[№ дома],$C$85)</f>
        <v>339.21999999999997</v>
      </c>
      <c r="F92" s="149">
        <f>SUMIFS(Август2022[сумма без отделки],Август2022[ИМ],$A92,Август2022[№ дома],$C$85)</f>
        <v>28564958.300000004</v>
      </c>
      <c r="G92" s="940">
        <f>COUNTIFS(Август2022[ИМ],$A92,Август2022[№ дома],$C$85)</f>
        <v>9</v>
      </c>
      <c r="H92" s="148">
        <f>SUMIFS(РД[S],РД[Дом],$C$85,РД[ИМ],A92,РД[Дата подачи на регистрацию],"&lt;="&amp;$A$1,РД[Дата подачи на регистрацию],"&gt;="&amp;DATE(YEAR($A$1),MONTH($A$1),1))</f>
        <v>339.21999999999997</v>
      </c>
      <c r="I92" s="149">
        <f>SUMIFS(РД[Стоимость без отделки итог],РД[Дом],$C$85,РД[ИМ],A92,РД[Дата подачи на регистрацию],"&lt;="&amp;$A$1,РД[Дата подачи на регистрацию],"&gt;="&amp;DATE(YEAR($A$1),MONTH($A$1),1))</f>
        <v>28304908.299999997</v>
      </c>
      <c r="J92" s="220">
        <f>COUNTIFS(РД[Дом],$C$85,РД[ИМ],A92,РД[Дата подачи на регистрацию],"&lt;="&amp;$A$1,РД[Дата подачи на регистрацию],"&gt;="&amp;DATE(YEAR($A$1),MONTH($A$1),1))</f>
        <v>9</v>
      </c>
      <c r="K92" s="943">
        <f>IFERROR(H92/B92,"")</f>
        <v>0.96341948310139147</v>
      </c>
      <c r="L92" s="1061">
        <f>IFERROR(I92/C92,"")</f>
        <v>1.0241753641979212</v>
      </c>
      <c r="M92" s="1088">
        <f>COUNTIFS(РД[Тип кв],M$86,РД[ИМ],$A92,РД[Дом],$C$85,РД[Дата подачи на регистрацию],"&lt;="&amp;$A$1,РД[Дата подачи на регистрацию],"&gt;="&amp;DATE(YEAR($A$1),MONTH($A$1),1))</f>
        <v>2</v>
      </c>
      <c r="N92" s="1089">
        <f>COUNTIFS(РД[Тип кв],N$86,РД[ИМ],$A92,РД[Дом],$C$85,РД[Дата подачи на регистрацию],"&lt;="&amp;$A$1,РД[Дата подачи на регистрацию],"&gt;="&amp;DATE(YEAR($A$1),MONTH($A$1),1))</f>
        <v>6</v>
      </c>
      <c r="O92" s="1089">
        <f>COUNTIFS(РД[Тип кв],O$86,РД[ИМ],$A92,РД[Дом],$C$85,РД[Дата подачи на регистрацию],"&lt;="&amp;$A$1,РД[Дата подачи на регистрацию],"&gt;="&amp;DATE(YEAR($A$1),MONTH($A$1),1))</f>
        <v>1</v>
      </c>
      <c r="P92" s="1089">
        <f>COUNTIFS(РД[Тип кв],P$86,РД[ИМ],$A92,РД[Дом],$C$85,РД[Дата подачи на регистрацию],"&lt;="&amp;$A$1,РД[Дата подачи на регистрацию],"&gt;="&amp;DATE(YEAR($A$1),MONTH($A$1),1))</f>
        <v>0</v>
      </c>
      <c r="Q92" s="1098">
        <f>COUNTIFS(РД[Тип кв],Q$86,РД[ИМ],$A92,РД[Дом],$C$85,РД[Дата подачи на регистрацию],"&lt;="&amp;$A$1,РД[Дата подачи на регистрацию],"&gt;="&amp;DATE(YEAR($A$1),MONTH($A$1),1))</f>
        <v>0</v>
      </c>
      <c r="R92" s="949"/>
      <c r="S92" s="949"/>
      <c r="T92" s="949"/>
    </row>
    <row r="93" spans="1:21">
      <c r="A93" s="317" t="s">
        <v>114</v>
      </c>
      <c r="B93" s="323">
        <v>352.1</v>
      </c>
      <c r="C93" s="429">
        <v>27636779.100000001</v>
      </c>
      <c r="D93" s="497">
        <v>12</v>
      </c>
      <c r="E93" s="484">
        <f t="shared" ref="E93:J93" si="5">SUM(E92:E92)</f>
        <v>339.21999999999997</v>
      </c>
      <c r="F93" s="429">
        <f t="shared" si="5"/>
        <v>28564958.300000004</v>
      </c>
      <c r="G93" s="497">
        <f t="shared" si="5"/>
        <v>9</v>
      </c>
      <c r="H93" s="473">
        <f t="shared" si="5"/>
        <v>339.21999999999997</v>
      </c>
      <c r="I93" s="429">
        <f t="shared" si="5"/>
        <v>28304908.299999997</v>
      </c>
      <c r="J93" s="494">
        <f t="shared" si="5"/>
        <v>9</v>
      </c>
      <c r="K93" s="419">
        <f>IFERROR(H93/B93,)</f>
        <v>0.96341948310139147</v>
      </c>
      <c r="L93" s="507">
        <f>IFERROR(I93/C93,)</f>
        <v>1.0241753641979212</v>
      </c>
      <c r="M93" s="317">
        <f>SUM(M92:M92)</f>
        <v>2</v>
      </c>
      <c r="N93" s="917">
        <f>SUM(N92:N92)</f>
        <v>6</v>
      </c>
      <c r="O93" s="917">
        <f>SUM(O92:O92)</f>
        <v>1</v>
      </c>
      <c r="P93" s="917">
        <f>SUM(P92:P92)</f>
        <v>0</v>
      </c>
      <c r="Q93" s="928">
        <f>SUM(Q92:Q92)</f>
        <v>0</v>
      </c>
      <c r="R93" s="949"/>
      <c r="S93" s="949"/>
      <c r="T93" s="949"/>
    </row>
    <row r="94" spans="1:21">
      <c r="A94" s="7"/>
      <c r="B94" s="968"/>
      <c r="C94" s="968"/>
      <c r="D94" s="969"/>
      <c r="E94" s="7"/>
      <c r="F94" s="7"/>
      <c r="G94" s="7"/>
      <c r="H94" s="134"/>
      <c r="I94" s="134"/>
      <c r="J94" s="134"/>
      <c r="K94" s="7"/>
      <c r="L94" s="994"/>
      <c r="M94" s="134"/>
      <c r="N94" s="134"/>
      <c r="O94" s="134"/>
      <c r="P94" s="262"/>
      <c r="Q94" s="134"/>
      <c r="R94" s="949"/>
      <c r="S94" s="949"/>
      <c r="T94" s="949"/>
    </row>
    <row r="95" spans="1:21">
      <c r="A95" s="2290" t="s">
        <v>713</v>
      </c>
      <c r="B95" s="2291"/>
      <c r="C95" s="935" t="s">
        <v>7</v>
      </c>
      <c r="D95" s="2292"/>
      <c r="E95" s="2292"/>
      <c r="F95" s="2292"/>
      <c r="G95" s="2292"/>
      <c r="H95" s="2292"/>
      <c r="I95" s="2292"/>
      <c r="J95" s="2292"/>
      <c r="K95" s="2292"/>
      <c r="L95" s="2292"/>
      <c r="M95" s="2292"/>
      <c r="N95" s="2292"/>
      <c r="O95" s="2292"/>
      <c r="P95" s="2292"/>
      <c r="Q95" s="7"/>
      <c r="R95" s="949"/>
      <c r="S95" s="949"/>
      <c r="T95" s="949"/>
    </row>
    <row r="96" spans="1:21" ht="25.5">
      <c r="A96" s="692" t="s">
        <v>1</v>
      </c>
      <c r="B96" s="686" t="s">
        <v>100</v>
      </c>
      <c r="C96" s="688" t="s">
        <v>97</v>
      </c>
      <c r="D96" s="688" t="s">
        <v>95</v>
      </c>
      <c r="E96" s="1022" t="s">
        <v>494</v>
      </c>
      <c r="F96" s="138" t="s">
        <v>495</v>
      </c>
      <c r="G96" s="139" t="s">
        <v>496</v>
      </c>
      <c r="H96" s="140" t="s">
        <v>101</v>
      </c>
      <c r="I96" s="141" t="s">
        <v>98</v>
      </c>
      <c r="J96" s="141" t="s">
        <v>96</v>
      </c>
      <c r="K96" s="141" t="s">
        <v>715</v>
      </c>
      <c r="L96" s="1026" t="s">
        <v>716</v>
      </c>
      <c r="M96" s="1092">
        <v>0</v>
      </c>
      <c r="N96" s="1044">
        <v>1</v>
      </c>
      <c r="O96" s="1044">
        <v>2</v>
      </c>
      <c r="P96" s="1044">
        <v>3</v>
      </c>
      <c r="Q96" s="1045">
        <v>4</v>
      </c>
      <c r="R96" s="949"/>
      <c r="S96" s="949"/>
      <c r="T96" s="949"/>
    </row>
    <row r="97" spans="1:21">
      <c r="A97" s="1035" t="s">
        <v>73</v>
      </c>
      <c r="B97" s="1083">
        <v>204.666666666667</v>
      </c>
      <c r="C97" s="1059">
        <v>21643064.333333299</v>
      </c>
      <c r="D97" s="1074">
        <v>5</v>
      </c>
      <c r="E97" s="145">
        <f>SUMIFS(Август2022[м2],Август2022[МОП],$A97,Август2022[№ дома],$C$95)</f>
        <v>301.60000000000002</v>
      </c>
      <c r="F97" s="939">
        <f>SUMIFS(Август2022[сумма без отделки],Август2022[МОП],$A97,Август2022[№ дома],$C$95)</f>
        <v>21715419.59</v>
      </c>
      <c r="G97" s="940">
        <f>COUNTIFS(Август2022[МОП],$A97,Август2022[№ дома],$C$95)</f>
        <v>10</v>
      </c>
      <c r="H97" s="148">
        <f>SUMIFS(РД[S],РД[Дом],$C$95,РД[МОП],A97,РД[Дата подачи на регистрацию],"&lt;="&amp;$A$1,РД[Дата подачи на регистрацию],"&gt;="&amp;DATE(YEAR($A$1),MONTH($A$1),1))</f>
        <v>429.6</v>
      </c>
      <c r="I97" s="149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регистрацию],"&gt;="&amp;DATE(YEAR($A$1),MONTH($A$1),1))</f>
        <v>30623659.509999998</v>
      </c>
      <c r="J97" s="220">
        <f>COUNTIFS(РД[Дом],$C$95,РД[МОП],A97,РД[Дата подачи на регистрацию],"&lt;="&amp;$A$1,РД[Дата подачи на регистрацию],"&gt;="&amp;DATE(YEAR($A$1),MONTH($A$1),1))</f>
        <v>13</v>
      </c>
      <c r="K97" s="943">
        <f t="shared" ref="K97:L99" si="6">IFERROR(H97/B97,"")</f>
        <v>2.0990228013029282</v>
      </c>
      <c r="L97" s="944">
        <f t="shared" si="6"/>
        <v>1.4149410193655132</v>
      </c>
      <c r="M97" s="1088">
        <f>COUNTIFS(РД[Тип кв],M$86,РД[МОП],$A97,РД[Дом],$C$95,РД[Дата подачи на регистрацию],"&lt;="&amp;$A$1,РД[Дата подачи на регистрацию],"&gt;="&amp;DATE(YEAR($A$1),MONTH($A$1),1))</f>
        <v>5</v>
      </c>
      <c r="N97" s="1089">
        <f>COUNTIFS(РД[Тип кв],N$86,РД[МОП],$A97,РД[Дом],$C$95,РД[Дата подачи на регистрацию],"&lt;="&amp;$A$1,РД[Дата подачи на регистрацию],"&gt;="&amp;DATE(YEAR($A$1),MONTH($A$1),1))</f>
        <v>6</v>
      </c>
      <c r="O97" s="1089">
        <f>COUNTIFS(РД[Тип кв],O$86,РД[МОП],$A97,РД[Дом],$C$95,РД[Дата подачи на регистрацию],"&lt;="&amp;$A$1,РД[Дата подачи на регистрацию],"&gt;="&amp;DATE(YEAR($A$1),MONTH($A$1),1))</f>
        <v>2</v>
      </c>
      <c r="P97" s="1089">
        <f>COUNTIFS(РД[Тип кв],P$86,РД[МОП],$A97,РД[Дом],$C$95,РД[Дата подачи на регистрацию],"&lt;="&amp;$A$1,РД[Дата подачи на регистрацию],"&gt;="&amp;DATE(YEAR($A$1),MONTH($A$1),1))</f>
        <v>0</v>
      </c>
      <c r="Q97" s="1098">
        <f>COUNTIFS(РД[Тип кв],Q$86,РД[МОП],$A97,РД[Дом],$C$95,РД[Дата подачи на регистрацию],"&lt;="&amp;$A$1,РД[Дата подачи на регистрацию],"&gt;="&amp;DATE(YEAR($A$1),MONTH($A$1),1))</f>
        <v>0</v>
      </c>
      <c r="R97" s="949"/>
      <c r="S97" s="949"/>
      <c r="T97" s="949"/>
    </row>
    <row r="98" spans="1:21">
      <c r="A98" s="1039" t="s">
        <v>77</v>
      </c>
      <c r="B98" s="1040">
        <v>204.666666666667</v>
      </c>
      <c r="C98" s="954">
        <v>21643064.333333299</v>
      </c>
      <c r="D98" s="1041">
        <v>5</v>
      </c>
      <c r="E98" s="145">
        <f>SUMIFS(Август2022[м2],Август2022[МОП],$A98,Август2022[№ дома],$C$95)</f>
        <v>179.95000000000002</v>
      </c>
      <c r="F98" s="939">
        <f>SUMIFS(Август2022[сумма без отделки],Август2022[МОП],$A98,Август2022[№ дома],$C$95)</f>
        <v>13051816.600000001</v>
      </c>
      <c r="G98" s="940">
        <f>COUNTIFS(Август2022[МОП],$A98,Август2022[№ дома],$C$95)</f>
        <v>5</v>
      </c>
      <c r="H98" s="148">
        <f>SUMIFS(РД[S],РД[Дом],$C$95,РД[МОП],A98,РД[Дата подачи на регистрацию],"&lt;="&amp;$A$1,РД[Дата подачи на регистрацию],"&gt;="&amp;DATE(YEAR($A$1),MONTH($A$1),1))</f>
        <v>179.95000000000002</v>
      </c>
      <c r="I98" s="149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регистрацию],"&gt;="&amp;DATE(YEAR($A$1),MONTH($A$1),1))</f>
        <v>13051816.600000001</v>
      </c>
      <c r="J98" s="220">
        <f>COUNTIFS(РД[Дом],$C$95,РД[МОП],A98,РД[Дата подачи на регистрацию],"&lt;="&amp;$A$1,РД[Дата подачи на регистрацию],"&gt;="&amp;DATE(YEAR($A$1),MONTH($A$1),1))</f>
        <v>5</v>
      </c>
      <c r="K98" s="987">
        <f t="shared" si="6"/>
        <v>0.87923452768729504</v>
      </c>
      <c r="L98" s="988">
        <f t="shared" si="6"/>
        <v>0.6030484592654658</v>
      </c>
      <c r="M98" s="1090">
        <f>COUNTIFS(РД[Тип кв],M$86,РД[МОП],$A98,РД[Дом],$C$95,РД[Дата подачи на регистрацию],"&lt;="&amp;$A$1,РД[Дата подачи на регистрацию],"&gt;="&amp;DATE(YEAR($A$1),MONTH($A$1),1))</f>
        <v>1</v>
      </c>
      <c r="N98" s="339">
        <f>COUNTIFS(РД[Тип кв],N$86,РД[МОП],$A98,РД[Дом],$C$95,РД[Дата подачи на регистрацию],"&lt;="&amp;$A$1,РД[Дата подачи на регистрацию],"&gt;="&amp;DATE(YEAR($A$1),MONTH($A$1),1))</f>
        <v>3</v>
      </c>
      <c r="O98" s="339">
        <f>COUNTIFS(РД[Тип кв],O$86,РД[МОП],$A98,РД[Дом],$C$95,РД[Дата подачи на регистрацию],"&lt;="&amp;$A$1,РД[Дата подачи на регистрацию],"&gt;="&amp;DATE(YEAR($A$1),MONTH($A$1),1))</f>
        <v>1</v>
      </c>
      <c r="P98" s="339">
        <f>COUNTIFS(РД[Тип кв],P$86,РД[МОП],$A98,РД[Дом],$C$95,РД[Дата подачи на регистрацию],"&lt;="&amp;$A$1,РД[Дата подачи на регистрацию],"&gt;="&amp;DATE(YEAR($A$1),MONTH($A$1),1))</f>
        <v>0</v>
      </c>
      <c r="Q98" s="1099">
        <f>COUNTIFS(РД[Тип кв],Q$86,РД[МОП],$A98,РД[Дом],$C$95,РД[Дата подачи на регистрацию],"&lt;="&amp;$A$1,РД[Дата подачи на регистрацию],"&gt;="&amp;DATE(YEAR($A$1),MONTH($A$1),1))</f>
        <v>0</v>
      </c>
      <c r="R98" s="949"/>
      <c r="S98" s="949"/>
      <c r="T98" s="949"/>
    </row>
    <row r="99" spans="1:21">
      <c r="A99" s="1110" t="s">
        <v>63</v>
      </c>
      <c r="B99" s="1130">
        <v>204.666666666667</v>
      </c>
      <c r="C99" s="958">
        <v>21643064.333333299</v>
      </c>
      <c r="D99" s="1054">
        <v>5</v>
      </c>
      <c r="E99" s="145">
        <f>SUMIFS(Август2022[м2],Август2022[МОП],$A99,Август2022[№ дома],$C$95)</f>
        <v>468.35000000000008</v>
      </c>
      <c r="F99" s="939">
        <f>SUMIFS(Август2022[сумма без отделки],Август2022[МОП],$A99,Август2022[№ дома],$C$95)</f>
        <v>34118082.799999997</v>
      </c>
      <c r="G99" s="940">
        <f>COUNTIFS(Август2022[МОП],$A99,Август2022[№ дома],$C$95)</f>
        <v>14</v>
      </c>
      <c r="H99" s="148">
        <f>SUMIFS(РД[S],РД[Дом],$C$95,РД[МОП],A99,РД[Дата подачи на регистрацию],"&lt;="&amp;$A$1,РД[Дата подачи на регистрацию],"&gt;="&amp;DATE(YEAR($A$1),MONTH($A$1),1))</f>
        <v>468.34999999999997</v>
      </c>
      <c r="I99" s="149">
        <f>SUMIFS(РД[Стоимость без отделки итог],РД[Дом],$C$95,РД[МОП],A99,РД[Дата подачи на регистрацию],"&lt;="&amp;$A$1,РД[Дата подачи на регистрацию],"&gt;="&amp;DATE(YEAR($A$1),MONTH($A$1),1))</f>
        <v>35070977.799999997</v>
      </c>
      <c r="J99" s="220">
        <f>COUNTIFS(РД[Дом],$C$95,РД[МОП],A99,РД[Дата подачи на регистрацию],"&lt;="&amp;$A$1,РД[Дата подачи на регистрацию],"&gt;="&amp;DATE(YEAR($A$1),MONTH($A$1),1))</f>
        <v>14</v>
      </c>
      <c r="K99" s="1063">
        <f t="shared" si="6"/>
        <v>2.2883550488599309</v>
      </c>
      <c r="L99" s="1065">
        <f t="shared" si="6"/>
        <v>1.6204257058916498</v>
      </c>
      <c r="M99" s="1100">
        <f>COUNTIFS(РД[Тип кв],M$86,РД[МОП],$A99,РД[Дом],$C$95,РД[Дата подачи на регистрацию],"&lt;="&amp;$A$1,РД[Дата подачи на регистрацию],"&gt;="&amp;DATE(YEAR($A$1),MONTH($A$1),1))</f>
        <v>6</v>
      </c>
      <c r="N99" s="1101">
        <f>COUNTIFS(РД[Тип кв],N$86,РД[МОП],$A99,РД[Дом],$C$95,РД[Дата подачи на регистрацию],"&lt;="&amp;$A$1,РД[Дата подачи на регистрацию],"&gt;="&amp;DATE(YEAR($A$1),MONTH($A$1),1))</f>
        <v>7</v>
      </c>
      <c r="O99" s="1101">
        <f>COUNTIFS(РД[Тип кв],O$86,РД[МОП],$A99,РД[Дом],$C$95,РД[Дата подачи на регистрацию],"&lt;="&amp;$A$1,РД[Дата подачи на регистрацию],"&gt;="&amp;DATE(YEAR($A$1),MONTH($A$1),1))</f>
        <v>1</v>
      </c>
      <c r="P99" s="1101">
        <f>COUNTIFS(РД[Тип кв],P$86,РД[МОП],$A99,РД[Дом],$C$95,РД[Дата подачи на регистрацию],"&lt;="&amp;$A$1,РД[Дата подачи на регистрацию],"&gt;="&amp;DATE(YEAR($A$1),MONTH($A$1),1))</f>
        <v>0</v>
      </c>
      <c r="Q99" s="1102">
        <f>COUNTIFS(РД[Тип кв],Q$86,РД[МОП],$A99,РД[Дом],$C$95,РД[Дата подачи на регистрацию],"&lt;="&amp;$A$1,РД[Дата подачи на регистрацию],"&gt;="&amp;DATE(YEAR($A$1),MONTH($A$1),1))</f>
        <v>0</v>
      </c>
      <c r="R99" s="949"/>
      <c r="S99" s="949"/>
      <c r="T99" s="949"/>
    </row>
    <row r="100" spans="1:21">
      <c r="A100" s="1043" t="s">
        <v>114</v>
      </c>
      <c r="B100" s="963">
        <v>614</v>
      </c>
      <c r="C100" s="429">
        <v>64929193</v>
      </c>
      <c r="D100" s="965">
        <v>15</v>
      </c>
      <c r="E100" s="1076">
        <f t="shared" ref="E100:J100" si="7">SUM(E97:E99)</f>
        <v>949.90000000000009</v>
      </c>
      <c r="F100" s="1077">
        <f t="shared" si="7"/>
        <v>68885318.989999995</v>
      </c>
      <c r="G100" s="1078">
        <f t="shared" si="7"/>
        <v>29</v>
      </c>
      <c r="H100" s="473">
        <f t="shared" si="7"/>
        <v>1077.9000000000001</v>
      </c>
      <c r="I100" s="429">
        <f t="shared" si="7"/>
        <v>78746453.909999996</v>
      </c>
      <c r="J100" s="494">
        <f t="shared" si="7"/>
        <v>32</v>
      </c>
      <c r="K100" s="419">
        <f>IFERROR(H100/B100,)</f>
        <v>1.7555374592833877</v>
      </c>
      <c r="L100" s="507">
        <f>IFERROR(I100/C100,)</f>
        <v>1.212805061507541</v>
      </c>
      <c r="M100" s="168">
        <f>SUM(M97:M99)</f>
        <v>12</v>
      </c>
      <c r="N100" s="897">
        <f>SUM(N97:N99)</f>
        <v>16</v>
      </c>
      <c r="O100" s="897">
        <f>SUM(O97:O99)</f>
        <v>4</v>
      </c>
      <c r="P100" s="1093">
        <f>SUM(P97:P99)</f>
        <v>0</v>
      </c>
      <c r="Q100" s="898">
        <f>SUM(Q97:Q99)</f>
        <v>0</v>
      </c>
      <c r="R100" s="949"/>
      <c r="S100" s="949"/>
      <c r="T100" s="949"/>
    </row>
    <row r="101" spans="1:21" ht="25.5">
      <c r="A101" s="692" t="s">
        <v>115</v>
      </c>
      <c r="B101" s="1079" t="s">
        <v>100</v>
      </c>
      <c r="C101" s="1080" t="s">
        <v>97</v>
      </c>
      <c r="D101" s="715" t="s">
        <v>95</v>
      </c>
      <c r="E101" s="1051" t="s">
        <v>494</v>
      </c>
      <c r="F101" s="138" t="s">
        <v>495</v>
      </c>
      <c r="G101" s="139" t="s">
        <v>496</v>
      </c>
      <c r="H101" s="140" t="s">
        <v>101</v>
      </c>
      <c r="I101" s="141" t="s">
        <v>98</v>
      </c>
      <c r="J101" s="141" t="s">
        <v>96</v>
      </c>
      <c r="K101" s="495" t="s">
        <v>715</v>
      </c>
      <c r="L101" s="1027" t="s">
        <v>716</v>
      </c>
      <c r="M101" s="1087">
        <v>0</v>
      </c>
      <c r="N101" s="1033">
        <v>1</v>
      </c>
      <c r="O101" s="1033">
        <v>2</v>
      </c>
      <c r="P101" s="1033">
        <v>3</v>
      </c>
      <c r="Q101" s="1104">
        <v>4</v>
      </c>
      <c r="R101" s="949"/>
      <c r="S101" s="949"/>
      <c r="T101" s="949"/>
    </row>
    <row r="102" spans="1:21">
      <c r="A102" s="1035" t="s">
        <v>16</v>
      </c>
      <c r="B102" s="1036">
        <v>368.4</v>
      </c>
      <c r="C102" s="1036">
        <v>38957515.799999997</v>
      </c>
      <c r="D102" s="1069">
        <v>12</v>
      </c>
      <c r="E102" s="1129">
        <f>SUMIFS(Август2022[м2],Август2022[ИМ],A102,Август2022[№ дома],$C$95)</f>
        <v>766.68000000000018</v>
      </c>
      <c r="F102" s="149">
        <f>SUMIFS(Август2022[сумма без отделки],Август2022[ИМ],$A102,Август2022[№ дома],$C$95)</f>
        <v>55525203.889999993</v>
      </c>
      <c r="G102" s="940">
        <f>COUNTIFS(Август2022[ИМ],$A102,Август2022[№ дома],$C$95)</f>
        <v>23</v>
      </c>
      <c r="H102" s="148">
        <f>SUMIFS(РД[S],РД[Дом],$C$95,РД[ИМ],A102,РД[Дата подачи на регистрацию],"&lt;="&amp;$A$1,РД[Дата подачи на регистрацию],"&gt;="&amp;DATE(YEAR($A$1),MONTH($A$1),1))</f>
        <v>765.37000000000023</v>
      </c>
      <c r="I102" s="149">
        <f>SUMIFS(РД[Стоимость без отделки итог],РД[Дом],$C$95,РД[ИМ],A102,РД[Дата подачи на регистрацию],"&lt;="&amp;$A$1,РД[Дата подачи на регистрацию],"&gt;="&amp;DATE(YEAR($A$1),MONTH($A$1),1))</f>
        <v>55846565.890000001</v>
      </c>
      <c r="J102" s="220">
        <f>COUNTIFS(РД[Дом],$C$95,РД[ИМ],A102,РД[Дата подачи на регистрацию],"&lt;="&amp;$A$1,РД[Дата подачи на регистрацию],"&gt;="&amp;DATE(YEAR($A$1),MONTH($A$1),1))</f>
        <v>23</v>
      </c>
      <c r="K102" s="943">
        <f>IFERROR(H102/B102,"")</f>
        <v>2.0775515743756792</v>
      </c>
      <c r="L102" s="1061">
        <f>IFERROR(I102/C102,"")</f>
        <v>1.433524821672536</v>
      </c>
      <c r="M102" s="1088">
        <f>COUNTIFS(РД[Тип кв],M$86,РД[ИМ],$A102,РД[Дом],$C$95,РД[Дата подачи на регистрацию],"&lt;="&amp;$A$1,РД[Дата подачи на регистрацию],"&gt;="&amp;DATE(YEAR($A$1),MONTH($A$1),1))</f>
        <v>8</v>
      </c>
      <c r="N102" s="1089">
        <f>COUNTIFS(РД[Тип кв],N$86,РД[ИМ],$A102,РД[Дом],$C$95,РД[Дата подачи на регистрацию],"&lt;="&amp;$A$1,РД[Дата подачи на регистрацию],"&gt;="&amp;DATE(YEAR($A$1),MONTH($A$1),1))</f>
        <v>13</v>
      </c>
      <c r="O102" s="1089">
        <f>COUNTIFS(РД[Тип кв],O$86,РД[ИМ],$A102,РД[Дом],$C$95,РД[Дата подачи на регистрацию],"&lt;="&amp;$A$1,РД[Дата подачи на регистрацию],"&gt;="&amp;DATE(YEAR($A$1),MONTH($A$1),1))</f>
        <v>2</v>
      </c>
      <c r="P102" s="1089">
        <f>COUNTIFS(РД[Тип кв],P$86,РД[ИМ],$A102,РД[Дом],$C$95,РД[Дата подачи на регистрацию],"&lt;="&amp;$A$1,РД[Дата подачи на регистрацию],"&gt;="&amp;DATE(YEAR($A$1),MONTH($A$1),1))</f>
        <v>0</v>
      </c>
      <c r="Q102" s="1098">
        <f>COUNTIFS(РД[Тип кв],Q$86,РД[ИМ],$A102,РД[Дом],$C$95,РД[Дата подачи на регистрацию],"&lt;="&amp;$A$1,РД[Дата подачи на регистрацию],"&gt;="&amp;DATE(YEAR($A$1),MONTH($A$1),1))</f>
        <v>0</v>
      </c>
      <c r="R102" s="949"/>
      <c r="S102" s="949"/>
      <c r="T102" s="949"/>
    </row>
    <row r="103" spans="1:21">
      <c r="A103" s="317" t="s">
        <v>114</v>
      </c>
      <c r="B103" s="323">
        <v>368.4</v>
      </c>
      <c r="C103" s="429">
        <v>38957515.799999997</v>
      </c>
      <c r="D103" s="497">
        <v>12</v>
      </c>
      <c r="E103" s="484">
        <f t="shared" ref="E103:J103" si="8">SUM(E102:E102)</f>
        <v>766.68000000000018</v>
      </c>
      <c r="F103" s="429">
        <f t="shared" si="8"/>
        <v>55525203.889999993</v>
      </c>
      <c r="G103" s="497">
        <f t="shared" si="8"/>
        <v>23</v>
      </c>
      <c r="H103" s="473">
        <f t="shared" si="8"/>
        <v>765.37000000000023</v>
      </c>
      <c r="I103" s="429">
        <f t="shared" si="8"/>
        <v>55846565.890000001</v>
      </c>
      <c r="J103" s="494">
        <f t="shared" si="8"/>
        <v>23</v>
      </c>
      <c r="K103" s="419">
        <f>IFERROR(H103/B103,)</f>
        <v>2.0775515743756792</v>
      </c>
      <c r="L103" s="507">
        <f>IFERROR(I103/C103,)</f>
        <v>1.433524821672536</v>
      </c>
      <c r="M103" s="317">
        <f>SUM(M102:M102)</f>
        <v>8</v>
      </c>
      <c r="N103" s="917">
        <f>SUM(N102:N102)</f>
        <v>13</v>
      </c>
      <c r="O103" s="917">
        <f>SUM(O102:O102)</f>
        <v>2</v>
      </c>
      <c r="P103" s="917">
        <f>SUM(P102:P102)</f>
        <v>0</v>
      </c>
      <c r="Q103" s="928">
        <f>SUM(Q102:Q102)</f>
        <v>0</v>
      </c>
      <c r="R103" s="949"/>
      <c r="S103" s="949"/>
      <c r="T103" s="949"/>
    </row>
    <row r="104" spans="1:21">
      <c r="A104" s="7"/>
      <c r="B104" s="968"/>
      <c r="C104" s="968"/>
      <c r="D104" s="969"/>
      <c r="E104" s="7"/>
      <c r="F104" s="7"/>
      <c r="G104" s="7"/>
      <c r="H104" s="134"/>
      <c r="I104" s="134"/>
      <c r="J104" s="134"/>
      <c r="K104" s="7"/>
      <c r="L104" s="994"/>
      <c r="M104" s="134"/>
      <c r="N104" s="134"/>
      <c r="O104" s="134"/>
      <c r="P104" s="262"/>
      <c r="Q104" s="134"/>
      <c r="R104" s="949"/>
      <c r="S104" s="949"/>
      <c r="T104" s="949"/>
    </row>
    <row r="105" spans="1:21">
      <c r="A105" s="2293" t="s">
        <v>713</v>
      </c>
      <c r="B105" s="2294"/>
      <c r="C105" s="972" t="s">
        <v>718</v>
      </c>
      <c r="D105" s="2295"/>
      <c r="E105" s="2296"/>
      <c r="F105" s="2296"/>
      <c r="G105" s="2296"/>
      <c r="H105" s="2296"/>
      <c r="I105" s="2296"/>
      <c r="J105" s="2296"/>
      <c r="K105" s="2296"/>
      <c r="L105" s="2296"/>
      <c r="M105" s="2296"/>
      <c r="N105" s="2296"/>
      <c r="O105" s="2296"/>
      <c r="P105" s="2296"/>
      <c r="Q105" s="7"/>
      <c r="R105" s="949"/>
      <c r="S105" s="949"/>
      <c r="T105" s="949"/>
    </row>
    <row r="106" spans="1:21" ht="25.5">
      <c r="A106" s="1081" t="s">
        <v>1</v>
      </c>
      <c r="B106" s="686" t="s">
        <v>100</v>
      </c>
      <c r="C106" s="724" t="s">
        <v>97</v>
      </c>
      <c r="D106" s="688" t="s">
        <v>95</v>
      </c>
      <c r="E106" s="1022" t="s">
        <v>494</v>
      </c>
      <c r="F106" s="138" t="s">
        <v>495</v>
      </c>
      <c r="G106" s="1082" t="s">
        <v>496</v>
      </c>
      <c r="H106" s="1131" t="s">
        <v>101</v>
      </c>
      <c r="I106" s="490" t="s">
        <v>98</v>
      </c>
      <c r="J106" s="490" t="s">
        <v>96</v>
      </c>
      <c r="K106" s="490" t="s">
        <v>715</v>
      </c>
      <c r="L106" s="525" t="s">
        <v>716</v>
      </c>
      <c r="M106" s="1092">
        <v>0</v>
      </c>
      <c r="N106" s="1044">
        <v>1</v>
      </c>
      <c r="O106" s="1044">
        <v>2</v>
      </c>
      <c r="P106" s="1044">
        <v>3</v>
      </c>
      <c r="Q106" s="1045">
        <v>4</v>
      </c>
      <c r="R106" s="950"/>
      <c r="S106" s="950"/>
      <c r="T106" s="950"/>
      <c r="U106" s="951"/>
    </row>
    <row r="107" spans="1:21">
      <c r="A107" s="985" t="s">
        <v>73</v>
      </c>
      <c r="B107" s="267">
        <v>478</v>
      </c>
      <c r="C107" s="146">
        <v>44701914.299999997</v>
      </c>
      <c r="D107" s="702">
        <v>12</v>
      </c>
      <c r="E107" s="514">
        <f t="shared" ref="E107:J107" si="9">E77+E87+E97</f>
        <v>773.18000000000006</v>
      </c>
      <c r="F107" s="146">
        <f t="shared" si="9"/>
        <v>61113400.640000001</v>
      </c>
      <c r="G107" s="417">
        <f t="shared" si="9"/>
        <v>22</v>
      </c>
      <c r="H107" s="291">
        <f t="shared" si="9"/>
        <v>942.12</v>
      </c>
      <c r="I107" s="292">
        <f t="shared" si="9"/>
        <v>73110864.539999992</v>
      </c>
      <c r="J107" s="1144">
        <f t="shared" si="9"/>
        <v>26</v>
      </c>
      <c r="K107" s="990">
        <f t="shared" ref="K107:L109" si="10">IFERROR(H107/B107,"")</f>
        <v>1.9709623430962344</v>
      </c>
      <c r="L107" s="1145">
        <f t="shared" si="10"/>
        <v>1.6355197687809087</v>
      </c>
      <c r="M107" s="1094">
        <f t="shared" ref="M107:Q109" si="11">M77+M87+M97</f>
        <v>10</v>
      </c>
      <c r="N107" s="1094">
        <f t="shared" si="11"/>
        <v>11</v>
      </c>
      <c r="O107" s="1094">
        <f t="shared" si="11"/>
        <v>4</v>
      </c>
      <c r="P107" s="1094">
        <f t="shared" si="11"/>
        <v>1</v>
      </c>
      <c r="Q107" s="1105">
        <f t="shared" si="11"/>
        <v>0</v>
      </c>
      <c r="R107" s="949"/>
      <c r="S107" s="949"/>
      <c r="T107" s="949"/>
    </row>
    <row r="108" spans="1:21">
      <c r="A108" s="981" t="s">
        <v>77</v>
      </c>
      <c r="B108" s="271">
        <v>478</v>
      </c>
      <c r="C108" s="52">
        <v>44701914.299999997</v>
      </c>
      <c r="D108" s="717">
        <v>12</v>
      </c>
      <c r="E108" s="416">
        <f t="shared" ref="E108:J108" si="12">E78+E88+E98</f>
        <v>366.35</v>
      </c>
      <c r="F108" s="52">
        <f t="shared" si="12"/>
        <v>28544316.560000002</v>
      </c>
      <c r="G108" s="421">
        <f t="shared" si="12"/>
        <v>9</v>
      </c>
      <c r="H108" s="271">
        <f t="shared" si="12"/>
        <v>430.85</v>
      </c>
      <c r="I108" s="52">
        <f t="shared" si="12"/>
        <v>34033552.539999999</v>
      </c>
      <c r="J108" s="1146">
        <f t="shared" si="12"/>
        <v>10</v>
      </c>
      <c r="K108" s="987">
        <f t="shared" si="10"/>
        <v>0.90135983263598329</v>
      </c>
      <c r="L108" s="1062">
        <f t="shared" si="10"/>
        <v>0.76134440936011549</v>
      </c>
      <c r="M108" s="1008">
        <f t="shared" si="11"/>
        <v>2</v>
      </c>
      <c r="N108" s="1008">
        <f t="shared" si="11"/>
        <v>5</v>
      </c>
      <c r="O108" s="1008">
        <f t="shared" si="11"/>
        <v>2</v>
      </c>
      <c r="P108" s="1008">
        <f t="shared" si="11"/>
        <v>1</v>
      </c>
      <c r="Q108" s="1106">
        <f t="shared" si="11"/>
        <v>0</v>
      </c>
      <c r="R108" s="949"/>
      <c r="S108" s="949"/>
      <c r="T108" s="949"/>
    </row>
    <row r="109" spans="1:21">
      <c r="A109" s="982" t="s">
        <v>63</v>
      </c>
      <c r="B109" s="516">
        <v>478</v>
      </c>
      <c r="C109" s="554">
        <v>44701914.299999997</v>
      </c>
      <c r="D109" s="695">
        <v>12</v>
      </c>
      <c r="E109" s="1113">
        <f t="shared" ref="E109:J109" si="13">E79+E89+E99</f>
        <v>643.09000000000015</v>
      </c>
      <c r="F109" s="554">
        <f t="shared" si="13"/>
        <v>48183656.780000001</v>
      </c>
      <c r="G109" s="721">
        <f t="shared" si="13"/>
        <v>17</v>
      </c>
      <c r="H109" s="516">
        <f t="shared" si="13"/>
        <v>646.08999999999992</v>
      </c>
      <c r="I109" s="554">
        <f t="shared" si="13"/>
        <v>49128301.780000001</v>
      </c>
      <c r="J109" s="1147">
        <f t="shared" si="13"/>
        <v>17</v>
      </c>
      <c r="K109" s="992">
        <f t="shared" si="10"/>
        <v>1.3516527196652719</v>
      </c>
      <c r="L109" s="1115">
        <f t="shared" si="10"/>
        <v>1.0990200878265297</v>
      </c>
      <c r="M109" s="1116">
        <f t="shared" si="11"/>
        <v>6</v>
      </c>
      <c r="N109" s="1116">
        <f t="shared" si="11"/>
        <v>8</v>
      </c>
      <c r="O109" s="1116">
        <f t="shared" si="11"/>
        <v>2</v>
      </c>
      <c r="P109" s="1116">
        <f t="shared" si="11"/>
        <v>1</v>
      </c>
      <c r="Q109" s="1117">
        <f t="shared" si="11"/>
        <v>0</v>
      </c>
      <c r="R109" s="949"/>
      <c r="S109" s="949"/>
      <c r="T109" s="949"/>
    </row>
    <row r="110" spans="1:21">
      <c r="A110" s="1084" t="s">
        <v>114</v>
      </c>
      <c r="B110" s="425">
        <v>1434</v>
      </c>
      <c r="C110" s="1114">
        <v>134105742.90000001</v>
      </c>
      <c r="D110" s="1085">
        <v>36</v>
      </c>
      <c r="E110" s="282">
        <f t="shared" ref="E110:J110" si="14">SUM(E107:E109)</f>
        <v>1782.6200000000003</v>
      </c>
      <c r="F110" s="287">
        <f t="shared" si="14"/>
        <v>137841373.98000002</v>
      </c>
      <c r="G110" s="696">
        <f t="shared" si="14"/>
        <v>48</v>
      </c>
      <c r="H110" s="282">
        <f t="shared" si="14"/>
        <v>2019.06</v>
      </c>
      <c r="I110" s="287">
        <f t="shared" si="14"/>
        <v>156272718.85999998</v>
      </c>
      <c r="J110" s="1095">
        <f t="shared" si="14"/>
        <v>53</v>
      </c>
      <c r="K110" s="238">
        <f>IFERROR(H110/B110,)</f>
        <v>1.4079916317991632</v>
      </c>
      <c r="L110" s="501">
        <f>IFERROR(I110/C110,)</f>
        <v>1.1652947553225177</v>
      </c>
      <c r="M110" s="168">
        <f>SUM(M107:M109)</f>
        <v>18</v>
      </c>
      <c r="N110" s="897">
        <f>SUM(N107:N109)</f>
        <v>24</v>
      </c>
      <c r="O110" s="897">
        <f>SUM(O107:O109)</f>
        <v>8</v>
      </c>
      <c r="P110" s="1093">
        <f>SUM(P107:P109)</f>
        <v>3</v>
      </c>
      <c r="Q110" s="898">
        <f>SUM(Q107:Q109)</f>
        <v>0</v>
      </c>
      <c r="R110" s="949"/>
      <c r="S110" s="949"/>
      <c r="T110" s="949"/>
    </row>
    <row r="111" spans="1:21" ht="25.5">
      <c r="A111" s="685" t="s">
        <v>115</v>
      </c>
      <c r="B111" s="723" t="s">
        <v>100</v>
      </c>
      <c r="C111" s="1086" t="s">
        <v>97</v>
      </c>
      <c r="D111" s="688" t="s">
        <v>95</v>
      </c>
      <c r="E111" s="1022" t="s">
        <v>494</v>
      </c>
      <c r="F111" s="138" t="s">
        <v>495</v>
      </c>
      <c r="G111" s="139" t="s">
        <v>496</v>
      </c>
      <c r="H111" s="980" t="s">
        <v>101</v>
      </c>
      <c r="I111" s="141" t="s">
        <v>98</v>
      </c>
      <c r="J111" s="141" t="s">
        <v>96</v>
      </c>
      <c r="K111" s="141" t="s">
        <v>715</v>
      </c>
      <c r="L111" s="1026" t="s">
        <v>716</v>
      </c>
      <c r="M111" s="1087">
        <v>0</v>
      </c>
      <c r="N111" s="1033">
        <v>1</v>
      </c>
      <c r="O111" s="1033">
        <v>2</v>
      </c>
      <c r="P111" s="1033">
        <v>3</v>
      </c>
      <c r="Q111" s="1104">
        <v>4</v>
      </c>
      <c r="R111" s="950"/>
      <c r="S111" s="950"/>
      <c r="T111" s="950"/>
      <c r="U111" s="951"/>
    </row>
    <row r="112" spans="1:21">
      <c r="A112" s="936" t="s">
        <v>16</v>
      </c>
      <c r="B112" s="1132">
        <v>942.4</v>
      </c>
      <c r="C112" s="1133">
        <v>87381100.730000004</v>
      </c>
      <c r="D112" s="1132">
        <v>29</v>
      </c>
      <c r="E112" s="997">
        <f t="shared" ref="E112:J112" si="15">E82+E92+E102</f>
        <v>1465.9</v>
      </c>
      <c r="F112" s="997">
        <f t="shared" si="15"/>
        <v>113414332.19</v>
      </c>
      <c r="G112" s="997">
        <f t="shared" si="15"/>
        <v>37</v>
      </c>
      <c r="H112" s="877">
        <f t="shared" si="15"/>
        <v>1473.3900000000003</v>
      </c>
      <c r="I112" s="877">
        <f t="shared" si="15"/>
        <v>113474930.17</v>
      </c>
      <c r="J112" s="877">
        <f t="shared" si="15"/>
        <v>37</v>
      </c>
      <c r="K112" s="221">
        <f>IFERROR(H112/B112,"")</f>
        <v>1.5634443972835317</v>
      </c>
      <c r="L112" s="222">
        <f>IFERROR(I112/C112,"")</f>
        <v>1.298620974352654</v>
      </c>
      <c r="M112" s="1148">
        <f>M82+M92</f>
        <v>2</v>
      </c>
      <c r="N112" s="1008">
        <f>N82+N92</f>
        <v>6</v>
      </c>
      <c r="O112" s="1008">
        <f>O82+O92</f>
        <v>3</v>
      </c>
      <c r="P112" s="1008">
        <f>P82+P92</f>
        <v>3</v>
      </c>
      <c r="Q112" s="1106">
        <f>Q82+Q92</f>
        <v>0</v>
      </c>
      <c r="R112" s="949"/>
      <c r="S112" s="949"/>
      <c r="T112" s="949"/>
    </row>
    <row r="113" spans="1:22">
      <c r="A113" s="409" t="s">
        <v>114</v>
      </c>
      <c r="B113" s="428">
        <v>942.4</v>
      </c>
      <c r="C113" s="430">
        <v>87381100.730000004</v>
      </c>
      <c r="D113" s="917">
        <v>29</v>
      </c>
      <c r="E113" s="473">
        <f t="shared" ref="E113:J113" si="16">SUM(E112:E112)</f>
        <v>1465.9</v>
      </c>
      <c r="F113" s="494">
        <f t="shared" si="16"/>
        <v>113414332.19</v>
      </c>
      <c r="G113" s="497">
        <f t="shared" si="16"/>
        <v>37</v>
      </c>
      <c r="H113" s="484">
        <f t="shared" si="16"/>
        <v>1473.3900000000003</v>
      </c>
      <c r="I113" s="494">
        <f t="shared" si="16"/>
        <v>113474930.17</v>
      </c>
      <c r="J113" s="494">
        <f t="shared" si="16"/>
        <v>37</v>
      </c>
      <c r="K113" s="419">
        <f>IFERROR(H113/B113,)</f>
        <v>1.5634443972835317</v>
      </c>
      <c r="L113" s="507">
        <f>IFERROR(I113/C113,)</f>
        <v>1.298620974352654</v>
      </c>
      <c r="M113" s="317">
        <f>SUM(M112:M112)</f>
        <v>2</v>
      </c>
      <c r="N113" s="917">
        <f>SUM(N112:N112)</f>
        <v>6</v>
      </c>
      <c r="O113" s="917">
        <f>SUM(O112:O112)</f>
        <v>3</v>
      </c>
      <c r="P113" s="917">
        <f>SUM(P112:P112)</f>
        <v>3</v>
      </c>
      <c r="Q113" s="928">
        <f>SUM(Q112:Q112)</f>
        <v>0</v>
      </c>
      <c r="R113" s="949"/>
      <c r="S113" s="949"/>
      <c r="T113" s="949"/>
    </row>
    <row r="114" spans="1:22">
      <c r="A114" s="65"/>
      <c r="B114" s="65"/>
      <c r="C114" s="65"/>
      <c r="D114" s="65"/>
      <c r="E114" s="65"/>
      <c r="F114" s="949"/>
      <c r="G114" s="65"/>
      <c r="H114" s="65"/>
      <c r="I114" s="949"/>
      <c r="J114" s="65"/>
      <c r="K114" s="65"/>
      <c r="L114" s="65"/>
      <c r="M114" s="949"/>
      <c r="N114" s="65"/>
      <c r="O114" s="949"/>
      <c r="P114" s="949"/>
      <c r="Q114" s="86"/>
      <c r="R114" s="949"/>
      <c r="S114" s="949"/>
      <c r="T114" s="949"/>
    </row>
    <row r="115" spans="1:22">
      <c r="A115" s="2301" t="s">
        <v>945</v>
      </c>
      <c r="B115" s="2302"/>
      <c r="C115" s="2302"/>
      <c r="D115" s="2302"/>
      <c r="E115" s="2302"/>
      <c r="F115" s="2302"/>
      <c r="G115" s="2302"/>
      <c r="H115" s="2303"/>
      <c r="I115" s="2303"/>
      <c r="J115" s="2303"/>
      <c r="K115" s="2303"/>
      <c r="L115" s="2303"/>
      <c r="M115" s="2303"/>
      <c r="N115" s="2304"/>
      <c r="O115" s="949"/>
      <c r="P115" s="949"/>
      <c r="Q115" s="86"/>
      <c r="R115" s="949"/>
      <c r="S115" s="949"/>
      <c r="T115" s="949"/>
    </row>
    <row r="116" spans="1:22" s="930" customFormat="1" ht="25.5">
      <c r="A116" s="685" t="s">
        <v>1</v>
      </c>
      <c r="B116" s="723" t="s">
        <v>101</v>
      </c>
      <c r="C116" s="724" t="s">
        <v>98</v>
      </c>
      <c r="D116" s="688" t="s">
        <v>96</v>
      </c>
      <c r="E116" s="1022" t="s">
        <v>494</v>
      </c>
      <c r="F116" s="138" t="s">
        <v>495</v>
      </c>
      <c r="G116" s="296" t="s">
        <v>496</v>
      </c>
      <c r="H116" s="140" t="s">
        <v>946</v>
      </c>
      <c r="I116" s="141" t="s">
        <v>947</v>
      </c>
      <c r="J116" s="1096">
        <v>0</v>
      </c>
      <c r="K116" s="1096">
        <v>1</v>
      </c>
      <c r="L116" s="1096">
        <v>2</v>
      </c>
      <c r="M116" s="1096">
        <v>3</v>
      </c>
      <c r="N116" s="1097">
        <v>4</v>
      </c>
      <c r="O116" s="949"/>
      <c r="P116" s="949"/>
      <c r="Q116" s="86"/>
      <c r="R116" s="949"/>
      <c r="S116" s="949"/>
      <c r="T116" s="949"/>
      <c r="V116" s="931"/>
    </row>
    <row r="117" spans="1:22" s="930" customFormat="1">
      <c r="A117" s="985" t="s">
        <v>73</v>
      </c>
      <c r="B117" s="291">
        <v>131.87</v>
      </c>
      <c r="C117" s="292">
        <v>10007433.300000001</v>
      </c>
      <c r="D117" s="694">
        <v>3</v>
      </c>
      <c r="E117" s="1015"/>
      <c r="F117" s="292"/>
      <c r="G117" s="720"/>
      <c r="H117" s="29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879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1088">
        <f>COUNTIFS(РД[Тип кв],J$116,РД[МОП],$A117,РД[Дата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1089">
        <f>COUNTIFS(РД[Тип кв],K$116,РД[МОП],$A117,РД[Дата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1089">
        <f>COUNTIFS(РД[Тип кв],L$116,РД[МОП],$A117,РД[Дата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1089">
        <f>COUNTIFS(РД[Тип кв],M$116,РД[МОП],$A117,РД[Дата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1098">
        <f>COUNTIFS(РД[Тип кв],N$116,РД[МОП],$A117,РД[Дата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T117" s="949"/>
      <c r="V117" s="931"/>
    </row>
    <row r="118" spans="1:22" s="930" customFormat="1">
      <c r="A118" s="981" t="s">
        <v>77</v>
      </c>
      <c r="B118" s="271">
        <v>61.7</v>
      </c>
      <c r="C118" s="52">
        <v>5749785.9800000004</v>
      </c>
      <c r="D118" s="717">
        <v>1</v>
      </c>
      <c r="E118" s="416"/>
      <c r="F118" s="52"/>
      <c r="G118" s="421"/>
      <c r="H118" s="27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8" s="546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8" s="1090">
        <f>COUNTIFS(РД[Тип кв],J$116,РД[МОП],$A118,РД[Дата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8" s="339">
        <f>COUNTIFS(РД[Тип кв],K$116,РД[МОП],$A118,РД[Дата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8" s="339">
        <f>COUNTIFS(РД[Тип кв],L$116,РД[МОП],$A118,РД[Дата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8" s="339">
        <f>COUNTIFS(РД[Тип кв],M$116,РД[МОП],$A118,РД[Дата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8" s="1099">
        <f>COUNTIFS(РД[Тип кв],N$116,РД[МОП],$A118,РД[Дата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8" s="949"/>
      <c r="P118" s="949"/>
      <c r="Q118" s="86"/>
      <c r="R118" s="949"/>
      <c r="S118" s="949"/>
      <c r="T118" s="949"/>
      <c r="V118" s="931"/>
    </row>
    <row r="119" spans="1:22" s="930" customFormat="1">
      <c r="A119" s="981" t="s">
        <v>63</v>
      </c>
      <c r="B119" s="271">
        <v>0</v>
      </c>
      <c r="C119" s="52">
        <v>0</v>
      </c>
      <c r="D119" s="717">
        <v>0</v>
      </c>
      <c r="E119" s="416"/>
      <c r="F119" s="52"/>
      <c r="G119" s="421"/>
      <c r="H119" s="27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546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1090">
        <f>COUNTIFS(РД[Тип кв],J$116,РД[МОП],$A119,РД[Дата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339">
        <f>COUNTIFS(РД[Тип кв],K$116,РД[МОП],$A119,РД[Дата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339">
        <f>COUNTIFS(РД[Тип кв],L$116,РД[МОП],$A119,РД[Дата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339">
        <f>COUNTIFS(РД[Тип кв],M$116,РД[МОП],$A119,РД[Дата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1099">
        <f>COUNTIFS(РД[Тип кв],N$116,РД[МОП],$A119,РД[Дата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T119" s="949"/>
      <c r="V119" s="931"/>
    </row>
    <row r="120" spans="1:22" s="930" customFormat="1">
      <c r="A120" s="982" t="s">
        <v>29</v>
      </c>
      <c r="B120" s="516">
        <v>62.5</v>
      </c>
      <c r="C120" s="554">
        <v>4888302.13</v>
      </c>
      <c r="D120" s="695">
        <v>2</v>
      </c>
      <c r="E120" s="329">
        <f>SUMIFS(Август2022[м2],Август2022[МОП],$A120)</f>
        <v>63.74</v>
      </c>
      <c r="F120" s="958">
        <f>SUMIFS(Август2022[сумма без отделки],Август2022[МОП],$A120)</f>
        <v>4879002.129999999</v>
      </c>
      <c r="G120" s="959">
        <f>COUNTIFS(Август2022[МОП],$A120)</f>
        <v>2</v>
      </c>
      <c r="H120" s="516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0" s="1002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0" s="1100">
        <f>COUNTIFS(РД[Тип кв],J$116,РД[МОП],$A120,РД[Дата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0" s="1101">
        <f>COUNTIFS(РД[Тип кв],K$116,РД[МОП],$A120,РД[Дата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0" s="1101">
        <f>COUNTIFS(РД[Тип кв],L$116,РД[МОП],$A120,РД[Дата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0" s="1101">
        <f>COUNTIFS(РД[Тип кв],M$116,РД[МОП],$A120,РД[Дата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0" s="1102">
        <f>COUNTIFS(РД[Тип кв],N$116,РД[МОП],$A120,РД[Дата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0" s="949"/>
      <c r="P120" s="949"/>
      <c r="Q120" s="86"/>
      <c r="R120" s="949"/>
      <c r="S120" s="949"/>
      <c r="T120" s="949"/>
      <c r="V120" s="931"/>
    </row>
    <row r="121" spans="1:22" s="930" customFormat="1">
      <c r="A121" s="984" t="s">
        <v>114</v>
      </c>
      <c r="B121" s="323">
        <v>256.07</v>
      </c>
      <c r="C121" s="429">
        <v>20645521.41</v>
      </c>
      <c r="D121" s="319">
        <v>6</v>
      </c>
      <c r="E121" s="428">
        <f t="shared" ref="E121:N121" si="17">SUM(E117:E120)</f>
        <v>63.74</v>
      </c>
      <c r="F121" s="429">
        <f t="shared" si="17"/>
        <v>4879002.129999999</v>
      </c>
      <c r="G121" s="322">
        <f t="shared" si="17"/>
        <v>2</v>
      </c>
      <c r="H121" s="323">
        <f t="shared" si="17"/>
        <v>0</v>
      </c>
      <c r="I121" s="324">
        <f t="shared" si="17"/>
        <v>0</v>
      </c>
      <c r="J121" s="284">
        <f t="shared" si="17"/>
        <v>0</v>
      </c>
      <c r="K121" s="285">
        <f t="shared" si="17"/>
        <v>0</v>
      </c>
      <c r="L121" s="285">
        <f t="shared" si="17"/>
        <v>0</v>
      </c>
      <c r="M121" s="285">
        <f t="shared" si="17"/>
        <v>0</v>
      </c>
      <c r="N121" s="305">
        <f t="shared" si="17"/>
        <v>0</v>
      </c>
      <c r="O121" s="949"/>
      <c r="P121" s="949"/>
      <c r="Q121" s="86"/>
      <c r="R121" s="949"/>
      <c r="S121" s="949"/>
      <c r="T121" s="949"/>
      <c r="V121" s="931"/>
    </row>
    <row r="122" spans="1:22" s="930" customFormat="1" ht="25.5">
      <c r="A122" s="725" t="s">
        <v>115</v>
      </c>
      <c r="B122" s="686" t="s">
        <v>101</v>
      </c>
      <c r="C122" s="724" t="s">
        <v>98</v>
      </c>
      <c r="D122" s="688" t="s">
        <v>96</v>
      </c>
      <c r="E122" s="1051" t="s">
        <v>494</v>
      </c>
      <c r="F122" s="138" t="s">
        <v>495</v>
      </c>
      <c r="G122" s="296" t="s">
        <v>496</v>
      </c>
      <c r="H122" s="140" t="s">
        <v>946</v>
      </c>
      <c r="I122" s="1026" t="s">
        <v>947</v>
      </c>
      <c r="J122" s="1149">
        <v>0</v>
      </c>
      <c r="K122" s="1150">
        <v>1</v>
      </c>
      <c r="L122" s="1150">
        <v>2</v>
      </c>
      <c r="M122" s="1150">
        <v>3</v>
      </c>
      <c r="N122" s="1151">
        <v>4</v>
      </c>
      <c r="O122" s="949"/>
      <c r="P122" s="949"/>
      <c r="Q122" s="86"/>
      <c r="R122" s="949"/>
      <c r="S122" s="949"/>
      <c r="T122" s="949"/>
      <c r="V122" s="931"/>
    </row>
    <row r="123" spans="1:22" s="930" customFormat="1">
      <c r="A123" s="985" t="s">
        <v>16</v>
      </c>
      <c r="B123" s="267">
        <v>99.64</v>
      </c>
      <c r="C123" s="146">
        <v>8859009.9600000009</v>
      </c>
      <c r="D123" s="702">
        <v>2</v>
      </c>
      <c r="E123" s="877"/>
      <c r="F123" s="146"/>
      <c r="G123" s="1134"/>
      <c r="H123" s="267">
        <f>SUMIFS(РД[S],РД[ИМ],A123,РД[Дата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268">
        <f>SUMIFS(РД[Стоимость без отделки итог],РД[ИМ],A123,РД[Дата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1090">
        <f>COUNTIFS(РД[Тип кв],J$116,РД[ИМ],$A123,РД[Дата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339">
        <f>COUNTIFS(РД[Тип кв],K$116,РД[ИМ],$A123,РД[Дата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339">
        <f>COUNTIFS(РД[Тип кв],L$116,РД[ИМ],$A123,РД[Дата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339">
        <f>COUNTIFS(РД[Тип кв],M$116,РД[ИМ],$A123,РД[Дата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1099">
        <f>COUNTIFS(РД[Тип кв],N$116,РД[ИМ],$A123,РД[Дата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3" s="949"/>
      <c r="P123" s="949"/>
      <c r="Q123" s="86"/>
      <c r="R123" s="949"/>
      <c r="S123" s="949"/>
      <c r="T123" s="949"/>
      <c r="V123" s="931"/>
    </row>
    <row r="124" spans="1:22" s="930" customFormat="1">
      <c r="A124" s="982" t="s">
        <v>114</v>
      </c>
      <c r="B124" s="1135">
        <v>99.64</v>
      </c>
      <c r="C124" s="1136">
        <v>8859009.9600000009</v>
      </c>
      <c r="D124" s="1137">
        <v>2</v>
      </c>
      <c r="E124" s="1138">
        <f t="shared" ref="E124:N124" si="18">SUM(E123:E123)</f>
        <v>0</v>
      </c>
      <c r="F124" s="1136">
        <f t="shared" si="18"/>
        <v>0</v>
      </c>
      <c r="G124" s="1139">
        <f t="shared" si="18"/>
        <v>0</v>
      </c>
      <c r="H124" s="1135">
        <f t="shared" si="18"/>
        <v>0</v>
      </c>
      <c r="I124" s="1152">
        <f t="shared" si="18"/>
        <v>0</v>
      </c>
      <c r="J124" s="1153">
        <f t="shared" si="18"/>
        <v>0</v>
      </c>
      <c r="K124" s="1154">
        <f t="shared" si="18"/>
        <v>0</v>
      </c>
      <c r="L124" s="1154">
        <f t="shared" si="18"/>
        <v>0</v>
      </c>
      <c r="M124" s="1154">
        <f t="shared" si="18"/>
        <v>0</v>
      </c>
      <c r="N124" s="1137">
        <f t="shared" si="18"/>
        <v>0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V125" s="931"/>
    </row>
    <row r="126" spans="1:22" s="930" customFormat="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V127" s="931"/>
    </row>
    <row r="128" spans="1:22" s="930" customFormat="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V128" s="931"/>
    </row>
    <row r="129" spans="1:22" s="930" customFormat="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V129" s="931"/>
    </row>
    <row r="130" spans="1:22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</sheetData>
  <sheetProtection formatCells="0" formatColumns="0" formatRows="0" sort="0" autoFilter="0" pivotTables="0"/>
  <mergeCells count="10">
    <mergeCell ref="A1:S1"/>
    <mergeCell ref="A75:B75"/>
    <mergeCell ref="D75:P75"/>
    <mergeCell ref="A85:B85"/>
    <mergeCell ref="D85:P85"/>
    <mergeCell ref="A95:B95"/>
    <mergeCell ref="D95:P95"/>
    <mergeCell ref="A105:B105"/>
    <mergeCell ref="D105:P105"/>
    <mergeCell ref="A115:N115"/>
  </mergeCells>
  <pageMargins left="0.25" right="0.25" top="0.75" bottom="0.75" header="0.3" footer="0.3"/>
  <pageSetup paperSize="9" scale="27" orientation="portrait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500-000000000000}">
          <x14:formula1>
            <xm:f>Списки!$C$3:$C$11</xm:f>
          </x14:formula1>
          <xm:sqref>D3 R3:T3 D15 D17:D23 D25:D73 R17:R23 R25:R48 R50:R73 S16:T23 S25:T73</xm:sqref>
        </x14:dataValidation>
        <x14:dataValidation type="list" allowBlank="1" showInputMessage="1" showErrorMessage="1" xr:uid="{00000000-0002-0000-1500-000001000000}">
          <x14:formula1>
            <xm:f>Списки!$C$3:$C$4</xm:f>
          </x14:formula1>
          <xm:sqref>D16 D24 R24:T24 R49 D74 D4:D14 R4:R16 S4:T15</xm:sqref>
        </x14:dataValidation>
        <x14:dataValidation type="list" allowBlank="1" showInputMessage="1" showErrorMessage="1" xr:uid="{00000000-0002-0000-1500-000002000000}">
          <x14:formula1>
            <xm:f>Списки!$D$2:$D$7</xm:f>
          </x14:formula1>
          <xm:sqref>F3:F74</xm:sqref>
        </x14:dataValidation>
        <x14:dataValidation type="list" allowBlank="1" showInputMessage="1" showErrorMessage="1" xr:uid="{00000000-0002-0000-1500-000003000000}">
          <x14:formula1>
            <xm:f>Списки!$B$2:$B$5</xm:f>
          </x14:formula1>
          <xm:sqref>G3:G74</xm:sqref>
        </x14:dataValidation>
        <x14:dataValidation type="list" allowBlank="1" showInputMessage="1" showErrorMessage="1" xr:uid="{00000000-0002-0000-1500-000004000000}">
          <x14:formula1>
            <xm:f>Списки!$E$2:$E$7</xm:f>
          </x14:formula1>
          <xm:sqref>H3:H74</xm:sqref>
        </x14:dataValidation>
        <x14:dataValidation type="list" allowBlank="1" showInputMessage="1" showErrorMessage="1" xr:uid="{00000000-0002-0000-1500-000005000000}">
          <x14:formula1>
            <xm:f>Списки!$G$2:$G$3</xm:f>
          </x14:formula1>
          <xm:sqref>L3:L74</xm:sqref>
        </x14:dataValidation>
        <x14:dataValidation type="list" allowBlank="1" showInputMessage="1" showErrorMessage="1" xr:uid="{00000000-0002-0000-1500-000006000000}">
          <x14:formula1>
            <xm:f>Списки!$F$2:$F$3</xm:f>
          </x14:formula1>
          <xm:sqref>N3:N74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V257"/>
  <sheetViews>
    <sheetView view="pageBreakPreview" zoomScale="80" zoomScaleNormal="85" workbookViewId="0">
      <pane ySplit="2" topLeftCell="A78" activePane="bottomLeft" state="frozen"/>
      <selection pane="bottomLeft" activeCell="I88" sqref="I88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36.28515625" style="931" customWidth="1"/>
    <col min="16" max="16" width="23.5703125" style="931" customWidth="1"/>
    <col min="17" max="17" width="40.8554687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44834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outlineLevel="1">
      <c r="A3" s="62">
        <v>1</v>
      </c>
      <c r="B3" s="62">
        <v>461</v>
      </c>
      <c r="C3" s="62">
        <v>20169</v>
      </c>
      <c r="D3" s="117" t="s">
        <v>63</v>
      </c>
      <c r="E3" s="62">
        <v>58.62</v>
      </c>
      <c r="F3" s="117" t="s">
        <v>15</v>
      </c>
      <c r="G3" s="117" t="s">
        <v>7</v>
      </c>
      <c r="H3" s="117" t="s">
        <v>84</v>
      </c>
      <c r="I3" s="95">
        <v>4623443.8099999996</v>
      </c>
      <c r="J3" s="62">
        <v>2</v>
      </c>
      <c r="K3" s="117" t="s">
        <v>130</v>
      </c>
      <c r="L3" s="117" t="s">
        <v>12</v>
      </c>
      <c r="M3" s="92">
        <v>44813</v>
      </c>
      <c r="N3" s="117" t="s">
        <v>11</v>
      </c>
      <c r="O3" s="117" t="s">
        <v>1113</v>
      </c>
      <c r="P3" s="76" t="s">
        <v>67</v>
      </c>
      <c r="Q3" s="76" t="s">
        <v>67</v>
      </c>
      <c r="R3" s="945" t="s">
        <v>63</v>
      </c>
      <c r="S3" s="945" t="s">
        <v>63</v>
      </c>
      <c r="T3" s="945" t="s">
        <v>73</v>
      </c>
      <c r="U3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4183793.8099999991</v>
      </c>
    </row>
    <row r="4" spans="1:22" ht="12.75" customHeight="1" outlineLevel="1">
      <c r="A4" s="62">
        <v>2</v>
      </c>
      <c r="B4" s="62">
        <v>269</v>
      </c>
      <c r="C4" s="62">
        <v>22192</v>
      </c>
      <c r="D4" s="117" t="s">
        <v>63</v>
      </c>
      <c r="E4" s="62">
        <v>29.35</v>
      </c>
      <c r="F4" s="117" t="s">
        <v>9</v>
      </c>
      <c r="G4" s="117" t="s">
        <v>7</v>
      </c>
      <c r="H4" s="117" t="s">
        <v>16</v>
      </c>
      <c r="I4" s="91">
        <v>2329803</v>
      </c>
      <c r="J4" s="62">
        <v>0</v>
      </c>
      <c r="K4" s="117" t="s">
        <v>65</v>
      </c>
      <c r="L4" s="117" t="s">
        <v>12</v>
      </c>
      <c r="M4" s="942" t="s">
        <v>1114</v>
      </c>
      <c r="N4" s="117" t="s">
        <v>17</v>
      </c>
      <c r="O4" s="117" t="s">
        <v>1115</v>
      </c>
      <c r="P4" s="76" t="s">
        <v>67</v>
      </c>
      <c r="Q4" s="76" t="s">
        <v>67</v>
      </c>
      <c r="R4" s="945" t="s">
        <v>63</v>
      </c>
      <c r="S4" s="945" t="s">
        <v>63</v>
      </c>
      <c r="T4" s="945" t="s">
        <v>63</v>
      </c>
      <c r="U4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2329803</v>
      </c>
    </row>
    <row r="5" spans="1:22" s="929" customFormat="1" ht="12.75" customHeight="1" outlineLevel="1">
      <c r="A5" s="62">
        <v>3</v>
      </c>
      <c r="B5" s="62">
        <v>113</v>
      </c>
      <c r="C5" s="62">
        <v>22337</v>
      </c>
      <c r="D5" s="117"/>
      <c r="E5" s="62">
        <v>33.53</v>
      </c>
      <c r="F5" s="117" t="s">
        <v>15</v>
      </c>
      <c r="G5" s="117" t="s">
        <v>7</v>
      </c>
      <c r="H5" s="117" t="s">
        <v>84</v>
      </c>
      <c r="I5" s="95">
        <v>2840138.53</v>
      </c>
      <c r="J5" s="62">
        <v>1</v>
      </c>
      <c r="K5" s="117" t="s">
        <v>130</v>
      </c>
      <c r="L5" s="117" t="s">
        <v>18</v>
      </c>
      <c r="M5" s="1016">
        <v>44806</v>
      </c>
      <c r="N5" s="117" t="s">
        <v>17</v>
      </c>
      <c r="O5" s="117" t="s">
        <v>1116</v>
      </c>
      <c r="P5" s="76"/>
      <c r="Q5" s="76" t="s">
        <v>67</v>
      </c>
      <c r="R5" s="945"/>
      <c r="S5" s="945" t="s">
        <v>73</v>
      </c>
      <c r="T5" s="945" t="s">
        <v>73</v>
      </c>
      <c r="U5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2588663.5299999998</v>
      </c>
    </row>
    <row r="6" spans="1:22" outlineLevel="1">
      <c r="A6" s="62">
        <v>4</v>
      </c>
      <c r="B6" s="62">
        <v>317</v>
      </c>
      <c r="C6" s="62">
        <v>22475</v>
      </c>
      <c r="D6" s="117" t="s">
        <v>77</v>
      </c>
      <c r="E6" s="62">
        <v>33.840000000000003</v>
      </c>
      <c r="F6" s="117" t="s">
        <v>9</v>
      </c>
      <c r="G6" s="117" t="s">
        <v>7</v>
      </c>
      <c r="H6" s="117" t="s">
        <v>16</v>
      </c>
      <c r="I6" s="95">
        <v>2612596.9</v>
      </c>
      <c r="J6" s="62">
        <v>1</v>
      </c>
      <c r="K6" s="117" t="s">
        <v>65</v>
      </c>
      <c r="L6" s="117" t="s">
        <v>18</v>
      </c>
      <c r="M6" s="1016">
        <v>44812</v>
      </c>
      <c r="N6" s="117" t="s">
        <v>17</v>
      </c>
      <c r="O6" s="117" t="s">
        <v>1117</v>
      </c>
      <c r="P6" s="76" t="s">
        <v>67</v>
      </c>
      <c r="Q6" s="76" t="s">
        <v>67</v>
      </c>
      <c r="R6" s="945" t="s">
        <v>77</v>
      </c>
      <c r="S6" s="945" t="s">
        <v>77</v>
      </c>
      <c r="T6" s="945" t="s">
        <v>77</v>
      </c>
      <c r="U6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2612596.9</v>
      </c>
    </row>
    <row r="7" spans="1:22" ht="12.75" customHeight="1" outlineLevel="1">
      <c r="A7" s="62">
        <v>5</v>
      </c>
      <c r="B7" s="75">
        <v>457</v>
      </c>
      <c r="C7" s="75">
        <v>16628</v>
      </c>
      <c r="D7" s="117" t="s">
        <v>77</v>
      </c>
      <c r="E7" s="62">
        <v>37.159999999999997</v>
      </c>
      <c r="F7" s="117" t="s">
        <v>9</v>
      </c>
      <c r="G7" s="117" t="s">
        <v>27</v>
      </c>
      <c r="H7" s="117" t="s">
        <v>16</v>
      </c>
      <c r="I7" s="95">
        <v>2893230.41</v>
      </c>
      <c r="J7" s="62">
        <v>1</v>
      </c>
      <c r="K7" s="117" t="s">
        <v>65</v>
      </c>
      <c r="L7" s="117" t="s">
        <v>18</v>
      </c>
      <c r="M7" s="1016">
        <v>44813</v>
      </c>
      <c r="N7" s="117" t="s">
        <v>17</v>
      </c>
      <c r="O7" s="117" t="s">
        <v>1118</v>
      </c>
      <c r="P7" s="76" t="s">
        <v>67</v>
      </c>
      <c r="Q7" s="76" t="s">
        <v>67</v>
      </c>
      <c r="R7" s="945" t="s">
        <v>77</v>
      </c>
      <c r="S7" s="945" t="s">
        <v>73</v>
      </c>
      <c r="T7" s="945" t="s">
        <v>77</v>
      </c>
      <c r="U7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2893230.41</v>
      </c>
    </row>
    <row r="8" spans="1:22" outlineLevel="1">
      <c r="A8" s="62">
        <v>6</v>
      </c>
      <c r="B8" s="62">
        <v>115</v>
      </c>
      <c r="C8" s="62">
        <v>14220</v>
      </c>
      <c r="D8" s="117" t="s">
        <v>63</v>
      </c>
      <c r="E8" s="62">
        <v>77.5</v>
      </c>
      <c r="F8" s="117" t="s">
        <v>15</v>
      </c>
      <c r="G8" s="117" t="s">
        <v>121</v>
      </c>
      <c r="H8" s="117" t="s">
        <v>16</v>
      </c>
      <c r="I8" s="95">
        <v>7294836.6500000004</v>
      </c>
      <c r="J8" s="62">
        <v>3</v>
      </c>
      <c r="K8" s="117" t="s">
        <v>65</v>
      </c>
      <c r="L8" s="117" t="s">
        <v>18</v>
      </c>
      <c r="M8" s="1016">
        <v>44812</v>
      </c>
      <c r="N8" s="117" t="s">
        <v>17</v>
      </c>
      <c r="O8" s="117" t="s">
        <v>1119</v>
      </c>
      <c r="P8" s="76" t="s">
        <v>67</v>
      </c>
      <c r="Q8" s="76" t="s">
        <v>67</v>
      </c>
      <c r="R8" s="945" t="s">
        <v>63</v>
      </c>
      <c r="S8" s="945" t="s">
        <v>77</v>
      </c>
      <c r="T8" s="1108" t="s">
        <v>63</v>
      </c>
      <c r="U8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6868586.6499999994</v>
      </c>
    </row>
    <row r="9" spans="1:22" ht="12.75" customHeight="1" outlineLevel="1">
      <c r="A9" s="62">
        <v>7</v>
      </c>
      <c r="B9" s="62">
        <v>110</v>
      </c>
      <c r="C9" s="62">
        <v>22491</v>
      </c>
      <c r="D9" s="117" t="s">
        <v>73</v>
      </c>
      <c r="E9" s="62">
        <v>37.94</v>
      </c>
      <c r="F9" s="941" t="s">
        <v>9</v>
      </c>
      <c r="G9" s="62" t="s">
        <v>27</v>
      </c>
      <c r="H9" s="62" t="s">
        <v>22</v>
      </c>
      <c r="I9" s="95">
        <v>2953762.93</v>
      </c>
      <c r="J9" s="62">
        <v>1</v>
      </c>
      <c r="K9" s="62" t="s">
        <v>65</v>
      </c>
      <c r="L9" s="62" t="s">
        <v>18</v>
      </c>
      <c r="M9" s="92">
        <v>44810</v>
      </c>
      <c r="N9" s="117" t="s">
        <v>17</v>
      </c>
      <c r="O9" s="62" t="s">
        <v>1120</v>
      </c>
      <c r="P9" s="76" t="s">
        <v>67</v>
      </c>
      <c r="Q9" s="76" t="s">
        <v>67</v>
      </c>
      <c r="R9" s="945" t="s">
        <v>73</v>
      </c>
      <c r="S9" s="945" t="s">
        <v>73</v>
      </c>
      <c r="T9" s="945" t="s">
        <v>73</v>
      </c>
      <c r="U9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2953762.93</v>
      </c>
    </row>
    <row r="10" spans="1:22" outlineLevel="1">
      <c r="A10" s="62">
        <v>8</v>
      </c>
      <c r="B10" s="62">
        <v>690</v>
      </c>
      <c r="C10" s="62">
        <v>17293</v>
      </c>
      <c r="D10" s="117" t="s">
        <v>77</v>
      </c>
      <c r="E10" s="62">
        <v>38.96</v>
      </c>
      <c r="F10" s="945" t="s">
        <v>9</v>
      </c>
      <c r="G10" s="117" t="s">
        <v>27</v>
      </c>
      <c r="H10" s="117" t="s">
        <v>16</v>
      </c>
      <c r="I10" s="1019">
        <v>3032920.68</v>
      </c>
      <c r="J10" s="62">
        <v>1</v>
      </c>
      <c r="K10" s="62" t="s">
        <v>65</v>
      </c>
      <c r="L10" s="62" t="s">
        <v>18</v>
      </c>
      <c r="M10" s="92">
        <v>44812</v>
      </c>
      <c r="N10" s="117" t="s">
        <v>17</v>
      </c>
      <c r="O10" s="117" t="s">
        <v>1121</v>
      </c>
      <c r="P10" s="76" t="s">
        <v>67</v>
      </c>
      <c r="Q10" s="76" t="s">
        <v>67</v>
      </c>
      <c r="R10" s="945" t="s">
        <v>77</v>
      </c>
      <c r="S10" s="945" t="s">
        <v>77</v>
      </c>
      <c r="T10" s="945" t="s">
        <v>77</v>
      </c>
      <c r="U10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3032920.68</v>
      </c>
    </row>
    <row r="11" spans="1:22" ht="12.75" customHeight="1" outlineLevel="1">
      <c r="A11" s="62">
        <v>9</v>
      </c>
      <c r="B11" s="62">
        <v>825</v>
      </c>
      <c r="C11" s="62">
        <v>22567</v>
      </c>
      <c r="D11" s="117" t="s">
        <v>77</v>
      </c>
      <c r="E11" s="62">
        <v>24.37</v>
      </c>
      <c r="F11" s="945" t="s">
        <v>9</v>
      </c>
      <c r="G11" s="117" t="s">
        <v>27</v>
      </c>
      <c r="H11" s="117" t="s">
        <v>16</v>
      </c>
      <c r="I11" s="95">
        <v>2232617.1</v>
      </c>
      <c r="J11" s="62">
        <v>0</v>
      </c>
      <c r="K11" s="62" t="s">
        <v>65</v>
      </c>
      <c r="L11" s="62" t="s">
        <v>18</v>
      </c>
      <c r="M11" s="92">
        <v>44816</v>
      </c>
      <c r="N11" s="117" t="s">
        <v>17</v>
      </c>
      <c r="O11" s="62" t="s">
        <v>1122</v>
      </c>
      <c r="P11" s="76" t="s">
        <v>67</v>
      </c>
      <c r="Q11" s="76" t="s">
        <v>67</v>
      </c>
      <c r="R11" s="945" t="s">
        <v>77</v>
      </c>
      <c r="S11" s="945" t="s">
        <v>77</v>
      </c>
      <c r="T11" s="945" t="s">
        <v>77</v>
      </c>
      <c r="U11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2232617.1</v>
      </c>
    </row>
    <row r="12" spans="1:22" s="929" customFormat="1" outlineLevel="1">
      <c r="A12" s="62">
        <v>10</v>
      </c>
      <c r="B12" s="62">
        <v>893</v>
      </c>
      <c r="C12" s="62">
        <v>22518</v>
      </c>
      <c r="D12" s="117" t="s">
        <v>77</v>
      </c>
      <c r="E12" s="62">
        <v>23.09</v>
      </c>
      <c r="F12" s="945" t="s">
        <v>9</v>
      </c>
      <c r="G12" s="117" t="s">
        <v>27</v>
      </c>
      <c r="H12" s="62" t="s">
        <v>22</v>
      </c>
      <c r="I12" s="95">
        <v>1893669.32</v>
      </c>
      <c r="J12" s="62">
        <v>0</v>
      </c>
      <c r="K12" s="62" t="s">
        <v>65</v>
      </c>
      <c r="L12" s="62" t="s">
        <v>18</v>
      </c>
      <c r="M12" s="92"/>
      <c r="N12" s="117" t="s">
        <v>17</v>
      </c>
      <c r="O12" s="62" t="s">
        <v>1123</v>
      </c>
      <c r="P12" s="76" t="s">
        <v>67</v>
      </c>
      <c r="Q12" s="76" t="s">
        <v>67</v>
      </c>
      <c r="R12" s="945" t="s">
        <v>77</v>
      </c>
      <c r="S12" s="945" t="s">
        <v>63</v>
      </c>
      <c r="T12" s="945" t="s">
        <v>77</v>
      </c>
      <c r="U12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1893669.3200000003</v>
      </c>
    </row>
    <row r="13" spans="1:22" ht="12.75" customHeight="1" outlineLevel="1">
      <c r="A13" s="62">
        <v>11</v>
      </c>
      <c r="B13" s="62">
        <v>856</v>
      </c>
      <c r="C13" s="81">
        <v>22566</v>
      </c>
      <c r="D13" s="117" t="s">
        <v>63</v>
      </c>
      <c r="E13" s="62">
        <v>23.09</v>
      </c>
      <c r="F13" s="945" t="s">
        <v>25</v>
      </c>
      <c r="G13" s="62" t="s">
        <v>27</v>
      </c>
      <c r="H13" s="62" t="s">
        <v>84</v>
      </c>
      <c r="I13" s="95">
        <v>2513042.17</v>
      </c>
      <c r="J13" s="62">
        <v>0</v>
      </c>
      <c r="K13" s="62" t="s">
        <v>85</v>
      </c>
      <c r="L13" s="62" t="s">
        <v>18</v>
      </c>
      <c r="M13" s="92">
        <v>44811</v>
      </c>
      <c r="N13" s="117" t="s">
        <v>17</v>
      </c>
      <c r="O13" s="62" t="s">
        <v>1124</v>
      </c>
      <c r="P13" s="76" t="s">
        <v>67</v>
      </c>
      <c r="Q13" s="76" t="s">
        <v>67</v>
      </c>
      <c r="R13" s="945" t="s">
        <v>63</v>
      </c>
      <c r="S13" s="945" t="s">
        <v>63</v>
      </c>
      <c r="T13" s="945" t="s">
        <v>63</v>
      </c>
      <c r="U13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2005062.17</v>
      </c>
    </row>
    <row r="14" spans="1:22" s="929" customFormat="1" ht="12.75" customHeight="1" outlineLevel="1">
      <c r="A14" s="62">
        <v>12</v>
      </c>
      <c r="B14" s="62">
        <v>38</v>
      </c>
      <c r="C14" s="62">
        <v>22488</v>
      </c>
      <c r="D14" s="117" t="s">
        <v>77</v>
      </c>
      <c r="E14" s="62">
        <v>77.2</v>
      </c>
      <c r="F14" s="945" t="s">
        <v>9</v>
      </c>
      <c r="G14" s="62" t="s">
        <v>121</v>
      </c>
      <c r="H14" s="62" t="s">
        <v>16</v>
      </c>
      <c r="I14" s="91">
        <v>7033525.25</v>
      </c>
      <c r="J14" s="62">
        <v>3</v>
      </c>
      <c r="K14" s="62" t="s">
        <v>65</v>
      </c>
      <c r="L14" s="62" t="s">
        <v>18</v>
      </c>
      <c r="M14" s="92">
        <v>44824</v>
      </c>
      <c r="N14" s="117" t="s">
        <v>17</v>
      </c>
      <c r="O14" s="76" t="s">
        <v>1125</v>
      </c>
      <c r="P14" s="76" t="s">
        <v>67</v>
      </c>
      <c r="Q14" s="76" t="s">
        <v>67</v>
      </c>
      <c r="R14" s="945" t="s">
        <v>77</v>
      </c>
      <c r="S14" s="945" t="s">
        <v>77</v>
      </c>
      <c r="T14" s="945" t="s">
        <v>77</v>
      </c>
      <c r="U14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7033525.25</v>
      </c>
    </row>
    <row r="15" spans="1:22" s="929" customFormat="1" outlineLevel="1">
      <c r="A15" s="62">
        <v>13</v>
      </c>
      <c r="B15" s="75">
        <v>162</v>
      </c>
      <c r="C15" s="75">
        <v>22499</v>
      </c>
      <c r="D15" s="117" t="s">
        <v>73</v>
      </c>
      <c r="E15" s="62">
        <v>37.94</v>
      </c>
      <c r="F15" s="945" t="s">
        <v>25</v>
      </c>
      <c r="G15" s="62" t="s">
        <v>27</v>
      </c>
      <c r="H15" s="62" t="s">
        <v>22</v>
      </c>
      <c r="I15" s="95">
        <v>3881077.61</v>
      </c>
      <c r="J15" s="62">
        <v>1</v>
      </c>
      <c r="K15" s="62" t="s">
        <v>65</v>
      </c>
      <c r="L15" s="62" t="s">
        <v>12</v>
      </c>
      <c r="M15" s="92">
        <v>44834</v>
      </c>
      <c r="N15" s="117" t="s">
        <v>17</v>
      </c>
      <c r="O15" s="62" t="s">
        <v>1126</v>
      </c>
      <c r="P15" s="892" t="s">
        <v>67</v>
      </c>
      <c r="Q15" s="892" t="s">
        <v>67</v>
      </c>
      <c r="R15" s="945" t="s">
        <v>73</v>
      </c>
      <c r="S15" s="945" t="s">
        <v>73</v>
      </c>
      <c r="T15" s="945" t="s">
        <v>73</v>
      </c>
      <c r="U15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3046397.61</v>
      </c>
    </row>
    <row r="16" spans="1:22" s="929" customFormat="1" ht="12.75" customHeight="1" outlineLevel="1">
      <c r="A16" s="62">
        <v>14</v>
      </c>
      <c r="B16" s="75">
        <v>466</v>
      </c>
      <c r="C16" s="75">
        <v>22505</v>
      </c>
      <c r="D16" s="117" t="s">
        <v>73</v>
      </c>
      <c r="E16" s="62">
        <v>23.54</v>
      </c>
      <c r="F16" s="117" t="s">
        <v>25</v>
      </c>
      <c r="G16" s="62" t="s">
        <v>27</v>
      </c>
      <c r="H16" s="62" t="s">
        <v>22</v>
      </c>
      <c r="I16" s="95">
        <v>2448280.29</v>
      </c>
      <c r="J16" s="62">
        <v>0</v>
      </c>
      <c r="K16" s="62" t="s">
        <v>65</v>
      </c>
      <c r="L16" s="62" t="s">
        <v>18</v>
      </c>
      <c r="M16" s="92">
        <v>44816</v>
      </c>
      <c r="N16" s="117" t="s">
        <v>17</v>
      </c>
      <c r="O16" s="62" t="s">
        <v>1127</v>
      </c>
      <c r="P16" s="76" t="s">
        <v>67</v>
      </c>
      <c r="Q16" s="76" t="s">
        <v>67</v>
      </c>
      <c r="R16" s="945" t="s">
        <v>73</v>
      </c>
      <c r="S16" s="945" t="s">
        <v>63</v>
      </c>
      <c r="T16" s="945" t="s">
        <v>73</v>
      </c>
      <c r="U16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1930400.29</v>
      </c>
    </row>
    <row r="17" spans="1:21" ht="14.25" customHeight="1" outlineLevel="1">
      <c r="A17" s="62">
        <v>15</v>
      </c>
      <c r="B17" s="75">
        <v>84</v>
      </c>
      <c r="C17" s="75">
        <v>11360</v>
      </c>
      <c r="D17" s="117" t="s">
        <v>63</v>
      </c>
      <c r="E17" s="62">
        <v>41.06</v>
      </c>
      <c r="F17" s="941" t="s">
        <v>25</v>
      </c>
      <c r="G17" s="62" t="s">
        <v>27</v>
      </c>
      <c r="H17" s="62" t="s">
        <v>22</v>
      </c>
      <c r="I17" s="95">
        <v>4172731.12</v>
      </c>
      <c r="J17" s="62">
        <v>1</v>
      </c>
      <c r="K17" s="62" t="s">
        <v>65</v>
      </c>
      <c r="L17" s="62" t="s">
        <v>18</v>
      </c>
      <c r="M17" s="92">
        <v>44812</v>
      </c>
      <c r="N17" s="117" t="s">
        <v>17</v>
      </c>
      <c r="O17" s="62" t="s">
        <v>1128</v>
      </c>
      <c r="P17" s="76" t="s">
        <v>67</v>
      </c>
      <c r="Q17" s="76" t="s">
        <v>67</v>
      </c>
      <c r="R17" s="945" t="s">
        <v>63</v>
      </c>
      <c r="S17" s="945" t="s">
        <v>63</v>
      </c>
      <c r="T17" s="945" t="s">
        <v>63</v>
      </c>
      <c r="U17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3269411.12</v>
      </c>
    </row>
    <row r="18" spans="1:21" ht="12.75" customHeight="1" outlineLevel="1">
      <c r="A18" s="62">
        <v>16</v>
      </c>
      <c r="B18" s="75">
        <v>115</v>
      </c>
      <c r="C18" s="75">
        <v>22576</v>
      </c>
      <c r="D18" s="117" t="s">
        <v>29</v>
      </c>
      <c r="E18" s="62">
        <v>35.54</v>
      </c>
      <c r="F18" s="941" t="s">
        <v>15</v>
      </c>
      <c r="G18" s="62" t="s">
        <v>7</v>
      </c>
      <c r="H18" s="62" t="s">
        <v>10</v>
      </c>
      <c r="I18" s="1021">
        <v>3064727.93</v>
      </c>
      <c r="J18" s="62">
        <v>1</v>
      </c>
      <c r="K18" s="62" t="s">
        <v>130</v>
      </c>
      <c r="L18" s="62" t="s">
        <v>18</v>
      </c>
      <c r="M18" s="92">
        <v>44816</v>
      </c>
      <c r="N18" s="117" t="s">
        <v>17</v>
      </c>
      <c r="O18" s="62" t="s">
        <v>1129</v>
      </c>
      <c r="P18" s="76" t="s">
        <v>67</v>
      </c>
      <c r="Q18" s="76" t="s">
        <v>67</v>
      </c>
      <c r="R18" s="945" t="s">
        <v>29</v>
      </c>
      <c r="S18" s="945"/>
      <c r="T18" s="945" t="s">
        <v>29</v>
      </c>
      <c r="U18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2798177.93</v>
      </c>
    </row>
    <row r="19" spans="1:21" outlineLevel="1">
      <c r="A19" s="62">
        <v>17</v>
      </c>
      <c r="B19" s="75">
        <v>493</v>
      </c>
      <c r="C19" s="75">
        <v>22590</v>
      </c>
      <c r="D19" s="117" t="s">
        <v>29</v>
      </c>
      <c r="E19" s="62">
        <v>38.6</v>
      </c>
      <c r="F19" s="941" t="s">
        <v>15</v>
      </c>
      <c r="G19" s="62" t="s">
        <v>7</v>
      </c>
      <c r="H19" s="62" t="s">
        <v>10</v>
      </c>
      <c r="I19" s="95">
        <v>3328601.52</v>
      </c>
      <c r="J19" s="62">
        <v>1</v>
      </c>
      <c r="K19" s="62" t="s">
        <v>130</v>
      </c>
      <c r="L19" s="62" t="s">
        <v>18</v>
      </c>
      <c r="M19" s="92">
        <v>44817</v>
      </c>
      <c r="N19" s="117" t="s">
        <v>17</v>
      </c>
      <c r="O19" s="62" t="s">
        <v>1130</v>
      </c>
      <c r="P19" s="76" t="s">
        <v>67</v>
      </c>
      <c r="Q19" s="76" t="s">
        <v>67</v>
      </c>
      <c r="R19" s="945" t="s">
        <v>29</v>
      </c>
      <c r="S19" s="945"/>
      <c r="T19" s="945" t="s">
        <v>29</v>
      </c>
      <c r="U19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3039101.52</v>
      </c>
    </row>
    <row r="20" spans="1:21" ht="12.75" customHeight="1" outlineLevel="1">
      <c r="A20" s="62">
        <v>18</v>
      </c>
      <c r="B20" s="62">
        <v>847</v>
      </c>
      <c r="C20" s="75">
        <v>22565</v>
      </c>
      <c r="D20" s="117" t="s">
        <v>63</v>
      </c>
      <c r="E20" s="62">
        <v>23.09</v>
      </c>
      <c r="F20" s="941" t="s">
        <v>25</v>
      </c>
      <c r="G20" s="62" t="s">
        <v>27</v>
      </c>
      <c r="H20" s="62" t="s">
        <v>16</v>
      </c>
      <c r="I20" s="91">
        <v>2513042.17</v>
      </c>
      <c r="J20" s="62">
        <v>0</v>
      </c>
      <c r="K20" s="62" t="s">
        <v>65</v>
      </c>
      <c r="L20" s="62" t="s">
        <v>18</v>
      </c>
      <c r="M20" s="537">
        <v>44813</v>
      </c>
      <c r="N20" s="117" t="s">
        <v>17</v>
      </c>
      <c r="O20" s="62" t="s">
        <v>1131</v>
      </c>
      <c r="P20" s="76" t="s">
        <v>67</v>
      </c>
      <c r="Q20" s="76" t="s">
        <v>67</v>
      </c>
      <c r="R20" s="945" t="s">
        <v>63</v>
      </c>
      <c r="S20" s="945" t="s">
        <v>63</v>
      </c>
      <c r="T20" s="945" t="s">
        <v>63</v>
      </c>
      <c r="U20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2005062.17</v>
      </c>
    </row>
    <row r="21" spans="1:21" ht="12.75" customHeight="1" outlineLevel="1">
      <c r="A21" s="62">
        <v>19</v>
      </c>
      <c r="B21" s="75">
        <v>839</v>
      </c>
      <c r="C21" s="75">
        <v>22554</v>
      </c>
      <c r="D21" s="117" t="s">
        <v>63</v>
      </c>
      <c r="E21" s="62">
        <v>23.09</v>
      </c>
      <c r="F21" s="941" t="s">
        <v>9</v>
      </c>
      <c r="G21" s="62" t="s">
        <v>27</v>
      </c>
      <c r="H21" s="62" t="s">
        <v>22</v>
      </c>
      <c r="I21" s="95">
        <v>1893669.32</v>
      </c>
      <c r="J21" s="62">
        <v>0</v>
      </c>
      <c r="K21" s="62" t="s">
        <v>65</v>
      </c>
      <c r="L21" s="62" t="s">
        <v>18</v>
      </c>
      <c r="M21" s="92">
        <v>44816</v>
      </c>
      <c r="N21" s="117" t="s">
        <v>17</v>
      </c>
      <c r="O21" s="62" t="s">
        <v>151</v>
      </c>
      <c r="P21" s="76" t="s">
        <v>67</v>
      </c>
      <c r="Q21" s="76" t="s">
        <v>67</v>
      </c>
      <c r="R21" s="945" t="s">
        <v>63</v>
      </c>
      <c r="S21" s="945" t="s">
        <v>63</v>
      </c>
      <c r="T21" s="945" t="s">
        <v>63</v>
      </c>
      <c r="U21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1893669.3200000003</v>
      </c>
    </row>
    <row r="22" spans="1:21" ht="12.75" customHeight="1" outlineLevel="1">
      <c r="A22" s="62">
        <v>20</v>
      </c>
      <c r="B22" s="75">
        <v>362</v>
      </c>
      <c r="C22" s="75">
        <v>22572</v>
      </c>
      <c r="D22" s="117" t="s">
        <v>63</v>
      </c>
      <c r="E22" s="62">
        <v>36.450000000000003</v>
      </c>
      <c r="F22" s="117" t="s">
        <v>9</v>
      </c>
      <c r="G22" s="62" t="s">
        <v>7</v>
      </c>
      <c r="H22" s="62" t="s">
        <v>84</v>
      </c>
      <c r="I22" s="95">
        <v>3153807.09</v>
      </c>
      <c r="J22" s="62">
        <v>0</v>
      </c>
      <c r="K22" s="62" t="s">
        <v>85</v>
      </c>
      <c r="L22" s="62" t="s">
        <v>18</v>
      </c>
      <c r="M22" s="92">
        <v>44819</v>
      </c>
      <c r="N22" s="117" t="s">
        <v>17</v>
      </c>
      <c r="O22" s="62" t="s">
        <v>1132</v>
      </c>
      <c r="P22" s="76" t="s">
        <v>67</v>
      </c>
      <c r="Q22" s="76" t="s">
        <v>67</v>
      </c>
      <c r="R22" s="945" t="s">
        <v>63</v>
      </c>
      <c r="S22" s="945" t="s">
        <v>63</v>
      </c>
      <c r="T22" s="945" t="s">
        <v>63</v>
      </c>
      <c r="U22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3153807.0899999994</v>
      </c>
    </row>
    <row r="23" spans="1:21" s="929" customFormat="1" ht="12.75" customHeight="1" outlineLevel="1">
      <c r="A23" s="62">
        <v>21</v>
      </c>
      <c r="B23" s="75">
        <v>129</v>
      </c>
      <c r="C23" s="75">
        <v>22304</v>
      </c>
      <c r="D23" s="117" t="s">
        <v>73</v>
      </c>
      <c r="E23" s="62">
        <v>41.06</v>
      </c>
      <c r="F23" s="941" t="s">
        <v>9</v>
      </c>
      <c r="G23" s="62" t="s">
        <v>27</v>
      </c>
      <c r="H23" s="62" t="s">
        <v>22</v>
      </c>
      <c r="I23" s="95">
        <v>3073361.12</v>
      </c>
      <c r="J23" s="62">
        <v>1</v>
      </c>
      <c r="K23" s="62" t="s">
        <v>65</v>
      </c>
      <c r="L23" s="62" t="s">
        <v>18</v>
      </c>
      <c r="M23" s="92">
        <v>44817</v>
      </c>
      <c r="N23" s="117" t="s">
        <v>17</v>
      </c>
      <c r="O23" s="941" t="s">
        <v>1133</v>
      </c>
      <c r="P23" s="892" t="s">
        <v>67</v>
      </c>
      <c r="Q23" s="892" t="s">
        <v>67</v>
      </c>
      <c r="R23" s="945" t="s">
        <v>73</v>
      </c>
      <c r="S23" s="945" t="s">
        <v>73</v>
      </c>
      <c r="T23" s="945" t="s">
        <v>73</v>
      </c>
      <c r="U23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3073361.12</v>
      </c>
    </row>
    <row r="24" spans="1:21" ht="12.75" customHeight="1" outlineLevel="1">
      <c r="A24" s="62">
        <v>22</v>
      </c>
      <c r="B24" s="62">
        <v>874</v>
      </c>
      <c r="C24" s="75">
        <v>22536</v>
      </c>
      <c r="D24" s="117" t="s">
        <v>73</v>
      </c>
      <c r="E24" s="62">
        <v>23.09</v>
      </c>
      <c r="F24" s="941" t="s">
        <v>25</v>
      </c>
      <c r="G24" s="62" t="s">
        <v>27</v>
      </c>
      <c r="H24" s="62" t="s">
        <v>16</v>
      </c>
      <c r="I24" s="95">
        <v>2513042.17</v>
      </c>
      <c r="J24" s="62">
        <v>0</v>
      </c>
      <c r="K24" s="62" t="s">
        <v>65</v>
      </c>
      <c r="L24" s="62" t="s">
        <v>18</v>
      </c>
      <c r="M24" s="942">
        <v>44816</v>
      </c>
      <c r="N24" s="117" t="s">
        <v>17</v>
      </c>
      <c r="O24" s="941" t="s">
        <v>1134</v>
      </c>
      <c r="P24" s="76" t="s">
        <v>67</v>
      </c>
      <c r="Q24" s="76" t="s">
        <v>67</v>
      </c>
      <c r="R24" s="945" t="s">
        <v>73</v>
      </c>
      <c r="S24" s="945" t="s">
        <v>73</v>
      </c>
      <c r="T24" s="945" t="s">
        <v>73</v>
      </c>
      <c r="U24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2005062.17</v>
      </c>
    </row>
    <row r="25" spans="1:21" s="929" customFormat="1" ht="12.75" customHeight="1" outlineLevel="1">
      <c r="A25" s="62">
        <v>23</v>
      </c>
      <c r="B25" s="75">
        <v>119</v>
      </c>
      <c r="C25" s="75">
        <v>22582</v>
      </c>
      <c r="D25" s="117" t="s">
        <v>77</v>
      </c>
      <c r="E25" s="62">
        <v>37.94</v>
      </c>
      <c r="F25" s="76" t="s">
        <v>9</v>
      </c>
      <c r="G25" s="62" t="s">
        <v>27</v>
      </c>
      <c r="H25" s="62" t="s">
        <v>10</v>
      </c>
      <c r="I25" s="91">
        <v>2953762.93</v>
      </c>
      <c r="J25" s="62">
        <v>1</v>
      </c>
      <c r="K25" s="371">
        <v>1</v>
      </c>
      <c r="L25" s="62" t="s">
        <v>18</v>
      </c>
      <c r="M25" s="942">
        <v>44824</v>
      </c>
      <c r="N25" s="117" t="s">
        <v>17</v>
      </c>
      <c r="O25" s="76" t="s">
        <v>1135</v>
      </c>
      <c r="P25" s="76" t="s">
        <v>67</v>
      </c>
      <c r="Q25" s="76" t="s">
        <v>67</v>
      </c>
      <c r="R25" s="945" t="s">
        <v>77</v>
      </c>
      <c r="S25" s="945" t="s">
        <v>77</v>
      </c>
      <c r="T25" s="945" t="s">
        <v>77</v>
      </c>
      <c r="U25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2953762.93</v>
      </c>
    </row>
    <row r="26" spans="1:21" s="929" customFormat="1" ht="12.75" customHeight="1" outlineLevel="1">
      <c r="A26" s="62">
        <v>24</v>
      </c>
      <c r="B26" s="75">
        <v>48</v>
      </c>
      <c r="C26" s="75">
        <v>22591</v>
      </c>
      <c r="D26" s="117" t="s">
        <v>77</v>
      </c>
      <c r="E26" s="62">
        <v>41.06</v>
      </c>
      <c r="F26" s="941" t="s">
        <v>15</v>
      </c>
      <c r="G26" s="62" t="s">
        <v>27</v>
      </c>
      <c r="H26" s="62" t="s">
        <v>16</v>
      </c>
      <c r="I26" s="95">
        <v>3381311.12</v>
      </c>
      <c r="J26" s="62">
        <v>1</v>
      </c>
      <c r="K26" s="62" t="s">
        <v>65</v>
      </c>
      <c r="L26" s="62" t="s">
        <v>18</v>
      </c>
      <c r="M26" s="92">
        <v>44818</v>
      </c>
      <c r="N26" s="117" t="s">
        <v>17</v>
      </c>
      <c r="O26" s="62" t="s">
        <v>1136</v>
      </c>
      <c r="P26" s="76" t="s">
        <v>67</v>
      </c>
      <c r="Q26" s="76" t="s">
        <v>67</v>
      </c>
      <c r="R26" s="945" t="s">
        <v>77</v>
      </c>
      <c r="S26" s="945" t="s">
        <v>77</v>
      </c>
      <c r="T26" s="945" t="s">
        <v>77</v>
      </c>
      <c r="U26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3073361.12</v>
      </c>
    </row>
    <row r="27" spans="1:21" ht="12.75" customHeight="1" outlineLevel="1">
      <c r="A27" s="62">
        <v>25</v>
      </c>
      <c r="B27" s="75">
        <v>83</v>
      </c>
      <c r="C27" s="75">
        <v>22392</v>
      </c>
      <c r="D27" s="117" t="s">
        <v>77</v>
      </c>
      <c r="E27" s="62">
        <v>60.1</v>
      </c>
      <c r="F27" s="941" t="s">
        <v>15</v>
      </c>
      <c r="G27" s="62" t="s">
        <v>121</v>
      </c>
      <c r="H27" s="62" t="s">
        <v>16</v>
      </c>
      <c r="I27" s="95">
        <v>5346880</v>
      </c>
      <c r="J27" s="62">
        <v>2</v>
      </c>
      <c r="K27" s="62" t="s">
        <v>65</v>
      </c>
      <c r="L27" s="62" t="s">
        <v>18</v>
      </c>
      <c r="M27" s="92">
        <v>44834</v>
      </c>
      <c r="N27" s="117" t="s">
        <v>17</v>
      </c>
      <c r="O27" s="62" t="s">
        <v>1137</v>
      </c>
      <c r="P27" s="76" t="s">
        <v>67</v>
      </c>
      <c r="Q27" s="76" t="s">
        <v>67</v>
      </c>
      <c r="R27" s="945" t="s">
        <v>77</v>
      </c>
      <c r="S27" s="945" t="s">
        <v>77</v>
      </c>
      <c r="T27" s="945" t="s">
        <v>77</v>
      </c>
      <c r="U27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5016330</v>
      </c>
    </row>
    <row r="28" spans="1:21" ht="12.75" customHeight="1" outlineLevel="1">
      <c r="A28" s="62">
        <v>26</v>
      </c>
      <c r="B28" s="75">
        <v>13</v>
      </c>
      <c r="C28" s="75">
        <v>19479</v>
      </c>
      <c r="D28" s="117" t="s">
        <v>77</v>
      </c>
      <c r="E28" s="62">
        <v>24.39</v>
      </c>
      <c r="F28" s="941" t="s">
        <v>15</v>
      </c>
      <c r="G28" s="62" t="s">
        <v>27</v>
      </c>
      <c r="H28" s="62" t="s">
        <v>16</v>
      </c>
      <c r="I28" s="95">
        <v>2288411.9900000002</v>
      </c>
      <c r="J28" s="62">
        <v>0</v>
      </c>
      <c r="K28" s="62" t="s">
        <v>65</v>
      </c>
      <c r="L28" s="62" t="s">
        <v>18</v>
      </c>
      <c r="M28" s="92">
        <v>44826</v>
      </c>
      <c r="N28" s="117" t="s">
        <v>17</v>
      </c>
      <c r="O28" s="62" t="s">
        <v>1138</v>
      </c>
      <c r="P28" s="76" t="s">
        <v>67</v>
      </c>
      <c r="Q28" s="76" t="s">
        <v>67</v>
      </c>
      <c r="R28" s="945" t="s">
        <v>77</v>
      </c>
      <c r="S28" s="945" t="s">
        <v>77</v>
      </c>
      <c r="T28" s="945" t="s">
        <v>77</v>
      </c>
      <c r="U28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2105486.9900000002</v>
      </c>
    </row>
    <row r="29" spans="1:21" ht="12.75" customHeight="1" outlineLevel="1">
      <c r="A29" s="62">
        <v>27</v>
      </c>
      <c r="B29" s="75">
        <v>158</v>
      </c>
      <c r="C29" s="75">
        <v>22637</v>
      </c>
      <c r="D29" s="117" t="s">
        <v>63</v>
      </c>
      <c r="E29" s="62">
        <v>24.47</v>
      </c>
      <c r="F29" s="941" t="s">
        <v>25</v>
      </c>
      <c r="G29" s="62" t="s">
        <v>27</v>
      </c>
      <c r="H29" s="62" t="s">
        <v>10</v>
      </c>
      <c r="I29" s="91">
        <v>2650051.5699999998</v>
      </c>
      <c r="J29" s="62">
        <v>0</v>
      </c>
      <c r="K29" s="62" t="s">
        <v>85</v>
      </c>
      <c r="L29" s="62" t="s">
        <v>18</v>
      </c>
      <c r="M29" s="537">
        <v>44817</v>
      </c>
      <c r="N29" s="117" t="s">
        <v>17</v>
      </c>
      <c r="O29" s="76" t="s">
        <v>1139</v>
      </c>
      <c r="P29" s="76" t="s">
        <v>67</v>
      </c>
      <c r="Q29" s="76" t="s">
        <v>67</v>
      </c>
      <c r="R29" s="945" t="s">
        <v>63</v>
      </c>
      <c r="S29" s="945" t="s">
        <v>63</v>
      </c>
      <c r="T29" s="945" t="s">
        <v>63</v>
      </c>
      <c r="U29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2111711.5699999998</v>
      </c>
    </row>
    <row r="30" spans="1:21" ht="15" customHeight="1" outlineLevel="1">
      <c r="A30" s="62">
        <v>28</v>
      </c>
      <c r="B30" s="75">
        <v>156</v>
      </c>
      <c r="C30" s="75">
        <v>22581</v>
      </c>
      <c r="D30" s="62" t="s">
        <v>77</v>
      </c>
      <c r="E30" s="62">
        <v>41.06</v>
      </c>
      <c r="F30" s="941" t="s">
        <v>9</v>
      </c>
      <c r="G30" s="62" t="s">
        <v>27</v>
      </c>
      <c r="H30" s="62" t="s">
        <v>16</v>
      </c>
      <c r="I30" s="95">
        <v>3296144.88</v>
      </c>
      <c r="J30" s="62">
        <v>1</v>
      </c>
      <c r="K30" s="62" t="s">
        <v>65</v>
      </c>
      <c r="L30" s="62" t="s">
        <v>18</v>
      </c>
      <c r="M30" s="92">
        <v>44823</v>
      </c>
      <c r="N30" s="62" t="s">
        <v>17</v>
      </c>
      <c r="O30" s="941" t="s">
        <v>1140</v>
      </c>
      <c r="P30" s="76" t="s">
        <v>67</v>
      </c>
      <c r="Q30" s="76" t="s">
        <v>67</v>
      </c>
      <c r="R30" s="941" t="s">
        <v>77</v>
      </c>
      <c r="S30" s="941" t="s">
        <v>77</v>
      </c>
      <c r="T30" s="941" t="s">
        <v>77</v>
      </c>
      <c r="U30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3296144.8799999994</v>
      </c>
    </row>
    <row r="31" spans="1:21" ht="12.75" customHeight="1" outlineLevel="1">
      <c r="A31" s="62">
        <v>29</v>
      </c>
      <c r="B31" s="62">
        <v>164</v>
      </c>
      <c r="C31" s="75">
        <v>22693</v>
      </c>
      <c r="D31" s="62" t="s">
        <v>77</v>
      </c>
      <c r="E31" s="62">
        <v>37.94</v>
      </c>
      <c r="F31" s="941" t="s">
        <v>9</v>
      </c>
      <c r="G31" s="62" t="s">
        <v>27</v>
      </c>
      <c r="H31" s="62" t="s">
        <v>16</v>
      </c>
      <c r="I31" s="95">
        <v>3159617.78</v>
      </c>
      <c r="J31" s="62">
        <v>1</v>
      </c>
      <c r="K31" s="62" t="s">
        <v>65</v>
      </c>
      <c r="L31" s="62" t="s">
        <v>18</v>
      </c>
      <c r="M31" s="942">
        <v>44825</v>
      </c>
      <c r="N31" s="62" t="s">
        <v>17</v>
      </c>
      <c r="O31" s="941" t="s">
        <v>1141</v>
      </c>
      <c r="P31" s="76" t="s">
        <v>67</v>
      </c>
      <c r="Q31" s="76" t="s">
        <v>1142</v>
      </c>
      <c r="R31" s="941" t="s">
        <v>77</v>
      </c>
      <c r="S31" s="941" t="s">
        <v>77</v>
      </c>
      <c r="T31" s="941" t="s">
        <v>77</v>
      </c>
      <c r="U31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3159617.78</v>
      </c>
    </row>
    <row r="32" spans="1:21" s="929" customFormat="1" ht="12.75" customHeight="1" outlineLevel="1">
      <c r="A32" s="62">
        <v>30</v>
      </c>
      <c r="B32" s="75">
        <v>809</v>
      </c>
      <c r="C32" s="75">
        <v>22658</v>
      </c>
      <c r="D32" s="117" t="s">
        <v>73</v>
      </c>
      <c r="E32" s="62">
        <v>24.37</v>
      </c>
      <c r="F32" s="76" t="s">
        <v>15</v>
      </c>
      <c r="G32" s="62" t="s">
        <v>27</v>
      </c>
      <c r="H32" s="62" t="s">
        <v>22</v>
      </c>
      <c r="I32" s="91">
        <v>2242268.9</v>
      </c>
      <c r="J32" s="62">
        <v>0</v>
      </c>
      <c r="K32" s="62" t="s">
        <v>65</v>
      </c>
      <c r="L32" s="62" t="s">
        <v>18</v>
      </c>
      <c r="M32" s="537">
        <v>44825</v>
      </c>
      <c r="N32" s="117" t="s">
        <v>17</v>
      </c>
      <c r="O32" s="76" t="s">
        <v>1143</v>
      </c>
      <c r="P32" s="76" t="s">
        <v>67</v>
      </c>
      <c r="Q32" s="76" t="s">
        <v>67</v>
      </c>
      <c r="R32" s="945" t="s">
        <v>73</v>
      </c>
      <c r="S32" s="945" t="s">
        <v>73</v>
      </c>
      <c r="T32" s="945" t="s">
        <v>73</v>
      </c>
      <c r="U32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2059493.9000000001</v>
      </c>
    </row>
    <row r="33" spans="1:22" s="929" customFormat="1" ht="12.75" customHeight="1" outlineLevel="1">
      <c r="A33" s="62">
        <v>31</v>
      </c>
      <c r="B33" s="75">
        <v>771</v>
      </c>
      <c r="C33" s="75">
        <v>22653</v>
      </c>
      <c r="D33" s="117" t="s">
        <v>77</v>
      </c>
      <c r="E33" s="62">
        <v>61.96</v>
      </c>
      <c r="F33" s="941" t="s">
        <v>9</v>
      </c>
      <c r="G33" s="62" t="s">
        <v>27</v>
      </c>
      <c r="H33" s="62" t="s">
        <v>16</v>
      </c>
      <c r="I33" s="91">
        <v>4568347.1500000004</v>
      </c>
      <c r="J33" s="62">
        <v>2</v>
      </c>
      <c r="K33" s="62" t="s">
        <v>65</v>
      </c>
      <c r="L33" s="62" t="s">
        <v>18</v>
      </c>
      <c r="M33" s="537">
        <v>44834</v>
      </c>
      <c r="N33" s="117" t="s">
        <v>17</v>
      </c>
      <c r="O33" s="76" t="s">
        <v>1144</v>
      </c>
      <c r="P33" s="76" t="s">
        <v>67</v>
      </c>
      <c r="Q33" s="76" t="s">
        <v>67</v>
      </c>
      <c r="R33" s="941" t="s">
        <v>77</v>
      </c>
      <c r="S33" s="941" t="s">
        <v>77</v>
      </c>
      <c r="T33" s="941" t="s">
        <v>77</v>
      </c>
      <c r="U33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4568347.1500000004</v>
      </c>
    </row>
    <row r="34" spans="1:22" ht="12.75" customHeight="1" outlineLevel="1">
      <c r="A34" s="62">
        <v>32</v>
      </c>
      <c r="B34" s="75">
        <v>342</v>
      </c>
      <c r="C34" s="75">
        <v>22124</v>
      </c>
      <c r="D34" s="117" t="s">
        <v>63</v>
      </c>
      <c r="E34" s="62">
        <v>58.55</v>
      </c>
      <c r="F34" s="76" t="s">
        <v>9</v>
      </c>
      <c r="G34" s="117" t="s">
        <v>7</v>
      </c>
      <c r="H34" s="117" t="s">
        <v>10</v>
      </c>
      <c r="I34" s="91">
        <v>4219766.42</v>
      </c>
      <c r="J34" s="62">
        <v>2</v>
      </c>
      <c r="K34" s="117" t="s">
        <v>130</v>
      </c>
      <c r="L34" s="117" t="s">
        <v>18</v>
      </c>
      <c r="M34" s="537">
        <v>44826</v>
      </c>
      <c r="N34" s="117" t="s">
        <v>17</v>
      </c>
      <c r="O34" s="76" t="s">
        <v>1145</v>
      </c>
      <c r="P34" s="76" t="s">
        <v>67</v>
      </c>
      <c r="Q34" s="76" t="s">
        <v>67</v>
      </c>
      <c r="R34" s="945" t="s">
        <v>63</v>
      </c>
      <c r="S34" s="945" t="s">
        <v>63</v>
      </c>
      <c r="T34" s="945" t="s">
        <v>63</v>
      </c>
      <c r="U34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4219766.42</v>
      </c>
    </row>
    <row r="35" spans="1:22" s="929" customFormat="1" ht="12.75" customHeight="1" outlineLevel="1">
      <c r="A35" s="62">
        <v>33</v>
      </c>
      <c r="B35" s="75">
        <v>23</v>
      </c>
      <c r="C35" s="75">
        <v>22682</v>
      </c>
      <c r="D35" s="117" t="s">
        <v>63</v>
      </c>
      <c r="E35" s="62">
        <v>24.47</v>
      </c>
      <c r="F35" s="941" t="s">
        <v>25</v>
      </c>
      <c r="G35" s="62" t="s">
        <v>27</v>
      </c>
      <c r="H35" s="62" t="s">
        <v>16</v>
      </c>
      <c r="I35" s="95">
        <v>2588920.13</v>
      </c>
      <c r="J35" s="62">
        <v>0</v>
      </c>
      <c r="K35" s="62" t="s">
        <v>65</v>
      </c>
      <c r="L35" s="62" t="s">
        <v>18</v>
      </c>
      <c r="M35" s="92">
        <v>44824</v>
      </c>
      <c r="N35" s="117" t="s">
        <v>17</v>
      </c>
      <c r="O35" s="62" t="s">
        <v>1146</v>
      </c>
      <c r="P35" s="76" t="s">
        <v>67</v>
      </c>
      <c r="Q35" s="76" t="s">
        <v>67</v>
      </c>
      <c r="R35" s="945" t="s">
        <v>63</v>
      </c>
      <c r="S35" s="945" t="s">
        <v>63</v>
      </c>
      <c r="T35" s="945" t="s">
        <v>63</v>
      </c>
      <c r="U35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2050580.13</v>
      </c>
    </row>
    <row r="36" spans="1:22" s="929" customFormat="1" ht="12.75" customHeight="1" outlineLevel="1">
      <c r="A36" s="62">
        <v>34</v>
      </c>
      <c r="B36" s="75">
        <v>412</v>
      </c>
      <c r="C36" s="75">
        <v>22713</v>
      </c>
      <c r="D36" s="117" t="s">
        <v>73</v>
      </c>
      <c r="E36" s="62">
        <v>23.63</v>
      </c>
      <c r="F36" s="941" t="s">
        <v>9</v>
      </c>
      <c r="G36" s="62" t="s">
        <v>27</v>
      </c>
      <c r="H36" s="62" t="s">
        <v>22</v>
      </c>
      <c r="I36" s="95">
        <v>2051744.69</v>
      </c>
      <c r="J36" s="62">
        <v>0</v>
      </c>
      <c r="K36" s="62" t="s">
        <v>65</v>
      </c>
      <c r="L36" s="62" t="s">
        <v>18</v>
      </c>
      <c r="M36" s="92">
        <v>44826</v>
      </c>
      <c r="N36" s="117" t="s">
        <v>17</v>
      </c>
      <c r="O36" s="62" t="s">
        <v>1147</v>
      </c>
      <c r="P36" s="76" t="s">
        <v>67</v>
      </c>
      <c r="Q36" s="76" t="s">
        <v>67</v>
      </c>
      <c r="R36" s="945" t="s">
        <v>73</v>
      </c>
      <c r="S36" s="945" t="s">
        <v>73</v>
      </c>
      <c r="T36" s="945" t="s">
        <v>73</v>
      </c>
      <c r="U36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2051744.6900000002</v>
      </c>
    </row>
    <row r="37" spans="1:22" outlineLevel="1">
      <c r="A37" s="62">
        <v>35</v>
      </c>
      <c r="B37" s="75">
        <v>764</v>
      </c>
      <c r="C37" s="75">
        <v>22560</v>
      </c>
      <c r="D37" s="117" t="s">
        <v>63</v>
      </c>
      <c r="E37" s="62">
        <v>38.909999999999997</v>
      </c>
      <c r="F37" s="941" t="s">
        <v>15</v>
      </c>
      <c r="G37" s="62" t="s">
        <v>27</v>
      </c>
      <c r="H37" s="62" t="s">
        <v>22</v>
      </c>
      <c r="I37" s="95">
        <v>3320865.39</v>
      </c>
      <c r="J37" s="62">
        <v>1</v>
      </c>
      <c r="K37" s="62" t="s">
        <v>65</v>
      </c>
      <c r="L37" s="62" t="s">
        <v>18</v>
      </c>
      <c r="M37" s="92">
        <v>44827</v>
      </c>
      <c r="N37" s="117" t="s">
        <v>17</v>
      </c>
      <c r="O37" s="62" t="s">
        <v>1148</v>
      </c>
      <c r="P37" s="76" t="s">
        <v>67</v>
      </c>
      <c r="Q37" s="76" t="s">
        <v>67</v>
      </c>
      <c r="R37" s="945" t="s">
        <v>63</v>
      </c>
      <c r="S37" s="945" t="s">
        <v>63</v>
      </c>
      <c r="T37" s="945" t="s">
        <v>63</v>
      </c>
      <c r="U37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3029040.3900000006</v>
      </c>
    </row>
    <row r="38" spans="1:22" outlineLevel="1">
      <c r="A38" s="62">
        <v>36</v>
      </c>
      <c r="B38" s="75">
        <v>157</v>
      </c>
      <c r="C38" s="75">
        <v>22729</v>
      </c>
      <c r="D38" s="117" t="s">
        <v>63</v>
      </c>
      <c r="E38" s="62">
        <v>24.39</v>
      </c>
      <c r="F38" s="941" t="s">
        <v>25</v>
      </c>
      <c r="G38" s="62" t="s">
        <v>27</v>
      </c>
      <c r="H38" s="62" t="s">
        <v>22</v>
      </c>
      <c r="I38" s="95">
        <v>2641417</v>
      </c>
      <c r="J38" s="62">
        <v>0</v>
      </c>
      <c r="K38" s="62" t="s">
        <v>65</v>
      </c>
      <c r="L38" s="62" t="s">
        <v>18</v>
      </c>
      <c r="M38" s="92">
        <v>44827</v>
      </c>
      <c r="N38" s="62" t="s">
        <v>17</v>
      </c>
      <c r="O38" s="62" t="s">
        <v>1149</v>
      </c>
      <c r="P38" s="76" t="s">
        <v>67</v>
      </c>
      <c r="Q38" s="76" t="s">
        <v>67</v>
      </c>
      <c r="R38" s="945" t="s">
        <v>63</v>
      </c>
      <c r="S38" s="945" t="s">
        <v>63</v>
      </c>
      <c r="T38" s="945" t="s">
        <v>63</v>
      </c>
      <c r="U38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2104837</v>
      </c>
    </row>
    <row r="39" spans="1:22" s="929" customFormat="1" ht="12.75" customHeight="1" outlineLevel="1">
      <c r="A39" s="62">
        <v>37</v>
      </c>
      <c r="B39" s="75">
        <v>755</v>
      </c>
      <c r="C39" s="75">
        <v>22786</v>
      </c>
      <c r="D39" s="117" t="s">
        <v>73</v>
      </c>
      <c r="E39" s="62">
        <v>38.909999999999997</v>
      </c>
      <c r="F39" s="941" t="s">
        <v>9</v>
      </c>
      <c r="G39" s="62" t="s">
        <v>27</v>
      </c>
      <c r="H39" s="62" t="s">
        <v>22</v>
      </c>
      <c r="I39" s="95">
        <v>3238047.01</v>
      </c>
      <c r="J39" s="62">
        <v>1</v>
      </c>
      <c r="K39" s="62" t="s">
        <v>65</v>
      </c>
      <c r="L39" s="62" t="s">
        <v>18</v>
      </c>
      <c r="M39" s="92">
        <v>44827</v>
      </c>
      <c r="N39" s="62" t="s">
        <v>17</v>
      </c>
      <c r="O39" s="62" t="s">
        <v>1150</v>
      </c>
      <c r="P39" s="76" t="s">
        <v>67</v>
      </c>
      <c r="Q39" s="76" t="s">
        <v>67</v>
      </c>
      <c r="R39" s="945" t="s">
        <v>73</v>
      </c>
      <c r="S39" s="945" t="s">
        <v>73</v>
      </c>
      <c r="T39" s="945" t="s">
        <v>73</v>
      </c>
      <c r="U39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3238047.0099999993</v>
      </c>
    </row>
    <row r="40" spans="1:22" s="929" customFormat="1" ht="12.75" customHeight="1" outlineLevel="1">
      <c r="A40" s="62">
        <v>38</v>
      </c>
      <c r="B40" s="75">
        <v>186</v>
      </c>
      <c r="C40" s="74">
        <v>22699</v>
      </c>
      <c r="D40" s="62" t="s">
        <v>77</v>
      </c>
      <c r="E40" s="62">
        <v>54.67</v>
      </c>
      <c r="F40" s="941" t="s">
        <v>15</v>
      </c>
      <c r="G40" s="62" t="s">
        <v>27</v>
      </c>
      <c r="H40" s="62" t="s">
        <v>22</v>
      </c>
      <c r="I40" s="95">
        <v>4473352.5199999996</v>
      </c>
      <c r="J40" s="62">
        <v>2</v>
      </c>
      <c r="K40" s="62" t="s">
        <v>65</v>
      </c>
      <c r="L40" s="62" t="s">
        <v>18</v>
      </c>
      <c r="M40" s="92"/>
      <c r="N40" s="62" t="s">
        <v>17</v>
      </c>
      <c r="O40" s="62" t="s">
        <v>1151</v>
      </c>
      <c r="P40" s="76" t="s">
        <v>67</v>
      </c>
      <c r="Q40" s="76" t="s">
        <v>67</v>
      </c>
      <c r="R40" s="941" t="s">
        <v>77</v>
      </c>
      <c r="S40" s="941" t="s">
        <v>63</v>
      </c>
      <c r="T40" s="941" t="s">
        <v>77</v>
      </c>
      <c r="U40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4063327.5199999991</v>
      </c>
    </row>
    <row r="41" spans="1:22" outlineLevel="1">
      <c r="A41" s="62">
        <v>39</v>
      </c>
      <c r="B41" s="75">
        <v>715</v>
      </c>
      <c r="C41" s="75">
        <v>22600</v>
      </c>
      <c r="D41" s="117" t="s">
        <v>73</v>
      </c>
      <c r="E41" s="62">
        <v>56.33</v>
      </c>
      <c r="F41" s="1107" t="s">
        <v>25</v>
      </c>
      <c r="G41" s="62" t="s">
        <v>27</v>
      </c>
      <c r="H41" s="62" t="s">
        <v>16</v>
      </c>
      <c r="I41" s="95">
        <v>5708818.4900000002</v>
      </c>
      <c r="J41" s="62">
        <v>2</v>
      </c>
      <c r="K41" s="62" t="s">
        <v>65</v>
      </c>
      <c r="L41" s="62" t="s">
        <v>18</v>
      </c>
      <c r="M41" s="92">
        <v>44831</v>
      </c>
      <c r="N41" s="62" t="s">
        <v>17</v>
      </c>
      <c r="O41" s="62" t="s">
        <v>1152</v>
      </c>
      <c r="P41" s="76" t="s">
        <v>67</v>
      </c>
      <c r="Q41" s="76" t="s">
        <v>67</v>
      </c>
      <c r="R41" s="945" t="s">
        <v>73</v>
      </c>
      <c r="S41" s="945" t="s">
        <v>77</v>
      </c>
      <c r="T41" s="945" t="s">
        <v>73</v>
      </c>
      <c r="U41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4469558.49</v>
      </c>
      <c r="V41" s="929"/>
    </row>
    <row r="42" spans="1:22" s="929" customFormat="1" outlineLevel="1">
      <c r="A42" s="62">
        <v>40</v>
      </c>
      <c r="B42" s="75">
        <v>5</v>
      </c>
      <c r="C42" s="75">
        <v>22780</v>
      </c>
      <c r="D42" s="62" t="s">
        <v>73</v>
      </c>
      <c r="E42" s="62">
        <v>24.47</v>
      </c>
      <c r="F42" s="941" t="s">
        <v>9</v>
      </c>
      <c r="G42" s="62" t="s">
        <v>27</v>
      </c>
      <c r="H42" s="62" t="s">
        <v>22</v>
      </c>
      <c r="I42" s="95">
        <v>2112363.7000000002</v>
      </c>
      <c r="J42" s="62">
        <v>0</v>
      </c>
      <c r="K42" s="62" t="s">
        <v>65</v>
      </c>
      <c r="L42" s="62" t="s">
        <v>18</v>
      </c>
      <c r="M42" s="92">
        <v>44834</v>
      </c>
      <c r="N42" s="62" t="s">
        <v>17</v>
      </c>
      <c r="O42" s="62" t="s">
        <v>1153</v>
      </c>
      <c r="P42" s="892" t="s">
        <v>67</v>
      </c>
      <c r="Q42" s="892" t="s">
        <v>67</v>
      </c>
      <c r="R42" s="941"/>
      <c r="S42" s="941" t="s">
        <v>73</v>
      </c>
      <c r="T42" s="941" t="s">
        <v>73</v>
      </c>
      <c r="U42" s="946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>2112363.7000000002</v>
      </c>
    </row>
    <row r="43" spans="1:22" outlineLevel="1">
      <c r="A43" s="65">
        <v>41</v>
      </c>
      <c r="B43" s="79"/>
      <c r="C43" s="79"/>
      <c r="D43" s="65"/>
      <c r="E43" s="65"/>
      <c r="F43" s="949"/>
      <c r="G43" s="65"/>
      <c r="H43" s="65"/>
      <c r="I43" s="93"/>
      <c r="J43" s="65"/>
      <c r="K43" s="65"/>
      <c r="L43" s="65"/>
      <c r="M43" s="98"/>
      <c r="N43" s="65"/>
      <c r="O43" s="65"/>
      <c r="P43" s="86"/>
      <c r="Q43" s="86"/>
      <c r="R43" s="949"/>
      <c r="S43" s="949"/>
      <c r="T43" s="949"/>
      <c r="U43" s="948"/>
    </row>
    <row r="44" spans="1:22" outlineLevel="1">
      <c r="A44" s="65">
        <v>42</v>
      </c>
      <c r="B44" s="79"/>
      <c r="C44" s="79"/>
      <c r="D44" s="80"/>
      <c r="E44" s="65"/>
      <c r="F44" s="934"/>
      <c r="G44" s="65"/>
      <c r="H44" s="65"/>
      <c r="I44" s="105"/>
      <c r="J44" s="65"/>
      <c r="K44" s="65"/>
      <c r="L44" s="65"/>
      <c r="M44" s="110"/>
      <c r="N44" s="65"/>
      <c r="O44" s="72"/>
      <c r="P44" s="86"/>
      <c r="Q44" s="86"/>
      <c r="R44" s="947"/>
      <c r="S44" s="947"/>
      <c r="T44" s="947"/>
      <c r="U44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45" spans="1:22" outlineLevel="1">
      <c r="A45" s="65">
        <v>43</v>
      </c>
      <c r="B45" s="79"/>
      <c r="C45" s="79"/>
      <c r="D45" s="80"/>
      <c r="E45" s="65"/>
      <c r="F45" s="934"/>
      <c r="G45" s="65"/>
      <c r="H45" s="65"/>
      <c r="I45" s="105"/>
      <c r="J45" s="65"/>
      <c r="K45" s="65"/>
      <c r="L45" s="65"/>
      <c r="M45" s="110"/>
      <c r="N45" s="65"/>
      <c r="O45" s="72"/>
      <c r="P45" s="86"/>
      <c r="Q45" s="86"/>
      <c r="R45" s="947"/>
      <c r="S45" s="947"/>
      <c r="T45" s="947"/>
      <c r="U45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46" spans="1:22" outlineLevel="1">
      <c r="A46" s="65">
        <v>44</v>
      </c>
      <c r="B46" s="79"/>
      <c r="C46" s="79"/>
      <c r="D46" s="80"/>
      <c r="E46" s="65"/>
      <c r="F46" s="934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7"/>
      <c r="S46" s="947"/>
      <c r="T46" s="947"/>
      <c r="U46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47" spans="1:22" outlineLevel="1">
      <c r="A47" s="65">
        <v>45</v>
      </c>
      <c r="B47" s="79"/>
      <c r="C47" s="79"/>
      <c r="D47" s="80"/>
      <c r="E47" s="65"/>
      <c r="F47" s="934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7"/>
      <c r="S47" s="947"/>
      <c r="T47" s="947"/>
      <c r="U47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48" spans="1:22" outlineLevel="1">
      <c r="A48" s="65">
        <v>46</v>
      </c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7"/>
      <c r="U48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49" spans="1:21" outlineLevel="1">
      <c r="A49" s="65">
        <v>47</v>
      </c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7"/>
      <c r="U49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0" spans="1:21" outlineLevel="1">
      <c r="A50" s="65">
        <v>48</v>
      </c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7"/>
      <c r="U50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1" spans="1:21" outlineLevel="1">
      <c r="A51" s="65">
        <v>49</v>
      </c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7"/>
      <c r="U51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2" spans="1:21" outlineLevel="1">
      <c r="A52" s="65">
        <v>50</v>
      </c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3" spans="1:21" outlineLevel="1">
      <c r="A53" s="65">
        <v>51</v>
      </c>
      <c r="B53" s="79"/>
      <c r="C53" s="79"/>
      <c r="D53" s="80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7"/>
      <c r="U53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4" spans="1:21" outlineLevel="1">
      <c r="A54" s="65">
        <v>52</v>
      </c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5" spans="1:21" ht="12" customHeight="1" outlineLevel="1">
      <c r="A55" s="65">
        <v>53</v>
      </c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6" spans="1:21" outlineLevel="1">
      <c r="A56" s="65">
        <v>54</v>
      </c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7"/>
      <c r="U56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7" spans="1:21" outlineLevel="1">
      <c r="A57" s="65">
        <v>55</v>
      </c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8" spans="1:21" outlineLevel="1">
      <c r="A58" s="65">
        <v>56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59" spans="1:21" outlineLevel="1">
      <c r="A59" s="65">
        <v>57</v>
      </c>
      <c r="B59" s="79"/>
      <c r="C59" s="79"/>
      <c r="D59" s="80"/>
      <c r="E59" s="65"/>
      <c r="F59" s="72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0" spans="1:21" outlineLevel="1">
      <c r="A60" s="65">
        <v>58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1" spans="1:21" ht="15.75" customHeight="1" outlineLevel="1">
      <c r="A61" s="65">
        <v>59</v>
      </c>
      <c r="B61" s="79"/>
      <c r="C61" s="79"/>
      <c r="D61" s="80"/>
      <c r="E61" s="65"/>
      <c r="F61" s="72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2" spans="1:21" outlineLevel="1">
      <c r="A62" s="65">
        <v>60</v>
      </c>
      <c r="B62" s="79"/>
      <c r="C62" s="79"/>
      <c r="D62" s="80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3" spans="1:21" outlineLevel="1">
      <c r="A63" s="65">
        <v>61</v>
      </c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4" spans="1:21" outlineLevel="1">
      <c r="A64" s="65">
        <v>62</v>
      </c>
      <c r="B64" s="79"/>
      <c r="C64" s="79"/>
      <c r="D64" s="80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388"/>
      <c r="P64" s="86"/>
      <c r="Q64" s="86"/>
      <c r="R64" s="947"/>
      <c r="S64" s="947"/>
      <c r="T64" s="947"/>
      <c r="U64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5" spans="1:21" outlineLevel="1">
      <c r="A65" s="65">
        <v>63</v>
      </c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6" spans="1:21" outlineLevel="1">
      <c r="A66" s="65">
        <v>64</v>
      </c>
      <c r="B66" s="79"/>
      <c r="C66" s="79"/>
      <c r="D66" s="80"/>
      <c r="E66" s="65"/>
      <c r="F66" s="72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7" spans="1:21" outlineLevel="1">
      <c r="A67" s="65">
        <v>65</v>
      </c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947"/>
      <c r="S67" s="947"/>
      <c r="T67" s="947"/>
      <c r="U67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8" spans="1:21" outlineLevel="1">
      <c r="A68" s="65">
        <v>66</v>
      </c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69" spans="1:21" outlineLevel="1">
      <c r="A69" s="65">
        <v>67</v>
      </c>
      <c r="B69" s="79"/>
      <c r="C69" s="79"/>
      <c r="D69" s="80"/>
      <c r="E69" s="65"/>
      <c r="F69" s="934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70" spans="1:21" outlineLevel="1">
      <c r="A70" s="65">
        <v>68</v>
      </c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IFERROR(IF(Август202236[[#This Row],[№ дома]]="Дом 2",SUM(Август202236[[#This Row],[сумма]]/Август202236[[#This Row],[м2]],IF(Август202236[[#This Row],[Отделка]]="Черновая",0,"")&amp;IF(Август202236[[#This Row],[Отделка]]="Предчистовая",-5500,"")&amp;IF(Август202236[[#This Row],[Отделка]]="Чистовая",-16000,""))*Август202236[[#This Row],[м2]],SUM(Август202236[[#This Row],[сумма]]/Август202236[[#This Row],[м2]],IF(Август202236[[#This Row],[Отделка]]="Черновая",0,"")&amp;IF(Август202236[[#This Row],[Отделка]]="Предчистовая",-7500,"")&amp;IF(Август202236[[#This Row],[Отделка]]="Чистовая",-22000,""))*Август202236[[#This Row],[м2]]),"")</f>
        <v/>
      </c>
    </row>
    <row r="71" spans="1:21" outlineLevel="1">
      <c r="A71" s="65"/>
      <c r="B71" s="79"/>
      <c r="C71" s="79"/>
      <c r="D71" s="65"/>
      <c r="E71" s="65"/>
      <c r="F71" s="934"/>
      <c r="G71" s="65"/>
      <c r="H71" s="65"/>
      <c r="I71" s="105"/>
      <c r="J71" s="65"/>
      <c r="K71" s="65"/>
      <c r="L71" s="108"/>
      <c r="M71" s="110"/>
      <c r="N71" s="65"/>
      <c r="O71" s="72"/>
      <c r="P71" s="86"/>
      <c r="Q71" s="86"/>
      <c r="R71" s="86"/>
      <c r="S71" s="86"/>
      <c r="T71" s="86"/>
      <c r="U71" s="948"/>
    </row>
    <row r="72" spans="1:21" outlineLevel="1">
      <c r="A72" s="2290" t="s">
        <v>713</v>
      </c>
      <c r="B72" s="2291"/>
      <c r="C72" s="972" t="s">
        <v>121</v>
      </c>
      <c r="D72" s="2295"/>
      <c r="E72" s="2296"/>
      <c r="F72" s="2296"/>
      <c r="G72" s="2296"/>
      <c r="H72" s="2296"/>
      <c r="I72" s="2296"/>
      <c r="J72" s="2296"/>
      <c r="K72" s="2296"/>
      <c r="L72" s="2296"/>
      <c r="M72" s="2296"/>
      <c r="N72" s="2296"/>
      <c r="O72" s="2296"/>
      <c r="P72" s="2296"/>
      <c r="Q72" s="86"/>
      <c r="R72" s="86"/>
      <c r="S72" s="86"/>
      <c r="T72" s="86"/>
    </row>
    <row r="73" spans="1:21" ht="25.5">
      <c r="A73" s="692" t="s">
        <v>1</v>
      </c>
      <c r="B73" s="686" t="s">
        <v>100</v>
      </c>
      <c r="C73" s="687" t="s">
        <v>97</v>
      </c>
      <c r="D73" s="688" t="s">
        <v>95</v>
      </c>
      <c r="E73" s="1033" t="s">
        <v>494</v>
      </c>
      <c r="F73" s="1033" t="s">
        <v>495</v>
      </c>
      <c r="G73" s="1033" t="s">
        <v>496</v>
      </c>
      <c r="H73" s="1034" t="s">
        <v>101</v>
      </c>
      <c r="I73" s="1023" t="s">
        <v>98</v>
      </c>
      <c r="J73" s="1023" t="s">
        <v>96</v>
      </c>
      <c r="K73" s="1023" t="s">
        <v>715</v>
      </c>
      <c r="L73" s="1060" t="s">
        <v>716</v>
      </c>
      <c r="M73" s="1087">
        <v>0</v>
      </c>
      <c r="N73" s="1033">
        <v>1</v>
      </c>
      <c r="O73" s="1033">
        <v>2</v>
      </c>
      <c r="P73" s="1033">
        <v>3</v>
      </c>
      <c r="Q73" s="1104">
        <v>4</v>
      </c>
      <c r="R73" s="950"/>
      <c r="S73" s="950"/>
      <c r="T73" s="950"/>
      <c r="U73" s="951"/>
    </row>
    <row r="74" spans="1:21">
      <c r="A74" s="1020" t="s">
        <v>73</v>
      </c>
      <c r="B74" s="1036">
        <v>93.6666666666667</v>
      </c>
      <c r="C74" s="939">
        <v>8325896.3333333302</v>
      </c>
      <c r="D74" s="1069">
        <v>2</v>
      </c>
      <c r="E74" s="145">
        <f>SUMIFS(Август202236[м2],Август202236[МОП],$A74,Август202236[№ дома],$C$72)</f>
        <v>0</v>
      </c>
      <c r="F74" s="939">
        <f>SUMIFS(Август202236[сумма без отделки],Август202236[МОП],$A74,Август202236[№ дома],$C$72)</f>
        <v>0</v>
      </c>
      <c r="G74" s="1038">
        <f>COUNTIFS(Август202236[МОП],$A74,Август202236[№ дома],$C$72)</f>
        <v>0</v>
      </c>
      <c r="H74" s="148">
        <f>SUMIFS(РД[S],РД[Дом],$C$72,РД[МОП],A74,РД[Дата подачи на регистрацию],"&lt;="&amp;$A$1,РД[Дата подачи на регистрацию],"&gt;="&amp;DATE(YEAR($A$1),MONTH($A$1),1))</f>
        <v>0</v>
      </c>
      <c r="I74" s="149">
        <f>SUMIFS(РД[Стоимость без отделки итог],РД[Дом],$C$72,РД[МОП],A74,РД[Дата подачи на регистрацию],"&lt;="&amp;$A$1,РД[Дата подачи на регистрацию],"&gt;="&amp;DATE(YEAR($A$1),MONTH($A$1),1))</f>
        <v>0</v>
      </c>
      <c r="J74" s="220">
        <f>COUNTIFS(РД[Дом],$C$72,РД[МОП],A74,РД[Дата подачи на регистрацию],"&lt;="&amp;$A$1,РД[Дата подачи на регистрацию],"&gt;="&amp;DATE(YEAR($A$1),MONTH($A$1),1))</f>
        <v>0</v>
      </c>
      <c r="K74" s="943">
        <f t="shared" ref="K74:L76" si="0">IFERROR(H74/B74,)</f>
        <v>0</v>
      </c>
      <c r="L74" s="1061">
        <f t="shared" si="0"/>
        <v>0</v>
      </c>
      <c r="M74" s="1088">
        <f>COUNTIFS(РД[Тип кв],M$73,РД[МОП],$A74,РД[Дом],$C$72,РД[Дата подачи на регистрацию],"&lt;="&amp;$A$1,РД[Дата подачи на регистрацию],"&gt;="&amp;DATE(YEAR($A$1),MONTH($A$1),1))</f>
        <v>0</v>
      </c>
      <c r="N74" s="1089">
        <f>COUNTIFS(РД[Тип кв],N$73,РД[МОП],$A74,РД[Дом],$C$72,РД[Дата подачи на регистрацию],"&lt;="&amp;$A$1,РД[Дата подачи на регистрацию],"&gt;="&amp;DATE(YEAR($A$1),MONTH($A$1),1))</f>
        <v>0</v>
      </c>
      <c r="O74" s="1089">
        <f>COUNTIFS(РД[Тип кв],O$73,РД[МОП],$A74,РД[Дом],$C$72,РД[Дата подачи на регистрацию],"&lt;="&amp;$A$1,РД[Дата подачи на регистрацию],"&gt;="&amp;DATE(YEAR($A$1),MONTH($A$1),1))</f>
        <v>0</v>
      </c>
      <c r="P74" s="1089">
        <f>COUNTIFS(РД[Тип кв],P$73,РД[МОП],$A74,РД[Дом],$C$72,РД[Дата подачи на регистрацию],"&lt;="&amp;$A$1,РД[Дата подачи на регистрацию],"&gt;="&amp;DATE(YEAR($A$1),MONTH($A$1),1))</f>
        <v>0</v>
      </c>
      <c r="Q74" s="1098">
        <f>COUNTIFS(РД[Тип кв],Q$73,РД[МОП],$A74,РД[Дом],$C$72,РД[Дата подачи на регистрацию],"&lt;="&amp;$A$1,РД[Дата подачи на регистрацию],"&gt;="&amp;DATE(YEAR($A$1),MONTH($A$1),1))</f>
        <v>0</v>
      </c>
      <c r="R74" s="949"/>
      <c r="S74" s="949"/>
      <c r="T74" s="949"/>
    </row>
    <row r="75" spans="1:21">
      <c r="A75" s="981" t="s">
        <v>77</v>
      </c>
      <c r="B75" s="1109">
        <v>93.6666666666667</v>
      </c>
      <c r="C75" s="939">
        <v>8325896.3333333302</v>
      </c>
      <c r="D75" s="1069">
        <v>2</v>
      </c>
      <c r="E75" s="145">
        <f>SUMIFS(Август202236[м2],Август202236[МОП],$A75,Август202236[№ дома],$C$72)</f>
        <v>137.30000000000001</v>
      </c>
      <c r="F75" s="939">
        <f>SUMIFS(Август202236[сумма без отделки],Август202236[МОП],$A75,Август202236[№ дома],$C$72)</f>
        <v>12049855.25</v>
      </c>
      <c r="G75" s="1038">
        <f>COUNTIFS(Август202236[МОП],$A75,Август202236[№ дома],$C$72)</f>
        <v>2</v>
      </c>
      <c r="H75" s="148">
        <f>SUMIFS(РД[S],РД[Дом],$C$72,РД[МОП],A75,РД[Дата подачи на регистрацию],"&lt;="&amp;$A$1,РД[Дата подачи на регистрацию],"&gt;="&amp;DATE(YEAR($A$1),MONTH($A$1),1))</f>
        <v>140.30000000000001</v>
      </c>
      <c r="I75" s="149">
        <f>SUMIFS(РД[Стоимость без отделки итог],РД[Дом],$C$72,РД[МОП],A75,РД[Дата подачи на регистрацию],"&lt;="&amp;$A$1,РД[Дата подачи на регистрацию],"&gt;="&amp;DATE(YEAR($A$1),MONTH($A$1),1))</f>
        <v>12031605.25</v>
      </c>
      <c r="J75" s="220">
        <f>COUNTIFS(РД[Дом],$C$72,РД[МОП],A75,РД[Дата подачи на регистрацию],"&lt;="&amp;$A$1,РД[Дата подачи на регистрацию],"&gt;="&amp;DATE(YEAR($A$1),MONTH($A$1),1))</f>
        <v>2</v>
      </c>
      <c r="K75" s="987">
        <f t="shared" si="0"/>
        <v>1.4978647686832736</v>
      </c>
      <c r="L75" s="1062">
        <f t="shared" si="0"/>
        <v>1.4450822792292759</v>
      </c>
      <c r="M75" s="1090">
        <f>COUNTIFS(РД[Тип кв],M$73,РД[МОП],$A75,РД[Дом],$C$72,РД[Дата подачи на регистрацию],"&lt;="&amp;$A$1,РД[Дата подачи на регистрацию],"&gt;="&amp;DATE(YEAR($A$1),MONTH($A$1),1))</f>
        <v>0</v>
      </c>
      <c r="N75" s="339">
        <f>COUNTIFS(РД[Тип кв],N$73,РД[МОП],$A75,РД[Дом],$C$72,РД[Дата подачи на регистрацию],"&lt;="&amp;$A$1,РД[Дата подачи на регистрацию],"&gt;="&amp;DATE(YEAR($A$1),MONTH($A$1),1))</f>
        <v>0</v>
      </c>
      <c r="O75" s="339">
        <f>COUNTIFS(РД[Тип кв],O$73,РД[МОП],$A75,РД[Дом],$C$72,РД[Дата подачи на регистрацию],"&lt;="&amp;$A$1,РД[Дата подачи на регистрацию],"&gt;="&amp;DATE(YEAR($A$1),MONTH($A$1),1))</f>
        <v>1</v>
      </c>
      <c r="P75" s="339">
        <f>COUNTIFS(РД[Тип кв],P$73,РД[МОП],$A75,РД[Дом],$C$72,РД[Дата подачи на регистрацию],"&lt;="&amp;$A$1,РД[Дата подачи на регистрацию],"&gt;="&amp;DATE(YEAR($A$1),MONTH($A$1),1))</f>
        <v>1</v>
      </c>
      <c r="Q75" s="1099">
        <f>COUNTIFS(РД[Тип кв],Q$73,РД[МОП],$A75,РД[Дом],$C$72,РД[Дата подачи на регистрацию],"&lt;="&amp;$A$1,РД[Дата подачи на регистрацию],"&gt;="&amp;DATE(YEAR($A$1),MONTH($A$1),1))</f>
        <v>0</v>
      </c>
      <c r="R75" s="949"/>
      <c r="S75" s="949"/>
      <c r="T75" s="949"/>
    </row>
    <row r="76" spans="1:21">
      <c r="A76" s="1042" t="s">
        <v>63</v>
      </c>
      <c r="B76" s="1109">
        <v>93.6666666666667</v>
      </c>
      <c r="C76" s="939">
        <v>8325896.3333333302</v>
      </c>
      <c r="D76" s="1069">
        <v>2</v>
      </c>
      <c r="E76" s="145">
        <f>SUMIFS(Август202236[м2],Август202236[МОП],$A76,Август202236[№ дома],$C$72)</f>
        <v>77.5</v>
      </c>
      <c r="F76" s="939">
        <f>SUMIFS(Август202236[сумма без отделки],Август202236[МОП],$A76,Август202236[№ дома],$C$72)</f>
        <v>6868586.6499999994</v>
      </c>
      <c r="G76" s="1038">
        <f>COUNTIFS(Август202236[МОП],$A76,Август202236[№ дома],$C$72)</f>
        <v>1</v>
      </c>
      <c r="H76" s="148">
        <f>SUMIFS(РД[S],РД[Дом],$C$72,РД[МОП],A76,РД[Дата подачи на регистрацию],"&lt;="&amp;$A$1,РД[Дата подачи на регистрацию],"&gt;="&amp;DATE(YEAR($A$1),MONTH($A$1),1))</f>
        <v>79</v>
      </c>
      <c r="I76" s="149">
        <f>SUMIFS(РД[Стоимость без отделки итог],РД[Дом],$C$72,РД[МОП],A76,РД[Дата подачи на регистрацию],"&lt;="&amp;$A$1,РД[Дата подачи на регистрацию],"&gt;="&amp;DATE(YEAR($A$1),MONTH($A$1),1))</f>
        <v>6860336.6500000004</v>
      </c>
      <c r="J76" s="220">
        <f>COUNTIFS(РД[Дом],$C$72,РД[МОП],A76,РД[Дата подачи на регистрацию],"&lt;="&amp;$A$1,РД[Дата подачи на регистрацию],"&gt;="&amp;DATE(YEAR($A$1),MONTH($A$1),1))</f>
        <v>1</v>
      </c>
      <c r="K76" s="987">
        <f t="shared" si="0"/>
        <v>0.84341637010676129</v>
      </c>
      <c r="L76" s="1062">
        <f t="shared" si="0"/>
        <v>0.82397574691557773</v>
      </c>
      <c r="M76" s="1090">
        <f>COUNTIFS(РД[Тип кв],M$73,РД[МОП],$A76,РД[Дом],$C$72,РД[Дата подачи на регистрацию],"&lt;="&amp;$A$1,РД[Дата подачи на регистрацию],"&gt;="&amp;DATE(YEAR($A$1),MONTH($A$1),1))</f>
        <v>0</v>
      </c>
      <c r="N76" s="339">
        <f>COUNTIFS(РД[Тип кв],N$73,РД[МОП],$A76,РД[Дом],$C$72,РД[Дата подачи на регистрацию],"&lt;="&amp;$A$1,РД[Дата подачи на регистрацию],"&gt;="&amp;DATE(YEAR($A$1),MONTH($A$1),1))</f>
        <v>0</v>
      </c>
      <c r="O76" s="339">
        <f>COUNTIFS(РД[Тип кв],O$73,РД[МОП],$A76,РД[Дом],$C$72,РД[Дата подачи на регистрацию],"&lt;="&amp;$A$1,РД[Дата подачи на регистрацию],"&gt;="&amp;DATE(YEAR($A$1),MONTH($A$1),1))</f>
        <v>0</v>
      </c>
      <c r="P76" s="339">
        <f>COUNTIFS(РД[Тип кв],P$73,РД[МОП],$A76,РД[Дом],$C$72,РД[Дата подачи на регистрацию],"&lt;="&amp;$A$1,РД[Дата подачи на регистрацию],"&gt;="&amp;DATE(YEAR($A$1),MONTH($A$1),1))</f>
        <v>1</v>
      </c>
      <c r="Q76" s="1099">
        <f>COUNTIFS(РД[Тип кв],Q$73,РД[МОП],$A76,РД[Дом],$C$72,РД[Дата подачи на регистрацию],"&lt;="&amp;$A$1,РД[Дата подачи на регистрацию],"&gt;="&amp;DATE(YEAR($A$1),MONTH($A$1),1))</f>
        <v>0</v>
      </c>
      <c r="R76" s="949"/>
      <c r="S76" s="949"/>
      <c r="T76" s="949"/>
    </row>
    <row r="77" spans="1:21">
      <c r="A77" s="1043" t="s">
        <v>114</v>
      </c>
      <c r="B77" s="963">
        <v>281</v>
      </c>
      <c r="C77" s="964">
        <v>24977689</v>
      </c>
      <c r="D77" s="965">
        <v>6</v>
      </c>
      <c r="E77" s="917">
        <f t="shared" ref="E77:J77" si="1">SUM(E74:E76)</f>
        <v>214.8</v>
      </c>
      <c r="F77" s="1070">
        <f t="shared" si="1"/>
        <v>18918441.899999999</v>
      </c>
      <c r="G77" s="1071">
        <f t="shared" si="1"/>
        <v>3</v>
      </c>
      <c r="H77" s="317">
        <f t="shared" si="1"/>
        <v>219.3</v>
      </c>
      <c r="I77" s="1066">
        <f t="shared" si="1"/>
        <v>18891941.899999999</v>
      </c>
      <c r="J77" s="917">
        <f t="shared" si="1"/>
        <v>3</v>
      </c>
      <c r="K77" s="419">
        <f>IFERROR(H77/B77,)</f>
        <v>0.78042704626334525</v>
      </c>
      <c r="L77" s="507">
        <f>IFERROR(I77/C77,)</f>
        <v>0.75635267538161755</v>
      </c>
      <c r="M77" s="317">
        <f>SUM(M74:M76)</f>
        <v>0</v>
      </c>
      <c r="N77" s="917">
        <f>SUM(N74:N76)</f>
        <v>0</v>
      </c>
      <c r="O77" s="917">
        <f>SUM(O74:O76)</f>
        <v>1</v>
      </c>
      <c r="P77" s="1091">
        <f>SUM(P74:P76)</f>
        <v>2</v>
      </c>
      <c r="Q77" s="928">
        <f>SUM(Q74:Q76)</f>
        <v>0</v>
      </c>
      <c r="R77" s="949"/>
      <c r="S77" s="949"/>
      <c r="T77" s="949"/>
    </row>
    <row r="78" spans="1:21" ht="25.5">
      <c r="A78" s="705" t="s">
        <v>115</v>
      </c>
      <c r="B78" s="706" t="s">
        <v>100</v>
      </c>
      <c r="C78" s="710" t="s">
        <v>97</v>
      </c>
      <c r="D78" s="708" t="s">
        <v>95</v>
      </c>
      <c r="E78" s="1044" t="s">
        <v>494</v>
      </c>
      <c r="F78" s="1044" t="s">
        <v>495</v>
      </c>
      <c r="G78" s="1045" t="s">
        <v>496</v>
      </c>
      <c r="H78" s="481" t="s">
        <v>101</v>
      </c>
      <c r="I78" s="482" t="s">
        <v>98</v>
      </c>
      <c r="J78" s="482" t="s">
        <v>96</v>
      </c>
      <c r="K78" s="502" t="s">
        <v>715</v>
      </c>
      <c r="L78" s="1025" t="s">
        <v>716</v>
      </c>
      <c r="M78" s="1092">
        <v>0</v>
      </c>
      <c r="N78" s="1044">
        <v>1</v>
      </c>
      <c r="O78" s="1044">
        <v>2</v>
      </c>
      <c r="P78" s="1044">
        <v>3</v>
      </c>
      <c r="Q78" s="1045">
        <v>4</v>
      </c>
      <c r="R78" s="950"/>
      <c r="S78" s="950"/>
      <c r="T78" s="950"/>
      <c r="U78" s="951"/>
    </row>
    <row r="79" spans="1:21">
      <c r="A79" s="1072" t="s">
        <v>16</v>
      </c>
      <c r="B79" s="291">
        <v>98.35</v>
      </c>
      <c r="C79" s="292">
        <v>8742191.1500000004</v>
      </c>
      <c r="D79" s="694">
        <v>3</v>
      </c>
      <c r="E79" s="1046">
        <f>SUMIFS(Август202236[м2],Август202236[ИМ],A79,Август202236[№ дома],$C$72)</f>
        <v>214.79999999999998</v>
      </c>
      <c r="F79" s="184">
        <f>SUMIFS(Август202236[сумма без отделки],Август202236[ИМ],$A79,Август202236[№ дома],$C$72)</f>
        <v>18918441.899999999</v>
      </c>
      <c r="G79" s="1047">
        <f>COUNTIFS(Август202236[ИМ],$A79,Август202236[№ дома],$C$72)</f>
        <v>3</v>
      </c>
      <c r="H79" s="346">
        <f>SUMIFS(РД[S],РД[Дом],$C$72,РД[ИМ],A79,РД[Дата подачи на регистрацию],"&lt;="&amp;$A$1,РД[Дата подачи на регистрацию],"&gt;="&amp;DATE(YEAR($A$1),MONTH($A$1),1))</f>
        <v>219.29999999999998</v>
      </c>
      <c r="I79" s="184">
        <f>SUMIFS(РД[Стоимость без отделки итог],РД[Дом],$C$72,РД[ИМ],A79,РД[Дата подачи на регистрацию],"&lt;="&amp;$A$1,РД[Дата подачи на регистрацию],"&gt;="&amp;DATE(YEAR($A$1),MONTH($A$1),1))</f>
        <v>18891941.899999999</v>
      </c>
      <c r="J79" s="243">
        <f>COUNTIFS(РД[Дом],$C$72,РД[ИМ],A79,РД[Дата подачи на регистрацию],"&lt;="&amp;$A$1,РД[Дата подачи на регистрацию],"&gt;="&amp;DATE(YEAR($A$1),MONTH($A$1),1))</f>
        <v>3</v>
      </c>
      <c r="K79" s="990">
        <f>IFERROR(H79/B79,"")</f>
        <v>2.2297915607524148</v>
      </c>
      <c r="L79" s="991">
        <f>IFERROR(I79/C79,"")</f>
        <v>2.1610076439474786</v>
      </c>
      <c r="M79" s="183">
        <f>COUNTIFS(РД[Тип кв],M$73,РД[ИМ],$A79,РД[Дом],$C$72,РД[Дата подачи на регистрацию],"&lt;="&amp;$A$1,РД[Дата подачи на регистрацию],"&gt;="&amp;DATE(YEAR($A$1),MONTH($A$1),1))</f>
        <v>0</v>
      </c>
      <c r="N79" s="243">
        <f>COUNTIFS(РД[Тип кв],N$73,РД[ИМ],$A79,РД[Дом],$C$72,РД[Дата подачи на регистрацию],"&lt;="&amp;$A$1,РД[Дата подачи на регистрацию],"&gt;="&amp;DATE(YEAR($A$1),MONTH($A$1),1))</f>
        <v>0</v>
      </c>
      <c r="O79" s="243">
        <f>COUNTIFS(РД[Тип кв],O$73,РД[ИМ],$A79,РД[Дом],$C$72,РД[Дата подачи на регистрацию],"&lt;="&amp;$A$1,РД[Дата подачи на регистрацию],"&gt;="&amp;DATE(YEAR($A$1),MONTH($A$1),1))</f>
        <v>1</v>
      </c>
      <c r="P79" s="243">
        <f>COUNTIFS(РД[Тип кв],P$73,РД[ИМ],$A79,РД[Дом],$C$72,РД[Дата подачи на регистрацию],"&lt;="&amp;$A$1,РД[Дата подачи на регистрацию],"&gt;="&amp;DATE(YEAR($A$1),MONTH($A$1),1))</f>
        <v>2</v>
      </c>
      <c r="Q79" s="246">
        <f>COUNTIFS(РД[Тип кв],Q$73,РД[ИМ],$A79,РД[Дом],$C$72,РД[Дата подачи на регистрацию],"&lt;="&amp;$A$1,РД[Дата подачи на регистрацию],"&gt;="&amp;DATE(YEAR($A$1),MONTH($A$1),1))</f>
        <v>0</v>
      </c>
      <c r="R79" s="949"/>
      <c r="S79" s="949"/>
      <c r="T79" s="949"/>
    </row>
    <row r="80" spans="1:21">
      <c r="A80" s="1073" t="s">
        <v>22</v>
      </c>
      <c r="B80" s="516">
        <v>98.35</v>
      </c>
      <c r="C80" s="554">
        <v>8742191.1500000004</v>
      </c>
      <c r="D80" s="695">
        <v>3</v>
      </c>
      <c r="E80" s="1048">
        <f>SUMIFS(Август202236[м2],Август202236[ИМ],A80,Август202236[№ дома],$C$72)</f>
        <v>0</v>
      </c>
      <c r="F80" s="196">
        <f>SUMIFS(Август202236[сумма без отделки],Август202236[ИМ],$A80,Август202236[№ дома],$C$72)</f>
        <v>0</v>
      </c>
      <c r="G80" s="1049">
        <f>COUNTIFS(Август202236[ИМ],$A80,Август202236[№ дома],$C$72)</f>
        <v>0</v>
      </c>
      <c r="H80" s="426">
        <f>SUMIFS(РД[S],РД[Дом],$C$72,РД[ИМ],A80,РД[Дата подачи на регистрацию],"&lt;="&amp;$A$1,РД[Дата подачи на регистрацию],"&gt;="&amp;DATE(YEAR($A$1),MONTH($A$1),1))</f>
        <v>0</v>
      </c>
      <c r="I80" s="196">
        <f>SUMIFS(РД[Стоимость без отделки итог],РД[Дом],$C$72,РД[ИМ],A80,РД[Дата подачи на регистрацию],"&lt;="&amp;$A$1,РД[Дата подачи на регистрацию],"&gt;="&amp;DATE(YEAR($A$1),MONTH($A$1),1))</f>
        <v>0</v>
      </c>
      <c r="J80" s="251">
        <f>COUNTIFS(РД[Дом],$C$72,РД[ИМ],A80,РД[Дата подачи на регистрацию],"&lt;="&amp;$A$1,РД[Дата подачи на регистрацию],"&gt;="&amp;DATE(YEAR($A$1),MONTH($A$1),1))</f>
        <v>0</v>
      </c>
      <c r="K80" s="992">
        <f>IFERROR(H80/B80,"")</f>
        <v>0</v>
      </c>
      <c r="L80" s="993">
        <f>IFERROR(I80/C80,"")</f>
        <v>0</v>
      </c>
      <c r="M80" s="195">
        <f>COUNTIFS(РД[Тип кв],M$73,РД[ИМ],$A80,РД[Дом],$C$72,РД[Дата подачи на регистрацию],"&lt;="&amp;$A$1,РД[Дата подачи на регистрацию],"&gt;="&amp;DATE(YEAR($A$1),MONTH($A$1),1))</f>
        <v>0</v>
      </c>
      <c r="N80" s="251">
        <f>COUNTIFS(РД[Тип кв],N$73,РД[ИМ],$A80,РД[Дом],$C$72,РД[Дата подачи на регистрацию],"&lt;="&amp;$A$1,РД[Дата подачи на регистрацию],"&gt;="&amp;DATE(YEAR($A$1),MONTH($A$1),1))</f>
        <v>0</v>
      </c>
      <c r="O80" s="251">
        <f>COUNTIFS(РД[Тип кв],O$73,РД[ИМ],$A80,РД[Дом],$C$72,РД[Дата подачи на регистрацию],"&lt;="&amp;$A$1,РД[Дата подачи на регистрацию],"&gt;="&amp;DATE(YEAR($A$1),MONTH($A$1),1))</f>
        <v>0</v>
      </c>
      <c r="P80" s="251">
        <f>COUNTIFS(РД[Тип кв],P$73,РД[ИМ],$A80,РД[Дом],$C$72,РД[Дата подачи на регистрацию],"&lt;="&amp;$A$1,РД[Дата подачи на регистрацию],"&gt;="&amp;DATE(YEAR($A$1),MONTH($A$1),1))</f>
        <v>0</v>
      </c>
      <c r="Q80" s="254">
        <f>COUNTIFS(РД[Тип кв],Q$73,РД[ИМ],$A80,РД[Дом],$C$72,РД[Дата подачи на регистрацию],"&lt;="&amp;$A$1,РД[Дата подачи на регистрацию],"&gt;="&amp;DATE(YEAR($A$1),MONTH($A$1),1))</f>
        <v>0</v>
      </c>
      <c r="R80" s="949"/>
      <c r="S80" s="949"/>
      <c r="T80" s="949"/>
    </row>
    <row r="81" spans="1:21">
      <c r="A81" s="168" t="s">
        <v>114</v>
      </c>
      <c r="B81" s="323">
        <v>196.7</v>
      </c>
      <c r="C81" s="429">
        <v>17484382.300000001</v>
      </c>
      <c r="D81" s="497">
        <v>6</v>
      </c>
      <c r="E81" s="897">
        <f t="shared" ref="E81:J81" si="2">SUM(E79:E79)</f>
        <v>214.79999999999998</v>
      </c>
      <c r="F81" s="1050">
        <f t="shared" si="2"/>
        <v>18918441.899999999</v>
      </c>
      <c r="G81" s="898">
        <f t="shared" si="2"/>
        <v>3</v>
      </c>
      <c r="H81" s="168">
        <f t="shared" si="2"/>
        <v>219.29999999999998</v>
      </c>
      <c r="I81" s="897">
        <f t="shared" si="2"/>
        <v>18891941.899999999</v>
      </c>
      <c r="J81" s="897">
        <f t="shared" si="2"/>
        <v>3</v>
      </c>
      <c r="K81" s="238">
        <f>IFERROR(H81/B81,)</f>
        <v>1.1148957803762074</v>
      </c>
      <c r="L81" s="501">
        <f>IFERROR(I81/C81,)</f>
        <v>1.0805038219737393</v>
      </c>
      <c r="M81" s="897">
        <f>SUM(M79:M79)</f>
        <v>0</v>
      </c>
      <c r="N81" s="897">
        <f>SUM(N79:N79)</f>
        <v>0</v>
      </c>
      <c r="O81" s="897">
        <f>SUM(O79:O79)</f>
        <v>1</v>
      </c>
      <c r="P81" s="897">
        <f>SUM(P79:P79)</f>
        <v>2</v>
      </c>
      <c r="Q81" s="898">
        <f>SUM(Q79:Q79)</f>
        <v>0</v>
      </c>
      <c r="R81" s="65"/>
      <c r="S81" s="65"/>
      <c r="T81" s="65"/>
      <c r="U81" s="339"/>
    </row>
    <row r="82" spans="1:21">
      <c r="A82" s="7"/>
      <c r="B82" s="968"/>
      <c r="C82" s="968"/>
      <c r="D82" s="7"/>
      <c r="E82" s="7"/>
      <c r="F82" s="7"/>
      <c r="G82" s="7"/>
      <c r="H82" s="134"/>
      <c r="I82" s="134"/>
      <c r="J82" s="134"/>
      <c r="K82" s="7"/>
      <c r="L82" s="994"/>
      <c r="M82" s="134"/>
      <c r="N82" s="134"/>
      <c r="O82" s="134"/>
      <c r="P82" s="262"/>
      <c r="Q82" s="134"/>
      <c r="R82" s="949"/>
      <c r="S82" s="949"/>
      <c r="T82" s="949"/>
    </row>
    <row r="83" spans="1:21">
      <c r="A83" s="2290" t="s">
        <v>713</v>
      </c>
      <c r="B83" s="2291"/>
      <c r="C83" s="935" t="s">
        <v>27</v>
      </c>
      <c r="D83" s="2292"/>
      <c r="E83" s="2292"/>
      <c r="F83" s="2292"/>
      <c r="G83" s="2292"/>
      <c r="H83" s="2292"/>
      <c r="I83" s="2292"/>
      <c r="J83" s="2292"/>
      <c r="K83" s="2292"/>
      <c r="L83" s="2292"/>
      <c r="M83" s="2292"/>
      <c r="N83" s="2292"/>
      <c r="O83" s="2292"/>
      <c r="P83" s="2292"/>
      <c r="Q83" s="7"/>
      <c r="R83" s="949"/>
      <c r="S83" s="949"/>
      <c r="T83" s="949"/>
    </row>
    <row r="84" spans="1:21" ht="25.5">
      <c r="A84" s="692" t="s">
        <v>1</v>
      </c>
      <c r="B84" s="686" t="s">
        <v>100</v>
      </c>
      <c r="C84" s="688" t="s">
        <v>97</v>
      </c>
      <c r="D84" s="688" t="s">
        <v>95</v>
      </c>
      <c r="E84" s="1022" t="s">
        <v>494</v>
      </c>
      <c r="F84" s="138" t="s">
        <v>495</v>
      </c>
      <c r="G84" s="139" t="s">
        <v>496</v>
      </c>
      <c r="H84" s="140" t="s">
        <v>101</v>
      </c>
      <c r="I84" s="141" t="s">
        <v>98</v>
      </c>
      <c r="J84" s="141" t="s">
        <v>96</v>
      </c>
      <c r="K84" s="141" t="s">
        <v>715</v>
      </c>
      <c r="L84" s="1026" t="s">
        <v>716</v>
      </c>
      <c r="M84" s="1092">
        <v>0</v>
      </c>
      <c r="N84" s="1044">
        <v>1</v>
      </c>
      <c r="O84" s="1044">
        <v>2</v>
      </c>
      <c r="P84" s="1044">
        <v>3</v>
      </c>
      <c r="Q84" s="1045">
        <v>4</v>
      </c>
      <c r="R84" s="950"/>
      <c r="S84" s="950"/>
      <c r="T84" s="950"/>
      <c r="U84" s="951"/>
    </row>
    <row r="85" spans="1:21">
      <c r="A85" s="1035" t="s">
        <v>73</v>
      </c>
      <c r="B85" s="1036">
        <v>161</v>
      </c>
      <c r="C85" s="939">
        <v>12688040</v>
      </c>
      <c r="D85" s="1074">
        <v>5</v>
      </c>
      <c r="E85" s="145">
        <f>SUMIFS(Август202236[м2],Август202236[МОП],$A85,Август202236[№ дома],$C$83)</f>
        <v>331.28</v>
      </c>
      <c r="F85" s="939">
        <f>SUMIFS(Август202236[сумма без отделки],Август202236[МОП],$A85,Август202236[№ дома],$C$83)</f>
        <v>26940191.91</v>
      </c>
      <c r="G85" s="940">
        <f>COUNTIFS(Август202236[МОП],$A85,Август202236[№ дома],$C$83)</f>
        <v>10</v>
      </c>
      <c r="H85" s="148">
        <f>SUMIFS(РД[S],РД[Дом],$C$83,РД[МОП],A85,РД[Дата подачи на регистрацию],"&lt;="&amp;$A$1,РД[Дата подачи на регистрацию],"&gt;="&amp;DATE(YEAR($A$1),MONTH($A$1),1))</f>
        <v>331.28</v>
      </c>
      <c r="I85" s="149">
        <f>SUMIFS(РД[Стоимость без отделки итог],РД[Дом],$C$83,РД[МОП],A85,РД[Дата подачи на регистрацию],"&lt;="&amp;$A$1,РД[Дата подачи на регистрацию],"&gt;="&amp;DATE(YEAR($A$1),MONTH($A$1),1))</f>
        <v>26940191.910000004</v>
      </c>
      <c r="J85" s="220">
        <f>COUNTIFS(РД[Дом],$C$83,РД[МОП],A85,РД[Дата подачи на регистрацию],"&lt;="&amp;$A$1,РД[Дата подачи на регистрацию],"&gt;="&amp;DATE(YEAR($A$1),MONTH($A$1),1))</f>
        <v>10</v>
      </c>
      <c r="K85" s="943">
        <f t="shared" ref="K85:L87" si="3">IFERROR(H85/B85,"")</f>
        <v>2.0576397515527947</v>
      </c>
      <c r="L85" s="944">
        <f t="shared" si="3"/>
        <v>2.1232745096957455</v>
      </c>
      <c r="M85" s="1088">
        <f>COUNTIFS(РД[Тип кв],M$84,РД[МОП],$A85,РД[Дом],$C$83,РД[Дата подачи на регистрацию],"&lt;="&amp;$A$1,РД[Дата подачи на регистрацию],"&gt;="&amp;DATE(YEAR($A$1),MONTH($A$1),1))</f>
        <v>5</v>
      </c>
      <c r="N85" s="1089">
        <f>COUNTIFS(РД[Тип кв],N$84,РД[МОП],$A85,РД[Дом],$C$83,РД[Дата подачи на регистрацию],"&lt;="&amp;$A$1,РД[Дата подачи на регистрацию],"&gt;="&amp;DATE(YEAR($A$1),MONTH($A$1),1))</f>
        <v>4</v>
      </c>
      <c r="O85" s="1089">
        <f>COUNTIFS(РД[Тип кв],O$84,РД[МОП],$A85,РД[Дом],$C$83,РД[Дата подачи на регистрацию],"&lt;="&amp;$A$1,РД[Дата подачи на регистрацию],"&gt;="&amp;DATE(YEAR($A$1),MONTH($A$1),1))</f>
        <v>1</v>
      </c>
      <c r="P85" s="1089">
        <f>COUNTIFS(РД[Тип кв],P$84,РД[МОП],$A85,РД[Дом],$C$83,РД[Дата подачи на регистрацию],"&lt;="&amp;$A$1,РД[Дата подачи на регистрацию],"&gt;="&amp;DATE(YEAR($A$1),MONTH($A$1),1))</f>
        <v>0</v>
      </c>
      <c r="Q85" s="1098">
        <f>COUNTIFS(РД[Тип кв],Q$84,РД[МОП],$A85,РД[Дом],$C$83,РД[Дата подачи на регистрацию],"&lt;="&amp;$A$1,РД[Дата подачи на регистрацию],"&gt;="&amp;DATE(YEAR($A$1),MONTH($A$1),1))</f>
        <v>0</v>
      </c>
      <c r="R85" s="949"/>
      <c r="S85" s="949"/>
      <c r="T85" s="949"/>
    </row>
    <row r="86" spans="1:21">
      <c r="A86" s="1039" t="s">
        <v>77</v>
      </c>
      <c r="B86" s="1036">
        <v>161</v>
      </c>
      <c r="C86" s="939">
        <v>12688040</v>
      </c>
      <c r="D86" s="1041">
        <v>5</v>
      </c>
      <c r="E86" s="145">
        <f>SUMIFS(Август202236[м2],Август202236[МОП],$A86,Август202236[№ дома],$C$83)</f>
        <v>422.6</v>
      </c>
      <c r="F86" s="939">
        <f>SUMIFS(Август202236[сумма без отделки],Август202236[МОП],$A86,Август202236[№ дома],$C$83)</f>
        <v>33272485.879999999</v>
      </c>
      <c r="G86" s="940">
        <f>COUNTIFS(Август202236[МОП],$A86,Август202236[№ дома],$C$83)</f>
        <v>11</v>
      </c>
      <c r="H86" s="148">
        <f>SUMIFS(РД[S],РД[Дом],$C$83,РД[МОП],A86,РД[Дата подачи на регистрацию],"&lt;="&amp;$A$1,РД[Дата подачи на регистрацию],"&gt;="&amp;DATE(YEAR($A$1),MONTH($A$1),1))</f>
        <v>422.6</v>
      </c>
      <c r="I86" s="149">
        <f>SUMIFS(РД[Стоимость без отделки итог],РД[Дом],$C$83,РД[МОП],A86,РД[Дата подачи на регистрацию],"&lt;="&amp;$A$1,РД[Дата подачи на регистрацию],"&gt;="&amp;DATE(YEAR($A$1),MONTH($A$1),1))</f>
        <v>33272485.879999999</v>
      </c>
      <c r="J86" s="220">
        <f>COUNTIFS(РД[Дом],$C$83,РД[МОП],A86,РД[Дата подачи на регистрацию],"&lt;="&amp;$A$1,РД[Дата подачи на регистрацию],"&gt;="&amp;DATE(YEAR($A$1),MONTH($A$1),1))</f>
        <v>11</v>
      </c>
      <c r="K86" s="987">
        <f t="shared" si="3"/>
        <v>2.6248447204968945</v>
      </c>
      <c r="L86" s="988">
        <f t="shared" si="3"/>
        <v>2.6223503299169928</v>
      </c>
      <c r="M86" s="1090">
        <f>COUNTIFS(РД[Тип кв],M$84,РД[МОП],$A86,РД[Дом],$C$83,РД[Дата подачи на регистрацию],"&lt;="&amp;$A$1,РД[Дата подачи на регистрацию],"&gt;="&amp;DATE(YEAR($A$1),MONTH($A$1),1))</f>
        <v>3</v>
      </c>
      <c r="N86" s="339">
        <f>COUNTIFS(РД[Тип кв],N$84,РД[МОП],$A86,РД[Дом],$C$83,РД[Дата подачи на регистрацию],"&lt;="&amp;$A$1,РД[Дата подачи на регистрацию],"&gt;="&amp;DATE(YEAR($A$1),MONTH($A$1),1))</f>
        <v>6</v>
      </c>
      <c r="O86" s="339">
        <f>COUNTIFS(РД[Тип кв],O$84,РД[МОП],$A86,РД[Дом],$C$83,РД[Дата подачи на регистрацию],"&lt;="&amp;$A$1,РД[Дата подачи на регистрацию],"&gt;="&amp;DATE(YEAR($A$1),MONTH($A$1),1))</f>
        <v>2</v>
      </c>
      <c r="P86" s="339">
        <f>COUNTIFS(РД[Тип кв],P$84,РД[МОП],$A86,РД[Дом],$C$83,РД[Дата подачи на регистрацию],"&lt;="&amp;$A$1,РД[Дата подачи на регистрацию],"&gt;="&amp;DATE(YEAR($A$1),MONTH($A$1),1))</f>
        <v>0</v>
      </c>
      <c r="Q86" s="1099">
        <f>COUNTIFS(РД[Тип кв],Q$84,РД[МОП],$A86,РД[Дом],$C$83,РД[Дата подачи на регистрацию],"&lt;="&amp;$A$1,РД[Дата подачи на регистрацию],"&gt;="&amp;DATE(YEAR($A$1),MONTH($A$1),1))</f>
        <v>0</v>
      </c>
      <c r="R86" s="949"/>
      <c r="S86" s="949"/>
      <c r="T86" s="949"/>
    </row>
    <row r="87" spans="1:21">
      <c r="A87" s="1110" t="s">
        <v>63</v>
      </c>
      <c r="B87" s="1036">
        <v>161</v>
      </c>
      <c r="C87" s="939">
        <v>12688040</v>
      </c>
      <c r="D87" s="1054">
        <v>5</v>
      </c>
      <c r="E87" s="145">
        <f>SUMIFS(Август202236[м2],Август202236[МОП],$A87,Август202236[№ дома],$C$83)</f>
        <v>222.57</v>
      </c>
      <c r="F87" s="939">
        <f>SUMIFS(Август202236[сумма без отделки],Август202236[МОП],$A87,Август202236[№ дома],$C$83)</f>
        <v>18469373.870000001</v>
      </c>
      <c r="G87" s="940">
        <f>COUNTIFS(Август202236[МОП],$A87,Август202236[№ дома],$C$83)</f>
        <v>8</v>
      </c>
      <c r="H87" s="148">
        <f>SUMIFS(РД[S],РД[Дом],$C$83,РД[МОП],A87,РД[Дата подачи на регистрацию],"&lt;="&amp;$A$1,РД[Дата подачи на регистрацию],"&gt;="&amp;DATE(YEAR($A$1),MONTH($A$1),1))</f>
        <v>222.57000000000002</v>
      </c>
      <c r="I87" s="149">
        <f>SUMIFS(РД[Стоимость без отделки итог],РД[Дом],$C$83,РД[МОП],A87,РД[Дата подачи на регистрацию],"&lt;="&amp;$A$1,РД[Дата подачи на регистрацию],"&gt;="&amp;DATE(YEAR($A$1),MONTH($A$1),1))</f>
        <v>18469373.870000001</v>
      </c>
      <c r="J87" s="220">
        <f>COUNTIFS(РД[Дом],$C$83,РД[МОП],A87,РД[Дата подачи на регистрацию],"&lt;="&amp;$A$1,РД[Дата подачи на регистрацию],"&gt;="&amp;DATE(YEAR($A$1),MONTH($A$1),1))</f>
        <v>8</v>
      </c>
      <c r="K87" s="1063">
        <f t="shared" si="3"/>
        <v>1.3824223602484473</v>
      </c>
      <c r="L87" s="1065">
        <f t="shared" si="3"/>
        <v>1.4556522417962112</v>
      </c>
      <c r="M87" s="1100">
        <f>COUNTIFS(РД[Тип кв],M$84,РД[МОП],$A87,РД[Дом],$C$83,РД[Дата подачи на регистрацию],"&lt;="&amp;$A$1,РД[Дата подачи на регистрацию],"&gt;="&amp;DATE(YEAR($A$1),MONTH($A$1),1))</f>
        <v>6</v>
      </c>
      <c r="N87" s="1101">
        <f>COUNTIFS(РД[Тип кв],N$84,РД[МОП],$A87,РД[Дом],$C$83,РД[Дата подачи на регистрацию],"&lt;="&amp;$A$1,РД[Дата подачи на регистрацию],"&gt;="&amp;DATE(YEAR($A$1),MONTH($A$1),1))</f>
        <v>2</v>
      </c>
      <c r="O87" s="1101">
        <f>COUNTIFS(РД[Тип кв],O$84,РД[МОП],$A87,РД[Дом],$C$83,РД[Дата подачи на регистрацию],"&lt;="&amp;$A$1,РД[Дата подачи на регистрацию],"&gt;="&amp;DATE(YEAR($A$1),MONTH($A$1),1))</f>
        <v>0</v>
      </c>
      <c r="P87" s="1101">
        <f>COUNTIFS(РД[Тип кв],P$84,РД[МОП],$A87,РД[Дом],$C$83,РД[Дата подачи на регистрацию],"&lt;="&amp;$A$1,РД[Дата подачи на регистрацию],"&gt;="&amp;DATE(YEAR($A$1),MONTH($A$1),1))</f>
        <v>0</v>
      </c>
      <c r="Q87" s="1102">
        <f>COUNTIFS(РД[Тип кв],Q$84,РД[МОП],$A87,РД[Дом],$C$83,РД[Дата подачи на регистрацию],"&lt;="&amp;$A$1,РД[Дата подачи на регистрацию],"&gt;="&amp;DATE(YEAR($A$1),MONTH($A$1),1))</f>
        <v>0</v>
      </c>
      <c r="R87" s="949"/>
      <c r="S87" s="949"/>
      <c r="T87" s="949"/>
    </row>
    <row r="88" spans="1:21">
      <c r="A88" s="1043" t="s">
        <v>114</v>
      </c>
      <c r="B88" s="1111">
        <v>483</v>
      </c>
      <c r="C88" s="964">
        <v>38064120</v>
      </c>
      <c r="D88" s="965">
        <v>15</v>
      </c>
      <c r="E88" s="1076">
        <f t="shared" ref="E88:J88" si="4">SUM(E85:E87)</f>
        <v>976.45</v>
      </c>
      <c r="F88" s="1077">
        <f t="shared" si="4"/>
        <v>78682051.659999996</v>
      </c>
      <c r="G88" s="1078">
        <f t="shared" si="4"/>
        <v>29</v>
      </c>
      <c r="H88" s="473">
        <f t="shared" si="4"/>
        <v>976.45</v>
      </c>
      <c r="I88" s="429">
        <f t="shared" si="4"/>
        <v>78682051.660000011</v>
      </c>
      <c r="J88" s="494">
        <f t="shared" si="4"/>
        <v>29</v>
      </c>
      <c r="K88" s="419">
        <f>IFERROR(H88/B88,)</f>
        <v>2.0216356107660456</v>
      </c>
      <c r="L88" s="507">
        <f>IFERROR(I88/C88,)</f>
        <v>2.0670923604696498</v>
      </c>
      <c r="M88" s="168">
        <f>SUM(M85:M87)</f>
        <v>14</v>
      </c>
      <c r="N88" s="897">
        <f>SUM(N85:N87)</f>
        <v>12</v>
      </c>
      <c r="O88" s="897">
        <f>SUM(O85:O87)</f>
        <v>3</v>
      </c>
      <c r="P88" s="1093">
        <f>SUM(P85:P87)</f>
        <v>0</v>
      </c>
      <c r="Q88" s="898">
        <f>SUM(Q85:Q87)</f>
        <v>0</v>
      </c>
      <c r="R88" s="949"/>
      <c r="S88" s="949"/>
      <c r="T88" s="949"/>
    </row>
    <row r="89" spans="1:21" ht="25.5">
      <c r="A89" s="692" t="s">
        <v>115</v>
      </c>
      <c r="B89" s="686" t="s">
        <v>100</v>
      </c>
      <c r="C89" s="693" t="s">
        <v>97</v>
      </c>
      <c r="D89" s="688" t="s">
        <v>95</v>
      </c>
      <c r="E89" s="1051" t="s">
        <v>494</v>
      </c>
      <c r="F89" s="138" t="s">
        <v>495</v>
      </c>
      <c r="G89" s="139" t="s">
        <v>496</v>
      </c>
      <c r="H89" s="140" t="s">
        <v>101</v>
      </c>
      <c r="I89" s="141" t="s">
        <v>98</v>
      </c>
      <c r="J89" s="141" t="s">
        <v>96</v>
      </c>
      <c r="K89" s="495" t="s">
        <v>715</v>
      </c>
      <c r="L89" s="1027" t="s">
        <v>716</v>
      </c>
      <c r="M89" s="1087">
        <v>0</v>
      </c>
      <c r="N89" s="1033">
        <v>1</v>
      </c>
      <c r="O89" s="1033">
        <v>2</v>
      </c>
      <c r="P89" s="1033">
        <v>3</v>
      </c>
      <c r="Q89" s="1104">
        <v>4</v>
      </c>
      <c r="R89" s="950"/>
      <c r="S89" s="950"/>
      <c r="T89" s="950"/>
      <c r="U89" s="951"/>
    </row>
    <row r="90" spans="1:21">
      <c r="A90" s="1072" t="s">
        <v>16</v>
      </c>
      <c r="B90" s="291">
        <v>144.9</v>
      </c>
      <c r="C90" s="292">
        <v>11419236</v>
      </c>
      <c r="D90" s="694">
        <v>6</v>
      </c>
      <c r="E90" s="1046">
        <f>SUMIFS(Август202236[м2],Август202236[ИМ],A90,Август202236[№ дома],$C$83)</f>
        <v>433.87999999999994</v>
      </c>
      <c r="F90" s="184">
        <f>SUMIFS(Август202236[сумма без отделки],Август202236[ИМ],$A90,Август202236[№ дома],$C$83)</f>
        <v>34891989.07</v>
      </c>
      <c r="G90" s="1047">
        <f>COUNTIFS(Август202236[ИМ],$A90,Август202236[№ дома],$C$83)</f>
        <v>12</v>
      </c>
      <c r="H90" s="346">
        <f>SUMIFS(РД[S],РД[Дом],$C$83,РД[ИМ],A90,РД[Дата подачи на регистрацию],"&lt;="&amp;$A$1,РД[Дата подачи на регистрацию],"&gt;="&amp;DATE(YEAR($A$1),MONTH($A$1),1))</f>
        <v>433.88</v>
      </c>
      <c r="I90" s="184">
        <f>SUMIFS(РД[Стоимость без отделки итог],РД[Дом],$C$83,РД[ИМ],A90,РД[Дата подачи на регистрацию],"&lt;="&amp;$A$1,РД[Дата подачи на регистрацию],"&gt;="&amp;DATE(YEAR($A$1),MONTH($A$1),1))</f>
        <v>34891989.07</v>
      </c>
      <c r="J90" s="243">
        <f>COUNTIFS(РД[Дом],$C$83,РД[ИМ],A90,РД[Дата подачи на регистрацию],"&lt;="&amp;$A$1,РД[Дата подачи на регистрацию],"&gt;="&amp;DATE(YEAR($A$1),MONTH($A$1),1))</f>
        <v>12</v>
      </c>
      <c r="K90" s="990">
        <f>IFERROR(H90/B90,"")</f>
        <v>2.9943409247757073</v>
      </c>
      <c r="L90" s="991">
        <f>IFERROR(I90/C90,"")</f>
        <v>3.0555449655300935</v>
      </c>
      <c r="M90" s="183">
        <f>COUNTIFS(РД[Тип кв],M$84,РД[ИМ],$A90,РД[Дом],$C$83,РД[Дата подачи на регистрацию],"&lt;="&amp;$A$1,РД[Дата подачи на регистрацию],"&gt;="&amp;DATE(YEAR($A$1),MONTH($A$1),1))</f>
        <v>5</v>
      </c>
      <c r="N90" s="243">
        <f>COUNTIFS(РД[Тип кв],N$84,РД[ИМ],$A90,РД[Дом],$C$83,РД[Дата подачи на регистрацию],"&lt;="&amp;$A$1,РД[Дата подачи на регистрацию],"&gt;="&amp;DATE(YEAR($A$1),MONTH($A$1),1))</f>
        <v>5</v>
      </c>
      <c r="O90" s="243">
        <f>COUNTIFS(РД[Тип кв],O$84,РД[ИМ],$A90,РД[Дом],$C$83,РД[Дата подачи на регистрацию],"&lt;="&amp;$A$1,РД[Дата подачи на регистрацию],"&gt;="&amp;DATE(YEAR($A$1),MONTH($A$1),1))</f>
        <v>2</v>
      </c>
      <c r="P90" s="243">
        <f>COUNTIFS(РД[Тип кв],P$84,РД[ИМ],$A90,РД[Дом],$C$83,РД[Дата подачи на регистрацию],"&lt;="&amp;$A$1,РД[Дата подачи на регистрацию],"&gt;="&amp;DATE(YEAR($A$1),MONTH($A$1),1))</f>
        <v>0</v>
      </c>
      <c r="Q90" s="246">
        <f>COUNTIFS(РД[Тип кв],Q$84,РД[ИМ],$A90,РД[Дом],$C$83,РД[Дата подачи на регистрацию],"&lt;="&amp;$A$1,РД[Дата подачи на регистрацию],"&gt;="&amp;DATE(YEAR($A$1),MONTH($A$1),1))</f>
        <v>0</v>
      </c>
      <c r="R90" s="949"/>
      <c r="S90" s="949"/>
      <c r="T90" s="949"/>
    </row>
    <row r="91" spans="1:21">
      <c r="A91" s="1073" t="s">
        <v>22</v>
      </c>
      <c r="B91" s="516">
        <v>144.9</v>
      </c>
      <c r="C91" s="554">
        <v>11419236</v>
      </c>
      <c r="D91" s="695">
        <v>6</v>
      </c>
      <c r="E91" s="1048">
        <f>SUMIFS(Август202236[м2],Август202236[ИМ],A91,Август202236[№ дома],$C$83)</f>
        <v>457.06999999999994</v>
      </c>
      <c r="F91" s="196">
        <f>SUMIFS(Август202236[сумма без отделки],Август202236[ИМ],$A91,Август202236[№ дома],$C$83)</f>
        <v>36719525.920000002</v>
      </c>
      <c r="G91" s="1049">
        <f>COUNTIFS(Август202236[ИМ],$A91,Август202236[№ дома],$C$83)</f>
        <v>14</v>
      </c>
      <c r="H91" s="426">
        <f>SUMIFS(РД[S],РД[Дом],$C$83,РД[ИМ],A91,РД[Дата подачи на регистрацию],"&lt;="&amp;$A$1,РД[Дата подачи на регистрацию],"&gt;="&amp;DATE(YEAR($A$1),MONTH($A$1),1))</f>
        <v>457.07000000000005</v>
      </c>
      <c r="I91" s="196">
        <f>SUMIFS(РД[Стоимость без отделки итог],РД[Дом],$C$83,РД[ИМ],A91,РД[Дата подачи на регистрацию],"&lt;="&amp;$A$1,РД[Дата подачи на регистрацию],"&gt;="&amp;DATE(YEAR($A$1),MONTH($A$1),1))</f>
        <v>36719525.920000009</v>
      </c>
      <c r="J91" s="251">
        <f>COUNTIFS(РД[Дом],$C$83,РД[ИМ],A91,РД[Дата подачи на регистрацию],"&lt;="&amp;$A$1,РД[Дата подачи на регистрацию],"&gt;="&amp;DATE(YEAR($A$1),MONTH($A$1),1))</f>
        <v>14</v>
      </c>
      <c r="K91" s="992">
        <f>IFERROR(H91/B91,"")</f>
        <v>3.1543823326432023</v>
      </c>
      <c r="L91" s="993">
        <f>IFERROR(I91/C91,"")</f>
        <v>3.2155851687450903</v>
      </c>
      <c r="M91" s="195">
        <f>COUNTIFS(РД[Тип кв],M$84,РД[ИМ],$A91,РД[Дом],$C$83,РД[Дата подачи на регистрацию],"&lt;="&amp;$A$1,РД[Дата подачи на регистрацию],"&gt;="&amp;DATE(YEAR($A$1),MONTH($A$1),1))</f>
        <v>7</v>
      </c>
      <c r="N91" s="251">
        <f>COUNTIFS(РД[Тип кв],N$84,РД[ИМ],$A91,РД[Дом],$C$83,РД[Дата подачи на регистрацию],"&lt;="&amp;$A$1,РД[Дата подачи на регистрацию],"&gt;="&amp;DATE(YEAR($A$1),MONTH($A$1),1))</f>
        <v>6</v>
      </c>
      <c r="O91" s="251">
        <f>COUNTIFS(РД[Тип кв],O$84,РД[ИМ],$A91,РД[Дом],$C$83,РД[Дата подачи на регистрацию],"&lt;="&amp;$A$1,РД[Дата подачи на регистрацию],"&gt;="&amp;DATE(YEAR($A$1),MONTH($A$1),1))</f>
        <v>1</v>
      </c>
      <c r="P91" s="251">
        <f>COUNTIFS(РД[Тип кв],P$84,РД[ИМ],$A91,РД[Дом],$C$83,РД[Дата подачи на регистрацию],"&lt;="&amp;$A$1,РД[Дата подачи на регистрацию],"&gt;="&amp;DATE(YEAR($A$1),MONTH($A$1),1))</f>
        <v>0</v>
      </c>
      <c r="Q91" s="254">
        <f>COUNTIFS(РД[Тип кв],Q$84,РД[ИМ],$A91,РД[Дом],$C$83,РД[Дата подачи на регистрацию],"&lt;="&amp;$A$1,РД[Дата подачи на регистрацию],"&gt;="&amp;DATE(YEAR($A$1),MONTH($A$1),1))</f>
        <v>0</v>
      </c>
      <c r="R91" s="949"/>
      <c r="S91" s="949"/>
      <c r="T91" s="949"/>
    </row>
    <row r="92" spans="1:21">
      <c r="A92" s="317" t="s">
        <v>114</v>
      </c>
      <c r="B92" s="323">
        <v>289.8</v>
      </c>
      <c r="C92" s="429">
        <v>22838472</v>
      </c>
      <c r="D92" s="497">
        <v>12</v>
      </c>
      <c r="E92" s="484">
        <f t="shared" ref="E92:J92" si="5">SUM(E90:E90)</f>
        <v>433.87999999999994</v>
      </c>
      <c r="F92" s="429">
        <f t="shared" si="5"/>
        <v>34891989.07</v>
      </c>
      <c r="G92" s="497">
        <f t="shared" si="5"/>
        <v>12</v>
      </c>
      <c r="H92" s="473">
        <f t="shared" si="5"/>
        <v>433.88</v>
      </c>
      <c r="I92" s="429">
        <f t="shared" si="5"/>
        <v>34891989.07</v>
      </c>
      <c r="J92" s="494">
        <f t="shared" si="5"/>
        <v>12</v>
      </c>
      <c r="K92" s="419">
        <f>IFERROR(H92/B92,)</f>
        <v>1.4971704623878537</v>
      </c>
      <c r="L92" s="507">
        <f>IFERROR(I92/C92,)</f>
        <v>1.5277724827650467</v>
      </c>
      <c r="M92" s="317">
        <f>SUM(M90:M90)</f>
        <v>5</v>
      </c>
      <c r="N92" s="917">
        <f>SUM(N90:N90)</f>
        <v>5</v>
      </c>
      <c r="O92" s="917">
        <f>SUM(O90:O90)</f>
        <v>2</v>
      </c>
      <c r="P92" s="917">
        <f>SUM(P90:P90)</f>
        <v>0</v>
      </c>
      <c r="Q92" s="928">
        <f>SUM(Q90:Q90)</f>
        <v>0</v>
      </c>
      <c r="R92" s="949"/>
      <c r="S92" s="949"/>
      <c r="T92" s="949"/>
    </row>
    <row r="93" spans="1:21">
      <c r="A93" s="7"/>
      <c r="B93" s="968"/>
      <c r="C93" s="968"/>
      <c r="D93" s="969"/>
      <c r="E93" s="7"/>
      <c r="F93" s="7"/>
      <c r="G93" s="7"/>
      <c r="H93" s="134"/>
      <c r="I93" s="134"/>
      <c r="J93" s="134"/>
      <c r="K93" s="7"/>
      <c r="L93" s="994"/>
      <c r="M93" s="134"/>
      <c r="N93" s="134"/>
      <c r="O93" s="134"/>
      <c r="P93" s="262"/>
      <c r="Q93" s="134"/>
      <c r="R93" s="949"/>
      <c r="S93" s="949"/>
      <c r="T93" s="949"/>
    </row>
    <row r="94" spans="1:21">
      <c r="A94" s="2290" t="s">
        <v>713</v>
      </c>
      <c r="B94" s="2291"/>
      <c r="C94" s="935" t="s">
        <v>7</v>
      </c>
      <c r="D94" s="2292"/>
      <c r="E94" s="2292"/>
      <c r="F94" s="2292"/>
      <c r="G94" s="2292"/>
      <c r="H94" s="2292"/>
      <c r="I94" s="2292"/>
      <c r="J94" s="2292"/>
      <c r="K94" s="2292"/>
      <c r="L94" s="2292"/>
      <c r="M94" s="2292"/>
      <c r="N94" s="2292"/>
      <c r="O94" s="2292"/>
      <c r="P94" s="2292"/>
      <c r="Q94" s="7"/>
      <c r="R94" s="949"/>
      <c r="S94" s="949"/>
      <c r="T94" s="949"/>
    </row>
    <row r="95" spans="1:21" ht="25.5">
      <c r="A95" s="692" t="s">
        <v>1</v>
      </c>
      <c r="B95" s="686" t="s">
        <v>100</v>
      </c>
      <c r="C95" s="688" t="s">
        <v>97</v>
      </c>
      <c r="D95" s="688" t="s">
        <v>95</v>
      </c>
      <c r="E95" s="1022" t="s">
        <v>494</v>
      </c>
      <c r="F95" s="138" t="s">
        <v>495</v>
      </c>
      <c r="G95" s="139" t="s">
        <v>496</v>
      </c>
      <c r="H95" s="140" t="s">
        <v>101</v>
      </c>
      <c r="I95" s="141" t="s">
        <v>98</v>
      </c>
      <c r="J95" s="141" t="s">
        <v>96</v>
      </c>
      <c r="K95" s="141" t="s">
        <v>715</v>
      </c>
      <c r="L95" s="1026" t="s">
        <v>716</v>
      </c>
      <c r="M95" s="1092">
        <v>0</v>
      </c>
      <c r="N95" s="1044">
        <v>1</v>
      </c>
      <c r="O95" s="1044">
        <v>2</v>
      </c>
      <c r="P95" s="1044">
        <v>3</v>
      </c>
      <c r="Q95" s="1045">
        <v>4</v>
      </c>
      <c r="R95" s="949"/>
      <c r="S95" s="949"/>
      <c r="T95" s="949"/>
    </row>
    <row r="96" spans="1:21">
      <c r="A96" s="1035" t="s">
        <v>73</v>
      </c>
      <c r="B96" s="1036">
        <v>273.3</v>
      </c>
      <c r="C96" s="939">
        <v>21044614.333333299</v>
      </c>
      <c r="D96" s="1074">
        <v>9</v>
      </c>
      <c r="E96" s="145">
        <f>SUMIFS(Август202236[м2],Август202236[МОП],$A96,Август202236[№ дома],$C$94)</f>
        <v>0</v>
      </c>
      <c r="F96" s="939">
        <f>SUMIFS(Август202236[сумма без отделки],Август202236[МОП],$A96,Август202236[№ дома],$C$94)</f>
        <v>0</v>
      </c>
      <c r="G96" s="940">
        <f>COUNTIFS(Август202236[МОП],$A96,Август202236[№ дома],$C$94)</f>
        <v>0</v>
      </c>
      <c r="H96" s="148">
        <f>SUMIFS(РД[S],РД[Дом],$C$94,РД[МОП],A96,РД[Дата подачи на регистрацию],"&lt;="&amp;$A$1,РД[Дата подачи на регистрацию],"&gt;="&amp;DATE(YEAR($A$1),MONTH($A$1),1))</f>
        <v>33.53</v>
      </c>
      <c r="I96" s="149">
        <f>SUMIFS(РД[Стоимость без отделки итог],РД[Дом],$C$94,РД[МОП],A96,РД[Дата подачи на регистрацию],"&lt;="&amp;$A$1,РД[Дата подачи на регистрацию],"&gt;="&amp;DATE(YEAR($A$1),MONTH($A$1),1))</f>
        <v>2588663.5299999993</v>
      </c>
      <c r="J96" s="220">
        <f>COUNTIFS(РД[Дом],$C$94,РД[МОП],A96,РД[Дата подачи на регистрацию],"&lt;="&amp;$A$1,РД[Дата подачи на регистрацию],"&gt;="&amp;DATE(YEAR($A$1),MONTH($A$1),1))</f>
        <v>1</v>
      </c>
      <c r="K96" s="943">
        <f t="shared" ref="K96:L98" si="6">IFERROR(H96/B96,"")</f>
        <v>0.12268569337724113</v>
      </c>
      <c r="L96" s="944">
        <f t="shared" si="6"/>
        <v>0.12300836161676409</v>
      </c>
      <c r="M96" s="1088">
        <f>COUNTIFS(РД[Тип кв],M$84,РД[МОП],$A96,РД[Дом],$C$94,РД[Дата подачи на регистрацию],"&lt;="&amp;$A$1,РД[Дата подачи на регистрацию],"&gt;="&amp;DATE(YEAR($A$1),MONTH($A$1),1))</f>
        <v>0</v>
      </c>
      <c r="N96" s="1089">
        <f>COUNTIFS(РД[Тип кв],N$84,РД[МОП],$A96,РД[Дом],$C$94,РД[Дата подачи на регистрацию],"&lt;="&amp;$A$1,РД[Дата подачи на регистрацию],"&gt;="&amp;DATE(YEAR($A$1),MONTH($A$1),1))</f>
        <v>1</v>
      </c>
      <c r="O96" s="1089">
        <f>COUNTIFS(РД[Тип кв],O$84,РД[МОП],$A96,РД[Дом],$C$94,РД[Дата подачи на регистрацию],"&lt;="&amp;$A$1,РД[Дата подачи на регистрацию],"&gt;="&amp;DATE(YEAR($A$1),MONTH($A$1),1))</f>
        <v>0</v>
      </c>
      <c r="P96" s="1089">
        <f>COUNTIFS(РД[Тип кв],P$84,РД[МОП],$A96,РД[Дом],$C$94,РД[Дата подачи на регистрацию],"&lt;="&amp;$A$1,РД[Дата подачи на регистрацию],"&gt;="&amp;DATE(YEAR($A$1),MONTH($A$1),1))</f>
        <v>0</v>
      </c>
      <c r="Q96" s="1098">
        <f>COUNTIFS(РД[Тип кв],Q$84,РД[МОП],$A96,РД[Дом],$C$94,РД[Дата подачи на регистрацию],"&lt;="&amp;$A$1,РД[Дата подачи на регистрацию],"&gt;="&amp;DATE(YEAR($A$1),MONTH($A$1),1))</f>
        <v>0</v>
      </c>
      <c r="R96" s="949"/>
      <c r="S96" s="949"/>
      <c r="T96" s="949"/>
    </row>
    <row r="97" spans="1:21">
      <c r="A97" s="1039" t="s">
        <v>77</v>
      </c>
      <c r="B97" s="1036">
        <v>273.3</v>
      </c>
      <c r="C97" s="939">
        <v>21044614.333333299</v>
      </c>
      <c r="D97" s="1041">
        <v>9</v>
      </c>
      <c r="E97" s="145">
        <f>SUMIFS(Август202236[м2],Август202236[МОП],$A97,Август202236[№ дома],$C$94)</f>
        <v>33.840000000000003</v>
      </c>
      <c r="F97" s="939">
        <f>SUMIFS(Август202236[сумма без отделки],Август202236[МОП],$A97,Август202236[№ дома],$C$94)</f>
        <v>2612596.9</v>
      </c>
      <c r="G97" s="940">
        <f>COUNTIFS(Август202236[МОП],$A97,Август202236[№ дома],$C$94)</f>
        <v>1</v>
      </c>
      <c r="H97" s="148">
        <f>SUMIFS(РД[S],РД[Дом],$C$94,РД[МОП],A97,РД[Дата подачи на регистрацию],"&lt;="&amp;$A$1,РД[Дата подачи на регистрацию],"&gt;="&amp;DATE(YEAR($A$1),MONTH($A$1),1))</f>
        <v>33.840000000000003</v>
      </c>
      <c r="I97" s="149">
        <f>SUMIFS(РД[Стоимость без отделки итог],РД[Дом],$C$94,РД[МОП],A97,РД[Дата подачи на регистрацию],"&lt;="&amp;$A$1,РД[Дата подачи на регистрацию],"&gt;="&amp;DATE(YEAR($A$1),MONTH($A$1),1))</f>
        <v>2612596.9</v>
      </c>
      <c r="J97" s="220">
        <f>COUNTIFS(РД[Дом],$C$94,РД[МОП],A97,РД[Дата подачи на регистрацию],"&lt;="&amp;$A$1,РД[Дата подачи на регистрацию],"&gt;="&amp;DATE(YEAR($A$1),MONTH($A$1),1))</f>
        <v>1</v>
      </c>
      <c r="K97" s="987">
        <f t="shared" si="6"/>
        <v>0.12381997804610319</v>
      </c>
      <c r="L97" s="988">
        <f t="shared" si="6"/>
        <v>0.12414562978528033</v>
      </c>
      <c r="M97" s="1090">
        <f>COUNTIFS(РД[Тип кв],M$84,РД[МОП],$A97,РД[Дом],$C$94,РД[Дата подачи на регистрацию],"&lt;="&amp;$A$1,РД[Дата подачи на регистрацию],"&gt;="&amp;DATE(YEAR($A$1),MONTH($A$1),1))</f>
        <v>0</v>
      </c>
      <c r="N97" s="339">
        <f>COUNTIFS(РД[Тип кв],N$84,РД[МОП],$A97,РД[Дом],$C$94,РД[Дата подачи на регистрацию],"&lt;="&amp;$A$1,РД[Дата подачи на регистрацию],"&gt;="&amp;DATE(YEAR($A$1),MONTH($A$1),1))</f>
        <v>1</v>
      </c>
      <c r="O97" s="339">
        <f>COUNTIFS(РД[Тип кв],O$84,РД[МОП],$A97,РД[Дом],$C$94,РД[Дата подачи на регистрацию],"&lt;="&amp;$A$1,РД[Дата подачи на регистрацию],"&gt;="&amp;DATE(YEAR($A$1),MONTH($A$1),1))</f>
        <v>0</v>
      </c>
      <c r="P97" s="339">
        <f>COUNTIFS(РД[Тип кв],P$84,РД[МОП],$A97,РД[Дом],$C$94,РД[Дата подачи на регистрацию],"&lt;="&amp;$A$1,РД[Дата подачи на регистрацию],"&gt;="&amp;DATE(YEAR($A$1),MONTH($A$1),1))</f>
        <v>0</v>
      </c>
      <c r="Q97" s="1099">
        <f>COUNTIFS(РД[Тип кв],Q$84,РД[МОП],$A97,РД[Дом],$C$94,РД[Дата подачи на регистрацию],"&lt;="&amp;$A$1,РД[Дата подачи на регистрацию],"&gt;="&amp;DATE(YEAR($A$1),MONTH($A$1),1))</f>
        <v>0</v>
      </c>
      <c r="R97" s="949"/>
      <c r="S97" s="949"/>
      <c r="T97" s="949"/>
    </row>
    <row r="98" spans="1:21">
      <c r="A98" s="1110" t="s">
        <v>63</v>
      </c>
      <c r="B98" s="1112">
        <v>273.3</v>
      </c>
      <c r="C98" s="1055">
        <v>21044614.333333299</v>
      </c>
      <c r="D98" s="1054">
        <v>9</v>
      </c>
      <c r="E98" s="145">
        <f>SUMIFS(Август202236[м2],Август202236[МОП],$A98,Август202236[№ дома],$C$94)</f>
        <v>182.97</v>
      </c>
      <c r="F98" s="939">
        <f>SUMIFS(Август202236[сумма без отделки],Август202236[МОП],$A98,Август202236[№ дома],$C$94)</f>
        <v>13887170.319999998</v>
      </c>
      <c r="G98" s="940">
        <f>COUNTIFS(Август202236[МОП],$A98,Август202236[№ дома],$C$94)</f>
        <v>4</v>
      </c>
      <c r="H98" s="148">
        <f>SUMIFS(РД[S],РД[Дом],$C$94,РД[МОП],A98,РД[Дата подачи на регистрацию],"&lt;="&amp;$A$1,РД[Дата подачи на регистрацию],"&gt;="&amp;DATE(YEAR($A$1),MONTH($A$1),1))</f>
        <v>182.97</v>
      </c>
      <c r="I98" s="149">
        <f>SUMIFS(РД[Стоимость без отделки итог],РД[Дом],$C$94,РД[МОП],A98,РД[Дата подачи на регистрацию],"&lt;="&amp;$A$1,РД[Дата подачи на регистрацию],"&gt;="&amp;DATE(YEAR($A$1),MONTH($A$1),1))</f>
        <v>13887170.32</v>
      </c>
      <c r="J98" s="220">
        <f>COUNTIFS(РД[Дом],$C$94,РД[МОП],A98,РД[Дата подачи на регистрацию],"&lt;="&amp;$A$1,РД[Дата подачи на регистрацию],"&gt;="&amp;DATE(YEAR($A$1),MONTH($A$1),1))</f>
        <v>4</v>
      </c>
      <c r="K98" s="1063">
        <f t="shared" si="6"/>
        <v>0.66948408342480792</v>
      </c>
      <c r="L98" s="1065">
        <f t="shared" si="6"/>
        <v>0.65989188967951895</v>
      </c>
      <c r="M98" s="1100">
        <f>COUNTIFS(РД[Тип кв],M$84,РД[МОП],$A98,РД[Дом],$C$94,РД[Дата подачи на регистрацию],"&lt;="&amp;$A$1,РД[Дата подачи на регистрацию],"&gt;="&amp;DATE(YEAR($A$1),MONTH($A$1),1))</f>
        <v>2</v>
      </c>
      <c r="N98" s="1101">
        <f>COUNTIFS(РД[Тип кв],N$84,РД[МОП],$A98,РД[Дом],$C$94,РД[Дата подачи на регистрацию],"&lt;="&amp;$A$1,РД[Дата подачи на регистрацию],"&gt;="&amp;DATE(YEAR($A$1),MONTH($A$1),1))</f>
        <v>0</v>
      </c>
      <c r="O98" s="1101">
        <f>COUNTIFS(РД[Тип кв],O$84,РД[МОП],$A98,РД[Дом],$C$94,РД[Дата подачи на регистрацию],"&lt;="&amp;$A$1,РД[Дата подачи на регистрацию],"&gt;="&amp;DATE(YEAR($A$1),MONTH($A$1),1))</f>
        <v>2</v>
      </c>
      <c r="P98" s="1101">
        <f>COUNTIFS(РД[Тип кв],P$84,РД[МОП],$A98,РД[Дом],$C$94,РД[Дата подачи на регистрацию],"&lt;="&amp;$A$1,РД[Дата подачи на регистрацию],"&gt;="&amp;DATE(YEAR($A$1),MONTH($A$1),1))</f>
        <v>0</v>
      </c>
      <c r="Q98" s="1102">
        <f>COUNTIFS(РД[Тип кв],Q$84,РД[МОП],$A98,РД[Дом],$C$94,РД[Дата подачи на регистрацию],"&lt;="&amp;$A$1,РД[Дата подачи на регистрацию],"&gt;="&amp;DATE(YEAR($A$1),MONTH($A$1),1))</f>
        <v>0</v>
      </c>
      <c r="R98" s="949"/>
      <c r="S98" s="949"/>
      <c r="T98" s="949"/>
    </row>
    <row r="99" spans="1:21">
      <c r="A99" s="1043" t="s">
        <v>114</v>
      </c>
      <c r="B99" s="1111">
        <v>819.9</v>
      </c>
      <c r="C99" s="429">
        <v>63133843</v>
      </c>
      <c r="D99" s="965">
        <v>27</v>
      </c>
      <c r="E99" s="1076">
        <f t="shared" ref="E99:J99" si="7">SUM(E96:E98)</f>
        <v>216.81</v>
      </c>
      <c r="F99" s="1077">
        <f t="shared" si="7"/>
        <v>16499767.219999999</v>
      </c>
      <c r="G99" s="1078">
        <f t="shared" si="7"/>
        <v>5</v>
      </c>
      <c r="H99" s="473">
        <f t="shared" si="7"/>
        <v>250.34</v>
      </c>
      <c r="I99" s="429">
        <f t="shared" si="7"/>
        <v>19088430.75</v>
      </c>
      <c r="J99" s="494">
        <f t="shared" si="7"/>
        <v>6</v>
      </c>
      <c r="K99" s="419">
        <f>IFERROR(H99/B99,)</f>
        <v>0.30532991828271744</v>
      </c>
      <c r="L99" s="507">
        <f>IFERROR(I99/C99,)</f>
        <v>0.30234862702718729</v>
      </c>
      <c r="M99" s="168">
        <f>SUM(M96:M98)</f>
        <v>2</v>
      </c>
      <c r="N99" s="897">
        <f>SUM(N96:N98)</f>
        <v>2</v>
      </c>
      <c r="O99" s="897">
        <f>SUM(O96:O98)</f>
        <v>2</v>
      </c>
      <c r="P99" s="1093">
        <f>SUM(P96:P98)</f>
        <v>0</v>
      </c>
      <c r="Q99" s="898">
        <f>SUM(Q96:Q98)</f>
        <v>0</v>
      </c>
      <c r="R99" s="949"/>
      <c r="S99" s="949"/>
      <c r="T99" s="949"/>
    </row>
    <row r="100" spans="1:21" ht="25.5">
      <c r="A100" s="692" t="s">
        <v>115</v>
      </c>
      <c r="B100" s="1079" t="s">
        <v>100</v>
      </c>
      <c r="C100" s="1080" t="s">
        <v>97</v>
      </c>
      <c r="D100" s="715" t="s">
        <v>95</v>
      </c>
      <c r="E100" s="1051" t="s">
        <v>494</v>
      </c>
      <c r="F100" s="138" t="s">
        <v>495</v>
      </c>
      <c r="G100" s="139" t="s">
        <v>496</v>
      </c>
      <c r="H100" s="140" t="s">
        <v>101</v>
      </c>
      <c r="I100" s="141" t="s">
        <v>98</v>
      </c>
      <c r="J100" s="141" t="s">
        <v>96</v>
      </c>
      <c r="K100" s="495" t="s">
        <v>715</v>
      </c>
      <c r="L100" s="1027" t="s">
        <v>716</v>
      </c>
      <c r="M100" s="1087">
        <v>0</v>
      </c>
      <c r="N100" s="1033">
        <v>1</v>
      </c>
      <c r="O100" s="1033">
        <v>2</v>
      </c>
      <c r="P100" s="1033">
        <v>3</v>
      </c>
      <c r="Q100" s="1104">
        <v>4</v>
      </c>
      <c r="R100" s="949"/>
      <c r="S100" s="949"/>
      <c r="T100" s="949"/>
    </row>
    <row r="101" spans="1:21">
      <c r="A101" s="1072" t="s">
        <v>16</v>
      </c>
      <c r="B101" s="291">
        <v>245.97</v>
      </c>
      <c r="C101" s="292">
        <v>18940152.899999999</v>
      </c>
      <c r="D101" s="694">
        <v>11</v>
      </c>
      <c r="E101" s="1046">
        <f>SUMIFS(Август202236[м2],Август202236[ИМ],A101,Август202236[№ дома],$C$94)</f>
        <v>63.190000000000005</v>
      </c>
      <c r="F101" s="184">
        <f>SUMIFS(Август202236[сумма без отделки],Август202236[ИМ],$A101,Август202236[№ дома],$C$94)</f>
        <v>4942399.9000000004</v>
      </c>
      <c r="G101" s="1047">
        <f>COUNTIFS(Август202236[ИМ],$A101,Август202236[№ дома],$C$94)</f>
        <v>2</v>
      </c>
      <c r="H101" s="346">
        <f>SUMIFS(РД[S],РД[Дом],$C$94,РД[ИМ],A101,РД[Дата подачи на регистрацию],"&lt;="&amp;$A$1,РД[Дата подачи на регистрацию],"&gt;="&amp;DATE(YEAR($A$1),MONTH($A$1),1))</f>
        <v>63.190000000000005</v>
      </c>
      <c r="I101" s="184">
        <f>SUMIFS(РД[Стоимость без отделки итог],РД[Дом],$C$94,РД[ИМ],A101,РД[Дата подачи на регистрацию],"&lt;="&amp;$A$1,РД[Дата подачи на регистрацию],"&gt;="&amp;DATE(YEAR($A$1),MONTH($A$1),1))</f>
        <v>4942399.9000000004</v>
      </c>
      <c r="J101" s="243">
        <f>COUNTIFS(РД[Дом],$C$94,РД[ИМ],A101,РД[Дата подачи на регистрацию],"&lt;="&amp;$A$1,РД[Дата подачи на регистрацию],"&gt;="&amp;DATE(YEAR($A$1),MONTH($A$1),1))</f>
        <v>2</v>
      </c>
      <c r="K101" s="990">
        <f>IFERROR(H101/B101,"")</f>
        <v>0.2569012481196894</v>
      </c>
      <c r="L101" s="991">
        <f>IFERROR(I101/C101,"")</f>
        <v>0.26094825770915508</v>
      </c>
      <c r="M101" s="183">
        <f>COUNTIFS(РД[Тип кв],M$84,РД[ИМ],$A101,РД[Дом],$C$94,РД[Дата подачи на регистрацию],"&lt;="&amp;$A$1,РД[Дата подачи на регистрацию],"&gt;="&amp;DATE(YEAR($A$1),MONTH($A$1),1))</f>
        <v>1</v>
      </c>
      <c r="N101" s="243">
        <f>COUNTIFS(РД[Тип кв],N$84,РД[ИМ],$A101,РД[Дом],$C$94,РД[Дата подачи на регистрацию],"&lt;="&amp;$A$1,РД[Дата подачи на регистрацию],"&gt;="&amp;DATE(YEAR($A$1),MONTH($A$1),1))</f>
        <v>1</v>
      </c>
      <c r="O101" s="243">
        <f>COUNTIFS(РД[Тип кв],O$84,РД[ИМ],$A101,РД[Дом],$C$94,РД[Дата подачи на регистрацию],"&lt;="&amp;$A$1,РД[Дата подачи на регистрацию],"&gt;="&amp;DATE(YEAR($A$1),MONTH($A$1),1))</f>
        <v>0</v>
      </c>
      <c r="P101" s="243">
        <f>COUNTIFS(РД[Тип кв],P$84,РД[ИМ],$A101,РД[Дом],$C$94,РД[Дата подачи на регистрацию],"&lt;="&amp;$A$1,РД[Дата подачи на регистрацию],"&gt;="&amp;DATE(YEAR($A$1),MONTH($A$1),1))</f>
        <v>0</v>
      </c>
      <c r="Q101" s="246">
        <f>COUNTIFS(РД[Тип кв],Q$84,РД[ИМ],$A101,РД[Дом],$C$94,РД[Дата подачи на регистрацию],"&lt;="&amp;$A$1,РД[Дата подачи на регистрацию],"&gt;="&amp;DATE(YEAR($A$1),MONTH($A$1),1))</f>
        <v>0</v>
      </c>
      <c r="R101" s="949"/>
      <c r="S101" s="949"/>
      <c r="T101" s="949"/>
    </row>
    <row r="102" spans="1:21">
      <c r="A102" s="1073" t="s">
        <v>22</v>
      </c>
      <c r="B102" s="516">
        <v>245.97</v>
      </c>
      <c r="C102" s="554">
        <v>18940152.899999999</v>
      </c>
      <c r="D102" s="695">
        <v>11</v>
      </c>
      <c r="E102" s="1048">
        <f>SUMIFS(Август202236[м2],Август202236[ИМ],A102,Август202236[№ дома],$C$94)</f>
        <v>0</v>
      </c>
      <c r="F102" s="196">
        <f>SUMIFS(Август202236[сумма без отделки],Август202236[ИМ],$A102,Август202236[№ дома],$C$94)</f>
        <v>0</v>
      </c>
      <c r="G102" s="1049">
        <f>COUNTIFS(Август202236[ИМ],$A102,Август202236[№ дома],$C$94)</f>
        <v>0</v>
      </c>
      <c r="H102" s="426">
        <f>SUMIFS(РД[S],РД[Дом],$C$94,РД[ИМ],A102,РД[Дата подачи на регистрацию],"&lt;="&amp;$A$1,РД[Дата подачи на регистрацию],"&gt;="&amp;DATE(YEAR($A$1),MONTH($A$1),1))</f>
        <v>0</v>
      </c>
      <c r="I102" s="196">
        <f>SUMIFS(РД[Стоимость без отделки итог],РД[Дом],$C$94,РД[ИМ],A102,РД[Дата подачи на регистрацию],"&lt;="&amp;$A$1,РД[Дата подачи на регистрацию],"&gt;="&amp;DATE(YEAR($A$1),MONTH($A$1),1))</f>
        <v>0</v>
      </c>
      <c r="J102" s="251">
        <f>COUNTIFS(РД[Дом],$C$94,РД[ИМ],A102,РД[Дата подачи на регистрацию],"&lt;="&amp;$A$1,РД[Дата подачи на регистрацию],"&gt;="&amp;DATE(YEAR($A$1),MONTH($A$1),1))</f>
        <v>0</v>
      </c>
      <c r="K102" s="992">
        <f>IFERROR(H102/B102,"")</f>
        <v>0</v>
      </c>
      <c r="L102" s="993">
        <f>IFERROR(I102/C102,"")</f>
        <v>0</v>
      </c>
      <c r="M102" s="195">
        <f>COUNTIFS(РД[Тип кв],M$84,РД[ИМ],$A102,РД[Дом],$C$94,РД[Дата подачи на регистрацию],"&lt;="&amp;$A$1,РД[Дата подачи на регистрацию],"&gt;="&amp;DATE(YEAR($A$1),MONTH($A$1),1))</f>
        <v>0</v>
      </c>
      <c r="N102" s="251">
        <f>COUNTIFS(РД[Тип кв],N$84,РД[ИМ],$A102,РД[Дом],$C$94,РД[Дата подачи на регистрацию],"&lt;="&amp;$A$1,РД[Дата подачи на регистрацию],"&gt;="&amp;DATE(YEAR($A$1),MONTH($A$1),1))</f>
        <v>0</v>
      </c>
      <c r="O102" s="251">
        <f>COUNTIFS(РД[Тип кв],O$84,РД[ИМ],$A102,РД[Дом],$C$94,РД[Дата подачи на регистрацию],"&lt;="&amp;$A$1,РД[Дата подачи на регистрацию],"&gt;="&amp;DATE(YEAR($A$1),MONTH($A$1),1))</f>
        <v>0</v>
      </c>
      <c r="P102" s="251">
        <f>COUNTIFS(РД[Тип кв],P$84,РД[ИМ],$A102,РД[Дом],$C$94,РД[Дата подачи на регистрацию],"&lt;="&amp;$A$1,РД[Дата подачи на регистрацию],"&gt;="&amp;DATE(YEAR($A$1),MONTH($A$1),1))</f>
        <v>0</v>
      </c>
      <c r="Q102" s="254">
        <f>COUNTIFS(РД[Тип кв],Q$84,РД[ИМ],$A102,РД[Дом],$C$94,РД[Дата подачи на регистрацию],"&lt;="&amp;$A$1,РД[Дата подачи на регистрацию],"&gt;="&amp;DATE(YEAR($A$1),MONTH($A$1),1))</f>
        <v>0</v>
      </c>
      <c r="R102" s="949"/>
      <c r="S102" s="949"/>
      <c r="T102" s="949"/>
    </row>
    <row r="103" spans="1:21">
      <c r="A103" s="317" t="s">
        <v>114</v>
      </c>
      <c r="B103" s="323">
        <v>491.94</v>
      </c>
      <c r="C103" s="429">
        <v>37880305.799999997</v>
      </c>
      <c r="D103" s="497">
        <v>22</v>
      </c>
      <c r="E103" s="484">
        <f t="shared" ref="E103:J103" si="8">SUM(E101:E101)</f>
        <v>63.190000000000005</v>
      </c>
      <c r="F103" s="429">
        <f t="shared" si="8"/>
        <v>4942399.9000000004</v>
      </c>
      <c r="G103" s="497">
        <f t="shared" si="8"/>
        <v>2</v>
      </c>
      <c r="H103" s="473">
        <f t="shared" si="8"/>
        <v>63.190000000000005</v>
      </c>
      <c r="I103" s="429">
        <f t="shared" si="8"/>
        <v>4942399.9000000004</v>
      </c>
      <c r="J103" s="494">
        <f t="shared" si="8"/>
        <v>2</v>
      </c>
      <c r="K103" s="419">
        <f>IFERROR(H103/B103,)</f>
        <v>0.1284506240598447</v>
      </c>
      <c r="L103" s="507">
        <f>IFERROR(I103/C103,)</f>
        <v>0.13047412885457754</v>
      </c>
      <c r="M103" s="317">
        <f>SUM(M101:M101)</f>
        <v>1</v>
      </c>
      <c r="N103" s="917">
        <f>SUM(N101:N101)</f>
        <v>1</v>
      </c>
      <c r="O103" s="917">
        <f>SUM(O101:O101)</f>
        <v>0</v>
      </c>
      <c r="P103" s="917">
        <f>SUM(P101:P101)</f>
        <v>0</v>
      </c>
      <c r="Q103" s="928">
        <f>SUM(Q101:Q101)</f>
        <v>0</v>
      </c>
      <c r="R103" s="949"/>
      <c r="S103" s="949"/>
      <c r="T103" s="949"/>
    </row>
    <row r="104" spans="1:21">
      <c r="A104" s="7"/>
      <c r="B104" s="968"/>
      <c r="C104" s="968"/>
      <c r="D104" s="969"/>
      <c r="E104" s="7"/>
      <c r="F104" s="7"/>
      <c r="G104" s="7"/>
      <c r="H104" s="134"/>
      <c r="I104" s="134"/>
      <c r="J104" s="134"/>
      <c r="K104" s="7"/>
      <c r="L104" s="994"/>
      <c r="M104" s="134"/>
      <c r="N104" s="134"/>
      <c r="O104" s="134"/>
      <c r="P104" s="262"/>
      <c r="Q104" s="134"/>
      <c r="R104" s="949"/>
      <c r="S104" s="949"/>
      <c r="T104" s="949"/>
    </row>
    <row r="105" spans="1:21">
      <c r="A105" s="2293" t="s">
        <v>713</v>
      </c>
      <c r="B105" s="2294"/>
      <c r="C105" s="972" t="s">
        <v>718</v>
      </c>
      <c r="D105" s="2295"/>
      <c r="E105" s="2296"/>
      <c r="F105" s="2296"/>
      <c r="G105" s="2296"/>
      <c r="H105" s="2296"/>
      <c r="I105" s="2296"/>
      <c r="J105" s="2296"/>
      <c r="K105" s="2296"/>
      <c r="L105" s="2296"/>
      <c r="M105" s="2296"/>
      <c r="N105" s="2296"/>
      <c r="O105" s="2296"/>
      <c r="P105" s="2296"/>
      <c r="Q105" s="7"/>
      <c r="R105" s="949"/>
      <c r="S105" s="949"/>
      <c r="T105" s="949"/>
    </row>
    <row r="106" spans="1:21" ht="25.5">
      <c r="A106" s="1081" t="s">
        <v>1</v>
      </c>
      <c r="B106" s="859" t="s">
        <v>100</v>
      </c>
      <c r="C106" s="726" t="s">
        <v>97</v>
      </c>
      <c r="D106" s="708" t="s">
        <v>95</v>
      </c>
      <c r="E106" s="1022" t="s">
        <v>494</v>
      </c>
      <c r="F106" s="138" t="s">
        <v>495</v>
      </c>
      <c r="G106" s="1082" t="s">
        <v>496</v>
      </c>
      <c r="H106" s="140" t="s">
        <v>101</v>
      </c>
      <c r="I106" s="141" t="s">
        <v>98</v>
      </c>
      <c r="J106" s="141" t="s">
        <v>96</v>
      </c>
      <c r="K106" s="141" t="s">
        <v>715</v>
      </c>
      <c r="L106" s="1026" t="s">
        <v>716</v>
      </c>
      <c r="M106" s="1092">
        <v>0</v>
      </c>
      <c r="N106" s="1044">
        <v>1</v>
      </c>
      <c r="O106" s="1044">
        <v>2</v>
      </c>
      <c r="P106" s="1044">
        <v>3</v>
      </c>
      <c r="Q106" s="1045">
        <v>4</v>
      </c>
      <c r="R106" s="950"/>
      <c r="S106" s="950"/>
      <c r="T106" s="950"/>
      <c r="U106" s="951"/>
    </row>
    <row r="107" spans="1:21">
      <c r="A107" s="985" t="s">
        <v>73</v>
      </c>
      <c r="B107" s="1083">
        <v>527.96666666666704</v>
      </c>
      <c r="C107" s="1059">
        <v>42058550.666666701</v>
      </c>
      <c r="D107" s="694">
        <v>16</v>
      </c>
      <c r="E107" s="514">
        <f t="shared" ref="E107:J109" si="9">E74+E85+E96</f>
        <v>331.28</v>
      </c>
      <c r="F107" s="146">
        <f t="shared" si="9"/>
        <v>26940191.91</v>
      </c>
      <c r="G107" s="417">
        <f t="shared" si="9"/>
        <v>10</v>
      </c>
      <c r="H107" s="267">
        <f t="shared" si="9"/>
        <v>364.80999999999995</v>
      </c>
      <c r="I107" s="146">
        <f t="shared" si="9"/>
        <v>29528855.440000005</v>
      </c>
      <c r="J107" s="220">
        <f t="shared" si="9"/>
        <v>11</v>
      </c>
      <c r="K107" s="943">
        <f t="shared" ref="K107:L109" si="10">IFERROR(H107/B107,"")</f>
        <v>0.69097165225077284</v>
      </c>
      <c r="L107" s="1061">
        <f t="shared" si="10"/>
        <v>0.70208922970336574</v>
      </c>
      <c r="M107" s="1094">
        <f t="shared" ref="M107:Q109" si="11">M74+M85+M96</f>
        <v>5</v>
      </c>
      <c r="N107" s="1094">
        <f t="shared" si="11"/>
        <v>5</v>
      </c>
      <c r="O107" s="1094">
        <f t="shared" si="11"/>
        <v>1</v>
      </c>
      <c r="P107" s="1094">
        <f t="shared" si="11"/>
        <v>0</v>
      </c>
      <c r="Q107" s="1105">
        <f t="shared" si="11"/>
        <v>0</v>
      </c>
      <c r="R107" s="949"/>
      <c r="S107" s="949"/>
      <c r="T107" s="949"/>
    </row>
    <row r="108" spans="1:21">
      <c r="A108" s="981" t="s">
        <v>77</v>
      </c>
      <c r="B108" s="271">
        <v>527.96666666666704</v>
      </c>
      <c r="C108" s="52">
        <v>42058550.666666701</v>
      </c>
      <c r="D108" s="717">
        <v>16</v>
      </c>
      <c r="E108" s="416">
        <f t="shared" si="9"/>
        <v>593.74000000000012</v>
      </c>
      <c r="F108" s="52">
        <f t="shared" si="9"/>
        <v>47934938.029999994</v>
      </c>
      <c r="G108" s="421">
        <f t="shared" si="9"/>
        <v>14</v>
      </c>
      <c r="H108" s="271">
        <f t="shared" si="9"/>
        <v>596.74000000000012</v>
      </c>
      <c r="I108" s="52">
        <f t="shared" si="9"/>
        <v>47916688.029999994</v>
      </c>
      <c r="J108" s="220">
        <f t="shared" si="9"/>
        <v>14</v>
      </c>
      <c r="K108" s="987">
        <f t="shared" si="10"/>
        <v>1.130260748784645</v>
      </c>
      <c r="L108" s="1062">
        <f t="shared" si="10"/>
        <v>1.1392852884960711</v>
      </c>
      <c r="M108" s="1008">
        <f t="shared" si="11"/>
        <v>3</v>
      </c>
      <c r="N108" s="1008">
        <f t="shared" si="11"/>
        <v>7</v>
      </c>
      <c r="O108" s="1008">
        <f t="shared" si="11"/>
        <v>3</v>
      </c>
      <c r="P108" s="1008">
        <f t="shared" si="11"/>
        <v>1</v>
      </c>
      <c r="Q108" s="1106">
        <f t="shared" si="11"/>
        <v>0</v>
      </c>
      <c r="R108" s="949"/>
      <c r="S108" s="949"/>
      <c r="T108" s="949"/>
    </row>
    <row r="109" spans="1:21">
      <c r="A109" s="982" t="s">
        <v>63</v>
      </c>
      <c r="B109" s="516">
        <v>527.96666666666704</v>
      </c>
      <c r="C109" s="554">
        <v>42058550.666666701</v>
      </c>
      <c r="D109" s="695">
        <v>16</v>
      </c>
      <c r="E109" s="1113">
        <f t="shared" si="9"/>
        <v>483.03999999999996</v>
      </c>
      <c r="F109" s="554">
        <f t="shared" si="9"/>
        <v>39225130.839999996</v>
      </c>
      <c r="G109" s="721">
        <f t="shared" si="9"/>
        <v>13</v>
      </c>
      <c r="H109" s="516">
        <f t="shared" si="9"/>
        <v>484.54000000000008</v>
      </c>
      <c r="I109" s="554">
        <f t="shared" si="9"/>
        <v>39216880.840000004</v>
      </c>
      <c r="J109" s="220">
        <f t="shared" si="9"/>
        <v>13</v>
      </c>
      <c r="K109" s="992">
        <f t="shared" si="10"/>
        <v>0.91774733253361906</v>
      </c>
      <c r="L109" s="1115">
        <f t="shared" si="10"/>
        <v>0.93243538396773973</v>
      </c>
      <c r="M109" s="1116">
        <f t="shared" si="11"/>
        <v>8</v>
      </c>
      <c r="N109" s="1116">
        <f t="shared" si="11"/>
        <v>2</v>
      </c>
      <c r="O109" s="1116">
        <f t="shared" si="11"/>
        <v>2</v>
      </c>
      <c r="P109" s="1116">
        <f t="shared" si="11"/>
        <v>1</v>
      </c>
      <c r="Q109" s="1117">
        <f t="shared" si="11"/>
        <v>0</v>
      </c>
      <c r="R109" s="949"/>
      <c r="S109" s="949"/>
      <c r="T109" s="949"/>
    </row>
    <row r="110" spans="1:21">
      <c r="A110" s="1084" t="s">
        <v>114</v>
      </c>
      <c r="B110" s="425">
        <v>1583.9</v>
      </c>
      <c r="C110" s="1114">
        <v>126175652</v>
      </c>
      <c r="D110" s="1085">
        <v>48</v>
      </c>
      <c r="E110" s="282">
        <f t="shared" ref="E110:J110" si="12">SUM(E107:E109)</f>
        <v>1408.06</v>
      </c>
      <c r="F110" s="287">
        <f t="shared" si="12"/>
        <v>114100260.78</v>
      </c>
      <c r="G110" s="696">
        <f t="shared" si="12"/>
        <v>37</v>
      </c>
      <c r="H110" s="282">
        <f t="shared" si="12"/>
        <v>1446.0900000000001</v>
      </c>
      <c r="I110" s="287">
        <f t="shared" si="12"/>
        <v>116662424.31</v>
      </c>
      <c r="J110" s="1095">
        <f t="shared" si="12"/>
        <v>38</v>
      </c>
      <c r="K110" s="238">
        <f>IFERROR(H110/B110,)</f>
        <v>0.91299324452301289</v>
      </c>
      <c r="L110" s="501">
        <f>IFERROR(I110/C110,)</f>
        <v>0.92460330072239294</v>
      </c>
      <c r="M110" s="168">
        <f>SUM(M107:M109)</f>
        <v>16</v>
      </c>
      <c r="N110" s="897">
        <f>SUM(N107:N109)</f>
        <v>14</v>
      </c>
      <c r="O110" s="897">
        <f>SUM(O107:O109)</f>
        <v>6</v>
      </c>
      <c r="P110" s="1093">
        <f>SUM(P107:P109)</f>
        <v>2</v>
      </c>
      <c r="Q110" s="898">
        <f>SUM(Q107:Q109)</f>
        <v>0</v>
      </c>
      <c r="R110" s="949"/>
      <c r="S110" s="949"/>
      <c r="T110" s="949"/>
    </row>
    <row r="111" spans="1:21" ht="25.5">
      <c r="A111" s="685" t="s">
        <v>115</v>
      </c>
      <c r="B111" s="723" t="s">
        <v>100</v>
      </c>
      <c r="C111" s="1086" t="s">
        <v>97</v>
      </c>
      <c r="D111" s="688" t="s">
        <v>95</v>
      </c>
      <c r="E111" s="1022" t="s">
        <v>494</v>
      </c>
      <c r="F111" s="138" t="s">
        <v>495</v>
      </c>
      <c r="G111" s="139" t="s">
        <v>496</v>
      </c>
      <c r="H111" s="980" t="s">
        <v>101</v>
      </c>
      <c r="I111" s="141" t="s">
        <v>98</v>
      </c>
      <c r="J111" s="141" t="s">
        <v>96</v>
      </c>
      <c r="K111" s="141" t="s">
        <v>715</v>
      </c>
      <c r="L111" s="1026" t="s">
        <v>716</v>
      </c>
      <c r="M111" s="1087">
        <v>0</v>
      </c>
      <c r="N111" s="1033">
        <v>1</v>
      </c>
      <c r="O111" s="1033">
        <v>2</v>
      </c>
      <c r="P111" s="1033">
        <v>3</v>
      </c>
      <c r="Q111" s="1104">
        <v>4</v>
      </c>
      <c r="R111" s="950"/>
      <c r="S111" s="950"/>
      <c r="T111" s="950"/>
      <c r="U111" s="951"/>
    </row>
    <row r="112" spans="1:21">
      <c r="A112" s="1072" t="s">
        <v>16</v>
      </c>
      <c r="B112" s="291">
        <v>489.22</v>
      </c>
      <c r="C112" s="292">
        <v>39101580.049999997</v>
      </c>
      <c r="D112" s="694">
        <v>20</v>
      </c>
      <c r="E112" s="1046">
        <f t="shared" ref="E112:J113" si="13">E79+E90+E101</f>
        <v>711.87</v>
      </c>
      <c r="F112" s="184">
        <f t="shared" si="13"/>
        <v>58752830.869999997</v>
      </c>
      <c r="G112" s="1047">
        <f t="shared" si="13"/>
        <v>17</v>
      </c>
      <c r="H112" s="346">
        <f t="shared" si="13"/>
        <v>716.37</v>
      </c>
      <c r="I112" s="184">
        <f t="shared" si="13"/>
        <v>58726330.869999997</v>
      </c>
      <c r="J112" s="243">
        <f t="shared" si="13"/>
        <v>17</v>
      </c>
      <c r="K112" s="990">
        <f>IFERROR(H112/B112,"")</f>
        <v>1.4643105351375658</v>
      </c>
      <c r="L112" s="991">
        <f>IFERROR(I112/C112,"")</f>
        <v>1.501891503998187</v>
      </c>
      <c r="M112" s="183">
        <f t="shared" ref="M112:Q113" si="14">M79+M90</f>
        <v>5</v>
      </c>
      <c r="N112" s="243">
        <f t="shared" si="14"/>
        <v>5</v>
      </c>
      <c r="O112" s="243">
        <f t="shared" si="14"/>
        <v>3</v>
      </c>
      <c r="P112" s="243">
        <f t="shared" si="14"/>
        <v>2</v>
      </c>
      <c r="Q112" s="246">
        <f t="shared" si="14"/>
        <v>0</v>
      </c>
      <c r="R112" s="949"/>
      <c r="S112" s="949"/>
      <c r="T112" s="949"/>
    </row>
    <row r="113" spans="1:22">
      <c r="A113" s="1073" t="s">
        <v>22</v>
      </c>
      <c r="B113" s="516">
        <v>489.22</v>
      </c>
      <c r="C113" s="554">
        <v>39101580.049999997</v>
      </c>
      <c r="D113" s="695">
        <v>20</v>
      </c>
      <c r="E113" s="1048">
        <f t="shared" si="13"/>
        <v>457.06999999999994</v>
      </c>
      <c r="F113" s="196">
        <f t="shared" si="13"/>
        <v>36719525.920000002</v>
      </c>
      <c r="G113" s="1049">
        <f t="shared" si="13"/>
        <v>14</v>
      </c>
      <c r="H113" s="426">
        <f t="shared" si="13"/>
        <v>457.07000000000005</v>
      </c>
      <c r="I113" s="196">
        <f t="shared" si="13"/>
        <v>36719525.920000009</v>
      </c>
      <c r="J113" s="251">
        <f t="shared" si="13"/>
        <v>14</v>
      </c>
      <c r="K113" s="992">
        <f>IFERROR(H113/B113,"")</f>
        <v>0.9342831445975226</v>
      </c>
      <c r="L113" s="993">
        <f>IFERROR(I113/C113,"")</f>
        <v>0.93908036128069494</v>
      </c>
      <c r="M113" s="195">
        <f t="shared" si="14"/>
        <v>7</v>
      </c>
      <c r="N113" s="251">
        <f t="shared" si="14"/>
        <v>6</v>
      </c>
      <c r="O113" s="251">
        <f t="shared" si="14"/>
        <v>1</v>
      </c>
      <c r="P113" s="251">
        <f t="shared" si="14"/>
        <v>0</v>
      </c>
      <c r="Q113" s="254">
        <f t="shared" si="14"/>
        <v>0</v>
      </c>
      <c r="R113" s="949"/>
      <c r="S113" s="949"/>
      <c r="T113" s="949"/>
    </row>
    <row r="114" spans="1:22">
      <c r="A114" s="409" t="s">
        <v>114</v>
      </c>
      <c r="B114" s="323">
        <v>978.44</v>
      </c>
      <c r="C114" s="429">
        <v>78203160.099999994</v>
      </c>
      <c r="D114" s="497">
        <v>40</v>
      </c>
      <c r="E114" s="473">
        <f t="shared" ref="E114:J114" si="15">SUM(E112:E112)</f>
        <v>711.87</v>
      </c>
      <c r="F114" s="494">
        <f t="shared" si="15"/>
        <v>58752830.869999997</v>
      </c>
      <c r="G114" s="497">
        <f t="shared" si="15"/>
        <v>17</v>
      </c>
      <c r="H114" s="484">
        <f t="shared" si="15"/>
        <v>716.37</v>
      </c>
      <c r="I114" s="494">
        <f t="shared" si="15"/>
        <v>58726330.869999997</v>
      </c>
      <c r="J114" s="494">
        <f t="shared" si="15"/>
        <v>17</v>
      </c>
      <c r="K114" s="419">
        <f>IFERROR(H114/B114,)</f>
        <v>0.73215526756878291</v>
      </c>
      <c r="L114" s="507">
        <f>IFERROR(I114/C114,)</f>
        <v>0.75094575199909352</v>
      </c>
      <c r="M114" s="317">
        <f>SUM(M112:M112)</f>
        <v>5</v>
      </c>
      <c r="N114" s="917">
        <f>SUM(N112:N112)</f>
        <v>5</v>
      </c>
      <c r="O114" s="917">
        <f>SUM(O112:O112)</f>
        <v>3</v>
      </c>
      <c r="P114" s="917">
        <f>SUM(P112:P112)</f>
        <v>2</v>
      </c>
      <c r="Q114" s="928">
        <f>SUM(Q112:Q112)</f>
        <v>0</v>
      </c>
      <c r="R114" s="949"/>
      <c r="S114" s="949"/>
      <c r="T114" s="949"/>
    </row>
    <row r="115" spans="1:22">
      <c r="A115" s="65"/>
      <c r="B115" s="65"/>
      <c r="C115" s="65"/>
      <c r="D115" s="65"/>
      <c r="E115" s="65"/>
      <c r="F115" s="949"/>
      <c r="G115" s="65"/>
      <c r="H115" s="65"/>
      <c r="I115" s="949"/>
      <c r="J115" s="65"/>
      <c r="K115" s="65"/>
      <c r="L115" s="65"/>
      <c r="M115" s="949"/>
      <c r="N115" s="65"/>
      <c r="O115" s="949"/>
      <c r="P115" s="949"/>
      <c r="Q115" s="86"/>
      <c r="R115" s="949"/>
      <c r="S115" s="949"/>
      <c r="T115" s="949"/>
    </row>
    <row r="116" spans="1:22">
      <c r="A116" s="2301" t="s">
        <v>945</v>
      </c>
      <c r="B116" s="2302"/>
      <c r="C116" s="2302"/>
      <c r="D116" s="2302"/>
      <c r="E116" s="2302"/>
      <c r="F116" s="2302"/>
      <c r="G116" s="2302"/>
      <c r="H116" s="2303"/>
      <c r="I116" s="2303"/>
      <c r="J116" s="2303"/>
      <c r="K116" s="2303"/>
      <c r="L116" s="2303"/>
      <c r="M116" s="2303"/>
      <c r="N116" s="2304"/>
      <c r="O116" s="949"/>
      <c r="P116" s="949"/>
      <c r="Q116" s="86"/>
      <c r="R116" s="949"/>
      <c r="S116" s="949"/>
      <c r="T116" s="949"/>
    </row>
    <row r="117" spans="1:22" ht="25.5">
      <c r="A117" s="685" t="s">
        <v>1</v>
      </c>
      <c r="B117" s="723" t="s">
        <v>101</v>
      </c>
      <c r="C117" s="724" t="s">
        <v>98</v>
      </c>
      <c r="D117" s="688" t="s">
        <v>96</v>
      </c>
      <c r="E117" s="1022" t="s">
        <v>494</v>
      </c>
      <c r="F117" s="138" t="s">
        <v>495</v>
      </c>
      <c r="G117" s="296" t="s">
        <v>496</v>
      </c>
      <c r="H117" s="140" t="s">
        <v>946</v>
      </c>
      <c r="I117" s="141" t="s">
        <v>947</v>
      </c>
      <c r="J117" s="1096">
        <v>0</v>
      </c>
      <c r="K117" s="1096">
        <v>1</v>
      </c>
      <c r="L117" s="1096">
        <v>2</v>
      </c>
      <c r="M117" s="1096">
        <v>3</v>
      </c>
      <c r="N117" s="1097">
        <v>4</v>
      </c>
      <c r="O117" s="949"/>
      <c r="P117" s="949"/>
      <c r="Q117" s="86"/>
      <c r="R117" s="949"/>
      <c r="S117" s="949"/>
      <c r="T117" s="949"/>
    </row>
    <row r="118" spans="1:22">
      <c r="A118" s="985" t="s">
        <v>73</v>
      </c>
      <c r="B118" s="29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8" s="292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8" s="694">
        <f>COUNTIFS(РД[МОП],A118,РД[Дата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8" s="1015"/>
      <c r="F118" s="292"/>
      <c r="G118" s="720"/>
      <c r="H118" s="29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8" s="879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8" s="1088">
        <f>COUNTIFS(РД[Тип кв],J$117,РД[МОП],$A118,РД[Дата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8" s="1089">
        <f>COUNTIFS(РД[Тип кв],K$117,РД[МОП],$A118,РД[Дата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8" s="1089">
        <f>COUNTIFS(РД[Тип кв],L$117,РД[МОП],$A118,РД[Дата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8" s="1089">
        <f>COUNTIFS(РД[Тип кв],M$117,РД[МОП],$A118,РД[Дата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8" s="1098">
        <f>COUNTIFS(РД[Тип кв],N$117,РД[МОП],$A118,РД[Дата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8" s="949"/>
      <c r="P118" s="949"/>
      <c r="Q118" s="86"/>
      <c r="R118" s="949"/>
      <c r="S118" s="949"/>
      <c r="T118" s="949"/>
    </row>
    <row r="119" spans="1:22" s="930" customFormat="1">
      <c r="A119" s="981" t="s">
        <v>77</v>
      </c>
      <c r="B119" s="27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9" s="52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9" s="717">
        <f>COUNTIFS(РД[МОП],A119,РД[Дата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9" s="416"/>
      <c r="F119" s="52"/>
      <c r="G119" s="421"/>
      <c r="H119" s="27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546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1090">
        <f>COUNTIFS(РД[Тип кв],J$117,РД[МОП],$A119,РД[Дата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339">
        <f>COUNTIFS(РД[Тип кв],K$117,РД[МОП],$A119,РД[Дата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339">
        <f>COUNTIFS(РД[Тип кв],L$117,РД[МОП],$A119,РД[Дата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339">
        <f>COUNTIFS(РД[Тип кв],M$117,РД[МОП],$A119,РД[Дата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1099">
        <f>COUNTIFS(РД[Тип кв],N$117,РД[МОП],$A119,РД[Дата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T119" s="949"/>
      <c r="V119" s="931"/>
    </row>
    <row r="120" spans="1:22" s="930" customFormat="1">
      <c r="A120" s="981" t="s">
        <v>63</v>
      </c>
      <c r="B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0" s="52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0" s="717">
        <f>COUNTIFS(РД[МОП],A120,РД[Дата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0" s="416"/>
      <c r="F120" s="52"/>
      <c r="G120" s="421"/>
      <c r="H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0" s="546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0" s="1090">
        <f>COUNTIFS(РД[Тип кв],J$117,РД[МОП],$A120,РД[Дата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0" s="339">
        <f>COUNTIFS(РД[Тип кв],K$117,РД[МОП],$A120,РД[Дата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0" s="339">
        <f>COUNTIFS(РД[Тип кв],L$117,РД[МОП],$A120,РД[Дата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0" s="339">
        <f>COUNTIFS(РД[Тип кв],M$117,РД[МОП],$A120,РД[Дата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0" s="1099">
        <f>COUNTIFS(РД[Тип кв],N$117,РД[МОП],$A120,РД[Дата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0" s="949"/>
      <c r="P120" s="949"/>
      <c r="Q120" s="86"/>
      <c r="R120" s="949"/>
      <c r="S120" s="949"/>
      <c r="T120" s="949"/>
      <c r="V120" s="931"/>
    </row>
    <row r="121" spans="1:22" s="930" customFormat="1">
      <c r="A121" s="982" t="s">
        <v>29</v>
      </c>
      <c r="B121" s="516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1" s="554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1" s="695">
        <f>COUNTIFS(РД[МОП],A121,РД[Дата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1" s="329">
        <f>SUMIFS(Август202236[м2],Август202236[МОП],$A121,Август202236[№ дома],$C$83)</f>
        <v>0</v>
      </c>
      <c r="F121" s="958">
        <f>SUMIFS(Август202236[сумма без отделки],Август202236[МОП],$A121,Август202236[№ дома],$C$83)</f>
        <v>0</v>
      </c>
      <c r="G121" s="959">
        <f>COUNTIFS(Август202236[МОП],$A121,Август202236[№ дома],$C$83)</f>
        <v>0</v>
      </c>
      <c r="H121" s="516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1" s="1002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1" s="1100">
        <f>COUNTIFS(РД[Тип кв],J$117,РД[МОП],$A121,РД[Дата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1" s="1101">
        <f>COUNTIFS(РД[Тип кв],K$117,РД[МОП],$A121,РД[Дата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1" s="1101">
        <f>COUNTIFS(РД[Тип кв],L$117,РД[МОП],$A121,РД[Дата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1" s="1101">
        <f>COUNTIFS(РД[Тип кв],M$117,РД[МОП],$A121,РД[Дата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1" s="1102">
        <f>COUNTIFS(РД[Тип кв],N$117,РД[МОП],$A121,РД[Дата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1" s="949"/>
      <c r="P121" s="949"/>
      <c r="Q121" s="86"/>
      <c r="R121" s="949"/>
      <c r="S121" s="949"/>
      <c r="T121" s="949"/>
      <c r="V121" s="931"/>
    </row>
    <row r="122" spans="1:22" s="930" customFormat="1">
      <c r="A122" s="984" t="s">
        <v>114</v>
      </c>
      <c r="B122" s="323">
        <f t="shared" ref="B122:N122" si="16">SUM(B118:B121)</f>
        <v>0</v>
      </c>
      <c r="C122" s="429">
        <f t="shared" si="16"/>
        <v>0</v>
      </c>
      <c r="D122" s="319">
        <f t="shared" si="16"/>
        <v>0</v>
      </c>
      <c r="E122" s="428">
        <f t="shared" si="16"/>
        <v>0</v>
      </c>
      <c r="F122" s="429">
        <f t="shared" si="16"/>
        <v>0</v>
      </c>
      <c r="G122" s="322">
        <f t="shared" si="16"/>
        <v>0</v>
      </c>
      <c r="H122" s="323">
        <f t="shared" si="16"/>
        <v>0</v>
      </c>
      <c r="I122" s="324">
        <f t="shared" si="16"/>
        <v>0</v>
      </c>
      <c r="J122" s="284">
        <f t="shared" si="16"/>
        <v>0</v>
      </c>
      <c r="K122" s="285">
        <f t="shared" si="16"/>
        <v>0</v>
      </c>
      <c r="L122" s="285">
        <f t="shared" si="16"/>
        <v>0</v>
      </c>
      <c r="M122" s="285">
        <f t="shared" si="16"/>
        <v>0</v>
      </c>
      <c r="N122" s="305">
        <f t="shared" si="16"/>
        <v>0</v>
      </c>
      <c r="O122" s="949"/>
      <c r="P122" s="949"/>
      <c r="Q122" s="86"/>
      <c r="R122" s="949"/>
      <c r="S122" s="949"/>
      <c r="T122" s="949"/>
      <c r="V122" s="931"/>
    </row>
    <row r="123" spans="1:22" s="930" customFormat="1" ht="25.5">
      <c r="A123" s="725" t="s">
        <v>115</v>
      </c>
      <c r="B123" s="706" t="s">
        <v>101</v>
      </c>
      <c r="C123" s="726" t="s">
        <v>98</v>
      </c>
      <c r="D123" s="708" t="s">
        <v>96</v>
      </c>
      <c r="E123" s="1024" t="s">
        <v>494</v>
      </c>
      <c r="F123" s="487" t="s">
        <v>495</v>
      </c>
      <c r="G123" s="524" t="s">
        <v>496</v>
      </c>
      <c r="H123" s="489" t="s">
        <v>946</v>
      </c>
      <c r="I123" s="525" t="s">
        <v>947</v>
      </c>
      <c r="J123" s="1103">
        <v>0</v>
      </c>
      <c r="K123" s="1096">
        <v>1</v>
      </c>
      <c r="L123" s="1096">
        <v>2</v>
      </c>
      <c r="M123" s="1096">
        <v>3</v>
      </c>
      <c r="N123" s="1097">
        <v>4</v>
      </c>
      <c r="O123" s="949"/>
      <c r="P123" s="949"/>
      <c r="Q123" s="86"/>
      <c r="R123" s="949"/>
      <c r="S123" s="949"/>
      <c r="T123" s="949"/>
      <c r="V123" s="931"/>
    </row>
    <row r="124" spans="1:22" s="930" customFormat="1">
      <c r="A124" s="985" t="s">
        <v>16</v>
      </c>
      <c r="B124" s="291">
        <f>SUMIFS(РД[S],РД[ИМ],A124,РД[Дата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4" s="292">
        <f>SUMIFS(РД[Стоимость без отделки итог],РД[ИМ],A124,РД[Дата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4" s="694">
        <f>COUNTIFS(РД[ИМ],A124,РД[Дата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4" s="551"/>
      <c r="F124" s="292"/>
      <c r="G124" s="552"/>
      <c r="H124" s="291">
        <f>SUMIFS(РД[S],РД[ИМ],A124,РД[Дата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4" s="312">
        <f>SUMIFS(РД[Стоимость без отделки итог],РД[ИМ],A124,РД[Дата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4" s="346">
        <f>COUNTIFS(РД[Тип кв],J$117,РД[ИМ],$A124,РД[Дата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4" s="243">
        <f>COUNTIFS(РД[Тип кв],K$117,РД[ИМ],$A124,РД[Дата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4" s="243">
        <f>COUNTIFS(РД[Тип кв],L$117,РД[ИМ],$A124,РД[Дата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4" s="243">
        <f>COUNTIFS(РД[Тип кв],M$117,РД[ИМ],$A124,РД[Дата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4" s="246">
        <f>COUNTIFS(РД[Тип кв],N$117,РД[ИМ],$A124,РД[Дата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982" t="s">
        <v>22</v>
      </c>
      <c r="B125" s="516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5" s="554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5" s="695">
        <f>COUNTIFS(РД[ИМ],A125,РД[Дата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5" s="553"/>
      <c r="F125" s="554"/>
      <c r="G125" s="555"/>
      <c r="H125" s="516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5" s="517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5" s="426">
        <f>COUNTIFS(РД[Тип кв],J$117,РД[ИМ],$A125,РД[Дата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5" s="251">
        <f>COUNTIFS(РД[Тип кв],K$117,РД[ИМ],$A125,РД[Дата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5" s="251">
        <f>COUNTIFS(РД[Тип кв],L$117,РД[ИМ],$A125,РД[Дата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5" s="251">
        <f>COUNTIFS(РД[Тип кв],M$117,РД[ИМ],$A125,РД[Дата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5" s="254">
        <f>COUNTIFS(РД[Тип кв],N$117,РД[ИМ],$A125,РД[Дата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5" s="949"/>
      <c r="P125" s="949"/>
      <c r="Q125" s="86"/>
      <c r="R125" s="949"/>
      <c r="S125" s="949"/>
      <c r="T125" s="949"/>
      <c r="V125" s="931"/>
    </row>
    <row r="126" spans="1:22" s="930" customFormat="1">
      <c r="A126" s="986" t="s">
        <v>114</v>
      </c>
      <c r="B126" s="282">
        <f>SUM(B124:B125)</f>
        <v>0</v>
      </c>
      <c r="C126" s="287">
        <f>SUM(C124:C125)</f>
        <v>0</v>
      </c>
      <c r="D126" s="711">
        <f>SUM(D124:D125)</f>
        <v>0</v>
      </c>
      <c r="E126" s="425">
        <f t="shared" ref="E126:N126" si="17">SUM(E124:E124)</f>
        <v>0</v>
      </c>
      <c r="F126" s="287">
        <f t="shared" si="17"/>
        <v>0</v>
      </c>
      <c r="G126" s="286">
        <f t="shared" si="17"/>
        <v>0</v>
      </c>
      <c r="H126" s="282">
        <f t="shared" si="17"/>
        <v>0</v>
      </c>
      <c r="I126" s="283">
        <f t="shared" si="17"/>
        <v>0</v>
      </c>
      <c r="J126" s="284">
        <f t="shared" si="17"/>
        <v>0</v>
      </c>
      <c r="K126" s="285">
        <f t="shared" si="17"/>
        <v>0</v>
      </c>
      <c r="L126" s="285">
        <f t="shared" si="17"/>
        <v>0</v>
      </c>
      <c r="M126" s="285">
        <f t="shared" si="17"/>
        <v>0</v>
      </c>
      <c r="N126" s="305">
        <f t="shared" si="17"/>
        <v>0</v>
      </c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V127" s="931"/>
    </row>
    <row r="128" spans="1:22" s="930" customFormat="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V128" s="931"/>
    </row>
    <row r="129" spans="1:22" s="930" customFormat="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V129" s="931"/>
    </row>
    <row r="130" spans="1:22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V254" s="931"/>
    </row>
    <row r="255" spans="1:22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V255" s="931"/>
    </row>
    <row r="256" spans="1:22" s="930" customFormat="1">
      <c r="A256" s="931"/>
      <c r="B256" s="931"/>
      <c r="C256" s="931"/>
      <c r="D256" s="931"/>
      <c r="E256" s="931"/>
      <c r="F256" s="931"/>
      <c r="G256" s="931"/>
      <c r="H256" s="931"/>
      <c r="I256" s="931"/>
      <c r="J256" s="931"/>
      <c r="K256" s="931"/>
      <c r="L256" s="931"/>
      <c r="M256" s="931"/>
      <c r="N256" s="931"/>
      <c r="O256" s="931"/>
      <c r="P256" s="931"/>
      <c r="Q256" s="931"/>
      <c r="R256" s="931"/>
      <c r="S256" s="931"/>
      <c r="T256" s="931"/>
      <c r="V256" s="931"/>
    </row>
    <row r="257" spans="1:22" s="930" customFormat="1">
      <c r="A257" s="931"/>
      <c r="B257" s="931"/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  <c r="M257" s="931"/>
      <c r="N257" s="931"/>
      <c r="O257" s="931"/>
      <c r="P257" s="931"/>
      <c r="Q257" s="931"/>
      <c r="R257" s="931"/>
      <c r="S257" s="931"/>
      <c r="T257" s="931"/>
      <c r="V257" s="931"/>
    </row>
  </sheetData>
  <sheetProtection formatCells="0" formatColumns="0" formatRows="0" sort="0" autoFilter="0" pivotTables="0"/>
  <mergeCells count="10">
    <mergeCell ref="A1:S1"/>
    <mergeCell ref="A72:B72"/>
    <mergeCell ref="D72:P72"/>
    <mergeCell ref="A83:B83"/>
    <mergeCell ref="D83:P83"/>
    <mergeCell ref="A94:B94"/>
    <mergeCell ref="D94:P94"/>
    <mergeCell ref="A105:B105"/>
    <mergeCell ref="D105:P105"/>
    <mergeCell ref="A116:N116"/>
  </mergeCells>
  <pageMargins left="0.25" right="0.25" top="0.75" bottom="0.75" header="0.3" footer="0.3"/>
  <pageSetup paperSize="9" scale="28" orientation="portrait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600-000000000000}">
          <x14:formula1>
            <xm:f>Списки!$C$3:$C$11</xm:f>
          </x14:formula1>
          <xm:sqref>D3 R3:T3 D13 R29:T29 R32:T32 D15:D70 R15:R24 R34:T70 S14:T24</xm:sqref>
        </x14:dataValidation>
        <x14:dataValidation type="list" allowBlank="1" showInputMessage="1" showErrorMessage="1" xr:uid="{00000000-0002-0000-1600-000001000000}">
          <x14:formula1>
            <xm:f>Списки!$C$3:$C$4</xm:f>
          </x14:formula1>
          <xm:sqref>D14 R33:T33 D71 D4:D12 R4:R14 R30:T31 R25:T28 S4:T13</xm:sqref>
        </x14:dataValidation>
        <x14:dataValidation type="list" allowBlank="1" showInputMessage="1" showErrorMessage="1" xr:uid="{00000000-0002-0000-1600-000002000000}">
          <x14:formula1>
            <xm:f>Списки!$D$2:$D$7</xm:f>
          </x14:formula1>
          <xm:sqref>F3:F40 F42:F71</xm:sqref>
        </x14:dataValidation>
        <x14:dataValidation type="list" allowBlank="1" showInputMessage="1" showErrorMessage="1" xr:uid="{00000000-0002-0000-1600-000003000000}">
          <x14:formula1>
            <xm:f>Списки!$B$2:$B$5</xm:f>
          </x14:formula1>
          <xm:sqref>G3:G71</xm:sqref>
        </x14:dataValidation>
        <x14:dataValidation type="list" allowBlank="1" showInputMessage="1" showErrorMessage="1" xr:uid="{00000000-0002-0000-1600-000004000000}">
          <x14:formula1>
            <xm:f>Списки!$E$2:$E$7</xm:f>
          </x14:formula1>
          <xm:sqref>H3:H71</xm:sqref>
        </x14:dataValidation>
        <x14:dataValidation type="list" allowBlank="1" showInputMessage="1" showErrorMessage="1" xr:uid="{00000000-0002-0000-1600-000005000000}">
          <x14:formula1>
            <xm:f>Списки!$G$2:$G$3</xm:f>
          </x14:formula1>
          <xm:sqref>L3:L71</xm:sqref>
        </x14:dataValidation>
        <x14:dataValidation type="list" allowBlank="1" showInputMessage="1" showErrorMessage="1" xr:uid="{00000000-0002-0000-1600-000006000000}">
          <x14:formula1>
            <xm:f>Списки!$F$2:$F$3</xm:f>
          </x14:formula1>
          <xm:sqref>N3:N71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V255"/>
  <sheetViews>
    <sheetView view="pageBreakPreview" zoomScale="85" zoomScaleNormal="85" workbookViewId="0">
      <pane ySplit="2" topLeftCell="A102" activePane="bottomLeft" state="frozen"/>
      <selection pane="bottomLeft" activeCell="I88" sqref="I88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36.28515625" style="931" customWidth="1"/>
    <col min="16" max="16" width="27.7109375" style="931" customWidth="1"/>
    <col min="17" max="17" width="40.8554687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44865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929" customFormat="1" outlineLevel="1">
      <c r="A3" s="62">
        <v>1</v>
      </c>
      <c r="B3" s="62">
        <v>896</v>
      </c>
      <c r="C3" s="75">
        <v>22634</v>
      </c>
      <c r="D3" s="117" t="s">
        <v>77</v>
      </c>
      <c r="E3" s="62">
        <v>37.31</v>
      </c>
      <c r="F3" s="941" t="s">
        <v>25</v>
      </c>
      <c r="G3" s="62" t="s">
        <v>27</v>
      </c>
      <c r="H3" s="62" t="s">
        <v>16</v>
      </c>
      <c r="I3" s="95">
        <v>3792495.46</v>
      </c>
      <c r="J3" s="62">
        <v>1</v>
      </c>
      <c r="K3" s="62" t="s">
        <v>65</v>
      </c>
      <c r="L3" s="431" t="s">
        <v>12</v>
      </c>
      <c r="M3" s="539">
        <v>44859</v>
      </c>
      <c r="N3" s="62" t="s">
        <v>17</v>
      </c>
      <c r="O3" s="62" t="s">
        <v>1154</v>
      </c>
      <c r="P3" s="76" t="s">
        <v>67</v>
      </c>
      <c r="Q3" s="76" t="s">
        <v>67</v>
      </c>
      <c r="R3" s="945" t="s">
        <v>77</v>
      </c>
      <c r="S3" s="945" t="s">
        <v>77</v>
      </c>
      <c r="T3" s="945" t="s">
        <v>77</v>
      </c>
      <c r="U3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2971675.46</v>
      </c>
    </row>
    <row r="4" spans="1:22" s="929" customFormat="1" ht="12.75" customHeight="1" outlineLevel="1">
      <c r="A4" s="62">
        <v>2</v>
      </c>
      <c r="B4" s="62">
        <v>192</v>
      </c>
      <c r="C4" s="62">
        <v>22751</v>
      </c>
      <c r="D4" s="117" t="s">
        <v>77</v>
      </c>
      <c r="E4" s="62">
        <v>41.06</v>
      </c>
      <c r="F4" s="117" t="s">
        <v>9</v>
      </c>
      <c r="G4" s="62" t="s">
        <v>27</v>
      </c>
      <c r="H4" s="62" t="s">
        <v>16</v>
      </c>
      <c r="I4" s="91">
        <v>3492194.47</v>
      </c>
      <c r="J4" s="62">
        <v>1</v>
      </c>
      <c r="K4" s="62" t="s">
        <v>65</v>
      </c>
      <c r="L4" s="431" t="s">
        <v>12</v>
      </c>
      <c r="M4" s="942">
        <v>44848</v>
      </c>
      <c r="N4" s="62" t="s">
        <v>17</v>
      </c>
      <c r="O4" s="117" t="s">
        <v>1155</v>
      </c>
      <c r="P4" s="76" t="s">
        <v>67</v>
      </c>
      <c r="Q4" s="76" t="s">
        <v>67</v>
      </c>
      <c r="R4" s="945" t="s">
        <v>77</v>
      </c>
      <c r="S4" s="945" t="s">
        <v>77</v>
      </c>
      <c r="T4" s="945" t="s">
        <v>77</v>
      </c>
      <c r="U4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3492194.47</v>
      </c>
    </row>
    <row r="5" spans="1:22" s="929" customFormat="1" ht="12.75" customHeight="1" outlineLevel="1">
      <c r="A5" s="62">
        <v>3</v>
      </c>
      <c r="B5" s="62">
        <v>725</v>
      </c>
      <c r="C5" s="62">
        <v>22330</v>
      </c>
      <c r="D5" s="117" t="s">
        <v>73</v>
      </c>
      <c r="E5" s="62">
        <v>24.39</v>
      </c>
      <c r="F5" s="117" t="s">
        <v>15</v>
      </c>
      <c r="G5" s="117" t="s">
        <v>27</v>
      </c>
      <c r="H5" s="117" t="s">
        <v>22</v>
      </c>
      <c r="I5" s="95">
        <v>2300370.65</v>
      </c>
      <c r="J5" s="62">
        <v>0</v>
      </c>
      <c r="K5" s="117" t="s">
        <v>65</v>
      </c>
      <c r="L5" s="117" t="s">
        <v>18</v>
      </c>
      <c r="M5" s="1016">
        <v>44841</v>
      </c>
      <c r="N5" s="117" t="s">
        <v>17</v>
      </c>
      <c r="O5" s="117" t="s">
        <v>1156</v>
      </c>
      <c r="P5" s="76" t="s">
        <v>67</v>
      </c>
      <c r="Q5" s="76" t="s">
        <v>67</v>
      </c>
      <c r="R5" s="945" t="s">
        <v>73</v>
      </c>
      <c r="S5" s="945" t="s">
        <v>73</v>
      </c>
      <c r="T5" s="945" t="s">
        <v>73</v>
      </c>
      <c r="U5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2117445.65</v>
      </c>
      <c r="V5" s="931"/>
    </row>
    <row r="6" spans="1:22" outlineLevel="1">
      <c r="A6" s="62">
        <v>4</v>
      </c>
      <c r="B6" s="75">
        <v>86</v>
      </c>
      <c r="C6" s="75">
        <v>22859</v>
      </c>
      <c r="D6" s="117" t="s">
        <v>73</v>
      </c>
      <c r="E6" s="62">
        <v>24.47</v>
      </c>
      <c r="F6" s="117" t="s">
        <v>9</v>
      </c>
      <c r="G6" s="117" t="s">
        <v>27</v>
      </c>
      <c r="H6" s="117" t="s">
        <v>22</v>
      </c>
      <c r="I6" s="95">
        <v>2112364</v>
      </c>
      <c r="J6" s="62">
        <v>0</v>
      </c>
      <c r="K6" s="117" t="s">
        <v>65</v>
      </c>
      <c r="L6" s="117" t="s">
        <v>18</v>
      </c>
      <c r="M6" s="1016">
        <v>44845</v>
      </c>
      <c r="N6" s="117" t="s">
        <v>17</v>
      </c>
      <c r="O6" s="117" t="s">
        <v>1157</v>
      </c>
      <c r="P6" s="76" t="s">
        <v>67</v>
      </c>
      <c r="Q6" s="76" t="s">
        <v>67</v>
      </c>
      <c r="R6" s="945" t="s">
        <v>73</v>
      </c>
      <c r="S6" s="945" t="s">
        <v>77</v>
      </c>
      <c r="T6" s="945" t="s">
        <v>77</v>
      </c>
      <c r="U6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2112364</v>
      </c>
    </row>
    <row r="7" spans="1:22" s="929" customFormat="1" ht="12.75" customHeight="1" outlineLevel="1">
      <c r="A7" s="62">
        <v>5</v>
      </c>
      <c r="B7" s="75">
        <v>719</v>
      </c>
      <c r="C7" s="75">
        <v>22759</v>
      </c>
      <c r="D7" s="117" t="s">
        <v>73</v>
      </c>
      <c r="E7" s="62">
        <v>38.909999999999997</v>
      </c>
      <c r="F7" s="117" t="s">
        <v>15</v>
      </c>
      <c r="G7" s="117" t="s">
        <v>27</v>
      </c>
      <c r="H7" s="62" t="s">
        <v>16</v>
      </c>
      <c r="I7" s="95">
        <v>3345908.14</v>
      </c>
      <c r="J7" s="62">
        <v>1</v>
      </c>
      <c r="K7" s="117" t="s">
        <v>65</v>
      </c>
      <c r="L7" s="117" t="s">
        <v>18</v>
      </c>
      <c r="M7" s="1016">
        <v>44845</v>
      </c>
      <c r="N7" s="117" t="s">
        <v>17</v>
      </c>
      <c r="O7" s="117" t="s">
        <v>1158</v>
      </c>
      <c r="P7" s="76" t="s">
        <v>67</v>
      </c>
      <c r="Q7" s="76" t="s">
        <v>67</v>
      </c>
      <c r="R7" s="945" t="s">
        <v>73</v>
      </c>
      <c r="S7" s="945" t="s">
        <v>73</v>
      </c>
      <c r="T7" s="945" t="s">
        <v>77</v>
      </c>
      <c r="U7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3054083.14</v>
      </c>
    </row>
    <row r="8" spans="1:22" outlineLevel="1">
      <c r="A8" s="62">
        <v>6</v>
      </c>
      <c r="B8" s="62">
        <v>233</v>
      </c>
      <c r="C8" s="62">
        <v>22821</v>
      </c>
      <c r="D8" s="117"/>
      <c r="E8" s="62">
        <v>28.97</v>
      </c>
      <c r="F8" s="117" t="s">
        <v>9</v>
      </c>
      <c r="G8" s="117" t="s">
        <v>7</v>
      </c>
      <c r="H8" s="117" t="s">
        <v>10</v>
      </c>
      <c r="I8" s="95">
        <v>2299638.6</v>
      </c>
      <c r="J8" s="62">
        <v>0</v>
      </c>
      <c r="K8" s="117" t="s">
        <v>130</v>
      </c>
      <c r="L8" s="117" t="s">
        <v>18</v>
      </c>
      <c r="M8" s="1016">
        <v>44844</v>
      </c>
      <c r="N8" s="117" t="s">
        <v>17</v>
      </c>
      <c r="O8" s="117" t="s">
        <v>1159</v>
      </c>
      <c r="P8" s="76" t="s">
        <v>67</v>
      </c>
      <c r="Q8" s="76" t="s">
        <v>67</v>
      </c>
      <c r="R8" s="945"/>
      <c r="S8" s="945" t="s">
        <v>73</v>
      </c>
      <c r="T8" s="945" t="s">
        <v>29</v>
      </c>
      <c r="U8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2299638.6</v>
      </c>
    </row>
    <row r="9" spans="1:22" ht="12.75" customHeight="1" outlineLevel="1">
      <c r="A9" s="62">
        <v>7</v>
      </c>
      <c r="B9" s="62">
        <v>692</v>
      </c>
      <c r="C9" s="62">
        <v>22897</v>
      </c>
      <c r="D9" s="117" t="s">
        <v>77</v>
      </c>
      <c r="E9" s="62">
        <v>38.909999999999997</v>
      </c>
      <c r="F9" s="117" t="s">
        <v>9</v>
      </c>
      <c r="G9" s="117" t="s">
        <v>27</v>
      </c>
      <c r="H9" s="62" t="s">
        <v>16</v>
      </c>
      <c r="I9" s="95">
        <v>3054083.14</v>
      </c>
      <c r="J9" s="62">
        <v>1</v>
      </c>
      <c r="K9" s="117" t="s">
        <v>65</v>
      </c>
      <c r="L9" s="117" t="s">
        <v>18</v>
      </c>
      <c r="M9" s="1016">
        <v>44842</v>
      </c>
      <c r="N9" s="117" t="s">
        <v>17</v>
      </c>
      <c r="O9" s="62" t="s">
        <v>1160</v>
      </c>
      <c r="P9" s="76" t="s">
        <v>67</v>
      </c>
      <c r="Q9" s="76" t="s">
        <v>67</v>
      </c>
      <c r="R9" s="945" t="s">
        <v>77</v>
      </c>
      <c r="S9" s="945" t="s">
        <v>77</v>
      </c>
      <c r="T9" s="945" t="s">
        <v>77</v>
      </c>
      <c r="U9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3054083.14</v>
      </c>
    </row>
    <row r="10" spans="1:22" s="1006" customFormat="1" outlineLevel="1">
      <c r="A10" s="62">
        <v>8</v>
      </c>
      <c r="B10" s="62">
        <v>95</v>
      </c>
      <c r="C10" s="62">
        <v>12024</v>
      </c>
      <c r="D10" s="117" t="s">
        <v>77</v>
      </c>
      <c r="E10" s="62">
        <v>24.47</v>
      </c>
      <c r="F10" s="945" t="s">
        <v>25</v>
      </c>
      <c r="G10" s="117" t="s">
        <v>27</v>
      </c>
      <c r="H10" s="62" t="s">
        <v>22</v>
      </c>
      <c r="I10" s="95">
        <v>2650703.7000000002</v>
      </c>
      <c r="J10" s="62">
        <v>0</v>
      </c>
      <c r="K10" s="117" t="s">
        <v>65</v>
      </c>
      <c r="L10" s="117" t="s">
        <v>18</v>
      </c>
      <c r="M10" s="92">
        <v>44841</v>
      </c>
      <c r="N10" s="117" t="s">
        <v>17</v>
      </c>
      <c r="O10" s="117" t="s">
        <v>1161</v>
      </c>
      <c r="P10" s="76" t="s">
        <v>67</v>
      </c>
      <c r="Q10" s="76" t="s">
        <v>67</v>
      </c>
      <c r="R10" s="945" t="s">
        <v>22</v>
      </c>
      <c r="S10" s="945" t="s">
        <v>22</v>
      </c>
      <c r="T10" s="945" t="s">
        <v>77</v>
      </c>
      <c r="U10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2112363.7000000002</v>
      </c>
      <c r="V10" s="931"/>
    </row>
    <row r="11" spans="1:22" outlineLevel="1">
      <c r="A11" s="62">
        <v>9</v>
      </c>
      <c r="B11" s="62">
        <v>746</v>
      </c>
      <c r="C11" s="62">
        <v>21590</v>
      </c>
      <c r="D11" s="117" t="s">
        <v>77</v>
      </c>
      <c r="E11" s="62">
        <v>38.909999999999997</v>
      </c>
      <c r="F11" s="945" t="s">
        <v>25</v>
      </c>
      <c r="G11" s="117" t="s">
        <v>27</v>
      </c>
      <c r="H11" s="62" t="s">
        <v>16</v>
      </c>
      <c r="I11" s="1019">
        <v>4094067.01</v>
      </c>
      <c r="J11" s="62">
        <v>1</v>
      </c>
      <c r="K11" s="117" t="s">
        <v>65</v>
      </c>
      <c r="L11" s="117" t="s">
        <v>18</v>
      </c>
      <c r="M11" s="92">
        <v>44852</v>
      </c>
      <c r="N11" s="117" t="s">
        <v>17</v>
      </c>
      <c r="O11" s="117" t="s">
        <v>1162</v>
      </c>
      <c r="P11" s="76" t="s">
        <v>67</v>
      </c>
      <c r="Q11" s="76" t="s">
        <v>67</v>
      </c>
      <c r="R11" s="945" t="s">
        <v>77</v>
      </c>
      <c r="S11" s="945" t="s">
        <v>77</v>
      </c>
      <c r="T11" s="945" t="s">
        <v>77</v>
      </c>
      <c r="U11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3238047.0100000002</v>
      </c>
    </row>
    <row r="12" spans="1:22" s="929" customFormat="1" ht="12.75" customHeight="1" outlineLevel="1">
      <c r="A12" s="62">
        <v>10</v>
      </c>
      <c r="B12" s="62">
        <v>857</v>
      </c>
      <c r="C12" s="62">
        <v>22930</v>
      </c>
      <c r="D12" s="117" t="s">
        <v>77</v>
      </c>
      <c r="E12" s="62">
        <v>23.09</v>
      </c>
      <c r="F12" s="945" t="s">
        <v>25</v>
      </c>
      <c r="G12" s="117" t="s">
        <v>27</v>
      </c>
      <c r="H12" s="62" t="s">
        <v>22</v>
      </c>
      <c r="I12" s="95">
        <v>2513042.17</v>
      </c>
      <c r="J12" s="62">
        <v>0</v>
      </c>
      <c r="K12" s="117" t="s">
        <v>65</v>
      </c>
      <c r="L12" s="117" t="s">
        <v>18</v>
      </c>
      <c r="M12" s="92">
        <v>44847</v>
      </c>
      <c r="N12" s="117" t="s">
        <v>17</v>
      </c>
      <c r="O12" s="62" t="s">
        <v>1163</v>
      </c>
      <c r="P12" s="76" t="s">
        <v>67</v>
      </c>
      <c r="Q12" s="76" t="s">
        <v>67</v>
      </c>
      <c r="R12" s="945" t="s">
        <v>22</v>
      </c>
      <c r="S12" s="945" t="s">
        <v>22</v>
      </c>
      <c r="T12" s="945" t="s">
        <v>77</v>
      </c>
      <c r="U12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2005062.17</v>
      </c>
    </row>
    <row r="13" spans="1:22" s="929" customFormat="1" outlineLevel="1">
      <c r="A13" s="62">
        <v>11</v>
      </c>
      <c r="B13" s="62">
        <v>653</v>
      </c>
      <c r="C13" s="62">
        <v>22734</v>
      </c>
      <c r="D13" s="117" t="s">
        <v>77</v>
      </c>
      <c r="E13" s="62">
        <v>24.39</v>
      </c>
      <c r="F13" s="945" t="s">
        <v>9</v>
      </c>
      <c r="G13" s="117" t="s">
        <v>27</v>
      </c>
      <c r="H13" s="62" t="s">
        <v>22</v>
      </c>
      <c r="I13" s="95">
        <v>2011573.36</v>
      </c>
      <c r="J13" s="62">
        <v>0</v>
      </c>
      <c r="K13" s="117" t="s">
        <v>65</v>
      </c>
      <c r="L13" s="117" t="s">
        <v>18</v>
      </c>
      <c r="M13" s="92">
        <v>44847</v>
      </c>
      <c r="N13" s="117" t="s">
        <v>17</v>
      </c>
      <c r="O13" s="62" t="s">
        <v>1164</v>
      </c>
      <c r="P13" s="76" t="s">
        <v>67</v>
      </c>
      <c r="Q13" s="76" t="s">
        <v>67</v>
      </c>
      <c r="R13" s="945" t="s">
        <v>77</v>
      </c>
      <c r="S13" s="945" t="s">
        <v>77</v>
      </c>
      <c r="T13" s="945" t="s">
        <v>77</v>
      </c>
      <c r="U13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2011573.36</v>
      </c>
    </row>
    <row r="14" spans="1:22" ht="12.75" customHeight="1" outlineLevel="1">
      <c r="A14" s="62">
        <v>12</v>
      </c>
      <c r="B14" s="62">
        <v>219</v>
      </c>
      <c r="C14" s="81">
        <v>22903</v>
      </c>
      <c r="D14" s="117"/>
      <c r="E14" s="62">
        <v>35.380000000000003</v>
      </c>
      <c r="F14" s="945" t="s">
        <v>15</v>
      </c>
      <c r="G14" s="117" t="s">
        <v>7</v>
      </c>
      <c r="H14" s="62" t="s">
        <v>16</v>
      </c>
      <c r="I14" s="95">
        <v>3023886</v>
      </c>
      <c r="J14" s="62">
        <v>1</v>
      </c>
      <c r="K14" s="62" t="s">
        <v>65</v>
      </c>
      <c r="L14" s="431" t="s">
        <v>12</v>
      </c>
      <c r="M14" s="942">
        <v>44865</v>
      </c>
      <c r="N14" s="62" t="s">
        <v>17</v>
      </c>
      <c r="O14" s="62" t="s">
        <v>1165</v>
      </c>
      <c r="P14" s="76" t="s">
        <v>67</v>
      </c>
      <c r="Q14" s="76" t="s">
        <v>1166</v>
      </c>
      <c r="R14" s="945"/>
      <c r="S14" s="945" t="s">
        <v>77</v>
      </c>
      <c r="T14" s="945" t="s">
        <v>77</v>
      </c>
      <c r="U14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2758536</v>
      </c>
    </row>
    <row r="15" spans="1:22" s="929" customFormat="1" ht="12.75" customHeight="1" outlineLevel="1">
      <c r="A15" s="65"/>
      <c r="B15" s="65"/>
      <c r="C15" s="65"/>
      <c r="D15" s="80"/>
      <c r="E15" s="65"/>
      <c r="F15" s="80"/>
      <c r="G15" s="80"/>
      <c r="H15" s="65"/>
      <c r="I15" s="104"/>
      <c r="J15" s="65"/>
      <c r="K15" s="80"/>
      <c r="L15" s="80"/>
      <c r="M15" s="98"/>
      <c r="N15" s="65"/>
      <c r="O15" s="86"/>
      <c r="P15" s="86"/>
      <c r="Q15" s="86"/>
      <c r="R15" s="947"/>
      <c r="S15" s="947"/>
      <c r="T15" s="947"/>
      <c r="U15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  <c r="V15" s="931"/>
    </row>
    <row r="16" spans="1:22" s="929" customFormat="1" ht="12.75" customHeight="1" outlineLevel="1">
      <c r="A16" s="62">
        <v>13</v>
      </c>
      <c r="B16" s="75">
        <v>651</v>
      </c>
      <c r="C16" s="75">
        <v>22940</v>
      </c>
      <c r="D16" s="117" t="s">
        <v>77</v>
      </c>
      <c r="E16" s="62">
        <v>40.75</v>
      </c>
      <c r="F16" s="945" t="s">
        <v>9</v>
      </c>
      <c r="G16" s="117" t="s">
        <v>27</v>
      </c>
      <c r="H16" s="62" t="s">
        <v>16</v>
      </c>
      <c r="I16" s="95">
        <v>3198084.14</v>
      </c>
      <c r="J16" s="62">
        <v>1</v>
      </c>
      <c r="K16" s="117" t="s">
        <v>65</v>
      </c>
      <c r="L16" s="117" t="s">
        <v>18</v>
      </c>
      <c r="M16" s="92">
        <v>44853</v>
      </c>
      <c r="N16" s="62" t="s">
        <v>17</v>
      </c>
      <c r="O16" s="62" t="s">
        <v>1167</v>
      </c>
      <c r="P16" s="892" t="s">
        <v>67</v>
      </c>
      <c r="Q16" s="892" t="s">
        <v>67</v>
      </c>
      <c r="R16" s="945" t="s">
        <v>77</v>
      </c>
      <c r="S16" s="945" t="s">
        <v>77</v>
      </c>
      <c r="T16" s="945" t="s">
        <v>77</v>
      </c>
      <c r="U16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3198084.14</v>
      </c>
    </row>
    <row r="17" spans="1:21" s="929" customFormat="1" ht="12.75" customHeight="1" outlineLevel="1">
      <c r="A17" s="62">
        <v>14</v>
      </c>
      <c r="B17" s="75">
        <v>78</v>
      </c>
      <c r="C17" s="75">
        <v>22971</v>
      </c>
      <c r="D17" s="117" t="s">
        <v>77</v>
      </c>
      <c r="E17" s="62">
        <v>59.3</v>
      </c>
      <c r="F17" s="117" t="s">
        <v>9</v>
      </c>
      <c r="G17" s="62" t="s">
        <v>121</v>
      </c>
      <c r="H17" s="62" t="s">
        <v>16</v>
      </c>
      <c r="I17" s="95">
        <v>4943040</v>
      </c>
      <c r="J17" s="62">
        <v>2</v>
      </c>
      <c r="K17" s="117" t="s">
        <v>65</v>
      </c>
      <c r="L17" s="117" t="s">
        <v>18</v>
      </c>
      <c r="M17" s="92">
        <v>44859</v>
      </c>
      <c r="N17" s="62" t="s">
        <v>17</v>
      </c>
      <c r="O17" s="62" t="s">
        <v>1168</v>
      </c>
      <c r="P17" s="76" t="s">
        <v>67</v>
      </c>
      <c r="Q17" s="76" t="s">
        <v>67</v>
      </c>
      <c r="R17" s="945" t="s">
        <v>77</v>
      </c>
      <c r="S17" s="945" t="s">
        <v>77</v>
      </c>
      <c r="T17" s="945" t="s">
        <v>77</v>
      </c>
      <c r="U17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4943040</v>
      </c>
    </row>
    <row r="18" spans="1:21" s="929" customFormat="1" ht="14.25" customHeight="1" outlineLevel="1">
      <c r="A18" s="62">
        <v>15</v>
      </c>
      <c r="B18" s="75">
        <v>98</v>
      </c>
      <c r="C18" s="75">
        <v>17901</v>
      </c>
      <c r="D18" s="117" t="s">
        <v>77</v>
      </c>
      <c r="E18" s="62">
        <v>58.4</v>
      </c>
      <c r="F18" s="941" t="s">
        <v>9</v>
      </c>
      <c r="G18" s="62" t="s">
        <v>121</v>
      </c>
      <c r="H18" s="62" t="s">
        <v>16</v>
      </c>
      <c r="I18" s="95">
        <v>4869870</v>
      </c>
      <c r="J18" s="62">
        <v>2</v>
      </c>
      <c r="K18" s="117" t="s">
        <v>65</v>
      </c>
      <c r="L18" s="117" t="s">
        <v>18</v>
      </c>
      <c r="M18" s="92">
        <v>44859</v>
      </c>
      <c r="N18" s="62" t="s">
        <v>17</v>
      </c>
      <c r="O18" s="62" t="s">
        <v>1169</v>
      </c>
      <c r="P18" s="76" t="s">
        <v>67</v>
      </c>
      <c r="Q18" s="76" t="s">
        <v>67</v>
      </c>
      <c r="R18" s="945" t="s">
        <v>77</v>
      </c>
      <c r="S18" s="945" t="s">
        <v>77</v>
      </c>
      <c r="T18" s="945" t="s">
        <v>77</v>
      </c>
      <c r="U18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4869870</v>
      </c>
    </row>
    <row r="19" spans="1:21" s="929" customFormat="1" ht="12.75" customHeight="1" outlineLevel="1">
      <c r="A19" s="62">
        <v>16</v>
      </c>
      <c r="B19" s="75">
        <v>892</v>
      </c>
      <c r="C19" s="75">
        <v>22935</v>
      </c>
      <c r="D19" s="117" t="s">
        <v>77</v>
      </c>
      <c r="E19" s="62">
        <v>23.09</v>
      </c>
      <c r="F19" s="941" t="s">
        <v>9</v>
      </c>
      <c r="G19" s="62" t="s">
        <v>27</v>
      </c>
      <c r="H19" s="62"/>
      <c r="I19" s="1021">
        <v>2036844.32</v>
      </c>
      <c r="J19" s="62">
        <v>0</v>
      </c>
      <c r="K19" s="62" t="s">
        <v>130</v>
      </c>
      <c r="L19" s="117" t="s">
        <v>18</v>
      </c>
      <c r="M19" s="92"/>
      <c r="N19" s="62" t="s">
        <v>17</v>
      </c>
      <c r="O19" s="62" t="s">
        <v>1170</v>
      </c>
      <c r="P19" s="76" t="s">
        <v>67</v>
      </c>
      <c r="Q19" s="76" t="s">
        <v>67</v>
      </c>
      <c r="R19" s="945" t="s">
        <v>77</v>
      </c>
      <c r="S19" s="945" t="s">
        <v>77</v>
      </c>
      <c r="T19" s="945" t="s">
        <v>77</v>
      </c>
      <c r="U19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2036844.3199999998</v>
      </c>
    </row>
    <row r="20" spans="1:21" s="929" customFormat="1" outlineLevel="1">
      <c r="A20" s="62">
        <v>17</v>
      </c>
      <c r="B20" s="75">
        <v>627</v>
      </c>
      <c r="C20" s="75">
        <v>22977</v>
      </c>
      <c r="D20" s="117" t="s">
        <v>77</v>
      </c>
      <c r="E20" s="62">
        <v>40</v>
      </c>
      <c r="F20" s="941" t="s">
        <v>9</v>
      </c>
      <c r="G20" s="62" t="s">
        <v>27</v>
      </c>
      <c r="H20" s="62" t="s">
        <v>16</v>
      </c>
      <c r="I20" s="95">
        <v>2844549.28</v>
      </c>
      <c r="J20" s="62">
        <v>1</v>
      </c>
      <c r="K20" s="117" t="s">
        <v>65</v>
      </c>
      <c r="L20" s="117" t="s">
        <v>18</v>
      </c>
      <c r="M20" s="92">
        <v>44855</v>
      </c>
      <c r="N20" s="62" t="s">
        <v>17</v>
      </c>
      <c r="O20" s="62" t="s">
        <v>1171</v>
      </c>
      <c r="P20" s="76" t="s">
        <v>67</v>
      </c>
      <c r="Q20" s="76" t="s">
        <v>67</v>
      </c>
      <c r="R20" s="945" t="s">
        <v>77</v>
      </c>
      <c r="S20" s="945" t="s">
        <v>77</v>
      </c>
      <c r="T20" s="945" t="s">
        <v>77</v>
      </c>
      <c r="U20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2844549.2799999993</v>
      </c>
    </row>
    <row r="21" spans="1:21" s="929" customFormat="1" ht="12.75" customHeight="1" outlineLevel="1">
      <c r="A21" s="62">
        <v>18</v>
      </c>
      <c r="B21" s="62">
        <v>865</v>
      </c>
      <c r="C21" s="75">
        <v>22969</v>
      </c>
      <c r="D21" s="117" t="s">
        <v>77</v>
      </c>
      <c r="E21" s="62">
        <v>23.09</v>
      </c>
      <c r="F21" s="941" t="s">
        <v>25</v>
      </c>
      <c r="G21" s="62" t="s">
        <v>27</v>
      </c>
      <c r="H21" s="62"/>
      <c r="I21" s="91">
        <v>2306965.85</v>
      </c>
      <c r="J21" s="62">
        <v>0</v>
      </c>
      <c r="K21" s="62" t="s">
        <v>130</v>
      </c>
      <c r="L21" s="117" t="s">
        <v>18</v>
      </c>
      <c r="M21" s="92">
        <v>44851</v>
      </c>
      <c r="N21" s="62" t="s">
        <v>17</v>
      </c>
      <c r="O21" s="62" t="s">
        <v>1172</v>
      </c>
      <c r="P21" s="76" t="s">
        <v>67</v>
      </c>
      <c r="Q21" s="76" t="s">
        <v>67</v>
      </c>
      <c r="R21" s="945" t="s">
        <v>77</v>
      </c>
      <c r="S21" s="945" t="s">
        <v>77</v>
      </c>
      <c r="T21" s="945" t="s">
        <v>77</v>
      </c>
      <c r="U21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1798985.8499999999</v>
      </c>
    </row>
    <row r="22" spans="1:21" s="929" customFormat="1" ht="12.75" customHeight="1" outlineLevel="1">
      <c r="A22" s="62">
        <v>19</v>
      </c>
      <c r="B22" s="75">
        <v>726</v>
      </c>
      <c r="C22" s="75">
        <v>19853</v>
      </c>
      <c r="D22" s="117" t="s">
        <v>77</v>
      </c>
      <c r="E22" s="62">
        <v>38.96</v>
      </c>
      <c r="F22" s="945" t="s">
        <v>15</v>
      </c>
      <c r="G22" s="62" t="s">
        <v>27</v>
      </c>
      <c r="H22" s="62" t="s">
        <v>22</v>
      </c>
      <c r="I22" s="95">
        <v>3350196.21</v>
      </c>
      <c r="J22" s="62">
        <v>1</v>
      </c>
      <c r="K22" s="117" t="s">
        <v>65</v>
      </c>
      <c r="L22" s="117" t="s">
        <v>18</v>
      </c>
      <c r="M22" s="92">
        <v>44861</v>
      </c>
      <c r="N22" s="62" t="s">
        <v>17</v>
      </c>
      <c r="O22" s="62" t="s">
        <v>1173</v>
      </c>
      <c r="P22" s="76" t="s">
        <v>67</v>
      </c>
      <c r="Q22" s="76" t="s">
        <v>67</v>
      </c>
      <c r="R22" s="945" t="s">
        <v>77</v>
      </c>
      <c r="S22" s="945" t="s">
        <v>77</v>
      </c>
      <c r="T22" s="945" t="s">
        <v>77</v>
      </c>
      <c r="U22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3057996.2099999995</v>
      </c>
    </row>
    <row r="23" spans="1:21" ht="12.75" customHeight="1" outlineLevel="1">
      <c r="A23" s="62">
        <v>20</v>
      </c>
      <c r="B23" s="75">
        <v>266</v>
      </c>
      <c r="C23" s="75">
        <v>22961</v>
      </c>
      <c r="D23" s="117" t="s">
        <v>77</v>
      </c>
      <c r="E23" s="62">
        <v>23.54</v>
      </c>
      <c r="F23" s="117" t="s">
        <v>25</v>
      </c>
      <c r="G23" s="62" t="s">
        <v>27</v>
      </c>
      <c r="H23" s="62" t="s">
        <v>22</v>
      </c>
      <c r="I23" s="95">
        <v>2351760.27</v>
      </c>
      <c r="J23" s="62">
        <v>0</v>
      </c>
      <c r="K23" s="62" t="s">
        <v>65</v>
      </c>
      <c r="L23" s="117" t="s">
        <v>18</v>
      </c>
      <c r="M23" s="92">
        <v>44854</v>
      </c>
      <c r="N23" s="62" t="s">
        <v>17</v>
      </c>
      <c r="O23" s="62" t="s">
        <v>1174</v>
      </c>
      <c r="P23" s="76" t="s">
        <v>67</v>
      </c>
      <c r="Q23" s="76" t="s">
        <v>67</v>
      </c>
      <c r="R23" s="945" t="s">
        <v>77</v>
      </c>
      <c r="S23" s="945" t="s">
        <v>77</v>
      </c>
      <c r="T23" s="945" t="s">
        <v>77</v>
      </c>
      <c r="U23" s="948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1833880.27</v>
      </c>
    </row>
    <row r="24" spans="1:21" s="929" customFormat="1" ht="12.75" customHeight="1" outlineLevel="1">
      <c r="A24" s="62">
        <v>21</v>
      </c>
      <c r="B24" s="75">
        <v>266</v>
      </c>
      <c r="C24" s="75">
        <v>22986</v>
      </c>
      <c r="D24" s="117"/>
      <c r="E24" s="62">
        <v>56.7</v>
      </c>
      <c r="F24" s="941" t="s">
        <v>9</v>
      </c>
      <c r="G24" s="62" t="s">
        <v>7</v>
      </c>
      <c r="H24" s="62" t="s">
        <v>22</v>
      </c>
      <c r="I24" s="95">
        <v>3844422.73</v>
      </c>
      <c r="J24" s="62">
        <v>2</v>
      </c>
      <c r="K24" s="62" t="s">
        <v>65</v>
      </c>
      <c r="L24" s="117" t="s">
        <v>18</v>
      </c>
      <c r="M24" s="92">
        <v>44851</v>
      </c>
      <c r="N24" s="62" t="s">
        <v>17</v>
      </c>
      <c r="O24" s="941" t="s">
        <v>1175</v>
      </c>
      <c r="P24" s="76" t="s">
        <v>67</v>
      </c>
      <c r="Q24" s="76" t="s">
        <v>67</v>
      </c>
      <c r="R24" s="945"/>
      <c r="S24" s="945" t="s">
        <v>77</v>
      </c>
      <c r="T24" s="945" t="s">
        <v>77</v>
      </c>
      <c r="U24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3844422.73</v>
      </c>
    </row>
    <row r="25" spans="1:21" s="929" customFormat="1" ht="12.75" customHeight="1" outlineLevel="1">
      <c r="A25" s="62">
        <v>22</v>
      </c>
      <c r="B25" s="62">
        <v>238</v>
      </c>
      <c r="C25" s="75">
        <v>22953</v>
      </c>
      <c r="D25" s="117" t="s">
        <v>77</v>
      </c>
      <c r="E25" s="62">
        <v>59.93</v>
      </c>
      <c r="F25" s="941" t="s">
        <v>9</v>
      </c>
      <c r="G25" s="62" t="s">
        <v>27</v>
      </c>
      <c r="H25" s="62" t="s">
        <v>22</v>
      </c>
      <c r="I25" s="95">
        <v>4274829.07</v>
      </c>
      <c r="J25" s="62">
        <v>2</v>
      </c>
      <c r="K25" s="62" t="s">
        <v>65</v>
      </c>
      <c r="L25" s="117" t="s">
        <v>18</v>
      </c>
      <c r="M25" s="942">
        <v>44854</v>
      </c>
      <c r="N25" s="117" t="s">
        <v>17</v>
      </c>
      <c r="O25" s="941" t="s">
        <v>1176</v>
      </c>
      <c r="P25" s="76" t="s">
        <v>67</v>
      </c>
      <c r="Q25" s="76" t="s">
        <v>67</v>
      </c>
      <c r="R25" s="945" t="s">
        <v>77</v>
      </c>
      <c r="S25" s="945" t="s">
        <v>77</v>
      </c>
      <c r="T25" s="945" t="s">
        <v>77</v>
      </c>
      <c r="U25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4274829.07</v>
      </c>
    </row>
    <row r="26" spans="1:21" s="929" customFormat="1" ht="12.75" customHeight="1" outlineLevel="1">
      <c r="A26" s="62">
        <v>23</v>
      </c>
      <c r="B26" s="75">
        <v>370</v>
      </c>
      <c r="C26" s="75">
        <v>23058</v>
      </c>
      <c r="D26" s="117" t="s">
        <v>77</v>
      </c>
      <c r="E26" s="62">
        <v>23.54</v>
      </c>
      <c r="F26" s="76" t="s">
        <v>25</v>
      </c>
      <c r="G26" s="62" t="s">
        <v>27</v>
      </c>
      <c r="H26" s="62" t="s">
        <v>16</v>
      </c>
      <c r="I26" s="91">
        <v>2561199.08</v>
      </c>
      <c r="J26" s="62">
        <v>0</v>
      </c>
      <c r="K26" s="62" t="s">
        <v>65</v>
      </c>
      <c r="L26" s="117" t="s">
        <v>18</v>
      </c>
      <c r="M26" s="942">
        <v>44859</v>
      </c>
      <c r="N26" s="117" t="s">
        <v>17</v>
      </c>
      <c r="O26" s="76" t="s">
        <v>1177</v>
      </c>
      <c r="P26" s="76" t="s">
        <v>67</v>
      </c>
      <c r="Q26" s="76" t="s">
        <v>67</v>
      </c>
      <c r="R26" s="945" t="s">
        <v>77</v>
      </c>
      <c r="S26" s="945" t="s">
        <v>77</v>
      </c>
      <c r="T26" s="945" t="s">
        <v>77</v>
      </c>
      <c r="U26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2043319.0799999998</v>
      </c>
    </row>
    <row r="27" spans="1:21" s="929" customFormat="1" ht="12.75" customHeight="1" outlineLevel="1">
      <c r="A27" s="62">
        <v>24</v>
      </c>
      <c r="B27" s="75">
        <v>236</v>
      </c>
      <c r="C27" s="75">
        <v>22995</v>
      </c>
      <c r="D27" s="117" t="s">
        <v>73</v>
      </c>
      <c r="E27" s="62">
        <v>37.81</v>
      </c>
      <c r="F27" s="941" t="s">
        <v>9</v>
      </c>
      <c r="G27" s="62" t="s">
        <v>7</v>
      </c>
      <c r="H27" s="62" t="s">
        <v>22</v>
      </c>
      <c r="I27" s="95">
        <v>2855514.05</v>
      </c>
      <c r="J27" s="62">
        <v>1</v>
      </c>
      <c r="K27" s="62" t="s">
        <v>65</v>
      </c>
      <c r="L27" s="62" t="s">
        <v>18</v>
      </c>
      <c r="M27" s="92">
        <v>44858</v>
      </c>
      <c r="N27" s="117" t="s">
        <v>17</v>
      </c>
      <c r="O27" s="62" t="s">
        <v>1178</v>
      </c>
      <c r="P27" s="76" t="s">
        <v>67</v>
      </c>
      <c r="Q27" s="76" t="s">
        <v>67</v>
      </c>
      <c r="R27" s="945" t="s">
        <v>73</v>
      </c>
      <c r="S27" s="945" t="s">
        <v>73</v>
      </c>
      <c r="T27" s="945" t="s">
        <v>73</v>
      </c>
      <c r="U27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2855514.05</v>
      </c>
    </row>
    <row r="28" spans="1:21" s="929" customFormat="1" ht="12.75" customHeight="1" outlineLevel="1">
      <c r="A28" s="62">
        <v>25</v>
      </c>
      <c r="B28" s="75">
        <v>777</v>
      </c>
      <c r="C28" s="75">
        <v>23025</v>
      </c>
      <c r="D28" s="117" t="s">
        <v>73</v>
      </c>
      <c r="E28" s="62">
        <v>24.37</v>
      </c>
      <c r="F28" s="941" t="s">
        <v>15</v>
      </c>
      <c r="G28" s="62" t="s">
        <v>27</v>
      </c>
      <c r="H28" s="62" t="s">
        <v>22</v>
      </c>
      <c r="I28" s="95">
        <v>2298491.89</v>
      </c>
      <c r="J28" s="62">
        <v>0</v>
      </c>
      <c r="K28" s="62" t="s">
        <v>65</v>
      </c>
      <c r="L28" s="62" t="s">
        <v>18</v>
      </c>
      <c r="M28" s="92">
        <v>44853</v>
      </c>
      <c r="N28" s="117" t="s">
        <v>17</v>
      </c>
      <c r="O28" s="62" t="s">
        <v>1179</v>
      </c>
      <c r="P28" s="76" t="s">
        <v>67</v>
      </c>
      <c r="Q28" s="76" t="s">
        <v>67</v>
      </c>
      <c r="R28" s="945" t="s">
        <v>73</v>
      </c>
      <c r="S28" s="945" t="s">
        <v>73</v>
      </c>
      <c r="T28" s="945" t="s">
        <v>73</v>
      </c>
      <c r="U28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2115716.89</v>
      </c>
    </row>
    <row r="29" spans="1:21" s="929" customFormat="1" ht="12.75" customHeight="1" outlineLevel="1">
      <c r="A29" s="62">
        <v>26</v>
      </c>
      <c r="B29" s="75">
        <v>209</v>
      </c>
      <c r="C29" s="75">
        <v>23022</v>
      </c>
      <c r="D29" s="117" t="s">
        <v>73</v>
      </c>
      <c r="E29" s="62">
        <v>28.97</v>
      </c>
      <c r="F29" s="941" t="s">
        <v>9</v>
      </c>
      <c r="G29" s="62" t="s">
        <v>7</v>
      </c>
      <c r="H29" s="62" t="s">
        <v>84</v>
      </c>
      <c r="I29" s="95">
        <v>2184656.67</v>
      </c>
      <c r="J29" s="62">
        <v>0</v>
      </c>
      <c r="K29" s="62" t="s">
        <v>130</v>
      </c>
      <c r="L29" s="62" t="s">
        <v>18</v>
      </c>
      <c r="M29" s="92">
        <v>44853</v>
      </c>
      <c r="N29" s="117" t="s">
        <v>17</v>
      </c>
      <c r="O29" s="62" t="s">
        <v>530</v>
      </c>
      <c r="P29" s="76" t="s">
        <v>67</v>
      </c>
      <c r="Q29" s="76" t="s">
        <v>1180</v>
      </c>
      <c r="R29" s="945" t="s">
        <v>73</v>
      </c>
      <c r="S29" s="945" t="s">
        <v>73</v>
      </c>
      <c r="T29" s="945" t="s">
        <v>73</v>
      </c>
      <c r="U29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2184656.67</v>
      </c>
    </row>
    <row r="30" spans="1:21" s="929" customFormat="1" ht="12.75" customHeight="1" outlineLevel="1">
      <c r="A30" s="62">
        <v>27</v>
      </c>
      <c r="B30" s="75">
        <v>876</v>
      </c>
      <c r="C30" s="75">
        <v>15031</v>
      </c>
      <c r="D30" s="117" t="s">
        <v>73</v>
      </c>
      <c r="E30" s="62">
        <v>37.15</v>
      </c>
      <c r="F30" s="941" t="s">
        <v>9</v>
      </c>
      <c r="G30" s="62" t="s">
        <v>27</v>
      </c>
      <c r="H30" s="62" t="s">
        <v>22</v>
      </c>
      <c r="I30" s="91">
        <v>3069834.9</v>
      </c>
      <c r="J30" s="62">
        <v>1</v>
      </c>
      <c r="K30" s="62" t="s">
        <v>65</v>
      </c>
      <c r="L30" s="62" t="s">
        <v>18</v>
      </c>
      <c r="M30" s="537">
        <v>44859</v>
      </c>
      <c r="N30" s="117" t="s">
        <v>17</v>
      </c>
      <c r="O30" s="76" t="s">
        <v>1181</v>
      </c>
      <c r="P30" s="76" t="s">
        <v>67</v>
      </c>
      <c r="Q30" s="76" t="s">
        <v>67</v>
      </c>
      <c r="R30" s="945" t="s">
        <v>73</v>
      </c>
      <c r="S30" s="945" t="s">
        <v>73</v>
      </c>
      <c r="T30" s="945" t="s">
        <v>73</v>
      </c>
      <c r="U30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3069834.9000000004</v>
      </c>
    </row>
    <row r="31" spans="1:21" s="929" customFormat="1" ht="12.75" customHeight="1" outlineLevel="1">
      <c r="A31" s="62">
        <v>28</v>
      </c>
      <c r="B31" s="75">
        <v>161</v>
      </c>
      <c r="C31" s="75">
        <v>23036</v>
      </c>
      <c r="D31" s="117" t="s">
        <v>77</v>
      </c>
      <c r="E31" s="62">
        <v>37.69</v>
      </c>
      <c r="F31" s="941" t="s">
        <v>9</v>
      </c>
      <c r="G31" s="62" t="s">
        <v>27</v>
      </c>
      <c r="H31" s="62" t="s">
        <v>22</v>
      </c>
      <c r="I31" s="95">
        <v>3138859.76</v>
      </c>
      <c r="J31" s="62">
        <v>1</v>
      </c>
      <c r="K31" s="62" t="s">
        <v>65</v>
      </c>
      <c r="L31" s="62" t="s">
        <v>18</v>
      </c>
      <c r="M31" s="92"/>
      <c r="N31" s="117" t="s">
        <v>17</v>
      </c>
      <c r="O31" s="62" t="s">
        <v>1182</v>
      </c>
      <c r="P31" s="76" t="s">
        <v>67</v>
      </c>
      <c r="Q31" s="76" t="s">
        <v>67</v>
      </c>
      <c r="R31" s="945" t="s">
        <v>77</v>
      </c>
      <c r="S31" s="945" t="s">
        <v>73</v>
      </c>
      <c r="T31" s="945" t="s">
        <v>77</v>
      </c>
      <c r="U31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3138859.76</v>
      </c>
    </row>
    <row r="32" spans="1:21" ht="15" customHeight="1" outlineLevel="1">
      <c r="A32" s="62">
        <v>29</v>
      </c>
      <c r="B32" s="75">
        <v>294</v>
      </c>
      <c r="C32" s="75">
        <v>11789</v>
      </c>
      <c r="D32" s="117" t="s">
        <v>77</v>
      </c>
      <c r="E32" s="62">
        <v>59.93</v>
      </c>
      <c r="F32" s="941" t="s">
        <v>9</v>
      </c>
      <c r="G32" s="62" t="s">
        <v>27</v>
      </c>
      <c r="H32" s="62" t="s">
        <v>16</v>
      </c>
      <c r="I32" s="95">
        <v>4275000</v>
      </c>
      <c r="J32" s="62">
        <v>2</v>
      </c>
      <c r="K32" s="62" t="s">
        <v>65</v>
      </c>
      <c r="L32" s="62" t="s">
        <v>18</v>
      </c>
      <c r="M32" s="92">
        <v>44865</v>
      </c>
      <c r="N32" s="117" t="s">
        <v>17</v>
      </c>
      <c r="O32" s="941" t="s">
        <v>1183</v>
      </c>
      <c r="P32" s="76" t="s">
        <v>67</v>
      </c>
      <c r="Q32" s="76" t="s">
        <v>1184</v>
      </c>
      <c r="R32" s="945" t="s">
        <v>77</v>
      </c>
      <c r="S32" s="945" t="s">
        <v>73</v>
      </c>
      <c r="T32" s="945" t="s">
        <v>77</v>
      </c>
      <c r="U32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4275000</v>
      </c>
    </row>
    <row r="33" spans="1:21" s="929" customFormat="1" ht="12.75" customHeight="1" outlineLevel="1">
      <c r="A33" s="62">
        <v>30</v>
      </c>
      <c r="B33" s="62">
        <v>665</v>
      </c>
      <c r="C33" s="75">
        <v>22774</v>
      </c>
      <c r="D33" s="117" t="s">
        <v>73</v>
      </c>
      <c r="E33" s="62">
        <v>38.909999999999997</v>
      </c>
      <c r="F33" s="941" t="s">
        <v>15</v>
      </c>
      <c r="G33" s="62" t="s">
        <v>27</v>
      </c>
      <c r="H33" s="62" t="s">
        <v>16</v>
      </c>
      <c r="I33" s="95">
        <v>3506649.35</v>
      </c>
      <c r="J33" s="62">
        <v>1</v>
      </c>
      <c r="K33" s="62" t="s">
        <v>65</v>
      </c>
      <c r="L33" s="62" t="s">
        <v>18</v>
      </c>
      <c r="M33" s="942">
        <v>44858</v>
      </c>
      <c r="N33" s="62" t="s">
        <v>17</v>
      </c>
      <c r="O33" s="941" t="s">
        <v>1185</v>
      </c>
      <c r="P33" s="76" t="s">
        <v>67</v>
      </c>
      <c r="Q33" s="76" t="s">
        <v>67</v>
      </c>
      <c r="R33" s="941" t="s">
        <v>73</v>
      </c>
      <c r="S33" s="941" t="s">
        <v>73</v>
      </c>
      <c r="T33" s="941" t="s">
        <v>73</v>
      </c>
      <c r="U33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3214824.35</v>
      </c>
    </row>
    <row r="34" spans="1:21" s="929" customFormat="1" ht="12.75" customHeight="1" outlineLevel="1">
      <c r="A34" s="62">
        <v>31</v>
      </c>
      <c r="B34" s="75">
        <v>577</v>
      </c>
      <c r="C34" s="75">
        <v>23069</v>
      </c>
      <c r="D34" s="117" t="s">
        <v>73</v>
      </c>
      <c r="E34" s="62">
        <v>37.159999999999997</v>
      </c>
      <c r="F34" s="76" t="s">
        <v>15</v>
      </c>
      <c r="G34" s="62" t="s">
        <v>27</v>
      </c>
      <c r="H34" s="62" t="s">
        <v>84</v>
      </c>
      <c r="I34" s="91">
        <v>3090477.82</v>
      </c>
      <c r="J34" s="62">
        <v>1</v>
      </c>
      <c r="K34" s="62" t="s">
        <v>85</v>
      </c>
      <c r="L34" s="62" t="s">
        <v>18</v>
      </c>
      <c r="M34" s="537">
        <v>44859</v>
      </c>
      <c r="N34" s="117" t="s">
        <v>17</v>
      </c>
      <c r="O34" s="76" t="s">
        <v>1186</v>
      </c>
      <c r="P34" s="76" t="s">
        <v>67</v>
      </c>
      <c r="Q34" s="76" t="s">
        <v>67</v>
      </c>
      <c r="R34" s="945" t="s">
        <v>73</v>
      </c>
      <c r="S34" s="945" t="s">
        <v>73</v>
      </c>
      <c r="T34" s="945" t="s">
        <v>73</v>
      </c>
      <c r="U34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2811777.82</v>
      </c>
    </row>
    <row r="35" spans="1:21" ht="12.75" customHeight="1" outlineLevel="1">
      <c r="A35" s="62">
        <v>32</v>
      </c>
      <c r="B35" s="75">
        <v>801</v>
      </c>
      <c r="C35" s="75">
        <v>23087</v>
      </c>
      <c r="D35" s="117" t="s">
        <v>73</v>
      </c>
      <c r="E35" s="62">
        <v>24.37</v>
      </c>
      <c r="F35" s="941" t="s">
        <v>9</v>
      </c>
      <c r="G35" s="62" t="s">
        <v>27</v>
      </c>
      <c r="H35" s="62" t="s">
        <v>22</v>
      </c>
      <c r="I35" s="91">
        <v>2120986.25</v>
      </c>
      <c r="J35" s="62">
        <v>0</v>
      </c>
      <c r="K35" s="62" t="s">
        <v>65</v>
      </c>
      <c r="L35" s="62" t="s">
        <v>18</v>
      </c>
      <c r="M35" s="537">
        <v>44865</v>
      </c>
      <c r="N35" s="117" t="s">
        <v>17</v>
      </c>
      <c r="O35" s="76" t="s">
        <v>1187</v>
      </c>
      <c r="P35" s="76" t="s">
        <v>67</v>
      </c>
      <c r="Q35" s="76" t="s">
        <v>1188</v>
      </c>
      <c r="R35" s="941" t="s">
        <v>73</v>
      </c>
      <c r="S35" s="941" t="s">
        <v>73</v>
      </c>
      <c r="T35" s="941" t="s">
        <v>73</v>
      </c>
      <c r="U35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2120986.25</v>
      </c>
    </row>
    <row r="36" spans="1:21" s="929" customFormat="1" ht="12.75" customHeight="1" outlineLevel="1">
      <c r="A36" s="62">
        <v>33</v>
      </c>
      <c r="B36" s="75">
        <v>244</v>
      </c>
      <c r="C36" s="75">
        <v>22991</v>
      </c>
      <c r="D36" s="117" t="s">
        <v>73</v>
      </c>
      <c r="E36" s="62">
        <v>58.55</v>
      </c>
      <c r="F36" s="76" t="s">
        <v>9</v>
      </c>
      <c r="G36" s="117" t="s">
        <v>7</v>
      </c>
      <c r="H36" s="117" t="s">
        <v>10</v>
      </c>
      <c r="I36" s="91">
        <v>4178797.81</v>
      </c>
      <c r="J36" s="62">
        <v>2</v>
      </c>
      <c r="K36" s="117" t="s">
        <v>130</v>
      </c>
      <c r="L36" s="117" t="s">
        <v>18</v>
      </c>
      <c r="M36" s="537">
        <v>44860</v>
      </c>
      <c r="N36" s="117" t="s">
        <v>17</v>
      </c>
      <c r="O36" s="76" t="s">
        <v>1189</v>
      </c>
      <c r="P36" s="76" t="s">
        <v>67</v>
      </c>
      <c r="Q36" s="76" t="s">
        <v>67</v>
      </c>
      <c r="R36" s="945" t="s">
        <v>73</v>
      </c>
      <c r="S36" s="945" t="s">
        <v>73</v>
      </c>
      <c r="T36" s="945" t="s">
        <v>73</v>
      </c>
      <c r="U36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4178797.8100000005</v>
      </c>
    </row>
    <row r="37" spans="1:21" s="929" customFormat="1" ht="12.75" customHeight="1" outlineLevel="1">
      <c r="A37" s="62">
        <v>34</v>
      </c>
      <c r="B37" s="75">
        <v>744</v>
      </c>
      <c r="C37" s="75">
        <v>23101</v>
      </c>
      <c r="D37" s="117" t="s">
        <v>77</v>
      </c>
      <c r="E37" s="62">
        <v>38.96</v>
      </c>
      <c r="F37" s="941" t="s">
        <v>9</v>
      </c>
      <c r="G37" s="62" t="s">
        <v>27</v>
      </c>
      <c r="H37" s="62" t="s">
        <v>16</v>
      </c>
      <c r="I37" s="95">
        <v>3235220.09</v>
      </c>
      <c r="J37" s="62">
        <v>1</v>
      </c>
      <c r="K37" s="62" t="s">
        <v>65</v>
      </c>
      <c r="L37" s="62" t="s">
        <v>18</v>
      </c>
      <c r="M37" s="537">
        <v>44861</v>
      </c>
      <c r="N37" s="117" t="s">
        <v>17</v>
      </c>
      <c r="O37" s="62" t="s">
        <v>1190</v>
      </c>
      <c r="P37" s="76" t="s">
        <v>67</v>
      </c>
      <c r="Q37" s="76" t="s">
        <v>67</v>
      </c>
      <c r="R37" s="945" t="s">
        <v>77</v>
      </c>
      <c r="S37" s="945" t="s">
        <v>77</v>
      </c>
      <c r="T37" s="945" t="s">
        <v>77</v>
      </c>
      <c r="U37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3235220.09</v>
      </c>
    </row>
    <row r="38" spans="1:21" s="929" customFormat="1" ht="12.75" customHeight="1" outlineLevel="1">
      <c r="A38" s="62">
        <v>35</v>
      </c>
      <c r="B38" s="75">
        <v>674</v>
      </c>
      <c r="C38" s="75">
        <v>21198</v>
      </c>
      <c r="D38" s="117" t="s">
        <v>77</v>
      </c>
      <c r="E38" s="62">
        <v>38.909999999999997</v>
      </c>
      <c r="F38" s="941" t="s">
        <v>25</v>
      </c>
      <c r="G38" s="62" t="s">
        <v>27</v>
      </c>
      <c r="H38" s="62" t="s">
        <v>16</v>
      </c>
      <c r="I38" s="95">
        <v>4070844.35</v>
      </c>
      <c r="J38" s="62">
        <v>1</v>
      </c>
      <c r="K38" s="62" t="s">
        <v>65</v>
      </c>
      <c r="L38" s="62" t="s">
        <v>18</v>
      </c>
      <c r="M38" s="537">
        <v>44861</v>
      </c>
      <c r="N38" s="117" t="s">
        <v>17</v>
      </c>
      <c r="O38" s="62" t="s">
        <v>1191</v>
      </c>
      <c r="P38" s="76" t="s">
        <v>67</v>
      </c>
      <c r="Q38" s="76" t="s">
        <v>67</v>
      </c>
      <c r="R38" s="945" t="s">
        <v>77</v>
      </c>
      <c r="S38" s="945" t="s">
        <v>77</v>
      </c>
      <c r="T38" s="945" t="s">
        <v>77</v>
      </c>
      <c r="U38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3214824.35</v>
      </c>
    </row>
    <row r="39" spans="1:21" s="929" customFormat="1" outlineLevel="1">
      <c r="A39" s="62">
        <v>36</v>
      </c>
      <c r="B39" s="75">
        <v>286</v>
      </c>
      <c r="C39" s="75">
        <v>22544</v>
      </c>
      <c r="D39" s="117" t="s">
        <v>73</v>
      </c>
      <c r="E39" s="62">
        <v>59.93</v>
      </c>
      <c r="F39" s="941" t="s">
        <v>25</v>
      </c>
      <c r="G39" s="62" t="s">
        <v>27</v>
      </c>
      <c r="H39" s="62" t="s">
        <v>16</v>
      </c>
      <c r="I39" s="95">
        <v>5593289.0700000003</v>
      </c>
      <c r="J39" s="62">
        <v>2</v>
      </c>
      <c r="K39" s="62" t="s">
        <v>65</v>
      </c>
      <c r="L39" s="62" t="s">
        <v>18</v>
      </c>
      <c r="M39" s="92">
        <v>44858</v>
      </c>
      <c r="N39" s="117" t="s">
        <v>17</v>
      </c>
      <c r="O39" s="62" t="s">
        <v>1192</v>
      </c>
      <c r="P39" s="76" t="s">
        <v>67</v>
      </c>
      <c r="Q39" s="76" t="s">
        <v>67</v>
      </c>
      <c r="R39" s="945" t="s">
        <v>73</v>
      </c>
      <c r="S39" s="945" t="s">
        <v>77</v>
      </c>
      <c r="T39" s="945" t="s">
        <v>73</v>
      </c>
      <c r="U39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4274829.07</v>
      </c>
    </row>
    <row r="40" spans="1:21" s="929" customFormat="1" outlineLevel="1">
      <c r="A40" s="62">
        <v>37</v>
      </c>
      <c r="B40" s="75">
        <v>346</v>
      </c>
      <c r="C40" s="75">
        <v>23112</v>
      </c>
      <c r="D40" s="117" t="s">
        <v>73</v>
      </c>
      <c r="E40" s="62">
        <v>23.54</v>
      </c>
      <c r="F40" s="941" t="s">
        <v>9</v>
      </c>
      <c r="G40" s="62" t="s">
        <v>27</v>
      </c>
      <c r="H40" s="62" t="s">
        <v>16</v>
      </c>
      <c r="I40" s="95">
        <v>2043319.08</v>
      </c>
      <c r="J40" s="62">
        <v>0</v>
      </c>
      <c r="K40" s="62" t="s">
        <v>65</v>
      </c>
      <c r="L40" s="62" t="s">
        <v>18</v>
      </c>
      <c r="M40" s="92">
        <v>44862</v>
      </c>
      <c r="N40" s="62" t="s">
        <v>17</v>
      </c>
      <c r="O40" s="62" t="s">
        <v>1193</v>
      </c>
      <c r="P40" s="76" t="s">
        <v>67</v>
      </c>
      <c r="Q40" s="76" t="s">
        <v>67</v>
      </c>
      <c r="R40" s="945" t="s">
        <v>73</v>
      </c>
      <c r="S40" s="945" t="s">
        <v>73</v>
      </c>
      <c r="T40" s="945" t="s">
        <v>73</v>
      </c>
      <c r="U40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2043319.0799999998</v>
      </c>
    </row>
    <row r="41" spans="1:21" s="929" customFormat="1" ht="12.75" customHeight="1" outlineLevel="1">
      <c r="A41" s="62">
        <v>38</v>
      </c>
      <c r="B41" s="75">
        <v>699</v>
      </c>
      <c r="C41" s="75">
        <v>23117</v>
      </c>
      <c r="D41" s="117" t="s">
        <v>73</v>
      </c>
      <c r="E41" s="62">
        <v>38.96</v>
      </c>
      <c r="F41" s="941" t="s">
        <v>15</v>
      </c>
      <c r="G41" s="62" t="s">
        <v>27</v>
      </c>
      <c r="H41" s="62" t="s">
        <v>16</v>
      </c>
      <c r="I41" s="95">
        <v>3350196.21</v>
      </c>
      <c r="J41" s="62">
        <v>1</v>
      </c>
      <c r="K41" s="62" t="s">
        <v>65</v>
      </c>
      <c r="L41" s="62" t="s">
        <v>18</v>
      </c>
      <c r="M41" s="92">
        <v>44862</v>
      </c>
      <c r="N41" s="62" t="s">
        <v>17</v>
      </c>
      <c r="O41" s="62" t="s">
        <v>1194</v>
      </c>
      <c r="P41" s="76" t="s">
        <v>67</v>
      </c>
      <c r="Q41" s="76" t="s">
        <v>67</v>
      </c>
      <c r="R41" s="945" t="s">
        <v>73</v>
      </c>
      <c r="S41" s="945" t="s">
        <v>73</v>
      </c>
      <c r="T41" s="945" t="s">
        <v>73</v>
      </c>
      <c r="U41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3057996.2099999995</v>
      </c>
    </row>
    <row r="42" spans="1:21" ht="12.75" customHeight="1" outlineLevel="1">
      <c r="A42" s="62">
        <v>39</v>
      </c>
      <c r="B42" s="75">
        <v>728</v>
      </c>
      <c r="C42" s="75">
        <v>22979</v>
      </c>
      <c r="D42" s="117" t="s">
        <v>73</v>
      </c>
      <c r="E42" s="62">
        <v>38.909999999999997</v>
      </c>
      <c r="F42" s="941" t="s">
        <v>9</v>
      </c>
      <c r="G42" s="62" t="s">
        <v>27</v>
      </c>
      <c r="H42" s="62" t="s">
        <v>16</v>
      </c>
      <c r="I42" s="95">
        <v>3054083.13</v>
      </c>
      <c r="J42" s="62">
        <v>1</v>
      </c>
      <c r="K42" s="62" t="s">
        <v>65</v>
      </c>
      <c r="L42" s="431" t="s">
        <v>18</v>
      </c>
      <c r="M42" s="92">
        <v>44865</v>
      </c>
      <c r="N42" s="62" t="s">
        <v>17</v>
      </c>
      <c r="O42" s="62" t="s">
        <v>1195</v>
      </c>
      <c r="P42" s="76" t="s">
        <v>67</v>
      </c>
      <c r="Q42" s="76" t="s">
        <v>1188</v>
      </c>
      <c r="R42" s="945" t="s">
        <v>73</v>
      </c>
      <c r="S42" s="945" t="s">
        <v>77</v>
      </c>
      <c r="T42" s="945" t="s">
        <v>73</v>
      </c>
      <c r="U42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3054083.13</v>
      </c>
    </row>
    <row r="43" spans="1:21" ht="12.75" customHeight="1" outlineLevel="1">
      <c r="A43" s="62">
        <v>40</v>
      </c>
      <c r="B43" s="75">
        <v>150</v>
      </c>
      <c r="C43" s="74">
        <v>23010</v>
      </c>
      <c r="D43" s="62" t="s">
        <v>77</v>
      </c>
      <c r="E43" s="62">
        <v>54.67</v>
      </c>
      <c r="F43" s="941" t="s">
        <v>9</v>
      </c>
      <c r="G43" s="62" t="s">
        <v>27</v>
      </c>
      <c r="H43" s="62" t="s">
        <v>22</v>
      </c>
      <c r="I43" s="95">
        <v>3930928.78</v>
      </c>
      <c r="J43" s="62">
        <v>2</v>
      </c>
      <c r="K43" s="62" t="s">
        <v>65</v>
      </c>
      <c r="L43" s="431" t="s">
        <v>18</v>
      </c>
      <c r="M43" s="92">
        <v>44865</v>
      </c>
      <c r="N43" s="62" t="s">
        <v>17</v>
      </c>
      <c r="O43" s="62" t="s">
        <v>1196</v>
      </c>
      <c r="P43" s="76" t="s">
        <v>67</v>
      </c>
      <c r="Q43" s="76" t="s">
        <v>1188</v>
      </c>
      <c r="R43" s="941" t="s">
        <v>77</v>
      </c>
      <c r="S43" s="941" t="s">
        <v>73</v>
      </c>
      <c r="T43" s="941" t="s">
        <v>77</v>
      </c>
      <c r="U43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3930928.78</v>
      </c>
    </row>
    <row r="44" spans="1:21" outlineLevel="1">
      <c r="A44" s="65"/>
      <c r="B44" s="79"/>
      <c r="C44" s="79"/>
      <c r="D44" s="65"/>
      <c r="E44" s="65"/>
      <c r="F44" s="949"/>
      <c r="G44" s="65"/>
      <c r="H44" s="65"/>
      <c r="I44" s="93"/>
      <c r="J44" s="65"/>
      <c r="K44" s="65"/>
      <c r="L44" s="108"/>
      <c r="M44" s="98"/>
      <c r="N44" s="65"/>
      <c r="O44" s="65"/>
      <c r="P44" s="86"/>
      <c r="Q44" s="86"/>
      <c r="R44" s="947" t="s">
        <v>77</v>
      </c>
      <c r="S44" s="947" t="s">
        <v>77</v>
      </c>
      <c r="T44" s="947" t="s">
        <v>77</v>
      </c>
      <c r="U44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45" spans="1:21" outlineLevel="1">
      <c r="A45" s="62">
        <v>42</v>
      </c>
      <c r="B45" s="75">
        <v>785</v>
      </c>
      <c r="C45" s="75">
        <v>22970</v>
      </c>
      <c r="D45" s="62" t="s">
        <v>77</v>
      </c>
      <c r="E45" s="62">
        <v>24.37</v>
      </c>
      <c r="F45" s="1068"/>
      <c r="G45" s="62" t="s">
        <v>27</v>
      </c>
      <c r="H45" s="62" t="s">
        <v>22</v>
      </c>
      <c r="I45" s="95">
        <v>2009296.46</v>
      </c>
      <c r="J45" s="62">
        <v>0</v>
      </c>
      <c r="K45" s="62" t="s">
        <v>65</v>
      </c>
      <c r="L45" s="431" t="s">
        <v>18</v>
      </c>
      <c r="M45" s="92">
        <v>44865</v>
      </c>
      <c r="N45" s="62" t="s">
        <v>17</v>
      </c>
      <c r="O45" s="62" t="s">
        <v>1197</v>
      </c>
      <c r="P45" s="76" t="s">
        <v>67</v>
      </c>
      <c r="Q45" s="76" t="s">
        <v>1188</v>
      </c>
      <c r="R45" s="945" t="s">
        <v>77</v>
      </c>
      <c r="S45" s="945" t="s">
        <v>77</v>
      </c>
      <c r="T45" s="945" t="s">
        <v>77</v>
      </c>
      <c r="U45" s="946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46" spans="1:21" outlineLevel="1">
      <c r="A46" s="62">
        <v>43</v>
      </c>
      <c r="B46" s="75">
        <v>68</v>
      </c>
      <c r="C46" s="75">
        <v>23061</v>
      </c>
      <c r="D46" s="62" t="s">
        <v>73</v>
      </c>
      <c r="E46" s="62">
        <v>24.47</v>
      </c>
      <c r="F46" s="941" t="s">
        <v>25</v>
      </c>
      <c r="G46" s="62" t="s">
        <v>27</v>
      </c>
      <c r="H46" s="62" t="s">
        <v>22</v>
      </c>
      <c r="I46" s="95">
        <v>2545085.5099999998</v>
      </c>
      <c r="J46" s="62">
        <v>0</v>
      </c>
      <c r="K46" s="62" t="s">
        <v>65</v>
      </c>
      <c r="L46" s="62" t="s">
        <v>18</v>
      </c>
      <c r="M46" s="92">
        <v>44862</v>
      </c>
      <c r="N46" s="62" t="s">
        <v>17</v>
      </c>
      <c r="O46" s="62" t="s">
        <v>1198</v>
      </c>
      <c r="P46" s="76" t="s">
        <v>67</v>
      </c>
      <c r="Q46" s="76" t="s">
        <v>1199</v>
      </c>
      <c r="R46" s="941" t="s">
        <v>73</v>
      </c>
      <c r="S46" s="941" t="s">
        <v>73</v>
      </c>
      <c r="T46" s="941" t="s">
        <v>73</v>
      </c>
      <c r="U46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2006745.51</v>
      </c>
    </row>
    <row r="47" spans="1:21" outlineLevel="1">
      <c r="A47" s="62">
        <v>44</v>
      </c>
      <c r="B47" s="75">
        <v>701</v>
      </c>
      <c r="C47" s="75">
        <v>23149</v>
      </c>
      <c r="D47" s="62" t="s">
        <v>77</v>
      </c>
      <c r="E47" s="62">
        <v>38.909999999999997</v>
      </c>
      <c r="F47" s="941" t="s">
        <v>9</v>
      </c>
      <c r="G47" s="62" t="s">
        <v>27</v>
      </c>
      <c r="H47" s="62" t="s">
        <v>22</v>
      </c>
      <c r="I47" s="95">
        <v>3910103.14</v>
      </c>
      <c r="J47" s="62">
        <v>1</v>
      </c>
      <c r="K47" s="62" t="s">
        <v>65</v>
      </c>
      <c r="L47" s="62" t="s">
        <v>18</v>
      </c>
      <c r="M47" s="92">
        <v>44865</v>
      </c>
      <c r="N47" s="62" t="s">
        <v>17</v>
      </c>
      <c r="O47" s="62" t="s">
        <v>1200</v>
      </c>
      <c r="P47" s="76" t="s">
        <v>67</v>
      </c>
      <c r="Q47" s="76" t="s">
        <v>1201</v>
      </c>
      <c r="R47" s="941" t="s">
        <v>77</v>
      </c>
      <c r="S47" s="941" t="s">
        <v>77</v>
      </c>
      <c r="T47" s="941" t="s">
        <v>73</v>
      </c>
      <c r="U47" s="946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>3910103.1399999997</v>
      </c>
    </row>
    <row r="48" spans="1:21" outlineLevel="1">
      <c r="A48" s="65">
        <v>45</v>
      </c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7"/>
      <c r="U48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49" spans="1:21" outlineLevel="1">
      <c r="A49" s="65">
        <v>46</v>
      </c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7"/>
      <c r="U49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0" spans="1:21" outlineLevel="1">
      <c r="A50" s="65">
        <v>47</v>
      </c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7"/>
      <c r="U50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1" spans="1:21" outlineLevel="1">
      <c r="A51" s="65">
        <v>48</v>
      </c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7"/>
      <c r="U51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2" spans="1:21" outlineLevel="1">
      <c r="A52" s="65">
        <v>49</v>
      </c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3" spans="1:21" outlineLevel="1">
      <c r="A53" s="65">
        <v>50</v>
      </c>
      <c r="B53" s="79"/>
      <c r="C53" s="79"/>
      <c r="D53" s="80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7"/>
      <c r="U53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4" spans="1:21" outlineLevel="1">
      <c r="A54" s="65">
        <v>51</v>
      </c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5" spans="1:21" outlineLevel="1">
      <c r="A55" s="65">
        <v>52</v>
      </c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6" spans="1:21" outlineLevel="1">
      <c r="A56" s="65">
        <v>53</v>
      </c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7"/>
      <c r="U56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7" spans="1:21" outlineLevel="1">
      <c r="A57" s="65">
        <v>54</v>
      </c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8" spans="1:21" ht="12" customHeight="1" outlineLevel="1">
      <c r="A58" s="65">
        <v>55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59" spans="1:21" outlineLevel="1">
      <c r="A59" s="65">
        <v>56</v>
      </c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0" spans="1:21" outlineLevel="1">
      <c r="A60" s="65">
        <v>57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1" spans="1:21" outlineLevel="1">
      <c r="A61" s="65">
        <v>58</v>
      </c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2" spans="1:21" outlineLevel="1">
      <c r="A62" s="65">
        <v>59</v>
      </c>
      <c r="B62" s="79"/>
      <c r="C62" s="79"/>
      <c r="D62" s="80"/>
      <c r="E62" s="65"/>
      <c r="F62" s="72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3" spans="1:21" outlineLevel="1">
      <c r="A63" s="65">
        <v>60</v>
      </c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4" spans="1:21" ht="15.75" customHeight="1" outlineLevel="1">
      <c r="A64" s="65">
        <v>61</v>
      </c>
      <c r="B64" s="79"/>
      <c r="C64" s="79"/>
      <c r="D64" s="80"/>
      <c r="E64" s="65"/>
      <c r="F64" s="72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5" spans="1:21" outlineLevel="1">
      <c r="A65" s="65">
        <v>62</v>
      </c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6" spans="1:21" outlineLevel="1">
      <c r="A66" s="65">
        <v>63</v>
      </c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7" spans="1:21" outlineLevel="1">
      <c r="A67" s="65">
        <v>64</v>
      </c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388"/>
      <c r="P67" s="86"/>
      <c r="Q67" s="86"/>
      <c r="R67" s="947"/>
      <c r="S67" s="947"/>
      <c r="T67" s="947"/>
      <c r="U67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8" spans="1:21" outlineLevel="1">
      <c r="A68" s="65">
        <v>65</v>
      </c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69" spans="1:21" outlineLevel="1">
      <c r="A69" s="65">
        <v>66</v>
      </c>
      <c r="B69" s="79"/>
      <c r="C69" s="79"/>
      <c r="D69" s="80"/>
      <c r="E69" s="65"/>
      <c r="F69" s="72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70" spans="1:21" outlineLevel="1">
      <c r="A70" s="65">
        <v>67</v>
      </c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71" spans="1:21" outlineLevel="1">
      <c r="A71" s="65">
        <v>68</v>
      </c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72" spans="1:21" outlineLevel="1">
      <c r="A72" s="65">
        <v>69</v>
      </c>
      <c r="B72" s="79"/>
      <c r="C72" s="79"/>
      <c r="D72" s="80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947"/>
      <c r="S72" s="947"/>
      <c r="T72" s="947"/>
      <c r="U72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73" spans="1:21" outlineLevel="1">
      <c r="A73" s="65">
        <v>70</v>
      </c>
      <c r="B73" s="79"/>
      <c r="C73" s="79"/>
      <c r="D73" s="80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947"/>
      <c r="S73" s="947"/>
      <c r="T73" s="947"/>
      <c r="U73" s="948" t="str">
        <f>IFERROR(IF(Август2022365[[#This Row],[№ дома]]="Дом 2",SUM(Август2022365[[#This Row],[сумма]]/Август2022365[[#This Row],[м2]],IF(Август2022365[[#This Row],[Отделка]]="Черновая",0,"")&amp;IF(Август2022365[[#This Row],[Отделка]]="Предчистовая",-5500,"")&amp;IF(Август2022365[[#This Row],[Отделка]]="Чистовая",-16000,""))*Август2022365[[#This Row],[м2]],SUM(Август2022365[[#This Row],[сумма]]/Август2022365[[#This Row],[м2]],IF(Август2022365[[#This Row],[Отделка]]="Черновая",0,"")&amp;IF(Август2022365[[#This Row],[Отделка]]="Предчистовая",-7500,"")&amp;IF(Август2022365[[#This Row],[Отделка]]="Чистовая",-22000,""))*Август2022365[[#This Row],[м2]]),"")</f>
        <v/>
      </c>
    </row>
    <row r="74" spans="1:21" outlineLevel="1">
      <c r="A74" s="65"/>
      <c r="B74" s="79"/>
      <c r="C74" s="79"/>
      <c r="D74" s="65"/>
      <c r="E74" s="65"/>
      <c r="F74" s="934"/>
      <c r="G74" s="65"/>
      <c r="H74" s="65"/>
      <c r="I74" s="105"/>
      <c r="J74" s="65"/>
      <c r="K74" s="65"/>
      <c r="L74" s="108"/>
      <c r="M74" s="110"/>
      <c r="N74" s="65"/>
      <c r="O74" s="72"/>
      <c r="P74" s="86"/>
      <c r="Q74" s="86"/>
      <c r="R74" s="86"/>
      <c r="S74" s="86"/>
      <c r="T74" s="86"/>
      <c r="U74" s="948"/>
    </row>
    <row r="75" spans="1:21" outlineLevel="1">
      <c r="A75" s="2290" t="s">
        <v>713</v>
      </c>
      <c r="B75" s="2291"/>
      <c r="C75" s="972" t="s">
        <v>121</v>
      </c>
      <c r="D75" s="2295"/>
      <c r="E75" s="2296"/>
      <c r="F75" s="2296"/>
      <c r="G75" s="2296"/>
      <c r="H75" s="2296"/>
      <c r="I75" s="2296"/>
      <c r="J75" s="2296"/>
      <c r="K75" s="2296"/>
      <c r="L75" s="2296"/>
      <c r="M75" s="2296"/>
      <c r="N75" s="2296"/>
      <c r="O75" s="2296"/>
      <c r="P75" s="2296"/>
      <c r="Q75" s="86"/>
      <c r="R75" s="86"/>
      <c r="S75" s="86"/>
      <c r="T75" s="86"/>
    </row>
    <row r="76" spans="1:21" ht="25.5">
      <c r="A76" s="692" t="s">
        <v>1</v>
      </c>
      <c r="B76" s="686" t="s">
        <v>100</v>
      </c>
      <c r="C76" s="687" t="s">
        <v>97</v>
      </c>
      <c r="D76" s="688" t="s">
        <v>95</v>
      </c>
      <c r="E76" s="1033" t="s">
        <v>494</v>
      </c>
      <c r="F76" s="1033" t="s">
        <v>495</v>
      </c>
      <c r="G76" s="1033" t="s">
        <v>496</v>
      </c>
      <c r="H76" s="1034" t="s">
        <v>101</v>
      </c>
      <c r="I76" s="1023" t="s">
        <v>98</v>
      </c>
      <c r="J76" s="1023" t="s">
        <v>96</v>
      </c>
      <c r="K76" s="1023" t="s">
        <v>715</v>
      </c>
      <c r="L76" s="1060" t="s">
        <v>716</v>
      </c>
      <c r="M76" s="1087">
        <v>0</v>
      </c>
      <c r="N76" s="1033">
        <v>1</v>
      </c>
      <c r="O76" s="1033">
        <v>2</v>
      </c>
      <c r="P76" s="1033">
        <v>3</v>
      </c>
      <c r="Q76" s="1104">
        <v>4</v>
      </c>
      <c r="R76" s="950"/>
      <c r="S76" s="950"/>
      <c r="T76" s="950"/>
      <c r="U76" s="951"/>
    </row>
    <row r="77" spans="1:21">
      <c r="A77" s="1020" t="s">
        <v>73</v>
      </c>
      <c r="B77" s="1036">
        <v>72.900000000000006</v>
      </c>
      <c r="C77" s="1036">
        <v>5446040.8499999996</v>
      </c>
      <c r="D77" s="1069">
        <v>1</v>
      </c>
      <c r="E77" s="145">
        <f>SUMIFS(Август2022365[м2],Август2022365[МОП],$A77,Август2022365[№ дома],$C$75)</f>
        <v>0</v>
      </c>
      <c r="F77" s="939">
        <f>SUMIFS(Август2022365[сумма без отделки],Август2022365[МОП],$A77,Август2022365[№ дома],$C$75)</f>
        <v>0</v>
      </c>
      <c r="G77" s="1038">
        <f>COUNTIFS(Август2022365[МОП],$A77,Август2022365[№ дома],$C$75)</f>
        <v>0</v>
      </c>
      <c r="H77" s="148">
        <f>SUMIFS(РД[S],РД[Дом],$C$75,РД[МОП],A77,РД[Дата подачи на регистрацию],"&lt;="&amp;$A$1,РД[Дата подачи на регистрацию],"&gt;="&amp;DATE(YEAR($A$1),MONTH($A$1),1))</f>
        <v>0</v>
      </c>
      <c r="I77" s="149">
        <f>SUMIFS(РД[Стоимость без отделки итог],РД[Дом],$C$75,РД[МОП],A77,РД[Дата подачи на регистрацию],"&lt;="&amp;$A$1,РД[Дата подачи на регистрацию],"&gt;="&amp;DATE(YEAR($A$1),MONTH($A$1),1))</f>
        <v>0</v>
      </c>
      <c r="J77" s="220">
        <f>COUNTIFS(РД[Дом],$C$75,РД[МОП],A77,РД[Дата подачи на регистрацию],"&lt;="&amp;$A$1,РД[Дата подачи на регистрацию],"&gt;="&amp;DATE(YEAR($A$1),MONTH($A$1),1))</f>
        <v>0</v>
      </c>
      <c r="K77" s="943">
        <f t="shared" ref="K77:L79" si="0">IFERROR(H77/B77,)</f>
        <v>0</v>
      </c>
      <c r="L77" s="1061">
        <f t="shared" si="0"/>
        <v>0</v>
      </c>
      <c r="M77" s="1088">
        <f>COUNTIFS(РД[Тип кв],M$76,РД[МОП],$A77,РД[Дом],$C$75,РД[Дата подачи на регистрацию],"&lt;="&amp;$A$1,РД[Дата подачи на регистрацию],"&gt;="&amp;DATE(YEAR($A$1),MONTH($A$1),1))</f>
        <v>0</v>
      </c>
      <c r="N77" s="1089">
        <f>COUNTIFS(РД[Тип кв],N$76,РД[МОП],$A77,РД[Дом],$C$75,РД[Дата подачи на регистрацию],"&lt;="&amp;$A$1,РД[Дата подачи на регистрацию],"&gt;="&amp;DATE(YEAR($A$1),MONTH($A$1),1))</f>
        <v>0</v>
      </c>
      <c r="O77" s="1089">
        <f>COUNTIFS(РД[Тип кв],O$76,РД[МОП],$A77,РД[Дом],$C$75,РД[Дата подачи на регистрацию],"&lt;="&amp;$A$1,РД[Дата подачи на регистрацию],"&gt;="&amp;DATE(YEAR($A$1),MONTH($A$1),1))</f>
        <v>0</v>
      </c>
      <c r="P77" s="1089">
        <f>COUNTIFS(РД[Тип кв],P$76,РД[МОП],$A77,РД[Дом],$C$75,РД[Дата подачи на регистрацию],"&lt;="&amp;$A$1,РД[Дата подачи на регистрацию],"&gt;="&amp;DATE(YEAR($A$1),MONTH($A$1),1))</f>
        <v>0</v>
      </c>
      <c r="Q77" s="1098">
        <f>COUNTIFS(РД[Тип кв],Q$76,РД[МОП],$A77,РД[Дом],$C$75,РД[Дата подачи на регистрацию],"&lt;="&amp;$A$1,РД[Дата подачи на регистрацию],"&gt;="&amp;DATE(YEAR($A$1),MONTH($A$1),1))</f>
        <v>0</v>
      </c>
      <c r="R77" s="949"/>
      <c r="S77" s="949"/>
      <c r="T77" s="949"/>
    </row>
    <row r="78" spans="1:21">
      <c r="A78" s="981" t="s">
        <v>77</v>
      </c>
      <c r="B78" s="1036">
        <v>89.1</v>
      </c>
      <c r="C78" s="1036">
        <v>6656272.1500000004</v>
      </c>
      <c r="D78" s="1069">
        <v>1</v>
      </c>
      <c r="E78" s="145">
        <f>SUMIFS(Август2022365[м2],Август2022365[МОП],$A78,Август2022365[№ дома],$C$75)</f>
        <v>117.69999999999999</v>
      </c>
      <c r="F78" s="939">
        <f>SUMIFS(Август2022365[сумма без отделки],Август2022365[МОП],$A78,Август2022365[№ дома],$C$75)</f>
        <v>9812910</v>
      </c>
      <c r="G78" s="1038">
        <f>COUNTIFS(Август2022365[МОП],$A78,Август2022365[№ дома],$C$75)</f>
        <v>2</v>
      </c>
      <c r="H78" s="148">
        <f>SUMIFS(РД[S],РД[Дом],$C$75,РД[МОП],A78,РД[Дата подачи на регистрацию],"&lt;="&amp;$A$1,РД[Дата подачи на регистрацию],"&gt;="&amp;DATE(YEAR($A$1),MONTH($A$1),1))</f>
        <v>120.69999999999999</v>
      </c>
      <c r="I78" s="149">
        <f>SUMIFS(РД[Стоимость без отделки итог],РД[Дом],$C$75,РД[МОП],A78,РД[Дата подачи на регистрацию],"&lt;="&amp;$A$1,РД[Дата подачи на регистрацию],"&gt;="&amp;DATE(YEAR($A$1),MONTH($A$1),1))</f>
        <v>9812910</v>
      </c>
      <c r="J78" s="220">
        <f>COUNTIFS(РД[Дом],$C$75,РД[МОП],A78,РД[Дата подачи на регистрацию],"&lt;="&amp;$A$1,РД[Дата подачи на регистрацию],"&gt;="&amp;DATE(YEAR($A$1),MONTH($A$1),1))</f>
        <v>2</v>
      </c>
      <c r="K78" s="987">
        <f t="shared" si="0"/>
        <v>1.3546576879910213</v>
      </c>
      <c r="L78" s="1062">
        <f t="shared" si="0"/>
        <v>1.4742350941885691</v>
      </c>
      <c r="M78" s="1090">
        <f>COUNTIFS(РД[Тип кв],M$76,РД[МОП],$A78,РД[Дом],$C$75,РД[Дата подачи на регистрацию],"&lt;="&amp;$A$1,РД[Дата подачи на регистрацию],"&gt;="&amp;DATE(YEAR($A$1),MONTH($A$1),1))</f>
        <v>0</v>
      </c>
      <c r="N78" s="339">
        <f>COUNTIFS(РД[Тип кв],N$76,РД[МОП],$A78,РД[Дом],$C$75,РД[Дата подачи на регистрацию],"&lt;="&amp;$A$1,РД[Дата подачи на регистрацию],"&gt;="&amp;DATE(YEAR($A$1),MONTH($A$1),1))</f>
        <v>0</v>
      </c>
      <c r="O78" s="339">
        <f>COUNTIFS(РД[Тип кв],O$76,РД[МОП],$A78,РД[Дом],$C$75,РД[Дата подачи на регистрацию],"&lt;="&amp;$A$1,РД[Дата подачи на регистрацию],"&gt;="&amp;DATE(YEAR($A$1),MONTH($A$1),1))</f>
        <v>2</v>
      </c>
      <c r="P78" s="339">
        <f>COUNTIFS(РД[Тип кв],P$76,РД[МОП],$A78,РД[Дом],$C$75,РД[Дата подачи на регистрацию],"&lt;="&amp;$A$1,РД[Дата подачи на регистрацию],"&gt;="&amp;DATE(YEAR($A$1),MONTH($A$1),1))</f>
        <v>0</v>
      </c>
      <c r="Q78" s="1099">
        <f>COUNTIFS(РД[Тип кв],Q$76,РД[МОП],$A78,РД[Дом],$C$75,РД[Дата подачи на регистрацию],"&lt;="&amp;$A$1,РД[Дата подачи на регистрацию],"&gt;="&amp;DATE(YEAR($A$1),MONTH($A$1),1))</f>
        <v>0</v>
      </c>
      <c r="R78" s="949"/>
      <c r="S78" s="949"/>
      <c r="T78" s="949"/>
    </row>
    <row r="79" spans="1:21">
      <c r="A79" s="1043" t="s">
        <v>114</v>
      </c>
      <c r="B79" s="963">
        <v>162</v>
      </c>
      <c r="C79" s="963">
        <v>12102313</v>
      </c>
      <c r="D79" s="965">
        <v>2</v>
      </c>
      <c r="E79" s="917">
        <f t="shared" ref="E79:J79" si="1">SUM(E77:E78)</f>
        <v>117.69999999999999</v>
      </c>
      <c r="F79" s="1070">
        <f t="shared" si="1"/>
        <v>9812910</v>
      </c>
      <c r="G79" s="1071">
        <f t="shared" si="1"/>
        <v>2</v>
      </c>
      <c r="H79" s="317">
        <f t="shared" si="1"/>
        <v>120.69999999999999</v>
      </c>
      <c r="I79" s="1066">
        <f t="shared" si="1"/>
        <v>9812910</v>
      </c>
      <c r="J79" s="917">
        <f t="shared" si="1"/>
        <v>2</v>
      </c>
      <c r="K79" s="419">
        <f t="shared" si="0"/>
        <v>0.74506172839506168</v>
      </c>
      <c r="L79" s="507">
        <f t="shared" si="0"/>
        <v>0.81082930180371304</v>
      </c>
      <c r="M79" s="317">
        <f>SUM(M77:M78)</f>
        <v>0</v>
      </c>
      <c r="N79" s="917">
        <f>SUM(N77:N78)</f>
        <v>0</v>
      </c>
      <c r="O79" s="917">
        <f>SUM(O77:O78)</f>
        <v>2</v>
      </c>
      <c r="P79" s="1091">
        <f>SUM(P77:P78)</f>
        <v>0</v>
      </c>
      <c r="Q79" s="928">
        <f>SUM(Q77:Q78)</f>
        <v>0</v>
      </c>
      <c r="R79" s="949"/>
      <c r="S79" s="949"/>
      <c r="T79" s="949"/>
    </row>
    <row r="80" spans="1:21" ht="25.5">
      <c r="A80" s="705" t="s">
        <v>115</v>
      </c>
      <c r="B80" s="706" t="s">
        <v>100</v>
      </c>
      <c r="C80" s="710" t="s">
        <v>97</v>
      </c>
      <c r="D80" s="708" t="s">
        <v>95</v>
      </c>
      <c r="E80" s="1044" t="s">
        <v>494</v>
      </c>
      <c r="F80" s="1044" t="s">
        <v>495</v>
      </c>
      <c r="G80" s="1045" t="s">
        <v>496</v>
      </c>
      <c r="H80" s="481" t="s">
        <v>101</v>
      </c>
      <c r="I80" s="482" t="s">
        <v>98</v>
      </c>
      <c r="J80" s="482" t="s">
        <v>96</v>
      </c>
      <c r="K80" s="502" t="s">
        <v>715</v>
      </c>
      <c r="L80" s="1025" t="s">
        <v>716</v>
      </c>
      <c r="M80" s="1092">
        <v>0</v>
      </c>
      <c r="N80" s="1044">
        <v>1</v>
      </c>
      <c r="O80" s="1044">
        <v>2</v>
      </c>
      <c r="P80" s="1044">
        <v>3</v>
      </c>
      <c r="Q80" s="1045">
        <v>4</v>
      </c>
      <c r="R80" s="950"/>
      <c r="S80" s="950"/>
      <c r="T80" s="950"/>
      <c r="U80" s="951"/>
    </row>
    <row r="81" spans="1:21">
      <c r="A81" s="1072" t="s">
        <v>16</v>
      </c>
      <c r="B81" s="291">
        <v>51.03</v>
      </c>
      <c r="C81" s="291">
        <v>3812228.5950000002</v>
      </c>
      <c r="D81" s="694">
        <v>1</v>
      </c>
      <c r="E81" s="1046">
        <f>SUMIFS(Август2022365[м2],Август2022365[ИМ],A81,Август2022365[№ дома],$C$75)</f>
        <v>117.69999999999999</v>
      </c>
      <c r="F81" s="184">
        <f>SUMIFS(Август2022365[сумма без отделки],Август2022365[ИМ],$A81,Август2022365[№ дома],$C$75)</f>
        <v>9812910</v>
      </c>
      <c r="G81" s="1047">
        <f>COUNTIFS(Август2022365[ИМ],$A81,Август2022365[№ дома],$C$75)</f>
        <v>2</v>
      </c>
      <c r="H81" s="346">
        <f>SUMIFS(РД[S],РД[Дом],$C$75,РД[ИМ],A81,РД[Дата подачи на регистрацию],"&lt;="&amp;$A$1,РД[Дата подачи на регистрацию],"&gt;="&amp;DATE(YEAR($A$1),MONTH($A$1),1))</f>
        <v>120.69999999999999</v>
      </c>
      <c r="I81" s="184">
        <f>SUMIFS(РД[Стоимость без отделки итог],РД[Дом],$C$75,РД[ИМ],A81,РД[Дата подачи на регистрацию],"&lt;="&amp;$A$1,РД[Дата подачи на регистрацию],"&gt;="&amp;DATE(YEAR($A$1),MONTH($A$1),1))</f>
        <v>9812910</v>
      </c>
      <c r="J81" s="243">
        <f>COUNTIFS(РД[Дом],$C$75,РД[ИМ],A81,РД[Дата подачи на регистрацию],"&lt;="&amp;$A$1,РД[Дата подачи на регистрацию],"&gt;="&amp;DATE(YEAR($A$1),MONTH($A$1),1))</f>
        <v>2</v>
      </c>
      <c r="K81" s="990">
        <f>IFERROR(H81/B81,"")</f>
        <v>2.3652753282382908</v>
      </c>
      <c r="L81" s="991">
        <f>IFERROR(I81/C81,"")</f>
        <v>2.5740612755673431</v>
      </c>
      <c r="M81" s="183">
        <f>COUNTIFS(РД[Тип кв],M$76,РД[ИМ],$A81,РД[Дом],$C$75,РД[Дата подачи на регистрацию],"&lt;="&amp;$A$1,РД[Дата подачи на регистрацию],"&gt;="&amp;DATE(YEAR($A$1),MONTH($A$1),1))</f>
        <v>0</v>
      </c>
      <c r="N81" s="243">
        <f>COUNTIFS(РД[Тип кв],N$76,РД[ИМ],$A81,РД[Дом],$C$75,РД[Дата подачи на регистрацию],"&lt;="&amp;$A$1,РД[Дата подачи на регистрацию],"&gt;="&amp;DATE(YEAR($A$1),MONTH($A$1),1))</f>
        <v>0</v>
      </c>
      <c r="O81" s="243">
        <f>COUNTIFS(РД[Тип кв],O$76,РД[ИМ],$A81,РД[Дом],$C$75,РД[Дата подачи на регистрацию],"&lt;="&amp;$A$1,РД[Дата подачи на регистрацию],"&gt;="&amp;DATE(YEAR($A$1),MONTH($A$1),1))</f>
        <v>2</v>
      </c>
      <c r="P81" s="243">
        <f>COUNTIFS(РД[Тип кв],P$76,РД[ИМ],$A81,РД[Дом],$C$75,РД[Дата подачи на регистрацию],"&lt;="&amp;$A$1,РД[Дата подачи на регистрацию],"&gt;="&amp;DATE(YEAR($A$1),MONTH($A$1),1))</f>
        <v>0</v>
      </c>
      <c r="Q81" s="246">
        <f>COUNTIFS(РД[Тип кв],Q$76,РД[ИМ],$A81,РД[Дом],$C$75,РД[Дата подачи на регистрацию],"&lt;="&amp;$A$1,РД[Дата подачи на регистрацию],"&gt;="&amp;DATE(YEAR($A$1),MONTH($A$1),1))</f>
        <v>0</v>
      </c>
      <c r="R81" s="949"/>
      <c r="S81" s="949"/>
      <c r="T81" s="949"/>
    </row>
    <row r="82" spans="1:21">
      <c r="A82" s="1073" t="s">
        <v>22</v>
      </c>
      <c r="B82" s="291">
        <v>62.37</v>
      </c>
      <c r="C82" s="291">
        <v>4659390.5049999999</v>
      </c>
      <c r="D82" s="695">
        <v>1</v>
      </c>
      <c r="E82" s="1048">
        <f>SUMIFS(Август2022365[м2],Август2022365[ИМ],A82,Август2022365[№ дома],$C$75)</f>
        <v>0</v>
      </c>
      <c r="F82" s="196">
        <f>SUMIFS(Август2022365[сумма без отделки],Август2022365[ИМ],$A82,Август2022365[№ дома],$C$75)</f>
        <v>0</v>
      </c>
      <c r="G82" s="1049">
        <f>COUNTIFS(Август2022365[ИМ],$A82,Август2022365[№ дома],$C$75)</f>
        <v>0</v>
      </c>
      <c r="H82" s="426">
        <f>SUMIFS(РД[S],РД[Дом],$C$75,РД[ИМ],A82,РД[Дата подачи на регистрацию],"&lt;="&amp;$A$1,РД[Дата подачи на регистрацию],"&gt;="&amp;DATE(YEAR($A$1),MONTH($A$1),1))</f>
        <v>0</v>
      </c>
      <c r="I82" s="196">
        <f>SUMIFS(РД[Стоимость без отделки итог],РД[Дом],$C$75,РД[ИМ],A82,РД[Дата подачи на регистрацию],"&lt;="&amp;$A$1,РД[Дата подачи на регистрацию],"&gt;="&amp;DATE(YEAR($A$1),MONTH($A$1),1))</f>
        <v>0</v>
      </c>
      <c r="J82" s="251">
        <f>COUNTIFS(РД[Дом],$C$75,РД[ИМ],A82,РД[Дата подачи на регистрацию],"&lt;="&amp;$A$1,РД[Дата подачи на регистрацию],"&gt;="&amp;DATE(YEAR($A$1),MONTH($A$1),1))</f>
        <v>0</v>
      </c>
      <c r="K82" s="992">
        <f>IFERROR(H82/B82,"")</f>
        <v>0</v>
      </c>
      <c r="L82" s="993">
        <f>IFERROR(I82/C82,"")</f>
        <v>0</v>
      </c>
      <c r="M82" s="195">
        <f>COUNTIFS(РД[Тип кв],M$76,РД[ИМ],$A82,РД[Дом],$C$75,РД[Дата подачи на регистрацию],"&lt;="&amp;$A$1,РД[Дата подачи на регистрацию],"&gt;="&amp;DATE(YEAR($A$1),MONTH($A$1),1))</f>
        <v>0</v>
      </c>
      <c r="N82" s="251">
        <f>COUNTIFS(РД[Тип кв],N$76,РД[ИМ],$A82,РД[Дом],$C$75,РД[Дата подачи на регистрацию],"&lt;="&amp;$A$1,РД[Дата подачи на регистрацию],"&gt;="&amp;DATE(YEAR($A$1),MONTH($A$1),1))</f>
        <v>0</v>
      </c>
      <c r="O82" s="251">
        <f>COUNTIFS(РД[Тип кв],O$76,РД[ИМ],$A82,РД[Дом],$C$75,РД[Дата подачи на регистрацию],"&lt;="&amp;$A$1,РД[Дата подачи на регистрацию],"&gt;="&amp;DATE(YEAR($A$1),MONTH($A$1),1))</f>
        <v>0</v>
      </c>
      <c r="P82" s="251">
        <f>COUNTIFS(РД[Тип кв],P$76,РД[ИМ],$A82,РД[Дом],$C$75,РД[Дата подачи на регистрацию],"&lt;="&amp;$A$1,РД[Дата подачи на регистрацию],"&gt;="&amp;DATE(YEAR($A$1),MONTH($A$1),1))</f>
        <v>0</v>
      </c>
      <c r="Q82" s="254">
        <f>COUNTIFS(РД[Тип кв],Q$76,РД[ИМ],$A82,РД[Дом],$C$75,РД[Дата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168" t="s">
        <v>114</v>
      </c>
      <c r="B83" s="323">
        <v>113.4</v>
      </c>
      <c r="C83" s="429">
        <v>8471619.0999999996</v>
      </c>
      <c r="D83" s="497">
        <v>2</v>
      </c>
      <c r="E83" s="897">
        <f t="shared" ref="E83:J83" si="2">SUM(E81:E81)</f>
        <v>117.69999999999999</v>
      </c>
      <c r="F83" s="1050">
        <f t="shared" si="2"/>
        <v>9812910</v>
      </c>
      <c r="G83" s="898">
        <f t="shared" si="2"/>
        <v>2</v>
      </c>
      <c r="H83" s="168">
        <f t="shared" si="2"/>
        <v>120.69999999999999</v>
      </c>
      <c r="I83" s="897">
        <f t="shared" si="2"/>
        <v>9812910</v>
      </c>
      <c r="J83" s="897">
        <f t="shared" si="2"/>
        <v>2</v>
      </c>
      <c r="K83" s="238">
        <f>IFERROR(H83/B83,)</f>
        <v>1.0643738977072308</v>
      </c>
      <c r="L83" s="501">
        <f>IFERROR(I83/C83,)</f>
        <v>1.1583275740053045</v>
      </c>
      <c r="M83" s="897">
        <f>SUM(M81:M81)</f>
        <v>0</v>
      </c>
      <c r="N83" s="897">
        <f>SUM(N81:N81)</f>
        <v>0</v>
      </c>
      <c r="O83" s="897">
        <f>SUM(O81:O81)</f>
        <v>2</v>
      </c>
      <c r="P83" s="897">
        <f>SUM(P81:P81)</f>
        <v>0</v>
      </c>
      <c r="Q83" s="898">
        <f>SUM(Q81:Q81)</f>
        <v>0</v>
      </c>
      <c r="R83" s="65"/>
      <c r="S83" s="65"/>
      <c r="T83" s="65"/>
      <c r="U83" s="339"/>
    </row>
    <row r="84" spans="1:21">
      <c r="A84" s="7"/>
      <c r="B84" s="968"/>
      <c r="C84" s="968"/>
      <c r="D84" s="7"/>
      <c r="E84" s="7"/>
      <c r="F84" s="7"/>
      <c r="G84" s="7"/>
      <c r="H84" s="134"/>
      <c r="I84" s="134"/>
      <c r="J84" s="134"/>
      <c r="K84" s="7"/>
      <c r="L84" s="994"/>
      <c r="M84" s="134"/>
      <c r="N84" s="134"/>
      <c r="O84" s="134"/>
      <c r="P84" s="262"/>
      <c r="Q84" s="134"/>
      <c r="R84" s="949"/>
      <c r="S84" s="949"/>
      <c r="T84" s="949"/>
    </row>
    <row r="85" spans="1:21">
      <c r="A85" s="2290" t="s">
        <v>713</v>
      </c>
      <c r="B85" s="2291"/>
      <c r="C85" s="935" t="s">
        <v>27</v>
      </c>
      <c r="D85" s="2292"/>
      <c r="E85" s="2292"/>
      <c r="F85" s="2292"/>
      <c r="G85" s="2292"/>
      <c r="H85" s="2292"/>
      <c r="I85" s="2292"/>
      <c r="J85" s="2292"/>
      <c r="K85" s="2292"/>
      <c r="L85" s="2292"/>
      <c r="M85" s="2292"/>
      <c r="N85" s="2292"/>
      <c r="O85" s="2292"/>
      <c r="P85" s="2292"/>
      <c r="Q85" s="7"/>
      <c r="R85" s="949"/>
      <c r="S85" s="949"/>
      <c r="T85" s="949"/>
    </row>
    <row r="86" spans="1:21" ht="25.5">
      <c r="A86" s="692" t="s">
        <v>1</v>
      </c>
      <c r="B86" s="686" t="s">
        <v>100</v>
      </c>
      <c r="C86" s="688" t="s">
        <v>97</v>
      </c>
      <c r="D86" s="688" t="s">
        <v>95</v>
      </c>
      <c r="E86" s="1022" t="s">
        <v>494</v>
      </c>
      <c r="F86" s="138" t="s">
        <v>495</v>
      </c>
      <c r="G86" s="139" t="s">
        <v>496</v>
      </c>
      <c r="H86" s="140" t="s">
        <v>101</v>
      </c>
      <c r="I86" s="141" t="s">
        <v>98</v>
      </c>
      <c r="J86" s="141" t="s">
        <v>96</v>
      </c>
      <c r="K86" s="141" t="s">
        <v>715</v>
      </c>
      <c r="L86" s="1026" t="s">
        <v>716</v>
      </c>
      <c r="M86" s="1092">
        <v>0</v>
      </c>
      <c r="N86" s="1044">
        <v>1</v>
      </c>
      <c r="O86" s="1044">
        <v>2</v>
      </c>
      <c r="P86" s="1044">
        <v>3</v>
      </c>
      <c r="Q86" s="1045">
        <v>4</v>
      </c>
      <c r="R86" s="950"/>
      <c r="S86" s="950"/>
      <c r="T86" s="950"/>
      <c r="U86" s="951"/>
    </row>
    <row r="87" spans="1:21">
      <c r="A87" s="1035" t="s">
        <v>73</v>
      </c>
      <c r="B87" s="1036">
        <v>280.35000000000002</v>
      </c>
      <c r="C87" s="1036">
        <v>23395707</v>
      </c>
      <c r="D87" s="1074">
        <v>8</v>
      </c>
      <c r="E87" s="145">
        <f>SUMIFS(Август2022365[м2],Август2022365[МОП],$A87,Август2022365[№ дома],$C$85)</f>
        <v>435.53999999999996</v>
      </c>
      <c r="F87" s="939">
        <f>SUMIFS(Август2022365[сумма без отделки],Август2022365[МОП],$A87,Август2022365[№ дома],$C$85)</f>
        <v>35054006</v>
      </c>
      <c r="G87" s="940">
        <f>COUNTIFS(Август2022365[МОП],$A87,Август2022365[№ дома],$C$85)</f>
        <v>13</v>
      </c>
      <c r="H87" s="148">
        <f>SUMIFS(РД[S],РД[Дом],$C$85,РД[МОП],A87,РД[Дата подачи на регистрацию],"&lt;="&amp;$A$1,РД[Дата подачи на регистрацию],"&gt;="&amp;DATE(YEAR($A$1),MONTH($A$1),1))</f>
        <v>435.53999999999996</v>
      </c>
      <c r="I87" s="149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регистрацию],"&gt;="&amp;DATE(YEAR($A$1),MONTH($A$1),1))</f>
        <v>35054005.700000003</v>
      </c>
      <c r="J87" s="220">
        <f>COUNTIFS(РД[Дом],$C$85,РД[МОП],A87,РД[Дата подачи на регистрацию],"&lt;="&amp;$A$1,РД[Дата подачи на регистрацию],"&gt;="&amp;DATE(YEAR($A$1),MONTH($A$1),1))</f>
        <v>13</v>
      </c>
      <c r="K87" s="943">
        <f>IFERROR(H87/B87,"")</f>
        <v>1.5535580524344568</v>
      </c>
      <c r="L87" s="944">
        <f>IFERROR(I87/C87,"")</f>
        <v>1.4983093137557246</v>
      </c>
      <c r="M87" s="1088">
        <f>COUNTIFS(РД[Тип кв],M$86,РД[МОП],$A87,РД[Дом],$C$85,РД[Дата подачи на регистрацию],"&lt;="&amp;$A$1,РД[Дата подачи на регистрацию],"&gt;="&amp;DATE(YEAR($A$1),MONTH($A$1),1))</f>
        <v>6</v>
      </c>
      <c r="N87" s="1089">
        <f>COUNTIFS(РД[Тип кв],N$86,РД[МОП],$A87,РД[Дом],$C$85,РД[Дата подачи на регистрацию],"&lt;="&amp;$A$1,РД[Дата подачи на регистрацию],"&gt;="&amp;DATE(YEAR($A$1),MONTH($A$1),1))</f>
        <v>6</v>
      </c>
      <c r="O87" s="1089">
        <f>COUNTIFS(РД[Тип кв],O$86,РД[МОП],$A87,РД[Дом],$C$85,РД[Дата подачи на регистрацию],"&lt;="&amp;$A$1,РД[Дата подачи на регистрацию],"&gt;="&amp;DATE(YEAR($A$1),MONTH($A$1),1))</f>
        <v>1</v>
      </c>
      <c r="P87" s="1089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Q87" s="1098">
        <f>COUNTIFS(РД[Тип кв],Q$86,РД[МОП],$A87,РД[Дом],$C$85,РД[Дата подачи на регистрацию],"&lt;="&amp;$A$1,РД[Дата подачи на регистрацию],"&gt;="&amp;DATE(YEAR($A$1),MONTH($A$1),1))</f>
        <v>0</v>
      </c>
      <c r="R87" s="949"/>
      <c r="S87" s="949"/>
      <c r="T87" s="949"/>
    </row>
    <row r="88" spans="1:21">
      <c r="A88" s="1039" t="s">
        <v>77</v>
      </c>
      <c r="B88" s="1036">
        <v>342.65</v>
      </c>
      <c r="C88" s="1036">
        <v>28594753</v>
      </c>
      <c r="D88" s="1041">
        <v>11</v>
      </c>
      <c r="E88" s="145">
        <f>SUMIFS(Август2022365[м2],Август2022365[МОП],$A88,Август2022365[№ дома],$C$85)</f>
        <v>794.4799999999999</v>
      </c>
      <c r="F88" s="939">
        <f>SUMIFS(Август2022365[сумма без отделки],Август2022365[МОП],$A88,Август2022365[№ дома],$C$85)</f>
        <v>61678423.649999999</v>
      </c>
      <c r="G88" s="940">
        <f>COUNTIFS(Август2022365[МОП],$A88,Август2022365[№ дома],$C$85)</f>
        <v>22</v>
      </c>
      <c r="H88" s="148">
        <f>SUMIFS(РД[S],РД[Дом],$C$85,РД[МОП],A88,РД[Дата подачи на регистрацию],"&lt;="&amp;$A$1,РД[Дата подачи на регистрацию],"&gt;="&amp;DATE(YEAR($A$1),MONTH($A$1),1))</f>
        <v>794.4799999999999</v>
      </c>
      <c r="I88" s="149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регистрацию],"&gt;="&amp;DATE(YEAR($A$1),MONTH($A$1),1))</f>
        <v>62658353.980000012</v>
      </c>
      <c r="J88" s="220">
        <f>COUNTIFS(РД[Дом],$C$85,РД[МОП],A88,РД[Дата подачи на регистрацию],"&lt;="&amp;$A$1,РД[Дата подачи на регистрацию],"&gt;="&amp;DATE(YEAR($A$1),MONTH($A$1),1))</f>
        <v>22</v>
      </c>
      <c r="K88" s="987">
        <f>IFERROR(H88/B88,"")</f>
        <v>2.3186341748139498</v>
      </c>
      <c r="L88" s="988">
        <f>IFERROR(I88/C88,"")</f>
        <v>2.1912535485094069</v>
      </c>
      <c r="M88" s="1090">
        <f>COUNTIFS(РД[Тип кв],M$86,РД[МОП],$A88,РД[Дом],$C$85,РД[Дата подачи на регистрацию],"&lt;="&amp;$A$1,РД[Дата подачи на регистрацию],"&gt;="&amp;DATE(YEAR($A$1),MONTH($A$1),1))</f>
        <v>8</v>
      </c>
      <c r="N88" s="339">
        <f>COUNTIFS(РД[Тип кв],N$86,РД[МОП],$A88,РД[Дом],$C$85,РД[Дата подачи на регистрацию],"&lt;="&amp;$A$1,РД[Дата подачи на регистрацию],"&gt;="&amp;DATE(YEAR($A$1),MONTH($A$1),1))</f>
        <v>11</v>
      </c>
      <c r="O88" s="339">
        <f>COUNTIFS(РД[Тип кв],O$86,РД[МОП],$A88,РД[Дом],$C$85,РД[Дата подачи на регистрацию],"&lt;="&amp;$A$1,РД[Дата подачи на регистрацию],"&gt;="&amp;DATE(YEAR($A$1),MONTH($A$1),1))</f>
        <v>3</v>
      </c>
      <c r="P88" s="339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Q88" s="1099">
        <f>COUNTIFS(РД[Тип кв],Q$86,РД[МОП],$A88,РД[Дом],$C$85,РД[Дата подачи на регистрацию],"&lt;="&amp;$A$1,РД[Дата подачи на регистрацию],"&gt;="&amp;DATE(YEAR($A$1),MONTH($A$1),1))</f>
        <v>0</v>
      </c>
      <c r="R88" s="949"/>
      <c r="S88" s="949"/>
      <c r="T88" s="949"/>
    </row>
    <row r="89" spans="1:21">
      <c r="A89" s="1043" t="s">
        <v>114</v>
      </c>
      <c r="B89" s="1075">
        <v>623</v>
      </c>
      <c r="C89" s="1075">
        <v>51990460</v>
      </c>
      <c r="D89" s="965">
        <v>19</v>
      </c>
      <c r="E89" s="1076">
        <f t="shared" ref="E89:J89" si="3">SUM(E87:E88)</f>
        <v>1230.02</v>
      </c>
      <c r="F89" s="1077">
        <f t="shared" si="3"/>
        <v>96732429.650000006</v>
      </c>
      <c r="G89" s="1078">
        <f t="shared" si="3"/>
        <v>35</v>
      </c>
      <c r="H89" s="473">
        <f t="shared" si="3"/>
        <v>1230.02</v>
      </c>
      <c r="I89" s="429">
        <f t="shared" si="3"/>
        <v>97712359.680000007</v>
      </c>
      <c r="J89" s="494">
        <f t="shared" si="3"/>
        <v>35</v>
      </c>
      <c r="K89" s="419">
        <f>IFERROR(H89/B89,)</f>
        <v>1.9743499197431782</v>
      </c>
      <c r="L89" s="507">
        <f>IFERROR(I89/C89,)</f>
        <v>1.8794286428702498</v>
      </c>
      <c r="M89" s="168">
        <f>SUM(M87:M88)</f>
        <v>14</v>
      </c>
      <c r="N89" s="897">
        <f>SUM(N87:N88)</f>
        <v>17</v>
      </c>
      <c r="O89" s="897">
        <f>SUM(O87:O88)</f>
        <v>4</v>
      </c>
      <c r="P89" s="1093">
        <f>SUM(P87:P88)</f>
        <v>0</v>
      </c>
      <c r="Q89" s="898">
        <f>SUM(Q87:Q88)</f>
        <v>0</v>
      </c>
      <c r="R89" s="949"/>
      <c r="S89" s="949"/>
      <c r="T89" s="949"/>
    </row>
    <row r="90" spans="1:21" ht="25.5">
      <c r="A90" s="692" t="s">
        <v>115</v>
      </c>
      <c r="B90" s="686" t="s">
        <v>100</v>
      </c>
      <c r="C90" s="693" t="s">
        <v>97</v>
      </c>
      <c r="D90" s="688" t="s">
        <v>95</v>
      </c>
      <c r="E90" s="1051" t="s">
        <v>494</v>
      </c>
      <c r="F90" s="138" t="s">
        <v>495</v>
      </c>
      <c r="G90" s="139" t="s">
        <v>496</v>
      </c>
      <c r="H90" s="140" t="s">
        <v>101</v>
      </c>
      <c r="I90" s="141" t="s">
        <v>98</v>
      </c>
      <c r="J90" s="141" t="s">
        <v>96</v>
      </c>
      <c r="K90" s="495" t="s">
        <v>715</v>
      </c>
      <c r="L90" s="1027" t="s">
        <v>716</v>
      </c>
      <c r="M90" s="1087">
        <v>0</v>
      </c>
      <c r="N90" s="1033">
        <v>1</v>
      </c>
      <c r="O90" s="1033">
        <v>2</v>
      </c>
      <c r="P90" s="1033">
        <v>3</v>
      </c>
      <c r="Q90" s="1104">
        <v>4</v>
      </c>
      <c r="R90" s="950"/>
      <c r="S90" s="950"/>
      <c r="T90" s="950"/>
      <c r="U90" s="951"/>
    </row>
    <row r="91" spans="1:21">
      <c r="A91" s="1072" t="s">
        <v>16</v>
      </c>
      <c r="B91" s="291">
        <v>196.245</v>
      </c>
      <c r="C91" s="291">
        <v>16376994.9</v>
      </c>
      <c r="D91" s="694">
        <v>6</v>
      </c>
      <c r="E91" s="1046">
        <f>SUMIFS(Август2022365[м2],Август2022365[ИМ],A91,Август2022365[№ дома],$C$85)</f>
        <v>637.43999999999994</v>
      </c>
      <c r="F91" s="184">
        <f>SUMIFS(Август2022365[сумма без отделки],Август2022365[ИМ],$A91,Август2022365[№ дома],$C$85)</f>
        <v>50266132</v>
      </c>
      <c r="G91" s="1047">
        <f>COUNTIFS(Август2022365[ИМ],$A91,Август2022365[№ дома],$C$85)</f>
        <v>16</v>
      </c>
      <c r="H91" s="346">
        <f>SUMIFS(РД[S],РД[Дом],$C$85,РД[ИМ],A91,РД[Дата подачи на регистрацию],"&lt;="&amp;$A$1,РД[Дата подачи на регистрацию],"&gt;="&amp;DATE(YEAR($A$1),MONTH($A$1),1))</f>
        <v>637.43999999999994</v>
      </c>
      <c r="I91" s="184">
        <f>SUMIFS(РД[Стоимость без отделки итог],РД[Дом],$C$85,РД[ИМ],A91,РД[Дата подачи на регистрацию],"&lt;="&amp;$A$1,РД[Дата подачи на регистрацию],"&gt;="&amp;DATE(YEAR($A$1),MONTH($A$1),1))</f>
        <v>50265961.070000008</v>
      </c>
      <c r="J91" s="243">
        <f>COUNTIFS(РД[Дом],$C$85,РД[ИМ],A91,РД[Дата подачи на регистрацию],"&lt;="&amp;$A$1,РД[Дата подачи на регистрацию],"&gt;="&amp;DATE(YEAR($A$1),MONTH($A$1),1))</f>
        <v>16</v>
      </c>
      <c r="K91" s="990">
        <f>IFERROR(H91/B91,"")</f>
        <v>3.2481846671252765</v>
      </c>
      <c r="L91" s="991">
        <f>IFERROR(I91/C91,"")</f>
        <v>3.0693030911305961</v>
      </c>
      <c r="M91" s="183">
        <f>COUNTIFS(РД[Тип кв],M$86,РД[ИМ],$A91,РД[Дом],$C$85,РД[Дата подачи на регистрацию],"&lt;="&amp;$A$1,РД[Дата подачи на регистрацию],"&gt;="&amp;DATE(YEAR($A$1),MONTH($A$1),1))</f>
        <v>2</v>
      </c>
      <c r="N91" s="243">
        <f>COUNTIFS(РД[Тип кв],N$86,РД[ИМ],$A91,РД[Дом],$C$85,РД[Дата подачи на регистрацию],"&lt;="&amp;$A$1,РД[Дата подачи на регистрацию],"&gt;="&amp;DATE(YEAR($A$1),MONTH($A$1),1))</f>
        <v>12</v>
      </c>
      <c r="O91" s="243">
        <f>COUNTIFS(РД[Тип кв],O$86,РД[ИМ],$A91,РД[Дом],$C$85,РД[Дата подачи на регистрацию],"&lt;="&amp;$A$1,РД[Дата подачи на регистрацию],"&gt;="&amp;DATE(YEAR($A$1),MONTH($A$1),1))</f>
        <v>2</v>
      </c>
      <c r="P91" s="243">
        <f>COUNTIFS(РД[Тип кв],P$86,РД[ИМ],$A91,РД[Дом],$C$85,РД[Дата подачи на регистрацию],"&lt;="&amp;$A$1,РД[Дата подачи на регистрацию],"&gt;="&amp;DATE(YEAR($A$1),MONTH($A$1),1))</f>
        <v>0</v>
      </c>
      <c r="Q91" s="246">
        <f>COUNTIFS(РД[Тип кв],Q$86,РД[ИМ],$A91,РД[Дом],$C$85,РД[Дата подачи на регистрацию],"&lt;="&amp;$A$1,РД[Дата подачи на регистрацию],"&gt;="&amp;DATE(YEAR($A$1),MONTH($A$1),1))</f>
        <v>0</v>
      </c>
      <c r="R91" s="949"/>
      <c r="S91" s="949"/>
      <c r="T91" s="949"/>
    </row>
    <row r="92" spans="1:21">
      <c r="A92" s="1073" t="s">
        <v>22</v>
      </c>
      <c r="B92" s="291">
        <v>239.85499999999999</v>
      </c>
      <c r="C92" s="291">
        <v>20016327.100000001</v>
      </c>
      <c r="D92" s="695">
        <v>8</v>
      </c>
      <c r="E92" s="1048">
        <f>SUMIFS(Август2022365[м2],Август2022365[ИМ],A92,Август2022365[№ дома],$C$85)</f>
        <v>509.24</v>
      </c>
      <c r="F92" s="196">
        <f>SUMIFS(Август2022365[сумма без отделки],Август2022365[ИМ],$A92,Август2022365[№ дома],$C$85)</f>
        <v>39818689.659999996</v>
      </c>
      <c r="G92" s="1049">
        <f>COUNTIFS(Август2022365[ИМ],$A92,Август2022365[№ дома],$C$85)</f>
        <v>16</v>
      </c>
      <c r="H92" s="426">
        <f>SUMIFS(РД[S],РД[Дом],$C$85,РД[ИМ],A92,РД[Дата подачи на регистрацию],"&lt;="&amp;$A$1,РД[Дата подачи на регистрацию],"&gt;="&amp;DATE(YEAR($A$1),MONTH($A$1),1))</f>
        <v>509.24</v>
      </c>
      <c r="I92" s="196">
        <f>SUMIFS(РД[Стоимость без отделки итог],РД[Дом],$C$85,РД[ИМ],A92,РД[Дата подачи на регистрацию],"&lt;="&amp;$A$1,РД[Дата подачи на регистрацию],"&gt;="&amp;DATE(YEAR($A$1),MONTH($A$1),1))</f>
        <v>40971965.619999997</v>
      </c>
      <c r="J92" s="251">
        <f>COUNTIFS(РД[Дом],$C$85,РД[ИМ],A92,РД[Дата подачи на регистрацию],"&lt;="&amp;$A$1,РД[Дата подачи на регистрацию],"&gt;="&amp;DATE(YEAR($A$1),MONTH($A$1),1))</f>
        <v>16</v>
      </c>
      <c r="K92" s="992">
        <f>IFERROR(H92/B92,"")</f>
        <v>2.1231160492797732</v>
      </c>
      <c r="L92" s="993">
        <f>IFERROR(I92/C92,"")</f>
        <v>2.0469272616952785</v>
      </c>
      <c r="M92" s="195">
        <f>COUNTIFS(РД[Тип кв],M$86,РД[ИМ],$A92,РД[Дом],$C$85,РД[Дата подачи на регистрацию],"&lt;="&amp;$A$1,РД[Дата подачи на регистрацию],"&gt;="&amp;DATE(YEAR($A$1),MONTH($A$1),1))</f>
        <v>10</v>
      </c>
      <c r="N92" s="251">
        <f>COUNTIFS(РД[Тип кв],N$86,РД[ИМ],$A92,РД[Дом],$C$85,РД[Дата подачи на регистрацию],"&lt;="&amp;$A$1,РД[Дата подачи на регистрацию],"&gt;="&amp;DATE(YEAR($A$1),MONTH($A$1),1))</f>
        <v>4</v>
      </c>
      <c r="O92" s="251">
        <f>COUNTIFS(РД[Тип кв],O$86,РД[ИМ],$A92,РД[Дом],$C$85,РД[Дата подачи на регистрацию],"&lt;="&amp;$A$1,РД[Дата подачи на регистрацию],"&gt;="&amp;DATE(YEAR($A$1),MONTH($A$1),1))</f>
        <v>2</v>
      </c>
      <c r="P92" s="251">
        <f>COUNTIFS(РД[Тип кв],P$86,РД[ИМ],$A92,РД[Дом],$C$85,РД[Дата подачи на регистрацию],"&lt;="&amp;$A$1,РД[Дата подачи на регистрацию],"&gt;="&amp;DATE(YEAR($A$1),MONTH($A$1),1))</f>
        <v>0</v>
      </c>
      <c r="Q92" s="254">
        <f>COUNTIFS(РД[Тип кв],Q$86,РД[ИМ],$A92,РД[Дом],$C$85,РД[Дата подачи на регистрацию],"&lt;="&amp;$A$1,РД[Дата подачи на регистрацию],"&gt;="&amp;DATE(YEAR($A$1),MONTH($A$1),1))</f>
        <v>0</v>
      </c>
      <c r="R92" s="949"/>
      <c r="S92" s="949"/>
      <c r="T92" s="949"/>
    </row>
    <row r="93" spans="1:21">
      <c r="A93" s="317" t="s">
        <v>114</v>
      </c>
      <c r="B93" s="323">
        <v>436.1</v>
      </c>
      <c r="C93" s="429">
        <v>36393322</v>
      </c>
      <c r="D93" s="497">
        <v>14</v>
      </c>
      <c r="E93" s="484">
        <f t="shared" ref="E93:J93" si="4">SUM(E91:E91)</f>
        <v>637.43999999999994</v>
      </c>
      <c r="F93" s="429">
        <f t="shared" si="4"/>
        <v>50266132</v>
      </c>
      <c r="G93" s="497">
        <f t="shared" si="4"/>
        <v>16</v>
      </c>
      <c r="H93" s="473">
        <f t="shared" si="4"/>
        <v>637.43999999999994</v>
      </c>
      <c r="I93" s="429">
        <f t="shared" si="4"/>
        <v>50265961.070000008</v>
      </c>
      <c r="J93" s="494">
        <f t="shared" si="4"/>
        <v>16</v>
      </c>
      <c r="K93" s="419">
        <f>IFERROR(H93/B93,)</f>
        <v>1.4616831002063744</v>
      </c>
      <c r="L93" s="507">
        <f>IFERROR(I93/C93,)</f>
        <v>1.3811863910087683</v>
      </c>
      <c r="M93" s="317">
        <f>SUM(M91:M91)</f>
        <v>2</v>
      </c>
      <c r="N93" s="917">
        <f>SUM(N91:N91)</f>
        <v>12</v>
      </c>
      <c r="O93" s="917">
        <f>SUM(O91:O91)</f>
        <v>2</v>
      </c>
      <c r="P93" s="917">
        <f>SUM(P91:P91)</f>
        <v>0</v>
      </c>
      <c r="Q93" s="928">
        <f>SUM(Q91:Q91)</f>
        <v>0</v>
      </c>
      <c r="R93" s="949"/>
      <c r="S93" s="949"/>
      <c r="T93" s="949"/>
    </row>
    <row r="94" spans="1:21">
      <c r="A94" s="7"/>
      <c r="B94" s="968"/>
      <c r="C94" s="968"/>
      <c r="D94" s="969"/>
      <c r="E94" s="7"/>
      <c r="F94" s="7"/>
      <c r="G94" s="7"/>
      <c r="H94" s="134"/>
      <c r="I94" s="134"/>
      <c r="J94" s="134"/>
      <c r="K94" s="7"/>
      <c r="L94" s="994"/>
      <c r="M94" s="134"/>
      <c r="N94" s="134"/>
      <c r="O94" s="134"/>
      <c r="P94" s="262"/>
      <c r="Q94" s="134"/>
      <c r="R94" s="949"/>
      <c r="S94" s="949"/>
      <c r="T94" s="949"/>
    </row>
    <row r="95" spans="1:21">
      <c r="A95" s="2290" t="s">
        <v>713</v>
      </c>
      <c r="B95" s="2291"/>
      <c r="C95" s="935" t="s">
        <v>7</v>
      </c>
      <c r="D95" s="2292"/>
      <c r="E95" s="2292"/>
      <c r="F95" s="2292"/>
      <c r="G95" s="2292"/>
      <c r="H95" s="2292"/>
      <c r="I95" s="2292"/>
      <c r="J95" s="2292"/>
      <c r="K95" s="2292"/>
      <c r="L95" s="2292"/>
      <c r="M95" s="2292"/>
      <c r="N95" s="2292"/>
      <c r="O95" s="2292"/>
      <c r="P95" s="2292"/>
      <c r="Q95" s="7"/>
      <c r="R95" s="949"/>
      <c r="S95" s="949"/>
      <c r="T95" s="949"/>
    </row>
    <row r="96" spans="1:21" ht="25.5">
      <c r="A96" s="692" t="s">
        <v>1</v>
      </c>
      <c r="B96" s="686" t="s">
        <v>100</v>
      </c>
      <c r="C96" s="688" t="s">
        <v>97</v>
      </c>
      <c r="D96" s="688" t="s">
        <v>95</v>
      </c>
      <c r="E96" s="1022" t="s">
        <v>494</v>
      </c>
      <c r="F96" s="138" t="s">
        <v>495</v>
      </c>
      <c r="G96" s="139" t="s">
        <v>496</v>
      </c>
      <c r="H96" s="140" t="s">
        <v>101</v>
      </c>
      <c r="I96" s="141" t="s">
        <v>98</v>
      </c>
      <c r="J96" s="141" t="s">
        <v>96</v>
      </c>
      <c r="K96" s="141" t="s">
        <v>715</v>
      </c>
      <c r="L96" s="1026" t="s">
        <v>716</v>
      </c>
      <c r="M96" s="1092">
        <v>0</v>
      </c>
      <c r="N96" s="1044">
        <v>1</v>
      </c>
      <c r="O96" s="1044">
        <v>2</v>
      </c>
      <c r="P96" s="1044">
        <v>3</v>
      </c>
      <c r="Q96" s="1045">
        <v>4</v>
      </c>
      <c r="R96" s="949"/>
      <c r="S96" s="949"/>
      <c r="T96" s="949"/>
    </row>
    <row r="97" spans="1:21">
      <c r="A97" s="1035" t="s">
        <v>73</v>
      </c>
      <c r="B97" s="1036">
        <v>159.75</v>
      </c>
      <c r="C97" s="1036">
        <v>12542210.1</v>
      </c>
      <c r="D97" s="1074">
        <v>4</v>
      </c>
      <c r="E97" s="145">
        <f>SUMIFS(Август2022365[м2],Август2022365[МОП],$A97,Август2022365[№ дома],$C$95)</f>
        <v>125.33</v>
      </c>
      <c r="F97" s="939">
        <f>SUMIFS(Август2022365[сумма без отделки],Август2022365[МОП],$A97,Август2022365[№ дома],$C$95)</f>
        <v>9218968.5300000012</v>
      </c>
      <c r="G97" s="940">
        <f>COUNTIFS(Август2022365[МОП],$A97,Август2022365[№ дома],$C$95)</f>
        <v>3</v>
      </c>
      <c r="H97" s="148">
        <f>SUMIFS(РД[S],РД[Дом],$C$95,РД[МОП],A97,РД[Дата подачи на регистрацию],"&lt;="&amp;$A$1,РД[Дата подачи на регистрацию],"&gt;="&amp;DATE(YEAR($A$1),MONTH($A$1),1))</f>
        <v>154.30000000000001</v>
      </c>
      <c r="I97" s="149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регистрацию],"&gt;="&amp;DATE(YEAR($A$1),MONTH($A$1),1))</f>
        <v>11518607.129999999</v>
      </c>
      <c r="J97" s="220">
        <f>COUNTIFS(РД[Дом],$C$95,РД[МОП],A97,РД[Дата подачи на регистрацию],"&lt;="&amp;$A$1,РД[Дата подачи на регистрацию],"&gt;="&amp;DATE(YEAR($A$1),MONTH($A$1),1))</f>
        <v>4</v>
      </c>
      <c r="K97" s="943">
        <f>IFERROR(H97/B97,"")</f>
        <v>0.96588419405320824</v>
      </c>
      <c r="L97" s="944">
        <f>IFERROR(I97/C97,"")</f>
        <v>0.91838735264050464</v>
      </c>
      <c r="M97" s="1088">
        <f>COUNTIFS(РД[Тип кв],M$86,РД[МОП],$A97,РД[Дом],$C$95,РД[Дата подачи на регистрацию],"&lt;="&amp;$A$1,РД[Дата подачи на регистрацию],"&gt;="&amp;DATE(YEAR($A$1),MONTH($A$1),1))</f>
        <v>2</v>
      </c>
      <c r="N97" s="1089">
        <f>COUNTIFS(РД[Тип кв],N$86,РД[МОП],$A97,РД[Дом],$C$95,РД[Дата подачи на регистрацию],"&lt;="&amp;$A$1,РД[Дата подачи на регистрацию],"&gt;="&amp;DATE(YEAR($A$1),MONTH($A$1),1))</f>
        <v>1</v>
      </c>
      <c r="O97" s="1089">
        <f>COUNTIFS(РД[Тип кв],O$86,РД[МОП],$A97,РД[Дом],$C$95,РД[Дата подачи на регистрацию],"&lt;="&amp;$A$1,РД[Дата подачи на регистрацию],"&gt;="&amp;DATE(YEAR($A$1),MONTH($A$1),1))</f>
        <v>1</v>
      </c>
      <c r="P97" s="1089">
        <f>COUNTIFS(РД[Тип кв],P$86,РД[МОП],$A97,РД[Дом],$C$95,РД[Дата подачи на регистрацию],"&lt;="&amp;$A$1,РД[Дата подачи на регистрацию],"&gt;="&amp;DATE(YEAR($A$1),MONTH($A$1),1))</f>
        <v>0</v>
      </c>
      <c r="Q97" s="1098">
        <f>COUNTIFS(РД[Тип кв],Q$86,РД[МОП],$A97,РД[Дом],$C$95,РД[Дата подачи на регистрацию],"&lt;="&amp;$A$1,РД[Дата подачи на регистрацию],"&gt;="&amp;DATE(YEAR($A$1),MONTH($A$1),1))</f>
        <v>0</v>
      </c>
      <c r="R97" s="949"/>
      <c r="S97" s="949"/>
      <c r="T97" s="949"/>
    </row>
    <row r="98" spans="1:21">
      <c r="A98" s="1039" t="s">
        <v>77</v>
      </c>
      <c r="B98" s="1036">
        <v>195.25</v>
      </c>
      <c r="C98" s="1036">
        <v>15329367.9</v>
      </c>
      <c r="D98" s="1041">
        <v>6</v>
      </c>
      <c r="E98" s="145">
        <f>SUMIFS(Август2022365[м2],Август2022365[МОП],$A98,Август2022365[№ дома],$C$95)</f>
        <v>0</v>
      </c>
      <c r="F98" s="939">
        <f>SUMIFS(Август2022365[сумма без отделки],Август2022365[МОП],$A98,Август2022365[№ дома],$C$95)</f>
        <v>0</v>
      </c>
      <c r="G98" s="940">
        <f>COUNTIFS(Август2022365[МОП],$A98,Август2022365[№ дома],$C$95)</f>
        <v>0</v>
      </c>
      <c r="H98" s="148">
        <f>SUMIFS(РД[S],РД[Дом],$C$95,РД[МОП],A98,РД[Дата подачи на регистрацию],"&lt;="&amp;$A$1,РД[Дата подачи на регистрацию],"&gt;="&amp;DATE(YEAR($A$1),MONTH($A$1),1))</f>
        <v>92.080000000000013</v>
      </c>
      <c r="I98" s="149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регистрацию],"&gt;="&amp;DATE(YEAR($A$1),MONTH($A$1),1))</f>
        <v>6602958.8700000001</v>
      </c>
      <c r="J98" s="220">
        <f>COUNTIFS(РД[Дом],$C$95,РД[МОП],A98,РД[Дата подачи на регистрацию],"&lt;="&amp;$A$1,РД[Дата подачи на регистрацию],"&gt;="&amp;DATE(YEAR($A$1),MONTH($A$1),1))</f>
        <v>2</v>
      </c>
      <c r="K98" s="987">
        <f>IFERROR(H98/B98,"")</f>
        <v>0.47160051216389248</v>
      </c>
      <c r="L98" s="988">
        <f>IFERROR(I98/C98,"")</f>
        <v>0.43073914808972652</v>
      </c>
      <c r="M98" s="1090">
        <f>COUNTIFS(РД[Тип кв],M$86,РД[МОП],$A98,РД[Дом],$C$95,РД[Дата подачи на регистрацию],"&lt;="&amp;$A$1,РД[Дата подачи на регистрацию],"&gt;="&amp;DATE(YEAR($A$1),MONTH($A$1),1))</f>
        <v>0</v>
      </c>
      <c r="N98" s="339">
        <f>COUNTIFS(РД[Тип кв],N$86,РД[МОП],$A98,РД[Дом],$C$95,РД[Дата подачи на регистрацию],"&lt;="&amp;$A$1,РД[Дата подачи на регистрацию],"&gt;="&amp;DATE(YEAR($A$1),MONTH($A$1),1))</f>
        <v>1</v>
      </c>
      <c r="O98" s="339">
        <f>COUNTIFS(РД[Тип кв],O$86,РД[МОП],$A98,РД[Дом],$C$95,РД[Дата подачи на регистрацию],"&lt;="&amp;$A$1,РД[Дата подачи на регистрацию],"&gt;="&amp;DATE(YEAR($A$1),MONTH($A$1),1))</f>
        <v>1</v>
      </c>
      <c r="P98" s="339">
        <f>COUNTIFS(РД[Тип кв],P$86,РД[МОП],$A98,РД[Дом],$C$95,РД[Дата подачи на регистрацию],"&lt;="&amp;$A$1,РД[Дата подачи на регистрацию],"&gt;="&amp;DATE(YEAR($A$1),MONTH($A$1),1))</f>
        <v>0</v>
      </c>
      <c r="Q98" s="1099">
        <f>COUNTIFS(РД[Тип кв],Q$86,РД[МОП],$A98,РД[Дом],$C$95,РД[Дата подачи на регистрацию],"&lt;="&amp;$A$1,РД[Дата подачи на регистрацию],"&gt;="&amp;DATE(YEAR($A$1),MONTH($A$1),1))</f>
        <v>0</v>
      </c>
      <c r="R98" s="949"/>
      <c r="S98" s="949"/>
      <c r="T98" s="949"/>
    </row>
    <row r="99" spans="1:21">
      <c r="A99" s="1043" t="s">
        <v>114</v>
      </c>
      <c r="B99" s="963">
        <v>355</v>
      </c>
      <c r="C99" s="963">
        <v>27871578</v>
      </c>
      <c r="D99" s="965">
        <v>10</v>
      </c>
      <c r="E99" s="1076">
        <f t="shared" ref="E99:J99" si="5">SUM(E97:E98)</f>
        <v>125.33</v>
      </c>
      <c r="F99" s="1077">
        <f t="shared" si="5"/>
        <v>9218968.5300000012</v>
      </c>
      <c r="G99" s="1078">
        <f t="shared" si="5"/>
        <v>3</v>
      </c>
      <c r="H99" s="473">
        <f t="shared" si="5"/>
        <v>246.38000000000002</v>
      </c>
      <c r="I99" s="429">
        <f t="shared" si="5"/>
        <v>18121566</v>
      </c>
      <c r="J99" s="494">
        <f t="shared" si="5"/>
        <v>6</v>
      </c>
      <c r="K99" s="419">
        <f>IFERROR(H99/B99,)</f>
        <v>0.69402816901408459</v>
      </c>
      <c r="L99" s="507">
        <f>IFERROR(I99/C99,)</f>
        <v>0.65018084013757671</v>
      </c>
      <c r="M99" s="168">
        <f>SUM(M97:M98)</f>
        <v>2</v>
      </c>
      <c r="N99" s="897">
        <f>SUM(N97:N98)</f>
        <v>2</v>
      </c>
      <c r="O99" s="897">
        <f>SUM(O97:O98)</f>
        <v>2</v>
      </c>
      <c r="P99" s="1093">
        <f>SUM(P97:P98)</f>
        <v>0</v>
      </c>
      <c r="Q99" s="898">
        <f>SUM(Q97:Q98)</f>
        <v>0</v>
      </c>
      <c r="R99" s="949"/>
      <c r="S99" s="949"/>
      <c r="T99" s="949"/>
    </row>
    <row r="100" spans="1:21" ht="25.5">
      <c r="A100" s="692" t="s">
        <v>115</v>
      </c>
      <c r="B100" s="1079" t="s">
        <v>100</v>
      </c>
      <c r="C100" s="1080" t="s">
        <v>97</v>
      </c>
      <c r="D100" s="715" t="s">
        <v>95</v>
      </c>
      <c r="E100" s="1051" t="s">
        <v>494</v>
      </c>
      <c r="F100" s="138" t="s">
        <v>495</v>
      </c>
      <c r="G100" s="139" t="s">
        <v>496</v>
      </c>
      <c r="H100" s="140" t="s">
        <v>101</v>
      </c>
      <c r="I100" s="141" t="s">
        <v>98</v>
      </c>
      <c r="J100" s="141" t="s">
        <v>96</v>
      </c>
      <c r="K100" s="495" t="s">
        <v>715</v>
      </c>
      <c r="L100" s="1027" t="s">
        <v>716</v>
      </c>
      <c r="M100" s="1087">
        <v>0</v>
      </c>
      <c r="N100" s="1033">
        <v>1</v>
      </c>
      <c r="O100" s="1033">
        <v>2</v>
      </c>
      <c r="P100" s="1033">
        <v>3</v>
      </c>
      <c r="Q100" s="1104">
        <v>4</v>
      </c>
      <c r="R100" s="949"/>
      <c r="S100" s="949"/>
      <c r="T100" s="949"/>
    </row>
    <row r="101" spans="1:21">
      <c r="A101" s="1072" t="s">
        <v>16</v>
      </c>
      <c r="B101" s="291">
        <v>111.825</v>
      </c>
      <c r="C101" s="291">
        <v>8779547.0700000003</v>
      </c>
      <c r="D101" s="694">
        <v>3</v>
      </c>
      <c r="E101" s="1046">
        <f>SUMIFS(Август2022365[м2],Август2022365[ИМ],A101,Август2022365[№ дома],$C$95)</f>
        <v>35.380000000000003</v>
      </c>
      <c r="F101" s="184">
        <f>SUMIFS(Август2022365[сумма без отделки],Август2022365[ИМ],$A101,Август2022365[№ дома],$C$95)</f>
        <v>2758536</v>
      </c>
      <c r="G101" s="1047">
        <f>COUNTIFS(Август2022365[ИМ],$A101,Август2022365[№ дома],$C$95)</f>
        <v>1</v>
      </c>
      <c r="H101" s="346">
        <f>SUMIFS(РД[S],РД[Дом],$C$95,РД[ИМ],A101,РД[Дата подачи на регистрацию],"&lt;="&amp;$A$1,РД[Дата подачи на регистрацию],"&gt;="&amp;DATE(YEAR($A$1),MONTH($A$1),1))</f>
        <v>35.380000000000003</v>
      </c>
      <c r="I101" s="184">
        <f>SUMIFS(РД[Стоимость без отделки итог],РД[Дом],$C$95,РД[ИМ],A101,РД[Дата подачи на регистрацию],"&lt;="&amp;$A$1,РД[Дата подачи на регистрацию],"&gt;="&amp;DATE(YEAR($A$1),MONTH($A$1),1))</f>
        <v>2758536.14</v>
      </c>
      <c r="J101" s="243">
        <f>COUNTIFS(РД[Дом],$C$95,РД[ИМ],A101,РД[Дата подачи на регистрацию],"&lt;="&amp;$A$1,РД[Дата подачи на регистрацию],"&gt;="&amp;DATE(YEAR($A$1),MONTH($A$1),1))</f>
        <v>1</v>
      </c>
      <c r="K101" s="990">
        <f>IFERROR(H101/B101,"")</f>
        <v>0.31638721216186005</v>
      </c>
      <c r="L101" s="991">
        <f>IFERROR(I101/C101,"")</f>
        <v>0.3142002791266999</v>
      </c>
      <c r="M101" s="183">
        <f>COUNTIFS(РД[Тип кв],M$86,РД[ИМ],$A101,РД[Дом],$C$95,РД[Дата подачи на регистрацию],"&lt;="&amp;$A$1,РД[Дата подачи на регистрацию],"&gt;="&amp;DATE(YEAR($A$1),MONTH($A$1),1))</f>
        <v>0</v>
      </c>
      <c r="N101" s="243">
        <f>COUNTIFS(РД[Тип кв],N$86,РД[ИМ],$A101,РД[Дом],$C$95,РД[Дата подачи на регистрацию],"&lt;="&amp;$A$1,РД[Дата подачи на регистрацию],"&gt;="&amp;DATE(YEAR($A$1),MONTH($A$1),1))</f>
        <v>1</v>
      </c>
      <c r="O101" s="243">
        <f>COUNTIFS(РД[Тип кв],O$86,РД[ИМ],$A101,РД[Дом],$C$95,РД[Дата подачи на регистрацию],"&lt;="&amp;$A$1,РД[Дата подачи на регистрацию],"&gt;="&amp;DATE(YEAR($A$1),MONTH($A$1),1))</f>
        <v>0</v>
      </c>
      <c r="P101" s="243">
        <f>COUNTIFS(РД[Тип кв],P$86,РД[ИМ],$A101,РД[Дом],$C$95,РД[Дата подачи на регистрацию],"&lt;="&amp;$A$1,РД[Дата подачи на регистрацию],"&gt;="&amp;DATE(YEAR($A$1),MONTH($A$1),1))</f>
        <v>0</v>
      </c>
      <c r="Q101" s="246">
        <f>COUNTIFS(РД[Тип кв],Q$86,РД[ИМ],$A101,РД[Дом],$C$95,РД[Дата подачи на регистрацию],"&lt;="&amp;$A$1,РД[Дата подачи на регистрацию],"&gt;="&amp;DATE(YEAR($A$1),MONTH($A$1),1))</f>
        <v>0</v>
      </c>
      <c r="R101" s="949"/>
      <c r="S101" s="949"/>
      <c r="T101" s="949"/>
    </row>
    <row r="102" spans="1:21">
      <c r="A102" s="1073" t="s">
        <v>22</v>
      </c>
      <c r="B102" s="291">
        <v>136.67500000000001</v>
      </c>
      <c r="C102" s="291">
        <v>10730557.529999999</v>
      </c>
      <c r="D102" s="695">
        <v>4</v>
      </c>
      <c r="E102" s="1048">
        <f>SUMIFS(Август2022365[м2],Август2022365[ИМ],A102,Август2022365[№ дома],$C$95)</f>
        <v>94.51</v>
      </c>
      <c r="F102" s="196">
        <f>SUMIFS(Август2022365[сумма без отделки],Август2022365[ИМ],$A102,Август2022365[№ дома],$C$95)</f>
        <v>6699936.7799999993</v>
      </c>
      <c r="G102" s="1049">
        <f>COUNTIFS(Август2022365[ИМ],$A102,Август2022365[№ дома],$C$95)</f>
        <v>2</v>
      </c>
      <c r="H102" s="426">
        <f>SUMIFS(РД[S],РД[Дом],$C$95,РД[ИМ],A102,РД[Дата подачи на регистрацию],"&lt;="&amp;$A$1,РД[Дата подачи на регистрацию],"&gt;="&amp;DATE(YEAR($A$1),MONTH($A$1),1))</f>
        <v>94.51</v>
      </c>
      <c r="I102" s="196">
        <f>SUMIFS(РД[Стоимость без отделки итог],РД[Дом],$C$95,РД[ИМ],A102,РД[Дата подачи на регистрацию],"&lt;="&amp;$A$1,РД[Дата подачи на регистрацию],"&gt;="&amp;DATE(YEAR($A$1),MONTH($A$1),1))</f>
        <v>6699936.7799999993</v>
      </c>
      <c r="J102" s="251">
        <f>COUNTIFS(РД[Дом],$C$95,РД[ИМ],A102,РД[Дата подачи на регистрацию],"&lt;="&amp;$A$1,РД[Дата подачи на регистрацию],"&gt;="&amp;DATE(YEAR($A$1),MONTH($A$1),1))</f>
        <v>2</v>
      </c>
      <c r="K102" s="992">
        <f>IFERROR(H102/B102,"")</f>
        <v>0.69149442107188586</v>
      </c>
      <c r="L102" s="993">
        <f>IFERROR(I102/C102,"")</f>
        <v>0.6243791863813809</v>
      </c>
      <c r="M102" s="195">
        <f>COUNTIFS(РД[Тип кв],M$86,РД[ИМ],$A102,РД[Дом],$C$95,РД[Дата подачи на регистрацию],"&lt;="&amp;$A$1,РД[Дата подачи на регистрацию],"&gt;="&amp;DATE(YEAR($A$1),MONTH($A$1),1))</f>
        <v>0</v>
      </c>
      <c r="N102" s="251">
        <f>COUNTIFS(РД[Тип кв],N$86,РД[ИМ],$A102,РД[Дом],$C$95,РД[Дата подачи на регистрацию],"&lt;="&amp;$A$1,РД[Дата подачи на регистрацию],"&gt;="&amp;DATE(YEAR($A$1),MONTH($A$1),1))</f>
        <v>1</v>
      </c>
      <c r="O102" s="251">
        <f>COUNTIFS(РД[Тип кв],O$86,РД[ИМ],$A102,РД[Дом],$C$95,РД[Дата подачи на регистрацию],"&lt;="&amp;$A$1,РД[Дата подачи на регистрацию],"&gt;="&amp;DATE(YEAR($A$1),MONTH($A$1),1))</f>
        <v>1</v>
      </c>
      <c r="P102" s="251">
        <f>COUNTIFS(РД[Тип кв],P$86,РД[ИМ],$A102,РД[Дом],$C$95,РД[Дата подачи на регистрацию],"&lt;="&amp;$A$1,РД[Дата подачи на регистрацию],"&gt;="&amp;DATE(YEAR($A$1),MONTH($A$1),1))</f>
        <v>0</v>
      </c>
      <c r="Q102" s="254">
        <f>COUNTIFS(РД[Тип кв],Q$86,РД[ИМ],$A102,РД[Дом],$C$95,РД[Дата подачи на регистрацию],"&lt;="&amp;$A$1,РД[Дата подачи на регистрацию],"&gt;="&amp;DATE(YEAR($A$1),MONTH($A$1),1))</f>
        <v>0</v>
      </c>
      <c r="R102" s="949"/>
      <c r="S102" s="949"/>
      <c r="T102" s="949"/>
    </row>
    <row r="103" spans="1:21">
      <c r="A103" s="317" t="s">
        <v>114</v>
      </c>
      <c r="B103" s="323">
        <v>248.5</v>
      </c>
      <c r="C103" s="429">
        <v>19510104.600000001</v>
      </c>
      <c r="D103" s="497">
        <v>7</v>
      </c>
      <c r="E103" s="484">
        <f t="shared" ref="E103:J103" si="6">SUM(E101:E101)</f>
        <v>35.380000000000003</v>
      </c>
      <c r="F103" s="429">
        <f t="shared" si="6"/>
        <v>2758536</v>
      </c>
      <c r="G103" s="497">
        <f t="shared" si="6"/>
        <v>1</v>
      </c>
      <c r="H103" s="473">
        <f t="shared" si="6"/>
        <v>35.380000000000003</v>
      </c>
      <c r="I103" s="429">
        <f t="shared" si="6"/>
        <v>2758536.14</v>
      </c>
      <c r="J103" s="494">
        <f t="shared" si="6"/>
        <v>1</v>
      </c>
      <c r="K103" s="419">
        <f>IFERROR(H103/B103,)</f>
        <v>0.14237424547283703</v>
      </c>
      <c r="L103" s="507">
        <f>IFERROR(I103/C103,)</f>
        <v>0.14139012560701494</v>
      </c>
      <c r="M103" s="317">
        <f>SUM(M101:M101)</f>
        <v>0</v>
      </c>
      <c r="N103" s="917">
        <f>SUM(N101:N101)</f>
        <v>1</v>
      </c>
      <c r="O103" s="917">
        <f>SUM(O101:O101)</f>
        <v>0</v>
      </c>
      <c r="P103" s="917">
        <f>SUM(P101:P101)</f>
        <v>0</v>
      </c>
      <c r="Q103" s="928">
        <f>SUM(Q101:Q101)</f>
        <v>0</v>
      </c>
      <c r="R103" s="949"/>
      <c r="S103" s="949"/>
      <c r="T103" s="949"/>
    </row>
    <row r="104" spans="1:21">
      <c r="A104" s="7"/>
      <c r="B104" s="968"/>
      <c r="C104" s="968"/>
      <c r="D104" s="969"/>
      <c r="E104" s="7"/>
      <c r="F104" s="7"/>
      <c r="G104" s="7"/>
      <c r="H104" s="134"/>
      <c r="I104" s="134"/>
      <c r="J104" s="134"/>
      <c r="K104" s="7"/>
      <c r="L104" s="994"/>
      <c r="M104" s="134"/>
      <c r="N104" s="134"/>
      <c r="O104" s="134"/>
      <c r="P104" s="262"/>
      <c r="Q104" s="134"/>
      <c r="R104" s="949"/>
      <c r="S104" s="949"/>
      <c r="T104" s="949"/>
    </row>
    <row r="105" spans="1:21">
      <c r="A105" s="2293" t="s">
        <v>713</v>
      </c>
      <c r="B105" s="2294"/>
      <c r="C105" s="972" t="s">
        <v>718</v>
      </c>
      <c r="D105" s="2295"/>
      <c r="E105" s="2296"/>
      <c r="F105" s="2296"/>
      <c r="G105" s="2296"/>
      <c r="H105" s="2296"/>
      <c r="I105" s="2296"/>
      <c r="J105" s="2296"/>
      <c r="K105" s="2296"/>
      <c r="L105" s="2296"/>
      <c r="M105" s="2296"/>
      <c r="N105" s="2296"/>
      <c r="O105" s="2296"/>
      <c r="P105" s="2296"/>
      <c r="Q105" s="7"/>
      <c r="R105" s="949"/>
      <c r="S105" s="949"/>
      <c r="T105" s="949"/>
    </row>
    <row r="106" spans="1:21" ht="25.5">
      <c r="A106" s="1081" t="s">
        <v>1</v>
      </c>
      <c r="B106" s="859" t="s">
        <v>100</v>
      </c>
      <c r="C106" s="726" t="s">
        <v>97</v>
      </c>
      <c r="D106" s="708" t="s">
        <v>95</v>
      </c>
      <c r="E106" s="1022" t="s">
        <v>494</v>
      </c>
      <c r="F106" s="138" t="s">
        <v>495</v>
      </c>
      <c r="G106" s="1082" t="s">
        <v>496</v>
      </c>
      <c r="H106" s="140" t="s">
        <v>101</v>
      </c>
      <c r="I106" s="141" t="s">
        <v>98</v>
      </c>
      <c r="J106" s="141" t="s">
        <v>96</v>
      </c>
      <c r="K106" s="141" t="s">
        <v>715</v>
      </c>
      <c r="L106" s="1026" t="s">
        <v>716</v>
      </c>
      <c r="M106" s="1092">
        <v>0</v>
      </c>
      <c r="N106" s="1044">
        <v>1</v>
      </c>
      <c r="O106" s="1044">
        <v>2</v>
      </c>
      <c r="P106" s="1044">
        <v>3</v>
      </c>
      <c r="Q106" s="1045">
        <v>4</v>
      </c>
      <c r="R106" s="950"/>
      <c r="S106" s="950"/>
      <c r="T106" s="950"/>
      <c r="U106" s="951"/>
    </row>
    <row r="107" spans="1:21">
      <c r="A107" s="985" t="s">
        <v>73</v>
      </c>
      <c r="B107" s="1083">
        <v>513</v>
      </c>
      <c r="C107" s="1083">
        <v>41383957.950000003</v>
      </c>
      <c r="D107" s="694">
        <v>13</v>
      </c>
      <c r="E107" s="514">
        <f t="shared" ref="E107:J108" si="7">E77+E87+E97</f>
        <v>560.87</v>
      </c>
      <c r="F107" s="146">
        <f t="shared" si="7"/>
        <v>44272974.530000001</v>
      </c>
      <c r="G107" s="417">
        <f t="shared" si="7"/>
        <v>16</v>
      </c>
      <c r="H107" s="267">
        <f t="shared" si="7"/>
        <v>589.83999999999992</v>
      </c>
      <c r="I107" s="146">
        <f t="shared" si="7"/>
        <v>46572612.829999998</v>
      </c>
      <c r="J107" s="220">
        <f t="shared" si="7"/>
        <v>17</v>
      </c>
      <c r="K107" s="943">
        <f>IFERROR(H107/B107,"")</f>
        <v>1.1497855750487327</v>
      </c>
      <c r="L107" s="1061">
        <f>IFERROR(I107/C107,"")</f>
        <v>1.1253784107906961</v>
      </c>
      <c r="M107" s="1094">
        <f t="shared" ref="M107:Q108" si="8">M77+M87+M97</f>
        <v>8</v>
      </c>
      <c r="N107" s="1094">
        <f t="shared" si="8"/>
        <v>7</v>
      </c>
      <c r="O107" s="1094">
        <f t="shared" si="8"/>
        <v>2</v>
      </c>
      <c r="P107" s="1094">
        <f t="shared" si="8"/>
        <v>0</v>
      </c>
      <c r="Q107" s="1105">
        <f t="shared" si="8"/>
        <v>0</v>
      </c>
      <c r="R107" s="949"/>
      <c r="S107" s="949"/>
      <c r="T107" s="949"/>
    </row>
    <row r="108" spans="1:21">
      <c r="A108" s="981" t="s">
        <v>77</v>
      </c>
      <c r="B108" s="1083">
        <v>627</v>
      </c>
      <c r="C108" s="1083">
        <v>50580393.049999997</v>
      </c>
      <c r="D108" s="717">
        <v>18</v>
      </c>
      <c r="E108" s="416">
        <f t="shared" si="7"/>
        <v>912.17999999999984</v>
      </c>
      <c r="F108" s="52">
        <f t="shared" si="7"/>
        <v>71491333.650000006</v>
      </c>
      <c r="G108" s="421">
        <f t="shared" si="7"/>
        <v>24</v>
      </c>
      <c r="H108" s="271">
        <f t="shared" si="7"/>
        <v>1007.2599999999999</v>
      </c>
      <c r="I108" s="52">
        <f t="shared" si="7"/>
        <v>79074222.850000024</v>
      </c>
      <c r="J108" s="220">
        <f t="shared" si="7"/>
        <v>26</v>
      </c>
      <c r="K108" s="987">
        <f>IFERROR(H108/B108,"")</f>
        <v>1.6064752791068579</v>
      </c>
      <c r="L108" s="1062">
        <f>IFERROR(I108/C108,"")</f>
        <v>1.5633374531477673</v>
      </c>
      <c r="M108" s="1008">
        <f t="shared" si="8"/>
        <v>8</v>
      </c>
      <c r="N108" s="1008">
        <f t="shared" si="8"/>
        <v>12</v>
      </c>
      <c r="O108" s="1008">
        <f t="shared" si="8"/>
        <v>6</v>
      </c>
      <c r="P108" s="1008">
        <f t="shared" si="8"/>
        <v>0</v>
      </c>
      <c r="Q108" s="1106">
        <f t="shared" si="8"/>
        <v>0</v>
      </c>
      <c r="R108" s="949"/>
      <c r="S108" s="949"/>
      <c r="T108" s="949"/>
    </row>
    <row r="109" spans="1:21">
      <c r="A109" s="1084" t="s">
        <v>114</v>
      </c>
      <c r="B109" s="425">
        <v>1140</v>
      </c>
      <c r="C109" s="425">
        <v>91964351</v>
      </c>
      <c r="D109" s="1085">
        <v>31</v>
      </c>
      <c r="E109" s="282">
        <f t="shared" ref="E109:J109" si="9">SUM(E107:E108)</f>
        <v>1473.0499999999997</v>
      </c>
      <c r="F109" s="287">
        <f t="shared" si="9"/>
        <v>115764308.18000001</v>
      </c>
      <c r="G109" s="696">
        <f t="shared" si="9"/>
        <v>40</v>
      </c>
      <c r="H109" s="282">
        <f t="shared" si="9"/>
        <v>1597.1</v>
      </c>
      <c r="I109" s="287">
        <f t="shared" si="9"/>
        <v>125646835.68000002</v>
      </c>
      <c r="J109" s="1095">
        <f t="shared" si="9"/>
        <v>43</v>
      </c>
      <c r="K109" s="238">
        <f>IFERROR(H109/B109,)</f>
        <v>1.4009649122807017</v>
      </c>
      <c r="L109" s="501">
        <f>IFERROR(I109/C109,)</f>
        <v>1.3662558840870853</v>
      </c>
      <c r="M109" s="168">
        <f>SUM(M107:M108)</f>
        <v>16</v>
      </c>
      <c r="N109" s="897">
        <f>SUM(N107:N108)</f>
        <v>19</v>
      </c>
      <c r="O109" s="897">
        <f>SUM(O107:O108)</f>
        <v>8</v>
      </c>
      <c r="P109" s="1093">
        <f>SUM(P107:P108)</f>
        <v>0</v>
      </c>
      <c r="Q109" s="898">
        <f>SUM(Q107:Q108)</f>
        <v>0</v>
      </c>
      <c r="R109" s="949"/>
      <c r="S109" s="949"/>
      <c r="T109" s="949"/>
    </row>
    <row r="110" spans="1:21" ht="25.5">
      <c r="A110" s="685" t="s">
        <v>115</v>
      </c>
      <c r="B110" s="723" t="s">
        <v>100</v>
      </c>
      <c r="C110" s="1086" t="s">
        <v>97</v>
      </c>
      <c r="D110" s="688" t="s">
        <v>95</v>
      </c>
      <c r="E110" s="1022" t="s">
        <v>494</v>
      </c>
      <c r="F110" s="138" t="s">
        <v>495</v>
      </c>
      <c r="G110" s="139" t="s">
        <v>496</v>
      </c>
      <c r="H110" s="980" t="s">
        <v>101</v>
      </c>
      <c r="I110" s="141" t="s">
        <v>98</v>
      </c>
      <c r="J110" s="141" t="s">
        <v>96</v>
      </c>
      <c r="K110" s="141" t="s">
        <v>715</v>
      </c>
      <c r="L110" s="1026" t="s">
        <v>716</v>
      </c>
      <c r="M110" s="1087">
        <v>0</v>
      </c>
      <c r="N110" s="1033">
        <v>1</v>
      </c>
      <c r="O110" s="1033">
        <v>2</v>
      </c>
      <c r="P110" s="1033">
        <v>3</v>
      </c>
      <c r="Q110" s="1104">
        <v>4</v>
      </c>
      <c r="R110" s="950"/>
      <c r="S110" s="950"/>
      <c r="T110" s="950"/>
      <c r="U110" s="951"/>
    </row>
    <row r="111" spans="1:21">
      <c r="A111" s="1072" t="s">
        <v>16</v>
      </c>
      <c r="B111" s="291">
        <v>359.1</v>
      </c>
      <c r="C111" s="291">
        <v>28968770.565000001</v>
      </c>
      <c r="D111" s="694">
        <v>10</v>
      </c>
      <c r="E111" s="1046">
        <f t="shared" ref="E111:J112" si="10">E81+E91+E101</f>
        <v>790.51999999999987</v>
      </c>
      <c r="F111" s="184">
        <f t="shared" si="10"/>
        <v>62837578</v>
      </c>
      <c r="G111" s="1047">
        <f t="shared" si="10"/>
        <v>19</v>
      </c>
      <c r="H111" s="346">
        <f t="shared" si="10"/>
        <v>793.51999999999987</v>
      </c>
      <c r="I111" s="184">
        <f t="shared" si="10"/>
        <v>62837407.210000008</v>
      </c>
      <c r="J111" s="243">
        <f t="shared" si="10"/>
        <v>19</v>
      </c>
      <c r="K111" s="990">
        <f>IFERROR(H111/B111,"")</f>
        <v>2.2097465886939567</v>
      </c>
      <c r="L111" s="991">
        <f>IFERROR(I111/C111,"")</f>
        <v>2.1691430455775023</v>
      </c>
      <c r="M111" s="183">
        <f t="shared" ref="M111:Q112" si="11">M81+M91</f>
        <v>2</v>
      </c>
      <c r="N111" s="243">
        <f t="shared" si="11"/>
        <v>12</v>
      </c>
      <c r="O111" s="243">
        <f t="shared" si="11"/>
        <v>4</v>
      </c>
      <c r="P111" s="243">
        <f t="shared" si="11"/>
        <v>0</v>
      </c>
      <c r="Q111" s="246">
        <f t="shared" si="11"/>
        <v>0</v>
      </c>
      <c r="R111" s="949"/>
      <c r="S111" s="949"/>
      <c r="T111" s="949"/>
    </row>
    <row r="112" spans="1:21">
      <c r="A112" s="1073" t="s">
        <v>22</v>
      </c>
      <c r="B112" s="291">
        <v>438.9</v>
      </c>
      <c r="C112" s="291">
        <v>35406275.134999998</v>
      </c>
      <c r="D112" s="695">
        <v>13</v>
      </c>
      <c r="E112" s="1048">
        <f t="shared" si="10"/>
        <v>603.75</v>
      </c>
      <c r="F112" s="196">
        <f t="shared" si="10"/>
        <v>46518626.439999998</v>
      </c>
      <c r="G112" s="1049">
        <f t="shared" si="10"/>
        <v>18</v>
      </c>
      <c r="H112" s="426">
        <f t="shared" si="10"/>
        <v>603.75</v>
      </c>
      <c r="I112" s="196">
        <f t="shared" si="10"/>
        <v>47671902.399999999</v>
      </c>
      <c r="J112" s="251">
        <f t="shared" si="10"/>
        <v>18</v>
      </c>
      <c r="K112" s="992">
        <f>IFERROR(H112/B112,"")</f>
        <v>1.3755980861244019</v>
      </c>
      <c r="L112" s="993">
        <f>IFERROR(I112/C112,"")</f>
        <v>1.3464252372844248</v>
      </c>
      <c r="M112" s="195">
        <f t="shared" si="11"/>
        <v>10</v>
      </c>
      <c r="N112" s="251">
        <f t="shared" si="11"/>
        <v>4</v>
      </c>
      <c r="O112" s="251">
        <f t="shared" si="11"/>
        <v>2</v>
      </c>
      <c r="P112" s="251">
        <f t="shared" si="11"/>
        <v>0</v>
      </c>
      <c r="Q112" s="254">
        <f t="shared" si="11"/>
        <v>0</v>
      </c>
      <c r="R112" s="949"/>
      <c r="S112" s="949"/>
      <c r="T112" s="949"/>
    </row>
    <row r="113" spans="1:22">
      <c r="A113" s="409" t="s">
        <v>114</v>
      </c>
      <c r="B113" s="323">
        <v>798</v>
      </c>
      <c r="C113" s="429">
        <v>64375045.700000003</v>
      </c>
      <c r="D113" s="497">
        <v>23</v>
      </c>
      <c r="E113" s="473">
        <f t="shared" ref="E113:J113" si="12">SUM(E111:E111)</f>
        <v>790.51999999999987</v>
      </c>
      <c r="F113" s="494">
        <f t="shared" si="12"/>
        <v>62837578</v>
      </c>
      <c r="G113" s="497">
        <f t="shared" si="12"/>
        <v>19</v>
      </c>
      <c r="H113" s="484">
        <f t="shared" si="12"/>
        <v>793.51999999999987</v>
      </c>
      <c r="I113" s="494">
        <f t="shared" si="12"/>
        <v>62837407.210000008</v>
      </c>
      <c r="J113" s="494">
        <f t="shared" si="12"/>
        <v>19</v>
      </c>
      <c r="K113" s="419">
        <f>IFERROR(H113/B113,)</f>
        <v>0.99438596491228048</v>
      </c>
      <c r="L113" s="507">
        <f>IFERROR(I113/C113,)</f>
        <v>0.97611437050987604</v>
      </c>
      <c r="M113" s="317">
        <f>SUM(M111:M111)</f>
        <v>2</v>
      </c>
      <c r="N113" s="917">
        <f>SUM(N111:N111)</f>
        <v>12</v>
      </c>
      <c r="O113" s="917">
        <f>SUM(O111:O111)</f>
        <v>4</v>
      </c>
      <c r="P113" s="917">
        <f>SUM(P111:P111)</f>
        <v>0</v>
      </c>
      <c r="Q113" s="928">
        <f>SUM(Q111:Q111)</f>
        <v>0</v>
      </c>
      <c r="R113" s="949"/>
      <c r="S113" s="949"/>
      <c r="T113" s="949"/>
    </row>
    <row r="114" spans="1:22">
      <c r="A114" s="65"/>
      <c r="B114" s="65"/>
      <c r="C114" s="65"/>
      <c r="D114" s="65"/>
      <c r="E114" s="65"/>
      <c r="F114" s="949"/>
      <c r="G114" s="65"/>
      <c r="H114" s="65"/>
      <c r="I114" s="949"/>
      <c r="J114" s="65"/>
      <c r="K114" s="65"/>
      <c r="L114" s="65"/>
      <c r="M114" s="949"/>
      <c r="N114" s="65"/>
      <c r="O114" s="949"/>
      <c r="P114" s="949"/>
      <c r="Q114" s="86"/>
      <c r="R114" s="949"/>
      <c r="S114" s="949"/>
      <c r="T114" s="949"/>
    </row>
    <row r="115" spans="1:22">
      <c r="A115" s="2301" t="s">
        <v>945</v>
      </c>
      <c r="B115" s="2302"/>
      <c r="C115" s="2302"/>
      <c r="D115" s="2302"/>
      <c r="E115" s="2302"/>
      <c r="F115" s="2302"/>
      <c r="G115" s="2302"/>
      <c r="H115" s="2303"/>
      <c r="I115" s="2303"/>
      <c r="J115" s="2303"/>
      <c r="K115" s="2303"/>
      <c r="L115" s="2303"/>
      <c r="M115" s="2303"/>
      <c r="N115" s="2304"/>
      <c r="O115" s="949"/>
      <c r="P115" s="949"/>
      <c r="Q115" s="86"/>
      <c r="R115" s="949"/>
      <c r="S115" s="949"/>
      <c r="T115" s="949"/>
    </row>
    <row r="116" spans="1:22" ht="25.5">
      <c r="A116" s="685" t="s">
        <v>1</v>
      </c>
      <c r="B116" s="723" t="s">
        <v>101</v>
      </c>
      <c r="C116" s="724" t="s">
        <v>98</v>
      </c>
      <c r="D116" s="688" t="s">
        <v>96</v>
      </c>
      <c r="E116" s="1022" t="s">
        <v>494</v>
      </c>
      <c r="F116" s="138" t="s">
        <v>495</v>
      </c>
      <c r="G116" s="296" t="s">
        <v>496</v>
      </c>
      <c r="H116" s="140" t="s">
        <v>946</v>
      </c>
      <c r="I116" s="141" t="s">
        <v>947</v>
      </c>
      <c r="J116" s="1096">
        <v>0</v>
      </c>
      <c r="K116" s="1096">
        <v>1</v>
      </c>
      <c r="L116" s="1096">
        <v>2</v>
      </c>
      <c r="M116" s="1096">
        <v>3</v>
      </c>
      <c r="N116" s="1097">
        <v>4</v>
      </c>
      <c r="O116" s="949"/>
      <c r="P116" s="949"/>
      <c r="Q116" s="86"/>
      <c r="R116" s="949"/>
      <c r="S116" s="949"/>
      <c r="T116" s="949"/>
    </row>
    <row r="117" spans="1:22">
      <c r="A117" s="985" t="s">
        <v>73</v>
      </c>
      <c r="B117" s="29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7" s="292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7" s="694">
        <f>COUNTIFS(РД[МОП],A117,РД[Дата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7" s="1015"/>
      <c r="F117" s="292"/>
      <c r="G117" s="720"/>
      <c r="H117" s="29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879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1088">
        <f>COUNTIFS(РД[Тип кв],J$116,РД[МОП],$A117,РД[Дата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1089">
        <f>COUNTIFS(РД[Тип кв],K$116,РД[МОП],$A117,РД[Дата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1089">
        <f>COUNTIFS(РД[Тип кв],L$116,РД[МОП],$A117,РД[Дата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1089">
        <f>COUNTIFS(РД[Тип кв],M$116,РД[МОП],$A117,РД[Дата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1098">
        <f>COUNTIFS(РД[Тип кв],N$116,РД[МОП],$A117,РД[Дата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T117" s="949"/>
    </row>
    <row r="118" spans="1:22" s="930" customFormat="1">
      <c r="A118" s="981" t="s">
        <v>77</v>
      </c>
      <c r="B118" s="27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8" s="52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8" s="717">
        <f>COUNTIFS(РД[МОП],A118,РД[Дата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8" s="416"/>
      <c r="F118" s="52"/>
      <c r="G118" s="421"/>
      <c r="H118" s="27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8" s="546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8" s="1090">
        <f>COUNTIFS(РД[Тип кв],J$116,РД[МОП],$A118,РД[Дата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8" s="339">
        <f>COUNTIFS(РД[Тип кв],K$116,РД[МОП],$A118,РД[Дата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8" s="339">
        <f>COUNTIFS(РД[Тип кв],L$116,РД[МОП],$A118,РД[Дата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8" s="339">
        <f>COUNTIFS(РД[Тип кв],M$116,РД[МОП],$A118,РД[Дата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8" s="1099">
        <f>COUNTIFS(РД[Тип кв],N$116,РД[МОП],$A118,РД[Дата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8" s="949"/>
      <c r="P118" s="949"/>
      <c r="Q118" s="86"/>
      <c r="R118" s="949"/>
      <c r="S118" s="949"/>
      <c r="T118" s="949"/>
      <c r="V118" s="931"/>
    </row>
    <row r="119" spans="1:22" s="930" customFormat="1">
      <c r="A119" s="982" t="s">
        <v>29</v>
      </c>
      <c r="B119" s="516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9" s="554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9" s="695">
        <f>COUNTIFS(РД[МОП],A119,РД[Дата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9" s="329">
        <f>SUMIFS(Август2022365[м2],Август2022365[МОП],$A119,Август2022365[№ дома],$C$85)</f>
        <v>0</v>
      </c>
      <c r="F119" s="958">
        <f>SUMIFS(Август2022365[сумма без отделки],Август2022365[МОП],$A119,Август2022365[№ дома],$C$85)</f>
        <v>0</v>
      </c>
      <c r="G119" s="959">
        <f>COUNTIFS(Август2022365[МОП],$A119,Август2022365[№ дома],$C$85)</f>
        <v>0</v>
      </c>
      <c r="H119" s="516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1002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1100">
        <f>COUNTIFS(РД[Тип кв],J$116,РД[МОП],$A119,РД[Дата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1101">
        <f>COUNTIFS(РД[Тип кв],K$116,РД[МОП],$A119,РД[Дата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1101">
        <f>COUNTIFS(РД[Тип кв],L$116,РД[МОП],$A119,РД[Дата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1101">
        <f>COUNTIFS(РД[Тип кв],M$116,РД[МОП],$A119,РД[Дата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1102">
        <f>COUNTIFS(РД[Тип кв],N$116,РД[МОП],$A119,РД[Дата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T119" s="949"/>
      <c r="V119" s="931"/>
    </row>
    <row r="120" spans="1:22" s="930" customFormat="1">
      <c r="A120" s="984" t="s">
        <v>114</v>
      </c>
      <c r="B120" s="323">
        <f t="shared" ref="B120:N120" si="13">SUM(B117:B119)</f>
        <v>0</v>
      </c>
      <c r="C120" s="429">
        <f t="shared" si="13"/>
        <v>0</v>
      </c>
      <c r="D120" s="319">
        <f t="shared" si="13"/>
        <v>0</v>
      </c>
      <c r="E120" s="428">
        <f t="shared" si="13"/>
        <v>0</v>
      </c>
      <c r="F120" s="429">
        <f t="shared" si="13"/>
        <v>0</v>
      </c>
      <c r="G120" s="322">
        <f t="shared" si="13"/>
        <v>0</v>
      </c>
      <c r="H120" s="323">
        <f t="shared" si="13"/>
        <v>0</v>
      </c>
      <c r="I120" s="324">
        <f t="shared" si="13"/>
        <v>0</v>
      </c>
      <c r="J120" s="284">
        <f t="shared" si="13"/>
        <v>0</v>
      </c>
      <c r="K120" s="285">
        <f t="shared" si="13"/>
        <v>0</v>
      </c>
      <c r="L120" s="285">
        <f t="shared" si="13"/>
        <v>0</v>
      </c>
      <c r="M120" s="285">
        <f t="shared" si="13"/>
        <v>0</v>
      </c>
      <c r="N120" s="305">
        <f t="shared" si="13"/>
        <v>0</v>
      </c>
      <c r="O120" s="949"/>
      <c r="P120" s="949"/>
      <c r="Q120" s="86"/>
      <c r="R120" s="949"/>
      <c r="S120" s="949"/>
      <c r="T120" s="949"/>
      <c r="V120" s="931"/>
    </row>
    <row r="121" spans="1:22" s="930" customFormat="1" ht="25.5">
      <c r="A121" s="725" t="s">
        <v>115</v>
      </c>
      <c r="B121" s="706" t="s">
        <v>101</v>
      </c>
      <c r="C121" s="726" t="s">
        <v>98</v>
      </c>
      <c r="D121" s="708" t="s">
        <v>96</v>
      </c>
      <c r="E121" s="1024" t="s">
        <v>494</v>
      </c>
      <c r="F121" s="487" t="s">
        <v>495</v>
      </c>
      <c r="G121" s="524" t="s">
        <v>496</v>
      </c>
      <c r="H121" s="489" t="s">
        <v>946</v>
      </c>
      <c r="I121" s="525" t="s">
        <v>947</v>
      </c>
      <c r="J121" s="1103">
        <v>0</v>
      </c>
      <c r="K121" s="1096">
        <v>1</v>
      </c>
      <c r="L121" s="1096">
        <v>2</v>
      </c>
      <c r="M121" s="1096">
        <v>3</v>
      </c>
      <c r="N121" s="1097">
        <v>4</v>
      </c>
      <c r="O121" s="949"/>
      <c r="P121" s="949"/>
      <c r="Q121" s="86"/>
      <c r="R121" s="949"/>
      <c r="S121" s="949"/>
      <c r="T121" s="949"/>
      <c r="V121" s="931"/>
    </row>
    <row r="122" spans="1:22" s="930" customFormat="1">
      <c r="A122" s="985" t="s">
        <v>16</v>
      </c>
      <c r="B122" s="291">
        <f>SUMIFS(РД[S],РД[ИМ],A122,РД[Дата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2" s="292">
        <f>SUMIFS(РД[Стоимость без отделки итог],РД[ИМ],A122,РД[Дата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2" s="694">
        <f>COUNTIFS(РД[ИМ],A122,РД[Дата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2" s="551"/>
      <c r="F122" s="292"/>
      <c r="G122" s="552"/>
      <c r="H122" s="291">
        <f>SUMIFS(РД[S],РД[ИМ],A122,РД[Дата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2" s="312">
        <f>SUMIFS(РД[Стоимость без отделки итог],РД[ИМ],A122,РД[Дата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2" s="346">
        <f>COUNTIFS(РД[Тип кв],J$116,РД[ИМ],$A122,РД[Дата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2" s="243">
        <f>COUNTIFS(РД[Тип кв],K$116,РД[ИМ],$A122,РД[Дата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2" s="243">
        <f>COUNTIFS(РД[Тип кв],L$116,РД[ИМ],$A122,РД[Дата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2" s="243">
        <f>COUNTIFS(РД[Тип кв],M$116,РД[ИМ],$A122,РД[Дата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2" s="246">
        <f>COUNTIFS(РД[Тип кв],N$116,РД[ИМ],$A122,РД[Дата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2" s="949"/>
      <c r="P122" s="949"/>
      <c r="Q122" s="86"/>
      <c r="R122" s="949"/>
      <c r="S122" s="949"/>
      <c r="T122" s="949"/>
      <c r="V122" s="931"/>
    </row>
    <row r="123" spans="1:22" s="930" customFormat="1">
      <c r="A123" s="982" t="s">
        <v>22</v>
      </c>
      <c r="B123" s="516">
        <f>SUMIFS(РД[S],РД[ИМ],A123,РД[Дата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3" s="554">
        <f>SUMIFS(РД[Стоимость без отделки итог],РД[ИМ],A123,РД[Дата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3" s="695">
        <f>COUNTIFS(РД[ИМ],A123,РД[Дата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3" s="553"/>
      <c r="F123" s="554"/>
      <c r="G123" s="555"/>
      <c r="H123" s="516">
        <f>SUMIFS(РД[S],РД[ИМ],A123,РД[Дата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517">
        <f>SUMIFS(РД[Стоимость без отделки итог],РД[ИМ],A123,РД[Дата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426">
        <f>COUNTIFS(РД[Тип кв],J$116,РД[ИМ],$A123,РД[Дата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251">
        <f>COUNTIFS(РД[Тип кв],K$116,РД[ИМ],$A123,РД[Дата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251">
        <f>COUNTIFS(РД[Тип кв],L$116,РД[ИМ],$A123,РД[Дата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251">
        <f>COUNTIFS(РД[Тип кв],M$116,РД[ИМ],$A123,РД[Дата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254">
        <f>COUNTIFS(РД[Тип кв],N$116,РД[ИМ],$A123,РД[Дата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3" s="949"/>
      <c r="P123" s="949"/>
      <c r="Q123" s="86"/>
      <c r="R123" s="949"/>
      <c r="S123" s="949"/>
      <c r="T123" s="949"/>
      <c r="V123" s="931"/>
    </row>
    <row r="124" spans="1:22" s="930" customFormat="1">
      <c r="A124" s="986" t="s">
        <v>114</v>
      </c>
      <c r="B124" s="282">
        <f>SUM(B122:B123)</f>
        <v>0</v>
      </c>
      <c r="C124" s="287">
        <f>SUM(C122:C123)</f>
        <v>0</v>
      </c>
      <c r="D124" s="711">
        <f>SUM(D122:D123)</f>
        <v>0</v>
      </c>
      <c r="E124" s="425">
        <f t="shared" ref="E124:N124" si="14">SUM(E122:E122)</f>
        <v>0</v>
      </c>
      <c r="F124" s="287">
        <f t="shared" si="14"/>
        <v>0</v>
      </c>
      <c r="G124" s="286">
        <f t="shared" si="14"/>
        <v>0</v>
      </c>
      <c r="H124" s="282">
        <f t="shared" si="14"/>
        <v>0</v>
      </c>
      <c r="I124" s="283">
        <f t="shared" si="14"/>
        <v>0</v>
      </c>
      <c r="J124" s="284">
        <f t="shared" si="14"/>
        <v>0</v>
      </c>
      <c r="K124" s="285">
        <f t="shared" si="14"/>
        <v>0</v>
      </c>
      <c r="L124" s="285">
        <f t="shared" si="14"/>
        <v>0</v>
      </c>
      <c r="M124" s="285">
        <f t="shared" si="14"/>
        <v>0</v>
      </c>
      <c r="N124" s="305">
        <f t="shared" si="14"/>
        <v>0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T125" s="949"/>
      <c r="V125" s="931"/>
    </row>
    <row r="126" spans="1:22" s="930" customFormat="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V127" s="931"/>
    </row>
    <row r="128" spans="1:22" s="930" customFormat="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V128" s="931"/>
    </row>
    <row r="129" spans="1:22" s="930" customFormat="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V129" s="931"/>
    </row>
    <row r="130" spans="1:22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931"/>
      <c r="B254" s="931"/>
      <c r="C254" s="931"/>
      <c r="D254" s="931"/>
      <c r="E254" s="931"/>
      <c r="F254" s="931"/>
      <c r="G254" s="931"/>
      <c r="H254" s="931"/>
      <c r="I254" s="931"/>
      <c r="J254" s="931"/>
      <c r="K254" s="931"/>
      <c r="L254" s="931"/>
      <c r="M254" s="931"/>
      <c r="N254" s="931"/>
      <c r="O254" s="931"/>
      <c r="P254" s="931"/>
      <c r="Q254" s="931"/>
      <c r="R254" s="931"/>
      <c r="S254" s="931"/>
      <c r="T254" s="931"/>
      <c r="V254" s="931"/>
    </row>
    <row r="255" spans="1:22" s="930" customFormat="1">
      <c r="A255" s="931"/>
      <c r="B255" s="931"/>
      <c r="C255" s="931"/>
      <c r="D255" s="931"/>
      <c r="E255" s="931"/>
      <c r="F255" s="931"/>
      <c r="G255" s="931"/>
      <c r="H255" s="931"/>
      <c r="I255" s="931"/>
      <c r="J255" s="931"/>
      <c r="K255" s="931"/>
      <c r="L255" s="931"/>
      <c r="M255" s="931"/>
      <c r="N255" s="931"/>
      <c r="O255" s="931"/>
      <c r="P255" s="931"/>
      <c r="Q255" s="931"/>
      <c r="R255" s="931"/>
      <c r="S255" s="931"/>
      <c r="T255" s="931"/>
      <c r="V255" s="931"/>
    </row>
  </sheetData>
  <sheetProtection algorithmName="SHA-512" hashValue="LdfhAkKzC0fjSAm5+fOuTboX86V6RdqbYuVWbxMZdtXZA/8P0bqRpZXNte99JDXVlnn/LlGJlX53be6xp4i9kQ==" saltValue="iVETLQZ+vtm9/uAbkPEN+w==" spinCount="100000" sheet="1" formatCells="0" formatColumns="0" formatRows="0" sort="0" autoFilter="0" pivotTables="0"/>
  <mergeCells count="10">
    <mergeCell ref="A1:S1"/>
    <mergeCell ref="A75:B75"/>
    <mergeCell ref="D75:P75"/>
    <mergeCell ref="A85:B85"/>
    <mergeCell ref="D85:P85"/>
    <mergeCell ref="A95:B95"/>
    <mergeCell ref="D95:P95"/>
    <mergeCell ref="A105:B105"/>
    <mergeCell ref="D105:P105"/>
    <mergeCell ref="A115:N115"/>
  </mergeCells>
  <pageMargins left="0.25" right="0.25" top="0.75" bottom="0.75" header="0.3" footer="0.3"/>
  <pageSetup paperSize="9" scale="28" orientation="portrait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700-000000000000}">
          <x14:formula1>
            <xm:f>Списки!$C$3:$C$11</xm:f>
          </x14:formula1>
          <xm:sqref>D14 R34:T34 D16:D73 R16:R25 R30:T31 R36:T73 S15:T25</xm:sqref>
        </x14:dataValidation>
        <x14:dataValidation type="list" allowBlank="1" showInputMessage="1" showErrorMessage="1" xr:uid="{00000000-0002-0000-1700-000001000000}">
          <x14:formula1>
            <xm:f>Списки!$C$3:$C$4</xm:f>
          </x14:formula1>
          <xm:sqref>D15 R35:T35 D74 D3:D13 R3:R15 R32:T33 R26:T29 S3:T14</xm:sqref>
        </x14:dataValidation>
        <x14:dataValidation type="list" allowBlank="1" showInputMessage="1" showErrorMessage="1" xr:uid="{00000000-0002-0000-1700-000002000000}">
          <x14:formula1>
            <xm:f>Списки!$D$2:$D$7</xm:f>
          </x14:formula1>
          <xm:sqref>F3:F44 F46:F74</xm:sqref>
        </x14:dataValidation>
        <x14:dataValidation type="list" allowBlank="1" showInputMessage="1" showErrorMessage="1" xr:uid="{00000000-0002-0000-1700-000003000000}">
          <x14:formula1>
            <xm:f>Списки!$B$2:$B$5</xm:f>
          </x14:formula1>
          <xm:sqref>G3:G74</xm:sqref>
        </x14:dataValidation>
        <x14:dataValidation type="list" allowBlank="1" showInputMessage="1" showErrorMessage="1" xr:uid="{00000000-0002-0000-1700-000004000000}">
          <x14:formula1>
            <xm:f>Списки!$E$2:$E$7</xm:f>
          </x14:formula1>
          <xm:sqref>H3:H74</xm:sqref>
        </x14:dataValidation>
        <x14:dataValidation type="list" allowBlank="1" showInputMessage="1" showErrorMessage="1" xr:uid="{00000000-0002-0000-1700-000005000000}">
          <x14:formula1>
            <xm:f>Списки!$G$2:$G$3</xm:f>
          </x14:formula1>
          <xm:sqref>L3:L74</xm:sqref>
        </x14:dataValidation>
        <x14:dataValidation type="list" allowBlank="1" showInputMessage="1" showErrorMessage="1" xr:uid="{00000000-0002-0000-1700-000006000000}">
          <x14:formula1>
            <xm:f>Списки!$F$2:$F$3</xm:f>
          </x14:formula1>
          <xm:sqref>N3:N74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V261"/>
  <sheetViews>
    <sheetView view="pageBreakPreview" zoomScale="80" zoomScaleNormal="85" workbookViewId="0">
      <pane ySplit="2" topLeftCell="A3" activePane="bottomLeft" state="frozen"/>
      <selection pane="bottomLeft" activeCell="I88" sqref="I88"/>
    </sheetView>
  </sheetViews>
  <sheetFormatPr defaultColWidth="9.140625" defaultRowHeight="12.75" outlineLevelRow="1"/>
  <cols>
    <col min="1" max="1" width="11.7109375" style="931" customWidth="1"/>
    <col min="2" max="2" width="13.5703125" style="931" customWidth="1"/>
    <col min="3" max="3" width="14.28515625" style="931" customWidth="1"/>
    <col min="4" max="4" width="12.5703125" style="931" customWidth="1"/>
    <col min="5" max="5" width="8.85546875" style="931" customWidth="1"/>
    <col min="6" max="6" width="15.140625" style="931" customWidth="1"/>
    <col min="7" max="7" width="8.5703125" style="931" customWidth="1"/>
    <col min="8" max="8" width="13.28515625" style="931" customWidth="1"/>
    <col min="9" max="9" width="15.140625" style="931" customWidth="1"/>
    <col min="10" max="10" width="10.85546875" style="931" customWidth="1"/>
    <col min="11" max="11" width="14.140625" style="931" customWidth="1"/>
    <col min="12" max="12" width="12.42578125" style="931" customWidth="1"/>
    <col min="13" max="13" width="11.7109375" style="931" customWidth="1"/>
    <col min="14" max="14" width="17.5703125" style="931" customWidth="1"/>
    <col min="15" max="15" width="24.42578125" style="931" customWidth="1"/>
    <col min="16" max="16" width="23.5703125" style="931" customWidth="1"/>
    <col min="17" max="17" width="40.8554687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44895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929" customFormat="1" outlineLevel="1">
      <c r="A3" s="62">
        <v>1</v>
      </c>
      <c r="B3" s="62">
        <v>10</v>
      </c>
      <c r="C3" s="62">
        <v>23165</v>
      </c>
      <c r="D3" s="117" t="s">
        <v>77</v>
      </c>
      <c r="E3" s="62">
        <v>24.39</v>
      </c>
      <c r="F3" s="117" t="s">
        <v>9</v>
      </c>
      <c r="G3" s="117" t="s">
        <v>27</v>
      </c>
      <c r="H3" s="117" t="s">
        <v>22</v>
      </c>
      <c r="I3" s="95">
        <v>2105486.9900000002</v>
      </c>
      <c r="J3" s="62">
        <v>0</v>
      </c>
      <c r="K3" s="117" t="s">
        <v>583</v>
      </c>
      <c r="L3" s="117" t="s">
        <v>12</v>
      </c>
      <c r="M3" s="92">
        <v>44888</v>
      </c>
      <c r="N3" s="117" t="s">
        <v>17</v>
      </c>
      <c r="O3" s="117" t="s">
        <v>1202</v>
      </c>
      <c r="P3" s="76" t="s">
        <v>67</v>
      </c>
      <c r="Q3" s="76" t="s">
        <v>67</v>
      </c>
      <c r="R3" s="945" t="s">
        <v>77</v>
      </c>
      <c r="S3" s="945" t="s">
        <v>77</v>
      </c>
      <c r="T3" s="945" t="s">
        <v>77</v>
      </c>
      <c r="U3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2105486.9900000002</v>
      </c>
      <c r="V3" s="931"/>
    </row>
    <row r="4" spans="1:22" s="929" customFormat="1" ht="13.5" customHeight="1" outlineLevel="1">
      <c r="A4" s="62">
        <v>2</v>
      </c>
      <c r="B4" s="62">
        <v>16</v>
      </c>
      <c r="C4" s="62">
        <v>22904</v>
      </c>
      <c r="D4" s="117" t="s">
        <v>77</v>
      </c>
      <c r="E4" s="62">
        <v>58.9</v>
      </c>
      <c r="F4" s="117" t="s">
        <v>9</v>
      </c>
      <c r="G4" s="117" t="s">
        <v>121</v>
      </c>
      <c r="H4" s="117" t="s">
        <v>10</v>
      </c>
      <c r="I4" s="95">
        <v>4910520</v>
      </c>
      <c r="J4" s="62">
        <v>2</v>
      </c>
      <c r="K4" s="117" t="s">
        <v>514</v>
      </c>
      <c r="L4" s="117" t="s">
        <v>12</v>
      </c>
      <c r="M4" s="92">
        <v>44893</v>
      </c>
      <c r="N4" s="117" t="s">
        <v>17</v>
      </c>
      <c r="O4" s="117" t="s">
        <v>1203</v>
      </c>
      <c r="P4" s="76" t="s">
        <v>67</v>
      </c>
      <c r="Q4" s="76" t="s">
        <v>67</v>
      </c>
      <c r="R4" s="945" t="s">
        <v>16</v>
      </c>
      <c r="S4" s="945" t="s">
        <v>16</v>
      </c>
      <c r="T4" s="945" t="s">
        <v>77</v>
      </c>
      <c r="U4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4910520</v>
      </c>
      <c r="V4" s="931"/>
    </row>
    <row r="5" spans="1:22" s="929" customFormat="1" outlineLevel="1">
      <c r="A5" s="62">
        <v>3</v>
      </c>
      <c r="B5" s="62">
        <v>17</v>
      </c>
      <c r="C5" s="75">
        <v>23093</v>
      </c>
      <c r="D5" s="117" t="s">
        <v>77</v>
      </c>
      <c r="E5" s="62">
        <v>33.53</v>
      </c>
      <c r="F5" s="941" t="s">
        <v>15</v>
      </c>
      <c r="G5" s="62" t="s">
        <v>7</v>
      </c>
      <c r="H5" s="62" t="s">
        <v>16</v>
      </c>
      <c r="I5" s="95">
        <v>2710705.36</v>
      </c>
      <c r="J5" s="62">
        <v>1</v>
      </c>
      <c r="K5" s="62" t="s">
        <v>583</v>
      </c>
      <c r="L5" s="431" t="s">
        <v>18</v>
      </c>
      <c r="M5" s="539">
        <v>44868</v>
      </c>
      <c r="N5" s="117" t="s">
        <v>17</v>
      </c>
      <c r="O5" s="62" t="s">
        <v>1204</v>
      </c>
      <c r="P5" s="76" t="s">
        <v>67</v>
      </c>
      <c r="Q5" s="76" t="s">
        <v>67</v>
      </c>
      <c r="R5" s="945" t="s">
        <v>77</v>
      </c>
      <c r="S5" s="945" t="s">
        <v>77</v>
      </c>
      <c r="T5" s="945" t="s">
        <v>73</v>
      </c>
      <c r="U5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2459230.36</v>
      </c>
      <c r="V5" s="931"/>
    </row>
    <row r="6" spans="1:22" s="929" customFormat="1" ht="12.75" customHeight="1" outlineLevel="1">
      <c r="A6" s="62">
        <v>4</v>
      </c>
      <c r="B6" s="62">
        <v>3</v>
      </c>
      <c r="C6" s="62">
        <v>23106</v>
      </c>
      <c r="D6" s="117" t="s">
        <v>77</v>
      </c>
      <c r="E6" s="62">
        <v>33.53</v>
      </c>
      <c r="F6" s="941" t="s">
        <v>15</v>
      </c>
      <c r="G6" s="62" t="s">
        <v>7</v>
      </c>
      <c r="H6" s="62" t="s">
        <v>16</v>
      </c>
      <c r="I6" s="91">
        <v>2710705.36</v>
      </c>
      <c r="J6" s="62">
        <v>1</v>
      </c>
      <c r="K6" s="62" t="s">
        <v>583</v>
      </c>
      <c r="L6" s="431" t="s">
        <v>18</v>
      </c>
      <c r="M6" s="942">
        <v>44867</v>
      </c>
      <c r="N6" s="117" t="s">
        <v>17</v>
      </c>
      <c r="O6" s="117" t="s">
        <v>1205</v>
      </c>
      <c r="P6" s="76" t="s">
        <v>67</v>
      </c>
      <c r="Q6" s="76" t="s">
        <v>67</v>
      </c>
      <c r="R6" s="945" t="s">
        <v>77</v>
      </c>
      <c r="S6" s="945" t="s">
        <v>77</v>
      </c>
      <c r="T6" s="945" t="s">
        <v>73</v>
      </c>
      <c r="U6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2459230.36</v>
      </c>
      <c r="V6" s="931"/>
    </row>
    <row r="7" spans="1:22" s="929" customFormat="1" ht="12.75" customHeight="1" outlineLevel="1">
      <c r="A7" s="62">
        <v>5</v>
      </c>
      <c r="B7" s="62">
        <v>303</v>
      </c>
      <c r="C7" s="62">
        <v>22465</v>
      </c>
      <c r="D7" s="117" t="s">
        <v>77</v>
      </c>
      <c r="E7" s="62">
        <v>33.840000000000003</v>
      </c>
      <c r="F7" s="941" t="s">
        <v>15</v>
      </c>
      <c r="G7" s="62" t="s">
        <v>7</v>
      </c>
      <c r="H7" s="117" t="s">
        <v>10</v>
      </c>
      <c r="I7" s="95">
        <v>2735767.05</v>
      </c>
      <c r="J7" s="62">
        <v>1</v>
      </c>
      <c r="K7" s="117" t="s">
        <v>583</v>
      </c>
      <c r="L7" s="117" t="s">
        <v>12</v>
      </c>
      <c r="M7" s="1016">
        <v>44895</v>
      </c>
      <c r="N7" s="117" t="s">
        <v>11</v>
      </c>
      <c r="O7" s="76" t="s">
        <v>1206</v>
      </c>
      <c r="P7" s="76" t="s">
        <v>67</v>
      </c>
      <c r="Q7" s="76" t="s">
        <v>67</v>
      </c>
      <c r="R7" s="945" t="s">
        <v>77</v>
      </c>
      <c r="S7" s="945" t="s">
        <v>77</v>
      </c>
      <c r="T7" s="945" t="s">
        <v>73</v>
      </c>
      <c r="U7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2481967.0499999998</v>
      </c>
    </row>
    <row r="8" spans="1:22" s="929" customFormat="1" hidden="1" outlineLevel="1">
      <c r="A8" s="62">
        <v>6</v>
      </c>
      <c r="B8" s="75">
        <v>901</v>
      </c>
      <c r="C8" s="75">
        <v>19559</v>
      </c>
      <c r="D8" s="117" t="s">
        <v>1207</v>
      </c>
      <c r="E8" s="62">
        <v>23.09</v>
      </c>
      <c r="F8" s="117" t="s">
        <v>9</v>
      </c>
      <c r="G8" s="117" t="s">
        <v>27</v>
      </c>
      <c r="H8" s="117" t="s">
        <v>22</v>
      </c>
      <c r="I8" s="95">
        <v>2005062.17</v>
      </c>
      <c r="J8" s="62">
        <v>0</v>
      </c>
      <c r="K8" s="117" t="s">
        <v>583</v>
      </c>
      <c r="L8" s="117" t="s">
        <v>18</v>
      </c>
      <c r="M8" s="1016">
        <v>44867</v>
      </c>
      <c r="N8" s="117" t="s">
        <v>17</v>
      </c>
      <c r="O8" s="117" t="s">
        <v>1208</v>
      </c>
      <c r="P8" s="76" t="s">
        <v>67</v>
      </c>
      <c r="Q8" s="76" t="s">
        <v>67</v>
      </c>
      <c r="R8" s="945"/>
      <c r="S8" s="945" t="s">
        <v>73</v>
      </c>
      <c r="T8" s="945" t="s">
        <v>73</v>
      </c>
      <c r="U8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2005062.17</v>
      </c>
      <c r="V8" s="931"/>
    </row>
    <row r="9" spans="1:22" ht="12.75" hidden="1" customHeight="1" outlineLevel="1">
      <c r="A9" s="62">
        <v>7</v>
      </c>
      <c r="B9" s="75">
        <v>727</v>
      </c>
      <c r="C9" s="75">
        <v>23246</v>
      </c>
      <c r="D9" s="117" t="s">
        <v>73</v>
      </c>
      <c r="E9" s="62">
        <v>61.95</v>
      </c>
      <c r="F9" s="117" t="s">
        <v>15</v>
      </c>
      <c r="G9" s="117" t="s">
        <v>27</v>
      </c>
      <c r="H9" s="62" t="s">
        <v>22</v>
      </c>
      <c r="I9" s="95">
        <v>5343064.47</v>
      </c>
      <c r="J9" s="62">
        <v>2</v>
      </c>
      <c r="K9" s="117" t="s">
        <v>583</v>
      </c>
      <c r="L9" s="117" t="s">
        <v>12</v>
      </c>
      <c r="M9" s="1016">
        <v>44890</v>
      </c>
      <c r="N9" s="117" t="s">
        <v>17</v>
      </c>
      <c r="O9" s="117" t="s">
        <v>1209</v>
      </c>
      <c r="P9" s="76" t="s">
        <v>67</v>
      </c>
      <c r="Q9" s="76" t="s">
        <v>67</v>
      </c>
      <c r="R9" s="945" t="s">
        <v>73</v>
      </c>
      <c r="S9" s="945" t="s">
        <v>77</v>
      </c>
      <c r="T9" s="945" t="s">
        <v>73</v>
      </c>
      <c r="U9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4878439.47</v>
      </c>
    </row>
    <row r="10" spans="1:22" s="929" customFormat="1" hidden="1" outlineLevel="1">
      <c r="A10" s="62">
        <v>8</v>
      </c>
      <c r="B10" s="62">
        <v>215</v>
      </c>
      <c r="C10" s="62">
        <v>22967</v>
      </c>
      <c r="D10" s="117" t="s">
        <v>1207</v>
      </c>
      <c r="E10" s="62">
        <v>78.73</v>
      </c>
      <c r="F10" s="117" t="s">
        <v>9</v>
      </c>
      <c r="G10" s="117" t="s">
        <v>7</v>
      </c>
      <c r="H10" s="117" t="s">
        <v>22</v>
      </c>
      <c r="I10" s="95">
        <v>5703327.1699999999</v>
      </c>
      <c r="J10" s="62">
        <v>3</v>
      </c>
      <c r="K10" s="117" t="s">
        <v>65</v>
      </c>
      <c r="L10" s="117" t="s">
        <v>12</v>
      </c>
      <c r="M10" s="92">
        <v>44881</v>
      </c>
      <c r="N10" s="117" t="s">
        <v>11</v>
      </c>
      <c r="O10" s="117" t="s">
        <v>1210</v>
      </c>
      <c r="P10" s="76" t="s">
        <v>67</v>
      </c>
      <c r="Q10" s="76" t="s">
        <v>67</v>
      </c>
      <c r="R10" s="945"/>
      <c r="S10" s="945" t="s">
        <v>73</v>
      </c>
      <c r="T10" s="945" t="s">
        <v>30</v>
      </c>
      <c r="U10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5703327.1699999999</v>
      </c>
      <c r="V10" s="931"/>
    </row>
    <row r="11" spans="1:22" s="929" customFormat="1" ht="12.75" hidden="1" customHeight="1" outlineLevel="1">
      <c r="A11" s="62">
        <v>9</v>
      </c>
      <c r="B11" s="62">
        <v>158</v>
      </c>
      <c r="C11" s="62">
        <v>22777</v>
      </c>
      <c r="D11" s="117" t="s">
        <v>73</v>
      </c>
      <c r="E11" s="62">
        <v>36.6</v>
      </c>
      <c r="F11" s="941" t="s">
        <v>9</v>
      </c>
      <c r="G11" s="62" t="s">
        <v>7</v>
      </c>
      <c r="H11" s="62" t="s">
        <v>22</v>
      </c>
      <c r="I11" s="95">
        <v>2914382.02</v>
      </c>
      <c r="J11" s="62">
        <v>1</v>
      </c>
      <c r="K11" s="62" t="s">
        <v>583</v>
      </c>
      <c r="L11" s="62" t="s">
        <v>18</v>
      </c>
      <c r="M11" s="92">
        <v>44867</v>
      </c>
      <c r="N11" s="117" t="s">
        <v>17</v>
      </c>
      <c r="O11" s="62" t="s">
        <v>1211</v>
      </c>
      <c r="P11" s="76" t="s">
        <v>67</v>
      </c>
      <c r="Q11" s="76" t="s">
        <v>67</v>
      </c>
      <c r="R11" s="945" t="s">
        <v>73</v>
      </c>
      <c r="S11" s="945" t="s">
        <v>73</v>
      </c>
      <c r="T11" s="945" t="s">
        <v>77</v>
      </c>
      <c r="U11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2914382.02</v>
      </c>
      <c r="V11" s="931"/>
    </row>
    <row r="12" spans="1:22" s="929" customFormat="1" hidden="1" outlineLevel="1">
      <c r="A12" s="62">
        <v>10</v>
      </c>
      <c r="B12" s="62">
        <v>149</v>
      </c>
      <c r="C12" s="62">
        <v>23225</v>
      </c>
      <c r="D12" s="117" t="s">
        <v>73</v>
      </c>
      <c r="E12" s="62">
        <v>36.700000000000003</v>
      </c>
      <c r="F12" s="945" t="s">
        <v>9</v>
      </c>
      <c r="G12" s="117" t="s">
        <v>7</v>
      </c>
      <c r="H12" s="117" t="s">
        <v>16</v>
      </c>
      <c r="I12" s="95">
        <v>2889508.44</v>
      </c>
      <c r="J12" s="62">
        <v>1</v>
      </c>
      <c r="K12" s="117" t="s">
        <v>583</v>
      </c>
      <c r="L12" s="117" t="s">
        <v>18</v>
      </c>
      <c r="M12" s="92">
        <v>44873</v>
      </c>
      <c r="N12" s="117" t="s">
        <v>17</v>
      </c>
      <c r="O12" s="117" t="s">
        <v>1212</v>
      </c>
      <c r="P12" s="76" t="s">
        <v>67</v>
      </c>
      <c r="Q12" s="76" t="s">
        <v>67</v>
      </c>
      <c r="R12" s="945" t="s">
        <v>73</v>
      </c>
      <c r="S12" s="945" t="s">
        <v>73</v>
      </c>
      <c r="T12" s="945" t="s">
        <v>73</v>
      </c>
      <c r="U12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2889508.44</v>
      </c>
      <c r="V12" s="931"/>
    </row>
    <row r="13" spans="1:22" s="929" customFormat="1" hidden="1" outlineLevel="1">
      <c r="A13" s="62">
        <v>11</v>
      </c>
      <c r="B13" s="62">
        <v>500</v>
      </c>
      <c r="C13" s="62">
        <v>23216</v>
      </c>
      <c r="D13" s="117" t="s">
        <v>1207</v>
      </c>
      <c r="E13" s="62">
        <v>23.63</v>
      </c>
      <c r="F13" s="945" t="s">
        <v>9</v>
      </c>
      <c r="G13" s="117" t="s">
        <v>27</v>
      </c>
      <c r="H13" s="117" t="s">
        <v>16</v>
      </c>
      <c r="I13" s="1019">
        <v>2051744.69</v>
      </c>
      <c r="J13" s="62">
        <v>0</v>
      </c>
      <c r="K13" s="62" t="s">
        <v>583</v>
      </c>
      <c r="L13" s="62" t="s">
        <v>12</v>
      </c>
      <c r="M13" s="92">
        <v>44895</v>
      </c>
      <c r="N13" s="117" t="s">
        <v>17</v>
      </c>
      <c r="O13" s="62" t="s">
        <v>1213</v>
      </c>
      <c r="P13" s="76" t="s">
        <v>67</v>
      </c>
      <c r="Q13" s="76" t="s">
        <v>67</v>
      </c>
      <c r="R13" s="945"/>
      <c r="S13" s="945" t="s">
        <v>73</v>
      </c>
      <c r="T13" s="945" t="s">
        <v>73</v>
      </c>
      <c r="U13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2051744.6900000002</v>
      </c>
    </row>
    <row r="14" spans="1:22" s="929" customFormat="1" ht="12.75" customHeight="1" outlineLevel="1">
      <c r="A14" s="62">
        <v>12</v>
      </c>
      <c r="B14" s="62">
        <v>294</v>
      </c>
      <c r="C14" s="62">
        <v>23199</v>
      </c>
      <c r="D14" s="117" t="s">
        <v>77</v>
      </c>
      <c r="E14" s="62">
        <v>56.7</v>
      </c>
      <c r="F14" s="117" t="s">
        <v>15</v>
      </c>
      <c r="G14" s="117" t="s">
        <v>7</v>
      </c>
      <c r="H14" s="117" t="s">
        <v>22</v>
      </c>
      <c r="I14" s="95">
        <v>4269672.7300000004</v>
      </c>
      <c r="J14" s="62">
        <v>2</v>
      </c>
      <c r="K14" s="117" t="s">
        <v>583</v>
      </c>
      <c r="L14" s="117" t="s">
        <v>18</v>
      </c>
      <c r="M14" s="92">
        <v>44876</v>
      </c>
      <c r="N14" s="117" t="s">
        <v>17</v>
      </c>
      <c r="O14" s="62" t="s">
        <v>1214</v>
      </c>
      <c r="P14" s="76" t="s">
        <v>67</v>
      </c>
      <c r="Q14" s="76" t="s">
        <v>67</v>
      </c>
      <c r="R14" s="945" t="s">
        <v>77</v>
      </c>
      <c r="S14" s="945" t="s">
        <v>77</v>
      </c>
      <c r="T14" s="945" t="s">
        <v>77</v>
      </c>
      <c r="U14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3844422.73</v>
      </c>
      <c r="V14" s="931"/>
    </row>
    <row r="15" spans="1:22" s="929" customFormat="1" outlineLevel="1">
      <c r="A15" s="62">
        <v>13</v>
      </c>
      <c r="B15" s="75">
        <v>218</v>
      </c>
      <c r="C15" s="75">
        <v>23157</v>
      </c>
      <c r="D15" s="62" t="s">
        <v>77</v>
      </c>
      <c r="E15" s="62">
        <v>23.54</v>
      </c>
      <c r="F15" s="941" t="s">
        <v>15</v>
      </c>
      <c r="G15" s="62" t="s">
        <v>27</v>
      </c>
      <c r="H15" s="62" t="s">
        <v>10</v>
      </c>
      <c r="I15" s="95">
        <v>2010430.28</v>
      </c>
      <c r="J15" s="62">
        <v>0</v>
      </c>
      <c r="K15" s="62" t="s">
        <v>85</v>
      </c>
      <c r="L15" s="431" t="s">
        <v>18</v>
      </c>
      <c r="M15" s="92">
        <v>44867</v>
      </c>
      <c r="N15" s="62" t="s">
        <v>17</v>
      </c>
      <c r="O15" s="62" t="s">
        <v>1215</v>
      </c>
      <c r="P15" s="76" t="s">
        <v>67</v>
      </c>
      <c r="Q15" s="76" t="s">
        <v>67</v>
      </c>
      <c r="R15" s="945" t="s">
        <v>77</v>
      </c>
      <c r="S15" s="945" t="s">
        <v>77</v>
      </c>
      <c r="T15" s="945" t="s">
        <v>77</v>
      </c>
      <c r="U15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1833880.28</v>
      </c>
      <c r="V15" s="931"/>
    </row>
    <row r="16" spans="1:22" s="929" customFormat="1" ht="12.75" customHeight="1" outlineLevel="1">
      <c r="A16" s="62">
        <v>14</v>
      </c>
      <c r="B16" s="62">
        <v>212</v>
      </c>
      <c r="C16" s="81">
        <v>23148</v>
      </c>
      <c r="D16" s="117" t="s">
        <v>77</v>
      </c>
      <c r="E16" s="62">
        <v>23.63</v>
      </c>
      <c r="F16" s="945" t="s">
        <v>9</v>
      </c>
      <c r="G16" s="117" t="s">
        <v>27</v>
      </c>
      <c r="H16" s="62" t="s">
        <v>10</v>
      </c>
      <c r="I16" s="95">
        <v>1949157.46</v>
      </c>
      <c r="J16" s="62">
        <v>0</v>
      </c>
      <c r="K16" s="62" t="s">
        <v>85</v>
      </c>
      <c r="L16" s="431" t="s">
        <v>18</v>
      </c>
      <c r="M16" s="92">
        <v>44868</v>
      </c>
      <c r="N16" s="117" t="s">
        <v>17</v>
      </c>
      <c r="O16" s="62" t="s">
        <v>1216</v>
      </c>
      <c r="P16" s="76" t="s">
        <v>67</v>
      </c>
      <c r="Q16" s="76" t="s">
        <v>67</v>
      </c>
      <c r="R16" s="945" t="s">
        <v>77</v>
      </c>
      <c r="S16" s="945" t="s">
        <v>73</v>
      </c>
      <c r="T16" s="945" t="s">
        <v>77</v>
      </c>
      <c r="U16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1949157.46</v>
      </c>
      <c r="V16" s="931"/>
    </row>
    <row r="17" spans="1:22" s="929" customFormat="1" ht="12.75" hidden="1" customHeight="1" outlineLevel="1">
      <c r="A17" s="62">
        <v>15</v>
      </c>
      <c r="B17" s="75">
        <v>118</v>
      </c>
      <c r="C17" s="75">
        <v>21734</v>
      </c>
      <c r="D17" s="62" t="s">
        <v>73</v>
      </c>
      <c r="E17" s="62">
        <v>59.87</v>
      </c>
      <c r="F17" s="941" t="s">
        <v>15</v>
      </c>
      <c r="G17" s="62" t="s">
        <v>7</v>
      </c>
      <c r="H17" s="62" t="s">
        <v>16</v>
      </c>
      <c r="I17" s="95">
        <v>4826763.7</v>
      </c>
      <c r="J17" s="62">
        <v>2</v>
      </c>
      <c r="K17" s="62" t="s">
        <v>583</v>
      </c>
      <c r="L17" s="62" t="s">
        <v>18</v>
      </c>
      <c r="M17" s="92">
        <v>44895</v>
      </c>
      <c r="N17" s="62" t="s">
        <v>17</v>
      </c>
      <c r="O17" s="62" t="s">
        <v>1217</v>
      </c>
      <c r="P17" s="76" t="s">
        <v>67</v>
      </c>
      <c r="Q17" s="76" t="s">
        <v>67</v>
      </c>
      <c r="R17" s="941" t="s">
        <v>73</v>
      </c>
      <c r="S17" s="941" t="s">
        <v>73</v>
      </c>
      <c r="T17" s="941" t="s">
        <v>73</v>
      </c>
      <c r="U17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4377738.7</v>
      </c>
    </row>
    <row r="18" spans="1:22" s="929" customFormat="1" ht="12.75" customHeight="1" outlineLevel="1">
      <c r="A18" s="62">
        <v>16</v>
      </c>
      <c r="B18" s="75">
        <v>146</v>
      </c>
      <c r="C18" s="75">
        <v>23475</v>
      </c>
      <c r="D18" s="117" t="s">
        <v>77</v>
      </c>
      <c r="E18" s="62">
        <v>37.94</v>
      </c>
      <c r="F18" s="117" t="s">
        <v>25</v>
      </c>
      <c r="G18" s="62" t="s">
        <v>27</v>
      </c>
      <c r="H18" s="117" t="s">
        <v>22</v>
      </c>
      <c r="I18" s="95">
        <v>4246275.91</v>
      </c>
      <c r="J18" s="62">
        <v>1</v>
      </c>
      <c r="K18" s="117" t="s">
        <v>583</v>
      </c>
      <c r="L18" s="117" t="s">
        <v>18</v>
      </c>
      <c r="M18" s="92">
        <v>44895</v>
      </c>
      <c r="N18" s="117" t="s">
        <v>17</v>
      </c>
      <c r="O18" s="76" t="s">
        <v>1218</v>
      </c>
      <c r="P18" s="76" t="s">
        <v>67</v>
      </c>
      <c r="Q18" s="76" t="s">
        <v>67</v>
      </c>
      <c r="R18" s="945" t="s">
        <v>77</v>
      </c>
      <c r="S18" s="945" t="s">
        <v>77</v>
      </c>
      <c r="T18" s="945" t="s">
        <v>77</v>
      </c>
      <c r="U18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3411595.9100000006</v>
      </c>
    </row>
    <row r="19" spans="1:22" s="929" customFormat="1" ht="14.25" customHeight="1" outlineLevel="1">
      <c r="A19" s="62">
        <v>17</v>
      </c>
      <c r="B19" s="75">
        <v>817</v>
      </c>
      <c r="C19" s="75">
        <v>23091</v>
      </c>
      <c r="D19" s="117" t="s">
        <v>77</v>
      </c>
      <c r="E19" s="62">
        <v>24.37</v>
      </c>
      <c r="F19" s="945" t="s">
        <v>9</v>
      </c>
      <c r="G19" s="117" t="s">
        <v>27</v>
      </c>
      <c r="H19" s="117" t="s">
        <v>16</v>
      </c>
      <c r="I19" s="95">
        <v>2299595.6</v>
      </c>
      <c r="J19" s="62">
        <v>0</v>
      </c>
      <c r="K19" s="117" t="s">
        <v>583</v>
      </c>
      <c r="L19" s="117" t="s">
        <v>18</v>
      </c>
      <c r="M19" s="92">
        <v>44888</v>
      </c>
      <c r="N19" s="117" t="s">
        <v>17</v>
      </c>
      <c r="O19" s="76" t="s">
        <v>1219</v>
      </c>
      <c r="P19" s="76" t="s">
        <v>67</v>
      </c>
      <c r="Q19" s="76" t="s">
        <v>67</v>
      </c>
      <c r="R19" s="945" t="s">
        <v>77</v>
      </c>
      <c r="S19" s="945" t="s">
        <v>77</v>
      </c>
      <c r="T19" s="945" t="s">
        <v>77</v>
      </c>
      <c r="U19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2299595.6</v>
      </c>
      <c r="V19" s="931"/>
    </row>
    <row r="20" spans="1:22" s="929" customFormat="1" ht="12.75" customHeight="1" outlineLevel="1">
      <c r="A20" s="62">
        <v>18</v>
      </c>
      <c r="B20" s="75">
        <v>753</v>
      </c>
      <c r="C20" s="75">
        <v>22719</v>
      </c>
      <c r="D20" s="117" t="s">
        <v>77</v>
      </c>
      <c r="E20" s="62">
        <v>38.96</v>
      </c>
      <c r="F20" s="945" t="s">
        <v>9</v>
      </c>
      <c r="G20" s="117" t="s">
        <v>27</v>
      </c>
      <c r="H20" s="117" t="s">
        <v>22</v>
      </c>
      <c r="I20" s="1021">
        <v>3235220.09</v>
      </c>
      <c r="J20" s="62">
        <v>1</v>
      </c>
      <c r="K20" s="117" t="s">
        <v>583</v>
      </c>
      <c r="L20" s="117" t="s">
        <v>18</v>
      </c>
      <c r="M20" s="92">
        <v>44895</v>
      </c>
      <c r="N20" s="117" t="s">
        <v>11</v>
      </c>
      <c r="O20" s="76" t="s">
        <v>1220</v>
      </c>
      <c r="P20" s="76" t="s">
        <v>67</v>
      </c>
      <c r="Q20" s="76" t="s">
        <v>67</v>
      </c>
      <c r="R20" s="945" t="s">
        <v>77</v>
      </c>
      <c r="S20" s="945" t="s">
        <v>77</v>
      </c>
      <c r="T20" s="945" t="s">
        <v>77</v>
      </c>
      <c r="U20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3235220.09</v>
      </c>
    </row>
    <row r="21" spans="1:22" s="929" customFormat="1" outlineLevel="1">
      <c r="A21" s="62">
        <v>19</v>
      </c>
      <c r="B21" s="75">
        <v>57</v>
      </c>
      <c r="C21" s="75">
        <v>23202</v>
      </c>
      <c r="D21" s="117" t="s">
        <v>77</v>
      </c>
      <c r="E21" s="62">
        <v>33.53</v>
      </c>
      <c r="F21" s="117" t="s">
        <v>15</v>
      </c>
      <c r="G21" s="117" t="s">
        <v>7</v>
      </c>
      <c r="H21" s="117" t="s">
        <v>22</v>
      </c>
      <c r="I21" s="95">
        <v>2710705.36</v>
      </c>
      <c r="J21" s="62">
        <v>1</v>
      </c>
      <c r="K21" s="117" t="s">
        <v>583</v>
      </c>
      <c r="L21" s="117" t="s">
        <v>18</v>
      </c>
      <c r="M21" s="92">
        <v>44873</v>
      </c>
      <c r="N21" s="117" t="s">
        <v>17</v>
      </c>
      <c r="O21" s="62" t="s">
        <v>1221</v>
      </c>
      <c r="P21" s="76" t="s">
        <v>67</v>
      </c>
      <c r="Q21" s="76" t="s">
        <v>67</v>
      </c>
      <c r="R21" s="945" t="s">
        <v>77</v>
      </c>
      <c r="S21" s="945" t="s">
        <v>77</v>
      </c>
      <c r="T21" s="945" t="s">
        <v>77</v>
      </c>
      <c r="U21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2459230.36</v>
      </c>
      <c r="V21" s="931"/>
    </row>
    <row r="22" spans="1:22" s="929" customFormat="1" ht="12.75" customHeight="1" outlineLevel="1">
      <c r="A22" s="62">
        <v>20</v>
      </c>
      <c r="B22" s="62">
        <v>173</v>
      </c>
      <c r="C22" s="75">
        <v>23236</v>
      </c>
      <c r="D22" s="117" t="s">
        <v>77</v>
      </c>
      <c r="E22" s="62">
        <v>37.94</v>
      </c>
      <c r="F22" s="945" t="s">
        <v>9</v>
      </c>
      <c r="G22" s="117" t="s">
        <v>27</v>
      </c>
      <c r="H22" s="117" t="s">
        <v>10</v>
      </c>
      <c r="I22" s="91">
        <v>3317598.8</v>
      </c>
      <c r="J22" s="62">
        <v>1</v>
      </c>
      <c r="K22" s="62" t="s">
        <v>583</v>
      </c>
      <c r="L22" s="117" t="s">
        <v>18</v>
      </c>
      <c r="M22" s="537">
        <v>44876</v>
      </c>
      <c r="N22" s="117" t="s">
        <v>17</v>
      </c>
      <c r="O22" s="62" t="s">
        <v>1222</v>
      </c>
      <c r="P22" s="76" t="s">
        <v>67</v>
      </c>
      <c r="Q22" s="76" t="s">
        <v>67</v>
      </c>
      <c r="R22" s="945" t="s">
        <v>77</v>
      </c>
      <c r="S22" s="945" t="s">
        <v>77</v>
      </c>
      <c r="T22" s="945" t="s">
        <v>77</v>
      </c>
      <c r="U22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3317598.7999999993</v>
      </c>
      <c r="V22" s="931"/>
    </row>
    <row r="23" spans="1:22" s="929" customFormat="1" ht="12.75" customHeight="1" outlineLevel="1">
      <c r="A23" s="62">
        <v>21</v>
      </c>
      <c r="B23" s="75">
        <v>112</v>
      </c>
      <c r="C23" s="75">
        <v>23197</v>
      </c>
      <c r="D23" s="117" t="s">
        <v>77</v>
      </c>
      <c r="E23" s="62">
        <v>24.39</v>
      </c>
      <c r="F23" s="941" t="s">
        <v>15</v>
      </c>
      <c r="G23" s="62" t="s">
        <v>27</v>
      </c>
      <c r="H23" s="62" t="s">
        <v>16</v>
      </c>
      <c r="I23" s="95">
        <v>2351576.48</v>
      </c>
      <c r="J23" s="62">
        <v>0</v>
      </c>
      <c r="K23" s="62" t="s">
        <v>583</v>
      </c>
      <c r="L23" s="117" t="s">
        <v>18</v>
      </c>
      <c r="M23" s="92">
        <v>44876</v>
      </c>
      <c r="N23" s="117" t="s">
        <v>17</v>
      </c>
      <c r="O23" s="62" t="s">
        <v>1223</v>
      </c>
      <c r="P23" s="76" t="s">
        <v>67</v>
      </c>
      <c r="Q23" s="76" t="s">
        <v>67</v>
      </c>
      <c r="R23" s="945" t="s">
        <v>77</v>
      </c>
      <c r="S23" s="945" t="s">
        <v>73</v>
      </c>
      <c r="T23" s="945" t="s">
        <v>77</v>
      </c>
      <c r="U23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2168651.48</v>
      </c>
      <c r="V23" s="931"/>
    </row>
    <row r="24" spans="1:22" s="929" customFormat="1" ht="12.75" customHeight="1" outlineLevel="1">
      <c r="A24" s="62">
        <v>22</v>
      </c>
      <c r="B24" s="75">
        <v>155</v>
      </c>
      <c r="C24" s="75">
        <v>22641</v>
      </c>
      <c r="D24" s="117" t="s">
        <v>77</v>
      </c>
      <c r="E24" s="62">
        <v>37.94</v>
      </c>
      <c r="F24" s="945" t="s">
        <v>9</v>
      </c>
      <c r="G24" s="117" t="s">
        <v>27</v>
      </c>
      <c r="H24" s="62" t="s">
        <v>16</v>
      </c>
      <c r="I24" s="95">
        <v>3317598.8</v>
      </c>
      <c r="J24" s="62">
        <v>1</v>
      </c>
      <c r="K24" s="62" t="s">
        <v>583</v>
      </c>
      <c r="L24" s="117" t="s">
        <v>18</v>
      </c>
      <c r="M24" s="92">
        <v>44873</v>
      </c>
      <c r="N24" s="117" t="s">
        <v>17</v>
      </c>
      <c r="O24" s="62" t="s">
        <v>1224</v>
      </c>
      <c r="P24" s="76" t="s">
        <v>67</v>
      </c>
      <c r="Q24" s="76" t="s">
        <v>67</v>
      </c>
      <c r="R24" s="945" t="s">
        <v>77</v>
      </c>
      <c r="S24" s="945" t="s">
        <v>77</v>
      </c>
      <c r="T24" s="945" t="s">
        <v>77</v>
      </c>
      <c r="U24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3317598.7999999993</v>
      </c>
      <c r="V24" s="931"/>
    </row>
    <row r="25" spans="1:22" s="929" customFormat="1" ht="12.75" hidden="1" customHeight="1" outlineLevel="1">
      <c r="A25" s="62">
        <v>23</v>
      </c>
      <c r="B25" s="75">
        <v>168</v>
      </c>
      <c r="C25" s="75">
        <v>23255</v>
      </c>
      <c r="D25" s="117" t="s">
        <v>73</v>
      </c>
      <c r="E25" s="62">
        <v>33.79</v>
      </c>
      <c r="F25" s="941" t="s">
        <v>25</v>
      </c>
      <c r="G25" s="62" t="s">
        <v>7</v>
      </c>
      <c r="H25" s="62" t="s">
        <v>16</v>
      </c>
      <c r="I25" s="95">
        <v>3273854.64</v>
      </c>
      <c r="J25" s="62">
        <v>1</v>
      </c>
      <c r="K25" s="62" t="s">
        <v>583</v>
      </c>
      <c r="L25" s="62" t="s">
        <v>18</v>
      </c>
      <c r="M25" s="92">
        <v>44879</v>
      </c>
      <c r="N25" s="117" t="s">
        <v>17</v>
      </c>
      <c r="O25" s="941" t="s">
        <v>1225</v>
      </c>
      <c r="P25" s="76" t="s">
        <v>67</v>
      </c>
      <c r="Q25" s="76" t="s">
        <v>67</v>
      </c>
      <c r="R25" s="945" t="s">
        <v>73</v>
      </c>
      <c r="S25" s="945" t="s">
        <v>73</v>
      </c>
      <c r="T25" s="945" t="s">
        <v>73</v>
      </c>
      <c r="U25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2530474.6400000006</v>
      </c>
      <c r="V25" s="931"/>
    </row>
    <row r="26" spans="1:22" s="929" customFormat="1" ht="12.75" hidden="1" customHeight="1" outlineLevel="1">
      <c r="A26" s="62">
        <v>24</v>
      </c>
      <c r="B26" s="62">
        <v>329</v>
      </c>
      <c r="C26" s="75">
        <v>23221</v>
      </c>
      <c r="D26" s="117" t="s">
        <v>73</v>
      </c>
      <c r="E26" s="62">
        <v>56.7</v>
      </c>
      <c r="F26" s="941" t="s">
        <v>9</v>
      </c>
      <c r="G26" s="62" t="s">
        <v>7</v>
      </c>
      <c r="H26" s="62" t="s">
        <v>84</v>
      </c>
      <c r="I26" s="95">
        <v>3882112.92</v>
      </c>
      <c r="J26" s="62">
        <v>2</v>
      </c>
      <c r="K26" s="62" t="s">
        <v>130</v>
      </c>
      <c r="L26" s="62" t="s">
        <v>18</v>
      </c>
      <c r="M26" s="942">
        <v>44877</v>
      </c>
      <c r="N26" s="117" t="s">
        <v>17</v>
      </c>
      <c r="O26" s="941" t="s">
        <v>1226</v>
      </c>
      <c r="P26" s="76" t="s">
        <v>67</v>
      </c>
      <c r="Q26" s="76" t="s">
        <v>67</v>
      </c>
      <c r="R26" s="945" t="s">
        <v>73</v>
      </c>
      <c r="S26" s="945" t="s">
        <v>73</v>
      </c>
      <c r="T26" s="945" t="s">
        <v>73</v>
      </c>
      <c r="U26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3882112.92</v>
      </c>
      <c r="V26" s="931"/>
    </row>
    <row r="27" spans="1:22" s="929" customFormat="1" ht="12.75" customHeight="1" outlineLevel="1">
      <c r="A27" s="62">
        <v>25</v>
      </c>
      <c r="B27" s="75">
        <v>191</v>
      </c>
      <c r="C27" s="75">
        <v>23172</v>
      </c>
      <c r="D27" s="117" t="s">
        <v>77</v>
      </c>
      <c r="E27" s="62">
        <v>37.94</v>
      </c>
      <c r="F27" s="945" t="s">
        <v>9</v>
      </c>
      <c r="G27" s="117" t="s">
        <v>27</v>
      </c>
      <c r="H27" s="62" t="s">
        <v>16</v>
      </c>
      <c r="I27" s="91">
        <v>3001636.89</v>
      </c>
      <c r="J27" s="62">
        <v>1</v>
      </c>
      <c r="K27" s="62" t="s">
        <v>583</v>
      </c>
      <c r="L27" s="62" t="s">
        <v>18</v>
      </c>
      <c r="M27" s="92">
        <v>44880</v>
      </c>
      <c r="N27" s="117" t="s">
        <v>17</v>
      </c>
      <c r="O27" s="76" t="s">
        <v>148</v>
      </c>
      <c r="P27" s="76" t="s">
        <v>67</v>
      </c>
      <c r="Q27" s="76" t="s">
        <v>67</v>
      </c>
      <c r="R27" s="945" t="s">
        <v>77</v>
      </c>
      <c r="S27" s="945" t="s">
        <v>77</v>
      </c>
      <c r="T27" s="945" t="s">
        <v>77</v>
      </c>
      <c r="U27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3001636.89</v>
      </c>
      <c r="V27" s="931"/>
    </row>
    <row r="28" spans="1:22" s="929" customFormat="1" ht="12.75" hidden="1" customHeight="1" outlineLevel="1">
      <c r="A28" s="62">
        <v>26</v>
      </c>
      <c r="B28" s="75">
        <v>171</v>
      </c>
      <c r="C28" s="75">
        <v>19910</v>
      </c>
      <c r="D28" s="117" t="s">
        <v>73</v>
      </c>
      <c r="E28" s="62">
        <v>35.380000000000003</v>
      </c>
      <c r="F28" s="941" t="s">
        <v>9</v>
      </c>
      <c r="G28" s="62" t="s">
        <v>7</v>
      </c>
      <c r="H28" s="62" t="s">
        <v>84</v>
      </c>
      <c r="I28" s="95">
        <v>2758536.14</v>
      </c>
      <c r="J28" s="62">
        <v>1</v>
      </c>
      <c r="K28" s="62" t="s">
        <v>130</v>
      </c>
      <c r="L28" s="62" t="s">
        <v>18</v>
      </c>
      <c r="M28" s="92">
        <v>44879</v>
      </c>
      <c r="N28" s="117" t="s">
        <v>17</v>
      </c>
      <c r="O28" s="62" t="s">
        <v>1227</v>
      </c>
      <c r="P28" s="76" t="s">
        <v>67</v>
      </c>
      <c r="Q28" s="76" t="s">
        <v>67</v>
      </c>
      <c r="R28" s="945" t="s">
        <v>73</v>
      </c>
      <c r="S28" s="945" t="s">
        <v>77</v>
      </c>
      <c r="T28" s="945" t="s">
        <v>73</v>
      </c>
      <c r="U28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2758536.14</v>
      </c>
      <c r="V28" s="931"/>
    </row>
    <row r="29" spans="1:22" s="929" customFormat="1" ht="12.75" hidden="1" customHeight="1" outlineLevel="1">
      <c r="A29" s="62">
        <v>27</v>
      </c>
      <c r="B29" s="75">
        <v>184</v>
      </c>
      <c r="C29" s="75">
        <v>23298</v>
      </c>
      <c r="D29" s="117" t="s">
        <v>73</v>
      </c>
      <c r="E29" s="62">
        <v>33.79</v>
      </c>
      <c r="F29" s="941" t="s">
        <v>15</v>
      </c>
      <c r="G29" s="62" t="s">
        <v>7</v>
      </c>
      <c r="H29" s="62" t="s">
        <v>10</v>
      </c>
      <c r="I29" s="95">
        <v>2731724.85</v>
      </c>
      <c r="J29" s="62">
        <v>1</v>
      </c>
      <c r="K29" s="62" t="s">
        <v>130</v>
      </c>
      <c r="L29" s="62" t="s">
        <v>18</v>
      </c>
      <c r="M29" s="92">
        <v>44881</v>
      </c>
      <c r="N29" s="117" t="s">
        <v>17</v>
      </c>
      <c r="O29" s="62" t="s">
        <v>1228</v>
      </c>
      <c r="P29" s="76" t="s">
        <v>67</v>
      </c>
      <c r="Q29" s="76" t="s">
        <v>67</v>
      </c>
      <c r="R29" s="945" t="s">
        <v>73</v>
      </c>
      <c r="S29" s="945" t="s">
        <v>77</v>
      </c>
      <c r="T29" s="945" t="s">
        <v>73</v>
      </c>
      <c r="U29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2478299.85</v>
      </c>
      <c r="V29" s="931"/>
    </row>
    <row r="30" spans="1:22" s="929" customFormat="1" ht="12.75" customHeight="1" outlineLevel="1">
      <c r="A30" s="62">
        <v>28</v>
      </c>
      <c r="B30" s="75">
        <v>174</v>
      </c>
      <c r="C30" s="75">
        <v>23349</v>
      </c>
      <c r="D30" s="117" t="s">
        <v>77</v>
      </c>
      <c r="E30" s="62">
        <v>41.06</v>
      </c>
      <c r="F30" s="945" t="s">
        <v>9</v>
      </c>
      <c r="G30" s="117" t="s">
        <v>27</v>
      </c>
      <c r="H30" s="62" t="s">
        <v>16</v>
      </c>
      <c r="I30" s="95">
        <v>3666804.17</v>
      </c>
      <c r="J30" s="62">
        <v>1</v>
      </c>
      <c r="K30" s="62" t="s">
        <v>583</v>
      </c>
      <c r="L30" s="62" t="s">
        <v>18</v>
      </c>
      <c r="M30" s="92">
        <v>44887</v>
      </c>
      <c r="N30" s="117" t="s">
        <v>17</v>
      </c>
      <c r="O30" s="62" t="s">
        <v>1229</v>
      </c>
      <c r="P30" s="76" t="s">
        <v>67</v>
      </c>
      <c r="Q30" s="76" t="s">
        <v>67</v>
      </c>
      <c r="R30" s="945" t="s">
        <v>77</v>
      </c>
      <c r="S30" s="945" t="s">
        <v>77</v>
      </c>
      <c r="T30" s="945" t="s">
        <v>77</v>
      </c>
      <c r="U30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3666804.17</v>
      </c>
      <c r="V30" s="931"/>
    </row>
    <row r="31" spans="1:22" s="929" customFormat="1" ht="12.75" customHeight="1" outlineLevel="1">
      <c r="A31" s="62">
        <v>29</v>
      </c>
      <c r="B31" s="75">
        <v>136</v>
      </c>
      <c r="C31" s="75">
        <v>23313</v>
      </c>
      <c r="D31" s="117" t="s">
        <v>77</v>
      </c>
      <c r="E31" s="62">
        <v>33.79</v>
      </c>
      <c r="F31" s="117" t="s">
        <v>15</v>
      </c>
      <c r="G31" s="117" t="s">
        <v>7</v>
      </c>
      <c r="H31" s="117" t="s">
        <v>22</v>
      </c>
      <c r="I31" s="91">
        <v>2731724.84</v>
      </c>
      <c r="J31" s="62">
        <v>1</v>
      </c>
      <c r="K31" s="62" t="s">
        <v>583</v>
      </c>
      <c r="L31" s="62" t="s">
        <v>18</v>
      </c>
      <c r="M31" s="537">
        <v>44887</v>
      </c>
      <c r="N31" s="117" t="s">
        <v>17</v>
      </c>
      <c r="O31" s="76" t="s">
        <v>1230</v>
      </c>
      <c r="P31" s="76" t="s">
        <v>67</v>
      </c>
      <c r="Q31" s="76" t="s">
        <v>67</v>
      </c>
      <c r="R31" s="945" t="s">
        <v>77</v>
      </c>
      <c r="S31" s="945" t="s">
        <v>77</v>
      </c>
      <c r="T31" s="945" t="s">
        <v>77</v>
      </c>
      <c r="U31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2478299.84</v>
      </c>
      <c r="V31" s="931"/>
    </row>
    <row r="32" spans="1:22" s="929" customFormat="1" ht="12.75" customHeight="1" outlineLevel="1">
      <c r="A32" s="62">
        <v>30</v>
      </c>
      <c r="B32" s="75">
        <v>769</v>
      </c>
      <c r="C32" s="75">
        <v>22945</v>
      </c>
      <c r="D32" s="117" t="s">
        <v>77</v>
      </c>
      <c r="E32" s="62">
        <v>24.37</v>
      </c>
      <c r="F32" s="117" t="s">
        <v>15</v>
      </c>
      <c r="G32" s="117" t="s">
        <v>27</v>
      </c>
      <c r="H32" s="62" t="s">
        <v>16</v>
      </c>
      <c r="I32" s="95">
        <v>2933247.04</v>
      </c>
      <c r="J32" s="62">
        <v>0</v>
      </c>
      <c r="K32" s="62" t="s">
        <v>583</v>
      </c>
      <c r="L32" s="62" t="s">
        <v>18</v>
      </c>
      <c r="M32" s="92">
        <v>44889</v>
      </c>
      <c r="N32" s="117" t="s">
        <v>17</v>
      </c>
      <c r="O32" s="62" t="s">
        <v>1231</v>
      </c>
      <c r="P32" s="76" t="s">
        <v>67</v>
      </c>
      <c r="Q32" s="76" t="s">
        <v>67</v>
      </c>
      <c r="R32" s="945" t="s">
        <v>77</v>
      </c>
      <c r="S32" s="945" t="s">
        <v>77</v>
      </c>
      <c r="T32" s="945" t="s">
        <v>77</v>
      </c>
      <c r="U32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2750472.04</v>
      </c>
    </row>
    <row r="33" spans="1:22" s="929" customFormat="1" ht="15" customHeight="1" outlineLevel="1">
      <c r="A33" s="62">
        <v>31</v>
      </c>
      <c r="B33" s="75">
        <v>41</v>
      </c>
      <c r="C33" s="75">
        <v>23367</v>
      </c>
      <c r="D33" s="62" t="s">
        <v>77</v>
      </c>
      <c r="E33" s="62">
        <v>24.47</v>
      </c>
      <c r="F33" s="941" t="s">
        <v>9</v>
      </c>
      <c r="G33" s="62" t="s">
        <v>27</v>
      </c>
      <c r="H33" s="62" t="s">
        <v>16</v>
      </c>
      <c r="I33" s="95">
        <v>2393307.9300000002</v>
      </c>
      <c r="J33" s="62">
        <v>0</v>
      </c>
      <c r="K33" s="62" t="s">
        <v>583</v>
      </c>
      <c r="L33" s="62" t="s">
        <v>18</v>
      </c>
      <c r="M33" s="92">
        <v>44893</v>
      </c>
      <c r="N33" s="117" t="s">
        <v>17</v>
      </c>
      <c r="O33" s="117" t="s">
        <v>1232</v>
      </c>
      <c r="P33" s="76" t="s">
        <v>67</v>
      </c>
      <c r="Q33" s="76" t="s">
        <v>67</v>
      </c>
      <c r="R33" s="941" t="s">
        <v>77</v>
      </c>
      <c r="S33" s="945" t="s">
        <v>77</v>
      </c>
      <c r="T33" s="941" t="s">
        <v>1233</v>
      </c>
      <c r="U33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2393307.9300000002</v>
      </c>
    </row>
    <row r="34" spans="1:22" s="929" customFormat="1" ht="12.75" hidden="1" customHeight="1" outlineLevel="1">
      <c r="A34" s="62">
        <v>32</v>
      </c>
      <c r="B34" s="62">
        <v>321</v>
      </c>
      <c r="C34" s="75">
        <v>23383</v>
      </c>
      <c r="D34" s="62" t="s">
        <v>1207</v>
      </c>
      <c r="E34" s="62">
        <v>58.55</v>
      </c>
      <c r="F34" s="941" t="s">
        <v>15</v>
      </c>
      <c r="G34" s="62" t="s">
        <v>7</v>
      </c>
      <c r="H34" s="62" t="s">
        <v>84</v>
      </c>
      <c r="I34" s="95">
        <v>4658891.42</v>
      </c>
      <c r="J34" s="62">
        <v>2</v>
      </c>
      <c r="K34" s="62" t="s">
        <v>130</v>
      </c>
      <c r="L34" s="62" t="s">
        <v>18</v>
      </c>
      <c r="M34" s="92">
        <v>44886</v>
      </c>
      <c r="N34" s="117" t="s">
        <v>17</v>
      </c>
      <c r="O34" s="941" t="s">
        <v>1234</v>
      </c>
      <c r="P34" s="76" t="s">
        <v>67</v>
      </c>
      <c r="Q34" s="76" t="s">
        <v>67</v>
      </c>
      <c r="R34" s="941"/>
      <c r="S34" s="941" t="s">
        <v>73</v>
      </c>
      <c r="T34" s="941" t="s">
        <v>73</v>
      </c>
      <c r="U34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4219766.42</v>
      </c>
      <c r="V34" s="931"/>
    </row>
    <row r="35" spans="1:22" s="929" customFormat="1" ht="12.75" hidden="1" customHeight="1" outlineLevel="1">
      <c r="A35" s="62">
        <v>33</v>
      </c>
      <c r="B35" s="75">
        <v>203</v>
      </c>
      <c r="C35" s="75">
        <v>23303</v>
      </c>
      <c r="D35" s="117" t="s">
        <v>73</v>
      </c>
      <c r="E35" s="62">
        <v>35.380000000000003</v>
      </c>
      <c r="F35" s="76" t="s">
        <v>9</v>
      </c>
      <c r="G35" s="62" t="s">
        <v>7</v>
      </c>
      <c r="H35" s="62" t="s">
        <v>22</v>
      </c>
      <c r="I35" s="91">
        <v>2785580.62</v>
      </c>
      <c r="J35" s="62">
        <v>1</v>
      </c>
      <c r="K35" s="62" t="s">
        <v>583</v>
      </c>
      <c r="L35" s="62" t="s">
        <v>18</v>
      </c>
      <c r="M35" s="537">
        <v>44888</v>
      </c>
      <c r="N35" s="117" t="s">
        <v>17</v>
      </c>
      <c r="O35" s="76" t="s">
        <v>1235</v>
      </c>
      <c r="P35" s="76" t="s">
        <v>67</v>
      </c>
      <c r="Q35" s="76" t="s">
        <v>67</v>
      </c>
      <c r="R35" s="945" t="s">
        <v>73</v>
      </c>
      <c r="S35" s="945" t="s">
        <v>73</v>
      </c>
      <c r="T35" s="945" t="s">
        <v>73</v>
      </c>
      <c r="U35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2785580.62</v>
      </c>
      <c r="V35" s="931"/>
    </row>
    <row r="36" spans="1:22" ht="12.75" hidden="1" customHeight="1" outlineLevel="1">
      <c r="A36" s="62">
        <v>34</v>
      </c>
      <c r="B36" s="75">
        <v>484</v>
      </c>
      <c r="C36" s="75">
        <v>23389</v>
      </c>
      <c r="D36" s="117" t="s">
        <v>73</v>
      </c>
      <c r="E36" s="62">
        <v>38.6</v>
      </c>
      <c r="F36" s="941" t="s">
        <v>15</v>
      </c>
      <c r="G36" s="62" t="s">
        <v>7</v>
      </c>
      <c r="H36" s="62" t="s">
        <v>22</v>
      </c>
      <c r="I36" s="91">
        <v>3299095.68</v>
      </c>
      <c r="J36" s="62">
        <v>1</v>
      </c>
      <c r="K36" s="62" t="s">
        <v>583</v>
      </c>
      <c r="L36" s="62" t="s">
        <v>18</v>
      </c>
      <c r="M36" s="537">
        <v>44888</v>
      </c>
      <c r="N36" s="117" t="s">
        <v>17</v>
      </c>
      <c r="O36" s="76" t="s">
        <v>1236</v>
      </c>
      <c r="P36" s="76" t="s">
        <v>67</v>
      </c>
      <c r="Q36" s="76" t="s">
        <v>67</v>
      </c>
      <c r="R36" s="941" t="s">
        <v>73</v>
      </c>
      <c r="S36" s="941" t="s">
        <v>73</v>
      </c>
      <c r="T36" s="941" t="s">
        <v>73</v>
      </c>
      <c r="U36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3009595.68</v>
      </c>
    </row>
    <row r="37" spans="1:22" s="929" customFormat="1" ht="12.75" hidden="1" customHeight="1" outlineLevel="1">
      <c r="A37" s="62">
        <v>35</v>
      </c>
      <c r="B37" s="75">
        <v>225</v>
      </c>
      <c r="C37" s="75">
        <v>23346</v>
      </c>
      <c r="D37" s="117" t="s">
        <v>29</v>
      </c>
      <c r="E37" s="62">
        <v>28.97</v>
      </c>
      <c r="F37" s="76" t="s">
        <v>9</v>
      </c>
      <c r="G37" s="117" t="s">
        <v>7</v>
      </c>
      <c r="H37" s="117" t="s">
        <v>10</v>
      </c>
      <c r="I37" s="91">
        <v>2184656.67</v>
      </c>
      <c r="J37" s="62">
        <v>0</v>
      </c>
      <c r="K37" s="117" t="s">
        <v>514</v>
      </c>
      <c r="L37" s="117" t="s">
        <v>18</v>
      </c>
      <c r="M37" s="537">
        <v>44888</v>
      </c>
      <c r="N37" s="117" t="s">
        <v>17</v>
      </c>
      <c r="O37" s="76" t="s">
        <v>1237</v>
      </c>
      <c r="P37" s="76" t="s">
        <v>67</v>
      </c>
      <c r="Q37" s="76" t="s">
        <v>67</v>
      </c>
      <c r="R37" s="945"/>
      <c r="S37" s="945"/>
      <c r="T37" s="945" t="s">
        <v>29</v>
      </c>
      <c r="U37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2184656.67</v>
      </c>
      <c r="V37" s="931"/>
    </row>
    <row r="38" spans="1:22" s="929" customFormat="1" ht="12.75" customHeight="1" outlineLevel="1">
      <c r="A38" s="62">
        <v>36</v>
      </c>
      <c r="B38" s="75">
        <v>392</v>
      </c>
      <c r="C38" s="75">
        <v>23344</v>
      </c>
      <c r="D38" s="117" t="s">
        <v>77</v>
      </c>
      <c r="E38" s="62">
        <v>56.7</v>
      </c>
      <c r="F38" s="76" t="s">
        <v>9</v>
      </c>
      <c r="G38" s="117" t="s">
        <v>7</v>
      </c>
      <c r="H38" s="117" t="s">
        <v>10</v>
      </c>
      <c r="I38" s="95">
        <v>4183636.37</v>
      </c>
      <c r="J38" s="62">
        <v>2</v>
      </c>
      <c r="K38" s="62" t="s">
        <v>130</v>
      </c>
      <c r="L38" s="62" t="s">
        <v>18</v>
      </c>
      <c r="M38" s="537">
        <v>44888</v>
      </c>
      <c r="N38" s="117" t="s">
        <v>17</v>
      </c>
      <c r="O38" s="62" t="s">
        <v>1238</v>
      </c>
      <c r="P38" s="76" t="s">
        <v>67</v>
      </c>
      <c r="Q38" s="76" t="s">
        <v>67</v>
      </c>
      <c r="R38" s="945" t="s">
        <v>77</v>
      </c>
      <c r="S38" s="945" t="s">
        <v>77</v>
      </c>
      <c r="T38" s="945" t="s">
        <v>77</v>
      </c>
      <c r="U38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4183636.37</v>
      </c>
      <c r="V38" s="931"/>
    </row>
    <row r="39" spans="1:22" s="929" customFormat="1" ht="12.75" customHeight="1" outlineLevel="1">
      <c r="A39" s="62">
        <v>37</v>
      </c>
      <c r="B39" s="75">
        <v>165</v>
      </c>
      <c r="C39" s="75">
        <v>23370</v>
      </c>
      <c r="D39" s="117" t="s">
        <v>77</v>
      </c>
      <c r="E39" s="62">
        <v>41.06</v>
      </c>
      <c r="F39" s="117" t="s">
        <v>15</v>
      </c>
      <c r="G39" s="117" t="s">
        <v>27</v>
      </c>
      <c r="H39" s="62" t="s">
        <v>16</v>
      </c>
      <c r="I39" s="95">
        <v>4341434.34</v>
      </c>
      <c r="J39" s="62">
        <v>1</v>
      </c>
      <c r="K39" s="62" t="s">
        <v>583</v>
      </c>
      <c r="L39" s="62" t="s">
        <v>18</v>
      </c>
      <c r="M39" s="92">
        <v>44888</v>
      </c>
      <c r="N39" s="117" t="s">
        <v>17</v>
      </c>
      <c r="O39" s="62" t="s">
        <v>1239</v>
      </c>
      <c r="P39" s="76" t="s">
        <v>67</v>
      </c>
      <c r="Q39" s="76" t="s">
        <v>67</v>
      </c>
      <c r="R39" s="945" t="s">
        <v>77</v>
      </c>
      <c r="S39" s="945" t="s">
        <v>77</v>
      </c>
      <c r="T39" s="945" t="s">
        <v>77</v>
      </c>
      <c r="U39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4033484.3399999994</v>
      </c>
      <c r="V39" s="931"/>
    </row>
    <row r="40" spans="1:22" s="929" customFormat="1" outlineLevel="1">
      <c r="A40" s="62">
        <v>38</v>
      </c>
      <c r="B40" s="75">
        <v>672</v>
      </c>
      <c r="C40" s="75">
        <v>23414</v>
      </c>
      <c r="D40" s="117" t="s">
        <v>77</v>
      </c>
      <c r="E40" s="62">
        <v>38.96</v>
      </c>
      <c r="F40" s="117" t="s">
        <v>15</v>
      </c>
      <c r="G40" s="117" t="s">
        <v>27</v>
      </c>
      <c r="H40" s="62" t="s">
        <v>16</v>
      </c>
      <c r="I40" s="95">
        <v>4010079.56</v>
      </c>
      <c r="J40" s="62">
        <v>1</v>
      </c>
      <c r="K40" s="62" t="s">
        <v>583</v>
      </c>
      <c r="L40" s="62" t="s">
        <v>18</v>
      </c>
      <c r="M40" s="92">
        <v>44890</v>
      </c>
      <c r="N40" s="117" t="s">
        <v>17</v>
      </c>
      <c r="O40" s="62" t="s">
        <v>1240</v>
      </c>
      <c r="P40" s="76" t="s">
        <v>67</v>
      </c>
      <c r="Q40" s="76" t="s">
        <v>67</v>
      </c>
      <c r="R40" s="945" t="s">
        <v>77</v>
      </c>
      <c r="S40" s="945" t="s">
        <v>77</v>
      </c>
      <c r="T40" s="945" t="s">
        <v>77</v>
      </c>
      <c r="U40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3717879.5600000005</v>
      </c>
    </row>
    <row r="41" spans="1:22" s="929" customFormat="1" hidden="1" outlineLevel="1">
      <c r="A41" s="62">
        <v>39</v>
      </c>
      <c r="B41" s="75">
        <v>41</v>
      </c>
      <c r="C41" s="75">
        <v>22122</v>
      </c>
      <c r="D41" s="117" t="s">
        <v>73</v>
      </c>
      <c r="E41" s="62">
        <v>33.53</v>
      </c>
      <c r="F41" s="941" t="s">
        <v>25</v>
      </c>
      <c r="G41" s="62" t="s">
        <v>7</v>
      </c>
      <c r="H41" s="62" t="s">
        <v>22</v>
      </c>
      <c r="I41" s="95">
        <v>3196890.35</v>
      </c>
      <c r="J41" s="62">
        <v>1</v>
      </c>
      <c r="K41" s="62" t="s">
        <v>583</v>
      </c>
      <c r="L41" s="62" t="s">
        <v>18</v>
      </c>
      <c r="M41" s="92">
        <v>44888</v>
      </c>
      <c r="N41" s="62" t="s">
        <v>17</v>
      </c>
      <c r="O41" s="62" t="s">
        <v>1241</v>
      </c>
      <c r="P41" s="76" t="s">
        <v>67</v>
      </c>
      <c r="Q41" s="76" t="s">
        <v>67</v>
      </c>
      <c r="R41" s="945" t="s">
        <v>73</v>
      </c>
      <c r="S41" s="945" t="s">
        <v>73</v>
      </c>
      <c r="T41" s="945" t="s">
        <v>73</v>
      </c>
      <c r="U41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2459230.35</v>
      </c>
      <c r="V41" s="931"/>
    </row>
    <row r="42" spans="1:22" s="929" customFormat="1" ht="12.75" hidden="1" customHeight="1" outlineLevel="1">
      <c r="A42" s="62">
        <v>40</v>
      </c>
      <c r="B42" s="75">
        <v>284</v>
      </c>
      <c r="C42" s="75">
        <v>23229</v>
      </c>
      <c r="D42" s="117" t="s">
        <v>73</v>
      </c>
      <c r="E42" s="62">
        <v>67.95</v>
      </c>
      <c r="F42" s="941" t="s">
        <v>9</v>
      </c>
      <c r="G42" s="62" t="s">
        <v>7</v>
      </c>
      <c r="H42" s="62" t="s">
        <v>16</v>
      </c>
      <c r="I42" s="95">
        <v>5087419.22</v>
      </c>
      <c r="J42" s="62">
        <v>2</v>
      </c>
      <c r="K42" s="62" t="s">
        <v>583</v>
      </c>
      <c r="L42" s="62" t="s">
        <v>18</v>
      </c>
      <c r="M42" s="92">
        <v>44889</v>
      </c>
      <c r="N42" s="62" t="s">
        <v>17</v>
      </c>
      <c r="O42" s="62" t="s">
        <v>1242</v>
      </c>
      <c r="P42" s="76" t="s">
        <v>67</v>
      </c>
      <c r="Q42" s="76" t="s">
        <v>67</v>
      </c>
      <c r="R42" s="945" t="s">
        <v>73</v>
      </c>
      <c r="S42" s="945" t="s">
        <v>73</v>
      </c>
      <c r="T42" s="945" t="s">
        <v>73</v>
      </c>
      <c r="U42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5087419.22</v>
      </c>
      <c r="V42" s="931"/>
    </row>
    <row r="43" spans="1:22" s="929" customFormat="1" ht="12.75" customHeight="1" outlineLevel="1">
      <c r="A43" s="62">
        <v>41</v>
      </c>
      <c r="B43" s="75">
        <v>116</v>
      </c>
      <c r="C43" s="75">
        <v>136443</v>
      </c>
      <c r="D43" s="117" t="s">
        <v>77</v>
      </c>
      <c r="E43" s="62">
        <v>56.03</v>
      </c>
      <c r="F43" s="941" t="s">
        <v>15</v>
      </c>
      <c r="G43" s="62" t="s">
        <v>7</v>
      </c>
      <c r="H43" s="62" t="s">
        <v>22</v>
      </c>
      <c r="I43" s="95">
        <v>4448276.83</v>
      </c>
      <c r="J43" s="62">
        <v>2</v>
      </c>
      <c r="K43" s="62" t="s">
        <v>583</v>
      </c>
      <c r="L43" s="62" t="s">
        <v>18</v>
      </c>
      <c r="M43" s="539">
        <v>44889</v>
      </c>
      <c r="N43" s="62" t="s">
        <v>17</v>
      </c>
      <c r="O43" s="62" t="s">
        <v>1243</v>
      </c>
      <c r="P43" s="76" t="s">
        <v>67</v>
      </c>
      <c r="Q43" s="76" t="s">
        <v>67</v>
      </c>
      <c r="R43" s="945" t="s">
        <v>77</v>
      </c>
      <c r="S43" s="945" t="s">
        <v>77</v>
      </c>
      <c r="T43" s="945" t="s">
        <v>77</v>
      </c>
      <c r="U43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4028051.83</v>
      </c>
      <c r="V43" s="931"/>
    </row>
    <row r="44" spans="1:22" ht="12.75" customHeight="1" outlineLevel="1">
      <c r="A44" s="62">
        <v>42</v>
      </c>
      <c r="B44" s="75">
        <v>495</v>
      </c>
      <c r="C44" s="74">
        <v>22485</v>
      </c>
      <c r="D44" s="117" t="s">
        <v>77</v>
      </c>
      <c r="E44" s="62">
        <v>36.5</v>
      </c>
      <c r="F44" s="941" t="s">
        <v>15</v>
      </c>
      <c r="G44" s="62" t="s">
        <v>7</v>
      </c>
      <c r="H44" s="62" t="s">
        <v>22</v>
      </c>
      <c r="I44" s="95">
        <v>3291199.89</v>
      </c>
      <c r="J44" s="62">
        <v>1</v>
      </c>
      <c r="K44" s="62" t="s">
        <v>583</v>
      </c>
      <c r="L44" s="62" t="s">
        <v>18</v>
      </c>
      <c r="M44" s="92">
        <v>44893</v>
      </c>
      <c r="N44" s="62" t="s">
        <v>17</v>
      </c>
      <c r="O44" s="62" t="s">
        <v>1244</v>
      </c>
      <c r="P44" s="76" t="s">
        <v>67</v>
      </c>
      <c r="Q44" s="76" t="s">
        <v>67</v>
      </c>
      <c r="R44" s="945" t="s">
        <v>77</v>
      </c>
      <c r="S44" s="945" t="s">
        <v>77</v>
      </c>
      <c r="T44" s="945" t="s">
        <v>77</v>
      </c>
      <c r="U44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3017449.89</v>
      </c>
    </row>
    <row r="45" spans="1:22" s="929" customFormat="1" hidden="1" outlineLevel="1">
      <c r="A45" s="62">
        <v>43</v>
      </c>
      <c r="B45" s="75">
        <v>11</v>
      </c>
      <c r="C45" s="75">
        <v>23432</v>
      </c>
      <c r="D45" s="117" t="s">
        <v>1207</v>
      </c>
      <c r="E45" s="62">
        <v>33.840000000000003</v>
      </c>
      <c r="F45" s="380" t="s">
        <v>25</v>
      </c>
      <c r="G45" s="62" t="s">
        <v>7</v>
      </c>
      <c r="H45" s="62" t="s">
        <v>84</v>
      </c>
      <c r="I45" s="95">
        <v>3691799.6</v>
      </c>
      <c r="J45" s="62">
        <v>1</v>
      </c>
      <c r="K45" s="62" t="s">
        <v>130</v>
      </c>
      <c r="L45" s="62" t="s">
        <v>18</v>
      </c>
      <c r="M45" s="92">
        <v>44895</v>
      </c>
      <c r="N45" s="62" t="s">
        <v>17</v>
      </c>
      <c r="O45" s="62" t="s">
        <v>1245</v>
      </c>
      <c r="P45" s="76" t="s">
        <v>67</v>
      </c>
      <c r="Q45" s="76" t="s">
        <v>67</v>
      </c>
      <c r="R45" s="941"/>
      <c r="S45" s="945" t="s">
        <v>77</v>
      </c>
      <c r="T45" s="945" t="s">
        <v>73</v>
      </c>
      <c r="U45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2947319.6</v>
      </c>
    </row>
    <row r="46" spans="1:22" s="929" customFormat="1" outlineLevel="1">
      <c r="A46" s="62">
        <v>44</v>
      </c>
      <c r="B46" s="75">
        <v>793</v>
      </c>
      <c r="C46" s="75">
        <v>22901</v>
      </c>
      <c r="D46" s="117" t="s">
        <v>77</v>
      </c>
      <c r="E46" s="62">
        <v>24.37</v>
      </c>
      <c r="F46" s="380" t="s">
        <v>25</v>
      </c>
      <c r="G46" s="62" t="s">
        <v>27</v>
      </c>
      <c r="H46" s="62" t="s">
        <v>22</v>
      </c>
      <c r="I46" s="95">
        <v>3065695.07</v>
      </c>
      <c r="J46" s="62">
        <v>0</v>
      </c>
      <c r="K46" s="62" t="s">
        <v>583</v>
      </c>
      <c r="L46" s="62" t="s">
        <v>18</v>
      </c>
      <c r="M46" s="92">
        <v>44893</v>
      </c>
      <c r="N46" s="62" t="s">
        <v>17</v>
      </c>
      <c r="O46" s="62" t="s">
        <v>1246</v>
      </c>
      <c r="P46" s="76" t="s">
        <v>67</v>
      </c>
      <c r="Q46" s="76" t="s">
        <v>67</v>
      </c>
      <c r="R46" s="941" t="s">
        <v>77</v>
      </c>
      <c r="S46" s="945" t="s">
        <v>77</v>
      </c>
      <c r="T46" s="941" t="s">
        <v>1233</v>
      </c>
      <c r="U46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2529555.0699999998</v>
      </c>
    </row>
    <row r="47" spans="1:22" outlineLevel="1">
      <c r="A47" s="62">
        <v>45</v>
      </c>
      <c r="B47" s="75">
        <v>240</v>
      </c>
      <c r="C47" s="75">
        <v>11966</v>
      </c>
      <c r="D47" s="62" t="s">
        <v>77</v>
      </c>
      <c r="E47" s="62">
        <v>33.79</v>
      </c>
      <c r="F47" s="941" t="s">
        <v>9</v>
      </c>
      <c r="G47" s="62" t="s">
        <v>7</v>
      </c>
      <c r="H47" s="62" t="s">
        <v>84</v>
      </c>
      <c r="I47" s="95">
        <v>2602214.83</v>
      </c>
      <c r="J47" s="62">
        <v>1</v>
      </c>
      <c r="K47" s="62" t="s">
        <v>130</v>
      </c>
      <c r="L47" s="62" t="s">
        <v>18</v>
      </c>
      <c r="M47" s="92">
        <v>44894</v>
      </c>
      <c r="N47" s="62" t="s">
        <v>17</v>
      </c>
      <c r="O47" s="62" t="s">
        <v>1247</v>
      </c>
      <c r="P47" s="76" t="s">
        <v>67</v>
      </c>
      <c r="Q47" s="76" t="s">
        <v>67</v>
      </c>
      <c r="R47" s="941" t="s">
        <v>77</v>
      </c>
      <c r="S47" s="941" t="s">
        <v>77</v>
      </c>
      <c r="T47" s="941" t="s">
        <v>77</v>
      </c>
      <c r="U47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2602214.83</v>
      </c>
    </row>
    <row r="48" spans="1:22" s="929" customFormat="1" hidden="1" outlineLevel="1">
      <c r="A48" s="62">
        <v>46</v>
      </c>
      <c r="B48" s="75">
        <v>161</v>
      </c>
      <c r="C48" s="75">
        <v>23437</v>
      </c>
      <c r="D48" s="62" t="s">
        <v>73</v>
      </c>
      <c r="E48" s="62">
        <v>28.97</v>
      </c>
      <c r="F48" s="941" t="s">
        <v>15</v>
      </c>
      <c r="G48" s="62" t="s">
        <v>7</v>
      </c>
      <c r="H48" s="62" t="s">
        <v>22</v>
      </c>
      <c r="I48" s="95">
        <v>2402200.2799999998</v>
      </c>
      <c r="J48" s="62">
        <v>0</v>
      </c>
      <c r="K48" s="62" t="s">
        <v>583</v>
      </c>
      <c r="L48" s="62" t="s">
        <v>18</v>
      </c>
      <c r="M48" s="92">
        <v>44893</v>
      </c>
      <c r="N48" s="62" t="s">
        <v>17</v>
      </c>
      <c r="O48" s="62" t="s">
        <v>1248</v>
      </c>
      <c r="P48" s="76" t="s">
        <v>67</v>
      </c>
      <c r="Q48" s="76" t="s">
        <v>67</v>
      </c>
      <c r="R48" s="941" t="s">
        <v>73</v>
      </c>
      <c r="S48" s="941" t="s">
        <v>73</v>
      </c>
      <c r="T48" s="941" t="s">
        <v>73</v>
      </c>
      <c r="U48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2184925.2799999998</v>
      </c>
    </row>
    <row r="49" spans="1:21" outlineLevel="1">
      <c r="A49" s="62">
        <v>47</v>
      </c>
      <c r="B49" s="62">
        <v>530</v>
      </c>
      <c r="C49" s="75">
        <v>23416</v>
      </c>
      <c r="D49" s="62" t="s">
        <v>77</v>
      </c>
      <c r="E49" s="62">
        <v>74.28</v>
      </c>
      <c r="F49" s="941" t="s">
        <v>25</v>
      </c>
      <c r="G49" s="62" t="s">
        <v>7</v>
      </c>
      <c r="H49" s="62" t="s">
        <v>16</v>
      </c>
      <c r="I49" s="95">
        <v>6495234.21</v>
      </c>
      <c r="J49" s="62">
        <v>3</v>
      </c>
      <c r="K49" s="62" t="s">
        <v>583</v>
      </c>
      <c r="L49" s="62" t="s">
        <v>18</v>
      </c>
      <c r="M49" s="92">
        <v>44895</v>
      </c>
      <c r="N49" s="62" t="s">
        <v>17</v>
      </c>
      <c r="O49" s="62" t="s">
        <v>1249</v>
      </c>
      <c r="P49" s="76" t="s">
        <v>67</v>
      </c>
      <c r="Q49" s="76" t="s">
        <v>67</v>
      </c>
      <c r="R49" s="941" t="s">
        <v>77</v>
      </c>
      <c r="S49" s="941" t="s">
        <v>77</v>
      </c>
      <c r="T49" s="941" t="s">
        <v>73</v>
      </c>
      <c r="U49" s="946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>4861074.21</v>
      </c>
    </row>
    <row r="50" spans="1:21" hidden="1" outlineLevel="1">
      <c r="A50" s="65">
        <v>48</v>
      </c>
      <c r="B50" s="79"/>
      <c r="C50" s="79"/>
      <c r="D50" s="65"/>
      <c r="E50" s="65"/>
      <c r="F50" s="949"/>
      <c r="G50" s="65"/>
      <c r="H50" s="65"/>
      <c r="I50" s="93"/>
      <c r="J50" s="65"/>
      <c r="K50" s="65"/>
      <c r="L50" s="65"/>
      <c r="M50" s="98"/>
      <c r="N50" s="65"/>
      <c r="O50" s="65"/>
      <c r="P50" s="86"/>
      <c r="Q50" s="86"/>
      <c r="R50" s="949"/>
      <c r="S50" s="949"/>
      <c r="T50" s="949"/>
      <c r="U50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1" spans="1:21" hidden="1" outlineLevel="1">
      <c r="A51" s="65">
        <v>49</v>
      </c>
      <c r="B51" s="79"/>
      <c r="C51" s="79"/>
      <c r="D51" s="65"/>
      <c r="E51" s="65"/>
      <c r="F51" s="949"/>
      <c r="G51" s="65"/>
      <c r="H51" s="65"/>
      <c r="I51" s="93"/>
      <c r="J51" s="65"/>
      <c r="K51" s="65"/>
      <c r="L51" s="65"/>
      <c r="M51" s="98"/>
      <c r="N51" s="65"/>
      <c r="O51" s="65"/>
      <c r="P51" s="86"/>
      <c r="Q51" s="86"/>
      <c r="R51" s="949"/>
      <c r="S51" s="949"/>
      <c r="T51" s="949"/>
      <c r="U51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2" spans="1:21" hidden="1" outlineLevel="1">
      <c r="A52" s="65">
        <v>50</v>
      </c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3" spans="1:21" hidden="1" outlineLevel="1">
      <c r="A53" s="65">
        <v>51</v>
      </c>
      <c r="B53" s="79"/>
      <c r="C53" s="79"/>
      <c r="D53" s="80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7"/>
      <c r="U53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4" spans="1:21" hidden="1" outlineLevel="1">
      <c r="A54" s="65">
        <v>52</v>
      </c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5" spans="1:21" hidden="1" outlineLevel="1">
      <c r="A55" s="65">
        <v>53</v>
      </c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6" spans="1:21" hidden="1" outlineLevel="1">
      <c r="A56" s="65">
        <v>54</v>
      </c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7"/>
      <c r="U56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7" spans="1:21" hidden="1" outlineLevel="1">
      <c r="A57" s="65">
        <v>55</v>
      </c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8" spans="1:21" hidden="1" outlineLevel="1">
      <c r="A58" s="65">
        <v>56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59" spans="1:21" ht="12" hidden="1" customHeight="1" outlineLevel="1">
      <c r="A59" s="65">
        <v>57</v>
      </c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0" spans="1:21" hidden="1" outlineLevel="1">
      <c r="A60" s="65">
        <v>58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1" spans="1:21" hidden="1" outlineLevel="1">
      <c r="A61" s="65">
        <v>59</v>
      </c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2" spans="1:21" hidden="1" outlineLevel="1">
      <c r="A62" s="65">
        <v>60</v>
      </c>
      <c r="B62" s="79"/>
      <c r="C62" s="79"/>
      <c r="D62" s="80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3" spans="1:21" hidden="1" outlineLevel="1">
      <c r="A63" s="65">
        <v>61</v>
      </c>
      <c r="B63" s="79"/>
      <c r="C63" s="79"/>
      <c r="D63" s="80"/>
      <c r="E63" s="65"/>
      <c r="F63" s="72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4" spans="1:21" hidden="1" outlineLevel="1">
      <c r="A64" s="65">
        <v>62</v>
      </c>
      <c r="B64" s="79"/>
      <c r="C64" s="79"/>
      <c r="D64" s="80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5" spans="1:21" ht="15.75" hidden="1" customHeight="1" outlineLevel="1">
      <c r="A65" s="65">
        <v>63</v>
      </c>
      <c r="B65" s="79"/>
      <c r="C65" s="79"/>
      <c r="D65" s="80"/>
      <c r="E65" s="65"/>
      <c r="F65" s="72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6" spans="1:21" hidden="1" outlineLevel="1">
      <c r="A66" s="65">
        <v>64</v>
      </c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7" spans="1:21" hidden="1" outlineLevel="1">
      <c r="A67" s="65">
        <v>65</v>
      </c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947"/>
      <c r="S67" s="947"/>
      <c r="T67" s="947"/>
      <c r="U67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8" spans="1:21" hidden="1" outlineLevel="1">
      <c r="A68" s="65">
        <v>66</v>
      </c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388"/>
      <c r="P68" s="86"/>
      <c r="Q68" s="86"/>
      <c r="R68" s="947"/>
      <c r="S68" s="947"/>
      <c r="T68" s="947"/>
      <c r="U68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69" spans="1:21" hidden="1" outlineLevel="1">
      <c r="A69" s="65">
        <v>67</v>
      </c>
      <c r="B69" s="79"/>
      <c r="C69" s="79"/>
      <c r="D69" s="80"/>
      <c r="E69" s="65"/>
      <c r="F69" s="934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0" spans="1:21" hidden="1" outlineLevel="1">
      <c r="A70" s="65">
        <v>68</v>
      </c>
      <c r="B70" s="79"/>
      <c r="C70" s="79"/>
      <c r="D70" s="80"/>
      <c r="E70" s="65"/>
      <c r="F70" s="72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1" spans="1:21" hidden="1" outlineLevel="1">
      <c r="A71" s="65">
        <v>69</v>
      </c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2" spans="1:21" hidden="1" outlineLevel="1">
      <c r="A72" s="65">
        <v>70</v>
      </c>
      <c r="B72" s="79"/>
      <c r="C72" s="79"/>
      <c r="D72" s="80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947"/>
      <c r="S72" s="947"/>
      <c r="T72" s="947"/>
      <c r="U72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3" spans="1:21" hidden="1" outlineLevel="1">
      <c r="A73" s="65">
        <v>71</v>
      </c>
      <c r="B73" s="79"/>
      <c r="C73" s="79"/>
      <c r="D73" s="80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947"/>
      <c r="S73" s="947"/>
      <c r="T73" s="947"/>
      <c r="U73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4" spans="1:21" hidden="1" outlineLevel="1">
      <c r="A74" s="65">
        <v>72</v>
      </c>
      <c r="B74" s="79"/>
      <c r="C74" s="79"/>
      <c r="D74" s="80"/>
      <c r="E74" s="65"/>
      <c r="F74" s="934"/>
      <c r="G74" s="65"/>
      <c r="H74" s="65"/>
      <c r="I74" s="105"/>
      <c r="J74" s="65"/>
      <c r="K74" s="65"/>
      <c r="L74" s="65"/>
      <c r="M74" s="110"/>
      <c r="N74" s="65"/>
      <c r="O74" s="72"/>
      <c r="P74" s="86"/>
      <c r="Q74" s="86"/>
      <c r="R74" s="947"/>
      <c r="S74" s="947"/>
      <c r="T74" s="947"/>
      <c r="U74" s="948" t="str">
        <f>IFERROR(IF(Август20223656[[#This Row],[№ дома]]="Дом 2",SUM(Август20223656[[#This Row],[сумма]]/Август20223656[[#This Row],[м2]],IF(Август20223656[[#This Row],[Отделка]]="Черновая",0,"")&amp;IF(Август20223656[[#This Row],[Отделка]]="Предчистовая",-5500,"")&amp;IF(Август20223656[[#This Row],[Отделка]]="Чистовая",-16000,""))*Август20223656[[#This Row],[м2]],SUM(Август20223656[[#This Row],[сумма]]/Август20223656[[#This Row],[м2]],IF(Август20223656[[#This Row],[Отделка]]="Черновая",0,"")&amp;IF(Август20223656[[#This Row],[Отделка]]="Предчистовая",-7500,"")&amp;IF(Август20223656[[#This Row],[Отделка]]="Чистовая",-22000,""))*Август20223656[[#This Row],[м2]]),"")</f>
        <v/>
      </c>
    </row>
    <row r="75" spans="1:21" outlineLevel="1">
      <c r="A75" s="65"/>
      <c r="B75" s="79"/>
      <c r="C75" s="79"/>
      <c r="D75" s="65"/>
      <c r="E75" s="65"/>
      <c r="F75" s="934"/>
      <c r="G75" s="65"/>
      <c r="H75" s="65"/>
      <c r="I75" s="105"/>
      <c r="J75" s="65"/>
      <c r="K75" s="65"/>
      <c r="L75" s="108"/>
      <c r="M75" s="110"/>
      <c r="N75" s="65"/>
      <c r="O75" s="72"/>
      <c r="P75" s="86"/>
      <c r="Q75" s="86"/>
      <c r="R75" s="86"/>
      <c r="S75" s="86"/>
      <c r="T75" s="86"/>
      <c r="U75" s="948"/>
    </row>
    <row r="76" spans="1:21" outlineLevel="1">
      <c r="A76" s="2290" t="s">
        <v>713</v>
      </c>
      <c r="B76" s="2291"/>
      <c r="C76" s="972" t="s">
        <v>121</v>
      </c>
      <c r="D76" s="2295"/>
      <c r="E76" s="2296"/>
      <c r="F76" s="2296"/>
      <c r="G76" s="2296"/>
      <c r="H76" s="2296"/>
      <c r="I76" s="2296"/>
      <c r="J76" s="2296"/>
      <c r="K76" s="2296"/>
      <c r="L76" s="2296"/>
      <c r="M76" s="2296"/>
      <c r="N76" s="2296"/>
      <c r="O76" s="2296"/>
      <c r="P76" s="2296"/>
      <c r="Q76" s="498"/>
      <c r="R76" s="498"/>
      <c r="S76" s="86"/>
      <c r="T76" s="86"/>
    </row>
    <row r="77" spans="1:21" ht="25.5">
      <c r="A77" s="692" t="s">
        <v>1</v>
      </c>
      <c r="B77" s="686" t="s">
        <v>100</v>
      </c>
      <c r="C77" s="687" t="s">
        <v>97</v>
      </c>
      <c r="D77" s="688" t="s">
        <v>95</v>
      </c>
      <c r="E77" s="1033" t="s">
        <v>494</v>
      </c>
      <c r="F77" s="1033" t="s">
        <v>495</v>
      </c>
      <c r="G77" s="1033" t="s">
        <v>496</v>
      </c>
      <c r="H77" s="1034" t="s">
        <v>101</v>
      </c>
      <c r="I77" s="1023" t="s">
        <v>98</v>
      </c>
      <c r="J77" s="1023" t="s">
        <v>96</v>
      </c>
      <c r="K77" s="1023" t="s">
        <v>715</v>
      </c>
      <c r="L77" s="1060" t="s">
        <v>716</v>
      </c>
      <c r="M77" s="217">
        <v>0</v>
      </c>
      <c r="N77" s="218">
        <v>1</v>
      </c>
      <c r="O77" s="218">
        <v>2</v>
      </c>
      <c r="P77" s="218">
        <v>3</v>
      </c>
      <c r="Q77" s="219">
        <v>4</v>
      </c>
      <c r="R77" s="951"/>
      <c r="S77" s="950"/>
      <c r="T77" s="950"/>
      <c r="U77" s="951"/>
    </row>
    <row r="78" spans="1:21">
      <c r="A78" s="1035" t="s">
        <v>73</v>
      </c>
      <c r="B78" s="1036">
        <v>59.7</v>
      </c>
      <c r="C78" s="939">
        <v>3607402.5</v>
      </c>
      <c r="D78" s="1037">
        <v>1</v>
      </c>
      <c r="E78" s="145">
        <f>SUMIFS(Август20223656[м2],Август20223656[МОП],$A78,Август20223656[№ дома],$C$76)</f>
        <v>0</v>
      </c>
      <c r="F78" s="939">
        <f>SUMIFS(Август20223656[сумма без отделки],Август20223656[МОП],$A78,Август20223656[№ дома],$C$76)</f>
        <v>0</v>
      </c>
      <c r="G78" s="1038">
        <f>COUNTIFS(Август20223656[МОП],$A78,Август20223656[№ дома],$C$76)</f>
        <v>0</v>
      </c>
      <c r="H78" s="148">
        <f>SUMIFS(РД[S],РД[Дом],$C$76,РД[МОП],A78,РД[Дата подачи на регистрацию],"&lt;="&amp;$A$1,РД[Дата подачи на регистрацию],"&gt;="&amp;DATE(YEAR($A$1),MONTH($A$1),1))</f>
        <v>0</v>
      </c>
      <c r="I78" s="149">
        <f>SUMIFS(РД[Стоимость без отделки итог],РД[Дом],$C$76,РД[МОП],A78,РД[Дата подачи на регистрацию],"&lt;="&amp;$A$1,РД[Дата подачи на регистрацию],"&gt;="&amp;DATE(YEAR($A$1),MONTH($A$1),1))</f>
        <v>0</v>
      </c>
      <c r="J78" s="220">
        <f>COUNTIFS(РД[Дом],$C$76,РД[МОП],A78,РД[Дата подачи на регистрацию],"&lt;="&amp;$A$1,РД[Дата подачи на регистрацию],"&gt;="&amp;DATE(YEAR($A$1),MONTH($A$1),1))</f>
        <v>0</v>
      </c>
      <c r="K78" s="943">
        <f t="shared" ref="K78:L81" si="0">IFERROR(H78/B78,)</f>
        <v>0</v>
      </c>
      <c r="L78" s="1061">
        <f t="shared" si="0"/>
        <v>0</v>
      </c>
      <c r="M78" s="148">
        <f>COUNTIFS(РД[Тип кв],M$77,РД[МОП],$A78,РД[Дом],$C$76,РД[Дата подачи на регистрацию],"&lt;="&amp;$A$1,РД[Дата подачи на регистрацию],"&gt;="&amp;DATE(YEAR($A$1),MONTH($A$1),1))</f>
        <v>0</v>
      </c>
      <c r="N78" s="220">
        <f>COUNTIFS(РД[Тип кв],N$77,РД[МОП],$A78,РД[Дом],$C$76,РД[Дата подачи на регистрацию],"&lt;="&amp;$A$1,РД[Дата подачи на регистрацию],"&gt;="&amp;DATE(YEAR($A$1),MONTH($A$1),1))</f>
        <v>0</v>
      </c>
      <c r="O78" s="220">
        <f>COUNTIFS(РД[Тип кв],O$77,РД[МОП],$A78,РД[Дом],$C$76,РД[Дата подачи на регистрацию],"&lt;="&amp;$A$1,РД[Дата подачи на регистрацию],"&gt;="&amp;DATE(YEAR($A$1),MONTH($A$1),1))</f>
        <v>0</v>
      </c>
      <c r="P78" s="220">
        <f>COUNTIFS(РД[Тип кв],P$77,РД[МОП],$A78,РД[Дом],$C$76,РД[Дата подачи на регистрацию],"&lt;="&amp;$A$1,РД[Дата подачи на регистрацию],"&gt;="&amp;DATE(YEAR($A$1),MONTH($A$1),1))</f>
        <v>0</v>
      </c>
      <c r="Q78" s="223">
        <f>COUNTIFS(РД[Тип кв],Q$77,РД[МОП],$A78,РД[Дом],$C$76,РД[Дата подачи на регистрацию],"&lt;="&amp;$A$1,РД[Дата подачи на регистрацию],"&gt;="&amp;DATE(YEAR($A$1),MONTH($A$1),1))</f>
        <v>0</v>
      </c>
      <c r="R78" s="930"/>
      <c r="S78" s="949"/>
      <c r="T78" s="949"/>
    </row>
    <row r="79" spans="1:21">
      <c r="A79" s="1039" t="s">
        <v>77</v>
      </c>
      <c r="B79" s="1040">
        <v>60.4</v>
      </c>
      <c r="C79" s="954">
        <v>4910520</v>
      </c>
      <c r="D79" s="1041">
        <v>1</v>
      </c>
      <c r="E79" s="145">
        <f>SUMIFS(Август20223656[м2],Август20223656[МОП],$A79,Август20223656[№ дома],$C$76)</f>
        <v>58.9</v>
      </c>
      <c r="F79" s="939">
        <f>SUMIFS(Август20223656[сумма без отделки],Август20223656[МОП],$A79,Август20223656[№ дома],$C$76)</f>
        <v>4910520</v>
      </c>
      <c r="G79" s="1038">
        <f>COUNTIFS(Август20223656[МОП],$A79,Август20223656[№ дома],$C$76)</f>
        <v>1</v>
      </c>
      <c r="H79" s="148">
        <f>SUMIFS(РД[S],РД[Дом],$C$76,РД[МОП],A79,РД[Дата подачи на регистрацию],"&lt;="&amp;$A$1,РД[Дата подачи на регистрацию],"&gt;="&amp;DATE(YEAR($A$1),MONTH($A$1),1))</f>
        <v>60.4</v>
      </c>
      <c r="I79" s="149">
        <f>SUMIFS(РД[Стоимость без отделки итог],РД[Дом],$C$76,РД[МОП],A79,РД[Дата подачи на регистрацию],"&lt;="&amp;$A$1,РД[Дата подачи на регистрацию],"&gt;="&amp;DATE(YEAR($A$1),MONTH($A$1),1))</f>
        <v>4910520</v>
      </c>
      <c r="J79" s="220">
        <f>COUNTIFS(РД[Дом],$C$76,РД[МОП],A79,РД[Дата подачи на регистрацию],"&lt;="&amp;$A$1,РД[Дата подачи на регистрацию],"&gt;="&amp;DATE(YEAR($A$1),MONTH($A$1),1))</f>
        <v>1</v>
      </c>
      <c r="K79" s="987">
        <f t="shared" si="0"/>
        <v>1</v>
      </c>
      <c r="L79" s="1062">
        <f t="shared" si="0"/>
        <v>1</v>
      </c>
      <c r="M79" s="202">
        <f>COUNTIFS(РД[Тип кв],M$77,РД[МОП],$A79,РД[Дом],$C$76,РД[Дата подачи на регистрацию],"&lt;="&amp;$A$1,РД[Дата подачи на регистрацию],"&gt;="&amp;DATE(YEAR($A$1),MONTH($A$1),1))</f>
        <v>0</v>
      </c>
      <c r="N79" s="226">
        <f>COUNTIFS(РД[Тип кв],N$77,РД[МОП],$A79,РД[Дом],$C$76,РД[Дата подачи на регистрацию],"&lt;="&amp;$A$1,РД[Дата подачи на регистрацию],"&gt;="&amp;DATE(YEAR($A$1),MONTH($A$1),1))</f>
        <v>0</v>
      </c>
      <c r="O79" s="226">
        <f>COUNTIFS(РД[Тип кв],O$77,РД[МОП],$A79,РД[Дом],$C$76,РД[Дата подачи на регистрацию],"&lt;="&amp;$A$1,РД[Дата подачи на регистрацию],"&gt;="&amp;DATE(YEAR($A$1),MONTH($A$1),1))</f>
        <v>1</v>
      </c>
      <c r="P79" s="226">
        <f>COUNTIFS(РД[Тип кв],P$77,РД[МОП],$A79,РД[Дом],$C$76,РД[Дата подачи на регистрацию],"&lt;="&amp;$A$1,РД[Дата подачи на регистрацию],"&gt;="&amp;DATE(YEAR($A$1),MONTH($A$1),1))</f>
        <v>0</v>
      </c>
      <c r="Q79" s="227">
        <f>COUNTIFS(РД[Тип кв],Q$77,РД[МОП],$A79,РД[Дом],$C$76,РД[Дата подачи на регистрацию],"&lt;="&amp;$A$1,РД[Дата подачи на регистрацию],"&gt;="&amp;DATE(YEAR($A$1),MONTH($A$1),1))</f>
        <v>0</v>
      </c>
      <c r="R79" s="930"/>
      <c r="S79" s="949"/>
      <c r="T79" s="949"/>
    </row>
    <row r="80" spans="1:21">
      <c r="A80" s="1042" t="s">
        <v>1233</v>
      </c>
      <c r="B80" s="1040">
        <v>0</v>
      </c>
      <c r="C80" s="954">
        <v>0</v>
      </c>
      <c r="D80" s="1041">
        <v>0</v>
      </c>
      <c r="E80" s="145">
        <f>SUMIFS(Август20223656[м2],Август20223656[МОП],$A80,Август20223656[№ дома],$C$76)</f>
        <v>0</v>
      </c>
      <c r="F80" s="939">
        <f>SUMIFS(Август20223656[сумма без отделки],Август20223656[МОП],$A80,Август20223656[№ дома],$C$76)</f>
        <v>0</v>
      </c>
      <c r="G80" s="1038">
        <f>COUNTIFS(Август20223656[МОП],$A80,Август20223656[№ дома],$C$76)</f>
        <v>0</v>
      </c>
      <c r="H80" s="187">
        <f>SUMIFS(РД[S],РД[Дом],$C$76,РД[МОП],A80,РД[Дата подачи на регистрацию],"&lt;="&amp;$A$1,РД[Дата подачи на регистрацию],"&gt;="&amp;DATE(YEAR($A$1),MONTH($A$1),1))</f>
        <v>0</v>
      </c>
      <c r="I80" s="188">
        <f>SUMIFS(РД[Стоимость без отделки итог],РД[Дом],$C$76,РД[МОП],A80,РД[Дата подачи на регистрацию],"&lt;="&amp;$A$1,РД[Дата подачи на регистрацию],"&gt;="&amp;DATE(YEAR($A$1),MONTH($A$1),1))</f>
        <v>0</v>
      </c>
      <c r="J80" s="247">
        <f>COUNTIFS(РД[Дом],$C$76,РД[МОП],A80,РД[Дата подачи на регистрацию],"&lt;="&amp;$A$1,РД[Дата подачи на регистрацию],"&gt;="&amp;DATE(YEAR($A$1),MONTH($A$1),1))</f>
        <v>0</v>
      </c>
      <c r="K80" s="1063">
        <f t="shared" si="0"/>
        <v>0</v>
      </c>
      <c r="L80" s="1064">
        <f t="shared" si="0"/>
        <v>0</v>
      </c>
      <c r="M80" s="195">
        <f>COUNTIFS(РД[Тип кв],M$77,РД[МОП],$A80,РД[Дом],$C$76,РД[Дата подачи на регистрацию],"&lt;="&amp;$A$1,РД[Дата подачи на регистрацию],"&gt;="&amp;DATE(YEAR($A$1),MONTH($A$1),1))</f>
        <v>0</v>
      </c>
      <c r="N80" s="251">
        <f>COUNTIFS(РД[Тип кв],N$77,РД[МОП],$A80,РД[Дом],$C$76,РД[Дата подачи на регистрацию],"&lt;="&amp;$A$1,РД[Дата подачи на регистрацию],"&gt;="&amp;DATE(YEAR($A$1),MONTH($A$1),1))</f>
        <v>0</v>
      </c>
      <c r="O80" s="251">
        <f>COUNTIFS(РД[Тип кв],O$77,РД[МОП],$A80,РД[Дом],$C$76,РД[Дата подачи на регистрацию],"&lt;="&amp;$A$1,РД[Дата подачи на регистрацию],"&gt;="&amp;DATE(YEAR($A$1),MONTH($A$1),1))</f>
        <v>0</v>
      </c>
      <c r="P80" s="251">
        <f>COUNTIFS(РД[Тип кв],P$77,РД[МОП],$A80,РД[Дом],$C$76,РД[Дата подачи на регистрацию],"&lt;="&amp;$A$1,РД[Дата подачи на регистрацию],"&gt;="&amp;DATE(YEAR($A$1),MONTH($A$1),1))</f>
        <v>0</v>
      </c>
      <c r="Q80" s="254">
        <f>COUNTIFS(РД[Тип кв],Q$77,РД[МОП],$A80,РД[Дом],$C$76,РД[Дата подачи на регистрацию],"&lt;="&amp;$A$1,РД[Дата подачи на регистрацию],"&gt;="&amp;DATE(YEAR($A$1),MONTH($A$1),1))</f>
        <v>0</v>
      </c>
      <c r="R80" s="930"/>
      <c r="S80" s="949"/>
      <c r="T80" s="949"/>
    </row>
    <row r="81" spans="1:21">
      <c r="A81" s="1043" t="s">
        <v>114</v>
      </c>
      <c r="B81" s="963">
        <v>120.1</v>
      </c>
      <c r="C81" s="964">
        <v>8517922.5</v>
      </c>
      <c r="D81" s="965">
        <v>2</v>
      </c>
      <c r="E81" s="963">
        <f t="shared" ref="E81:J81" si="1">SUM(E78:E80)</f>
        <v>58.9</v>
      </c>
      <c r="F81" s="964">
        <f t="shared" si="1"/>
        <v>4910520</v>
      </c>
      <c r="G81" s="965">
        <f t="shared" si="1"/>
        <v>1</v>
      </c>
      <c r="H81" s="317">
        <f t="shared" si="1"/>
        <v>60.4</v>
      </c>
      <c r="I81" s="429">
        <f t="shared" si="1"/>
        <v>4910520</v>
      </c>
      <c r="J81" s="917">
        <f t="shared" si="1"/>
        <v>1</v>
      </c>
      <c r="K81" s="419">
        <f t="shared" si="0"/>
        <v>0.50291423813488756</v>
      </c>
      <c r="L81" s="507">
        <f t="shared" si="0"/>
        <v>0.57649268351525851</v>
      </c>
      <c r="M81" s="473">
        <f>SUM(M78:M80)</f>
        <v>0</v>
      </c>
      <c r="N81" s="494">
        <f>SUM(N78:N80)</f>
        <v>0</v>
      </c>
      <c r="O81" s="494">
        <f>SUM(O78:O80)</f>
        <v>1</v>
      </c>
      <c r="P81" s="989">
        <f>SUM(P78:P80)</f>
        <v>0</v>
      </c>
      <c r="Q81" s="497">
        <f>SUM(Q78:Q80)</f>
        <v>0</v>
      </c>
      <c r="R81" s="930"/>
      <c r="S81" s="949"/>
      <c r="T81" s="949"/>
    </row>
    <row r="82" spans="1:21" ht="25.5">
      <c r="A82" s="692" t="s">
        <v>115</v>
      </c>
      <c r="B82" s="706" t="s">
        <v>100</v>
      </c>
      <c r="C82" s="710" t="s">
        <v>97</v>
      </c>
      <c r="D82" s="708" t="s">
        <v>95</v>
      </c>
      <c r="E82" s="1044" t="s">
        <v>494</v>
      </c>
      <c r="F82" s="1044" t="s">
        <v>495</v>
      </c>
      <c r="G82" s="1045" t="s">
        <v>496</v>
      </c>
      <c r="H82" s="481" t="s">
        <v>101</v>
      </c>
      <c r="I82" s="482" t="s">
        <v>98</v>
      </c>
      <c r="J82" s="482" t="s">
        <v>96</v>
      </c>
      <c r="K82" s="502" t="s">
        <v>715</v>
      </c>
      <c r="L82" s="1025" t="s">
        <v>716</v>
      </c>
      <c r="M82" s="217">
        <v>0</v>
      </c>
      <c r="N82" s="218">
        <v>1</v>
      </c>
      <c r="O82" s="218">
        <v>2</v>
      </c>
      <c r="P82" s="218">
        <v>3</v>
      </c>
      <c r="Q82" s="219">
        <v>4</v>
      </c>
      <c r="R82" s="951"/>
      <c r="S82" s="950"/>
      <c r="T82" s="950"/>
      <c r="U82" s="951"/>
    </row>
    <row r="83" spans="1:21">
      <c r="A83" s="985" t="s">
        <v>16</v>
      </c>
      <c r="B83" s="291">
        <v>60.4</v>
      </c>
      <c r="C83" s="292">
        <v>4910520</v>
      </c>
      <c r="D83" s="694">
        <v>1</v>
      </c>
      <c r="E83" s="1046">
        <f>SUMIFS(Август20223656[м2],Август20223656[ИМ],A83,Август20223656[№ дома],$C$76)</f>
        <v>0</v>
      </c>
      <c r="F83" s="184">
        <f>SUMIFS(Август20223656[сумма без отделки],Август20223656[ИМ],$A83,Август20223656[№ дома],$C$76)</f>
        <v>0</v>
      </c>
      <c r="G83" s="1047">
        <f>COUNTIFS(Август20223656[ИМ],$A83,Август20223656[№ дома],$C$76)</f>
        <v>0</v>
      </c>
      <c r="H83" s="346">
        <f>SUMIFS(РД[S],РД[Дом],$C$76,РД[ИМ],A83,РД[Дата подачи на регистрацию],"&lt;="&amp;$A$1,РД[Дата подачи на регистрацию],"&gt;="&amp;DATE(YEAR($A$1),MONTH($A$1),1))</f>
        <v>0</v>
      </c>
      <c r="I83" s="184">
        <f>SUMIFS(РД[Стоимость без отделки итог],РД[Дом],$C$76,РД[ИМ],A83,РД[Дата подачи на регистрацию],"&lt;="&amp;$A$1,РД[Дата подачи на регистрацию],"&gt;="&amp;DATE(YEAR($A$1),MONTH($A$1),1))</f>
        <v>0</v>
      </c>
      <c r="J83" s="243">
        <f>COUNTIFS(РД[Дом],$C$76,РД[ИМ],A83,РД[Дата подачи на регистрацию],"&lt;="&amp;$A$1,РД[Дата подачи на регистрацию],"&gt;="&amp;DATE(YEAR($A$1),MONTH($A$1),1))</f>
        <v>0</v>
      </c>
      <c r="K83" s="990">
        <f>IFERROR(H83/B83,"")</f>
        <v>0</v>
      </c>
      <c r="L83" s="991">
        <f>IFERROR(I83/C83,"")</f>
        <v>0</v>
      </c>
      <c r="M83" s="183">
        <f>COUNTIFS(РД[Тип кв],M$77,РД[ИМ],$A83,РД[Дом],$C$76,РД[Дата подачи на регистрацию],"&lt;="&amp;$A$1,РД[Дата подачи на регистрацию],"&gt;="&amp;DATE(YEAR($A$1),MONTH($A$1),1))</f>
        <v>0</v>
      </c>
      <c r="N83" s="243">
        <f>COUNTIFS(РД[Тип кв],N$77,РД[ИМ],$A83,РД[Дом],$C$76,РД[Дата подачи на регистрацию],"&lt;="&amp;$A$1,РД[Дата подачи на регистрацию],"&gt;="&amp;DATE(YEAR($A$1),MONTH($A$1),1))</f>
        <v>0</v>
      </c>
      <c r="O83" s="243">
        <f>COUNTIFS(РД[Тип кв],O$77,РД[ИМ],$A83,РД[Дом],$C$76,РД[Дата подачи на регистрацию],"&lt;="&amp;$A$1,РД[Дата подачи на регистрацию],"&gt;="&amp;DATE(YEAR($A$1),MONTH($A$1),1))</f>
        <v>0</v>
      </c>
      <c r="P83" s="243">
        <f>COUNTIFS(РД[Тип кв],P$77,РД[ИМ],$A83,РД[Дом],$C$76,РД[Дата подачи на регистрацию],"&lt;="&amp;$A$1,РД[Дата подачи на регистрацию],"&gt;="&amp;DATE(YEAR($A$1),MONTH($A$1),1))</f>
        <v>0</v>
      </c>
      <c r="Q83" s="246">
        <f>COUNTIFS(РД[Тип кв],Q$77,РД[ИМ],$A83,РД[Дом],$C$76,РД[Дата подачи на регистрацию],"&lt;="&amp;$A$1,РД[Дата подачи на регистрацию],"&gt;="&amp;DATE(YEAR($A$1),MONTH($A$1),1))</f>
        <v>0</v>
      </c>
      <c r="R83" s="930"/>
      <c r="S83" s="949"/>
      <c r="T83" s="949"/>
    </row>
    <row r="84" spans="1:21">
      <c r="A84" s="1042" t="s">
        <v>22</v>
      </c>
      <c r="B84" s="315">
        <v>59.7</v>
      </c>
      <c r="C84" s="363">
        <v>3607402.5</v>
      </c>
      <c r="D84" s="703">
        <v>1</v>
      </c>
      <c r="E84" s="1048">
        <f>SUMIFS(Август20223656[м2],Август20223656[ИМ],A84,Август20223656[№ дома],$C$76)</f>
        <v>0</v>
      </c>
      <c r="F84" s="196">
        <f>SUMIFS(Август20223656[сумма без отделки],Август20223656[ИМ],$A84,Август20223656[№ дома],$C$76)</f>
        <v>0</v>
      </c>
      <c r="G84" s="1049">
        <f>COUNTIFS(Август20223656[ИМ],$A84,Август20223656[№ дома],$C$76)</f>
        <v>0</v>
      </c>
      <c r="H84" s="426">
        <f>SUMIFS(РД[S],РД[Дом],$C$76,РД[ИМ],A84,РД[Дата подачи на регистрацию],"&lt;="&amp;$A$1,РД[Дата подачи на регистрацию],"&gt;="&amp;DATE(YEAR($A$1),MONTH($A$1),1))</f>
        <v>0</v>
      </c>
      <c r="I84" s="196">
        <f>SUMIFS(РД[Стоимость без отделки итог],РД[Дом],$C$76,РД[ИМ],A84,РД[Дата подачи на регистрацию],"&lt;="&amp;$A$1,РД[Дата подачи на регистрацию],"&gt;="&amp;DATE(YEAR($A$1),MONTH($A$1),1))</f>
        <v>0</v>
      </c>
      <c r="J84" s="251">
        <f>COUNTIFS(РД[Дом],$C$76,РД[ИМ],A84,РД[Дата подачи на регистрацию],"&lt;="&amp;$A$1,РД[Дата подачи на регистрацию],"&gt;="&amp;DATE(YEAR($A$1),MONTH($A$1),1))</f>
        <v>0</v>
      </c>
      <c r="K84" s="992">
        <f>IFERROR(H84/B84,"")</f>
        <v>0</v>
      </c>
      <c r="L84" s="993">
        <f>IFERROR(I84/C84,"")</f>
        <v>0</v>
      </c>
      <c r="M84" s="195">
        <f>COUNTIFS(РД[Тип кв],M$77,РД[ИМ],$A84,РД[Дом],$C$76,РД[Дата подачи на регистрацию],"&lt;="&amp;$A$1,РД[Дата подачи на регистрацию],"&gt;="&amp;DATE(YEAR($A$1),MONTH($A$1),1))</f>
        <v>0</v>
      </c>
      <c r="N84" s="251">
        <f>COUNTIFS(РД[Тип кв],N$77,РД[ИМ],$A84,РД[Дом],$C$76,РД[Дата подачи на регистрацию],"&lt;="&amp;$A$1,РД[Дата подачи на регистрацию],"&gt;="&amp;DATE(YEAR($A$1),MONTH($A$1),1))</f>
        <v>0</v>
      </c>
      <c r="O84" s="251">
        <f>COUNTIFS(РД[Тип кв],O$77,РД[ИМ],$A84,РД[Дом],$C$76,РД[Дата подачи на регистрацию],"&lt;="&amp;$A$1,РД[Дата подачи на регистрацию],"&gt;="&amp;DATE(YEAR($A$1),MONTH($A$1),1))</f>
        <v>0</v>
      </c>
      <c r="P84" s="251">
        <f>COUNTIFS(РД[Тип кв],P$77,РД[ИМ],$A84,РД[Дом],$C$76,РД[Дата подачи на регистрацию],"&lt;="&amp;$A$1,РД[Дата подачи на регистрацию],"&gt;="&amp;DATE(YEAR($A$1),MONTH($A$1),1))</f>
        <v>0</v>
      </c>
      <c r="Q84" s="254">
        <f>COUNTIFS(РД[Тип кв],Q$77,РД[ИМ],$A84,РД[Дом],$C$76,РД[Дата подачи на регистрацию],"&lt;="&amp;$A$1,РД[Дата подачи на регистрацию],"&gt;="&amp;DATE(YEAR($A$1),MONTH($A$1),1))</f>
        <v>0</v>
      </c>
      <c r="R84" s="930"/>
      <c r="S84" s="949"/>
      <c r="T84" s="949"/>
    </row>
    <row r="85" spans="1:21">
      <c r="A85" s="317" t="s">
        <v>114</v>
      </c>
      <c r="B85" s="323">
        <v>120.1</v>
      </c>
      <c r="C85" s="429">
        <v>8517922.5</v>
      </c>
      <c r="D85" s="497">
        <v>1</v>
      </c>
      <c r="E85" s="897">
        <f t="shared" ref="E85:J85" si="2">SUM(E83:E83)</f>
        <v>0</v>
      </c>
      <c r="F85" s="1050">
        <f t="shared" si="2"/>
        <v>0</v>
      </c>
      <c r="G85" s="898">
        <f t="shared" si="2"/>
        <v>0</v>
      </c>
      <c r="H85" s="168">
        <f t="shared" si="2"/>
        <v>0</v>
      </c>
      <c r="I85" s="897">
        <f t="shared" si="2"/>
        <v>0</v>
      </c>
      <c r="J85" s="897">
        <f t="shared" si="2"/>
        <v>0</v>
      </c>
      <c r="K85" s="238">
        <f>IFERROR(H85/B85,)</f>
        <v>0</v>
      </c>
      <c r="L85" s="501">
        <f>IFERROR(I85/C85,)</f>
        <v>0</v>
      </c>
      <c r="M85" s="897">
        <f>SUM(M83:M83)</f>
        <v>0</v>
      </c>
      <c r="N85" s="897">
        <f>SUM(N83:N83)</f>
        <v>0</v>
      </c>
      <c r="O85" s="897">
        <f>SUM(O83:O83)</f>
        <v>0</v>
      </c>
      <c r="P85" s="897">
        <f>SUM(P83:P83)</f>
        <v>0</v>
      </c>
      <c r="Q85" s="898">
        <f>SUM(Q83:Q83)</f>
        <v>0</v>
      </c>
      <c r="R85" s="339"/>
      <c r="S85" s="65"/>
      <c r="T85" s="65"/>
      <c r="U85" s="339"/>
    </row>
    <row r="86" spans="1:21">
      <c r="A86" s="7"/>
      <c r="B86" s="968"/>
      <c r="C86" s="968"/>
      <c r="D86" s="7"/>
      <c r="E86" s="7"/>
      <c r="F86" s="7"/>
      <c r="G86" s="7"/>
      <c r="H86" s="134"/>
      <c r="I86" s="134"/>
      <c r="J86" s="134"/>
      <c r="K86" s="7"/>
      <c r="L86" s="994"/>
      <c r="M86" s="134"/>
      <c r="N86" s="134"/>
      <c r="O86" s="134"/>
      <c r="P86" s="262"/>
      <c r="Q86" s="134"/>
      <c r="R86" s="930"/>
      <c r="S86" s="949"/>
      <c r="T86" s="949"/>
    </row>
    <row r="87" spans="1:21">
      <c r="A87" s="2290" t="s">
        <v>713</v>
      </c>
      <c r="B87" s="2291"/>
      <c r="C87" s="935" t="s">
        <v>27</v>
      </c>
      <c r="D87" s="2292"/>
      <c r="E87" s="2292"/>
      <c r="F87" s="2292"/>
      <c r="G87" s="2292"/>
      <c r="H87" s="2292"/>
      <c r="I87" s="2292"/>
      <c r="J87" s="2292"/>
      <c r="K87" s="2292"/>
      <c r="L87" s="2292"/>
      <c r="M87" s="2292"/>
      <c r="N87" s="2292"/>
      <c r="O87" s="2292"/>
      <c r="P87" s="2292"/>
      <c r="Q87" s="7"/>
      <c r="R87" s="930"/>
      <c r="S87" s="949"/>
      <c r="T87" s="949"/>
    </row>
    <row r="88" spans="1:21" ht="25.5">
      <c r="A88" s="692" t="s">
        <v>1</v>
      </c>
      <c r="B88" s="686" t="s">
        <v>100</v>
      </c>
      <c r="C88" s="687" t="s">
        <v>97</v>
      </c>
      <c r="D88" s="688" t="s">
        <v>95</v>
      </c>
      <c r="E88" s="1022" t="s">
        <v>494</v>
      </c>
      <c r="F88" s="138" t="s">
        <v>495</v>
      </c>
      <c r="G88" s="139" t="s">
        <v>496</v>
      </c>
      <c r="H88" s="140" t="s">
        <v>101</v>
      </c>
      <c r="I88" s="141" t="s">
        <v>98</v>
      </c>
      <c r="J88" s="141" t="s">
        <v>96</v>
      </c>
      <c r="K88" s="141" t="s">
        <v>715</v>
      </c>
      <c r="L88" s="1026" t="s">
        <v>716</v>
      </c>
      <c r="M88" s="217">
        <v>0</v>
      </c>
      <c r="N88" s="218">
        <v>1</v>
      </c>
      <c r="O88" s="218">
        <v>2</v>
      </c>
      <c r="P88" s="218">
        <v>3</v>
      </c>
      <c r="Q88" s="219">
        <v>4</v>
      </c>
      <c r="R88" s="951"/>
      <c r="S88" s="950"/>
      <c r="T88" s="950"/>
      <c r="U88" s="951"/>
    </row>
    <row r="89" spans="1:21">
      <c r="A89" s="1035" t="s">
        <v>73</v>
      </c>
      <c r="B89" s="1036">
        <v>288</v>
      </c>
      <c r="C89" s="939">
        <v>23925175.8048</v>
      </c>
      <c r="D89" s="1037">
        <v>9</v>
      </c>
      <c r="E89" s="145">
        <f>SUMIFS(Август20223656[м2],Август20223656[МОП],$A89,Август20223656[№ дома],$C$87)</f>
        <v>61.95</v>
      </c>
      <c r="F89" s="939">
        <f>SUMIFS(Август20223656[сумма без отделки],Август20223656[МОП],$A89,Август20223656[№ дома],$C$87)</f>
        <v>4878439.47</v>
      </c>
      <c r="G89" s="940">
        <f>COUNTIFS(Август20223656[МОП],$A89,Август20223656[№ дома],$C$87)</f>
        <v>1</v>
      </c>
      <c r="H89" s="148">
        <f>SUMIFS(РД[S],РД[Дом],$C$87,РД[МОП],A89,РД[Дата подачи на регистрацию],"&lt;="&amp;$A$1,РД[Дата подачи на регистрацию],"&gt;="&amp;DATE(YEAR($A$1),MONTH($A$1),1))</f>
        <v>108.67</v>
      </c>
      <c r="I89" s="149">
        <f>SUMIFS(РД[Стоимость без отделки итог],РД[Дом],$C$87,РД[МОП],A89,РД[Дата подачи на регистрацию],"&lt;="&amp;$A$1,РД[Дата подачи на регистрацию],"&gt;="&amp;DATE(YEAR($A$1),MONTH($A$1),1))</f>
        <v>8935246.3299999982</v>
      </c>
      <c r="J89" s="220">
        <f>COUNTIFS(РД[Дом],$C$87,РД[МОП],A89,РД[Дата подачи на регистрацию],"&lt;="&amp;$A$1,РД[Дата подачи на регистрацию],"&gt;="&amp;DATE(YEAR($A$1),MONTH($A$1),1))</f>
        <v>3</v>
      </c>
      <c r="K89" s="943">
        <f t="shared" ref="K89:L91" si="3">IFERROR(H89/B89,"")</f>
        <v>0.37732638888888892</v>
      </c>
      <c r="L89" s="944">
        <f t="shared" si="3"/>
        <v>0.37346627681654737</v>
      </c>
      <c r="M89" s="148">
        <f>COUNTIFS(РД[Тип кв],M$88,РД[МОП],$A89,РД[Дом],$C$87,РД[Дата подачи на регистрацию],"&lt;="&amp;$A$1,РД[Дата подачи на регистрацию],"&gt;="&amp;DATE(YEAR($A$1),MONTH($A$1),1))</f>
        <v>2</v>
      </c>
      <c r="N89" s="220">
        <f>COUNTIFS(РД[Тип кв],N$88,РД[МОП],$A89,РД[Дом],$C$87,РД[Дата подачи на регистрацию],"&lt;="&amp;$A$1,РД[Дата подачи на регистрацию],"&gt;="&amp;DATE(YEAR($A$1),MONTH($A$1),1))</f>
        <v>0</v>
      </c>
      <c r="O89" s="220">
        <f>COUNTIFS(РД[Тип кв],O$88,РД[МОП],$A89,РД[Дом],$C$87,РД[Дата подачи на регистрацию],"&lt;="&amp;$A$1,РД[Дата подачи на регистрацию],"&gt;="&amp;DATE(YEAR($A$1),MONTH($A$1),1))</f>
        <v>1</v>
      </c>
      <c r="P89" s="220">
        <f>COUNTIFS(РД[Тип кв],P$88,РД[МОП],$A89,РД[Дом],$C$87,РД[Дата подачи на регистрацию],"&lt;="&amp;$A$1,РД[Дата подачи на регистрацию],"&gt;="&amp;DATE(YEAR($A$1),MONTH($A$1),1))</f>
        <v>0</v>
      </c>
      <c r="Q89" s="223">
        <f>COUNTIFS(РД[Тип кв],Q$88,РД[МОП],$A89,РД[Дом],$C$87,РД[Дата подачи на регистрацию],"&lt;="&amp;$A$1,РД[Дата подачи на регистрацию],"&gt;="&amp;DATE(YEAR($A$1),MONTH($A$1),1))</f>
        <v>0</v>
      </c>
      <c r="R89" s="930"/>
      <c r="S89" s="949"/>
      <c r="T89" s="949"/>
    </row>
    <row r="90" spans="1:21">
      <c r="A90" s="1039" t="s">
        <v>77</v>
      </c>
      <c r="B90" s="1040">
        <v>288</v>
      </c>
      <c r="C90" s="954">
        <v>23925175.8048</v>
      </c>
      <c r="D90" s="1041">
        <v>10</v>
      </c>
      <c r="E90" s="145">
        <f>SUMIFS(Август20223656[м2],Август20223656[МОП],$A90,Август20223656[№ дома],$C$87)</f>
        <v>505.33000000000004</v>
      </c>
      <c r="F90" s="939">
        <f>SUMIFS(Август20223656[сумма без отделки],Август20223656[МОП],$A90,Август20223656[№ дома],$C$87)</f>
        <v>45731925.409999996</v>
      </c>
      <c r="G90" s="940">
        <f>COUNTIFS(Август20223656[МОП],$A90,Август20223656[№ дома],$C$87)</f>
        <v>16</v>
      </c>
      <c r="H90" s="148">
        <f>SUMIFS(РД[S],РД[Дом],$C$87,РД[МОП],A90,РД[Дата подачи на регистрацию],"&lt;="&amp;$A$1,РД[Дата подачи на регистрацию],"&gt;="&amp;DATE(YEAR($A$1),MONTH($A$1),1))</f>
        <v>505.40999999999997</v>
      </c>
      <c r="I90" s="149">
        <f>SUMIFS(РД[Стоимость без отделки итог],РД[Дом],$C$87,РД[МОП],A90,РД[Дата подачи на регистрацию],"&lt;="&amp;$A$1,РД[Дата подачи на регистрацию],"&gt;="&amp;DATE(YEAR($A$1),MONTH($A$1),1))</f>
        <v>45448808.039999992</v>
      </c>
      <c r="J90" s="220">
        <f>COUNTIFS(РД[Дом],$C$87,РД[МОП],A90,РД[Дата подачи на регистрацию],"&lt;="&amp;$A$1,РД[Дата подачи на регистрацию],"&gt;="&amp;DATE(YEAR($A$1),MONTH($A$1),1))</f>
        <v>16</v>
      </c>
      <c r="K90" s="987">
        <f t="shared" si="3"/>
        <v>1.7548958333333333</v>
      </c>
      <c r="L90" s="988">
        <f t="shared" si="3"/>
        <v>1.8996227409489632</v>
      </c>
      <c r="M90" s="202">
        <f>COUNTIFS(РД[Тип кв],M$88,РД[МОП],$A90,РД[Дом],$C$87,РД[Дата подачи на регистрацию],"&lt;="&amp;$A$1,РД[Дата подачи на регистрацию],"&gt;="&amp;DATE(YEAR($A$1),MONTH($A$1),1))</f>
        <v>8</v>
      </c>
      <c r="N90" s="226">
        <f>COUNTIFS(РД[Тип кв],N$88,РД[МОП],$A90,РД[Дом],$C$87,РД[Дата подачи на регистрацию],"&lt;="&amp;$A$1,РД[Дата подачи на регистрацию],"&gt;="&amp;DATE(YEAR($A$1),MONTH($A$1),1))</f>
        <v>8</v>
      </c>
      <c r="O90" s="226">
        <f>COUNTIFS(РД[Тип кв],O$88,РД[МОП],$A90,РД[Дом],$C$87,РД[Дата подачи на регистрацию],"&lt;="&amp;$A$1,РД[Дата подачи на регистрацию],"&gt;="&amp;DATE(YEAR($A$1),MONTH($A$1),1))</f>
        <v>0</v>
      </c>
      <c r="P90" s="226">
        <f>COUNTIFS(РД[Тип кв],P$88,РД[МОП],$A90,РД[Дом],$C$87,РД[Дата подачи на регистрацию],"&lt;="&amp;$A$1,РД[Дата подачи на регистрацию],"&gt;="&amp;DATE(YEAR($A$1),MONTH($A$1),1))</f>
        <v>0</v>
      </c>
      <c r="Q90" s="227">
        <f>COUNTIFS(РД[Тип кв],Q$88,РД[МОП],$A90,РД[Дом],$C$87,РД[Дата подачи на регистрацию],"&lt;="&amp;$A$1,РД[Дата подачи на регистрацию],"&gt;="&amp;DATE(YEAR($A$1),MONTH($A$1),1))</f>
        <v>0</v>
      </c>
      <c r="R90" s="930"/>
      <c r="S90" s="949"/>
      <c r="T90" s="949"/>
    </row>
    <row r="91" spans="1:21">
      <c r="A91" s="1042" t="s">
        <v>1233</v>
      </c>
      <c r="B91" s="1040">
        <v>52</v>
      </c>
      <c r="C91" s="954">
        <v>4319823.4091999996</v>
      </c>
      <c r="D91" s="1041">
        <v>1</v>
      </c>
      <c r="E91" s="145">
        <f>SUMIFS(Август20223656[м2],Август20223656[МОП],$A91,Август20223656[№ дома],$C$87)</f>
        <v>0</v>
      </c>
      <c r="F91" s="939">
        <f>SUMIFS(Август20223656[сумма без отделки],Август20223656[МОП],$A91,Август20223656[№ дома],$C$87)</f>
        <v>0</v>
      </c>
      <c r="G91" s="940">
        <f>COUNTIFS(Август20223656[МОП],$A91,Август20223656[№ дома],$C$87)</f>
        <v>0</v>
      </c>
      <c r="H91" s="148">
        <f>SUMIFS(РД[S],РД[Дом],$C$87,РД[МОП],A91,РД[Дата подачи на регистрацию],"&lt;="&amp;$A$1,РД[Дата подачи на регистрацию],"&gt;="&amp;DATE(YEAR($A$1),MONTH($A$1),1))</f>
        <v>0</v>
      </c>
      <c r="I91" s="149">
        <f>SUMIFS(РД[Стоимость без отделки итог],РД[Дом],$C$87,РД[МОП],A91,РД[Дата подачи на регистрацию],"&lt;="&amp;$A$1,РД[Дата подачи на регистрацию],"&gt;="&amp;DATE(YEAR($A$1),MONTH($A$1),1))</f>
        <v>0</v>
      </c>
      <c r="J91" s="220">
        <f>COUNTIFS(РД[Дом],$C$87,РД[МОП],A91,РД[Дата подачи на регистрацию],"&lt;="&amp;$A$1,РД[Дата подачи на регистрацию],"&gt;="&amp;DATE(YEAR($A$1),MONTH($A$1),1))</f>
        <v>0</v>
      </c>
      <c r="K91" s="987">
        <f t="shared" si="3"/>
        <v>0</v>
      </c>
      <c r="L91" s="988">
        <f t="shared" si="3"/>
        <v>0</v>
      </c>
      <c r="M91" s="195">
        <f>COUNTIFS(РД[Тип кв],M$88,РД[МОП],$A91,РД[Дом],$C$87,РД[Дата подачи на регистрацию],"&lt;="&amp;$A$1,РД[Дата подачи на регистрацию],"&gt;="&amp;DATE(YEAR($A$1),MONTH($A$1),1))</f>
        <v>0</v>
      </c>
      <c r="N91" s="251">
        <f>COUNTIFS(РД[Тип кв],N$88,РД[МОП],$A91,РД[Дом],$C$87,РД[Дата подачи на регистрацию],"&lt;="&amp;$A$1,РД[Дата подачи на регистрацию],"&gt;="&amp;DATE(YEAR($A$1),MONTH($A$1),1))</f>
        <v>0</v>
      </c>
      <c r="O91" s="251">
        <f>COUNTIFS(РД[Тип кв],O$88,РД[МОП],$A91,РД[Дом],$C$87,РД[Дата подачи на регистрацию],"&lt;="&amp;$A$1,РД[Дата подачи на регистрацию],"&gt;="&amp;DATE(YEAR($A$1),MONTH($A$1),1))</f>
        <v>0</v>
      </c>
      <c r="P91" s="251">
        <f>COUNTIFS(РД[Тип кв],P$88,РД[МОП],$A91,РД[Дом],$C$87,РД[Дата подачи на регистрацию],"&lt;="&amp;$A$1,РД[Дата подачи на регистрацию],"&gt;="&amp;DATE(YEAR($A$1),MONTH($A$1),1))</f>
        <v>0</v>
      </c>
      <c r="Q91" s="254">
        <f>COUNTIFS(РД[Тип кв],Q$88,РД[МОП],$A91,РД[Дом],$C$87,РД[Дата подачи на регистрацию],"&lt;="&amp;$A$1,РД[Дата подачи на регистрацию],"&gt;="&amp;DATE(YEAR($A$1),MONTH($A$1),1))</f>
        <v>0</v>
      </c>
      <c r="R91" s="930"/>
      <c r="S91" s="949"/>
      <c r="T91" s="949"/>
    </row>
    <row r="92" spans="1:21">
      <c r="A92" s="1043" t="s">
        <v>114</v>
      </c>
      <c r="B92" s="963">
        <v>628</v>
      </c>
      <c r="C92" s="964">
        <v>52170175.018799998</v>
      </c>
      <c r="D92" s="965">
        <v>20</v>
      </c>
      <c r="E92" s="963">
        <f t="shared" ref="E92:J92" si="4">SUM(E89:E91)</f>
        <v>567.28000000000009</v>
      </c>
      <c r="F92" s="964">
        <f t="shared" si="4"/>
        <v>50610364.879999995</v>
      </c>
      <c r="G92" s="965">
        <f t="shared" si="4"/>
        <v>17</v>
      </c>
      <c r="H92" s="317">
        <f t="shared" si="4"/>
        <v>614.07999999999993</v>
      </c>
      <c r="I92" s="429">
        <f t="shared" si="4"/>
        <v>54384054.36999999</v>
      </c>
      <c r="J92" s="917">
        <f t="shared" si="4"/>
        <v>19</v>
      </c>
      <c r="K92" s="419">
        <f>IFERROR(H92/B92,)</f>
        <v>0.97783439490445845</v>
      </c>
      <c r="L92" s="507">
        <f>IFERROR(I92/C92,)</f>
        <v>1.0424357278924634</v>
      </c>
      <c r="M92" s="473">
        <f>SUM(M89:M91)</f>
        <v>10</v>
      </c>
      <c r="N92" s="494">
        <f>SUM(N89:N91)</f>
        <v>8</v>
      </c>
      <c r="O92" s="494">
        <f>SUM(O89:O91)</f>
        <v>1</v>
      </c>
      <c r="P92" s="989">
        <f>SUM(P89:P91)</f>
        <v>0</v>
      </c>
      <c r="Q92" s="497">
        <f>SUM(Q89:Q91)</f>
        <v>0</v>
      </c>
      <c r="R92" s="930"/>
      <c r="S92" s="949"/>
      <c r="T92" s="949"/>
    </row>
    <row r="93" spans="1:21" ht="25.5">
      <c r="A93" s="692" t="s">
        <v>115</v>
      </c>
      <c r="B93" s="706" t="s">
        <v>100</v>
      </c>
      <c r="C93" s="710" t="s">
        <v>97</v>
      </c>
      <c r="D93" s="708" t="s">
        <v>95</v>
      </c>
      <c r="E93" s="1051" t="s">
        <v>494</v>
      </c>
      <c r="F93" s="138" t="s">
        <v>495</v>
      </c>
      <c r="G93" s="139" t="s">
        <v>496</v>
      </c>
      <c r="H93" s="140" t="s">
        <v>101</v>
      </c>
      <c r="I93" s="141" t="s">
        <v>98</v>
      </c>
      <c r="J93" s="141" t="s">
        <v>96</v>
      </c>
      <c r="K93" s="495" t="s">
        <v>715</v>
      </c>
      <c r="L93" s="1027" t="s">
        <v>716</v>
      </c>
      <c r="M93" s="217">
        <v>0</v>
      </c>
      <c r="N93" s="218">
        <v>1</v>
      </c>
      <c r="O93" s="218">
        <v>2</v>
      </c>
      <c r="P93" s="218">
        <v>3</v>
      </c>
      <c r="Q93" s="219">
        <v>4</v>
      </c>
      <c r="R93" s="951"/>
      <c r="S93" s="950"/>
      <c r="T93" s="950"/>
      <c r="U93" s="951"/>
    </row>
    <row r="94" spans="1:21">
      <c r="A94" s="985" t="s">
        <v>16</v>
      </c>
      <c r="B94" s="291">
        <v>219.8</v>
      </c>
      <c r="C94" s="292">
        <v>18259561.25</v>
      </c>
      <c r="D94" s="694">
        <v>7</v>
      </c>
      <c r="E94" s="1052">
        <f>SUMIFS(Август20223656[м2],Август20223656[ИМ],A94,Август20223656[№ дома],$C$87)</f>
        <v>318.19</v>
      </c>
      <c r="F94" s="184">
        <f>SUMIFS(Август20223656[сумма без отделки],Август20223656[ИМ],$A94,Август20223656[№ дома],$C$87)</f>
        <v>29401175.5</v>
      </c>
      <c r="G94" s="1047">
        <f>COUNTIFS(Август20223656[ИМ],$A94,Август20223656[№ дома],$C$87)</f>
        <v>10</v>
      </c>
      <c r="H94" s="346">
        <f>SUMIFS(РД[S],РД[Дом],$C$87,РД[ИМ],A94,РД[Дата подачи на регистрацию],"&lt;="&amp;$A$1,РД[Дата подачи на регистрацию],"&gt;="&amp;DATE(YEAR($A$1),MONTH($A$1),1))</f>
        <v>318.18999999999994</v>
      </c>
      <c r="I94" s="184">
        <f>SUMIFS(РД[Стоимость без отделки итог],РД[Дом],$C$87,РД[ИМ],A94,РД[Дата подачи на регистрацию],"&lt;="&amp;$A$1,РД[Дата подачи на регистрацию],"&gt;="&amp;DATE(YEAR($A$1),MONTH($A$1),1))</f>
        <v>29047810.5</v>
      </c>
      <c r="J94" s="243">
        <f>COUNTIFS(РД[Дом],$C$87,РД[ИМ],A94,РД[Дата подачи на регистрацию],"&lt;="&amp;$A$1,РД[Дата подачи на регистрацию],"&gt;="&amp;DATE(YEAR($A$1),MONTH($A$1),1))</f>
        <v>10</v>
      </c>
      <c r="K94" s="990">
        <f>IFERROR(H94/B94,"")</f>
        <v>1.4476342129208368</v>
      </c>
      <c r="L94" s="991">
        <f>IFERROR(I94/C94,"")</f>
        <v>1.5908274082982141</v>
      </c>
      <c r="M94" s="183">
        <f>COUNTIFS(РД[Тип кв],M$88,РД[ИМ],$A94,РД[Дом],$C$87,РД[Дата подачи на регистрацию],"&lt;="&amp;$A$1,РД[Дата подачи на регистрацию],"&gt;="&amp;DATE(YEAR($A$1),MONTH($A$1),1))</f>
        <v>5</v>
      </c>
      <c r="N94" s="243">
        <f>COUNTIFS(РД[Тип кв],N$88,РД[ИМ],$A94,РД[Дом],$C$87,РД[Дата подачи на регистрацию],"&lt;="&amp;$A$1,РД[Дата подачи на регистрацию],"&gt;="&amp;DATE(YEAR($A$1),MONTH($A$1),1))</f>
        <v>5</v>
      </c>
      <c r="O94" s="243">
        <f>COUNTIFS(РД[Тип кв],O$88,РД[ИМ],$A94,РД[Дом],$C$87,РД[Дата подачи на регистрацию],"&lt;="&amp;$A$1,РД[Дата подачи на регистрацию],"&gt;="&amp;DATE(YEAR($A$1),MONTH($A$1),1))</f>
        <v>0</v>
      </c>
      <c r="P94" s="243">
        <f>COUNTIFS(РД[Тип кв],P$88,РД[ИМ],$A94,РД[Дом],$C$87,РД[Дата подачи на регистрацию],"&lt;="&amp;$A$1,РД[Дата подачи на регистрацию],"&gt;="&amp;DATE(YEAR($A$1),MONTH($A$1),1))</f>
        <v>0</v>
      </c>
      <c r="Q94" s="246">
        <f>COUNTIFS(РД[Тип кв],Q$88,РД[ИМ],$A94,РД[Дом],$C$87,РД[Дата подачи на регистрацию],"&lt;="&amp;$A$1,РД[Дата подачи на регистрацию],"&gt;="&amp;DATE(YEAR($A$1),MONTH($A$1),1))</f>
        <v>0</v>
      </c>
      <c r="R94" s="930"/>
      <c r="S94" s="949"/>
      <c r="T94" s="949"/>
    </row>
    <row r="95" spans="1:21">
      <c r="A95" s="1042" t="s">
        <v>22</v>
      </c>
      <c r="B95" s="315">
        <v>219.8</v>
      </c>
      <c r="C95" s="363">
        <v>18259561.25</v>
      </c>
      <c r="D95" s="703">
        <v>7</v>
      </c>
      <c r="E95" s="1053">
        <f>SUMIFS(Август20223656[м2],Август20223656[ИМ],A95,Август20223656[№ дома],$C$87)</f>
        <v>210.70000000000002</v>
      </c>
      <c r="F95" s="196">
        <f>SUMIFS(Август20223656[сумма без отделки],Август20223656[ИМ],$A95,Август20223656[№ дома],$C$87)</f>
        <v>18165359.699999999</v>
      </c>
      <c r="G95" s="1049">
        <f>COUNTIFS(Август20223656[ИМ],$A95,Август20223656[№ дома],$C$87)</f>
        <v>6</v>
      </c>
      <c r="H95" s="426">
        <f>SUMIFS(РД[S],РД[Дом],$C$87,РД[ИМ],A95,РД[Дата подачи на регистрацию],"&lt;="&amp;$A$1,РД[Дата подачи на регистрацию],"&gt;="&amp;DATE(YEAR($A$1),MONTH($A$1),1))</f>
        <v>210.78</v>
      </c>
      <c r="I95" s="196">
        <f>SUMIFS(РД[Стоимость без отделки итог],РД[Дом],$C$87,РД[ИМ],A95,РД[Дата подачи на регистрацию],"&lt;="&amp;$A$1,РД[Дата подачи на регистрацию],"&gt;="&amp;DATE(YEAR($A$1),MONTH($A$1),1))</f>
        <v>18235607.339999989</v>
      </c>
      <c r="J95" s="251">
        <f>COUNTIFS(РД[Дом],$C$87,РД[ИМ],A95,РД[Дата подачи на регистрацию],"&lt;="&amp;$A$1,РД[Дата подачи на регистрацию],"&gt;="&amp;DATE(YEAR($A$1),MONTH($A$1),1))</f>
        <v>6</v>
      </c>
      <c r="K95" s="992">
        <f>IFERROR(H95/B95,"")</f>
        <v>0.95896269335759776</v>
      </c>
      <c r="L95" s="993">
        <f>IFERROR(I95/C95,"")</f>
        <v>0.99868814427290731</v>
      </c>
      <c r="M95" s="195">
        <f>COUNTIFS(РД[Тип кв],M$88,РД[ИМ],$A95,РД[Дом],$C$87,РД[Дата подачи на регистрацию],"&lt;="&amp;$A$1,РД[Дата подачи на регистрацию],"&gt;="&amp;DATE(YEAR($A$1),MONTH($A$1),1))</f>
        <v>3</v>
      </c>
      <c r="N95" s="251">
        <f>COUNTIFS(РД[Тип кв],N$88,РД[ИМ],$A95,РД[Дом],$C$87,РД[Дата подачи на регистрацию],"&lt;="&amp;$A$1,РД[Дата подачи на регистрацию],"&gt;="&amp;DATE(YEAR($A$1),MONTH($A$1),1))</f>
        <v>2</v>
      </c>
      <c r="O95" s="251">
        <f>COUNTIFS(РД[Тип кв],O$88,РД[ИМ],$A95,РД[Дом],$C$87,РД[Дата подачи на регистрацию],"&lt;="&amp;$A$1,РД[Дата подачи на регистрацию],"&gt;="&amp;DATE(YEAR($A$1),MONTH($A$1),1))</f>
        <v>1</v>
      </c>
      <c r="P95" s="251">
        <f>COUNTIFS(РД[Тип кв],P$88,РД[ИМ],$A95,РД[Дом],$C$87,РД[Дата подачи на регистрацию],"&lt;="&amp;$A$1,РД[Дата подачи на регистрацию],"&gt;="&amp;DATE(YEAR($A$1),MONTH($A$1),1))</f>
        <v>0</v>
      </c>
      <c r="Q95" s="254">
        <f>COUNTIFS(РД[Тип кв],Q$88,РД[ИМ],$A95,РД[Дом],$C$87,РД[Дата подачи на регистрацию],"&lt;="&amp;$A$1,РД[Дата подачи на регистрацию],"&gt;="&amp;DATE(YEAR($A$1),MONTH($A$1),1))</f>
        <v>0</v>
      </c>
      <c r="R95" s="930"/>
      <c r="S95" s="949"/>
      <c r="T95" s="949"/>
    </row>
    <row r="96" spans="1:21">
      <c r="A96" s="317" t="s">
        <v>114</v>
      </c>
      <c r="B96" s="323">
        <v>439.6</v>
      </c>
      <c r="C96" s="429">
        <v>36519122.5</v>
      </c>
      <c r="D96" s="497">
        <v>14</v>
      </c>
      <c r="E96" s="484">
        <f t="shared" ref="E96:J96" si="5">SUM(E94:E94)</f>
        <v>318.19</v>
      </c>
      <c r="F96" s="429">
        <f t="shared" si="5"/>
        <v>29401175.5</v>
      </c>
      <c r="G96" s="497">
        <f t="shared" si="5"/>
        <v>10</v>
      </c>
      <c r="H96" s="473">
        <f t="shared" si="5"/>
        <v>318.18999999999994</v>
      </c>
      <c r="I96" s="429">
        <f t="shared" si="5"/>
        <v>29047810.5</v>
      </c>
      <c r="J96" s="494">
        <f t="shared" si="5"/>
        <v>10</v>
      </c>
      <c r="K96" s="419">
        <f>IFERROR(H96/B96,)</f>
        <v>0.72381710646041841</v>
      </c>
      <c r="L96" s="507">
        <f>IFERROR(I96/C96,)</f>
        <v>0.79541370414910706</v>
      </c>
      <c r="M96" s="897">
        <f>SUM(M94:M94)</f>
        <v>5</v>
      </c>
      <c r="N96" s="897">
        <f>SUM(N94:N94)</f>
        <v>5</v>
      </c>
      <c r="O96" s="897">
        <f>SUM(O94:O94)</f>
        <v>0</v>
      </c>
      <c r="P96" s="897">
        <f>SUM(P94:P94)</f>
        <v>0</v>
      </c>
      <c r="Q96" s="898">
        <f>SUM(Q94:Q94)</f>
        <v>0</v>
      </c>
      <c r="R96" s="930"/>
      <c r="S96" s="949"/>
      <c r="T96" s="949"/>
    </row>
    <row r="97" spans="1:21">
      <c r="A97" s="7"/>
      <c r="B97" s="968"/>
      <c r="C97" s="968"/>
      <c r="D97" s="969"/>
      <c r="E97" s="7"/>
      <c r="F97" s="7"/>
      <c r="G97" s="7"/>
      <c r="H97" s="134"/>
      <c r="I97" s="134"/>
      <c r="J97" s="134"/>
      <c r="K97" s="7"/>
      <c r="L97" s="994"/>
      <c r="M97" s="134"/>
      <c r="N97" s="134"/>
      <c r="O97" s="134"/>
      <c r="P97" s="262"/>
      <c r="Q97" s="134"/>
      <c r="R97" s="930"/>
      <c r="S97" s="949"/>
      <c r="T97" s="949"/>
    </row>
    <row r="98" spans="1:21">
      <c r="A98" s="2290" t="s">
        <v>713</v>
      </c>
      <c r="B98" s="2294"/>
      <c r="C98" s="972" t="s">
        <v>7</v>
      </c>
      <c r="D98" s="2292"/>
      <c r="E98" s="2292"/>
      <c r="F98" s="2292"/>
      <c r="G98" s="2292"/>
      <c r="H98" s="2292"/>
      <c r="I98" s="2292"/>
      <c r="J98" s="2292"/>
      <c r="K98" s="2292"/>
      <c r="L98" s="2292"/>
      <c r="M98" s="2292"/>
      <c r="N98" s="2292"/>
      <c r="O98" s="2292"/>
      <c r="P98" s="2292"/>
      <c r="Q98" s="7"/>
      <c r="R98" s="930"/>
      <c r="S98" s="949"/>
      <c r="T98" s="949"/>
    </row>
    <row r="99" spans="1:21" ht="25.5">
      <c r="A99" s="692" t="s">
        <v>1</v>
      </c>
      <c r="B99" s="686" t="s">
        <v>100</v>
      </c>
      <c r="C99" s="687" t="s">
        <v>97</v>
      </c>
      <c r="D99" s="688" t="s">
        <v>95</v>
      </c>
      <c r="E99" s="1051" t="s">
        <v>494</v>
      </c>
      <c r="F99" s="138" t="s">
        <v>495</v>
      </c>
      <c r="G99" s="139" t="s">
        <v>496</v>
      </c>
      <c r="H99" s="140" t="s">
        <v>101</v>
      </c>
      <c r="I99" s="141" t="s">
        <v>98</v>
      </c>
      <c r="J99" s="141" t="s">
        <v>96</v>
      </c>
      <c r="K99" s="141" t="s">
        <v>715</v>
      </c>
      <c r="L99" s="1026" t="s">
        <v>716</v>
      </c>
      <c r="M99" s="217">
        <v>0</v>
      </c>
      <c r="N99" s="218">
        <v>1</v>
      </c>
      <c r="O99" s="218">
        <v>2</v>
      </c>
      <c r="P99" s="218">
        <v>3</v>
      </c>
      <c r="Q99" s="219">
        <v>4</v>
      </c>
      <c r="R99" s="930"/>
      <c r="S99" s="949"/>
      <c r="T99" s="949"/>
    </row>
    <row r="100" spans="1:21">
      <c r="A100" s="1035" t="s">
        <v>73</v>
      </c>
      <c r="B100" s="1036">
        <v>159</v>
      </c>
      <c r="C100" s="939">
        <v>12512738.6823</v>
      </c>
      <c r="D100" s="1037">
        <v>5</v>
      </c>
      <c r="E100" s="145">
        <f>SUMIFS(Август20223656[м2],Август20223656[МОП],$A100,Август20223656[№ дома],$C$98)</f>
        <v>497.26</v>
      </c>
      <c r="F100" s="939">
        <f>SUMIFS(Август20223656[сумма без отделки],Август20223656[МОП],$A100,Август20223656[№ дома],$C$98)</f>
        <v>37357803.860000007</v>
      </c>
      <c r="G100" s="940">
        <f>COUNTIFS(Август20223656[МОП],$A100,Август20223656[№ дома],$C$98)</f>
        <v>12</v>
      </c>
      <c r="H100" s="148">
        <f>SUMIFS(РД[S],РД[Дом],$C$98,РД[МОП],A100,РД[Дата подачи на регистрацию],"&lt;="&amp;$A$1,РД[Дата подачи на регистрацию],"&gt;="&amp;DATE(YEAR($A$1),MONTH($A$1),1))</f>
        <v>703.67000000000007</v>
      </c>
      <c r="I100" s="149">
        <f>SUMIFS(РД[Стоимость без отделки итог],РД[Дом],$C$98,РД[МОП],A100,РД[Дата подачи на регистрацию],"&lt;="&amp;$A$1,РД[Дата подачи на регистрацию],"&gt;="&amp;DATE(YEAR($A$1),MONTH($A$1),1))</f>
        <v>52650047.410000011</v>
      </c>
      <c r="J100" s="220">
        <f>COUNTIFS(РД[Дом],$C$98,РД[МОП],A100,РД[Дата подачи на регистрацию],"&lt;="&amp;$A$1,РД[Дата подачи на регистрацию],"&gt;="&amp;DATE(YEAR($A$1),MONTH($A$1),1))</f>
        <v>16</v>
      </c>
      <c r="K100" s="943">
        <f t="shared" ref="K100:L102" si="6">IFERROR(H100/B100,"")</f>
        <v>4.4255974842767296</v>
      </c>
      <c r="L100" s="944">
        <f t="shared" si="6"/>
        <v>4.2077157324860126</v>
      </c>
      <c r="M100" s="148">
        <f>COUNTIFS(РД[Тип кв],M$88,РД[МОП],$A100,РД[Дом],$C$98,РД[Дата подачи на регистрацию],"&lt;="&amp;$A$1,РД[Дата подачи на регистрацию],"&gt;="&amp;DATE(YEAR($A$1),MONTH($A$1),1))</f>
        <v>1</v>
      </c>
      <c r="N100" s="220">
        <f>COUNTIFS(РД[Тип кв],N$88,РД[МОП],$A100,РД[Дом],$C$98,РД[Дата подачи на регистрацию],"&lt;="&amp;$A$1,РД[Дата подачи на регистрацию],"&gt;="&amp;DATE(YEAR($A$1),MONTH($A$1),1))</f>
        <v>10</v>
      </c>
      <c r="O100" s="220">
        <f>COUNTIFS(РД[Тип кв],O$88,РД[МОП],$A100,РД[Дом],$C$98,РД[Дата подачи на регистрацию],"&lt;="&amp;$A$1,РД[Дата подачи на регистрацию],"&gt;="&amp;DATE(YEAR($A$1),MONTH($A$1),1))</f>
        <v>4</v>
      </c>
      <c r="P100" s="220">
        <f>COUNTIFS(РД[Тип кв],P$88,РД[МОП],$A100,РД[Дом],$C$98,РД[Дата подачи на регистрацию],"&lt;="&amp;$A$1,РД[Дата подачи на регистрацию],"&gt;="&amp;DATE(YEAR($A$1),MONTH($A$1),1))</f>
        <v>1</v>
      </c>
      <c r="Q100" s="223">
        <f>COUNTIFS(РД[Тип кв],Q$88,РД[МОП],$A100,РД[Дом],$C$98,РД[Дата подачи на регистрацию],"&lt;="&amp;$A$1,РД[Дата подачи на регистрацию],"&gt;="&amp;DATE(YEAR($A$1),MONTH($A$1),1))</f>
        <v>0</v>
      </c>
      <c r="R100" s="930"/>
      <c r="S100" s="949"/>
      <c r="T100" s="949"/>
    </row>
    <row r="101" spans="1:21">
      <c r="A101" s="1039" t="s">
        <v>77</v>
      </c>
      <c r="B101" s="1040">
        <v>159</v>
      </c>
      <c r="C101" s="954">
        <v>12512738.6823</v>
      </c>
      <c r="D101" s="1041">
        <v>4</v>
      </c>
      <c r="E101" s="145">
        <f>SUMIFS(Август20223656[м2],Август20223656[МОП],$A101,Август20223656[№ дома],$C$98)</f>
        <v>482.22</v>
      </c>
      <c r="F101" s="939">
        <f>SUMIFS(Август20223656[сумма без отделки],Август20223656[МОП],$A101,Август20223656[№ дома],$C$98)</f>
        <v>34874807.829999998</v>
      </c>
      <c r="G101" s="940">
        <f>COUNTIFS(Август20223656[МОП],$A101,Август20223656[№ дома],$C$98)</f>
        <v>11</v>
      </c>
      <c r="H101" s="148">
        <f>SUMIFS(РД[S],РД[Дом],$C$98,РД[МОП],A101,РД[Дата подачи на регистрацию],"&lt;="&amp;$A$1,РД[Дата подачи на регистрацию],"&gt;="&amp;DATE(YEAR($A$1),MONTH($A$1),1))</f>
        <v>448.68999999999994</v>
      </c>
      <c r="I101" s="149">
        <f>SUMIFS(РД[Стоимость без отделки итог],РД[Дом],$C$98,РД[МОП],A101,РД[Дата подачи на регистрацию],"&lt;="&amp;$A$1,РД[Дата подачи на регистрацию],"&gt;="&amp;DATE(YEAR($A$1),MONTH($A$1),1))</f>
        <v>32415577.470000003</v>
      </c>
      <c r="J101" s="220">
        <f>COUNTIFS(РД[Дом],$C$98,РД[МОП],A101,РД[Дата подачи на регистрацию],"&lt;="&amp;$A$1,РД[Дата подачи на регистрацию],"&gt;="&amp;DATE(YEAR($A$1),MONTH($A$1),1))</f>
        <v>10</v>
      </c>
      <c r="K101" s="987">
        <f t="shared" si="6"/>
        <v>2.8219496855345909</v>
      </c>
      <c r="L101" s="988">
        <f t="shared" si="6"/>
        <v>2.5906061249288079</v>
      </c>
      <c r="M101" s="202">
        <f>COUNTIFS(РД[Тип кв],M$88,РД[МОП],$A101,РД[Дом],$C$98,РД[Дата подачи на регистрацию],"&lt;="&amp;$A$1,РД[Дата подачи на регистрацию],"&gt;="&amp;DATE(YEAR($A$1),MONTH($A$1),1))</f>
        <v>0</v>
      </c>
      <c r="N101" s="226">
        <f>COUNTIFS(РД[Тип кв],N$88,РД[МОП],$A101,РД[Дом],$C$98,РД[Дата подачи на регистрацию],"&lt;="&amp;$A$1,РД[Дата подачи на регистрацию],"&gt;="&amp;DATE(YEAR($A$1),MONTH($A$1),1))</f>
        <v>6</v>
      </c>
      <c r="O101" s="226">
        <f>COUNTIFS(РД[Тип кв],O$88,РД[МОП],$A101,РД[Дом],$C$98,РД[Дата подачи на регистрацию],"&lt;="&amp;$A$1,РД[Дата подачи на регистрацию],"&gt;="&amp;DATE(YEAR($A$1),MONTH($A$1),1))</f>
        <v>3</v>
      </c>
      <c r="P101" s="226">
        <f>COUNTIFS(РД[Тип кв],P$88,РД[МОП],$A101,РД[Дом],$C$98,РД[Дата подачи на регистрацию],"&lt;="&amp;$A$1,РД[Дата подачи на регистрацию],"&gt;="&amp;DATE(YEAR($A$1),MONTH($A$1),1))</f>
        <v>1</v>
      </c>
      <c r="Q101" s="227">
        <f>COUNTIFS(РД[Тип кв],Q$88,РД[МОП],$A101,РД[Дом],$C$98,РД[Дата подачи на регистрацию],"&lt;="&amp;$A$1,РД[Дата подачи на регистрацию],"&gt;="&amp;DATE(YEAR($A$1),MONTH($A$1),1))</f>
        <v>0</v>
      </c>
      <c r="R101" s="930"/>
      <c r="S101" s="949"/>
      <c r="T101" s="949"/>
    </row>
    <row r="102" spans="1:21">
      <c r="A102" s="1042" t="s">
        <v>1233</v>
      </c>
      <c r="B102" s="1040">
        <v>29</v>
      </c>
      <c r="C102" s="954">
        <v>2282197.6213000002</v>
      </c>
      <c r="D102" s="1054">
        <v>1</v>
      </c>
      <c r="E102" s="328">
        <f>SUMIFS(Август20223656[м2],Август20223656[МОП],$A102,Август20223656[№ дома],$C$98)</f>
        <v>0</v>
      </c>
      <c r="F102" s="1055">
        <f>SUMIFS(Август20223656[сумма без отделки],Август20223656[МОП],$A102,Август20223656[№ дома],$C$98)</f>
        <v>0</v>
      </c>
      <c r="G102" s="1056">
        <f>COUNTIFS(Август20223656[МОП],$A102,Август20223656[№ дома],$C$98)</f>
        <v>0</v>
      </c>
      <c r="H102" s="187">
        <f>SUMIFS(РД[S],РД[Дом],$C$98,РД[МОП],A102,РД[Дата подачи на регистрацию],"&lt;="&amp;$A$1,РД[Дата подачи на регистрацию],"&gt;="&amp;DATE(YEAR($A$1),MONTH($A$1),1))</f>
        <v>0</v>
      </c>
      <c r="I102" s="188">
        <f>SUMIFS(РД[Стоимость без отделки итог],РД[Дом],$C$98,РД[МОП],A102,РД[Дата подачи на регистрацию],"&lt;="&amp;$A$1,РД[Дата подачи на регистрацию],"&gt;="&amp;DATE(YEAR($A$1),MONTH($A$1),1))</f>
        <v>0</v>
      </c>
      <c r="J102" s="247">
        <f>COUNTIFS(РД[Дом],$C$98,РД[МОП],A102,РД[Дата подачи на регистрацию],"&lt;="&amp;$A$1,РД[Дата подачи на регистрацию],"&gt;="&amp;DATE(YEAR($A$1),MONTH($A$1),1))</f>
        <v>0</v>
      </c>
      <c r="K102" s="1063">
        <f t="shared" si="6"/>
        <v>0</v>
      </c>
      <c r="L102" s="1065">
        <f t="shared" si="6"/>
        <v>0</v>
      </c>
      <c r="M102" s="195">
        <f>COUNTIFS(РД[Тип кв],M$88,РД[МОП],$A102,РД[Дом],$C$98,РД[Дата подачи на регистрацию],"&lt;="&amp;$A$1,РД[Дата подачи на регистрацию],"&gt;="&amp;DATE(YEAR($A$1),MONTH($A$1),1))</f>
        <v>0</v>
      </c>
      <c r="N102" s="251">
        <f>COUNTIFS(РД[Тип кв],N$88,РД[МОП],$A102,РД[Дом],$C$98,РД[Дата подачи на регистрацию],"&lt;="&amp;$A$1,РД[Дата подачи на регистрацию],"&gt;="&amp;DATE(YEAR($A$1),MONTH($A$1),1))</f>
        <v>0</v>
      </c>
      <c r="O102" s="251">
        <f>COUNTIFS(РД[Тип кв],O$88,РД[МОП],$A102,РД[Дом],$C$98,РД[Дата подачи на регистрацию],"&lt;="&amp;$A$1,РД[Дата подачи на регистрацию],"&gt;="&amp;DATE(YEAR($A$1),MONTH($A$1),1))</f>
        <v>0</v>
      </c>
      <c r="P102" s="251">
        <f>COUNTIFS(РД[Тип кв],P$88,РД[МОП],$A102,РД[Дом],$C$98,РД[Дата подачи на регистрацию],"&lt;="&amp;$A$1,РД[Дата подачи на регистрацию],"&gt;="&amp;DATE(YEAR($A$1),MONTH($A$1),1))</f>
        <v>0</v>
      </c>
      <c r="Q102" s="254">
        <f>COUNTIFS(РД[Тип кв],Q$88,РД[МОП],$A102,РД[Дом],$C$98,РД[Дата подачи на регистрацию],"&lt;="&amp;$A$1,РД[Дата подачи на регистрацию],"&gt;="&amp;DATE(YEAR($A$1),MONTH($A$1),1))</f>
        <v>0</v>
      </c>
      <c r="R102" s="930"/>
      <c r="S102" s="949"/>
      <c r="T102" s="949"/>
    </row>
    <row r="103" spans="1:21">
      <c r="A103" s="1043" t="s">
        <v>114</v>
      </c>
      <c r="B103" s="963">
        <v>347</v>
      </c>
      <c r="C103" s="964">
        <v>27307674.9859</v>
      </c>
      <c r="D103" s="965">
        <v>10</v>
      </c>
      <c r="E103" s="963">
        <f t="shared" ref="E103:J103" si="7">SUM(E100:E102)</f>
        <v>979.48</v>
      </c>
      <c r="F103" s="964">
        <f t="shared" si="7"/>
        <v>72232611.689999998</v>
      </c>
      <c r="G103" s="965">
        <f t="shared" si="7"/>
        <v>23</v>
      </c>
      <c r="H103" s="317">
        <f t="shared" si="7"/>
        <v>1152.3600000000001</v>
      </c>
      <c r="I103" s="1066">
        <f t="shared" si="7"/>
        <v>85065624.88000001</v>
      </c>
      <c r="J103" s="917">
        <f t="shared" si="7"/>
        <v>26</v>
      </c>
      <c r="K103" s="419">
        <f>IFERROR(H103/B103,)</f>
        <v>3.3209221902017294</v>
      </c>
      <c r="L103" s="507">
        <f>IFERROR(I103/C103,)</f>
        <v>3.1150811969134193</v>
      </c>
      <c r="M103" s="473">
        <f>SUM(M100:M102)</f>
        <v>1</v>
      </c>
      <c r="N103" s="494">
        <f>SUM(N100:N102)</f>
        <v>16</v>
      </c>
      <c r="O103" s="494">
        <f>SUM(O100:O102)</f>
        <v>7</v>
      </c>
      <c r="P103" s="989">
        <f>SUM(P100:P102)</f>
        <v>2</v>
      </c>
      <c r="Q103" s="497">
        <f>SUM(Q100:Q102)</f>
        <v>0</v>
      </c>
      <c r="R103" s="930"/>
      <c r="S103" s="949"/>
      <c r="T103" s="949"/>
    </row>
    <row r="104" spans="1:21" ht="25.5">
      <c r="A104" s="692" t="s">
        <v>115</v>
      </c>
      <c r="B104" s="706" t="s">
        <v>100</v>
      </c>
      <c r="C104" s="710" t="s">
        <v>97</v>
      </c>
      <c r="D104" s="708" t="s">
        <v>95</v>
      </c>
      <c r="E104" s="1051" t="s">
        <v>494</v>
      </c>
      <c r="F104" s="138" t="s">
        <v>495</v>
      </c>
      <c r="G104" s="139" t="s">
        <v>496</v>
      </c>
      <c r="H104" s="140" t="s">
        <v>101</v>
      </c>
      <c r="I104" s="141" t="s">
        <v>98</v>
      </c>
      <c r="J104" s="141" t="s">
        <v>96</v>
      </c>
      <c r="K104" s="495" t="s">
        <v>715</v>
      </c>
      <c r="L104" s="1027" t="s">
        <v>716</v>
      </c>
      <c r="M104" s="217">
        <v>0</v>
      </c>
      <c r="N104" s="218">
        <v>1</v>
      </c>
      <c r="O104" s="218">
        <v>2</v>
      </c>
      <c r="P104" s="218">
        <v>3</v>
      </c>
      <c r="Q104" s="219">
        <v>4</v>
      </c>
      <c r="R104" s="930"/>
      <c r="S104" s="949"/>
      <c r="T104" s="949"/>
    </row>
    <row r="105" spans="1:21">
      <c r="A105" s="985" t="s">
        <v>16</v>
      </c>
      <c r="B105" s="291">
        <v>111.825</v>
      </c>
      <c r="C105" s="292">
        <v>8779547.0700000003</v>
      </c>
      <c r="D105" s="694">
        <v>4</v>
      </c>
      <c r="E105" s="1046">
        <f>SUMIFS(Август20223656[м2],Август20223656[ИМ],A105,Август20223656[№ дома],$C$98)</f>
        <v>339.65</v>
      </c>
      <c r="F105" s="184">
        <f>SUMIFS(Август20223656[сумма без отделки],Август20223656[ИМ],$A105,Август20223656[№ дома],$C$98)</f>
        <v>24664675.93</v>
      </c>
      <c r="G105" s="1047">
        <f>COUNTIFS(Август20223656[ИМ],$A105,Август20223656[№ дома],$C$98)</f>
        <v>7</v>
      </c>
      <c r="H105" s="346">
        <f>SUMIFS(РД[S],РД[Дом],$C$98,РД[ИМ],A105,РД[Дата подачи на регистрацию],"&lt;="&amp;$A$1,РД[Дата подачи на регистрацию],"&gt;="&amp;DATE(YEAR($A$1),MONTH($A$1),1))</f>
        <v>339.65</v>
      </c>
      <c r="I105" s="184">
        <f>SUMIFS(РД[Стоимость без отделки итог],РД[Дом],$C$98,РД[ИМ],A105,РД[Дата подачи на регистрацию],"&lt;="&amp;$A$1,РД[Дата подачи на регистрацию],"&gt;="&amp;DATE(YEAR($A$1),MONTH($A$1),1))</f>
        <v>24664675.93</v>
      </c>
      <c r="J105" s="243">
        <f>COUNTIFS(РД[Дом],$C$98,РД[ИМ],A105,РД[Дата подачи на регистрацию],"&lt;="&amp;$A$1,РД[Дата подачи на регистрацию],"&gt;="&amp;DATE(YEAR($A$1),MONTH($A$1),1))</f>
        <v>7</v>
      </c>
      <c r="K105" s="990">
        <f>IFERROR(H105/B105,"")</f>
        <v>3.037335121842164</v>
      </c>
      <c r="L105" s="991">
        <f>IFERROR(I105/C105,"")</f>
        <v>2.8093335263592363</v>
      </c>
      <c r="M105" s="183">
        <f>COUNTIFS(РД[Тип кв],M$88,РД[ИМ],$A105,РД[Дом],$C$98,РД[Дата подачи на регистрацию],"&lt;="&amp;$A$1,РД[Дата подачи на регистрацию],"&gt;="&amp;DATE(YEAR($A$1),MONTH($A$1),1))</f>
        <v>0</v>
      </c>
      <c r="N105" s="243">
        <f>COUNTIFS(РД[Тип кв],N$88,РД[ИМ],$A105,РД[Дом],$C$98,РД[Дата подачи на регистрацию],"&lt;="&amp;$A$1,РД[Дата подачи на регистрацию],"&gt;="&amp;DATE(YEAR($A$1),MONTH($A$1),1))</f>
        <v>4</v>
      </c>
      <c r="O105" s="243">
        <f>COUNTIFS(РД[Тип кв],O$88,РД[ИМ],$A105,РД[Дом],$C$98,РД[Дата подачи на регистрацию],"&lt;="&amp;$A$1,РД[Дата подачи на регистрацию],"&gt;="&amp;DATE(YEAR($A$1),MONTH($A$1),1))</f>
        <v>2</v>
      </c>
      <c r="P105" s="243">
        <f>COUNTIFS(РД[Тип кв],P$88,РД[ИМ],$A105,РД[Дом],$C$98,РД[Дата подачи на регистрацию],"&lt;="&amp;$A$1,РД[Дата подачи на регистрацию],"&gt;="&amp;DATE(YEAR($A$1),MONTH($A$1),1))</f>
        <v>1</v>
      </c>
      <c r="Q105" s="246">
        <f>COUNTIFS(РД[Тип кв],Q$88,РД[ИМ],$A105,РД[Дом],$C$98,РД[Дата подачи на регистрацию],"&lt;="&amp;$A$1,РД[Дата подачи на регистрацию],"&gt;="&amp;DATE(YEAR($A$1),MONTH($A$1),1))</f>
        <v>0</v>
      </c>
      <c r="R105" s="930"/>
      <c r="S105" s="949"/>
      <c r="T105" s="949"/>
    </row>
    <row r="106" spans="1:21">
      <c r="A106" s="1042" t="s">
        <v>22</v>
      </c>
      <c r="B106" s="315">
        <v>136.67500000000001</v>
      </c>
      <c r="C106" s="363">
        <v>10730557.529999999</v>
      </c>
      <c r="D106" s="703">
        <v>4</v>
      </c>
      <c r="E106" s="1048">
        <f>SUMIFS(Август20223656[м2],Август20223656[ИМ],A106,Август20223656[№ дома],$C$98)</f>
        <v>468.36</v>
      </c>
      <c r="F106" s="196">
        <f>SUMIFS(Август20223656[сумма без отделки],Август20223656[ИМ],$A106,Август20223656[№ дома],$C$98)</f>
        <v>34884495.770000003</v>
      </c>
      <c r="G106" s="1049">
        <f>COUNTIFS(Август20223656[ИМ],$A106,Август20223656[№ дома],$C$98)</f>
        <v>11</v>
      </c>
      <c r="H106" s="426">
        <f>SUMIFS(РД[S],РД[Дом],$C$98,РД[ИМ],A106,РД[Дата подачи на регистрацию],"&lt;="&amp;$A$1,РД[Дата подачи на регистрацию],"&gt;="&amp;DATE(YEAR($A$1),MONTH($A$1),1))</f>
        <v>468.42000000000007</v>
      </c>
      <c r="I106" s="196">
        <f>SUMIFS(РД[Стоимость без отделки итог],РД[Дом],$C$98,РД[ИМ],A106,РД[Дата подачи на регистрацию],"&lt;="&amp;$A$1,РД[Дата подачи на регистрацию],"&gt;="&amp;DATE(YEAR($A$1),MONTH($A$1),1))</f>
        <v>34884495.770000003</v>
      </c>
      <c r="J106" s="251">
        <f>COUNTIFS(РД[Дом],$C$98,РД[ИМ],A106,РД[Дата подачи на регистрацию],"&lt;="&amp;$A$1,РД[Дата подачи на регистрацию],"&gt;="&amp;DATE(YEAR($A$1),MONTH($A$1),1))</f>
        <v>11</v>
      </c>
      <c r="K106" s="992">
        <f>IFERROR(H106/B106,"")</f>
        <v>3.42725443570514</v>
      </c>
      <c r="L106" s="993">
        <f>IFERROR(I106/C106,"")</f>
        <v>3.2509490464471704</v>
      </c>
      <c r="M106" s="195">
        <f>COUNTIFS(РД[Тип кв],M$88,РД[ИМ],$A106,РД[Дом],$C$98,РД[Дата подачи на регистрацию],"&lt;="&amp;$A$1,РД[Дата подачи на регистрацию],"&gt;="&amp;DATE(YEAR($A$1),MONTH($A$1),1))</f>
        <v>1</v>
      </c>
      <c r="N106" s="251">
        <f>COUNTIFS(РД[Тип кв],N$88,РД[ИМ],$A106,РД[Дом],$C$98,РД[Дата подачи на регистрацию],"&lt;="&amp;$A$1,РД[Дата подачи на регистрацию],"&gt;="&amp;DATE(YEAR($A$1),MONTH($A$1),1))</f>
        <v>7</v>
      </c>
      <c r="O106" s="251">
        <f>COUNTIFS(РД[Тип кв],O$88,РД[ИМ],$A106,РД[Дом],$C$98,РД[Дата подачи на регистрацию],"&lt;="&amp;$A$1,РД[Дата подачи на регистрацию],"&gt;="&amp;DATE(YEAR($A$1),MONTH($A$1),1))</f>
        <v>2</v>
      </c>
      <c r="P106" s="251">
        <f>COUNTIFS(РД[Тип кв],P$88,РД[ИМ],$A106,РД[Дом],$C$98,РД[Дата подачи на регистрацию],"&lt;="&amp;$A$1,РД[Дата подачи на регистрацию],"&gt;="&amp;DATE(YEAR($A$1),MONTH($A$1),1))</f>
        <v>1</v>
      </c>
      <c r="Q106" s="254">
        <f>COUNTIFS(РД[Тип кв],Q$88,РД[ИМ],$A106,РД[Дом],$C$98,РД[Дата подачи на регистрацию],"&lt;="&amp;$A$1,РД[Дата подачи на регистрацию],"&gt;="&amp;DATE(YEAR($A$1),MONTH($A$1),1))</f>
        <v>0</v>
      </c>
      <c r="R106" s="930"/>
      <c r="S106" s="949"/>
      <c r="T106" s="949"/>
    </row>
    <row r="107" spans="1:21">
      <c r="A107" s="317" t="s">
        <v>114</v>
      </c>
      <c r="B107" s="323">
        <v>248.5</v>
      </c>
      <c r="C107" s="429">
        <v>19510104.600000001</v>
      </c>
      <c r="D107" s="497">
        <v>8</v>
      </c>
      <c r="E107" s="484">
        <f t="shared" ref="E107:J107" si="8">SUM(E105:E105)</f>
        <v>339.65</v>
      </c>
      <c r="F107" s="429">
        <f t="shared" si="8"/>
        <v>24664675.93</v>
      </c>
      <c r="G107" s="497">
        <f t="shared" si="8"/>
        <v>7</v>
      </c>
      <c r="H107" s="473">
        <f t="shared" si="8"/>
        <v>339.65</v>
      </c>
      <c r="I107" s="1066">
        <f t="shared" si="8"/>
        <v>24664675.93</v>
      </c>
      <c r="J107" s="494">
        <f t="shared" si="8"/>
        <v>7</v>
      </c>
      <c r="K107" s="419">
        <f>IFERROR(H107/B107,)</f>
        <v>1.3668008048289737</v>
      </c>
      <c r="L107" s="507">
        <f>IFERROR(I107/C107,)</f>
        <v>1.2642000868616561</v>
      </c>
      <c r="M107" s="897">
        <f>SUM(M105:M105)</f>
        <v>0</v>
      </c>
      <c r="N107" s="897">
        <f>SUM(N105:N105)</f>
        <v>4</v>
      </c>
      <c r="O107" s="897">
        <f>SUM(O105:O105)</f>
        <v>2</v>
      </c>
      <c r="P107" s="897">
        <f>SUM(P105:P105)</f>
        <v>1</v>
      </c>
      <c r="Q107" s="898">
        <f>SUM(Q105:Q105)</f>
        <v>0</v>
      </c>
      <c r="R107" s="930"/>
      <c r="S107" s="949"/>
      <c r="T107" s="949"/>
    </row>
    <row r="108" spans="1:21">
      <c r="A108" s="7"/>
      <c r="B108" s="968"/>
      <c r="C108" s="968"/>
      <c r="D108" s="969"/>
      <c r="E108" s="7"/>
      <c r="F108" s="7"/>
      <c r="G108" s="7"/>
      <c r="H108" s="134"/>
      <c r="I108" s="134"/>
      <c r="J108" s="134"/>
      <c r="K108" s="7"/>
      <c r="L108" s="994"/>
      <c r="M108" s="134"/>
      <c r="N108" s="134"/>
      <c r="O108" s="134"/>
      <c r="P108" s="262"/>
      <c r="Q108" s="134"/>
      <c r="R108" s="930"/>
      <c r="S108" s="949"/>
      <c r="T108" s="949"/>
    </row>
    <row r="109" spans="1:21">
      <c r="A109" s="2293" t="s">
        <v>713</v>
      </c>
      <c r="B109" s="2294"/>
      <c r="C109" s="972" t="s">
        <v>718</v>
      </c>
      <c r="D109" s="2295"/>
      <c r="E109" s="2296"/>
      <c r="F109" s="2296"/>
      <c r="G109" s="2296"/>
      <c r="H109" s="2296"/>
      <c r="I109" s="2296"/>
      <c r="J109" s="2296"/>
      <c r="K109" s="2296"/>
      <c r="L109" s="2296"/>
      <c r="M109" s="2296"/>
      <c r="N109" s="2296"/>
      <c r="O109" s="2296"/>
      <c r="P109" s="2296"/>
      <c r="Q109" s="7"/>
      <c r="R109" s="930"/>
      <c r="S109" s="949"/>
      <c r="T109" s="949"/>
    </row>
    <row r="110" spans="1:21" ht="25.5">
      <c r="A110" s="692" t="s">
        <v>1</v>
      </c>
      <c r="B110" s="686" t="s">
        <v>100</v>
      </c>
      <c r="C110" s="687" t="s">
        <v>97</v>
      </c>
      <c r="D110" s="688" t="s">
        <v>95</v>
      </c>
      <c r="E110" s="1057" t="s">
        <v>494</v>
      </c>
      <c r="F110" s="487" t="s">
        <v>495</v>
      </c>
      <c r="G110" s="1058" t="s">
        <v>496</v>
      </c>
      <c r="H110" s="489" t="s">
        <v>101</v>
      </c>
      <c r="I110" s="490" t="s">
        <v>98</v>
      </c>
      <c r="J110" s="490" t="s">
        <v>96</v>
      </c>
      <c r="K110" s="490" t="s">
        <v>715</v>
      </c>
      <c r="L110" s="525" t="s">
        <v>716</v>
      </c>
      <c r="M110" s="217">
        <v>0</v>
      </c>
      <c r="N110" s="218">
        <v>1</v>
      </c>
      <c r="O110" s="218">
        <v>2</v>
      </c>
      <c r="P110" s="218">
        <v>3</v>
      </c>
      <c r="Q110" s="219">
        <v>4</v>
      </c>
      <c r="R110" s="951"/>
      <c r="S110" s="950"/>
      <c r="T110" s="950"/>
      <c r="U110" s="951"/>
    </row>
    <row r="111" spans="1:21">
      <c r="A111" s="1035" t="s">
        <v>73</v>
      </c>
      <c r="B111" s="1036">
        <v>506.7</v>
      </c>
      <c r="C111" s="939">
        <v>40045316.987099998</v>
      </c>
      <c r="D111" s="1037">
        <v>15</v>
      </c>
      <c r="E111" s="346">
        <f t="shared" ref="E111:J113" si="9">E78+E89+E100</f>
        <v>559.21</v>
      </c>
      <c r="F111" s="1059">
        <f t="shared" si="9"/>
        <v>42236243.330000006</v>
      </c>
      <c r="G111" s="1047">
        <f t="shared" si="9"/>
        <v>13</v>
      </c>
      <c r="H111" s="183">
        <f t="shared" si="9"/>
        <v>812.34</v>
      </c>
      <c r="I111" s="184">
        <f t="shared" si="9"/>
        <v>61585293.74000001</v>
      </c>
      <c r="J111" s="243">
        <f t="shared" si="9"/>
        <v>19</v>
      </c>
      <c r="K111" s="990">
        <f t="shared" ref="K111:L113" si="10">IFERROR(H111/B111,"")</f>
        <v>1.6031971580817053</v>
      </c>
      <c r="L111" s="991">
        <f t="shared" si="10"/>
        <v>1.5378900299338072</v>
      </c>
      <c r="M111" s="148">
        <f t="shared" ref="M111:Q113" si="11">M78+M89+M100</f>
        <v>3</v>
      </c>
      <c r="N111" s="220">
        <f t="shared" si="11"/>
        <v>10</v>
      </c>
      <c r="O111" s="220">
        <f t="shared" si="11"/>
        <v>5</v>
      </c>
      <c r="P111" s="220">
        <f t="shared" si="11"/>
        <v>1</v>
      </c>
      <c r="Q111" s="223">
        <f t="shared" si="11"/>
        <v>0</v>
      </c>
      <c r="R111" s="930"/>
      <c r="S111" s="949"/>
      <c r="T111" s="949"/>
    </row>
    <row r="112" spans="1:21">
      <c r="A112" s="1039" t="s">
        <v>77</v>
      </c>
      <c r="B112" s="1040">
        <v>507.4</v>
      </c>
      <c r="C112" s="954">
        <v>41348434.487099998</v>
      </c>
      <c r="D112" s="1041">
        <v>15</v>
      </c>
      <c r="E112" s="145">
        <f t="shared" si="9"/>
        <v>1046.45</v>
      </c>
      <c r="F112" s="939">
        <f t="shared" si="9"/>
        <v>85517253.239999995</v>
      </c>
      <c r="G112" s="940">
        <f t="shared" si="9"/>
        <v>28</v>
      </c>
      <c r="H112" s="148">
        <f t="shared" si="9"/>
        <v>1014.4999999999999</v>
      </c>
      <c r="I112" s="149">
        <f t="shared" si="9"/>
        <v>82774905.50999999</v>
      </c>
      <c r="J112" s="220">
        <f t="shared" si="9"/>
        <v>27</v>
      </c>
      <c r="K112" s="987">
        <f t="shared" si="10"/>
        <v>1.9994087504927078</v>
      </c>
      <c r="L112" s="988">
        <f t="shared" si="10"/>
        <v>2.0018872911820722</v>
      </c>
      <c r="M112" s="202">
        <f t="shared" si="11"/>
        <v>8</v>
      </c>
      <c r="N112" s="226">
        <f t="shared" si="11"/>
        <v>14</v>
      </c>
      <c r="O112" s="226">
        <f t="shared" si="11"/>
        <v>4</v>
      </c>
      <c r="P112" s="226">
        <f t="shared" si="11"/>
        <v>1</v>
      </c>
      <c r="Q112" s="227">
        <f t="shared" si="11"/>
        <v>0</v>
      </c>
      <c r="R112" s="930"/>
      <c r="S112" s="949"/>
      <c r="T112" s="949"/>
    </row>
    <row r="113" spans="1:22">
      <c r="A113" s="1042" t="s">
        <v>1233</v>
      </c>
      <c r="B113" s="1040">
        <v>81</v>
      </c>
      <c r="C113" s="954">
        <v>6602021.0305000003</v>
      </c>
      <c r="D113" s="1054">
        <v>2</v>
      </c>
      <c r="E113" s="328">
        <f t="shared" si="9"/>
        <v>0</v>
      </c>
      <c r="F113" s="1055">
        <f t="shared" si="9"/>
        <v>0</v>
      </c>
      <c r="G113" s="1056">
        <f t="shared" si="9"/>
        <v>0</v>
      </c>
      <c r="H113" s="187">
        <f t="shared" si="9"/>
        <v>0</v>
      </c>
      <c r="I113" s="188">
        <f t="shared" si="9"/>
        <v>0</v>
      </c>
      <c r="J113" s="247">
        <f t="shared" si="9"/>
        <v>0</v>
      </c>
      <c r="K113" s="1063">
        <f t="shared" si="10"/>
        <v>0</v>
      </c>
      <c r="L113" s="1065">
        <f t="shared" si="10"/>
        <v>0</v>
      </c>
      <c r="M113" s="195">
        <f t="shared" si="11"/>
        <v>0</v>
      </c>
      <c r="N113" s="251">
        <f t="shared" si="11"/>
        <v>0</v>
      </c>
      <c r="O113" s="251">
        <f t="shared" si="11"/>
        <v>0</v>
      </c>
      <c r="P113" s="251">
        <f t="shared" si="11"/>
        <v>0</v>
      </c>
      <c r="Q113" s="254">
        <f t="shared" si="11"/>
        <v>0</v>
      </c>
      <c r="R113" s="930"/>
      <c r="S113" s="949"/>
      <c r="T113" s="949"/>
    </row>
    <row r="114" spans="1:22">
      <c r="A114" s="1043" t="s">
        <v>114</v>
      </c>
      <c r="B114" s="963">
        <v>1095.0999999999999</v>
      </c>
      <c r="C114" s="964">
        <v>87995772.504700005</v>
      </c>
      <c r="D114" s="965">
        <v>32</v>
      </c>
      <c r="E114" s="963">
        <f t="shared" ref="E114:J114" si="12">SUM(E111:E113)</f>
        <v>1605.66</v>
      </c>
      <c r="F114" s="964">
        <f t="shared" si="12"/>
        <v>127753496.56999999</v>
      </c>
      <c r="G114" s="965">
        <f t="shared" si="12"/>
        <v>41</v>
      </c>
      <c r="H114" s="317">
        <f t="shared" si="12"/>
        <v>1826.84</v>
      </c>
      <c r="I114" s="1066">
        <f t="shared" si="12"/>
        <v>144360199.25</v>
      </c>
      <c r="J114" s="917">
        <f t="shared" si="12"/>
        <v>46</v>
      </c>
      <c r="K114" s="419">
        <f>IFERROR(H114/B114,)</f>
        <v>1.668194685416857</v>
      </c>
      <c r="L114" s="507">
        <f>IFERROR(I114/C114,)</f>
        <v>1.6405356205298325</v>
      </c>
      <c r="M114" s="473">
        <f>SUM(M111:M113)</f>
        <v>11</v>
      </c>
      <c r="N114" s="494">
        <f>SUM(N111:N113)</f>
        <v>24</v>
      </c>
      <c r="O114" s="494">
        <f>SUM(O111:O113)</f>
        <v>9</v>
      </c>
      <c r="P114" s="989">
        <f>SUM(P111:P113)</f>
        <v>2</v>
      </c>
      <c r="Q114" s="497">
        <f>SUM(Q111:Q113)</f>
        <v>0</v>
      </c>
      <c r="R114" s="930"/>
      <c r="S114" s="949"/>
      <c r="T114" s="949"/>
    </row>
    <row r="115" spans="1:22" ht="25.5">
      <c r="A115" s="692" t="s">
        <v>115</v>
      </c>
      <c r="B115" s="706" t="s">
        <v>100</v>
      </c>
      <c r="C115" s="710" t="s">
        <v>97</v>
      </c>
      <c r="D115" s="708" t="s">
        <v>95</v>
      </c>
      <c r="E115" s="1022" t="s">
        <v>494</v>
      </c>
      <c r="F115" s="138" t="s">
        <v>495</v>
      </c>
      <c r="G115" s="139" t="s">
        <v>496</v>
      </c>
      <c r="H115" s="980" t="s">
        <v>101</v>
      </c>
      <c r="I115" s="141" t="s">
        <v>98</v>
      </c>
      <c r="J115" s="141" t="s">
        <v>96</v>
      </c>
      <c r="K115" s="141" t="s">
        <v>715</v>
      </c>
      <c r="L115" s="1026" t="s">
        <v>716</v>
      </c>
      <c r="M115" s="217">
        <v>0</v>
      </c>
      <c r="N115" s="218">
        <v>1</v>
      </c>
      <c r="O115" s="218">
        <v>2</v>
      </c>
      <c r="P115" s="218">
        <v>3</v>
      </c>
      <c r="Q115" s="219">
        <v>4</v>
      </c>
      <c r="R115" s="951"/>
      <c r="S115" s="950"/>
      <c r="T115" s="950"/>
      <c r="U115" s="951"/>
    </row>
    <row r="116" spans="1:22">
      <c r="A116" s="985" t="s">
        <v>16</v>
      </c>
      <c r="B116" s="291">
        <v>401.65</v>
      </c>
      <c r="C116" s="292">
        <v>32727767.5</v>
      </c>
      <c r="D116" s="694">
        <v>12</v>
      </c>
      <c r="E116" s="1046">
        <f t="shared" ref="E116:J117" si="13">E83+E94+E105</f>
        <v>657.83999999999992</v>
      </c>
      <c r="F116" s="184">
        <f t="shared" si="13"/>
        <v>54065851.43</v>
      </c>
      <c r="G116" s="1047">
        <f t="shared" si="13"/>
        <v>17</v>
      </c>
      <c r="H116" s="346">
        <f t="shared" si="13"/>
        <v>657.83999999999992</v>
      </c>
      <c r="I116" s="184">
        <f t="shared" si="13"/>
        <v>53712486.43</v>
      </c>
      <c r="J116" s="243">
        <f t="shared" si="13"/>
        <v>17</v>
      </c>
      <c r="K116" s="990">
        <f>IFERROR(H116/B116,"")</f>
        <v>1.6378438939375077</v>
      </c>
      <c r="L116" s="991">
        <f>IFERROR(I116/C116,"")</f>
        <v>1.6411900515365125</v>
      </c>
      <c r="M116" s="183">
        <f t="shared" ref="M116:Q117" si="14">M83+M94</f>
        <v>5</v>
      </c>
      <c r="N116" s="243">
        <f t="shared" si="14"/>
        <v>5</v>
      </c>
      <c r="O116" s="243">
        <f t="shared" si="14"/>
        <v>0</v>
      </c>
      <c r="P116" s="243">
        <f t="shared" si="14"/>
        <v>0</v>
      </c>
      <c r="Q116" s="246">
        <f t="shared" si="14"/>
        <v>0</v>
      </c>
      <c r="R116" s="930"/>
      <c r="S116" s="949"/>
      <c r="T116" s="949"/>
    </row>
    <row r="117" spans="1:22">
      <c r="A117" s="1042" t="s">
        <v>22</v>
      </c>
      <c r="B117" s="315">
        <v>400.95</v>
      </c>
      <c r="C117" s="363">
        <v>31424650</v>
      </c>
      <c r="D117" s="703">
        <v>12</v>
      </c>
      <c r="E117" s="1048">
        <f t="shared" si="13"/>
        <v>679.06000000000006</v>
      </c>
      <c r="F117" s="196">
        <f t="shared" si="13"/>
        <v>53049855.469999999</v>
      </c>
      <c r="G117" s="1049">
        <f t="shared" si="13"/>
        <v>17</v>
      </c>
      <c r="H117" s="426">
        <f t="shared" si="13"/>
        <v>679.2</v>
      </c>
      <c r="I117" s="196">
        <f t="shared" si="13"/>
        <v>53120103.109999992</v>
      </c>
      <c r="J117" s="251">
        <f t="shared" si="13"/>
        <v>17</v>
      </c>
      <c r="K117" s="992">
        <f>IFERROR(H117/B117,"")</f>
        <v>1.6939768050879163</v>
      </c>
      <c r="L117" s="993">
        <f>IFERROR(I117/C117,"")</f>
        <v>1.6903960142754173</v>
      </c>
      <c r="M117" s="195">
        <f t="shared" si="14"/>
        <v>3</v>
      </c>
      <c r="N117" s="251">
        <f t="shared" si="14"/>
        <v>2</v>
      </c>
      <c r="O117" s="251">
        <f t="shared" si="14"/>
        <v>1</v>
      </c>
      <c r="P117" s="251">
        <f t="shared" si="14"/>
        <v>0</v>
      </c>
      <c r="Q117" s="254">
        <f t="shared" si="14"/>
        <v>0</v>
      </c>
      <c r="R117" s="930"/>
      <c r="S117" s="949"/>
      <c r="T117" s="949"/>
    </row>
    <row r="118" spans="1:22">
      <c r="A118" s="317" t="s">
        <v>114</v>
      </c>
      <c r="B118" s="323">
        <v>802.6</v>
      </c>
      <c r="C118" s="429">
        <v>64152417.5</v>
      </c>
      <c r="D118" s="497">
        <v>24</v>
      </c>
      <c r="E118" s="473">
        <f t="shared" ref="E118:J118" si="15">SUM(E116:E116)</f>
        <v>657.83999999999992</v>
      </c>
      <c r="F118" s="494">
        <f t="shared" si="15"/>
        <v>54065851.43</v>
      </c>
      <c r="G118" s="497">
        <f t="shared" si="15"/>
        <v>17</v>
      </c>
      <c r="H118" s="484">
        <f t="shared" si="15"/>
        <v>657.83999999999992</v>
      </c>
      <c r="I118" s="429">
        <f t="shared" si="15"/>
        <v>53712486.43</v>
      </c>
      <c r="J118" s="494">
        <f t="shared" si="15"/>
        <v>17</v>
      </c>
      <c r="K118" s="419">
        <f>IFERROR(H118/B118,)</f>
        <v>0.81963618240717651</v>
      </c>
      <c r="L118" s="507">
        <f>IFERROR(I118/C118,)</f>
        <v>0.83726363749269461</v>
      </c>
      <c r="M118" s="897">
        <f>SUM(M116:M116)</f>
        <v>5</v>
      </c>
      <c r="N118" s="897">
        <f>SUM(N116:N116)</f>
        <v>5</v>
      </c>
      <c r="O118" s="897">
        <f>SUM(O116:O116)</f>
        <v>0</v>
      </c>
      <c r="P118" s="897">
        <f>SUM(P116:P116)</f>
        <v>0</v>
      </c>
      <c r="Q118" s="898">
        <f>SUM(Q116:Q116)</f>
        <v>0</v>
      </c>
      <c r="R118" s="930"/>
      <c r="S118" s="949"/>
      <c r="T118" s="949"/>
    </row>
    <row r="119" spans="1:22">
      <c r="A119" s="339"/>
      <c r="B119" s="339"/>
      <c r="C119" s="339"/>
      <c r="D119" s="339"/>
      <c r="E119" s="339"/>
      <c r="F119" s="930"/>
      <c r="G119" s="339"/>
      <c r="H119" s="339"/>
      <c r="I119" s="930"/>
      <c r="J119" s="339"/>
      <c r="K119" s="339"/>
      <c r="L119" s="339"/>
      <c r="M119" s="930"/>
      <c r="N119" s="339"/>
      <c r="O119" s="930"/>
      <c r="P119" s="930"/>
      <c r="Q119" s="498"/>
      <c r="R119" s="930"/>
      <c r="S119" s="949"/>
      <c r="T119" s="949"/>
    </row>
    <row r="120" spans="1:22">
      <c r="A120" s="2301" t="s">
        <v>945</v>
      </c>
      <c r="B120" s="2302"/>
      <c r="C120" s="2302"/>
      <c r="D120" s="2302"/>
      <c r="E120" s="2302"/>
      <c r="F120" s="2302"/>
      <c r="G120" s="2302"/>
      <c r="H120" s="2303"/>
      <c r="I120" s="2303"/>
      <c r="J120" s="2303"/>
      <c r="K120" s="2303"/>
      <c r="L120" s="2303"/>
      <c r="M120" s="2303"/>
      <c r="N120" s="2304"/>
      <c r="O120" s="930"/>
      <c r="P120" s="930"/>
      <c r="Q120" s="498"/>
      <c r="R120" s="930"/>
      <c r="S120" s="949"/>
      <c r="T120" s="949"/>
    </row>
    <row r="121" spans="1:22" ht="25.5">
      <c r="A121" s="685" t="s">
        <v>1</v>
      </c>
      <c r="B121" s="723" t="s">
        <v>101</v>
      </c>
      <c r="C121" s="724" t="s">
        <v>98</v>
      </c>
      <c r="D121" s="688" t="s">
        <v>96</v>
      </c>
      <c r="E121" s="1022" t="s">
        <v>494</v>
      </c>
      <c r="F121" s="138" t="s">
        <v>495</v>
      </c>
      <c r="G121" s="296" t="s">
        <v>496</v>
      </c>
      <c r="H121" s="140" t="s">
        <v>946</v>
      </c>
      <c r="I121" s="141" t="s">
        <v>947</v>
      </c>
      <c r="J121" s="1067">
        <v>0</v>
      </c>
      <c r="K121" s="505">
        <v>1</v>
      </c>
      <c r="L121" s="505">
        <v>2</v>
      </c>
      <c r="M121" s="505">
        <v>3</v>
      </c>
      <c r="N121" s="506">
        <v>4</v>
      </c>
      <c r="O121" s="930"/>
      <c r="P121" s="930"/>
      <c r="Q121" s="498"/>
      <c r="R121" s="930"/>
      <c r="S121" s="949"/>
      <c r="T121" s="949"/>
    </row>
    <row r="122" spans="1:22">
      <c r="A122" s="985" t="s">
        <v>73</v>
      </c>
      <c r="B122" s="291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2" s="292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2" s="694">
        <f>COUNTIFS(РД[МОП],A122,РД[Дата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2" s="1015"/>
      <c r="F122" s="292"/>
      <c r="G122" s="720"/>
      <c r="H122" s="291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2" s="879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2" s="183">
        <f>COUNTIFS(РД[Тип кв],J$121,РД[МОП],$A122,РД[Дата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2" s="243">
        <f>COUNTIFS(РД[Тип кв],K$121,РД[МОП],$A122,РД[Дата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2" s="243">
        <f>COUNTIFS(РД[Тип кв],L$121,РД[МОП],$A122,РД[Дата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2" s="243">
        <f>COUNTIFS(РД[Тип кв],M$121,РД[МОП],$A122,РД[Дата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2" s="246">
        <f>COUNTIFS(РД[Тип кв],N$121,РД[МОП],$A122,РД[Дата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2" s="930"/>
      <c r="P122" s="930"/>
      <c r="Q122" s="498"/>
      <c r="R122" s="930"/>
      <c r="S122" s="949"/>
      <c r="T122" s="949"/>
    </row>
    <row r="123" spans="1:22" s="930" customFormat="1">
      <c r="A123" s="981" t="s">
        <v>77</v>
      </c>
      <c r="B123" s="271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3" s="52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3" s="717">
        <f>COUNTIFS(РД[МОП],A123,РД[Дата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3" s="416"/>
      <c r="F123" s="52"/>
      <c r="G123" s="421"/>
      <c r="H123" s="271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546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202">
        <f>COUNTIFS(РД[Тип кв],J$121,РД[МОП],$A123,РД[Дата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226">
        <f>COUNTIFS(РД[Тип кв],K$121,РД[МОП],$A123,РД[Дата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226">
        <f>COUNTIFS(РД[Тип кв],L$121,РД[МОП],$A123,РД[Дата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226">
        <f>COUNTIFS(РД[Тип кв],M$121,РД[МОП],$A123,РД[Дата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227">
        <f>COUNTIFS(РД[Тип кв],N$121,РД[МОП],$A123,РД[Дата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Q123" s="498"/>
      <c r="S123" s="949"/>
      <c r="T123" s="949"/>
      <c r="V123" s="931"/>
    </row>
    <row r="124" spans="1:22" s="930" customFormat="1">
      <c r="A124" s="981" t="s">
        <v>1233</v>
      </c>
      <c r="B124" s="271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4" s="52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4" s="717">
        <f>COUNTIFS(РД[МОП],A124,РД[Дата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4" s="416"/>
      <c r="F124" s="52"/>
      <c r="G124" s="421"/>
      <c r="H124" s="271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4" s="546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4" s="202">
        <f>COUNTIFS(РД[Тип кв],J$121,РД[МОП],$A124,РД[Дата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4" s="226">
        <f>COUNTIFS(РД[Тип кв],K$121,РД[МОП],$A124,РД[Дата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4" s="226">
        <f>COUNTIFS(РД[Тип кв],L$121,РД[МОП],$A124,РД[Дата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4" s="226">
        <f>COUNTIFS(РД[Тип кв],M$121,РД[МОП],$A124,РД[Дата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4" s="227">
        <f>COUNTIFS(РД[Тип кв],N$121,РД[МОП],$A124,РД[Дата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Q124" s="498"/>
      <c r="S124" s="949"/>
      <c r="T124" s="949"/>
      <c r="V124" s="931"/>
    </row>
    <row r="125" spans="1:22" s="930" customFormat="1">
      <c r="A125" s="982" t="s">
        <v>29</v>
      </c>
      <c r="B125" s="516">
        <f>SUMIFS(РД[S],РД[МОП],A125,РД[Дата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5" s="554">
        <f>SUMIFS(РД[Стоимость без отделки итог],РД[МОП],A125,РД[Дата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5" s="695">
        <f>COUNTIFS(РД[МОП],A125,РД[Дата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5" s="329">
        <f>SUMIFS(Август20223656[м2],Август20223656[МОП],$A125,Август20223656[№ дома],$C$87)</f>
        <v>0</v>
      </c>
      <c r="F125" s="958">
        <f>SUMIFS(Август20223656[сумма без отделки],Август20223656[МОП],$A125,Август20223656[№ дома],$C$87)</f>
        <v>0</v>
      </c>
      <c r="G125" s="959">
        <f>COUNTIFS(Август20223656[МОП],$A125,Август20223656[№ дома],$C$87)</f>
        <v>0</v>
      </c>
      <c r="H125" s="516">
        <f>SUMIFS(РД[S],РД[МОП],A125,РД[Дата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5" s="1002">
        <f>SUMIFS(РД[Стоимость без отделки итог],РД[МОП],A125,РД[Дата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5" s="195">
        <f>COUNTIFS(РД[Тип кв],J$121,РД[МОП],$A125,РД[Дата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5" s="251">
        <f>COUNTIFS(РД[Тип кв],K$121,РД[МОП],$A125,РД[Дата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5" s="251">
        <f>COUNTIFS(РД[Тип кв],L$121,РД[МОП],$A125,РД[Дата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5" s="251">
        <f>COUNTIFS(РД[Тип кв],M$121,РД[МОП],$A125,РД[Дата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5" s="254">
        <f>COUNTIFS(РД[Тип кв],N$121,РД[МОП],$A125,РД[Дата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Q125" s="498"/>
      <c r="S125" s="949"/>
      <c r="T125" s="949"/>
      <c r="V125" s="931"/>
    </row>
    <row r="126" spans="1:22" s="930" customFormat="1">
      <c r="A126" s="984" t="s">
        <v>114</v>
      </c>
      <c r="B126" s="323">
        <f t="shared" ref="B126:N126" si="16">SUM(B122:B125)</f>
        <v>0</v>
      </c>
      <c r="C126" s="429">
        <f t="shared" si="16"/>
        <v>0</v>
      </c>
      <c r="D126" s="319">
        <f t="shared" si="16"/>
        <v>0</v>
      </c>
      <c r="E126" s="428">
        <f t="shared" si="16"/>
        <v>0</v>
      </c>
      <c r="F126" s="429">
        <f t="shared" si="16"/>
        <v>0</v>
      </c>
      <c r="G126" s="322">
        <f t="shared" si="16"/>
        <v>0</v>
      </c>
      <c r="H126" s="323">
        <f t="shared" si="16"/>
        <v>0</v>
      </c>
      <c r="I126" s="324">
        <f t="shared" si="16"/>
        <v>0</v>
      </c>
      <c r="J126" s="284">
        <f t="shared" si="16"/>
        <v>0</v>
      </c>
      <c r="K126" s="285">
        <f t="shared" si="16"/>
        <v>0</v>
      </c>
      <c r="L126" s="285">
        <f t="shared" si="16"/>
        <v>0</v>
      </c>
      <c r="M126" s="285">
        <f t="shared" si="16"/>
        <v>0</v>
      </c>
      <c r="N126" s="305">
        <f t="shared" si="16"/>
        <v>0</v>
      </c>
      <c r="Q126" s="498"/>
      <c r="S126" s="949"/>
      <c r="T126" s="949"/>
      <c r="V126" s="931"/>
    </row>
    <row r="127" spans="1:22" s="930" customFormat="1" ht="25.5">
      <c r="A127" s="692" t="s">
        <v>115</v>
      </c>
      <c r="B127" s="706" t="s">
        <v>101</v>
      </c>
      <c r="C127" s="710" t="s">
        <v>98</v>
      </c>
      <c r="D127" s="708" t="s">
        <v>96</v>
      </c>
      <c r="E127" s="1024" t="s">
        <v>494</v>
      </c>
      <c r="F127" s="487" t="s">
        <v>495</v>
      </c>
      <c r="G127" s="524" t="s">
        <v>496</v>
      </c>
      <c r="H127" s="489" t="s">
        <v>946</v>
      </c>
      <c r="I127" s="525" t="s">
        <v>947</v>
      </c>
      <c r="J127" s="217">
        <v>0</v>
      </c>
      <c r="K127" s="218">
        <v>1</v>
      </c>
      <c r="L127" s="218">
        <v>2</v>
      </c>
      <c r="M127" s="218">
        <v>3</v>
      </c>
      <c r="N127" s="219">
        <v>4</v>
      </c>
      <c r="Q127" s="498"/>
      <c r="S127" s="949"/>
      <c r="T127" s="949"/>
      <c r="V127" s="931"/>
    </row>
    <row r="128" spans="1:22" s="930" customFormat="1">
      <c r="A128" s="985" t="s">
        <v>16</v>
      </c>
      <c r="B128" s="291">
        <f>SUMIFS(РД[S],РД[ИМ],A128,РД[Дата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8" s="292">
        <f>SUMIFS(РД[Стоимость без отделки итог],РД[ИМ],A128,РД[Дата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8" s="694">
        <f>COUNTIFS(РД[ИМ],A128,РД[Дата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8" s="551"/>
      <c r="F128" s="292"/>
      <c r="G128" s="552"/>
      <c r="H128" s="291">
        <f>SUMIFS(РД[S],РД[ИМ],A128,РД[Дата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8" s="312">
        <f>SUMIFS(РД[Стоимость без отделки итог],РД[ИМ],A128,РД[Дата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8" s="346">
        <f>COUNTIFS(РД[Тип кв],J$121,РД[ИМ],$A128,РД[Дата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8" s="243">
        <f>COUNTIFS(РД[Тип кв],K$121,РД[ИМ],$A128,РД[Дата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8" s="243">
        <f>COUNTIFS(РД[Тип кв],L$121,РД[ИМ],$A128,РД[Дата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8" s="243">
        <f>COUNTIFS(РД[Тип кв],M$121,РД[ИМ],$A128,РД[Дата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8" s="246">
        <f>COUNTIFS(РД[Тип кв],N$121,РД[ИМ],$A128,РД[Дата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Q128" s="498"/>
      <c r="S128" s="949"/>
      <c r="T128" s="949"/>
      <c r="V128" s="931"/>
    </row>
    <row r="129" spans="1:22" s="930" customFormat="1">
      <c r="A129" s="1042" t="s">
        <v>22</v>
      </c>
      <c r="B129" s="315">
        <f>SUMIFS(РД[S],РД[ИМ],A129,РД[Дата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9" s="363">
        <f>SUMIFS(РД[Стоимость без отделки итог],РД[ИМ],A129,РД[Дата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9" s="703">
        <f>COUNTIFS(РД[ИМ],A129,РД[Дата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9" s="553"/>
      <c r="F129" s="554"/>
      <c r="G129" s="555"/>
      <c r="H129" s="516">
        <f>SUMIFS(РД[S],РД[ИМ],A129,РД[Дата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9" s="517">
        <f>SUMIFS(РД[Стоимость без отделки итог],РД[ИМ],A129,РД[Дата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9" s="426">
        <f>COUNTIFS(РД[Тип кв],J$121,РД[ИМ],$A129,РД[Дата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9" s="251">
        <f>COUNTIFS(РД[Тип кв],K$121,РД[ИМ],$A129,РД[Дата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9" s="251">
        <f>COUNTIFS(РД[Тип кв],L$121,РД[ИМ],$A129,РД[Дата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9" s="251">
        <f>COUNTIFS(РД[Тип кв],M$121,РД[ИМ],$A129,РД[Дата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9" s="254">
        <f>COUNTIFS(РД[Тип кв],N$121,РД[ИМ],$A129,РД[Дата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Q129" s="498"/>
      <c r="S129" s="949"/>
      <c r="T129" s="949"/>
      <c r="V129" s="931"/>
    </row>
    <row r="130" spans="1:22" s="930" customFormat="1">
      <c r="A130" s="317" t="s">
        <v>114</v>
      </c>
      <c r="B130" s="323">
        <f>SUM(B128:B129)</f>
        <v>0</v>
      </c>
      <c r="C130" s="429">
        <f>SUM(C128:C129)</f>
        <v>0</v>
      </c>
      <c r="D130" s="497">
        <f>SUM(D128:D129)</f>
        <v>0</v>
      </c>
      <c r="E130" s="425">
        <f t="shared" ref="E130:N130" si="17">SUM(E128:E128)</f>
        <v>0</v>
      </c>
      <c r="F130" s="287">
        <f t="shared" si="17"/>
        <v>0</v>
      </c>
      <c r="G130" s="286">
        <f t="shared" si="17"/>
        <v>0</v>
      </c>
      <c r="H130" s="282">
        <f t="shared" si="17"/>
        <v>0</v>
      </c>
      <c r="I130" s="283">
        <f t="shared" si="17"/>
        <v>0</v>
      </c>
      <c r="J130" s="284">
        <f t="shared" si="17"/>
        <v>0</v>
      </c>
      <c r="K130" s="285">
        <f t="shared" si="17"/>
        <v>0</v>
      </c>
      <c r="L130" s="285">
        <f t="shared" si="17"/>
        <v>0</v>
      </c>
      <c r="M130" s="285">
        <f t="shared" si="17"/>
        <v>0</v>
      </c>
      <c r="N130" s="305">
        <f t="shared" si="17"/>
        <v>0</v>
      </c>
      <c r="Q130" s="498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V254" s="931"/>
    </row>
    <row r="255" spans="1:22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V255" s="931"/>
    </row>
    <row r="256" spans="1:22" s="930" customFormat="1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V256" s="931"/>
    </row>
    <row r="257" spans="1:22" s="930" customFormat="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T257" s="949"/>
      <c r="V257" s="931"/>
    </row>
    <row r="258" spans="1:22" s="930" customFormat="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T258" s="949"/>
      <c r="V258" s="931"/>
    </row>
    <row r="259" spans="1:22" s="930" customFormat="1">
      <c r="A259" s="65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T259" s="949"/>
      <c r="V259" s="931"/>
    </row>
    <row r="260" spans="1:22" s="930" customFormat="1">
      <c r="A260" s="931"/>
      <c r="B260" s="931"/>
      <c r="C260" s="931"/>
      <c r="D260" s="931"/>
      <c r="E260" s="931"/>
      <c r="F260" s="931"/>
      <c r="G260" s="931"/>
      <c r="H260" s="931"/>
      <c r="I260" s="931"/>
      <c r="J260" s="931"/>
      <c r="K260" s="931"/>
      <c r="L260" s="931"/>
      <c r="M260" s="931"/>
      <c r="N260" s="931"/>
      <c r="O260" s="931"/>
      <c r="P260" s="931"/>
      <c r="Q260" s="931"/>
      <c r="R260" s="931"/>
      <c r="S260" s="931"/>
      <c r="T260" s="931"/>
      <c r="V260" s="931"/>
    </row>
    <row r="261" spans="1:22" s="930" customFormat="1">
      <c r="A261" s="931"/>
      <c r="B261" s="931"/>
      <c r="C261" s="931"/>
      <c r="D261" s="931"/>
      <c r="E261" s="931"/>
      <c r="F261" s="931"/>
      <c r="G261" s="931"/>
      <c r="H261" s="931"/>
      <c r="I261" s="931"/>
      <c r="J261" s="931"/>
      <c r="K261" s="931"/>
      <c r="L261" s="931"/>
      <c r="M261" s="931"/>
      <c r="N261" s="931"/>
      <c r="O261" s="931"/>
      <c r="P261" s="931"/>
      <c r="Q261" s="931"/>
      <c r="R261" s="931"/>
      <c r="S261" s="931"/>
      <c r="T261" s="931"/>
      <c r="V261" s="931"/>
    </row>
  </sheetData>
  <sheetProtection algorithmName="SHA-512" hashValue="DGOhe9WJ6bASH5hE0cApY77xj8zCgorBraAYJR8t54XvKFcBFIR2YCIMSZwB5cx0ZQ+QOEU5vDcHj0GqUCDGow==" saltValue="o9s+IQOiW6yw8K0WqLz7ig==" spinCount="100000" sheet="1" formatCells="0" formatColumns="0" formatRows="0" sort="0" autoFilter="0" pivotTables="0"/>
  <mergeCells count="10">
    <mergeCell ref="A1:S1"/>
    <mergeCell ref="A76:B76"/>
    <mergeCell ref="D76:P76"/>
    <mergeCell ref="A87:B87"/>
    <mergeCell ref="D87:P87"/>
    <mergeCell ref="A98:B98"/>
    <mergeCell ref="D98:P98"/>
    <mergeCell ref="A109:B109"/>
    <mergeCell ref="D109:P109"/>
    <mergeCell ref="A120:N120"/>
  </mergeCells>
  <pageMargins left="0.23622047244094499" right="0.23622047244094499" top="0.74803149606299202" bottom="0.74803149606299202" header="0.31496062992126" footer="0.31496062992126"/>
  <pageSetup paperSize="9" scale="42" fitToHeight="2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800-000000000000}">
          <x14:formula1>
            <xm:f>Списки!$C$3:$C$4</xm:f>
          </x14:formula1>
          <xm:sqref>D3:D75 R3:T74</xm:sqref>
        </x14:dataValidation>
        <x14:dataValidation type="list" allowBlank="1" showInputMessage="1" showErrorMessage="1" xr:uid="{00000000-0002-0000-1800-000001000000}">
          <x14:formula1>
            <xm:f>Списки!$D$2:$D$7</xm:f>
          </x14:formula1>
          <xm:sqref>F3:F45 F47:F75</xm:sqref>
        </x14:dataValidation>
        <x14:dataValidation type="list" allowBlank="1" showInputMessage="1" showErrorMessage="1" xr:uid="{00000000-0002-0000-1800-000002000000}">
          <x14:formula1>
            <xm:f>Списки!$B$2:$B$5</xm:f>
          </x14:formula1>
          <xm:sqref>G3:G75</xm:sqref>
        </x14:dataValidation>
        <x14:dataValidation type="list" allowBlank="1" showInputMessage="1" showErrorMessage="1" xr:uid="{00000000-0002-0000-1800-000003000000}">
          <x14:formula1>
            <xm:f>Списки!$E$2:$E$7</xm:f>
          </x14:formula1>
          <xm:sqref>H3:H75</xm:sqref>
        </x14:dataValidation>
        <x14:dataValidation type="list" allowBlank="1" showInputMessage="1" showErrorMessage="1" xr:uid="{00000000-0002-0000-1800-000004000000}">
          <x14:formula1>
            <xm:f>Списки!$G$2:$G$3</xm:f>
          </x14:formula1>
          <xm:sqref>L3:L75</xm:sqref>
        </x14:dataValidation>
        <x14:dataValidation type="list" allowBlank="1" showInputMessage="1" showErrorMessage="1" xr:uid="{00000000-0002-0000-1800-000005000000}">
          <x14:formula1>
            <xm:f>Списки!$F$2:$F$3</xm:f>
          </x14:formula1>
          <xm:sqref>N3:N75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V260"/>
  <sheetViews>
    <sheetView view="pageBreakPreview" zoomScale="80" zoomScaleNormal="85" workbookViewId="0">
      <pane ySplit="2" topLeftCell="A3" activePane="bottomLeft" state="frozen"/>
      <selection pane="bottomLeft" activeCell="I88" sqref="I88"/>
    </sheetView>
  </sheetViews>
  <sheetFormatPr defaultColWidth="9.140625" defaultRowHeight="12.75" outlineLevelRow="1"/>
  <cols>
    <col min="1" max="1" width="12.42578125" style="931" customWidth="1"/>
    <col min="2" max="2" width="10.5703125" style="931" customWidth="1"/>
    <col min="3" max="3" width="14.85546875" style="931" customWidth="1"/>
    <col min="4" max="4" width="11.28515625" style="931" customWidth="1"/>
    <col min="5" max="5" width="9.42578125" style="931" customWidth="1"/>
    <col min="6" max="6" width="15.140625" style="931" customWidth="1"/>
    <col min="7" max="7" width="13.85546875" style="931" customWidth="1"/>
    <col min="8" max="9" width="15.5703125" style="931" customWidth="1"/>
    <col min="10" max="10" width="12.42578125" style="931" customWidth="1"/>
    <col min="11" max="12" width="15.5703125" style="931" customWidth="1"/>
    <col min="13" max="13" width="17.7109375" style="931" customWidth="1"/>
    <col min="14" max="14" width="13.140625" style="931" customWidth="1"/>
    <col min="15" max="15" width="25.28515625" style="931" customWidth="1"/>
    <col min="16" max="16" width="22.28515625" style="931" customWidth="1"/>
    <col min="17" max="17" width="34.5703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44926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ht="13.5" customHeight="1" outlineLevel="1">
      <c r="A3" s="62">
        <v>1</v>
      </c>
      <c r="B3" s="62">
        <v>458</v>
      </c>
      <c r="C3" s="62">
        <v>23461</v>
      </c>
      <c r="D3" s="117" t="s">
        <v>73</v>
      </c>
      <c r="E3" s="62">
        <v>74.28</v>
      </c>
      <c r="F3" s="117" t="s">
        <v>15</v>
      </c>
      <c r="G3" s="117" t="s">
        <v>7</v>
      </c>
      <c r="H3" s="117" t="s">
        <v>16</v>
      </c>
      <c r="I3" s="95">
        <v>5270229.92</v>
      </c>
      <c r="J3" s="62">
        <v>3</v>
      </c>
      <c r="K3" s="117" t="s">
        <v>65</v>
      </c>
      <c r="L3" s="117" t="s">
        <v>18</v>
      </c>
      <c r="M3" s="92">
        <v>44921</v>
      </c>
      <c r="N3" s="117" t="s">
        <v>17</v>
      </c>
      <c r="O3" s="117" t="s">
        <v>1250</v>
      </c>
      <c r="P3" s="76" t="s">
        <v>67</v>
      </c>
      <c r="Q3" s="76" t="s">
        <v>67</v>
      </c>
      <c r="R3" s="945" t="s">
        <v>73</v>
      </c>
      <c r="S3" s="945" t="s">
        <v>73</v>
      </c>
      <c r="T3" s="945" t="s">
        <v>73</v>
      </c>
      <c r="U3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4973109.92</v>
      </c>
      <c r="V3" s="929"/>
    </row>
    <row r="4" spans="1:22" s="929" customFormat="1" outlineLevel="1">
      <c r="A4" s="62">
        <v>2</v>
      </c>
      <c r="B4" s="75">
        <v>299</v>
      </c>
      <c r="C4" s="75">
        <v>23300</v>
      </c>
      <c r="D4" s="62" t="s">
        <v>73</v>
      </c>
      <c r="E4" s="62">
        <v>36.450000000000003</v>
      </c>
      <c r="F4" s="941" t="s">
        <v>9</v>
      </c>
      <c r="G4" s="62" t="s">
        <v>7</v>
      </c>
      <c r="H4" s="62" t="s">
        <v>84</v>
      </c>
      <c r="I4" s="95">
        <v>2922694.41</v>
      </c>
      <c r="J4" s="62">
        <v>0</v>
      </c>
      <c r="K4" s="62" t="s">
        <v>130</v>
      </c>
      <c r="L4" s="62" t="s">
        <v>18</v>
      </c>
      <c r="M4" s="92">
        <v>44897</v>
      </c>
      <c r="N4" s="62" t="s">
        <v>17</v>
      </c>
      <c r="O4" s="62" t="s">
        <v>1251</v>
      </c>
      <c r="P4" s="76" t="s">
        <v>67</v>
      </c>
      <c r="Q4" s="76" t="s">
        <v>67</v>
      </c>
      <c r="R4" s="941" t="s">
        <v>73</v>
      </c>
      <c r="S4" s="941" t="s">
        <v>73</v>
      </c>
      <c r="T4" s="941" t="s">
        <v>73</v>
      </c>
      <c r="U4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2922694.41</v>
      </c>
    </row>
    <row r="5" spans="1:22" ht="12.75" customHeight="1" outlineLevel="1">
      <c r="A5" s="62">
        <v>3</v>
      </c>
      <c r="B5" s="62">
        <v>101</v>
      </c>
      <c r="C5" s="62">
        <v>23473</v>
      </c>
      <c r="D5" s="117" t="s">
        <v>77</v>
      </c>
      <c r="E5" s="62">
        <v>54.66</v>
      </c>
      <c r="F5" s="117" t="s">
        <v>15</v>
      </c>
      <c r="G5" s="62" t="s">
        <v>7</v>
      </c>
      <c r="H5" s="62" t="s">
        <v>22</v>
      </c>
      <c r="I5" s="91">
        <v>4301838.66</v>
      </c>
      <c r="J5" s="62">
        <v>2</v>
      </c>
      <c r="K5" s="117" t="s">
        <v>65</v>
      </c>
      <c r="L5" s="117" t="s">
        <v>18</v>
      </c>
      <c r="M5" s="942">
        <v>44904</v>
      </c>
      <c r="N5" s="62" t="s">
        <v>17</v>
      </c>
      <c r="O5" s="117" t="s">
        <v>1252</v>
      </c>
      <c r="P5" s="76" t="s">
        <v>67</v>
      </c>
      <c r="Q5" s="76" t="s">
        <v>67</v>
      </c>
      <c r="R5" s="945" t="s">
        <v>77</v>
      </c>
      <c r="S5" s="945" t="s">
        <v>77</v>
      </c>
      <c r="T5" s="945" t="s">
        <v>77</v>
      </c>
      <c r="U5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4083198.66</v>
      </c>
    </row>
    <row r="6" spans="1:22" s="929" customFormat="1" ht="12.75" customHeight="1" outlineLevel="1">
      <c r="A6" s="62">
        <v>4</v>
      </c>
      <c r="B6" s="62">
        <v>27</v>
      </c>
      <c r="C6" s="62">
        <v>22519</v>
      </c>
      <c r="D6" s="117" t="s">
        <v>77</v>
      </c>
      <c r="E6" s="62">
        <v>35.54</v>
      </c>
      <c r="F6" s="117" t="s">
        <v>15</v>
      </c>
      <c r="G6" s="62" t="s">
        <v>7</v>
      </c>
      <c r="H6" s="117" t="s">
        <v>10</v>
      </c>
      <c r="I6" s="95">
        <v>3176469.6</v>
      </c>
      <c r="J6" s="62">
        <v>1</v>
      </c>
      <c r="K6" s="62" t="s">
        <v>130</v>
      </c>
      <c r="L6" s="62" t="s">
        <v>18</v>
      </c>
      <c r="M6" s="1016">
        <v>44900</v>
      </c>
      <c r="N6" s="62" t="s">
        <v>17</v>
      </c>
      <c r="O6" s="117" t="s">
        <v>1253</v>
      </c>
      <c r="P6" s="76" t="s">
        <v>67</v>
      </c>
      <c r="Q6" s="76" t="s">
        <v>67</v>
      </c>
      <c r="R6" s="945" t="s">
        <v>77</v>
      </c>
      <c r="S6" s="945" t="s">
        <v>73</v>
      </c>
      <c r="T6" s="945" t="s">
        <v>77</v>
      </c>
      <c r="U6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3034309.6</v>
      </c>
    </row>
    <row r="7" spans="1:22" s="929" customFormat="1" outlineLevel="1">
      <c r="A7" s="62">
        <v>5</v>
      </c>
      <c r="B7" s="75">
        <v>172</v>
      </c>
      <c r="C7" s="75">
        <v>12899</v>
      </c>
      <c r="D7" s="117" t="s">
        <v>77</v>
      </c>
      <c r="E7" s="62">
        <v>37.81</v>
      </c>
      <c r="F7" s="117" t="s">
        <v>15</v>
      </c>
      <c r="G7" s="62" t="s">
        <v>7</v>
      </c>
      <c r="H7" s="117" t="s">
        <v>16</v>
      </c>
      <c r="I7" s="95">
        <v>3253400.33</v>
      </c>
      <c r="J7" s="62">
        <v>1</v>
      </c>
      <c r="K7" s="117" t="s">
        <v>65</v>
      </c>
      <c r="L7" s="117" t="s">
        <v>18</v>
      </c>
      <c r="M7" s="1016">
        <v>44911</v>
      </c>
      <c r="N7" s="62" t="s">
        <v>17</v>
      </c>
      <c r="O7" s="117" t="s">
        <v>1254</v>
      </c>
      <c r="P7" s="76" t="s">
        <v>67</v>
      </c>
      <c r="Q7" s="76" t="s">
        <v>67</v>
      </c>
      <c r="R7" s="945" t="s">
        <v>77</v>
      </c>
      <c r="S7" s="945" t="s">
        <v>77</v>
      </c>
      <c r="T7" s="945" t="s">
        <v>77</v>
      </c>
      <c r="U7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3102160.33</v>
      </c>
    </row>
    <row r="8" spans="1:22" s="929" customFormat="1" ht="12.75" customHeight="1" outlineLevel="1">
      <c r="A8" s="62">
        <v>6</v>
      </c>
      <c r="B8" s="75">
        <v>66</v>
      </c>
      <c r="C8" s="75">
        <v>23408</v>
      </c>
      <c r="D8" s="117" t="s">
        <v>77</v>
      </c>
      <c r="E8" s="62">
        <v>61.76</v>
      </c>
      <c r="F8" s="117" t="s">
        <v>25</v>
      </c>
      <c r="G8" s="62" t="s">
        <v>7</v>
      </c>
      <c r="H8" s="117" t="s">
        <v>16</v>
      </c>
      <c r="I8" s="95">
        <v>5799286</v>
      </c>
      <c r="J8" s="62">
        <v>2</v>
      </c>
      <c r="K8" s="117" t="s">
        <v>65</v>
      </c>
      <c r="L8" s="117" t="s">
        <v>18</v>
      </c>
      <c r="M8" s="1016">
        <v>44917</v>
      </c>
      <c r="N8" s="62" t="s">
        <v>17</v>
      </c>
      <c r="O8" s="117" t="s">
        <v>1255</v>
      </c>
      <c r="P8" s="76" t="s">
        <v>67</v>
      </c>
      <c r="Q8" s="76" t="s">
        <v>67</v>
      </c>
      <c r="R8" s="945" t="s">
        <v>77</v>
      </c>
      <c r="S8" s="945" t="s">
        <v>77</v>
      </c>
      <c r="T8" s="945" t="s">
        <v>77</v>
      </c>
      <c r="U8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4872886</v>
      </c>
    </row>
    <row r="9" spans="1:22" s="929" customFormat="1" outlineLevel="1">
      <c r="A9" s="62">
        <v>7</v>
      </c>
      <c r="B9" s="62">
        <v>335</v>
      </c>
      <c r="C9" s="62">
        <v>23490</v>
      </c>
      <c r="D9" s="117" t="s">
        <v>73</v>
      </c>
      <c r="E9" s="62">
        <v>58.55</v>
      </c>
      <c r="F9" s="117" t="s">
        <v>9</v>
      </c>
      <c r="G9" s="117" t="s">
        <v>7</v>
      </c>
      <c r="H9" s="117" t="s">
        <v>16</v>
      </c>
      <c r="I9" s="95">
        <v>4209734.96</v>
      </c>
      <c r="J9" s="62">
        <v>2</v>
      </c>
      <c r="K9" s="117" t="s">
        <v>65</v>
      </c>
      <c r="L9" s="117" t="s">
        <v>18</v>
      </c>
      <c r="M9" s="1016">
        <v>44900</v>
      </c>
      <c r="N9" s="62" t="s">
        <v>17</v>
      </c>
      <c r="O9" s="117" t="s">
        <v>1256</v>
      </c>
      <c r="P9" s="76" t="s">
        <v>67</v>
      </c>
      <c r="Q9" s="76" t="s">
        <v>67</v>
      </c>
      <c r="R9" s="945" t="s">
        <v>73</v>
      </c>
      <c r="S9" s="945" t="s">
        <v>73</v>
      </c>
      <c r="T9" s="945" t="s">
        <v>73</v>
      </c>
      <c r="U9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4209734.96</v>
      </c>
    </row>
    <row r="10" spans="1:22" s="929" customFormat="1" ht="12.75" customHeight="1" outlineLevel="1">
      <c r="A10" s="62">
        <v>8</v>
      </c>
      <c r="B10" s="62">
        <v>89</v>
      </c>
      <c r="C10" s="62">
        <v>23496</v>
      </c>
      <c r="D10" s="117" t="s">
        <v>73</v>
      </c>
      <c r="E10" s="62">
        <v>33.53</v>
      </c>
      <c r="F10" s="941" t="s">
        <v>25</v>
      </c>
      <c r="G10" s="62" t="s">
        <v>7</v>
      </c>
      <c r="H10" s="62" t="s">
        <v>84</v>
      </c>
      <c r="I10" s="95">
        <v>3357302.57</v>
      </c>
      <c r="J10" s="62">
        <v>1</v>
      </c>
      <c r="K10" s="62" t="s">
        <v>130</v>
      </c>
      <c r="L10" s="117" t="s">
        <v>12</v>
      </c>
      <c r="M10" s="92">
        <v>44914</v>
      </c>
      <c r="N10" s="62" t="s">
        <v>17</v>
      </c>
      <c r="O10" s="62" t="s">
        <v>1257</v>
      </c>
      <c r="P10" s="76" t="s">
        <v>67</v>
      </c>
      <c r="Q10" s="76" t="s">
        <v>67</v>
      </c>
      <c r="R10" s="945" t="s">
        <v>73</v>
      </c>
      <c r="S10" s="945" t="s">
        <v>73</v>
      </c>
      <c r="T10" s="945" t="s">
        <v>73</v>
      </c>
      <c r="U10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2854352.57</v>
      </c>
    </row>
    <row r="11" spans="1:22" s="929" customFormat="1" outlineLevel="1">
      <c r="A11" s="62">
        <v>9</v>
      </c>
      <c r="B11" s="62">
        <v>143</v>
      </c>
      <c r="C11" s="62">
        <v>18958</v>
      </c>
      <c r="D11" s="117" t="s">
        <v>73</v>
      </c>
      <c r="E11" s="62">
        <v>78.73</v>
      </c>
      <c r="F11" s="945" t="s">
        <v>9</v>
      </c>
      <c r="G11" s="117" t="s">
        <v>7</v>
      </c>
      <c r="H11" s="117" t="s">
        <v>16</v>
      </c>
      <c r="I11" s="95">
        <v>5418827.2199999997</v>
      </c>
      <c r="J11" s="62">
        <v>3</v>
      </c>
      <c r="K11" s="117" t="s">
        <v>65</v>
      </c>
      <c r="L11" s="117" t="s">
        <v>18</v>
      </c>
      <c r="M11" s="92">
        <v>44908</v>
      </c>
      <c r="N11" s="62" t="s">
        <v>17</v>
      </c>
      <c r="O11" s="117" t="s">
        <v>1258</v>
      </c>
      <c r="P11" s="76" t="s">
        <v>67</v>
      </c>
      <c r="Q11" s="76" t="s">
        <v>67</v>
      </c>
      <c r="R11" s="945" t="s">
        <v>73</v>
      </c>
      <c r="S11" s="945" t="s">
        <v>73</v>
      </c>
      <c r="T11" s="945" t="s">
        <v>73</v>
      </c>
      <c r="U11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5418827.2199999997</v>
      </c>
    </row>
    <row r="12" spans="1:22" outlineLevel="1">
      <c r="A12" s="62">
        <v>10</v>
      </c>
      <c r="B12" s="62">
        <v>486</v>
      </c>
      <c r="C12" s="62">
        <v>23477</v>
      </c>
      <c r="D12" s="117" t="s">
        <v>77</v>
      </c>
      <c r="E12" s="62">
        <v>36.5</v>
      </c>
      <c r="F12" s="117" t="s">
        <v>15</v>
      </c>
      <c r="G12" s="62" t="s">
        <v>7</v>
      </c>
      <c r="H12" s="117" t="s">
        <v>16</v>
      </c>
      <c r="I12" s="1019">
        <v>3127050.67</v>
      </c>
      <c r="J12" s="62">
        <v>1</v>
      </c>
      <c r="K12" s="117" t="s">
        <v>65</v>
      </c>
      <c r="L12" s="117" t="s">
        <v>18</v>
      </c>
      <c r="M12" s="92">
        <v>44903</v>
      </c>
      <c r="N12" s="62" t="s">
        <v>17</v>
      </c>
      <c r="O12" s="117" t="s">
        <v>1259</v>
      </c>
      <c r="P12" s="76" t="s">
        <v>67</v>
      </c>
      <c r="Q12" s="76" t="s">
        <v>67</v>
      </c>
      <c r="R12" s="945" t="s">
        <v>77</v>
      </c>
      <c r="S12" s="945" t="s">
        <v>73</v>
      </c>
      <c r="T12" s="945" t="s">
        <v>77</v>
      </c>
      <c r="U12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2981050.67</v>
      </c>
    </row>
    <row r="13" spans="1:22" s="929" customFormat="1" ht="12.75" customHeight="1" outlineLevel="1">
      <c r="A13" s="62">
        <v>11</v>
      </c>
      <c r="B13" s="62">
        <v>479</v>
      </c>
      <c r="C13" s="62">
        <v>22477</v>
      </c>
      <c r="D13" s="117" t="s">
        <v>77</v>
      </c>
      <c r="E13" s="62">
        <v>58.62</v>
      </c>
      <c r="F13" s="945" t="s">
        <v>25</v>
      </c>
      <c r="G13" s="62" t="s">
        <v>7</v>
      </c>
      <c r="H13" s="117" t="s">
        <v>22</v>
      </c>
      <c r="I13" s="95">
        <v>5114584.95</v>
      </c>
      <c r="J13" s="62">
        <v>2</v>
      </c>
      <c r="K13" s="117" t="s">
        <v>65</v>
      </c>
      <c r="L13" s="117" t="s">
        <v>18</v>
      </c>
      <c r="M13" s="92">
        <v>44911</v>
      </c>
      <c r="N13" s="62" t="s">
        <v>17</v>
      </c>
      <c r="O13" s="62" t="s">
        <v>1260</v>
      </c>
      <c r="P13" s="76" t="s">
        <v>67</v>
      </c>
      <c r="Q13" s="76" t="s">
        <v>67</v>
      </c>
      <c r="R13" s="945" t="s">
        <v>77</v>
      </c>
      <c r="S13" s="945" t="s">
        <v>77</v>
      </c>
      <c r="T13" s="945" t="s">
        <v>77</v>
      </c>
      <c r="U13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4235284.95</v>
      </c>
    </row>
    <row r="14" spans="1:22" s="929" customFormat="1" outlineLevel="1">
      <c r="A14" s="62">
        <v>12</v>
      </c>
      <c r="B14" s="62">
        <v>139</v>
      </c>
      <c r="C14" s="62">
        <v>23518</v>
      </c>
      <c r="D14" s="117" t="s">
        <v>73</v>
      </c>
      <c r="E14" s="62">
        <v>35.380000000000003</v>
      </c>
      <c r="F14" s="945" t="s">
        <v>9</v>
      </c>
      <c r="G14" s="117" t="s">
        <v>7</v>
      </c>
      <c r="H14" s="62" t="s">
        <v>84</v>
      </c>
      <c r="I14" s="95">
        <v>3071480.38</v>
      </c>
      <c r="J14" s="62">
        <v>1</v>
      </c>
      <c r="K14" s="62" t="s">
        <v>65</v>
      </c>
      <c r="L14" s="117" t="s">
        <v>18</v>
      </c>
      <c r="M14" s="92">
        <v>44904</v>
      </c>
      <c r="N14" s="62" t="s">
        <v>17</v>
      </c>
      <c r="O14" s="62" t="s">
        <v>1261</v>
      </c>
      <c r="P14" s="76" t="s">
        <v>67</v>
      </c>
      <c r="Q14" s="76" t="s">
        <v>67</v>
      </c>
      <c r="R14" s="945" t="s">
        <v>73</v>
      </c>
      <c r="S14" s="945" t="s">
        <v>73</v>
      </c>
      <c r="T14" s="945" t="s">
        <v>73</v>
      </c>
      <c r="U14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3071480.38</v>
      </c>
    </row>
    <row r="15" spans="1:22" ht="12.75" customHeight="1" outlineLevel="1">
      <c r="A15" s="62">
        <v>13</v>
      </c>
      <c r="B15" s="62">
        <v>47</v>
      </c>
      <c r="C15" s="81">
        <v>23398</v>
      </c>
      <c r="D15" s="117" t="s">
        <v>73</v>
      </c>
      <c r="E15" s="62">
        <v>21.75</v>
      </c>
      <c r="F15" s="945" t="s">
        <v>15</v>
      </c>
      <c r="G15" s="62" t="s">
        <v>7</v>
      </c>
      <c r="H15" s="62" t="s">
        <v>16</v>
      </c>
      <c r="I15" s="95">
        <v>1900063.69</v>
      </c>
      <c r="J15" s="62">
        <v>0</v>
      </c>
      <c r="K15" s="62" t="s">
        <v>65</v>
      </c>
      <c r="L15" s="117" t="s">
        <v>18</v>
      </c>
      <c r="M15" s="92">
        <v>44907</v>
      </c>
      <c r="N15" s="62" t="s">
        <v>17</v>
      </c>
      <c r="O15" s="62" t="s">
        <v>1262</v>
      </c>
      <c r="P15" s="76" t="s">
        <v>67</v>
      </c>
      <c r="Q15" s="76" t="s">
        <v>67</v>
      </c>
      <c r="R15" s="945" t="s">
        <v>73</v>
      </c>
      <c r="S15" s="945" t="s">
        <v>73</v>
      </c>
      <c r="T15" s="945" t="s">
        <v>73</v>
      </c>
      <c r="U15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1813063.69</v>
      </c>
    </row>
    <row r="16" spans="1:22" s="929" customFormat="1" ht="12.75" customHeight="1" outlineLevel="1">
      <c r="A16" s="62">
        <v>14</v>
      </c>
      <c r="B16" s="62">
        <v>396</v>
      </c>
      <c r="C16" s="62">
        <v>23380</v>
      </c>
      <c r="D16" s="117" t="s">
        <v>73</v>
      </c>
      <c r="E16" s="62">
        <v>67.95</v>
      </c>
      <c r="F16" s="945" t="s">
        <v>15</v>
      </c>
      <c r="G16" s="62" t="s">
        <v>7</v>
      </c>
      <c r="H16" s="62" t="s">
        <v>16</v>
      </c>
      <c r="I16" s="91">
        <v>5726588.2400000002</v>
      </c>
      <c r="J16" s="62">
        <v>2</v>
      </c>
      <c r="K16" s="62" t="s">
        <v>65</v>
      </c>
      <c r="L16" s="117" t="s">
        <v>18</v>
      </c>
      <c r="M16" s="92">
        <v>44917</v>
      </c>
      <c r="N16" s="62" t="s">
        <v>17</v>
      </c>
      <c r="O16" s="76" t="s">
        <v>1263</v>
      </c>
      <c r="P16" s="76" t="s">
        <v>67</v>
      </c>
      <c r="Q16" s="76" t="s">
        <v>67</v>
      </c>
      <c r="R16" s="945" t="s">
        <v>73</v>
      </c>
      <c r="S16" s="945" t="s">
        <v>73</v>
      </c>
      <c r="T16" s="945" t="s">
        <v>73</v>
      </c>
      <c r="U16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5454788.2400000002</v>
      </c>
    </row>
    <row r="17" spans="1:22" s="929" customFormat="1" ht="12.75" customHeight="1" outlineLevel="1">
      <c r="A17" s="62">
        <v>15</v>
      </c>
      <c r="B17" s="75">
        <v>175</v>
      </c>
      <c r="C17" s="75">
        <v>23423</v>
      </c>
      <c r="D17" s="117" t="s">
        <v>73</v>
      </c>
      <c r="E17" s="62">
        <v>85.6</v>
      </c>
      <c r="F17" s="945" t="s">
        <v>9</v>
      </c>
      <c r="G17" s="62" t="s">
        <v>121</v>
      </c>
      <c r="H17" s="62" t="s">
        <v>22</v>
      </c>
      <c r="I17" s="91">
        <v>6419762.3200000003</v>
      </c>
      <c r="J17" s="62">
        <v>3</v>
      </c>
      <c r="K17" s="62" t="s">
        <v>65</v>
      </c>
      <c r="L17" s="117" t="s">
        <v>18</v>
      </c>
      <c r="M17" s="92">
        <v>44910</v>
      </c>
      <c r="N17" s="62" t="s">
        <v>17</v>
      </c>
      <c r="O17" s="62" t="s">
        <v>1264</v>
      </c>
      <c r="P17" s="892" t="s">
        <v>67</v>
      </c>
      <c r="Q17" s="892" t="s">
        <v>67</v>
      </c>
      <c r="R17" s="945" t="s">
        <v>73</v>
      </c>
      <c r="S17" s="945" t="s">
        <v>73</v>
      </c>
      <c r="T17" s="945" t="s">
        <v>73</v>
      </c>
      <c r="U17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6419762.3200000012</v>
      </c>
    </row>
    <row r="18" spans="1:22" s="929" customFormat="1" ht="12.75" customHeight="1" outlineLevel="1">
      <c r="A18" s="62">
        <v>16</v>
      </c>
      <c r="B18" s="75">
        <v>31</v>
      </c>
      <c r="C18" s="75">
        <v>23232</v>
      </c>
      <c r="D18" s="117" t="s">
        <v>73</v>
      </c>
      <c r="E18" s="62">
        <v>24.69</v>
      </c>
      <c r="F18" s="117" t="s">
        <v>9</v>
      </c>
      <c r="G18" s="62" t="s">
        <v>27</v>
      </c>
      <c r="H18" s="62" t="s">
        <v>16</v>
      </c>
      <c r="I18" s="95">
        <v>2266240.7999999998</v>
      </c>
      <c r="J18" s="62">
        <v>0</v>
      </c>
      <c r="K18" s="62" t="s">
        <v>65</v>
      </c>
      <c r="L18" s="62" t="s">
        <v>18</v>
      </c>
      <c r="M18" s="92">
        <v>44910</v>
      </c>
      <c r="N18" s="117" t="s">
        <v>17</v>
      </c>
      <c r="O18" s="62" t="s">
        <v>1265</v>
      </c>
      <c r="P18" s="76" t="s">
        <v>67</v>
      </c>
      <c r="Q18" s="76" t="s">
        <v>67</v>
      </c>
      <c r="R18" s="945" t="s">
        <v>73</v>
      </c>
      <c r="S18" s="945" t="s">
        <v>77</v>
      </c>
      <c r="T18" s="945" t="s">
        <v>73</v>
      </c>
      <c r="U18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2266240.7999999998</v>
      </c>
    </row>
    <row r="19" spans="1:22" s="929" customFormat="1" ht="14.25" customHeight="1" outlineLevel="1">
      <c r="A19" s="62">
        <v>17</v>
      </c>
      <c r="B19" s="75">
        <v>26</v>
      </c>
      <c r="C19" s="75">
        <v>23524</v>
      </c>
      <c r="D19" s="117" t="s">
        <v>73</v>
      </c>
      <c r="E19" s="62">
        <v>61.76</v>
      </c>
      <c r="F19" s="941" t="s">
        <v>25</v>
      </c>
      <c r="G19" s="62" t="s">
        <v>7</v>
      </c>
      <c r="H19" s="62" t="s">
        <v>16</v>
      </c>
      <c r="I19" s="95">
        <v>5366933.41</v>
      </c>
      <c r="J19" s="62">
        <v>2</v>
      </c>
      <c r="K19" s="62" t="s">
        <v>65</v>
      </c>
      <c r="L19" s="62" t="s">
        <v>18</v>
      </c>
      <c r="M19" s="92">
        <v>44909</v>
      </c>
      <c r="N19" s="117" t="s">
        <v>17</v>
      </c>
      <c r="O19" s="62" t="s">
        <v>1266</v>
      </c>
      <c r="P19" s="76" t="s">
        <v>67</v>
      </c>
      <c r="Q19" s="76" t="s">
        <v>67</v>
      </c>
      <c r="R19" s="945" t="s">
        <v>73</v>
      </c>
      <c r="S19" s="945" t="s">
        <v>73</v>
      </c>
      <c r="T19" s="945" t="s">
        <v>73</v>
      </c>
      <c r="U19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4440533.41</v>
      </c>
    </row>
    <row r="20" spans="1:22" s="929" customFormat="1" ht="12.75" customHeight="1" outlineLevel="1">
      <c r="A20" s="62">
        <v>18</v>
      </c>
      <c r="B20" s="75">
        <v>59</v>
      </c>
      <c r="C20" s="75">
        <v>22783</v>
      </c>
      <c r="D20" s="117" t="s">
        <v>73</v>
      </c>
      <c r="E20" s="62">
        <v>77.3</v>
      </c>
      <c r="F20" s="941" t="s">
        <v>9</v>
      </c>
      <c r="G20" s="62" t="s">
        <v>121</v>
      </c>
      <c r="H20" s="62" t="s">
        <v>22</v>
      </c>
      <c r="I20" s="1021">
        <v>5986093.2199999997</v>
      </c>
      <c r="J20" s="62">
        <v>3</v>
      </c>
      <c r="K20" s="62" t="s">
        <v>65</v>
      </c>
      <c r="L20" s="62" t="s">
        <v>18</v>
      </c>
      <c r="M20" s="92">
        <v>44916</v>
      </c>
      <c r="N20" s="117" t="s">
        <v>17</v>
      </c>
      <c r="O20" s="62" t="s">
        <v>1267</v>
      </c>
      <c r="P20" s="76" t="s">
        <v>67</v>
      </c>
      <c r="Q20" s="76" t="s">
        <v>67</v>
      </c>
      <c r="R20" s="945" t="s">
        <v>73</v>
      </c>
      <c r="S20" s="945" t="s">
        <v>73</v>
      </c>
      <c r="T20" s="945" t="s">
        <v>73</v>
      </c>
      <c r="U20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5986093.2199999997</v>
      </c>
    </row>
    <row r="21" spans="1:22" s="929" customFormat="1" ht="12.75" customHeight="1" outlineLevel="1">
      <c r="A21" s="62">
        <v>19</v>
      </c>
      <c r="B21" s="62">
        <v>35</v>
      </c>
      <c r="C21" s="75">
        <v>23156</v>
      </c>
      <c r="D21" s="117" t="s">
        <v>77</v>
      </c>
      <c r="E21" s="62">
        <v>35.54</v>
      </c>
      <c r="F21" s="945" t="s">
        <v>15</v>
      </c>
      <c r="G21" s="62" t="s">
        <v>7</v>
      </c>
      <c r="H21" s="62" t="s">
        <v>16</v>
      </c>
      <c r="I21" s="91">
        <v>3044804.95</v>
      </c>
      <c r="J21" s="62">
        <v>1</v>
      </c>
      <c r="K21" s="62" t="s">
        <v>65</v>
      </c>
      <c r="L21" s="62" t="s">
        <v>12</v>
      </c>
      <c r="M21" s="537">
        <v>44917</v>
      </c>
      <c r="N21" s="117" t="s">
        <v>17</v>
      </c>
      <c r="O21" s="62" t="s">
        <v>1268</v>
      </c>
      <c r="P21" s="76" t="s">
        <v>67</v>
      </c>
      <c r="Q21" s="76" t="s">
        <v>67</v>
      </c>
      <c r="R21" s="945" t="s">
        <v>77</v>
      </c>
      <c r="S21" s="945" t="s">
        <v>77</v>
      </c>
      <c r="T21" s="945" t="s">
        <v>77</v>
      </c>
      <c r="U21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2902644.95</v>
      </c>
    </row>
    <row r="22" spans="1:22" s="929" customFormat="1" ht="12.75" customHeight="1" outlineLevel="1">
      <c r="A22" s="62">
        <v>20</v>
      </c>
      <c r="B22" s="75">
        <v>88</v>
      </c>
      <c r="C22" s="75">
        <v>22614</v>
      </c>
      <c r="D22" s="117" t="s">
        <v>73</v>
      </c>
      <c r="E22" s="62">
        <v>21.73</v>
      </c>
      <c r="F22" s="945" t="s">
        <v>15</v>
      </c>
      <c r="G22" s="62" t="s">
        <v>7</v>
      </c>
      <c r="H22" s="62" t="s">
        <v>16</v>
      </c>
      <c r="I22" s="95">
        <v>1898316.5</v>
      </c>
      <c r="J22" s="62">
        <v>0</v>
      </c>
      <c r="K22" s="62" t="s">
        <v>65</v>
      </c>
      <c r="L22" s="62" t="s">
        <v>12</v>
      </c>
      <c r="M22" s="92">
        <v>44924</v>
      </c>
      <c r="N22" s="117" t="s">
        <v>17</v>
      </c>
      <c r="O22" s="62" t="s">
        <v>1269</v>
      </c>
      <c r="P22" s="76" t="s">
        <v>67</v>
      </c>
      <c r="Q22" s="76" t="s">
        <v>67</v>
      </c>
      <c r="R22" s="945" t="s">
        <v>73</v>
      </c>
      <c r="S22" s="945" t="s">
        <v>73</v>
      </c>
      <c r="T22" s="945" t="s">
        <v>73</v>
      </c>
      <c r="U22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1811396.5000000002</v>
      </c>
    </row>
    <row r="23" spans="1:22" s="929" customFormat="1" ht="12.75" customHeight="1" outlineLevel="1">
      <c r="A23" s="62">
        <v>21</v>
      </c>
      <c r="B23" s="75">
        <v>364</v>
      </c>
      <c r="C23" s="75">
        <v>23611</v>
      </c>
      <c r="D23" s="117" t="s">
        <v>77</v>
      </c>
      <c r="E23" s="62">
        <v>56.7</v>
      </c>
      <c r="F23" s="945" t="s">
        <v>15</v>
      </c>
      <c r="G23" s="62" t="s">
        <v>7</v>
      </c>
      <c r="H23" s="62" t="s">
        <v>16</v>
      </c>
      <c r="I23" s="95">
        <v>4620158.68</v>
      </c>
      <c r="J23" s="62">
        <v>2</v>
      </c>
      <c r="K23" s="62" t="s">
        <v>65</v>
      </c>
      <c r="L23" s="62" t="s">
        <v>18</v>
      </c>
      <c r="M23" s="92">
        <v>44914</v>
      </c>
      <c r="N23" s="117" t="s">
        <v>17</v>
      </c>
      <c r="O23" s="62" t="s">
        <v>1270</v>
      </c>
      <c r="P23" s="76" t="s">
        <v>67</v>
      </c>
      <c r="Q23" s="76" t="s">
        <v>67</v>
      </c>
      <c r="R23" s="945" t="s">
        <v>77</v>
      </c>
      <c r="S23" s="945" t="s">
        <v>77</v>
      </c>
      <c r="T23" s="945" t="s">
        <v>77</v>
      </c>
      <c r="U23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4393358.68</v>
      </c>
    </row>
    <row r="24" spans="1:22" s="929" customFormat="1" ht="12.75" customHeight="1" outlineLevel="1">
      <c r="A24" s="62">
        <v>22</v>
      </c>
      <c r="B24" s="75">
        <v>177</v>
      </c>
      <c r="C24" s="75">
        <v>23598</v>
      </c>
      <c r="D24" s="117" t="s">
        <v>77</v>
      </c>
      <c r="E24" s="62">
        <v>28.97</v>
      </c>
      <c r="F24" s="945" t="s">
        <v>15</v>
      </c>
      <c r="G24" s="62" t="s">
        <v>7</v>
      </c>
      <c r="H24" s="62" t="s">
        <v>10</v>
      </c>
      <c r="I24" s="95">
        <v>2530797.4700000002</v>
      </c>
      <c r="J24" s="62">
        <v>0</v>
      </c>
      <c r="K24" s="62" t="s">
        <v>130</v>
      </c>
      <c r="L24" s="62" t="s">
        <v>18</v>
      </c>
      <c r="M24" s="92">
        <v>44910</v>
      </c>
      <c r="N24" s="117" t="s">
        <v>17</v>
      </c>
      <c r="O24" s="941" t="s">
        <v>1271</v>
      </c>
      <c r="P24" s="892" t="s">
        <v>67</v>
      </c>
      <c r="Q24" s="892" t="s">
        <v>67</v>
      </c>
      <c r="R24" s="945" t="s">
        <v>77</v>
      </c>
      <c r="S24" s="945" t="s">
        <v>77</v>
      </c>
      <c r="T24" s="945" t="s">
        <v>77</v>
      </c>
      <c r="U24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2414917.4700000002</v>
      </c>
    </row>
    <row r="25" spans="1:22" ht="12.75" customHeight="1" outlineLevel="1">
      <c r="A25" s="62">
        <v>23</v>
      </c>
      <c r="B25" s="62">
        <v>83</v>
      </c>
      <c r="C25" s="75">
        <v>23603</v>
      </c>
      <c r="D25" s="117" t="s">
        <v>77</v>
      </c>
      <c r="E25" s="62">
        <v>35.54</v>
      </c>
      <c r="F25" s="941" t="s">
        <v>25</v>
      </c>
      <c r="G25" s="62" t="s">
        <v>7</v>
      </c>
      <c r="H25" s="62" t="s">
        <v>16</v>
      </c>
      <c r="I25" s="95">
        <v>3588515.74</v>
      </c>
      <c r="J25" s="62">
        <v>1</v>
      </c>
      <c r="K25" s="62" t="s">
        <v>65</v>
      </c>
      <c r="L25" s="62" t="s">
        <v>18</v>
      </c>
      <c r="M25" s="92">
        <v>44921</v>
      </c>
      <c r="N25" s="117" t="s">
        <v>17</v>
      </c>
      <c r="O25" s="941" t="s">
        <v>1272</v>
      </c>
      <c r="P25" s="892" t="s">
        <v>67</v>
      </c>
      <c r="Q25" s="892" t="s">
        <v>67</v>
      </c>
      <c r="R25" s="945" t="s">
        <v>77</v>
      </c>
      <c r="S25" s="945" t="s">
        <v>77</v>
      </c>
      <c r="T25" s="945" t="s">
        <v>77</v>
      </c>
      <c r="U25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3055415.7400000007</v>
      </c>
      <c r="V25" s="929"/>
    </row>
    <row r="26" spans="1:22" s="929" customFormat="1" ht="12.75" customHeight="1" outlineLevel="1">
      <c r="A26" s="62">
        <v>24</v>
      </c>
      <c r="B26" s="75">
        <v>325</v>
      </c>
      <c r="C26" s="75">
        <v>23565</v>
      </c>
      <c r="D26" s="117" t="s">
        <v>73</v>
      </c>
      <c r="E26" s="62">
        <v>29.35</v>
      </c>
      <c r="F26" s="76" t="s">
        <v>9</v>
      </c>
      <c r="G26" s="62" t="s">
        <v>7</v>
      </c>
      <c r="H26" s="62" t="s">
        <v>22</v>
      </c>
      <c r="I26" s="91">
        <v>2446593.9900000002</v>
      </c>
      <c r="J26" s="62">
        <v>0</v>
      </c>
      <c r="K26" s="371" t="s">
        <v>65</v>
      </c>
      <c r="L26" s="62" t="s">
        <v>18</v>
      </c>
      <c r="M26" s="942">
        <v>44910</v>
      </c>
      <c r="N26" s="117" t="s">
        <v>17</v>
      </c>
      <c r="O26" s="76" t="s">
        <v>1273</v>
      </c>
      <c r="P26" s="76" t="s">
        <v>67</v>
      </c>
      <c r="Q26" s="76" t="s">
        <v>67</v>
      </c>
      <c r="R26" s="945" t="s">
        <v>73</v>
      </c>
      <c r="S26" s="945" t="s">
        <v>73</v>
      </c>
      <c r="T26" s="945" t="s">
        <v>73</v>
      </c>
      <c r="U26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2446593.9900000002</v>
      </c>
    </row>
    <row r="27" spans="1:22" s="929" customFormat="1" ht="12.75" customHeight="1" outlineLevel="1">
      <c r="A27" s="62">
        <v>25</v>
      </c>
      <c r="B27" s="75">
        <v>514</v>
      </c>
      <c r="C27" s="75">
        <v>23358</v>
      </c>
      <c r="D27" s="117" t="s">
        <v>77</v>
      </c>
      <c r="E27" s="62">
        <v>56.04</v>
      </c>
      <c r="F27" s="941" t="s">
        <v>25</v>
      </c>
      <c r="G27" s="62" t="s">
        <v>7</v>
      </c>
      <c r="H27" s="62" t="s">
        <v>22</v>
      </c>
      <c r="I27" s="95">
        <v>4791627.83</v>
      </c>
      <c r="J27" s="62">
        <v>2</v>
      </c>
      <c r="K27" s="62" t="s">
        <v>65</v>
      </c>
      <c r="L27" s="62" t="s">
        <v>18</v>
      </c>
      <c r="M27" s="92">
        <v>44915</v>
      </c>
      <c r="N27" s="117" t="s">
        <v>17</v>
      </c>
      <c r="O27" s="62" t="s">
        <v>1274</v>
      </c>
      <c r="P27" s="76" t="s">
        <v>67</v>
      </c>
      <c r="Q27" s="76" t="s">
        <v>67</v>
      </c>
      <c r="R27" s="945" t="s">
        <v>77</v>
      </c>
      <c r="S27" s="945" t="s">
        <v>73</v>
      </c>
      <c r="T27" s="945" t="s">
        <v>77</v>
      </c>
      <c r="U27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3951027.83</v>
      </c>
    </row>
    <row r="28" spans="1:22" ht="12.75" customHeight="1" outlineLevel="1">
      <c r="A28" s="62">
        <v>26</v>
      </c>
      <c r="B28" s="75">
        <v>61</v>
      </c>
      <c r="C28" s="75">
        <v>23635</v>
      </c>
      <c r="D28" s="117" t="s">
        <v>77</v>
      </c>
      <c r="E28" s="62">
        <v>54.66</v>
      </c>
      <c r="F28" s="941" t="s">
        <v>25</v>
      </c>
      <c r="G28" s="62" t="s">
        <v>7</v>
      </c>
      <c r="H28" s="62" t="s">
        <v>16</v>
      </c>
      <c r="I28" s="95">
        <v>4916624.91</v>
      </c>
      <c r="J28" s="62">
        <v>2</v>
      </c>
      <c r="K28" s="62" t="s">
        <v>65</v>
      </c>
      <c r="L28" s="62" t="s">
        <v>18</v>
      </c>
      <c r="M28" s="537">
        <v>44918</v>
      </c>
      <c r="N28" s="117" t="s">
        <v>17</v>
      </c>
      <c r="O28" s="62" t="s">
        <v>1275</v>
      </c>
      <c r="P28" s="76" t="s">
        <v>67</v>
      </c>
      <c r="Q28" s="76" t="s">
        <v>67</v>
      </c>
      <c r="R28" s="945" t="s">
        <v>77</v>
      </c>
      <c r="S28" s="945" t="s">
        <v>77</v>
      </c>
      <c r="T28" s="945" t="s">
        <v>77</v>
      </c>
      <c r="U28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4096724.9099999997</v>
      </c>
      <c r="V28" s="929"/>
    </row>
    <row r="29" spans="1:22" s="929" customFormat="1" ht="12.75" customHeight="1" outlineLevel="1">
      <c r="A29" s="62">
        <v>27</v>
      </c>
      <c r="B29" s="75">
        <v>32</v>
      </c>
      <c r="C29" s="75">
        <v>23240</v>
      </c>
      <c r="D29" s="117" t="s">
        <v>77</v>
      </c>
      <c r="E29" s="62">
        <v>24.47</v>
      </c>
      <c r="F29" s="941" t="s">
        <v>25</v>
      </c>
      <c r="G29" s="62" t="s">
        <v>27</v>
      </c>
      <c r="H29" s="62" t="s">
        <v>22</v>
      </c>
      <c r="I29" s="95">
        <v>2760357.93</v>
      </c>
      <c r="J29" s="62">
        <v>0</v>
      </c>
      <c r="K29" s="62" t="s">
        <v>65</v>
      </c>
      <c r="L29" s="62" t="s">
        <v>18</v>
      </c>
      <c r="M29" s="92">
        <v>44923</v>
      </c>
      <c r="N29" s="117" t="s">
        <v>17</v>
      </c>
      <c r="O29" s="62" t="s">
        <v>1276</v>
      </c>
      <c r="P29" s="76" t="s">
        <v>67</v>
      </c>
      <c r="Q29" s="76" t="s">
        <v>67</v>
      </c>
      <c r="R29" s="945" t="s">
        <v>77</v>
      </c>
      <c r="S29" s="945" t="s">
        <v>77</v>
      </c>
      <c r="T29" s="945" t="s">
        <v>77</v>
      </c>
      <c r="U29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2393307.9300000002</v>
      </c>
    </row>
    <row r="30" spans="1:22" s="929" customFormat="1" ht="12.75" customHeight="1" outlineLevel="1">
      <c r="A30" s="62">
        <v>28</v>
      </c>
      <c r="B30" s="75">
        <v>883</v>
      </c>
      <c r="C30" s="75">
        <v>23561</v>
      </c>
      <c r="D30" s="117" t="s">
        <v>73</v>
      </c>
      <c r="E30" s="62">
        <v>23.09</v>
      </c>
      <c r="F30" s="941" t="s">
        <v>15</v>
      </c>
      <c r="G30" s="62" t="s">
        <v>27</v>
      </c>
      <c r="H30" s="62" t="s">
        <v>22</v>
      </c>
      <c r="I30" s="91">
        <v>2250508.7400000002</v>
      </c>
      <c r="J30" s="62">
        <v>0</v>
      </c>
      <c r="K30" s="62" t="s">
        <v>65</v>
      </c>
      <c r="L30" s="62" t="s">
        <v>18</v>
      </c>
      <c r="M30" s="537">
        <v>44921</v>
      </c>
      <c r="N30" s="117" t="s">
        <v>17</v>
      </c>
      <c r="O30" s="76" t="s">
        <v>1277</v>
      </c>
      <c r="P30" s="76" t="s">
        <v>67</v>
      </c>
      <c r="Q30" s="76" t="s">
        <v>67</v>
      </c>
      <c r="R30" s="945" t="s">
        <v>73</v>
      </c>
      <c r="S30" s="945" t="s">
        <v>73</v>
      </c>
      <c r="T30" s="945" t="s">
        <v>73</v>
      </c>
      <c r="U30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2158148.7400000002</v>
      </c>
    </row>
    <row r="31" spans="1:22" s="929" customFormat="1" ht="12.75" customHeight="1" outlineLevel="1">
      <c r="A31" s="62">
        <v>29</v>
      </c>
      <c r="B31" s="75">
        <v>64</v>
      </c>
      <c r="C31" s="75">
        <v>23682</v>
      </c>
      <c r="D31" s="117" t="s">
        <v>73</v>
      </c>
      <c r="E31" s="62">
        <v>21.73</v>
      </c>
      <c r="F31" s="941" t="s">
        <v>15</v>
      </c>
      <c r="G31" s="62" t="s">
        <v>7</v>
      </c>
      <c r="H31" s="62" t="s">
        <v>84</v>
      </c>
      <c r="I31" s="95">
        <v>1898316.5</v>
      </c>
      <c r="J31" s="62">
        <v>0</v>
      </c>
      <c r="K31" s="62" t="s">
        <v>65</v>
      </c>
      <c r="L31" s="62" t="s">
        <v>18</v>
      </c>
      <c r="M31" s="92">
        <v>44925</v>
      </c>
      <c r="N31" s="117" t="s">
        <v>11</v>
      </c>
      <c r="O31" s="62" t="s">
        <v>1278</v>
      </c>
      <c r="P31" s="76" t="s">
        <v>67</v>
      </c>
      <c r="Q31" s="76" t="s">
        <v>67</v>
      </c>
      <c r="R31" s="945" t="s">
        <v>73</v>
      </c>
      <c r="S31" s="945" t="s">
        <v>73</v>
      </c>
      <c r="T31" s="945" t="s">
        <v>73</v>
      </c>
      <c r="U31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1811396.5000000002</v>
      </c>
    </row>
    <row r="32" spans="1:22" s="929" customFormat="1" ht="15" customHeight="1" outlineLevel="1">
      <c r="A32" s="62">
        <v>30</v>
      </c>
      <c r="B32" s="75">
        <v>515</v>
      </c>
      <c r="C32" s="75">
        <v>23645</v>
      </c>
      <c r="D32" s="62" t="s">
        <v>77</v>
      </c>
      <c r="E32" s="62">
        <v>58.62</v>
      </c>
      <c r="F32" s="941" t="s">
        <v>25</v>
      </c>
      <c r="G32" s="62" t="s">
        <v>7</v>
      </c>
      <c r="H32" s="62" t="s">
        <v>16</v>
      </c>
      <c r="I32" s="95">
        <v>5053147.67</v>
      </c>
      <c r="J32" s="62">
        <v>2</v>
      </c>
      <c r="K32" s="62" t="s">
        <v>65</v>
      </c>
      <c r="L32" s="62" t="s">
        <v>18</v>
      </c>
      <c r="M32" s="92">
        <v>44916</v>
      </c>
      <c r="N32" s="117" t="s">
        <v>17</v>
      </c>
      <c r="O32" s="941" t="s">
        <v>1279</v>
      </c>
      <c r="P32" s="76" t="s">
        <v>67</v>
      </c>
      <c r="Q32" s="76" t="s">
        <v>67</v>
      </c>
      <c r="R32" s="941" t="s">
        <v>77</v>
      </c>
      <c r="S32" s="941" t="s">
        <v>77</v>
      </c>
      <c r="T32" s="941" t="s">
        <v>73</v>
      </c>
      <c r="U32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4173847.67</v>
      </c>
    </row>
    <row r="33" spans="1:21" s="929" customFormat="1" ht="12.75" customHeight="1" outlineLevel="1">
      <c r="A33" s="62">
        <v>31</v>
      </c>
      <c r="B33" s="62">
        <v>139</v>
      </c>
      <c r="C33" s="75">
        <v>23633</v>
      </c>
      <c r="D33" s="62" t="s">
        <v>77</v>
      </c>
      <c r="E33" s="62">
        <v>24.39</v>
      </c>
      <c r="F33" s="941" t="s">
        <v>9</v>
      </c>
      <c r="G33" s="62" t="s">
        <v>27</v>
      </c>
      <c r="H33" s="62" t="s">
        <v>16</v>
      </c>
      <c r="I33" s="95">
        <v>2235516.63</v>
      </c>
      <c r="J33" s="62">
        <v>0</v>
      </c>
      <c r="K33" s="62" t="s">
        <v>65</v>
      </c>
      <c r="L33" s="62" t="s">
        <v>18</v>
      </c>
      <c r="M33" s="942"/>
      <c r="N33" s="117" t="s">
        <v>17</v>
      </c>
      <c r="O33" s="941" t="s">
        <v>1280</v>
      </c>
      <c r="P33" s="76" t="s">
        <v>67</v>
      </c>
      <c r="Q33" s="76" t="s">
        <v>67</v>
      </c>
      <c r="R33" s="941" t="s">
        <v>77</v>
      </c>
      <c r="S33" s="941" t="s">
        <v>77</v>
      </c>
      <c r="T33" s="941" t="s">
        <v>77</v>
      </c>
      <c r="U33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2235516.63</v>
      </c>
    </row>
    <row r="34" spans="1:21" s="929" customFormat="1" ht="12.75" customHeight="1" outlineLevel="1">
      <c r="A34" s="62">
        <v>32</v>
      </c>
      <c r="B34" s="75">
        <v>39</v>
      </c>
      <c r="C34" s="75">
        <v>23670</v>
      </c>
      <c r="D34" s="62" t="s">
        <v>77</v>
      </c>
      <c r="E34" s="62">
        <v>21.75</v>
      </c>
      <c r="F34" s="941" t="s">
        <v>25</v>
      </c>
      <c r="G34" s="62" t="s">
        <v>7</v>
      </c>
      <c r="H34" s="62" t="s">
        <v>16</v>
      </c>
      <c r="I34" s="91">
        <v>2139313.69</v>
      </c>
      <c r="J34" s="62">
        <v>0</v>
      </c>
      <c r="K34" s="62" t="s">
        <v>65</v>
      </c>
      <c r="L34" s="62" t="s">
        <v>18</v>
      </c>
      <c r="M34" s="537">
        <v>44923</v>
      </c>
      <c r="N34" s="117" t="s">
        <v>17</v>
      </c>
      <c r="O34" s="76" t="s">
        <v>1281</v>
      </c>
      <c r="P34" s="76" t="s">
        <v>67</v>
      </c>
      <c r="Q34" s="76" t="s">
        <v>67</v>
      </c>
      <c r="R34" s="941" t="s">
        <v>77</v>
      </c>
      <c r="S34" s="941" t="s">
        <v>77</v>
      </c>
      <c r="T34" s="941" t="s">
        <v>77</v>
      </c>
      <c r="U34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1813063.69</v>
      </c>
    </row>
    <row r="35" spans="1:21" s="929" customFormat="1" ht="12.75" customHeight="1" outlineLevel="1">
      <c r="A35" s="62">
        <v>33</v>
      </c>
      <c r="B35" s="75">
        <v>287</v>
      </c>
      <c r="C35" s="75">
        <v>23673</v>
      </c>
      <c r="D35" s="62" t="s">
        <v>77</v>
      </c>
      <c r="E35" s="62">
        <v>56.7</v>
      </c>
      <c r="F35" s="941" t="s">
        <v>9</v>
      </c>
      <c r="G35" s="62" t="s">
        <v>7</v>
      </c>
      <c r="H35" s="62" t="s">
        <v>16</v>
      </c>
      <c r="I35" s="91">
        <v>4291284.5</v>
      </c>
      <c r="J35" s="62">
        <v>2</v>
      </c>
      <c r="K35" s="62" t="s">
        <v>65</v>
      </c>
      <c r="L35" s="62" t="s">
        <v>18</v>
      </c>
      <c r="M35" s="537">
        <v>44923</v>
      </c>
      <c r="N35" s="117" t="s">
        <v>17</v>
      </c>
      <c r="O35" s="76" t="s">
        <v>1282</v>
      </c>
      <c r="P35" s="76" t="s">
        <v>67</v>
      </c>
      <c r="Q35" s="76" t="s">
        <v>67</v>
      </c>
      <c r="R35" s="941" t="s">
        <v>77</v>
      </c>
      <c r="S35" s="941" t="s">
        <v>77</v>
      </c>
      <c r="T35" s="941" t="s">
        <v>77</v>
      </c>
      <c r="U35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4291284.5</v>
      </c>
    </row>
    <row r="36" spans="1:21" s="929" customFormat="1" ht="12.75" customHeight="1" outlineLevel="1">
      <c r="A36" s="62">
        <v>34</v>
      </c>
      <c r="B36" s="75">
        <v>152</v>
      </c>
      <c r="C36" s="75">
        <v>23721</v>
      </c>
      <c r="D36" s="62" t="s">
        <v>73</v>
      </c>
      <c r="E36" s="62">
        <v>33.79</v>
      </c>
      <c r="F36" s="941" t="s">
        <v>9</v>
      </c>
      <c r="G36" s="62" t="s">
        <v>7</v>
      </c>
      <c r="H36" s="62" t="s">
        <v>84</v>
      </c>
      <c r="I36" s="95">
        <v>2732661.63</v>
      </c>
      <c r="J36" s="62">
        <v>1</v>
      </c>
      <c r="K36" s="62"/>
      <c r="L36" s="62"/>
      <c r="M36" s="92">
        <v>44925</v>
      </c>
      <c r="N36" s="62" t="s">
        <v>17</v>
      </c>
      <c r="O36" s="62" t="s">
        <v>1283</v>
      </c>
      <c r="P36" s="76" t="s">
        <v>67</v>
      </c>
      <c r="Q36" s="76" t="s">
        <v>67</v>
      </c>
      <c r="R36" s="941" t="s">
        <v>73</v>
      </c>
      <c r="S36" s="941" t="s">
        <v>73</v>
      </c>
      <c r="T36" s="941" t="s">
        <v>73</v>
      </c>
      <c r="U36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2732661.63</v>
      </c>
    </row>
    <row r="37" spans="1:21" s="929" customFormat="1" ht="12.75" customHeight="1" outlineLevel="1">
      <c r="A37" s="62">
        <v>35</v>
      </c>
      <c r="B37" s="75">
        <v>412</v>
      </c>
      <c r="C37" s="75">
        <v>23654</v>
      </c>
      <c r="D37" s="117" t="s">
        <v>1233</v>
      </c>
      <c r="E37" s="62">
        <v>38.6</v>
      </c>
      <c r="F37" s="941" t="s">
        <v>15</v>
      </c>
      <c r="G37" s="62" t="s">
        <v>7</v>
      </c>
      <c r="H37" s="62" t="s">
        <v>22</v>
      </c>
      <c r="I37" s="91">
        <v>3472887.55</v>
      </c>
      <c r="J37" s="62">
        <v>1</v>
      </c>
      <c r="K37" s="62" t="s">
        <v>65</v>
      </c>
      <c r="L37" s="62" t="s">
        <v>18</v>
      </c>
      <c r="M37" s="92">
        <v>44922</v>
      </c>
      <c r="N37" s="117" t="s">
        <v>17</v>
      </c>
      <c r="O37" s="62" t="s">
        <v>1284</v>
      </c>
      <c r="P37" s="76" t="s">
        <v>111</v>
      </c>
      <c r="Q37" s="76" t="s">
        <v>67</v>
      </c>
      <c r="R37" s="945" t="s">
        <v>1233</v>
      </c>
      <c r="S37" s="945" t="s">
        <v>1233</v>
      </c>
      <c r="T37" s="945" t="s">
        <v>1233</v>
      </c>
      <c r="U37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3318487.5500000003</v>
      </c>
    </row>
    <row r="38" spans="1:21" s="929" customFormat="1" ht="12.75" customHeight="1" outlineLevel="1">
      <c r="A38" s="62">
        <v>36</v>
      </c>
      <c r="B38" s="75">
        <v>28</v>
      </c>
      <c r="C38" s="75">
        <v>23666</v>
      </c>
      <c r="D38" s="117" t="s">
        <v>1233</v>
      </c>
      <c r="E38" s="62">
        <v>56.03</v>
      </c>
      <c r="F38" s="941" t="s">
        <v>15</v>
      </c>
      <c r="G38" s="62" t="s">
        <v>7</v>
      </c>
      <c r="H38" s="62" t="s">
        <v>22</v>
      </c>
      <c r="I38" s="95">
        <v>4423525.3600000003</v>
      </c>
      <c r="J38" s="62">
        <v>2</v>
      </c>
      <c r="K38" s="62" t="s">
        <v>65</v>
      </c>
      <c r="L38" s="62" t="s">
        <v>18</v>
      </c>
      <c r="M38" s="92">
        <v>44922</v>
      </c>
      <c r="N38" s="117" t="s">
        <v>17</v>
      </c>
      <c r="O38" s="62" t="s">
        <v>1285</v>
      </c>
      <c r="P38" s="76" t="s">
        <v>111</v>
      </c>
      <c r="Q38" s="76" t="s">
        <v>67</v>
      </c>
      <c r="R38" s="945" t="s">
        <v>1233</v>
      </c>
      <c r="S38" s="945" t="s">
        <v>1233</v>
      </c>
      <c r="T38" s="945" t="s">
        <v>1233</v>
      </c>
      <c r="U38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4199405.3600000003</v>
      </c>
    </row>
    <row r="39" spans="1:21" outlineLevel="1">
      <c r="A39" s="62">
        <v>37</v>
      </c>
      <c r="B39" s="75">
        <v>40</v>
      </c>
      <c r="C39" s="75">
        <v>23688</v>
      </c>
      <c r="D39" s="117" t="s">
        <v>1233</v>
      </c>
      <c r="E39" s="1029">
        <v>24.39</v>
      </c>
      <c r="F39" s="941" t="s">
        <v>25</v>
      </c>
      <c r="G39" s="62" t="s">
        <v>27</v>
      </c>
      <c r="H39" s="62" t="s">
        <v>16</v>
      </c>
      <c r="I39" s="95">
        <v>2751366.63</v>
      </c>
      <c r="J39" s="62">
        <v>0</v>
      </c>
      <c r="K39" s="62" t="s">
        <v>65</v>
      </c>
      <c r="L39" s="62" t="s">
        <v>18</v>
      </c>
      <c r="M39" s="92">
        <v>44922</v>
      </c>
      <c r="N39" s="117" t="s">
        <v>17</v>
      </c>
      <c r="O39" s="62" t="s">
        <v>1286</v>
      </c>
      <c r="P39" s="76" t="s">
        <v>111</v>
      </c>
      <c r="Q39" s="76" t="s">
        <v>67</v>
      </c>
      <c r="R39" s="945" t="s">
        <v>1233</v>
      </c>
      <c r="S39" s="945" t="s">
        <v>77</v>
      </c>
      <c r="T39" s="945" t="s">
        <v>1233</v>
      </c>
      <c r="U39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2385516.63</v>
      </c>
    </row>
    <row r="40" spans="1:21" s="929" customFormat="1" outlineLevel="1">
      <c r="A40" s="62">
        <v>38</v>
      </c>
      <c r="B40" s="75">
        <v>182</v>
      </c>
      <c r="C40" s="75">
        <v>23550</v>
      </c>
      <c r="D40" s="117" t="s">
        <v>1233</v>
      </c>
      <c r="E40" s="1029">
        <v>37.94</v>
      </c>
      <c r="F40" s="941" t="s">
        <v>25</v>
      </c>
      <c r="G40" s="62" t="s">
        <v>27</v>
      </c>
      <c r="H40" s="62" t="s">
        <v>22</v>
      </c>
      <c r="I40" s="95">
        <v>4218458.3</v>
      </c>
      <c r="J40" s="62">
        <v>1</v>
      </c>
      <c r="K40" s="62" t="s">
        <v>65</v>
      </c>
      <c r="L40" s="62" t="s">
        <v>18</v>
      </c>
      <c r="M40" s="92">
        <v>44921</v>
      </c>
      <c r="N40" s="117" t="s">
        <v>17</v>
      </c>
      <c r="O40" s="62" t="s">
        <v>1287</v>
      </c>
      <c r="P40" s="76" t="s">
        <v>67</v>
      </c>
      <c r="Q40" s="76" t="s">
        <v>67</v>
      </c>
      <c r="R40" s="945" t="s">
        <v>1233</v>
      </c>
      <c r="S40" s="945" t="s">
        <v>73</v>
      </c>
      <c r="T40" s="945" t="s">
        <v>1233</v>
      </c>
      <c r="U40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3649358.3</v>
      </c>
    </row>
    <row r="41" spans="1:21" s="929" customFormat="1" ht="12.75" customHeight="1" outlineLevel="1">
      <c r="A41" s="62">
        <v>39</v>
      </c>
      <c r="B41" s="75">
        <v>902</v>
      </c>
      <c r="C41" s="75">
        <v>23675</v>
      </c>
      <c r="D41" s="117" t="s">
        <v>77</v>
      </c>
      <c r="E41" s="1030">
        <v>23.09</v>
      </c>
      <c r="F41" s="941" t="s">
        <v>9</v>
      </c>
      <c r="G41" s="62" t="s">
        <v>27</v>
      </c>
      <c r="H41" s="62" t="s">
        <v>22</v>
      </c>
      <c r="I41" s="1031">
        <v>2121735.5099999998</v>
      </c>
      <c r="J41" s="62">
        <v>0</v>
      </c>
      <c r="K41" s="62" t="s">
        <v>65</v>
      </c>
      <c r="L41" s="62" t="s">
        <v>18</v>
      </c>
      <c r="M41" s="92">
        <v>44923</v>
      </c>
      <c r="N41" s="117" t="s">
        <v>17</v>
      </c>
      <c r="O41" s="62" t="s">
        <v>1288</v>
      </c>
      <c r="P41" s="76" t="s">
        <v>67</v>
      </c>
      <c r="Q41" s="76" t="s">
        <v>67</v>
      </c>
      <c r="R41" s="945" t="s">
        <v>77</v>
      </c>
      <c r="S41" s="945" t="s">
        <v>1233</v>
      </c>
      <c r="T41" s="945" t="s">
        <v>77</v>
      </c>
      <c r="U41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2121735.5099999998</v>
      </c>
    </row>
    <row r="42" spans="1:21" s="929" customFormat="1" ht="12.75" customHeight="1" outlineLevel="1">
      <c r="A42" s="62">
        <v>40</v>
      </c>
      <c r="B42" s="75">
        <v>208</v>
      </c>
      <c r="C42" s="75">
        <v>23328</v>
      </c>
      <c r="D42" s="117" t="s">
        <v>73</v>
      </c>
      <c r="E42" s="941">
        <v>33.79</v>
      </c>
      <c r="F42" s="941" t="s">
        <v>15</v>
      </c>
      <c r="G42" s="62" t="s">
        <v>7</v>
      </c>
      <c r="H42" s="62" t="s">
        <v>84</v>
      </c>
      <c r="I42" s="95">
        <v>2867821.63</v>
      </c>
      <c r="J42" s="62">
        <v>1</v>
      </c>
      <c r="K42" s="62" t="s">
        <v>130</v>
      </c>
      <c r="L42" s="431" t="s">
        <v>18</v>
      </c>
      <c r="M42" s="92">
        <v>44923</v>
      </c>
      <c r="N42" s="117" t="s">
        <v>17</v>
      </c>
      <c r="O42" s="62" t="s">
        <v>1289</v>
      </c>
      <c r="P42" s="76" t="s">
        <v>67</v>
      </c>
      <c r="Q42" s="76" t="s">
        <v>67</v>
      </c>
      <c r="R42" s="945" t="s">
        <v>73</v>
      </c>
      <c r="S42" s="945" t="s">
        <v>73</v>
      </c>
      <c r="T42" s="945" t="s">
        <v>73</v>
      </c>
      <c r="U42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2732661.63</v>
      </c>
    </row>
    <row r="43" spans="1:21" s="929" customFormat="1" ht="12.75" customHeight="1" outlineLevel="1">
      <c r="A43" s="62">
        <v>41</v>
      </c>
      <c r="B43" s="75">
        <v>40</v>
      </c>
      <c r="C43" s="74">
        <v>23657</v>
      </c>
      <c r="D43" s="62" t="s">
        <v>73</v>
      </c>
      <c r="E43" s="62">
        <v>21.73</v>
      </c>
      <c r="F43" s="941" t="s">
        <v>15</v>
      </c>
      <c r="G43" s="62" t="s">
        <v>7</v>
      </c>
      <c r="H43" s="62" t="s">
        <v>84</v>
      </c>
      <c r="I43" s="95">
        <v>1898316.5</v>
      </c>
      <c r="J43" s="62">
        <v>0</v>
      </c>
      <c r="K43" s="62" t="s">
        <v>130</v>
      </c>
      <c r="L43" s="62" t="s">
        <v>18</v>
      </c>
      <c r="M43" s="92">
        <v>44922</v>
      </c>
      <c r="N43" s="117" t="s">
        <v>17</v>
      </c>
      <c r="O43" s="62" t="s">
        <v>1290</v>
      </c>
      <c r="P43" s="76" t="s">
        <v>111</v>
      </c>
      <c r="Q43" s="76" t="s">
        <v>111</v>
      </c>
      <c r="R43" s="941" t="s">
        <v>73</v>
      </c>
      <c r="S43" s="941" t="s">
        <v>73</v>
      </c>
      <c r="T43" s="941" t="s">
        <v>73</v>
      </c>
      <c r="U43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1811396.5000000002</v>
      </c>
    </row>
    <row r="44" spans="1:21" s="929" customFormat="1" outlineLevel="1">
      <c r="A44" s="62">
        <v>42</v>
      </c>
      <c r="B44" s="75">
        <v>176</v>
      </c>
      <c r="C44" s="75">
        <v>23695</v>
      </c>
      <c r="D44" s="62" t="s">
        <v>73</v>
      </c>
      <c r="E44" s="62">
        <v>33.79</v>
      </c>
      <c r="F44" s="941" t="s">
        <v>9</v>
      </c>
      <c r="G44" s="62" t="s">
        <v>7</v>
      </c>
      <c r="H44" s="62" t="s">
        <v>16</v>
      </c>
      <c r="I44" s="95">
        <v>2732661.63</v>
      </c>
      <c r="J44" s="62">
        <v>1</v>
      </c>
      <c r="K44" s="62" t="s">
        <v>65</v>
      </c>
      <c r="L44" s="62" t="s">
        <v>18</v>
      </c>
      <c r="M44" s="92">
        <v>44925</v>
      </c>
      <c r="N44" s="117" t="s">
        <v>17</v>
      </c>
      <c r="O44" s="62" t="s">
        <v>954</v>
      </c>
      <c r="P44" s="76" t="s">
        <v>111</v>
      </c>
      <c r="Q44" s="76" t="s">
        <v>111</v>
      </c>
      <c r="R44" s="941" t="s">
        <v>73</v>
      </c>
      <c r="S44" s="941" t="s">
        <v>73</v>
      </c>
      <c r="T44" s="941" t="s">
        <v>73</v>
      </c>
      <c r="U44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2732661.63</v>
      </c>
    </row>
    <row r="45" spans="1:21" s="929" customFormat="1" outlineLevel="1">
      <c r="A45" s="62">
        <v>43</v>
      </c>
      <c r="B45" s="75">
        <v>58</v>
      </c>
      <c r="C45" s="75">
        <v>23710</v>
      </c>
      <c r="D45" s="117" t="s">
        <v>1233</v>
      </c>
      <c r="E45" s="62">
        <v>24.39</v>
      </c>
      <c r="F45" s="941" t="s">
        <v>25</v>
      </c>
      <c r="G45" s="62" t="s">
        <v>27</v>
      </c>
      <c r="H45" s="62" t="s">
        <v>22</v>
      </c>
      <c r="I45" s="95">
        <v>2751366.63</v>
      </c>
      <c r="J45" s="62">
        <v>0</v>
      </c>
      <c r="K45" s="62" t="s">
        <v>65</v>
      </c>
      <c r="L45" s="62" t="s">
        <v>18</v>
      </c>
      <c r="M45" s="92">
        <v>44923</v>
      </c>
      <c r="N45" s="117" t="s">
        <v>17</v>
      </c>
      <c r="O45" s="62" t="s">
        <v>1291</v>
      </c>
      <c r="P45" s="76" t="s">
        <v>67</v>
      </c>
      <c r="Q45" s="76" t="s">
        <v>67</v>
      </c>
      <c r="R45" s="945" t="s">
        <v>1233</v>
      </c>
      <c r="S45" s="945" t="s">
        <v>1233</v>
      </c>
      <c r="T45" s="945" t="s">
        <v>1233</v>
      </c>
      <c r="U45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2385516.63</v>
      </c>
    </row>
    <row r="46" spans="1:21" s="929" customFormat="1" outlineLevel="1">
      <c r="A46" s="62">
        <v>44</v>
      </c>
      <c r="B46" s="75">
        <v>238</v>
      </c>
      <c r="C46" s="75">
        <v>23619</v>
      </c>
      <c r="D46" s="117" t="s">
        <v>1233</v>
      </c>
      <c r="E46" s="62">
        <v>36.659999999999997</v>
      </c>
      <c r="F46" s="941" t="s">
        <v>15</v>
      </c>
      <c r="G46" s="62" t="s">
        <v>7</v>
      </c>
      <c r="H46" s="62" t="s">
        <v>22</v>
      </c>
      <c r="I46" s="95">
        <v>3360141.22</v>
      </c>
      <c r="J46" s="62">
        <v>1</v>
      </c>
      <c r="K46" s="62" t="s">
        <v>65</v>
      </c>
      <c r="L46" s="62" t="s">
        <v>18</v>
      </c>
      <c r="M46" s="92">
        <v>44923</v>
      </c>
      <c r="N46" s="117" t="s">
        <v>17</v>
      </c>
      <c r="O46" s="62" t="s">
        <v>1292</v>
      </c>
      <c r="P46" s="76" t="s">
        <v>67</v>
      </c>
      <c r="Q46" s="76" t="s">
        <v>67</v>
      </c>
      <c r="R46" s="945" t="s">
        <v>1233</v>
      </c>
      <c r="S46" s="945" t="s">
        <v>1233</v>
      </c>
      <c r="T46" s="945" t="s">
        <v>1233</v>
      </c>
      <c r="U46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3213501.22</v>
      </c>
    </row>
    <row r="47" spans="1:21" s="929" customFormat="1" outlineLevel="1">
      <c r="A47" s="62">
        <v>45</v>
      </c>
      <c r="B47" s="75">
        <v>4</v>
      </c>
      <c r="C47" s="75">
        <v>7534</v>
      </c>
      <c r="D47" s="117" t="s">
        <v>1233</v>
      </c>
      <c r="E47" s="62">
        <v>56.03</v>
      </c>
      <c r="F47" s="941" t="s">
        <v>25</v>
      </c>
      <c r="G47" s="62" t="s">
        <v>7</v>
      </c>
      <c r="H47" s="62" t="s">
        <v>22</v>
      </c>
      <c r="I47" s="95">
        <v>5039855.3600000003</v>
      </c>
      <c r="J47" s="62">
        <v>2</v>
      </c>
      <c r="K47" s="62" t="s">
        <v>65</v>
      </c>
      <c r="L47" s="62" t="s">
        <v>18</v>
      </c>
      <c r="M47" s="92">
        <v>44923</v>
      </c>
      <c r="N47" s="62" t="s">
        <v>17</v>
      </c>
      <c r="O47" s="62" t="s">
        <v>1293</v>
      </c>
      <c r="P47" s="76" t="s">
        <v>67</v>
      </c>
      <c r="Q47" s="76" t="s">
        <v>67</v>
      </c>
      <c r="R47" s="945" t="s">
        <v>1233</v>
      </c>
      <c r="S47" s="945" t="s">
        <v>1233</v>
      </c>
      <c r="T47" s="945" t="s">
        <v>1233</v>
      </c>
      <c r="U47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4199405.3600000003</v>
      </c>
    </row>
    <row r="48" spans="1:21" s="929" customFormat="1" outlineLevel="1">
      <c r="A48" s="62">
        <v>46</v>
      </c>
      <c r="B48" s="75">
        <v>188</v>
      </c>
      <c r="C48" s="75">
        <v>22171</v>
      </c>
      <c r="D48" s="117" t="s">
        <v>73</v>
      </c>
      <c r="E48" s="62">
        <v>37.69</v>
      </c>
      <c r="F48" s="941" t="s">
        <v>25</v>
      </c>
      <c r="G48" s="62" t="s">
        <v>27</v>
      </c>
      <c r="H48" s="62" t="s">
        <v>22</v>
      </c>
      <c r="I48" s="95">
        <v>4009463.86</v>
      </c>
      <c r="J48" s="62">
        <v>1</v>
      </c>
      <c r="K48" s="62"/>
      <c r="L48" s="62"/>
      <c r="M48" s="92">
        <v>44924</v>
      </c>
      <c r="N48" s="62" t="s">
        <v>17</v>
      </c>
      <c r="O48" s="62" t="s">
        <v>1294</v>
      </c>
      <c r="P48" s="76" t="s">
        <v>67</v>
      </c>
      <c r="Q48" s="76" t="s">
        <v>67</v>
      </c>
      <c r="R48" s="945" t="s">
        <v>22</v>
      </c>
      <c r="S48" s="945" t="s">
        <v>22</v>
      </c>
      <c r="T48" s="945" t="s">
        <v>73</v>
      </c>
      <c r="U48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3444113.86</v>
      </c>
    </row>
    <row r="49" spans="1:21" s="929" customFormat="1" outlineLevel="1">
      <c r="A49" s="62">
        <v>47</v>
      </c>
      <c r="B49" s="75">
        <v>441</v>
      </c>
      <c r="C49" s="75">
        <v>23663</v>
      </c>
      <c r="D49" s="117" t="s">
        <v>1233</v>
      </c>
      <c r="E49" s="62">
        <v>36.5</v>
      </c>
      <c r="F49" s="941" t="s">
        <v>15</v>
      </c>
      <c r="G49" s="62" t="s">
        <v>7</v>
      </c>
      <c r="H49" s="62" t="s">
        <v>84</v>
      </c>
      <c r="I49" s="95">
        <v>3314712.1</v>
      </c>
      <c r="J49" s="62">
        <v>1</v>
      </c>
      <c r="K49" s="62"/>
      <c r="L49" s="62"/>
      <c r="M49" s="92">
        <v>44924</v>
      </c>
      <c r="N49" s="62" t="s">
        <v>17</v>
      </c>
      <c r="O49" s="62" t="s">
        <v>1295</v>
      </c>
      <c r="P49" s="76" t="s">
        <v>67</v>
      </c>
      <c r="Q49" s="76" t="s">
        <v>67</v>
      </c>
      <c r="R49" s="945" t="s">
        <v>1233</v>
      </c>
      <c r="S49" s="945" t="s">
        <v>1233</v>
      </c>
      <c r="T49" s="945" t="s">
        <v>1233</v>
      </c>
      <c r="U49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3168712.1</v>
      </c>
    </row>
    <row r="50" spans="1:21" s="929" customFormat="1" outlineLevel="1">
      <c r="A50" s="62">
        <v>48</v>
      </c>
      <c r="B50" s="75">
        <v>197</v>
      </c>
      <c r="C50" s="75">
        <v>111</v>
      </c>
      <c r="D50" s="117" t="s">
        <v>1233</v>
      </c>
      <c r="E50" s="62">
        <v>85.7</v>
      </c>
      <c r="F50" s="941" t="s">
        <v>15</v>
      </c>
      <c r="G50" s="62" t="s">
        <v>121</v>
      </c>
      <c r="H50" s="62" t="s">
        <v>22</v>
      </c>
      <c r="I50" s="116">
        <v>7064485.5599999996</v>
      </c>
      <c r="J50" s="62">
        <v>3</v>
      </c>
      <c r="K50" s="62"/>
      <c r="L50" s="62"/>
      <c r="M50" s="92">
        <v>44925</v>
      </c>
      <c r="N50" s="62" t="s">
        <v>17</v>
      </c>
      <c r="O50" s="62" t="s">
        <v>1296</v>
      </c>
      <c r="P50" s="76" t="s">
        <v>67</v>
      </c>
      <c r="Q50" s="76" t="s">
        <v>67</v>
      </c>
      <c r="R50" s="945" t="s">
        <v>1233</v>
      </c>
      <c r="S50" s="945" t="s">
        <v>1233</v>
      </c>
      <c r="T50" s="945" t="s">
        <v>1233</v>
      </c>
      <c r="U50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6593135.5599999996</v>
      </c>
    </row>
    <row r="51" spans="1:21" s="929" customFormat="1" outlineLevel="1">
      <c r="A51" s="62">
        <v>49</v>
      </c>
      <c r="B51" s="75">
        <v>166</v>
      </c>
      <c r="C51" s="75">
        <v>23733</v>
      </c>
      <c r="D51" s="117" t="s">
        <v>1233</v>
      </c>
      <c r="E51" s="127">
        <v>24.39</v>
      </c>
      <c r="F51" s="941" t="s">
        <v>9</v>
      </c>
      <c r="G51" s="62" t="s">
        <v>27</v>
      </c>
      <c r="H51" s="62" t="s">
        <v>10</v>
      </c>
      <c r="I51" s="116">
        <v>2364356.81</v>
      </c>
      <c r="J51" s="62">
        <v>0</v>
      </c>
      <c r="K51" s="62"/>
      <c r="L51" s="62"/>
      <c r="M51" s="92">
        <v>44925</v>
      </c>
      <c r="N51" s="62" t="s">
        <v>17</v>
      </c>
      <c r="O51" s="62" t="s">
        <v>1297</v>
      </c>
      <c r="P51" s="76" t="s">
        <v>67</v>
      </c>
      <c r="Q51" s="76" t="s">
        <v>67</v>
      </c>
      <c r="R51" s="945" t="s">
        <v>1233</v>
      </c>
      <c r="S51" s="945" t="s">
        <v>1233</v>
      </c>
      <c r="T51" s="945" t="s">
        <v>1233</v>
      </c>
      <c r="U51" s="946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>2364356.81</v>
      </c>
    </row>
    <row r="52" spans="1:21" outlineLevel="1">
      <c r="A52" s="65">
        <v>50</v>
      </c>
      <c r="B52" s="79"/>
      <c r="C52" s="79"/>
      <c r="D52" s="80"/>
      <c r="E52" s="263"/>
      <c r="F52" s="949"/>
      <c r="G52" s="65"/>
      <c r="H52" s="65"/>
      <c r="I52" s="1032"/>
      <c r="J52" s="65"/>
      <c r="K52" s="65"/>
      <c r="L52" s="65"/>
      <c r="M52" s="98"/>
      <c r="N52" s="65"/>
      <c r="O52" s="65"/>
      <c r="P52" s="86"/>
      <c r="Q52" s="86"/>
      <c r="R52" s="947"/>
      <c r="S52" s="947"/>
      <c r="T52" s="947"/>
      <c r="U52" s="948"/>
    </row>
    <row r="53" spans="1:21" outlineLevel="1">
      <c r="A53" s="65"/>
      <c r="B53" s="79"/>
      <c r="C53" s="79"/>
      <c r="D53" s="65"/>
      <c r="E53" s="65"/>
      <c r="F53" s="949"/>
      <c r="G53" s="65"/>
      <c r="H53" s="65"/>
      <c r="I53" s="93"/>
      <c r="J53" s="65"/>
      <c r="K53" s="65"/>
      <c r="L53" s="65"/>
      <c r="M53" s="98"/>
      <c r="N53" s="65"/>
      <c r="O53" s="65"/>
      <c r="P53" s="86"/>
      <c r="Q53" s="86"/>
      <c r="R53" s="949"/>
      <c r="S53" s="949"/>
      <c r="T53" s="949"/>
      <c r="U53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4" spans="1:21" outlineLevel="1">
      <c r="A54" s="65"/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5" spans="1:21" outlineLevel="1">
      <c r="A55" s="65"/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6" spans="1:21" outlineLevel="1">
      <c r="A56" s="65"/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65"/>
      <c r="P56" s="86"/>
      <c r="Q56" s="86"/>
      <c r="R56" s="947"/>
      <c r="S56" s="947"/>
      <c r="T56" s="947"/>
      <c r="U56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7" spans="1:21" outlineLevel="1">
      <c r="A57" s="65"/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8" spans="1:21" ht="12" customHeight="1" outlineLevel="1">
      <c r="A58" s="65"/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59" spans="1:21" outlineLevel="1">
      <c r="A59" s="65"/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0" spans="1:21" outlineLevel="1">
      <c r="A60" s="65"/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1" spans="1:21" outlineLevel="1">
      <c r="A61" s="65"/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2" spans="1:21" outlineLevel="1">
      <c r="A62" s="65"/>
      <c r="B62" s="79"/>
      <c r="C62" s="79"/>
      <c r="D62" s="80"/>
      <c r="E62" s="65"/>
      <c r="F62" s="72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3" spans="1:21" outlineLevel="1">
      <c r="A63" s="65"/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4" spans="1:21" ht="15.75" customHeight="1" outlineLevel="1">
      <c r="A64" s="65"/>
      <c r="B64" s="79"/>
      <c r="C64" s="79"/>
      <c r="D64" s="80"/>
      <c r="E64" s="65"/>
      <c r="F64" s="72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5" spans="1:21" outlineLevel="1">
      <c r="A65" s="65"/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7"/>
      <c r="U65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6" spans="1:21" outlineLevel="1">
      <c r="A66" s="65"/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7" spans="1:21" outlineLevel="1">
      <c r="A67" s="65"/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388"/>
      <c r="P67" s="86"/>
      <c r="Q67" s="86"/>
      <c r="R67" s="947"/>
      <c r="S67" s="947"/>
      <c r="T67" s="947"/>
      <c r="U67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8" spans="1:21" outlineLevel="1">
      <c r="A68" s="65"/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69" spans="1:21" outlineLevel="1">
      <c r="A69" s="65"/>
      <c r="B69" s="79"/>
      <c r="C69" s="79"/>
      <c r="D69" s="80"/>
      <c r="E69" s="65"/>
      <c r="F69" s="72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70" spans="1:21" outlineLevel="1">
      <c r="A70" s="65"/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71" spans="1:21" outlineLevel="1">
      <c r="A71" s="65"/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72" spans="1:21" outlineLevel="1">
      <c r="A72" s="65"/>
      <c r="B72" s="79"/>
      <c r="C72" s="79"/>
      <c r="D72" s="80"/>
      <c r="E72" s="65"/>
      <c r="F72" s="934"/>
      <c r="G72" s="65"/>
      <c r="H72" s="65"/>
      <c r="I72" s="105"/>
      <c r="J72" s="65"/>
      <c r="K72" s="65"/>
      <c r="L72" s="65"/>
      <c r="M72" s="110"/>
      <c r="N72" s="65"/>
      <c r="O72" s="72"/>
      <c r="P72" s="86"/>
      <c r="Q72" s="86"/>
      <c r="R72" s="947"/>
      <c r="S72" s="947"/>
      <c r="T72" s="947"/>
      <c r="U72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73" spans="1:21" outlineLevel="1">
      <c r="A73" s="65"/>
      <c r="B73" s="79"/>
      <c r="C73" s="79"/>
      <c r="D73" s="80"/>
      <c r="E73" s="65"/>
      <c r="F73" s="934"/>
      <c r="G73" s="65"/>
      <c r="H73" s="65"/>
      <c r="I73" s="105"/>
      <c r="J73" s="65"/>
      <c r="K73" s="65"/>
      <c r="L73" s="65"/>
      <c r="M73" s="110"/>
      <c r="N73" s="65"/>
      <c r="O73" s="72"/>
      <c r="P73" s="86"/>
      <c r="Q73" s="86"/>
      <c r="R73" s="947"/>
      <c r="S73" s="947"/>
      <c r="T73" s="947"/>
      <c r="U73" s="948" t="str">
        <f>IFERROR(IF(Август202236567[[#This Row],[№ дома]]="Дом 2",SUM(Август202236567[[#This Row],[сумма]]/Август202236567[[#This Row],[м2]],IF(Август202236567[[#This Row],[Отделка]]="Черновая",0,"")&amp;IF(Август202236567[[#This Row],[Отделка]]="Предчистовая",-5500,"")&amp;IF(Август202236567[[#This Row],[Отделка]]="Чистовая",-16000,""))*Август202236567[[#This Row],[м2]],SUM(Август202236567[[#This Row],[сумма]]/Август202236567[[#This Row],[м2]],IF(Август202236567[[#This Row],[Отделка]]="Черновая",0,"")&amp;IF(Август202236567[[#This Row],[Отделка]]="Предчистовая",-4000,"")&amp;IF(Август202236567[[#This Row],[Отделка]]="Чистовая",-15000,""))*Август202236567[[#This Row],[м2]]),"")</f>
        <v/>
      </c>
    </row>
    <row r="74" spans="1:21" outlineLevel="1">
      <c r="A74" s="65"/>
      <c r="B74" s="79"/>
      <c r="C74" s="79"/>
      <c r="D74" s="65"/>
      <c r="E74" s="65"/>
      <c r="F74" s="934"/>
      <c r="G74" s="65"/>
      <c r="H74" s="65"/>
      <c r="I74" s="105"/>
      <c r="J74" s="65"/>
      <c r="K74" s="65"/>
      <c r="L74" s="108"/>
      <c r="M74" s="110"/>
      <c r="N74" s="65"/>
      <c r="O74" s="72"/>
      <c r="P74" s="86"/>
      <c r="Q74" s="86"/>
      <c r="R74" s="86"/>
      <c r="S74" s="86"/>
      <c r="T74" s="86"/>
      <c r="U74" s="948"/>
    </row>
    <row r="75" spans="1:21" outlineLevel="1">
      <c r="A75" s="2293" t="s">
        <v>713</v>
      </c>
      <c r="B75" s="2294"/>
      <c r="C75" s="972" t="s">
        <v>121</v>
      </c>
      <c r="D75" s="2310"/>
      <c r="E75" s="2292"/>
      <c r="F75" s="2292"/>
      <c r="G75" s="2292"/>
      <c r="H75" s="2296"/>
      <c r="I75" s="2296"/>
      <c r="J75" s="2296"/>
      <c r="K75" s="2296"/>
      <c r="L75" s="2296"/>
      <c r="M75" s="2292"/>
      <c r="N75" s="2292"/>
      <c r="O75" s="2292"/>
      <c r="P75" s="2292"/>
      <c r="Q75" s="86"/>
      <c r="R75" s="86"/>
      <c r="S75" s="86"/>
      <c r="T75" s="86"/>
    </row>
    <row r="76" spans="1:21" ht="25.5">
      <c r="A76" s="685" t="s">
        <v>1</v>
      </c>
      <c r="B76" s="723" t="s">
        <v>100</v>
      </c>
      <c r="C76" s="687" t="s">
        <v>97</v>
      </c>
      <c r="D76" s="724" t="s">
        <v>95</v>
      </c>
      <c r="E76" s="1022" t="s">
        <v>494</v>
      </c>
      <c r="F76" s="138" t="s">
        <v>495</v>
      </c>
      <c r="G76" s="139" t="s">
        <v>496</v>
      </c>
      <c r="H76" s="1023" t="s">
        <v>101</v>
      </c>
      <c r="I76" s="1023" t="s">
        <v>98</v>
      </c>
      <c r="J76" s="1023" t="s">
        <v>96</v>
      </c>
      <c r="K76" s="1023" t="s">
        <v>715</v>
      </c>
      <c r="L76" s="1023" t="s">
        <v>716</v>
      </c>
      <c r="M76" s="217">
        <v>0</v>
      </c>
      <c r="N76" s="218">
        <v>1</v>
      </c>
      <c r="O76" s="218">
        <v>2</v>
      </c>
      <c r="P76" s="218">
        <v>3</v>
      </c>
      <c r="Q76" s="219">
        <v>4</v>
      </c>
      <c r="R76" s="950"/>
      <c r="S76" s="950"/>
      <c r="T76" s="950"/>
      <c r="U76" s="951"/>
    </row>
    <row r="77" spans="1:21">
      <c r="A77" s="936" t="s">
        <v>73</v>
      </c>
      <c r="B77" s="937">
        <v>88.3</v>
      </c>
      <c r="C77" s="939">
        <v>6757644.9199999999</v>
      </c>
      <c r="D77" s="938">
        <v>1</v>
      </c>
      <c r="E77" s="148">
        <f>SUMIFS(Август202236567[м2],Август202236567[МОП],$A77,Август202236567[№ дома],$C$75)</f>
        <v>162.89999999999998</v>
      </c>
      <c r="F77" s="939">
        <f>SUMIFS(Август202236567[сумма без отделки],Август202236567[МОП],$A77,Август202236567[№ дома],$C$75)</f>
        <v>12405855.540000001</v>
      </c>
      <c r="G77" s="940">
        <f>COUNTIFS(Август202236567[МОП],$A77,Август202236567[№ дома],$C$75)</f>
        <v>2</v>
      </c>
      <c r="H77" s="145">
        <f>SUMIFS(РД[S],РД[Дом],$C$75,РД[МОП],A77,РД[Дата подачи на регистрацию],"&lt;="&amp;$A$1,РД[Дата подачи на регистрацию],"&gt;="&amp;DATE(YEAR($A$1),MONTH($A$1),1))</f>
        <v>167.1</v>
      </c>
      <c r="I77" s="149">
        <f>SUMIFS(РД[Стоимость без отделки итог],РД[Дом],$C$75,РД[МОП],A77,РД[Дата подачи на регистрацию],"&lt;="&amp;$A$1,РД[Дата подачи на регистрацию],"&gt;="&amp;DATE(YEAR($A$1),MONTH($A$1),1))</f>
        <v>12405855.539999999</v>
      </c>
      <c r="J77" s="220">
        <f>COUNTIFS(РД[Дом],$C$75,РД[МОП],A77,РД[Дата подачи на регистрацию],"&lt;="&amp;$A$1,РД[Дата подачи на регистрацию],"&gt;="&amp;DATE(YEAR($A$1),MONTH($A$1),1))</f>
        <v>2</v>
      </c>
      <c r="K77" s="943">
        <f t="shared" ref="K77:L80" si="0">IFERROR(H77/B77,)</f>
        <v>1.8924122310305775</v>
      </c>
      <c r="L77" s="944">
        <f t="shared" si="0"/>
        <v>1.8358253040616996</v>
      </c>
      <c r="M77" s="148">
        <f>COUNTIFS(РД[Тип кв],M$76,РД[МОП],$A77,РД[Дом],$C$75,РД[Дата подачи на регистрацию],"&lt;="&amp;$A$1,РД[Дата подачи на регистрацию],"&gt;="&amp;DATE(YEAR($A$1),MONTH($A$1),1))</f>
        <v>0</v>
      </c>
      <c r="N77" s="220">
        <f>COUNTIFS(РД[Тип кв],N$76,РД[МОП],$A77,РД[Дом],$C$75,РД[Дата подачи на регистрацию],"&lt;="&amp;$A$1,РД[Дата подачи на регистрацию],"&gt;="&amp;DATE(YEAR($A$1),MONTH($A$1),1))</f>
        <v>0</v>
      </c>
      <c r="O77" s="220">
        <f>COUNTIFS(РД[Тип кв],O$76,РД[МОП],$A77,РД[Дом],$C$75,РД[Дата подачи на регистрацию],"&lt;="&amp;$A$1,РД[Дата подачи на регистрацию],"&gt;="&amp;DATE(YEAR($A$1),MONTH($A$1),1))</f>
        <v>0</v>
      </c>
      <c r="P77" s="220">
        <f>COUNTIFS(РД[Тип кв],P$76,РД[МОП],$A77,РД[Дом],$C$75,РД[Дата подачи на регистрацию],"&lt;="&amp;$A$1,РД[Дата подачи на регистрацию],"&gt;="&amp;DATE(YEAR($A$1),MONTH($A$1),1))</f>
        <v>2</v>
      </c>
      <c r="Q77" s="223">
        <f>COUNTIFS(РД[Тип кв],Q$76,РД[МОП],$A77,РД[Дом],$C$75,РД[Дата подачи на регистрацию],"&lt;="&amp;$A$1,РД[Дата подачи на регистрацию],"&gt;="&amp;DATE(YEAR($A$1),MONTH($A$1),1))</f>
        <v>0</v>
      </c>
      <c r="R77" s="949"/>
      <c r="S77" s="949"/>
      <c r="T77" s="949"/>
    </row>
    <row r="78" spans="1:21">
      <c r="A78" s="952" t="s">
        <v>77</v>
      </c>
      <c r="B78" s="1018">
        <v>78.599999999999994</v>
      </c>
      <c r="C78" s="954">
        <v>5970900.0899999999</v>
      </c>
      <c r="D78" s="953">
        <v>1</v>
      </c>
      <c r="E78" s="202">
        <f>SUMIFS(Август202236567[м2],Август202236567[МОП],$A78,Август202236567[№ дома],$C$75)</f>
        <v>0</v>
      </c>
      <c r="F78" s="954">
        <f>SUMIFS(Август202236567[сумма без отделки],Август202236567[МОП],$A78,Август202236567[№ дома],$C$75)</f>
        <v>0</v>
      </c>
      <c r="G78" s="955">
        <f>COUNTIFS(Август202236567[МОП],$A78,Август202236567[№ дома],$C$75)</f>
        <v>0</v>
      </c>
      <c r="H78" s="145">
        <f>SUMIFS(РД[S],РД[Дом],$C$75,РД[МОП],A78,РД[Дата подачи на регистрацию],"&lt;="&amp;$A$1,РД[Дата подачи на регистрацию],"&gt;="&amp;DATE(YEAR($A$1),MONTH($A$1),1))</f>
        <v>0</v>
      </c>
      <c r="I78" s="149">
        <f>SUMIFS(РД[Стоимость без отделки итог],РД[Дом],$C$75,РД[МОП],A78,РД[Дата подачи на регистрацию],"&lt;="&amp;$A$1,РД[Дата подачи на регистрацию],"&gt;="&amp;DATE(YEAR($A$1),MONTH($A$1),1))</f>
        <v>0</v>
      </c>
      <c r="J78" s="220">
        <f>COUNTIFS(РД[Дом],$C$75,РД[МОП],A78,РД[Дата подачи на регистрацию],"&lt;="&amp;$A$1,РД[Дата подачи на регистрацию],"&gt;="&amp;DATE(YEAR($A$1),MONTH($A$1),1))</f>
        <v>0</v>
      </c>
      <c r="K78" s="987">
        <f t="shared" si="0"/>
        <v>0</v>
      </c>
      <c r="L78" s="988">
        <f t="shared" si="0"/>
        <v>0</v>
      </c>
      <c r="M78" s="202">
        <f>COUNTIFS(РД[Тип кв],M$76,РД[МОП],$A78,РД[Дом],$C$75,РД[Дата подачи на регистрацию],"&lt;="&amp;$A$1,РД[Дата подачи на регистрацию],"&gt;="&amp;DATE(YEAR($A$1),MONTH($A$1),1))</f>
        <v>0</v>
      </c>
      <c r="N78" s="226">
        <f>COUNTIFS(РД[Тип кв],N$76,РД[МОП],$A78,РД[Дом],$C$75,РД[Дата подачи на регистрацию],"&lt;="&amp;$A$1,РД[Дата подачи на регистрацию],"&gt;="&amp;DATE(YEAR($A$1),MONTH($A$1),1))</f>
        <v>0</v>
      </c>
      <c r="O78" s="226">
        <f>COUNTIFS(РД[Тип кв],O$76,РД[МОП],$A78,РД[Дом],$C$75,РД[Дата подачи на регистрацию],"&lt;="&amp;$A$1,РД[Дата подачи на регистрацию],"&gt;="&amp;DATE(YEAR($A$1),MONTH($A$1),1))</f>
        <v>0</v>
      </c>
      <c r="P78" s="226">
        <f>COUNTIFS(РД[Тип кв],P$76,РД[МОП],$A78,РД[Дом],$C$75,РД[Дата подачи на регистрацию],"&lt;="&amp;$A$1,РД[Дата подачи на регистрацию],"&gt;="&amp;DATE(YEAR($A$1),MONTH($A$1),1))</f>
        <v>0</v>
      </c>
      <c r="Q78" s="227">
        <f>COUNTIFS(РД[Тип кв],Q$76,РД[МОП],$A78,РД[Дом],$C$75,РД[Дата подачи на регистрацию],"&lt;="&amp;$A$1,РД[Дата подачи на регистрацию],"&gt;="&amp;DATE(YEAR($A$1),MONTH($A$1),1))</f>
        <v>0</v>
      </c>
      <c r="R78" s="949"/>
      <c r="S78" s="949"/>
      <c r="T78" s="949"/>
    </row>
    <row r="79" spans="1:21">
      <c r="A79" s="956" t="s">
        <v>1233</v>
      </c>
      <c r="B79" s="1018">
        <v>0</v>
      </c>
      <c r="C79" s="954">
        <v>0</v>
      </c>
      <c r="D79" s="957">
        <v>0</v>
      </c>
      <c r="E79" s="358">
        <f>SUMIFS(Август202236567[м2],Август202236567[МОП],$A79,Август202236567[№ дома],$C$75)</f>
        <v>85.7</v>
      </c>
      <c r="F79" s="958">
        <f>SUMIFS(Август202236567[сумма без отделки],Август202236567[МОП],$A79,Август202236567[№ дома],$C$75)</f>
        <v>6593135.5599999996</v>
      </c>
      <c r="G79" s="959">
        <f>COUNTIFS(Август202236567[МОП],$A79,Август202236567[№ дома],$C$75)</f>
        <v>1</v>
      </c>
      <c r="H79" s="145">
        <f>SUMIFS(РД[S],РД[Дом],$C$75,РД[МОП],A79,РД[Дата подачи на регистрацию],"&lt;="&amp;$A$1,РД[Дата подачи на регистрацию],"&gt;="&amp;DATE(YEAR($A$1),MONTH($A$1),1))</f>
        <v>88.6</v>
      </c>
      <c r="I79" s="149">
        <f>SUMIFS(РД[Стоимость без отделки итог],РД[Дом],$C$75,РД[МОП],A79,РД[Дата подачи на регистрацию],"&lt;="&amp;$A$1,РД[Дата подачи на регистрацию],"&gt;="&amp;DATE(YEAR($A$1),MONTH($A$1),1))</f>
        <v>6577185.5599999996</v>
      </c>
      <c r="J79" s="220">
        <f>COUNTIFS(РД[Дом],$C$75,РД[МОП],A79,РД[Дата подачи на регистрацию],"&lt;="&amp;$A$1,РД[Дата подачи на регистрацию],"&gt;="&amp;DATE(YEAR($A$1),MONTH($A$1),1))</f>
        <v>1</v>
      </c>
      <c r="K79" s="987">
        <f t="shared" si="0"/>
        <v>0</v>
      </c>
      <c r="L79" s="988">
        <f t="shared" si="0"/>
        <v>0</v>
      </c>
      <c r="M79" s="195">
        <f>COUNTIFS(РД[Тип кв],M$76,РД[МОП],$A79,РД[Дом],$C$75,РД[Дата подачи на регистрацию],"&lt;="&amp;$A$1,РД[Дата подачи на регистрацию],"&gt;="&amp;DATE(YEAR($A$1),MONTH($A$1),1))</f>
        <v>0</v>
      </c>
      <c r="N79" s="251">
        <f>COUNTIFS(РД[Тип кв],N$76,РД[МОП],$A79,РД[Дом],$C$75,РД[Дата подачи на регистрацию],"&lt;="&amp;$A$1,РД[Дата подачи на регистрацию],"&gt;="&amp;DATE(YEAR($A$1),MONTH($A$1),1))</f>
        <v>0</v>
      </c>
      <c r="O79" s="251">
        <f>COUNTIFS(РД[Тип кв],O$76,РД[МОП],$A79,РД[Дом],$C$75,РД[Дата подачи на регистрацию],"&lt;="&amp;$A$1,РД[Дата подачи на регистрацию],"&gt;="&amp;DATE(YEAR($A$1),MONTH($A$1),1))</f>
        <v>0</v>
      </c>
      <c r="P79" s="251">
        <f>COUNTIFS(РД[Тип кв],P$76,РД[МОП],$A79,РД[Дом],$C$75,РД[Дата подачи на регистрацию],"&lt;="&amp;$A$1,РД[Дата подачи на регистрацию],"&gt;="&amp;DATE(YEAR($A$1),MONTH($A$1),1))</f>
        <v>1</v>
      </c>
      <c r="Q79" s="254">
        <f>COUNTIFS(РД[Тип кв],Q$76,РД[МОП],$A79,РД[Дом],$C$75,РД[Дата подачи на регистрацию],"&lt;="&amp;$A$1,РД[Дата подачи на регистрацию],"&gt;="&amp;DATE(YEAR($A$1),MONTH($A$1),1))</f>
        <v>0</v>
      </c>
      <c r="R79" s="949"/>
      <c r="S79" s="949"/>
      <c r="T79" s="949"/>
    </row>
    <row r="80" spans="1:21">
      <c r="A80" s="960" t="s">
        <v>114</v>
      </c>
      <c r="B80" s="961">
        <v>166.9</v>
      </c>
      <c r="C80" s="964">
        <v>12728545.01</v>
      </c>
      <c r="D80" s="962">
        <v>2</v>
      </c>
      <c r="E80" s="963">
        <f t="shared" ref="E80:J80" si="1">SUM(E77:E79)</f>
        <v>248.59999999999997</v>
      </c>
      <c r="F80" s="964">
        <f t="shared" si="1"/>
        <v>18998991.100000001</v>
      </c>
      <c r="G80" s="965">
        <f t="shared" si="1"/>
        <v>3</v>
      </c>
      <c r="H80" s="961">
        <f t="shared" si="1"/>
        <v>255.7</v>
      </c>
      <c r="I80" s="964">
        <f t="shared" si="1"/>
        <v>18983041.099999998</v>
      </c>
      <c r="J80" s="962">
        <f t="shared" si="1"/>
        <v>3</v>
      </c>
      <c r="K80" s="419">
        <f t="shared" si="0"/>
        <v>1.5320551228280406</v>
      </c>
      <c r="L80" s="420">
        <f t="shared" si="0"/>
        <v>1.4913755723915219</v>
      </c>
      <c r="M80" s="473">
        <f>SUM(M77:M79)</f>
        <v>0</v>
      </c>
      <c r="N80" s="494">
        <f>SUM(N77:N79)</f>
        <v>0</v>
      </c>
      <c r="O80" s="494">
        <f>SUM(O77:O79)</f>
        <v>0</v>
      </c>
      <c r="P80" s="989">
        <f>SUM(P77:P79)</f>
        <v>3</v>
      </c>
      <c r="Q80" s="497">
        <f>SUM(Q77:Q79)</f>
        <v>0</v>
      </c>
      <c r="R80" s="949"/>
      <c r="S80" s="949"/>
      <c r="T80" s="949"/>
    </row>
    <row r="81" spans="1:21" ht="25.5">
      <c r="A81" s="685" t="s">
        <v>115</v>
      </c>
      <c r="B81" s="723" t="s">
        <v>100</v>
      </c>
      <c r="C81" s="693" t="s">
        <v>97</v>
      </c>
      <c r="D81" s="724" t="s">
        <v>95</v>
      </c>
      <c r="E81" s="1022" t="s">
        <v>494</v>
      </c>
      <c r="F81" s="138" t="s">
        <v>495</v>
      </c>
      <c r="G81" s="139" t="s">
        <v>496</v>
      </c>
      <c r="H81" s="482" t="s">
        <v>101</v>
      </c>
      <c r="I81" s="482" t="s">
        <v>98</v>
      </c>
      <c r="J81" s="482" t="s">
        <v>96</v>
      </c>
      <c r="K81" s="502" t="s">
        <v>715</v>
      </c>
      <c r="L81" s="1025" t="s">
        <v>716</v>
      </c>
      <c r="M81" s="217">
        <v>0</v>
      </c>
      <c r="N81" s="218">
        <v>1</v>
      </c>
      <c r="O81" s="218">
        <v>2</v>
      </c>
      <c r="P81" s="218">
        <v>3</v>
      </c>
      <c r="Q81" s="219">
        <v>4</v>
      </c>
      <c r="R81" s="950"/>
      <c r="S81" s="950"/>
      <c r="T81" s="950"/>
      <c r="U81" s="951"/>
    </row>
    <row r="82" spans="1:21">
      <c r="A82" s="936" t="s">
        <v>16</v>
      </c>
      <c r="B82" s="514">
        <v>88.3</v>
      </c>
      <c r="C82" s="146">
        <v>6757644.9199999999</v>
      </c>
      <c r="D82" s="417">
        <v>1</v>
      </c>
      <c r="E82" s="966">
        <f>SUMIFS(Август202236567[м2],Август202236567[ИМ],A82,Август202236567[№ дома],$C$75)</f>
        <v>0</v>
      </c>
      <c r="F82" s="149">
        <f>SUMIFS(Август202236567[сумма без отделки],Август202236567[ИМ],$A82,Август202236567[№ дома],$C$75)</f>
        <v>0</v>
      </c>
      <c r="G82" s="940">
        <f>COUNTIFS(Август202236567[ИМ],$A82,Август202236567[№ дома],$C$75)</f>
        <v>0</v>
      </c>
      <c r="H82" s="346">
        <f>SUMIFS(РД[S],РД[Дом],$C$75,РД[ИМ],A82,РД[Дата подачи на регистрацию],"&lt;="&amp;$A$1,РД[Дата подачи на регистрацию],"&gt;="&amp;DATE(YEAR($A$1),MONTH($A$1),1))</f>
        <v>0</v>
      </c>
      <c r="I82" s="184">
        <f>SUMIFS(РД[Стоимость без отделки итог],РД[Дом],$C$75,РД[ИМ],A82,РД[Дата подачи на регистрацию],"&lt;="&amp;$A$1,РД[Дата подачи на регистрацию],"&gt;="&amp;DATE(YEAR($A$1),MONTH($A$1),1))</f>
        <v>0</v>
      </c>
      <c r="J82" s="243">
        <f>COUNTIFS(РД[Дом],$C$75,РД[ИМ],A82,РД[Дата подачи на регистрацию],"&lt;="&amp;$A$1,РД[Дата подачи на регистрацию],"&gt;="&amp;DATE(YEAR($A$1),MONTH($A$1),1))</f>
        <v>0</v>
      </c>
      <c r="K82" s="990">
        <f>IFERROR(H82/B82,"")</f>
        <v>0</v>
      </c>
      <c r="L82" s="991">
        <f>IFERROR(I82/C82,"")</f>
        <v>0</v>
      </c>
      <c r="M82" s="183">
        <f>COUNTIFS(РД[Тип кв],M$76,РД[ИМ],$A82,РД[Дом],$C$75,РД[Дата подачи на регистрацию],"&lt;="&amp;$A$1,РД[Дата подачи на регистрацию],"&gt;="&amp;DATE(YEAR($A$1),MONTH($A$1),1))</f>
        <v>0</v>
      </c>
      <c r="N82" s="243">
        <f>COUNTIFS(РД[Тип кв],N$76,РД[ИМ],$A82,РД[Дом],$C$75,РД[Дата подачи на регистрацию],"&lt;="&amp;$A$1,РД[Дата подачи на регистрацию],"&gt;="&amp;DATE(YEAR($A$1),MONTH($A$1),1))</f>
        <v>0</v>
      </c>
      <c r="O82" s="243">
        <f>COUNTIFS(РД[Тип кв],O$76,РД[ИМ],$A82,РД[Дом],$C$75,РД[Дата подачи на регистрацию],"&lt;="&amp;$A$1,РД[Дата подачи на регистрацию],"&gt;="&amp;DATE(YEAR($A$1),MONTH($A$1),1))</f>
        <v>0</v>
      </c>
      <c r="P82" s="243">
        <f>COUNTIFS(РД[Тип кв],P$76,РД[ИМ],$A82,РД[Дом],$C$75,РД[Дата подачи на регистрацию],"&lt;="&amp;$A$1,РД[Дата подачи на регистрацию],"&gt;="&amp;DATE(YEAR($A$1),MONTH($A$1),1))</f>
        <v>0</v>
      </c>
      <c r="Q82" s="246">
        <f>COUNTIFS(РД[Тип кв],Q$76,РД[ИМ],$A82,РД[Дом],$C$75,РД[Дата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956" t="s">
        <v>22</v>
      </c>
      <c r="B83" s="422">
        <v>78.599999999999994</v>
      </c>
      <c r="C83" s="363">
        <v>5970900.0899999999</v>
      </c>
      <c r="D83" s="518">
        <v>1</v>
      </c>
      <c r="E83" s="967">
        <f>SUMIFS(Август202236567[м2],Август202236567[ИМ],A83,Август202236567[№ дома],$C$75)</f>
        <v>248.59999999999997</v>
      </c>
      <c r="F83" s="359">
        <f>SUMIFS(Август202236567[сумма без отделки],Август202236567[ИМ],$A83,Август202236567[№ дома],$C$75)</f>
        <v>18998991.100000001</v>
      </c>
      <c r="G83" s="959">
        <f>COUNTIFS(Август202236567[ИМ],$A83,Август202236567[№ дома],$C$75)</f>
        <v>3</v>
      </c>
      <c r="H83" s="426">
        <f>SUMIFS(РД[S],РД[Дом],$C$75,РД[ИМ],A83,РД[Дата подачи на регистрацию],"&lt;="&amp;$A$1,РД[Дата подачи на регистрацию],"&gt;="&amp;DATE(YEAR($A$1),MONTH($A$1),1))</f>
        <v>255.7</v>
      </c>
      <c r="I83" s="196">
        <f>SUMIFS(РД[Стоимость без отделки итог],РД[Дом],$C$75,РД[ИМ],A83,РД[Дата подачи на регистрацию],"&lt;="&amp;$A$1,РД[Дата подачи на регистрацию],"&gt;="&amp;DATE(YEAR($A$1),MONTH($A$1),1))</f>
        <v>18983041.099999998</v>
      </c>
      <c r="J83" s="251">
        <f>COUNTIFS(РД[Дом],$C$75,РД[ИМ],A83,РД[Дата подачи на регистрацию],"&lt;="&amp;$A$1,РД[Дата подачи на регистрацию],"&gt;="&amp;DATE(YEAR($A$1),MONTH($A$1),1))</f>
        <v>3</v>
      </c>
      <c r="K83" s="992">
        <f>IFERROR(H83/B83,"")</f>
        <v>3.2531806615776082</v>
      </c>
      <c r="L83" s="993">
        <f>IFERROR(I83/C83,"")</f>
        <v>3.1792595444349492</v>
      </c>
      <c r="M83" s="195">
        <f>COUNTIFS(РД[Тип кв],M$76,РД[ИМ],$A83,РД[Дом],$C$75,РД[Дата подачи на регистрацию],"&lt;="&amp;$A$1,РД[Дата подачи на регистрацию],"&gt;="&amp;DATE(YEAR($A$1),MONTH($A$1),1))</f>
        <v>0</v>
      </c>
      <c r="N83" s="251">
        <f>COUNTIFS(РД[Тип кв],N$76,РД[ИМ],$A83,РД[Дом],$C$75,РД[Дата подачи на регистрацию],"&lt;="&amp;$A$1,РД[Дата подачи на регистрацию],"&gt;="&amp;DATE(YEAR($A$1),MONTH($A$1),1))</f>
        <v>0</v>
      </c>
      <c r="O83" s="251">
        <f>COUNTIFS(РД[Тип кв],O$76,РД[ИМ],$A83,РД[Дом],$C$75,РД[Дата подачи на регистрацию],"&lt;="&amp;$A$1,РД[Дата подачи на регистрацию],"&gt;="&amp;DATE(YEAR($A$1),MONTH($A$1),1))</f>
        <v>0</v>
      </c>
      <c r="P83" s="251">
        <f>COUNTIFS(РД[Тип кв],P$76,РД[ИМ],$A83,РД[Дом],$C$75,РД[Дата подачи на регистрацию],"&lt;="&amp;$A$1,РД[Дата подачи на регистрацию],"&gt;="&amp;DATE(YEAR($A$1),MONTH($A$1),1))</f>
        <v>3</v>
      </c>
      <c r="Q83" s="254">
        <f>COUNTIFS(РД[Тип кв],Q$76,РД[ИМ],$A83,РД[Дом],$C$75,РД[Дата подачи на регистрацию],"&lt;="&amp;$A$1,РД[Дата подачи на регистрацию],"&gt;="&amp;DATE(YEAR($A$1),MONTH($A$1),1))</f>
        <v>0</v>
      </c>
      <c r="R83" s="949"/>
      <c r="S83" s="949"/>
      <c r="T83" s="949"/>
    </row>
    <row r="84" spans="1:21">
      <c r="A84" s="409" t="s">
        <v>114</v>
      </c>
      <c r="B84" s="428">
        <v>166.9</v>
      </c>
      <c r="C84" s="429">
        <v>12728545.01</v>
      </c>
      <c r="D84" s="485">
        <v>2</v>
      </c>
      <c r="E84" s="473">
        <f t="shared" ref="E84:J84" si="2">SUM(E82:E82)</f>
        <v>0</v>
      </c>
      <c r="F84" s="429">
        <f t="shared" si="2"/>
        <v>0</v>
      </c>
      <c r="G84" s="497">
        <f t="shared" si="2"/>
        <v>0</v>
      </c>
      <c r="H84" s="897">
        <f t="shared" si="2"/>
        <v>0</v>
      </c>
      <c r="I84" s="897">
        <f t="shared" si="2"/>
        <v>0</v>
      </c>
      <c r="J84" s="897">
        <f t="shared" si="2"/>
        <v>0</v>
      </c>
      <c r="K84" s="238">
        <f>IFERROR(H84/B84,)</f>
        <v>0</v>
      </c>
      <c r="L84" s="501">
        <f>IFERROR(I84/C84,)</f>
        <v>0</v>
      </c>
      <c r="M84" s="897">
        <f>SUM(M82:M82)</f>
        <v>0</v>
      </c>
      <c r="N84" s="897">
        <f>SUM(N82:N82)</f>
        <v>0</v>
      </c>
      <c r="O84" s="897">
        <f>SUM(O82:O82)</f>
        <v>0</v>
      </c>
      <c r="P84" s="897">
        <f>SUM(P82:P82)</f>
        <v>0</v>
      </c>
      <c r="Q84" s="898">
        <f>SUM(Q82:Q82)</f>
        <v>0</v>
      </c>
      <c r="R84" s="65"/>
      <c r="S84" s="65"/>
      <c r="T84" s="65"/>
      <c r="U84" s="339"/>
    </row>
    <row r="85" spans="1:21">
      <c r="A85" s="7"/>
      <c r="B85" s="968"/>
      <c r="C85" s="968"/>
      <c r="D85" s="7"/>
      <c r="E85" s="7"/>
      <c r="F85" s="7"/>
      <c r="G85" s="7"/>
      <c r="H85" s="134"/>
      <c r="I85" s="134"/>
      <c r="J85" s="134"/>
      <c r="K85" s="7"/>
      <c r="L85" s="994"/>
      <c r="M85" s="134"/>
      <c r="N85" s="134"/>
      <c r="O85" s="134"/>
      <c r="P85" s="262"/>
      <c r="Q85" s="134"/>
      <c r="R85" s="949"/>
      <c r="S85" s="949"/>
      <c r="T85" s="949"/>
    </row>
    <row r="86" spans="1:21">
      <c r="A86" s="2290" t="s">
        <v>713</v>
      </c>
      <c r="B86" s="2291"/>
      <c r="C86" s="935" t="s">
        <v>27</v>
      </c>
      <c r="D86" s="2292"/>
      <c r="E86" s="2292"/>
      <c r="F86" s="2292"/>
      <c r="G86" s="2292"/>
      <c r="H86" s="2292"/>
      <c r="I86" s="2292"/>
      <c r="J86" s="2292"/>
      <c r="K86" s="2292"/>
      <c r="L86" s="2292"/>
      <c r="M86" s="2292"/>
      <c r="N86" s="2292"/>
      <c r="O86" s="2292"/>
      <c r="P86" s="2292"/>
      <c r="Q86" s="7"/>
      <c r="R86" s="949"/>
      <c r="S86" s="949"/>
      <c r="T86" s="949"/>
    </row>
    <row r="87" spans="1:21" ht="25.5">
      <c r="A87" s="685" t="s">
        <v>1</v>
      </c>
      <c r="B87" s="723" t="s">
        <v>100</v>
      </c>
      <c r="C87" s="687" t="s">
        <v>97</v>
      </c>
      <c r="D87" s="724" t="s">
        <v>95</v>
      </c>
      <c r="E87" s="1022" t="s">
        <v>494</v>
      </c>
      <c r="F87" s="138" t="s">
        <v>495</v>
      </c>
      <c r="G87" s="139" t="s">
        <v>496</v>
      </c>
      <c r="H87" s="140" t="s">
        <v>101</v>
      </c>
      <c r="I87" s="141" t="s">
        <v>98</v>
      </c>
      <c r="J87" s="141" t="s">
        <v>96</v>
      </c>
      <c r="K87" s="141" t="s">
        <v>715</v>
      </c>
      <c r="L87" s="1026" t="s">
        <v>716</v>
      </c>
      <c r="M87" s="217">
        <v>0</v>
      </c>
      <c r="N87" s="218">
        <v>1</v>
      </c>
      <c r="O87" s="218">
        <v>2</v>
      </c>
      <c r="P87" s="218">
        <v>3</v>
      </c>
      <c r="Q87" s="219">
        <v>4</v>
      </c>
      <c r="R87" s="950"/>
      <c r="S87" s="950"/>
      <c r="T87" s="950"/>
      <c r="U87" s="951"/>
    </row>
    <row r="88" spans="1:21">
      <c r="A88" s="936" t="s">
        <v>73</v>
      </c>
      <c r="B88" s="937">
        <v>258</v>
      </c>
      <c r="C88" s="939">
        <v>24432343.875659999</v>
      </c>
      <c r="D88" s="938">
        <v>9</v>
      </c>
      <c r="E88" s="148">
        <f>SUMIFS(Август202236567[м2],Август202236567[МОП],$A88,Август202236567[№ дома],$C$86)</f>
        <v>85.47</v>
      </c>
      <c r="F88" s="939">
        <f>SUMIFS(Август202236567[сумма без отделки],Август202236567[МОП],$A88,Август202236567[№ дома],$C$86)</f>
        <v>7868503.4000000004</v>
      </c>
      <c r="G88" s="940">
        <f>COUNTIFS(Август202236567[МОП],$A88,Август202236567[№ дома],$C$86)</f>
        <v>3</v>
      </c>
      <c r="H88" s="148">
        <f>SUMIFS(РД[S],РД[Дом],$C$86,РД[МОП],A88,РД[Дата подачи на регистрацию],"&lt;="&amp;$A$1,РД[Дата подачи на регистрацию],"&gt;="&amp;DATE(YEAR($A$1),MONTH($A$1),1))</f>
        <v>85.17</v>
      </c>
      <c r="I88" s="149">
        <f>SUMIFS(РД[Стоимость без отделки итог],РД[Дом],$C$86,РД[МОП],A88,РД[Дата подачи на регистрацию],"&lt;="&amp;$A$1,РД[Дата подачи на регистрацию],"&gt;="&amp;DATE(YEAR($A$1),MONTH($A$1),1))</f>
        <v>7868503.3900000025</v>
      </c>
      <c r="J88" s="220">
        <f>COUNTIFS(РД[Дом],$C$86,РД[МОП],A88,РД[Дата подачи на регистрацию],"&lt;="&amp;$A$1,РД[Дата подачи на регистрацию],"&gt;="&amp;DATE(YEAR($A$1),MONTH($A$1),1))</f>
        <v>3</v>
      </c>
      <c r="K88" s="943">
        <f t="shared" ref="K88:L90" si="3">IFERROR(H88/B88,"")</f>
        <v>0.33011627906976743</v>
      </c>
      <c r="L88" s="944">
        <f t="shared" si="3"/>
        <v>0.32205274410200024</v>
      </c>
      <c r="M88" s="183">
        <f>COUNTIFS(РД[Тип кв],M$87,РД[МОП],$A88,РД[Дом],$C$86,РД[Дата подачи на регистрацию],"&lt;="&amp;$A$1,РД[Дата подачи на регистрацию],"&gt;="&amp;DATE(YEAR($A$1),MONTH($A$1),1))</f>
        <v>2</v>
      </c>
      <c r="N88" s="243">
        <f>COUNTIFS(РД[Тип кв],N$87,РД[МОП],$A88,РД[Дом],$C$86,РД[Дата подачи на регистрацию],"&lt;="&amp;$A$1,РД[Дата подачи на регистрацию],"&gt;="&amp;DATE(YEAR($A$1),MONTH($A$1),1))</f>
        <v>1</v>
      </c>
      <c r="O88" s="243">
        <f>COUNTIFS(РД[Тип кв],O$87,РД[МОП],$A88,РД[Дом],$C$86,РД[Дата подачи на регистрацию],"&lt;="&amp;$A$1,РД[Дата подачи на регистрацию],"&gt;="&amp;DATE(YEAR($A$1),MONTH($A$1),1))</f>
        <v>0</v>
      </c>
      <c r="P88" s="243">
        <f>COUNTIFS(РД[Тип кв],P$87,РД[МОП],$A88,РД[Дом],$C$86,РД[Дата подачи на регистрацию],"&lt;="&amp;$A$1,РД[Дата подачи на регистрацию],"&gt;="&amp;DATE(YEAR($A$1),MONTH($A$1),1))</f>
        <v>0</v>
      </c>
      <c r="Q88" s="246">
        <f>COUNTIFS(РД[Тип кв],Q$87,РД[МОП],$A88,РД[Дом],$C$86,РД[Дата подачи на регистрацию],"&lt;="&amp;$A$1,РД[Дата подачи на регистрацию],"&gt;="&amp;DATE(YEAR($A$1),MONTH($A$1),1))</f>
        <v>0</v>
      </c>
      <c r="R88" s="949"/>
      <c r="S88" s="949"/>
      <c r="T88" s="949"/>
    </row>
    <row r="89" spans="1:21">
      <c r="A89" s="952" t="s">
        <v>77</v>
      </c>
      <c r="B89" s="1018">
        <v>172</v>
      </c>
      <c r="C89" s="954">
        <v>16288229.25044</v>
      </c>
      <c r="D89" s="953">
        <v>6</v>
      </c>
      <c r="E89" s="202">
        <f>SUMIFS(Август202236567[м2],Август202236567[МОП],$A89,Август202236567[№ дома],$C$86)</f>
        <v>71.95</v>
      </c>
      <c r="F89" s="954">
        <f>SUMIFS(Август202236567[сумма без отделки],Август202236567[МОП],$A89,Август202236567[№ дома],$C$86)</f>
        <v>6750560.0700000003</v>
      </c>
      <c r="G89" s="955">
        <f>COUNTIFS(Август202236567[МОП],$A89,Август202236567[№ дома],$C$86)</f>
        <v>3</v>
      </c>
      <c r="H89" s="148">
        <f>SUMIFS(РД[S],РД[Дом],$C$86,РД[МОП],A89,РД[Дата подачи на регистрацию],"&lt;="&amp;$A$1,РД[Дата подачи на регистрацию],"&gt;="&amp;DATE(YEAR($A$1),MONTH($A$1),1))</f>
        <v>292.45</v>
      </c>
      <c r="I89" s="149">
        <f>SUMIFS(РД[Стоимость без отделки итог],РД[Дом],$C$86,РД[МОП],A89,РД[Дата подачи на регистрацию],"&lt;="&amp;$A$1,РД[Дата подачи на регистрацию],"&gt;="&amp;DATE(YEAR($A$1),MONTH($A$1),1))</f>
        <v>29903060.07</v>
      </c>
      <c r="J89" s="220">
        <f>COUNTIFS(РД[Дом],$C$86,РД[МОП],A89,РД[Дата подачи на регистрацию],"&lt;="&amp;$A$1,РД[Дата подачи на регистрацию],"&gt;="&amp;DATE(YEAR($A$1),MONTH($A$1),1))</f>
        <v>5</v>
      </c>
      <c r="K89" s="987">
        <f t="shared" si="3"/>
        <v>1.7002906976744185</v>
      </c>
      <c r="L89" s="988">
        <f t="shared" si="3"/>
        <v>1.8358693023179433</v>
      </c>
      <c r="M89" s="202">
        <f>COUNTIFS(РД[Тип кв],M$87,РД[МОП],$A89,РД[Дом],$C$86,РД[Дата подачи на регистрацию],"&lt;="&amp;$A$1,РД[Дата подачи на регистрацию],"&gt;="&amp;DATE(YEAR($A$1),MONTH($A$1),1))</f>
        <v>3</v>
      </c>
      <c r="N89" s="226">
        <f>COUNTIFS(РД[Тип кв],N$87,РД[МОП],$A89,РД[Дом],$C$86,РД[Дата подачи на регистрацию],"&lt;="&amp;$A$1,РД[Дата подачи на регистрацию],"&gt;="&amp;DATE(YEAR($A$1),MONTH($A$1),1))</f>
        <v>0</v>
      </c>
      <c r="O89" s="226">
        <f>COUNTIFS(РД[Тип кв],O$87,РД[МОП],$A89,РД[Дом],$C$86,РД[Дата подачи на регистрацию],"&lt;="&amp;$A$1,РД[Дата подачи на регистрацию],"&gt;="&amp;DATE(YEAR($A$1),MONTH($A$1),1))</f>
        <v>0</v>
      </c>
      <c r="P89" s="226">
        <f>COUNTIFS(РД[Тип кв],P$87,РД[МОП],$A89,РД[Дом],$C$86,РД[Дата подачи на регистрацию],"&lt;="&amp;$A$1,РД[Дата подачи на регистрацию],"&gt;="&amp;DATE(YEAR($A$1),MONTH($A$1),1))</f>
        <v>0</v>
      </c>
      <c r="Q89" s="227">
        <f>COUNTIFS(РД[Тип кв],Q$87,РД[МОП],$A89,РД[Дом],$C$86,РД[Дата подачи на регистрацию],"&lt;="&amp;$A$1,РД[Дата подачи на регистрацию],"&gt;="&amp;DATE(YEAR($A$1),MONTH($A$1),1))</f>
        <v>0</v>
      </c>
      <c r="R89" s="949"/>
      <c r="S89" s="949"/>
      <c r="T89" s="949"/>
    </row>
    <row r="90" spans="1:21">
      <c r="A90" s="956" t="s">
        <v>1233</v>
      </c>
      <c r="B90" s="1018">
        <v>258</v>
      </c>
      <c r="C90" s="954">
        <v>24432343.875659999</v>
      </c>
      <c r="D90" s="957">
        <v>9</v>
      </c>
      <c r="E90" s="358">
        <f>SUMIFS(Август202236567[м2],Август202236567[МОП],$A90,Август202236567[№ дома],$C$86)</f>
        <v>111.11</v>
      </c>
      <c r="F90" s="958">
        <f>SUMIFS(Август202236567[сумма без отделки],Август202236567[МОП],$A90,Август202236567[№ дома],$C$86)</f>
        <v>10784748.369999999</v>
      </c>
      <c r="G90" s="959">
        <f>COUNTIFS(Август202236567[МОП],$A90,Август202236567[№ дома],$C$86)</f>
        <v>4</v>
      </c>
      <c r="H90" s="148">
        <f>SUMIFS(РД[S],РД[Дом],$C$86,РД[МОП],A90,РД[Дата подачи на регистрацию],"&lt;="&amp;$A$1,РД[Дата подачи на регистрацию],"&gt;="&amp;DATE(YEAR($A$1),MONTH($A$1),1))</f>
        <v>111.11</v>
      </c>
      <c r="I90" s="149">
        <f>SUMIFS(РД[Стоимость без отделки итог],РД[Дом],$C$86,РД[МОП],A90,РД[Дата подачи на регистрацию],"&lt;="&amp;$A$1,РД[Дата подачи на регистрацию],"&gt;="&amp;DATE(YEAR($A$1),MONTH($A$1),1))</f>
        <v>10665472.540000003</v>
      </c>
      <c r="J90" s="220">
        <f>COUNTIFS(РД[Дом],$C$86,РД[МОП],A90,РД[Дата подачи на регистрацию],"&lt;="&amp;$A$1,РД[Дата подачи на регистрацию],"&gt;="&amp;DATE(YEAR($A$1),MONTH($A$1),1))</f>
        <v>4</v>
      </c>
      <c r="K90" s="987">
        <f t="shared" si="3"/>
        <v>0.43065891472868217</v>
      </c>
      <c r="L90" s="988">
        <f t="shared" si="3"/>
        <v>0.43653087866961321</v>
      </c>
      <c r="M90" s="195">
        <f>COUNTIFS(РД[Тип кв],M$87,РД[МОП],$A90,РД[Дом],$C$86,РД[Дата подачи на регистрацию],"&lt;="&amp;$A$1,РД[Дата подачи на регистрацию],"&gt;="&amp;DATE(YEAR($A$1),MONTH($A$1),1))</f>
        <v>3</v>
      </c>
      <c r="N90" s="251">
        <f>COUNTIFS(РД[Тип кв],N$87,РД[МОП],$A90,РД[Дом],$C$86,РД[Дата подачи на регистрацию],"&lt;="&amp;$A$1,РД[Дата подачи на регистрацию],"&gt;="&amp;DATE(YEAR($A$1),MONTH($A$1),1))</f>
        <v>1</v>
      </c>
      <c r="O90" s="251">
        <f>COUNTIFS(РД[Тип кв],O$87,РД[МОП],$A90,РД[Дом],$C$86,РД[Дата подачи на регистрацию],"&lt;="&amp;$A$1,РД[Дата подачи на регистрацию],"&gt;="&amp;DATE(YEAR($A$1),MONTH($A$1),1))</f>
        <v>0</v>
      </c>
      <c r="P90" s="251">
        <f>COUNTIFS(РД[Тип кв],P$87,РД[МОП],$A90,РД[Дом],$C$86,РД[Дата подачи на регистрацию],"&lt;="&amp;$A$1,РД[Дата подачи на регистрацию],"&gt;="&amp;DATE(YEAR($A$1),MONTH($A$1),1))</f>
        <v>0</v>
      </c>
      <c r="Q90" s="254">
        <f>COUNTIFS(РД[Тип кв],Q$87,РД[МОП],$A90,РД[Дом],$C$86,РД[Дата подачи на регистрацию],"&lt;="&amp;$A$1,РД[Дата подачи на регистрацию],"&gt;="&amp;DATE(YEAR($A$1),MONTH($A$1),1))</f>
        <v>0</v>
      </c>
      <c r="R90" s="949"/>
      <c r="S90" s="949"/>
      <c r="T90" s="949"/>
    </row>
    <row r="91" spans="1:21">
      <c r="A91" s="960" t="s">
        <v>114</v>
      </c>
      <c r="B91" s="961">
        <v>688</v>
      </c>
      <c r="C91" s="964">
        <v>65152917.001759999</v>
      </c>
      <c r="D91" s="962">
        <v>24</v>
      </c>
      <c r="E91" s="963">
        <f t="shared" ref="E91:J91" si="4">SUM(E88:E90)</f>
        <v>268.53000000000003</v>
      </c>
      <c r="F91" s="964">
        <f t="shared" si="4"/>
        <v>25403811.84</v>
      </c>
      <c r="G91" s="965">
        <f t="shared" si="4"/>
        <v>10</v>
      </c>
      <c r="H91" s="961">
        <f t="shared" si="4"/>
        <v>488.73</v>
      </c>
      <c r="I91" s="964">
        <f t="shared" si="4"/>
        <v>48437036</v>
      </c>
      <c r="J91" s="962">
        <f t="shared" si="4"/>
        <v>12</v>
      </c>
      <c r="K91" s="419">
        <f>IFERROR(H91/B91,)</f>
        <v>0.71036337209302325</v>
      </c>
      <c r="L91" s="420">
        <f>IFERROR(I91/C91,)</f>
        <v>0.74343618411884083</v>
      </c>
      <c r="M91" s="473">
        <f>SUM(M88:M90)</f>
        <v>8</v>
      </c>
      <c r="N91" s="494">
        <f>SUM(N88:N90)</f>
        <v>2</v>
      </c>
      <c r="O91" s="494">
        <f>SUM(O88:O90)</f>
        <v>0</v>
      </c>
      <c r="P91" s="989">
        <f>SUM(P88:P90)</f>
        <v>0</v>
      </c>
      <c r="Q91" s="497">
        <f>SUM(Q88:Q90)</f>
        <v>0</v>
      </c>
      <c r="R91" s="949"/>
      <c r="S91" s="949"/>
      <c r="T91" s="949"/>
    </row>
    <row r="92" spans="1:21" ht="25.5">
      <c r="A92" s="685" t="s">
        <v>115</v>
      </c>
      <c r="B92" s="723" t="s">
        <v>100</v>
      </c>
      <c r="C92" s="693" t="s">
        <v>97</v>
      </c>
      <c r="D92" s="724" t="s">
        <v>95</v>
      </c>
      <c r="E92" s="1022" t="s">
        <v>494</v>
      </c>
      <c r="F92" s="138" t="s">
        <v>495</v>
      </c>
      <c r="G92" s="139" t="s">
        <v>496</v>
      </c>
      <c r="H92" s="140" t="s">
        <v>101</v>
      </c>
      <c r="I92" s="141" t="s">
        <v>98</v>
      </c>
      <c r="J92" s="141" t="s">
        <v>96</v>
      </c>
      <c r="K92" s="495" t="s">
        <v>715</v>
      </c>
      <c r="L92" s="1027" t="s">
        <v>716</v>
      </c>
      <c r="M92" s="217">
        <v>0</v>
      </c>
      <c r="N92" s="218">
        <v>1</v>
      </c>
      <c r="O92" s="218">
        <v>2</v>
      </c>
      <c r="P92" s="218">
        <v>3</v>
      </c>
      <c r="Q92" s="219">
        <v>4</v>
      </c>
      <c r="R92" s="950"/>
      <c r="S92" s="950"/>
      <c r="T92" s="950"/>
      <c r="U92" s="951"/>
    </row>
    <row r="93" spans="1:21">
      <c r="A93" s="936" t="s">
        <v>16</v>
      </c>
      <c r="B93" s="514">
        <v>240.8</v>
      </c>
      <c r="C93" s="146">
        <v>22803520.949999999</v>
      </c>
      <c r="D93" s="417">
        <v>9</v>
      </c>
      <c r="E93" s="966">
        <f>SUMIFS(Август202236567[м2],Август202236567[ИМ],A93,Август202236567[№ дома],$C$86)</f>
        <v>73.47</v>
      </c>
      <c r="F93" s="149">
        <f>SUMIFS(Август202236567[сумма без отделки],Август202236567[ИМ],$A93,Август202236567[№ дома],$C$86)</f>
        <v>6887274.0599999996</v>
      </c>
      <c r="G93" s="940">
        <f>COUNTIFS(Август202236567[ИМ],$A93,Август202236567[№ дома],$C$86)</f>
        <v>3</v>
      </c>
      <c r="H93" s="346">
        <f>SUMIFS(РД[S],РД[Дом],$C$86,РД[ИМ],A93,РД[Дата подачи на регистрацию],"&lt;="&amp;$A$1,РД[Дата подачи на регистрацию],"&gt;="&amp;DATE(YEAR($A$1),MONTH($A$1),1))</f>
        <v>73.17</v>
      </c>
      <c r="I93" s="184">
        <f>SUMIFS(РД[Стоимость без отделки итог],РД[Дом],$C$86,РД[ИМ],A93,РД[Дата подачи на регистрацию],"&lt;="&amp;$A$1,РД[Дата подачи на регистрацию],"&gt;="&amp;DATE(YEAR($A$1),MONTH($A$1),1))</f>
        <v>6887274.0599999996</v>
      </c>
      <c r="J93" s="243">
        <f>COUNTIFS(РД[Дом],$C$86,РД[ИМ],A93,РД[Дата подачи на регистрацию],"&lt;="&amp;$A$1,РД[Дата подачи на регистрацию],"&gt;="&amp;DATE(YEAR($A$1),MONTH($A$1),1))</f>
        <v>3</v>
      </c>
      <c r="K93" s="990">
        <f>IFERROR(H93/B93,"")</f>
        <v>0.30386212624584719</v>
      </c>
      <c r="L93" s="991">
        <f>IFERROR(I93/C93,"")</f>
        <v>0.30202678240353054</v>
      </c>
      <c r="M93" s="183">
        <f>COUNTIFS(РД[Тип кв],M$87,РД[ИМ],$A93,РД[Дом],$C$86,РД[Дата подачи на регистрацию],"&lt;="&amp;$A$1,РД[Дата подачи на регистрацию],"&gt;="&amp;DATE(YEAR($A$1),MONTH($A$1),1))</f>
        <v>3</v>
      </c>
      <c r="N93" s="243">
        <f>COUNTIFS(РД[Тип кв],N$87,РД[ИМ],$A93,РД[Дом],$C$86,РД[Дата подачи на регистрацию],"&lt;="&amp;$A$1,РД[Дата подачи на регистрацию],"&gt;="&amp;DATE(YEAR($A$1),MONTH($A$1),1))</f>
        <v>0</v>
      </c>
      <c r="O93" s="243">
        <f>COUNTIFS(РД[Тип кв],O$87,РД[ИМ],$A93,РД[Дом],$C$86,РД[Дата подачи на регистрацию],"&lt;="&amp;$A$1,РД[Дата подачи на регистрацию],"&gt;="&amp;DATE(YEAR($A$1),MONTH($A$1),1))</f>
        <v>0</v>
      </c>
      <c r="P93" s="243">
        <f>COUNTIFS(РД[Тип кв],P$87,РД[ИМ],$A93,РД[Дом],$C$86,РД[Дата подачи на регистрацию],"&lt;="&amp;$A$1,РД[Дата подачи на регистрацию],"&gt;="&amp;DATE(YEAR($A$1),MONTH($A$1),1))</f>
        <v>0</v>
      </c>
      <c r="Q93" s="246">
        <f>COUNTIFS(РД[Тип кв],Q$87,РД[ИМ],$A93,РД[Дом],$C$86,РД[Дата подачи на регистрацию],"&lt;="&amp;$A$1,РД[Дата подачи на регистрацию],"&gt;="&amp;DATE(YEAR($A$1),MONTH($A$1),1))</f>
        <v>0</v>
      </c>
      <c r="R93" s="949"/>
      <c r="S93" s="949"/>
      <c r="T93" s="949"/>
    </row>
    <row r="94" spans="1:21">
      <c r="A94" s="956" t="s">
        <v>22</v>
      </c>
      <c r="B94" s="422">
        <v>240.8</v>
      </c>
      <c r="C94" s="363">
        <v>22803520.949999999</v>
      </c>
      <c r="D94" s="518">
        <v>9</v>
      </c>
      <c r="E94" s="967">
        <f>SUMIFS(Август202236567[м2],Август202236567[ИМ],A94,Август202236567[№ дома],$C$86)</f>
        <v>170.67000000000002</v>
      </c>
      <c r="F94" s="359">
        <f>SUMIFS(Август202236567[сумма без отделки],Август202236567[ИМ],$A94,Август202236567[№ дома],$C$86)</f>
        <v>16152180.969999999</v>
      </c>
      <c r="G94" s="959">
        <f>COUNTIFS(Август202236567[ИМ],$A94,Август202236567[№ дома],$C$86)</f>
        <v>6</v>
      </c>
      <c r="H94" s="426">
        <f>SUMIFS(РД[S],РД[Дом],$C$86,РД[ИМ],A94,РД[Дата подачи на регистрацию],"&lt;="&amp;$A$1,РД[Дата подачи на регистрацию],"&gt;="&amp;DATE(YEAR($A$1),MONTH($A$1),1))</f>
        <v>170.67000000000002</v>
      </c>
      <c r="I94" s="196">
        <f>SUMIFS(РД[Стоимость без отделки итог],РД[Дом],$C$86,РД[ИМ],A94,РД[Дата подачи на регистрацию],"&lt;="&amp;$A$1,РД[Дата подачи на регистрацию],"&gt;="&amp;DATE(YEAR($A$1),MONTH($A$1),1))</f>
        <v>16032905.130000005</v>
      </c>
      <c r="J94" s="251">
        <f>COUNTIFS(РД[Дом],$C$86,РД[ИМ],A94,РД[Дата подачи на регистрацию],"&lt;="&amp;$A$1,РД[Дата подачи на регистрацию],"&gt;="&amp;DATE(YEAR($A$1),MONTH($A$1),1))</f>
        <v>6</v>
      </c>
      <c r="K94" s="992">
        <f>IFERROR(H94/B94,"")</f>
        <v>0.70876245847176078</v>
      </c>
      <c r="L94" s="993">
        <f>IFERROR(I94/C94,"")</f>
        <v>0.70308901704936078</v>
      </c>
      <c r="M94" s="195">
        <f>COUNTIFS(РД[Тип кв],M$87,РД[ИМ],$A94,РД[Дом],$C$86,РД[Дата подачи на регистрацию],"&lt;="&amp;$A$1,РД[Дата подачи на регистрацию],"&gt;="&amp;DATE(YEAR($A$1),MONTH($A$1),1))</f>
        <v>4</v>
      </c>
      <c r="N94" s="251">
        <f>COUNTIFS(РД[Тип кв],N$87,РД[ИМ],$A94,РД[Дом],$C$86,РД[Дата подачи на регистрацию],"&lt;="&amp;$A$1,РД[Дата подачи на регистрацию],"&gt;="&amp;DATE(YEAR($A$1),MONTH($A$1),1))</f>
        <v>2</v>
      </c>
      <c r="O94" s="251">
        <f>COUNTIFS(РД[Тип кв],O$87,РД[ИМ],$A94,РД[Дом],$C$86,РД[Дата подачи на регистрацию],"&lt;="&amp;$A$1,РД[Дата подачи на регистрацию],"&gt;="&amp;DATE(YEAR($A$1),MONTH($A$1),1))</f>
        <v>0</v>
      </c>
      <c r="P94" s="251">
        <f>COUNTIFS(РД[Тип кв],P$87,РД[ИМ],$A94,РД[Дом],$C$86,РД[Дата подачи на регистрацию],"&lt;="&amp;$A$1,РД[Дата подачи на регистрацию],"&gt;="&amp;DATE(YEAR($A$1),MONTH($A$1),1))</f>
        <v>0</v>
      </c>
      <c r="Q94" s="254">
        <f>COUNTIFS(РД[Тип кв],Q$87,РД[ИМ],$A94,РД[Дом],$C$86,РД[Дата подачи на регистрацию],"&lt;="&amp;$A$1,РД[Дата подачи на регистрацию],"&gt;="&amp;DATE(YEAR($A$1),MONTH($A$1),1))</f>
        <v>0</v>
      </c>
      <c r="R94" s="949"/>
      <c r="S94" s="949"/>
      <c r="T94" s="949"/>
    </row>
    <row r="95" spans="1:21">
      <c r="A95" s="409" t="s">
        <v>114</v>
      </c>
      <c r="B95" s="428">
        <v>481.6</v>
      </c>
      <c r="C95" s="429">
        <v>45607041.899999999</v>
      </c>
      <c r="D95" s="485">
        <v>18</v>
      </c>
      <c r="E95" s="473">
        <f t="shared" ref="E95:J95" si="5">SUM(E93:E93)</f>
        <v>73.47</v>
      </c>
      <c r="F95" s="429">
        <f t="shared" si="5"/>
        <v>6887274.0599999996</v>
      </c>
      <c r="G95" s="497">
        <f t="shared" si="5"/>
        <v>3</v>
      </c>
      <c r="H95" s="473">
        <f t="shared" si="5"/>
        <v>73.17</v>
      </c>
      <c r="I95" s="429">
        <f t="shared" si="5"/>
        <v>6887274.0599999996</v>
      </c>
      <c r="J95" s="494">
        <f t="shared" si="5"/>
        <v>3</v>
      </c>
      <c r="K95" s="419">
        <f>IFERROR(H95/B95,)</f>
        <v>0.15193106312292359</v>
      </c>
      <c r="L95" s="507">
        <f>IFERROR(I95/C95,)</f>
        <v>0.15101339120176527</v>
      </c>
      <c r="M95" s="317">
        <f>SUM(M93:M93)</f>
        <v>3</v>
      </c>
      <c r="N95" s="917">
        <f>SUM(N93:N93)</f>
        <v>0</v>
      </c>
      <c r="O95" s="917">
        <f>SUM(O93:O93)</f>
        <v>0</v>
      </c>
      <c r="P95" s="917">
        <f>SUM(P93:P93)</f>
        <v>0</v>
      </c>
      <c r="Q95" s="928">
        <f>SUM(Q93:Q93)</f>
        <v>0</v>
      </c>
      <c r="R95" s="949"/>
      <c r="S95" s="949"/>
      <c r="T95" s="949"/>
    </row>
    <row r="96" spans="1:21">
      <c r="A96" s="7"/>
      <c r="B96" s="968"/>
      <c r="C96" s="968"/>
      <c r="D96" s="969"/>
      <c r="E96" s="7"/>
      <c r="F96" s="7"/>
      <c r="G96" s="7"/>
      <c r="H96" s="134"/>
      <c r="I96" s="134"/>
      <c r="J96" s="134"/>
      <c r="K96" s="7"/>
      <c r="L96" s="994"/>
      <c r="M96" s="134"/>
      <c r="N96" s="134"/>
      <c r="O96" s="134"/>
      <c r="P96" s="262"/>
      <c r="Q96" s="134"/>
      <c r="R96" s="949"/>
      <c r="S96" s="949"/>
      <c r="T96" s="949"/>
    </row>
    <row r="97" spans="1:21">
      <c r="A97" s="2290" t="s">
        <v>713</v>
      </c>
      <c r="B97" s="2291"/>
      <c r="C97" s="935" t="s">
        <v>7</v>
      </c>
      <c r="D97" s="2292"/>
      <c r="E97" s="2292"/>
      <c r="F97" s="2292"/>
      <c r="G97" s="2292"/>
      <c r="H97" s="2292"/>
      <c r="I97" s="2292"/>
      <c r="J97" s="2292"/>
      <c r="K97" s="2292"/>
      <c r="L97" s="2292"/>
      <c r="M97" s="2292"/>
      <c r="N97" s="2292"/>
      <c r="O97" s="2292"/>
      <c r="P97" s="2292"/>
      <c r="Q97" s="7"/>
      <c r="R97" s="949"/>
      <c r="S97" s="949"/>
      <c r="T97" s="949"/>
    </row>
    <row r="98" spans="1:21" ht="25.5">
      <c r="A98" s="685" t="s">
        <v>1</v>
      </c>
      <c r="B98" s="723" t="s">
        <v>100</v>
      </c>
      <c r="C98" s="687" t="s">
        <v>97</v>
      </c>
      <c r="D98" s="724" t="s">
        <v>95</v>
      </c>
      <c r="E98" s="1022" t="s">
        <v>494</v>
      </c>
      <c r="F98" s="138" t="s">
        <v>495</v>
      </c>
      <c r="G98" s="139" t="s">
        <v>496</v>
      </c>
      <c r="H98" s="140" t="s">
        <v>101</v>
      </c>
      <c r="I98" s="141" t="s">
        <v>98</v>
      </c>
      <c r="J98" s="141" t="s">
        <v>96</v>
      </c>
      <c r="K98" s="141" t="s">
        <v>715</v>
      </c>
      <c r="L98" s="1026" t="s">
        <v>716</v>
      </c>
      <c r="M98" s="217">
        <v>0</v>
      </c>
      <c r="N98" s="218">
        <v>1</v>
      </c>
      <c r="O98" s="218">
        <v>2</v>
      </c>
      <c r="P98" s="218">
        <v>3</v>
      </c>
      <c r="Q98" s="219">
        <v>4</v>
      </c>
      <c r="R98" s="949"/>
      <c r="S98" s="949"/>
      <c r="T98" s="949"/>
    </row>
    <row r="99" spans="1:21">
      <c r="A99" s="936" t="s">
        <v>73</v>
      </c>
      <c r="B99" s="937">
        <v>491</v>
      </c>
      <c r="C99" s="939">
        <v>38774165.426820002</v>
      </c>
      <c r="D99" s="938">
        <v>11</v>
      </c>
      <c r="E99" s="148">
        <f>SUMIFS(Август202236567[м2],Август202236567[МОП],$A99,Август202236567[№ дома],$C$97)</f>
        <v>664.29</v>
      </c>
      <c r="F99" s="939">
        <f>SUMIFS(Август202236567[сумма без отделки],Август202236567[МОП],$A99,Август202236567[№ дома],$C$97)</f>
        <v>51237353.180000007</v>
      </c>
      <c r="G99" s="940">
        <f>COUNTIFS(Август202236567[МОП],$A99,Август202236567[№ дома],$C$97)</f>
        <v>16</v>
      </c>
      <c r="H99" s="148">
        <f>SUMIFS(РД[S],РД[Дом],$C$97,РД[МОП],A99,РД[Дата подачи на регистрацию],"&lt;="&amp;$A$1,РД[Дата подачи на регистрацию],"&gt;="&amp;DATE(YEAR($A$1),MONTH($A$1),1))</f>
        <v>664.29</v>
      </c>
      <c r="I99" s="149">
        <f>SUMIFS(РД[Стоимость без отделки итог],РД[Дом],$C$97,РД[МОП],A99,РД[Дата подачи на регистрацию],"&lt;="&amp;$A$1,РД[Дата подачи на регистрацию],"&gt;="&amp;DATE(YEAR($A$1),MONTH($A$1),1))</f>
        <v>51237353.180000007</v>
      </c>
      <c r="J99" s="220">
        <f>COUNTIFS(РД[Дом],$C$97,РД[МОП],A99,РД[Дата подачи на регистрацию],"&lt;="&amp;$A$1,РД[Дата подачи на регистрацию],"&gt;="&amp;DATE(YEAR($A$1),MONTH($A$1),1))</f>
        <v>16</v>
      </c>
      <c r="K99" s="943">
        <f t="shared" ref="K99:L101" si="6">IFERROR(H99/B99,"")</f>
        <v>1.3529327902240325</v>
      </c>
      <c r="L99" s="944">
        <f t="shared" si="6"/>
        <v>1.3214302001342173</v>
      </c>
      <c r="M99" s="183">
        <f>COUNTIFS(РД[Тип кв],M$87,РД[МОП],$A99,РД[Дом],$C$97,РД[Дата подачи на регистрацию],"&lt;="&amp;$A$1,РД[Дата подачи на регистрацию],"&gt;="&amp;DATE(YEAR($A$1),MONTH($A$1),1))</f>
        <v>6</v>
      </c>
      <c r="N99" s="243">
        <f>COUNTIFS(РД[Тип кв],N$87,РД[МОП],$A99,РД[Дом],$C$97,РД[Дата подачи на регистрацию],"&lt;="&amp;$A$1,РД[Дата подачи на регистрацию],"&gt;="&amp;DATE(YEAR($A$1),MONTH($A$1),1))</f>
        <v>5</v>
      </c>
      <c r="O99" s="243">
        <f>COUNTIFS(РД[Тип кв],O$87,РД[МОП],$A99,РД[Дом],$C$97,РД[Дата подачи на регистрацию],"&lt;="&amp;$A$1,РД[Дата подачи на регистрацию],"&gt;="&amp;DATE(YEAR($A$1),MONTH($A$1),1))</f>
        <v>3</v>
      </c>
      <c r="P99" s="243">
        <f>COUNTIFS(РД[Тип кв],P$87,РД[МОП],$A99,РД[Дом],$C$97,РД[Дата подачи на регистрацию],"&lt;="&amp;$A$1,РД[Дата подачи на регистрацию],"&gt;="&amp;DATE(YEAR($A$1),MONTH($A$1),1))</f>
        <v>2</v>
      </c>
      <c r="Q99" s="246">
        <f>COUNTIFS(РД[Тип кв],Q$87,РД[МОП],$A99,РД[Дом],$C$97,РД[Дата подачи на регистрацию],"&lt;="&amp;$A$1,РД[Дата подачи на регистрацию],"&gt;="&amp;DATE(YEAR($A$1),MONTH($A$1),1))</f>
        <v>0</v>
      </c>
      <c r="R99" s="949"/>
      <c r="S99" s="949"/>
      <c r="T99" s="949"/>
    </row>
    <row r="100" spans="1:21">
      <c r="A100" s="952" t="s">
        <v>77</v>
      </c>
      <c r="B100" s="1018">
        <v>328</v>
      </c>
      <c r="C100" s="954">
        <v>25902090.142560001</v>
      </c>
      <c r="D100" s="953">
        <v>8</v>
      </c>
      <c r="E100" s="202">
        <f>SUMIFS(Август202236567[м2],Август202236567[МОП],$A100,Август202236567[№ дома],$C$97)</f>
        <v>689.41000000000008</v>
      </c>
      <c r="F100" s="954">
        <f>SUMIFS(Август202236567[сумма без отделки],Август202236567[МОП],$A100,Август202236567[№ дома],$C$97)</f>
        <v>53401175.649999991</v>
      </c>
      <c r="G100" s="955">
        <f>COUNTIFS(Август202236567[МОП],$A100,Август202236567[№ дома],$C$97)</f>
        <v>15</v>
      </c>
      <c r="H100" s="148">
        <f>SUMIFS(РД[S],РД[Дом],$C$97,РД[МОП],A100,РД[Дата подачи на регистрацию],"&lt;="&amp;$A$1,РД[Дата подачи на регистрацию],"&gt;="&amp;DATE(YEAR($A$1),MONTH($A$1),1))</f>
        <v>689.41000000000008</v>
      </c>
      <c r="I100" s="149">
        <f>SUMIFS(РД[Стоимость без отделки итог],РД[Дом],$C$97,РД[МОП],A100,РД[Дата подачи на регистрацию],"&lt;="&amp;$A$1,РД[Дата подачи на регистрацию],"&gt;="&amp;DATE(YEAR($A$1),MONTH($A$1),1))</f>
        <v>52754500.340000004</v>
      </c>
      <c r="J100" s="220">
        <f>COUNTIFS(РД[Дом],$C$97,РД[МОП],A100,РД[Дата подачи на регистрацию],"&lt;="&amp;$A$1,РД[Дата подачи на регистрацию],"&gt;="&amp;DATE(YEAR($A$1),MONTH($A$1),1))</f>
        <v>15</v>
      </c>
      <c r="K100" s="987">
        <f t="shared" si="6"/>
        <v>2.1018597560975611</v>
      </c>
      <c r="L100" s="988">
        <f t="shared" si="6"/>
        <v>2.03668893319611</v>
      </c>
      <c r="M100" s="202">
        <f>COUNTIFS(РД[Тип кв],M$87,РД[МОП],$A100,РД[Дом],$C$97,РД[Дата подачи на регистрацию],"&lt;="&amp;$A$1,РД[Дата подачи на регистрацию],"&gt;="&amp;DATE(YEAR($A$1),MONTH($A$1),1))</f>
        <v>2</v>
      </c>
      <c r="N100" s="226">
        <f>COUNTIFS(РД[Тип кв],N$87,РД[МОП],$A100,РД[Дом],$C$97,РД[Дата подачи на регистрацию],"&lt;="&amp;$A$1,РД[Дата подачи на регистрацию],"&gt;="&amp;DATE(YEAR($A$1),MONTH($A$1),1))</f>
        <v>5</v>
      </c>
      <c r="O100" s="226">
        <f>COUNTIFS(РД[Тип кв],O$87,РД[МОП],$A100,РД[Дом],$C$97,РД[Дата подачи на регистрацию],"&lt;="&amp;$A$1,РД[Дата подачи на регистрацию],"&gt;="&amp;DATE(YEAR($A$1),MONTH($A$1),1))</f>
        <v>8</v>
      </c>
      <c r="P100" s="226">
        <f>COUNTIFS(РД[Тип кв],P$87,РД[МОП],$A100,РД[Дом],$C$97,РД[Дата подачи на регистрацию],"&lt;="&amp;$A$1,РД[Дата подачи на регистрацию],"&gt;="&amp;DATE(YEAR($A$1),MONTH($A$1),1))</f>
        <v>0</v>
      </c>
      <c r="Q100" s="227">
        <f>COUNTIFS(РД[Тип кв],Q$87,РД[МОП],$A100,РД[Дом],$C$97,РД[Дата подачи на регистрацию],"&lt;="&amp;$A$1,РД[Дата подачи на регистрацию],"&gt;="&amp;DATE(YEAR($A$1),MONTH($A$1),1))</f>
        <v>0</v>
      </c>
      <c r="R100" s="949"/>
      <c r="S100" s="949"/>
      <c r="T100" s="949"/>
    </row>
    <row r="101" spans="1:21">
      <c r="A101" s="956" t="s">
        <v>1233</v>
      </c>
      <c r="B101" s="1018">
        <v>491</v>
      </c>
      <c r="C101" s="954">
        <v>38774165.426820002</v>
      </c>
      <c r="D101" s="957">
        <v>11</v>
      </c>
      <c r="E101" s="358">
        <f>SUMIFS(Август202236567[м2],Август202236567[МОП],$A101,Август202236567[№ дома],$C$97)</f>
        <v>223.82</v>
      </c>
      <c r="F101" s="958">
        <f>SUMIFS(Август202236567[сумма без отделки],Август202236567[МОП],$A101,Август202236567[№ дома],$C$97)</f>
        <v>18099511.590000004</v>
      </c>
      <c r="G101" s="959">
        <f>COUNTIFS(Август202236567[МОП],$A101,Август202236567[№ дома],$C$97)</f>
        <v>5</v>
      </c>
      <c r="H101" s="148">
        <f>SUMIFS(РД[S],РД[Дом],$C$97,РД[МОП],A101,РД[Дата подачи на регистрацию],"&lt;="&amp;$A$1,РД[Дата подачи на регистрацию],"&gt;="&amp;DATE(YEAR($A$1),MONTH($A$1),1))</f>
        <v>223.82</v>
      </c>
      <c r="I101" s="149">
        <f>SUMIFS(РД[Стоимость без отделки итог],РД[Дом],$C$97,РД[МОП],A101,РД[Дата подачи на регистрацию],"&lt;="&amp;$A$1,РД[Дата подачи на регистрацию],"&gt;="&amp;DATE(YEAR($A$1),MONTH($A$1),1))</f>
        <v>18099511.59</v>
      </c>
      <c r="J101" s="220">
        <f>COUNTIFS(РД[Дом],$C$97,РД[МОП],A101,РД[Дата подачи на регистрацию],"&lt;="&amp;$A$1,РД[Дата подачи на регистрацию],"&gt;="&amp;DATE(YEAR($A$1),MONTH($A$1),1))</f>
        <v>5</v>
      </c>
      <c r="K101" s="987">
        <f t="shared" si="6"/>
        <v>0.45584521384928717</v>
      </c>
      <c r="L101" s="988">
        <f t="shared" si="6"/>
        <v>0.46679306674336846</v>
      </c>
      <c r="M101" s="195">
        <f>COUNTIFS(РД[Тип кв],M$87,РД[МОП],$A101,РД[Дом],$C$97,РД[Дата подачи на регистрацию],"&lt;="&amp;$A$1,РД[Дата подачи на регистрацию],"&gt;="&amp;DATE(YEAR($A$1),MONTH($A$1),1))</f>
        <v>0</v>
      </c>
      <c r="N101" s="251">
        <f>COUNTIFS(РД[Тип кв],N$87,РД[МОП],$A101,РД[Дом],$C$97,РД[Дата подачи на регистрацию],"&lt;="&amp;$A$1,РД[Дата подачи на регистрацию],"&gt;="&amp;DATE(YEAR($A$1),MONTH($A$1),1))</f>
        <v>3</v>
      </c>
      <c r="O101" s="251">
        <f>COUNTIFS(РД[Тип кв],O$87,РД[МОП],$A101,РД[Дом],$C$97,РД[Дата подачи на регистрацию],"&lt;="&amp;$A$1,РД[Дата подачи на регистрацию],"&gt;="&amp;DATE(YEAR($A$1),MONTH($A$1),1))</f>
        <v>2</v>
      </c>
      <c r="P101" s="251">
        <f>COUNTIFS(РД[Тип кв],P$87,РД[МОП],$A101,РД[Дом],$C$97,РД[Дата подачи на регистрацию],"&lt;="&amp;$A$1,РД[Дата подачи на регистрацию],"&gt;="&amp;DATE(YEAR($A$1),MONTH($A$1),1))</f>
        <v>0</v>
      </c>
      <c r="Q101" s="254">
        <f>COUNTIFS(РД[Тип кв],Q$87,РД[МОП],$A101,РД[Дом],$C$97,РД[Дата подачи на регистрацию],"&lt;="&amp;$A$1,РД[Дата подачи на регистрацию],"&gt;="&amp;DATE(YEAR($A$1),MONTH($A$1),1))</f>
        <v>0</v>
      </c>
      <c r="R101" s="949"/>
      <c r="S101" s="949"/>
      <c r="T101" s="949"/>
    </row>
    <row r="102" spans="1:21">
      <c r="A102" s="960" t="s">
        <v>114</v>
      </c>
      <c r="B102" s="961">
        <v>1310</v>
      </c>
      <c r="C102" s="964">
        <v>103450420.9962</v>
      </c>
      <c r="D102" s="962">
        <v>30</v>
      </c>
      <c r="E102" s="963">
        <f t="shared" ref="E102:J102" si="7">SUM(E99:E101)</f>
        <v>1577.52</v>
      </c>
      <c r="F102" s="964">
        <f t="shared" si="7"/>
        <v>122738040.42</v>
      </c>
      <c r="G102" s="965">
        <f t="shared" si="7"/>
        <v>36</v>
      </c>
      <c r="H102" s="961">
        <f t="shared" si="7"/>
        <v>1577.52</v>
      </c>
      <c r="I102" s="964">
        <f t="shared" si="7"/>
        <v>122091365.11000001</v>
      </c>
      <c r="J102" s="962">
        <f t="shared" si="7"/>
        <v>36</v>
      </c>
      <c r="K102" s="419">
        <f>IFERROR(H102/B102,)</f>
        <v>1.2042137404580153</v>
      </c>
      <c r="L102" s="420">
        <f>IFERROR(I102/C102,)</f>
        <v>1.1801920565841366</v>
      </c>
      <c r="M102" s="473">
        <f>SUM(M99:M101)</f>
        <v>8</v>
      </c>
      <c r="N102" s="494">
        <f>SUM(N99:N101)</f>
        <v>13</v>
      </c>
      <c r="O102" s="494">
        <f>SUM(O99:O101)</f>
        <v>13</v>
      </c>
      <c r="P102" s="989">
        <f>SUM(P99:P101)</f>
        <v>2</v>
      </c>
      <c r="Q102" s="497">
        <f>SUM(Q99:Q101)</f>
        <v>0</v>
      </c>
      <c r="R102" s="949"/>
      <c r="S102" s="949"/>
      <c r="T102" s="949"/>
    </row>
    <row r="103" spans="1:21" ht="25.5">
      <c r="A103" s="685" t="s">
        <v>115</v>
      </c>
      <c r="B103" s="723" t="s">
        <v>100</v>
      </c>
      <c r="C103" s="693" t="s">
        <v>97</v>
      </c>
      <c r="D103" s="724" t="s">
        <v>95</v>
      </c>
      <c r="E103" s="1022" t="s">
        <v>494</v>
      </c>
      <c r="F103" s="138" t="s">
        <v>495</v>
      </c>
      <c r="G103" s="139" t="s">
        <v>496</v>
      </c>
      <c r="H103" s="140" t="s">
        <v>101</v>
      </c>
      <c r="I103" s="141" t="s">
        <v>98</v>
      </c>
      <c r="J103" s="141" t="s">
        <v>96</v>
      </c>
      <c r="K103" s="495" t="s">
        <v>715</v>
      </c>
      <c r="L103" s="1027" t="s">
        <v>716</v>
      </c>
      <c r="M103" s="995">
        <v>0</v>
      </c>
      <c r="N103" s="996">
        <v>1</v>
      </c>
      <c r="O103" s="996">
        <v>2</v>
      </c>
      <c r="P103" s="996">
        <v>3</v>
      </c>
      <c r="Q103" s="1028">
        <v>4</v>
      </c>
      <c r="R103" s="949"/>
      <c r="S103" s="949"/>
      <c r="T103" s="949"/>
    </row>
    <row r="104" spans="1:21">
      <c r="A104" s="936" t="s">
        <v>16</v>
      </c>
      <c r="B104" s="514">
        <v>491</v>
      </c>
      <c r="C104" s="146">
        <v>38774165.426820002</v>
      </c>
      <c r="D104" s="417">
        <v>11</v>
      </c>
      <c r="E104" s="966">
        <f>SUMIFS(Август202236567[м2],Август202236567[ИМ],A104,Август202236567[№ дома],$C$97)</f>
        <v>874.12</v>
      </c>
      <c r="F104" s="149">
        <f>SUMIFS(Август202236567[сумма без отделки],Август202236567[ИМ],$A104,Август202236567[№ дома],$C$97)</f>
        <v>66536552.710000001</v>
      </c>
      <c r="G104" s="940">
        <f>COUNTIFS(Август202236567[ИМ],$A104,Август202236567[№ дома],$C$97)</f>
        <v>18</v>
      </c>
      <c r="H104" s="346">
        <f>SUMIFS(РД[S],РД[Дом],$C$97,РД[ИМ],A104,РД[Дата подачи на регистрацию],"&lt;="&amp;$A$1,РД[Дата подачи на регистрацию],"&gt;="&amp;DATE(YEAR($A$1),MONTH($A$1),1))</f>
        <v>874.11999999999989</v>
      </c>
      <c r="I104" s="184">
        <f>SUMIFS(РД[Стоимость без отделки итог],РД[Дом],$C$97,РД[ИМ],A104,РД[Дата подачи на регистрацию],"&lt;="&amp;$A$1,РД[Дата подачи на регистрацию],"&gt;="&amp;DATE(YEAR($A$1),MONTH($A$1),1))</f>
        <v>66205577.400000013</v>
      </c>
      <c r="J104" s="243">
        <f>COUNTIFS(РД[Дом],$C$97,РД[ИМ],A104,РД[Дата подачи на регистрацию],"&lt;="&amp;$A$1,РД[Дата подачи на регистрацию],"&gt;="&amp;DATE(YEAR($A$1),MONTH($A$1),1))</f>
        <v>18</v>
      </c>
      <c r="K104" s="990">
        <f>IFERROR(H104/B104,"")</f>
        <v>1.7802851323828919</v>
      </c>
      <c r="L104" s="991">
        <f>IFERROR(I104/C104,"")</f>
        <v>1.7074662129079834</v>
      </c>
      <c r="M104" s="183">
        <f>COUNTIFS(РД[Тип кв],M$87,РД[ИМ],$A104,РД[Дом],$C$97,РД[Дата подачи на регистрацию],"&lt;="&amp;$A$1,РД[Дата подачи на регистрацию],"&gt;="&amp;DATE(YEAR($A$1),MONTH($A$1),1))</f>
        <v>3</v>
      </c>
      <c r="N104" s="243">
        <f>COUNTIFS(РД[Тип кв],N$87,РД[ИМ],$A104,РД[Дом],$C$97,РД[Дата подачи на регистрацию],"&lt;="&amp;$A$1,РД[Дата подачи на регистрацию],"&gt;="&amp;DATE(YEAR($A$1),MONTH($A$1),1))</f>
        <v>5</v>
      </c>
      <c r="O104" s="243">
        <f>COUNTIFS(РД[Тип кв],O$87,РД[ИМ],$A104,РД[Дом],$C$97,РД[Дата подачи на регистрацию],"&lt;="&amp;$A$1,РД[Дата подачи на регистрацию],"&gt;="&amp;DATE(YEAR($A$1),MONTH($A$1),1))</f>
        <v>8</v>
      </c>
      <c r="P104" s="243">
        <f>COUNTIFS(РД[Тип кв],P$87,РД[ИМ],$A104,РД[Дом],$C$97,РД[Дата подачи на регистрацию],"&lt;="&amp;$A$1,РД[Дата подачи на регистрацию],"&gt;="&amp;DATE(YEAR($A$1),MONTH($A$1),1))</f>
        <v>2</v>
      </c>
      <c r="Q104" s="246">
        <f>COUNTIFS(РД[Тип кв],Q$87,РД[ИМ],$A104,РД[Дом],$C$97,РД[Дата подачи на регистрацию],"&lt;="&amp;$A$1,РД[Дата подачи на регистрацию],"&gt;="&amp;DATE(YEAR($A$1),MONTH($A$1),1))</f>
        <v>0</v>
      </c>
      <c r="R104" s="949"/>
      <c r="S104" s="949"/>
      <c r="T104" s="949"/>
    </row>
    <row r="105" spans="1:21">
      <c r="A105" s="956" t="s">
        <v>22</v>
      </c>
      <c r="B105" s="422">
        <v>328</v>
      </c>
      <c r="C105" s="363">
        <v>25902090.142560001</v>
      </c>
      <c r="D105" s="518">
        <v>11</v>
      </c>
      <c r="E105" s="967">
        <f>SUMIFS(Август202236567[м2],Август202236567[ИМ],A105,Август202236567[№ дома],$C$97)</f>
        <v>385.9899999999999</v>
      </c>
      <c r="F105" s="359">
        <f>SUMIFS(Август202236567[сумма без отделки],Август202236567[ИМ],$A105,Август202236567[№ дома],$C$97)</f>
        <v>29646904.919999998</v>
      </c>
      <c r="G105" s="959">
        <f>COUNTIFS(Август202236567[ИМ],$A105,Август202236567[№ дома],$C$97)</f>
        <v>8</v>
      </c>
      <c r="H105" s="426">
        <f>SUMIFS(РД[S],РД[Дом],$C$97,РД[ИМ],A105,РД[Дата подачи на регистрацию],"&lt;="&amp;$A$1,РД[Дата подачи на регистрацию],"&gt;="&amp;DATE(YEAR($A$1),MONTH($A$1),1))</f>
        <v>385.9899999999999</v>
      </c>
      <c r="I105" s="196">
        <f>SUMIFS(РД[Стоимость без отделки итог],РД[Дом],$C$97,РД[ИМ],A105,РД[Дата подачи на регистрацию],"&lt;="&amp;$A$1,РД[Дата подачи на регистрацию],"&gt;="&amp;DATE(YEAR($A$1),MONTH($A$1),1))</f>
        <v>29455594.920000002</v>
      </c>
      <c r="J105" s="251">
        <f>COUNTIFS(РД[Дом],$C$97,РД[ИМ],A105,РД[Дата подачи на регистрацию],"&lt;="&amp;$A$1,РД[Дата подачи на регистрацию],"&gt;="&amp;DATE(YEAR($A$1),MONTH($A$1),1))</f>
        <v>8</v>
      </c>
      <c r="K105" s="992">
        <f>IFERROR(H105/B105,"")</f>
        <v>1.1767987804878046</v>
      </c>
      <c r="L105" s="993">
        <f>IFERROR(I105/C105,"")</f>
        <v>1.1371898853676368</v>
      </c>
      <c r="M105" s="358">
        <f>COUNTIFS(РД[Тип кв],M$87,РД[ИМ],$A105,РД[Дом],$C$97,РД[Дата подачи на регистрацию],"&lt;="&amp;$A$1,РД[Дата подачи на регистрацию],"&gt;="&amp;DATE(YEAR($A$1),MONTH($A$1),1))</f>
        <v>1</v>
      </c>
      <c r="N105" s="330">
        <f>COUNTIFS(РД[Тип кв],N$87,РД[ИМ],$A105,РД[Дом],$C$97,РД[Дата подачи на регистрацию],"&lt;="&amp;$A$1,РД[Дата подачи на регистрацию],"&gt;="&amp;DATE(YEAR($A$1),MONTH($A$1),1))</f>
        <v>2</v>
      </c>
      <c r="O105" s="330">
        <f>COUNTIFS(РД[Тип кв],O$87,РД[ИМ],$A105,РД[Дом],$C$97,РД[Дата подачи на регистрацию],"&lt;="&amp;$A$1,РД[Дата подачи на регистрацию],"&gt;="&amp;DATE(YEAR($A$1),MONTH($A$1),1))</f>
        <v>5</v>
      </c>
      <c r="P105" s="330">
        <f>COUNTIFS(РД[Тип кв],P$87,РД[ИМ],$A105,РД[Дом],$C$97,РД[Дата подачи на регистрацию],"&lt;="&amp;$A$1,РД[Дата подачи на регистрацию],"&gt;="&amp;DATE(YEAR($A$1),MONTH($A$1),1))</f>
        <v>0</v>
      </c>
      <c r="Q105" s="331">
        <f>COUNTIFS(РД[Тип кв],Q$87,РД[ИМ],$A105,РД[Дом],$C$97,РД[Дата подачи на регистрацию],"&lt;="&amp;$A$1,РД[Дата подачи на регистрацию],"&gt;="&amp;DATE(YEAR($A$1),MONTH($A$1),1))</f>
        <v>0</v>
      </c>
      <c r="R105" s="949"/>
      <c r="S105" s="949"/>
      <c r="T105" s="949"/>
    </row>
    <row r="106" spans="1:21">
      <c r="A106" s="409" t="s">
        <v>114</v>
      </c>
      <c r="B106" s="428">
        <v>819</v>
      </c>
      <c r="C106" s="429">
        <v>64676255.56938</v>
      </c>
      <c r="D106" s="485">
        <v>19</v>
      </c>
      <c r="E106" s="473">
        <f t="shared" ref="E106:J106" si="8">SUM(E104:E104)</f>
        <v>874.12</v>
      </c>
      <c r="F106" s="429">
        <f t="shared" si="8"/>
        <v>66536552.710000001</v>
      </c>
      <c r="G106" s="497">
        <f t="shared" si="8"/>
        <v>18</v>
      </c>
      <c r="H106" s="473">
        <f t="shared" si="8"/>
        <v>874.11999999999989</v>
      </c>
      <c r="I106" s="429">
        <f t="shared" si="8"/>
        <v>66205577.400000013</v>
      </c>
      <c r="J106" s="494">
        <f t="shared" si="8"/>
        <v>18</v>
      </c>
      <c r="K106" s="419">
        <f>IFERROR(H106/B106,)</f>
        <v>1.0673015873015872</v>
      </c>
      <c r="L106" s="420">
        <f>IFERROR(I106/C106,)</f>
        <v>1.0236458004124784</v>
      </c>
      <c r="M106" s="473">
        <f>SUM(M104:M104)</f>
        <v>3</v>
      </c>
      <c r="N106" s="494">
        <f>SUM(N104:N104)</f>
        <v>5</v>
      </c>
      <c r="O106" s="494">
        <f>SUM(O104:O104)</f>
        <v>8</v>
      </c>
      <c r="P106" s="494">
        <f>SUM(P104:P104)</f>
        <v>2</v>
      </c>
      <c r="Q106" s="497">
        <f>SUM(Q104:Q104)</f>
        <v>0</v>
      </c>
      <c r="R106" s="949"/>
      <c r="S106" s="949"/>
      <c r="T106" s="949"/>
    </row>
    <row r="107" spans="1:21">
      <c r="A107" s="7"/>
      <c r="B107" s="968"/>
      <c r="C107" s="968"/>
      <c r="D107" s="969"/>
      <c r="E107" s="7"/>
      <c r="F107" s="7"/>
      <c r="G107" s="7"/>
      <c r="H107" s="134"/>
      <c r="I107" s="134"/>
      <c r="J107" s="134"/>
      <c r="K107" s="7"/>
      <c r="L107" s="994"/>
      <c r="M107" s="134"/>
      <c r="N107" s="134"/>
      <c r="O107" s="134"/>
      <c r="P107" s="262"/>
      <c r="Q107" s="134"/>
      <c r="R107" s="949"/>
      <c r="S107" s="949"/>
      <c r="T107" s="949"/>
    </row>
    <row r="108" spans="1:21">
      <c r="A108" s="2293" t="s">
        <v>713</v>
      </c>
      <c r="B108" s="2294"/>
      <c r="C108" s="972" t="s">
        <v>718</v>
      </c>
      <c r="D108" s="2295"/>
      <c r="E108" s="2296"/>
      <c r="F108" s="2296"/>
      <c r="G108" s="2296"/>
      <c r="H108" s="2296"/>
      <c r="I108" s="2296"/>
      <c r="J108" s="2296"/>
      <c r="K108" s="2296"/>
      <c r="L108" s="2296"/>
      <c r="M108" s="2296"/>
      <c r="N108" s="2296"/>
      <c r="O108" s="2296"/>
      <c r="P108" s="2296"/>
      <c r="Q108" s="7"/>
      <c r="R108" s="949"/>
      <c r="S108" s="949"/>
      <c r="T108" s="949"/>
    </row>
    <row r="109" spans="1:21" ht="25.5">
      <c r="A109" s="685" t="s">
        <v>1</v>
      </c>
      <c r="B109" s="723" t="s">
        <v>100</v>
      </c>
      <c r="C109" s="687" t="s">
        <v>97</v>
      </c>
      <c r="D109" s="724" t="s">
        <v>95</v>
      </c>
      <c r="E109" s="1022" t="s">
        <v>494</v>
      </c>
      <c r="F109" s="138" t="s">
        <v>495</v>
      </c>
      <c r="G109" s="139" t="s">
        <v>496</v>
      </c>
      <c r="H109" s="140" t="s">
        <v>101</v>
      </c>
      <c r="I109" s="141" t="s">
        <v>98</v>
      </c>
      <c r="J109" s="141" t="s">
        <v>96</v>
      </c>
      <c r="K109" s="141" t="s">
        <v>715</v>
      </c>
      <c r="L109" s="1026" t="s">
        <v>716</v>
      </c>
      <c r="M109" s="217">
        <v>0</v>
      </c>
      <c r="N109" s="218">
        <v>1</v>
      </c>
      <c r="O109" s="218">
        <v>2</v>
      </c>
      <c r="P109" s="218">
        <v>3</v>
      </c>
      <c r="Q109" s="219">
        <v>4</v>
      </c>
      <c r="R109" s="950"/>
      <c r="S109" s="950"/>
      <c r="T109" s="950"/>
      <c r="U109" s="951"/>
    </row>
    <row r="110" spans="1:21">
      <c r="A110" s="936" t="s">
        <v>73</v>
      </c>
      <c r="B110" s="937">
        <v>837.3</v>
      </c>
      <c r="C110" s="939">
        <v>69964154.222479999</v>
      </c>
      <c r="D110" s="938">
        <v>21</v>
      </c>
      <c r="E110" s="148">
        <f t="shared" ref="E110:J112" si="9">E77+E88+E99</f>
        <v>912.66</v>
      </c>
      <c r="F110" s="939">
        <f t="shared" si="9"/>
        <v>71511712.120000005</v>
      </c>
      <c r="G110" s="940">
        <f t="shared" si="9"/>
        <v>21</v>
      </c>
      <c r="H110" s="267">
        <f t="shared" si="9"/>
        <v>916.56</v>
      </c>
      <c r="I110" s="146">
        <f t="shared" si="9"/>
        <v>71511712.110000014</v>
      </c>
      <c r="J110" s="220">
        <f t="shared" si="9"/>
        <v>21</v>
      </c>
      <c r="K110" s="943">
        <f t="shared" ref="K110:L112" si="10">IFERROR(H110/B110,"")</f>
        <v>1.0946614116804012</v>
      </c>
      <c r="L110" s="944">
        <f t="shared" si="10"/>
        <v>1.0221192967272772</v>
      </c>
      <c r="M110" s="1011">
        <f t="shared" ref="M110:Q112" si="11">M77+M88+M99</f>
        <v>8</v>
      </c>
      <c r="N110" s="1012">
        <f t="shared" si="11"/>
        <v>6</v>
      </c>
      <c r="O110" s="1012">
        <f t="shared" si="11"/>
        <v>3</v>
      </c>
      <c r="P110" s="1012">
        <f t="shared" si="11"/>
        <v>4</v>
      </c>
      <c r="Q110" s="876">
        <f t="shared" si="11"/>
        <v>0</v>
      </c>
      <c r="R110" s="949"/>
      <c r="S110" s="949"/>
      <c r="T110" s="949"/>
    </row>
    <row r="111" spans="1:21">
      <c r="A111" s="952" t="s">
        <v>77</v>
      </c>
      <c r="B111" s="1018">
        <v>578.6</v>
      </c>
      <c r="C111" s="954">
        <v>48161219.483000003</v>
      </c>
      <c r="D111" s="953">
        <v>15</v>
      </c>
      <c r="E111" s="202">
        <f t="shared" si="9"/>
        <v>761.36000000000013</v>
      </c>
      <c r="F111" s="954">
        <f t="shared" si="9"/>
        <v>60151735.719999991</v>
      </c>
      <c r="G111" s="955">
        <f t="shared" si="9"/>
        <v>18</v>
      </c>
      <c r="H111" s="271">
        <f t="shared" si="9"/>
        <v>981.86000000000013</v>
      </c>
      <c r="I111" s="52">
        <f t="shared" si="9"/>
        <v>82657560.409999996</v>
      </c>
      <c r="J111" s="220">
        <f t="shared" si="9"/>
        <v>20</v>
      </c>
      <c r="K111" s="987">
        <f t="shared" si="10"/>
        <v>1.6969581749049432</v>
      </c>
      <c r="L111" s="988">
        <f t="shared" si="10"/>
        <v>1.7162680118425271</v>
      </c>
      <c r="M111" s="998">
        <f t="shared" si="11"/>
        <v>5</v>
      </c>
      <c r="N111" s="326">
        <f t="shared" si="11"/>
        <v>5</v>
      </c>
      <c r="O111" s="326">
        <f t="shared" si="11"/>
        <v>8</v>
      </c>
      <c r="P111" s="326">
        <f t="shared" si="11"/>
        <v>0</v>
      </c>
      <c r="Q111" s="327">
        <f t="shared" si="11"/>
        <v>0</v>
      </c>
      <c r="R111" s="949"/>
      <c r="S111" s="949"/>
      <c r="T111" s="949"/>
    </row>
    <row r="112" spans="1:21">
      <c r="A112" s="956" t="s">
        <v>1233</v>
      </c>
      <c r="B112" s="1018">
        <v>749</v>
      </c>
      <c r="C112" s="954">
        <v>63206509.302479997</v>
      </c>
      <c r="D112" s="957">
        <v>20</v>
      </c>
      <c r="E112" s="358">
        <f t="shared" si="9"/>
        <v>420.63</v>
      </c>
      <c r="F112" s="958">
        <f t="shared" si="9"/>
        <v>35477395.520000003</v>
      </c>
      <c r="G112" s="959">
        <f t="shared" si="9"/>
        <v>10</v>
      </c>
      <c r="H112" s="271">
        <f t="shared" si="9"/>
        <v>423.53</v>
      </c>
      <c r="I112" s="52">
        <f t="shared" si="9"/>
        <v>35342169.689999998</v>
      </c>
      <c r="J112" s="220">
        <f t="shared" si="9"/>
        <v>10</v>
      </c>
      <c r="K112" s="987">
        <f t="shared" si="10"/>
        <v>0.56546061415220294</v>
      </c>
      <c r="L112" s="988">
        <f t="shared" si="10"/>
        <v>0.55915395550270164</v>
      </c>
      <c r="M112" s="999">
        <f t="shared" si="11"/>
        <v>3</v>
      </c>
      <c r="N112" s="365">
        <f t="shared" si="11"/>
        <v>4</v>
      </c>
      <c r="O112" s="365">
        <f t="shared" si="11"/>
        <v>2</v>
      </c>
      <c r="P112" s="365">
        <f t="shared" si="11"/>
        <v>1</v>
      </c>
      <c r="Q112" s="366">
        <f t="shared" si="11"/>
        <v>0</v>
      </c>
      <c r="R112" s="949"/>
      <c r="S112" s="949"/>
      <c r="T112" s="949"/>
    </row>
    <row r="113" spans="1:22">
      <c r="A113" s="960" t="s">
        <v>114</v>
      </c>
      <c r="B113" s="961">
        <v>2164.9</v>
      </c>
      <c r="C113" s="964">
        <v>181331883.00795999</v>
      </c>
      <c r="D113" s="962">
        <v>56</v>
      </c>
      <c r="E113" s="963">
        <f t="shared" ref="E113:J113" si="12">SUM(E110:E112)</f>
        <v>2094.65</v>
      </c>
      <c r="F113" s="964">
        <f t="shared" si="12"/>
        <v>167140843.36000001</v>
      </c>
      <c r="G113" s="965">
        <f t="shared" si="12"/>
        <v>49</v>
      </c>
      <c r="H113" s="961">
        <f t="shared" si="12"/>
        <v>2321.9499999999998</v>
      </c>
      <c r="I113" s="964">
        <f t="shared" si="12"/>
        <v>189511442.21000001</v>
      </c>
      <c r="J113" s="962">
        <f t="shared" si="12"/>
        <v>51</v>
      </c>
      <c r="K113" s="419">
        <f>IFERROR(H113/B113,)</f>
        <v>1.0725437664557254</v>
      </c>
      <c r="L113" s="420">
        <f>IFERROR(I113/C113,)</f>
        <v>1.0451082240274367</v>
      </c>
      <c r="M113" s="473">
        <f>SUM(M110:M112)</f>
        <v>16</v>
      </c>
      <c r="N113" s="494">
        <f>SUM(N110:N112)</f>
        <v>15</v>
      </c>
      <c r="O113" s="494">
        <f>SUM(O110:O112)</f>
        <v>13</v>
      </c>
      <c r="P113" s="989">
        <f>SUM(P110:P112)</f>
        <v>5</v>
      </c>
      <c r="Q113" s="497">
        <f>SUM(Q110:Q112)</f>
        <v>0</v>
      </c>
      <c r="R113" s="949"/>
      <c r="S113" s="949"/>
      <c r="T113" s="949"/>
    </row>
    <row r="114" spans="1:22" ht="25.5">
      <c r="A114" s="685" t="s">
        <v>115</v>
      </c>
      <c r="B114" s="723" t="s">
        <v>100</v>
      </c>
      <c r="C114" s="693" t="s">
        <v>97</v>
      </c>
      <c r="D114" s="724" t="s">
        <v>95</v>
      </c>
      <c r="E114" s="1022" t="s">
        <v>494</v>
      </c>
      <c r="F114" s="138" t="s">
        <v>495</v>
      </c>
      <c r="G114" s="139" t="s">
        <v>496</v>
      </c>
      <c r="H114" s="980" t="s">
        <v>101</v>
      </c>
      <c r="I114" s="141" t="s">
        <v>98</v>
      </c>
      <c r="J114" s="141" t="s">
        <v>96</v>
      </c>
      <c r="K114" s="141" t="s">
        <v>715</v>
      </c>
      <c r="L114" s="1026" t="s">
        <v>716</v>
      </c>
      <c r="M114" s="217">
        <v>0</v>
      </c>
      <c r="N114" s="218">
        <v>1</v>
      </c>
      <c r="O114" s="218">
        <v>2</v>
      </c>
      <c r="P114" s="218">
        <v>3</v>
      </c>
      <c r="Q114" s="219">
        <v>4</v>
      </c>
      <c r="R114" s="950"/>
      <c r="S114" s="950"/>
      <c r="T114" s="950"/>
      <c r="U114" s="951"/>
    </row>
    <row r="115" spans="1:22">
      <c r="A115" s="936" t="s">
        <v>16</v>
      </c>
      <c r="B115" s="514">
        <v>787.6</v>
      </c>
      <c r="C115" s="146">
        <v>65768813.219999999</v>
      </c>
      <c r="D115" s="417">
        <v>21</v>
      </c>
      <c r="E115" s="966">
        <f t="shared" ref="E115:J116" si="13">E82+E93+E104</f>
        <v>947.59</v>
      </c>
      <c r="F115" s="149">
        <f t="shared" si="13"/>
        <v>73423826.769999996</v>
      </c>
      <c r="G115" s="940">
        <f t="shared" si="13"/>
        <v>21</v>
      </c>
      <c r="H115" s="346">
        <f t="shared" si="13"/>
        <v>947.28999999999985</v>
      </c>
      <c r="I115" s="184">
        <f t="shared" si="13"/>
        <v>73092851.460000008</v>
      </c>
      <c r="J115" s="243">
        <f t="shared" si="13"/>
        <v>21</v>
      </c>
      <c r="K115" s="990">
        <f>IFERROR(H115/B115,"")</f>
        <v>1.2027552056881663</v>
      </c>
      <c r="L115" s="991">
        <f>IFERROR(I115/C115,"")</f>
        <v>1.1113603527480529</v>
      </c>
      <c r="M115" s="183">
        <f t="shared" ref="M115:Q116" si="14">M82+M93</f>
        <v>3</v>
      </c>
      <c r="N115" s="243">
        <f t="shared" si="14"/>
        <v>0</v>
      </c>
      <c r="O115" s="243">
        <f t="shared" si="14"/>
        <v>0</v>
      </c>
      <c r="P115" s="243">
        <f t="shared" si="14"/>
        <v>0</v>
      </c>
      <c r="Q115" s="246">
        <f t="shared" si="14"/>
        <v>0</v>
      </c>
      <c r="R115" s="949"/>
      <c r="S115" s="949"/>
      <c r="T115" s="949"/>
    </row>
    <row r="116" spans="1:22">
      <c r="A116" s="956" t="s">
        <v>22</v>
      </c>
      <c r="B116" s="422">
        <v>777.9</v>
      </c>
      <c r="C116" s="363">
        <v>64982068.390000001</v>
      </c>
      <c r="D116" s="518">
        <v>21</v>
      </c>
      <c r="E116" s="967">
        <f t="shared" si="13"/>
        <v>805.25999999999988</v>
      </c>
      <c r="F116" s="359">
        <f t="shared" si="13"/>
        <v>64798076.989999995</v>
      </c>
      <c r="G116" s="959">
        <f t="shared" si="13"/>
        <v>17</v>
      </c>
      <c r="H116" s="426">
        <f t="shared" si="13"/>
        <v>812.3599999999999</v>
      </c>
      <c r="I116" s="196">
        <f t="shared" si="13"/>
        <v>64471541.150000006</v>
      </c>
      <c r="J116" s="251">
        <f t="shared" si="13"/>
        <v>17</v>
      </c>
      <c r="K116" s="992">
        <f>IFERROR(H116/B116,"")</f>
        <v>1.0442987530530916</v>
      </c>
      <c r="L116" s="993">
        <f>IFERROR(I116/C116,"")</f>
        <v>0.99214356740791954</v>
      </c>
      <c r="M116" s="195">
        <f t="shared" si="14"/>
        <v>4</v>
      </c>
      <c r="N116" s="251">
        <f t="shared" si="14"/>
        <v>2</v>
      </c>
      <c r="O116" s="251">
        <f t="shared" si="14"/>
        <v>0</v>
      </c>
      <c r="P116" s="251">
        <f t="shared" si="14"/>
        <v>3</v>
      </c>
      <c r="Q116" s="254">
        <f t="shared" si="14"/>
        <v>0</v>
      </c>
      <c r="R116" s="949"/>
      <c r="S116" s="949"/>
      <c r="T116" s="949"/>
    </row>
    <row r="117" spans="1:22">
      <c r="A117" s="409" t="s">
        <v>114</v>
      </c>
      <c r="B117" s="428">
        <v>1565.5</v>
      </c>
      <c r="C117" s="429">
        <v>130750881.61</v>
      </c>
      <c r="D117" s="485">
        <v>42</v>
      </c>
      <c r="E117" s="473">
        <f t="shared" ref="E117:J117" si="15">SUM(E115:E115)</f>
        <v>947.59</v>
      </c>
      <c r="F117" s="429">
        <f t="shared" si="15"/>
        <v>73423826.769999996</v>
      </c>
      <c r="G117" s="497">
        <f t="shared" si="15"/>
        <v>21</v>
      </c>
      <c r="H117" s="484">
        <f t="shared" si="15"/>
        <v>947.28999999999985</v>
      </c>
      <c r="I117" s="494">
        <f t="shared" si="15"/>
        <v>73092851.460000008</v>
      </c>
      <c r="J117" s="494">
        <f t="shared" si="15"/>
        <v>21</v>
      </c>
      <c r="K117" s="419">
        <f>IFERROR(H117/B117,)</f>
        <v>0.6051038007026508</v>
      </c>
      <c r="L117" s="507">
        <f>IFERROR(I117/C117,)</f>
        <v>0.5590237752890973</v>
      </c>
      <c r="M117" s="317">
        <f>SUM(M115:M115)</f>
        <v>3</v>
      </c>
      <c r="N117" s="917">
        <f>SUM(N115:N115)</f>
        <v>0</v>
      </c>
      <c r="O117" s="917">
        <f>SUM(O115:O115)</f>
        <v>0</v>
      </c>
      <c r="P117" s="917">
        <f>SUM(P115:P115)</f>
        <v>0</v>
      </c>
      <c r="Q117" s="928">
        <f>SUM(Q115:Q115)</f>
        <v>0</v>
      </c>
      <c r="R117" s="949"/>
      <c r="S117" s="949"/>
      <c r="T117" s="949"/>
    </row>
    <row r="118" spans="1:22">
      <c r="A118" s="65"/>
      <c r="B118" s="65"/>
      <c r="C118" s="65"/>
      <c r="D118" s="65"/>
      <c r="E118" s="65"/>
      <c r="F118" s="949"/>
      <c r="G118" s="65"/>
      <c r="H118" s="65"/>
      <c r="I118" s="949"/>
      <c r="J118" s="65"/>
      <c r="K118" s="65"/>
      <c r="L118" s="65"/>
      <c r="M118" s="949"/>
      <c r="N118" s="65"/>
      <c r="O118" s="949"/>
      <c r="P118" s="949"/>
      <c r="Q118" s="86"/>
      <c r="R118" s="949"/>
      <c r="S118" s="949"/>
      <c r="T118" s="949"/>
    </row>
    <row r="119" spans="1:22">
      <c r="A119" s="2301" t="s">
        <v>945</v>
      </c>
      <c r="B119" s="2302"/>
      <c r="C119" s="2302"/>
      <c r="D119" s="2302"/>
      <c r="E119" s="2302"/>
      <c r="F119" s="2302"/>
      <c r="G119" s="2302"/>
      <c r="H119" s="2303"/>
      <c r="I119" s="2303"/>
      <c r="J119" s="2303"/>
      <c r="K119" s="2303"/>
      <c r="L119" s="2303"/>
      <c r="M119" s="2303"/>
      <c r="N119" s="2304"/>
      <c r="O119" s="949"/>
      <c r="P119" s="949"/>
      <c r="Q119" s="86"/>
      <c r="R119" s="949"/>
      <c r="S119" s="949"/>
      <c r="T119" s="949"/>
    </row>
    <row r="120" spans="1:22" ht="25.5">
      <c r="A120" s="685" t="s">
        <v>1</v>
      </c>
      <c r="B120" s="723" t="s">
        <v>101</v>
      </c>
      <c r="C120" s="724" t="s">
        <v>98</v>
      </c>
      <c r="D120" s="688" t="s">
        <v>96</v>
      </c>
      <c r="E120" s="1022" t="s">
        <v>494</v>
      </c>
      <c r="F120" s="138" t="s">
        <v>495</v>
      </c>
      <c r="G120" s="296" t="s">
        <v>496</v>
      </c>
      <c r="H120" s="140" t="s">
        <v>946</v>
      </c>
      <c r="I120" s="141" t="s">
        <v>947</v>
      </c>
      <c r="J120" s="217">
        <v>0</v>
      </c>
      <c r="K120" s="218">
        <v>1</v>
      </c>
      <c r="L120" s="218">
        <v>2</v>
      </c>
      <c r="M120" s="218">
        <v>3</v>
      </c>
      <c r="N120" s="219">
        <v>4</v>
      </c>
      <c r="O120" s="949"/>
      <c r="P120" s="949"/>
      <c r="Q120" s="86"/>
      <c r="R120" s="949"/>
      <c r="S120" s="949"/>
      <c r="T120" s="949"/>
    </row>
    <row r="121" spans="1:22">
      <c r="A121" s="985" t="s">
        <v>73</v>
      </c>
      <c r="B121" s="291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1" s="292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1" s="694">
        <f>COUNTIFS(РД[МОП],A121,РД[Дата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1" s="1015"/>
      <c r="F121" s="292"/>
      <c r="G121" s="720"/>
      <c r="H121" s="291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1" s="879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1" s="183">
        <f>COUNTIFS(РД[Тип кв],J$120,РД[МОП],$A121,РД[Дата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1" s="243">
        <f>COUNTIFS(РД[Тип кв],K$120,РД[МОП],$A121,РД[Дата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1" s="243">
        <f>COUNTIFS(РД[Тип кв],L$120,РД[МОП],$A121,РД[Дата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1" s="243">
        <f>COUNTIFS(РД[Тип кв],M$120,РД[МОП],$A121,РД[Дата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1" s="246">
        <f>COUNTIFS(РД[Тип кв],N$120,РД[МОП],$A121,РД[Дата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1" s="949"/>
      <c r="P121" s="949"/>
      <c r="Q121" s="86"/>
      <c r="R121" s="949"/>
      <c r="S121" s="949"/>
      <c r="T121" s="949"/>
    </row>
    <row r="122" spans="1:22" s="930" customFormat="1">
      <c r="A122" s="981" t="s">
        <v>77</v>
      </c>
      <c r="B122" s="271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2" s="52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2" s="717">
        <f>COUNTIFS(РД[МОП],A122,РД[Дата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2" s="416"/>
      <c r="F122" s="52"/>
      <c r="G122" s="421"/>
      <c r="H122" s="271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2" s="546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2" s="202">
        <f>COUNTIFS(РД[Тип кв],J$120,РД[МОП],$A122,РД[Дата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2" s="226">
        <f>COUNTIFS(РД[Тип кв],K$120,РД[МОП],$A122,РД[Дата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2" s="226">
        <f>COUNTIFS(РД[Тип кв],L$120,РД[МОП],$A122,РД[Дата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2" s="226">
        <f>COUNTIFS(РД[Тип кв],M$120,РД[МОП],$A122,РД[Дата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2" s="227">
        <f>COUNTIFS(РД[Тип кв],N$120,РД[МОП],$A122,РД[Дата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2" s="949"/>
      <c r="P122" s="949"/>
      <c r="Q122" s="86"/>
      <c r="R122" s="949"/>
      <c r="S122" s="949"/>
      <c r="T122" s="949"/>
      <c r="V122" s="931"/>
    </row>
    <row r="123" spans="1:22" s="930" customFormat="1">
      <c r="A123" s="981" t="s">
        <v>1233</v>
      </c>
      <c r="B123" s="271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3" s="52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3" s="717">
        <f>COUNTIFS(РД[МОП],A123,РД[Дата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3" s="416"/>
      <c r="F123" s="52"/>
      <c r="G123" s="421"/>
      <c r="H123" s="271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546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202">
        <f>COUNTIFS(РД[Тип кв],J$120,РД[МОП],$A123,РД[Дата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226">
        <f>COUNTIFS(РД[Тип кв],K$120,РД[МОП],$A123,РД[Дата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226">
        <f>COUNTIFS(РД[Тип кв],L$120,РД[МОП],$A123,РД[Дата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226">
        <f>COUNTIFS(РД[Тип кв],M$120,РД[МОП],$A123,РД[Дата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227">
        <f>COUNTIFS(РД[Тип кв],N$120,РД[МОП],$A123,РД[Дата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3" s="949"/>
      <c r="P123" s="949"/>
      <c r="Q123" s="86"/>
      <c r="R123" s="949"/>
      <c r="S123" s="949"/>
      <c r="T123" s="949"/>
      <c r="V123" s="931"/>
    </row>
    <row r="124" spans="1:22" s="930" customFormat="1">
      <c r="A124" s="982" t="s">
        <v>29</v>
      </c>
      <c r="B124" s="516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4" s="554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4" s="695">
        <f>COUNTIFS(РД[МОП],A124,РД[Дата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4" s="329">
        <f>SUMIFS(Август202236567[м2],Август202236567[МОП],$A124,Август202236567[№ дома],$C$86)</f>
        <v>0</v>
      </c>
      <c r="F124" s="958">
        <f>SUMIFS(Август202236567[сумма без отделки],Август202236567[МОП],$A124,Август202236567[№ дома],$C$86)</f>
        <v>0</v>
      </c>
      <c r="G124" s="959">
        <f>COUNTIFS(Август202236567[МОП],$A124,Август202236567[№ дома],$C$86)</f>
        <v>0</v>
      </c>
      <c r="H124" s="516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4" s="1002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4" s="195">
        <f>COUNTIFS(РД[Тип кв],J$120,РД[МОП],$A124,РД[Дата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4" s="251">
        <f>COUNTIFS(РД[Тип кв],K$120,РД[МОП],$A124,РД[Дата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4" s="251">
        <f>COUNTIFS(РД[Тип кв],L$120,РД[МОП],$A124,РД[Дата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4" s="251">
        <f>COUNTIFS(РД[Тип кв],M$120,РД[МОП],$A124,РД[Дата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4" s="254">
        <f>COUNTIFS(РД[Тип кв],N$120,РД[МОП],$A124,РД[Дата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984" t="s">
        <v>114</v>
      </c>
      <c r="B125" s="323">
        <f t="shared" ref="B125:N125" si="16">SUM(B121:B124)</f>
        <v>0</v>
      </c>
      <c r="C125" s="429">
        <f t="shared" si="16"/>
        <v>0</v>
      </c>
      <c r="D125" s="319">
        <f t="shared" si="16"/>
        <v>0</v>
      </c>
      <c r="E125" s="428">
        <f t="shared" si="16"/>
        <v>0</v>
      </c>
      <c r="F125" s="429">
        <f t="shared" si="16"/>
        <v>0</v>
      </c>
      <c r="G125" s="322">
        <f t="shared" si="16"/>
        <v>0</v>
      </c>
      <c r="H125" s="323">
        <f t="shared" si="16"/>
        <v>0</v>
      </c>
      <c r="I125" s="324">
        <f t="shared" si="16"/>
        <v>0</v>
      </c>
      <c r="J125" s="284">
        <f t="shared" si="16"/>
        <v>0</v>
      </c>
      <c r="K125" s="285">
        <f t="shared" si="16"/>
        <v>0</v>
      </c>
      <c r="L125" s="285">
        <f t="shared" si="16"/>
        <v>0</v>
      </c>
      <c r="M125" s="285">
        <f t="shared" si="16"/>
        <v>0</v>
      </c>
      <c r="N125" s="305">
        <f t="shared" si="16"/>
        <v>0</v>
      </c>
      <c r="O125" s="949"/>
      <c r="P125" s="949"/>
      <c r="Q125" s="86"/>
      <c r="R125" s="949"/>
      <c r="S125" s="949"/>
      <c r="T125" s="949"/>
      <c r="V125" s="931"/>
    </row>
    <row r="126" spans="1:22" s="930" customFormat="1" ht="25.5">
      <c r="A126" s="725" t="s">
        <v>115</v>
      </c>
      <c r="B126" s="706" t="s">
        <v>101</v>
      </c>
      <c r="C126" s="726" t="s">
        <v>98</v>
      </c>
      <c r="D126" s="708" t="s">
        <v>96</v>
      </c>
      <c r="E126" s="1024" t="s">
        <v>494</v>
      </c>
      <c r="F126" s="487" t="s">
        <v>495</v>
      </c>
      <c r="G126" s="524" t="s">
        <v>496</v>
      </c>
      <c r="H126" s="489" t="s">
        <v>946</v>
      </c>
      <c r="I126" s="525" t="s">
        <v>947</v>
      </c>
      <c r="J126" s="217">
        <v>0</v>
      </c>
      <c r="K126" s="218">
        <v>1</v>
      </c>
      <c r="L126" s="218">
        <v>2</v>
      </c>
      <c r="M126" s="218">
        <v>3</v>
      </c>
      <c r="N126" s="219">
        <v>4</v>
      </c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985" t="s">
        <v>16</v>
      </c>
      <c r="B127" s="291">
        <f>SUMIFS(РД[S],РД[ИМ],A127,РД[Дата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7" s="292">
        <f>SUMIFS(РД[Стоимость без отделки итог],РД[ИМ],A127,РД[Дата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7" s="694">
        <f>COUNTIFS(РД[ИМ],A127,РД[Дата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7" s="551"/>
      <c r="F127" s="292"/>
      <c r="G127" s="552"/>
      <c r="H127" s="291">
        <f>SUMIFS(РД[S],РД[ИМ],A127,РД[Дата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7" s="312">
        <f>SUMIFS(РД[Стоимость без отделки итог],РД[ИМ],A127,РД[Дата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7" s="346">
        <f>COUNTIFS(РД[Тип кв],J$120,РД[ИМ],$A127,РД[Дата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7" s="243">
        <f>COUNTIFS(РД[Тип кв],K$120,РД[ИМ],$A127,РД[Дата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7" s="243">
        <f>COUNTIFS(РД[Тип кв],L$120,РД[ИМ],$A127,РД[Дата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7" s="243">
        <f>COUNTIFS(РД[Тип кв],M$120,РД[ИМ],$A127,РД[Дата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7" s="246">
        <f>COUNTIFS(РД[Тип кв],N$120,РД[ИМ],$A127,РД[Дата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7" s="949"/>
      <c r="P127" s="949"/>
      <c r="Q127" s="86"/>
      <c r="R127" s="949"/>
      <c r="S127" s="949"/>
      <c r="T127" s="949"/>
      <c r="V127" s="931"/>
    </row>
    <row r="128" spans="1:22" s="930" customFormat="1">
      <c r="A128" s="982" t="s">
        <v>22</v>
      </c>
      <c r="B128" s="516">
        <f>SUMIFS(РД[S],РД[ИМ],A128,РД[Дата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8" s="554">
        <f>SUMIFS(РД[Стоимость без отделки итог],РД[ИМ],A128,РД[Дата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8" s="695">
        <f>COUNTIFS(РД[ИМ],A128,РД[Дата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8" s="553"/>
      <c r="F128" s="554"/>
      <c r="G128" s="555"/>
      <c r="H128" s="516">
        <f>SUMIFS(РД[S],РД[ИМ],A128,РД[Дата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8" s="517">
        <f>SUMIFS(РД[Стоимость без отделки итог],РД[ИМ],A128,РД[Дата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8" s="426">
        <f>COUNTIFS(РД[Тип кв],J$120,РД[ИМ],$A128,РД[Дата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8" s="251">
        <f>COUNTIFS(РД[Тип кв],K$120,РД[ИМ],$A128,РД[Дата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8" s="251">
        <f>COUNTIFS(РД[Тип кв],L$120,РД[ИМ],$A128,РД[Дата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8" s="251">
        <f>COUNTIFS(РД[Тип кв],M$120,РД[ИМ],$A128,РД[Дата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8" s="254">
        <f>COUNTIFS(РД[Тип кв],N$120,РД[ИМ],$A128,РД[Дата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8" s="949"/>
      <c r="P128" s="949"/>
      <c r="Q128" s="86"/>
      <c r="R128" s="949"/>
      <c r="S128" s="949"/>
      <c r="T128" s="949"/>
      <c r="V128" s="931"/>
    </row>
    <row r="129" spans="1:22" s="930" customFormat="1">
      <c r="A129" s="986" t="s">
        <v>114</v>
      </c>
      <c r="B129" s="282">
        <f>SUM(B127:B128)</f>
        <v>0</v>
      </c>
      <c r="C129" s="287">
        <f>SUM(C127:C128)</f>
        <v>0</v>
      </c>
      <c r="D129" s="711">
        <f>SUM(D127:D128)</f>
        <v>0</v>
      </c>
      <c r="E129" s="425">
        <f t="shared" ref="E129:N129" si="17">SUM(E127:E127)</f>
        <v>0</v>
      </c>
      <c r="F129" s="287">
        <f t="shared" si="17"/>
        <v>0</v>
      </c>
      <c r="G129" s="286">
        <f t="shared" si="17"/>
        <v>0</v>
      </c>
      <c r="H129" s="282">
        <f t="shared" si="17"/>
        <v>0</v>
      </c>
      <c r="I129" s="283">
        <f t="shared" si="17"/>
        <v>0</v>
      </c>
      <c r="J129" s="284">
        <f t="shared" si="17"/>
        <v>0</v>
      </c>
      <c r="K129" s="285">
        <f t="shared" si="17"/>
        <v>0</v>
      </c>
      <c r="L129" s="285">
        <f t="shared" si="17"/>
        <v>0</v>
      </c>
      <c r="M129" s="285">
        <f t="shared" si="17"/>
        <v>0</v>
      </c>
      <c r="N129" s="305">
        <f t="shared" si="17"/>
        <v>0</v>
      </c>
      <c r="O129" s="949"/>
      <c r="P129" s="949"/>
      <c r="Q129" s="86"/>
      <c r="R129" s="949"/>
      <c r="S129" s="949"/>
      <c r="T129" s="949"/>
      <c r="V129" s="931"/>
    </row>
    <row r="130" spans="1:22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V254" s="931"/>
    </row>
    <row r="255" spans="1:22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V255" s="931"/>
    </row>
    <row r="256" spans="1:22" s="930" customFormat="1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V256" s="931"/>
    </row>
    <row r="257" spans="1:22" s="930" customFormat="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T257" s="949"/>
      <c r="V257" s="931"/>
    </row>
    <row r="258" spans="1:22" s="930" customFormat="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T258" s="949"/>
      <c r="V258" s="931"/>
    </row>
    <row r="259" spans="1:22" s="930" customFormat="1">
      <c r="A259" s="931"/>
      <c r="B259" s="931"/>
      <c r="C259" s="931"/>
      <c r="D259" s="931"/>
      <c r="E259" s="931"/>
      <c r="F259" s="931"/>
      <c r="G259" s="931"/>
      <c r="H259" s="931"/>
      <c r="I259" s="931"/>
      <c r="J259" s="931"/>
      <c r="K259" s="931"/>
      <c r="L259" s="931"/>
      <c r="M259" s="931"/>
      <c r="N259" s="931"/>
      <c r="O259" s="931"/>
      <c r="P259" s="931"/>
      <c r="Q259" s="931"/>
      <c r="R259" s="931"/>
      <c r="S259" s="931"/>
      <c r="T259" s="931"/>
      <c r="V259" s="931"/>
    </row>
    <row r="260" spans="1:22" s="930" customFormat="1">
      <c r="A260" s="931"/>
      <c r="B260" s="931"/>
      <c r="C260" s="931"/>
      <c r="D260" s="931"/>
      <c r="E260" s="931"/>
      <c r="F260" s="931"/>
      <c r="G260" s="931"/>
      <c r="H260" s="931"/>
      <c r="I260" s="931"/>
      <c r="J260" s="931"/>
      <c r="K260" s="931"/>
      <c r="L260" s="931"/>
      <c r="M260" s="931"/>
      <c r="N260" s="931"/>
      <c r="O260" s="931"/>
      <c r="P260" s="931"/>
      <c r="Q260" s="931"/>
      <c r="R260" s="931"/>
      <c r="S260" s="931"/>
      <c r="T260" s="931"/>
      <c r="V260" s="931"/>
    </row>
  </sheetData>
  <sheetProtection algorithmName="SHA-512" hashValue="uJwkT0K05/h2jIud3yOIpyKlBgay+CJhFbISWUWeIUA+TSVr7I3BjG/bHZK/JmJyQXYkfWRZcpO4cIgVDql+RA==" saltValue="c+JqNs+4T2ZdXmxYWWsO/w==" spinCount="100000" sheet="1" formatCells="0" formatColumns="0" formatRows="0" sort="0" autoFilter="0" pivotTables="0"/>
  <mergeCells count="10">
    <mergeCell ref="A1:S1"/>
    <mergeCell ref="A75:B75"/>
    <mergeCell ref="D75:P75"/>
    <mergeCell ref="A86:B86"/>
    <mergeCell ref="D86:P86"/>
    <mergeCell ref="A97:B97"/>
    <mergeCell ref="D97:P97"/>
    <mergeCell ref="A108:B108"/>
    <mergeCell ref="D108:P108"/>
    <mergeCell ref="A119:N119"/>
  </mergeCells>
  <pageMargins left="0.25" right="0.25" top="0.75" bottom="0.75" header="0.3" footer="0.3"/>
  <pageSetup paperSize="9" scale="27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900-000000000000}">
          <x14:formula1>
            <xm:f>Списки!$C$3:$C$4</xm:f>
          </x14:formula1>
          <xm:sqref>D3:D74 R3:T73</xm:sqref>
        </x14:dataValidation>
        <x14:dataValidation type="list" allowBlank="1" showInputMessage="1" showErrorMessage="1" xr:uid="{00000000-0002-0000-1900-000001000000}">
          <x14:formula1>
            <xm:f>Списки!$D$2:$D$7</xm:f>
          </x14:formula1>
          <xm:sqref>F3:F74</xm:sqref>
        </x14:dataValidation>
        <x14:dataValidation type="list" allowBlank="1" showInputMessage="1" showErrorMessage="1" xr:uid="{00000000-0002-0000-1900-000002000000}">
          <x14:formula1>
            <xm:f>Списки!$B$2:$B$5</xm:f>
          </x14:formula1>
          <xm:sqref>G3:G74</xm:sqref>
        </x14:dataValidation>
        <x14:dataValidation type="list" allowBlank="1" showInputMessage="1" showErrorMessage="1" xr:uid="{00000000-0002-0000-1900-000003000000}">
          <x14:formula1>
            <xm:f>Списки!$E$2:$E$7</xm:f>
          </x14:formula1>
          <xm:sqref>H3:H74</xm:sqref>
        </x14:dataValidation>
        <x14:dataValidation type="list" allowBlank="1" showInputMessage="1" showErrorMessage="1" xr:uid="{00000000-0002-0000-1900-000004000000}">
          <x14:formula1>
            <xm:f>Списки!$G$2:$G$3</xm:f>
          </x14:formula1>
          <xm:sqref>L3:L74</xm:sqref>
        </x14:dataValidation>
        <x14:dataValidation type="list" allowBlank="1" showInputMessage="1" showErrorMessage="1" xr:uid="{00000000-0002-0000-1900-000005000000}">
          <x14:formula1>
            <xm:f>Списки!$F$2:$F$3</xm:f>
          </x14:formula1>
          <xm:sqref>N3:N74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V258"/>
  <sheetViews>
    <sheetView view="pageBreakPreview" zoomScale="80" zoomScaleNormal="85" workbookViewId="0">
      <pane ySplit="2" topLeftCell="A3" activePane="bottomLeft" state="frozen"/>
      <selection pane="bottomLeft" activeCell="G20" sqref="G20"/>
    </sheetView>
  </sheetViews>
  <sheetFormatPr defaultColWidth="9.140625" defaultRowHeight="12.75" outlineLevelRow="1"/>
  <cols>
    <col min="1" max="1" width="12.42578125" style="931" customWidth="1"/>
    <col min="2" max="2" width="10.5703125" style="931" customWidth="1"/>
    <col min="3" max="3" width="14.85546875" style="931" customWidth="1"/>
    <col min="4" max="4" width="11.28515625" style="931" customWidth="1"/>
    <col min="5" max="5" width="9.42578125" style="931" customWidth="1"/>
    <col min="6" max="6" width="15.140625" style="931" customWidth="1"/>
    <col min="7" max="7" width="13.85546875" style="931" customWidth="1"/>
    <col min="8" max="12" width="15.5703125" style="931" customWidth="1"/>
    <col min="13" max="13" width="17.7109375" style="931" customWidth="1"/>
    <col min="14" max="14" width="13.140625" style="931" customWidth="1"/>
    <col min="15" max="15" width="25.28515625" style="931" customWidth="1"/>
    <col min="16" max="16" width="22.28515625" style="931" customWidth="1"/>
    <col min="17" max="17" width="34.5703125" style="931" customWidth="1"/>
    <col min="18" max="18" width="17.5703125" style="931" customWidth="1"/>
    <col min="19" max="19" width="12.5703125" style="931" customWidth="1"/>
    <col min="20" max="20" width="14.28515625" style="931" customWidth="1"/>
    <col min="21" max="21" width="14.28515625" style="930" customWidth="1"/>
    <col min="22" max="16384" width="9.140625" style="931"/>
  </cols>
  <sheetData>
    <row r="1" spans="1:22" ht="15" customHeight="1">
      <c r="A1" s="2297">
        <v>44957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0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0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70" t="s">
        <v>578</v>
      </c>
    </row>
    <row r="3" spans="1:22" s="929" customFormat="1" ht="13.5" customHeight="1" outlineLevel="1">
      <c r="A3" s="62">
        <v>1</v>
      </c>
      <c r="B3" s="75">
        <v>308</v>
      </c>
      <c r="C3" s="75">
        <v>19646</v>
      </c>
      <c r="D3" s="117" t="s">
        <v>77</v>
      </c>
      <c r="E3" s="62">
        <v>56.7</v>
      </c>
      <c r="F3" s="945" t="s">
        <v>15</v>
      </c>
      <c r="G3" s="62" t="s">
        <v>7</v>
      </c>
      <c r="H3" s="62" t="s">
        <v>10</v>
      </c>
      <c r="I3" s="95">
        <v>4303520.28</v>
      </c>
      <c r="J3" s="62">
        <v>2</v>
      </c>
      <c r="K3" s="62" t="s">
        <v>65</v>
      </c>
      <c r="L3" s="62" t="s">
        <v>18</v>
      </c>
      <c r="M3" s="92">
        <v>44949</v>
      </c>
      <c r="N3" s="117" t="s">
        <v>11</v>
      </c>
      <c r="O3" s="62" t="s">
        <v>1298</v>
      </c>
      <c r="P3" s="76"/>
      <c r="Q3" s="76" t="s">
        <v>655</v>
      </c>
      <c r="R3" s="945" t="s">
        <v>77</v>
      </c>
      <c r="S3" s="945" t="s">
        <v>77</v>
      </c>
      <c r="T3" s="945" t="s">
        <v>30</v>
      </c>
      <c r="U3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4076720.2800000003</v>
      </c>
    </row>
    <row r="4" spans="1:22" s="929" customFormat="1" outlineLevel="1">
      <c r="A4" s="62">
        <v>2</v>
      </c>
      <c r="B4" s="75">
        <v>45</v>
      </c>
      <c r="C4" s="75">
        <v>23689</v>
      </c>
      <c r="D4" s="117" t="s">
        <v>77</v>
      </c>
      <c r="E4" s="62">
        <v>54.66</v>
      </c>
      <c r="F4" s="945" t="s">
        <v>15</v>
      </c>
      <c r="G4" s="62" t="s">
        <v>7</v>
      </c>
      <c r="H4" s="62" t="s">
        <v>16</v>
      </c>
      <c r="I4" s="91">
        <v>4315364.91</v>
      </c>
      <c r="J4" s="62">
        <v>2</v>
      </c>
      <c r="K4" s="62" t="s">
        <v>65</v>
      </c>
      <c r="L4" s="62" t="s">
        <v>18</v>
      </c>
      <c r="M4" s="537">
        <v>45289</v>
      </c>
      <c r="N4" s="117" t="s">
        <v>17</v>
      </c>
      <c r="O4" s="76" t="s">
        <v>1299</v>
      </c>
      <c r="P4" s="76" t="s">
        <v>67</v>
      </c>
      <c r="Q4" s="76" t="s">
        <v>655</v>
      </c>
      <c r="R4" s="941" t="s">
        <v>77</v>
      </c>
      <c r="S4" s="941" t="s">
        <v>77</v>
      </c>
      <c r="T4" s="941" t="s">
        <v>77</v>
      </c>
      <c r="U4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4096724.9099999997</v>
      </c>
      <c r="V4" s="931"/>
    </row>
    <row r="5" spans="1:22" s="929" customFormat="1" ht="12.75" customHeight="1" outlineLevel="1">
      <c r="A5" s="62">
        <v>3</v>
      </c>
      <c r="B5" s="62">
        <v>36</v>
      </c>
      <c r="C5" s="62">
        <v>21662</v>
      </c>
      <c r="D5" s="117" t="s">
        <v>1233</v>
      </c>
      <c r="E5" s="62">
        <v>56.03</v>
      </c>
      <c r="F5" s="117" t="s">
        <v>15</v>
      </c>
      <c r="G5" s="62" t="s">
        <v>7</v>
      </c>
      <c r="H5" s="62" t="s">
        <v>22</v>
      </c>
      <c r="I5" s="91">
        <v>4213555.09</v>
      </c>
      <c r="J5" s="62">
        <v>2</v>
      </c>
      <c r="K5" s="117" t="s">
        <v>65</v>
      </c>
      <c r="L5" s="117" t="s">
        <v>18</v>
      </c>
      <c r="M5" s="942">
        <v>44942</v>
      </c>
      <c r="N5" s="62" t="s">
        <v>17</v>
      </c>
      <c r="O5" s="117" t="s">
        <v>1300</v>
      </c>
      <c r="P5" s="76" t="s">
        <v>67</v>
      </c>
      <c r="Q5" s="76" t="s">
        <v>655</v>
      </c>
      <c r="R5" s="945" t="s">
        <v>22</v>
      </c>
      <c r="S5" s="945" t="s">
        <v>1233</v>
      </c>
      <c r="T5" s="945" t="s">
        <v>1233</v>
      </c>
      <c r="U5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3989435.0900000003</v>
      </c>
      <c r="V5" s="931"/>
    </row>
    <row r="6" spans="1:22" s="929" customFormat="1" ht="12.75" customHeight="1" outlineLevel="1">
      <c r="A6" s="62">
        <v>4</v>
      </c>
      <c r="B6" s="62">
        <v>179</v>
      </c>
      <c r="C6" s="62">
        <v>23790</v>
      </c>
      <c r="D6" s="117" t="s">
        <v>1233</v>
      </c>
      <c r="E6" s="62">
        <v>37.69</v>
      </c>
      <c r="F6" s="117" t="s">
        <v>15</v>
      </c>
      <c r="G6" s="62" t="s">
        <v>27</v>
      </c>
      <c r="H6" s="117" t="s">
        <v>10</v>
      </c>
      <c r="I6" s="95">
        <v>3792334.03</v>
      </c>
      <c r="J6" s="62">
        <v>1</v>
      </c>
      <c r="K6" s="62" t="s">
        <v>85</v>
      </c>
      <c r="L6" s="62" t="s">
        <v>18</v>
      </c>
      <c r="M6" s="1016">
        <v>44942</v>
      </c>
      <c r="N6" s="62" t="s">
        <v>17</v>
      </c>
      <c r="O6" s="117" t="s">
        <v>1301</v>
      </c>
      <c r="P6" s="76" t="s">
        <v>67</v>
      </c>
      <c r="Q6" s="76" t="s">
        <v>655</v>
      </c>
      <c r="R6" s="945" t="s">
        <v>1233</v>
      </c>
      <c r="S6" s="945" t="s">
        <v>1233</v>
      </c>
      <c r="T6" s="945" t="s">
        <v>1233</v>
      </c>
      <c r="U6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3641574.03</v>
      </c>
      <c r="V6" s="931"/>
    </row>
    <row r="7" spans="1:22" s="929" customFormat="1" outlineLevel="1">
      <c r="A7" s="62">
        <v>5</v>
      </c>
      <c r="B7" s="75">
        <v>273</v>
      </c>
      <c r="C7" s="75">
        <v>21268</v>
      </c>
      <c r="D7" s="117" t="s">
        <v>77</v>
      </c>
      <c r="E7" s="62">
        <v>56.7</v>
      </c>
      <c r="F7" s="117" t="s">
        <v>15</v>
      </c>
      <c r="G7" s="62" t="s">
        <v>7</v>
      </c>
      <c r="H7" s="117" t="s">
        <v>22</v>
      </c>
      <c r="I7" s="95">
        <v>4518084.5</v>
      </c>
      <c r="J7" s="62">
        <v>2</v>
      </c>
      <c r="K7" s="117" t="s">
        <v>65</v>
      </c>
      <c r="L7" s="117" t="s">
        <v>18</v>
      </c>
      <c r="M7" s="1016">
        <v>44951</v>
      </c>
      <c r="N7" s="62" t="s">
        <v>17</v>
      </c>
      <c r="O7" s="117" t="s">
        <v>1302</v>
      </c>
      <c r="P7" s="76" t="s">
        <v>67</v>
      </c>
      <c r="Q7" s="76" t="s">
        <v>655</v>
      </c>
      <c r="R7" s="945" t="s">
        <v>77</v>
      </c>
      <c r="S7" s="945" t="s">
        <v>77</v>
      </c>
      <c r="T7" s="945" t="s">
        <v>77</v>
      </c>
      <c r="U7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4291284.5</v>
      </c>
    </row>
    <row r="8" spans="1:22" s="929" customFormat="1" ht="12.75" customHeight="1" outlineLevel="1">
      <c r="A8" s="62">
        <v>6</v>
      </c>
      <c r="B8" s="75">
        <v>911</v>
      </c>
      <c r="C8" s="75">
        <v>23672</v>
      </c>
      <c r="D8" s="117" t="s">
        <v>73</v>
      </c>
      <c r="E8" s="62">
        <v>23.09</v>
      </c>
      <c r="F8" s="117" t="s">
        <v>25</v>
      </c>
      <c r="G8" s="62" t="s">
        <v>27</v>
      </c>
      <c r="H8" s="117" t="s">
        <v>22</v>
      </c>
      <c r="I8" s="95">
        <v>2468085.5099999998</v>
      </c>
      <c r="J8" s="62">
        <v>0</v>
      </c>
      <c r="K8" s="117" t="s">
        <v>65</v>
      </c>
      <c r="L8" s="117" t="s">
        <v>18</v>
      </c>
      <c r="M8" s="1016">
        <v>44945</v>
      </c>
      <c r="N8" s="62" t="s">
        <v>17</v>
      </c>
      <c r="O8" s="117" t="s">
        <v>1303</v>
      </c>
      <c r="P8" s="76" t="s">
        <v>67</v>
      </c>
      <c r="Q8" s="76" t="s">
        <v>655</v>
      </c>
      <c r="R8" s="945" t="s">
        <v>73</v>
      </c>
      <c r="S8" s="945" t="s">
        <v>77</v>
      </c>
      <c r="T8" s="945" t="s">
        <v>77</v>
      </c>
      <c r="U8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2121735.5099999998</v>
      </c>
    </row>
    <row r="9" spans="1:22" s="929" customFormat="1" outlineLevel="1">
      <c r="A9" s="62">
        <v>7</v>
      </c>
      <c r="B9" s="62">
        <v>120</v>
      </c>
      <c r="C9" s="62">
        <v>23825</v>
      </c>
      <c r="D9" s="117" t="s">
        <v>1233</v>
      </c>
      <c r="E9" s="62">
        <v>21.73</v>
      </c>
      <c r="F9" s="117" t="s">
        <v>15</v>
      </c>
      <c r="G9" s="117" t="s">
        <v>7</v>
      </c>
      <c r="H9" s="117" t="s">
        <v>10</v>
      </c>
      <c r="I9" s="95">
        <v>1807746.68</v>
      </c>
      <c r="J9" s="62">
        <v>0</v>
      </c>
      <c r="K9" s="117" t="s">
        <v>85</v>
      </c>
      <c r="L9" s="117" t="s">
        <v>18</v>
      </c>
      <c r="M9" s="1016">
        <v>44945</v>
      </c>
      <c r="N9" s="62" t="s">
        <v>17</v>
      </c>
      <c r="O9" s="117" t="s">
        <v>1304</v>
      </c>
      <c r="P9" s="76" t="s">
        <v>67</v>
      </c>
      <c r="Q9" s="76" t="s">
        <v>655</v>
      </c>
      <c r="R9" s="945" t="s">
        <v>1233</v>
      </c>
      <c r="S9" s="945" t="s">
        <v>1233</v>
      </c>
      <c r="T9" s="945" t="s">
        <v>1233</v>
      </c>
      <c r="U9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1720826.68</v>
      </c>
      <c r="V9" s="931"/>
    </row>
    <row r="10" spans="1:22" s="929" customFormat="1" ht="12.75" customHeight="1" outlineLevel="1">
      <c r="A10" s="62">
        <v>8</v>
      </c>
      <c r="B10" s="62">
        <v>80</v>
      </c>
      <c r="C10" s="62">
        <v>23820</v>
      </c>
      <c r="D10" s="117" t="s">
        <v>1233</v>
      </c>
      <c r="E10" s="62">
        <v>21.73</v>
      </c>
      <c r="F10" s="941" t="s">
        <v>15</v>
      </c>
      <c r="G10" s="62" t="s">
        <v>7</v>
      </c>
      <c r="H10" s="62" t="s">
        <v>22</v>
      </c>
      <c r="I10" s="95">
        <v>1898316.5</v>
      </c>
      <c r="J10" s="62">
        <v>0</v>
      </c>
      <c r="K10" s="62" t="s">
        <v>65</v>
      </c>
      <c r="L10" s="117" t="s">
        <v>18</v>
      </c>
      <c r="M10" s="92">
        <v>44949</v>
      </c>
      <c r="N10" s="62" t="s">
        <v>17</v>
      </c>
      <c r="O10" s="62" t="s">
        <v>1305</v>
      </c>
      <c r="P10" s="76" t="s">
        <v>67</v>
      </c>
      <c r="Q10" s="76" t="s">
        <v>655</v>
      </c>
      <c r="R10" s="945" t="s">
        <v>1233</v>
      </c>
      <c r="S10" s="945" t="s">
        <v>1233</v>
      </c>
      <c r="T10" s="945" t="s">
        <v>1233</v>
      </c>
      <c r="U10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1811396.5000000002</v>
      </c>
    </row>
    <row r="11" spans="1:22" outlineLevel="1">
      <c r="A11" s="62">
        <v>9</v>
      </c>
      <c r="B11" s="62">
        <v>151</v>
      </c>
      <c r="C11" s="62">
        <v>23907</v>
      </c>
      <c r="D11" s="117" t="s">
        <v>73</v>
      </c>
      <c r="E11" s="62">
        <v>78.73</v>
      </c>
      <c r="F11" s="945" t="s">
        <v>15</v>
      </c>
      <c r="G11" s="117" t="s">
        <v>7</v>
      </c>
      <c r="H11" s="117" t="s">
        <v>22</v>
      </c>
      <c r="I11" s="95">
        <v>5684485.2300000004</v>
      </c>
      <c r="J11" s="62">
        <v>3</v>
      </c>
      <c r="K11" s="117" t="s">
        <v>65</v>
      </c>
      <c r="L11" s="117" t="s">
        <v>18</v>
      </c>
      <c r="M11" s="92">
        <v>44956</v>
      </c>
      <c r="N11" s="62" t="s">
        <v>17</v>
      </c>
      <c r="O11" s="117" t="s">
        <v>1306</v>
      </c>
      <c r="P11" s="76" t="s">
        <v>67</v>
      </c>
      <c r="Q11" s="76" t="s">
        <v>655</v>
      </c>
      <c r="R11" s="945" t="s">
        <v>73</v>
      </c>
      <c r="S11" s="945" t="s">
        <v>73</v>
      </c>
      <c r="T11" s="945" t="s">
        <v>73</v>
      </c>
      <c r="U11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5369565.2300000004</v>
      </c>
    </row>
    <row r="12" spans="1:22" s="929" customFormat="1" outlineLevel="1">
      <c r="A12" s="62">
        <v>10</v>
      </c>
      <c r="B12" s="62">
        <v>211</v>
      </c>
      <c r="C12" s="62">
        <v>23835</v>
      </c>
      <c r="D12" s="117" t="s">
        <v>1233</v>
      </c>
      <c r="E12" s="62">
        <v>35.380000000000003</v>
      </c>
      <c r="F12" s="117" t="s">
        <v>15</v>
      </c>
      <c r="G12" s="62" t="s">
        <v>7</v>
      </c>
      <c r="H12" s="117" t="s">
        <v>16</v>
      </c>
      <c r="I12" s="95">
        <v>3213000.38</v>
      </c>
      <c r="J12" s="62">
        <v>1</v>
      </c>
      <c r="K12" s="117" t="s">
        <v>65</v>
      </c>
      <c r="L12" s="117" t="s">
        <v>18</v>
      </c>
      <c r="M12" s="92">
        <v>44953</v>
      </c>
      <c r="N12" s="62" t="s">
        <v>17</v>
      </c>
      <c r="O12" s="117" t="s">
        <v>1307</v>
      </c>
      <c r="P12" s="76" t="s">
        <v>67</v>
      </c>
      <c r="Q12" s="76" t="s">
        <v>655</v>
      </c>
      <c r="R12" s="945" t="s">
        <v>1233</v>
      </c>
      <c r="S12" s="945" t="s">
        <v>1233</v>
      </c>
      <c r="T12" s="945" t="s">
        <v>1233</v>
      </c>
      <c r="U12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3071480.38</v>
      </c>
    </row>
    <row r="13" spans="1:22" s="929" customFormat="1" ht="12.75" customHeight="1" outlineLevel="1">
      <c r="A13" s="62">
        <v>11</v>
      </c>
      <c r="B13" s="62">
        <v>378</v>
      </c>
      <c r="C13" s="62">
        <v>23789</v>
      </c>
      <c r="D13" s="117" t="s">
        <v>77</v>
      </c>
      <c r="E13" s="62">
        <v>23.54</v>
      </c>
      <c r="F13" s="117" t="s">
        <v>25</v>
      </c>
      <c r="G13" s="62" t="s">
        <v>27</v>
      </c>
      <c r="H13" s="117" t="s">
        <v>22</v>
      </c>
      <c r="I13" s="95">
        <v>2696848.6</v>
      </c>
      <c r="J13" s="62">
        <v>0</v>
      </c>
      <c r="K13" s="117" t="s">
        <v>65</v>
      </c>
      <c r="L13" s="117" t="s">
        <v>18</v>
      </c>
      <c r="M13" s="92">
        <v>44946</v>
      </c>
      <c r="N13" s="62" t="s">
        <v>17</v>
      </c>
      <c r="O13" s="62" t="s">
        <v>1308</v>
      </c>
      <c r="P13" s="76" t="s">
        <v>67</v>
      </c>
      <c r="Q13" s="76" t="s">
        <v>655</v>
      </c>
      <c r="R13" s="945" t="s">
        <v>77</v>
      </c>
      <c r="S13" s="945" t="s">
        <v>77</v>
      </c>
      <c r="T13" s="945" t="s">
        <v>77</v>
      </c>
      <c r="U13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2343748.6</v>
      </c>
    </row>
    <row r="14" spans="1:22" s="929" customFormat="1" outlineLevel="1">
      <c r="A14" s="65">
        <v>12</v>
      </c>
      <c r="B14" s="62">
        <v>183</v>
      </c>
      <c r="C14" s="62">
        <v>23596</v>
      </c>
      <c r="D14" s="117" t="s">
        <v>77</v>
      </c>
      <c r="E14" s="62">
        <v>78.73</v>
      </c>
      <c r="F14" s="945" t="s">
        <v>9</v>
      </c>
      <c r="G14" s="62" t="s">
        <v>7</v>
      </c>
      <c r="H14" s="62" t="s">
        <v>16</v>
      </c>
      <c r="I14" s="95">
        <v>5418827.2199999997</v>
      </c>
      <c r="J14" s="62">
        <v>3</v>
      </c>
      <c r="K14" s="117" t="s">
        <v>65</v>
      </c>
      <c r="L14" s="117" t="s">
        <v>18</v>
      </c>
      <c r="M14" s="92">
        <v>44957</v>
      </c>
      <c r="N14" s="62" t="s">
        <v>17</v>
      </c>
      <c r="O14" s="62" t="s">
        <v>1309</v>
      </c>
      <c r="P14" s="76" t="s">
        <v>67</v>
      </c>
      <c r="Q14" s="76" t="s">
        <v>655</v>
      </c>
      <c r="R14" s="945" t="s">
        <v>77</v>
      </c>
      <c r="S14" s="945" t="s">
        <v>77</v>
      </c>
      <c r="T14" s="945" t="s">
        <v>77</v>
      </c>
      <c r="U14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5418827.2199999997</v>
      </c>
      <c r="V14" s="931"/>
    </row>
    <row r="15" spans="1:22" s="929" customFormat="1" ht="12.75" customHeight="1" outlineLevel="1">
      <c r="A15" s="62">
        <v>13</v>
      </c>
      <c r="B15" s="62">
        <v>485</v>
      </c>
      <c r="C15" s="81">
        <v>23538</v>
      </c>
      <c r="D15" s="117" t="s">
        <v>77</v>
      </c>
      <c r="E15" s="62">
        <v>74.28</v>
      </c>
      <c r="F15" s="945" t="s">
        <v>15</v>
      </c>
      <c r="G15" s="62" t="s">
        <v>7</v>
      </c>
      <c r="H15" s="117" t="s">
        <v>22</v>
      </c>
      <c r="I15" s="95">
        <v>5270229.92</v>
      </c>
      <c r="J15" s="62">
        <v>3</v>
      </c>
      <c r="K15" s="117" t="s">
        <v>65</v>
      </c>
      <c r="L15" s="117" t="s">
        <v>18</v>
      </c>
      <c r="M15" s="92">
        <v>44950</v>
      </c>
      <c r="N15" s="62" t="s">
        <v>17</v>
      </c>
      <c r="O15" s="62" t="s">
        <v>1310</v>
      </c>
      <c r="P15" s="76" t="s">
        <v>67</v>
      </c>
      <c r="Q15" s="76" t="s">
        <v>655</v>
      </c>
      <c r="R15" s="945" t="s">
        <v>77</v>
      </c>
      <c r="S15" s="945" t="s">
        <v>77</v>
      </c>
      <c r="T15" s="945" t="s">
        <v>77</v>
      </c>
      <c r="U15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4973109.92</v>
      </c>
    </row>
    <row r="16" spans="1:22" s="929" customFormat="1" ht="12.75" customHeight="1" outlineLevel="1">
      <c r="A16" s="62">
        <v>14</v>
      </c>
      <c r="B16" s="62">
        <v>90</v>
      </c>
      <c r="C16" s="62">
        <v>17605</v>
      </c>
      <c r="D16" s="117" t="s">
        <v>1233</v>
      </c>
      <c r="E16" s="62">
        <v>61.76</v>
      </c>
      <c r="F16" s="945" t="s">
        <v>15</v>
      </c>
      <c r="G16" s="62" t="s">
        <v>7</v>
      </c>
      <c r="H16" s="62" t="s">
        <v>22</v>
      </c>
      <c r="I16" s="91">
        <v>4921285.6900000004</v>
      </c>
      <c r="J16" s="62">
        <v>2</v>
      </c>
      <c r="K16" s="62" t="s">
        <v>65</v>
      </c>
      <c r="L16" s="117" t="s">
        <v>18</v>
      </c>
      <c r="M16" s="92">
        <v>44953</v>
      </c>
      <c r="N16" s="62" t="s">
        <v>17</v>
      </c>
      <c r="O16" s="76" t="s">
        <v>1311</v>
      </c>
      <c r="P16" s="76" t="s">
        <v>67</v>
      </c>
      <c r="Q16" s="76" t="s">
        <v>655</v>
      </c>
      <c r="R16" s="945" t="s">
        <v>1233</v>
      </c>
      <c r="S16" s="945" t="s">
        <v>77</v>
      </c>
      <c r="T16" s="945" t="s">
        <v>1233</v>
      </c>
      <c r="U16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4674245.6900000004</v>
      </c>
    </row>
    <row r="17" spans="1:22" s="929" customFormat="1" ht="12.75" customHeight="1" outlineLevel="1">
      <c r="A17" s="65">
        <v>15</v>
      </c>
      <c r="B17" s="75">
        <v>440</v>
      </c>
      <c r="C17" s="75">
        <v>23821</v>
      </c>
      <c r="D17" s="117" t="s">
        <v>1233</v>
      </c>
      <c r="E17" s="62">
        <v>74.28</v>
      </c>
      <c r="F17" s="945" t="s">
        <v>25</v>
      </c>
      <c r="G17" s="62" t="s">
        <v>7</v>
      </c>
      <c r="H17" s="62" t="s">
        <v>16</v>
      </c>
      <c r="I17" s="91">
        <v>6397976.3200000003</v>
      </c>
      <c r="J17" s="62">
        <v>3</v>
      </c>
      <c r="K17" s="62" t="s">
        <v>65</v>
      </c>
      <c r="L17" s="117" t="s">
        <v>18</v>
      </c>
      <c r="M17" s="92">
        <v>45291</v>
      </c>
      <c r="N17" s="62" t="s">
        <v>17</v>
      </c>
      <c r="O17" s="62" t="s">
        <v>1312</v>
      </c>
      <c r="P17" s="76" t="s">
        <v>67</v>
      </c>
      <c r="Q17" s="76" t="s">
        <v>655</v>
      </c>
      <c r="R17" s="945" t="s">
        <v>1233</v>
      </c>
      <c r="S17" s="945" t="s">
        <v>1233</v>
      </c>
      <c r="T17" s="945" t="s">
        <v>1233</v>
      </c>
      <c r="U17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5283776.32</v>
      </c>
      <c r="V17" s="931"/>
    </row>
    <row r="18" spans="1:22" s="929" customFormat="1" ht="12.75" customHeight="1" outlineLevel="1">
      <c r="A18" s="62">
        <v>16</v>
      </c>
      <c r="B18" s="75">
        <v>94</v>
      </c>
      <c r="C18" s="75">
        <v>23866</v>
      </c>
      <c r="D18" s="117" t="s">
        <v>77</v>
      </c>
      <c r="E18" s="62">
        <v>24.39</v>
      </c>
      <c r="F18" s="117" t="s">
        <v>9</v>
      </c>
      <c r="G18" s="117" t="s">
        <v>27</v>
      </c>
      <c r="H18" s="62" t="s">
        <v>16</v>
      </c>
      <c r="I18" s="95">
        <v>2235516.63</v>
      </c>
      <c r="J18" s="62">
        <v>0</v>
      </c>
      <c r="K18" s="117" t="s">
        <v>65</v>
      </c>
      <c r="L18" s="117" t="s">
        <v>18</v>
      </c>
      <c r="M18" s="92">
        <v>44951</v>
      </c>
      <c r="N18" s="62" t="s">
        <v>17</v>
      </c>
      <c r="O18" s="62" t="s">
        <v>1313</v>
      </c>
      <c r="P18" s="76" t="s">
        <v>67</v>
      </c>
      <c r="Q18" s="76" t="s">
        <v>655</v>
      </c>
      <c r="R18" s="945" t="s">
        <v>77</v>
      </c>
      <c r="S18" s="945" t="s">
        <v>77</v>
      </c>
      <c r="T18" s="945" t="s">
        <v>77</v>
      </c>
      <c r="U18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2235516.63</v>
      </c>
    </row>
    <row r="19" spans="1:22" s="929" customFormat="1" ht="12.75" customHeight="1" outlineLevel="1">
      <c r="A19" s="62">
        <v>17</v>
      </c>
      <c r="B19" s="75">
        <v>184</v>
      </c>
      <c r="C19" s="75">
        <v>23870</v>
      </c>
      <c r="D19" s="117" t="s">
        <v>77</v>
      </c>
      <c r="E19" s="62">
        <v>24.39</v>
      </c>
      <c r="F19" s="941" t="s">
        <v>15</v>
      </c>
      <c r="G19" s="117" t="s">
        <v>27</v>
      </c>
      <c r="H19" s="62" t="s">
        <v>16</v>
      </c>
      <c r="I19" s="1021">
        <v>2332340.2999999998</v>
      </c>
      <c r="J19" s="62">
        <v>0</v>
      </c>
      <c r="K19" s="117" t="s">
        <v>65</v>
      </c>
      <c r="L19" s="117" t="s">
        <v>18</v>
      </c>
      <c r="M19" s="92">
        <v>44953</v>
      </c>
      <c r="N19" s="62" t="s">
        <v>17</v>
      </c>
      <c r="O19" s="62" t="s">
        <v>1314</v>
      </c>
      <c r="P19" s="76" t="s">
        <v>67</v>
      </c>
      <c r="Q19" s="76" t="s">
        <v>655</v>
      </c>
      <c r="R19" s="945" t="s">
        <v>77</v>
      </c>
      <c r="S19" s="945" t="s">
        <v>77</v>
      </c>
      <c r="T19" s="945" t="s">
        <v>77</v>
      </c>
      <c r="U19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2234780.2999999998</v>
      </c>
    </row>
    <row r="20" spans="1:22" outlineLevel="1">
      <c r="A20" s="65">
        <v>18</v>
      </c>
      <c r="B20" s="75">
        <v>51</v>
      </c>
      <c r="C20" s="75">
        <v>23891</v>
      </c>
      <c r="D20" s="117" t="s">
        <v>77</v>
      </c>
      <c r="E20" s="62">
        <v>35.54</v>
      </c>
      <c r="F20" s="945" t="s">
        <v>25</v>
      </c>
      <c r="G20" s="62" t="s">
        <v>7</v>
      </c>
      <c r="H20" s="62" t="s">
        <v>22</v>
      </c>
      <c r="I20" s="95">
        <v>3588515.74</v>
      </c>
      <c r="J20" s="62">
        <v>1</v>
      </c>
      <c r="K20" s="117" t="s">
        <v>65</v>
      </c>
      <c r="L20" s="117" t="s">
        <v>18</v>
      </c>
      <c r="M20" s="92">
        <v>44957</v>
      </c>
      <c r="N20" s="62" t="s">
        <v>17</v>
      </c>
      <c r="O20" s="62" t="s">
        <v>1315</v>
      </c>
      <c r="P20" s="76" t="s">
        <v>67</v>
      </c>
      <c r="Q20" s="76" t="s">
        <v>655</v>
      </c>
      <c r="R20" s="945" t="s">
        <v>77</v>
      </c>
      <c r="S20" s="945" t="s">
        <v>77</v>
      </c>
      <c r="T20" s="945" t="s">
        <v>77</v>
      </c>
      <c r="U20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3055415.7400000007</v>
      </c>
    </row>
    <row r="21" spans="1:22" ht="12.75" customHeight="1" outlineLevel="1">
      <c r="A21" s="62">
        <v>19</v>
      </c>
      <c r="B21" s="62">
        <v>265</v>
      </c>
      <c r="C21" s="75">
        <v>23930</v>
      </c>
      <c r="D21" s="117" t="s">
        <v>77</v>
      </c>
      <c r="E21" s="62">
        <v>58.55</v>
      </c>
      <c r="F21" s="945" t="s">
        <v>25</v>
      </c>
      <c r="G21" s="62" t="s">
        <v>7</v>
      </c>
      <c r="H21" s="62" t="s">
        <v>16</v>
      </c>
      <c r="I21" s="91">
        <v>5047113.55</v>
      </c>
      <c r="J21" s="62">
        <v>2</v>
      </c>
      <c r="K21" s="117" t="s">
        <v>65</v>
      </c>
      <c r="L21" s="117" t="s">
        <v>18</v>
      </c>
      <c r="M21" s="537">
        <v>44956</v>
      </c>
      <c r="N21" s="62" t="s">
        <v>17</v>
      </c>
      <c r="O21" s="62" t="s">
        <v>1316</v>
      </c>
      <c r="P21" s="76" t="s">
        <v>67</v>
      </c>
      <c r="Q21" s="76" t="s">
        <v>655</v>
      </c>
      <c r="R21" s="945" t="s">
        <v>77</v>
      </c>
      <c r="S21" s="945" t="s">
        <v>77</v>
      </c>
      <c r="T21" s="945" t="s">
        <v>77</v>
      </c>
      <c r="U21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4168863.5500000003</v>
      </c>
    </row>
    <row r="22" spans="1:22" ht="12.75" customHeight="1" outlineLevel="1">
      <c r="A22" s="65">
        <v>20</v>
      </c>
      <c r="B22" s="75">
        <v>193</v>
      </c>
      <c r="C22" s="75">
        <v>23885</v>
      </c>
      <c r="D22" s="117" t="s">
        <v>77</v>
      </c>
      <c r="E22" s="62">
        <v>28.97</v>
      </c>
      <c r="F22" s="945" t="s">
        <v>9</v>
      </c>
      <c r="G22" s="62" t="s">
        <v>7</v>
      </c>
      <c r="H22" s="62" t="s">
        <v>16</v>
      </c>
      <c r="I22" s="95">
        <v>2294171.6</v>
      </c>
      <c r="J22" s="62">
        <v>0</v>
      </c>
      <c r="K22" s="117" t="s">
        <v>65</v>
      </c>
      <c r="L22" s="117" t="s">
        <v>18</v>
      </c>
      <c r="M22" s="92">
        <v>44957</v>
      </c>
      <c r="N22" s="62" t="s">
        <v>17</v>
      </c>
      <c r="O22" s="62" t="s">
        <v>1317</v>
      </c>
      <c r="P22" s="76" t="s">
        <v>67</v>
      </c>
      <c r="Q22" s="76" t="s">
        <v>655</v>
      </c>
      <c r="R22" s="945" t="s">
        <v>77</v>
      </c>
      <c r="S22" s="945" t="s">
        <v>1233</v>
      </c>
      <c r="T22" s="945" t="s">
        <v>77</v>
      </c>
      <c r="U22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2294171.6</v>
      </c>
    </row>
    <row r="23" spans="1:22" s="929" customFormat="1" ht="12.75" customHeight="1" outlineLevel="1">
      <c r="A23" s="62">
        <v>21</v>
      </c>
      <c r="B23" s="75">
        <v>121</v>
      </c>
      <c r="C23" s="75">
        <v>23937</v>
      </c>
      <c r="D23" s="117" t="s">
        <v>77</v>
      </c>
      <c r="E23" s="62">
        <v>28.97</v>
      </c>
      <c r="F23" s="945" t="s">
        <v>25</v>
      </c>
      <c r="G23" s="62" t="s">
        <v>7</v>
      </c>
      <c r="H23" s="62" t="s">
        <v>16</v>
      </c>
      <c r="I23" s="95">
        <v>2849467.47</v>
      </c>
      <c r="J23" s="62">
        <v>0</v>
      </c>
      <c r="K23" s="117" t="s">
        <v>65</v>
      </c>
      <c r="L23" s="117" t="s">
        <v>18</v>
      </c>
      <c r="M23" s="92">
        <v>44953</v>
      </c>
      <c r="N23" s="62" t="s">
        <v>17</v>
      </c>
      <c r="O23" s="941" t="s">
        <v>1318</v>
      </c>
      <c r="P23" s="76" t="s">
        <v>67</v>
      </c>
      <c r="Q23" s="76" t="s">
        <v>655</v>
      </c>
      <c r="R23" s="945" t="s">
        <v>77</v>
      </c>
      <c r="S23" s="945" t="s">
        <v>77</v>
      </c>
      <c r="T23" s="945" t="s">
        <v>77</v>
      </c>
      <c r="U23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2414917.4700000002</v>
      </c>
    </row>
    <row r="24" spans="1:22" s="929" customFormat="1" ht="12.75" customHeight="1" outlineLevel="1">
      <c r="A24" s="62">
        <v>22</v>
      </c>
      <c r="B24" s="75">
        <v>262</v>
      </c>
      <c r="C24" s="75">
        <v>23962</v>
      </c>
      <c r="D24" s="117" t="s">
        <v>1233</v>
      </c>
      <c r="E24" s="62">
        <v>29.35</v>
      </c>
      <c r="F24" s="76" t="s">
        <v>9</v>
      </c>
      <c r="G24" s="62" t="s">
        <v>7</v>
      </c>
      <c r="H24" s="62" t="s">
        <v>10</v>
      </c>
      <c r="I24" s="91">
        <v>2446593.9900000002</v>
      </c>
      <c r="J24" s="62">
        <v>0</v>
      </c>
      <c r="K24" s="371" t="s">
        <v>130</v>
      </c>
      <c r="L24" s="62" t="s">
        <v>18</v>
      </c>
      <c r="M24" s="942">
        <v>44957</v>
      </c>
      <c r="N24" s="62" t="s">
        <v>17</v>
      </c>
      <c r="O24" s="76" t="s">
        <v>1319</v>
      </c>
      <c r="P24" s="76" t="s">
        <v>67</v>
      </c>
      <c r="Q24" s="76" t="s">
        <v>655</v>
      </c>
      <c r="R24" s="945" t="s">
        <v>1233</v>
      </c>
      <c r="S24" s="945" t="s">
        <v>1233</v>
      </c>
      <c r="T24" s="945" t="s">
        <v>1233</v>
      </c>
      <c r="U24" s="946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>2446593.9900000002</v>
      </c>
      <c r="V24" s="931"/>
    </row>
    <row r="25" spans="1:22" s="929" customFormat="1" ht="12.75" customHeight="1" outlineLevel="1">
      <c r="A25" s="65"/>
      <c r="B25" s="79"/>
      <c r="C25" s="79"/>
      <c r="D25" s="80"/>
      <c r="E25" s="65"/>
      <c r="F25" s="949"/>
      <c r="G25" s="65"/>
      <c r="H25" s="65"/>
      <c r="I25" s="93"/>
      <c r="J25" s="65"/>
      <c r="K25" s="65"/>
      <c r="L25" s="65"/>
      <c r="M25" s="98"/>
      <c r="N25" s="65" t="s">
        <v>17</v>
      </c>
      <c r="O25" s="65"/>
      <c r="P25" s="86"/>
      <c r="Q25" s="86"/>
      <c r="R25" s="947"/>
      <c r="S25" s="947"/>
      <c r="T25" s="947"/>
      <c r="U25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  <c r="V25" s="931"/>
    </row>
    <row r="26" spans="1:22" ht="12.75" customHeight="1" outlineLevel="1">
      <c r="A26" s="65"/>
      <c r="B26" s="79"/>
      <c r="C26" s="79"/>
      <c r="D26" s="80"/>
      <c r="E26" s="65"/>
      <c r="F26" s="949"/>
      <c r="G26" s="65"/>
      <c r="H26" s="65"/>
      <c r="I26" s="93"/>
      <c r="J26" s="65"/>
      <c r="K26" s="65"/>
      <c r="L26" s="65"/>
      <c r="M26" s="94"/>
      <c r="N26" s="65" t="s">
        <v>17</v>
      </c>
      <c r="O26" s="65"/>
      <c r="P26" s="86"/>
      <c r="Q26" s="86"/>
      <c r="R26" s="947"/>
      <c r="S26" s="947"/>
      <c r="T26" s="947"/>
      <c r="U26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27" spans="1:22" ht="12.75" customHeight="1" outlineLevel="1">
      <c r="A27" s="65"/>
      <c r="B27" s="79"/>
      <c r="C27" s="79"/>
      <c r="D27" s="80"/>
      <c r="E27" s="65"/>
      <c r="F27" s="949"/>
      <c r="G27" s="65"/>
      <c r="H27" s="65"/>
      <c r="I27" s="93"/>
      <c r="J27" s="65"/>
      <c r="K27" s="65"/>
      <c r="L27" s="65"/>
      <c r="M27" s="98"/>
      <c r="N27" s="65" t="s">
        <v>17</v>
      </c>
      <c r="O27" s="65"/>
      <c r="P27" s="86"/>
      <c r="Q27" s="86"/>
      <c r="R27" s="947"/>
      <c r="S27" s="947"/>
      <c r="T27" s="947"/>
      <c r="U27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28" spans="1:22" ht="12.75" customHeight="1" outlineLevel="1">
      <c r="A28" s="65"/>
      <c r="B28" s="79"/>
      <c r="C28" s="79"/>
      <c r="D28" s="80"/>
      <c r="E28" s="65"/>
      <c r="F28" s="949"/>
      <c r="G28" s="65"/>
      <c r="H28" s="65"/>
      <c r="I28" s="104"/>
      <c r="J28" s="65"/>
      <c r="K28" s="65"/>
      <c r="L28" s="65"/>
      <c r="M28" s="109"/>
      <c r="N28" s="65" t="s">
        <v>17</v>
      </c>
      <c r="O28" s="86"/>
      <c r="P28" s="86"/>
      <c r="Q28" s="86"/>
      <c r="R28" s="947"/>
      <c r="S28" s="947"/>
      <c r="T28" s="947"/>
      <c r="U28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29" spans="1:22" ht="12.75" customHeight="1" outlineLevel="1">
      <c r="A29" s="65"/>
      <c r="B29" s="79"/>
      <c r="C29" s="79"/>
      <c r="D29" s="80"/>
      <c r="E29" s="65"/>
      <c r="F29" s="949"/>
      <c r="G29" s="65"/>
      <c r="H29" s="65"/>
      <c r="I29" s="93"/>
      <c r="J29" s="65"/>
      <c r="K29" s="65"/>
      <c r="L29" s="65"/>
      <c r="M29" s="98"/>
      <c r="N29" s="65" t="s">
        <v>17</v>
      </c>
      <c r="O29" s="65"/>
      <c r="P29" s="86"/>
      <c r="Q29" s="86"/>
      <c r="R29" s="947"/>
      <c r="S29" s="947"/>
      <c r="T29" s="947"/>
      <c r="U29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0" spans="1:22" ht="15" customHeight="1" outlineLevel="1">
      <c r="A30" s="65"/>
      <c r="B30" s="79"/>
      <c r="C30" s="79"/>
      <c r="D30" s="65"/>
      <c r="E30" s="65"/>
      <c r="F30" s="949"/>
      <c r="G30" s="65"/>
      <c r="H30" s="65"/>
      <c r="I30" s="93"/>
      <c r="J30" s="65"/>
      <c r="K30" s="65"/>
      <c r="L30" s="65"/>
      <c r="M30" s="98"/>
      <c r="N30" s="65" t="s">
        <v>17</v>
      </c>
      <c r="O30" s="949"/>
      <c r="P30" s="86"/>
      <c r="Q30" s="86"/>
      <c r="R30" s="949"/>
      <c r="S30" s="949"/>
      <c r="T30" s="949"/>
      <c r="U30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1" spans="1:22" ht="12.75" customHeight="1" outlineLevel="1">
      <c r="A31" s="65"/>
      <c r="B31" s="65"/>
      <c r="C31" s="79"/>
      <c r="D31" s="65"/>
      <c r="E31" s="65"/>
      <c r="F31" s="949"/>
      <c r="G31" s="65"/>
      <c r="H31" s="65"/>
      <c r="I31" s="93"/>
      <c r="J31" s="65"/>
      <c r="K31" s="65"/>
      <c r="L31" s="65"/>
      <c r="M31" s="1004"/>
      <c r="N31" s="65" t="s">
        <v>17</v>
      </c>
      <c r="O31" s="949"/>
      <c r="P31" s="86"/>
      <c r="Q31" s="86"/>
      <c r="R31" s="949"/>
      <c r="S31" s="949"/>
      <c r="T31" s="949"/>
      <c r="U31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2" spans="1:22" s="929" customFormat="1" ht="12.75" customHeight="1" outlineLevel="1">
      <c r="A32" s="65"/>
      <c r="B32" s="79"/>
      <c r="C32" s="79"/>
      <c r="D32" s="80"/>
      <c r="E32" s="65"/>
      <c r="F32" s="86"/>
      <c r="G32" s="65"/>
      <c r="H32" s="65"/>
      <c r="I32" s="104"/>
      <c r="J32" s="65"/>
      <c r="K32" s="65"/>
      <c r="L32" s="65"/>
      <c r="M32" s="109"/>
      <c r="N32" s="65" t="s">
        <v>17</v>
      </c>
      <c r="O32" s="86"/>
      <c r="P32" s="86"/>
      <c r="Q32" s="86"/>
      <c r="R32" s="947"/>
      <c r="S32" s="947"/>
      <c r="T32" s="947"/>
      <c r="U32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  <c r="V32" s="931"/>
    </row>
    <row r="33" spans="1:22" ht="12.75" customHeight="1" outlineLevel="1">
      <c r="A33" s="65"/>
      <c r="B33" s="79"/>
      <c r="C33" s="79"/>
      <c r="D33" s="80"/>
      <c r="E33" s="65"/>
      <c r="F33" s="949"/>
      <c r="G33" s="65"/>
      <c r="H33" s="65"/>
      <c r="I33" s="104"/>
      <c r="J33" s="65"/>
      <c r="K33" s="65"/>
      <c r="L33" s="65"/>
      <c r="M33" s="109"/>
      <c r="N33" s="65" t="s">
        <v>17</v>
      </c>
      <c r="O33" s="86"/>
      <c r="P33" s="86"/>
      <c r="Q33" s="86"/>
      <c r="R33" s="949"/>
      <c r="S33" s="949"/>
      <c r="T33" s="949"/>
      <c r="U33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4" spans="1:22" ht="12.75" customHeight="1" outlineLevel="1">
      <c r="A34" s="65"/>
      <c r="B34" s="79"/>
      <c r="C34" s="79"/>
      <c r="D34" s="80"/>
      <c r="E34" s="65"/>
      <c r="F34" s="86"/>
      <c r="G34" s="80"/>
      <c r="H34" s="80"/>
      <c r="I34" s="104"/>
      <c r="J34" s="65"/>
      <c r="K34" s="80"/>
      <c r="L34" s="80"/>
      <c r="M34" s="109"/>
      <c r="N34" s="65" t="s">
        <v>17</v>
      </c>
      <c r="O34" s="86"/>
      <c r="P34" s="86"/>
      <c r="Q34" s="86"/>
      <c r="R34" s="947"/>
      <c r="S34" s="947"/>
      <c r="T34" s="947"/>
      <c r="U34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5" spans="1:22" s="929" customFormat="1" ht="12.75" customHeight="1" outlineLevel="1">
      <c r="A35" s="65"/>
      <c r="B35" s="79"/>
      <c r="C35" s="79"/>
      <c r="D35" s="80"/>
      <c r="E35" s="65"/>
      <c r="F35" s="949"/>
      <c r="G35" s="65"/>
      <c r="H35" s="65"/>
      <c r="I35" s="93"/>
      <c r="J35" s="65"/>
      <c r="K35" s="65"/>
      <c r="L35" s="65"/>
      <c r="M35" s="98"/>
      <c r="N35" s="65" t="s">
        <v>17</v>
      </c>
      <c r="O35" s="65"/>
      <c r="P35" s="86"/>
      <c r="Q35" s="86"/>
      <c r="R35" s="947"/>
      <c r="S35" s="947"/>
      <c r="T35" s="947"/>
      <c r="U35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  <c r="V35" s="931"/>
    </row>
    <row r="36" spans="1:22" s="929" customFormat="1" ht="12.75" customHeight="1" outlineLevel="1">
      <c r="A36" s="65"/>
      <c r="B36" s="79"/>
      <c r="C36" s="79"/>
      <c r="D36" s="80"/>
      <c r="E36" s="65"/>
      <c r="F36" s="949"/>
      <c r="G36" s="65"/>
      <c r="H36" s="65"/>
      <c r="I36" s="93"/>
      <c r="J36" s="65"/>
      <c r="K36" s="65"/>
      <c r="L36" s="65"/>
      <c r="M36" s="98"/>
      <c r="N36" s="65" t="s">
        <v>17</v>
      </c>
      <c r="O36" s="65"/>
      <c r="P36" s="86"/>
      <c r="Q36" s="86"/>
      <c r="R36" s="947"/>
      <c r="S36" s="947"/>
      <c r="T36" s="947"/>
      <c r="U36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  <c r="V36" s="931"/>
    </row>
    <row r="37" spans="1:22" outlineLevel="1">
      <c r="A37" s="65"/>
      <c r="B37" s="79"/>
      <c r="C37" s="79"/>
      <c r="D37" s="80"/>
      <c r="E37" s="65"/>
      <c r="F37" s="949"/>
      <c r="G37" s="65"/>
      <c r="H37" s="65"/>
      <c r="I37" s="93"/>
      <c r="J37" s="65"/>
      <c r="K37" s="65"/>
      <c r="L37" s="65"/>
      <c r="M37" s="98"/>
      <c r="N37" s="80"/>
      <c r="O37" s="65"/>
      <c r="P37" s="86"/>
      <c r="Q37" s="86"/>
      <c r="R37" s="947"/>
      <c r="S37" s="947"/>
      <c r="T37" s="947"/>
      <c r="U37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8" spans="1:22" outlineLevel="1">
      <c r="A38" s="65"/>
      <c r="B38" s="79"/>
      <c r="C38" s="79"/>
      <c r="D38" s="80"/>
      <c r="E38" s="65"/>
      <c r="F38" s="949"/>
      <c r="G38" s="65"/>
      <c r="H38" s="65"/>
      <c r="I38" s="93"/>
      <c r="J38" s="65"/>
      <c r="K38" s="65"/>
      <c r="L38" s="65"/>
      <c r="M38" s="98"/>
      <c r="N38" s="80"/>
      <c r="O38" s="65"/>
      <c r="P38" s="86"/>
      <c r="Q38" s="86"/>
      <c r="R38" s="947"/>
      <c r="S38" s="947"/>
      <c r="T38" s="947"/>
      <c r="U38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39" spans="1:22" s="929" customFormat="1" ht="12.75" customHeight="1" outlineLevel="1">
      <c r="A39" s="65"/>
      <c r="B39" s="79"/>
      <c r="C39" s="79"/>
      <c r="D39" s="80"/>
      <c r="E39" s="65"/>
      <c r="F39" s="949"/>
      <c r="G39" s="65"/>
      <c r="H39" s="65"/>
      <c r="I39" s="93"/>
      <c r="J39" s="65"/>
      <c r="K39" s="65"/>
      <c r="L39" s="65"/>
      <c r="M39" s="98"/>
      <c r="N39" s="80"/>
      <c r="O39" s="65"/>
      <c r="P39" s="86"/>
      <c r="Q39" s="86"/>
      <c r="R39" s="947"/>
      <c r="S39" s="947"/>
      <c r="T39" s="947"/>
      <c r="U39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  <c r="V39" s="931"/>
    </row>
    <row r="40" spans="1:22" ht="12.75" customHeight="1" outlineLevel="1">
      <c r="A40" s="65"/>
      <c r="B40" s="79"/>
      <c r="C40" s="79"/>
      <c r="D40" s="80"/>
      <c r="E40" s="65"/>
      <c r="F40" s="949"/>
      <c r="G40" s="65"/>
      <c r="H40" s="65"/>
      <c r="I40" s="93"/>
      <c r="J40" s="65"/>
      <c r="K40" s="65"/>
      <c r="L40" s="108"/>
      <c r="M40" s="110"/>
      <c r="N40" s="80"/>
      <c r="O40" s="65"/>
      <c r="P40" s="86"/>
      <c r="Q40" s="86"/>
      <c r="R40" s="947"/>
      <c r="S40" s="947"/>
      <c r="T40" s="947"/>
      <c r="U40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1" spans="1:22" ht="12.75" customHeight="1" outlineLevel="1">
      <c r="A41" s="65"/>
      <c r="B41" s="79"/>
      <c r="C41" s="78"/>
      <c r="D41" s="65"/>
      <c r="E41" s="65"/>
      <c r="F41" s="949"/>
      <c r="G41" s="65"/>
      <c r="H41" s="65"/>
      <c r="I41" s="93"/>
      <c r="J41" s="65"/>
      <c r="K41" s="65"/>
      <c r="L41" s="65"/>
      <c r="M41" s="98"/>
      <c r="N41" s="80"/>
      <c r="O41" s="65"/>
      <c r="P41" s="86"/>
      <c r="Q41" s="86"/>
      <c r="R41" s="949"/>
      <c r="S41" s="949"/>
      <c r="T41" s="949"/>
      <c r="U41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2" spans="1:22" outlineLevel="1">
      <c r="A42" s="65"/>
      <c r="B42" s="79"/>
      <c r="C42" s="79"/>
      <c r="D42" s="65"/>
      <c r="E42" s="65"/>
      <c r="F42" s="949"/>
      <c r="G42" s="65"/>
      <c r="H42" s="65"/>
      <c r="I42" s="93"/>
      <c r="J42" s="65"/>
      <c r="K42" s="65"/>
      <c r="L42" s="65"/>
      <c r="M42" s="98"/>
      <c r="N42" s="80"/>
      <c r="O42" s="65"/>
      <c r="P42" s="86"/>
      <c r="Q42" s="86"/>
      <c r="R42" s="949"/>
      <c r="S42" s="949"/>
      <c r="T42" s="949"/>
      <c r="U42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3" spans="1:22" outlineLevel="1">
      <c r="A43" s="65"/>
      <c r="B43" s="79"/>
      <c r="C43" s="79"/>
      <c r="D43" s="80"/>
      <c r="E43" s="65"/>
      <c r="F43" s="395"/>
      <c r="G43" s="65"/>
      <c r="H43" s="65"/>
      <c r="I43" s="93"/>
      <c r="J43" s="65"/>
      <c r="K43" s="65"/>
      <c r="L43" s="65"/>
      <c r="M43" s="98"/>
      <c r="N43" s="80"/>
      <c r="O43" s="65"/>
      <c r="P43" s="86"/>
      <c r="Q43" s="86"/>
      <c r="R43" s="947"/>
      <c r="S43" s="947"/>
      <c r="T43" s="947"/>
      <c r="U43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4" spans="1:22" outlineLevel="1">
      <c r="A44" s="65"/>
      <c r="B44" s="79"/>
      <c r="C44" s="79"/>
      <c r="D44" s="80"/>
      <c r="E44" s="65"/>
      <c r="F44" s="934"/>
      <c r="G44" s="65"/>
      <c r="H44" s="65"/>
      <c r="I44" s="105"/>
      <c r="J44" s="65"/>
      <c r="K44" s="65"/>
      <c r="L44" s="65"/>
      <c r="M44" s="110"/>
      <c r="N44" s="65"/>
      <c r="O44" s="72"/>
      <c r="P44" s="86"/>
      <c r="Q44" s="86"/>
      <c r="R44" s="947"/>
      <c r="S44" s="947"/>
      <c r="T44" s="947"/>
      <c r="U44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5" spans="1:22" outlineLevel="1">
      <c r="A45" s="65"/>
      <c r="B45" s="79"/>
      <c r="C45" s="79"/>
      <c r="D45" s="80"/>
      <c r="E45" s="65"/>
      <c r="F45" s="934"/>
      <c r="G45" s="65"/>
      <c r="H45" s="65"/>
      <c r="I45" s="105"/>
      <c r="J45" s="65"/>
      <c r="K45" s="65"/>
      <c r="L45" s="65"/>
      <c r="M45" s="110"/>
      <c r="N45" s="65"/>
      <c r="O45" s="72"/>
      <c r="P45" s="86"/>
      <c r="Q45" s="86"/>
      <c r="R45" s="947"/>
      <c r="S45" s="947"/>
      <c r="T45" s="947"/>
      <c r="U45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6" spans="1:22" outlineLevel="1">
      <c r="A46" s="65"/>
      <c r="B46" s="79"/>
      <c r="C46" s="79"/>
      <c r="D46" s="80"/>
      <c r="E46" s="65"/>
      <c r="F46" s="934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7"/>
      <c r="S46" s="947"/>
      <c r="T46" s="947"/>
      <c r="U46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7" spans="1:22" outlineLevel="1">
      <c r="A47" s="65"/>
      <c r="B47" s="79"/>
      <c r="C47" s="79"/>
      <c r="D47" s="80"/>
      <c r="E47" s="65"/>
      <c r="F47" s="934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7"/>
      <c r="S47" s="947"/>
      <c r="T47" s="947"/>
      <c r="U47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8" spans="1:22" outlineLevel="1">
      <c r="A48" s="65"/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7"/>
      <c r="U48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49" spans="1:21" outlineLevel="1">
      <c r="A49" s="65"/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7"/>
      <c r="U49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0" spans="1:21" outlineLevel="1">
      <c r="A50" s="65"/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7"/>
      <c r="U50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1" spans="1:21" outlineLevel="1">
      <c r="A51" s="65"/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7"/>
      <c r="U51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2" spans="1:21" outlineLevel="1">
      <c r="A52" s="65"/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3" spans="1:21" outlineLevel="1">
      <c r="A53" s="65"/>
      <c r="B53" s="79"/>
      <c r="C53" s="79"/>
      <c r="D53" s="80"/>
      <c r="E53" s="65"/>
      <c r="F53" s="934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7"/>
      <c r="U53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4" spans="1:21" outlineLevel="1">
      <c r="A54" s="65"/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7"/>
      <c r="U54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5" spans="1:21" outlineLevel="1">
      <c r="A55" s="65"/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7"/>
      <c r="U55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6" spans="1:21" ht="12" customHeight="1" outlineLevel="1">
      <c r="A56" s="65"/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7"/>
      <c r="U56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7" spans="1:21" outlineLevel="1">
      <c r="A57" s="65"/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7"/>
      <c r="U57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8" spans="1:21" outlineLevel="1">
      <c r="A58" s="65"/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7"/>
      <c r="U58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59" spans="1:21" outlineLevel="1">
      <c r="A59" s="65"/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7"/>
      <c r="U59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0" spans="1:21" outlineLevel="1">
      <c r="A60" s="65"/>
      <c r="B60" s="79"/>
      <c r="C60" s="79"/>
      <c r="D60" s="80"/>
      <c r="E60" s="65"/>
      <c r="F60" s="72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7"/>
      <c r="U60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1" spans="1:21" outlineLevel="1">
      <c r="A61" s="65"/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7"/>
      <c r="U61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2" spans="1:21" ht="15.75" customHeight="1" outlineLevel="1">
      <c r="A62" s="65"/>
      <c r="B62" s="79"/>
      <c r="C62" s="79"/>
      <c r="D62" s="80"/>
      <c r="E62" s="65"/>
      <c r="F62" s="72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7"/>
      <c r="U62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3" spans="1:21" outlineLevel="1">
      <c r="A63" s="65"/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7"/>
      <c r="U63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4" spans="1:21" outlineLevel="1">
      <c r="A64" s="65"/>
      <c r="B64" s="79"/>
      <c r="C64" s="79"/>
      <c r="D64" s="80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7"/>
      <c r="U64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5" spans="1:21" outlineLevel="1">
      <c r="A65" s="65"/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388"/>
      <c r="P65" s="86"/>
      <c r="Q65" s="86"/>
      <c r="R65" s="947"/>
      <c r="S65" s="947"/>
      <c r="T65" s="947"/>
      <c r="U65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6" spans="1:21" outlineLevel="1">
      <c r="A66" s="65"/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7"/>
      <c r="U66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7" spans="1:21" outlineLevel="1">
      <c r="A67" s="65"/>
      <c r="B67" s="79"/>
      <c r="C67" s="79"/>
      <c r="D67" s="80"/>
      <c r="E67" s="65"/>
      <c r="F67" s="72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947"/>
      <c r="S67" s="947"/>
      <c r="T67" s="947"/>
      <c r="U67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8" spans="1:21" outlineLevel="1">
      <c r="A68" s="65"/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947"/>
      <c r="U68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69" spans="1:21" outlineLevel="1">
      <c r="A69" s="65"/>
      <c r="B69" s="79"/>
      <c r="C69" s="79"/>
      <c r="D69" s="80"/>
      <c r="E69" s="65"/>
      <c r="F69" s="934"/>
      <c r="G69" s="65"/>
      <c r="H69" s="65"/>
      <c r="I69" s="105"/>
      <c r="J69" s="65"/>
      <c r="K69" s="65"/>
      <c r="L69" s="65"/>
      <c r="M69" s="110"/>
      <c r="N69" s="65"/>
      <c r="O69" s="72"/>
      <c r="P69" s="86"/>
      <c r="Q69" s="86"/>
      <c r="R69" s="947"/>
      <c r="S69" s="947"/>
      <c r="T69" s="947"/>
      <c r="U69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70" spans="1:21" outlineLevel="1">
      <c r="A70" s="65"/>
      <c r="B70" s="79"/>
      <c r="C70" s="79"/>
      <c r="D70" s="80"/>
      <c r="E70" s="65"/>
      <c r="F70" s="934"/>
      <c r="G70" s="65"/>
      <c r="H70" s="65"/>
      <c r="I70" s="105"/>
      <c r="J70" s="65"/>
      <c r="K70" s="65"/>
      <c r="L70" s="65"/>
      <c r="M70" s="110"/>
      <c r="N70" s="65"/>
      <c r="O70" s="72"/>
      <c r="P70" s="86"/>
      <c r="Q70" s="86"/>
      <c r="R70" s="947"/>
      <c r="S70" s="947"/>
      <c r="T70" s="947"/>
      <c r="U70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71" spans="1:21" outlineLevel="1">
      <c r="A71" s="65"/>
      <c r="B71" s="79"/>
      <c r="C71" s="79"/>
      <c r="D71" s="80"/>
      <c r="E71" s="65"/>
      <c r="F71" s="934"/>
      <c r="G71" s="65"/>
      <c r="H71" s="65"/>
      <c r="I71" s="105"/>
      <c r="J71" s="65"/>
      <c r="K71" s="65"/>
      <c r="L71" s="65"/>
      <c r="M71" s="110"/>
      <c r="N71" s="65"/>
      <c r="O71" s="72"/>
      <c r="P71" s="86"/>
      <c r="Q71" s="86"/>
      <c r="R71" s="947"/>
      <c r="S71" s="947"/>
      <c r="T71" s="947"/>
      <c r="U71" s="948" t="str">
        <f>IFERROR(IF(Август2022365678[[#This Row],[№ дома]]="Дом 2",SUM(Август2022365678[[#This Row],[сумма]]/Август2022365678[[#This Row],[м2]],IF(Август2022365678[[#This Row],[Отделка]]="Черновая",0,"")&amp;IF(Август2022365678[[#This Row],[Отделка]]="Предчистовая",-5500,"")&amp;IF(Август2022365678[[#This Row],[Отделка]]="Чистовая",-16000,""))*Август2022365678[[#This Row],[м2]],SUM(Август2022365678[[#This Row],[сумма]]/Август2022365678[[#This Row],[м2]],IF(Август2022365678[[#This Row],[Отделка]]="Черновая",0,"")&amp;IF(Август2022365678[[#This Row],[Отделка]]="Предчистовая",-4000,"")&amp;IF(Август2022365678[[#This Row],[Отделка]]="Чистовая",-15000,""))*Август2022365678[[#This Row],[м2]]),"")</f>
        <v/>
      </c>
    </row>
    <row r="72" spans="1:21" outlineLevel="1">
      <c r="A72" s="65"/>
      <c r="B72" s="79"/>
      <c r="C72" s="79"/>
      <c r="D72" s="65"/>
      <c r="E72" s="65"/>
      <c r="F72" s="934"/>
      <c r="G72" s="65"/>
      <c r="H72" s="65"/>
      <c r="I72" s="105"/>
      <c r="J72" s="65"/>
      <c r="K72" s="65"/>
      <c r="L72" s="108"/>
      <c r="M72" s="110"/>
      <c r="N72" s="65"/>
      <c r="O72" s="72"/>
      <c r="P72" s="86"/>
      <c r="Q72" s="86"/>
      <c r="R72" s="86"/>
      <c r="S72" s="86"/>
      <c r="T72" s="86"/>
      <c r="U72" s="948"/>
    </row>
    <row r="73" spans="1:21" outlineLevel="1">
      <c r="A73" s="2293" t="s">
        <v>713</v>
      </c>
      <c r="B73" s="2294"/>
      <c r="C73" s="972" t="s">
        <v>121</v>
      </c>
      <c r="D73" s="2310"/>
      <c r="E73" s="2292"/>
      <c r="F73" s="2292"/>
      <c r="G73" s="2292"/>
      <c r="H73" s="2296"/>
      <c r="I73" s="2296"/>
      <c r="J73" s="2296"/>
      <c r="K73" s="2296"/>
      <c r="L73" s="2296"/>
      <c r="M73" s="2292"/>
      <c r="N73" s="2292"/>
      <c r="O73" s="2292"/>
      <c r="P73" s="2292"/>
      <c r="Q73" s="86"/>
      <c r="R73" s="86"/>
      <c r="S73" s="86"/>
      <c r="T73" s="86"/>
    </row>
    <row r="74" spans="1:21" ht="25.5">
      <c r="A74" s="685" t="s">
        <v>1</v>
      </c>
      <c r="B74" s="723" t="s">
        <v>100</v>
      </c>
      <c r="C74" s="687" t="s">
        <v>97</v>
      </c>
      <c r="D74" s="724" t="s">
        <v>95</v>
      </c>
      <c r="E74" s="1022" t="s">
        <v>494</v>
      </c>
      <c r="F74" s="138" t="s">
        <v>495</v>
      </c>
      <c r="G74" s="139" t="s">
        <v>496</v>
      </c>
      <c r="H74" s="1023" t="s">
        <v>101</v>
      </c>
      <c r="I74" s="1023" t="s">
        <v>98</v>
      </c>
      <c r="J74" s="1023" t="s">
        <v>96</v>
      </c>
      <c r="K74" s="1023" t="s">
        <v>715</v>
      </c>
      <c r="L74" s="1023" t="s">
        <v>716</v>
      </c>
      <c r="M74" s="217">
        <v>0</v>
      </c>
      <c r="N74" s="218">
        <v>1</v>
      </c>
      <c r="O74" s="218">
        <v>2</v>
      </c>
      <c r="P74" s="218">
        <v>3</v>
      </c>
      <c r="Q74" s="219">
        <v>4</v>
      </c>
      <c r="R74" s="950"/>
      <c r="S74" s="950"/>
      <c r="T74" s="950"/>
      <c r="U74" s="951"/>
    </row>
    <row r="75" spans="1:21">
      <c r="A75" s="936" t="s">
        <v>73</v>
      </c>
      <c r="B75" s="937">
        <f>'Индивидуальный план'!G5</f>
        <v>630</v>
      </c>
      <c r="C75" s="937">
        <f>'Индивидуальный план'!H5</f>
        <v>56195208.814500004</v>
      </c>
      <c r="D75" s="938"/>
      <c r="E75" s="148">
        <f>SUMIFS(Август2022365678[м2],Август2022365678[МОП],$A75,Август2022365678[№ дома],$C$73)</f>
        <v>0</v>
      </c>
      <c r="F75" s="939">
        <f>SUMIFS(Август2022365678[сумма без отделки],Август2022365678[МОП],$A75,Август2022365678[№ дома],$C$73)</f>
        <v>0</v>
      </c>
      <c r="G75" s="940">
        <f>COUNTIFS(Август2022365678[МОП],$A75,Август2022365678[№ дома],$C$73)</f>
        <v>0</v>
      </c>
      <c r="H75" s="145">
        <f>SUMIFS(РД[S],РД[Дом],$C$73,РД[МОП],A75,РД[Дата подачи на регистрацию],"&lt;="&amp;$A$1,РД[Дата подачи на регистрацию],"&gt;="&amp;DATE(YEAR($A$1),MONTH($A$1),1))</f>
        <v>0</v>
      </c>
      <c r="I75" s="149">
        <f>SUMIFS(РД[Стоимость без отделки итог],РД[Дом],$C$73,РД[МОП],A75,РД[Дата подачи на регистрацию],"&lt;="&amp;$A$1,РД[Дата подачи на регистрацию],"&gt;="&amp;DATE(YEAR($A$1),MONTH($A$1),1))</f>
        <v>0</v>
      </c>
      <c r="J75" s="220">
        <f>COUNTIFS(РД[Дом],$C$73,РД[МОП],A75,РД[Дата подачи на регистрацию],"&lt;="&amp;$A$1,РД[Дата подачи на регистрацию],"&gt;="&amp;DATE(YEAR($A$1),MONTH($A$1),1))</f>
        <v>0</v>
      </c>
      <c r="K75" s="943">
        <f t="shared" ref="K75:L77" si="0">IFERROR(H75/B75,)</f>
        <v>0</v>
      </c>
      <c r="L75" s="944">
        <f t="shared" si="0"/>
        <v>0</v>
      </c>
      <c r="M75" s="148">
        <f>COUNTIFS(РД[Тип кв],M$74,РД[МОП],$A75,РД[Дом],$C$73,РД[Дата подачи на регистрацию],"&lt;="&amp;$A$1,РД[Дата подачи на регистрацию],"&gt;="&amp;DATE(YEAR($A$1),MONTH($A$1),1))</f>
        <v>0</v>
      </c>
      <c r="N75" s="220">
        <f>COUNTIFS(РД[Тип кв],N$74,РД[МОП],$A75,РД[Дом],$C$73,РД[Дата подачи на регистрацию],"&lt;="&amp;$A$1,РД[Дата подачи на регистрацию],"&gt;="&amp;DATE(YEAR($A$1),MONTH($A$1),1))</f>
        <v>0</v>
      </c>
      <c r="O75" s="220">
        <f>COUNTIFS(РД[Тип кв],O$74,РД[МОП],$A75,РД[Дом],$C$73,РД[Дата подачи на регистрацию],"&lt;="&amp;$A$1,РД[Дата подачи на регистрацию],"&gt;="&amp;DATE(YEAR($A$1),MONTH($A$1),1))</f>
        <v>0</v>
      </c>
      <c r="P75" s="220">
        <f>COUNTIFS(РД[Тип кв],P$74,РД[МОП],$A75,РД[Дом],$C$73,РД[Дата подачи на регистрацию],"&lt;="&amp;$A$1,РД[Дата подачи на регистрацию],"&gt;="&amp;DATE(YEAR($A$1),MONTH($A$1),1))</f>
        <v>0</v>
      </c>
      <c r="Q75" s="223">
        <f>COUNTIFS(РД[Тип кв],Q$74,РД[МОП],$A75,РД[Дом],$C$73,РД[Дата подачи на регистрацию],"&lt;="&amp;$A$1,РД[Дата подачи на регистрацию],"&gt;="&amp;DATE(YEAR($A$1),MONTH($A$1),1))</f>
        <v>0</v>
      </c>
      <c r="R75" s="949"/>
      <c r="S75" s="949"/>
      <c r="T75" s="949"/>
    </row>
    <row r="76" spans="1:21">
      <c r="A76" s="952" t="s">
        <v>77</v>
      </c>
      <c r="B76" s="937">
        <f>'Индивидуальный план'!G7</f>
        <v>1072</v>
      </c>
      <c r="C76" s="937">
        <f>'Индивидуальный план'!H7</f>
        <v>93800315.819199994</v>
      </c>
      <c r="D76" s="953"/>
      <c r="E76" s="202">
        <f>SUMIFS(Август2022365678[м2],Август2022365678[МОП],$A76,Август2022365678[№ дома],$C$73)</f>
        <v>0</v>
      </c>
      <c r="F76" s="954">
        <f>SUMIFS(Август2022365678[сумма без отделки],Август2022365678[МОП],$A76,Август2022365678[№ дома],$C$73)</f>
        <v>0</v>
      </c>
      <c r="G76" s="955">
        <f>COUNTIFS(Август2022365678[МОП],$A76,Август2022365678[№ дома],$C$73)</f>
        <v>0</v>
      </c>
      <c r="H76" s="145">
        <f>SUMIFS(РД[S],РД[Дом],$C$73,РД[МОП],A76,РД[Дата подачи на регистрацию],"&lt;="&amp;$A$1,РД[Дата подачи на регистрацию],"&gt;="&amp;DATE(YEAR($A$1),MONTH($A$1),1))</f>
        <v>0</v>
      </c>
      <c r="I76" s="149">
        <f>SUMIFS(РД[Стоимость без отделки итог],РД[Дом],$C$73,РД[МОП],A76,РД[Дата подачи на регистрацию],"&lt;="&amp;$A$1,РД[Дата подачи на регистрацию],"&gt;="&amp;DATE(YEAR($A$1),MONTH($A$1),1))</f>
        <v>0</v>
      </c>
      <c r="J76" s="220">
        <f>COUNTIFS(РД[Дом],$C$73,РД[МОП],A76,РД[Дата подачи на регистрацию],"&lt;="&amp;$A$1,РД[Дата подачи на регистрацию],"&gt;="&amp;DATE(YEAR($A$1),MONTH($A$1),1))</f>
        <v>0</v>
      </c>
      <c r="K76" s="987">
        <f t="shared" si="0"/>
        <v>0</v>
      </c>
      <c r="L76" s="988">
        <f t="shared" si="0"/>
        <v>0</v>
      </c>
      <c r="M76" s="202">
        <f>COUNTIFS(РД[Тип кв],M$74,РД[МОП],$A76,РД[Дом],$C$73,РД[Дата подачи на регистрацию],"&lt;="&amp;$A$1,РД[Дата подачи на регистрацию],"&gt;="&amp;DATE(YEAR($A$1),MONTH($A$1),1))</f>
        <v>0</v>
      </c>
      <c r="N76" s="226">
        <f>COUNTIFS(РД[Тип кв],N$74,РД[МОП],$A76,РД[Дом],$C$73,РД[Дата подачи на регистрацию],"&lt;="&amp;$A$1,РД[Дата подачи на регистрацию],"&gt;="&amp;DATE(YEAR($A$1),MONTH($A$1),1))</f>
        <v>0</v>
      </c>
      <c r="O76" s="226">
        <f>COUNTIFS(РД[Тип кв],O$74,РД[МОП],$A76,РД[Дом],$C$73,РД[Дата подачи на регистрацию],"&lt;="&amp;$A$1,РД[Дата подачи на регистрацию],"&gt;="&amp;DATE(YEAR($A$1),MONTH($A$1),1))</f>
        <v>0</v>
      </c>
      <c r="P76" s="226">
        <f>COUNTIFS(РД[Тип кв],P$74,РД[МОП],$A76,РД[Дом],$C$73,РД[Дата подачи на регистрацию],"&lt;="&amp;$A$1,РД[Дата подачи на регистрацию],"&gt;="&amp;DATE(YEAR($A$1),MONTH($A$1),1))</f>
        <v>0</v>
      </c>
      <c r="Q76" s="227">
        <f>COUNTIFS(РД[Тип кв],Q$74,РД[МОП],$A76,РД[Дом],$C$73,РД[Дата подачи на регистрацию],"&lt;="&amp;$A$1,РД[Дата подачи на регистрацию],"&gt;="&amp;DATE(YEAR($A$1),MONTH($A$1),1))</f>
        <v>0</v>
      </c>
      <c r="R76" s="949"/>
      <c r="S76" s="949"/>
      <c r="T76" s="949"/>
    </row>
    <row r="77" spans="1:21">
      <c r="A77" s="956" t="s">
        <v>1233</v>
      </c>
      <c r="B77" s="937">
        <f>'Индивидуальный план'!G8</f>
        <v>1142</v>
      </c>
      <c r="C77" s="937">
        <f>'Индивидуальный план'!H8</f>
        <v>100045396.4754</v>
      </c>
      <c r="D77" s="957"/>
      <c r="E77" s="358">
        <f>SUMIFS(Август2022365678[м2],Август2022365678[МОП],$A77,Август2022365678[№ дома],$C$73)</f>
        <v>0</v>
      </c>
      <c r="F77" s="958">
        <f>SUMIFS(Август2022365678[сумма без отделки],Август2022365678[МОП],$A77,Август2022365678[№ дома],$C$73)</f>
        <v>0</v>
      </c>
      <c r="G77" s="959">
        <f>COUNTIFS(Август2022365678[МОП],$A77,Август2022365678[№ дома],$C$73)</f>
        <v>0</v>
      </c>
      <c r="H77" s="145">
        <f>SUMIFS(РД[S],РД[Дом],$C$73,РД[МОП],A77,РД[Дата подачи на регистрацию],"&lt;="&amp;$A$1,РД[Дата подачи на регистрацию],"&gt;="&amp;DATE(YEAR($A$1),MONTH($A$1),1))</f>
        <v>0</v>
      </c>
      <c r="I77" s="149">
        <f>SUMIFS(РД[Стоимость без отделки итог],РД[Дом],$C$73,РД[МОП],A77,РД[Дата подачи на регистрацию],"&lt;="&amp;$A$1,РД[Дата подачи на регистрацию],"&gt;="&amp;DATE(YEAR($A$1),MONTH($A$1),1))</f>
        <v>0</v>
      </c>
      <c r="J77" s="220">
        <f>COUNTIFS(РД[Дом],$C$73,РД[МОП],A77,РД[Дата подачи на регистрацию],"&lt;="&amp;$A$1,РД[Дата подачи на регистрацию],"&gt;="&amp;DATE(YEAR($A$1),MONTH($A$1),1))</f>
        <v>0</v>
      </c>
      <c r="K77" s="987">
        <f t="shared" si="0"/>
        <v>0</v>
      </c>
      <c r="L77" s="988">
        <f t="shared" si="0"/>
        <v>0</v>
      </c>
      <c r="M77" s="195">
        <f>COUNTIFS(РД[Тип кв],M$74,РД[МОП],$A77,РД[Дом],$C$73,РД[Дата подачи на регистрацию],"&lt;="&amp;$A$1,РД[Дата подачи на регистрацию],"&gt;="&amp;DATE(YEAR($A$1),MONTH($A$1),1))</f>
        <v>0</v>
      </c>
      <c r="N77" s="251">
        <f>COUNTIFS(РД[Тип кв],N$74,РД[МОП],$A77,РД[Дом],$C$73,РД[Дата подачи на регистрацию],"&lt;="&amp;$A$1,РД[Дата подачи на регистрацию],"&gt;="&amp;DATE(YEAR($A$1),MONTH($A$1),1))</f>
        <v>0</v>
      </c>
      <c r="O77" s="251">
        <f>COUNTIFS(РД[Тип кв],O$74,РД[МОП],$A77,РД[Дом],$C$73,РД[Дата подачи на регистрацию],"&lt;="&amp;$A$1,РД[Дата подачи на регистрацию],"&gt;="&amp;DATE(YEAR($A$1),MONTH($A$1),1))</f>
        <v>0</v>
      </c>
      <c r="P77" s="251">
        <f>COUNTIFS(РД[Тип кв],P$74,РД[МОП],$A77,РД[Дом],$C$73,РД[Дата подачи на регистрацию],"&lt;="&amp;$A$1,РД[Дата подачи на регистрацию],"&gt;="&amp;DATE(YEAR($A$1),MONTH($A$1),1))</f>
        <v>0</v>
      </c>
      <c r="Q77" s="254">
        <f>COUNTIFS(РД[Тип кв],Q$74,РД[МОП],$A77,РД[Дом],$C$73,РД[Дата подачи на регистрацию],"&lt;="&amp;$A$1,РД[Дата подачи на регистрацию],"&gt;="&amp;DATE(YEAR($A$1),MONTH($A$1),1))</f>
        <v>0</v>
      </c>
      <c r="R77" s="949"/>
      <c r="S77" s="949"/>
      <c r="T77" s="949"/>
    </row>
    <row r="78" spans="1:21">
      <c r="A78" s="960" t="s">
        <v>114</v>
      </c>
      <c r="B78" s="961">
        <f t="shared" ref="B78:J78" si="1">SUM(B75:B77)</f>
        <v>2844</v>
      </c>
      <c r="C78" s="964">
        <f t="shared" si="1"/>
        <v>250040921.10910001</v>
      </c>
      <c r="D78" s="962">
        <f t="shared" si="1"/>
        <v>0</v>
      </c>
      <c r="E78" s="963">
        <f t="shared" si="1"/>
        <v>0</v>
      </c>
      <c r="F78" s="964">
        <f t="shared" si="1"/>
        <v>0</v>
      </c>
      <c r="G78" s="965">
        <f t="shared" si="1"/>
        <v>0</v>
      </c>
      <c r="H78" s="961">
        <f t="shared" si="1"/>
        <v>0</v>
      </c>
      <c r="I78" s="964">
        <f t="shared" si="1"/>
        <v>0</v>
      </c>
      <c r="J78" s="962">
        <f t="shared" si="1"/>
        <v>0</v>
      </c>
      <c r="K78" s="419">
        <f>IFERROR(H78/B78,)</f>
        <v>0</v>
      </c>
      <c r="L78" s="420">
        <f>IFERROR(I78/C78,)</f>
        <v>0</v>
      </c>
      <c r="M78" s="473">
        <f>SUM(M75:M77)</f>
        <v>0</v>
      </c>
      <c r="N78" s="494">
        <f>SUM(N75:N77)</f>
        <v>0</v>
      </c>
      <c r="O78" s="494">
        <f>SUM(O75:O77)</f>
        <v>0</v>
      </c>
      <c r="P78" s="989">
        <f>SUM(P75:P77)</f>
        <v>0</v>
      </c>
      <c r="Q78" s="497">
        <f>SUM(Q75:Q77)</f>
        <v>0</v>
      </c>
      <c r="R78" s="949"/>
      <c r="S78" s="949"/>
      <c r="T78" s="949"/>
    </row>
    <row r="79" spans="1:21" ht="25.5">
      <c r="A79" s="685" t="s">
        <v>115</v>
      </c>
      <c r="B79" s="723" t="s">
        <v>100</v>
      </c>
      <c r="C79" s="693" t="s">
        <v>97</v>
      </c>
      <c r="D79" s="724" t="s">
        <v>95</v>
      </c>
      <c r="E79" s="1022" t="s">
        <v>494</v>
      </c>
      <c r="F79" s="138" t="s">
        <v>495</v>
      </c>
      <c r="G79" s="139" t="s">
        <v>496</v>
      </c>
      <c r="H79" s="482" t="s">
        <v>101</v>
      </c>
      <c r="I79" s="482" t="s">
        <v>98</v>
      </c>
      <c r="J79" s="482" t="s">
        <v>96</v>
      </c>
      <c r="K79" s="502" t="s">
        <v>715</v>
      </c>
      <c r="L79" s="1025" t="s">
        <v>716</v>
      </c>
      <c r="M79" s="217">
        <v>0</v>
      </c>
      <c r="N79" s="218">
        <v>1</v>
      </c>
      <c r="O79" s="218">
        <v>2</v>
      </c>
      <c r="P79" s="218">
        <v>3</v>
      </c>
      <c r="Q79" s="219">
        <v>4</v>
      </c>
      <c r="R79" s="950"/>
      <c r="S79" s="950"/>
      <c r="T79" s="950"/>
      <c r="U79" s="951"/>
    </row>
    <row r="80" spans="1:21">
      <c r="A80" s="936" t="s">
        <v>16</v>
      </c>
      <c r="B80" s="937" t="str">
        <f>'Индивидуальный план'!G11</f>
        <v>План м2</v>
      </c>
      <c r="C80" s="937" t="str">
        <f>'Индивидуальный план'!H11</f>
        <v>План руб</v>
      </c>
      <c r="D80" s="417"/>
      <c r="E80" s="966">
        <f>SUMIFS(Август2022365678[м2],Август2022365678[ИМ],A80,Август2022365678[№ дома],$C$73)</f>
        <v>0</v>
      </c>
      <c r="F80" s="149">
        <f>SUMIFS(Август2022365678[сумма без отделки],Август2022365678[ИМ],$A80,Август2022365678[№ дома],$C$73)</f>
        <v>0</v>
      </c>
      <c r="G80" s="940">
        <f>COUNTIFS(Август2022365678[ИМ],$A80,Август2022365678[№ дома],$C$73)</f>
        <v>0</v>
      </c>
      <c r="H80" s="346">
        <f>SUMIFS(РД[S],РД[Дом],$C$73,РД[ИМ],A80,РД[Дата подачи на регистрацию],"&lt;="&amp;$A$1,РД[Дата подачи на регистрацию],"&gt;="&amp;DATE(YEAR($A$1),MONTH($A$1),1))</f>
        <v>0</v>
      </c>
      <c r="I80" s="184">
        <f>SUMIFS(РД[Стоимость без отделки итог],РД[Дом],$C$73,РД[ИМ],A80,РД[Дата подачи на регистрацию],"&lt;="&amp;$A$1,РД[Дата подачи на регистрацию],"&gt;="&amp;DATE(YEAR($A$1),MONTH($A$1),1))</f>
        <v>0</v>
      </c>
      <c r="J80" s="243">
        <f>COUNTIFS(РД[Дом],$C$73,РД[ИМ],A80,РД[Дата подачи на регистрацию],"&lt;="&amp;$A$1,РД[Дата подачи на регистрацию],"&gt;="&amp;DATE(YEAR($A$1),MONTH($A$1),1))</f>
        <v>0</v>
      </c>
      <c r="K80" s="990" t="str">
        <f>IFERROR(H80/B80,"")</f>
        <v/>
      </c>
      <c r="L80" s="991" t="str">
        <f>IFERROR(I80/C80,"")</f>
        <v/>
      </c>
      <c r="M80" s="183">
        <f>COUNTIFS(РД[Тип кв],M$74,РД[ИМ],$A80,РД[Дом],$C$73,РД[Дата подачи на регистрацию],"&lt;="&amp;$A$1,РД[Дата подачи на регистрацию],"&gt;="&amp;DATE(YEAR($A$1),MONTH($A$1),1))</f>
        <v>0</v>
      </c>
      <c r="N80" s="243">
        <f>COUNTIFS(РД[Тип кв],N$74,РД[ИМ],$A80,РД[Дом],$C$73,РД[Дата подачи на регистрацию],"&lt;="&amp;$A$1,РД[Дата подачи на регистрацию],"&gt;="&amp;DATE(YEAR($A$1),MONTH($A$1),1))</f>
        <v>0</v>
      </c>
      <c r="O80" s="243">
        <f>COUNTIFS(РД[Тип кв],O$74,РД[ИМ],$A80,РД[Дом],$C$73,РД[Дата подачи на регистрацию],"&lt;="&amp;$A$1,РД[Дата подачи на регистрацию],"&gt;="&amp;DATE(YEAR($A$1),MONTH($A$1),1))</f>
        <v>0</v>
      </c>
      <c r="P80" s="243">
        <f>COUNTIFS(РД[Тип кв],P$74,РД[ИМ],$A80,РД[Дом],$C$73,РД[Дата подачи на регистрацию],"&lt;="&amp;$A$1,РД[Дата подачи на регистрацию],"&gt;="&amp;DATE(YEAR($A$1),MONTH($A$1),1))</f>
        <v>0</v>
      </c>
      <c r="Q80" s="246">
        <f>COUNTIFS(РД[Тип кв],Q$74,РД[ИМ],$A80,РД[Дом],$C$73,РД[Дата подачи на регистрацию],"&lt;="&amp;$A$1,РД[Дата подачи на регистрацию],"&gt;="&amp;DATE(YEAR($A$1),MONTH($A$1),1))</f>
        <v>0</v>
      </c>
      <c r="R80" s="949"/>
      <c r="S80" s="949"/>
      <c r="T80" s="949"/>
    </row>
    <row r="81" spans="1:21">
      <c r="A81" s="956" t="s">
        <v>22</v>
      </c>
      <c r="B81" s="937">
        <f>'Индивидуальный план'!G12</f>
        <v>1973</v>
      </c>
      <c r="C81" s="937">
        <f>'Индивидуальный план'!H12</f>
        <v>173294735.36949998</v>
      </c>
      <c r="D81" s="518"/>
      <c r="E81" s="967">
        <f>SUMIFS(Август2022365678[м2],Август2022365678[ИМ],A81,Август2022365678[№ дома],$C$73)</f>
        <v>0</v>
      </c>
      <c r="F81" s="359">
        <f>SUMIFS(Август2022365678[сумма без отделки],Август2022365678[ИМ],$A81,Август2022365678[№ дома],$C$73)</f>
        <v>0</v>
      </c>
      <c r="G81" s="959">
        <f>COUNTIFS(Август2022365678[ИМ],$A81,Август2022365678[№ дома],$C$73)</f>
        <v>0</v>
      </c>
      <c r="H81" s="426">
        <f>SUMIFS(РД[S],РД[Дом],$C$73,РД[ИМ],A81,РД[Дата подачи на регистрацию],"&lt;="&amp;$A$1,РД[Дата подачи на регистрацию],"&gt;="&amp;DATE(YEAR($A$1),MONTH($A$1),1))</f>
        <v>0</v>
      </c>
      <c r="I81" s="196">
        <f>SUMIFS(РД[Стоимость без отделки итог],РД[Дом],$C$73,РД[ИМ],A81,РД[Дата подачи на регистрацию],"&lt;="&amp;$A$1,РД[Дата подачи на регистрацию],"&gt;="&amp;DATE(YEAR($A$1),MONTH($A$1),1))</f>
        <v>0</v>
      </c>
      <c r="J81" s="251">
        <f>COUNTIFS(РД[Дом],$C$73,РД[ИМ],A81,РД[Дата подачи на регистрацию],"&lt;="&amp;$A$1,РД[Дата подачи на регистрацию],"&gt;="&amp;DATE(YEAR($A$1),MONTH($A$1),1))</f>
        <v>0</v>
      </c>
      <c r="K81" s="992">
        <f>IFERROR(H81/B81,"")</f>
        <v>0</v>
      </c>
      <c r="L81" s="993">
        <f>IFERROR(I81/C81,"")</f>
        <v>0</v>
      </c>
      <c r="M81" s="195">
        <f>COUNTIFS(РД[Тип кв],M$74,РД[ИМ],$A81,РД[Дом],$C$73,РД[Дата подачи на регистрацию],"&lt;="&amp;$A$1,РД[Дата подачи на регистрацию],"&gt;="&amp;DATE(YEAR($A$1),MONTH($A$1),1))</f>
        <v>0</v>
      </c>
      <c r="N81" s="251">
        <f>COUNTIFS(РД[Тип кв],N$74,РД[ИМ],$A81,РД[Дом],$C$73,РД[Дата подачи на регистрацию],"&lt;="&amp;$A$1,РД[Дата подачи на регистрацию],"&gt;="&amp;DATE(YEAR($A$1),MONTH($A$1),1))</f>
        <v>0</v>
      </c>
      <c r="O81" s="251">
        <f>COUNTIFS(РД[Тип кв],O$74,РД[ИМ],$A81,РД[Дом],$C$73,РД[Дата подачи на регистрацию],"&lt;="&amp;$A$1,РД[Дата подачи на регистрацию],"&gt;="&amp;DATE(YEAR($A$1),MONTH($A$1),1))</f>
        <v>0</v>
      </c>
      <c r="P81" s="251">
        <f>COUNTIFS(РД[Тип кв],P$74,РД[ИМ],$A81,РД[Дом],$C$73,РД[Дата подачи на регистрацию],"&lt;="&amp;$A$1,РД[Дата подачи на регистрацию],"&gt;="&amp;DATE(YEAR($A$1),MONTH($A$1),1))</f>
        <v>0</v>
      </c>
      <c r="Q81" s="254">
        <f>COUNTIFS(РД[Тип кв],Q$74,РД[ИМ],$A81,РД[Дом],$C$73,РД[Дата подачи на регистрацию],"&lt;="&amp;$A$1,РД[Дата подачи на регистрацию],"&gt;="&amp;DATE(YEAR($A$1),MONTH($A$1),1))</f>
        <v>0</v>
      </c>
      <c r="R81" s="949"/>
      <c r="S81" s="949"/>
      <c r="T81" s="949"/>
    </row>
    <row r="82" spans="1:21">
      <c r="A82" s="409" t="s">
        <v>114</v>
      </c>
      <c r="B82" s="428">
        <f>SUM(B80:B81)</f>
        <v>1973</v>
      </c>
      <c r="C82" s="429">
        <f>SUM(C80:C81)</f>
        <v>173294735.36949998</v>
      </c>
      <c r="D82" s="485">
        <f>SUM(D80:D81)</f>
        <v>0</v>
      </c>
      <c r="E82" s="473">
        <f t="shared" ref="E82:J82" si="2">SUM(E80:E80)</f>
        <v>0</v>
      </c>
      <c r="F82" s="429">
        <f t="shared" si="2"/>
        <v>0</v>
      </c>
      <c r="G82" s="497">
        <f t="shared" si="2"/>
        <v>0</v>
      </c>
      <c r="H82" s="897">
        <f t="shared" si="2"/>
        <v>0</v>
      </c>
      <c r="I82" s="897">
        <f t="shared" si="2"/>
        <v>0</v>
      </c>
      <c r="J82" s="897">
        <f t="shared" si="2"/>
        <v>0</v>
      </c>
      <c r="K82" s="238">
        <f>IFERROR(H82/B82,)</f>
        <v>0</v>
      </c>
      <c r="L82" s="501">
        <f>IFERROR(I82/C82,)</f>
        <v>0</v>
      </c>
      <c r="M82" s="897">
        <f>SUM(M80:M80)</f>
        <v>0</v>
      </c>
      <c r="N82" s="897">
        <f>SUM(N80:N80)</f>
        <v>0</v>
      </c>
      <c r="O82" s="897">
        <f>SUM(O80:O80)</f>
        <v>0</v>
      </c>
      <c r="P82" s="897">
        <f>SUM(P80:P80)</f>
        <v>0</v>
      </c>
      <c r="Q82" s="898">
        <f>SUM(Q80:Q80)</f>
        <v>0</v>
      </c>
      <c r="R82" s="65"/>
      <c r="S82" s="65"/>
      <c r="T82" s="65"/>
      <c r="U82" s="339"/>
    </row>
    <row r="83" spans="1:21">
      <c r="A83" s="7"/>
      <c r="B83" s="968"/>
      <c r="C83" s="968"/>
      <c r="D83" s="7"/>
      <c r="E83" s="7"/>
      <c r="F83" s="7"/>
      <c r="G83" s="7"/>
      <c r="H83" s="134"/>
      <c r="I83" s="134"/>
      <c r="J83" s="134"/>
      <c r="K83" s="7"/>
      <c r="L83" s="994"/>
      <c r="M83" s="134"/>
      <c r="N83" s="134"/>
      <c r="O83" s="134"/>
      <c r="P83" s="262"/>
      <c r="Q83" s="134"/>
      <c r="R83" s="949"/>
      <c r="S83" s="949"/>
      <c r="T83" s="949"/>
    </row>
    <row r="84" spans="1:21">
      <c r="A84" s="2290" t="s">
        <v>713</v>
      </c>
      <c r="B84" s="2291"/>
      <c r="C84" s="935" t="s">
        <v>27</v>
      </c>
      <c r="D84" s="2292"/>
      <c r="E84" s="2292"/>
      <c r="F84" s="2292"/>
      <c r="G84" s="2292"/>
      <c r="H84" s="2292"/>
      <c r="I84" s="2292"/>
      <c r="J84" s="2292"/>
      <c r="K84" s="2292"/>
      <c r="L84" s="2292"/>
      <c r="M84" s="2292"/>
      <c r="N84" s="2292"/>
      <c r="O84" s="2292"/>
      <c r="P84" s="2292"/>
      <c r="Q84" s="7"/>
      <c r="R84" s="949"/>
      <c r="S84" s="949"/>
      <c r="T84" s="949"/>
    </row>
    <row r="85" spans="1:21" ht="25.5">
      <c r="A85" s="685" t="s">
        <v>1</v>
      </c>
      <c r="B85" s="723" t="s">
        <v>100</v>
      </c>
      <c r="C85" s="687" t="s">
        <v>97</v>
      </c>
      <c r="D85" s="724" t="s">
        <v>95</v>
      </c>
      <c r="E85" s="1022" t="s">
        <v>494</v>
      </c>
      <c r="F85" s="138" t="s">
        <v>495</v>
      </c>
      <c r="G85" s="139" t="s">
        <v>496</v>
      </c>
      <c r="H85" s="140" t="s">
        <v>101</v>
      </c>
      <c r="I85" s="141" t="s">
        <v>98</v>
      </c>
      <c r="J85" s="141" t="s">
        <v>96</v>
      </c>
      <c r="K85" s="141" t="s">
        <v>715</v>
      </c>
      <c r="L85" s="1026" t="s">
        <v>716</v>
      </c>
      <c r="M85" s="217">
        <v>0</v>
      </c>
      <c r="N85" s="218">
        <v>1</v>
      </c>
      <c r="O85" s="218">
        <v>2</v>
      </c>
      <c r="P85" s="218">
        <v>3</v>
      </c>
      <c r="Q85" s="219">
        <v>4</v>
      </c>
      <c r="R85" s="950"/>
      <c r="S85" s="950"/>
      <c r="T85" s="950"/>
      <c r="U85" s="951"/>
    </row>
    <row r="86" spans="1:21">
      <c r="A86" s="936" t="s">
        <v>73</v>
      </c>
      <c r="B86" s="937">
        <f>'Индивидуальный план'!G16</f>
        <v>0</v>
      </c>
      <c r="C86" s="937" t="str">
        <f>'Индивидуальный план'!H16</f>
        <v>Дом 5</v>
      </c>
      <c r="D86" s="938">
        <v>1</v>
      </c>
      <c r="E86" s="148">
        <f>SUMIFS(Август2022365678[м2],Август2022365678[МОП],$A86,Август2022365678[№ дома],$C$84)</f>
        <v>23.09</v>
      </c>
      <c r="F86" s="939">
        <f>SUMIFS(Август2022365678[сумма без отделки],Август2022365678[МОП],$A86,Август2022365678[№ дома],$C$84)</f>
        <v>2121735.5099999998</v>
      </c>
      <c r="G86" s="940">
        <f>COUNTIFS(Август2022365678[МОП],$A86,Август2022365678[№ дома],$C$84)</f>
        <v>1</v>
      </c>
      <c r="H86" s="148">
        <f>SUMIFS(РД[S],РД[Дом],$C$84,РД[МОП],A86,РД[Дата подачи на регистрацию],"&lt;="&amp;$A$1,РД[Дата подачи на регистрацию],"&gt;="&amp;DATE(YEAR($A$1),MONTH($A$1),1))</f>
        <v>23.09</v>
      </c>
      <c r="I86" s="149">
        <f>SUMIFS(РД[Стоимость без отделки итог],РД[Дом],$C$84,РД[МОП],A86,РД[Дата подачи на регистрацию],"&lt;="&amp;$A$1,РД[Дата подачи на регистрацию],"&gt;="&amp;DATE(YEAR($A$1),MONTH($A$1),1))</f>
        <v>2121735.5099999998</v>
      </c>
      <c r="J86" s="220">
        <f>COUNTIFS(РД[Дом],$C$84,РД[МОП],A86,РД[Дата подачи на регистрацию],"&lt;="&amp;$A$1,РД[Дата подачи на регистрацию],"&gt;="&amp;DATE(YEAR($A$1),MONTH($A$1),1))</f>
        <v>1</v>
      </c>
      <c r="K86" s="943" t="str">
        <f t="shared" ref="K86:L88" si="3">IFERROR(H86/B86,"")</f>
        <v/>
      </c>
      <c r="L86" s="944" t="str">
        <f t="shared" si="3"/>
        <v/>
      </c>
      <c r="M86" s="183">
        <f>COUNTIFS(РД[Тип кв],M$85,РД[МОП],$A86,РД[Дом],$C$84,РД[Дата подачи на регистрацию],"&lt;="&amp;$A$1,РД[Дата подачи на регистрацию],"&gt;="&amp;DATE(YEAR($A$1),MONTH($A$1),1))</f>
        <v>1</v>
      </c>
      <c r="N86" s="243">
        <f>COUNTIFS(РД[Тип кв],N$85,РД[МОП],$A86,РД[Дом],$C$84,РД[Дата подачи на регистрацию],"&lt;="&amp;$A$1,РД[Дата подачи на регистрацию],"&gt;="&amp;DATE(YEAR($A$1),MONTH($A$1),1))</f>
        <v>0</v>
      </c>
      <c r="O86" s="243">
        <f>COUNTIFS(РД[Тип кв],O$85,РД[МОП],$A86,РД[Дом],$C$84,РД[Дата подачи на регистрацию],"&lt;="&amp;$A$1,РД[Дата подачи на регистрацию],"&gt;="&amp;DATE(YEAR($A$1),MONTH($A$1),1))</f>
        <v>0</v>
      </c>
      <c r="P86" s="243">
        <f>COUNTIFS(РД[Тип кв],P$85,РД[МОП],$A86,РД[Дом],$C$84,РД[Дата подачи на регистрацию],"&lt;="&amp;$A$1,РД[Дата подачи на регистрацию],"&gt;="&amp;DATE(YEAR($A$1),MONTH($A$1),1))</f>
        <v>0</v>
      </c>
      <c r="Q86" s="246">
        <f>COUNTIFS(РД[Тип кв],Q$85,РД[МОП],$A86,РД[Дом],$C$84,РД[Дата подачи на регистрацию],"&lt;="&amp;$A$1,РД[Дата подачи на регистрацию],"&gt;="&amp;DATE(YEAR($A$1),MONTH($A$1),1))</f>
        <v>0</v>
      </c>
      <c r="R86" s="949"/>
      <c r="S86" s="949"/>
      <c r="T86" s="949"/>
    </row>
    <row r="87" spans="1:21">
      <c r="A87" s="952" t="s">
        <v>77</v>
      </c>
      <c r="B87" s="937">
        <f>'Индивидуальный план'!G18</f>
        <v>685</v>
      </c>
      <c r="C87" s="937">
        <f>'Индивидуальный план'!H18</f>
        <v>58063399.594999999</v>
      </c>
      <c r="D87" s="953">
        <v>3</v>
      </c>
      <c r="E87" s="202">
        <f>SUMIFS(Август2022365678[м2],Август2022365678[МОП],$A87,Август2022365678[№ дома],$C$84)</f>
        <v>72.319999999999993</v>
      </c>
      <c r="F87" s="954">
        <f>SUMIFS(Август2022365678[сумма без отделки],Август2022365678[МОП],$A87,Август2022365678[№ дома],$C$84)</f>
        <v>6814045.5300000003</v>
      </c>
      <c r="G87" s="955">
        <f>COUNTIFS(Август2022365678[МОП],$A87,Август2022365678[№ дома],$C$84)</f>
        <v>3</v>
      </c>
      <c r="H87" s="148">
        <f>SUMIFS(РД[S],РД[Дом],$C$84,РД[МОП],A87,РД[Дата подачи на регистрацию],"&lt;="&amp;$A$1,РД[Дата подачи на регистрацию],"&gt;="&amp;DATE(YEAR($A$1),MONTH($A$1),1))</f>
        <v>72.319999999999993</v>
      </c>
      <c r="I87" s="149">
        <f>SUMIFS(РД[Стоимость без отделки итог],РД[Дом],$C$84,РД[МОП],A87,РД[Дата подачи на регистрацию],"&lt;="&amp;$A$1,РД[Дата подачи на регистрацию],"&gt;="&amp;DATE(YEAR($A$1),MONTH($A$1),1))</f>
        <v>6814045.5300000003</v>
      </c>
      <c r="J87" s="220">
        <f>COUNTIFS(РД[Дом],$C$84,РД[МОП],A87,РД[Дата подачи на регистрацию],"&lt;="&amp;$A$1,РД[Дата подачи на регистрацию],"&gt;="&amp;DATE(YEAR($A$1),MONTH($A$1),1))</f>
        <v>3</v>
      </c>
      <c r="K87" s="987">
        <f t="shared" si="3"/>
        <v>0.10557664233576641</v>
      </c>
      <c r="L87" s="988">
        <f t="shared" si="3"/>
        <v>0.11735526299749725</v>
      </c>
      <c r="M87" s="202">
        <f>COUNTIFS(РД[Тип кв],M$85,РД[МОП],$A87,РД[Дом],$C$84,РД[Дата подачи на регистрацию],"&lt;="&amp;$A$1,РД[Дата подачи на регистрацию],"&gt;="&amp;DATE(YEAR($A$1),MONTH($A$1),1))</f>
        <v>3</v>
      </c>
      <c r="N87" s="226">
        <f>COUNTIFS(РД[Тип кв],N$85,РД[МОП],$A87,РД[Дом],$C$84,РД[Дата подачи на регистрацию],"&lt;="&amp;$A$1,РД[Дата подачи на регистрацию],"&gt;="&amp;DATE(YEAR($A$1),MONTH($A$1),1))</f>
        <v>0</v>
      </c>
      <c r="O87" s="226">
        <f>COUNTIFS(РД[Тип кв],O$85,РД[МОП],$A87,РД[Дом],$C$84,РД[Дата подачи на регистрацию],"&lt;="&amp;$A$1,РД[Дата подачи на регистрацию],"&gt;="&amp;DATE(YEAR($A$1),MONTH($A$1),1))</f>
        <v>0</v>
      </c>
      <c r="P87" s="226">
        <f>COUNTIFS(РД[Тип кв],P$85,РД[МОП],$A87,РД[Дом],$C$84,РД[Дата подачи на регистрацию],"&lt;="&amp;$A$1,РД[Дата подачи на регистрацию],"&gt;="&amp;DATE(YEAR($A$1),MONTH($A$1),1))</f>
        <v>0</v>
      </c>
      <c r="Q87" s="227">
        <f>COUNTIFS(РД[Тип кв],Q$85,РД[МОП],$A87,РД[Дом],$C$84,РД[Дата подачи на регистрацию],"&lt;="&amp;$A$1,РД[Дата подачи на регистрацию],"&gt;="&amp;DATE(YEAR($A$1),MONTH($A$1),1))</f>
        <v>0</v>
      </c>
      <c r="R87" s="949"/>
      <c r="S87" s="949"/>
      <c r="T87" s="949"/>
    </row>
    <row r="88" spans="1:21">
      <c r="A88" s="956" t="s">
        <v>1233</v>
      </c>
      <c r="B88" s="937">
        <f>'Индивидуальный план'!G19</f>
        <v>420</v>
      </c>
      <c r="C88" s="937">
        <f>'Индивидуальный план'!H19</f>
        <v>35600916.539999999</v>
      </c>
      <c r="D88" s="957">
        <v>3</v>
      </c>
      <c r="E88" s="358">
        <f>SUMIFS(Август2022365678[м2],Август2022365678[МОП],$A88,Август2022365678[№ дома],$C$84)</f>
        <v>37.69</v>
      </c>
      <c r="F88" s="958">
        <f>SUMIFS(Август2022365678[сумма без отделки],Август2022365678[МОП],$A88,Август2022365678[№ дома],$C$84)</f>
        <v>3641574.03</v>
      </c>
      <c r="G88" s="959">
        <f>COUNTIFS(Август2022365678[МОП],$A88,Август2022365678[№ дома],$C$84)</f>
        <v>1</v>
      </c>
      <c r="H88" s="148">
        <f>SUMIFS(РД[S],РД[Дом],$C$84,РД[МОП],A88,РД[Дата подачи на регистрацию],"&lt;="&amp;$A$1,РД[Дата подачи на регистрацию],"&gt;="&amp;DATE(YEAR($A$1),MONTH($A$1),1))</f>
        <v>300.58999999999997</v>
      </c>
      <c r="I88" s="149">
        <f>SUMIFS(РД[Стоимость без отделки итог],РД[Дом],$C$84,РД[МОП],A88,РД[Дата подачи на регистрацию],"&lt;="&amp;$A$1,РД[Дата подачи на регистрацию],"&gt;="&amp;DATE(YEAR($A$1),MONTH($A$1),1))</f>
        <v>27483274.030000001</v>
      </c>
      <c r="J88" s="220">
        <f>COUNTIFS(РД[Дом],$C$84,РД[МОП],A88,РД[Дата подачи на регистрацию],"&lt;="&amp;$A$1,РД[Дата подачи на регистрацию],"&gt;="&amp;DATE(YEAR($A$1),MONTH($A$1),1))</f>
        <v>3</v>
      </c>
      <c r="K88" s="987">
        <f t="shared" si="3"/>
        <v>0.7156904761904761</v>
      </c>
      <c r="L88" s="988">
        <f t="shared" si="3"/>
        <v>0.77198220442220111</v>
      </c>
      <c r="M88" s="195">
        <f>COUNTIFS(РД[Тип кв],M$85,РД[МОП],$A88,РД[Дом],$C$84,РД[Дата подачи на регистрацию],"&lt;="&amp;$A$1,РД[Дата подачи на регистрацию],"&gt;="&amp;DATE(YEAR($A$1),MONTH($A$1),1))</f>
        <v>0</v>
      </c>
      <c r="N88" s="251">
        <f>COUNTIFS(РД[Тип кв],N$85,РД[МОП],$A88,РД[Дом],$C$84,РД[Дата подачи на регистрацию],"&lt;="&amp;$A$1,РД[Дата подачи на регистрацию],"&gt;="&amp;DATE(YEAR($A$1),MONTH($A$1),1))</f>
        <v>1</v>
      </c>
      <c r="O88" s="251">
        <f>COUNTIFS(РД[Тип кв],O$85,РД[МОП],$A88,РД[Дом],$C$84,РД[Дата подачи на регистрацию],"&lt;="&amp;$A$1,РД[Дата подачи на регистрацию],"&gt;="&amp;DATE(YEAR($A$1),MONTH($A$1),1))</f>
        <v>0</v>
      </c>
      <c r="P88" s="251">
        <f>COUNTIFS(РД[Тип кв],P$85,РД[МОП],$A88,РД[Дом],$C$84,РД[Дата подачи на регистрацию],"&lt;="&amp;$A$1,РД[Дата подачи на регистрацию],"&gt;="&amp;DATE(YEAR($A$1),MONTH($A$1),1))</f>
        <v>0</v>
      </c>
      <c r="Q88" s="254">
        <f>COUNTIFS(РД[Тип кв],Q$85,РД[МОП],$A88,РД[Дом],$C$84,РД[Дата подачи на регистрацию],"&lt;="&amp;$A$1,РД[Дата подачи на регистрацию],"&gt;="&amp;DATE(YEAR($A$1),MONTH($A$1),1))</f>
        <v>0</v>
      </c>
      <c r="R88" s="949"/>
      <c r="S88" s="949"/>
      <c r="T88" s="949"/>
    </row>
    <row r="89" spans="1:21">
      <c r="A89" s="960" t="s">
        <v>114</v>
      </c>
      <c r="B89" s="961">
        <f t="shared" ref="B89:J89" si="4">SUM(B86:B88)</f>
        <v>1105</v>
      </c>
      <c r="C89" s="964">
        <f t="shared" si="4"/>
        <v>93664316.13499999</v>
      </c>
      <c r="D89" s="962">
        <f t="shared" si="4"/>
        <v>7</v>
      </c>
      <c r="E89" s="963">
        <f t="shared" si="4"/>
        <v>133.1</v>
      </c>
      <c r="F89" s="964">
        <f t="shared" si="4"/>
        <v>12577355.069999998</v>
      </c>
      <c r="G89" s="965">
        <f t="shared" si="4"/>
        <v>5</v>
      </c>
      <c r="H89" s="961">
        <f t="shared" si="4"/>
        <v>396</v>
      </c>
      <c r="I89" s="964">
        <f t="shared" si="4"/>
        <v>36419055.07</v>
      </c>
      <c r="J89" s="962">
        <f t="shared" si="4"/>
        <v>7</v>
      </c>
      <c r="K89" s="419">
        <f>IFERROR(H89/B89,)</f>
        <v>0.3583710407239819</v>
      </c>
      <c r="L89" s="420">
        <f>IFERROR(I89/C89,)</f>
        <v>0.38882529198749061</v>
      </c>
      <c r="M89" s="473">
        <f>SUM(M86:M88)</f>
        <v>4</v>
      </c>
      <c r="N89" s="494">
        <f>SUM(N86:N88)</f>
        <v>1</v>
      </c>
      <c r="O89" s="494">
        <f>SUM(O86:O88)</f>
        <v>0</v>
      </c>
      <c r="P89" s="989">
        <f>SUM(P86:P88)</f>
        <v>0</v>
      </c>
      <c r="Q89" s="497">
        <f>SUM(Q86:Q88)</f>
        <v>0</v>
      </c>
      <c r="R89" s="949"/>
      <c r="S89" s="949"/>
      <c r="T89" s="949"/>
    </row>
    <row r="90" spans="1:21" ht="25.5">
      <c r="A90" s="685" t="s">
        <v>115</v>
      </c>
      <c r="B90" s="723" t="s">
        <v>100</v>
      </c>
      <c r="C90" s="693" t="s">
        <v>97</v>
      </c>
      <c r="D90" s="724" t="s">
        <v>95</v>
      </c>
      <c r="E90" s="1022" t="s">
        <v>494</v>
      </c>
      <c r="F90" s="138" t="s">
        <v>495</v>
      </c>
      <c r="G90" s="139" t="s">
        <v>496</v>
      </c>
      <c r="H90" s="140" t="s">
        <v>101</v>
      </c>
      <c r="I90" s="141" t="s">
        <v>98</v>
      </c>
      <c r="J90" s="141" t="s">
        <v>96</v>
      </c>
      <c r="K90" s="495" t="s">
        <v>715</v>
      </c>
      <c r="L90" s="1027" t="s">
        <v>716</v>
      </c>
      <c r="M90" s="217">
        <v>0</v>
      </c>
      <c r="N90" s="218">
        <v>1</v>
      </c>
      <c r="O90" s="218">
        <v>2</v>
      </c>
      <c r="P90" s="218">
        <v>3</v>
      </c>
      <c r="Q90" s="219">
        <v>4</v>
      </c>
      <c r="R90" s="950"/>
      <c r="S90" s="950"/>
      <c r="T90" s="950"/>
      <c r="U90" s="951"/>
    </row>
    <row r="91" spans="1:21">
      <c r="A91" s="936" t="s">
        <v>16</v>
      </c>
      <c r="B91" s="937">
        <f>'Индивидуальный план'!G22</f>
        <v>592</v>
      </c>
      <c r="C91" s="937">
        <f>'Индивидуальный план'!H22</f>
        <v>50180339.504000001</v>
      </c>
      <c r="D91" s="417">
        <v>2</v>
      </c>
      <c r="E91" s="966">
        <f>SUMIFS(Август2022365678[м2],Август2022365678[ИМ],A91,Август2022365678[№ дома],$C$84)</f>
        <v>48.78</v>
      </c>
      <c r="F91" s="149">
        <f>SUMIFS(Август2022365678[сумма без отделки],Август2022365678[ИМ],$A91,Август2022365678[№ дома],$C$84)</f>
        <v>4470296.93</v>
      </c>
      <c r="G91" s="940">
        <f>COUNTIFS(Август2022365678[ИМ],$A91,Август2022365678[№ дома],$C$84)</f>
        <v>2</v>
      </c>
      <c r="H91" s="346">
        <f>SUMIFS(РД[S],РД[Дом],$C$84,РД[ИМ],A91,РД[Дата подачи на регистрацию],"&lt;="&amp;$A$1,РД[Дата подачи на регистрацию],"&gt;="&amp;DATE(YEAR($A$1),MONTH($A$1),1))</f>
        <v>48.78</v>
      </c>
      <c r="I91" s="184">
        <f>SUMIFS(РД[Стоимость без отделки итог],РД[Дом],$C$84,РД[ИМ],A91,РД[Дата подачи на регистрацию],"&lt;="&amp;$A$1,РД[Дата подачи на регистрацию],"&gt;="&amp;DATE(YEAR($A$1),MONTH($A$1),1))</f>
        <v>4470296.93</v>
      </c>
      <c r="J91" s="243">
        <f>COUNTIFS(РД[Дом],$C$84,РД[ИМ],A91,РД[Дата подачи на регистрацию],"&lt;="&amp;$A$1,РД[Дата подачи на регистрацию],"&gt;="&amp;DATE(YEAR($A$1),MONTH($A$1),1))</f>
        <v>2</v>
      </c>
      <c r="K91" s="990">
        <f>IFERROR(H91/B91,"")</f>
        <v>8.2398648648648654E-2</v>
      </c>
      <c r="L91" s="991">
        <f>IFERROR(I91/C91,"")</f>
        <v>8.9084629043684749E-2</v>
      </c>
      <c r="M91" s="183">
        <f>COUNTIFS(РД[Тип кв],M$85,РД[ИМ],$A91,РД[Дом],$C$84,РД[Дата подачи на регистрацию],"&lt;="&amp;$A$1,РД[Дата подачи на регистрацию],"&gt;="&amp;DATE(YEAR($A$1),MONTH($A$1),1))</f>
        <v>2</v>
      </c>
      <c r="N91" s="243">
        <f>COUNTIFS(РД[Тип кв],N$85,РД[ИМ],$A91,РД[Дом],$C$84,РД[Дата подачи на регистрацию],"&lt;="&amp;$A$1,РД[Дата подачи на регистрацию],"&gt;="&amp;DATE(YEAR($A$1),MONTH($A$1),1))</f>
        <v>0</v>
      </c>
      <c r="O91" s="243">
        <f>COUNTIFS(РД[Тип кв],O$85,РД[ИМ],$A91,РД[Дом],$C$84,РД[Дата подачи на регистрацию],"&lt;="&amp;$A$1,РД[Дата подачи на регистрацию],"&gt;="&amp;DATE(YEAR($A$1),MONTH($A$1),1))</f>
        <v>0</v>
      </c>
      <c r="P91" s="243">
        <f>COUNTIFS(РД[Тип кв],P$85,РД[ИМ],$A91,РД[Дом],$C$84,РД[Дата подачи на регистрацию],"&lt;="&amp;$A$1,РД[Дата подачи на регистрацию],"&gt;="&amp;DATE(YEAR($A$1),MONTH($A$1),1))</f>
        <v>0</v>
      </c>
      <c r="Q91" s="246">
        <f>COUNTIFS(РД[Тип кв],Q$85,РД[ИМ],$A91,РД[Дом],$C$84,РД[Дата подачи на регистрацию],"&lt;="&amp;$A$1,РД[Дата подачи на регистрацию],"&gt;="&amp;DATE(YEAR($A$1),MONTH($A$1),1))</f>
        <v>0</v>
      </c>
      <c r="R91" s="949"/>
      <c r="S91" s="949"/>
      <c r="T91" s="949"/>
    </row>
    <row r="92" spans="1:21">
      <c r="A92" s="956" t="s">
        <v>22</v>
      </c>
      <c r="B92" s="937">
        <f>'Индивидуальный план'!G23</f>
        <v>2974</v>
      </c>
      <c r="C92" s="937">
        <f>'Индивидуальный план'!H23</f>
        <v>252088394.73800001</v>
      </c>
      <c r="D92" s="518">
        <v>3</v>
      </c>
      <c r="E92" s="967">
        <f>SUMIFS(Август2022365678[м2],Август2022365678[ИМ],A92,Август2022365678[№ дома],$C$84)</f>
        <v>46.629999999999995</v>
      </c>
      <c r="F92" s="359">
        <f>SUMIFS(Август2022365678[сумма без отделки],Август2022365678[ИМ],$A92,Август2022365678[№ дома],$C$84)</f>
        <v>4465484.1099999994</v>
      </c>
      <c r="G92" s="959">
        <f>COUNTIFS(Август2022365678[ИМ],$A92,Август2022365678[№ дома],$C$84)</f>
        <v>2</v>
      </c>
      <c r="H92" s="426">
        <f>SUMIFS(РД[S],РД[Дом],$C$84,РД[ИМ],A92,РД[Дата подачи на регистрацию],"&lt;="&amp;$A$1,РД[Дата подачи на регистрацию],"&gt;="&amp;DATE(YEAR($A$1),MONTH($A$1),1))</f>
        <v>46.629999999999995</v>
      </c>
      <c r="I92" s="196">
        <f>SUMIFS(РД[Стоимость без отделки итог],РД[Дом],$C$84,РД[ИМ],A92,РД[Дата подачи на регистрацию],"&lt;="&amp;$A$1,РД[Дата подачи на регистрацию],"&gt;="&amp;DATE(YEAR($A$1),MONTH($A$1),1))</f>
        <v>4465484.1100000013</v>
      </c>
      <c r="J92" s="251">
        <f>COUNTIFS(РД[Дом],$C$84,РД[ИМ],A92,РД[Дата подачи на регистрацию],"&lt;="&amp;$A$1,РД[Дата подачи на регистрацию],"&gt;="&amp;DATE(YEAR($A$1),MONTH($A$1),1))</f>
        <v>2</v>
      </c>
      <c r="K92" s="992">
        <f>IFERROR(H92/B92,"")</f>
        <v>1.5679219905850705E-2</v>
      </c>
      <c r="L92" s="993">
        <f>IFERROR(I92/C92,"")</f>
        <v>1.7713961464354833E-2</v>
      </c>
      <c r="M92" s="195">
        <f>COUNTIFS(РД[Тип кв],M$85,РД[ИМ],$A92,РД[Дом],$C$84,РД[Дата подачи на регистрацию],"&lt;="&amp;$A$1,РД[Дата подачи на регистрацию],"&gt;="&amp;DATE(YEAR($A$1),MONTH($A$1),1))</f>
        <v>2</v>
      </c>
      <c r="N92" s="251">
        <f>COUNTIFS(РД[Тип кв],N$85,РД[ИМ],$A92,РД[Дом],$C$84,РД[Дата подачи на регистрацию],"&lt;="&amp;$A$1,РД[Дата подачи на регистрацию],"&gt;="&amp;DATE(YEAR($A$1),MONTH($A$1),1))</f>
        <v>0</v>
      </c>
      <c r="O92" s="251">
        <f>COUNTIFS(РД[Тип кв],O$85,РД[ИМ],$A92,РД[Дом],$C$84,РД[Дата подачи на регистрацию],"&lt;="&amp;$A$1,РД[Дата подачи на регистрацию],"&gt;="&amp;DATE(YEAR($A$1),MONTH($A$1),1))</f>
        <v>0</v>
      </c>
      <c r="P92" s="251">
        <f>COUNTIFS(РД[Тип кв],P$85,РД[ИМ],$A92,РД[Дом],$C$84,РД[Дата подачи на регистрацию],"&lt;="&amp;$A$1,РД[Дата подачи на регистрацию],"&gt;="&amp;DATE(YEAR($A$1),MONTH($A$1),1))</f>
        <v>0</v>
      </c>
      <c r="Q92" s="254">
        <f>COUNTIFS(РД[Тип кв],Q$85,РД[ИМ],$A92,РД[Дом],$C$84,РД[Дата подачи на регистрацию],"&lt;="&amp;$A$1,РД[Дата подачи на регистрацию],"&gt;="&amp;DATE(YEAR($A$1),MONTH($A$1),1))</f>
        <v>0</v>
      </c>
      <c r="R92" s="949"/>
      <c r="S92" s="949"/>
      <c r="T92" s="949"/>
    </row>
    <row r="93" spans="1:21">
      <c r="A93" s="409" t="s">
        <v>114</v>
      </c>
      <c r="B93" s="428">
        <f>SUM(B91:B92)</f>
        <v>3566</v>
      </c>
      <c r="C93" s="429">
        <f>SUM(C91:C92)</f>
        <v>302268734.24199998</v>
      </c>
      <c r="D93" s="485">
        <f>SUM(D91:D92)</f>
        <v>5</v>
      </c>
      <c r="E93" s="473">
        <f t="shared" ref="E93:J93" si="5">SUM(E91:E91)</f>
        <v>48.78</v>
      </c>
      <c r="F93" s="429">
        <f t="shared" si="5"/>
        <v>4470296.93</v>
      </c>
      <c r="G93" s="497">
        <f t="shared" si="5"/>
        <v>2</v>
      </c>
      <c r="H93" s="473">
        <f t="shared" si="5"/>
        <v>48.78</v>
      </c>
      <c r="I93" s="429">
        <f t="shared" si="5"/>
        <v>4470296.93</v>
      </c>
      <c r="J93" s="494">
        <f t="shared" si="5"/>
        <v>2</v>
      </c>
      <c r="K93" s="419">
        <f>IFERROR(H93/B93,)</f>
        <v>1.3679192372406057E-2</v>
      </c>
      <c r="L93" s="507">
        <f>IFERROR(I93/C93,)</f>
        <v>1.4789147614655461E-2</v>
      </c>
      <c r="M93" s="317">
        <f>SUM(M91:M91)</f>
        <v>2</v>
      </c>
      <c r="N93" s="917">
        <f>SUM(N91:N91)</f>
        <v>0</v>
      </c>
      <c r="O93" s="917">
        <f>SUM(O91:O91)</f>
        <v>0</v>
      </c>
      <c r="P93" s="917">
        <f>SUM(P91:P91)</f>
        <v>0</v>
      </c>
      <c r="Q93" s="928">
        <f>SUM(Q91:Q91)</f>
        <v>0</v>
      </c>
      <c r="R93" s="949"/>
      <c r="S93" s="949"/>
      <c r="T93" s="949"/>
    </row>
    <row r="94" spans="1:21">
      <c r="A94" s="7"/>
      <c r="B94" s="968"/>
      <c r="C94" s="968"/>
      <c r="D94" s="969"/>
      <c r="E94" s="7"/>
      <c r="F94" s="7"/>
      <c r="G94" s="7"/>
      <c r="H94" s="134"/>
      <c r="I94" s="134"/>
      <c r="J94" s="134"/>
      <c r="K94" s="7"/>
      <c r="L94" s="994"/>
      <c r="M94" s="134"/>
      <c r="N94" s="134"/>
      <c r="O94" s="134"/>
      <c r="P94" s="262"/>
      <c r="Q94" s="134"/>
      <c r="R94" s="949"/>
      <c r="S94" s="949"/>
      <c r="T94" s="949"/>
    </row>
    <row r="95" spans="1:21">
      <c r="A95" s="2290" t="s">
        <v>713</v>
      </c>
      <c r="B95" s="2291"/>
      <c r="C95" s="935" t="s">
        <v>7</v>
      </c>
      <c r="D95" s="2292"/>
      <c r="E95" s="2292"/>
      <c r="F95" s="2292"/>
      <c r="G95" s="2292"/>
      <c r="H95" s="2292"/>
      <c r="I95" s="2292"/>
      <c r="J95" s="2292"/>
      <c r="K95" s="2292"/>
      <c r="L95" s="2292"/>
      <c r="M95" s="2292"/>
      <c r="N95" s="2292"/>
      <c r="O95" s="2292"/>
      <c r="P95" s="2292"/>
      <c r="Q95" s="7"/>
      <c r="R95" s="949"/>
      <c r="S95" s="949"/>
      <c r="T95" s="949"/>
    </row>
    <row r="96" spans="1:21" ht="25.5">
      <c r="A96" s="685" t="s">
        <v>1</v>
      </c>
      <c r="B96" s="723" t="s">
        <v>100</v>
      </c>
      <c r="C96" s="687" t="s">
        <v>97</v>
      </c>
      <c r="D96" s="724" t="s">
        <v>95</v>
      </c>
      <c r="E96" s="1022" t="s">
        <v>494</v>
      </c>
      <c r="F96" s="138" t="s">
        <v>495</v>
      </c>
      <c r="G96" s="139" t="s">
        <v>496</v>
      </c>
      <c r="H96" s="140" t="s">
        <v>101</v>
      </c>
      <c r="I96" s="141" t="s">
        <v>98</v>
      </c>
      <c r="J96" s="141" t="s">
        <v>96</v>
      </c>
      <c r="K96" s="141" t="s">
        <v>715</v>
      </c>
      <c r="L96" s="1026" t="s">
        <v>716</v>
      </c>
      <c r="M96" s="217">
        <v>0</v>
      </c>
      <c r="N96" s="218">
        <v>1</v>
      </c>
      <c r="O96" s="218">
        <v>2</v>
      </c>
      <c r="P96" s="218">
        <v>3</v>
      </c>
      <c r="Q96" s="219">
        <v>4</v>
      </c>
      <c r="R96" s="949"/>
      <c r="S96" s="949"/>
      <c r="T96" s="949"/>
    </row>
    <row r="97" spans="1:21">
      <c r="A97" s="936" t="s">
        <v>73</v>
      </c>
      <c r="B97" s="937">
        <f>'Индивидуальный план'!G28</f>
        <v>0</v>
      </c>
      <c r="C97" s="937">
        <f>'Индивидуальный план'!H28</f>
        <v>0</v>
      </c>
      <c r="D97" s="938">
        <v>4</v>
      </c>
      <c r="E97" s="148">
        <f>SUMIFS(Август2022365678[м2],Август2022365678[МОП],$A97,Август2022365678[№ дома],$C$95)</f>
        <v>78.73</v>
      </c>
      <c r="F97" s="939">
        <f>SUMIFS(Август2022365678[сумма без отделки],Август2022365678[МОП],$A97,Август2022365678[№ дома],$C$95)</f>
        <v>5369565.2300000004</v>
      </c>
      <c r="G97" s="940">
        <f>COUNTIFS(Август2022365678[МОП],$A97,Август2022365678[№ дома],$C$95)</f>
        <v>1</v>
      </c>
      <c r="H97" s="148">
        <f>SUMIFS(РД[S],РД[Дом],$C$95,РД[МОП],A97,РД[Дата подачи на регистрацию],"&lt;="&amp;$A$1,РД[Дата подачи на регистрацию],"&gt;="&amp;DATE(YEAR($A$1),MONTH($A$1),1))</f>
        <v>78.73</v>
      </c>
      <c r="I97" s="149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регистрацию],"&gt;="&amp;DATE(YEAR($A$1),MONTH($A$1),1))</f>
        <v>5369565.2300000004</v>
      </c>
      <c r="J97" s="220">
        <f>COUNTIFS(РД[Дом],$C$95,РД[МОП],A97,РД[Дата подачи на регистрацию],"&lt;="&amp;$A$1,РД[Дата подачи на регистрацию],"&gt;="&amp;DATE(YEAR($A$1),MONTH($A$1),1))</f>
        <v>1</v>
      </c>
      <c r="K97" s="943" t="str">
        <f t="shared" ref="K97:L99" si="6">IFERROR(H97/B97,"")</f>
        <v/>
      </c>
      <c r="L97" s="944" t="str">
        <f t="shared" si="6"/>
        <v/>
      </c>
      <c r="M97" s="183">
        <f>COUNTIFS(РД[Тип кв],M$85,РД[МОП],$A97,РД[Дом],$C$95,РД[Дата подачи на регистрацию],"&lt;="&amp;$A$1,РД[Дата подачи на регистрацию],"&gt;="&amp;DATE(YEAR($A$1),MONTH($A$1),1))</f>
        <v>0</v>
      </c>
      <c r="N97" s="243">
        <f>COUNTIFS(РД[Тип кв],N$85,РД[МОП],$A97,РД[Дом],$C$95,РД[Дата подачи на регистрацию],"&lt;="&amp;$A$1,РД[Дата подачи на регистрацию],"&gt;="&amp;DATE(YEAR($A$1),MONTH($A$1),1))</f>
        <v>0</v>
      </c>
      <c r="O97" s="243">
        <f>COUNTIFS(РД[Тип кв],O$85,РД[МОП],$A97,РД[Дом],$C$95,РД[Дата подачи на регистрацию],"&lt;="&amp;$A$1,РД[Дата подачи на регистрацию],"&gt;="&amp;DATE(YEAR($A$1),MONTH($A$1),1))</f>
        <v>0</v>
      </c>
      <c r="P97" s="243">
        <f>COUNTIFS(РД[Тип кв],P$85,РД[МОП],$A97,РД[Дом],$C$95,РД[Дата подачи на регистрацию],"&lt;="&amp;$A$1,РД[Дата подачи на регистрацию],"&gt;="&amp;DATE(YEAR($A$1),MONTH($A$1),1))</f>
        <v>1</v>
      </c>
      <c r="Q97" s="246">
        <f>COUNTIFS(РД[Тип кв],Q$85,РД[МОП],$A97,РД[Дом],$C$95,РД[Дата подачи на регистрацию],"&lt;="&amp;$A$1,РД[Дата подачи на регистрацию],"&gt;="&amp;DATE(YEAR($A$1),MONTH($A$1),1))</f>
        <v>0</v>
      </c>
      <c r="R97" s="949"/>
      <c r="S97" s="949"/>
      <c r="T97" s="949"/>
    </row>
    <row r="98" spans="1:21">
      <c r="A98" s="952" t="s">
        <v>77</v>
      </c>
      <c r="B98" s="937">
        <f>'Индивидуальный план'!G29</f>
        <v>0</v>
      </c>
      <c r="C98" s="937" t="str">
        <f>'Индивидуальный план'!H29</f>
        <v>Все дома</v>
      </c>
      <c r="D98" s="953">
        <v>8</v>
      </c>
      <c r="E98" s="202">
        <f>SUMIFS(Август2022365678[м2],Август2022365678[МОП],$A98,Август2022365678[№ дома],$C$95)</f>
        <v>473.10000000000014</v>
      </c>
      <c r="F98" s="954">
        <f>SUMIFS(Август2022365678[сумма без отделки],Август2022365678[МОП],$A98,Август2022365678[№ дома],$C$95)</f>
        <v>34790035.190000005</v>
      </c>
      <c r="G98" s="955">
        <f>COUNTIFS(Август2022365678[МОП],$A98,Август2022365678[№ дома],$C$95)</f>
        <v>9</v>
      </c>
      <c r="H98" s="148">
        <f>SUMIFS(РД[S],РД[Дом],$C$95,РД[МОП],A98,РД[Дата подачи на регистрацию],"&lt;="&amp;$A$1,РД[Дата подачи на регистрацию],"&gt;="&amp;DATE(YEAR($A$1),MONTH($A$1),1))</f>
        <v>473.1</v>
      </c>
      <c r="I98" s="149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регистрацию],"&gt;="&amp;DATE(YEAR($A$1),MONTH($A$1),1))</f>
        <v>34575470.970000006</v>
      </c>
      <c r="J98" s="220">
        <f>COUNTIFS(РД[Дом],$C$95,РД[МОП],A98,РД[Дата подачи на регистрацию],"&lt;="&amp;$A$1,РД[Дата подачи на регистрацию],"&gt;="&amp;DATE(YEAR($A$1),MONTH($A$1),1))</f>
        <v>9</v>
      </c>
      <c r="K98" s="987" t="str">
        <f t="shared" si="6"/>
        <v/>
      </c>
      <c r="L98" s="988" t="str">
        <f t="shared" si="6"/>
        <v/>
      </c>
      <c r="M98" s="202">
        <f>COUNTIFS(РД[Тип кв],M$85,РД[МОП],$A98,РД[Дом],$C$95,РД[Дата подачи на регистрацию],"&lt;="&amp;$A$1,РД[Дата подачи на регистрацию],"&gt;="&amp;DATE(YEAR($A$1),MONTH($A$1),1))</f>
        <v>2</v>
      </c>
      <c r="N98" s="226">
        <f>COUNTIFS(РД[Тип кв],N$85,РД[МОП],$A98,РД[Дом],$C$95,РД[Дата подачи на регистрацию],"&lt;="&amp;$A$1,РД[Дата подачи на регистрацию],"&gt;="&amp;DATE(YEAR($A$1),MONTH($A$1),1))</f>
        <v>1</v>
      </c>
      <c r="O98" s="226">
        <f>COUNTIFS(РД[Тип кв],O$85,РД[МОП],$A98,РД[Дом],$C$95,РД[Дата подачи на регистрацию],"&lt;="&amp;$A$1,РД[Дата подачи на регистрацию],"&gt;="&amp;DATE(YEAR($A$1),MONTH($A$1),1))</f>
        <v>4</v>
      </c>
      <c r="P98" s="226">
        <f>COUNTIFS(РД[Тип кв],P$85,РД[МОП],$A98,РД[Дом],$C$95,РД[Дата подачи на регистрацию],"&lt;="&amp;$A$1,РД[Дата подачи на регистрацию],"&gt;="&amp;DATE(YEAR($A$1),MONTH($A$1),1))</f>
        <v>2</v>
      </c>
      <c r="Q98" s="227">
        <f>COUNTIFS(РД[Тип кв],Q$85,РД[МОП],$A98,РД[Дом],$C$95,РД[Дата подачи на регистрацию],"&lt;="&amp;$A$1,РД[Дата подачи на регистрацию],"&gt;="&amp;DATE(YEAR($A$1),MONTH($A$1),1))</f>
        <v>0</v>
      </c>
      <c r="R98" s="949"/>
      <c r="S98" s="949"/>
      <c r="T98" s="949"/>
    </row>
    <row r="99" spans="1:21">
      <c r="A99" s="956" t="s">
        <v>1233</v>
      </c>
      <c r="B99" s="937" t="str">
        <f>'Индивидуальный план'!G30</f>
        <v>План м2</v>
      </c>
      <c r="C99" s="937" t="str">
        <f>'Индивидуальный план'!H30</f>
        <v>План руб</v>
      </c>
      <c r="D99" s="957">
        <v>8</v>
      </c>
      <c r="E99" s="358">
        <f>SUMIFS(Август2022365678[м2],Август2022365678[МОП],$A99,Август2022365678[№ дома],$C$95)</f>
        <v>300.26</v>
      </c>
      <c r="F99" s="958">
        <f>SUMIFS(Август2022365678[сумма без отделки],Август2022365678[МОП],$A99,Август2022365678[№ дома],$C$95)</f>
        <v>22997754.649999999</v>
      </c>
      <c r="G99" s="959">
        <f>COUNTIFS(Август2022365678[МОП],$A99,Август2022365678[№ дома],$C$95)</f>
        <v>7</v>
      </c>
      <c r="H99" s="148">
        <f>SUMIFS(РД[S],РД[Дом],$C$95,РД[МОП],A99,РД[Дата подачи на регистрацию],"&lt;="&amp;$A$1,РД[Дата подачи на регистрацию],"&gt;="&amp;DATE(YEAR($A$1),MONTH($A$1),1))</f>
        <v>300.26</v>
      </c>
      <c r="I99" s="149">
        <f>SUMIFS(РД[Стоимость без отделки итог],РД[Дом],$C$95,РД[МОП],A99,РД[Дата подачи на регистрацию],"&lt;="&amp;$A$1,РД[Дата подачи на регистрацию],"&gt;="&amp;DATE(YEAR($A$1),MONTH($A$1),1))</f>
        <v>22764042.370000005</v>
      </c>
      <c r="J99" s="220">
        <f>COUNTIFS(РД[Дом],$C$95,РД[МОП],A99,РД[Дата подачи на регистрацию],"&lt;="&amp;$A$1,РД[Дата подачи на регистрацию],"&gt;="&amp;DATE(YEAR($A$1),MONTH($A$1),1))</f>
        <v>7</v>
      </c>
      <c r="K99" s="987" t="str">
        <f t="shared" si="6"/>
        <v/>
      </c>
      <c r="L99" s="988" t="str">
        <f t="shared" si="6"/>
        <v/>
      </c>
      <c r="M99" s="195">
        <f>COUNTIFS(РД[Тип кв],M$85,РД[МОП],$A99,РД[Дом],$C$95,РД[Дата подачи на регистрацию],"&lt;="&amp;$A$1,РД[Дата подачи на регистрацию],"&gt;="&amp;DATE(YEAR($A$1),MONTH($A$1),1))</f>
        <v>3</v>
      </c>
      <c r="N99" s="251">
        <f>COUNTIFS(РД[Тип кв],N$85,РД[МОП],$A99,РД[Дом],$C$95,РД[Дата подачи на регистрацию],"&lt;="&amp;$A$1,РД[Дата подачи на регистрацию],"&gt;="&amp;DATE(YEAR($A$1),MONTH($A$1),1))</f>
        <v>1</v>
      </c>
      <c r="O99" s="251">
        <f>COUNTIFS(РД[Тип кв],O$85,РД[МОП],$A99,РД[Дом],$C$95,РД[Дата подачи на регистрацию],"&lt;="&amp;$A$1,РД[Дата подачи на регистрацию],"&gt;="&amp;DATE(YEAR($A$1),MONTH($A$1),1))</f>
        <v>2</v>
      </c>
      <c r="P99" s="251">
        <f>COUNTIFS(РД[Тип кв],P$85,РД[МОП],$A99,РД[Дом],$C$95,РД[Дата подачи на регистрацию],"&lt;="&amp;$A$1,РД[Дата подачи на регистрацию],"&gt;="&amp;DATE(YEAR($A$1),MONTH($A$1),1))</f>
        <v>1</v>
      </c>
      <c r="Q99" s="254">
        <f>COUNTIFS(РД[Тип кв],Q$85,РД[МОП],$A99,РД[Дом],$C$95,РД[Дата подачи на регистрацию],"&lt;="&amp;$A$1,РД[Дата подачи на регистрацию],"&gt;="&amp;DATE(YEAR($A$1),MONTH($A$1),1))</f>
        <v>0</v>
      </c>
      <c r="R99" s="949"/>
      <c r="S99" s="949"/>
      <c r="T99" s="949"/>
    </row>
    <row r="100" spans="1:21">
      <c r="A100" s="960" t="s">
        <v>114</v>
      </c>
      <c r="B100" s="961">
        <f>SUM(B97:B99)</f>
        <v>0</v>
      </c>
      <c r="C100" s="964">
        <f>SUM(C97:C99)</f>
        <v>0</v>
      </c>
      <c r="D100" s="962">
        <v>20</v>
      </c>
      <c r="E100" s="963">
        <f t="shared" ref="E100:J100" si="7">SUM(E97:E99)</f>
        <v>852.09000000000015</v>
      </c>
      <c r="F100" s="964">
        <f t="shared" si="7"/>
        <v>63157355.07</v>
      </c>
      <c r="G100" s="965">
        <f t="shared" si="7"/>
        <v>17</v>
      </c>
      <c r="H100" s="961">
        <f t="shared" si="7"/>
        <v>852.09</v>
      </c>
      <c r="I100" s="964">
        <f t="shared" si="7"/>
        <v>62709078.570000008</v>
      </c>
      <c r="J100" s="962">
        <f t="shared" si="7"/>
        <v>17</v>
      </c>
      <c r="K100" s="419">
        <f>IFERROR(H100/B100,)</f>
        <v>0</v>
      </c>
      <c r="L100" s="420">
        <f>IFERROR(I100/C100,)</f>
        <v>0</v>
      </c>
      <c r="M100" s="473">
        <f>SUM(M97:M99)</f>
        <v>5</v>
      </c>
      <c r="N100" s="494">
        <f>SUM(N97:N99)</f>
        <v>2</v>
      </c>
      <c r="O100" s="494">
        <f>SUM(O97:O99)</f>
        <v>6</v>
      </c>
      <c r="P100" s="989">
        <f>SUM(P97:P99)</f>
        <v>4</v>
      </c>
      <c r="Q100" s="497">
        <f>SUM(Q97:Q99)</f>
        <v>0</v>
      </c>
      <c r="R100" s="949"/>
      <c r="S100" s="949"/>
      <c r="T100" s="949"/>
    </row>
    <row r="101" spans="1:21" ht="25.5">
      <c r="A101" s="685" t="s">
        <v>115</v>
      </c>
      <c r="B101" s="723" t="s">
        <v>100</v>
      </c>
      <c r="C101" s="693" t="s">
        <v>97</v>
      </c>
      <c r="D101" s="724" t="s">
        <v>95</v>
      </c>
      <c r="E101" s="1022" t="s">
        <v>494</v>
      </c>
      <c r="F101" s="138" t="s">
        <v>495</v>
      </c>
      <c r="G101" s="139" t="s">
        <v>496</v>
      </c>
      <c r="H101" s="140" t="s">
        <v>101</v>
      </c>
      <c r="I101" s="141" t="s">
        <v>98</v>
      </c>
      <c r="J101" s="141" t="s">
        <v>96</v>
      </c>
      <c r="K101" s="495" t="s">
        <v>715</v>
      </c>
      <c r="L101" s="1027" t="s">
        <v>716</v>
      </c>
      <c r="M101" s="995">
        <v>0</v>
      </c>
      <c r="N101" s="996">
        <v>1</v>
      </c>
      <c r="O101" s="996">
        <v>2</v>
      </c>
      <c r="P101" s="996">
        <v>3</v>
      </c>
      <c r="Q101" s="1028">
        <v>4</v>
      </c>
      <c r="R101" s="949"/>
      <c r="S101" s="949"/>
      <c r="T101" s="949"/>
    </row>
    <row r="102" spans="1:21">
      <c r="A102" s="936" t="s">
        <v>16</v>
      </c>
      <c r="B102" s="937">
        <f>'Индивидуальный план'!G34</f>
        <v>1827</v>
      </c>
      <c r="C102" s="937">
        <f>'Индивидуальный план'!H34</f>
        <v>158108796.0704</v>
      </c>
      <c r="D102" s="417">
        <v>5</v>
      </c>
      <c r="E102" s="966">
        <f>SUMIFS(Август2022365678[м2],Август2022365678[ИМ],A102,Август2022365678[№ дома],$C$95)</f>
        <v>359.53999999999996</v>
      </c>
      <c r="F102" s="149">
        <f>SUMIFS(Август2022365678[сумма без отделки],Август2022365678[ИМ],$A102,Август2022365678[№ дома],$C$95)</f>
        <v>26748761.449999999</v>
      </c>
      <c r="G102" s="940">
        <f>COUNTIFS(Август2022365678[ИМ],$A102,Август2022365678[№ дома],$C$95)</f>
        <v>7</v>
      </c>
      <c r="H102" s="346">
        <f>SUMIFS(РД[S],РД[Дом],$C$95,РД[ИМ],A102,РД[Дата подачи на регистрацию],"&lt;="&amp;$A$1,РД[Дата подачи на регистрацию],"&gt;="&amp;DATE(YEAR($A$1),MONTH($A$1),1))</f>
        <v>359.54000000000008</v>
      </c>
      <c r="I102" s="184">
        <f>SUMIFS(РД[Стоимость без отделки итог],РД[Дом],$C$95,РД[ИМ],A102,РД[Дата подачи на регистрацию],"&lt;="&amp;$A$1,РД[Дата подачи на регистрацию],"&gt;="&amp;DATE(YEAR($A$1),MONTH($A$1),1))</f>
        <v>26748761.450000003</v>
      </c>
      <c r="J102" s="243">
        <f>COUNTIFS(РД[Дом],$C$95,РД[ИМ],A102,РД[Дата подачи на регистрацию],"&lt;="&amp;$A$1,РД[Дата подачи на регистрацию],"&gt;="&amp;DATE(YEAR($A$1),MONTH($A$1),1))</f>
        <v>7</v>
      </c>
      <c r="K102" s="990">
        <f>IFERROR(H102/B102,"")</f>
        <v>0.19679255610290097</v>
      </c>
      <c r="L102" s="991">
        <f>IFERROR(I102/C102,"")</f>
        <v>0.16917946448779339</v>
      </c>
      <c r="M102" s="183">
        <f>COUNTIFS(РД[Тип кв],M$85,РД[ИМ],$A102,РД[Дом],$C$95,РД[Дата подачи на регистрацию],"&lt;="&amp;$A$1,РД[Дата подачи на регистрацию],"&gt;="&amp;DATE(YEAR($A$1),MONTH($A$1),1))</f>
        <v>2</v>
      </c>
      <c r="N102" s="243">
        <f>COUNTIFS(РД[Тип кв],N$85,РД[ИМ],$A102,РД[Дом],$C$95,РД[Дата подачи на регистрацию],"&lt;="&amp;$A$1,РД[Дата подачи на регистрацию],"&gt;="&amp;DATE(YEAR($A$1),MONTH($A$1),1))</f>
        <v>1</v>
      </c>
      <c r="O102" s="243">
        <f>COUNTIFS(РД[Тип кв],O$85,РД[ИМ],$A102,РД[Дом],$C$95,РД[Дата подачи на регистрацию],"&lt;="&amp;$A$1,РД[Дата подачи на регистрацию],"&gt;="&amp;DATE(YEAR($A$1),MONTH($A$1),1))</f>
        <v>2</v>
      </c>
      <c r="P102" s="243">
        <f>COUNTIFS(РД[Тип кв],P$85,РД[ИМ],$A102,РД[Дом],$C$95,РД[Дата подачи на регистрацию],"&lt;="&amp;$A$1,РД[Дата подачи на регистрацию],"&gt;="&amp;DATE(YEAR($A$1),MONTH($A$1),1))</f>
        <v>2</v>
      </c>
      <c r="Q102" s="246">
        <f>COUNTIFS(РД[Тип кв],Q$85,РД[ИМ],$A102,РД[Дом],$C$95,РД[Дата подачи на регистрацию],"&lt;="&amp;$A$1,РД[Дата подачи на регистрацию],"&gt;="&amp;DATE(YEAR($A$1),MONTH($A$1),1))</f>
        <v>0</v>
      </c>
      <c r="R102" s="949"/>
      <c r="S102" s="949"/>
      <c r="T102" s="949"/>
    </row>
    <row r="103" spans="1:21">
      <c r="A103" s="956" t="s">
        <v>22</v>
      </c>
      <c r="B103" s="937">
        <f>'Индивидуальный план'!G35</f>
        <v>1511</v>
      </c>
      <c r="C103" s="937">
        <f>'Индивидуальный план'!H35</f>
        <v>131284288.21560001</v>
      </c>
      <c r="D103" s="518">
        <v>9</v>
      </c>
      <c r="E103" s="967">
        <f>SUMIFS(Август2022365678[м2],Август2022365678[ИМ],A103,Август2022365678[№ дома],$C$95)</f>
        <v>384.77000000000004</v>
      </c>
      <c r="F103" s="359">
        <f>SUMIFS(Август2022365678[сумма без отделки],Август2022365678[ИМ],$A103,Август2022365678[№ дома],$C$95)</f>
        <v>28164452.670000006</v>
      </c>
      <c r="G103" s="959">
        <f>COUNTIFS(Август2022365678[ИМ],$A103,Август2022365678[№ дома],$C$95)</f>
        <v>7</v>
      </c>
      <c r="H103" s="426">
        <f>SUMIFS(РД[S],РД[Дом],$C$95,РД[ИМ],A103,РД[Дата подачи на регистрацию],"&lt;="&amp;$A$1,РД[Дата подачи на регистрацию],"&gt;="&amp;DATE(YEAR($A$1),MONTH($A$1),1))</f>
        <v>384.77000000000004</v>
      </c>
      <c r="I103" s="196">
        <f>SUMIFS(РД[Стоимость без отделки итог],РД[Дом],$C$95,РД[ИМ],A103,РД[Дата подачи на регистрацию],"&lt;="&amp;$A$1,РД[Дата подачи на регистрацию],"&gt;="&amp;DATE(YEAR($A$1),MONTH($A$1),1))</f>
        <v>27716176.170000002</v>
      </c>
      <c r="J103" s="251">
        <f>COUNTIFS(РД[Дом],$C$95,РД[ИМ],A103,РД[Дата подачи на регистрацию],"&lt;="&amp;$A$1,РД[Дата подачи на регистрацию],"&gt;="&amp;DATE(YEAR($A$1),MONTH($A$1),1))</f>
        <v>7</v>
      </c>
      <c r="K103" s="992">
        <f>IFERROR(H103/B103,"")</f>
        <v>0.25464592984778295</v>
      </c>
      <c r="L103" s="993">
        <f>IFERROR(I103/C103,"")</f>
        <v>0.21111571343924607</v>
      </c>
      <c r="M103" s="358">
        <f>COUNTIFS(РД[Тип кв],M$85,РД[ИМ],$A103,РД[Дом],$C$95,РД[Дата подачи на регистрацию],"&lt;="&amp;$A$1,РД[Дата подачи на регистрацию],"&gt;="&amp;DATE(YEAR($A$1),MONTH($A$1),1))</f>
        <v>1</v>
      </c>
      <c r="N103" s="330">
        <f>COUNTIFS(РД[Тип кв],N$85,РД[ИМ],$A103,РД[Дом],$C$95,РД[Дата подачи на регистрацию],"&lt;="&amp;$A$1,РД[Дата подачи на регистрацию],"&gt;="&amp;DATE(YEAR($A$1),MONTH($A$1),1))</f>
        <v>1</v>
      </c>
      <c r="O103" s="330">
        <f>COUNTIFS(РД[Тип кв],O$85,РД[ИМ],$A103,РД[Дом],$C$95,РД[Дата подачи на регистрацию],"&lt;="&amp;$A$1,РД[Дата подачи на регистрацию],"&gt;="&amp;DATE(YEAR($A$1),MONTH($A$1),1))</f>
        <v>3</v>
      </c>
      <c r="P103" s="330">
        <f>COUNTIFS(РД[Тип кв],P$85,РД[ИМ],$A103,РД[Дом],$C$95,РД[Дата подачи на регистрацию],"&lt;="&amp;$A$1,РД[Дата подачи на регистрацию],"&gt;="&amp;DATE(YEAR($A$1),MONTH($A$1),1))</f>
        <v>2</v>
      </c>
      <c r="Q103" s="331">
        <f>COUNTIFS(РД[Тип кв],Q$85,РД[ИМ],$A103,РД[Дом],$C$95,РД[Дата подачи на регистрацию],"&lt;="&amp;$A$1,РД[Дата подачи на регистрацию],"&gt;="&amp;DATE(YEAR($A$1),MONTH($A$1),1))</f>
        <v>0</v>
      </c>
      <c r="R103" s="949"/>
      <c r="S103" s="949"/>
      <c r="T103" s="949"/>
    </row>
    <row r="104" spans="1:21">
      <c r="A104" s="409" t="s">
        <v>114</v>
      </c>
      <c r="B104" s="428">
        <f>SUM(B102:B103)</f>
        <v>3338</v>
      </c>
      <c r="C104" s="429">
        <f>SUM(C102:C103)</f>
        <v>289393084.28600001</v>
      </c>
      <c r="D104" s="485">
        <v>14</v>
      </c>
      <c r="E104" s="473">
        <f t="shared" ref="E104:J104" si="8">SUM(E102:E102)</f>
        <v>359.53999999999996</v>
      </c>
      <c r="F104" s="429">
        <f t="shared" si="8"/>
        <v>26748761.449999999</v>
      </c>
      <c r="G104" s="497">
        <f t="shared" si="8"/>
        <v>7</v>
      </c>
      <c r="H104" s="473">
        <f t="shared" si="8"/>
        <v>359.54000000000008</v>
      </c>
      <c r="I104" s="429">
        <f t="shared" si="8"/>
        <v>26748761.450000003</v>
      </c>
      <c r="J104" s="494">
        <f t="shared" si="8"/>
        <v>7</v>
      </c>
      <c r="K104" s="419">
        <f>IFERROR(H104/B104,)</f>
        <v>0.10771120431396047</v>
      </c>
      <c r="L104" s="420">
        <f>IFERROR(I104/C104,)</f>
        <v>9.2430548283471983E-2</v>
      </c>
      <c r="M104" s="473">
        <f>SUM(M102:M102)</f>
        <v>2</v>
      </c>
      <c r="N104" s="494">
        <f>SUM(N102:N102)</f>
        <v>1</v>
      </c>
      <c r="O104" s="494">
        <f>SUM(O102:O102)</f>
        <v>2</v>
      </c>
      <c r="P104" s="494">
        <f>SUM(P102:P102)</f>
        <v>2</v>
      </c>
      <c r="Q104" s="497">
        <f>SUM(Q102:Q102)</f>
        <v>0</v>
      </c>
      <c r="R104" s="949"/>
      <c r="S104" s="949"/>
      <c r="T104" s="949"/>
    </row>
    <row r="105" spans="1:21">
      <c r="A105" s="7"/>
      <c r="B105" s="968"/>
      <c r="C105" s="968"/>
      <c r="D105" s="969"/>
      <c r="E105" s="7"/>
      <c r="F105" s="7"/>
      <c r="G105" s="7"/>
      <c r="H105" s="134"/>
      <c r="I105" s="134"/>
      <c r="J105" s="134"/>
      <c r="K105" s="7"/>
      <c r="L105" s="994"/>
      <c r="M105" s="134"/>
      <c r="N105" s="134"/>
      <c r="O105" s="134"/>
      <c r="P105" s="262"/>
      <c r="Q105" s="134"/>
      <c r="R105" s="949"/>
      <c r="S105" s="949"/>
      <c r="T105" s="949"/>
    </row>
    <row r="106" spans="1:21">
      <c r="A106" s="2293" t="s">
        <v>713</v>
      </c>
      <c r="B106" s="2294"/>
      <c r="C106" s="972" t="s">
        <v>718</v>
      </c>
      <c r="D106" s="2295"/>
      <c r="E106" s="2296"/>
      <c r="F106" s="2296"/>
      <c r="G106" s="2296"/>
      <c r="H106" s="2296"/>
      <c r="I106" s="2296"/>
      <c r="J106" s="2296"/>
      <c r="K106" s="2296"/>
      <c r="L106" s="2296"/>
      <c r="M106" s="2296"/>
      <c r="N106" s="2296"/>
      <c r="O106" s="2296"/>
      <c r="P106" s="2296"/>
      <c r="Q106" s="7"/>
      <c r="R106" s="949"/>
      <c r="S106" s="949"/>
      <c r="T106" s="949"/>
    </row>
    <row r="107" spans="1:21" ht="25.5">
      <c r="A107" s="685" t="s">
        <v>1</v>
      </c>
      <c r="B107" s="723" t="s">
        <v>100</v>
      </c>
      <c r="C107" s="687" t="s">
        <v>97</v>
      </c>
      <c r="D107" s="724" t="s">
        <v>95</v>
      </c>
      <c r="E107" s="1022" t="s">
        <v>494</v>
      </c>
      <c r="F107" s="138" t="s">
        <v>495</v>
      </c>
      <c r="G107" s="139" t="s">
        <v>496</v>
      </c>
      <c r="H107" s="140" t="s">
        <v>101</v>
      </c>
      <c r="I107" s="141" t="s">
        <v>98</v>
      </c>
      <c r="J107" s="141" t="s">
        <v>96</v>
      </c>
      <c r="K107" s="141" t="s">
        <v>715</v>
      </c>
      <c r="L107" s="1026" t="s">
        <v>716</v>
      </c>
      <c r="M107" s="217">
        <v>0</v>
      </c>
      <c r="N107" s="218">
        <v>1</v>
      </c>
      <c r="O107" s="218">
        <v>2</v>
      </c>
      <c r="P107" s="218">
        <v>3</v>
      </c>
      <c r="Q107" s="219">
        <v>4</v>
      </c>
      <c r="R107" s="950"/>
      <c r="S107" s="950"/>
      <c r="T107" s="950"/>
      <c r="U107" s="951"/>
    </row>
    <row r="108" spans="1:21">
      <c r="A108" s="936" t="s">
        <v>73</v>
      </c>
      <c r="B108" s="937">
        <f>'Индивидуальный план'!G40</f>
        <v>5420</v>
      </c>
      <c r="C108" s="937">
        <f>'Индивидуальный план'!H40</f>
        <v>469787806.08599997</v>
      </c>
      <c r="D108" s="938">
        <v>5</v>
      </c>
      <c r="E108" s="148">
        <f t="shared" ref="E108:J110" si="9">E75+E86+E97</f>
        <v>101.82000000000001</v>
      </c>
      <c r="F108" s="939">
        <f t="shared" si="9"/>
        <v>7491300.7400000002</v>
      </c>
      <c r="G108" s="940">
        <f t="shared" si="9"/>
        <v>2</v>
      </c>
      <c r="H108" s="267">
        <f t="shared" si="9"/>
        <v>101.82000000000001</v>
      </c>
      <c r="I108" s="146">
        <f t="shared" si="9"/>
        <v>7491300.7400000002</v>
      </c>
      <c r="J108" s="220">
        <f t="shared" si="9"/>
        <v>2</v>
      </c>
      <c r="K108" s="943">
        <f t="shared" ref="K108:L110" si="10">IFERROR(H108/B108,"")</f>
        <v>1.8785977859778598E-2</v>
      </c>
      <c r="L108" s="944">
        <f t="shared" si="10"/>
        <v>1.5946137049433404E-2</v>
      </c>
      <c r="M108" s="1011">
        <f t="shared" ref="M108:Q110" si="11">M75+M86+M97</f>
        <v>1</v>
      </c>
      <c r="N108" s="1012">
        <f t="shared" si="11"/>
        <v>0</v>
      </c>
      <c r="O108" s="1012">
        <f t="shared" si="11"/>
        <v>0</v>
      </c>
      <c r="P108" s="1012">
        <f t="shared" si="11"/>
        <v>1</v>
      </c>
      <c r="Q108" s="876">
        <f t="shared" si="11"/>
        <v>0</v>
      </c>
      <c r="R108" s="949"/>
      <c r="S108" s="949"/>
      <c r="T108" s="949"/>
    </row>
    <row r="109" spans="1:21">
      <c r="A109" s="952" t="s">
        <v>77</v>
      </c>
      <c r="B109" s="937">
        <f>'Индивидуальный план'!G41</f>
        <v>0</v>
      </c>
      <c r="C109" s="937">
        <f>'Индивидуальный план'!H41</f>
        <v>0</v>
      </c>
      <c r="D109" s="953">
        <v>11</v>
      </c>
      <c r="E109" s="202">
        <f t="shared" si="9"/>
        <v>545.42000000000007</v>
      </c>
      <c r="F109" s="954">
        <f t="shared" si="9"/>
        <v>41604080.720000006</v>
      </c>
      <c r="G109" s="955">
        <f t="shared" si="9"/>
        <v>12</v>
      </c>
      <c r="H109" s="271">
        <f t="shared" si="9"/>
        <v>545.42000000000007</v>
      </c>
      <c r="I109" s="52">
        <f t="shared" si="9"/>
        <v>41389516.500000007</v>
      </c>
      <c r="J109" s="220">
        <f t="shared" si="9"/>
        <v>12</v>
      </c>
      <c r="K109" s="987" t="str">
        <f t="shared" si="10"/>
        <v/>
      </c>
      <c r="L109" s="988" t="str">
        <f t="shared" si="10"/>
        <v/>
      </c>
      <c r="M109" s="998">
        <f t="shared" si="11"/>
        <v>5</v>
      </c>
      <c r="N109" s="326">
        <f t="shared" si="11"/>
        <v>1</v>
      </c>
      <c r="O109" s="326">
        <f t="shared" si="11"/>
        <v>4</v>
      </c>
      <c r="P109" s="326">
        <f t="shared" si="11"/>
        <v>2</v>
      </c>
      <c r="Q109" s="327">
        <f t="shared" si="11"/>
        <v>0</v>
      </c>
      <c r="R109" s="949"/>
      <c r="S109" s="949"/>
      <c r="T109" s="949"/>
    </row>
    <row r="110" spans="1:21">
      <c r="A110" s="956" t="s">
        <v>1233</v>
      </c>
      <c r="B110" s="937">
        <f>'Индивидуальный план'!G42</f>
        <v>0</v>
      </c>
      <c r="C110" s="937">
        <f>'Индивидуальный план'!H42</f>
        <v>0</v>
      </c>
      <c r="D110" s="957">
        <v>11</v>
      </c>
      <c r="E110" s="358">
        <f t="shared" si="9"/>
        <v>337.95</v>
      </c>
      <c r="F110" s="958">
        <f t="shared" si="9"/>
        <v>26639328.68</v>
      </c>
      <c r="G110" s="959">
        <f t="shared" si="9"/>
        <v>8</v>
      </c>
      <c r="H110" s="271">
        <f t="shared" si="9"/>
        <v>600.84999999999991</v>
      </c>
      <c r="I110" s="52">
        <f t="shared" si="9"/>
        <v>50247316.400000006</v>
      </c>
      <c r="J110" s="220">
        <f t="shared" si="9"/>
        <v>10</v>
      </c>
      <c r="K110" s="987" t="str">
        <f t="shared" si="10"/>
        <v/>
      </c>
      <c r="L110" s="988" t="str">
        <f t="shared" si="10"/>
        <v/>
      </c>
      <c r="M110" s="999">
        <f t="shared" si="11"/>
        <v>3</v>
      </c>
      <c r="N110" s="365">
        <f t="shared" si="11"/>
        <v>2</v>
      </c>
      <c r="O110" s="365">
        <f t="shared" si="11"/>
        <v>2</v>
      </c>
      <c r="P110" s="365">
        <f t="shared" si="11"/>
        <v>1</v>
      </c>
      <c r="Q110" s="366">
        <f t="shared" si="11"/>
        <v>0</v>
      </c>
      <c r="R110" s="949"/>
      <c r="S110" s="949"/>
      <c r="T110" s="949"/>
    </row>
    <row r="111" spans="1:21">
      <c r="A111" s="960" t="s">
        <v>114</v>
      </c>
      <c r="B111" s="961">
        <f>SUM(B108:B110)</f>
        <v>5420</v>
      </c>
      <c r="C111" s="964">
        <f>SUM(C108:C110)</f>
        <v>469787806.08599997</v>
      </c>
      <c r="D111" s="962">
        <v>27</v>
      </c>
      <c r="E111" s="963">
        <f t="shared" ref="E111:J111" si="12">SUM(E108:E110)</f>
        <v>985.19</v>
      </c>
      <c r="F111" s="964">
        <f t="shared" si="12"/>
        <v>75734710.140000015</v>
      </c>
      <c r="G111" s="965">
        <f t="shared" si="12"/>
        <v>22</v>
      </c>
      <c r="H111" s="961">
        <f t="shared" si="12"/>
        <v>1248.0900000000001</v>
      </c>
      <c r="I111" s="964">
        <f t="shared" si="12"/>
        <v>99128133.640000015</v>
      </c>
      <c r="J111" s="962">
        <f t="shared" si="12"/>
        <v>24</v>
      </c>
      <c r="K111" s="419">
        <f>IFERROR(H111/B111,)</f>
        <v>0.23027490774907752</v>
      </c>
      <c r="L111" s="420">
        <f>IFERROR(I111/C111,)</f>
        <v>0.21100618695465564</v>
      </c>
      <c r="M111" s="473">
        <f>SUM(M108:M110)</f>
        <v>9</v>
      </c>
      <c r="N111" s="494">
        <f>SUM(N108:N110)</f>
        <v>3</v>
      </c>
      <c r="O111" s="494">
        <f>SUM(O108:O110)</f>
        <v>6</v>
      </c>
      <c r="P111" s="989">
        <f>SUM(P108:P110)</f>
        <v>4</v>
      </c>
      <c r="Q111" s="497">
        <f>SUM(Q108:Q110)</f>
        <v>0</v>
      </c>
      <c r="R111" s="949"/>
      <c r="S111" s="949"/>
      <c r="T111" s="949"/>
    </row>
    <row r="112" spans="1:21" ht="25.5">
      <c r="A112" s="685" t="s">
        <v>115</v>
      </c>
      <c r="B112" s="723" t="s">
        <v>100</v>
      </c>
      <c r="C112" s="693" t="s">
        <v>97</v>
      </c>
      <c r="D112" s="724" t="s">
        <v>95</v>
      </c>
      <c r="E112" s="1022" t="s">
        <v>494</v>
      </c>
      <c r="F112" s="138" t="s">
        <v>495</v>
      </c>
      <c r="G112" s="139" t="s">
        <v>496</v>
      </c>
      <c r="H112" s="980" t="s">
        <v>101</v>
      </c>
      <c r="I112" s="141" t="s">
        <v>98</v>
      </c>
      <c r="J112" s="141" t="s">
        <v>96</v>
      </c>
      <c r="K112" s="141" t="s">
        <v>715</v>
      </c>
      <c r="L112" s="1026" t="s">
        <v>716</v>
      </c>
      <c r="M112" s="217">
        <v>0</v>
      </c>
      <c r="N112" s="218">
        <v>1</v>
      </c>
      <c r="O112" s="218">
        <v>2</v>
      </c>
      <c r="P112" s="218">
        <v>3</v>
      </c>
      <c r="Q112" s="219">
        <v>4</v>
      </c>
      <c r="R112" s="950"/>
      <c r="S112" s="950"/>
      <c r="T112" s="950"/>
      <c r="U112" s="951"/>
    </row>
    <row r="113" spans="1:22">
      <c r="A113" s="936" t="s">
        <v>16</v>
      </c>
      <c r="B113" s="937" t="e">
        <f>'Индивидуальный план'!#REF!</f>
        <v>#REF!</v>
      </c>
      <c r="C113" s="937" t="e">
        <f>'Индивидуальный план'!#REF!</f>
        <v>#REF!</v>
      </c>
      <c r="D113" s="417">
        <v>7</v>
      </c>
      <c r="E113" s="966">
        <f t="shared" ref="E113:J114" si="13">E80+E91+E102</f>
        <v>408.31999999999994</v>
      </c>
      <c r="F113" s="149">
        <f t="shared" si="13"/>
        <v>31219058.379999999</v>
      </c>
      <c r="G113" s="940">
        <f t="shared" si="13"/>
        <v>9</v>
      </c>
      <c r="H113" s="346">
        <f t="shared" si="13"/>
        <v>408.32000000000005</v>
      </c>
      <c r="I113" s="184">
        <f t="shared" si="13"/>
        <v>31219058.380000003</v>
      </c>
      <c r="J113" s="243">
        <f t="shared" si="13"/>
        <v>9</v>
      </c>
      <c r="K113" s="990" t="str">
        <f>IFERROR(H113/B113,"")</f>
        <v/>
      </c>
      <c r="L113" s="991" t="str">
        <f>IFERROR(I113/C113,"")</f>
        <v/>
      </c>
      <c r="M113" s="183">
        <f t="shared" ref="M113:Q114" si="14">M80+M91</f>
        <v>2</v>
      </c>
      <c r="N113" s="243">
        <f t="shared" si="14"/>
        <v>0</v>
      </c>
      <c r="O113" s="243">
        <f t="shared" si="14"/>
        <v>0</v>
      </c>
      <c r="P113" s="243">
        <f t="shared" si="14"/>
        <v>0</v>
      </c>
      <c r="Q113" s="246">
        <f t="shared" si="14"/>
        <v>0</v>
      </c>
      <c r="R113" s="949"/>
      <c r="S113" s="949"/>
      <c r="T113" s="949"/>
    </row>
    <row r="114" spans="1:22">
      <c r="A114" s="956" t="s">
        <v>22</v>
      </c>
      <c r="B114" s="937">
        <f>'Индивидуальный план'!G45</f>
        <v>0</v>
      </c>
      <c r="C114" s="937">
        <f>'Индивидуальный план'!H45</f>
        <v>0</v>
      </c>
      <c r="D114" s="518">
        <v>11</v>
      </c>
      <c r="E114" s="967">
        <f t="shared" si="13"/>
        <v>431.40000000000003</v>
      </c>
      <c r="F114" s="359">
        <f t="shared" si="13"/>
        <v>32629936.780000005</v>
      </c>
      <c r="G114" s="959">
        <f t="shared" si="13"/>
        <v>9</v>
      </c>
      <c r="H114" s="426">
        <f t="shared" si="13"/>
        <v>431.40000000000003</v>
      </c>
      <c r="I114" s="196">
        <f t="shared" si="13"/>
        <v>32181660.280000001</v>
      </c>
      <c r="J114" s="251">
        <f t="shared" si="13"/>
        <v>9</v>
      </c>
      <c r="K114" s="992" t="str">
        <f>IFERROR(H114/B114,"")</f>
        <v/>
      </c>
      <c r="L114" s="993" t="str">
        <f>IFERROR(I114/C114,"")</f>
        <v/>
      </c>
      <c r="M114" s="195">
        <f t="shared" si="14"/>
        <v>2</v>
      </c>
      <c r="N114" s="251">
        <f t="shared" si="14"/>
        <v>0</v>
      </c>
      <c r="O114" s="251">
        <f t="shared" si="14"/>
        <v>0</v>
      </c>
      <c r="P114" s="251">
        <f t="shared" si="14"/>
        <v>0</v>
      </c>
      <c r="Q114" s="254">
        <f t="shared" si="14"/>
        <v>0</v>
      </c>
      <c r="R114" s="949"/>
      <c r="S114" s="949"/>
      <c r="T114" s="949"/>
    </row>
    <row r="115" spans="1:22">
      <c r="A115" s="409" t="s">
        <v>114</v>
      </c>
      <c r="B115" s="428" t="e">
        <f>SUM(B113:B114)</f>
        <v>#REF!</v>
      </c>
      <c r="C115" s="429" t="e">
        <f>SUM(C113:C114)</f>
        <v>#REF!</v>
      </c>
      <c r="D115" s="485">
        <v>18</v>
      </c>
      <c r="E115" s="473">
        <f t="shared" ref="E115:J115" si="15">SUM(E113:E113)</f>
        <v>408.31999999999994</v>
      </c>
      <c r="F115" s="429">
        <f t="shared" si="15"/>
        <v>31219058.379999999</v>
      </c>
      <c r="G115" s="497">
        <f t="shared" si="15"/>
        <v>9</v>
      </c>
      <c r="H115" s="484">
        <f t="shared" si="15"/>
        <v>408.32000000000005</v>
      </c>
      <c r="I115" s="494">
        <f t="shared" si="15"/>
        <v>31219058.380000003</v>
      </c>
      <c r="J115" s="494">
        <f t="shared" si="15"/>
        <v>9</v>
      </c>
      <c r="K115" s="419">
        <f>IFERROR(H115/B115,)</f>
        <v>0</v>
      </c>
      <c r="L115" s="507">
        <f>IFERROR(I115/C115,)</f>
        <v>0</v>
      </c>
      <c r="M115" s="317">
        <f>SUM(M113:M113)</f>
        <v>2</v>
      </c>
      <c r="N115" s="917">
        <f>SUM(N113:N113)</f>
        <v>0</v>
      </c>
      <c r="O115" s="917">
        <f>SUM(O113:O113)</f>
        <v>0</v>
      </c>
      <c r="P115" s="917">
        <f>SUM(P113:P113)</f>
        <v>0</v>
      </c>
      <c r="Q115" s="928">
        <f>SUM(Q113:Q113)</f>
        <v>0</v>
      </c>
      <c r="R115" s="949"/>
      <c r="S115" s="949"/>
      <c r="T115" s="949"/>
    </row>
    <row r="116" spans="1:22">
      <c r="A116" s="65"/>
      <c r="B116" s="65"/>
      <c r="C116" s="65"/>
      <c r="D116" s="65"/>
      <c r="E116" s="65"/>
      <c r="F116" s="949"/>
      <c r="G116" s="65"/>
      <c r="H116" s="65"/>
      <c r="I116" s="949"/>
      <c r="J116" s="65"/>
      <c r="K116" s="65"/>
      <c r="L116" s="65"/>
      <c r="M116" s="949"/>
      <c r="N116" s="65"/>
      <c r="O116" s="949"/>
      <c r="P116" s="949"/>
      <c r="Q116" s="86"/>
      <c r="R116" s="949"/>
      <c r="S116" s="949"/>
      <c r="T116" s="949"/>
    </row>
    <row r="117" spans="1:22">
      <c r="A117" s="2301" t="s">
        <v>945</v>
      </c>
      <c r="B117" s="2302"/>
      <c r="C117" s="2302"/>
      <c r="D117" s="2302"/>
      <c r="E117" s="2302"/>
      <c r="F117" s="2302"/>
      <c r="G117" s="2302"/>
      <c r="H117" s="2303"/>
      <c r="I117" s="2303"/>
      <c r="J117" s="2303"/>
      <c r="K117" s="2303"/>
      <c r="L117" s="2303"/>
      <c r="M117" s="2303"/>
      <c r="N117" s="2304"/>
      <c r="O117" s="949"/>
      <c r="P117" s="949"/>
      <c r="Q117" s="86"/>
      <c r="R117" s="949"/>
      <c r="S117" s="949"/>
      <c r="T117" s="949"/>
    </row>
    <row r="118" spans="1:22" ht="25.5">
      <c r="A118" s="685" t="s">
        <v>1</v>
      </c>
      <c r="B118" s="723" t="s">
        <v>101</v>
      </c>
      <c r="C118" s="724" t="s">
        <v>98</v>
      </c>
      <c r="D118" s="688" t="s">
        <v>96</v>
      </c>
      <c r="E118" s="1022" t="s">
        <v>494</v>
      </c>
      <c r="F118" s="138" t="s">
        <v>495</v>
      </c>
      <c r="G118" s="296" t="s">
        <v>496</v>
      </c>
      <c r="H118" s="140" t="s">
        <v>946</v>
      </c>
      <c r="I118" s="141" t="s">
        <v>947</v>
      </c>
      <c r="J118" s="217">
        <v>0</v>
      </c>
      <c r="K118" s="218">
        <v>1</v>
      </c>
      <c r="L118" s="218">
        <v>2</v>
      </c>
      <c r="M118" s="218">
        <v>3</v>
      </c>
      <c r="N118" s="219">
        <v>4</v>
      </c>
      <c r="O118" s="949"/>
      <c r="P118" s="949"/>
      <c r="Q118" s="86"/>
      <c r="R118" s="949"/>
      <c r="S118" s="949"/>
      <c r="T118" s="949"/>
    </row>
    <row r="119" spans="1:22">
      <c r="A119" s="985" t="s">
        <v>73</v>
      </c>
      <c r="B119" s="29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9" s="292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9" s="694">
        <f>COUNTIFS(РД[МОП],A119,РД[Дата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9" s="1015"/>
      <c r="F119" s="292"/>
      <c r="G119" s="720"/>
      <c r="H119" s="29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879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183">
        <f>COUNTIFS(РД[Тип кв],J$118,РД[МОП],$A119,РД[Дата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243">
        <f>COUNTIFS(РД[Тип кв],K$118,РД[МОП],$A119,РД[Дата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243">
        <f>COUNTIFS(РД[Тип кв],L$118,РД[МОП],$A119,РД[Дата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243">
        <f>COUNTIFS(РД[Тип кв],M$118,РД[МОП],$A119,РД[Дата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246">
        <f>COUNTIFS(РД[Тип кв],N$118,РД[МОП],$A119,РД[Дата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T119" s="949"/>
    </row>
    <row r="120" spans="1:22" s="930" customFormat="1">
      <c r="A120" s="981" t="s">
        <v>77</v>
      </c>
      <c r="B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0" s="52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0" s="717">
        <f>COUNTIFS(РД[МОП],A120,РД[Дата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0" s="416"/>
      <c r="F120" s="52"/>
      <c r="G120" s="421"/>
      <c r="H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0" s="546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0" s="202">
        <f>COUNTIFS(РД[Тип кв],J$118,РД[МОП],$A120,РД[Дата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0" s="226">
        <f>COUNTIFS(РД[Тип кв],K$118,РД[МОП],$A120,РД[Дата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0" s="226">
        <f>COUNTIFS(РД[Тип кв],L$118,РД[МОП],$A120,РД[Дата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0" s="226">
        <f>COUNTIFS(РД[Тип кв],M$118,РД[МОП],$A120,РД[Дата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0" s="227">
        <f>COUNTIFS(РД[Тип кв],N$118,РД[МОП],$A120,РД[Дата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0" s="949"/>
      <c r="P120" s="949"/>
      <c r="Q120" s="86"/>
      <c r="R120" s="949"/>
      <c r="S120" s="949"/>
      <c r="T120" s="949"/>
      <c r="V120" s="931"/>
    </row>
    <row r="121" spans="1:22" s="930" customFormat="1">
      <c r="A121" s="981" t="s">
        <v>1233</v>
      </c>
      <c r="B121" s="271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1" s="52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1" s="717">
        <f>COUNTIFS(РД[МОП],A121,РД[Дата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1" s="416"/>
      <c r="F121" s="52"/>
      <c r="G121" s="421"/>
      <c r="H121" s="271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1" s="546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1" s="202">
        <f>COUNTIFS(РД[Тип кв],J$118,РД[МОП],$A121,РД[Дата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1" s="226">
        <f>COUNTIFS(РД[Тип кв],K$118,РД[МОП],$A121,РД[Дата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1" s="226">
        <f>COUNTIFS(РД[Тип кв],L$118,РД[МОП],$A121,РД[Дата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1" s="226">
        <f>COUNTIFS(РД[Тип кв],M$118,РД[МОП],$A121,РД[Дата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1" s="227">
        <f>COUNTIFS(РД[Тип кв],N$118,РД[МОП],$A121,РД[Дата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1" s="949"/>
      <c r="P121" s="949"/>
      <c r="Q121" s="86"/>
      <c r="R121" s="949"/>
      <c r="S121" s="949"/>
      <c r="T121" s="949"/>
      <c r="V121" s="931"/>
    </row>
    <row r="122" spans="1:22" s="930" customFormat="1">
      <c r="A122" s="982" t="s">
        <v>29</v>
      </c>
      <c r="B122" s="516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2" s="554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2" s="695">
        <f>COUNTIFS(РД[МОП],A122,РД[Дата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2" s="329">
        <f>SUMIFS(Август2022365678[м2],Август2022365678[МОП],$A122,Август2022365678[№ дома],$C$84)</f>
        <v>0</v>
      </c>
      <c r="F122" s="958">
        <f>SUMIFS(Август2022365678[сумма без отделки],Август2022365678[МОП],$A122,Август2022365678[№ дома],$C$84)</f>
        <v>0</v>
      </c>
      <c r="G122" s="959">
        <f>COUNTIFS(Август2022365678[МОП],$A122,Август2022365678[№ дома],$C$84)</f>
        <v>0</v>
      </c>
      <c r="H122" s="516">
        <f>SUMIFS(РД[S],РД[МОП],A122,РД[Дата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2" s="1002">
        <f>SUMIFS(РД[Стоимость без отделки итог],РД[МОП],A122,РД[Дата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2" s="195">
        <f>COUNTIFS(РД[Тип кв],J$118,РД[МОП],$A122,РД[Дата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2" s="251">
        <f>COUNTIFS(РД[Тип кв],K$118,РД[МОП],$A122,РД[Дата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2" s="251">
        <f>COUNTIFS(РД[Тип кв],L$118,РД[МОП],$A122,РД[Дата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2" s="251">
        <f>COUNTIFS(РД[Тип кв],M$118,РД[МОП],$A122,РД[Дата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2" s="254">
        <f>COUNTIFS(РД[Тип кв],N$118,РД[МОП],$A122,РД[Дата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2" s="949"/>
      <c r="P122" s="949"/>
      <c r="Q122" s="86"/>
      <c r="R122" s="949"/>
      <c r="S122" s="949"/>
      <c r="T122" s="949"/>
      <c r="V122" s="931"/>
    </row>
    <row r="123" spans="1:22" s="930" customFormat="1">
      <c r="A123" s="984" t="s">
        <v>114</v>
      </c>
      <c r="B123" s="323">
        <f t="shared" ref="B123:N123" si="16">SUM(B119:B122)</f>
        <v>0</v>
      </c>
      <c r="C123" s="429">
        <f t="shared" si="16"/>
        <v>0</v>
      </c>
      <c r="D123" s="319">
        <f t="shared" si="16"/>
        <v>0</v>
      </c>
      <c r="E123" s="428">
        <f t="shared" si="16"/>
        <v>0</v>
      </c>
      <c r="F123" s="429">
        <f t="shared" si="16"/>
        <v>0</v>
      </c>
      <c r="G123" s="322">
        <f t="shared" si="16"/>
        <v>0</v>
      </c>
      <c r="H123" s="323">
        <f t="shared" si="16"/>
        <v>0</v>
      </c>
      <c r="I123" s="324">
        <f t="shared" si="16"/>
        <v>0</v>
      </c>
      <c r="J123" s="284">
        <f t="shared" si="16"/>
        <v>0</v>
      </c>
      <c r="K123" s="285">
        <f t="shared" si="16"/>
        <v>0</v>
      </c>
      <c r="L123" s="285">
        <f t="shared" si="16"/>
        <v>0</v>
      </c>
      <c r="M123" s="285">
        <f t="shared" si="16"/>
        <v>0</v>
      </c>
      <c r="N123" s="305">
        <f t="shared" si="16"/>
        <v>0</v>
      </c>
      <c r="O123" s="949"/>
      <c r="P123" s="949"/>
      <c r="Q123" s="86"/>
      <c r="R123" s="949"/>
      <c r="S123" s="949"/>
      <c r="T123" s="949"/>
      <c r="V123" s="931"/>
    </row>
    <row r="124" spans="1:22" s="930" customFormat="1" ht="25.5">
      <c r="A124" s="725" t="s">
        <v>115</v>
      </c>
      <c r="B124" s="706" t="s">
        <v>101</v>
      </c>
      <c r="C124" s="726" t="s">
        <v>98</v>
      </c>
      <c r="D124" s="708" t="s">
        <v>96</v>
      </c>
      <c r="E124" s="1024" t="s">
        <v>494</v>
      </c>
      <c r="F124" s="487" t="s">
        <v>495</v>
      </c>
      <c r="G124" s="524" t="s">
        <v>496</v>
      </c>
      <c r="H124" s="489" t="s">
        <v>946</v>
      </c>
      <c r="I124" s="525" t="s">
        <v>947</v>
      </c>
      <c r="J124" s="217">
        <v>0</v>
      </c>
      <c r="K124" s="218">
        <v>1</v>
      </c>
      <c r="L124" s="218">
        <v>2</v>
      </c>
      <c r="M124" s="218">
        <v>3</v>
      </c>
      <c r="N124" s="219">
        <v>4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985" t="s">
        <v>16</v>
      </c>
      <c r="B125" s="291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5" s="292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5" s="694">
        <f>COUNTIFS(РД[ИМ],A125,РД[Дата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5" s="551"/>
      <c r="F125" s="292"/>
      <c r="G125" s="552"/>
      <c r="H125" s="291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5" s="312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5" s="346">
        <f>COUNTIFS(РД[Тип кв],J$118,РД[ИМ],$A125,РД[Дата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5" s="243">
        <f>COUNTIFS(РД[Тип кв],K$118,РД[ИМ],$A125,РД[Дата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5" s="243">
        <f>COUNTIFS(РД[Тип кв],L$118,РД[ИМ],$A125,РД[Дата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5" s="243">
        <f>COUNTIFS(РД[Тип кв],M$118,РД[ИМ],$A125,РД[Дата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5" s="246">
        <f>COUNTIFS(РД[Тип кв],N$118,РД[ИМ],$A125,РД[Дата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5" s="949"/>
      <c r="P125" s="949"/>
      <c r="Q125" s="86"/>
      <c r="R125" s="949"/>
      <c r="S125" s="949"/>
      <c r="T125" s="949"/>
      <c r="V125" s="931"/>
    </row>
    <row r="126" spans="1:22" s="930" customFormat="1">
      <c r="A126" s="982" t="s">
        <v>22</v>
      </c>
      <c r="B126" s="516">
        <f>SUMIFS(РД[S],РД[ИМ],A126,РД[Дата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6" s="554">
        <f>SUMIFS(РД[Стоимость без отделки итог],РД[ИМ],A126,РД[Дата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6" s="695">
        <f>COUNTIFS(РД[ИМ],A126,РД[Дата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6" s="553"/>
      <c r="F126" s="554"/>
      <c r="G126" s="555"/>
      <c r="H126" s="516">
        <f>SUMIFS(РД[S],РД[ИМ],A126,РД[Дата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6" s="517">
        <f>SUMIFS(РД[Стоимость без отделки итог],РД[ИМ],A126,РД[Дата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6" s="426">
        <f>COUNTIFS(РД[Тип кв],J$118,РД[ИМ],$A126,РД[Дата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6" s="251">
        <f>COUNTIFS(РД[Тип кв],K$118,РД[ИМ],$A126,РД[Дата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6" s="251">
        <f>COUNTIFS(РД[Тип кв],L$118,РД[ИМ],$A126,РД[Дата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6" s="251">
        <f>COUNTIFS(РД[Тип кв],M$118,РД[ИМ],$A126,РД[Дата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6" s="254">
        <f>COUNTIFS(РД[Тип кв],N$118,РД[ИМ],$A126,РД[Дата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986" t="s">
        <v>114</v>
      </c>
      <c r="B127" s="282">
        <f>SUM(B125:B126)</f>
        <v>0</v>
      </c>
      <c r="C127" s="287">
        <f>SUM(C125:C126)</f>
        <v>0</v>
      </c>
      <c r="D127" s="711">
        <f>SUM(D125:D126)</f>
        <v>0</v>
      </c>
      <c r="E127" s="425">
        <f t="shared" ref="E127:N127" si="17">SUM(E125:E125)</f>
        <v>0</v>
      </c>
      <c r="F127" s="287">
        <f t="shared" si="17"/>
        <v>0</v>
      </c>
      <c r="G127" s="286">
        <f t="shared" si="17"/>
        <v>0</v>
      </c>
      <c r="H127" s="282">
        <f t="shared" si="17"/>
        <v>0</v>
      </c>
      <c r="I127" s="283">
        <f t="shared" si="17"/>
        <v>0</v>
      </c>
      <c r="J127" s="284">
        <f t="shared" si="17"/>
        <v>0</v>
      </c>
      <c r="K127" s="285">
        <f t="shared" si="17"/>
        <v>0</v>
      </c>
      <c r="L127" s="285">
        <f t="shared" si="17"/>
        <v>0</v>
      </c>
      <c r="M127" s="285">
        <f t="shared" si="17"/>
        <v>0</v>
      </c>
      <c r="N127" s="305">
        <f t="shared" si="17"/>
        <v>0</v>
      </c>
      <c r="O127" s="949"/>
      <c r="P127" s="949"/>
      <c r="Q127" s="86"/>
      <c r="R127" s="949"/>
      <c r="S127" s="949"/>
      <c r="T127" s="949"/>
      <c r="V127" s="931"/>
    </row>
    <row r="128" spans="1:22" s="930" customFormat="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T128" s="949"/>
      <c r="V128" s="931"/>
    </row>
    <row r="129" spans="1:22" s="930" customFormat="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T129" s="949"/>
      <c r="V129" s="931"/>
    </row>
    <row r="130" spans="1:22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T130" s="949"/>
      <c r="V130" s="931"/>
    </row>
    <row r="131" spans="1:22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T131" s="949"/>
      <c r="V131" s="931"/>
    </row>
    <row r="132" spans="1:22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T132" s="949"/>
      <c r="V132" s="931"/>
    </row>
    <row r="133" spans="1:22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T133" s="949"/>
      <c r="V133" s="931"/>
    </row>
    <row r="134" spans="1:22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T134" s="949"/>
      <c r="V134" s="931"/>
    </row>
    <row r="135" spans="1:22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T135" s="949"/>
      <c r="V135" s="931"/>
    </row>
    <row r="136" spans="1:22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T136" s="949"/>
      <c r="V136" s="931"/>
    </row>
    <row r="137" spans="1:22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V254" s="931"/>
    </row>
    <row r="255" spans="1:22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T255" s="949"/>
      <c r="V255" s="931"/>
    </row>
    <row r="256" spans="1:22" s="930" customFormat="1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T256" s="949"/>
      <c r="V256" s="931"/>
    </row>
    <row r="257" spans="1:22" s="930" customFormat="1">
      <c r="A257" s="931"/>
      <c r="B257" s="931"/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  <c r="M257" s="931"/>
      <c r="N257" s="931"/>
      <c r="O257" s="931"/>
      <c r="P257" s="931"/>
      <c r="Q257" s="931"/>
      <c r="R257" s="931"/>
      <c r="S257" s="931"/>
      <c r="T257" s="931"/>
      <c r="V257" s="931"/>
    </row>
    <row r="258" spans="1:22" s="930" customFormat="1">
      <c r="A258" s="931"/>
      <c r="B258" s="931"/>
      <c r="C258" s="931"/>
      <c r="D258" s="931"/>
      <c r="E258" s="931"/>
      <c r="F258" s="931"/>
      <c r="G258" s="931"/>
      <c r="H258" s="931"/>
      <c r="I258" s="931"/>
      <c r="J258" s="931"/>
      <c r="K258" s="931"/>
      <c r="L258" s="931"/>
      <c r="M258" s="931"/>
      <c r="N258" s="931"/>
      <c r="O258" s="931"/>
      <c r="P258" s="931"/>
      <c r="Q258" s="931"/>
      <c r="R258" s="931"/>
      <c r="S258" s="931"/>
      <c r="T258" s="931"/>
      <c r="V258" s="931"/>
    </row>
  </sheetData>
  <sheetProtection formatCells="0" formatColumns="0" formatRows="0" sort="0" autoFilter="0" pivotTables="0"/>
  <mergeCells count="10">
    <mergeCell ref="A1:S1"/>
    <mergeCell ref="A73:B73"/>
    <mergeCell ref="D73:P73"/>
    <mergeCell ref="A84:B84"/>
    <mergeCell ref="D84:P84"/>
    <mergeCell ref="A95:B95"/>
    <mergeCell ref="D95:P95"/>
    <mergeCell ref="A106:B106"/>
    <mergeCell ref="D106:P106"/>
    <mergeCell ref="A117:N117"/>
  </mergeCells>
  <dataValidations count="1">
    <dataValidation allowBlank="1" showInputMessage="1" showErrorMessage="1" errorTitle="Ошибка" error="Убрать пробелы!" sqref="I3:I71" xr:uid="{00000000-0002-0000-1A00-000000000000}"/>
  </dataValidations>
  <pageMargins left="0.25" right="0.25" top="0.75" bottom="0.75" header="0.3" footer="0.3"/>
  <pageSetup paperSize="9" scale="28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A00-000001000000}">
          <x14:formula1>
            <xm:f>Списки!$C$3:$C$11</xm:f>
          </x14:formula1>
          <xm:sqref>D15 R32:T32 D17:D29 D31:D71 R17:R23 R28:T29 R34:T71 S16:T23</xm:sqref>
        </x14:dataValidation>
        <x14:dataValidation type="list" allowBlank="1" showInputMessage="1" showErrorMessage="1" xr:uid="{00000000-0002-0000-1A00-000002000000}">
          <x14:formula1>
            <xm:f>Списки!$C$3:$C$4</xm:f>
          </x14:formula1>
          <xm:sqref>D16 D30 R33:T33 D72 D3:D14 R3:R16 R30:T31 R24:T27 S3:T15</xm:sqref>
        </x14:dataValidation>
        <x14:dataValidation type="list" allowBlank="1" showInputMessage="1" showErrorMessage="1" xr:uid="{00000000-0002-0000-1A00-000003000000}">
          <x14:formula1>
            <xm:f>Списки!$D$2:$D$7</xm:f>
          </x14:formula1>
          <xm:sqref>F3:F42 F44:F72</xm:sqref>
        </x14:dataValidation>
        <x14:dataValidation type="list" allowBlank="1" showInputMessage="1" showErrorMessage="1" xr:uid="{00000000-0002-0000-1A00-000004000000}">
          <x14:formula1>
            <xm:f>Списки!$B$2:$B$5</xm:f>
          </x14:formula1>
          <xm:sqref>G3:G72</xm:sqref>
        </x14:dataValidation>
        <x14:dataValidation type="list" allowBlank="1" showInputMessage="1" showErrorMessage="1" xr:uid="{00000000-0002-0000-1A00-000005000000}">
          <x14:formula1>
            <xm:f>Списки!$E$2:$E$7</xm:f>
          </x14:formula1>
          <xm:sqref>H3:H72</xm:sqref>
        </x14:dataValidation>
        <x14:dataValidation type="list" allowBlank="1" showInputMessage="1" showErrorMessage="1" xr:uid="{00000000-0002-0000-1A00-000006000000}">
          <x14:formula1>
            <xm:f>Списки!$G$2:$G$3</xm:f>
          </x14:formula1>
          <xm:sqref>L3:L72</xm:sqref>
        </x14:dataValidation>
        <x14:dataValidation type="list" allowBlank="1" showInputMessage="1" showErrorMessage="1" xr:uid="{00000000-0002-0000-1A00-000007000000}">
          <x14:formula1>
            <xm:f>Списки!$F$2:$F$3</xm:f>
          </x14:formula1>
          <xm:sqref>N3:N72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V256"/>
  <sheetViews>
    <sheetView view="pageBreakPreview" zoomScale="80" zoomScaleNormal="85" workbookViewId="0">
      <pane ySplit="2" topLeftCell="A59" activePane="bottomLeft" state="frozen"/>
      <selection pane="bottomLeft" activeCell="G20" sqref="G20"/>
    </sheetView>
  </sheetViews>
  <sheetFormatPr defaultColWidth="12.28515625" defaultRowHeight="12.75" outlineLevelRow="1"/>
  <cols>
    <col min="1" max="1" width="12.42578125" style="931" customWidth="1"/>
    <col min="2" max="2" width="14.42578125" style="931" customWidth="1"/>
    <col min="3" max="3" width="14.85546875" style="931" customWidth="1"/>
    <col min="4" max="5" width="11.28515625" style="931" customWidth="1"/>
    <col min="6" max="7" width="13.85546875" style="931" customWidth="1"/>
    <col min="8" max="8" width="10" style="931" customWidth="1"/>
    <col min="9" max="9" width="14.42578125" style="931" customWidth="1"/>
    <col min="10" max="10" width="10.5703125" style="931" customWidth="1"/>
    <col min="11" max="11" width="17" style="931" customWidth="1"/>
    <col min="12" max="12" width="21.7109375" style="931" customWidth="1"/>
    <col min="13" max="13" width="17.7109375" style="931" customWidth="1"/>
    <col min="14" max="14" width="11.140625" style="931" customWidth="1"/>
    <col min="15" max="15" width="22.140625" style="931" customWidth="1"/>
    <col min="16" max="16" width="20.85546875" style="931" customWidth="1"/>
    <col min="17" max="17" width="30.85546875" style="931" customWidth="1"/>
    <col min="18" max="18" width="10.140625" style="931" customWidth="1"/>
    <col min="19" max="20" width="15.140625" style="931" customWidth="1"/>
    <col min="21" max="21" width="15.85546875" style="930" customWidth="1"/>
    <col min="22" max="22" width="1.7109375" style="931" customWidth="1"/>
    <col min="23" max="16384" width="12.28515625" style="931"/>
  </cols>
  <sheetData>
    <row r="1" spans="1:22" ht="15" customHeight="1">
      <c r="A1" s="2297">
        <v>44985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V1" s="931" t="s">
        <v>830</v>
      </c>
    </row>
    <row r="2" spans="1:22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70" t="s">
        <v>501</v>
      </c>
      <c r="U2" s="262" t="s">
        <v>578</v>
      </c>
    </row>
    <row r="3" spans="1:22" s="929" customFormat="1" ht="13.5" hidden="1" customHeight="1" outlineLevel="1">
      <c r="A3" s="62">
        <v>1</v>
      </c>
      <c r="B3" s="75">
        <v>467</v>
      </c>
      <c r="C3" s="75">
        <v>16573</v>
      </c>
      <c r="D3" s="117" t="s">
        <v>73</v>
      </c>
      <c r="E3" s="62">
        <v>74.28</v>
      </c>
      <c r="F3" s="945" t="s">
        <v>15</v>
      </c>
      <c r="G3" s="62" t="s">
        <v>7</v>
      </c>
      <c r="H3" s="62" t="s">
        <v>22</v>
      </c>
      <c r="I3" s="95">
        <v>5316707.5</v>
      </c>
      <c r="J3" s="62">
        <v>3</v>
      </c>
      <c r="K3" s="62" t="s">
        <v>65</v>
      </c>
      <c r="L3" s="62" t="s">
        <v>18</v>
      </c>
      <c r="M3" s="92">
        <v>44959</v>
      </c>
      <c r="N3" s="117" t="s">
        <v>17</v>
      </c>
      <c r="O3" s="62" t="s">
        <v>1320</v>
      </c>
      <c r="P3" s="76" t="s">
        <v>67</v>
      </c>
      <c r="Q3" s="76" t="s">
        <v>67</v>
      </c>
      <c r="R3" s="945" t="s">
        <v>73</v>
      </c>
      <c r="S3" s="945" t="s">
        <v>73</v>
      </c>
      <c r="T3" s="945"/>
      <c r="U3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5019587.5</v>
      </c>
      <c r="V3" s="931"/>
    </row>
    <row r="4" spans="1:22" s="929" customFormat="1" ht="26.25" hidden="1" customHeight="1" outlineLevel="1">
      <c r="A4" s="62">
        <v>2</v>
      </c>
      <c r="B4" s="75">
        <v>124</v>
      </c>
      <c r="C4" s="75">
        <v>23993</v>
      </c>
      <c r="D4" s="117" t="s">
        <v>73</v>
      </c>
      <c r="E4" s="62">
        <v>37.81</v>
      </c>
      <c r="F4" s="945" t="s">
        <v>15</v>
      </c>
      <c r="G4" s="62" t="s">
        <v>7</v>
      </c>
      <c r="H4" s="62" t="s">
        <v>84</v>
      </c>
      <c r="I4" s="91">
        <v>3269556.55</v>
      </c>
      <c r="J4" s="62">
        <v>1</v>
      </c>
      <c r="K4" s="62" t="s">
        <v>130</v>
      </c>
      <c r="L4" s="62" t="s">
        <v>18</v>
      </c>
      <c r="M4" s="537">
        <v>44967</v>
      </c>
      <c r="N4" s="117" t="s">
        <v>17</v>
      </c>
      <c r="O4" s="76" t="s">
        <v>1321</v>
      </c>
      <c r="P4" s="76" t="s">
        <v>67</v>
      </c>
      <c r="Q4" s="76" t="s">
        <v>67</v>
      </c>
      <c r="R4" s="941" t="s">
        <v>73</v>
      </c>
      <c r="S4" s="941" t="s">
        <v>73</v>
      </c>
      <c r="T4" s="941"/>
      <c r="U4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3118316.55</v>
      </c>
      <c r="V4" s="931"/>
    </row>
    <row r="5" spans="1:22" s="929" customFormat="1" ht="12.75" customHeight="1" outlineLevel="1">
      <c r="A5" s="62">
        <v>3</v>
      </c>
      <c r="B5" s="62">
        <v>357</v>
      </c>
      <c r="C5" s="62">
        <v>23787</v>
      </c>
      <c r="D5" s="117" t="s">
        <v>1233</v>
      </c>
      <c r="E5" s="62">
        <v>56.7</v>
      </c>
      <c r="F5" s="117" t="s">
        <v>15</v>
      </c>
      <c r="G5" s="62" t="s">
        <v>7</v>
      </c>
      <c r="H5" s="62" t="s">
        <v>16</v>
      </c>
      <c r="I5" s="91">
        <v>4518084.5</v>
      </c>
      <c r="J5" s="62">
        <v>2</v>
      </c>
      <c r="K5" s="117" t="s">
        <v>65</v>
      </c>
      <c r="L5" s="117" t="s">
        <v>18</v>
      </c>
      <c r="M5" s="942">
        <v>44970</v>
      </c>
      <c r="N5" s="62" t="s">
        <v>17</v>
      </c>
      <c r="O5" s="117" t="s">
        <v>1322</v>
      </c>
      <c r="P5" s="76" t="s">
        <v>67</v>
      </c>
      <c r="Q5" s="76" t="s">
        <v>67</v>
      </c>
      <c r="R5" s="945" t="s">
        <v>1233</v>
      </c>
      <c r="S5" s="945" t="s">
        <v>1233</v>
      </c>
      <c r="T5" s="945"/>
      <c r="U5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4291284.5</v>
      </c>
    </row>
    <row r="6" spans="1:22" s="929" customFormat="1" ht="12.75" hidden="1" customHeight="1" outlineLevel="1">
      <c r="A6" s="62">
        <v>4</v>
      </c>
      <c r="B6" s="62">
        <v>140</v>
      </c>
      <c r="C6" s="62">
        <v>23899</v>
      </c>
      <c r="D6" s="117" t="s">
        <v>1233</v>
      </c>
      <c r="E6" s="62">
        <v>37.81</v>
      </c>
      <c r="F6" s="117" t="s">
        <v>15</v>
      </c>
      <c r="G6" s="62" t="s">
        <v>7</v>
      </c>
      <c r="H6" s="117" t="s">
        <v>22</v>
      </c>
      <c r="I6" s="95">
        <v>3299831.3</v>
      </c>
      <c r="J6" s="62">
        <v>1</v>
      </c>
      <c r="K6" s="62" t="s">
        <v>65</v>
      </c>
      <c r="L6" s="62" t="s">
        <v>18</v>
      </c>
      <c r="M6" s="1016">
        <v>44971</v>
      </c>
      <c r="N6" s="62" t="s">
        <v>17</v>
      </c>
      <c r="O6" s="117" t="s">
        <v>1323</v>
      </c>
      <c r="P6" s="76" t="s">
        <v>67</v>
      </c>
      <c r="Q6" s="76" t="s">
        <v>67</v>
      </c>
      <c r="R6" s="945" t="s">
        <v>1233</v>
      </c>
      <c r="S6" s="945" t="s">
        <v>1233</v>
      </c>
      <c r="T6" s="945"/>
      <c r="U6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3148591.3</v>
      </c>
      <c r="V6" s="931"/>
    </row>
    <row r="7" spans="1:22" s="929" customFormat="1" hidden="1" outlineLevel="1">
      <c r="A7" s="62">
        <v>5</v>
      </c>
      <c r="B7" s="75">
        <v>44</v>
      </c>
      <c r="C7" s="75">
        <v>18211</v>
      </c>
      <c r="D7" s="117" t="s">
        <v>1233</v>
      </c>
      <c r="E7" s="62">
        <v>56.03</v>
      </c>
      <c r="F7" s="117" t="s">
        <v>25</v>
      </c>
      <c r="G7" s="62" t="s">
        <v>7</v>
      </c>
      <c r="H7" s="117"/>
      <c r="I7" s="95">
        <v>5039855.3600000003</v>
      </c>
      <c r="J7" s="62">
        <v>2</v>
      </c>
      <c r="K7" s="117" t="s">
        <v>85</v>
      </c>
      <c r="L7" s="117" t="s">
        <v>18</v>
      </c>
      <c r="M7" s="1016"/>
      <c r="N7" s="62" t="s">
        <v>17</v>
      </c>
      <c r="O7" s="117" t="s">
        <v>1324</v>
      </c>
      <c r="P7" s="76" t="s">
        <v>67</v>
      </c>
      <c r="Q7" s="76" t="s">
        <v>67</v>
      </c>
      <c r="R7" s="945" t="s">
        <v>1233</v>
      </c>
      <c r="S7" s="945" t="s">
        <v>1233</v>
      </c>
      <c r="T7" s="945"/>
      <c r="U7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4199405.3600000003</v>
      </c>
    </row>
    <row r="8" spans="1:22" s="929" customFormat="1" ht="12.75" customHeight="1" outlineLevel="1">
      <c r="A8" s="62">
        <v>6</v>
      </c>
      <c r="B8" s="75">
        <v>462</v>
      </c>
      <c r="C8" s="75">
        <v>23981</v>
      </c>
      <c r="D8" s="945" t="s">
        <v>77</v>
      </c>
      <c r="E8" s="62">
        <v>67.489999999999995</v>
      </c>
      <c r="F8" s="117" t="s">
        <v>15</v>
      </c>
      <c r="G8" s="62" t="s">
        <v>7</v>
      </c>
      <c r="H8" s="62" t="s">
        <v>16</v>
      </c>
      <c r="I8" s="95">
        <v>5310926.42</v>
      </c>
      <c r="J8" s="62">
        <v>2</v>
      </c>
      <c r="K8" s="117" t="s">
        <v>65</v>
      </c>
      <c r="L8" s="117" t="s">
        <v>18</v>
      </c>
      <c r="M8" s="1016">
        <v>44963</v>
      </c>
      <c r="N8" s="62" t="s">
        <v>17</v>
      </c>
      <c r="O8" s="117" t="s">
        <v>1325</v>
      </c>
      <c r="P8" s="76" t="s">
        <v>67</v>
      </c>
      <c r="Q8" s="76" t="s">
        <v>67</v>
      </c>
      <c r="R8" s="945" t="s">
        <v>77</v>
      </c>
      <c r="S8" s="945" t="s">
        <v>77</v>
      </c>
      <c r="T8" s="945"/>
      <c r="U8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5040966.42</v>
      </c>
      <c r="V8" s="931"/>
    </row>
    <row r="9" spans="1:22" s="929" customFormat="1" outlineLevel="1">
      <c r="A9" s="62">
        <v>7</v>
      </c>
      <c r="B9" s="62">
        <v>280</v>
      </c>
      <c r="C9" s="62">
        <v>23968</v>
      </c>
      <c r="D9" s="945" t="s">
        <v>77</v>
      </c>
      <c r="E9" s="62">
        <v>56.7</v>
      </c>
      <c r="F9" s="117" t="s">
        <v>15</v>
      </c>
      <c r="G9" s="62" t="s">
        <v>7</v>
      </c>
      <c r="H9" s="62" t="s">
        <v>16</v>
      </c>
      <c r="I9" s="95">
        <v>4263940.2699999996</v>
      </c>
      <c r="J9" s="62">
        <v>2</v>
      </c>
      <c r="K9" s="117" t="s">
        <v>65</v>
      </c>
      <c r="L9" s="117" t="s">
        <v>18</v>
      </c>
      <c r="M9" s="1016">
        <v>44963</v>
      </c>
      <c r="N9" s="62" t="s">
        <v>17</v>
      </c>
      <c r="O9" s="117" t="s">
        <v>1326</v>
      </c>
      <c r="P9" s="76" t="s">
        <v>67</v>
      </c>
      <c r="Q9" s="76" t="s">
        <v>67</v>
      </c>
      <c r="R9" s="945" t="s">
        <v>77</v>
      </c>
      <c r="S9" s="945" t="s">
        <v>77</v>
      </c>
      <c r="T9" s="945"/>
      <c r="U9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4037140.2699999996</v>
      </c>
      <c r="V9" s="931"/>
    </row>
    <row r="10" spans="1:22" s="929" customFormat="1" ht="12.75" customHeight="1" outlineLevel="1">
      <c r="A10" s="62">
        <v>8</v>
      </c>
      <c r="B10" s="62">
        <v>149</v>
      </c>
      <c r="C10" s="62">
        <v>23985</v>
      </c>
      <c r="D10" s="945" t="s">
        <v>77</v>
      </c>
      <c r="E10" s="62">
        <v>24.47</v>
      </c>
      <c r="F10" s="941" t="s">
        <v>9</v>
      </c>
      <c r="G10" s="62" t="s">
        <v>27</v>
      </c>
      <c r="H10" s="62" t="s">
        <v>16</v>
      </c>
      <c r="I10" s="95">
        <v>2243307.9300000002</v>
      </c>
      <c r="J10" s="62">
        <v>0</v>
      </c>
      <c r="K10" s="117" t="s">
        <v>65</v>
      </c>
      <c r="L10" s="117" t="s">
        <v>18</v>
      </c>
      <c r="M10" s="92">
        <v>44963</v>
      </c>
      <c r="N10" s="62" t="s">
        <v>17</v>
      </c>
      <c r="O10" s="62" t="s">
        <v>1327</v>
      </c>
      <c r="P10" s="76" t="s">
        <v>67</v>
      </c>
      <c r="Q10" s="76" t="s">
        <v>67</v>
      </c>
      <c r="R10" s="945" t="s">
        <v>77</v>
      </c>
      <c r="S10" s="945" t="s">
        <v>77</v>
      </c>
      <c r="T10" s="945"/>
      <c r="U10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2243307.9300000002</v>
      </c>
      <c r="V10" s="931"/>
    </row>
    <row r="11" spans="1:22" s="929" customFormat="1" outlineLevel="1">
      <c r="A11" s="62">
        <v>9</v>
      </c>
      <c r="B11" s="62">
        <v>103</v>
      </c>
      <c r="C11" s="62">
        <v>24027</v>
      </c>
      <c r="D11" s="945" t="s">
        <v>77</v>
      </c>
      <c r="E11" s="62">
        <v>24.39</v>
      </c>
      <c r="F11" s="117" t="s">
        <v>15</v>
      </c>
      <c r="G11" s="62" t="s">
        <v>27</v>
      </c>
      <c r="H11" s="62" t="s">
        <v>16</v>
      </c>
      <c r="I11" s="95">
        <v>2313304.65</v>
      </c>
      <c r="J11" s="62">
        <v>0</v>
      </c>
      <c r="K11" s="117" t="s">
        <v>65</v>
      </c>
      <c r="L11" s="117" t="s">
        <v>18</v>
      </c>
      <c r="M11" s="92">
        <v>44965</v>
      </c>
      <c r="N11" s="62" t="s">
        <v>17</v>
      </c>
      <c r="O11" s="117" t="s">
        <v>1328</v>
      </c>
      <c r="P11" s="76" t="s">
        <v>67</v>
      </c>
      <c r="Q11" s="76" t="s">
        <v>67</v>
      </c>
      <c r="R11" s="945" t="s">
        <v>77</v>
      </c>
      <c r="S11" s="945" t="s">
        <v>77</v>
      </c>
      <c r="T11" s="945"/>
      <c r="U11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2215744.65</v>
      </c>
      <c r="V11" s="931"/>
    </row>
    <row r="12" spans="1:22" hidden="1" outlineLevel="1">
      <c r="A12" s="62">
        <v>10</v>
      </c>
      <c r="B12" s="62">
        <v>187</v>
      </c>
      <c r="C12" s="62">
        <v>24013</v>
      </c>
      <c r="D12" s="117" t="s">
        <v>1207</v>
      </c>
      <c r="E12" s="62">
        <v>35.380000000000003</v>
      </c>
      <c r="F12" s="117" t="s">
        <v>15</v>
      </c>
      <c r="G12" s="62" t="s">
        <v>7</v>
      </c>
      <c r="H12" s="117" t="s">
        <v>84</v>
      </c>
      <c r="I12" s="1019">
        <v>3213000.38</v>
      </c>
      <c r="J12" s="62">
        <v>1</v>
      </c>
      <c r="K12" s="117" t="s">
        <v>130</v>
      </c>
      <c r="L12" s="117" t="s">
        <v>18</v>
      </c>
      <c r="M12" s="92">
        <v>44966</v>
      </c>
      <c r="N12" s="62" t="s">
        <v>17</v>
      </c>
      <c r="O12" s="117" t="s">
        <v>1329</v>
      </c>
      <c r="P12" s="76" t="s">
        <v>67</v>
      </c>
      <c r="Q12" s="76" t="s">
        <v>67</v>
      </c>
      <c r="R12" s="945"/>
      <c r="S12" s="945" t="s">
        <v>73</v>
      </c>
      <c r="T12" s="945"/>
      <c r="U12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3071480.38</v>
      </c>
    </row>
    <row r="13" spans="1:22" s="929" customFormat="1" ht="12.75" hidden="1" customHeight="1" outlineLevel="1">
      <c r="A13" s="62">
        <v>11</v>
      </c>
      <c r="B13" s="62">
        <v>523</v>
      </c>
      <c r="C13" s="62">
        <v>24173</v>
      </c>
      <c r="D13" s="117" t="s">
        <v>1207</v>
      </c>
      <c r="E13" s="62">
        <v>56.04</v>
      </c>
      <c r="F13" s="945" t="s">
        <v>15</v>
      </c>
      <c r="G13" s="62" t="s">
        <v>7</v>
      </c>
      <c r="H13" s="117" t="s">
        <v>84</v>
      </c>
      <c r="I13" s="95">
        <v>4424314.8499999996</v>
      </c>
      <c r="J13" s="62">
        <v>2</v>
      </c>
      <c r="K13" s="117" t="s">
        <v>130</v>
      </c>
      <c r="L13" s="117" t="s">
        <v>18</v>
      </c>
      <c r="M13" s="92">
        <v>44978</v>
      </c>
      <c r="N13" s="62" t="s">
        <v>17</v>
      </c>
      <c r="O13" s="62" t="s">
        <v>1330</v>
      </c>
      <c r="P13" s="76" t="s">
        <v>67</v>
      </c>
      <c r="Q13" s="76" t="s">
        <v>67</v>
      </c>
      <c r="R13" s="945"/>
      <c r="S13" s="945" t="s">
        <v>73</v>
      </c>
      <c r="T13" s="945"/>
      <c r="U13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4200154.8499999996</v>
      </c>
    </row>
    <row r="14" spans="1:22" s="929" customFormat="1" outlineLevel="1">
      <c r="A14" s="62">
        <v>12</v>
      </c>
      <c r="B14" s="62">
        <v>401</v>
      </c>
      <c r="C14" s="62">
        <v>23957</v>
      </c>
      <c r="D14" s="117" t="s">
        <v>1233</v>
      </c>
      <c r="E14" s="62">
        <v>33.840000000000003</v>
      </c>
      <c r="F14" s="945" t="s">
        <v>9</v>
      </c>
      <c r="G14" s="117" t="s">
        <v>7</v>
      </c>
      <c r="H14" s="62" t="s">
        <v>16</v>
      </c>
      <c r="I14" s="95">
        <v>3137442.1</v>
      </c>
      <c r="J14" s="62">
        <v>1</v>
      </c>
      <c r="K14" s="62" t="s">
        <v>65</v>
      </c>
      <c r="L14" s="117" t="s">
        <v>18</v>
      </c>
      <c r="M14" s="92">
        <v>44966</v>
      </c>
      <c r="N14" s="62" t="s">
        <v>17</v>
      </c>
      <c r="O14" s="62" t="s">
        <v>1331</v>
      </c>
      <c r="P14" s="76" t="s">
        <v>67</v>
      </c>
      <c r="Q14" s="76" t="s">
        <v>67</v>
      </c>
      <c r="R14" s="945" t="s">
        <v>1233</v>
      </c>
      <c r="S14" s="945" t="s">
        <v>73</v>
      </c>
      <c r="T14" s="945"/>
      <c r="U14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3137442.1</v>
      </c>
      <c r="V14" s="931"/>
    </row>
    <row r="15" spans="1:22" ht="12.75" customHeight="1" outlineLevel="1">
      <c r="A15" s="62">
        <v>13</v>
      </c>
      <c r="B15" s="62">
        <v>450</v>
      </c>
      <c r="C15" s="81">
        <v>24016</v>
      </c>
      <c r="D15" s="117" t="s">
        <v>1207</v>
      </c>
      <c r="E15" s="62">
        <v>36.5</v>
      </c>
      <c r="F15" s="945" t="s">
        <v>25</v>
      </c>
      <c r="G15" s="62" t="s">
        <v>7</v>
      </c>
      <c r="H15" s="62" t="s">
        <v>16</v>
      </c>
      <c r="I15" s="95">
        <v>3621150.74</v>
      </c>
      <c r="J15" s="62">
        <v>1</v>
      </c>
      <c r="K15" s="62" t="s">
        <v>65</v>
      </c>
      <c r="L15" s="117" t="s">
        <v>18</v>
      </c>
      <c r="M15" s="92">
        <v>44966</v>
      </c>
      <c r="N15" s="62" t="s">
        <v>17</v>
      </c>
      <c r="O15" s="62" t="s">
        <v>1332</v>
      </c>
      <c r="P15" s="76" t="s">
        <v>67</v>
      </c>
      <c r="Q15" s="76" t="s">
        <v>67</v>
      </c>
      <c r="R15" s="945"/>
      <c r="S15" s="945" t="s">
        <v>77</v>
      </c>
      <c r="T15" s="945"/>
      <c r="U15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3073650.74</v>
      </c>
    </row>
    <row r="16" spans="1:22" s="929" customFormat="1" ht="12.75" hidden="1" customHeight="1" outlineLevel="1">
      <c r="A16" s="62">
        <v>14</v>
      </c>
      <c r="B16" s="62">
        <v>193</v>
      </c>
      <c r="C16" s="62">
        <v>2789</v>
      </c>
      <c r="D16" s="117" t="s">
        <v>73</v>
      </c>
      <c r="E16" s="62">
        <v>24.39</v>
      </c>
      <c r="F16" s="945" t="s">
        <v>9</v>
      </c>
      <c r="G16" s="62" t="s">
        <v>27</v>
      </c>
      <c r="H16" s="62" t="s">
        <v>22</v>
      </c>
      <c r="I16" s="91">
        <v>2364356.81</v>
      </c>
      <c r="J16" s="62">
        <v>0</v>
      </c>
      <c r="K16" s="62" t="s">
        <v>65</v>
      </c>
      <c r="L16" s="117" t="s">
        <v>12</v>
      </c>
      <c r="M16" s="92">
        <v>44978</v>
      </c>
      <c r="N16" s="62" t="s">
        <v>17</v>
      </c>
      <c r="O16" s="76" t="s">
        <v>1333</v>
      </c>
      <c r="P16" s="76" t="s">
        <v>67</v>
      </c>
      <c r="Q16" s="76" t="s">
        <v>67</v>
      </c>
      <c r="R16" s="945" t="s">
        <v>73</v>
      </c>
      <c r="S16" s="945" t="s">
        <v>73</v>
      </c>
      <c r="T16" s="945"/>
      <c r="U16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2364356.81</v>
      </c>
    </row>
    <row r="17" spans="1:22" s="929" customFormat="1" ht="12.75" hidden="1" customHeight="1" outlineLevel="1">
      <c r="A17" s="62">
        <v>15</v>
      </c>
      <c r="B17" s="75">
        <v>292</v>
      </c>
      <c r="C17" s="75">
        <v>23811</v>
      </c>
      <c r="D17" s="117" t="s">
        <v>77</v>
      </c>
      <c r="E17" s="62">
        <v>36.450000000000003</v>
      </c>
      <c r="F17" s="945" t="s">
        <v>25</v>
      </c>
      <c r="G17" s="62" t="s">
        <v>7</v>
      </c>
      <c r="H17" s="62" t="s">
        <v>22</v>
      </c>
      <c r="I17" s="91">
        <v>3615579.02</v>
      </c>
      <c r="J17" s="62">
        <v>0</v>
      </c>
      <c r="K17" s="62" t="s">
        <v>65</v>
      </c>
      <c r="L17" s="117" t="s">
        <v>18</v>
      </c>
      <c r="M17" s="92">
        <v>44970</v>
      </c>
      <c r="N17" s="62" t="s">
        <v>17</v>
      </c>
      <c r="O17" s="62" t="s">
        <v>1334</v>
      </c>
      <c r="P17" s="76" t="s">
        <v>67</v>
      </c>
      <c r="Q17" s="76" t="s">
        <v>67</v>
      </c>
      <c r="R17" s="945" t="s">
        <v>77</v>
      </c>
      <c r="S17" s="945" t="s">
        <v>73</v>
      </c>
      <c r="T17" s="945"/>
      <c r="U17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3068829.02</v>
      </c>
    </row>
    <row r="18" spans="1:22" s="929" customFormat="1" ht="12.75" customHeight="1" outlineLevel="1">
      <c r="A18" s="62">
        <v>16</v>
      </c>
      <c r="B18" s="75">
        <v>875</v>
      </c>
      <c r="C18" s="75">
        <v>24017</v>
      </c>
      <c r="D18" s="117" t="s">
        <v>77</v>
      </c>
      <c r="E18" s="62">
        <v>23.09</v>
      </c>
      <c r="F18" s="945" t="s">
        <v>9</v>
      </c>
      <c r="G18" s="62" t="s">
        <v>27</v>
      </c>
      <c r="H18" s="62" t="s">
        <v>16</v>
      </c>
      <c r="I18" s="95">
        <v>2271735.5099999998</v>
      </c>
      <c r="J18" s="62">
        <v>0</v>
      </c>
      <c r="K18" s="62" t="s">
        <v>65</v>
      </c>
      <c r="L18" s="117" t="s">
        <v>18</v>
      </c>
      <c r="M18" s="92">
        <v>44967</v>
      </c>
      <c r="N18" s="62" t="s">
        <v>17</v>
      </c>
      <c r="O18" s="62" t="s">
        <v>1335</v>
      </c>
      <c r="P18" s="76" t="s">
        <v>67</v>
      </c>
      <c r="Q18" s="76" t="s">
        <v>67</v>
      </c>
      <c r="R18" s="945" t="s">
        <v>77</v>
      </c>
      <c r="S18" s="945" t="s">
        <v>77</v>
      </c>
      <c r="T18" s="945"/>
      <c r="U18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2271735.5099999998</v>
      </c>
    </row>
    <row r="19" spans="1:22" s="929" customFormat="1" ht="14.25" customHeight="1" outlineLevel="1">
      <c r="A19" s="62">
        <v>17</v>
      </c>
      <c r="B19" s="75">
        <v>131</v>
      </c>
      <c r="C19" s="75">
        <v>24031</v>
      </c>
      <c r="D19" s="117" t="s">
        <v>77</v>
      </c>
      <c r="E19" s="62">
        <v>24.47</v>
      </c>
      <c r="F19" s="117" t="s">
        <v>15</v>
      </c>
      <c r="G19" s="62" t="s">
        <v>27</v>
      </c>
      <c r="H19" s="62" t="s">
        <v>16</v>
      </c>
      <c r="I19" s="95">
        <v>2321187.09</v>
      </c>
      <c r="J19" s="62">
        <v>0</v>
      </c>
      <c r="K19" s="62" t="s">
        <v>65</v>
      </c>
      <c r="L19" s="117" t="s">
        <v>18</v>
      </c>
      <c r="M19" s="92">
        <v>44972</v>
      </c>
      <c r="N19" s="62" t="s">
        <v>17</v>
      </c>
      <c r="O19" s="62" t="s">
        <v>1336</v>
      </c>
      <c r="P19" s="76" t="s">
        <v>67</v>
      </c>
      <c r="Q19" s="76" t="s">
        <v>67</v>
      </c>
      <c r="R19" s="945" t="s">
        <v>77</v>
      </c>
      <c r="S19" s="945" t="s">
        <v>77</v>
      </c>
      <c r="T19" s="945"/>
      <c r="U19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2223307.09</v>
      </c>
    </row>
    <row r="20" spans="1:22" s="929" customFormat="1" hidden="1" outlineLevel="1">
      <c r="A20" s="62">
        <v>18</v>
      </c>
      <c r="B20" s="75">
        <v>12</v>
      </c>
      <c r="C20" s="75">
        <v>23934</v>
      </c>
      <c r="D20" s="117" t="s">
        <v>77</v>
      </c>
      <c r="E20" s="62">
        <v>136.02000000000001</v>
      </c>
      <c r="F20" s="945" t="s">
        <v>9</v>
      </c>
      <c r="G20" s="62" t="s">
        <v>27</v>
      </c>
      <c r="H20" s="62"/>
      <c r="I20" s="95">
        <v>12921900</v>
      </c>
      <c r="J20" s="62" t="s">
        <v>1337</v>
      </c>
      <c r="K20" s="117" t="s">
        <v>130</v>
      </c>
      <c r="L20" s="117" t="s">
        <v>18</v>
      </c>
      <c r="M20" s="92">
        <v>44966</v>
      </c>
      <c r="N20" s="62" t="s">
        <v>17</v>
      </c>
      <c r="O20" s="62" t="s">
        <v>1338</v>
      </c>
      <c r="P20" s="76" t="s">
        <v>67</v>
      </c>
      <c r="Q20" s="76" t="s">
        <v>67</v>
      </c>
      <c r="R20" s="945" t="s">
        <v>77</v>
      </c>
      <c r="S20" s="945" t="s">
        <v>77</v>
      </c>
      <c r="T20" s="945"/>
      <c r="U20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12921900.000000002</v>
      </c>
    </row>
    <row r="21" spans="1:22" s="929" customFormat="1" ht="12.75" hidden="1" customHeight="1" outlineLevel="1">
      <c r="A21" s="62">
        <v>19</v>
      </c>
      <c r="B21" s="75">
        <v>1</v>
      </c>
      <c r="C21" s="75">
        <v>22823</v>
      </c>
      <c r="D21" s="117" t="s">
        <v>73</v>
      </c>
      <c r="E21" s="62">
        <v>36.89</v>
      </c>
      <c r="F21" s="945" t="s">
        <v>9</v>
      </c>
      <c r="G21" s="62" t="s">
        <v>27</v>
      </c>
      <c r="H21" s="62" t="s">
        <v>84</v>
      </c>
      <c r="I21" s="95">
        <v>4057900</v>
      </c>
      <c r="J21" s="62" t="s">
        <v>1337</v>
      </c>
      <c r="K21" s="62" t="s">
        <v>85</v>
      </c>
      <c r="L21" s="62" t="s">
        <v>18</v>
      </c>
      <c r="M21" s="92">
        <v>44965</v>
      </c>
      <c r="N21" s="62" t="s">
        <v>17</v>
      </c>
      <c r="O21" s="62" t="s">
        <v>1339</v>
      </c>
      <c r="P21" s="76" t="s">
        <v>67</v>
      </c>
      <c r="Q21" s="76" t="s">
        <v>67</v>
      </c>
      <c r="R21" s="945" t="s">
        <v>73</v>
      </c>
      <c r="S21" s="945" t="s">
        <v>73</v>
      </c>
      <c r="T21" s="945"/>
      <c r="U21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4057900</v>
      </c>
    </row>
    <row r="22" spans="1:22" s="929" customFormat="1" ht="12.75" hidden="1" customHeight="1" outlineLevel="1">
      <c r="A22" s="62">
        <v>20</v>
      </c>
      <c r="B22" s="75">
        <v>5</v>
      </c>
      <c r="C22" s="75">
        <v>23687</v>
      </c>
      <c r="D22" s="117" t="s">
        <v>73</v>
      </c>
      <c r="E22" s="62">
        <v>78.95</v>
      </c>
      <c r="F22" s="945" t="s">
        <v>9</v>
      </c>
      <c r="G22" s="62" t="s">
        <v>27</v>
      </c>
      <c r="H22" s="62" t="s">
        <v>84</v>
      </c>
      <c r="I22" s="95">
        <v>7500250</v>
      </c>
      <c r="J22" s="62" t="s">
        <v>1337</v>
      </c>
      <c r="K22" s="62" t="s">
        <v>85</v>
      </c>
      <c r="L22" s="62" t="s">
        <v>12</v>
      </c>
      <c r="M22" s="92">
        <v>44985</v>
      </c>
      <c r="N22" s="62" t="s">
        <v>17</v>
      </c>
      <c r="O22" s="62" t="s">
        <v>1340</v>
      </c>
      <c r="P22" s="76" t="s">
        <v>67</v>
      </c>
      <c r="Q22" s="76" t="s">
        <v>67</v>
      </c>
      <c r="R22" s="945" t="s">
        <v>73</v>
      </c>
      <c r="S22" s="945" t="s">
        <v>77</v>
      </c>
      <c r="T22" s="945"/>
      <c r="U22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7500250</v>
      </c>
    </row>
    <row r="23" spans="1:22" s="929" customFormat="1" ht="13.5" customHeight="1" outlineLevel="1">
      <c r="A23" s="62">
        <v>21</v>
      </c>
      <c r="B23" s="75">
        <v>346</v>
      </c>
      <c r="C23" s="75">
        <v>24144</v>
      </c>
      <c r="D23" s="117" t="s">
        <v>73</v>
      </c>
      <c r="E23" s="62">
        <v>29.35</v>
      </c>
      <c r="F23" s="945" t="s">
        <v>15</v>
      </c>
      <c r="G23" s="62" t="s">
        <v>7</v>
      </c>
      <c r="H23" s="62" t="s">
        <v>16</v>
      </c>
      <c r="I23" s="95">
        <v>2563993.9900000002</v>
      </c>
      <c r="J23" s="62">
        <v>0</v>
      </c>
      <c r="K23" s="62" t="s">
        <v>65</v>
      </c>
      <c r="L23" s="62" t="s">
        <v>18</v>
      </c>
      <c r="M23" s="92">
        <v>44977</v>
      </c>
      <c r="N23" s="62" t="s">
        <v>17</v>
      </c>
      <c r="O23" s="941" t="s">
        <v>1341</v>
      </c>
      <c r="P23" s="892" t="s">
        <v>67</v>
      </c>
      <c r="Q23" s="892" t="s">
        <v>67</v>
      </c>
      <c r="R23" s="945" t="s">
        <v>73</v>
      </c>
      <c r="S23" s="945" t="s">
        <v>73</v>
      </c>
      <c r="T23" s="945"/>
      <c r="U23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2446593.9900000002</v>
      </c>
    </row>
    <row r="24" spans="1:22" s="929" customFormat="1" ht="12.75" hidden="1" customHeight="1" outlineLevel="1">
      <c r="A24" s="62">
        <v>22</v>
      </c>
      <c r="B24" s="75">
        <v>524</v>
      </c>
      <c r="C24" s="75">
        <v>23607</v>
      </c>
      <c r="D24" s="117" t="s">
        <v>77</v>
      </c>
      <c r="E24" s="62">
        <v>58.62</v>
      </c>
      <c r="F24" s="941" t="s">
        <v>15</v>
      </c>
      <c r="G24" s="62" t="s">
        <v>7</v>
      </c>
      <c r="H24" s="62" t="s">
        <v>22</v>
      </c>
      <c r="I24" s="95">
        <v>4671077.84</v>
      </c>
      <c r="J24" s="62">
        <v>2</v>
      </c>
      <c r="K24" s="62" t="s">
        <v>65</v>
      </c>
      <c r="L24" s="62" t="s">
        <v>18</v>
      </c>
      <c r="M24" s="92">
        <v>44979</v>
      </c>
      <c r="N24" s="117" t="s">
        <v>17</v>
      </c>
      <c r="O24" s="941" t="s">
        <v>1342</v>
      </c>
      <c r="P24" s="76" t="s">
        <v>67</v>
      </c>
      <c r="Q24" s="76" t="s">
        <v>67</v>
      </c>
      <c r="R24" s="945" t="s">
        <v>77</v>
      </c>
      <c r="S24" s="945" t="s">
        <v>77</v>
      </c>
      <c r="T24" s="941"/>
      <c r="U24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4436597.84</v>
      </c>
      <c r="V24" s="931"/>
    </row>
    <row r="25" spans="1:22" s="929" customFormat="1" ht="12.75" customHeight="1" outlineLevel="1">
      <c r="A25" s="62">
        <v>23</v>
      </c>
      <c r="B25" s="75">
        <v>247</v>
      </c>
      <c r="C25" s="75">
        <v>678</v>
      </c>
      <c r="D25" s="117" t="s">
        <v>73</v>
      </c>
      <c r="E25" s="62">
        <v>33.840000000000003</v>
      </c>
      <c r="F25" s="941" t="s">
        <v>9</v>
      </c>
      <c r="G25" s="62" t="s">
        <v>7</v>
      </c>
      <c r="H25" s="62" t="s">
        <v>16</v>
      </c>
      <c r="I25" s="95">
        <v>2880742.35</v>
      </c>
      <c r="J25" s="62">
        <v>1</v>
      </c>
      <c r="K25" s="62" t="s">
        <v>65</v>
      </c>
      <c r="L25" s="62" t="s">
        <v>18</v>
      </c>
      <c r="M25" s="92">
        <v>44966</v>
      </c>
      <c r="N25" s="62" t="s">
        <v>17</v>
      </c>
      <c r="O25" s="62" t="s">
        <v>1343</v>
      </c>
      <c r="P25" s="76" t="s">
        <v>67</v>
      </c>
      <c r="Q25" s="76" t="s">
        <v>67</v>
      </c>
      <c r="R25" s="945" t="s">
        <v>73</v>
      </c>
      <c r="S25" s="945" t="s">
        <v>73</v>
      </c>
      <c r="T25" s="945"/>
      <c r="U25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2880742.35</v>
      </c>
      <c r="V25" s="931"/>
    </row>
    <row r="26" spans="1:22" ht="12.75" customHeight="1" outlineLevel="1">
      <c r="A26" s="62">
        <v>24</v>
      </c>
      <c r="B26" s="75">
        <v>131</v>
      </c>
      <c r="C26" s="75">
        <v>24008</v>
      </c>
      <c r="D26" s="117" t="s">
        <v>73</v>
      </c>
      <c r="E26" s="62">
        <v>35.380000000000003</v>
      </c>
      <c r="F26" s="941" t="s">
        <v>9</v>
      </c>
      <c r="G26" s="62" t="s">
        <v>7</v>
      </c>
      <c r="H26" s="62" t="s">
        <v>16</v>
      </c>
      <c r="I26" s="95">
        <v>3071480.38</v>
      </c>
      <c r="J26" s="62">
        <v>1</v>
      </c>
      <c r="K26" s="62" t="s">
        <v>65</v>
      </c>
      <c r="L26" s="62" t="s">
        <v>18</v>
      </c>
      <c r="M26" s="942">
        <v>44974</v>
      </c>
      <c r="N26" s="62" t="s">
        <v>17</v>
      </c>
      <c r="O26" s="62" t="s">
        <v>1344</v>
      </c>
      <c r="P26" s="76" t="s">
        <v>67</v>
      </c>
      <c r="Q26" s="76" t="s">
        <v>67</v>
      </c>
      <c r="R26" s="945" t="s">
        <v>73</v>
      </c>
      <c r="S26" s="945" t="s">
        <v>73</v>
      </c>
      <c r="T26" s="945"/>
      <c r="U26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3071480.38</v>
      </c>
    </row>
    <row r="27" spans="1:22" s="929" customFormat="1" ht="12.75" hidden="1" customHeight="1" outlineLevel="1">
      <c r="A27" s="62">
        <v>25</v>
      </c>
      <c r="B27" s="75">
        <v>37</v>
      </c>
      <c r="C27" s="75">
        <v>24104</v>
      </c>
      <c r="D27" s="117" t="s">
        <v>73</v>
      </c>
      <c r="E27" s="62">
        <v>54.66</v>
      </c>
      <c r="F27" s="941" t="s">
        <v>15</v>
      </c>
      <c r="G27" s="62" t="s">
        <v>7</v>
      </c>
      <c r="H27" s="62" t="s">
        <v>22</v>
      </c>
      <c r="I27" s="95">
        <v>4110528.66</v>
      </c>
      <c r="J27" s="62">
        <v>2</v>
      </c>
      <c r="K27" s="62" t="s">
        <v>65</v>
      </c>
      <c r="L27" s="62" t="s">
        <v>18</v>
      </c>
      <c r="M27" s="92">
        <v>44973</v>
      </c>
      <c r="N27" s="62" t="s">
        <v>17</v>
      </c>
      <c r="O27" s="62" t="s">
        <v>1345</v>
      </c>
      <c r="P27" s="76" t="s">
        <v>67</v>
      </c>
      <c r="Q27" s="76" t="s">
        <v>67</v>
      </c>
      <c r="R27" s="945" t="s">
        <v>73</v>
      </c>
      <c r="S27" s="945" t="s">
        <v>73</v>
      </c>
      <c r="T27" s="945"/>
      <c r="U27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3891888.66</v>
      </c>
    </row>
    <row r="28" spans="1:22" s="929" customFormat="1" ht="12.75" customHeight="1" outlineLevel="1">
      <c r="A28" s="62">
        <v>26</v>
      </c>
      <c r="B28" s="75">
        <v>259</v>
      </c>
      <c r="C28" s="75">
        <v>24087</v>
      </c>
      <c r="D28" s="117" t="s">
        <v>77</v>
      </c>
      <c r="E28" s="62">
        <v>56.7</v>
      </c>
      <c r="F28" s="941" t="s">
        <v>9</v>
      </c>
      <c r="G28" s="62" t="s">
        <v>7</v>
      </c>
      <c r="H28" s="62" t="s">
        <v>16</v>
      </c>
      <c r="I28" s="91">
        <v>4291284.5</v>
      </c>
      <c r="J28" s="62">
        <v>2</v>
      </c>
      <c r="K28" s="62" t="s">
        <v>65</v>
      </c>
      <c r="L28" s="62" t="s">
        <v>18</v>
      </c>
      <c r="M28" s="537">
        <v>44978</v>
      </c>
      <c r="N28" s="62" t="s">
        <v>17</v>
      </c>
      <c r="O28" s="76" t="s">
        <v>1346</v>
      </c>
      <c r="P28" s="76" t="s">
        <v>67</v>
      </c>
      <c r="Q28" s="76" t="s">
        <v>67</v>
      </c>
      <c r="R28" s="945"/>
      <c r="S28" s="945" t="s">
        <v>77</v>
      </c>
      <c r="T28" s="945"/>
      <c r="U28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4291284.5</v>
      </c>
    </row>
    <row r="29" spans="1:22" s="929" customFormat="1" ht="12.75" hidden="1" customHeight="1" outlineLevel="1">
      <c r="A29" s="62">
        <v>27</v>
      </c>
      <c r="B29" s="75">
        <v>19</v>
      </c>
      <c r="C29" s="75">
        <v>24128</v>
      </c>
      <c r="D29" s="117" t="s">
        <v>77</v>
      </c>
      <c r="E29" s="62">
        <v>35.54</v>
      </c>
      <c r="F29" s="941" t="s">
        <v>15</v>
      </c>
      <c r="G29" s="62" t="s">
        <v>7</v>
      </c>
      <c r="H29" s="62" t="s">
        <v>22</v>
      </c>
      <c r="I29" s="95">
        <v>3197575.74</v>
      </c>
      <c r="J29" s="62">
        <v>0</v>
      </c>
      <c r="K29" s="62" t="s">
        <v>65</v>
      </c>
      <c r="L29" s="62" t="s">
        <v>18</v>
      </c>
      <c r="M29" s="92">
        <v>44982</v>
      </c>
      <c r="N29" s="117" t="s">
        <v>17</v>
      </c>
      <c r="O29" s="62" t="s">
        <v>1347</v>
      </c>
      <c r="P29" s="76" t="s">
        <v>67</v>
      </c>
      <c r="Q29" s="76" t="s">
        <v>67</v>
      </c>
      <c r="R29" s="945" t="s">
        <v>77</v>
      </c>
      <c r="S29" s="945" t="s">
        <v>77</v>
      </c>
      <c r="T29" s="945"/>
      <c r="U29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3055415.7399999998</v>
      </c>
    </row>
    <row r="30" spans="1:22" ht="12.75" hidden="1" customHeight="1" outlineLevel="1">
      <c r="A30" s="62">
        <v>28</v>
      </c>
      <c r="B30" s="62">
        <v>15</v>
      </c>
      <c r="C30" s="75">
        <v>23936</v>
      </c>
      <c r="D30" s="117" t="s">
        <v>77</v>
      </c>
      <c r="E30" s="62">
        <v>115.46</v>
      </c>
      <c r="F30" s="941" t="s">
        <v>9</v>
      </c>
      <c r="G30" s="62" t="s">
        <v>27</v>
      </c>
      <c r="H30" s="62"/>
      <c r="I30" s="95">
        <v>13277900</v>
      </c>
      <c r="J30" s="62" t="s">
        <v>1337</v>
      </c>
      <c r="K30" s="62" t="s">
        <v>130</v>
      </c>
      <c r="L30" s="62" t="s">
        <v>18</v>
      </c>
      <c r="M30" s="942">
        <v>44985</v>
      </c>
      <c r="N30" s="117" t="s">
        <v>17</v>
      </c>
      <c r="O30" s="941" t="s">
        <v>1348</v>
      </c>
      <c r="P30" s="76" t="s">
        <v>67</v>
      </c>
      <c r="Q30" s="76" t="s">
        <v>67</v>
      </c>
      <c r="R30" s="945" t="s">
        <v>77</v>
      </c>
      <c r="S30" s="945" t="s">
        <v>77</v>
      </c>
      <c r="T30" s="941"/>
      <c r="U30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13277900</v>
      </c>
    </row>
    <row r="31" spans="1:22" s="929" customFormat="1" ht="12.75" customHeight="1" outlineLevel="1">
      <c r="A31" s="62">
        <v>29</v>
      </c>
      <c r="B31" s="75">
        <v>107</v>
      </c>
      <c r="C31" s="75">
        <v>24145</v>
      </c>
      <c r="D31" s="117" t="s">
        <v>73</v>
      </c>
      <c r="E31" s="62">
        <v>35.54</v>
      </c>
      <c r="F31" s="76" t="s">
        <v>25</v>
      </c>
      <c r="G31" s="62" t="s">
        <v>7</v>
      </c>
      <c r="H31" s="62" t="s">
        <v>16</v>
      </c>
      <c r="I31" s="91">
        <v>3618470.63</v>
      </c>
      <c r="J31" s="62">
        <v>1</v>
      </c>
      <c r="K31" s="62" t="s">
        <v>65</v>
      </c>
      <c r="L31" s="62" t="s">
        <v>18</v>
      </c>
      <c r="M31" s="537">
        <v>44979</v>
      </c>
      <c r="N31" s="117" t="s">
        <v>17</v>
      </c>
      <c r="O31" s="76" t="s">
        <v>1349</v>
      </c>
      <c r="P31" s="76" t="s">
        <v>67</v>
      </c>
      <c r="Q31" s="76" t="s">
        <v>67</v>
      </c>
      <c r="R31" s="945" t="s">
        <v>73</v>
      </c>
      <c r="S31" s="945" t="s">
        <v>73</v>
      </c>
      <c r="T31" s="945"/>
      <c r="U31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3085370.63</v>
      </c>
      <c r="V31" s="931"/>
    </row>
    <row r="32" spans="1:22" s="929" customFormat="1" ht="12.75" hidden="1" customHeight="1" outlineLevel="1">
      <c r="A32" s="62">
        <v>30</v>
      </c>
      <c r="B32" s="75">
        <v>91</v>
      </c>
      <c r="C32" s="75">
        <v>24207</v>
      </c>
      <c r="D32" s="117" t="s">
        <v>1207</v>
      </c>
      <c r="E32" s="62">
        <v>35.54</v>
      </c>
      <c r="F32" s="941" t="s">
        <v>15</v>
      </c>
      <c r="G32" s="62" t="s">
        <v>7</v>
      </c>
      <c r="H32" s="62" t="s">
        <v>84</v>
      </c>
      <c r="I32" s="91">
        <v>3197575.74</v>
      </c>
      <c r="J32" s="62">
        <v>1</v>
      </c>
      <c r="K32" s="62" t="s">
        <v>130</v>
      </c>
      <c r="L32" s="62" t="s">
        <v>18</v>
      </c>
      <c r="M32" s="537">
        <v>44978</v>
      </c>
      <c r="N32" s="117" t="s">
        <v>17</v>
      </c>
      <c r="O32" s="76" t="s">
        <v>1350</v>
      </c>
      <c r="P32" s="76" t="s">
        <v>67</v>
      </c>
      <c r="Q32" s="76" t="s">
        <v>67</v>
      </c>
      <c r="R32" s="941"/>
      <c r="S32" s="941" t="s">
        <v>73</v>
      </c>
      <c r="T32" s="941"/>
      <c r="U32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3055415.7399999998</v>
      </c>
    </row>
    <row r="33" spans="1:21" s="929" customFormat="1" ht="12.75" hidden="1" customHeight="1" outlineLevel="1">
      <c r="A33" s="62">
        <v>31</v>
      </c>
      <c r="B33" s="75">
        <v>348</v>
      </c>
      <c r="C33" s="75">
        <v>24176</v>
      </c>
      <c r="D33" s="117" t="s">
        <v>77</v>
      </c>
      <c r="E33" s="62">
        <v>23.63</v>
      </c>
      <c r="F33" s="941" t="s">
        <v>15</v>
      </c>
      <c r="G33" s="62" t="s">
        <v>27</v>
      </c>
      <c r="H33" s="62" t="s">
        <v>22</v>
      </c>
      <c r="I33" s="95">
        <v>2418412.8199999998</v>
      </c>
      <c r="J33" s="62">
        <v>1</v>
      </c>
      <c r="K33" s="62" t="s">
        <v>65</v>
      </c>
      <c r="L33" s="62" t="s">
        <v>18</v>
      </c>
      <c r="M33" s="92">
        <v>44984</v>
      </c>
      <c r="N33" s="117" t="s">
        <v>17</v>
      </c>
      <c r="O33" s="62" t="s">
        <v>1351</v>
      </c>
      <c r="P33" s="76" t="s">
        <v>67</v>
      </c>
      <c r="Q33" s="76" t="s">
        <v>67</v>
      </c>
      <c r="R33" s="945" t="s">
        <v>77</v>
      </c>
      <c r="S33" s="945" t="s">
        <v>73</v>
      </c>
      <c r="T33" s="945"/>
      <c r="U33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2323892.8199999998</v>
      </c>
    </row>
    <row r="34" spans="1:21" s="929" customFormat="1" ht="12.75" hidden="1" customHeight="1" outlineLevel="1">
      <c r="A34" s="62">
        <v>32</v>
      </c>
      <c r="B34" s="75">
        <v>522</v>
      </c>
      <c r="C34" s="75">
        <v>24233</v>
      </c>
      <c r="D34" s="117" t="s">
        <v>1207</v>
      </c>
      <c r="E34" s="62">
        <v>36.5</v>
      </c>
      <c r="F34" s="941" t="s">
        <v>15</v>
      </c>
      <c r="G34" s="62" t="s">
        <v>7</v>
      </c>
      <c r="H34" s="62" t="s">
        <v>84</v>
      </c>
      <c r="I34" s="95">
        <v>3473147.65</v>
      </c>
      <c r="J34" s="62">
        <v>1</v>
      </c>
      <c r="K34" s="62" t="s">
        <v>130</v>
      </c>
      <c r="L34" s="62" t="s">
        <v>18</v>
      </c>
      <c r="M34" s="92">
        <v>44978</v>
      </c>
      <c r="N34" s="117" t="s">
        <v>17</v>
      </c>
      <c r="O34" s="62" t="s">
        <v>1352</v>
      </c>
      <c r="P34" s="76" t="s">
        <v>67</v>
      </c>
      <c r="Q34" s="76" t="s">
        <v>67</v>
      </c>
      <c r="R34" s="945"/>
      <c r="S34" s="945" t="s">
        <v>77</v>
      </c>
      <c r="T34" s="945"/>
      <c r="U34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3327147.65</v>
      </c>
    </row>
    <row r="35" spans="1:21" s="929" customFormat="1" hidden="1" outlineLevel="1">
      <c r="A35" s="62">
        <v>33</v>
      </c>
      <c r="B35" s="75">
        <v>470</v>
      </c>
      <c r="C35" s="75">
        <v>24227</v>
      </c>
      <c r="D35" s="117" t="s">
        <v>1207</v>
      </c>
      <c r="E35" s="62">
        <v>58.62</v>
      </c>
      <c r="F35" s="941" t="s">
        <v>15</v>
      </c>
      <c r="G35" s="62" t="s">
        <v>7</v>
      </c>
      <c r="H35" s="62" t="s">
        <v>84</v>
      </c>
      <c r="I35" s="95" t="s">
        <v>1353</v>
      </c>
      <c r="J35" s="62">
        <v>2</v>
      </c>
      <c r="K35" s="62" t="s">
        <v>130</v>
      </c>
      <c r="L35" s="62" t="s">
        <v>18</v>
      </c>
      <c r="M35" s="92">
        <v>44978</v>
      </c>
      <c r="N35" s="117" t="s">
        <v>17</v>
      </c>
      <c r="O35" s="62" t="s">
        <v>1352</v>
      </c>
      <c r="P35" s="76" t="s">
        <v>67</v>
      </c>
      <c r="Q35" s="76" t="s">
        <v>67</v>
      </c>
      <c r="R35" s="945"/>
      <c r="S35" s="945" t="s">
        <v>77</v>
      </c>
      <c r="T35" s="945"/>
      <c r="U35" s="946" t="str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/>
      </c>
    </row>
    <row r="36" spans="1:21" s="929" customFormat="1" hidden="1" outlineLevel="1">
      <c r="A36" s="62">
        <v>34</v>
      </c>
      <c r="B36" s="75">
        <v>153</v>
      </c>
      <c r="C36" s="75">
        <v>24181</v>
      </c>
      <c r="D36" s="117" t="s">
        <v>77</v>
      </c>
      <c r="E36" s="62">
        <v>28.27</v>
      </c>
      <c r="F36" s="941" t="s">
        <v>9</v>
      </c>
      <c r="G36" s="62" t="s">
        <v>7</v>
      </c>
      <c r="H36" s="62"/>
      <c r="I36" s="95">
        <v>2414917.4700000002</v>
      </c>
      <c r="J36" s="62">
        <v>0</v>
      </c>
      <c r="K36" s="62" t="s">
        <v>130</v>
      </c>
      <c r="L36" s="62" t="s">
        <v>18</v>
      </c>
      <c r="M36" s="92">
        <v>44982</v>
      </c>
      <c r="N36" s="117" t="s">
        <v>17</v>
      </c>
      <c r="O36" s="62" t="s">
        <v>1354</v>
      </c>
      <c r="P36" s="76" t="s">
        <v>67</v>
      </c>
      <c r="Q36" s="76" t="s">
        <v>67</v>
      </c>
      <c r="R36" s="945" t="s">
        <v>77</v>
      </c>
      <c r="S36" s="945" t="s">
        <v>77</v>
      </c>
      <c r="T36" s="945"/>
      <c r="U36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2414917.4700000002</v>
      </c>
    </row>
    <row r="37" spans="1:21" s="929" customFormat="1" ht="12.75" hidden="1" customHeight="1" outlineLevel="1">
      <c r="A37" s="62">
        <v>35</v>
      </c>
      <c r="B37" s="75">
        <v>85</v>
      </c>
      <c r="C37" s="75">
        <v>24007</v>
      </c>
      <c r="D37" s="117" t="s">
        <v>1233</v>
      </c>
      <c r="E37" s="62">
        <v>54.66</v>
      </c>
      <c r="F37" s="941" t="s">
        <v>15</v>
      </c>
      <c r="G37" s="62" t="s">
        <v>7</v>
      </c>
      <c r="H37" s="62" t="s">
        <v>84</v>
      </c>
      <c r="I37" s="95">
        <v>4165364.91</v>
      </c>
      <c r="J37" s="62">
        <v>2</v>
      </c>
      <c r="K37" s="62" t="s">
        <v>85</v>
      </c>
      <c r="L37" s="62" t="s">
        <v>18</v>
      </c>
      <c r="M37" s="92">
        <v>44979</v>
      </c>
      <c r="N37" s="117" t="s">
        <v>17</v>
      </c>
      <c r="O37" s="62" t="s">
        <v>1355</v>
      </c>
      <c r="P37" s="76" t="s">
        <v>67</v>
      </c>
      <c r="Q37" s="76" t="s">
        <v>67</v>
      </c>
      <c r="R37" s="945" t="s">
        <v>1233</v>
      </c>
      <c r="S37" s="945" t="s">
        <v>1233</v>
      </c>
      <c r="T37" s="945"/>
      <c r="U37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3946724.9100000006</v>
      </c>
    </row>
    <row r="38" spans="1:21" outlineLevel="1">
      <c r="A38" s="62">
        <v>36</v>
      </c>
      <c r="B38" s="75">
        <v>69</v>
      </c>
      <c r="C38" s="75">
        <v>24167</v>
      </c>
      <c r="D38" s="117" t="s">
        <v>77</v>
      </c>
      <c r="E38" s="62">
        <v>54.66</v>
      </c>
      <c r="F38" s="941" t="s">
        <v>15</v>
      </c>
      <c r="G38" s="62" t="s">
        <v>7</v>
      </c>
      <c r="H38" s="62" t="s">
        <v>16</v>
      </c>
      <c r="I38" s="95">
        <v>4110528.66</v>
      </c>
      <c r="J38" s="62">
        <v>2</v>
      </c>
      <c r="K38" s="62" t="s">
        <v>65</v>
      </c>
      <c r="L38" s="62" t="s">
        <v>18</v>
      </c>
      <c r="M38" s="92">
        <v>44979</v>
      </c>
      <c r="N38" s="117" t="s">
        <v>17</v>
      </c>
      <c r="O38" s="62" t="s">
        <v>1356</v>
      </c>
      <c r="P38" s="76" t="s">
        <v>67</v>
      </c>
      <c r="Q38" s="76" t="s">
        <v>67</v>
      </c>
      <c r="R38" s="945" t="s">
        <v>77</v>
      </c>
      <c r="S38" s="945" t="s">
        <v>73</v>
      </c>
      <c r="T38" s="945"/>
      <c r="U38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3891888.66</v>
      </c>
    </row>
    <row r="39" spans="1:21" s="929" customFormat="1" hidden="1" outlineLevel="1">
      <c r="A39" s="62">
        <v>37</v>
      </c>
      <c r="B39" s="75">
        <v>153</v>
      </c>
      <c r="C39" s="75">
        <v>24181</v>
      </c>
      <c r="D39" s="62" t="s">
        <v>77</v>
      </c>
      <c r="E39" s="62">
        <v>28.97</v>
      </c>
      <c r="F39" s="941" t="s">
        <v>9</v>
      </c>
      <c r="G39" s="62" t="s">
        <v>7</v>
      </c>
      <c r="H39" s="62" t="s">
        <v>10</v>
      </c>
      <c r="I39" s="95">
        <v>2414917.4700000002</v>
      </c>
      <c r="J39" s="62">
        <v>0</v>
      </c>
      <c r="K39" s="62" t="s">
        <v>130</v>
      </c>
      <c r="L39" s="62" t="s">
        <v>18</v>
      </c>
      <c r="M39" s="92">
        <v>44982</v>
      </c>
      <c r="N39" s="62" t="s">
        <v>17</v>
      </c>
      <c r="O39" s="62" t="s">
        <v>1354</v>
      </c>
      <c r="P39" s="76" t="s">
        <v>67</v>
      </c>
      <c r="Q39" s="76" t="s">
        <v>67</v>
      </c>
      <c r="R39" s="945" t="s">
        <v>77</v>
      </c>
      <c r="S39" s="945" t="s">
        <v>77</v>
      </c>
      <c r="T39" s="941"/>
      <c r="U39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2414917.4700000002</v>
      </c>
    </row>
    <row r="40" spans="1:21" hidden="1" outlineLevel="1">
      <c r="A40" s="62">
        <v>38</v>
      </c>
      <c r="B40" s="75">
        <v>253</v>
      </c>
      <c r="C40" s="75">
        <v>24083</v>
      </c>
      <c r="D40" s="62" t="s">
        <v>73</v>
      </c>
      <c r="E40" s="62">
        <v>72.510000000000005</v>
      </c>
      <c r="F40" s="941" t="s">
        <v>9</v>
      </c>
      <c r="G40" s="62" t="s">
        <v>7</v>
      </c>
      <c r="H40" s="62" t="s">
        <v>22</v>
      </c>
      <c r="I40" s="95">
        <v>4945347.32</v>
      </c>
      <c r="J40" s="62">
        <v>3</v>
      </c>
      <c r="K40" s="62" t="s">
        <v>65</v>
      </c>
      <c r="L40" s="62" t="s">
        <v>18</v>
      </c>
      <c r="M40" s="92">
        <v>44984</v>
      </c>
      <c r="N40" s="62" t="s">
        <v>17</v>
      </c>
      <c r="O40" s="62" t="s">
        <v>1357</v>
      </c>
      <c r="P40" s="76" t="s">
        <v>67</v>
      </c>
      <c r="Q40" s="76" t="s">
        <v>67</v>
      </c>
      <c r="R40" s="945" t="s">
        <v>73</v>
      </c>
      <c r="S40" s="945" t="s">
        <v>73</v>
      </c>
      <c r="T40" s="945"/>
      <c r="U40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4945347.3199999994</v>
      </c>
    </row>
    <row r="41" spans="1:21" hidden="1" outlineLevel="1">
      <c r="A41" s="62">
        <v>39</v>
      </c>
      <c r="B41" s="62">
        <v>261</v>
      </c>
      <c r="C41" s="62">
        <v>23951</v>
      </c>
      <c r="D41" s="117" t="s">
        <v>73</v>
      </c>
      <c r="E41" s="62">
        <v>33.840000000000003</v>
      </c>
      <c r="F41" s="117" t="s">
        <v>9</v>
      </c>
      <c r="G41" s="62" t="s">
        <v>7</v>
      </c>
      <c r="H41" s="117" t="s">
        <v>22</v>
      </c>
      <c r="I41" s="95">
        <v>2820742.35</v>
      </c>
      <c r="J41" s="62">
        <v>1</v>
      </c>
      <c r="K41" s="117" t="s">
        <v>65</v>
      </c>
      <c r="L41" s="117" t="s">
        <v>18</v>
      </c>
      <c r="M41" s="92">
        <v>44984</v>
      </c>
      <c r="N41" s="62" t="s">
        <v>17</v>
      </c>
      <c r="O41" s="62" t="s">
        <v>1358</v>
      </c>
      <c r="P41" s="76" t="s">
        <v>67</v>
      </c>
      <c r="Q41" s="76" t="s">
        <v>67</v>
      </c>
      <c r="R41" s="945" t="s">
        <v>73</v>
      </c>
      <c r="S41" s="945" t="s">
        <v>73</v>
      </c>
      <c r="T41" s="945"/>
      <c r="U41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2820742.35</v>
      </c>
    </row>
    <row r="42" spans="1:21" outlineLevel="1">
      <c r="A42" s="62">
        <v>40</v>
      </c>
      <c r="B42" s="75">
        <v>336</v>
      </c>
      <c r="C42" s="75">
        <v>17187</v>
      </c>
      <c r="D42" s="117" t="s">
        <v>1233</v>
      </c>
      <c r="E42" s="62">
        <v>56.7</v>
      </c>
      <c r="F42" s="941" t="s">
        <v>25</v>
      </c>
      <c r="G42" s="62" t="s">
        <v>7</v>
      </c>
      <c r="H42" s="62" t="s">
        <v>16</v>
      </c>
      <c r="I42" s="95">
        <v>4927220.28</v>
      </c>
      <c r="J42" s="62">
        <v>2</v>
      </c>
      <c r="K42" s="62" t="s">
        <v>65</v>
      </c>
      <c r="L42" s="62" t="s">
        <v>18</v>
      </c>
      <c r="M42" s="92">
        <v>44984</v>
      </c>
      <c r="N42" s="62" t="s">
        <v>17</v>
      </c>
      <c r="O42" s="62" t="s">
        <v>1359</v>
      </c>
      <c r="P42" s="76" t="s">
        <v>67</v>
      </c>
      <c r="Q42" s="76" t="s">
        <v>67</v>
      </c>
      <c r="R42" s="945" t="s">
        <v>1233</v>
      </c>
      <c r="S42" s="945" t="s">
        <v>1233</v>
      </c>
      <c r="T42" s="945"/>
      <c r="U42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4076720.2800000003</v>
      </c>
    </row>
    <row r="43" spans="1:21" outlineLevel="1">
      <c r="A43" s="62">
        <v>41</v>
      </c>
      <c r="B43" s="75">
        <v>301</v>
      </c>
      <c r="C43" s="75">
        <v>24077</v>
      </c>
      <c r="D43" s="117" t="s">
        <v>77</v>
      </c>
      <c r="E43" s="62">
        <v>56.7</v>
      </c>
      <c r="F43" s="941" t="s">
        <v>25</v>
      </c>
      <c r="G43" s="62" t="s">
        <v>7</v>
      </c>
      <c r="H43" s="62" t="s">
        <v>16</v>
      </c>
      <c r="I43" s="95">
        <v>5021784.5</v>
      </c>
      <c r="J43" s="62">
        <v>2</v>
      </c>
      <c r="K43" s="62" t="s">
        <v>65</v>
      </c>
      <c r="L43" s="62" t="s">
        <v>18</v>
      </c>
      <c r="M43" s="92">
        <v>44984</v>
      </c>
      <c r="N43" s="62" t="s">
        <v>17</v>
      </c>
      <c r="O43" s="95" t="s">
        <v>1360</v>
      </c>
      <c r="P43" s="76" t="s">
        <v>67</v>
      </c>
      <c r="Q43" s="76" t="s">
        <v>67</v>
      </c>
      <c r="R43" s="945" t="s">
        <v>77</v>
      </c>
      <c r="S43" s="945" t="s">
        <v>77</v>
      </c>
      <c r="T43" s="945"/>
      <c r="U43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4171284.5000000005</v>
      </c>
    </row>
    <row r="44" spans="1:21" hidden="1" outlineLevel="1">
      <c r="A44" s="62">
        <v>42</v>
      </c>
      <c r="B44" s="75">
        <v>140</v>
      </c>
      <c r="C44" s="75">
        <v>24240</v>
      </c>
      <c r="D44" s="62" t="s">
        <v>1233</v>
      </c>
      <c r="E44" s="62">
        <v>24.47</v>
      </c>
      <c r="F44" s="941" t="s">
        <v>9</v>
      </c>
      <c r="G44" s="62" t="s">
        <v>27</v>
      </c>
      <c r="H44" s="62" t="s">
        <v>22</v>
      </c>
      <c r="I44" s="95">
        <v>2293307.9300000002</v>
      </c>
      <c r="J44" s="62">
        <v>0</v>
      </c>
      <c r="K44" s="62" t="s">
        <v>65</v>
      </c>
      <c r="L44" s="62" t="s">
        <v>18</v>
      </c>
      <c r="M44" s="92">
        <v>44985</v>
      </c>
      <c r="N44" s="62" t="s">
        <v>17</v>
      </c>
      <c r="O44" s="62" t="s">
        <v>1361</v>
      </c>
      <c r="P44" s="76" t="s">
        <v>67</v>
      </c>
      <c r="Q44" s="76" t="s">
        <v>67</v>
      </c>
      <c r="R44" s="941" t="s">
        <v>1233</v>
      </c>
      <c r="S44" s="941" t="s">
        <v>1233</v>
      </c>
      <c r="T44" s="941"/>
      <c r="U44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2293307.9300000002</v>
      </c>
    </row>
    <row r="45" spans="1:21" hidden="1" outlineLevel="1">
      <c r="A45" s="62">
        <v>43</v>
      </c>
      <c r="B45" s="75">
        <v>34</v>
      </c>
      <c r="C45" s="75">
        <v>11056</v>
      </c>
      <c r="D45" s="117" t="s">
        <v>73</v>
      </c>
      <c r="E45" s="62">
        <v>61.76</v>
      </c>
      <c r="F45" s="941" t="s">
        <v>25</v>
      </c>
      <c r="G45" s="62" t="s">
        <v>7</v>
      </c>
      <c r="H45" s="62" t="s">
        <v>22</v>
      </c>
      <c r="I45" s="95">
        <v>5460418.3200000003</v>
      </c>
      <c r="J45" s="62">
        <v>2</v>
      </c>
      <c r="K45" s="62" t="s">
        <v>65</v>
      </c>
      <c r="L45" s="62" t="s">
        <v>18</v>
      </c>
      <c r="M45" s="92">
        <v>44985</v>
      </c>
      <c r="N45" s="62" t="s">
        <v>17</v>
      </c>
      <c r="O45" s="62" t="s">
        <v>1362</v>
      </c>
      <c r="P45" s="76" t="s">
        <v>67</v>
      </c>
      <c r="Q45" s="76" t="s">
        <v>67</v>
      </c>
      <c r="R45" s="945" t="s">
        <v>73</v>
      </c>
      <c r="S45" s="945" t="s">
        <v>73</v>
      </c>
      <c r="T45" s="945"/>
      <c r="U45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4534018.32</v>
      </c>
    </row>
    <row r="46" spans="1:21" outlineLevel="1">
      <c r="A46" s="62">
        <v>44</v>
      </c>
      <c r="B46" s="75">
        <v>121</v>
      </c>
      <c r="C46" s="75">
        <v>24259</v>
      </c>
      <c r="D46" s="117" t="s">
        <v>73</v>
      </c>
      <c r="E46" s="62">
        <v>24.39</v>
      </c>
      <c r="F46" s="1007" t="s">
        <v>25</v>
      </c>
      <c r="G46" s="62" t="s">
        <v>27</v>
      </c>
      <c r="H46" s="62" t="s">
        <v>16</v>
      </c>
      <c r="I46" s="95">
        <v>2608235.63</v>
      </c>
      <c r="J46" s="62">
        <v>0</v>
      </c>
      <c r="K46" s="62" t="s">
        <v>65</v>
      </c>
      <c r="L46" s="62" t="s">
        <v>18</v>
      </c>
      <c r="M46" s="92">
        <v>44984</v>
      </c>
      <c r="N46" s="62" t="s">
        <v>17</v>
      </c>
      <c r="O46" s="62" t="s">
        <v>1363</v>
      </c>
      <c r="P46" s="76" t="s">
        <v>67</v>
      </c>
      <c r="Q46" s="76" t="s">
        <v>67</v>
      </c>
      <c r="R46" s="945" t="s">
        <v>73</v>
      </c>
      <c r="S46" s="945" t="s">
        <v>73</v>
      </c>
      <c r="T46" s="945"/>
      <c r="U46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2242385.63</v>
      </c>
    </row>
    <row r="47" spans="1:21" outlineLevel="1">
      <c r="A47" s="62">
        <v>45</v>
      </c>
      <c r="B47" s="75">
        <v>167</v>
      </c>
      <c r="C47" s="75">
        <v>23750</v>
      </c>
      <c r="D47" s="62" t="s">
        <v>1233</v>
      </c>
      <c r="E47" s="62">
        <v>78.73</v>
      </c>
      <c r="F47" s="941" t="s">
        <v>15</v>
      </c>
      <c r="G47" s="62" t="s">
        <v>7</v>
      </c>
      <c r="H47" s="62" t="s">
        <v>16</v>
      </c>
      <c r="I47" s="95">
        <v>6018948.6500000004</v>
      </c>
      <c r="J47" s="62">
        <v>3</v>
      </c>
      <c r="K47" s="62" t="s">
        <v>65</v>
      </c>
      <c r="L47" s="62" t="s">
        <v>18</v>
      </c>
      <c r="M47" s="92">
        <v>44984</v>
      </c>
      <c r="N47" s="62" t="s">
        <v>17</v>
      </c>
      <c r="O47" s="62" t="s">
        <v>1364</v>
      </c>
      <c r="P47" s="76" t="s">
        <v>67</v>
      </c>
      <c r="Q47" s="76" t="s">
        <v>67</v>
      </c>
      <c r="R47" s="941" t="s">
        <v>1233</v>
      </c>
      <c r="S47" s="941" t="s">
        <v>1233</v>
      </c>
      <c r="T47" s="941"/>
      <c r="U47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5704028.6500000013</v>
      </c>
    </row>
    <row r="48" spans="1:21" hidden="1" outlineLevel="1">
      <c r="A48" s="62">
        <v>46</v>
      </c>
      <c r="B48" s="75">
        <v>21</v>
      </c>
      <c r="C48" s="75">
        <v>24277</v>
      </c>
      <c r="D48" s="62" t="s">
        <v>1233</v>
      </c>
      <c r="E48" s="62">
        <v>54.66</v>
      </c>
      <c r="F48" s="941" t="s">
        <v>15</v>
      </c>
      <c r="G48" s="62" t="s">
        <v>7</v>
      </c>
      <c r="H48" s="62" t="s">
        <v>22</v>
      </c>
      <c r="I48" s="95">
        <v>4150364.91</v>
      </c>
      <c r="J48" s="62">
        <v>2</v>
      </c>
      <c r="K48" s="62" t="s">
        <v>65</v>
      </c>
      <c r="L48" s="62" t="s">
        <v>18</v>
      </c>
      <c r="M48" s="92">
        <v>44985</v>
      </c>
      <c r="N48" s="62" t="s">
        <v>17</v>
      </c>
      <c r="O48" s="62" t="s">
        <v>1365</v>
      </c>
      <c r="P48" s="76" t="s">
        <v>67</v>
      </c>
      <c r="Q48" s="76" t="s">
        <v>67</v>
      </c>
      <c r="R48" s="941" t="s">
        <v>1233</v>
      </c>
      <c r="S48" s="941" t="s">
        <v>77</v>
      </c>
      <c r="T48" s="941"/>
      <c r="U48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3931724.9099999997</v>
      </c>
    </row>
    <row r="49" spans="1:21" hidden="1" outlineLevel="1">
      <c r="A49" s="62">
        <v>47</v>
      </c>
      <c r="B49" s="75">
        <v>469</v>
      </c>
      <c r="C49" s="75">
        <v>13011</v>
      </c>
      <c r="D49" s="62" t="s">
        <v>8</v>
      </c>
      <c r="E49" s="62">
        <v>56.04</v>
      </c>
      <c r="F49" s="941" t="s">
        <v>15</v>
      </c>
      <c r="G49" s="62" t="s">
        <v>7</v>
      </c>
      <c r="H49" s="62" t="s">
        <v>84</v>
      </c>
      <c r="I49" s="95">
        <v>4384314.8499999996</v>
      </c>
      <c r="J49" s="62">
        <v>2</v>
      </c>
      <c r="K49" s="62" t="s">
        <v>130</v>
      </c>
      <c r="L49" s="62" t="s">
        <v>18</v>
      </c>
      <c r="M49" s="92">
        <v>44985</v>
      </c>
      <c r="N49" s="62" t="s">
        <v>17</v>
      </c>
      <c r="O49" s="62" t="s">
        <v>1366</v>
      </c>
      <c r="P49" s="76" t="s">
        <v>67</v>
      </c>
      <c r="Q49" s="76" t="s">
        <v>67</v>
      </c>
      <c r="R49" s="941" t="s">
        <v>8</v>
      </c>
      <c r="S49" s="941" t="s">
        <v>8</v>
      </c>
      <c r="T49" s="941"/>
      <c r="U49" s="946">
        <f>IFERROR(IF(февр23[[#This Row],[№ дома]]="Дом 2",SUM(февр23[[#This Row],[сумма]]/февр23[[#This Row],[м2]],IF(февр23[[#This Row],[Отделка]]="Черновая",0,"")&amp;IF(февр23[[#This Row],[Отделка]]="Предчистовая",-5500,"")&amp;IF(февр23[[#This Row],[Отделка]]="Чистовая",-16000,""))*февр23[[#This Row],[м2]],SUM(февр23[[#This Row],[сумма]]/февр23[[#This Row],[м2]],IF(февр23[[#This Row],[Отделка]]="Черновая",0,"")&amp;IF(февр23[[#This Row],[Отделка]]="Предчистовая",-4000,"")&amp;IF(февр23[[#This Row],[Отделка]]="Чистовая",-15000,""))*февр23[[#This Row],[м2]]),"")</f>
        <v>4160154.8499999992</v>
      </c>
    </row>
    <row r="50" spans="1:21" outlineLevel="1">
      <c r="A50" s="65"/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7"/>
      <c r="U50" s="948"/>
    </row>
    <row r="51" spans="1:21">
      <c r="A51" s="65"/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7"/>
      <c r="U51" s="948"/>
    </row>
    <row r="52" spans="1:21">
      <c r="A52" s="65"/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7"/>
      <c r="U52" s="948"/>
    </row>
    <row r="53" spans="1:21">
      <c r="A53" s="65"/>
      <c r="B53" s="79"/>
      <c r="C53" s="79"/>
      <c r="D53" s="65"/>
      <c r="E53" s="65"/>
      <c r="F53" s="934"/>
      <c r="G53" s="65"/>
      <c r="H53" s="65"/>
      <c r="I53" s="105"/>
      <c r="J53" s="65"/>
      <c r="K53" s="65"/>
      <c r="L53" s="108"/>
      <c r="M53" s="110"/>
      <c r="N53" s="65"/>
      <c r="O53" s="72"/>
      <c r="P53" s="86"/>
      <c r="Q53" s="86"/>
      <c r="R53" s="86"/>
      <c r="S53" s="86"/>
      <c r="T53" s="86"/>
      <c r="U53" s="948"/>
    </row>
    <row r="54" spans="1:21">
      <c r="A54" s="2293" t="s">
        <v>713</v>
      </c>
      <c r="B54" s="2294"/>
      <c r="C54" s="972" t="s">
        <v>121</v>
      </c>
      <c r="D54" s="973"/>
      <c r="E54" s="29"/>
      <c r="F54" s="29"/>
      <c r="G54" s="29"/>
      <c r="H54" s="974"/>
      <c r="I54" s="974"/>
      <c r="J54" s="974"/>
      <c r="K54" s="974"/>
      <c r="L54" s="974"/>
      <c r="M54" s="29"/>
      <c r="N54" s="29"/>
      <c r="O54" s="29"/>
      <c r="P54" s="29"/>
      <c r="Q54" s="86"/>
      <c r="R54" s="86"/>
      <c r="S54" s="86"/>
      <c r="T54" s="86"/>
    </row>
    <row r="55" spans="1:21">
      <c r="A55" s="975" t="s">
        <v>1</v>
      </c>
      <c r="B55" s="976" t="s">
        <v>100</v>
      </c>
      <c r="C55" s="977" t="s">
        <v>97</v>
      </c>
      <c r="D55" s="978" t="s">
        <v>95</v>
      </c>
      <c r="E55" s="137" t="s">
        <v>494</v>
      </c>
      <c r="F55" s="477" t="s">
        <v>495</v>
      </c>
      <c r="G55" s="478" t="s">
        <v>496</v>
      </c>
      <c r="H55" s="479" t="s">
        <v>101</v>
      </c>
      <c r="I55" s="479" t="s">
        <v>98</v>
      </c>
      <c r="J55" s="479" t="s">
        <v>96</v>
      </c>
      <c r="K55" s="479" t="s">
        <v>715</v>
      </c>
      <c r="L55" s="479" t="s">
        <v>716</v>
      </c>
      <c r="M55" s="499">
        <v>0</v>
      </c>
      <c r="N55" s="340">
        <v>1</v>
      </c>
      <c r="O55" s="340">
        <v>2</v>
      </c>
      <c r="P55" s="340">
        <v>3</v>
      </c>
      <c r="Q55" s="500" t="s">
        <v>1367</v>
      </c>
      <c r="R55" s="949"/>
      <c r="S55" s="949"/>
      <c r="T55" s="949"/>
    </row>
    <row r="56" spans="1:21">
      <c r="A56" s="936" t="s">
        <v>73</v>
      </c>
      <c r="B56" s="937" t="e">
        <f>'Индивидуальный план'!#REF!</f>
        <v>#REF!</v>
      </c>
      <c r="C56" s="937" t="e">
        <f>'Индивидуальный план'!#REF!</f>
        <v>#REF!</v>
      </c>
      <c r="D56" s="938"/>
      <c r="E56" s="148">
        <f>SUMIFS(февр23[м2],февр23[МОП],$A56,февр23[№ дома],$C$54,февр23[Ком],"&lt;&gt;Офис")</f>
        <v>0</v>
      </c>
      <c r="F56" s="939">
        <f>SUMIFS(февр23[сумма без отделки],февр23[МОП],$A56,февр23[№ дома],$C$54,февр23[Ком],"&lt;&gt;Офис")</f>
        <v>0</v>
      </c>
      <c r="G56" s="940">
        <f>COUNTIFS(февр23[МОП],$A56,февр23[№ дома],$C$54,февр23[Ком],"&lt;&gt;Офис")</f>
        <v>0</v>
      </c>
      <c r="H56" s="145">
        <f>SUMIFS(РД[S],РД[Дом],$C$54,РД[МОП],A56,РД[Дата подачи на регистрацию],"&lt;="&amp;$A$1,РД[Дата подачи на регистрацию],"&gt;="&amp;DATE(YEAR($A$1),MONTH($A$1),1),РД[Состояние],"Продажа")</f>
        <v>0</v>
      </c>
      <c r="I56" s="149">
        <f>SUMIFS(РД[Стоимость без отделки итог],РД[Дом],$C$54,РД[МОП],A56,РД[Дата подачи на регистрацию],"&lt;="&amp;$A$1,РД[Дата подачи на регистрацию],"&gt;="&amp;DATE(YEAR($A$1),MONTH($A$1),1),РД[Состояние],"Продажа")</f>
        <v>0</v>
      </c>
      <c r="J56" s="220">
        <f>COUNTIFS(РД[Дом],$C$54,РД[МОП],A56,РД[Дата подачи на регистрацию],"&lt;="&amp;$A$1,РД[Дата подачи на регистрацию],"&gt;="&amp;DATE(YEAR($A$1),MONTH($A$1),1),РД[Состояние],"Продажа")</f>
        <v>0</v>
      </c>
      <c r="K56" s="943">
        <f t="shared" ref="K56:L59" si="0">IFERROR(H56/B56,)</f>
        <v>0</v>
      </c>
      <c r="L56" s="944">
        <f t="shared" si="0"/>
        <v>0</v>
      </c>
      <c r="M56" s="148">
        <f>COUNTIFS(РД[Тип кв],M$55,РД[МОП],$A56,РД[Дом],$C$54,РД[Дата подачи на регистрацию],"&lt;="&amp;$A$1,РД[Дата подачи на регистрацию],"&gt;="&amp;DATE(YEAR($A$1),MONTH($A$1),1))</f>
        <v>0</v>
      </c>
      <c r="N56" s="220">
        <f>COUNTIFS(РД[Тип кв],N$55,РД[МОП],$A56,РД[Дом],$C$54,РД[Дата подачи на регистрацию],"&lt;="&amp;$A$1,РД[Дата подачи на регистрацию],"&gt;="&amp;DATE(YEAR($A$1),MONTH($A$1),1))</f>
        <v>0</v>
      </c>
      <c r="O56" s="220">
        <f>COUNTIFS(РД[Тип кв],O$55,РД[МОП],$A56,РД[Дом],$C$54,РД[Дата подачи на регистрацию],"&lt;="&amp;$A$1,РД[Дата подачи на регистрацию],"&gt;="&amp;DATE(YEAR($A$1),MONTH($A$1),1))</f>
        <v>0</v>
      </c>
      <c r="P56" s="220">
        <f>COUNTIFS(РД[Тип кв],P$55,РД[МОП],$A56,РД[Дом],$C$54,РД[Дата подачи на регистрацию],"&lt;="&amp;$A$1,РД[Дата подачи на регистрацию],"&gt;="&amp;DATE(YEAR($A$1),MONTH($A$1),1))</f>
        <v>0</v>
      </c>
      <c r="Q56" s="223">
        <f>COUNTIFS(РД[Тип кв],Q$55,РД[МОП],$A56,РД[Дом],$C$54,РД[Дата подачи на регистрацию],"&lt;="&amp;$A$1,РД[Дата подачи на регистрацию],"&gt;="&amp;DATE(YEAR($A$1),MONTH($A$1),1))</f>
        <v>0</v>
      </c>
      <c r="R56" s="949"/>
      <c r="S56" s="949"/>
      <c r="T56" s="949"/>
    </row>
    <row r="57" spans="1:21">
      <c r="A57" s="936" t="s">
        <v>8</v>
      </c>
      <c r="B57" s="937" t="e">
        <f>'Индивидуальный план'!#REF!</f>
        <v>#REF!</v>
      </c>
      <c r="C57" s="937" t="e">
        <f>'Индивидуальный план'!#REF!</f>
        <v>#REF!</v>
      </c>
      <c r="D57" s="938"/>
      <c r="E57" s="148">
        <f>SUMIFS(февр23[м2],февр23[МОП],$A57,февр23[№ дома],$C$54,февр23[Ком],"&lt;&gt;Офис")</f>
        <v>0</v>
      </c>
      <c r="F57" s="939">
        <f>SUMIFS(февр23[сумма без отделки],февр23[МОП],$A57,февр23[№ дома],$C$54,февр23[Ком],"&lt;&gt;Офис")</f>
        <v>0</v>
      </c>
      <c r="G57" s="940">
        <f>COUNTIFS(февр23[МОП],$A57,февр23[№ дома],$C$54,февр23[Ком],"&lt;&gt;Офис")</f>
        <v>0</v>
      </c>
      <c r="H57" s="145">
        <f>SUMIFS(РД[S],РД[Дом],$C$54,РД[МОП],A57,РД[Дата подачи на регистрацию],"&lt;="&amp;$A$1,РД[Дата подачи на регистрацию],"&gt;="&amp;DATE(YEAR($A$1),MONTH($A$1),1),РД[Состояние],"Продажа")</f>
        <v>0</v>
      </c>
      <c r="I57" s="149">
        <f>SUMIFS(РД[Стоимость без отделки итог],РД[Дом],$C$54,РД[МОП],A57,РД[Дата подачи на регистрацию],"&lt;="&amp;$A$1,РД[Дата подачи на регистрацию],"&gt;="&amp;DATE(YEAR($A$1),MONTH($A$1),1),РД[Состояние],"Продажа")</f>
        <v>0</v>
      </c>
      <c r="J57" s="220">
        <f>COUNTIFS(РД[Дом],$C$54,РД[МОП],A57,РД[Дата подачи на регистрацию],"&lt;="&amp;$A$1,РД[Дата подачи на регистрацию],"&gt;="&amp;DATE(YEAR($A$1),MONTH($A$1),1),РД[Состояние],"Продажа")</f>
        <v>0</v>
      </c>
      <c r="K57" s="943">
        <f t="shared" ref="K57" si="1">IFERROR(H57/B57,)</f>
        <v>0</v>
      </c>
      <c r="L57" s="944">
        <f t="shared" ref="L57" si="2">IFERROR(I57/C57,)</f>
        <v>0</v>
      </c>
      <c r="M57" s="148">
        <f>COUNTIFS(РД[Тип кв],M$55,РД[МОП],$A57,РД[Дом],$C$54,РД[Дата подачи на регистрацию],"&lt;="&amp;$A$1,РД[Дата подачи на регистрацию],"&gt;="&amp;DATE(YEAR($A$1),MONTH($A$1),1))</f>
        <v>0</v>
      </c>
      <c r="N57" s="220">
        <f>COUNTIFS(РД[Тип кв],N$55,РД[МОП],$A57,РД[Дом],$C$54,РД[Дата подачи на регистрацию],"&lt;="&amp;$A$1,РД[Дата подачи на регистрацию],"&gt;="&amp;DATE(YEAR($A$1),MONTH($A$1),1))</f>
        <v>0</v>
      </c>
      <c r="O57" s="220">
        <f>COUNTIFS(РД[Тип кв],O$55,РД[МОП],$A57,РД[Дом],$C$54,РД[Дата подачи на регистрацию],"&lt;="&amp;$A$1,РД[Дата подачи на регистрацию],"&gt;="&amp;DATE(YEAR($A$1),MONTH($A$1),1))</f>
        <v>0</v>
      </c>
      <c r="P57" s="220">
        <f>COUNTIFS(РД[Тип кв],P$55,РД[МОП],$A57,РД[Дом],$C$54,РД[Дата подачи на регистрацию],"&lt;="&amp;$A$1,РД[Дата подачи на регистрацию],"&gt;="&amp;DATE(YEAR($A$1),MONTH($A$1),1))</f>
        <v>0</v>
      </c>
      <c r="Q57" s="223">
        <f>COUNTIFS(РД[Тип кв],Q$55,РД[МОП],$A57,РД[Дом],$C$54,РД[Дата подачи на регистрацию],"&lt;="&amp;$A$1,РД[Дата подачи на регистрацию],"&gt;="&amp;DATE(YEAR($A$1),MONTH($A$1),1))</f>
        <v>0</v>
      </c>
      <c r="R57" s="949"/>
      <c r="S57" s="949"/>
      <c r="T57" s="949"/>
    </row>
    <row r="58" spans="1:21">
      <c r="A58" s="952" t="s">
        <v>77</v>
      </c>
      <c r="B58" s="937" t="e">
        <f>'Индивидуальный план'!#REF!</f>
        <v>#REF!</v>
      </c>
      <c r="C58" s="937" t="e">
        <f>'Индивидуальный план'!#REF!</f>
        <v>#REF!</v>
      </c>
      <c r="D58" s="953"/>
      <c r="E58" s="202">
        <f>SUMIFS(февр23[м2],февр23[МОП],$A58,февр23[№ дома],$C$54,февр23[Ком],"&lt;&gt;Офис")</f>
        <v>0</v>
      </c>
      <c r="F58" s="954">
        <f>SUMIFS(февр23[сумма без отделки],февр23[МОП],$A58,февр23[№ дома],$C$54,февр23[Ком],"&lt;&gt;Офис")</f>
        <v>0</v>
      </c>
      <c r="G58" s="955">
        <f>COUNTIFS(февр23[МОП],$A58,февр23[№ дома],$C$54,февр23[Ком],"&lt;&gt;Офис")</f>
        <v>0</v>
      </c>
      <c r="H58" s="145">
        <f>SUMIFS(РД[S],РД[Дом],$C$54,РД[МОП],A58,РД[Дата подачи на регистрацию],"&lt;="&amp;$A$1,РД[Дата подачи на регистрацию],"&gt;="&amp;DATE(YEAR($A$1),MONTH($A$1),1),РД[Состояние],"Продажа")</f>
        <v>0</v>
      </c>
      <c r="I58" s="149">
        <f>SUMIFS(РД[Стоимость без отделки итог],РД[Дом],$C$54,РД[МОП],A58,РД[Дата подачи на регистрацию],"&lt;="&amp;$A$1,РД[Дата подачи на регистрацию],"&gt;="&amp;DATE(YEAR($A$1),MONTH($A$1),1),РД[Состояние],"Продажа")</f>
        <v>0</v>
      </c>
      <c r="J58" s="220">
        <f>COUNTIFS(РД[Дом],$C$54,РД[МОП],A58,РД[Дата подачи на регистрацию],"&lt;="&amp;$A$1,РД[Дата подачи на регистрацию],"&gt;="&amp;DATE(YEAR($A$1),MONTH($A$1),1),РД[Состояние],"Продажа")</f>
        <v>0</v>
      </c>
      <c r="K58" s="987">
        <f t="shared" si="0"/>
        <v>0</v>
      </c>
      <c r="L58" s="988">
        <f t="shared" si="0"/>
        <v>0</v>
      </c>
      <c r="M58" s="202">
        <f>COUNTIFS(РД[Тип кв],M$55,РД[МОП],$A58,РД[Дом],$C$54,РД[Дата подачи на регистрацию],"&lt;="&amp;$A$1,РД[Дата подачи на регистрацию],"&gt;="&amp;DATE(YEAR($A$1),MONTH($A$1),1))</f>
        <v>0</v>
      </c>
      <c r="N58" s="226">
        <f>COUNTIFS(РД[Тип кв],N$55,РД[МОП],$A58,РД[Дом],$C$54,РД[Дата подачи на регистрацию],"&lt;="&amp;$A$1,РД[Дата подачи на регистрацию],"&gt;="&amp;DATE(YEAR($A$1),MONTH($A$1),1))</f>
        <v>0</v>
      </c>
      <c r="O58" s="226">
        <f>COUNTIFS(РД[Тип кв],O$55,РД[МОП],$A58,РД[Дом],$C$54,РД[Дата подачи на регистрацию],"&lt;="&amp;$A$1,РД[Дата подачи на регистрацию],"&gt;="&amp;DATE(YEAR($A$1),MONTH($A$1),1))</f>
        <v>0</v>
      </c>
      <c r="P58" s="226">
        <f>COUNTIFS(РД[Тип кв],P$55,РД[МОП],$A58,РД[Дом],$C$54,РД[Дата подачи на регистрацию],"&lt;="&amp;$A$1,РД[Дата подачи на регистрацию],"&gt;="&amp;DATE(YEAR($A$1),MONTH($A$1),1))</f>
        <v>0</v>
      </c>
      <c r="Q58" s="227">
        <f>COUNTIFS(РД[Тип кв],Q$55,РД[МОП],$A58,РД[Дом],$C$54,РД[Дата подачи на регистрацию],"&lt;="&amp;$A$1,РД[Дата подачи на регистрацию],"&gt;="&amp;DATE(YEAR($A$1),MONTH($A$1),1))</f>
        <v>0</v>
      </c>
      <c r="R58" s="949"/>
      <c r="S58" s="949"/>
      <c r="T58" s="949"/>
    </row>
    <row r="59" spans="1:21">
      <c r="A59" s="956" t="s">
        <v>1233</v>
      </c>
      <c r="B59" s="937" t="e">
        <f>'Индивидуальный план'!#REF!</f>
        <v>#REF!</v>
      </c>
      <c r="C59" s="937" t="e">
        <f>'Индивидуальный план'!#REF!</f>
        <v>#REF!</v>
      </c>
      <c r="D59" s="957"/>
      <c r="E59" s="358">
        <f>SUMIFS(февр23[м2],февр23[МОП],$A59,февр23[№ дома],$C$54,февр23[Ком],"&lt;&gt;Офис")</f>
        <v>0</v>
      </c>
      <c r="F59" s="958">
        <f>SUMIFS(февр23[сумма без отделки],февр23[МОП],$A59,февр23[№ дома],$C$54,февр23[Ком],"&lt;&gt;Офис")</f>
        <v>0</v>
      </c>
      <c r="G59" s="959">
        <f>COUNTIFS(февр23[МОП],$A59,февр23[№ дома],$C$54,февр23[Ком],"&lt;&gt;Офис")</f>
        <v>0</v>
      </c>
      <c r="H59" s="145">
        <f>SUMIFS(РД[S],РД[Дом],$C$54,РД[МОП],A59,РД[Дата подачи на регистрацию],"&lt;="&amp;$A$1,РД[Дата подачи на регистрацию],"&gt;="&amp;DATE(YEAR($A$1),MONTH($A$1),1),РД[Состояние],"Продажа")</f>
        <v>0</v>
      </c>
      <c r="I59" s="149">
        <f>SUMIFS(РД[Стоимость без отделки итог],РД[Дом],$C$54,РД[МОП],A59,РД[Дата подачи на регистрацию],"&lt;="&amp;$A$1,РД[Дата подачи на регистрацию],"&gt;="&amp;DATE(YEAR($A$1),MONTH($A$1),1),РД[Состояние],"Продажа")</f>
        <v>0</v>
      </c>
      <c r="J59" s="220">
        <f>COUNTIFS(РД[Дом],$C$54,РД[МОП],A59,РД[Дата подачи на регистрацию],"&lt;="&amp;$A$1,РД[Дата подачи на регистрацию],"&gt;="&amp;DATE(YEAR($A$1),MONTH($A$1),1),РД[Состояние],"Продажа")</f>
        <v>0</v>
      </c>
      <c r="K59" s="987">
        <f t="shared" si="0"/>
        <v>0</v>
      </c>
      <c r="L59" s="988">
        <f t="shared" si="0"/>
        <v>0</v>
      </c>
      <c r="M59" s="195">
        <f>COUNTIFS(РД[Тип кв],M$55,РД[МОП],$A59,РД[Дом],$C$54,РД[Дата подачи на регистрацию],"&lt;="&amp;$A$1,РД[Дата подачи на регистрацию],"&gt;="&amp;DATE(YEAR($A$1),MONTH($A$1),1))</f>
        <v>0</v>
      </c>
      <c r="N59" s="251">
        <f>COUNTIFS(РД[Тип кв],N$55,РД[МОП],$A59,РД[Дом],$C$54,РД[Дата подачи на регистрацию],"&lt;="&amp;$A$1,РД[Дата подачи на регистрацию],"&gt;="&amp;DATE(YEAR($A$1),MONTH($A$1),1))</f>
        <v>0</v>
      </c>
      <c r="O59" s="251">
        <f>COUNTIFS(РД[Тип кв],O$55,РД[МОП],$A59,РД[Дом],$C$54,РД[Дата подачи на регистрацию],"&lt;="&amp;$A$1,РД[Дата подачи на регистрацию],"&gt;="&amp;DATE(YEAR($A$1),MONTH($A$1),1))</f>
        <v>0</v>
      </c>
      <c r="P59" s="251">
        <f>COUNTIFS(РД[Тип кв],P$55,РД[МОП],$A59,РД[Дом],$C$54,РД[Дата подачи на регистрацию],"&lt;="&amp;$A$1,РД[Дата подачи на регистрацию],"&gt;="&amp;DATE(YEAR($A$1),MONTH($A$1),1))</f>
        <v>0</v>
      </c>
      <c r="Q59" s="254">
        <f>COUNTIFS(РД[Тип кв],Q$55,РД[МОП],$A59,РД[Дом],$C$54,РД[Дата подачи на регистрацию],"&lt;="&amp;$A$1,РД[Дата подачи на регистрацию],"&gt;="&amp;DATE(YEAR($A$1),MONTH($A$1),1))</f>
        <v>0</v>
      </c>
      <c r="R59" s="949"/>
      <c r="S59" s="949"/>
      <c r="T59" s="949"/>
    </row>
    <row r="60" spans="1:21">
      <c r="A60" s="960" t="s">
        <v>114</v>
      </c>
      <c r="B60" s="961" t="e">
        <f>'Индивидуальный план'!#REF!</f>
        <v>#REF!</v>
      </c>
      <c r="C60" s="964" t="e">
        <f>'Индивидуальный план'!#REF!</f>
        <v>#REF!</v>
      </c>
      <c r="D60" s="962">
        <f t="shared" ref="D60:J60" si="3">SUM(D56:D59)</f>
        <v>0</v>
      </c>
      <c r="E60" s="963">
        <f t="shared" si="3"/>
        <v>0</v>
      </c>
      <c r="F60" s="964">
        <f t="shared" si="3"/>
        <v>0</v>
      </c>
      <c r="G60" s="965">
        <f t="shared" si="3"/>
        <v>0</v>
      </c>
      <c r="H60" s="961">
        <f t="shared" si="3"/>
        <v>0</v>
      </c>
      <c r="I60" s="964">
        <f t="shared" si="3"/>
        <v>0</v>
      </c>
      <c r="J60" s="962">
        <f t="shared" si="3"/>
        <v>0</v>
      </c>
      <c r="K60" s="419">
        <f>IFERROR(H60/B60,)</f>
        <v>0</v>
      </c>
      <c r="L60" s="420">
        <f>IFERROR(I60/C60,)</f>
        <v>0</v>
      </c>
      <c r="M60" s="473">
        <f>SUM(M56:M59)</f>
        <v>0</v>
      </c>
      <c r="N60" s="494">
        <f>SUM(N56:N59)</f>
        <v>0</v>
      </c>
      <c r="O60" s="494">
        <f>SUM(O56:O59)</f>
        <v>0</v>
      </c>
      <c r="P60" s="989">
        <f>SUM(P56:P59)</f>
        <v>0</v>
      </c>
      <c r="Q60" s="497">
        <f>SUM(Q56:Q59)</f>
        <v>0</v>
      </c>
      <c r="R60" s="949"/>
      <c r="S60" s="949"/>
      <c r="T60" s="949"/>
    </row>
    <row r="61" spans="1:21">
      <c r="A61" s="685" t="s">
        <v>115</v>
      </c>
      <c r="B61" s="723" t="s">
        <v>100</v>
      </c>
      <c r="C61" s="693" t="s">
        <v>97</v>
      </c>
      <c r="D61" s="724" t="s">
        <v>95</v>
      </c>
      <c r="E61" s="137" t="s">
        <v>494</v>
      </c>
      <c r="F61" s="138" t="s">
        <v>495</v>
      </c>
      <c r="G61" s="139" t="s">
        <v>496</v>
      </c>
      <c r="H61" s="482" t="s">
        <v>101</v>
      </c>
      <c r="I61" s="482" t="s">
        <v>98</v>
      </c>
      <c r="J61" s="482" t="s">
        <v>96</v>
      </c>
      <c r="K61" s="502" t="s">
        <v>715</v>
      </c>
      <c r="L61" s="503" t="s">
        <v>716</v>
      </c>
      <c r="M61" s="217">
        <v>0</v>
      </c>
      <c r="N61" s="218">
        <v>1</v>
      </c>
      <c r="O61" s="218">
        <v>2</v>
      </c>
      <c r="P61" s="218">
        <v>3</v>
      </c>
      <c r="Q61" s="219" t="s">
        <v>1367</v>
      </c>
      <c r="R61" s="950"/>
      <c r="S61" s="950"/>
      <c r="T61" s="950"/>
      <c r="U61" s="951"/>
    </row>
    <row r="62" spans="1:21">
      <c r="A62" s="936" t="s">
        <v>16</v>
      </c>
      <c r="B62" s="1018" t="e">
        <f>'Индивидуальный план'!#REF!</f>
        <v>#REF!</v>
      </c>
      <c r="C62" s="954" t="e">
        <f>'Индивидуальный план'!#REF!</f>
        <v>#REF!</v>
      </c>
      <c r="D62" s="417"/>
      <c r="E62" s="966">
        <f>SUMIFS(февр23[м2],февр23[ИМ],A62,февр23[№ дома],$C$54,февр23[Ком],"&lt;&gt;Офис")</f>
        <v>0</v>
      </c>
      <c r="F62" s="149">
        <f>SUMIFS(февр23[сумма без отделки],февр23[ИМ],$A62,февр23[№ дома],$C$54,февр23[Ком],"&lt;&gt;Офис")</f>
        <v>0</v>
      </c>
      <c r="G62" s="940">
        <f>COUNTIFS(февр23[ИМ],$A62,февр23[№ дома],$C$54,февр23[Ком],"&lt;&gt;Офис")</f>
        <v>0</v>
      </c>
      <c r="H62" s="346">
        <f>SUMIFS(РД[S],РД[Дом],$C$54,РД[ИМ],A62,РД[Дата подачи на регистрацию],"&lt;="&amp;$A$1,РД[Дата подачи на регистрацию],"&gt;="&amp;DATE(YEAR($A$1),MONTH($A$1),1),РД[Состояние],"Продажа")</f>
        <v>0</v>
      </c>
      <c r="I62" s="184">
        <f>SUMIFS(РД[Стоимость без отделки итог],РД[Дом],$C$54,РД[ИМ],A62,РД[Дата подачи на регистрацию],"&lt;="&amp;$A$1,РД[Дата подачи на регистрацию],"&gt;="&amp;DATE(YEAR($A$1),MONTH($A$1),1),РД[Состояние],"Продажа")</f>
        <v>0</v>
      </c>
      <c r="J62" s="243">
        <f>COUNTIFS(РД[Дом],$C$54,РД[ИМ],A62,РД[Дата подачи на регистрацию],"&lt;="&amp;$A$1,РД[Дата подачи на регистрацию],"&gt;="&amp;DATE(YEAR($A$1),MONTH($A$1),1),РД[Состояние],"Продажа")</f>
        <v>0</v>
      </c>
      <c r="K62" s="990" t="str">
        <f>IFERROR(H62/B62,"")</f>
        <v/>
      </c>
      <c r="L62" s="991" t="str">
        <f>IFERROR(I62/C62,"")</f>
        <v/>
      </c>
      <c r="M62" s="183">
        <f>COUNTIFS(РД[Тип кв],M$55,РД[ИМ],$A62,РД[Дом],$C$54,РД[Дата подачи на регистрацию],"&lt;="&amp;$A$1,РД[Дата подачи на регистрацию],"&gt;="&amp;DATE(YEAR($A$1),MONTH($A$1),1))</f>
        <v>0</v>
      </c>
      <c r="N62" s="243">
        <f>COUNTIFS(РД[Тип кв],N$55,РД[ИМ],$A62,РД[Дом],$C$54,РД[Дата подачи на регистрацию],"&lt;="&amp;$A$1,РД[Дата подачи на регистрацию],"&gt;="&amp;DATE(YEAR($A$1),MONTH($A$1),1))</f>
        <v>0</v>
      </c>
      <c r="O62" s="243">
        <f>COUNTIFS(РД[Тип кв],O$55,РД[ИМ],$A62,РД[Дом],$C$54,РД[Дата подачи на регистрацию],"&lt;="&amp;$A$1,РД[Дата подачи на регистрацию],"&gt;="&amp;DATE(YEAR($A$1),MONTH($A$1),1))</f>
        <v>0</v>
      </c>
      <c r="P62" s="243">
        <f>COUNTIFS(РД[Тип кв],P$55,РД[ИМ],$A62,РД[Дом],$C$54,РД[Дата подачи на регистрацию],"&lt;="&amp;$A$1,РД[Дата подачи на регистрацию],"&gt;="&amp;DATE(YEAR($A$1),MONTH($A$1),1))</f>
        <v>0</v>
      </c>
      <c r="Q62" s="246">
        <f>COUNTIFS(РД[Тип кв],Q$55,РД[ИМ],$A62,РД[Дом],$C$54,РД[Дата подачи на регистрацию],"&lt;="&amp;$A$1,РД[Дата подачи на регистрацию],"&gt;="&amp;DATE(YEAR($A$1),MONTH($A$1),1))</f>
        <v>0</v>
      </c>
      <c r="R62" s="949"/>
      <c r="S62" s="949"/>
      <c r="T62" s="949"/>
    </row>
    <row r="63" spans="1:21">
      <c r="A63" s="956" t="s">
        <v>22</v>
      </c>
      <c r="B63" s="422" t="e">
        <f>'Индивидуальный план'!#REF!</f>
        <v>#REF!</v>
      </c>
      <c r="C63" s="363" t="e">
        <f>'Индивидуальный план'!#REF!</f>
        <v>#REF!</v>
      </c>
      <c r="D63" s="518"/>
      <c r="E63" s="967">
        <f>SUMIFS(февр23[м2],февр23[ИМ],A63,февр23[№ дома],$C$54,февр23[Ком],"&lt;&gt;Офис")</f>
        <v>0</v>
      </c>
      <c r="F63" s="359">
        <f>SUMIFS(февр23[сумма без отделки],февр23[ИМ],$A63,февр23[№ дома],$C$54,февр23[Ком],"&lt;&gt;Офис")</f>
        <v>0</v>
      </c>
      <c r="G63" s="959">
        <f>COUNTIFS(февр23[ИМ],$A63,февр23[№ дома],$C$54,февр23[Ком],"&lt;&gt;Офис")</f>
        <v>0</v>
      </c>
      <c r="H63" s="426">
        <f>SUMIFS(РД[S],РД[Дом],$C$54,РД[ИМ],A63,РД[Дата подачи на регистрацию],"&lt;="&amp;$A$1,РД[Дата подачи на регистрацию],"&gt;="&amp;DATE(YEAR($A$1),MONTH($A$1),1),РД[Состояние],"Продажа")</f>
        <v>0</v>
      </c>
      <c r="I63" s="196">
        <f>SUMIFS(РД[Стоимость без отделки итог],РД[Дом],$C$54,РД[ИМ],A63,РД[Дата подачи на регистрацию],"&lt;="&amp;$A$1,РД[Дата подачи на регистрацию],"&gt;="&amp;DATE(YEAR($A$1),MONTH($A$1),1),РД[Состояние],"Продажа")</f>
        <v>0</v>
      </c>
      <c r="J63" s="251">
        <f>COUNTIFS(РД[Дом],$C$54,РД[ИМ],A63,РД[Дата подачи на регистрацию],"&lt;="&amp;$A$1,РД[Дата подачи на регистрацию],"&gt;="&amp;DATE(YEAR($A$1),MONTH($A$1),1),РД[Состояние],"Продажа")</f>
        <v>0</v>
      </c>
      <c r="K63" s="992" t="str">
        <f>IFERROR(H63/B63,"")</f>
        <v/>
      </c>
      <c r="L63" s="993" t="str">
        <f>IFERROR(I63/C63,"")</f>
        <v/>
      </c>
      <c r="M63" s="195">
        <f>COUNTIFS(РД[Тип кв],M$55,РД[ИМ],$A63,РД[Дом],$C$54,РД[Дата подачи на регистрацию],"&lt;="&amp;$A$1,РД[Дата подачи на регистрацию],"&gt;="&amp;DATE(YEAR($A$1),MONTH($A$1),1))</f>
        <v>0</v>
      </c>
      <c r="N63" s="251">
        <f>COUNTIFS(РД[Тип кв],N$55,РД[ИМ],$A63,РД[Дом],$C$54,РД[Дата подачи на регистрацию],"&lt;="&amp;$A$1,РД[Дата подачи на регистрацию],"&gt;="&amp;DATE(YEAR($A$1),MONTH($A$1),1))</f>
        <v>0</v>
      </c>
      <c r="O63" s="251">
        <f>COUNTIFS(РД[Тип кв],O$55,РД[ИМ],$A63,РД[Дом],$C$54,РД[Дата подачи на регистрацию],"&lt;="&amp;$A$1,РД[Дата подачи на регистрацию],"&gt;="&amp;DATE(YEAR($A$1),MONTH($A$1),1))</f>
        <v>0</v>
      </c>
      <c r="P63" s="251">
        <f>COUNTIFS(РД[Тип кв],P$55,РД[ИМ],$A63,РД[Дом],$C$54,РД[Дата подачи на регистрацию],"&lt;="&amp;$A$1,РД[Дата подачи на регистрацию],"&gt;="&amp;DATE(YEAR($A$1),MONTH($A$1),1))</f>
        <v>0</v>
      </c>
      <c r="Q63" s="254">
        <f>COUNTIFS(РД[Тип кв],Q$55,РД[ИМ],$A63,РД[Дом],$C$54,РД[Дата подачи на регистрацию],"&lt;="&amp;$A$1,РД[Дата подачи на регистрацию],"&gt;="&amp;DATE(YEAR($A$1),MONTH($A$1),1))</f>
        <v>0</v>
      </c>
      <c r="R63" s="949"/>
      <c r="S63" s="949"/>
      <c r="T63" s="949"/>
    </row>
    <row r="64" spans="1:21">
      <c r="A64" s="409" t="s">
        <v>114</v>
      </c>
      <c r="B64" s="428" t="e">
        <f>'Индивидуальный план'!#REF!</f>
        <v>#REF!</v>
      </c>
      <c r="C64" s="429" t="e">
        <f>'Индивидуальный план'!#REF!</f>
        <v>#REF!</v>
      </c>
      <c r="D64" s="485">
        <f t="shared" ref="D64:J64" si="4">SUM(D62:D63)</f>
        <v>0</v>
      </c>
      <c r="E64" s="473">
        <f t="shared" si="4"/>
        <v>0</v>
      </c>
      <c r="F64" s="429">
        <f t="shared" si="4"/>
        <v>0</v>
      </c>
      <c r="G64" s="497">
        <f t="shared" si="4"/>
        <v>0</v>
      </c>
      <c r="H64" s="473">
        <f t="shared" si="4"/>
        <v>0</v>
      </c>
      <c r="I64" s="429">
        <f t="shared" si="4"/>
        <v>0</v>
      </c>
      <c r="J64" s="497">
        <f t="shared" si="4"/>
        <v>0</v>
      </c>
      <c r="K64" s="238">
        <f>IFERROR(H64/B64,)</f>
        <v>0</v>
      </c>
      <c r="L64" s="501">
        <f>IFERROR(I64/C64,)</f>
        <v>0</v>
      </c>
      <c r="M64" s="897">
        <f>SUM(M62:M63)</f>
        <v>0</v>
      </c>
      <c r="N64" s="897">
        <f>SUM(N62:N63)</f>
        <v>0</v>
      </c>
      <c r="O64" s="897">
        <f>SUM(O62:O63)</f>
        <v>0</v>
      </c>
      <c r="P64" s="897">
        <f>SUM(P62:P63)</f>
        <v>0</v>
      </c>
      <c r="Q64" s="898">
        <f>SUM(Q62:Q63)</f>
        <v>0</v>
      </c>
      <c r="R64" s="65"/>
      <c r="S64" s="65"/>
      <c r="T64" s="65"/>
      <c r="U64" s="339"/>
    </row>
    <row r="65" spans="1:21">
      <c r="A65" s="7"/>
      <c r="B65" s="968"/>
      <c r="C65" s="968"/>
      <c r="D65" s="7"/>
      <c r="E65" s="7"/>
      <c r="F65" s="7"/>
      <c r="G65" s="7"/>
      <c r="H65" s="134"/>
      <c r="I65" s="134"/>
      <c r="J65" s="134"/>
      <c r="K65" s="7"/>
      <c r="L65" s="994"/>
      <c r="M65" s="134"/>
      <c r="N65" s="134"/>
      <c r="O65" s="134"/>
      <c r="P65" s="262"/>
      <c r="Q65" s="134"/>
      <c r="R65" s="949"/>
      <c r="S65" s="949"/>
      <c r="T65" s="949"/>
    </row>
    <row r="66" spans="1:21">
      <c r="A66" s="2290" t="s">
        <v>713</v>
      </c>
      <c r="B66" s="2291"/>
      <c r="C66" s="935" t="s">
        <v>27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7"/>
      <c r="R66" s="949"/>
      <c r="S66" s="949"/>
      <c r="T66" s="949"/>
    </row>
    <row r="67" spans="1:21">
      <c r="A67" s="685" t="s">
        <v>1</v>
      </c>
      <c r="B67" s="723" t="s">
        <v>100</v>
      </c>
      <c r="C67" s="687" t="s">
        <v>97</v>
      </c>
      <c r="D67" s="724" t="s">
        <v>95</v>
      </c>
      <c r="E67" s="137" t="s">
        <v>494</v>
      </c>
      <c r="F67" s="138" t="s">
        <v>495</v>
      </c>
      <c r="G67" s="139" t="s">
        <v>496</v>
      </c>
      <c r="H67" s="140" t="s">
        <v>101</v>
      </c>
      <c r="I67" s="141" t="s">
        <v>98</v>
      </c>
      <c r="J67" s="141" t="s">
        <v>96</v>
      </c>
      <c r="K67" s="141" t="s">
        <v>715</v>
      </c>
      <c r="L67" s="216" t="s">
        <v>716</v>
      </c>
      <c r="M67" s="217">
        <v>0</v>
      </c>
      <c r="N67" s="218">
        <v>1</v>
      </c>
      <c r="O67" s="218">
        <v>2</v>
      </c>
      <c r="P67" s="218">
        <v>3</v>
      </c>
      <c r="Q67" s="219" t="s">
        <v>1367</v>
      </c>
      <c r="R67" s="950"/>
      <c r="S67" s="950"/>
      <c r="T67" s="950"/>
      <c r="U67" s="951"/>
    </row>
    <row r="68" spans="1:21">
      <c r="A68" s="936" t="s">
        <v>73</v>
      </c>
      <c r="B68" s="937" t="e">
        <f>'Индивидуальный план'!#REF!</f>
        <v>#REF!</v>
      </c>
      <c r="C68" s="937" t="e">
        <f>'Индивидуальный план'!#REF!</f>
        <v>#REF!</v>
      </c>
      <c r="D68" s="938"/>
      <c r="E68" s="148">
        <f>SUMIFS(февр23[м2],февр23[МОП],$A68,февр23[№ дома],$C$66,февр23[Ком],"&lt;&gt;Офис")</f>
        <v>48.78</v>
      </c>
      <c r="F68" s="939">
        <f>SUMIFS(февр23[сумма без отделки],февр23[МОП],$A68,февр23[№ дома],$C$66,февр23[Ком],"&lt;&gt;Офис")</f>
        <v>4606742.4399999995</v>
      </c>
      <c r="G68" s="940">
        <f>COUNTIFS(февр23[МОП],$A68,февр23[№ дома],$C$66,февр23[Ком],"&lt;&gt;Офис")</f>
        <v>2</v>
      </c>
      <c r="H68" s="148">
        <f>SUMIFS(РД[S],РД[Дом],$C$66,РД[МОП],A68,РД[Дата подачи на регистрацию],"&lt;="&amp;$A$1,РД[Дата подачи на регистрацию],"&gt;="&amp;DATE(YEAR($A$1),MONTH($A$1),1),РД[Состояние],"Продажа")</f>
        <v>24.39</v>
      </c>
      <c r="I68" s="149">
        <f>SUMIFS(РД[Стоимость без отделки итог],РД[Дом],$C$66,РД[МОП],A68,РД[Дата подачи на регистрацию],"&lt;="&amp;$A$1,РД[Дата подачи на регистрацию],"&gt;="&amp;DATE(YEAR($A$1),MONTH($A$1),1),РД[Состояние],"Продажа")</f>
        <v>2242385.63</v>
      </c>
      <c r="J68" s="220">
        <f>COUNTIFS(РД[Дом],$C$66,РД[МОП],A68,РД[Дата подачи на регистрацию],"&lt;="&amp;$A$1,РД[Дата подачи на регистрацию],"&gt;="&amp;DATE(YEAR($A$1),MONTH($A$1),1),РД[Состояние],"Продажа")</f>
        <v>1</v>
      </c>
      <c r="K68" s="943" t="str">
        <f t="shared" ref="K68:L71" si="5">IFERROR(H68/B68,"")</f>
        <v/>
      </c>
      <c r="L68" s="944" t="str">
        <f t="shared" si="5"/>
        <v/>
      </c>
      <c r="M68" s="183">
        <f>COUNTIFS(РД[Тип кв],M$67,РД[МОП],$A68,РД[Дом],$C$66,РД[Дата подачи на регистрацию],"&lt;="&amp;$A$1,РД[Дата подачи на регистрацию],"&gt;="&amp;DATE(YEAR($A$1),MONTH($A$1),1))</f>
        <v>2</v>
      </c>
      <c r="N68" s="243">
        <f>COUNTIFS(РД[Тип кв],N$67,РД[МОП],$A68,РД[Дом],$C$66,РД[Дата подачи на регистрацию],"&lt;="&amp;$A$1,РД[Дата подачи на регистрацию],"&gt;="&amp;DATE(YEAR($A$1),MONTH($A$1),1))</f>
        <v>0</v>
      </c>
      <c r="O68" s="243">
        <f>COUNTIFS(РД[Тип кв],O$67,РД[МОП],$A68,РД[Дом],$C$66,РД[Дата подачи на регистрацию],"&lt;="&amp;$A$1,РД[Дата подачи на регистрацию],"&gt;="&amp;DATE(YEAR($A$1),MONTH($A$1),1))</f>
        <v>0</v>
      </c>
      <c r="P68" s="243">
        <f>COUNTIFS(РД[Тип кв],P$67,РД[МОП],$A68,РД[Дом],$C$66,РД[Дата подачи на регистрацию],"&lt;="&amp;$A$1,РД[Дата подачи на регистрацию],"&gt;="&amp;DATE(YEAR($A$1),MONTH($A$1),1))</f>
        <v>0</v>
      </c>
      <c r="Q68" s="246">
        <f>COUNTIFS(РД[Тип кв],Q$67,РД[МОП],$A68,РД[Дом],$C$66,РД[Дата подачи на регистрацию],"&lt;="&amp;$A$1,РД[Дата подачи на регистрацию],"&gt;="&amp;DATE(YEAR($A$1),MONTH($A$1),1))</f>
        <v>0</v>
      </c>
      <c r="R68" s="949"/>
      <c r="S68" s="949"/>
      <c r="T68" s="949"/>
    </row>
    <row r="69" spans="1:21">
      <c r="A69" s="936" t="s">
        <v>8</v>
      </c>
      <c r="B69" s="937" t="e">
        <f>'Индивидуальный план'!#REF!</f>
        <v>#REF!</v>
      </c>
      <c r="C69" s="937" t="e">
        <f>'Индивидуальный план'!#REF!</f>
        <v>#REF!</v>
      </c>
      <c r="D69" s="938"/>
      <c r="E69" s="148">
        <f>SUMIFS(февр23[м2],февр23[МОП],$A69,февр23[№ дома],$C$66,февр23[Ком],"&lt;&gt;Офис")</f>
        <v>0</v>
      </c>
      <c r="F69" s="939">
        <f>SUMIFS(февр23[сумма без отделки],февр23[МОП],$A69,февр23[№ дома],$C$66,февр23[Ком],"&lt;&gt;Офис")</f>
        <v>0</v>
      </c>
      <c r="G69" s="940">
        <f>COUNTIFS(февр23[МОП],$A69,февр23[№ дома],$C$66,февр23[Ком],"&lt;&gt;Офис")</f>
        <v>0</v>
      </c>
      <c r="H69" s="148">
        <f>SUMIFS(РД[S],РД[Дом],$C$66,РД[МОП],A69,РД[Дата подачи на регистрацию],"&lt;="&amp;$A$1,РД[Дата подачи на регистрацию],"&gt;="&amp;DATE(YEAR($A$1),MONTH($A$1),1),РД[Состояние],"Продажа")</f>
        <v>0</v>
      </c>
      <c r="I69" s="149">
        <f>SUMIFS(РД[Стоимость без отделки итог],РД[Дом],$C$66,РД[МОП],A69,РД[Дата подачи на регистрацию],"&lt;="&amp;$A$1,РД[Дата подачи на регистрацию],"&gt;="&amp;DATE(YEAR($A$1),MONTH($A$1),1),РД[Состояние],"Продажа")</f>
        <v>0</v>
      </c>
      <c r="J69" s="220">
        <f>COUNTIFS(РД[Дом],$C$66,РД[МОП],A69,РД[Дата подачи на регистрацию],"&lt;="&amp;$A$1,РД[Дата подачи на регистрацию],"&gt;="&amp;DATE(YEAR($A$1),MONTH($A$1),1),РД[Состояние],"Продажа")</f>
        <v>0</v>
      </c>
      <c r="K69" s="943" t="str">
        <f t="shared" ref="K69" si="6">IFERROR(H69/B69,"")</f>
        <v/>
      </c>
      <c r="L69" s="944" t="str">
        <f t="shared" ref="L69" si="7">IFERROR(I69/C69,"")</f>
        <v/>
      </c>
      <c r="M69" s="148">
        <f>COUNTIFS(РД[Тип кв],M$67,РД[МОП],$A69,РД[Дом],$C$66,РД[Дата подачи на регистрацию],"&lt;="&amp;$A$1,РД[Дата подачи на регистрацию],"&gt;="&amp;DATE(YEAR($A$1),MONTH($A$1),1))</f>
        <v>0</v>
      </c>
      <c r="N69" s="220">
        <f>COUNTIFS(РД[Тип кв],N$67,РД[МОП],$A69,РД[Дом],$C$66,РД[Дата подачи на регистрацию],"&lt;="&amp;$A$1,РД[Дата подачи на регистрацию],"&gt;="&amp;DATE(YEAR($A$1),MONTH($A$1),1))</f>
        <v>0</v>
      </c>
      <c r="O69" s="220">
        <f>COUNTIFS(РД[Тип кв],O$67,РД[МОП],$A69,РД[Дом],$C$66,РД[Дата подачи на регистрацию],"&lt;="&amp;$A$1,РД[Дата подачи на регистрацию],"&gt;="&amp;DATE(YEAR($A$1),MONTH($A$1),1))</f>
        <v>0</v>
      </c>
      <c r="P69" s="220">
        <f>COUNTIFS(РД[Тип кв],P$67,РД[МОП],$A69,РД[Дом],$C$66,РД[Дата подачи на регистрацию],"&lt;="&amp;$A$1,РД[Дата подачи на регистрацию],"&gt;="&amp;DATE(YEAR($A$1),MONTH($A$1),1))</f>
        <v>0</v>
      </c>
      <c r="Q69" s="223">
        <f>COUNTIFS(РД[Тип кв],Q$67,РД[МОП],$A69,РД[Дом],$C$66,РД[Дата подачи на регистрацию],"&lt;="&amp;$A$1,РД[Дата подачи на регистрацию],"&gt;="&amp;DATE(YEAR($A$1),MONTH($A$1),1))</f>
        <v>0</v>
      </c>
      <c r="R69" s="949"/>
      <c r="S69" s="949"/>
      <c r="T69" s="949"/>
    </row>
    <row r="70" spans="1:21">
      <c r="A70" s="952" t="s">
        <v>77</v>
      </c>
      <c r="B70" s="1018" t="e">
        <f>'Индивидуальный план'!#REF!</f>
        <v>#REF!</v>
      </c>
      <c r="C70" s="954" t="e">
        <f>'Индивидуальный план'!#REF!</f>
        <v>#REF!</v>
      </c>
      <c r="D70" s="953"/>
      <c r="E70" s="202">
        <f>SUMIFS(февр23[м2],февр23[МОП],$A70,февр23[№ дома],$C$66,февр23[Ком],"&lt;&gt;Офис")</f>
        <v>120.05</v>
      </c>
      <c r="F70" s="954">
        <f>SUMIFS(февр23[сумма без отделки],февр23[МОП],$A70,февр23[№ дома],$C$66,февр23[Ком],"&lt;&gt;Офис")</f>
        <v>11277988</v>
      </c>
      <c r="G70" s="955">
        <f>COUNTIFS(февр23[МОП],$A70,февр23[№ дома],$C$66,февр23[Ком],"&lt;&gt;Офис")</f>
        <v>5</v>
      </c>
      <c r="H70" s="148">
        <f>SUMIFS(РД[S],РД[Дом],$C$66,РД[МОП],A70,РД[Дата подачи на регистрацию],"&lt;="&amp;$A$1,РД[Дата подачи на регистрацию],"&gt;="&amp;DATE(YEAR($A$1),MONTH($A$1),1),РД[Состояние],"Продажа")</f>
        <v>120.05</v>
      </c>
      <c r="I70" s="149">
        <f>SUMIFS(РД[Стоимость без отделки итог],РД[Дом],$C$66,РД[МОП],A70,РД[Дата подачи на регистрацию],"&lt;="&amp;$A$1,РД[Дата подачи на регистрацию],"&gt;="&amp;DATE(YEAR($A$1),MONTH($A$1),1),РД[Состояние],"Продажа")</f>
        <v>11177988</v>
      </c>
      <c r="J70" s="220">
        <f>COUNTIFS(РД[Дом],$C$66,РД[МОП],A70,РД[Дата подачи на регистрацию],"&lt;="&amp;$A$1,РД[Дата подачи на регистрацию],"&gt;="&amp;DATE(YEAR($A$1),MONTH($A$1),1),РД[Состояние],"Продажа")</f>
        <v>5</v>
      </c>
      <c r="K70" s="987" t="str">
        <f t="shared" si="5"/>
        <v/>
      </c>
      <c r="L70" s="988" t="str">
        <f t="shared" si="5"/>
        <v/>
      </c>
      <c r="M70" s="202">
        <f>COUNTIFS(РД[Тип кв],M$67,РД[МОП],$A70,РД[Дом],$C$66,РД[Дата подачи на регистрацию],"&lt;="&amp;$A$1,РД[Дата подачи на регистрацию],"&gt;="&amp;DATE(YEAR($A$1),MONTH($A$1),1))</f>
        <v>5</v>
      </c>
      <c r="N70" s="226">
        <f>COUNTIFS(РД[Тип кв],N$67,РД[МОП],$A70,РД[Дом],$C$66,РД[Дата подачи на регистрацию],"&lt;="&amp;$A$1,РД[Дата подачи на регистрацию],"&gt;="&amp;DATE(YEAR($A$1),MONTH($A$1),1))</f>
        <v>0</v>
      </c>
      <c r="O70" s="226">
        <f>COUNTIFS(РД[Тип кв],O$67,РД[МОП],$A70,РД[Дом],$C$66,РД[Дата подачи на регистрацию],"&lt;="&amp;$A$1,РД[Дата подачи на регистрацию],"&gt;="&amp;DATE(YEAR($A$1),MONTH($A$1),1))</f>
        <v>0</v>
      </c>
      <c r="P70" s="226">
        <f>COUNTIFS(РД[Тип кв],P$67,РД[МОП],$A70,РД[Дом],$C$66,РД[Дата подачи на регистрацию],"&lt;="&amp;$A$1,РД[Дата подачи на регистрацию],"&gt;="&amp;DATE(YEAR($A$1),MONTH($A$1),1))</f>
        <v>0</v>
      </c>
      <c r="Q70" s="227">
        <f>COUNTIFS(РД[Тип кв],Q$67,РД[МОП],$A70,РД[Дом],$C$66,РД[Дата подачи на регистрацию],"&lt;="&amp;$A$1,РД[Дата подачи на регистрацию],"&gt;="&amp;DATE(YEAR($A$1),MONTH($A$1),1))</f>
        <v>0</v>
      </c>
      <c r="R70" s="949"/>
      <c r="S70" s="949"/>
      <c r="T70" s="949"/>
    </row>
    <row r="71" spans="1:21">
      <c r="A71" s="956" t="s">
        <v>1233</v>
      </c>
      <c r="B71" s="1018" t="e">
        <f>'Индивидуальный план'!#REF!</f>
        <v>#REF!</v>
      </c>
      <c r="C71" s="954" t="e">
        <f>'Индивидуальный план'!#REF!</f>
        <v>#REF!</v>
      </c>
      <c r="D71" s="957"/>
      <c r="E71" s="358">
        <f>SUMIFS(февр23[м2],февр23[МОП],$A71,февр23[№ дома],$C$66,февр23[Ком],"&lt;&gt;Офис")</f>
        <v>24.47</v>
      </c>
      <c r="F71" s="958">
        <f>SUMIFS(февр23[сумма без отделки],февр23[МОП],$A71,февр23[№ дома],$C$66,февр23[Ком],"&lt;&gt;Офис")</f>
        <v>2293307.9300000002</v>
      </c>
      <c r="G71" s="959">
        <f>COUNTIFS(февр23[МОП],$A71,февр23[№ дома],$C$66,февр23[Ком],"&lt;&gt;Офис")</f>
        <v>1</v>
      </c>
      <c r="H71" s="148">
        <f>SUMIFS(РД[S],РД[Дом],$C$66,РД[МОП],A71,РД[Дата подачи на регистрацию],"&lt;="&amp;$A$1,РД[Дата подачи на регистрацию],"&gt;="&amp;DATE(YEAR($A$1),MONTH($A$1),1),РД[Состояние],"Продажа")</f>
        <v>24.47</v>
      </c>
      <c r="I71" s="149">
        <f>SUMIFS(РД[Стоимость без отделки итог],РД[Дом],$C$66,РД[МОП],A71,РД[Дата подачи на регистрацию],"&lt;="&amp;$A$1,РД[Дата подачи на регистрацию],"&gt;="&amp;DATE(YEAR($A$1),MONTH($A$1),1),РД[Состояние],"Продажа")</f>
        <v>2293307.9300000002</v>
      </c>
      <c r="J71" s="220">
        <f>COUNTIFS(РД[Дом],$C$66,РД[МОП],A71,РД[Дата подачи на регистрацию],"&lt;="&amp;$A$1,РД[Дата подачи на регистрацию],"&gt;="&amp;DATE(YEAR($A$1),MONTH($A$1),1),РД[Состояние],"Продажа")</f>
        <v>1</v>
      </c>
      <c r="K71" s="987" t="str">
        <f t="shared" si="5"/>
        <v/>
      </c>
      <c r="L71" s="988" t="str">
        <f t="shared" si="5"/>
        <v/>
      </c>
      <c r="M71" s="195">
        <f>COUNTIFS(РД[Тип кв],M$67,РД[МОП],$A71,РД[Дом],$C$66,РД[Дата подачи на регистрацию],"&lt;="&amp;$A$1,РД[Дата подачи на регистрацию],"&gt;="&amp;DATE(YEAR($A$1),MONTH($A$1),1))</f>
        <v>1</v>
      </c>
      <c r="N71" s="251">
        <f>COUNTIFS(РД[Тип кв],N$67,РД[МОП],$A71,РД[Дом],$C$66,РД[Дата подачи на регистрацию],"&lt;="&amp;$A$1,РД[Дата подачи на регистрацию],"&gt;="&amp;DATE(YEAR($A$1),MONTH($A$1),1))</f>
        <v>0</v>
      </c>
      <c r="O71" s="251">
        <f>COUNTIFS(РД[Тип кв],O$67,РД[МОП],$A71,РД[Дом],$C$66,РД[Дата подачи на регистрацию],"&lt;="&amp;$A$1,РД[Дата подачи на регистрацию],"&gt;="&amp;DATE(YEAR($A$1),MONTH($A$1),1))</f>
        <v>0</v>
      </c>
      <c r="P71" s="251">
        <f>COUNTIFS(РД[Тип кв],P$67,РД[МОП],$A71,РД[Дом],$C$66,РД[Дата подачи на регистрацию],"&lt;="&amp;$A$1,РД[Дата подачи на регистрацию],"&gt;="&amp;DATE(YEAR($A$1),MONTH($A$1),1))</f>
        <v>0</v>
      </c>
      <c r="Q71" s="254">
        <f>COUNTIFS(РД[Тип кв],Q$67,РД[МОП],$A71,РД[Дом],$C$66,РД[Дата подачи на регистрацию],"&lt;="&amp;$A$1,РД[Дата подачи на регистрацию],"&gt;="&amp;DATE(YEAR($A$1),MONTH($A$1),1))</f>
        <v>0</v>
      </c>
      <c r="R71" s="949"/>
      <c r="S71" s="949"/>
      <c r="T71" s="949"/>
    </row>
    <row r="72" spans="1:21">
      <c r="A72" s="960" t="s">
        <v>114</v>
      </c>
      <c r="B72" s="961" t="e">
        <f>'Индивидуальный план'!#REF!</f>
        <v>#REF!</v>
      </c>
      <c r="C72" s="964" t="e">
        <f>'Индивидуальный план'!#REF!</f>
        <v>#REF!</v>
      </c>
      <c r="D72" s="962">
        <f t="shared" ref="D72:J72" si="8">SUM(D68:D71)</f>
        <v>0</v>
      </c>
      <c r="E72" s="963">
        <f t="shared" si="8"/>
        <v>193.29999999999998</v>
      </c>
      <c r="F72" s="964">
        <f t="shared" si="8"/>
        <v>18178038.370000001</v>
      </c>
      <c r="G72" s="965">
        <f t="shared" si="8"/>
        <v>8</v>
      </c>
      <c r="H72" s="961">
        <f t="shared" si="8"/>
        <v>168.91</v>
      </c>
      <c r="I72" s="964">
        <f t="shared" si="8"/>
        <v>15713681.559999999</v>
      </c>
      <c r="J72" s="962">
        <f t="shared" si="8"/>
        <v>7</v>
      </c>
      <c r="K72" s="419">
        <f>IFERROR(H72/B72,)</f>
        <v>0</v>
      </c>
      <c r="L72" s="420">
        <f>IFERROR(I72/C72,)</f>
        <v>0</v>
      </c>
      <c r="M72" s="473">
        <f>SUM(M68:M71)</f>
        <v>8</v>
      </c>
      <c r="N72" s="494">
        <f>SUM(N68:N71)</f>
        <v>0</v>
      </c>
      <c r="O72" s="494">
        <f>SUM(O68:O71)</f>
        <v>0</v>
      </c>
      <c r="P72" s="989">
        <f>SUM(P68:P71)</f>
        <v>0</v>
      </c>
      <c r="Q72" s="497">
        <f>SUM(Q68:Q71)</f>
        <v>0</v>
      </c>
      <c r="R72" s="949"/>
      <c r="S72" s="949"/>
      <c r="T72" s="949"/>
    </row>
    <row r="73" spans="1:21">
      <c r="A73" s="685" t="s">
        <v>115</v>
      </c>
      <c r="B73" s="723" t="s">
        <v>100</v>
      </c>
      <c r="C73" s="693" t="s">
        <v>97</v>
      </c>
      <c r="D73" s="724" t="s">
        <v>95</v>
      </c>
      <c r="E73" s="137" t="s">
        <v>494</v>
      </c>
      <c r="F73" s="138" t="s">
        <v>495</v>
      </c>
      <c r="G73" s="139" t="s">
        <v>496</v>
      </c>
      <c r="H73" s="140" t="s">
        <v>101</v>
      </c>
      <c r="I73" s="141" t="s">
        <v>98</v>
      </c>
      <c r="J73" s="141" t="s">
        <v>96</v>
      </c>
      <c r="K73" s="495" t="s">
        <v>715</v>
      </c>
      <c r="L73" s="896" t="s">
        <v>716</v>
      </c>
      <c r="M73" s="217">
        <v>0</v>
      </c>
      <c r="N73" s="218">
        <v>1</v>
      </c>
      <c r="O73" s="218">
        <v>2</v>
      </c>
      <c r="P73" s="218">
        <v>3</v>
      </c>
      <c r="Q73" s="219" t="s">
        <v>1367</v>
      </c>
      <c r="R73" s="950"/>
      <c r="S73" s="950"/>
      <c r="T73" s="950"/>
      <c r="U73" s="951"/>
    </row>
    <row r="74" spans="1:21">
      <c r="A74" s="936" t="s">
        <v>16</v>
      </c>
      <c r="B74" s="1018" t="e">
        <f>'Индивидуальный план'!#REF!</f>
        <v>#REF!</v>
      </c>
      <c r="C74" s="954" t="e">
        <f>'Индивидуальный план'!#REF!</f>
        <v>#REF!</v>
      </c>
      <c r="D74" s="417"/>
      <c r="E74" s="966">
        <f>SUMIFS(февр23[м2],февр23[ИМ],A74,февр23[№ дома],$C$66,февр23[Ком],"&lt;&gt;Офис")</f>
        <v>120.81</v>
      </c>
      <c r="F74" s="149">
        <f>SUMIFS(февр23[сумма без отделки],февр23[ИМ],$A74,февр23[№ дома],$C$66,февр23[Ком],"&lt;&gt;Офис")</f>
        <v>11196480.809999999</v>
      </c>
      <c r="G74" s="940">
        <f>COUNTIFS(февр23[ИМ],$A74,февр23[№ дома],$C$66,февр23[Ком],"&lt;&gt;Офис")</f>
        <v>5</v>
      </c>
      <c r="H74" s="346">
        <f>SUMIFS(РД[S],РД[Дом],$C$66,РД[ИМ],A74,РД[Дата подачи на регистрацию],"&lt;="&amp;$A$1,РД[Дата подачи на регистрацию],"&gt;="&amp;DATE(YEAR($A$1),MONTH($A$1),1),РД[Состояние],"Продажа")</f>
        <v>120.81</v>
      </c>
      <c r="I74" s="184">
        <f>SUMIFS(РД[Стоимость без отделки итог],РД[Дом],$C$66,РД[ИМ],A74,РД[Дата подачи на регистрацию],"&lt;="&amp;$A$1,РД[Дата подачи на регистрацию],"&gt;="&amp;DATE(YEAR($A$1),MONTH($A$1),1),РД[Состояние],"Продажа")</f>
        <v>11096480.809999999</v>
      </c>
      <c r="J74" s="243">
        <f>COUNTIFS(РД[Дом],$C$66,РД[ИМ],A74,РД[Дата подачи на регистрацию],"&lt;="&amp;$A$1,РД[Дата подачи на регистрацию],"&gt;="&amp;DATE(YEAR($A$1),MONTH($A$1),1),РД[Состояние],"Продажа")</f>
        <v>5</v>
      </c>
      <c r="K74" s="990" t="str">
        <f>IFERROR(H74/B74,"")</f>
        <v/>
      </c>
      <c r="L74" s="991" t="str">
        <f>IFERROR(I74/C74,"")</f>
        <v/>
      </c>
      <c r="M74" s="183">
        <f>COUNTIFS(РД[Тип кв],M$67,РД[ИМ],$A74,РД[Дом],$C$66,РД[Дата подачи на регистрацию],"&lt;="&amp;$A$1,РД[Дата подачи на регистрацию],"&gt;="&amp;DATE(YEAR($A$1),MONTH($A$1),1))</f>
        <v>5</v>
      </c>
      <c r="N74" s="243">
        <f>COUNTIFS(РД[Тип кв],N$67,РД[ИМ],$A74,РД[Дом],$C$66,РД[Дата подачи на регистрацию],"&lt;="&amp;$A$1,РД[Дата подачи на регистрацию],"&gt;="&amp;DATE(YEAR($A$1),MONTH($A$1),1))</f>
        <v>0</v>
      </c>
      <c r="O74" s="243">
        <f>COUNTIFS(РД[Тип кв],O$67,РД[ИМ],$A74,РД[Дом],$C$66,РД[Дата подачи на регистрацию],"&lt;="&amp;$A$1,РД[Дата подачи на регистрацию],"&gt;="&amp;DATE(YEAR($A$1),MONTH($A$1),1))</f>
        <v>0</v>
      </c>
      <c r="P74" s="243">
        <f>COUNTIFS(РД[Тип кв],P$67,РД[ИМ],$A74,РД[Дом],$C$66,РД[Дата подачи на регистрацию],"&lt;="&amp;$A$1,РД[Дата подачи на регистрацию],"&gt;="&amp;DATE(YEAR($A$1),MONTH($A$1),1))</f>
        <v>0</v>
      </c>
      <c r="Q74" s="246">
        <f>COUNTIFS(РД[Тип кв],Q$67,РД[ИМ],$A74,РД[Дом],$C$66,РД[Дата подачи на регистрацию],"&lt;="&amp;$A$1,РД[Дата подачи на регистрацию],"&gt;="&amp;DATE(YEAR($A$1),MONTH($A$1),1))</f>
        <v>0</v>
      </c>
      <c r="R74" s="949"/>
      <c r="S74" s="949"/>
      <c r="T74" s="949"/>
    </row>
    <row r="75" spans="1:21">
      <c r="A75" s="956" t="s">
        <v>22</v>
      </c>
      <c r="B75" s="422" t="e">
        <f>'Индивидуальный план'!#REF!</f>
        <v>#REF!</v>
      </c>
      <c r="C75" s="363" t="e">
        <f>'Индивидуальный план'!#REF!</f>
        <v>#REF!</v>
      </c>
      <c r="D75" s="518"/>
      <c r="E75" s="967">
        <f>SUMIFS(февр23[м2],февр23[ИМ],A75,февр23[№ дома],$C$66,февр23[Ком],"&lt;&gt;Офис")</f>
        <v>72.489999999999995</v>
      </c>
      <c r="F75" s="359">
        <f>SUMIFS(февр23[сумма без отделки],февр23[ИМ],$A75,февр23[№ дома],$C$66,февр23[Ком],"&lt;&gt;Офис")</f>
        <v>6981557.5600000005</v>
      </c>
      <c r="G75" s="959">
        <f>COUNTIFS(февр23[ИМ],$A75,февр23[№ дома],$C$66,февр23[Ком],"&lt;&gt;Офис")</f>
        <v>3</v>
      </c>
      <c r="H75" s="426">
        <f>SUMIFS(РД[S],РД[Дом],$C$66,РД[ИМ],A75,РД[Дата подачи на регистрацию],"&lt;="&amp;$A$1,РД[Дата подачи на регистрацию],"&gt;="&amp;DATE(YEAR($A$1),MONTH($A$1),1),РД[Состояние],"Продажа")</f>
        <v>48.099999999999994</v>
      </c>
      <c r="I75" s="196">
        <f>SUMIFS(РД[Стоимость без отделки итог],РД[Дом],$C$66,РД[ИМ],A75,РД[Дата подачи на регистрацию],"&lt;="&amp;$A$1,РД[Дата подачи на регистрацию],"&gt;="&amp;DATE(YEAR($A$1),MONTH($A$1),1),РД[Состояние],"Продажа")</f>
        <v>4617200.75</v>
      </c>
      <c r="J75" s="251">
        <f>COUNTIFS(РД[Дом],$C$66,РД[ИМ],A75,РД[Дата подачи на регистрацию],"&lt;="&amp;$A$1,РД[Дата подачи на регистрацию],"&gt;="&amp;DATE(YEAR($A$1),MONTH($A$1),1),РД[Состояние],"Продажа")</f>
        <v>2</v>
      </c>
      <c r="K75" s="992" t="str">
        <f>IFERROR(H75/B75,"")</f>
        <v/>
      </c>
      <c r="L75" s="993" t="str">
        <f>IFERROR(I75/C75,"")</f>
        <v/>
      </c>
      <c r="M75" s="195">
        <f>COUNTIFS(РД[Тип кв],M$67,РД[ИМ],$A75,РД[Дом],$C$66,РД[Дата подачи на регистрацию],"&lt;="&amp;$A$1,РД[Дата подачи на регистрацию],"&gt;="&amp;DATE(YEAR($A$1),MONTH($A$1),1))</f>
        <v>3</v>
      </c>
      <c r="N75" s="251">
        <f>COUNTIFS(РД[Тип кв],N$67,РД[ИМ],$A75,РД[Дом],$C$66,РД[Дата подачи на регистрацию],"&lt;="&amp;$A$1,РД[Дата подачи на регистрацию],"&gt;="&amp;DATE(YEAR($A$1),MONTH($A$1),1))</f>
        <v>0</v>
      </c>
      <c r="O75" s="251">
        <f>COUNTIFS(РД[Тип кв],O$67,РД[ИМ],$A75,РД[Дом],$C$66,РД[Дата подачи на регистрацию],"&lt;="&amp;$A$1,РД[Дата подачи на регистрацию],"&gt;="&amp;DATE(YEAR($A$1),MONTH($A$1),1))</f>
        <v>0</v>
      </c>
      <c r="P75" s="251">
        <f>COUNTIFS(РД[Тип кв],P$67,РД[ИМ],$A75,РД[Дом],$C$66,РД[Дата подачи на регистрацию],"&lt;="&amp;$A$1,РД[Дата подачи на регистрацию],"&gt;="&amp;DATE(YEAR($A$1),MONTH($A$1),1))</f>
        <v>0</v>
      </c>
      <c r="Q75" s="254">
        <f>COUNTIFS(РД[Тип кв],Q$67,РД[ИМ],$A75,РД[Дом],$C$66,РД[Дата подачи на регистрацию],"&lt;="&amp;$A$1,РД[Дата подачи на регистрацию],"&gt;="&amp;DATE(YEAR($A$1),MONTH($A$1),1))</f>
        <v>0</v>
      </c>
      <c r="R75" s="949"/>
      <c r="S75" s="949"/>
      <c r="T75" s="949"/>
    </row>
    <row r="76" spans="1:21">
      <c r="A76" s="409" t="s">
        <v>114</v>
      </c>
      <c r="B76" s="428" t="e">
        <f>'Индивидуальный план'!#REF!</f>
        <v>#REF!</v>
      </c>
      <c r="C76" s="429" t="e">
        <f>'Индивидуальный план'!#REF!</f>
        <v>#REF!</v>
      </c>
      <c r="D76" s="485">
        <f t="shared" ref="D76:J76" si="9">SUM(D74:D75)</f>
        <v>0</v>
      </c>
      <c r="E76" s="473">
        <f t="shared" si="9"/>
        <v>193.3</v>
      </c>
      <c r="F76" s="429">
        <f t="shared" si="9"/>
        <v>18178038.369999997</v>
      </c>
      <c r="G76" s="497">
        <f t="shared" si="9"/>
        <v>8</v>
      </c>
      <c r="H76" s="473">
        <f t="shared" si="9"/>
        <v>168.91</v>
      </c>
      <c r="I76" s="429">
        <f t="shared" si="9"/>
        <v>15713681.559999999</v>
      </c>
      <c r="J76" s="497">
        <f t="shared" si="9"/>
        <v>7</v>
      </c>
      <c r="K76" s="419">
        <f>IFERROR(H76/B76,)</f>
        <v>0</v>
      </c>
      <c r="L76" s="507">
        <f>IFERROR(I76/C76,)</f>
        <v>0</v>
      </c>
      <c r="M76" s="317">
        <f>SUM(M74:M75)</f>
        <v>8</v>
      </c>
      <c r="N76" s="917">
        <f>SUM(N74:N75)</f>
        <v>0</v>
      </c>
      <c r="O76" s="917">
        <f>SUM(O74:O75)</f>
        <v>0</v>
      </c>
      <c r="P76" s="917">
        <f>SUM(P74:P75)</f>
        <v>0</v>
      </c>
      <c r="Q76" s="928">
        <f>SUM(Q74:Q75)</f>
        <v>0</v>
      </c>
      <c r="R76" s="949"/>
      <c r="S76" s="949"/>
      <c r="T76" s="949"/>
    </row>
    <row r="77" spans="1:21">
      <c r="A77" s="7"/>
      <c r="B77" s="968"/>
      <c r="C77" s="968"/>
      <c r="D77" s="969"/>
      <c r="E77" s="7"/>
      <c r="F77" s="7"/>
      <c r="G77" s="7"/>
      <c r="H77" s="134"/>
      <c r="I77" s="134"/>
      <c r="J77" s="134"/>
      <c r="K77" s="7"/>
      <c r="L77" s="994"/>
      <c r="M77" s="134"/>
      <c r="N77" s="134"/>
      <c r="O77" s="134"/>
      <c r="P77" s="262"/>
      <c r="Q77" s="134"/>
      <c r="R77" s="949"/>
      <c r="S77" s="949"/>
      <c r="T77" s="949"/>
    </row>
    <row r="78" spans="1:21">
      <c r="A78" s="2290" t="s">
        <v>713</v>
      </c>
      <c r="B78" s="2291"/>
      <c r="C78" s="935" t="s">
        <v>7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7"/>
      <c r="R78" s="949"/>
      <c r="S78" s="949"/>
      <c r="T78" s="949"/>
    </row>
    <row r="79" spans="1:21">
      <c r="A79" s="685" t="s">
        <v>1</v>
      </c>
      <c r="B79" s="723" t="s">
        <v>100</v>
      </c>
      <c r="C79" s="687" t="s">
        <v>97</v>
      </c>
      <c r="D79" s="724" t="s">
        <v>95</v>
      </c>
      <c r="E79" s="137" t="s">
        <v>494</v>
      </c>
      <c r="F79" s="138" t="s">
        <v>495</v>
      </c>
      <c r="G79" s="139" t="s">
        <v>496</v>
      </c>
      <c r="H79" s="140" t="s">
        <v>101</v>
      </c>
      <c r="I79" s="141" t="s">
        <v>98</v>
      </c>
      <c r="J79" s="141" t="s">
        <v>96</v>
      </c>
      <c r="K79" s="141" t="s">
        <v>715</v>
      </c>
      <c r="L79" s="216" t="s">
        <v>716</v>
      </c>
      <c r="M79" s="217">
        <v>0</v>
      </c>
      <c r="N79" s="218">
        <v>1</v>
      </c>
      <c r="O79" s="218">
        <v>2</v>
      </c>
      <c r="P79" s="218">
        <v>3</v>
      </c>
      <c r="Q79" s="219" t="s">
        <v>1367</v>
      </c>
      <c r="R79" s="949"/>
      <c r="S79" s="949"/>
      <c r="T79" s="949"/>
    </row>
    <row r="80" spans="1:21">
      <c r="A80" s="936" t="s">
        <v>73</v>
      </c>
      <c r="B80" s="937" t="e">
        <f>'Индивидуальный план'!#REF!</f>
        <v>#REF!</v>
      </c>
      <c r="C80" s="937" t="e">
        <f>'Индивидуальный план'!#REF!</f>
        <v>#REF!</v>
      </c>
      <c r="D80" s="938"/>
      <c r="E80" s="148">
        <f>SUMIFS(февр23[м2],февр23[МОП],$A80,февр23[№ дома],$C$78,февр23[Ком],"&lt;&gt;Офис")</f>
        <v>468.97</v>
      </c>
      <c r="F80" s="939">
        <f>SUMIFS(февр23[сумма без отделки],февр23[МОП],$A80,февр23[№ дома],$C$78,февр23[Ком],"&lt;&gt;Офис")</f>
        <v>35814088.049999997</v>
      </c>
      <c r="G80" s="940">
        <f>COUNTIFS(февр23[МОП],$A80,февр23[№ дома],$C$78,февр23[Ком],"&lt;&gt;Офис")</f>
        <v>10</v>
      </c>
      <c r="H80" s="148">
        <f>SUMIFS(РД[S],РД[Дом],$C$78,РД[МОП],A80,РД[Дата подачи на регистрацию],"&lt;="&amp;$A$1,РД[Дата подачи на регистрацию],"&gt;="&amp;DATE(YEAR($A$1),MONTH($A$1),1),РД[Состояние],"Продажа")</f>
        <v>576.3900000000001</v>
      </c>
      <c r="I80" s="149">
        <f>SUMIFS(РД[Стоимость без отделки итог],РД[Дом],$C$78,РД[МОП],A80,РД[Дата подачи на регистрацию],"&lt;="&amp;$A$1,РД[Дата подачи на регистрацию],"&gt;="&amp;DATE(YEAR($A$1),MONTH($A$1),1),РД[Состояние],"Продажа")</f>
        <v>45014634.909999996</v>
      </c>
      <c r="J80" s="220">
        <f>COUNTIFS(РД[Дом],$C$78,РД[МОП],A80,РД[Дата подачи на регистрацию],"&lt;="&amp;$A$1,РД[Дата подачи на регистрацию],"&gt;="&amp;DATE(YEAR($A$1),MONTH($A$1),1),РД[Состояние],"Продажа")</f>
        <v>13</v>
      </c>
      <c r="K80" s="943" t="str">
        <f t="shared" ref="K80:L83" si="10">IFERROR(H80/B80,"")</f>
        <v/>
      </c>
      <c r="L80" s="944" t="str">
        <f t="shared" si="10"/>
        <v/>
      </c>
      <c r="M80" s="183">
        <f>COUNTIFS(РД[Тип кв],M$67,РД[МОП],$A80,РД[Дом],$C$78,РД[Дата подачи на регистрацию],"&lt;="&amp;$A$1,РД[Дата подачи на регистрацию],"&gt;="&amp;DATE(YEAR($A$1),MONTH($A$1),1))</f>
        <v>1</v>
      </c>
      <c r="N80" s="243">
        <f>COUNTIFS(РД[Тип кв],N$67,РД[МОП],$A80,РД[Дом],$C$78,РД[Дата подачи на регистрацию],"&lt;="&amp;$A$1,РД[Дата подачи на регистрацию],"&gt;="&amp;DATE(YEAR($A$1),MONTH($A$1),1))</f>
        <v>8</v>
      </c>
      <c r="O80" s="243">
        <f>COUNTIFS(РД[Тип кв],O$67,РД[МОП],$A80,РД[Дом],$C$78,РД[Дата подачи на регистрацию],"&lt;="&amp;$A$1,РД[Дата подачи на регистрацию],"&gt;="&amp;DATE(YEAR($A$1),MONTH($A$1),1))</f>
        <v>3</v>
      </c>
      <c r="P80" s="243">
        <f>COUNTIFS(РД[Тип кв],P$67,РД[МОП],$A80,РД[Дом],$C$78,РД[Дата подачи на регистрацию],"&lt;="&amp;$A$1,РД[Дата подачи на регистрацию],"&gt;="&amp;DATE(YEAR($A$1),MONTH($A$1),1))</f>
        <v>2</v>
      </c>
      <c r="Q80" s="246">
        <f>COUNTIFS(РД[Тип кв],Q$67,РД[МОП],$A80,РД[Дом],$C$78,РД[Дата подачи на регистрацию],"&lt;="&amp;$A$1,РД[Дата подачи на регистрацию],"&gt;="&amp;DATE(YEAR($A$1),MONTH($A$1),1))</f>
        <v>0</v>
      </c>
      <c r="R80" s="949"/>
      <c r="S80" s="949"/>
      <c r="T80" s="949"/>
    </row>
    <row r="81" spans="1:21">
      <c r="A81" s="936" t="s">
        <v>8</v>
      </c>
      <c r="B81" s="937" t="e">
        <f>'Индивидуальный план'!#REF!</f>
        <v>#REF!</v>
      </c>
      <c r="C81" s="937" t="e">
        <f>'Индивидуальный план'!#REF!</f>
        <v>#REF!</v>
      </c>
      <c r="D81" s="938"/>
      <c r="E81" s="148">
        <f>SUMIFS(февр23[м2],февр23[МОП],$A81,февр23[№ дома],$C$78,февр23[Ком],"&lt;&gt;Офис")</f>
        <v>56.04</v>
      </c>
      <c r="F81" s="939">
        <f>SUMIFS(февр23[сумма без отделки],февр23[МОП],$A81,февр23[№ дома],$C$78,февр23[Ком],"&lt;&gt;Офис")</f>
        <v>4160154.8499999992</v>
      </c>
      <c r="G81" s="940">
        <f>COUNTIFS(февр23[МОП],$A81,февр23[№ дома],$C$78,февр23[Ком],"&lt;&gt;Офис")</f>
        <v>1</v>
      </c>
      <c r="H81" s="148">
        <f>SUMIFS(РД[S],РД[Дом],$C$78,РД[МОП],A81,РД[Дата подачи на регистрацию],"&lt;="&amp;$A$1,РД[Дата подачи на регистрацию],"&gt;="&amp;DATE(YEAR($A$1),MONTH($A$1),1),РД[Состояние],"Продажа")</f>
        <v>0</v>
      </c>
      <c r="I81" s="149">
        <f>SUMIFS(РД[Стоимость без отделки итог],РД[Дом],$C$78,РД[МОП],A81,РД[Дата подачи на регистрацию],"&lt;="&amp;$A$1,РД[Дата подачи на регистрацию],"&gt;="&amp;DATE(YEAR($A$1),MONTH($A$1),1),РД[Состояние],"Продажа")</f>
        <v>0</v>
      </c>
      <c r="J81" s="220">
        <f>COUNTIFS(РД[Дом],$C$78,РД[МОП],A81,РД[Дата подачи на регистрацию],"&lt;="&amp;$A$1,РД[Дата подачи на регистрацию],"&gt;="&amp;DATE(YEAR($A$1),MONTH($A$1),1),РД[Состояние],"Продажа")</f>
        <v>0</v>
      </c>
      <c r="K81" s="943" t="str">
        <f t="shared" ref="K81" si="11">IFERROR(H81/B81,"")</f>
        <v/>
      </c>
      <c r="L81" s="944" t="str">
        <f t="shared" ref="L81" si="12">IFERROR(I81/C81,"")</f>
        <v/>
      </c>
      <c r="M81" s="148">
        <f>COUNTIFS(РД[Тип кв],M$67,РД[МОП],$A81,РД[Дом],$C$78,РД[Дата подачи на регистрацию],"&lt;="&amp;$A$1,РД[Дата подачи на регистрацию],"&gt;="&amp;DATE(YEAR($A$1),MONTH($A$1),1))</f>
        <v>0</v>
      </c>
      <c r="N81" s="220">
        <f>COUNTIFS(РД[Тип кв],N$67,РД[МОП],$A81,РД[Дом],$C$78,РД[Дата подачи на регистрацию],"&lt;="&amp;$A$1,РД[Дата подачи на регистрацию],"&gt;="&amp;DATE(YEAR($A$1),MONTH($A$1),1))</f>
        <v>0</v>
      </c>
      <c r="O81" s="220">
        <f>COUNTIFS(РД[Тип кв],O$67,РД[МОП],$A81,РД[Дом],$C$78,РД[Дата подачи на регистрацию],"&lt;="&amp;$A$1,РД[Дата подачи на регистрацию],"&gt;="&amp;DATE(YEAR($A$1),MONTH($A$1),1))</f>
        <v>1</v>
      </c>
      <c r="P81" s="220">
        <f>COUNTIFS(РД[Тип кв],P$67,РД[МОП],$A81,РД[Дом],$C$78,РД[Дата подачи на регистрацию],"&lt;="&amp;$A$1,РД[Дата подачи на регистрацию],"&gt;="&amp;DATE(YEAR($A$1),MONTH($A$1),1))</f>
        <v>0</v>
      </c>
      <c r="Q81" s="223">
        <f>COUNTIFS(РД[Тип кв],Q$67,РД[МОП],$A81,РД[Дом],$C$78,РД[Дата подачи на регистрацию],"&lt;="&amp;$A$1,РД[Дата подачи на регистрацию],"&gt;="&amp;DATE(YEAR($A$1),MONTH($A$1),1))</f>
        <v>0</v>
      </c>
      <c r="R81" s="949"/>
      <c r="S81" s="949"/>
      <c r="T81" s="949"/>
    </row>
    <row r="82" spans="1:21">
      <c r="A82" s="952" t="s">
        <v>77</v>
      </c>
      <c r="B82" s="1018" t="e">
        <f>'Индивидуальный план'!#REF!</f>
        <v>#REF!</v>
      </c>
      <c r="C82" s="954" t="e">
        <f>'Индивидуальный план'!#REF!</f>
        <v>#REF!</v>
      </c>
      <c r="D82" s="953"/>
      <c r="E82" s="148">
        <f>SUMIFS(февр23[м2],февр23[МОП],$A82,февр23[№ дома],$C$78,февр23[Ком],"&lt;&gt;Офис")</f>
        <v>480.09999999999997</v>
      </c>
      <c r="F82" s="939">
        <f>SUMIFS(февр23[сумма без отделки],февр23[МОП],$A82,февр23[№ дома],$C$78,февр23[Ком],"&lt;&gt;Офис")</f>
        <v>36823241.889999993</v>
      </c>
      <c r="G82" s="940">
        <f>COUNTIFS(февр23[МОП],$A82,февр23[№ дома],$C$78,февр23[Ком],"&lt;&gt;Офис")</f>
        <v>10</v>
      </c>
      <c r="H82" s="148">
        <f>SUMIFS(РД[S],РД[Дом],$C$78,РД[МОП],A82,РД[Дата подачи на регистрацию],"&lt;="&amp;$A$1,РД[Дата подачи на регистрацию],"&gt;="&amp;DATE(YEAR($A$1),MONTH($A$1),1),РД[Состояние],"Продажа")</f>
        <v>451.83</v>
      </c>
      <c r="I82" s="149">
        <f>SUMIFS(РД[Стоимость без отделки итог],РД[Дом],$C$78,РД[МОП],A82,РД[Дата подачи на регистрацию],"&lt;="&amp;$A$1,РД[Дата подачи на регистрацию],"&gt;="&amp;DATE(YEAR($A$1),MONTH($A$1),1),РД[Состояние],"Продажа")</f>
        <v>34408324.420000002</v>
      </c>
      <c r="J82" s="220">
        <f>COUNTIFS(РД[Дом],$C$78,РД[МОП],A82,РД[Дата подачи на регистрацию],"&lt;="&amp;$A$1,РД[Дата подачи на регистрацию],"&gt;="&amp;DATE(YEAR($A$1),MONTH($A$1),1),РД[Состояние],"Продажа")</f>
        <v>9</v>
      </c>
      <c r="K82" s="987" t="str">
        <f t="shared" si="10"/>
        <v/>
      </c>
      <c r="L82" s="988" t="str">
        <f t="shared" si="10"/>
        <v/>
      </c>
      <c r="M82" s="202">
        <f>COUNTIFS(РД[Тип кв],M$67,РД[МОП],$A82,РД[Дом],$C$78,РД[Дата подачи на регистрацию],"&lt;="&amp;$A$1,РД[Дата подачи на регистрацию],"&gt;="&amp;DATE(YEAR($A$1),MONTH($A$1),1))</f>
        <v>2</v>
      </c>
      <c r="N82" s="226">
        <f>COUNTIFS(РД[Тип кв],N$67,РД[МОП],$A82,РД[Дом],$C$78,РД[Дата подачи на регистрацию],"&lt;="&amp;$A$1,РД[Дата подачи на регистрацию],"&gt;="&amp;DATE(YEAR($A$1),MONTH($A$1),1))</f>
        <v>2</v>
      </c>
      <c r="O82" s="226">
        <f>COUNTIFS(РД[Тип кв],O$67,РД[МОП],$A82,РД[Дом],$C$78,РД[Дата подачи на регистрацию],"&lt;="&amp;$A$1,РД[Дата подачи на регистрацию],"&gt;="&amp;DATE(YEAR($A$1),MONTH($A$1),1))</f>
        <v>7</v>
      </c>
      <c r="P82" s="226">
        <f>COUNTIFS(РД[Тип кв],P$67,РД[МОП],$A82,РД[Дом],$C$78,РД[Дата подачи на регистрацию],"&lt;="&amp;$A$1,РД[Дата подачи на регистрацию],"&gt;="&amp;DATE(YEAR($A$1),MONTH($A$1),1))</f>
        <v>0</v>
      </c>
      <c r="Q82" s="227">
        <f>COUNTIFS(РД[Тип кв],Q$67,РД[МОП],$A82,РД[Дом],$C$78,РД[Дата подачи на регистрацию],"&lt;="&amp;$A$1,РД[Дата подачи на регистрацию],"&gt;="&amp;DATE(YEAR($A$1),MONTH($A$1),1))</f>
        <v>0</v>
      </c>
      <c r="R82" s="949"/>
      <c r="S82" s="949"/>
      <c r="T82" s="949"/>
    </row>
    <row r="83" spans="1:21">
      <c r="A83" s="956" t="s">
        <v>1233</v>
      </c>
      <c r="B83" s="1018" t="e">
        <f>'Индивидуальный план'!#REF!</f>
        <v>#REF!</v>
      </c>
      <c r="C83" s="954" t="e">
        <f>'Индивидуальный план'!#REF!</f>
        <v>#REF!</v>
      </c>
      <c r="D83" s="957"/>
      <c r="E83" s="148">
        <f>SUMIFS(февр23[м2],февр23[МОП],$A83,февр23[№ дома],$C$78,февр23[Ком],"&lt;&gt;Офис")</f>
        <v>429.13</v>
      </c>
      <c r="F83" s="939">
        <f>SUMIFS(февр23[сумма без отделки],февр23[МОП],$A83,февр23[№ дома],$C$78,февр23[Ком],"&lt;&gt;Офис")</f>
        <v>32435922.010000005</v>
      </c>
      <c r="G83" s="940">
        <f>COUNTIFS(февр23[МОП],$A83,февр23[№ дома],$C$78,февр23[Ком],"&lt;&gt;Офис")</f>
        <v>8</v>
      </c>
      <c r="H83" s="148">
        <f>SUMIFS(РД[S],РД[Дом],$C$78,РД[МОП],A83,РД[Дата подачи на регистрацию],"&lt;="&amp;$A$1,РД[Дата подачи на регистрацию],"&gt;="&amp;DATE(YEAR($A$1),MONTH($A$1),1),РД[Состояние],"Продажа")</f>
        <v>429.13</v>
      </c>
      <c r="I83" s="149">
        <f>SUMIFS(РД[Стоимость без отделки итог],РД[Дом],$C$78,РД[МОП],A83,РД[Дата подачи на регистрацию],"&lt;="&amp;$A$1,РД[Дата подачи на регистрацию],"&gt;="&amp;DATE(YEAR($A$1),MONTH($A$1),1),РД[Состояние],"Продажа")</f>
        <v>32435922.010000002</v>
      </c>
      <c r="J83" s="220">
        <f>COUNTIFS(РД[Дом],$C$78,РД[МОП],A83,РД[Дата подачи на регистрацию],"&lt;="&amp;$A$1,РД[Дата подачи на регистрацию],"&gt;="&amp;DATE(YEAR($A$1),MONTH($A$1),1),РД[Состояние],"Продажа")</f>
        <v>8</v>
      </c>
      <c r="K83" s="987" t="str">
        <f t="shared" si="10"/>
        <v/>
      </c>
      <c r="L83" s="988" t="str">
        <f t="shared" si="10"/>
        <v/>
      </c>
      <c r="M83" s="195">
        <f>COUNTIFS(РД[Тип кв],M$67,РД[МОП],$A83,РД[Дом],$C$78,РД[Дата подачи на регистрацию],"&lt;="&amp;$A$1,РД[Дата подачи на регистрацию],"&gt;="&amp;DATE(YEAR($A$1),MONTH($A$1),1))</f>
        <v>0</v>
      </c>
      <c r="N83" s="251">
        <f>COUNTIFS(РД[Тип кв],N$67,РД[МОП],$A83,РД[Дом],$C$78,РД[Дата подачи на регистрацию],"&lt;="&amp;$A$1,РД[Дата подачи на регистрацию],"&gt;="&amp;DATE(YEAR($A$1),MONTH($A$1),1))</f>
        <v>2</v>
      </c>
      <c r="O83" s="251">
        <f>COUNTIFS(РД[Тип кв],O$67,РД[МОП],$A83,РД[Дом],$C$78,РД[Дата подачи на регистрацию],"&lt;="&amp;$A$1,РД[Дата подачи на регистрацию],"&gt;="&amp;DATE(YEAR($A$1),MONTH($A$1),1))</f>
        <v>5</v>
      </c>
      <c r="P83" s="251">
        <f>COUNTIFS(РД[Тип кв],P$67,РД[МОП],$A83,РД[Дом],$C$78,РД[Дата подачи на регистрацию],"&lt;="&amp;$A$1,РД[Дата подачи на регистрацию],"&gt;="&amp;DATE(YEAR($A$1),MONTH($A$1),1))</f>
        <v>1</v>
      </c>
      <c r="Q83" s="254">
        <f>COUNTIFS(РД[Тип кв],Q$67,РД[МОП],$A83,РД[Дом],$C$78,РД[Дата подачи на регистрацию],"&lt;="&amp;$A$1,РД[Дата подачи на регистрацию],"&gt;="&amp;DATE(YEAR($A$1),MONTH($A$1),1))</f>
        <v>0</v>
      </c>
      <c r="R83" s="949"/>
      <c r="S83" s="949"/>
      <c r="T83" s="949"/>
    </row>
    <row r="84" spans="1:21">
      <c r="A84" s="960" t="s">
        <v>114</v>
      </c>
      <c r="B84" s="961" t="e">
        <f>'Индивидуальный план'!#REF!</f>
        <v>#REF!</v>
      </c>
      <c r="C84" s="964" t="e">
        <f>'Индивидуальный план'!#REF!</f>
        <v>#REF!</v>
      </c>
      <c r="D84" s="962">
        <f t="shared" ref="D84:J84" si="13">SUM(D80:D83)</f>
        <v>0</v>
      </c>
      <c r="E84" s="963">
        <f t="shared" si="13"/>
        <v>1434.2399999999998</v>
      </c>
      <c r="F84" s="964">
        <f t="shared" si="13"/>
        <v>109233406.8</v>
      </c>
      <c r="G84" s="965">
        <f t="shared" si="13"/>
        <v>29</v>
      </c>
      <c r="H84" s="961">
        <f t="shared" si="13"/>
        <v>1457.35</v>
      </c>
      <c r="I84" s="964">
        <f t="shared" si="13"/>
        <v>111858881.34</v>
      </c>
      <c r="J84" s="962">
        <f t="shared" si="13"/>
        <v>30</v>
      </c>
      <c r="K84" s="419">
        <f>IFERROR(H84/B84,)</f>
        <v>0</v>
      </c>
      <c r="L84" s="420">
        <f>IFERROR(I84/C84,)</f>
        <v>0</v>
      </c>
      <c r="M84" s="473">
        <f>SUM(M80:M83)</f>
        <v>3</v>
      </c>
      <c r="N84" s="494">
        <f>SUM(N80:N83)</f>
        <v>12</v>
      </c>
      <c r="O84" s="494">
        <f>SUM(O80:O83)</f>
        <v>16</v>
      </c>
      <c r="P84" s="989">
        <f>SUM(P80:P83)</f>
        <v>3</v>
      </c>
      <c r="Q84" s="497">
        <f>SUM(Q80:Q83)</f>
        <v>0</v>
      </c>
      <c r="R84" s="949"/>
      <c r="S84" s="949"/>
      <c r="T84" s="949"/>
    </row>
    <row r="85" spans="1:21">
      <c r="A85" s="685" t="s">
        <v>115</v>
      </c>
      <c r="B85" s="723" t="s">
        <v>100</v>
      </c>
      <c r="C85" s="693" t="s">
        <v>97</v>
      </c>
      <c r="D85" s="724" t="s">
        <v>95</v>
      </c>
      <c r="E85" s="137" t="s">
        <v>494</v>
      </c>
      <c r="F85" s="138" t="s">
        <v>495</v>
      </c>
      <c r="G85" s="139" t="s">
        <v>496</v>
      </c>
      <c r="H85" s="140" t="s">
        <v>101</v>
      </c>
      <c r="I85" s="141" t="s">
        <v>98</v>
      </c>
      <c r="J85" s="141" t="s">
        <v>96</v>
      </c>
      <c r="K85" s="495" t="s">
        <v>715</v>
      </c>
      <c r="L85" s="896" t="s">
        <v>716</v>
      </c>
      <c r="M85" s="995">
        <v>0</v>
      </c>
      <c r="N85" s="996">
        <v>1</v>
      </c>
      <c r="O85" s="996">
        <v>2</v>
      </c>
      <c r="P85" s="996">
        <v>3</v>
      </c>
      <c r="Q85" s="219" t="s">
        <v>1367</v>
      </c>
      <c r="R85" s="949"/>
      <c r="S85" s="949"/>
      <c r="T85" s="949"/>
    </row>
    <row r="86" spans="1:21">
      <c r="A86" s="936" t="s">
        <v>16</v>
      </c>
      <c r="B86" s="1018" t="e">
        <f>'Индивидуальный план'!#REF!</f>
        <v>#REF!</v>
      </c>
      <c r="C86" s="954" t="e">
        <f>'Индивидуальный план'!#REF!</f>
        <v>#REF!</v>
      </c>
      <c r="D86" s="417"/>
      <c r="E86" s="966">
        <f>SUMIFS(февр23[м2],февр23[ИМ],A86,февр23[№ дома],$C$78,февр23[Ком],"&lt;&gt;Офис")</f>
        <v>688.83</v>
      </c>
      <c r="F86" s="149">
        <f>SUMIFS(февр23[сумма без отделки],февр23[ИМ],$A86,февр23[№ дома],$C$78,февр23[Ком],"&lt;&gt;Офис")</f>
        <v>53199877.970000006</v>
      </c>
      <c r="G86" s="940">
        <f>COUNTIFS(февр23[ИМ],$A86,февр23[№ дома],$C$78,февр23[Ком],"&lt;&gt;Офис")</f>
        <v>14</v>
      </c>
      <c r="H86" s="346">
        <f>SUMIFS(РД[S],РД[Дом],$C$78,РД[ИМ],A86,РД[Дата подачи на регистрацию],"&lt;="&amp;$A$1,РД[Дата подачи на регистрацию],"&gt;="&amp;DATE(YEAR($A$1),MONTH($A$1),1),РД[Состояние],"Продажа")</f>
        <v>688.83000000000015</v>
      </c>
      <c r="I86" s="184">
        <f>SUMIFS(РД[Стоимость без отделки итог],РД[Дом],$C$78,РД[ИМ],A86,РД[Дата подачи на регистрацию],"&lt;="&amp;$A$1,РД[Дата подачи на регистрацию],"&gt;="&amp;DATE(YEAR($A$1),MONTH($A$1),1),РД[Состояние],"Продажа")</f>
        <v>53199877.970000006</v>
      </c>
      <c r="J86" s="243">
        <f>COUNTIFS(РД[Дом],$C$78,РД[ИМ],A86,РД[Дата подачи на регистрацию],"&lt;="&amp;$A$1,РД[Дата подачи на регистрацию],"&gt;="&amp;DATE(YEAR($A$1),MONTH($A$1),1),РД[Состояние],"Продажа")</f>
        <v>14</v>
      </c>
      <c r="K86" s="990" t="str">
        <f t="shared" ref="K86:L88" si="14">IFERROR(H86/B86,"")</f>
        <v/>
      </c>
      <c r="L86" s="991" t="str">
        <f t="shared" si="14"/>
        <v/>
      </c>
      <c r="M86" s="183">
        <f>COUNTIFS(РД[Тип кв],M$67,РД[ИМ],$A86,РД[Дом],$C$78,РД[Дата подачи на регистрацию],"&lt;="&amp;$A$1,РД[Дата подачи на регистрацию],"&gt;="&amp;DATE(YEAR($A$1),MONTH($A$1),1))</f>
        <v>1</v>
      </c>
      <c r="N86" s="243">
        <f>COUNTIFS(РД[Тип кв],N$67,РД[ИМ],$A86,РД[Дом],$C$78,РД[Дата подачи на регистрацию],"&lt;="&amp;$A$1,РД[Дата подачи на регистрацию],"&gt;="&amp;DATE(YEAR($A$1),MONTH($A$1),1))</f>
        <v>5</v>
      </c>
      <c r="O86" s="243">
        <f>COUNTIFS(РД[Тип кв],O$67,РД[ИМ],$A86,РД[Дом],$C$78,РД[Дата подачи на регистрацию],"&lt;="&amp;$A$1,РД[Дата подачи на регистрацию],"&gt;="&amp;DATE(YEAR($A$1),MONTH($A$1),1))</f>
        <v>7</v>
      </c>
      <c r="P86" s="243">
        <f>COUNTIFS(РД[Тип кв],P$67,РД[ИМ],$A86,РД[Дом],$C$78,РД[Дата подачи на регистрацию],"&lt;="&amp;$A$1,РД[Дата подачи на регистрацию],"&gt;="&amp;DATE(YEAR($A$1),MONTH($A$1),1))</f>
        <v>1</v>
      </c>
      <c r="Q86" s="246">
        <f>COUNTIFS(РД[Тип кв],Q$67,РД[ИМ],$A86,РД[Дом],$C$78,РД[Дата подачи на регистрацию],"&lt;="&amp;$A$1,РД[Дата подачи на регистрацию],"&gt;="&amp;DATE(YEAR($A$1),MONTH($A$1),1))</f>
        <v>0</v>
      </c>
      <c r="R86" s="949"/>
      <c r="S86" s="949"/>
      <c r="T86" s="949"/>
    </row>
    <row r="87" spans="1:21">
      <c r="A87" s="956" t="s">
        <v>22</v>
      </c>
      <c r="B87" s="422" t="e">
        <f>'Индивидуальный план'!#REF!</f>
        <v>#REF!</v>
      </c>
      <c r="C87" s="363" t="e">
        <f>'Индивидуальный план'!#REF!</f>
        <v>#REF!</v>
      </c>
      <c r="D87" s="518"/>
      <c r="E87" s="966">
        <f>SUMIFS(февр23[м2],февр23[ИМ],A87,февр23[№ дома],$C$78,февр23[Ком],"&lt;&gt;Офис")</f>
        <v>520.13</v>
      </c>
      <c r="F87" s="149">
        <f>SUMIFS(февр23[сумма без отделки],февр23[ИМ],$A87,февр23[№ дома],$C$78,февр23[Ком],"&lt;&gt;Офис")</f>
        <v>38852742.959999993</v>
      </c>
      <c r="G87" s="940">
        <f>COUNTIFS(февр23[ИМ],$A87,февр23[№ дома],$C$78,февр23[Ком],"&lt;&gt;Офис")</f>
        <v>10</v>
      </c>
      <c r="H87" s="426">
        <f>SUMIFS(РД[S],РД[Дом],$C$78,РД[ИМ],A87,РД[Дата подачи на регистрацию],"&lt;="&amp;$A$1,РД[Дата подачи на регистрацию],"&gt;="&amp;DATE(YEAR($A$1),MONTH($A$1),1),РД[Состояние],"Продажа")</f>
        <v>520.13</v>
      </c>
      <c r="I87" s="196">
        <f>SUMIFS(РД[Стоимость без отделки итог],РД[Дом],$C$78,РД[ИМ],A87,РД[Дата подачи на регистрацию],"&lt;="&amp;$A$1,РД[Дата подачи на регистрацию],"&gt;="&amp;DATE(YEAR($A$1),MONTH($A$1),1),РД[Состояние],"Продажа")</f>
        <v>38852742.959999993</v>
      </c>
      <c r="J87" s="251">
        <f>COUNTIFS(РД[Дом],$C$78,РД[ИМ],A87,РД[Дата подачи на регистрацию],"&lt;="&amp;$A$1,РД[Дата подачи на регистрацию],"&gt;="&amp;DATE(YEAR($A$1),MONTH($A$1),1),РД[Состояние],"Продажа")</f>
        <v>10</v>
      </c>
      <c r="K87" s="992" t="str">
        <f t="shared" si="14"/>
        <v/>
      </c>
      <c r="L87" s="993" t="str">
        <f t="shared" si="14"/>
        <v/>
      </c>
      <c r="M87" s="358">
        <f>COUNTIFS(РД[Тип кв],M$67,РД[ИМ],$A87,РД[Дом],$C$78,РД[Дата подачи на регистрацию],"&lt;="&amp;$A$1,РД[Дата подачи на регистрацию],"&gt;="&amp;DATE(YEAR($A$1),MONTH($A$1),1))</f>
        <v>1</v>
      </c>
      <c r="N87" s="330">
        <f>COUNTIFS(РД[Тип кв],N$67,РД[ИМ],$A87,РД[Дом],$C$78,РД[Дата подачи на регистрацию],"&lt;="&amp;$A$1,РД[Дата подачи на регистрацию],"&gt;="&amp;DATE(YEAR($A$1),MONTH($A$1),1))</f>
        <v>3</v>
      </c>
      <c r="O87" s="330">
        <f>COUNTIFS(РД[Тип кв],O$67,РД[ИМ],$A87,РД[Дом],$C$78,РД[Дата подачи на регистрацию],"&lt;="&amp;$A$1,РД[Дата подачи на регистрацию],"&gt;="&amp;DATE(YEAR($A$1),MONTH($A$1),1))</f>
        <v>4</v>
      </c>
      <c r="P87" s="330">
        <f>COUNTIFS(РД[Тип кв],P$67,РД[ИМ],$A87,РД[Дом],$C$78,РД[Дата подачи на регистрацию],"&lt;="&amp;$A$1,РД[Дата подачи на регистрацию],"&gt;="&amp;DATE(YEAR($A$1),MONTH($A$1),1))</f>
        <v>2</v>
      </c>
      <c r="Q87" s="331">
        <f>COUNTIFS(РД[Тип кв],Q$67,РД[ИМ],$A87,РД[Дом],$C$78,РД[Дата подачи на регистрацию],"&lt;="&amp;$A$1,РД[Дата подачи на регистрацию],"&gt;="&amp;DATE(YEAR($A$1),MONTH($A$1),1))</f>
        <v>0</v>
      </c>
      <c r="R87" s="949"/>
      <c r="S87" s="949"/>
      <c r="T87" s="949"/>
    </row>
    <row r="88" spans="1:21">
      <c r="A88" s="409" t="s">
        <v>114</v>
      </c>
      <c r="B88" s="428" t="e">
        <f>'Индивидуальный план'!#REF!</f>
        <v>#REF!</v>
      </c>
      <c r="C88" s="429" t="e">
        <f>'Индивидуальный план'!#REF!</f>
        <v>#REF!</v>
      </c>
      <c r="D88" s="970">
        <f>SUM(D86:D87)</f>
        <v>0</v>
      </c>
      <c r="E88" s="473">
        <f>SUM(E86:E87)</f>
        <v>1208.96</v>
      </c>
      <c r="F88" s="429">
        <f>SUM(F86:F87)</f>
        <v>92052620.930000007</v>
      </c>
      <c r="G88" s="497">
        <f>SUM(G86:G87)</f>
        <v>24</v>
      </c>
      <c r="H88" s="473">
        <f t="shared" ref="H88:Q88" si="15">SUM(H86:H87)</f>
        <v>1208.96</v>
      </c>
      <c r="I88" s="429">
        <f t="shared" si="15"/>
        <v>92052620.930000007</v>
      </c>
      <c r="J88" s="494">
        <f t="shared" si="15"/>
        <v>24</v>
      </c>
      <c r="K88" s="419" t="str">
        <f t="shared" si="14"/>
        <v/>
      </c>
      <c r="L88" s="420" t="str">
        <f t="shared" si="14"/>
        <v/>
      </c>
      <c r="M88" s="473">
        <f t="shared" si="15"/>
        <v>2</v>
      </c>
      <c r="N88" s="494">
        <f t="shared" si="15"/>
        <v>8</v>
      </c>
      <c r="O88" s="494">
        <f t="shared" si="15"/>
        <v>11</v>
      </c>
      <c r="P88" s="494">
        <f t="shared" si="15"/>
        <v>3</v>
      </c>
      <c r="Q88" s="497">
        <f t="shared" si="15"/>
        <v>0</v>
      </c>
      <c r="R88" s="949"/>
      <c r="S88" s="949"/>
      <c r="T88" s="949"/>
    </row>
    <row r="89" spans="1:21">
      <c r="A89" s="7"/>
      <c r="B89" s="968"/>
      <c r="C89" s="968"/>
      <c r="D89" s="969"/>
      <c r="E89" s="7"/>
      <c r="F89" s="7"/>
      <c r="G89" s="7"/>
      <c r="H89" s="134"/>
      <c r="I89" s="134"/>
      <c r="J89" s="134"/>
      <c r="K89" s="7"/>
      <c r="L89" s="994"/>
      <c r="M89" s="134"/>
      <c r="N89" s="134"/>
      <c r="O89" s="134"/>
      <c r="P89" s="262"/>
      <c r="Q89" s="134"/>
      <c r="R89" s="949"/>
      <c r="S89" s="949"/>
      <c r="T89" s="949"/>
    </row>
    <row r="90" spans="1:21">
      <c r="A90" s="2293" t="s">
        <v>713</v>
      </c>
      <c r="B90" s="2294"/>
      <c r="C90" s="972" t="s">
        <v>718</v>
      </c>
      <c r="D90" s="979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7"/>
      <c r="R90" s="949"/>
      <c r="S90" s="949"/>
      <c r="T90" s="949"/>
    </row>
    <row r="91" spans="1:21">
      <c r="A91" s="685" t="s">
        <v>1</v>
      </c>
      <c r="B91" s="723" t="s">
        <v>100</v>
      </c>
      <c r="C91" s="687" t="s">
        <v>97</v>
      </c>
      <c r="D91" s="724" t="s">
        <v>95</v>
      </c>
      <c r="E91" s="137" t="s">
        <v>494</v>
      </c>
      <c r="F91" s="138" t="s">
        <v>495</v>
      </c>
      <c r="G91" s="139" t="s">
        <v>496</v>
      </c>
      <c r="H91" s="140" t="s">
        <v>101</v>
      </c>
      <c r="I91" s="141" t="s">
        <v>98</v>
      </c>
      <c r="J91" s="141" t="s">
        <v>96</v>
      </c>
      <c r="K91" s="141" t="s">
        <v>715</v>
      </c>
      <c r="L91" s="216" t="s">
        <v>716</v>
      </c>
      <c r="M91" s="217">
        <v>0</v>
      </c>
      <c r="N91" s="218">
        <v>1</v>
      </c>
      <c r="O91" s="218">
        <v>2</v>
      </c>
      <c r="P91" s="218">
        <v>3</v>
      </c>
      <c r="Q91" s="219" t="s">
        <v>1367</v>
      </c>
      <c r="R91" s="950"/>
      <c r="S91" s="950"/>
      <c r="T91" s="950"/>
      <c r="U91" s="951"/>
    </row>
    <row r="92" spans="1:21">
      <c r="A92" s="936" t="s">
        <v>73</v>
      </c>
      <c r="B92" s="937" t="e">
        <f>'Индивидуальный план'!#REF!</f>
        <v>#REF!</v>
      </c>
      <c r="C92" s="937" t="e">
        <f>'Индивидуальный план'!#REF!</f>
        <v>#REF!</v>
      </c>
      <c r="D92" s="938">
        <f>D56+D68+D80</f>
        <v>0</v>
      </c>
      <c r="E92" s="148">
        <f>SUMIFS(февр23[м2],февр23[МОП],$A92,февр23[Ком],"&lt;&gt;Офис")</f>
        <v>517.75</v>
      </c>
      <c r="F92" s="939">
        <f>SUMIFS(февр23[сумма без отделки],февр23[МОП],$A92,февр23[Ком],"&lt;&gt;Офис")</f>
        <v>40420830.490000002</v>
      </c>
      <c r="G92" s="940">
        <f>COUNTIFS(февр23[МОП],$A92,февр23[Ком],"&lt;&gt;Офис")</f>
        <v>12</v>
      </c>
      <c r="H92" s="145">
        <f>SUMIFS(РД[S],РД[МОП],A92,РД[Дата подачи на регистрацию],"&lt;="&amp;$A$1,РД[Дата подачи на регистрацию],"&gt;="&amp;DATE(YEAR($A$1),MONTH($A$1),1),РД[Состояние],"Продажа")</f>
        <v>600.78000000000009</v>
      </c>
      <c r="I92" s="149">
        <f>SUMIFS(РД[Стоимость без отделки итог],РД[МОП],A92,РД[Дата подачи на регистрацию],"&lt;="&amp;$A$1,РД[Дата подачи на регистрацию],"&gt;="&amp;DATE(YEAR($A$1),MONTH($A$1),1),РД[Состояние],"Продажа")</f>
        <v>47257020.539999999</v>
      </c>
      <c r="J92" s="220">
        <f>COUNTIFS(РД[МОП],A92,РД[Дата подачи на регистрацию],"&lt;="&amp;$A$1,РД[Дата подачи на регистрацию],"&gt;="&amp;DATE(YEAR($A$1),MONTH($A$1),1),РД[Состояние],"Продажа")</f>
        <v>14</v>
      </c>
      <c r="K92" s="943" t="str">
        <f t="shared" ref="K92:L95" si="16">IFERROR(H92/B92,"")</f>
        <v/>
      </c>
      <c r="L92" s="944" t="str">
        <f t="shared" si="16"/>
        <v/>
      </c>
      <c r="M92" s="1011">
        <f t="shared" ref="M92:Q95" si="17">M56+M68+M80</f>
        <v>3</v>
      </c>
      <c r="N92" s="1012">
        <f t="shared" si="17"/>
        <v>8</v>
      </c>
      <c r="O92" s="1012">
        <f t="shared" si="17"/>
        <v>3</v>
      </c>
      <c r="P92" s="1012">
        <f t="shared" si="17"/>
        <v>2</v>
      </c>
      <c r="Q92" s="876">
        <f t="shared" si="17"/>
        <v>0</v>
      </c>
      <c r="R92" s="949"/>
      <c r="S92" s="949"/>
      <c r="T92" s="949"/>
    </row>
    <row r="93" spans="1:21">
      <c r="A93" s="936" t="s">
        <v>8</v>
      </c>
      <c r="B93" s="937" t="e">
        <f>'Индивидуальный план'!#REF!</f>
        <v>#REF!</v>
      </c>
      <c r="C93" s="937" t="e">
        <f>'Индивидуальный план'!#REF!</f>
        <v>#REF!</v>
      </c>
      <c r="D93" s="938">
        <f>D57+D69+D81</f>
        <v>0</v>
      </c>
      <c r="E93" s="148">
        <f>SUMIFS(февр23[м2],февр23[МОП],$A93,февр23[Ком],"&lt;&gt;Офис")</f>
        <v>56.04</v>
      </c>
      <c r="F93" s="939">
        <f>SUMIFS(февр23[сумма без отделки],февр23[МОП],$A93,февр23[Ком],"&lt;&gt;Офис")</f>
        <v>4160154.8499999992</v>
      </c>
      <c r="G93" s="940">
        <f>COUNTIFS(февр23[МОП],$A93,февр23[Ком],"&lt;&gt;Офис")</f>
        <v>1</v>
      </c>
      <c r="H93" s="145">
        <f>SUMIFS(РД[S],РД[МОП],A93,РД[Дата подачи на регистрацию],"&lt;="&amp;$A$1,РД[Дата подачи на регистрацию],"&gt;="&amp;DATE(YEAR($A$1),MONTH($A$1),1),РД[Состояние],"Продажа")</f>
        <v>0</v>
      </c>
      <c r="I93" s="149">
        <f>SUMIFS(РД[Стоимость без отделки итог],РД[МОП],A93,РД[Дата подачи на регистрацию],"&lt;="&amp;$A$1,РД[Дата подачи на регистрацию],"&gt;="&amp;DATE(YEAR($A$1),MONTH($A$1),1),РД[Состояние],"Продажа")</f>
        <v>0</v>
      </c>
      <c r="J93" s="220">
        <f>COUNTIFS(РД[МОП],A93,РД[Дата подачи на регистрацию],"&lt;="&amp;$A$1,РД[Дата подачи на регистрацию],"&gt;="&amp;DATE(YEAR($A$1),MONTH($A$1),1),РД[Состояние],"Продажа")</f>
        <v>0</v>
      </c>
      <c r="K93" s="943" t="str">
        <f t="shared" ref="K93" si="18">IFERROR(H93/B93,"")</f>
        <v/>
      </c>
      <c r="L93" s="944" t="str">
        <f t="shared" ref="L93" si="19">IFERROR(I93/C93,"")</f>
        <v/>
      </c>
      <c r="M93" s="997">
        <f t="shared" si="17"/>
        <v>0</v>
      </c>
      <c r="N93" s="878">
        <f t="shared" si="17"/>
        <v>0</v>
      </c>
      <c r="O93" s="878">
        <f t="shared" si="17"/>
        <v>1</v>
      </c>
      <c r="P93" s="878">
        <f t="shared" si="17"/>
        <v>0</v>
      </c>
      <c r="Q93" s="689">
        <f t="shared" si="17"/>
        <v>0</v>
      </c>
      <c r="R93" s="949"/>
      <c r="S93" s="949"/>
      <c r="T93" s="949"/>
    </row>
    <row r="94" spans="1:21">
      <c r="A94" s="952" t="s">
        <v>77</v>
      </c>
      <c r="B94" s="1018" t="e">
        <f>'Индивидуальный план'!#REF!</f>
        <v>#REF!</v>
      </c>
      <c r="C94" s="954" t="e">
        <f>'Индивидуальный план'!#REF!</f>
        <v>#REF!</v>
      </c>
      <c r="D94" s="953">
        <f>D58+D70+D82</f>
        <v>0</v>
      </c>
      <c r="E94" s="148">
        <f>SUMIFS(февр23[м2],февр23[МОП],$A94,февр23[Ком],"&lt;&gt;Офис")</f>
        <v>600.15000000000009</v>
      </c>
      <c r="F94" s="939">
        <f>SUMIFS(февр23[сумма без отделки],февр23[МОП],$A94,февр23[Ком],"&lt;&gt;Офис")</f>
        <v>48101229.889999986</v>
      </c>
      <c r="G94" s="940">
        <f>COUNTIFS(февр23[МОП],$A94,февр23[Ком],"&lt;&gt;Офис")</f>
        <v>15</v>
      </c>
      <c r="H94" s="145">
        <f>SUMIFS(РД[S],РД[МОП],A94,РД[Дата подачи на регистрацию],"&lt;="&amp;$A$1,РД[Дата подачи на регистрацию],"&gt;="&amp;DATE(YEAR($A$1),MONTH($A$1),1),РД[Состояние],"Продажа")</f>
        <v>571.88000000000011</v>
      </c>
      <c r="I94" s="149">
        <f>SUMIFS(РД[Стоимость без отделки итог],РД[МОП],A94,РД[Дата подачи на регистрацию],"&lt;="&amp;$A$1,РД[Дата подачи на регистрацию],"&gt;="&amp;DATE(YEAR($A$1),MONTH($A$1),1),РД[Состояние],"Продажа")</f>
        <v>45586312.420000002</v>
      </c>
      <c r="J94" s="220">
        <f>COUNTIFS(РД[МОП],A94,РД[Дата подачи на регистрацию],"&lt;="&amp;$A$1,РД[Дата подачи на регистрацию],"&gt;="&amp;DATE(YEAR($A$1),MONTH($A$1),1),РД[Состояние],"Продажа")</f>
        <v>14</v>
      </c>
      <c r="K94" s="987" t="str">
        <f t="shared" si="16"/>
        <v/>
      </c>
      <c r="L94" s="988" t="str">
        <f t="shared" si="16"/>
        <v/>
      </c>
      <c r="M94" s="998">
        <f t="shared" si="17"/>
        <v>7</v>
      </c>
      <c r="N94" s="326">
        <f t="shared" si="17"/>
        <v>2</v>
      </c>
      <c r="O94" s="326">
        <f t="shared" si="17"/>
        <v>7</v>
      </c>
      <c r="P94" s="326">
        <f t="shared" si="17"/>
        <v>0</v>
      </c>
      <c r="Q94" s="327">
        <f t="shared" si="17"/>
        <v>0</v>
      </c>
      <c r="R94" s="949"/>
      <c r="S94" s="949"/>
      <c r="T94" s="949"/>
    </row>
    <row r="95" spans="1:21">
      <c r="A95" s="956" t="s">
        <v>1233</v>
      </c>
      <c r="B95" s="1018" t="e">
        <f>'Индивидуальный план'!#REF!</f>
        <v>#REF!</v>
      </c>
      <c r="C95" s="954" t="e">
        <f>'Индивидуальный план'!#REF!</f>
        <v>#REF!</v>
      </c>
      <c r="D95" s="957">
        <f>D59+D71+D83</f>
        <v>0</v>
      </c>
      <c r="E95" s="148">
        <f>SUMIFS(февр23[м2],февр23[МОП],$A95,февр23[Ком],"&lt;&gt;Офис")</f>
        <v>453.6</v>
      </c>
      <c r="F95" s="939">
        <f>SUMIFS(февр23[сумма без отделки],февр23[МОП],$A95,февр23[Ком],"&lt;&gt;Офис")</f>
        <v>34729229.940000005</v>
      </c>
      <c r="G95" s="940">
        <f>COUNTIFS(февр23[МОП],$A95,февр23[Ком],"&lt;&gt;Офис")</f>
        <v>9</v>
      </c>
      <c r="H95" s="145">
        <f>SUMIFS(РД[S],РД[МОП],A95,РД[Дата подачи на регистрацию],"&lt;="&amp;$A$1,РД[Дата подачи на регистрацию],"&gt;="&amp;DATE(YEAR($A$1),MONTH($A$1),1),РД[Состояние],"Продажа")</f>
        <v>453.6</v>
      </c>
      <c r="I95" s="149">
        <f>SUMIFS(РД[Стоимость без отделки итог],РД[МОП],A95,РД[Дата подачи на регистрацию],"&lt;="&amp;$A$1,РД[Дата подачи на регистрацию],"&gt;="&amp;DATE(YEAR($A$1),MONTH($A$1),1),РД[Состояние],"Продажа")</f>
        <v>34729229.940000005</v>
      </c>
      <c r="J95" s="220">
        <f>COUNTIFS(РД[МОП],A95,РД[Дата подачи на регистрацию],"&lt;="&amp;$A$1,РД[Дата подачи на регистрацию],"&gt;="&amp;DATE(YEAR($A$1),MONTH($A$1),1),РД[Состояние],"Продажа")</f>
        <v>9</v>
      </c>
      <c r="K95" s="987" t="str">
        <f t="shared" si="16"/>
        <v/>
      </c>
      <c r="L95" s="988" t="str">
        <f t="shared" si="16"/>
        <v/>
      </c>
      <c r="M95" s="999">
        <f t="shared" si="17"/>
        <v>1</v>
      </c>
      <c r="N95" s="365">
        <f t="shared" si="17"/>
        <v>2</v>
      </c>
      <c r="O95" s="365">
        <f t="shared" si="17"/>
        <v>5</v>
      </c>
      <c r="P95" s="365">
        <f t="shared" si="17"/>
        <v>1</v>
      </c>
      <c r="Q95" s="366">
        <f t="shared" si="17"/>
        <v>0</v>
      </c>
      <c r="R95" s="949"/>
      <c r="S95" s="949"/>
      <c r="T95" s="949"/>
    </row>
    <row r="96" spans="1:21">
      <c r="A96" s="960" t="s">
        <v>114</v>
      </c>
      <c r="B96" s="961" t="e">
        <f>'Индивидуальный план'!#REF!</f>
        <v>#REF!</v>
      </c>
      <c r="C96" s="964" t="e">
        <f>'Индивидуальный план'!#REF!</f>
        <v>#REF!</v>
      </c>
      <c r="D96" s="962">
        <f t="shared" ref="D96:J96" si="20">SUM(D92:D95)</f>
        <v>0</v>
      </c>
      <c r="E96" s="963">
        <f t="shared" si="20"/>
        <v>1627.54</v>
      </c>
      <c r="F96" s="964">
        <f t="shared" si="20"/>
        <v>127411445.16999999</v>
      </c>
      <c r="G96" s="965">
        <f t="shared" si="20"/>
        <v>37</v>
      </c>
      <c r="H96" s="961">
        <f t="shared" si="20"/>
        <v>1626.2600000000002</v>
      </c>
      <c r="I96" s="964">
        <f t="shared" si="20"/>
        <v>127572562.90000001</v>
      </c>
      <c r="J96" s="962">
        <f t="shared" si="20"/>
        <v>37</v>
      </c>
      <c r="K96" s="419">
        <f>IFERROR(H96/B96,)</f>
        <v>0</v>
      </c>
      <c r="L96" s="420">
        <f>IFERROR(I96/C96,)</f>
        <v>0</v>
      </c>
      <c r="M96" s="473">
        <f>SUM(M92:M95)</f>
        <v>11</v>
      </c>
      <c r="N96" s="494">
        <f>SUM(N92:N95)</f>
        <v>12</v>
      </c>
      <c r="O96" s="494">
        <f>SUM(O92:O95)</f>
        <v>16</v>
      </c>
      <c r="P96" s="989">
        <f>SUM(P92:P95)</f>
        <v>3</v>
      </c>
      <c r="Q96" s="497">
        <f>SUM(Q92:Q95)</f>
        <v>0</v>
      </c>
      <c r="R96" s="949"/>
      <c r="S96" s="949"/>
      <c r="T96" s="949"/>
    </row>
    <row r="97" spans="1:21">
      <c r="A97" s="685" t="s">
        <v>115</v>
      </c>
      <c r="B97" s="723" t="s">
        <v>100</v>
      </c>
      <c r="C97" s="693" t="s">
        <v>97</v>
      </c>
      <c r="D97" s="724" t="s">
        <v>95</v>
      </c>
      <c r="E97" s="137" t="s">
        <v>494</v>
      </c>
      <c r="F97" s="138" t="s">
        <v>495</v>
      </c>
      <c r="G97" s="139" t="s">
        <v>496</v>
      </c>
      <c r="H97" s="980" t="s">
        <v>101</v>
      </c>
      <c r="I97" s="141" t="s">
        <v>98</v>
      </c>
      <c r="J97" s="141" t="s">
        <v>96</v>
      </c>
      <c r="K97" s="141" t="s">
        <v>715</v>
      </c>
      <c r="L97" s="216" t="s">
        <v>716</v>
      </c>
      <c r="M97" s="217">
        <v>0</v>
      </c>
      <c r="N97" s="218">
        <v>1</v>
      </c>
      <c r="O97" s="218">
        <v>2</v>
      </c>
      <c r="P97" s="218">
        <v>3</v>
      </c>
      <c r="Q97" s="219" t="s">
        <v>1367</v>
      </c>
      <c r="R97" s="950"/>
      <c r="S97" s="950"/>
      <c r="T97" s="950"/>
      <c r="U97" s="951"/>
    </row>
    <row r="98" spans="1:21">
      <c r="A98" s="936" t="s">
        <v>16</v>
      </c>
      <c r="B98" s="1018" t="e">
        <f>'Индивидуальный план'!#REF!</f>
        <v>#REF!</v>
      </c>
      <c r="C98" s="954" t="e">
        <f>'Индивидуальный план'!#REF!</f>
        <v>#REF!</v>
      </c>
      <c r="D98" s="417">
        <f>D62+D74+D86</f>
        <v>0</v>
      </c>
      <c r="E98" s="966">
        <f>SUMIFS(февр23[м2],февр23[ИМ],A98,февр23[Ком],"&lt;&gt;Офис")</f>
        <v>809.6400000000001</v>
      </c>
      <c r="F98" s="149">
        <f>SUMIFS(февр23[сумма без отделки],февр23[ИМ],$A98,февр23[Ком],"&lt;&gt;Офис")</f>
        <v>64396358.780000001</v>
      </c>
      <c r="G98" s="940">
        <f>COUNTIFS(февр23[ИМ],A98,февр23[Ком],"&lt;&gt;Офис")</f>
        <v>19</v>
      </c>
      <c r="H98" s="346">
        <f>SUMIFS(РД[S],РД[ИМ],A98,РД[Дата подачи на регистрацию],"&lt;="&amp;$A$1,РД[Дата подачи на регистрацию],"&gt;="&amp;DATE(YEAR($A$1),MONTH($A$1),1),РД[Состояние],"Продажа")</f>
        <v>809.6400000000001</v>
      </c>
      <c r="I98" s="184">
        <f>SUMIFS(РД[Стоимость без отделки итог],РД[ИМ],A98,РД[Дата подачи на регистрацию],"&lt;="&amp;$A$1,РД[Дата подачи на регистрацию],"&gt;="&amp;DATE(YEAR($A$1),MONTH($A$1),1),РД[Состояние],"Продажа")</f>
        <v>64296358.780000009</v>
      </c>
      <c r="J98" s="243">
        <f>COUNTIFS(РД[ИМ],A98,РД[Дата подачи на регистрацию],"&lt;="&amp;$A$1,РД[Дата подачи на регистрацию],"&gt;="&amp;DATE(YEAR($A$1),MONTH($A$1),1),РД[Состояние],"Продажа")</f>
        <v>19</v>
      </c>
      <c r="K98" s="990" t="str">
        <f t="shared" ref="K98:L100" si="21">IFERROR(H98/B98,"")</f>
        <v/>
      </c>
      <c r="L98" s="991" t="str">
        <f t="shared" si="21"/>
        <v/>
      </c>
      <c r="M98" s="183">
        <f t="shared" ref="M98:Q99" si="22">M62+M74</f>
        <v>5</v>
      </c>
      <c r="N98" s="243">
        <f t="shared" si="22"/>
        <v>0</v>
      </c>
      <c r="O98" s="243">
        <f t="shared" si="22"/>
        <v>0</v>
      </c>
      <c r="P98" s="243">
        <f t="shared" si="22"/>
        <v>0</v>
      </c>
      <c r="Q98" s="246">
        <f t="shared" si="22"/>
        <v>0</v>
      </c>
      <c r="R98" s="949"/>
      <c r="S98" s="949"/>
      <c r="T98" s="949"/>
    </row>
    <row r="99" spans="1:21">
      <c r="A99" s="956" t="s">
        <v>22</v>
      </c>
      <c r="B99" s="422" t="e">
        <f>'Индивидуальный план'!#REF!</f>
        <v>#REF!</v>
      </c>
      <c r="C99" s="363" t="e">
        <f>'Индивидуальный план'!#REF!</f>
        <v>#REF!</v>
      </c>
      <c r="D99" s="518">
        <f>D63+D75+D87</f>
        <v>0</v>
      </c>
      <c r="E99" s="966">
        <f>SUMIFS(февр23[м2],февр23[ИМ],A99,февр23[Ком],"&lt;&gt;Офис")</f>
        <v>592.62</v>
      </c>
      <c r="F99" s="149">
        <f>SUMIFS(февр23[сумма без отделки],февр23[ИМ],$A99,февр23[Ком],"&lt;&gt;Офис")</f>
        <v>45834300.519999996</v>
      </c>
      <c r="G99" s="940">
        <f>COUNTIFS(февр23[ИМ],$A99,февр23[Ком],"&lt;&gt;Офис")</f>
        <v>13</v>
      </c>
      <c r="H99" s="426">
        <f>SUMIFS(РД[S],РД[ИМ],A99,РД[Дата подачи на регистрацию],"&lt;="&amp;$A$1,РД[Дата подачи на регистрацию],"&gt;="&amp;DATE(YEAR($A$1),MONTH($A$1),1),РД[Состояние],"Продажа")</f>
        <v>568.23</v>
      </c>
      <c r="I99" s="196">
        <f>SUMIFS(РД[Стоимость без отделки итог],РД[ИМ],A99,РД[Дата подачи на регистрацию],"&lt;="&amp;$A$1,РД[Дата подачи на регистрацию],"&gt;="&amp;DATE(YEAR($A$1),MONTH($A$1),1),РД[Состояние],"Продажа")</f>
        <v>43469943.710000001</v>
      </c>
      <c r="J99" s="251">
        <f>COUNTIFS(РД[ИМ],A99,РД[Дата подачи на регистрацию],"&lt;="&amp;$A$1,РД[Дата подачи на регистрацию],"&gt;="&amp;DATE(YEAR($A$1),MONTH($A$1),1),РД[Состояние],"Продажа")</f>
        <v>12</v>
      </c>
      <c r="K99" s="992" t="str">
        <f t="shared" si="21"/>
        <v/>
      </c>
      <c r="L99" s="993" t="str">
        <f t="shared" si="21"/>
        <v/>
      </c>
      <c r="M99" s="195">
        <f t="shared" si="22"/>
        <v>3</v>
      </c>
      <c r="N99" s="251">
        <f t="shared" si="22"/>
        <v>0</v>
      </c>
      <c r="O99" s="251">
        <f t="shared" si="22"/>
        <v>0</v>
      </c>
      <c r="P99" s="251">
        <f t="shared" si="22"/>
        <v>0</v>
      </c>
      <c r="Q99" s="254">
        <f t="shared" si="22"/>
        <v>0</v>
      </c>
      <c r="R99" s="949"/>
      <c r="S99" s="949"/>
      <c r="T99" s="949"/>
    </row>
    <row r="100" spans="1:21">
      <c r="A100" s="409" t="s">
        <v>114</v>
      </c>
      <c r="B100" s="428" t="e">
        <f>'Индивидуальный план'!#REF!</f>
        <v>#REF!</v>
      </c>
      <c r="C100" s="429" t="e">
        <f>'Индивидуальный план'!#REF!</f>
        <v>#REF!</v>
      </c>
      <c r="D100" s="485">
        <f>SUM(D98:D99)</f>
        <v>0</v>
      </c>
      <c r="E100" s="473">
        <f t="shared" ref="E100:Q100" si="23">SUM(E98:E99)</f>
        <v>1402.2600000000002</v>
      </c>
      <c r="F100" s="429">
        <f t="shared" si="23"/>
        <v>110230659.3</v>
      </c>
      <c r="G100" s="497">
        <f t="shared" si="23"/>
        <v>32</v>
      </c>
      <c r="H100" s="484">
        <f t="shared" si="23"/>
        <v>1377.8700000000001</v>
      </c>
      <c r="I100" s="494">
        <f t="shared" si="23"/>
        <v>107766302.49000001</v>
      </c>
      <c r="J100" s="494">
        <f t="shared" si="23"/>
        <v>31</v>
      </c>
      <c r="K100" s="419" t="str">
        <f t="shared" si="21"/>
        <v/>
      </c>
      <c r="L100" s="507" t="str">
        <f t="shared" si="21"/>
        <v/>
      </c>
      <c r="M100" s="317">
        <f t="shared" si="23"/>
        <v>8</v>
      </c>
      <c r="N100" s="917">
        <f t="shared" si="23"/>
        <v>0</v>
      </c>
      <c r="O100" s="917">
        <f t="shared" si="23"/>
        <v>0</v>
      </c>
      <c r="P100" s="917">
        <f t="shared" si="23"/>
        <v>0</v>
      </c>
      <c r="Q100" s="928">
        <f t="shared" si="23"/>
        <v>0</v>
      </c>
      <c r="R100" s="949"/>
      <c r="S100" s="949"/>
      <c r="T100" s="949"/>
    </row>
    <row r="101" spans="1:21">
      <c r="A101" s="134"/>
      <c r="B101" s="44"/>
      <c r="C101" s="44"/>
      <c r="D101" s="134"/>
      <c r="E101" s="134"/>
      <c r="F101" s="44"/>
      <c r="G101" s="134"/>
      <c r="H101" s="134"/>
      <c r="I101" s="134"/>
      <c r="J101" s="134"/>
      <c r="K101" s="255"/>
      <c r="L101" s="256"/>
      <c r="M101" s="134"/>
      <c r="N101" s="134"/>
      <c r="O101" s="134"/>
      <c r="P101" s="134"/>
      <c r="Q101" s="134"/>
      <c r="R101" s="949"/>
      <c r="S101" s="949"/>
      <c r="T101" s="949"/>
    </row>
    <row r="102" spans="1:21" ht="15.75" customHeight="1">
      <c r="A102" s="2311" t="s">
        <v>1368</v>
      </c>
      <c r="B102" s="2312"/>
      <c r="C102" s="2312"/>
      <c r="D102" s="2312"/>
      <c r="E102" s="2312"/>
      <c r="F102" s="2312"/>
      <c r="G102" s="2312"/>
      <c r="H102" s="2312"/>
      <c r="I102" s="2312"/>
      <c r="J102" s="2312"/>
      <c r="K102" s="2312"/>
      <c r="L102" s="2312"/>
      <c r="M102" s="2312"/>
      <c r="N102" s="2312"/>
      <c r="O102" s="2313"/>
      <c r="P102" s="930"/>
      <c r="U102" s="931"/>
    </row>
    <row r="103" spans="1:21">
      <c r="A103" s="712" t="s">
        <v>1</v>
      </c>
      <c r="B103" s="713" t="s">
        <v>100</v>
      </c>
      <c r="C103" s="714" t="s">
        <v>97</v>
      </c>
      <c r="D103" s="715" t="s">
        <v>95</v>
      </c>
      <c r="E103" s="716" t="s">
        <v>494</v>
      </c>
      <c r="F103" s="265" t="s">
        <v>495</v>
      </c>
      <c r="G103" s="266" t="s">
        <v>496</v>
      </c>
      <c r="H103" s="140" t="s">
        <v>101</v>
      </c>
      <c r="I103" s="141" t="s">
        <v>98</v>
      </c>
      <c r="J103" s="141" t="s">
        <v>96</v>
      </c>
      <c r="K103" s="141" t="s">
        <v>715</v>
      </c>
      <c r="L103" s="216" t="s">
        <v>716</v>
      </c>
      <c r="M103" s="1000" t="s">
        <v>121</v>
      </c>
      <c r="N103" s="505" t="s">
        <v>27</v>
      </c>
      <c r="O103" s="506" t="s">
        <v>7</v>
      </c>
      <c r="U103" s="931"/>
    </row>
    <row r="104" spans="1:21">
      <c r="A104" s="985" t="s">
        <v>73</v>
      </c>
      <c r="B104" s="291"/>
      <c r="C104" s="292"/>
      <c r="D104" s="694"/>
      <c r="E104" s="416">
        <f>SUMIFS(февр23[м2],февр23[МОП],A104,февр23[Ком],"Офис")</f>
        <v>115.84</v>
      </c>
      <c r="F104" s="292">
        <f>SUMIFS(февр23[сумма без отделки],февр23[МОП],$A104,февр23[Ком],"оФИС")</f>
        <v>11558150</v>
      </c>
      <c r="G104" s="720">
        <f>COUNTIFS(февр23[МОП],$A104,февр23[Ком],"Офис")</f>
        <v>2</v>
      </c>
      <c r="H104" s="291">
        <f>SUMIFS(РД[S],РД[МОП],A104,РД[Дата подачи на регистрацию],"&lt;="&amp;$A$1,РД[Дата подачи на регистрацию],"&gt;="&amp;DATE(YEAR($A$1),MONTH($A$1),1),РД[Состояние],"Коммерция")</f>
        <v>115.84</v>
      </c>
      <c r="I104" s="292">
        <f>SUMIFS(РД[Стоимость без отделки итог],РД[МОП],A104,РД[Дата подачи на регистрацию],"&lt;="&amp;$A$1,РД[Дата подачи на регистрацию],"&gt;="&amp;DATE(YEAR($A$1),MONTH($A$1),1),РД[Состояние],"Коммерция")</f>
        <v>11558150</v>
      </c>
      <c r="J104" s="243">
        <f>COUNTIFS(РД[МОП],A104,РД[Дата подачи на регистрацию],"&lt;="&amp;$A$1,РД[Дата подачи на регистрацию],"&gt;="&amp;DATE(YEAR($A$1),MONTH($A$1),1),РД[Состояние],"Коммерция")</f>
        <v>2</v>
      </c>
      <c r="K104" s="990" t="str">
        <f t="shared" ref="K104:L109" si="24">IFERROR(H104/B104,"")</f>
        <v/>
      </c>
      <c r="L104" s="991" t="str">
        <f t="shared" si="24"/>
        <v/>
      </c>
      <c r="M104" s="183">
        <f>COUNTIFS(РД[Дом],M$103,РД[МОП],$A104,РД[Дата подачи на регистрацию],"&lt;="&amp;$A$1,РД[Дата подачи на регистрацию],"&gt;="&amp;DATE(YEAR($A$1),MONTH($A$1),1),РД[Состояние],"Коммерция")</f>
        <v>0</v>
      </c>
      <c r="N104" s="243">
        <f>COUNTIFS(РД[Дом],N$103,РД[МОП],$A104,РД[Дата подачи на регистрацию],"&lt;="&amp;$A$1,РД[Дата подачи на регистрацию],"&gt;="&amp;DATE(YEAR($A$1),MONTH($A$1),1),РД[Состояние],"Коммерция")</f>
        <v>2</v>
      </c>
      <c r="O104" s="246">
        <f>COUNTIFS(РД[Дом],O$103,РД[МОП],$A104,РД[Дата подачи на регистрацию],"&lt;="&amp;$A$1,РД[Дата подачи на регистрацию],"&gt;="&amp;DATE(YEAR($A$1),MONTH($A$1),1),РД[Состояние],"Коммерция")</f>
        <v>0</v>
      </c>
      <c r="P104" s="949"/>
      <c r="Q104" s="949"/>
      <c r="R104" s="949"/>
      <c r="S104" s="930"/>
      <c r="U104" s="931"/>
    </row>
    <row r="105" spans="1:21">
      <c r="A105" s="1020" t="s">
        <v>8</v>
      </c>
      <c r="B105" s="267"/>
      <c r="C105" s="146"/>
      <c r="D105" s="702"/>
      <c r="E105" s="416">
        <f>SUMIFS(февр23[м2],февр23[МОП],A105,февр23[Ком],"Офис")</f>
        <v>0</v>
      </c>
      <c r="F105" s="146">
        <f>SUMIFS(февр23[сумма без отделки],февр23[МОП],$A105,февр23[Ком],"оФИС")</f>
        <v>0</v>
      </c>
      <c r="G105" s="417">
        <f>COUNTIFS(февр23[МОП],$A105,февр23[Ком],"Офис")</f>
        <v>0</v>
      </c>
      <c r="H105" s="267">
        <f>SUMIFS(РД[S],РД[МОП],A105,РД[Дата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I105" s="146">
        <f>SUMIFS(РД[Стоимость без отделки итог],РД[МОП],A105,РД[Дата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J105" s="220">
        <f>COUNTIFS(РД[МОП],A105,РД[Дата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K105" s="943" t="str">
        <f t="shared" ref="K105" si="25">IFERROR(H105/B105,"")</f>
        <v/>
      </c>
      <c r="L105" s="944" t="str">
        <f t="shared" ref="L105" si="26">IFERROR(I105/C105,"")</f>
        <v/>
      </c>
      <c r="M105" s="148">
        <f>COUNTIFS(РД[Дом],M$103,РД[МОП],$A105,РД[Дата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N105" s="220">
        <f>COUNTIFS(РД[Дом],N$103,РД[МОП],$A105,РД[Дата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O105" s="223">
        <f>COUNTIFS(РД[Дом],O$103,РД[МОП],$A105,РД[Дата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P105" s="949"/>
      <c r="Q105" s="949"/>
      <c r="R105" s="949"/>
      <c r="S105" s="930"/>
      <c r="U105" s="931"/>
    </row>
    <row r="106" spans="1:21">
      <c r="A106" s="981" t="s">
        <v>77</v>
      </c>
      <c r="B106" s="271"/>
      <c r="C106" s="52"/>
      <c r="D106" s="717"/>
      <c r="E106" s="416">
        <f>SUMIFS(февр23[м2],февр23[МОП],A106,февр23[Ком],"Офис")</f>
        <v>251.48000000000002</v>
      </c>
      <c r="F106" s="52">
        <f>SUMIFS(февр23[сумма без отделки],февр23[МОП],$A106,февр23[Ком],"оФИС")</f>
        <v>26199800</v>
      </c>
      <c r="G106" s="421">
        <f>COUNTIFS(февр23[МОП],$A106,февр23[Ком],"Офис")</f>
        <v>2</v>
      </c>
      <c r="H106" s="271">
        <f>SUMIFS(РД[S],РД[МОП],A106,РД[Дата подачи на регистрацию],"&lt;="&amp;$A$1,РД[Дата подачи на регистрацию],"&gt;="&amp;DATE(YEAR($A$1),MONTH($A$1),1),РД[Состояние],"Коммерция")</f>
        <v>251.48000000000002</v>
      </c>
      <c r="I106" s="52">
        <f>SUMIFS(РД[Стоимость без отделки итог],РД[МОП],A106,РД[Дата подачи на регистрацию],"&lt;="&amp;$A$1,РД[Дата подачи на регистрацию],"&gt;="&amp;DATE(YEAR($A$1),MONTH($A$1),1),РД[Состояние],"Коммерция")</f>
        <v>26199800</v>
      </c>
      <c r="J106" s="220">
        <f>COUNTIFS(РД[МОП],A106,РД[Дата подачи на регистрацию],"&lt;="&amp;$A$1,РД[Дата подачи на регистрацию],"&gt;="&amp;DATE(YEAR($A$1),MONTH($A$1),1),РД[Состояние],"Коммерция")</f>
        <v>2</v>
      </c>
      <c r="K106" s="52" t="str">
        <f t="shared" si="24"/>
        <v/>
      </c>
      <c r="L106" s="546" t="str">
        <f t="shared" si="24"/>
        <v/>
      </c>
      <c r="M106" s="202">
        <f>COUNTIFS(РД[Дом],M$103,РД[МОП],$A106,РД[Дата подачи на регистрацию],"&lt;="&amp;$A$1,РД[Дата подачи на регистрацию],"&gt;="&amp;DATE(YEAR($A$1),MONTH($A$1),1),РД[Состояние],"Коммерция")</f>
        <v>0</v>
      </c>
      <c r="N106" s="226">
        <f>COUNTIFS(РД[Дом],N$103,РД[МОП],$A106,РД[Дата подачи на регистрацию],"&lt;="&amp;$A$1,РД[Дата подачи на регистрацию],"&gt;="&amp;DATE(YEAR($A$1),MONTH($A$1),1),РД[Состояние],"Коммерция")</f>
        <v>2</v>
      </c>
      <c r="O106" s="227">
        <f>COUNTIFS(РД[Дом],O$103,РД[МОП],$A106,РД[Дата подачи на регистрацию],"&lt;="&amp;$A$1,РД[Дата подачи на регистрацию],"&gt;="&amp;DATE(YEAR($A$1),MONTH($A$1),1),РД[Состояние],"Коммерция")</f>
        <v>0</v>
      </c>
      <c r="P106" s="949"/>
      <c r="Q106" s="949"/>
      <c r="R106" s="949"/>
      <c r="S106" s="930"/>
      <c r="U106" s="931"/>
    </row>
    <row r="107" spans="1:21">
      <c r="A107" s="981" t="s">
        <v>1233</v>
      </c>
      <c r="B107" s="271"/>
      <c r="C107" s="52"/>
      <c r="D107" s="717"/>
      <c r="E107" s="416">
        <f>SUMIFS(февр23[м2],февр23[МОП],A107,февр23[Ком],"Офис")</f>
        <v>0</v>
      </c>
      <c r="F107" s="52">
        <f>SUMIFS(февр23[сумма без отделки],февр23[МОП],$A107,февр23[Ком],"оФИС")</f>
        <v>0</v>
      </c>
      <c r="G107" s="421">
        <f>COUNTIFS(февр23[МОП],$A107,февр23[Ком],"Офис")</f>
        <v>0</v>
      </c>
      <c r="H107" s="271">
        <f>SUMIFS(РД[S],РД[МОП],A107,РД[Дата подачи на регистрацию],"&lt;="&amp;$A$1,РД[Дата подачи на регистрацию],"&gt;="&amp;DATE(YEAR($A$1),MONTH($A$1),1),РД[Состояние],"Коммерция")</f>
        <v>0</v>
      </c>
      <c r="I107" s="52">
        <f>SUMIFS(РД[Стоимость без отделки итог],РД[МОП],A107,РД[Дата подачи на регистрацию],"&lt;="&amp;$A$1,РД[Дата подачи на регистрацию],"&gt;="&amp;DATE(YEAR($A$1),MONTH($A$1),1),РД[Состояние],"Коммерция")</f>
        <v>0</v>
      </c>
      <c r="J107" s="220">
        <f>COUNTIFS(РД[МОП],A107,РД[Дата подачи на регистрацию],"&lt;="&amp;$A$1,РД[Дата подачи на регистрацию],"&gt;="&amp;DATE(YEAR($A$1),MONTH($A$1),1),РД[Состояние],"Коммерция")</f>
        <v>0</v>
      </c>
      <c r="K107" s="224" t="str">
        <f t="shared" si="24"/>
        <v/>
      </c>
      <c r="L107" s="334" t="str">
        <f t="shared" si="24"/>
        <v/>
      </c>
      <c r="M107" s="202">
        <f>COUNTIFS(РД[Дом],M$103,РД[МОП],$A107,РД[Дата подачи на регистрацию],"&lt;="&amp;$A$1,РД[Дата подачи на регистрацию],"&gt;="&amp;DATE(YEAR($A$1),MONTH($A$1),1),РД[Состояние],"Коммерция")</f>
        <v>0</v>
      </c>
      <c r="N107" s="226">
        <f>COUNTIFS(РД[Дом],N$103,РД[МОП],$A107,РД[Дата подачи на регистрацию],"&lt;="&amp;$A$1,РД[Дата подачи на регистрацию],"&gt;="&amp;DATE(YEAR($A$1),MONTH($A$1),1),РД[Состояние],"Коммерция")</f>
        <v>0</v>
      </c>
      <c r="O107" s="227">
        <f>COUNTIFS(РД[Дом],O$103,РД[МОП],$A107,РД[Дата подачи на регистрацию],"&lt;="&amp;$A$1,РД[Дата подачи на регистрацию],"&gt;="&amp;DATE(YEAR($A$1),MONTH($A$1),1),РД[Состояние],"Коммерция")</f>
        <v>0</v>
      </c>
      <c r="P107" s="949"/>
      <c r="Q107" s="949"/>
      <c r="R107" s="949"/>
      <c r="S107" s="930"/>
      <c r="U107" s="931"/>
    </row>
    <row r="108" spans="1:21">
      <c r="A108" s="982" t="s">
        <v>29</v>
      </c>
      <c r="B108" s="516"/>
      <c r="C108" s="554"/>
      <c r="D108" s="695"/>
      <c r="E108" s="416">
        <f>SUMIFS(февр23[м2],февр23[МОП],A108,февр23[Ком],"Офис")</f>
        <v>0</v>
      </c>
      <c r="F108" s="958">
        <f>SUMIFS(февр23[сумма без отделки],февр23[МОП],$A108,февр23[Ком],"оФИС")</f>
        <v>0</v>
      </c>
      <c r="G108" s="983">
        <f>COUNTIFS(февр23[МОП],$A108,февр23[Ком],"Офис")</f>
        <v>0</v>
      </c>
      <c r="H108" s="516">
        <f>SUMIFS(РД[S],РД[МОП],A108,РД[Дата подачи на регистрацию],"&lt;="&amp;$A$1,РД[Дата подачи на регистрацию],"&gt;="&amp;DATE(YEAR($A$1),MONTH($A$1),1),РД[Состояние],"Коммерция")</f>
        <v>0</v>
      </c>
      <c r="I108" s="554">
        <f>SUMIFS(РД[Стоимость без отделки итог],РД[МОП],A108,РД[Дата подачи на регистрацию],"&lt;="&amp;$A$1,РД[Дата подачи на регистрацию],"&gt;="&amp;DATE(YEAR($A$1),MONTH($A$1),1),РД[Состояние],"Коммерция")</f>
        <v>0</v>
      </c>
      <c r="J108" s="1001">
        <f>COUNTIFS(РД[МОП],A108,РД[Дата подачи на регистрацию],"&lt;="&amp;$A$1,РД[Дата подачи на регистрацию],"&gt;="&amp;DATE(YEAR($A$1),MONTH($A$1),1),РД[Состояние],"Коммерция")</f>
        <v>0</v>
      </c>
      <c r="K108" s="252" t="str">
        <f t="shared" si="24"/>
        <v/>
      </c>
      <c r="L108" s="253" t="str">
        <f t="shared" si="24"/>
        <v/>
      </c>
      <c r="M108" s="195">
        <f>COUNTIFS(РД[Дом],M$103,РД[МОП],$A108,РД[Дата подачи на регистрацию],"&lt;="&amp;$A$1,РД[Дата подачи на регистрацию],"&gt;="&amp;DATE(YEAR($A$1),MONTH($A$1),1),РД[Состояние],"Коммерция")</f>
        <v>0</v>
      </c>
      <c r="N108" s="251">
        <f>COUNTIFS(РД[Дом],N$103,РД[МОП],$A108,РД[Дата подачи на регистрацию],"&lt;="&amp;$A$1,РД[Дата подачи на регистрацию],"&gt;="&amp;DATE(YEAR($A$1),MONTH($A$1),1),РД[Состояние],"Коммерция")</f>
        <v>0</v>
      </c>
      <c r="O108" s="254">
        <f>COUNTIFS(РД[Дом],O$103,РД[МОП],$A108,РД[Дата подачи на регистрацию],"&lt;="&amp;$A$1,РД[Дата подачи на регистрацию],"&gt;="&amp;DATE(YEAR($A$1),MONTH($A$1),1),РД[Состояние],"Коммерция")</f>
        <v>0</v>
      </c>
      <c r="P108" s="949"/>
      <c r="Q108" s="949"/>
      <c r="R108" s="949"/>
      <c r="S108" s="930"/>
      <c r="U108" s="931"/>
    </row>
    <row r="109" spans="1:21">
      <c r="A109" s="984" t="s">
        <v>114</v>
      </c>
      <c r="B109" s="323">
        <f t="shared" ref="B109:J109" si="27">SUM(B104:B108)</f>
        <v>0</v>
      </c>
      <c r="C109" s="429">
        <f t="shared" si="27"/>
        <v>0</v>
      </c>
      <c r="D109" s="319">
        <f t="shared" si="27"/>
        <v>0</v>
      </c>
      <c r="E109" s="428">
        <f t="shared" si="27"/>
        <v>367.32000000000005</v>
      </c>
      <c r="F109" s="429">
        <f t="shared" si="27"/>
        <v>37757950</v>
      </c>
      <c r="G109" s="322">
        <f t="shared" si="27"/>
        <v>4</v>
      </c>
      <c r="H109" s="323">
        <f t="shared" si="27"/>
        <v>367.32000000000005</v>
      </c>
      <c r="I109" s="429">
        <f t="shared" si="27"/>
        <v>37757950</v>
      </c>
      <c r="J109" s="429">
        <f t="shared" si="27"/>
        <v>4</v>
      </c>
      <c r="K109" s="419" t="str">
        <f t="shared" si="24"/>
        <v/>
      </c>
      <c r="L109" s="924" t="str">
        <f t="shared" si="24"/>
        <v/>
      </c>
      <c r="M109" s="318">
        <f>SUM(M104:M108)</f>
        <v>0</v>
      </c>
      <c r="N109" s="321">
        <f>SUM(N104:N108)</f>
        <v>4</v>
      </c>
      <c r="O109" s="319">
        <f>SUM(O104:O108)</f>
        <v>0</v>
      </c>
      <c r="P109" s="949"/>
      <c r="Q109" s="949"/>
      <c r="R109" s="949"/>
      <c r="S109" s="930"/>
      <c r="U109" s="931"/>
    </row>
    <row r="110" spans="1:21">
      <c r="A110" s="685" t="s">
        <v>115</v>
      </c>
      <c r="B110" s="713" t="s">
        <v>100</v>
      </c>
      <c r="C110" s="714" t="s">
        <v>97</v>
      </c>
      <c r="D110" s="715" t="s">
        <v>95</v>
      </c>
      <c r="E110" s="716" t="s">
        <v>494</v>
      </c>
      <c r="F110" s="265" t="s">
        <v>495</v>
      </c>
      <c r="G110" s="266" t="s">
        <v>496</v>
      </c>
      <c r="H110" s="140" t="s">
        <v>101</v>
      </c>
      <c r="I110" s="141" t="s">
        <v>98</v>
      </c>
      <c r="J110" s="141" t="s">
        <v>96</v>
      </c>
      <c r="K110" s="141" t="s">
        <v>715</v>
      </c>
      <c r="L110" s="216" t="s">
        <v>716</v>
      </c>
      <c r="M110" s="1000" t="s">
        <v>121</v>
      </c>
      <c r="N110" s="505" t="s">
        <v>27</v>
      </c>
      <c r="O110" s="506" t="s">
        <v>7</v>
      </c>
      <c r="P110" s="949"/>
      <c r="Q110" s="949"/>
      <c r="R110" s="949"/>
      <c r="S110" s="930"/>
      <c r="U110" s="931"/>
    </row>
    <row r="111" spans="1:21">
      <c r="A111" s="985" t="s">
        <v>16</v>
      </c>
      <c r="B111" s="291"/>
      <c r="C111" s="292"/>
      <c r="D111" s="720"/>
      <c r="E111" s="267">
        <f>SUMIFS(февр23[м2],февр23[ИМ],A111,февр23[Ком],"Офис")</f>
        <v>0</v>
      </c>
      <c r="F111" s="146">
        <f>SUMIFS(февр23[сумма без отделки],февр23[ИМ],$A111,февр23[Ком],"оФИС")</f>
        <v>0</v>
      </c>
      <c r="G111" s="417">
        <f>COUNTIFS(февр23[ИМ],$A111,февр23[Ком],"Офис")</f>
        <v>0</v>
      </c>
      <c r="H111" s="267">
        <f>SUMIFS(РД[S],РД[ИМ],A111,РД[Дата подачи на регистрацию],"&lt;="&amp;$A$1,РД[Дата подачи на регистрацию],"&gt;="&amp;DATE(YEAR($A$1),MONTH($A$1),1),РД[Состояние],"Коммерция")</f>
        <v>0</v>
      </c>
      <c r="I111" s="146">
        <f>SUMIFS(РД[Стоимость без отделки итог],РД[ИМ],A111,РД[Дата подачи на регистрацию],"&lt;="&amp;$A$1,РД[Дата подачи на регистрацию],"&gt;="&amp;DATE(YEAR($A$1),MONTH($A$1),1),РД[Состояние],"Коммерция")</f>
        <v>0</v>
      </c>
      <c r="J111" s="220">
        <f>COUNTIFS(РД[ИМ],A111,РД[Дата подачи на регистрацию],"&lt;="&amp;$A$1,РД[Дата подачи на регистрацию],"&gt;="&amp;DATE(YEAR($A$1),MONTH($A$1),1),РД[Состояние],"Коммерция")</f>
        <v>0</v>
      </c>
      <c r="K111" s="224" t="str">
        <f t="shared" ref="K111:L113" si="28">IFERROR(H111/B111,"")</f>
        <v/>
      </c>
      <c r="L111" s="225" t="str">
        <f t="shared" si="28"/>
        <v/>
      </c>
      <c r="M111" s="183">
        <f>COUNTIFS(РД[Дом],M$103,РД[ИМ],$A111,РД[Дата подачи на регистрацию],"&lt;="&amp;$A$1,РД[Дата подачи на регистрацию],"&gt;="&amp;DATE(YEAR($A$1),MONTH($A$1),1),РД[Состояние],"Коммерция")</f>
        <v>0</v>
      </c>
      <c r="N111" s="243">
        <f>COUNTIFS(РД[Дом],N$103,РД[ИМ],$A111,РД[Дата подачи на регистрацию],"&lt;="&amp;$A$1,РД[Дата подачи на регистрацию],"&gt;="&amp;DATE(YEAR($A$1),MONTH($A$1),1),РД[Состояние],"Коммерция")</f>
        <v>0</v>
      </c>
      <c r="O111" s="246">
        <f>COUNTIFS(РД[Дом],O$103,РД[ИМ],$A111,РД[Дата подачи на регистрацию],"&lt;="&amp;$A$1,РД[Дата подачи на регистрацию],"&gt;="&amp;DATE(YEAR($A$1),MONTH($A$1),1),РД[Состояние],"Коммерция")</f>
        <v>0</v>
      </c>
      <c r="P111" s="949"/>
      <c r="Q111" s="949"/>
      <c r="R111" s="949"/>
      <c r="S111" s="930"/>
      <c r="U111" s="931"/>
    </row>
    <row r="112" spans="1:21">
      <c r="A112" s="982" t="s">
        <v>22</v>
      </c>
      <c r="B112" s="516"/>
      <c r="C112" s="554"/>
      <c r="D112" s="721"/>
      <c r="E112" s="315">
        <f>SUMIFS(февр23[м2],февр23[ИМ],A112,февр23[Ком],"Офис")</f>
        <v>0</v>
      </c>
      <c r="F112" s="363">
        <f>SUMIFS(февр23[сумма без отделки],февр23[ИМ],$A112,февр23[Ком],"оФИС")</f>
        <v>0</v>
      </c>
      <c r="G112" s="518">
        <f>COUNTIFS(февр23[ИМ],$A112,февр23[Ком],"Офис")</f>
        <v>0</v>
      </c>
      <c r="H112" s="315">
        <f>SUMIFS(РД[S],РД[ИМ],A112,РД[Дата подачи на регистрацию],"&lt;="&amp;$A$1,РД[Дата подачи на регистрацию],"&gt;="&amp;DATE(YEAR($A$1),MONTH($A$1),1),РД[Состояние],"Коммерция")</f>
        <v>0</v>
      </c>
      <c r="I112" s="363">
        <f>SUMIFS(РД[Стоимость без отделки итог],РД[ИМ],A112,РД[Дата подачи на регистрацию],"&lt;="&amp;$A$1,РД[Дата подачи на регистрацию],"&gt;="&amp;DATE(YEAR($A$1),MONTH($A$1),1),РД[Состояние],"Коммерция")</f>
        <v>0</v>
      </c>
      <c r="J112" s="220">
        <f>COUNTIFS(РД[ИМ],A112,РД[Дата подачи на регистрацию],"&lt;="&amp;$A$1,РД[Дата подачи на регистрацию],"&gt;="&amp;DATE(YEAR($A$1),MONTH($A$1),1),РД[Состояние],"Коммерция")</f>
        <v>0</v>
      </c>
      <c r="K112" s="252" t="str">
        <f t="shared" si="28"/>
        <v/>
      </c>
      <c r="L112" s="260" t="str">
        <f t="shared" si="28"/>
        <v/>
      </c>
      <c r="M112" s="195">
        <f>COUNTIFS(РД[Дом],M$103,РД[ИМ],$A112,РД[Дата подачи на регистрацию],"&lt;="&amp;$A$1,РД[Дата подачи на регистрацию],"&gt;="&amp;DATE(YEAR($A$1),MONTH($A$1),1),РД[Состояние],"Коммерция")</f>
        <v>0</v>
      </c>
      <c r="N112" s="251">
        <f>COUNTIFS(РД[Дом],N$103,РД[ИМ],$A112,РД[Дата подачи на регистрацию],"&lt;="&amp;$A$1,РД[Дата подачи на регистрацию],"&gt;="&amp;DATE(YEAR($A$1),MONTH($A$1),1),РД[Состояние],"Коммерция")</f>
        <v>0</v>
      </c>
      <c r="O112" s="254">
        <f>COUNTIFS(РД[Дом],O$103,РД[ИМ],$A112,РД[Дата подачи на регистрацию],"&lt;="&amp;$A$1,РД[Дата подачи на регистрацию],"&gt;="&amp;DATE(YEAR($A$1),MONTH($A$1),1),РД[Состояние],"Коммерция")</f>
        <v>0</v>
      </c>
      <c r="P112" s="949"/>
      <c r="Q112" s="949"/>
      <c r="R112" s="949"/>
      <c r="S112" s="930"/>
      <c r="U112" s="931"/>
    </row>
    <row r="113" spans="1:22">
      <c r="A113" s="986" t="s">
        <v>114</v>
      </c>
      <c r="B113" s="282">
        <f>SUM(B111:B112)</f>
        <v>0</v>
      </c>
      <c r="C113" s="287">
        <f>SUM(C111:C112)</f>
        <v>0</v>
      </c>
      <c r="D113" s="472">
        <f>SUM(D111:D112)</f>
        <v>0</v>
      </c>
      <c r="E113" s="323">
        <f t="shared" ref="E113:J113" si="29">SUM(E111:E112)</f>
        <v>0</v>
      </c>
      <c r="F113" s="429">
        <f t="shared" si="29"/>
        <v>0</v>
      </c>
      <c r="G113" s="322">
        <f t="shared" si="29"/>
        <v>0</v>
      </c>
      <c r="H113" s="323">
        <f t="shared" si="29"/>
        <v>0</v>
      </c>
      <c r="I113" s="429">
        <f t="shared" si="29"/>
        <v>0</v>
      </c>
      <c r="J113" s="429">
        <f t="shared" si="29"/>
        <v>0</v>
      </c>
      <c r="K113" s="419" t="str">
        <f t="shared" si="28"/>
        <v/>
      </c>
      <c r="L113" s="924" t="str">
        <f t="shared" si="28"/>
        <v/>
      </c>
      <c r="M113" s="925">
        <f>SUM(M111:M112)</f>
        <v>0</v>
      </c>
      <c r="N113" s="285">
        <f>SUM(N111:N112)</f>
        <v>0</v>
      </c>
      <c r="O113" s="305">
        <f>SUM(O111:O112)</f>
        <v>0</v>
      </c>
      <c r="P113" s="949"/>
      <c r="Q113" s="949"/>
      <c r="R113" s="949"/>
      <c r="S113" s="930"/>
      <c r="U113" s="931"/>
    </row>
    <row r="114" spans="1:22">
      <c r="A114" s="134"/>
      <c r="B114" s="44"/>
      <c r="C114" s="44"/>
      <c r="D114" s="134"/>
      <c r="E114" s="134"/>
      <c r="F114" s="44"/>
      <c r="G114" s="134"/>
      <c r="H114" s="134"/>
      <c r="I114" s="134"/>
      <c r="J114" s="134"/>
      <c r="K114" s="255"/>
      <c r="L114" s="256"/>
      <c r="M114" s="134"/>
      <c r="N114" s="134"/>
      <c r="O114" s="134"/>
      <c r="P114" s="134"/>
      <c r="Q114" s="134"/>
      <c r="R114" s="949"/>
      <c r="S114" s="949"/>
      <c r="T114" s="949"/>
    </row>
    <row r="115" spans="1:22">
      <c r="A115" s="2301" t="s">
        <v>945</v>
      </c>
      <c r="B115" s="2302"/>
      <c r="C115" s="2302"/>
      <c r="D115" s="2302"/>
      <c r="E115" s="2302"/>
      <c r="F115" s="2302"/>
      <c r="G115" s="2302"/>
      <c r="H115" s="2303"/>
      <c r="I115" s="2303"/>
      <c r="J115" s="2303"/>
      <c r="K115" s="2303"/>
      <c r="L115" s="2303"/>
      <c r="M115" s="2303"/>
      <c r="N115" s="2304"/>
      <c r="O115" s="949"/>
      <c r="P115" s="949"/>
      <c r="Q115" s="86"/>
      <c r="R115" s="949"/>
      <c r="S115" s="949"/>
      <c r="T115" s="949"/>
    </row>
    <row r="116" spans="1:22">
      <c r="A116" s="685" t="s">
        <v>1</v>
      </c>
      <c r="B116" s="723" t="s">
        <v>101</v>
      </c>
      <c r="C116" s="724" t="s">
        <v>98</v>
      </c>
      <c r="D116" s="688" t="s">
        <v>96</v>
      </c>
      <c r="E116" s="137" t="s">
        <v>494</v>
      </c>
      <c r="F116" s="138" t="s">
        <v>495</v>
      </c>
      <c r="G116" s="296" t="s">
        <v>496</v>
      </c>
      <c r="H116" s="140" t="s">
        <v>946</v>
      </c>
      <c r="I116" s="141" t="s">
        <v>947</v>
      </c>
      <c r="J116" s="217">
        <v>0</v>
      </c>
      <c r="K116" s="218">
        <v>1</v>
      </c>
      <c r="L116" s="340">
        <v>2</v>
      </c>
      <c r="M116" s="218">
        <v>3</v>
      </c>
      <c r="N116" s="219" t="s">
        <v>1367</v>
      </c>
      <c r="O116" s="949"/>
      <c r="P116" s="949"/>
      <c r="Q116" s="86"/>
      <c r="R116" s="949"/>
      <c r="S116" s="949"/>
      <c r="T116" s="949"/>
    </row>
    <row r="117" spans="1:22">
      <c r="A117" s="985" t="s">
        <v>73</v>
      </c>
      <c r="B117" s="29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7" s="292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7" s="694">
        <f>COUNTIFS(РД[МОП],A117,РД[Дата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7" s="1015"/>
      <c r="F117" s="292"/>
      <c r="G117" s="720"/>
      <c r="H117" s="29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879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183">
        <f>COUNTIFS(РД[Тип кв],J$116,РД[МОП],$A117,РД[Дата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243">
        <f>COUNTIFS(РД[Тип кв],K$116,РД[МОП],$A117,РД[Дата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243">
        <f>COUNTIFS(РД[Тип кв],L$116,РД[МОП],$A117,РД[Дата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243">
        <f>COUNTIFS(РД[Тип кв],M$116,РД[МОП],$A117,РД[Дата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246">
        <f>COUNTIFS(РД[Тип кв],N$116,РД[МОП],$A117,РД[Дата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T117" s="949"/>
    </row>
    <row r="118" spans="1:22">
      <c r="A118" s="1020" t="s">
        <v>8</v>
      </c>
      <c r="B118" s="267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8" s="146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8" s="702">
        <f>COUNTIFS(РД[МОП],A118,РД[Дата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8" s="514"/>
      <c r="F118" s="146"/>
      <c r="G118" s="417"/>
      <c r="H118" s="267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8" s="549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8" s="148">
        <f>COUNTIFS(РД[Тип кв],J$116,РД[МОП],$A118,РД[Дата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8" s="220">
        <f>COUNTIFS(РД[Тип кв],K$116,РД[МОП],$A118,РД[Дата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8" s="220">
        <f>COUNTIFS(РД[Тип кв],L$116,РД[МОП],$A118,РД[Дата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8" s="220">
        <f>COUNTIFS(РД[Тип кв],M$116,РД[МОП],$A118,РД[Дата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8" s="223">
        <f>COUNTIFS(РД[Тип кв],N$116,РД[МОП],$A118,РД[Дата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8" s="949"/>
      <c r="P118" s="949"/>
      <c r="Q118" s="86"/>
      <c r="R118" s="949"/>
      <c r="S118" s="949"/>
      <c r="T118" s="949"/>
    </row>
    <row r="119" spans="1:22" s="930" customFormat="1">
      <c r="A119" s="981" t="s">
        <v>77</v>
      </c>
      <c r="B119" s="27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9" s="52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9" s="717">
        <f>COUNTIFS(РД[МОП],A119,РД[Дата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9" s="416"/>
      <c r="F119" s="52"/>
      <c r="G119" s="421"/>
      <c r="H119" s="271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546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202">
        <f>COUNTIFS(РД[Тип кв],J$116,РД[МОП],$A119,РД[Дата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226">
        <f>COUNTIFS(РД[Тип кв],K$116,РД[МОП],$A119,РД[Дата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226">
        <f>COUNTIFS(РД[Тип кв],L$116,РД[МОП],$A119,РД[Дата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226">
        <f>COUNTIFS(РД[Тип кв],M$116,РД[МОП],$A119,РД[Дата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227">
        <f>COUNTIFS(РД[Тип кв],N$116,РД[МОП],$A119,РД[Дата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T119" s="949"/>
      <c r="V119" s="931"/>
    </row>
    <row r="120" spans="1:22" s="930" customFormat="1">
      <c r="A120" s="981" t="s">
        <v>1233</v>
      </c>
      <c r="B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0" s="52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0" s="717">
        <f>COUNTIFS(РД[МОП],A120,РД[Дата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0" s="416"/>
      <c r="F120" s="52"/>
      <c r="G120" s="421"/>
      <c r="H120" s="271">
        <f>SUMIFS(РД[S],РД[МОП],A120,РД[Дата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0" s="546">
        <f>SUMIFS(РД[Стоимость без отделки итог],РД[МОП],A120,РД[Дата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0" s="202">
        <f>COUNTIFS(РД[Тип кв],J$116,РД[МОП],$A120,РД[Дата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0" s="226">
        <f>COUNTIFS(РД[Тип кв],K$116,РД[МОП],$A120,РД[Дата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0" s="226">
        <f>COUNTIFS(РД[Тип кв],L$116,РД[МОП],$A120,РД[Дата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0" s="226">
        <f>COUNTIFS(РД[Тип кв],M$116,РД[МОП],$A120,РД[Дата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0" s="227">
        <f>COUNTIFS(РД[Тип кв],N$116,РД[МОП],$A120,РД[Дата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0" s="949"/>
      <c r="P120" s="949"/>
      <c r="Q120" s="86"/>
      <c r="R120" s="949"/>
      <c r="S120" s="949"/>
      <c r="T120" s="949"/>
      <c r="V120" s="931"/>
    </row>
    <row r="121" spans="1:22" s="930" customFormat="1">
      <c r="A121" s="982" t="s">
        <v>29</v>
      </c>
      <c r="B121" s="516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1" s="554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1" s="695">
        <f>COUNTIFS(РД[МОП],A121,РД[Дата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1" s="329">
        <f>SUMIFS(февр23[м2],февр23[МОП],$A121,февр23[№ дома],$C$66)</f>
        <v>0</v>
      </c>
      <c r="F121" s="958">
        <f>SUMIFS(февр23[сумма без отделки],февр23[МОП],$A121,февр23[№ дома],$C$66)</f>
        <v>0</v>
      </c>
      <c r="G121" s="959">
        <f>COUNTIFS(февр23[МОП],$A121,февр23[№ дома],$C$66)</f>
        <v>0</v>
      </c>
      <c r="H121" s="516">
        <f>SUMIFS(РД[S],РД[МОП],A121,РД[Дата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1" s="1002">
        <f>SUMIFS(РД[Стоимость без отделки итог],РД[МОП],A121,РД[Дата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1" s="195">
        <f>COUNTIFS(РД[Тип кв],J$116,РД[МОП],$A121,РД[Дата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1" s="251">
        <f>COUNTIFS(РД[Тип кв],K$116,РД[МОП],$A121,РД[Дата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1" s="251">
        <f>COUNTIFS(РД[Тип кв],L$116,РД[МОП],$A121,РД[Дата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1" s="251">
        <f>COUNTIFS(РД[Тип кв],M$116,РД[МОП],$A121,РД[Дата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1" s="254">
        <f>COUNTIFS(РД[Тип кв],N$116,РД[МОП],$A121,РД[Дата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1" s="949"/>
      <c r="P121" s="949"/>
      <c r="Q121" s="86"/>
      <c r="R121" s="949"/>
      <c r="S121" s="949"/>
      <c r="T121" s="949"/>
      <c r="V121" s="931"/>
    </row>
    <row r="122" spans="1:22" s="930" customFormat="1">
      <c r="A122" s="984" t="s">
        <v>114</v>
      </c>
      <c r="B122" s="323">
        <f t="shared" ref="B122:N122" si="30">SUM(B117:B121)</f>
        <v>0</v>
      </c>
      <c r="C122" s="429">
        <f t="shared" si="30"/>
        <v>0</v>
      </c>
      <c r="D122" s="319">
        <f t="shared" si="30"/>
        <v>0</v>
      </c>
      <c r="E122" s="428">
        <f t="shared" si="30"/>
        <v>0</v>
      </c>
      <c r="F122" s="429">
        <f t="shared" si="30"/>
        <v>0</v>
      </c>
      <c r="G122" s="322">
        <f t="shared" si="30"/>
        <v>0</v>
      </c>
      <c r="H122" s="323">
        <f t="shared" si="30"/>
        <v>0</v>
      </c>
      <c r="I122" s="324">
        <f t="shared" si="30"/>
        <v>0</v>
      </c>
      <c r="J122" s="284">
        <f t="shared" si="30"/>
        <v>0</v>
      </c>
      <c r="K122" s="285">
        <f t="shared" si="30"/>
        <v>0</v>
      </c>
      <c r="L122" s="285">
        <f t="shared" si="30"/>
        <v>0</v>
      </c>
      <c r="M122" s="285">
        <f t="shared" si="30"/>
        <v>0</v>
      </c>
      <c r="N122" s="305">
        <f t="shared" si="30"/>
        <v>0</v>
      </c>
      <c r="O122" s="949"/>
      <c r="P122" s="949"/>
      <c r="Q122" s="86"/>
      <c r="R122" s="949"/>
      <c r="S122" s="949"/>
      <c r="T122" s="949"/>
      <c r="V122" s="931"/>
    </row>
    <row r="123" spans="1:22" s="930" customFormat="1">
      <c r="A123" s="725" t="s">
        <v>115</v>
      </c>
      <c r="B123" s="706" t="s">
        <v>101</v>
      </c>
      <c r="C123" s="726" t="s">
        <v>98</v>
      </c>
      <c r="D123" s="708" t="s">
        <v>96</v>
      </c>
      <c r="E123" s="486" t="s">
        <v>494</v>
      </c>
      <c r="F123" s="487" t="s">
        <v>495</v>
      </c>
      <c r="G123" s="524" t="s">
        <v>496</v>
      </c>
      <c r="H123" s="489" t="s">
        <v>946</v>
      </c>
      <c r="I123" s="525" t="s">
        <v>947</v>
      </c>
      <c r="J123" s="217">
        <v>0</v>
      </c>
      <c r="K123" s="218">
        <v>1</v>
      </c>
      <c r="L123" s="340">
        <v>2</v>
      </c>
      <c r="M123" s="218">
        <v>3</v>
      </c>
      <c r="N123" s="219" t="s">
        <v>1367</v>
      </c>
      <c r="O123" s="949"/>
      <c r="P123" s="949"/>
      <c r="Q123" s="86"/>
      <c r="R123" s="949"/>
      <c r="S123" s="949"/>
      <c r="T123" s="949"/>
      <c r="V123" s="931"/>
    </row>
    <row r="124" spans="1:22" s="930" customFormat="1">
      <c r="A124" s="985" t="s">
        <v>16</v>
      </c>
      <c r="B124" s="291">
        <f>SUMIFS(РД[S],РД[ИМ],A124,РД[Дата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4" s="292">
        <f>SUMIFS(РД[Стоимость без отделки итог],РД[ИМ],A124,РД[Дата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4" s="694">
        <f>COUNTIFS(РД[ИМ],A124,РД[Дата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4" s="551"/>
      <c r="F124" s="292"/>
      <c r="G124" s="552"/>
      <c r="H124" s="291">
        <f>SUMIFS(РД[S],РД[ИМ],A124,РД[Дата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4" s="312">
        <f>SUMIFS(РД[Стоимость без отделки итог],РД[ИМ],A124,РД[Дата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4" s="346">
        <f>COUNTIFS(РД[Тип кв],J$116,РД[ИМ],$A124,РД[Дата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4" s="243">
        <f>COUNTIFS(РД[Тип кв],K$116,РД[ИМ],$A124,РД[Дата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4" s="243">
        <f>COUNTIFS(РД[Тип кв],L$116,РД[ИМ],$A124,РД[Дата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4" s="243">
        <f>COUNTIFS(РД[Тип кв],M$116,РД[ИМ],$A124,РД[Дата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4" s="246">
        <f>COUNTIFS(РД[Тип кв],N$116,РД[ИМ],$A124,РД[Дата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4" s="949"/>
      <c r="P124" s="949"/>
      <c r="Q124" s="86"/>
      <c r="R124" s="949"/>
      <c r="S124" s="949"/>
      <c r="T124" s="949"/>
      <c r="V124" s="931"/>
    </row>
    <row r="125" spans="1:22" s="930" customFormat="1">
      <c r="A125" s="982" t="s">
        <v>22</v>
      </c>
      <c r="B125" s="516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5" s="554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5" s="695">
        <f>COUNTIFS(РД[ИМ],A125,РД[Дата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5" s="553"/>
      <c r="F125" s="554"/>
      <c r="G125" s="555"/>
      <c r="H125" s="516">
        <f>SUMIFS(РД[S],РД[ИМ],A125,РД[Дата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5" s="517">
        <f>SUMIFS(РД[Стоимость без отделки итог],РД[ИМ],A125,РД[Дата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5" s="426">
        <f>COUNTIFS(РД[Тип кв],J$116,РД[ИМ],$A125,РД[Дата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5" s="251">
        <f>COUNTIFS(РД[Тип кв],K$116,РД[ИМ],$A125,РД[Дата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5" s="251">
        <f>COUNTIFS(РД[Тип кв],L$116,РД[ИМ],$A125,РД[Дата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5" s="251">
        <f>COUNTIFS(РД[Тип кв],M$116,РД[ИМ],$A125,РД[Дата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5" s="254">
        <f>COUNTIFS(РД[Тип кв],N$116,РД[ИМ],$A125,РД[Дата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5" s="949"/>
      <c r="P125" s="949"/>
      <c r="Q125" s="86"/>
      <c r="R125" s="949"/>
      <c r="S125" s="949"/>
      <c r="T125" s="949"/>
      <c r="V125" s="931"/>
    </row>
    <row r="126" spans="1:22" s="930" customFormat="1">
      <c r="A126" s="986" t="s">
        <v>114</v>
      </c>
      <c r="B126" s="282">
        <f>SUM(B124:B125)</f>
        <v>0</v>
      </c>
      <c r="C126" s="287">
        <f>SUM(C124:C125)</f>
        <v>0</v>
      </c>
      <c r="D126" s="711">
        <f>SUM(D124:D125)</f>
        <v>0</v>
      </c>
      <c r="E126" s="425">
        <f t="shared" ref="E126:N126" si="31">SUM(E124:E125)</f>
        <v>0</v>
      </c>
      <c r="F126" s="287">
        <f t="shared" si="31"/>
        <v>0</v>
      </c>
      <c r="G126" s="286">
        <f t="shared" si="31"/>
        <v>0</v>
      </c>
      <c r="H126" s="282">
        <f t="shared" si="31"/>
        <v>0</v>
      </c>
      <c r="I126" s="283">
        <f t="shared" si="31"/>
        <v>0</v>
      </c>
      <c r="J126" s="284">
        <f t="shared" si="31"/>
        <v>0</v>
      </c>
      <c r="K126" s="285">
        <f t="shared" si="31"/>
        <v>0</v>
      </c>
      <c r="L126" s="285">
        <f t="shared" si="31"/>
        <v>0</v>
      </c>
      <c r="M126" s="285">
        <f t="shared" si="31"/>
        <v>0</v>
      </c>
      <c r="N126" s="305">
        <f t="shared" si="31"/>
        <v>0</v>
      </c>
      <c r="O126" s="949"/>
      <c r="P126" s="949"/>
      <c r="Q126" s="86"/>
      <c r="R126" s="949"/>
      <c r="S126" s="949"/>
      <c r="T126" s="949"/>
      <c r="V126" s="931"/>
    </row>
    <row r="127" spans="1:22" s="930" customFormat="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T127" s="949"/>
      <c r="V127" s="931"/>
    </row>
    <row r="128" spans="1:22" s="930" customFormat="1">
      <c r="O128" s="949"/>
      <c r="P128" s="949"/>
      <c r="Q128" s="86"/>
      <c r="R128" s="949"/>
      <c r="S128" s="949"/>
      <c r="T128" s="949"/>
      <c r="V128" s="931"/>
    </row>
    <row r="129" spans="1:22" s="930" customFormat="1">
      <c r="O129" s="949"/>
      <c r="P129" s="949"/>
      <c r="Q129" s="86"/>
      <c r="R129" s="949"/>
      <c r="S129" s="949"/>
      <c r="T129" s="949"/>
      <c r="V129" s="931"/>
    </row>
    <row r="130" spans="1:22" s="930" customFormat="1">
      <c r="O130" s="949"/>
      <c r="P130" s="949"/>
      <c r="Q130" s="86"/>
      <c r="R130" s="949"/>
      <c r="S130" s="949"/>
      <c r="T130" s="949"/>
      <c r="V130" s="931"/>
    </row>
    <row r="131" spans="1:22" s="930" customFormat="1">
      <c r="O131" s="949"/>
      <c r="P131" s="949"/>
      <c r="Q131" s="86"/>
      <c r="R131" s="949"/>
      <c r="S131" s="949"/>
      <c r="T131" s="949"/>
      <c r="V131" s="931"/>
    </row>
    <row r="132" spans="1:22" s="930" customFormat="1">
      <c r="O132" s="949"/>
      <c r="P132" s="949"/>
      <c r="Q132" s="86"/>
      <c r="R132" s="949"/>
      <c r="S132" s="949"/>
      <c r="T132" s="949"/>
      <c r="V132" s="931"/>
    </row>
    <row r="133" spans="1:22" s="930" customFormat="1">
      <c r="O133" s="949"/>
      <c r="P133" s="949"/>
      <c r="Q133" s="86"/>
      <c r="R133" s="949"/>
      <c r="S133" s="949"/>
      <c r="T133" s="949"/>
      <c r="V133" s="931"/>
    </row>
    <row r="134" spans="1:22" s="930" customFormat="1">
      <c r="O134" s="949"/>
      <c r="P134" s="949"/>
      <c r="Q134" s="86"/>
      <c r="R134" s="949"/>
      <c r="S134" s="949"/>
      <c r="T134" s="949"/>
      <c r="V134" s="931"/>
    </row>
    <row r="135" spans="1:22" s="930" customFormat="1">
      <c r="O135" s="949"/>
      <c r="P135" s="949"/>
      <c r="Q135" s="86"/>
      <c r="R135" s="949"/>
      <c r="S135" s="949"/>
      <c r="T135" s="949"/>
      <c r="V135" s="931"/>
    </row>
    <row r="136" spans="1:22" s="930" customFormat="1">
      <c r="O136" s="949"/>
      <c r="P136" s="949"/>
      <c r="Q136" s="86"/>
      <c r="R136" s="949"/>
      <c r="S136" s="949"/>
      <c r="T136" s="949"/>
      <c r="V136" s="931"/>
    </row>
    <row r="137" spans="1:22" s="930" customFormat="1">
      <c r="O137" s="949"/>
      <c r="P137" s="949"/>
      <c r="Q137" s="86"/>
      <c r="R137" s="949"/>
      <c r="S137" s="949"/>
      <c r="T137" s="949"/>
      <c r="V137" s="931"/>
    </row>
    <row r="138" spans="1:22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T138" s="949"/>
      <c r="V138" s="931"/>
    </row>
    <row r="139" spans="1:22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T139" s="949"/>
      <c r="V139" s="931"/>
    </row>
    <row r="140" spans="1:22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T140" s="949"/>
      <c r="V140" s="931"/>
    </row>
    <row r="141" spans="1:22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T141" s="949"/>
      <c r="V141" s="931"/>
    </row>
    <row r="142" spans="1:22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T142" s="949"/>
      <c r="V142" s="931"/>
    </row>
    <row r="143" spans="1:22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T143" s="949"/>
      <c r="V143" s="931"/>
    </row>
    <row r="144" spans="1:22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T144" s="949"/>
      <c r="V144" s="931"/>
    </row>
    <row r="145" spans="1:22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T145" s="949"/>
      <c r="V145" s="931"/>
    </row>
    <row r="146" spans="1:22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T146" s="949"/>
      <c r="V146" s="931"/>
    </row>
    <row r="147" spans="1:22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T147" s="949"/>
      <c r="V147" s="931"/>
    </row>
    <row r="148" spans="1:22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T148" s="949"/>
      <c r="V148" s="931"/>
    </row>
    <row r="149" spans="1:22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T149" s="949"/>
      <c r="V149" s="931"/>
    </row>
    <row r="150" spans="1:22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T150" s="949"/>
      <c r="V150" s="931"/>
    </row>
    <row r="151" spans="1:22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T151" s="949"/>
      <c r="V151" s="931"/>
    </row>
    <row r="152" spans="1:22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T152" s="949"/>
      <c r="V152" s="931"/>
    </row>
    <row r="153" spans="1:22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T153" s="949"/>
      <c r="V153" s="931"/>
    </row>
    <row r="154" spans="1:22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T154" s="949"/>
      <c r="V154" s="931"/>
    </row>
    <row r="155" spans="1:22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T155" s="949"/>
      <c r="V155" s="931"/>
    </row>
    <row r="156" spans="1:22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T156" s="949"/>
      <c r="V156" s="931"/>
    </row>
    <row r="157" spans="1:22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T157" s="949"/>
      <c r="V157" s="931"/>
    </row>
    <row r="158" spans="1:22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T158" s="949"/>
      <c r="V158" s="931"/>
    </row>
    <row r="159" spans="1:22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T159" s="949"/>
      <c r="V159" s="931"/>
    </row>
    <row r="160" spans="1:22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T160" s="949"/>
      <c r="V160" s="931"/>
    </row>
    <row r="161" spans="1:22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T161" s="949"/>
      <c r="V161" s="931"/>
    </row>
    <row r="162" spans="1:22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T162" s="949"/>
      <c r="V162" s="931"/>
    </row>
    <row r="163" spans="1:22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T163" s="949"/>
      <c r="V163" s="931"/>
    </row>
    <row r="164" spans="1:22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T164" s="949"/>
      <c r="V164" s="931"/>
    </row>
    <row r="165" spans="1:22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T165" s="949"/>
      <c r="V165" s="931"/>
    </row>
    <row r="166" spans="1:22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T166" s="949"/>
      <c r="V166" s="931"/>
    </row>
    <row r="167" spans="1:22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T167" s="949"/>
      <c r="V167" s="931"/>
    </row>
    <row r="168" spans="1:22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T168" s="949"/>
      <c r="V168" s="931"/>
    </row>
    <row r="169" spans="1:22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T169" s="949"/>
      <c r="V169" s="931"/>
    </row>
    <row r="170" spans="1:22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T170" s="949"/>
      <c r="V170" s="931"/>
    </row>
    <row r="171" spans="1:22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T171" s="949"/>
      <c r="V171" s="931"/>
    </row>
    <row r="172" spans="1:22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T172" s="949"/>
      <c r="V172" s="931"/>
    </row>
    <row r="173" spans="1:22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T173" s="949"/>
      <c r="V173" s="931"/>
    </row>
    <row r="174" spans="1:22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T174" s="949"/>
      <c r="V174" s="931"/>
    </row>
    <row r="175" spans="1:22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T175" s="949"/>
      <c r="V175" s="931"/>
    </row>
    <row r="176" spans="1:22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T176" s="949"/>
      <c r="V176" s="931"/>
    </row>
    <row r="177" spans="1:22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T177" s="949"/>
      <c r="V177" s="931"/>
    </row>
    <row r="178" spans="1:22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T178" s="949"/>
      <c r="V178" s="931"/>
    </row>
    <row r="179" spans="1:22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T179" s="949"/>
      <c r="V179" s="931"/>
    </row>
    <row r="180" spans="1:22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T180" s="949"/>
      <c r="V180" s="931"/>
    </row>
    <row r="181" spans="1:22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T181" s="949"/>
      <c r="V181" s="931"/>
    </row>
    <row r="182" spans="1:22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T182" s="949"/>
      <c r="V182" s="931"/>
    </row>
    <row r="183" spans="1:22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T183" s="949"/>
      <c r="V183" s="931"/>
    </row>
    <row r="184" spans="1:22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T184" s="949"/>
      <c r="V184" s="931"/>
    </row>
    <row r="185" spans="1:22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T185" s="949"/>
      <c r="V185" s="931"/>
    </row>
    <row r="186" spans="1:22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T186" s="949"/>
      <c r="V186" s="931"/>
    </row>
    <row r="187" spans="1:22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T187" s="949"/>
      <c r="V187" s="931"/>
    </row>
    <row r="188" spans="1:22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T188" s="949"/>
      <c r="V188" s="931"/>
    </row>
    <row r="189" spans="1:22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T189" s="949"/>
      <c r="V189" s="931"/>
    </row>
    <row r="190" spans="1:22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T190" s="949"/>
      <c r="V190" s="931"/>
    </row>
    <row r="191" spans="1:22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T191" s="949"/>
      <c r="V191" s="931"/>
    </row>
    <row r="192" spans="1:22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T192" s="949"/>
      <c r="V192" s="931"/>
    </row>
    <row r="193" spans="1:22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T193" s="949"/>
      <c r="V193" s="931"/>
    </row>
    <row r="194" spans="1:22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T194" s="949"/>
      <c r="V194" s="931"/>
    </row>
    <row r="195" spans="1:22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T195" s="949"/>
      <c r="V195" s="931"/>
    </row>
    <row r="196" spans="1:22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T196" s="949"/>
      <c r="V196" s="931"/>
    </row>
    <row r="197" spans="1:22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T197" s="949"/>
      <c r="V197" s="931"/>
    </row>
    <row r="198" spans="1:22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T198" s="949"/>
      <c r="V198" s="931"/>
    </row>
    <row r="199" spans="1:22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T199" s="949"/>
      <c r="V199" s="931"/>
    </row>
    <row r="200" spans="1:22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T200" s="949"/>
      <c r="V200" s="931"/>
    </row>
    <row r="201" spans="1:22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T201" s="949"/>
      <c r="V201" s="931"/>
    </row>
    <row r="202" spans="1:22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T202" s="949"/>
      <c r="V202" s="931"/>
    </row>
    <row r="203" spans="1:22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T203" s="949"/>
      <c r="V203" s="931"/>
    </row>
    <row r="204" spans="1:22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T204" s="949"/>
      <c r="V204" s="931"/>
    </row>
    <row r="205" spans="1:22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T205" s="949"/>
      <c r="V205" s="931"/>
    </row>
    <row r="206" spans="1:22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T206" s="949"/>
      <c r="V206" s="931"/>
    </row>
    <row r="207" spans="1:22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T207" s="949"/>
      <c r="V207" s="931"/>
    </row>
    <row r="208" spans="1:22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T208" s="949"/>
      <c r="V208" s="931"/>
    </row>
    <row r="209" spans="1:22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T209" s="949"/>
      <c r="V209" s="931"/>
    </row>
    <row r="210" spans="1:22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T210" s="949"/>
      <c r="V210" s="931"/>
    </row>
    <row r="211" spans="1:22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T211" s="949"/>
      <c r="V211" s="931"/>
    </row>
    <row r="212" spans="1:22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T212" s="949"/>
      <c r="V212" s="931"/>
    </row>
    <row r="213" spans="1:22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T213" s="949"/>
      <c r="V213" s="931"/>
    </row>
    <row r="214" spans="1:22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T214" s="949"/>
      <c r="V214" s="931"/>
    </row>
    <row r="215" spans="1:22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T215" s="949"/>
      <c r="V215" s="931"/>
    </row>
    <row r="216" spans="1:22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T216" s="949"/>
      <c r="V216" s="931"/>
    </row>
    <row r="217" spans="1:22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T217" s="949"/>
      <c r="V217" s="931"/>
    </row>
    <row r="218" spans="1:22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T218" s="949"/>
      <c r="V218" s="931"/>
    </row>
    <row r="219" spans="1:22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T219" s="949"/>
      <c r="V219" s="931"/>
    </row>
    <row r="220" spans="1:22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T220" s="949"/>
      <c r="V220" s="931"/>
    </row>
    <row r="221" spans="1:22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T221" s="949"/>
      <c r="V221" s="931"/>
    </row>
    <row r="222" spans="1:22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T222" s="949"/>
      <c r="V222" s="931"/>
    </row>
    <row r="223" spans="1:22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T223" s="949"/>
      <c r="V223" s="931"/>
    </row>
    <row r="224" spans="1:22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T224" s="949"/>
      <c r="V224" s="931"/>
    </row>
    <row r="225" spans="1:22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T225" s="949"/>
      <c r="V225" s="931"/>
    </row>
    <row r="226" spans="1:22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T226" s="949"/>
      <c r="V226" s="931"/>
    </row>
    <row r="227" spans="1:22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T227" s="949"/>
      <c r="V227" s="931"/>
    </row>
    <row r="228" spans="1:22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T228" s="949"/>
      <c r="V228" s="931"/>
    </row>
    <row r="229" spans="1:22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T229" s="949"/>
      <c r="V229" s="931"/>
    </row>
    <row r="230" spans="1:22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T230" s="949"/>
      <c r="V230" s="931"/>
    </row>
    <row r="231" spans="1:22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T231" s="949"/>
      <c r="V231" s="931"/>
    </row>
    <row r="232" spans="1:22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T232" s="949"/>
      <c r="V232" s="931"/>
    </row>
    <row r="233" spans="1:22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T233" s="949"/>
      <c r="V233" s="931"/>
    </row>
    <row r="234" spans="1:22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T234" s="949"/>
      <c r="V234" s="931"/>
    </row>
    <row r="235" spans="1:22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T235" s="949"/>
      <c r="V235" s="931"/>
    </row>
    <row r="236" spans="1:22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T236" s="949"/>
      <c r="V236" s="931"/>
    </row>
    <row r="237" spans="1:22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T237" s="949"/>
      <c r="V237" s="931"/>
    </row>
    <row r="238" spans="1:22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T238" s="949"/>
      <c r="V238" s="931"/>
    </row>
    <row r="239" spans="1:22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T239" s="949"/>
      <c r="V239" s="931"/>
    </row>
    <row r="240" spans="1:22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T240" s="949"/>
      <c r="V240" s="931"/>
    </row>
    <row r="241" spans="1:22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T241" s="949"/>
      <c r="V241" s="931"/>
    </row>
    <row r="242" spans="1:22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T242" s="949"/>
      <c r="V242" s="931"/>
    </row>
    <row r="243" spans="1:22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T243" s="949"/>
      <c r="V243" s="931"/>
    </row>
    <row r="244" spans="1:22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T244" s="949"/>
      <c r="V244" s="931"/>
    </row>
    <row r="245" spans="1:22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T245" s="949"/>
      <c r="V245" s="931"/>
    </row>
    <row r="246" spans="1:22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T246" s="949"/>
      <c r="V246" s="931"/>
    </row>
    <row r="247" spans="1:22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T247" s="949"/>
      <c r="V247" s="931"/>
    </row>
    <row r="248" spans="1:22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T248" s="949"/>
      <c r="V248" s="931"/>
    </row>
    <row r="249" spans="1:22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T249" s="949"/>
      <c r="V249" s="931"/>
    </row>
    <row r="250" spans="1:22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T250" s="949"/>
      <c r="V250" s="931"/>
    </row>
    <row r="251" spans="1:22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T251" s="949"/>
      <c r="V251" s="931"/>
    </row>
    <row r="252" spans="1:22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T252" s="949"/>
      <c r="V252" s="931"/>
    </row>
    <row r="253" spans="1:22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T253" s="949"/>
      <c r="V253" s="931"/>
    </row>
    <row r="254" spans="1:22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T254" s="949"/>
      <c r="V254" s="931"/>
    </row>
    <row r="255" spans="1:22" s="930" customFormat="1">
      <c r="A255" s="931"/>
      <c r="B255" s="931"/>
      <c r="C255" s="931"/>
      <c r="D255" s="931"/>
      <c r="E255" s="931"/>
      <c r="F255" s="931"/>
      <c r="G255" s="931"/>
      <c r="H255" s="931"/>
      <c r="I255" s="931"/>
      <c r="J255" s="931"/>
      <c r="K255" s="931"/>
      <c r="L255" s="931"/>
      <c r="M255" s="931"/>
      <c r="N255" s="931"/>
      <c r="O255" s="931"/>
      <c r="P255" s="931"/>
      <c r="Q255" s="931"/>
      <c r="R255" s="931"/>
      <c r="S255" s="931"/>
      <c r="T255" s="931"/>
      <c r="V255" s="931"/>
    </row>
    <row r="256" spans="1:22" s="930" customFormat="1">
      <c r="A256" s="931"/>
      <c r="B256" s="931"/>
      <c r="C256" s="931"/>
      <c r="D256" s="931"/>
      <c r="E256" s="931"/>
      <c r="F256" s="931"/>
      <c r="G256" s="931"/>
      <c r="H256" s="931"/>
      <c r="I256" s="931"/>
      <c r="J256" s="931"/>
      <c r="K256" s="931"/>
      <c r="L256" s="931"/>
      <c r="M256" s="931"/>
      <c r="N256" s="931"/>
      <c r="O256" s="931"/>
      <c r="P256" s="931"/>
      <c r="Q256" s="931"/>
      <c r="R256" s="931"/>
      <c r="S256" s="931"/>
      <c r="T256" s="931"/>
      <c r="V256" s="931"/>
    </row>
  </sheetData>
  <sheetProtection formatCells="0" formatColumns="0" formatRows="0" sort="0" autoFilter="0" pivotTables="0"/>
  <mergeCells count="7">
    <mergeCell ref="A102:O102"/>
    <mergeCell ref="A115:N115"/>
    <mergeCell ref="A1:S1"/>
    <mergeCell ref="A54:B54"/>
    <mergeCell ref="A66:B66"/>
    <mergeCell ref="A78:B78"/>
    <mergeCell ref="A90:B90"/>
  </mergeCells>
  <pageMargins left="0.25" right="0.25" top="0.75" bottom="0.75" header="0.3" footer="0.3"/>
  <pageSetup paperSize="9" scale="39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B00-000000000000}">
          <x14:formula1>
            <xm:f>Списки!$C$3:$C$11</xm:f>
          </x14:formula1>
          <xm:sqref>D15 S16 R17:S17 R31:T31 D17:D52 T16:T23 R28:T29 R19:S23 R33:T52</xm:sqref>
        </x14:dataValidation>
        <x14:dataValidation type="list" allowBlank="1" showInputMessage="1" showErrorMessage="1" xr:uid="{00000000-0002-0000-1B00-000001000000}">
          <x14:formula1>
            <xm:f>Списки!$C$3:$C$4</xm:f>
          </x14:formula1>
          <xm:sqref>D16 R30:T30 R32:T32 D53 D3:D14 R3:R16 R24:T27 S3:T15</xm:sqref>
        </x14:dataValidation>
        <x14:dataValidation type="list" allowBlank="1" showInputMessage="1" showErrorMessage="1" xr:uid="{00000000-0002-0000-1B00-000002000000}">
          <x14:formula1>
            <xm:f>Списки!$D$2:$D$7</xm:f>
          </x14:formula1>
          <xm:sqref>F3:F53</xm:sqref>
        </x14:dataValidation>
        <x14:dataValidation type="list" allowBlank="1" showInputMessage="1" showErrorMessage="1" xr:uid="{00000000-0002-0000-1B00-000003000000}">
          <x14:formula1>
            <xm:f>Списки!$B$2:$B$5</xm:f>
          </x14:formula1>
          <xm:sqref>G3:G53</xm:sqref>
        </x14:dataValidation>
        <x14:dataValidation type="list" allowBlank="1" showInputMessage="1" showErrorMessage="1" xr:uid="{00000000-0002-0000-1B00-000004000000}">
          <x14:formula1>
            <xm:f>Списки!$E$2:$E$7</xm:f>
          </x14:formula1>
          <xm:sqref>H3:H53</xm:sqref>
        </x14:dataValidation>
        <x14:dataValidation type="list" allowBlank="1" showInputMessage="1" showErrorMessage="1" xr:uid="{00000000-0002-0000-1B00-000005000000}">
          <x14:formula1>
            <xm:f>Списки!$G$2:$G$3</xm:f>
          </x14:formula1>
          <xm:sqref>L3:L53</xm:sqref>
        </x14:dataValidation>
        <x14:dataValidation type="list" allowBlank="1" showInputMessage="1" showErrorMessage="1" xr:uid="{00000000-0002-0000-1B00-000006000000}">
          <x14:formula1>
            <xm:f>Списки!$F$2:$F$3</xm:f>
          </x14:formula1>
          <xm:sqref>N3:N7 N9:N53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U254"/>
  <sheetViews>
    <sheetView view="pageBreakPreview" zoomScale="80" zoomScaleNormal="85" workbookViewId="0">
      <pane ySplit="2" topLeftCell="A3" activePane="bottomLeft" state="frozen"/>
      <selection pane="bottomLeft" activeCell="T3" sqref="T3"/>
    </sheetView>
  </sheetViews>
  <sheetFormatPr defaultColWidth="12.28515625" defaultRowHeight="12.75" outlineLevelRow="1"/>
  <cols>
    <col min="1" max="1" width="12.42578125" style="931" customWidth="1"/>
    <col min="2" max="2" width="14.42578125" style="931" customWidth="1"/>
    <col min="3" max="3" width="14.85546875" style="931" customWidth="1"/>
    <col min="4" max="5" width="11.28515625" style="931" customWidth="1"/>
    <col min="6" max="7" width="13.85546875" style="931" customWidth="1"/>
    <col min="8" max="8" width="10" style="931" customWidth="1"/>
    <col min="9" max="9" width="15.140625" style="931" customWidth="1"/>
    <col min="10" max="10" width="10.5703125" style="931" customWidth="1"/>
    <col min="11" max="11" width="17" style="931" customWidth="1"/>
    <col min="12" max="12" width="21.7109375" style="931" customWidth="1"/>
    <col min="13" max="13" width="17.7109375" style="931" customWidth="1"/>
    <col min="14" max="14" width="13.140625" style="931" customWidth="1"/>
    <col min="15" max="15" width="24.42578125" style="931" customWidth="1"/>
    <col min="16" max="16" width="27.85546875" style="931" customWidth="1"/>
    <col min="17" max="17" width="30.85546875" style="931" customWidth="1"/>
    <col min="18" max="18" width="10.140625" style="931" customWidth="1"/>
    <col min="19" max="19" width="15.140625" style="931" customWidth="1"/>
    <col min="20" max="20" width="15.85546875" style="930" customWidth="1"/>
    <col min="21" max="21" width="1.7109375" style="931" customWidth="1"/>
    <col min="22" max="16384" width="12.28515625" style="931"/>
  </cols>
  <sheetData>
    <row r="1" spans="1:21" ht="15" customHeight="1">
      <c r="A1" s="2297">
        <v>45016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U1" s="931" t="s">
        <v>830</v>
      </c>
    </row>
    <row r="2" spans="1:2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262" t="s">
        <v>578</v>
      </c>
    </row>
    <row r="3" spans="1:21" s="929" customFormat="1" ht="13.5" customHeight="1" outlineLevel="1">
      <c r="A3" s="62">
        <v>1</v>
      </c>
      <c r="B3" s="75">
        <v>910</v>
      </c>
      <c r="C3" s="75">
        <v>24578</v>
      </c>
      <c r="D3" s="117" t="s">
        <v>73</v>
      </c>
      <c r="E3" s="62">
        <v>23.09</v>
      </c>
      <c r="F3" s="945" t="s">
        <v>9</v>
      </c>
      <c r="G3" s="62" t="s">
        <v>27</v>
      </c>
      <c r="H3" s="62" t="s">
        <v>22</v>
      </c>
      <c r="I3" s="95">
        <v>2317170.17</v>
      </c>
      <c r="J3" s="62">
        <v>0</v>
      </c>
      <c r="K3" s="62" t="s">
        <v>65</v>
      </c>
      <c r="L3" s="62" t="s">
        <v>18</v>
      </c>
      <c r="M3" s="92">
        <v>45015</v>
      </c>
      <c r="N3" s="117" t="s">
        <v>17</v>
      </c>
      <c r="O3" s="62" t="s">
        <v>1369</v>
      </c>
      <c r="P3" s="76" t="s">
        <v>67</v>
      </c>
      <c r="Q3" s="866" t="s">
        <v>67</v>
      </c>
      <c r="R3" s="945" t="s">
        <v>73</v>
      </c>
      <c r="S3" s="945" t="s">
        <v>8</v>
      </c>
      <c r="T3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2317170.17</v>
      </c>
    </row>
    <row r="4" spans="1:21" s="929" customFormat="1" ht="14.25" customHeight="1" outlineLevel="1">
      <c r="A4" s="62">
        <v>2</v>
      </c>
      <c r="B4" s="62">
        <v>315</v>
      </c>
      <c r="C4" s="75">
        <v>23940</v>
      </c>
      <c r="D4" s="117" t="s">
        <v>73</v>
      </c>
      <c r="E4" s="62">
        <v>56.7</v>
      </c>
      <c r="F4" s="62" t="s">
        <v>15</v>
      </c>
      <c r="G4" s="62" t="s">
        <v>7</v>
      </c>
      <c r="H4" s="62" t="s">
        <v>22</v>
      </c>
      <c r="I4" s="95">
        <v>4398084.5</v>
      </c>
      <c r="J4" s="62">
        <v>2</v>
      </c>
      <c r="K4" s="62" t="s">
        <v>65</v>
      </c>
      <c r="L4" s="62" t="s">
        <v>18</v>
      </c>
      <c r="M4" s="92">
        <v>44986</v>
      </c>
      <c r="N4" s="62" t="s">
        <v>17</v>
      </c>
      <c r="O4" s="62" t="s">
        <v>1370</v>
      </c>
      <c r="P4" s="76" t="s">
        <v>67</v>
      </c>
      <c r="Q4" s="76" t="s">
        <v>67</v>
      </c>
      <c r="R4" s="117" t="s">
        <v>73</v>
      </c>
      <c r="S4" s="117" t="s">
        <v>73</v>
      </c>
      <c r="T4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4171284.5000000005</v>
      </c>
    </row>
    <row r="5" spans="1:21" s="929" customFormat="1" outlineLevel="1">
      <c r="A5" s="62">
        <v>3</v>
      </c>
      <c r="B5" s="75">
        <v>449</v>
      </c>
      <c r="C5" s="75">
        <v>24218</v>
      </c>
      <c r="D5" s="117" t="s">
        <v>77</v>
      </c>
      <c r="E5" s="62">
        <v>74.28</v>
      </c>
      <c r="F5" s="941" t="s">
        <v>15</v>
      </c>
      <c r="G5" s="62" t="s">
        <v>7</v>
      </c>
      <c r="H5" s="62" t="s">
        <v>22</v>
      </c>
      <c r="I5" s="95">
        <v>5422383.0300000003</v>
      </c>
      <c r="J5" s="62">
        <v>3</v>
      </c>
      <c r="K5" s="62" t="s">
        <v>65</v>
      </c>
      <c r="L5" s="62" t="s">
        <v>18</v>
      </c>
      <c r="M5" s="92">
        <v>44992</v>
      </c>
      <c r="N5" s="62" t="s">
        <v>17</v>
      </c>
      <c r="O5" s="62" t="s">
        <v>1371</v>
      </c>
      <c r="P5" s="76" t="s">
        <v>67</v>
      </c>
      <c r="Q5" s="76" t="s">
        <v>67</v>
      </c>
      <c r="R5" s="945" t="s">
        <v>77</v>
      </c>
      <c r="S5" s="945" t="s">
        <v>77</v>
      </c>
      <c r="T5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5125263.03</v>
      </c>
    </row>
    <row r="6" spans="1:21" s="929" customFormat="1" ht="12.75" customHeight="1" outlineLevel="1">
      <c r="A6" s="62">
        <v>4</v>
      </c>
      <c r="B6" s="75">
        <v>67</v>
      </c>
      <c r="C6" s="75">
        <v>24297</v>
      </c>
      <c r="D6" s="117" t="s">
        <v>77</v>
      </c>
      <c r="E6" s="62">
        <v>35.54</v>
      </c>
      <c r="F6" s="941" t="s">
        <v>15</v>
      </c>
      <c r="G6" s="62" t="s">
        <v>7</v>
      </c>
      <c r="H6" s="62" t="s">
        <v>22</v>
      </c>
      <c r="I6" s="95">
        <v>3229238.02</v>
      </c>
      <c r="J6" s="62">
        <v>1</v>
      </c>
      <c r="K6" s="62" t="s">
        <v>65</v>
      </c>
      <c r="L6" s="62" t="s">
        <v>18</v>
      </c>
      <c r="M6" s="1016">
        <v>44986</v>
      </c>
      <c r="N6" s="62" t="s">
        <v>17</v>
      </c>
      <c r="O6" s="117" t="s">
        <v>1372</v>
      </c>
      <c r="P6" s="76" t="s">
        <v>67</v>
      </c>
      <c r="Q6" s="76" t="s">
        <v>67</v>
      </c>
      <c r="R6" s="945" t="s">
        <v>77</v>
      </c>
      <c r="S6" s="945" t="s">
        <v>73</v>
      </c>
      <c r="T6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3087078.02</v>
      </c>
    </row>
    <row r="7" spans="1:21" s="929" customFormat="1" outlineLevel="1">
      <c r="A7" s="62">
        <v>5</v>
      </c>
      <c r="B7" s="62">
        <v>5</v>
      </c>
      <c r="C7" s="62">
        <v>26660</v>
      </c>
      <c r="D7" s="117" t="s">
        <v>77</v>
      </c>
      <c r="E7" s="62">
        <v>54.66</v>
      </c>
      <c r="F7" s="941" t="s">
        <v>15</v>
      </c>
      <c r="G7" s="62" t="s">
        <v>7</v>
      </c>
      <c r="H7" s="62" t="s">
        <v>16</v>
      </c>
      <c r="I7" s="95">
        <v>4271939.3899999997</v>
      </c>
      <c r="J7" s="62">
        <v>2</v>
      </c>
      <c r="K7" s="62" t="s">
        <v>65</v>
      </c>
      <c r="L7" s="62" t="s">
        <v>18</v>
      </c>
      <c r="M7" s="1016">
        <v>44991</v>
      </c>
      <c r="N7" s="62" t="s">
        <v>17</v>
      </c>
      <c r="O7" s="1017" t="s">
        <v>1373</v>
      </c>
      <c r="P7" s="76" t="s">
        <v>67</v>
      </c>
      <c r="Q7" s="76" t="s">
        <v>67</v>
      </c>
      <c r="R7" s="945" t="s">
        <v>77</v>
      </c>
      <c r="S7" s="945" t="s">
        <v>77</v>
      </c>
      <c r="T7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4053299.3899999997</v>
      </c>
    </row>
    <row r="8" spans="1:21" s="929" customFormat="1" ht="12.75" customHeight="1" outlineLevel="1">
      <c r="A8" s="62">
        <v>6</v>
      </c>
      <c r="B8" s="62">
        <v>7</v>
      </c>
      <c r="C8" s="62">
        <v>24160</v>
      </c>
      <c r="D8" s="117" t="s">
        <v>77</v>
      </c>
      <c r="E8" s="62">
        <v>134.52000000000001</v>
      </c>
      <c r="F8" s="941" t="s">
        <v>9</v>
      </c>
      <c r="G8" s="62" t="s">
        <v>27</v>
      </c>
      <c r="H8" s="62"/>
      <c r="I8" s="95">
        <v>12779400</v>
      </c>
      <c r="J8" s="62" t="s">
        <v>1337</v>
      </c>
      <c r="K8" s="117" t="s">
        <v>286</v>
      </c>
      <c r="L8" s="62" t="s">
        <v>18</v>
      </c>
      <c r="M8" s="92"/>
      <c r="N8" s="62" t="s">
        <v>17</v>
      </c>
      <c r="O8" s="62" t="s">
        <v>1338</v>
      </c>
      <c r="P8" s="76" t="s">
        <v>67</v>
      </c>
      <c r="Q8" s="76" t="s">
        <v>67</v>
      </c>
      <c r="R8" s="945" t="s">
        <v>77</v>
      </c>
      <c r="S8" s="945" t="s">
        <v>77</v>
      </c>
      <c r="T8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12779400.000000002</v>
      </c>
    </row>
    <row r="9" spans="1:21" s="929" customFormat="1" outlineLevel="1">
      <c r="A9" s="62">
        <v>7</v>
      </c>
      <c r="B9" s="75">
        <v>328</v>
      </c>
      <c r="C9" s="75">
        <v>24282</v>
      </c>
      <c r="D9" s="62" t="s">
        <v>73</v>
      </c>
      <c r="E9" s="62">
        <v>58.55</v>
      </c>
      <c r="F9" s="941" t="s">
        <v>9</v>
      </c>
      <c r="G9" s="62" t="s">
        <v>7</v>
      </c>
      <c r="H9" s="62" t="s">
        <v>22</v>
      </c>
      <c r="I9" s="95">
        <v>4431299.96</v>
      </c>
      <c r="J9" s="62">
        <v>2</v>
      </c>
      <c r="K9" s="62" t="s">
        <v>65</v>
      </c>
      <c r="L9" s="62" t="s">
        <v>18</v>
      </c>
      <c r="M9" s="92">
        <v>44986</v>
      </c>
      <c r="N9" s="62" t="s">
        <v>17</v>
      </c>
      <c r="O9" s="62" t="s">
        <v>1374</v>
      </c>
      <c r="P9" s="76" t="s">
        <v>67</v>
      </c>
      <c r="Q9" s="76" t="s">
        <v>67</v>
      </c>
      <c r="R9" s="941" t="s">
        <v>73</v>
      </c>
      <c r="S9" s="941" t="s">
        <v>73</v>
      </c>
      <c r="T9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4431299.96</v>
      </c>
      <c r="U9" s="931"/>
    </row>
    <row r="10" spans="1:21" outlineLevel="1">
      <c r="A10" s="62">
        <v>8</v>
      </c>
      <c r="B10" s="75">
        <v>356</v>
      </c>
      <c r="C10" s="75">
        <v>24256</v>
      </c>
      <c r="D10" s="62" t="s">
        <v>73</v>
      </c>
      <c r="E10" s="62">
        <v>58.55</v>
      </c>
      <c r="F10" s="941" t="s">
        <v>9</v>
      </c>
      <c r="G10" s="62" t="s">
        <v>7</v>
      </c>
      <c r="H10" s="62" t="s">
        <v>16</v>
      </c>
      <c r="I10" s="95">
        <v>4431299.96</v>
      </c>
      <c r="J10" s="62">
        <v>2</v>
      </c>
      <c r="K10" s="62" t="s">
        <v>65</v>
      </c>
      <c r="L10" s="62" t="s">
        <v>18</v>
      </c>
      <c r="M10" s="92">
        <v>44986</v>
      </c>
      <c r="N10" s="62" t="s">
        <v>17</v>
      </c>
      <c r="O10" s="62" t="s">
        <v>1375</v>
      </c>
      <c r="P10" s="76" t="s">
        <v>67</v>
      </c>
      <c r="Q10" s="76" t="s">
        <v>67</v>
      </c>
      <c r="R10" s="941" t="s">
        <v>73</v>
      </c>
      <c r="S10" s="941" t="s">
        <v>73</v>
      </c>
      <c r="T10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4431299.96</v>
      </c>
    </row>
    <row r="11" spans="1:21" s="929" customFormat="1" ht="12.75" customHeight="1" outlineLevel="1">
      <c r="A11" s="62">
        <v>9</v>
      </c>
      <c r="B11" s="75">
        <v>53</v>
      </c>
      <c r="C11" s="75">
        <v>24183</v>
      </c>
      <c r="D11" s="62" t="s">
        <v>77</v>
      </c>
      <c r="E11" s="62">
        <v>54.66</v>
      </c>
      <c r="F11" s="941" t="s">
        <v>15</v>
      </c>
      <c r="G11" s="62" t="s">
        <v>7</v>
      </c>
      <c r="H11" s="62" t="s">
        <v>22</v>
      </c>
      <c r="I11" s="95">
        <v>4192463.16</v>
      </c>
      <c r="J11" s="62">
        <v>2</v>
      </c>
      <c r="K11" s="62" t="s">
        <v>65</v>
      </c>
      <c r="L11" s="62" t="s">
        <v>18</v>
      </c>
      <c r="M11" s="92">
        <v>44986</v>
      </c>
      <c r="N11" s="62" t="s">
        <v>17</v>
      </c>
      <c r="O11" s="62" t="s">
        <v>1376</v>
      </c>
      <c r="P11" s="76" t="s">
        <v>67</v>
      </c>
      <c r="Q11" s="76" t="s">
        <v>67</v>
      </c>
      <c r="R11" s="945" t="s">
        <v>77</v>
      </c>
      <c r="S11" s="945" t="s">
        <v>77</v>
      </c>
      <c r="T11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3973823.16</v>
      </c>
    </row>
    <row r="12" spans="1:21" s="929" customFormat="1" outlineLevel="1">
      <c r="A12" s="62">
        <v>10</v>
      </c>
      <c r="B12" s="75">
        <v>422</v>
      </c>
      <c r="C12" s="75">
        <v>24219</v>
      </c>
      <c r="D12" s="62" t="s">
        <v>77</v>
      </c>
      <c r="E12" s="62">
        <v>74.28</v>
      </c>
      <c r="F12" s="941" t="s">
        <v>15</v>
      </c>
      <c r="G12" s="62" t="s">
        <v>7</v>
      </c>
      <c r="H12" s="62" t="s">
        <v>16</v>
      </c>
      <c r="I12" s="95">
        <v>5316707.5</v>
      </c>
      <c r="J12" s="62">
        <v>3</v>
      </c>
      <c r="K12" s="62" t="s">
        <v>65</v>
      </c>
      <c r="L12" s="62" t="s">
        <v>18</v>
      </c>
      <c r="M12" s="92">
        <v>44986</v>
      </c>
      <c r="N12" s="62" t="s">
        <v>17</v>
      </c>
      <c r="O12" s="62" t="s">
        <v>1377</v>
      </c>
      <c r="P12" s="76" t="s">
        <v>67</v>
      </c>
      <c r="Q12" s="76" t="s">
        <v>67</v>
      </c>
      <c r="R12" s="945" t="s">
        <v>77</v>
      </c>
      <c r="S12" s="945" t="s">
        <v>77</v>
      </c>
      <c r="T12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5019587.5</v>
      </c>
      <c r="U12" s="931"/>
    </row>
    <row r="13" spans="1:21" ht="12.75" customHeight="1" outlineLevel="1">
      <c r="A13" s="62">
        <v>11</v>
      </c>
      <c r="B13" s="75">
        <v>198</v>
      </c>
      <c r="C13" s="75">
        <v>24030</v>
      </c>
      <c r="D13" s="117" t="s">
        <v>77</v>
      </c>
      <c r="E13" s="62">
        <v>36.659999999999997</v>
      </c>
      <c r="F13" s="941" t="s">
        <v>9</v>
      </c>
      <c r="G13" s="62" t="s">
        <v>7</v>
      </c>
      <c r="H13" s="62" t="s">
        <v>16</v>
      </c>
      <c r="I13" s="95">
        <v>3182602.34</v>
      </c>
      <c r="J13" s="62">
        <v>1</v>
      </c>
      <c r="K13" s="62" t="s">
        <v>65</v>
      </c>
      <c r="L13" s="62" t="s">
        <v>18</v>
      </c>
      <c r="M13" s="539">
        <v>44986</v>
      </c>
      <c r="N13" s="117" t="s">
        <v>17</v>
      </c>
      <c r="O13" s="62" t="s">
        <v>1378</v>
      </c>
      <c r="P13" s="76" t="s">
        <v>67</v>
      </c>
      <c r="Q13" s="76" t="s">
        <v>67</v>
      </c>
      <c r="R13" s="945" t="s">
        <v>77</v>
      </c>
      <c r="S13" s="945" t="s">
        <v>73</v>
      </c>
      <c r="T13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3182602.34</v>
      </c>
    </row>
    <row r="14" spans="1:21" s="929" customFormat="1" ht="12.75" customHeight="1" outlineLevel="1">
      <c r="A14" s="62">
        <v>12</v>
      </c>
      <c r="B14" s="75">
        <v>496</v>
      </c>
      <c r="C14" s="74">
        <v>24225</v>
      </c>
      <c r="D14" s="117" t="s">
        <v>77</v>
      </c>
      <c r="E14" s="62">
        <v>56.04</v>
      </c>
      <c r="F14" s="941" t="s">
        <v>15</v>
      </c>
      <c r="G14" s="62" t="s">
        <v>7</v>
      </c>
      <c r="H14" s="62" t="s">
        <v>16</v>
      </c>
      <c r="I14" s="95">
        <v>4424314.8499999996</v>
      </c>
      <c r="J14" s="62">
        <v>2</v>
      </c>
      <c r="K14" s="62" t="s">
        <v>65</v>
      </c>
      <c r="L14" s="62" t="s">
        <v>18</v>
      </c>
      <c r="M14" s="92">
        <v>44986</v>
      </c>
      <c r="N14" s="117" t="s">
        <v>17</v>
      </c>
      <c r="O14" s="62" t="s">
        <v>1379</v>
      </c>
      <c r="P14" s="76" t="s">
        <v>67</v>
      </c>
      <c r="Q14" s="76" t="s">
        <v>67</v>
      </c>
      <c r="R14" s="945" t="s">
        <v>77</v>
      </c>
      <c r="S14" s="945" t="s">
        <v>77</v>
      </c>
      <c r="T14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4200154.8499999996</v>
      </c>
      <c r="U14" s="931"/>
    </row>
    <row r="15" spans="1:21" s="929" customFormat="1" ht="12.75" customHeight="1" outlineLevel="1">
      <c r="A15" s="62">
        <v>13</v>
      </c>
      <c r="B15" s="75">
        <v>169</v>
      </c>
      <c r="C15" s="75">
        <v>24185</v>
      </c>
      <c r="D15" s="117" t="s">
        <v>77</v>
      </c>
      <c r="E15" s="62">
        <v>28.97</v>
      </c>
      <c r="F15" s="941" t="s">
        <v>9</v>
      </c>
      <c r="G15" s="62" t="s">
        <v>7</v>
      </c>
      <c r="H15" s="62" t="s">
        <v>22</v>
      </c>
      <c r="I15" s="95">
        <v>2414917.4700000002</v>
      </c>
      <c r="J15" s="62">
        <v>0</v>
      </c>
      <c r="K15" s="62" t="s">
        <v>65</v>
      </c>
      <c r="L15" s="62" t="s">
        <v>18</v>
      </c>
      <c r="M15" s="92">
        <v>44986</v>
      </c>
      <c r="N15" s="117" t="s">
        <v>17</v>
      </c>
      <c r="O15" s="941" t="s">
        <v>1380</v>
      </c>
      <c r="P15" s="76" t="s">
        <v>67</v>
      </c>
      <c r="Q15" s="76" t="s">
        <v>67</v>
      </c>
      <c r="R15" s="945" t="s">
        <v>77</v>
      </c>
      <c r="S15" s="945" t="s">
        <v>77</v>
      </c>
      <c r="T15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2414917.4700000002</v>
      </c>
      <c r="U15" s="931"/>
    </row>
    <row r="16" spans="1:21" s="929" customFormat="1" ht="12.75" customHeight="1" outlineLevel="1">
      <c r="A16" s="62">
        <v>14</v>
      </c>
      <c r="B16" s="62">
        <v>503</v>
      </c>
      <c r="C16" s="75">
        <v>24049</v>
      </c>
      <c r="D16" s="117" t="s">
        <v>73</v>
      </c>
      <c r="E16" s="62">
        <v>74.28</v>
      </c>
      <c r="F16" s="117" t="s">
        <v>15</v>
      </c>
      <c r="G16" s="62" t="s">
        <v>7</v>
      </c>
      <c r="H16" s="62" t="s">
        <v>16</v>
      </c>
      <c r="I16" s="91">
        <v>5580896.3200000003</v>
      </c>
      <c r="J16" s="62">
        <v>3</v>
      </c>
      <c r="K16" s="62" t="s">
        <v>65</v>
      </c>
      <c r="L16" s="117" t="s">
        <v>18</v>
      </c>
      <c r="M16" s="537">
        <v>44986</v>
      </c>
      <c r="N16" s="62" t="s">
        <v>17</v>
      </c>
      <c r="O16" s="62" t="s">
        <v>1381</v>
      </c>
      <c r="P16" s="76" t="s">
        <v>67</v>
      </c>
      <c r="Q16" s="76" t="s">
        <v>67</v>
      </c>
      <c r="R16" s="945" t="s">
        <v>73</v>
      </c>
      <c r="S16" s="945" t="s">
        <v>73</v>
      </c>
      <c r="T16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5283776.32</v>
      </c>
      <c r="U16" s="931"/>
    </row>
    <row r="17" spans="1:21" s="929" customFormat="1" ht="14.25" customHeight="1" outlineLevel="1">
      <c r="A17" s="62">
        <v>15</v>
      </c>
      <c r="B17" s="75">
        <v>237</v>
      </c>
      <c r="C17" s="75">
        <v>24211</v>
      </c>
      <c r="D17" s="62" t="s">
        <v>73</v>
      </c>
      <c r="E17" s="62">
        <v>36.700000000000003</v>
      </c>
      <c r="F17" s="941" t="s">
        <v>9</v>
      </c>
      <c r="G17" s="62" t="s">
        <v>7</v>
      </c>
      <c r="H17" s="62" t="s">
        <v>84</v>
      </c>
      <c r="I17" s="95">
        <v>3217007.5</v>
      </c>
      <c r="J17" s="62">
        <v>1</v>
      </c>
      <c r="K17" s="62" t="s">
        <v>130</v>
      </c>
      <c r="L17" s="62" t="s">
        <v>18</v>
      </c>
      <c r="M17" s="92">
        <v>44986</v>
      </c>
      <c r="N17" s="62" t="s">
        <v>17</v>
      </c>
      <c r="O17" s="62" t="s">
        <v>1382</v>
      </c>
      <c r="P17" s="76" t="s">
        <v>67</v>
      </c>
      <c r="Q17" s="76" t="s">
        <v>67</v>
      </c>
      <c r="R17" s="941" t="s">
        <v>73</v>
      </c>
      <c r="S17" s="941" t="s">
        <v>77</v>
      </c>
      <c r="T17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3217007.4999999995</v>
      </c>
      <c r="U17" s="931"/>
    </row>
    <row r="18" spans="1:21" s="929" customFormat="1" outlineLevel="1">
      <c r="A18" s="62">
        <v>16</v>
      </c>
      <c r="B18" s="75">
        <v>283</v>
      </c>
      <c r="C18" s="75">
        <v>24337</v>
      </c>
      <c r="D18" s="117" t="s">
        <v>1233</v>
      </c>
      <c r="E18" s="62">
        <v>29.35</v>
      </c>
      <c r="F18" s="945" t="s">
        <v>15</v>
      </c>
      <c r="G18" s="62" t="s">
        <v>7</v>
      </c>
      <c r="H18" s="62" t="s">
        <v>22</v>
      </c>
      <c r="I18" s="95">
        <v>2563993.9900000002</v>
      </c>
      <c r="J18" s="62">
        <v>0</v>
      </c>
      <c r="K18" s="62" t="s">
        <v>65</v>
      </c>
      <c r="L18" s="62" t="s">
        <v>18</v>
      </c>
      <c r="M18" s="92">
        <v>44992</v>
      </c>
      <c r="N18" s="62" t="s">
        <v>17</v>
      </c>
      <c r="O18" s="62" t="s">
        <v>1383</v>
      </c>
      <c r="P18" s="76" t="s">
        <v>67</v>
      </c>
      <c r="Q18" s="76" t="s">
        <v>67</v>
      </c>
      <c r="R18" s="945" t="s">
        <v>1233</v>
      </c>
      <c r="S18" s="945" t="s">
        <v>1233</v>
      </c>
      <c r="T18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2446593.9900000002</v>
      </c>
    </row>
    <row r="19" spans="1:21" s="929" customFormat="1" ht="13.5" customHeight="1" outlineLevel="1">
      <c r="A19" s="62">
        <v>17</v>
      </c>
      <c r="B19" s="62">
        <v>421</v>
      </c>
      <c r="C19" s="75">
        <v>24265</v>
      </c>
      <c r="D19" s="117" t="s">
        <v>77</v>
      </c>
      <c r="E19" s="62">
        <v>38.6</v>
      </c>
      <c r="F19" s="945" t="s">
        <v>15</v>
      </c>
      <c r="G19" s="62" t="s">
        <v>7</v>
      </c>
      <c r="H19" s="62" t="s">
        <v>22</v>
      </c>
      <c r="I19" s="91">
        <v>3572441.97</v>
      </c>
      <c r="J19" s="62">
        <v>1</v>
      </c>
      <c r="K19" s="62" t="s">
        <v>65</v>
      </c>
      <c r="L19" s="62" t="s">
        <v>18</v>
      </c>
      <c r="M19" s="537">
        <v>45002</v>
      </c>
      <c r="N19" s="62" t="s">
        <v>17</v>
      </c>
      <c r="O19" s="62" t="s">
        <v>1384</v>
      </c>
      <c r="P19" s="76" t="s">
        <v>67</v>
      </c>
      <c r="Q19" s="76" t="s">
        <v>67</v>
      </c>
      <c r="R19" s="945" t="s">
        <v>77</v>
      </c>
      <c r="S19" s="945" t="s">
        <v>8</v>
      </c>
      <c r="T19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3418041.97</v>
      </c>
    </row>
    <row r="20" spans="1:21" s="929" customFormat="1" ht="12.75" customHeight="1" outlineLevel="1">
      <c r="A20" s="62">
        <v>18</v>
      </c>
      <c r="B20" s="75">
        <v>373</v>
      </c>
      <c r="C20" s="75">
        <v>24370</v>
      </c>
      <c r="D20" s="117" t="s">
        <v>77</v>
      </c>
      <c r="E20" s="62">
        <v>33.840000000000003</v>
      </c>
      <c r="F20" s="945" t="s">
        <v>15</v>
      </c>
      <c r="G20" s="62" t="s">
        <v>7</v>
      </c>
      <c r="H20" s="62" t="s">
        <v>16</v>
      </c>
      <c r="I20" s="95">
        <v>3317547.49</v>
      </c>
      <c r="J20" s="62">
        <v>1</v>
      </c>
      <c r="K20" s="62" t="s">
        <v>65</v>
      </c>
      <c r="L20" s="62" t="s">
        <v>18</v>
      </c>
      <c r="M20" s="92">
        <v>44995</v>
      </c>
      <c r="N20" s="62" t="s">
        <v>17</v>
      </c>
      <c r="O20" s="62" t="s">
        <v>1385</v>
      </c>
      <c r="P20" s="76" t="s">
        <v>67</v>
      </c>
      <c r="Q20" s="76" t="s">
        <v>67</v>
      </c>
      <c r="R20" s="945" t="s">
        <v>77</v>
      </c>
      <c r="S20" s="945" t="s">
        <v>77</v>
      </c>
      <c r="T20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3182187.49</v>
      </c>
    </row>
    <row r="21" spans="1:21" s="929" customFormat="1" ht="12.75" customHeight="1" outlineLevel="1">
      <c r="A21" s="62">
        <v>19</v>
      </c>
      <c r="B21" s="75">
        <v>362</v>
      </c>
      <c r="C21" s="75">
        <v>24375</v>
      </c>
      <c r="D21" s="117" t="s">
        <v>73</v>
      </c>
      <c r="E21" s="62">
        <v>23.54</v>
      </c>
      <c r="F21" s="945" t="s">
        <v>9</v>
      </c>
      <c r="G21" s="62" t="s">
        <v>27</v>
      </c>
      <c r="H21" s="62" t="s">
        <v>16</v>
      </c>
      <c r="I21" s="95">
        <v>2293213.65</v>
      </c>
      <c r="J21" s="62">
        <v>0</v>
      </c>
      <c r="K21" s="62" t="s">
        <v>65</v>
      </c>
      <c r="L21" s="62" t="s">
        <v>18</v>
      </c>
      <c r="M21" s="92">
        <v>44995</v>
      </c>
      <c r="N21" s="62" t="s">
        <v>17</v>
      </c>
      <c r="O21" s="62" t="s">
        <v>1386</v>
      </c>
      <c r="P21" s="76" t="s">
        <v>67</v>
      </c>
      <c r="Q21" s="76" t="s">
        <v>67</v>
      </c>
      <c r="R21" s="945" t="s">
        <v>73</v>
      </c>
      <c r="S21" s="945" t="s">
        <v>73</v>
      </c>
      <c r="T21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2293213.65</v>
      </c>
    </row>
    <row r="22" spans="1:21" s="929" customFormat="1" ht="12.75" customHeight="1" outlineLevel="1">
      <c r="A22" s="62">
        <v>20</v>
      </c>
      <c r="B22" s="75">
        <v>148</v>
      </c>
      <c r="C22" s="75">
        <v>24372</v>
      </c>
      <c r="D22" s="117" t="s">
        <v>73</v>
      </c>
      <c r="E22" s="62">
        <v>24.39</v>
      </c>
      <c r="F22" s="945" t="s">
        <v>9</v>
      </c>
      <c r="G22" s="62" t="s">
        <v>27</v>
      </c>
      <c r="H22" s="62" t="s">
        <v>16</v>
      </c>
      <c r="I22" s="95">
        <v>2238568.96</v>
      </c>
      <c r="J22" s="62">
        <v>0</v>
      </c>
      <c r="K22" s="62" t="s">
        <v>65</v>
      </c>
      <c r="L22" s="62" t="s">
        <v>18</v>
      </c>
      <c r="M22" s="92">
        <v>44995</v>
      </c>
      <c r="N22" s="62" t="s">
        <v>17</v>
      </c>
      <c r="O22" s="941" t="s">
        <v>1387</v>
      </c>
      <c r="P22" s="76" t="s">
        <v>67</v>
      </c>
      <c r="Q22" s="76" t="s">
        <v>67</v>
      </c>
      <c r="R22" s="945" t="s">
        <v>73</v>
      </c>
      <c r="S22" s="945" t="s">
        <v>73</v>
      </c>
      <c r="T22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2238568.96</v>
      </c>
    </row>
    <row r="23" spans="1:21" s="929" customFormat="1" ht="12.75" customHeight="1" outlineLevel="1">
      <c r="A23" s="62">
        <v>21</v>
      </c>
      <c r="B23" s="62">
        <v>167</v>
      </c>
      <c r="C23" s="75">
        <v>24388</v>
      </c>
      <c r="D23" s="117" t="s">
        <v>73</v>
      </c>
      <c r="E23" s="62">
        <v>24.47</v>
      </c>
      <c r="F23" s="941" t="s">
        <v>9</v>
      </c>
      <c r="G23" s="62" t="s">
        <v>27</v>
      </c>
      <c r="H23" s="62" t="s">
        <v>16</v>
      </c>
      <c r="I23" s="95">
        <v>2367180.4300000002</v>
      </c>
      <c r="J23" s="62">
        <v>0</v>
      </c>
      <c r="K23" s="62" t="s">
        <v>65</v>
      </c>
      <c r="L23" s="62" t="s">
        <v>18</v>
      </c>
      <c r="M23" s="92">
        <v>44998</v>
      </c>
      <c r="N23" s="117" t="s">
        <v>17</v>
      </c>
      <c r="O23" s="941" t="s">
        <v>1388</v>
      </c>
      <c r="P23" s="76" t="s">
        <v>67</v>
      </c>
      <c r="Q23" s="76" t="s">
        <v>67</v>
      </c>
      <c r="R23" s="945" t="s">
        <v>73</v>
      </c>
      <c r="S23" s="945" t="s">
        <v>73</v>
      </c>
      <c r="T23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2367180.4300000002</v>
      </c>
    </row>
    <row r="24" spans="1:21" s="929" customFormat="1" ht="12.75" customHeight="1" outlineLevel="1">
      <c r="A24" s="62">
        <v>22</v>
      </c>
      <c r="B24" s="75">
        <v>197</v>
      </c>
      <c r="C24" s="75">
        <v>24356</v>
      </c>
      <c r="D24" s="117" t="s">
        <v>1233</v>
      </c>
      <c r="E24" s="62">
        <v>37.69</v>
      </c>
      <c r="F24" s="76" t="s">
        <v>25</v>
      </c>
      <c r="G24" s="62" t="s">
        <v>27</v>
      </c>
      <c r="H24" s="62" t="s">
        <v>16</v>
      </c>
      <c r="I24" s="91">
        <v>4398585.82</v>
      </c>
      <c r="J24" s="62">
        <v>1</v>
      </c>
      <c r="K24" s="371" t="s">
        <v>65</v>
      </c>
      <c r="L24" s="62" t="s">
        <v>18</v>
      </c>
      <c r="M24" s="942">
        <v>45000</v>
      </c>
      <c r="N24" s="117" t="s">
        <v>17</v>
      </c>
      <c r="O24" s="76" t="s">
        <v>1389</v>
      </c>
      <c r="P24" s="76" t="s">
        <v>67</v>
      </c>
      <c r="Q24" s="76" t="s">
        <v>67</v>
      </c>
      <c r="R24" s="945" t="s">
        <v>1233</v>
      </c>
      <c r="S24" s="945" t="s">
        <v>1233</v>
      </c>
      <c r="T24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3833235.8200000003</v>
      </c>
    </row>
    <row r="25" spans="1:21" s="929" customFormat="1" ht="12.75" customHeight="1" outlineLevel="1">
      <c r="A25" s="62">
        <v>23</v>
      </c>
      <c r="B25" s="75">
        <v>186</v>
      </c>
      <c r="C25" s="75">
        <v>24310</v>
      </c>
      <c r="D25" s="117" t="s">
        <v>1233</v>
      </c>
      <c r="E25" s="62">
        <v>68.75</v>
      </c>
      <c r="F25" s="941" t="s">
        <v>15</v>
      </c>
      <c r="G25" s="62" t="s">
        <v>7</v>
      </c>
      <c r="H25" s="62" t="s">
        <v>16</v>
      </c>
      <c r="I25" s="95">
        <v>5839980.4400000004</v>
      </c>
      <c r="J25" s="62">
        <v>2</v>
      </c>
      <c r="K25" s="62" t="s">
        <v>65</v>
      </c>
      <c r="L25" s="62" t="s">
        <v>12</v>
      </c>
      <c r="M25" s="92">
        <v>45007</v>
      </c>
      <c r="N25" s="117" t="s">
        <v>17</v>
      </c>
      <c r="O25" s="62" t="s">
        <v>1390</v>
      </c>
      <c r="P25" s="76" t="s">
        <v>67</v>
      </c>
      <c r="Q25" s="76" t="s">
        <v>1391</v>
      </c>
      <c r="R25" s="945" t="s">
        <v>1233</v>
      </c>
      <c r="S25" s="945" t="s">
        <v>1233</v>
      </c>
      <c r="T25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5564980.4400000004</v>
      </c>
    </row>
    <row r="26" spans="1:21" s="929" customFormat="1" ht="12.75" customHeight="1" outlineLevel="1">
      <c r="A26" s="62">
        <v>24</v>
      </c>
      <c r="B26" s="75">
        <v>235</v>
      </c>
      <c r="C26" s="75">
        <v>24499</v>
      </c>
      <c r="D26" s="117" t="s">
        <v>8</v>
      </c>
      <c r="E26" s="62">
        <v>35.380000000000003</v>
      </c>
      <c r="F26" s="941" t="s">
        <v>15</v>
      </c>
      <c r="G26" s="62" t="s">
        <v>7</v>
      </c>
      <c r="H26" s="62" t="s">
        <v>22</v>
      </c>
      <c r="I26" s="95">
        <v>3305144.76</v>
      </c>
      <c r="J26" s="62">
        <v>1</v>
      </c>
      <c r="K26" s="62" t="s">
        <v>65</v>
      </c>
      <c r="L26" s="62" t="s">
        <v>18</v>
      </c>
      <c r="M26" s="92">
        <v>45005</v>
      </c>
      <c r="N26" s="117" t="s">
        <v>17</v>
      </c>
      <c r="O26" s="62" t="s">
        <v>1392</v>
      </c>
      <c r="P26" s="76" t="s">
        <v>67</v>
      </c>
      <c r="Q26" s="76" t="s">
        <v>67</v>
      </c>
      <c r="R26" s="945" t="s">
        <v>8</v>
      </c>
      <c r="S26" s="945" t="s">
        <v>8</v>
      </c>
      <c r="T26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3163624.76</v>
      </c>
    </row>
    <row r="27" spans="1:21" ht="12.75" customHeight="1" outlineLevel="1">
      <c r="A27" s="62">
        <v>25</v>
      </c>
      <c r="B27" s="75">
        <v>432</v>
      </c>
      <c r="C27" s="75">
        <v>23988</v>
      </c>
      <c r="D27" s="117" t="s">
        <v>73</v>
      </c>
      <c r="E27" s="62">
        <v>36.5</v>
      </c>
      <c r="F27" s="941" t="s">
        <v>15</v>
      </c>
      <c r="G27" s="62" t="s">
        <v>7</v>
      </c>
      <c r="H27" s="62" t="s">
        <v>16</v>
      </c>
      <c r="I27" s="95">
        <v>3336069.35</v>
      </c>
      <c r="J27" s="62">
        <v>1</v>
      </c>
      <c r="K27" s="62" t="s">
        <v>65</v>
      </c>
      <c r="L27" s="62" t="s">
        <v>18</v>
      </c>
      <c r="M27" s="92">
        <v>45006</v>
      </c>
      <c r="N27" s="117" t="s">
        <v>17</v>
      </c>
      <c r="O27" s="62" t="s">
        <v>1393</v>
      </c>
      <c r="P27" s="76" t="s">
        <v>67</v>
      </c>
      <c r="Q27" s="76" t="s">
        <v>67</v>
      </c>
      <c r="R27" s="945" t="s">
        <v>73</v>
      </c>
      <c r="S27" s="945" t="s">
        <v>73</v>
      </c>
      <c r="T27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3190069.35</v>
      </c>
    </row>
    <row r="28" spans="1:21" s="929" customFormat="1" ht="12.75" customHeight="1" outlineLevel="1">
      <c r="A28" s="62">
        <v>26</v>
      </c>
      <c r="B28" s="75">
        <v>133</v>
      </c>
      <c r="C28" s="75">
        <v>24360</v>
      </c>
      <c r="D28" s="117" t="s">
        <v>8</v>
      </c>
      <c r="E28" s="62">
        <v>36.700000000000003</v>
      </c>
      <c r="F28" s="941" t="s">
        <v>15</v>
      </c>
      <c r="G28" s="62" t="s">
        <v>7</v>
      </c>
      <c r="H28" s="62" t="s">
        <v>16</v>
      </c>
      <c r="I28" s="95">
        <v>3460317.85</v>
      </c>
      <c r="J28" s="62">
        <v>1</v>
      </c>
      <c r="K28" s="62" t="s">
        <v>65</v>
      </c>
      <c r="L28" s="62" t="s">
        <v>18</v>
      </c>
      <c r="M28" s="537">
        <v>44998</v>
      </c>
      <c r="N28" s="117" t="s">
        <v>17</v>
      </c>
      <c r="O28" s="76" t="s">
        <v>1394</v>
      </c>
      <c r="P28" s="76" t="s">
        <v>67</v>
      </c>
      <c r="Q28" s="76" t="s">
        <v>67</v>
      </c>
      <c r="R28" s="945" t="s">
        <v>8</v>
      </c>
      <c r="S28" s="945" t="s">
        <v>8</v>
      </c>
      <c r="T28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3313517.85</v>
      </c>
    </row>
    <row r="29" spans="1:21" s="929" customFormat="1" ht="12.75" customHeight="1" outlineLevel="1">
      <c r="A29" s="62">
        <v>27</v>
      </c>
      <c r="B29" s="75">
        <v>413</v>
      </c>
      <c r="C29" s="75">
        <v>24206</v>
      </c>
      <c r="D29" s="117" t="s">
        <v>73</v>
      </c>
      <c r="E29" s="62">
        <v>74.28</v>
      </c>
      <c r="F29" s="941" t="s">
        <v>25</v>
      </c>
      <c r="G29" s="62" t="s">
        <v>7</v>
      </c>
      <c r="H29" s="62" t="s">
        <v>22</v>
      </c>
      <c r="I29" s="95">
        <v>6397976.3200000003</v>
      </c>
      <c r="J29" s="62">
        <v>3</v>
      </c>
      <c r="K29" s="62" t="s">
        <v>65</v>
      </c>
      <c r="L29" s="62" t="s">
        <v>18</v>
      </c>
      <c r="M29" s="92">
        <v>44995</v>
      </c>
      <c r="N29" s="117" t="s">
        <v>17</v>
      </c>
      <c r="O29" s="62" t="s">
        <v>1395</v>
      </c>
      <c r="P29" s="76" t="s">
        <v>67</v>
      </c>
      <c r="Q29" s="76" t="s">
        <v>67</v>
      </c>
      <c r="R29" s="945" t="s">
        <v>73</v>
      </c>
      <c r="S29" s="945" t="s">
        <v>1233</v>
      </c>
      <c r="T29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5283776.32</v>
      </c>
    </row>
    <row r="30" spans="1:21" s="929" customFormat="1" ht="15" customHeight="1" outlineLevel="1">
      <c r="A30" s="62">
        <v>28</v>
      </c>
      <c r="B30" s="75">
        <v>52</v>
      </c>
      <c r="C30" s="75">
        <v>24413</v>
      </c>
      <c r="D30" s="62" t="s">
        <v>8</v>
      </c>
      <c r="E30" s="62">
        <v>56.03</v>
      </c>
      <c r="F30" s="941" t="s">
        <v>15</v>
      </c>
      <c r="G30" s="62" t="s">
        <v>7</v>
      </c>
      <c r="H30" s="62" t="s">
        <v>22</v>
      </c>
      <c r="I30" s="95">
        <v>4507513.21</v>
      </c>
      <c r="J30" s="62">
        <v>2</v>
      </c>
      <c r="K30" s="62" t="s">
        <v>65</v>
      </c>
      <c r="L30" s="62" t="s">
        <v>18</v>
      </c>
      <c r="M30" s="92">
        <v>45001</v>
      </c>
      <c r="N30" s="117" t="s">
        <v>17</v>
      </c>
      <c r="O30" s="941" t="s">
        <v>1396</v>
      </c>
      <c r="P30" s="76" t="s">
        <v>67</v>
      </c>
      <c r="Q30" s="76" t="s">
        <v>67</v>
      </c>
      <c r="R30" s="941" t="s">
        <v>8</v>
      </c>
      <c r="S30" s="941" t="s">
        <v>8</v>
      </c>
      <c r="T30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4283393.21</v>
      </c>
    </row>
    <row r="31" spans="1:21" ht="12.75" customHeight="1" outlineLevel="1">
      <c r="A31" s="62">
        <v>29</v>
      </c>
      <c r="B31" s="62">
        <v>181</v>
      </c>
      <c r="C31" s="75">
        <v>24353</v>
      </c>
      <c r="D31" s="62" t="s">
        <v>8</v>
      </c>
      <c r="E31" s="62">
        <v>36.700000000000003</v>
      </c>
      <c r="F31" s="941" t="s">
        <v>15</v>
      </c>
      <c r="G31" s="62" t="s">
        <v>7</v>
      </c>
      <c r="H31" s="62" t="s">
        <v>22</v>
      </c>
      <c r="I31" s="95">
        <v>3460317.85</v>
      </c>
      <c r="J31" s="62">
        <v>1</v>
      </c>
      <c r="K31" s="62" t="s">
        <v>65</v>
      </c>
      <c r="L31" s="62" t="s">
        <v>18</v>
      </c>
      <c r="M31" s="942">
        <v>45007</v>
      </c>
      <c r="N31" s="117" t="s">
        <v>17</v>
      </c>
      <c r="O31" s="941" t="s">
        <v>1397</v>
      </c>
      <c r="P31" s="76" t="s">
        <v>67</v>
      </c>
      <c r="Q31" s="76" t="s">
        <v>67</v>
      </c>
      <c r="R31" s="941" t="s">
        <v>8</v>
      </c>
      <c r="S31" s="941" t="s">
        <v>8</v>
      </c>
      <c r="T31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3313517.85</v>
      </c>
      <c r="U31" s="929"/>
    </row>
    <row r="32" spans="1:21" s="929" customFormat="1" ht="12.75" customHeight="1" outlineLevel="1">
      <c r="A32" s="62">
        <v>30</v>
      </c>
      <c r="B32" s="75">
        <v>255</v>
      </c>
      <c r="C32" s="75">
        <v>24424</v>
      </c>
      <c r="D32" s="117" t="s">
        <v>1233</v>
      </c>
      <c r="E32" s="62">
        <v>29.35</v>
      </c>
      <c r="F32" s="76" t="s">
        <v>9</v>
      </c>
      <c r="G32" s="62" t="s">
        <v>7</v>
      </c>
      <c r="H32" s="62" t="s">
        <v>22</v>
      </c>
      <c r="I32" s="91">
        <v>2446593.9900000002</v>
      </c>
      <c r="J32" s="62">
        <v>0</v>
      </c>
      <c r="K32" s="62" t="s">
        <v>65</v>
      </c>
      <c r="L32" s="62" t="s">
        <v>18</v>
      </c>
      <c r="M32" s="537">
        <v>45006</v>
      </c>
      <c r="N32" s="117" t="s">
        <v>17</v>
      </c>
      <c r="O32" s="76" t="s">
        <v>1398</v>
      </c>
      <c r="P32" s="76" t="s">
        <v>67</v>
      </c>
      <c r="Q32" s="76" t="s">
        <v>67</v>
      </c>
      <c r="R32" s="945" t="s">
        <v>1233</v>
      </c>
      <c r="S32" s="945" t="s">
        <v>8</v>
      </c>
      <c r="T32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2446593.9900000002</v>
      </c>
    </row>
    <row r="33" spans="1:21" s="929" customFormat="1" ht="12.75" customHeight="1" outlineLevel="1">
      <c r="A33" s="62">
        <v>31</v>
      </c>
      <c r="B33" s="75">
        <v>92</v>
      </c>
      <c r="C33" s="75">
        <v>24332</v>
      </c>
      <c r="D33" s="117" t="s">
        <v>77</v>
      </c>
      <c r="E33" s="62">
        <v>56.03</v>
      </c>
      <c r="F33" s="941" t="s">
        <v>25</v>
      </c>
      <c r="G33" s="62" t="s">
        <v>7</v>
      </c>
      <c r="H33" s="62" t="s">
        <v>16</v>
      </c>
      <c r="I33" s="91">
        <v>5123843.21</v>
      </c>
      <c r="J33" s="62">
        <v>2</v>
      </c>
      <c r="K33" s="62" t="s">
        <v>65</v>
      </c>
      <c r="L33" s="62" t="s">
        <v>18</v>
      </c>
      <c r="M33" s="537">
        <v>44999</v>
      </c>
      <c r="N33" s="117" t="s">
        <v>17</v>
      </c>
      <c r="O33" s="76" t="s">
        <v>1399</v>
      </c>
      <c r="P33" s="76" t="s">
        <v>67</v>
      </c>
      <c r="Q33" s="76" t="s">
        <v>67</v>
      </c>
      <c r="R33" s="941" t="s">
        <v>77</v>
      </c>
      <c r="S33" s="941" t="s">
        <v>1233</v>
      </c>
      <c r="T33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4283393.21</v>
      </c>
    </row>
    <row r="34" spans="1:21" s="929" customFormat="1" ht="12.75" customHeight="1" outlineLevel="1">
      <c r="A34" s="62">
        <v>32</v>
      </c>
      <c r="B34" s="75">
        <v>258</v>
      </c>
      <c r="C34" s="75">
        <v>24428</v>
      </c>
      <c r="D34" s="117" t="s">
        <v>1233</v>
      </c>
      <c r="E34" s="62">
        <v>58.55</v>
      </c>
      <c r="F34" s="76" t="s">
        <v>25</v>
      </c>
      <c r="G34" s="117" t="s">
        <v>7</v>
      </c>
      <c r="H34" s="117" t="s">
        <v>84</v>
      </c>
      <c r="I34" s="91">
        <v>5262578.1399999997</v>
      </c>
      <c r="J34" s="62">
        <v>2</v>
      </c>
      <c r="K34" s="117" t="s">
        <v>130</v>
      </c>
      <c r="L34" s="117" t="s">
        <v>18</v>
      </c>
      <c r="M34" s="537">
        <v>45002</v>
      </c>
      <c r="N34" s="117" t="s">
        <v>17</v>
      </c>
      <c r="O34" s="76" t="s">
        <v>1400</v>
      </c>
      <c r="P34" s="76" t="s">
        <v>67</v>
      </c>
      <c r="Q34" s="76" t="s">
        <v>67</v>
      </c>
      <c r="R34" s="945" t="s">
        <v>1233</v>
      </c>
      <c r="S34" s="945" t="s">
        <v>1233</v>
      </c>
      <c r="T34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4384328.1399999997</v>
      </c>
    </row>
    <row r="35" spans="1:21" s="929" customFormat="1" ht="12.75" customHeight="1" outlineLevel="1">
      <c r="A35" s="62">
        <v>33</v>
      </c>
      <c r="B35" s="75">
        <v>426</v>
      </c>
      <c r="C35" s="75">
        <v>24456</v>
      </c>
      <c r="D35" s="117" t="s">
        <v>1233</v>
      </c>
      <c r="E35" s="62">
        <v>67.489999999999995</v>
      </c>
      <c r="F35" s="941" t="s">
        <v>15</v>
      </c>
      <c r="G35" s="62" t="s">
        <v>7</v>
      </c>
      <c r="H35" s="62" t="s">
        <v>16</v>
      </c>
      <c r="I35" s="95">
        <v>5581199.6100000003</v>
      </c>
      <c r="J35" s="62">
        <v>2</v>
      </c>
      <c r="K35" s="62" t="s">
        <v>65</v>
      </c>
      <c r="L35" s="62" t="s">
        <v>18</v>
      </c>
      <c r="M35" s="92">
        <v>45005</v>
      </c>
      <c r="N35" s="117" t="s">
        <v>17</v>
      </c>
      <c r="O35" s="62" t="s">
        <v>1401</v>
      </c>
      <c r="P35" s="113" t="s">
        <v>67</v>
      </c>
      <c r="Q35" s="76" t="s">
        <v>1402</v>
      </c>
      <c r="R35" s="945" t="s">
        <v>1233</v>
      </c>
      <c r="S35" s="945" t="s">
        <v>1233</v>
      </c>
      <c r="T35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5311239.6100000003</v>
      </c>
    </row>
    <row r="36" spans="1:21" s="929" customFormat="1" ht="12.75" customHeight="1" outlineLevel="1">
      <c r="A36" s="62">
        <v>34</v>
      </c>
      <c r="B36" s="62">
        <v>203</v>
      </c>
      <c r="C36" s="62">
        <v>24502</v>
      </c>
      <c r="D36" s="62" t="s">
        <v>77</v>
      </c>
      <c r="E36" s="1003">
        <v>29.35</v>
      </c>
      <c r="F36" s="941" t="s">
        <v>9</v>
      </c>
      <c r="G36" s="62" t="s">
        <v>27</v>
      </c>
      <c r="H36" s="62" t="s">
        <v>22</v>
      </c>
      <c r="I36" s="95">
        <v>2513022.21</v>
      </c>
      <c r="J36" s="62">
        <v>0</v>
      </c>
      <c r="K36" s="62" t="s">
        <v>65</v>
      </c>
      <c r="L36" s="62" t="s">
        <v>18</v>
      </c>
      <c r="M36" s="92">
        <v>45008</v>
      </c>
      <c r="N36" s="117" t="s">
        <v>17</v>
      </c>
      <c r="O36" s="62" t="s">
        <v>1403</v>
      </c>
      <c r="P36" s="76" t="s">
        <v>67</v>
      </c>
      <c r="Q36" s="76" t="s">
        <v>1404</v>
      </c>
      <c r="R36" s="945" t="s">
        <v>77</v>
      </c>
      <c r="S36" s="945" t="s">
        <v>77</v>
      </c>
      <c r="T36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2513022.21</v>
      </c>
    </row>
    <row r="37" spans="1:21" s="929" customFormat="1" outlineLevel="1">
      <c r="A37" s="62">
        <v>35</v>
      </c>
      <c r="B37" s="75">
        <v>388</v>
      </c>
      <c r="C37" s="75">
        <v>24364</v>
      </c>
      <c r="D37" s="117" t="s">
        <v>77</v>
      </c>
      <c r="E37" s="62">
        <v>23.63</v>
      </c>
      <c r="F37" s="941" t="s">
        <v>9</v>
      </c>
      <c r="G37" s="62" t="s">
        <v>27</v>
      </c>
      <c r="H37" s="62" t="s">
        <v>16</v>
      </c>
      <c r="I37" s="95">
        <v>2242070.38</v>
      </c>
      <c r="J37" s="62">
        <v>0</v>
      </c>
      <c r="K37" s="62" t="s">
        <v>65</v>
      </c>
      <c r="L37" s="62" t="s">
        <v>18</v>
      </c>
      <c r="M37" s="92">
        <v>45000</v>
      </c>
      <c r="N37" s="117" t="s">
        <v>17</v>
      </c>
      <c r="O37" s="62" t="s">
        <v>1405</v>
      </c>
      <c r="P37" s="76" t="s">
        <v>67</v>
      </c>
      <c r="Q37" s="76" t="s">
        <v>67</v>
      </c>
      <c r="R37" s="945" t="s">
        <v>77</v>
      </c>
      <c r="S37" s="945" t="s">
        <v>73</v>
      </c>
      <c r="T37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2242070.38</v>
      </c>
    </row>
    <row r="38" spans="1:21" s="929" customFormat="1" outlineLevel="1">
      <c r="A38" s="62">
        <v>36</v>
      </c>
      <c r="B38" s="75">
        <v>431</v>
      </c>
      <c r="C38" s="75">
        <v>21969</v>
      </c>
      <c r="D38" s="117" t="s">
        <v>1233</v>
      </c>
      <c r="E38" s="62">
        <v>74.28</v>
      </c>
      <c r="F38" s="941" t="s">
        <v>25</v>
      </c>
      <c r="G38" s="62" t="s">
        <v>7</v>
      </c>
      <c r="H38" s="62" t="s">
        <v>22</v>
      </c>
      <c r="I38" s="95">
        <v>6344340.6200000001</v>
      </c>
      <c r="J38" s="62">
        <v>3</v>
      </c>
      <c r="K38" s="62" t="s">
        <v>65</v>
      </c>
      <c r="L38" s="62" t="s">
        <v>18</v>
      </c>
      <c r="M38" s="92">
        <v>45005</v>
      </c>
      <c r="N38" s="117" t="s">
        <v>17</v>
      </c>
      <c r="O38" s="62" t="s">
        <v>1406</v>
      </c>
      <c r="P38" s="76" t="s">
        <v>67</v>
      </c>
      <c r="Q38" s="76" t="s">
        <v>67</v>
      </c>
      <c r="R38" s="945" t="s">
        <v>1233</v>
      </c>
      <c r="S38" s="945" t="s">
        <v>1233</v>
      </c>
      <c r="T38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5230140.62</v>
      </c>
    </row>
    <row r="39" spans="1:21" s="929" customFormat="1" ht="12.75" customHeight="1" outlineLevel="1">
      <c r="A39" s="62">
        <v>37</v>
      </c>
      <c r="B39" s="75">
        <v>452</v>
      </c>
      <c r="C39" s="75">
        <v>24481</v>
      </c>
      <c r="D39" s="117" t="s">
        <v>1233</v>
      </c>
      <c r="E39" s="62">
        <v>58.62</v>
      </c>
      <c r="F39" s="941" t="s">
        <v>15</v>
      </c>
      <c r="G39" s="62" t="s">
        <v>7</v>
      </c>
      <c r="H39" s="62" t="s">
        <v>16</v>
      </c>
      <c r="I39" s="95">
        <v>4624049.87</v>
      </c>
      <c r="J39" s="62">
        <v>2</v>
      </c>
      <c r="K39" s="62" t="s">
        <v>65</v>
      </c>
      <c r="L39" s="62" t="s">
        <v>18</v>
      </c>
      <c r="M39" s="92">
        <v>45007</v>
      </c>
      <c r="N39" s="117" t="s">
        <v>17</v>
      </c>
      <c r="O39" s="62" t="s">
        <v>1407</v>
      </c>
      <c r="P39" s="76" t="s">
        <v>67</v>
      </c>
      <c r="Q39" s="76" t="s">
        <v>67</v>
      </c>
      <c r="R39" s="945" t="s">
        <v>1233</v>
      </c>
      <c r="S39" s="945" t="s">
        <v>1233</v>
      </c>
      <c r="T39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4389569.87</v>
      </c>
      <c r="U39" s="931"/>
    </row>
    <row r="40" spans="1:21" s="929" customFormat="1" ht="12.75" customHeight="1" outlineLevel="1">
      <c r="A40" s="62">
        <v>38</v>
      </c>
      <c r="B40" s="75">
        <v>434</v>
      </c>
      <c r="C40" s="75">
        <v>24480</v>
      </c>
      <c r="D40" s="117" t="s">
        <v>1233</v>
      </c>
      <c r="E40" s="62">
        <v>58.62</v>
      </c>
      <c r="F40" s="941" t="s">
        <v>15</v>
      </c>
      <c r="G40" s="62" t="s">
        <v>7</v>
      </c>
      <c r="H40" s="62" t="s">
        <v>16</v>
      </c>
      <c r="I40" s="95">
        <v>4581432.24</v>
      </c>
      <c r="J40" s="62">
        <v>2</v>
      </c>
      <c r="K40" s="62" t="s">
        <v>65</v>
      </c>
      <c r="L40" s="431" t="s">
        <v>18</v>
      </c>
      <c r="M40" s="539">
        <v>45007</v>
      </c>
      <c r="N40" s="117" t="s">
        <v>17</v>
      </c>
      <c r="O40" s="62" t="s">
        <v>1408</v>
      </c>
      <c r="P40" s="76" t="s">
        <v>67</v>
      </c>
      <c r="Q40" s="76" t="s">
        <v>1391</v>
      </c>
      <c r="R40" s="945" t="s">
        <v>1233</v>
      </c>
      <c r="S40" s="945" t="s">
        <v>1233</v>
      </c>
      <c r="T40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4346952.24</v>
      </c>
    </row>
    <row r="41" spans="1:21" ht="12.75" customHeight="1" outlineLevel="1">
      <c r="A41" s="62">
        <v>39</v>
      </c>
      <c r="B41" s="75">
        <v>176</v>
      </c>
      <c r="C41" s="74">
        <v>24409</v>
      </c>
      <c r="D41" s="62" t="s">
        <v>73</v>
      </c>
      <c r="E41" s="62">
        <v>24.47</v>
      </c>
      <c r="F41" s="941" t="s">
        <v>9</v>
      </c>
      <c r="G41" s="62" t="s">
        <v>27</v>
      </c>
      <c r="H41" s="62" t="s">
        <v>16</v>
      </c>
      <c r="I41" s="95">
        <v>2367180.4300000002</v>
      </c>
      <c r="J41" s="62">
        <v>0</v>
      </c>
      <c r="K41" s="62" t="s">
        <v>65</v>
      </c>
      <c r="L41" s="62" t="s">
        <v>18</v>
      </c>
      <c r="M41" s="92">
        <v>44979</v>
      </c>
      <c r="N41" s="117" t="s">
        <v>17</v>
      </c>
      <c r="O41" s="62" t="s">
        <v>1409</v>
      </c>
      <c r="P41" s="76" t="s">
        <v>67</v>
      </c>
      <c r="Q41" s="76" t="s">
        <v>67</v>
      </c>
      <c r="R41" s="941" t="s">
        <v>73</v>
      </c>
      <c r="S41" s="941" t="s">
        <v>73</v>
      </c>
      <c r="T41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2367180.4300000002</v>
      </c>
    </row>
    <row r="42" spans="1:21" s="929" customFormat="1" outlineLevel="1">
      <c r="A42" s="62">
        <v>40</v>
      </c>
      <c r="B42" s="75">
        <v>105</v>
      </c>
      <c r="C42" s="75">
        <v>24465</v>
      </c>
      <c r="D42" s="62" t="s">
        <v>1233</v>
      </c>
      <c r="E42" s="62">
        <v>33.53</v>
      </c>
      <c r="F42" s="941" t="s">
        <v>25</v>
      </c>
      <c r="G42" s="62" t="s">
        <v>7</v>
      </c>
      <c r="H42" s="62" t="s">
        <v>16</v>
      </c>
      <c r="I42" s="95">
        <v>3442933.16</v>
      </c>
      <c r="J42" s="62">
        <v>1</v>
      </c>
      <c r="K42" s="62" t="s">
        <v>65</v>
      </c>
      <c r="L42" s="62" t="s">
        <v>18</v>
      </c>
      <c r="M42" s="92">
        <v>45006</v>
      </c>
      <c r="N42" s="117" t="s">
        <v>17</v>
      </c>
      <c r="O42" s="62" t="s">
        <v>1410</v>
      </c>
      <c r="P42" s="76" t="s">
        <v>67</v>
      </c>
      <c r="Q42" s="76" t="s">
        <v>67</v>
      </c>
      <c r="R42" s="941" t="s">
        <v>1233</v>
      </c>
      <c r="S42" s="941" t="s">
        <v>1233</v>
      </c>
      <c r="T42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2939983.16</v>
      </c>
    </row>
    <row r="43" spans="1:21" s="929" customFormat="1" ht="15" customHeight="1" outlineLevel="1">
      <c r="A43" s="62">
        <v>41</v>
      </c>
      <c r="B43" s="75">
        <v>194</v>
      </c>
      <c r="C43" s="75">
        <v>24497</v>
      </c>
      <c r="D43" s="117" t="s">
        <v>77</v>
      </c>
      <c r="E43" s="62">
        <v>24.47</v>
      </c>
      <c r="F43" s="941" t="s">
        <v>9</v>
      </c>
      <c r="G43" s="62" t="s">
        <v>27</v>
      </c>
      <c r="H43" s="62" t="s">
        <v>22</v>
      </c>
      <c r="I43" s="95">
        <v>2573022.21</v>
      </c>
      <c r="J43" s="62">
        <v>0</v>
      </c>
      <c r="K43" s="62" t="s">
        <v>65</v>
      </c>
      <c r="L43" s="62" t="s">
        <v>18</v>
      </c>
      <c r="M43" s="92">
        <v>45015</v>
      </c>
      <c r="N43" s="117" t="s">
        <v>17</v>
      </c>
      <c r="O43" s="62" t="s">
        <v>1411</v>
      </c>
      <c r="P43" s="76" t="s">
        <v>67</v>
      </c>
      <c r="Q43" s="76" t="s">
        <v>67</v>
      </c>
      <c r="R43" s="945" t="s">
        <v>77</v>
      </c>
      <c r="S43" s="945" t="s">
        <v>77</v>
      </c>
      <c r="T43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2573022.21</v>
      </c>
    </row>
    <row r="44" spans="1:21" s="929" customFormat="1" outlineLevel="1">
      <c r="A44" s="62">
        <v>42</v>
      </c>
      <c r="B44" s="75">
        <v>354</v>
      </c>
      <c r="C44" s="75">
        <v>24494</v>
      </c>
      <c r="D44" s="117" t="s">
        <v>8</v>
      </c>
      <c r="E44" s="62">
        <v>23.54</v>
      </c>
      <c r="F44" s="941" t="s">
        <v>15</v>
      </c>
      <c r="G44" s="62" t="s">
        <v>27</v>
      </c>
      <c r="H44" s="62" t="s">
        <v>16</v>
      </c>
      <c r="I44" s="95">
        <v>2586783.5299999998</v>
      </c>
      <c r="J44" s="62">
        <v>0</v>
      </c>
      <c r="K44" s="62" t="s">
        <v>65</v>
      </c>
      <c r="L44" s="62" t="s">
        <v>18</v>
      </c>
      <c r="M44" s="539">
        <v>45016</v>
      </c>
      <c r="N44" s="62" t="s">
        <v>17</v>
      </c>
      <c r="O44" s="62" t="s">
        <v>1412</v>
      </c>
      <c r="P44" s="76" t="s">
        <v>67</v>
      </c>
      <c r="Q44" s="113" t="s">
        <v>67</v>
      </c>
      <c r="R44" s="945" t="s">
        <v>8</v>
      </c>
      <c r="S44" s="945" t="s">
        <v>8</v>
      </c>
      <c r="T44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2492623.5299999998</v>
      </c>
    </row>
    <row r="45" spans="1:21" s="929" customFormat="1" outlineLevel="1">
      <c r="A45" s="62">
        <v>43</v>
      </c>
      <c r="B45" s="75">
        <v>188</v>
      </c>
      <c r="C45" s="75">
        <v>24543</v>
      </c>
      <c r="D45" s="117" t="s">
        <v>8</v>
      </c>
      <c r="E45" s="62">
        <v>37.81</v>
      </c>
      <c r="F45" s="941" t="s">
        <v>15</v>
      </c>
      <c r="G45" s="62" t="s">
        <v>7</v>
      </c>
      <c r="H45" s="62" t="s">
        <v>22</v>
      </c>
      <c r="I45" s="95">
        <v>3564975.97</v>
      </c>
      <c r="J45" s="62">
        <v>1</v>
      </c>
      <c r="K45" s="62" t="s">
        <v>65</v>
      </c>
      <c r="L45" s="62" t="s">
        <v>18</v>
      </c>
      <c r="M45" s="539">
        <v>45009</v>
      </c>
      <c r="N45" s="62" t="s">
        <v>17</v>
      </c>
      <c r="O45" s="62" t="s">
        <v>1413</v>
      </c>
      <c r="P45" s="76" t="s">
        <v>67</v>
      </c>
      <c r="Q45" s="76" t="s">
        <v>67</v>
      </c>
      <c r="R45" s="945" t="s">
        <v>8</v>
      </c>
      <c r="S45" s="945" t="s">
        <v>8</v>
      </c>
      <c r="T45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3413735.97</v>
      </c>
    </row>
    <row r="46" spans="1:21" s="929" customFormat="1" outlineLevel="1">
      <c r="A46" s="62">
        <v>44</v>
      </c>
      <c r="B46" s="75">
        <v>159</v>
      </c>
      <c r="C46" s="75">
        <v>24591</v>
      </c>
      <c r="D46" s="117" t="s">
        <v>8</v>
      </c>
      <c r="E46" s="62">
        <v>78.73</v>
      </c>
      <c r="F46" s="941" t="s">
        <v>25</v>
      </c>
      <c r="G46" s="62" t="s">
        <v>7</v>
      </c>
      <c r="H46" s="62" t="s">
        <v>22</v>
      </c>
      <c r="I46" s="95">
        <v>6758817.2800000003</v>
      </c>
      <c r="J46" s="62">
        <v>3</v>
      </c>
      <c r="K46" s="62" t="s">
        <v>65</v>
      </c>
      <c r="L46" s="62" t="s">
        <v>18</v>
      </c>
      <c r="M46" s="92">
        <v>45016</v>
      </c>
      <c r="N46" s="62" t="s">
        <v>17</v>
      </c>
      <c r="O46" s="62" t="s">
        <v>1414</v>
      </c>
      <c r="P46" s="76" t="s">
        <v>67</v>
      </c>
      <c r="Q46" s="113" t="s">
        <v>67</v>
      </c>
      <c r="R46" s="945" t="s">
        <v>8</v>
      </c>
      <c r="S46" s="945" t="s">
        <v>8</v>
      </c>
      <c r="T46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5577867.2800000003</v>
      </c>
    </row>
    <row r="47" spans="1:21" s="929" customFormat="1" outlineLevel="1">
      <c r="A47" s="62">
        <v>45</v>
      </c>
      <c r="B47" s="75">
        <v>144</v>
      </c>
      <c r="C47" s="75">
        <v>24571</v>
      </c>
      <c r="D47" s="117" t="s">
        <v>8</v>
      </c>
      <c r="E47" s="62">
        <v>33.79</v>
      </c>
      <c r="F47" s="941" t="s">
        <v>15</v>
      </c>
      <c r="G47" s="62" t="s">
        <v>7</v>
      </c>
      <c r="H47" s="62" t="s">
        <v>10</v>
      </c>
      <c r="I47" s="352">
        <v>2920173.69</v>
      </c>
      <c r="J47" s="62">
        <v>1</v>
      </c>
      <c r="K47" s="62" t="s">
        <v>85</v>
      </c>
      <c r="L47" s="62" t="s">
        <v>18</v>
      </c>
      <c r="M47" s="539">
        <v>45016</v>
      </c>
      <c r="N47" s="62" t="s">
        <v>17</v>
      </c>
      <c r="O47" s="62" t="s">
        <v>1415</v>
      </c>
      <c r="P47" s="76" t="s">
        <v>67</v>
      </c>
      <c r="Q47" s="113" t="s">
        <v>67</v>
      </c>
      <c r="R47" s="945" t="s">
        <v>8</v>
      </c>
      <c r="S47" s="945" t="s">
        <v>8</v>
      </c>
      <c r="T47" s="946">
        <f>IFERROR(IF(февр2314[[#This Row],[№ дома]]="Дом 2",SUM(февр2314[[#This Row],[сумма]]/февр2314[[#This Row],[м2]],IF(февр2314[[#This Row],[Отделка]]="Предчистовая",-5500,""))*февр2314[[#This Row],[м2]],SUM(февр2314[[#This Row],[сумма]]/февр2314[[#This Row],[м2]],IF(февр2314[[#This Row],[Отделка]]="Черновая",0,"")&amp;IF(февр2314[[#This Row],[Отделка]]="Предчистовая",-4000,"")&amp;IF(февр2314[[#This Row],[Отделка]]="Чистовая",-15000,""))*февр2314[[#This Row],[м2]]),"")</f>
        <v>2785013.69</v>
      </c>
    </row>
    <row r="48" spans="1:21" outlineLevel="1">
      <c r="A48" s="65"/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8"/>
    </row>
    <row r="49" spans="1:20">
      <c r="A49" s="65"/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8"/>
    </row>
    <row r="50" spans="1:20">
      <c r="A50" s="65"/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8"/>
    </row>
    <row r="51" spans="1:20">
      <c r="A51" s="65"/>
      <c r="B51" s="79"/>
      <c r="C51" s="79"/>
      <c r="D51" s="65"/>
      <c r="E51" s="65"/>
      <c r="F51" s="934"/>
      <c r="G51" s="65"/>
      <c r="H51" s="65"/>
      <c r="I51" s="105"/>
      <c r="J51" s="65"/>
      <c r="K51" s="65"/>
      <c r="L51" s="108"/>
      <c r="M51" s="110"/>
      <c r="N51" s="65"/>
      <c r="O51" s="72"/>
      <c r="P51" s="86"/>
      <c r="Q51" s="86"/>
      <c r="R51" s="86"/>
      <c r="S51" s="86"/>
      <c r="T51" s="948"/>
    </row>
    <row r="52" spans="1:20">
      <c r="A52" s="2293" t="s">
        <v>713</v>
      </c>
      <c r="B52" s="2294"/>
      <c r="C52" s="972" t="s">
        <v>121</v>
      </c>
      <c r="D52" s="973"/>
      <c r="E52" s="29"/>
      <c r="F52" s="29"/>
      <c r="G52" s="29"/>
      <c r="H52" s="974"/>
      <c r="I52" s="974"/>
      <c r="J52" s="974"/>
      <c r="K52" s="974"/>
      <c r="L52" s="974"/>
      <c r="M52" s="29"/>
      <c r="N52" s="29"/>
      <c r="O52" s="29"/>
      <c r="P52" s="29"/>
      <c r="Q52" s="86"/>
      <c r="R52" s="86"/>
      <c r="S52" s="86"/>
    </row>
    <row r="53" spans="1:20">
      <c r="A53" s="975" t="s">
        <v>1</v>
      </c>
      <c r="B53" s="976" t="s">
        <v>100</v>
      </c>
      <c r="C53" s="977" t="s">
        <v>97</v>
      </c>
      <c r="D53" s="978" t="s">
        <v>95</v>
      </c>
      <c r="E53" s="137" t="s">
        <v>494</v>
      </c>
      <c r="F53" s="477" t="s">
        <v>495</v>
      </c>
      <c r="G53" s="478" t="s">
        <v>496</v>
      </c>
      <c r="H53" s="479" t="s">
        <v>101</v>
      </c>
      <c r="I53" s="479" t="s">
        <v>98</v>
      </c>
      <c r="J53" s="479" t="s">
        <v>96</v>
      </c>
      <c r="K53" s="479" t="s">
        <v>715</v>
      </c>
      <c r="L53" s="479" t="s">
        <v>716</v>
      </c>
      <c r="M53" s="499">
        <v>0</v>
      </c>
      <c r="N53" s="340">
        <v>1</v>
      </c>
      <c r="O53" s="340">
        <v>2</v>
      </c>
      <c r="P53" s="340">
        <v>3</v>
      </c>
      <c r="Q53" s="500" t="s">
        <v>1367</v>
      </c>
      <c r="R53" s="949"/>
      <c r="S53" s="949"/>
    </row>
    <row r="54" spans="1:20">
      <c r="A54" s="936" t="s">
        <v>73</v>
      </c>
      <c r="B54" s="937">
        <v>0</v>
      </c>
      <c r="C54" s="937">
        <v>0</v>
      </c>
      <c r="D54" s="938"/>
      <c r="E54" s="148">
        <f>SUMIFS(февр2314[м2],февр2314[МОП],$A54,февр2314[№ дома],$C$52,февр2314[Ком],"&lt;&gt;Офис")</f>
        <v>0</v>
      </c>
      <c r="F54" s="939">
        <f>SUMIFS(февр2314[сумма без отделки],февр2314[МОП],$A54,февр2314[№ дома],$C$52,февр2314[Ком],"&lt;&gt;Офис")</f>
        <v>0</v>
      </c>
      <c r="G54" s="940">
        <f>COUNTIFS(февр2314[МОП],$A54,февр2314[№ дома],$C$52,февр2314[Ком],"&lt;&gt;Офис")</f>
        <v>0</v>
      </c>
      <c r="H54" s="145">
        <f>SUMIFS(РД[S],РД[Дом],$C$52,РД[МОП],A54,РД[Дата подачи на регистрацию],"&lt;="&amp;$A$1,РД[Дата подачи на регистрацию],"&gt;="&amp;DATE(YEAR($A$1),MONTH($A$1),1),РД[Состояние],"Продажа")</f>
        <v>0</v>
      </c>
      <c r="I54" s="149">
        <f>SUMIFS(РД[Стоимость без отделки итог],РД[Дом],$C$52,РД[МОП],A54,РД[Дата подачи на регистрацию],"&lt;="&amp;$A$1,РД[Дата подачи на регистрацию],"&gt;="&amp;DATE(YEAR($A$1),MONTH($A$1),1),РД[Состояние],"Продажа")</f>
        <v>0</v>
      </c>
      <c r="J54" s="220">
        <f>COUNTIFS(РД[Дом],$C$52,РД[МОП],A54,РД[Дата подачи на регистрацию],"&lt;="&amp;$A$1,РД[Дата подачи на регистрацию],"&gt;="&amp;DATE(YEAR($A$1),MONTH($A$1),1),РД[Состояние],"Продажа")</f>
        <v>0</v>
      </c>
      <c r="K54" s="943">
        <f t="shared" ref="K54:L57" si="0">IFERROR(H54/B54,)</f>
        <v>0</v>
      </c>
      <c r="L54" s="944">
        <f t="shared" si="0"/>
        <v>0</v>
      </c>
      <c r="M54" s="148">
        <f>COUNTIFS(РД[Тип кв],M$53,РД[МОП],$A54,РД[Дом],$C$52,РД[Дата подачи на регистрацию],"&lt;="&amp;$A$1,РД[Дата подачи на регистрацию],"&gt;="&amp;DATE(YEAR($A$1),MONTH($A$1),1))</f>
        <v>0</v>
      </c>
      <c r="N54" s="220">
        <f>COUNTIFS(РД[Тип кв],N$53,РД[МОП],$A54,РД[Дом],$C$52,РД[Дата подачи на регистрацию],"&lt;="&amp;$A$1,РД[Дата подачи на регистрацию],"&gt;="&amp;DATE(YEAR($A$1),MONTH($A$1),1))</f>
        <v>0</v>
      </c>
      <c r="O54" s="220">
        <f>COUNTIFS(РД[Тип кв],O$53,РД[МОП],$A54,РД[Дом],$C$52,РД[Дата подачи на регистрацию],"&lt;="&amp;$A$1,РД[Дата подачи на регистрацию],"&gt;="&amp;DATE(YEAR($A$1),MONTH($A$1),1))</f>
        <v>0</v>
      </c>
      <c r="P54" s="220">
        <f>COUNTIFS(РД[Тип кв],P$53,РД[МОП],$A54,РД[Дом],$C$52,РД[Дата подачи на регистрацию],"&lt;="&amp;$A$1,РД[Дата подачи на регистрацию],"&gt;="&amp;DATE(YEAR($A$1),MONTH($A$1),1))</f>
        <v>0</v>
      </c>
      <c r="Q54" s="223">
        <f>COUNTIFS(РД[Тип кв],Q$53,РД[МОП],$A54,РД[Дом],$C$52,РД[Дата подачи на регистрацию],"&lt;="&amp;$A$1,РД[Дата подачи на регистрацию],"&gt;="&amp;DATE(YEAR($A$1),MONTH($A$1),1))</f>
        <v>0</v>
      </c>
      <c r="R54" s="949"/>
      <c r="S54" s="949"/>
    </row>
    <row r="55" spans="1:20">
      <c r="A55" s="936" t="s">
        <v>8</v>
      </c>
      <c r="B55" s="937">
        <v>0</v>
      </c>
      <c r="C55" s="937">
        <v>0</v>
      </c>
      <c r="D55" s="938"/>
      <c r="E55" s="148">
        <f>SUMIFS(февр2314[м2],февр2314[МОП],$A55,февр2314[№ дома],$C$52,февр2314[Ком],"&lt;&gt;Офис")</f>
        <v>0</v>
      </c>
      <c r="F55" s="939">
        <f>SUMIFS(февр2314[сумма без отделки],февр2314[МОП],$A55,февр2314[№ дома],$C$52,февр2314[Ком],"&lt;&gt;Офис")</f>
        <v>0</v>
      </c>
      <c r="G55" s="940">
        <f>COUNTIFS(февр2314[МОП],$A55,февр2314[№ дома],$C$52,февр2314[Ком],"&lt;&gt;Офис")</f>
        <v>0</v>
      </c>
      <c r="H55" s="145">
        <f>SUMIFS(РД[S],РД[Дом],$C$52,РД[МОП],A55,РД[Дата подачи на регистрацию],"&lt;="&amp;$A$1,РД[Дата подачи на регистрацию],"&gt;="&amp;DATE(YEAR($A$1),MONTH($A$1),1),РД[Состояние],"Продажа")</f>
        <v>0</v>
      </c>
      <c r="I55" s="149">
        <f>SUMIFS(РД[Стоимость без отделки итог],РД[Дом],$C$52,РД[МОП],A55,РД[Дата подачи на регистрацию],"&lt;="&amp;$A$1,РД[Дата подачи на регистрацию],"&gt;="&amp;DATE(YEAR($A$1),MONTH($A$1),1),РД[Состояние],"Продажа")</f>
        <v>0</v>
      </c>
      <c r="J55" s="220">
        <f>COUNTIFS(РД[Дом],$C$52,РД[МОП],A55,РД[Дата подачи на регистрацию],"&lt;="&amp;$A$1,РД[Дата подачи на регистрацию],"&gt;="&amp;DATE(YEAR($A$1),MONTH($A$1),1),РД[Состояние],"Продажа")</f>
        <v>0</v>
      </c>
      <c r="K55" s="943">
        <f t="shared" ref="K55" si="1">IFERROR(H55/B55,)</f>
        <v>0</v>
      </c>
      <c r="L55" s="944">
        <f t="shared" ref="L55" si="2">IFERROR(I55/C55,)</f>
        <v>0</v>
      </c>
      <c r="M55" s="148">
        <f>COUNTIFS(РД[Тип кв],M$53,РД[МОП],$A55,РД[Дом],$C$52,РД[Дата подачи на регистрацию],"&lt;="&amp;$A$1,РД[Дата подачи на регистрацию],"&gt;="&amp;DATE(YEAR($A$1),MONTH($A$1),1))</f>
        <v>0</v>
      </c>
      <c r="N55" s="220">
        <f>COUNTIFS(РД[Тип кв],N$53,РД[МОП],$A55,РД[Дом],$C$52,РД[Дата подачи на регистрацию],"&lt;="&amp;$A$1,РД[Дата подачи на регистрацию],"&gt;="&amp;DATE(YEAR($A$1),MONTH($A$1),1))</f>
        <v>0</v>
      </c>
      <c r="O55" s="220">
        <f>COUNTIFS(РД[Тип кв],O$53,РД[МОП],$A55,РД[Дом],$C$52,РД[Дата подачи на регистрацию],"&lt;="&amp;$A$1,РД[Дата подачи на регистрацию],"&gt;="&amp;DATE(YEAR($A$1),MONTH($A$1),1))</f>
        <v>0</v>
      </c>
      <c r="P55" s="220">
        <f>COUNTIFS(РД[Тип кв],P$53,РД[МОП],$A55,РД[Дом],$C$52,РД[Дата подачи на регистрацию],"&lt;="&amp;$A$1,РД[Дата подачи на регистрацию],"&gt;="&amp;DATE(YEAR($A$1),MONTH($A$1),1))</f>
        <v>0</v>
      </c>
      <c r="Q55" s="223">
        <f>COUNTIFS(РД[Тип кв],Q$53,РД[МОП],$A55,РД[Дом],$C$52,РД[Дата подачи на регистрацию],"&lt;="&amp;$A$1,РД[Дата подачи на регистрацию],"&gt;="&amp;DATE(YEAR($A$1),MONTH($A$1),1))</f>
        <v>0</v>
      </c>
      <c r="R55" s="949"/>
      <c r="S55" s="949"/>
    </row>
    <row r="56" spans="1:20">
      <c r="A56" s="952" t="s">
        <v>77</v>
      </c>
      <c r="B56" s="937">
        <v>0</v>
      </c>
      <c r="C56" s="937">
        <v>0</v>
      </c>
      <c r="D56" s="953"/>
      <c r="E56" s="202">
        <f>SUMIFS(февр2314[м2],февр2314[МОП],$A56,февр2314[№ дома],$C$52,февр2314[Ком],"&lt;&gt;Офис")</f>
        <v>0</v>
      </c>
      <c r="F56" s="954">
        <f>SUMIFS(февр2314[сумма без отделки],февр2314[МОП],$A56,февр2314[№ дома],$C$52,февр2314[Ком],"&lt;&gt;Офис")</f>
        <v>0</v>
      </c>
      <c r="G56" s="955">
        <f>COUNTIFS(февр2314[МОП],$A56,февр2314[№ дома],$C$52,февр2314[Ком],"&lt;&gt;Офис")</f>
        <v>0</v>
      </c>
      <c r="H56" s="145">
        <f>SUMIFS(РД[S],РД[Дом],$C$52,РД[МОП],A56,РД[Дата подачи на регистрацию],"&lt;="&amp;$A$1,РД[Дата подачи на регистрацию],"&gt;="&amp;DATE(YEAR($A$1),MONTH($A$1),1),РД[Состояние],"Продажа")</f>
        <v>0</v>
      </c>
      <c r="I56" s="149">
        <f>SUMIFS(РД[Стоимость без отделки итог],РД[Дом],$C$52,РД[МОП],A56,РД[Дата подачи на регистрацию],"&lt;="&amp;$A$1,РД[Дата подачи на регистрацию],"&gt;="&amp;DATE(YEAR($A$1),MONTH($A$1),1),РД[Состояние],"Продажа")</f>
        <v>0</v>
      </c>
      <c r="J56" s="220">
        <f>COUNTIFS(РД[Дом],$C$52,РД[МОП],A56,РД[Дата подачи на регистрацию],"&lt;="&amp;$A$1,РД[Дата подачи на регистрацию],"&gt;="&amp;DATE(YEAR($A$1),MONTH($A$1),1),РД[Состояние],"Продажа")</f>
        <v>0</v>
      </c>
      <c r="K56" s="987">
        <f t="shared" si="0"/>
        <v>0</v>
      </c>
      <c r="L56" s="988">
        <f t="shared" si="0"/>
        <v>0</v>
      </c>
      <c r="M56" s="202">
        <f>COUNTIFS(РД[Тип кв],M$53,РД[МОП],$A56,РД[Дом],$C$52,РД[Дата подачи на регистрацию],"&lt;="&amp;$A$1,РД[Дата подачи на регистрацию],"&gt;="&amp;DATE(YEAR($A$1),MONTH($A$1),1))</f>
        <v>0</v>
      </c>
      <c r="N56" s="226">
        <f>COUNTIFS(РД[Тип кв],N$53,РД[МОП],$A56,РД[Дом],$C$52,РД[Дата подачи на регистрацию],"&lt;="&amp;$A$1,РД[Дата подачи на регистрацию],"&gt;="&amp;DATE(YEAR($A$1),MONTH($A$1),1))</f>
        <v>0</v>
      </c>
      <c r="O56" s="226">
        <f>COUNTIFS(РД[Тип кв],O$53,РД[МОП],$A56,РД[Дом],$C$52,РД[Дата подачи на регистрацию],"&lt;="&amp;$A$1,РД[Дата подачи на регистрацию],"&gt;="&amp;DATE(YEAR($A$1),MONTH($A$1),1))</f>
        <v>0</v>
      </c>
      <c r="P56" s="226">
        <f>COUNTIFS(РД[Тип кв],P$53,РД[МОП],$A56,РД[Дом],$C$52,РД[Дата подачи на регистрацию],"&lt;="&amp;$A$1,РД[Дата подачи на регистрацию],"&gt;="&amp;DATE(YEAR($A$1),MONTH($A$1),1))</f>
        <v>0</v>
      </c>
      <c r="Q56" s="227">
        <f>COUNTIFS(РД[Тип кв],Q$53,РД[МОП],$A56,РД[Дом],$C$52,РД[Дата подачи на регистрацию],"&lt;="&amp;$A$1,РД[Дата подачи на регистрацию],"&gt;="&amp;DATE(YEAR($A$1),MONTH($A$1),1))</f>
        <v>0</v>
      </c>
      <c r="R56" s="949"/>
      <c r="S56" s="949"/>
    </row>
    <row r="57" spans="1:20">
      <c r="A57" s="956" t="s">
        <v>1233</v>
      </c>
      <c r="B57" s="937">
        <v>0</v>
      </c>
      <c r="C57" s="937">
        <v>0</v>
      </c>
      <c r="D57" s="957"/>
      <c r="E57" s="358">
        <f>SUMIFS(февр2314[м2],февр2314[МОП],$A57,февр2314[№ дома],$C$52,февр2314[Ком],"&lt;&gt;Офис")</f>
        <v>0</v>
      </c>
      <c r="F57" s="958">
        <f>SUMIFS(февр2314[сумма без отделки],февр2314[МОП],$A57,февр2314[№ дома],$C$52,февр2314[Ком],"&lt;&gt;Офис")</f>
        <v>0</v>
      </c>
      <c r="G57" s="959">
        <f>COUNTIFS(февр2314[МОП],$A57,февр2314[№ дома],$C$52,февр2314[Ком],"&lt;&gt;Офис")</f>
        <v>0</v>
      </c>
      <c r="H57" s="145">
        <f>SUMIFS(РД[S],РД[Дом],$C$52,РД[МОП],A57,РД[Дата подачи на регистрацию],"&lt;="&amp;$A$1,РД[Дата подачи на регистрацию],"&gt;="&amp;DATE(YEAR($A$1),MONTH($A$1),1),РД[Состояние],"Продажа")</f>
        <v>0</v>
      </c>
      <c r="I57" s="149">
        <f>SUMIFS(РД[Стоимость без отделки итог],РД[Дом],$C$52,РД[МОП],A57,РД[Дата подачи на регистрацию],"&lt;="&amp;$A$1,РД[Дата подачи на регистрацию],"&gt;="&amp;DATE(YEAR($A$1),MONTH($A$1),1),РД[Состояние],"Продажа")</f>
        <v>0</v>
      </c>
      <c r="J57" s="220">
        <f>COUNTIFS(РД[Дом],$C$52,РД[МОП],A57,РД[Дата подачи на регистрацию],"&lt;="&amp;$A$1,РД[Дата подачи на регистрацию],"&gt;="&amp;DATE(YEAR($A$1),MONTH($A$1),1),РД[Состояние],"Продажа")</f>
        <v>0</v>
      </c>
      <c r="K57" s="987">
        <f t="shared" si="0"/>
        <v>0</v>
      </c>
      <c r="L57" s="988">
        <f t="shared" si="0"/>
        <v>0</v>
      </c>
      <c r="M57" s="195">
        <f>COUNTIFS(РД[Тип кв],M$53,РД[МОП],$A57,РД[Дом],$C$52,РД[Дата подачи на регистрацию],"&lt;="&amp;$A$1,РД[Дата подачи на регистрацию],"&gt;="&amp;DATE(YEAR($A$1),MONTH($A$1),1))</f>
        <v>0</v>
      </c>
      <c r="N57" s="251">
        <f>COUNTIFS(РД[Тип кв],N$53,РД[МОП],$A57,РД[Дом],$C$52,РД[Дата подачи на регистрацию],"&lt;="&amp;$A$1,РД[Дата подачи на регистрацию],"&gt;="&amp;DATE(YEAR($A$1),MONTH($A$1),1))</f>
        <v>0</v>
      </c>
      <c r="O57" s="251">
        <f>COUNTIFS(РД[Тип кв],O$53,РД[МОП],$A57,РД[Дом],$C$52,РД[Дата подачи на регистрацию],"&lt;="&amp;$A$1,РД[Дата подачи на регистрацию],"&gt;="&amp;DATE(YEAR($A$1),MONTH($A$1),1))</f>
        <v>0</v>
      </c>
      <c r="P57" s="251">
        <f>COUNTIFS(РД[Тип кв],P$53,РД[МОП],$A57,РД[Дом],$C$52,РД[Дата подачи на регистрацию],"&lt;="&amp;$A$1,РД[Дата подачи на регистрацию],"&gt;="&amp;DATE(YEAR($A$1),MONTH($A$1),1))</f>
        <v>0</v>
      </c>
      <c r="Q57" s="254">
        <f>COUNTIFS(РД[Тип кв],Q$53,РД[МОП],$A57,РД[Дом],$C$52,РД[Дата подачи на регистрацию],"&lt;="&amp;$A$1,РД[Дата подачи на регистрацию],"&gt;="&amp;DATE(YEAR($A$1),MONTH($A$1),1))</f>
        <v>0</v>
      </c>
      <c r="R57" s="949"/>
      <c r="S57" s="949"/>
    </row>
    <row r="58" spans="1:20">
      <c r="A58" s="960" t="s">
        <v>114</v>
      </c>
      <c r="B58" s="961">
        <v>0</v>
      </c>
      <c r="C58" s="961">
        <v>0</v>
      </c>
      <c r="D58" s="962">
        <f t="shared" ref="D58:J58" si="3">SUM(D54:D57)</f>
        <v>0</v>
      </c>
      <c r="E58" s="963">
        <f t="shared" si="3"/>
        <v>0</v>
      </c>
      <c r="F58" s="964">
        <f t="shared" si="3"/>
        <v>0</v>
      </c>
      <c r="G58" s="965">
        <f t="shared" si="3"/>
        <v>0</v>
      </c>
      <c r="H58" s="961">
        <f t="shared" si="3"/>
        <v>0</v>
      </c>
      <c r="I58" s="964">
        <f t="shared" si="3"/>
        <v>0</v>
      </c>
      <c r="J58" s="962">
        <f t="shared" si="3"/>
        <v>0</v>
      </c>
      <c r="K58" s="419">
        <f>IFERROR(H58/B58,)</f>
        <v>0</v>
      </c>
      <c r="L58" s="420">
        <f>IFERROR(I58/C58,)</f>
        <v>0</v>
      </c>
      <c r="M58" s="473">
        <f>SUM(M54:M57)</f>
        <v>0</v>
      </c>
      <c r="N58" s="494">
        <f>SUM(N54:N57)</f>
        <v>0</v>
      </c>
      <c r="O58" s="494">
        <f>SUM(O54:O57)</f>
        <v>0</v>
      </c>
      <c r="P58" s="989">
        <f>SUM(P54:P57)</f>
        <v>0</v>
      </c>
      <c r="Q58" s="497">
        <f>SUM(Q54:Q57)</f>
        <v>0</v>
      </c>
      <c r="R58" s="949"/>
      <c r="S58" s="949"/>
    </row>
    <row r="59" spans="1:20">
      <c r="A59" s="685" t="s">
        <v>115</v>
      </c>
      <c r="B59" s="723" t="s">
        <v>100</v>
      </c>
      <c r="C59" s="693" t="s">
        <v>97</v>
      </c>
      <c r="D59" s="724" t="s">
        <v>95</v>
      </c>
      <c r="E59" s="137" t="s">
        <v>494</v>
      </c>
      <c r="F59" s="138" t="s">
        <v>495</v>
      </c>
      <c r="G59" s="139" t="s">
        <v>496</v>
      </c>
      <c r="H59" s="482" t="s">
        <v>101</v>
      </c>
      <c r="I59" s="482" t="s">
        <v>98</v>
      </c>
      <c r="J59" s="482" t="s">
        <v>96</v>
      </c>
      <c r="K59" s="502" t="s">
        <v>715</v>
      </c>
      <c r="L59" s="503" t="s">
        <v>716</v>
      </c>
      <c r="M59" s="217">
        <v>0</v>
      </c>
      <c r="N59" s="218">
        <v>1</v>
      </c>
      <c r="O59" s="218">
        <v>2</v>
      </c>
      <c r="P59" s="218">
        <v>3</v>
      </c>
      <c r="Q59" s="219" t="s">
        <v>1367</v>
      </c>
      <c r="R59" s="950"/>
      <c r="S59" s="950"/>
      <c r="T59" s="951"/>
    </row>
    <row r="60" spans="1:20">
      <c r="A60" s="936" t="s">
        <v>16</v>
      </c>
      <c r="B60" s="937">
        <v>0</v>
      </c>
      <c r="C60" s="937">
        <v>0</v>
      </c>
      <c r="D60" s="417"/>
      <c r="E60" s="966">
        <f>SUMIFS(февр2314[м2],февр2314[ИМ],A60,февр2314[№ дома],$C$52,февр2314[Ком],"&lt;&gt;Офис")</f>
        <v>0</v>
      </c>
      <c r="F60" s="149">
        <f>SUMIFS(февр2314[сумма без отделки],февр2314[ИМ],$A60,февр2314[№ дома],$C$52,февр2314[Ком],"&lt;&gt;Офис")</f>
        <v>0</v>
      </c>
      <c r="G60" s="940">
        <f>COUNTIFS(февр2314[ИМ],$A60,февр2314[№ дома],$C$52,февр2314[Ком],"&lt;&gt;Офис")</f>
        <v>0</v>
      </c>
      <c r="H60" s="346">
        <f>SUMIFS(РД[S],РД[Дом],$C$52,РД[ИМ],A60,РД[Дата подачи на регистрацию],"&lt;="&amp;$A$1,РД[Дата подачи на регистрацию],"&gt;="&amp;DATE(YEAR($A$1),MONTH($A$1),1),РД[Состояние],"Продажа")</f>
        <v>0</v>
      </c>
      <c r="I60" s="184">
        <f>SUMIFS(РД[Стоимость без отделки итог],РД[Дом],$C$52,РД[ИМ],A60,РД[Дата подачи на регистрацию],"&lt;="&amp;$A$1,РД[Дата подачи на регистрацию],"&gt;="&amp;DATE(YEAR($A$1),MONTH($A$1),1),РД[Состояние],"Продажа")</f>
        <v>0</v>
      </c>
      <c r="J60" s="243">
        <f>COUNTIFS(РД[Дом],$C$52,РД[ИМ],A60,РД[Дата подачи на регистрацию],"&lt;="&amp;$A$1,РД[Дата подачи на регистрацию],"&gt;="&amp;DATE(YEAR($A$1),MONTH($A$1),1),РД[Состояние],"Продажа")</f>
        <v>0</v>
      </c>
      <c r="K60" s="990" t="str">
        <f>IFERROR(H60/B60,"")</f>
        <v/>
      </c>
      <c r="L60" s="991" t="str">
        <f>IFERROR(I60/C60,"")</f>
        <v/>
      </c>
      <c r="M60" s="183">
        <f>COUNTIFS(РД[Тип кв],M$53,РД[ИМ],$A60,РД[Дом],$C$52,РД[Дата подачи на регистрацию],"&lt;="&amp;$A$1,РД[Дата подачи на регистрацию],"&gt;="&amp;DATE(YEAR($A$1),MONTH($A$1),1))</f>
        <v>0</v>
      </c>
      <c r="N60" s="243">
        <f>COUNTIFS(РД[Тип кв],N$53,РД[ИМ],$A60,РД[Дом],$C$52,РД[Дата подачи на регистрацию],"&lt;="&amp;$A$1,РД[Дата подачи на регистрацию],"&gt;="&amp;DATE(YEAR($A$1),MONTH($A$1),1))</f>
        <v>0</v>
      </c>
      <c r="O60" s="243">
        <f>COUNTIFS(РД[Тип кв],O$53,РД[ИМ],$A60,РД[Дом],$C$52,РД[Дата подачи на регистрацию],"&lt;="&amp;$A$1,РД[Дата подачи на регистрацию],"&gt;="&amp;DATE(YEAR($A$1),MONTH($A$1),1))</f>
        <v>0</v>
      </c>
      <c r="P60" s="243">
        <f>COUNTIFS(РД[Тип кв],P$53,РД[ИМ],$A60,РД[Дом],$C$52,РД[Дата подачи на регистрацию],"&lt;="&amp;$A$1,РД[Дата подачи на регистрацию],"&gt;="&amp;DATE(YEAR($A$1),MONTH($A$1),1))</f>
        <v>0</v>
      </c>
      <c r="Q60" s="246">
        <f>COUNTIFS(РД[Тип кв],Q$53,РД[ИМ],$A60,РД[Дом],$C$52,РД[Дата подачи на регистрацию],"&lt;="&amp;$A$1,РД[Дата подачи на регистрацию],"&gt;="&amp;DATE(YEAR($A$1),MONTH($A$1),1))</f>
        <v>0</v>
      </c>
      <c r="R60" s="949"/>
      <c r="S60" s="949"/>
    </row>
    <row r="61" spans="1:20">
      <c r="A61" s="956" t="s">
        <v>22</v>
      </c>
      <c r="B61" s="937">
        <v>0</v>
      </c>
      <c r="C61" s="937">
        <v>0</v>
      </c>
      <c r="D61" s="518"/>
      <c r="E61" s="967">
        <f>SUMIFS(февр2314[м2],февр2314[ИМ],A61,февр2314[№ дома],$C$52,февр2314[Ком],"&lt;&gt;Офис")</f>
        <v>0</v>
      </c>
      <c r="F61" s="359">
        <f>SUMIFS(февр2314[сумма без отделки],февр2314[ИМ],$A61,февр2314[№ дома],$C$52,февр2314[Ком],"&lt;&gt;Офис")</f>
        <v>0</v>
      </c>
      <c r="G61" s="959">
        <f>COUNTIFS(февр2314[ИМ],$A61,февр2314[№ дома],$C$52,февр2314[Ком],"&lt;&gt;Офис")</f>
        <v>0</v>
      </c>
      <c r="H61" s="426">
        <f>SUMIFS(РД[S],РД[Дом],$C$52,РД[ИМ],A61,РД[Дата подачи на регистрацию],"&lt;="&amp;$A$1,РД[Дата подачи на регистрацию],"&gt;="&amp;DATE(YEAR($A$1),MONTH($A$1),1),РД[Состояние],"Продажа")</f>
        <v>0</v>
      </c>
      <c r="I61" s="196">
        <f>SUMIFS(РД[Стоимость без отделки итог],РД[Дом],$C$52,РД[ИМ],A61,РД[Дата подачи на регистрацию],"&lt;="&amp;$A$1,РД[Дата подачи на регистрацию],"&gt;="&amp;DATE(YEAR($A$1),MONTH($A$1),1),РД[Состояние],"Продажа")</f>
        <v>0</v>
      </c>
      <c r="J61" s="251">
        <f>COUNTIFS(РД[Дом],$C$52,РД[ИМ],A61,РД[Дата подачи на регистрацию],"&lt;="&amp;$A$1,РД[Дата подачи на регистрацию],"&gt;="&amp;DATE(YEAR($A$1),MONTH($A$1),1),РД[Состояние],"Продажа")</f>
        <v>0</v>
      </c>
      <c r="K61" s="992" t="str">
        <f>IFERROR(H61/B61,"")</f>
        <v/>
      </c>
      <c r="L61" s="993" t="str">
        <f>IFERROR(I61/C61,"")</f>
        <v/>
      </c>
      <c r="M61" s="195">
        <f>COUNTIFS(РД[Тип кв],M$53,РД[ИМ],$A61,РД[Дом],$C$52,РД[Дата подачи на регистрацию],"&lt;="&amp;$A$1,РД[Дата подачи на регистрацию],"&gt;="&amp;DATE(YEAR($A$1),MONTH($A$1),1))</f>
        <v>0</v>
      </c>
      <c r="N61" s="251">
        <f>COUNTIFS(РД[Тип кв],N$53,РД[ИМ],$A61,РД[Дом],$C$52,РД[Дата подачи на регистрацию],"&lt;="&amp;$A$1,РД[Дата подачи на регистрацию],"&gt;="&amp;DATE(YEAR($A$1),MONTH($A$1),1))</f>
        <v>0</v>
      </c>
      <c r="O61" s="251">
        <f>COUNTIFS(РД[Тип кв],O$53,РД[ИМ],$A61,РД[Дом],$C$52,РД[Дата подачи на регистрацию],"&lt;="&amp;$A$1,РД[Дата подачи на регистрацию],"&gt;="&amp;DATE(YEAR($A$1),MONTH($A$1),1))</f>
        <v>0</v>
      </c>
      <c r="P61" s="251">
        <f>COUNTIFS(РД[Тип кв],P$53,РД[ИМ],$A61,РД[Дом],$C$52,РД[Дата подачи на регистрацию],"&lt;="&amp;$A$1,РД[Дата подачи на регистрацию],"&gt;="&amp;DATE(YEAR($A$1),MONTH($A$1),1))</f>
        <v>0</v>
      </c>
      <c r="Q61" s="254">
        <f>COUNTIFS(РД[Тип кв],Q$53,РД[ИМ],$A61,РД[Дом],$C$52,РД[Дата подачи на регистрацию],"&lt;="&amp;$A$1,РД[Дата подачи на регистрацию],"&gt;="&amp;DATE(YEAR($A$1),MONTH($A$1),1))</f>
        <v>0</v>
      </c>
      <c r="R61" s="949"/>
      <c r="S61" s="949"/>
    </row>
    <row r="62" spans="1:20">
      <c r="A62" s="409" t="s">
        <v>114</v>
      </c>
      <c r="B62" s="961">
        <v>0</v>
      </c>
      <c r="C62" s="961">
        <v>0</v>
      </c>
      <c r="D62" s="485">
        <f t="shared" ref="D62:J62" si="4">SUM(D60:D61)</f>
        <v>0</v>
      </c>
      <c r="E62" s="473">
        <f t="shared" si="4"/>
        <v>0</v>
      </c>
      <c r="F62" s="429">
        <f t="shared" si="4"/>
        <v>0</v>
      </c>
      <c r="G62" s="497">
        <f t="shared" si="4"/>
        <v>0</v>
      </c>
      <c r="H62" s="473">
        <f t="shared" si="4"/>
        <v>0</v>
      </c>
      <c r="I62" s="429">
        <f t="shared" si="4"/>
        <v>0</v>
      </c>
      <c r="J62" s="497">
        <f t="shared" si="4"/>
        <v>0</v>
      </c>
      <c r="K62" s="238">
        <f>IFERROR(H62/B62,)</f>
        <v>0</v>
      </c>
      <c r="L62" s="501">
        <f>IFERROR(I62/C62,)</f>
        <v>0</v>
      </c>
      <c r="M62" s="897">
        <f>SUM(M60:M61)</f>
        <v>0</v>
      </c>
      <c r="N62" s="897">
        <f>SUM(N60:N61)</f>
        <v>0</v>
      </c>
      <c r="O62" s="897">
        <f>SUM(O60:O61)</f>
        <v>0</v>
      </c>
      <c r="P62" s="897">
        <f>SUM(P60:P61)</f>
        <v>0</v>
      </c>
      <c r="Q62" s="898">
        <f>SUM(Q60:Q61)</f>
        <v>0</v>
      </c>
      <c r="R62" s="65"/>
      <c r="S62" s="65"/>
      <c r="T62" s="339"/>
    </row>
    <row r="63" spans="1:20">
      <c r="A63" s="7"/>
      <c r="B63" s="968"/>
      <c r="C63" s="968"/>
      <c r="D63" s="7"/>
      <c r="E63" s="7"/>
      <c r="F63" s="7"/>
      <c r="G63" s="7"/>
      <c r="H63" s="134"/>
      <c r="I63" s="134"/>
      <c r="J63" s="134"/>
      <c r="K63" s="7"/>
      <c r="L63" s="994"/>
      <c r="M63" s="134"/>
      <c r="N63" s="134"/>
      <c r="O63" s="134"/>
      <c r="P63" s="262"/>
      <c r="Q63" s="134"/>
      <c r="R63" s="949"/>
      <c r="S63" s="949"/>
    </row>
    <row r="64" spans="1:20">
      <c r="A64" s="2290" t="s">
        <v>713</v>
      </c>
      <c r="B64" s="2291"/>
      <c r="C64" s="935" t="s">
        <v>27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7"/>
      <c r="R64" s="949"/>
      <c r="S64" s="949"/>
    </row>
    <row r="65" spans="1:20">
      <c r="A65" s="685" t="s">
        <v>1</v>
      </c>
      <c r="B65" s="723" t="s">
        <v>100</v>
      </c>
      <c r="C65" s="687" t="s">
        <v>97</v>
      </c>
      <c r="D65" s="724" t="s">
        <v>95</v>
      </c>
      <c r="E65" s="137" t="s">
        <v>494</v>
      </c>
      <c r="F65" s="138" t="s">
        <v>495</v>
      </c>
      <c r="G65" s="139" t="s">
        <v>496</v>
      </c>
      <c r="H65" s="140" t="s">
        <v>101</v>
      </c>
      <c r="I65" s="141" t="s">
        <v>98</v>
      </c>
      <c r="J65" s="141" t="s">
        <v>96</v>
      </c>
      <c r="K65" s="141" t="s">
        <v>715</v>
      </c>
      <c r="L65" s="216" t="s">
        <v>716</v>
      </c>
      <c r="M65" s="217">
        <v>0</v>
      </c>
      <c r="N65" s="218">
        <v>1</v>
      </c>
      <c r="O65" s="218">
        <v>2</v>
      </c>
      <c r="P65" s="218">
        <v>3</v>
      </c>
      <c r="Q65" s="219" t="s">
        <v>1367</v>
      </c>
      <c r="R65" s="950"/>
      <c r="S65" s="950"/>
      <c r="T65" s="951"/>
    </row>
    <row r="66" spans="1:20">
      <c r="A66" s="936" t="s">
        <v>73</v>
      </c>
      <c r="B66" s="937">
        <v>51</v>
      </c>
      <c r="C66" s="937">
        <v>4984051</v>
      </c>
      <c r="D66" s="938"/>
      <c r="E66" s="148">
        <f>SUMIFS(февр2314[м2],февр2314[МОП],$A66,февр2314[№ дома],$C$64,февр2314[Ком],"&lt;&gt;Офис")</f>
        <v>119.96</v>
      </c>
      <c r="F66" s="939">
        <f>SUMIFS(февр2314[сумма без отделки],февр2314[МОП],$A66,февр2314[№ дома],$C$64,февр2314[Ком],"&lt;&gt;Офис")</f>
        <v>11583313.640000001</v>
      </c>
      <c r="G66" s="940">
        <f>COUNTIFS(февр2314[МОП],$A66,февр2314[№ дома],$C$64,февр2314[Ком],"&lt;&gt;Офис")</f>
        <v>5</v>
      </c>
      <c r="H66" s="148">
        <f>SUMIFS(РД[S],РД[Дом],$C$64,РД[МОП],A66,РД[Дата подачи на регистрацию],"&lt;="&amp;$A$1,РД[Дата подачи на регистрацию],"&gt;="&amp;DATE(YEAR($A$1),MONTH($A$1),1),РД[Состояние],"Продажа")</f>
        <v>119.96000000000001</v>
      </c>
      <c r="I66" s="149">
        <f>SUMIFS(РД[Стоимость без отделки итог],РД[Дом],$C$64,РД[МОП],A66,РД[Дата подачи на регистрацию],"&lt;="&amp;$A$1,РД[Дата подачи на регистрацию],"&gt;="&amp;DATE(YEAR($A$1),MONTH($A$1),1),РД[Состояние],"Продажа")</f>
        <v>11583313.649999999</v>
      </c>
      <c r="J66" s="220">
        <f>COUNTIFS(РД[Дом],$C$64,РД[МОП],A66,РД[Дата подачи на регистрацию],"&lt;="&amp;$A$1,РД[Дата подачи на регистрацию],"&gt;="&amp;DATE(YEAR($A$1),MONTH($A$1),1),РД[Состояние],"Продажа")</f>
        <v>5</v>
      </c>
      <c r="K66" s="943">
        <f t="shared" ref="K66:L69" si="5">IFERROR(H66/B66,"")</f>
        <v>2.3521568627450984</v>
      </c>
      <c r="L66" s="944">
        <f t="shared" si="5"/>
        <v>2.3240760678411996</v>
      </c>
      <c r="M66" s="183">
        <f>COUNTIFS(РД[Тип кв],M$65,РД[МОП],$A66,РД[Дом],$C$64,РД[Дата подачи на регистрацию],"&lt;="&amp;$A$1,РД[Дата подачи на регистрацию],"&gt;="&amp;DATE(YEAR($A$1),MONTH($A$1),1))</f>
        <v>5</v>
      </c>
      <c r="N66" s="243">
        <f>COUNTIFS(РД[Тип кв],N$65,РД[МОП],$A66,РД[Дом],$C$64,РД[Дата подачи на регистрацию],"&lt;="&amp;$A$1,РД[Дата подачи на регистрацию],"&gt;="&amp;DATE(YEAR($A$1),MONTH($A$1),1))</f>
        <v>0</v>
      </c>
      <c r="O66" s="243">
        <f>COUNTIFS(РД[Тип кв],O$65,РД[МОП],$A66,РД[Дом],$C$64,РД[Дата подачи на регистрацию],"&lt;="&amp;$A$1,РД[Дата подачи на регистрацию],"&gt;="&amp;DATE(YEAR($A$1),MONTH($A$1),1))</f>
        <v>0</v>
      </c>
      <c r="P66" s="243">
        <f>COUNTIFS(РД[Тип кв],P$65,РД[МОП],$A66,РД[Дом],$C$64,РД[Дата подачи на регистрацию],"&lt;="&amp;$A$1,РД[Дата подачи на регистрацию],"&gt;="&amp;DATE(YEAR($A$1),MONTH($A$1),1))</f>
        <v>0</v>
      </c>
      <c r="Q66" s="246">
        <f>COUNTIFS(РД[Тип кв],Q$65,РД[МОП],$A66,РД[Дом],$C$64,РД[Дата подачи на регистрацию],"&lt;="&amp;$A$1,РД[Дата подачи на регистрацию],"&gt;="&amp;DATE(YEAR($A$1),MONTH($A$1),1))</f>
        <v>0</v>
      </c>
      <c r="R66" s="949"/>
      <c r="S66" s="949"/>
    </row>
    <row r="67" spans="1:20">
      <c r="A67" s="936" t="s">
        <v>8</v>
      </c>
      <c r="B67" s="937">
        <v>51</v>
      </c>
      <c r="C67" s="937">
        <v>4984051</v>
      </c>
      <c r="D67" s="938"/>
      <c r="E67" s="148">
        <f>SUMIFS(февр2314[м2],февр2314[МОП],$A67,февр2314[№ дома],$C$64,февр2314[Ком],"&lt;&gt;Офис")</f>
        <v>23.54</v>
      </c>
      <c r="F67" s="939">
        <f>SUMIFS(февр2314[сумма без отделки],февр2314[МОП],$A67,февр2314[№ дома],$C$64,февр2314[Ком],"&lt;&gt;Офис")</f>
        <v>2492623.5299999998</v>
      </c>
      <c r="G67" s="940">
        <f>COUNTIFS(февр2314[МОП],$A67,февр2314[№ дома],$C$64,февр2314[Ком],"&lt;&gt;Офис")</f>
        <v>1</v>
      </c>
      <c r="H67" s="148">
        <f>SUMIFS(РД[S],РД[Дом],$C$64,РД[МОП],A67,РД[Дата подачи на регистрацию],"&lt;="&amp;$A$1,РД[Дата подачи на регистрацию],"&gt;="&amp;DATE(YEAR($A$1),MONTH($A$1),1),РД[Состояние],"Продажа")</f>
        <v>23.54</v>
      </c>
      <c r="I67" s="149">
        <f>SUMIFS(РД[Стоимость без отделки итог],РД[Дом],$C$64,РД[МОП],A67,РД[Дата подачи на регистрацию],"&lt;="&amp;$A$1,РД[Дата подачи на регистрацию],"&gt;="&amp;DATE(YEAR($A$1),MONTH($A$1),1),РД[Состояние],"Продажа")</f>
        <v>2492623.5299999998</v>
      </c>
      <c r="J67" s="220">
        <f>COUNTIFS(РД[Дом],$C$64,РД[МОП],A67,РД[Дата подачи на регистрацию],"&lt;="&amp;$A$1,РД[Дата подачи на регистрацию],"&gt;="&amp;DATE(YEAR($A$1),MONTH($A$1),1),РД[Состояние],"Продажа")</f>
        <v>1</v>
      </c>
      <c r="K67" s="943">
        <f t="shared" ref="K67" si="6">IFERROR(H67/B67,"")</f>
        <v>0.46156862745098037</v>
      </c>
      <c r="L67" s="944">
        <f t="shared" ref="L67" si="7">IFERROR(I67/C67,"")</f>
        <v>0.50011998874008312</v>
      </c>
      <c r="M67" s="148">
        <f>COUNTIFS(РД[Тип кв],M$65,РД[МОП],$A67,РД[Дом],$C$64,РД[Дата подачи на регистрацию],"&lt;="&amp;$A$1,РД[Дата подачи на регистрацию],"&gt;="&amp;DATE(YEAR($A$1),MONTH($A$1),1))</f>
        <v>1</v>
      </c>
      <c r="N67" s="220">
        <f>COUNTIFS(РД[Тип кв],N$65,РД[МОП],$A67,РД[Дом],$C$64,РД[Дата подачи на регистрацию],"&lt;="&amp;$A$1,РД[Дата подачи на регистрацию],"&gt;="&amp;DATE(YEAR($A$1),MONTH($A$1),1))</f>
        <v>0</v>
      </c>
      <c r="O67" s="220">
        <f>COUNTIFS(РД[Тип кв],O$65,РД[МОП],$A67,РД[Дом],$C$64,РД[Дата подачи на регистрацию],"&lt;="&amp;$A$1,РД[Дата подачи на регистрацию],"&gt;="&amp;DATE(YEAR($A$1),MONTH($A$1),1))</f>
        <v>0</v>
      </c>
      <c r="P67" s="220">
        <f>COUNTIFS(РД[Тип кв],P$65,РД[МОП],$A67,РД[Дом],$C$64,РД[Дата подачи на регистрацию],"&lt;="&amp;$A$1,РД[Дата подачи на регистрацию],"&gt;="&amp;DATE(YEAR($A$1),MONTH($A$1),1))</f>
        <v>0</v>
      </c>
      <c r="Q67" s="223">
        <f>COUNTIFS(РД[Тип кв],Q$65,РД[МОП],$A67,РД[Дом],$C$64,РД[Дата подачи на регистрацию],"&lt;="&amp;$A$1,РД[Дата подачи на регистрацию],"&gt;="&amp;DATE(YEAR($A$1),MONTH($A$1),1))</f>
        <v>0</v>
      </c>
      <c r="R67" s="949"/>
      <c r="S67" s="949"/>
    </row>
    <row r="68" spans="1:20">
      <c r="A68" s="952" t="s">
        <v>77</v>
      </c>
      <c r="B68" s="937">
        <v>51</v>
      </c>
      <c r="C68" s="937">
        <v>4984051</v>
      </c>
      <c r="D68" s="953"/>
      <c r="E68" s="202">
        <f>SUMIFS(февр2314[м2],февр2314[МОП],$A68,февр2314[№ дома],$C$64,февр2314[Ком],"&lt;&gt;Офис")</f>
        <v>77.45</v>
      </c>
      <c r="F68" s="954">
        <f>SUMIFS(февр2314[сумма без отделки],февр2314[МОП],$A68,февр2314[№ дома],$C$64,февр2314[Ком],"&lt;&gt;Офис")</f>
        <v>7328114.7999999998</v>
      </c>
      <c r="G68" s="955">
        <f>COUNTIFS(февр2314[МОП],$A68,февр2314[№ дома],$C$64,февр2314[Ком],"&lt;&gt;Офис")</f>
        <v>3</v>
      </c>
      <c r="H68" s="148">
        <f>SUMIFS(РД[S],РД[Дом],$C$64,РД[МОП],A68,РД[Дата подачи на регистрацию],"&lt;="&amp;$A$1,РД[Дата подачи на регистрацию],"&gt;="&amp;DATE(YEAR($A$1),MONTH($A$1),1),РД[Состояние],"Продажа")</f>
        <v>72.569999999999993</v>
      </c>
      <c r="I68" s="149">
        <f>SUMIFS(РД[Стоимость без отделки итог],РД[Дом],$C$64,РД[МОП],A68,РД[Дата подачи на регистрацию],"&lt;="&amp;$A$1,РД[Дата подачи на регистрацию],"&gt;="&amp;DATE(YEAR($A$1),MONTH($A$1),1),РД[Состояние],"Продажа")</f>
        <v>7328114.7999999998</v>
      </c>
      <c r="J68" s="220">
        <f>COUNTIFS(РД[Дом],$C$64,РД[МОП],A68,РД[Дата подачи на регистрацию],"&lt;="&amp;$A$1,РД[Дата подачи на регистрацию],"&gt;="&amp;DATE(YEAR($A$1),MONTH($A$1),1),РД[Состояние],"Продажа")</f>
        <v>3</v>
      </c>
      <c r="K68" s="987">
        <f t="shared" si="5"/>
        <v>1.4229411764705882</v>
      </c>
      <c r="L68" s="988">
        <f t="shared" si="5"/>
        <v>1.4703129642935033</v>
      </c>
      <c r="M68" s="202">
        <f>COUNTIFS(РД[Тип кв],M$65,РД[МОП],$A68,РД[Дом],$C$64,РД[Дата подачи на регистрацию],"&lt;="&amp;$A$1,РД[Дата подачи на регистрацию],"&gt;="&amp;DATE(YEAR($A$1),MONTH($A$1),1))</f>
        <v>3</v>
      </c>
      <c r="N68" s="226">
        <f>COUNTIFS(РД[Тип кв],N$65,РД[МОП],$A68,РД[Дом],$C$64,РД[Дата подачи на регистрацию],"&lt;="&amp;$A$1,РД[Дата подачи на регистрацию],"&gt;="&amp;DATE(YEAR($A$1),MONTH($A$1),1))</f>
        <v>0</v>
      </c>
      <c r="O68" s="226">
        <f>COUNTIFS(РД[Тип кв],O$65,РД[МОП],$A68,РД[Дом],$C$64,РД[Дата подачи на регистрацию],"&lt;="&amp;$A$1,РД[Дата подачи на регистрацию],"&gt;="&amp;DATE(YEAR($A$1),MONTH($A$1),1))</f>
        <v>0</v>
      </c>
      <c r="P68" s="226">
        <f>COUNTIFS(РД[Тип кв],P$65,РД[МОП],$A68,РД[Дом],$C$64,РД[Дата подачи на регистрацию],"&lt;="&amp;$A$1,РД[Дата подачи на регистрацию],"&gt;="&amp;DATE(YEAR($A$1),MONTH($A$1),1))</f>
        <v>0</v>
      </c>
      <c r="Q68" s="227">
        <f>COUNTIFS(РД[Тип кв],Q$65,РД[МОП],$A68,РД[Дом],$C$64,РД[Дата подачи на регистрацию],"&lt;="&amp;$A$1,РД[Дата подачи на регистрацию],"&gt;="&amp;DATE(YEAR($A$1),MONTH($A$1),1))</f>
        <v>0</v>
      </c>
      <c r="R68" s="949"/>
      <c r="S68" s="949"/>
    </row>
    <row r="69" spans="1:20">
      <c r="A69" s="956" t="s">
        <v>1233</v>
      </c>
      <c r="B69" s="937">
        <v>51</v>
      </c>
      <c r="C69" s="937">
        <v>4984051</v>
      </c>
      <c r="D69" s="957"/>
      <c r="E69" s="358">
        <f>SUMIFS(февр2314[м2],февр2314[МОП],$A69,февр2314[№ дома],$C$64,февр2314[Ком],"&lt;&gt;Офис")</f>
        <v>37.69</v>
      </c>
      <c r="F69" s="958">
        <f>SUMIFS(февр2314[сумма без отделки],февр2314[МОП],$A69,февр2314[№ дома],$C$64,февр2314[Ком],"&lt;&gt;Офис")</f>
        <v>3833235.8200000003</v>
      </c>
      <c r="G69" s="959">
        <f>COUNTIFS(февр2314[МОП],$A69,февр2314[№ дома],$C$64,февр2314[Ком],"&lt;&gt;Офис")</f>
        <v>1</v>
      </c>
      <c r="H69" s="148">
        <f>SUMIFS(РД[S],РД[Дом],$C$64,РД[МОП],A69,РД[Дата подачи на регистрацию],"&lt;="&amp;$A$1,РД[Дата подачи на регистрацию],"&gt;="&amp;DATE(YEAR($A$1),MONTH($A$1),1),РД[Состояние],"Продажа")</f>
        <v>37.69</v>
      </c>
      <c r="I69" s="149">
        <f>SUMIFS(РД[Стоимость без отделки итог],РД[Дом],$C$64,РД[МОП],A69,РД[Дата подачи на регистрацию],"&lt;="&amp;$A$1,РД[Дата подачи на регистрацию],"&gt;="&amp;DATE(YEAR($A$1),MONTH($A$1),1),РД[Состояние],"Продажа")</f>
        <v>3833235.82</v>
      </c>
      <c r="J69" s="220">
        <f>COUNTIFS(РД[Дом],$C$64,РД[МОП],A69,РД[Дата подачи на регистрацию],"&lt;="&amp;$A$1,РД[Дата подачи на регистрацию],"&gt;="&amp;DATE(YEAR($A$1),MONTH($A$1),1),РД[Состояние],"Продажа")</f>
        <v>1</v>
      </c>
      <c r="K69" s="987">
        <f t="shared" si="5"/>
        <v>0.73901960784313725</v>
      </c>
      <c r="L69" s="988">
        <f t="shared" si="5"/>
        <v>0.76910044058537919</v>
      </c>
      <c r="M69" s="195">
        <f>COUNTIFS(РД[Тип кв],M$65,РД[МОП],$A69,РД[Дом],$C$64,РД[Дата подачи на регистрацию],"&lt;="&amp;$A$1,РД[Дата подачи на регистрацию],"&gt;="&amp;DATE(YEAR($A$1),MONTH($A$1),1))</f>
        <v>0</v>
      </c>
      <c r="N69" s="251">
        <f>COUNTIFS(РД[Тип кв],N$65,РД[МОП],$A69,РД[Дом],$C$64,РД[Дата подачи на регистрацию],"&lt;="&amp;$A$1,РД[Дата подачи на регистрацию],"&gt;="&amp;DATE(YEAR($A$1),MONTH($A$1),1))</f>
        <v>1</v>
      </c>
      <c r="O69" s="251">
        <f>COUNTIFS(РД[Тип кв],O$65,РД[МОП],$A69,РД[Дом],$C$64,РД[Дата подачи на регистрацию],"&lt;="&amp;$A$1,РД[Дата подачи на регистрацию],"&gt;="&amp;DATE(YEAR($A$1),MONTH($A$1),1))</f>
        <v>0</v>
      </c>
      <c r="P69" s="251">
        <f>COUNTIFS(РД[Тип кв],P$65,РД[МОП],$A69,РД[Дом],$C$64,РД[Дата подачи на регистрацию],"&lt;="&amp;$A$1,РД[Дата подачи на регистрацию],"&gt;="&amp;DATE(YEAR($A$1),MONTH($A$1),1))</f>
        <v>0</v>
      </c>
      <c r="Q69" s="254">
        <f>COUNTIFS(РД[Тип кв],Q$65,РД[МОП],$A69,РД[Дом],$C$64,РД[Дата подачи на регистрацию],"&lt;="&amp;$A$1,РД[Дата подачи на регистрацию],"&gt;="&amp;DATE(YEAR($A$1),MONTH($A$1),1))</f>
        <v>0</v>
      </c>
      <c r="R69" s="949"/>
      <c r="S69" s="949"/>
    </row>
    <row r="70" spans="1:20">
      <c r="A70" s="960" t="s">
        <v>114</v>
      </c>
      <c r="B70" s="961">
        <v>204</v>
      </c>
      <c r="C70" s="961">
        <v>19936204</v>
      </c>
      <c r="D70" s="962">
        <f t="shared" ref="D70:J70" si="8">SUM(D66:D69)</f>
        <v>0</v>
      </c>
      <c r="E70" s="963">
        <f t="shared" si="8"/>
        <v>258.64</v>
      </c>
      <c r="F70" s="964">
        <f t="shared" si="8"/>
        <v>25237287.789999999</v>
      </c>
      <c r="G70" s="965">
        <f t="shared" si="8"/>
        <v>10</v>
      </c>
      <c r="H70" s="961">
        <f t="shared" si="8"/>
        <v>253.76</v>
      </c>
      <c r="I70" s="964">
        <f t="shared" si="8"/>
        <v>25237287.799999997</v>
      </c>
      <c r="J70" s="962">
        <f t="shared" si="8"/>
        <v>10</v>
      </c>
      <c r="K70" s="419">
        <f>IFERROR(H70/B70,)</f>
        <v>1.243921568627451</v>
      </c>
      <c r="L70" s="420">
        <f>IFERROR(I70/C70,)</f>
        <v>1.2659023653650412</v>
      </c>
      <c r="M70" s="473">
        <f>SUM(M66:M69)</f>
        <v>9</v>
      </c>
      <c r="N70" s="494">
        <f>SUM(N66:N69)</f>
        <v>1</v>
      </c>
      <c r="O70" s="494">
        <f>SUM(O66:O69)</f>
        <v>0</v>
      </c>
      <c r="P70" s="989">
        <f>SUM(P66:P69)</f>
        <v>0</v>
      </c>
      <c r="Q70" s="497">
        <f>SUM(Q66:Q69)</f>
        <v>0</v>
      </c>
      <c r="R70" s="949"/>
      <c r="S70" s="949"/>
    </row>
    <row r="71" spans="1:20">
      <c r="A71" s="685" t="s">
        <v>115</v>
      </c>
      <c r="B71" s="723" t="s">
        <v>100</v>
      </c>
      <c r="C71" s="693" t="s">
        <v>97</v>
      </c>
      <c r="D71" s="724" t="s">
        <v>95</v>
      </c>
      <c r="E71" s="137" t="s">
        <v>494</v>
      </c>
      <c r="F71" s="138" t="s">
        <v>495</v>
      </c>
      <c r="G71" s="139" t="s">
        <v>496</v>
      </c>
      <c r="H71" s="140" t="s">
        <v>101</v>
      </c>
      <c r="I71" s="141" t="s">
        <v>98</v>
      </c>
      <c r="J71" s="141" t="s">
        <v>96</v>
      </c>
      <c r="K71" s="495" t="s">
        <v>715</v>
      </c>
      <c r="L71" s="896" t="s">
        <v>716</v>
      </c>
      <c r="M71" s="217">
        <v>0</v>
      </c>
      <c r="N71" s="218">
        <v>1</v>
      </c>
      <c r="O71" s="218">
        <v>2</v>
      </c>
      <c r="P71" s="218">
        <v>3</v>
      </c>
      <c r="Q71" s="219" t="s">
        <v>1367</v>
      </c>
      <c r="R71" s="950"/>
      <c r="S71" s="950"/>
      <c r="T71" s="951"/>
    </row>
    <row r="72" spans="1:20">
      <c r="A72" s="936" t="s">
        <v>16</v>
      </c>
      <c r="B72" s="937">
        <v>70</v>
      </c>
      <c r="C72" s="937">
        <v>6977671.4000000004</v>
      </c>
      <c r="D72" s="417"/>
      <c r="E72" s="966">
        <f>SUMIFS(февр2314[м2],февр2314[ИМ],A72,февр2314[№ дома],$C$64,февр2314[Ком],"&lt;&gt;Офис")</f>
        <v>181.73</v>
      </c>
      <c r="F72" s="149">
        <f>SUMIFS(февр2314[сумма без отделки],февр2314[ИМ],$A72,февр2314[№ дома],$C$64,февр2314[Ком],"&lt;&gt;Офис")</f>
        <v>17834073.199999999</v>
      </c>
      <c r="G72" s="940">
        <f>COUNTIFS(февр2314[ИМ],$A72,февр2314[№ дома],$C$64,февр2314[Ком],"&lt;&gt;Офис")</f>
        <v>7</v>
      </c>
      <c r="H72" s="346">
        <f>SUMIFS(РД[S],РД[Дом],$C$64,РД[ИМ],A72,РД[Дата подачи на регистрацию],"&lt;="&amp;$A$1,РД[Дата подачи на регистрацию],"&gt;="&amp;DATE(YEAR($A$1),MONTH($A$1),1),РД[Состояние],"Продажа")</f>
        <v>181.73</v>
      </c>
      <c r="I72" s="184">
        <f>SUMIFS(РД[Стоимость без отделки итог],РД[Дом],$C$64,РД[ИМ],A72,РД[Дата подачи на регистрацию],"&lt;="&amp;$A$1,РД[Дата подачи на регистрацию],"&gt;="&amp;DATE(YEAR($A$1),MONTH($A$1),1),РД[Состояние],"Продажа")</f>
        <v>17834073.209999997</v>
      </c>
      <c r="J72" s="243">
        <f>COUNTIFS(РД[Дом],$C$64,РД[ИМ],A72,РД[Дата подачи на регистрацию],"&lt;="&amp;$A$1,РД[Дата подачи на регистрацию],"&gt;="&amp;DATE(YEAR($A$1),MONTH($A$1),1),РД[Состояние],"Продажа")</f>
        <v>7</v>
      </c>
      <c r="K72" s="990">
        <f>IFERROR(H72/B72,"")</f>
        <v>2.5961428571428571</v>
      </c>
      <c r="L72" s="991">
        <f>IFERROR(I72/C72,"")</f>
        <v>2.5558774822786865</v>
      </c>
      <c r="M72" s="183">
        <f>COUNTIFS(РД[Тип кв],M$65,РД[ИМ],$A72,РД[Дом],$C$64,РД[Дата подачи на регистрацию],"&lt;="&amp;$A$1,РД[Дата подачи на регистрацию],"&gt;="&amp;DATE(YEAR($A$1),MONTH($A$1),1))</f>
        <v>6</v>
      </c>
      <c r="N72" s="243">
        <f>COUNTIFS(РД[Тип кв],N$65,РД[ИМ],$A72,РД[Дом],$C$64,РД[Дата подачи на регистрацию],"&lt;="&amp;$A$1,РД[Дата подачи на регистрацию],"&gt;="&amp;DATE(YEAR($A$1),MONTH($A$1),1))</f>
        <v>1</v>
      </c>
      <c r="O72" s="243">
        <f>COUNTIFS(РД[Тип кв],O$65,РД[ИМ],$A72,РД[Дом],$C$64,РД[Дата подачи на регистрацию],"&lt;="&amp;$A$1,РД[Дата подачи на регистрацию],"&gt;="&amp;DATE(YEAR($A$1),MONTH($A$1),1))</f>
        <v>0</v>
      </c>
      <c r="P72" s="243">
        <f>COUNTIFS(РД[Тип кв],P$65,РД[ИМ],$A72,РД[Дом],$C$64,РД[Дата подачи на регистрацию],"&lt;="&amp;$A$1,РД[Дата подачи на регистрацию],"&gt;="&amp;DATE(YEAR($A$1),MONTH($A$1),1))</f>
        <v>0</v>
      </c>
      <c r="Q72" s="246">
        <f>COUNTIFS(РД[Тип кв],Q$65,РД[ИМ],$A72,РД[Дом],$C$64,РД[Дата подачи на регистрацию],"&lt;="&amp;$A$1,РД[Дата подачи на регистрацию],"&gt;="&amp;DATE(YEAR($A$1),MONTH($A$1),1))</f>
        <v>0</v>
      </c>
      <c r="R72" s="949"/>
      <c r="S72" s="949"/>
    </row>
    <row r="73" spans="1:20">
      <c r="A73" s="956" t="s">
        <v>22</v>
      </c>
      <c r="B73" s="937">
        <v>70</v>
      </c>
      <c r="C73" s="937">
        <v>6977671.4000000004</v>
      </c>
      <c r="D73" s="518"/>
      <c r="E73" s="967">
        <f>SUMIFS(февр2314[м2],февр2314[ИМ],A73,февр2314[№ дома],$C$64,февр2314[Ком],"&lt;&gt;Офис")</f>
        <v>76.91</v>
      </c>
      <c r="F73" s="359">
        <f>SUMIFS(февр2314[сумма без отделки],февр2314[ИМ],$A73,февр2314[№ дома],$C$64,февр2314[Ком],"&lt;&gt;Офис")</f>
        <v>7403214.5899999999</v>
      </c>
      <c r="G73" s="959">
        <f>COUNTIFS(февр2314[ИМ],$A73,февр2314[№ дома],$C$64,февр2314[Ком],"&lt;&gt;Офис")</f>
        <v>3</v>
      </c>
      <c r="H73" s="426">
        <f>SUMIFS(РД[S],РД[Дом],$C$64,РД[ИМ],A73,РД[Дата подачи на регистрацию],"&lt;="&amp;$A$1,РД[Дата подачи на регистрацию],"&gt;="&amp;DATE(YEAR($A$1),MONTH($A$1),1),РД[Состояние],"Продажа")</f>
        <v>72.03</v>
      </c>
      <c r="I73" s="196">
        <f>SUMIFS(РД[Стоимость без отделки итог],РД[Дом],$C$64,РД[ИМ],A73,РД[Дата подачи на регистрацию],"&lt;="&amp;$A$1,РД[Дата подачи на регистрацию],"&gt;="&amp;DATE(YEAR($A$1),MONTH($A$1),1),РД[Состояние],"Продажа")</f>
        <v>7403214.5899999999</v>
      </c>
      <c r="J73" s="251">
        <f>COUNTIFS(РД[Дом],$C$64,РД[ИМ],A73,РД[Дата подачи на регистрацию],"&lt;="&amp;$A$1,РД[Дата подачи на регистрацию],"&gt;="&amp;DATE(YEAR($A$1),MONTH($A$1),1),РД[Состояние],"Продажа")</f>
        <v>3</v>
      </c>
      <c r="K73" s="992">
        <f>IFERROR(H73/B73,"")</f>
        <v>1.0289999999999999</v>
      </c>
      <c r="L73" s="993">
        <f>IFERROR(I73/C73,"")</f>
        <v>1.0609864187642886</v>
      </c>
      <c r="M73" s="195">
        <f>COUNTIFS(РД[Тип кв],M$65,РД[ИМ],$A73,РД[Дом],$C$64,РД[Дата подачи на регистрацию],"&lt;="&amp;$A$1,РД[Дата подачи на регистрацию],"&gt;="&amp;DATE(YEAR($A$1),MONTH($A$1),1))</f>
        <v>3</v>
      </c>
      <c r="N73" s="251">
        <f>COUNTIFS(РД[Тип кв],N$65,РД[ИМ],$A73,РД[Дом],$C$64,РД[Дата подачи на регистрацию],"&lt;="&amp;$A$1,РД[Дата подачи на регистрацию],"&gt;="&amp;DATE(YEAR($A$1),MONTH($A$1),1))</f>
        <v>0</v>
      </c>
      <c r="O73" s="251">
        <f>COUNTIFS(РД[Тип кв],O$65,РД[ИМ],$A73,РД[Дом],$C$64,РД[Дата подачи на регистрацию],"&lt;="&amp;$A$1,РД[Дата подачи на регистрацию],"&gt;="&amp;DATE(YEAR($A$1),MONTH($A$1),1))</f>
        <v>0</v>
      </c>
      <c r="P73" s="251">
        <f>COUNTIFS(РД[Тип кв],P$65,РД[ИМ],$A73,РД[Дом],$C$64,РД[Дата подачи на регистрацию],"&lt;="&amp;$A$1,РД[Дата подачи на регистрацию],"&gt;="&amp;DATE(YEAR($A$1),MONTH($A$1),1))</f>
        <v>0</v>
      </c>
      <c r="Q73" s="254">
        <f>COUNTIFS(РД[Тип кв],Q$65,РД[ИМ],$A73,РД[Дом],$C$64,РД[Дата подачи на регистрацию],"&lt;="&amp;$A$1,РД[Дата подачи на регистрацию],"&gt;="&amp;DATE(YEAR($A$1),MONTH($A$1),1))</f>
        <v>0</v>
      </c>
      <c r="R73" s="949"/>
      <c r="S73" s="949"/>
    </row>
    <row r="74" spans="1:20">
      <c r="A74" s="409" t="s">
        <v>114</v>
      </c>
      <c r="B74" s="961">
        <v>140</v>
      </c>
      <c r="C74" s="961">
        <v>13955342.800000001</v>
      </c>
      <c r="D74" s="485">
        <f t="shared" ref="D74:J74" si="9">SUM(D72:D73)</f>
        <v>0</v>
      </c>
      <c r="E74" s="473">
        <f t="shared" si="9"/>
        <v>258.64</v>
      </c>
      <c r="F74" s="429">
        <f t="shared" si="9"/>
        <v>25237287.789999999</v>
      </c>
      <c r="G74" s="497">
        <f t="shared" si="9"/>
        <v>10</v>
      </c>
      <c r="H74" s="473">
        <f t="shared" si="9"/>
        <v>253.76</v>
      </c>
      <c r="I74" s="429">
        <f t="shared" si="9"/>
        <v>25237287.799999997</v>
      </c>
      <c r="J74" s="497">
        <f t="shared" si="9"/>
        <v>10</v>
      </c>
      <c r="K74" s="419">
        <f>IFERROR(H74/B74,)</f>
        <v>1.8125714285714285</v>
      </c>
      <c r="L74" s="507">
        <f>IFERROR(I74/C74,)</f>
        <v>1.8084319505214874</v>
      </c>
      <c r="M74" s="317">
        <f>SUM(M72:M73)</f>
        <v>9</v>
      </c>
      <c r="N74" s="917">
        <f>SUM(N72:N73)</f>
        <v>1</v>
      </c>
      <c r="O74" s="917">
        <f>SUM(O72:O73)</f>
        <v>0</v>
      </c>
      <c r="P74" s="917">
        <f>SUM(P72:P73)</f>
        <v>0</v>
      </c>
      <c r="Q74" s="928">
        <f>SUM(Q72:Q73)</f>
        <v>0</v>
      </c>
      <c r="R74" s="949"/>
      <c r="S74" s="949"/>
    </row>
    <row r="75" spans="1:20">
      <c r="A75" s="7"/>
      <c r="B75" s="968"/>
      <c r="C75" s="968"/>
      <c r="D75" s="969"/>
      <c r="E75" s="7"/>
      <c r="F75" s="7"/>
      <c r="G75" s="7"/>
      <c r="H75" s="134"/>
      <c r="I75" s="134"/>
      <c r="J75" s="134"/>
      <c r="K75" s="7"/>
      <c r="L75" s="994"/>
      <c r="M75" s="134"/>
      <c r="N75" s="134"/>
      <c r="O75" s="134"/>
      <c r="P75" s="262"/>
      <c r="Q75" s="134"/>
      <c r="R75" s="949"/>
      <c r="S75" s="949"/>
    </row>
    <row r="76" spans="1:20">
      <c r="A76" s="2290" t="s">
        <v>713</v>
      </c>
      <c r="B76" s="2291"/>
      <c r="C76" s="935" t="s">
        <v>7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7"/>
      <c r="R76" s="949"/>
      <c r="S76" s="949"/>
    </row>
    <row r="77" spans="1:20">
      <c r="A77" s="685" t="s">
        <v>1</v>
      </c>
      <c r="B77" s="723" t="s">
        <v>100</v>
      </c>
      <c r="C77" s="687" t="s">
        <v>97</v>
      </c>
      <c r="D77" s="724" t="s">
        <v>95</v>
      </c>
      <c r="E77" s="137" t="s">
        <v>494</v>
      </c>
      <c r="F77" s="138" t="s">
        <v>495</v>
      </c>
      <c r="G77" s="139" t="s">
        <v>496</v>
      </c>
      <c r="H77" s="140" t="s">
        <v>101</v>
      </c>
      <c r="I77" s="141" t="s">
        <v>98</v>
      </c>
      <c r="J77" s="141" t="s">
        <v>96</v>
      </c>
      <c r="K77" s="141" t="s">
        <v>715</v>
      </c>
      <c r="L77" s="216" t="s">
        <v>716</v>
      </c>
      <c r="M77" s="217">
        <v>0</v>
      </c>
      <c r="N77" s="218">
        <v>1</v>
      </c>
      <c r="O77" s="218">
        <v>2</v>
      </c>
      <c r="P77" s="218">
        <v>3</v>
      </c>
      <c r="Q77" s="219" t="s">
        <v>1367</v>
      </c>
      <c r="R77" s="949"/>
      <c r="S77" s="949"/>
    </row>
    <row r="78" spans="1:20">
      <c r="A78" s="936" t="s">
        <v>73</v>
      </c>
      <c r="B78" s="937">
        <v>285</v>
      </c>
      <c r="C78" s="937">
        <v>22784112</v>
      </c>
      <c r="D78" s="938"/>
      <c r="E78" s="148">
        <f>SUMIFS(февр2314[м2],февр2314[МОП],$A78,февр2314[№ дома],$C$76,февр2314[Ком],"&lt;&gt;Офис")</f>
        <v>395.56000000000006</v>
      </c>
      <c r="F78" s="939">
        <f>SUMIFS(февр2314[сумма без отделки],февр2314[МОП],$A78,февр2314[№ дома],$C$76,февр2314[Ком],"&lt;&gt;Офис")</f>
        <v>30008513.910000004</v>
      </c>
      <c r="G78" s="940">
        <f>COUNTIFS(февр2314[МОП],$A78,февр2314[№ дома],$C$76,февр2314[Ком],"&lt;&gt;Офис")</f>
        <v>7</v>
      </c>
      <c r="H78" s="148">
        <f>SUMIFS(РД[S],РД[Дом],$C$76,РД[МОП],A78,РД[Дата подачи на регистрацию],"&lt;="&amp;$A$1,РД[Дата подачи на регистрацию],"&gt;="&amp;DATE(YEAR($A$1),MONTH($A$1),1),РД[Состояние],"Продажа")</f>
        <v>395.56000000000006</v>
      </c>
      <c r="I78" s="149">
        <f>SUMIFS(РД[Стоимость без отделки итог],РД[Дом],$C$76,РД[МОП],A78,РД[Дата подачи на регистрацию],"&lt;="&amp;$A$1,РД[Дата подачи на регистрацию],"&gt;="&amp;DATE(YEAR($A$1),MONTH($A$1),1),РД[Состояние],"Продажа")</f>
        <v>30008513.910000004</v>
      </c>
      <c r="J78" s="220">
        <f>COUNTIFS(РД[Дом],$C$76,РД[МОП],A78,РД[Дата подачи на регистрацию],"&lt;="&amp;$A$1,РД[Дата подачи на регистрацию],"&gt;="&amp;DATE(YEAR($A$1),MONTH($A$1),1),РД[Состояние],"Продажа")</f>
        <v>7</v>
      </c>
      <c r="K78" s="943">
        <f t="shared" ref="K78:L81" si="10">IFERROR(H78/B78,"")</f>
        <v>1.3879298245614038</v>
      </c>
      <c r="L78" s="944">
        <f t="shared" si="10"/>
        <v>1.3170806880689492</v>
      </c>
      <c r="M78" s="183">
        <f>COUNTIFS(РД[Тип кв],M$65,РД[МОП],$A78,РД[Дом],$C$76,РД[Дата подачи на регистрацию],"&lt;="&amp;$A$1,РД[Дата подачи на регистрацию],"&gt;="&amp;DATE(YEAR($A$1),MONTH($A$1),1))</f>
        <v>0</v>
      </c>
      <c r="N78" s="243">
        <f>COUNTIFS(РД[Тип кв],N$65,РД[МОП],$A78,РД[Дом],$C$76,РД[Дата подачи на регистрацию],"&lt;="&amp;$A$1,РД[Дата подачи на регистрацию],"&gt;="&amp;DATE(YEAR($A$1),MONTH($A$1),1))</f>
        <v>2</v>
      </c>
      <c r="O78" s="243">
        <f>COUNTIFS(РД[Тип кв],O$65,РД[МОП],$A78,РД[Дом],$C$76,РД[Дата подачи на регистрацию],"&lt;="&amp;$A$1,РД[Дата подачи на регистрацию],"&gt;="&amp;DATE(YEAR($A$1),MONTH($A$1),1))</f>
        <v>3</v>
      </c>
      <c r="P78" s="243">
        <f>COUNTIFS(РД[Тип кв],P$65,РД[МОП],$A78,РД[Дом],$C$76,РД[Дата подачи на регистрацию],"&lt;="&amp;$A$1,РД[Дата подачи на регистрацию],"&gt;="&amp;DATE(YEAR($A$1),MONTH($A$1),1))</f>
        <v>2</v>
      </c>
      <c r="Q78" s="246">
        <f>COUNTIFS(РД[Тип кв],Q$65,РД[МОП],$A78,РД[Дом],$C$76,РД[Дата подачи на регистрацию],"&lt;="&amp;$A$1,РД[Дата подачи на регистрацию],"&gt;="&amp;DATE(YEAR($A$1),MONTH($A$1),1))</f>
        <v>0</v>
      </c>
      <c r="R78" s="949"/>
      <c r="S78" s="949"/>
    </row>
    <row r="79" spans="1:20">
      <c r="A79" s="936" t="s">
        <v>8</v>
      </c>
      <c r="B79" s="937">
        <v>285</v>
      </c>
      <c r="C79" s="937">
        <v>22784112</v>
      </c>
      <c r="D79" s="938"/>
      <c r="E79" s="148">
        <f>SUMIFS(февр2314[м2],февр2314[МОП],$A79,февр2314[№ дома],$C$76,февр2314[Ком],"&lt;&gt;Офис")</f>
        <v>315.14000000000004</v>
      </c>
      <c r="F79" s="939">
        <f>SUMIFS(февр2314[сумма без отделки],февр2314[МОП],$A79,февр2314[№ дома],$C$76,февр2314[Ком],"&lt;&gt;Офис")</f>
        <v>25850670.610000003</v>
      </c>
      <c r="G79" s="940">
        <f>COUNTIFS(февр2314[МОП],$A79,февр2314[№ дома],$C$76,февр2314[Ком],"&lt;&gt;Офис")</f>
        <v>7</v>
      </c>
      <c r="H79" s="148">
        <f>SUMIFS(РД[S],РД[Дом],$C$76,РД[МОП],A79,РД[Дата подачи на регистрацию],"&lt;="&amp;$A$1,РД[Дата подачи на регистрацию],"&gt;="&amp;DATE(YEAR($A$1),MONTH($A$1),1),РД[Состояние],"Продажа")</f>
        <v>315.14000000000004</v>
      </c>
      <c r="I79" s="149">
        <f>SUMIFS(РД[Стоимость без отделки итог],РД[Дом],$C$76,РД[МОП],A79,РД[Дата подачи на регистрацию],"&lt;="&amp;$A$1,РД[Дата подачи на регистрацию],"&gt;="&amp;DATE(YEAR($A$1),MONTH($A$1),1),РД[Состояние],"Продажа")</f>
        <v>25850670.609999999</v>
      </c>
      <c r="J79" s="220">
        <f>COUNTIFS(РД[Дом],$C$76,РД[МОП],A79,РД[Дата подачи на регистрацию],"&lt;="&amp;$A$1,РД[Дата подачи на регистрацию],"&gt;="&amp;DATE(YEAR($A$1),MONTH($A$1),1),РД[Состояние],"Продажа")</f>
        <v>7</v>
      </c>
      <c r="K79" s="943">
        <f t="shared" ref="K79" si="11">IFERROR(H79/B79,"")</f>
        <v>1.1057543859649124</v>
      </c>
      <c r="L79" s="944">
        <f t="shared" ref="L79" si="12">IFERROR(I79/C79,"")</f>
        <v>1.134591974003639</v>
      </c>
      <c r="M79" s="148">
        <f>COUNTIFS(РД[Тип кв],M$65,РД[МОП],$A79,РД[Дом],$C$76,РД[Дата подачи на регистрацию],"&lt;="&amp;$A$1,РД[Дата подачи на регистрацию],"&gt;="&amp;DATE(YEAR($A$1),MONTH($A$1),1))</f>
        <v>0</v>
      </c>
      <c r="N79" s="220">
        <f>COUNTIFS(РД[Тип кв],N$65,РД[МОП],$A79,РД[Дом],$C$76,РД[Дата подачи на регистрацию],"&lt;="&amp;$A$1,РД[Дата подачи на регистрацию],"&gt;="&amp;DATE(YEAR($A$1),MONTH($A$1),1))</f>
        <v>5</v>
      </c>
      <c r="O79" s="220">
        <f>COUNTIFS(РД[Тип кв],O$65,РД[МОП],$A79,РД[Дом],$C$76,РД[Дата подачи на регистрацию],"&lt;="&amp;$A$1,РД[Дата подачи на регистрацию],"&gt;="&amp;DATE(YEAR($A$1),MONTH($A$1),1))</f>
        <v>1</v>
      </c>
      <c r="P79" s="220">
        <f>COUNTIFS(РД[Тип кв],P$65,РД[МОП],$A79,РД[Дом],$C$76,РД[Дата подачи на регистрацию],"&lt;="&amp;$A$1,РД[Дата подачи на регистрацию],"&gt;="&amp;DATE(YEAR($A$1),MONTH($A$1),1))</f>
        <v>1</v>
      </c>
      <c r="Q79" s="223">
        <f>COUNTIFS(РД[Тип кв],Q$65,РД[МОП],$A79,РД[Дом],$C$76,РД[Дата подачи на регистрацию],"&lt;="&amp;$A$1,РД[Дата подачи на регистрацию],"&gt;="&amp;DATE(YEAR($A$1),MONTH($A$1),1))</f>
        <v>0</v>
      </c>
      <c r="R79" s="949"/>
      <c r="S79" s="949"/>
    </row>
    <row r="80" spans="1:20">
      <c r="A80" s="952" t="s">
        <v>77</v>
      </c>
      <c r="B80" s="937">
        <v>285</v>
      </c>
      <c r="C80" s="937">
        <v>22784112</v>
      </c>
      <c r="D80" s="953"/>
      <c r="E80" s="148">
        <f>SUMIFS(февр2314[м2],февр2314[МОП],$A80,февр2314[№ дома],$C$76,февр2314[Ком],"&lt;&gt;Офис")</f>
        <v>543.55999999999995</v>
      </c>
      <c r="F80" s="939">
        <f>SUMIFS(февр2314[сумма без отделки],февр2314[МОП],$A80,февр2314[№ дома],$C$76,февр2314[Ком],"&lt;&gt;Офис")</f>
        <v>41940348.43</v>
      </c>
      <c r="G80" s="940">
        <f>COUNTIFS(февр2314[МОП],$A80,февр2314[№ дома],$C$76,февр2314[Ком],"&lt;&gt;Офис")</f>
        <v>11</v>
      </c>
      <c r="H80" s="148">
        <f>SUMIFS(РД[S],РД[Дом],$C$76,РД[МОП],A80,РД[Дата подачи на регистрацию],"&lt;="&amp;$A$1,РД[Дата подачи на регистрацию],"&gt;="&amp;DATE(YEAR($A$1),MONTH($A$1),1),РД[Состояние],"Продажа")</f>
        <v>543.55999999999995</v>
      </c>
      <c r="I80" s="149">
        <f>SUMIFS(РД[Стоимость без отделки итог],РД[Дом],$C$76,РД[МОП],A80,РД[Дата подачи на регистрацию],"&lt;="&amp;$A$1,РД[Дата подачи на регистрацию],"&gt;="&amp;DATE(YEAR($A$1),MONTH($A$1),1),РД[Состояние],"Продажа")</f>
        <v>41940348.43</v>
      </c>
      <c r="J80" s="220">
        <f>COUNTIFS(РД[Дом],$C$76,РД[МОП],A80,РД[Дата подачи на регистрацию],"&lt;="&amp;$A$1,РД[Дата подачи на регистрацию],"&gt;="&amp;DATE(YEAR($A$1),MONTH($A$1),1),РД[Состояние],"Продажа")</f>
        <v>11</v>
      </c>
      <c r="K80" s="987">
        <f t="shared" si="10"/>
        <v>1.9072280701754385</v>
      </c>
      <c r="L80" s="988">
        <f t="shared" si="10"/>
        <v>1.8407716934502429</v>
      </c>
      <c r="M80" s="202">
        <f>COUNTIFS(РД[Тип кв],M$65,РД[МОП],$A80,РД[Дом],$C$76,РД[Дата подачи на регистрацию],"&lt;="&amp;$A$1,РД[Дата подачи на регистрацию],"&gt;="&amp;DATE(YEAR($A$1),MONTH($A$1),1))</f>
        <v>1</v>
      </c>
      <c r="N80" s="226">
        <f>COUNTIFS(РД[Тип кв],N$65,РД[МОП],$A80,РД[Дом],$C$76,РД[Дата подачи на регистрацию],"&lt;="&amp;$A$1,РД[Дата подачи на регистрацию],"&gt;="&amp;DATE(YEAR($A$1),MONTH($A$1),1))</f>
        <v>4</v>
      </c>
      <c r="O80" s="226">
        <f>COUNTIFS(РД[Тип кв],O$65,РД[МОП],$A80,РД[Дом],$C$76,РД[Дата подачи на регистрацию],"&lt;="&amp;$A$1,РД[Дата подачи на регистрацию],"&gt;="&amp;DATE(YEAR($A$1),MONTH($A$1),1))</f>
        <v>4</v>
      </c>
      <c r="P80" s="226">
        <f>COUNTIFS(РД[Тип кв],P$65,РД[МОП],$A80,РД[Дом],$C$76,РД[Дата подачи на регистрацию],"&lt;="&amp;$A$1,РД[Дата подачи на регистрацию],"&gt;="&amp;DATE(YEAR($A$1),MONTH($A$1),1))</f>
        <v>2</v>
      </c>
      <c r="Q80" s="227">
        <f>COUNTIFS(РД[Тип кв],Q$65,РД[МОП],$A80,РД[Дом],$C$76,РД[Дата подачи на регистрацию],"&lt;="&amp;$A$1,РД[Дата подачи на регистрацию],"&gt;="&amp;DATE(YEAR($A$1),MONTH($A$1),1))</f>
        <v>0</v>
      </c>
      <c r="R80" s="949"/>
      <c r="S80" s="949"/>
    </row>
    <row r="81" spans="1:20">
      <c r="A81" s="956" t="s">
        <v>1233</v>
      </c>
      <c r="B81" s="937">
        <v>285</v>
      </c>
      <c r="C81" s="937">
        <v>22784112</v>
      </c>
      <c r="D81" s="957"/>
      <c r="E81" s="148">
        <f>SUMIFS(февр2314[м2],февр2314[МОП],$A81,февр2314[№ дома],$C$76,февр2314[Ком],"&lt;&gt;Офис")</f>
        <v>478.53999999999996</v>
      </c>
      <c r="F81" s="939">
        <f>SUMIFS(февр2314[сумма без отделки],февр2314[МОП],$A81,февр2314[№ дома],$C$76,февр2314[Ком],"&lt;&gt;Офис")</f>
        <v>37060382.060000002</v>
      </c>
      <c r="G81" s="940">
        <f>COUNTIFS(февр2314[МОП],$A81,февр2314[№ дома],$C$76,февр2314[Ком],"&lt;&gt;Офис")</f>
        <v>9</v>
      </c>
      <c r="H81" s="148">
        <f>SUMIFS(РД[S],РД[Дом],$C$76,РД[МОП],A81,РД[Дата подачи на регистрацию],"&lt;="&amp;$A$1,РД[Дата подачи на регистрацию],"&gt;="&amp;DATE(YEAR($A$1),MONTH($A$1),1),РД[Состояние],"Продажа")</f>
        <v>478.53999999999996</v>
      </c>
      <c r="I81" s="149">
        <f>SUMIFS(РД[Стоимость без отделки итог],РД[Дом],$C$76,РД[МОП],A81,РД[Дата подачи на регистрацию],"&lt;="&amp;$A$1,РД[Дата подачи на регистрацию],"&gt;="&amp;DATE(YEAR($A$1),MONTH($A$1),1),РД[Состояние],"Продажа")</f>
        <v>37060382.07</v>
      </c>
      <c r="J81" s="220">
        <f>COUNTIFS(РД[Дом],$C$76,РД[МОП],A81,РД[Дата подачи на регистрацию],"&lt;="&amp;$A$1,РД[Дата подачи на регистрацию],"&gt;="&amp;DATE(YEAR($A$1),MONTH($A$1),1),РД[Состояние],"Продажа")</f>
        <v>9</v>
      </c>
      <c r="K81" s="987">
        <f t="shared" si="10"/>
        <v>1.6790877192982454</v>
      </c>
      <c r="L81" s="988">
        <f t="shared" si="10"/>
        <v>1.6265888295317368</v>
      </c>
      <c r="M81" s="195">
        <f>COUNTIFS(РД[Тип кв],M$65,РД[МОП],$A81,РД[Дом],$C$76,РД[Дата подачи на регистрацию],"&lt;="&amp;$A$1,РД[Дата подачи на регистрацию],"&gt;="&amp;DATE(YEAR($A$1),MONTH($A$1),1))</f>
        <v>2</v>
      </c>
      <c r="N81" s="251">
        <f>COUNTIFS(РД[Тип кв],N$65,РД[МОП],$A81,РД[Дом],$C$76,РД[Дата подачи на регистрацию],"&lt;="&amp;$A$1,РД[Дата подачи на регистрацию],"&gt;="&amp;DATE(YEAR($A$1),MONTH($A$1),1))</f>
        <v>1</v>
      </c>
      <c r="O81" s="251">
        <f>COUNTIFS(РД[Тип кв],O$65,РД[МОП],$A81,РД[Дом],$C$76,РД[Дата подачи на регистрацию],"&lt;="&amp;$A$1,РД[Дата подачи на регистрацию],"&gt;="&amp;DATE(YEAR($A$1),MONTH($A$1),1))</f>
        <v>5</v>
      </c>
      <c r="P81" s="251">
        <f>COUNTIFS(РД[Тип кв],P$65,РД[МОП],$A81,РД[Дом],$C$76,РД[Дата подачи на регистрацию],"&lt;="&amp;$A$1,РД[Дата подачи на регистрацию],"&gt;="&amp;DATE(YEAR($A$1),MONTH($A$1),1))</f>
        <v>1</v>
      </c>
      <c r="Q81" s="254">
        <f>COUNTIFS(РД[Тип кв],Q$65,РД[МОП],$A81,РД[Дом],$C$76,РД[Дата подачи на регистрацию],"&lt;="&amp;$A$1,РД[Дата подачи на регистрацию],"&gt;="&amp;DATE(YEAR($A$1),MONTH($A$1),1))</f>
        <v>0</v>
      </c>
      <c r="R81" s="949"/>
      <c r="S81" s="949"/>
    </row>
    <row r="82" spans="1:20">
      <c r="A82" s="960" t="s">
        <v>114</v>
      </c>
      <c r="B82" s="961">
        <v>1140</v>
      </c>
      <c r="C82" s="961">
        <v>91136448</v>
      </c>
      <c r="D82" s="962">
        <f t="shared" ref="D82:J82" si="13">SUM(D78:D81)</f>
        <v>0</v>
      </c>
      <c r="E82" s="963">
        <f t="shared" si="13"/>
        <v>1732.8</v>
      </c>
      <c r="F82" s="964">
        <f t="shared" si="13"/>
        <v>134859915.01000002</v>
      </c>
      <c r="G82" s="965">
        <f t="shared" si="13"/>
        <v>34</v>
      </c>
      <c r="H82" s="961">
        <f t="shared" si="13"/>
        <v>1732.8</v>
      </c>
      <c r="I82" s="964">
        <f t="shared" si="13"/>
        <v>134859915.02000001</v>
      </c>
      <c r="J82" s="962">
        <f t="shared" si="13"/>
        <v>34</v>
      </c>
      <c r="K82" s="419">
        <f>IFERROR(H82/B82,)</f>
        <v>1.52</v>
      </c>
      <c r="L82" s="420">
        <f>IFERROR(I82/C82,)</f>
        <v>1.479758296263642</v>
      </c>
      <c r="M82" s="473">
        <f>SUM(M78:M81)</f>
        <v>3</v>
      </c>
      <c r="N82" s="494">
        <f>SUM(N78:N81)</f>
        <v>12</v>
      </c>
      <c r="O82" s="494">
        <f>SUM(O78:O81)</f>
        <v>13</v>
      </c>
      <c r="P82" s="989">
        <f>SUM(P78:P81)</f>
        <v>6</v>
      </c>
      <c r="Q82" s="497">
        <f>SUM(Q78:Q81)</f>
        <v>0</v>
      </c>
      <c r="R82" s="949"/>
      <c r="S82" s="949"/>
    </row>
    <row r="83" spans="1:20">
      <c r="A83" s="685" t="s">
        <v>115</v>
      </c>
      <c r="B83" s="723" t="s">
        <v>100</v>
      </c>
      <c r="C83" s="693" t="s">
        <v>97</v>
      </c>
      <c r="D83" s="724" t="s">
        <v>95</v>
      </c>
      <c r="E83" s="137" t="s">
        <v>494</v>
      </c>
      <c r="F83" s="138" t="s">
        <v>495</v>
      </c>
      <c r="G83" s="139" t="s">
        <v>496</v>
      </c>
      <c r="H83" s="140" t="s">
        <v>101</v>
      </c>
      <c r="I83" s="141" t="s">
        <v>98</v>
      </c>
      <c r="J83" s="141" t="s">
        <v>96</v>
      </c>
      <c r="K83" s="495" t="s">
        <v>715</v>
      </c>
      <c r="L83" s="896" t="s">
        <v>716</v>
      </c>
      <c r="M83" s="995">
        <v>0</v>
      </c>
      <c r="N83" s="996">
        <v>1</v>
      </c>
      <c r="O83" s="996">
        <v>2</v>
      </c>
      <c r="P83" s="996">
        <v>3</v>
      </c>
      <c r="Q83" s="219" t="s">
        <v>1367</v>
      </c>
      <c r="R83" s="949"/>
      <c r="S83" s="949"/>
    </row>
    <row r="84" spans="1:20">
      <c r="A84" s="936" t="s">
        <v>16</v>
      </c>
      <c r="B84" s="937">
        <v>399</v>
      </c>
      <c r="C84" s="937">
        <v>31897756.800000001</v>
      </c>
      <c r="D84" s="417"/>
      <c r="E84" s="966">
        <f>SUMIFS(февр2314[м2],февр2314[ИМ],A84,февр2314[№ дома],$C$76,февр2314[Ком],"&lt;&gt;Офис")</f>
        <v>804.55000000000007</v>
      </c>
      <c r="F84" s="149">
        <f>SUMIFS(февр2314[сумма без отделки],февр2314[ИМ],$A84,февр2314[№ дома],$C$76,февр2314[Ком],"&lt;&gt;Офис")</f>
        <v>62692613.579999998</v>
      </c>
      <c r="G84" s="940">
        <f>COUNTIFS(февр2314[ИМ],$A84,февр2314[№ дома],$C$76,февр2314[Ком],"&lt;&gt;Офис")</f>
        <v>15</v>
      </c>
      <c r="H84" s="346">
        <f>SUMIFS(РД[S],РД[Дом],$C$76,РД[ИМ],A84,РД[Дата подачи на регистрацию],"&lt;="&amp;$A$1,РД[Дата подачи на регистрацию],"&gt;="&amp;DATE(YEAR($A$1),MONTH($A$1),1),РД[Состояние],"Продажа")</f>
        <v>804.55000000000007</v>
      </c>
      <c r="I84" s="184">
        <f>SUMIFS(РД[Стоимость без отделки итог],РД[Дом],$C$76,РД[ИМ],A84,РД[Дата подачи на регистрацию],"&lt;="&amp;$A$1,РД[Дата подачи на регистрацию],"&gt;="&amp;DATE(YEAR($A$1),MONTH($A$1),1),РД[Состояние],"Продажа")</f>
        <v>62692613.589999996</v>
      </c>
      <c r="J84" s="243">
        <f>COUNTIFS(РД[Дом],$C$76,РД[ИМ],A84,РД[Дата подачи на регистрацию],"&lt;="&amp;$A$1,РД[Дата подачи на регистрацию],"&gt;="&amp;DATE(YEAR($A$1),MONTH($A$1),1),РД[Состояние],"Продажа")</f>
        <v>15</v>
      </c>
      <c r="K84" s="990">
        <f t="shared" ref="K84:L86" si="14">IFERROR(H84/B84,"")</f>
        <v>2.0164160401002507</v>
      </c>
      <c r="L84" s="991">
        <f t="shared" si="14"/>
        <v>1.9654239005922822</v>
      </c>
      <c r="M84" s="183">
        <f>COUNTIFS(РД[Тип кв],M$65,РД[ИМ],$A84,РД[Дом],$C$76,РД[Дата подачи на регистрацию],"&lt;="&amp;$A$1,РД[Дата подачи на регистрацию],"&gt;="&amp;DATE(YEAR($A$1),MONTH($A$1),1))</f>
        <v>0</v>
      </c>
      <c r="N84" s="243">
        <f>COUNTIFS(РД[Тип кв],N$65,РД[ИМ],$A84,РД[Дом],$C$76,РД[Дата подачи на регистрацию],"&lt;="&amp;$A$1,РД[Дата подачи на регистрацию],"&gt;="&amp;DATE(YEAR($A$1),MONTH($A$1),1))</f>
        <v>5</v>
      </c>
      <c r="O84" s="243">
        <f>COUNTIFS(РД[Тип кв],O$65,РД[ИМ],$A84,РД[Дом],$C$76,РД[Дата подачи на регистрацию],"&lt;="&amp;$A$1,РД[Дата подачи на регистрацию],"&gt;="&amp;DATE(YEAR($A$1),MONTH($A$1),1))</f>
        <v>8</v>
      </c>
      <c r="P84" s="243">
        <f>COUNTIFS(РД[Тип кв],P$65,РД[ИМ],$A84,РД[Дом],$C$76,РД[Дата подачи на регистрацию],"&lt;="&amp;$A$1,РД[Дата подачи на регистрацию],"&gt;="&amp;DATE(YEAR($A$1),MONTH($A$1),1))</f>
        <v>2</v>
      </c>
      <c r="Q84" s="246">
        <f>COUNTIFS(РД[Тип кв],Q$65,РД[ИМ],$A84,РД[Дом],$C$76,РД[Дата подачи на регистрацию],"&lt;="&amp;$A$1,РД[Дата подачи на регистрацию],"&gt;="&amp;DATE(YEAR($A$1),MONTH($A$1),1))</f>
        <v>0</v>
      </c>
      <c r="R84" s="949"/>
      <c r="S84" s="949"/>
    </row>
    <row r="85" spans="1:20">
      <c r="A85" s="956" t="s">
        <v>22</v>
      </c>
      <c r="B85" s="937">
        <v>399</v>
      </c>
      <c r="C85" s="937">
        <v>31897756.800000001</v>
      </c>
      <c r="D85" s="518"/>
      <c r="E85" s="966">
        <f>SUMIFS(февр2314[м2],февр2314[ИМ],A85,февр2314[№ дома],$C$76,февр2314[Ком],"&lt;&gt;Офис")</f>
        <v>799.21</v>
      </c>
      <c r="F85" s="149">
        <f>SUMIFS(февр2314[сумма без отделки],февр2314[ИМ],$A85,февр2314[№ дома],$C$76,февр2314[Ком],"&lt;&gt;Офис")</f>
        <v>61780952.100000001</v>
      </c>
      <c r="G85" s="940">
        <f>COUNTIFS(февр2314[ИМ],$A85,февр2314[№ дома],$C$76,февр2314[Ком],"&lt;&gt;Офис")</f>
        <v>16</v>
      </c>
      <c r="H85" s="426">
        <f>SUMIFS(РД[S],РД[Дом],$C$76,РД[ИМ],A85,РД[Дата подачи на регистрацию],"&lt;="&amp;$A$1,РД[Дата подачи на регистрацию],"&gt;="&amp;DATE(YEAR($A$1),MONTH($A$1),1),РД[Состояние],"Продажа")</f>
        <v>799.21</v>
      </c>
      <c r="I85" s="196">
        <f>SUMIFS(РД[Стоимость без отделки итог],РД[Дом],$C$76,РД[ИМ],A85,РД[Дата подачи на регистрацию],"&lt;="&amp;$A$1,РД[Дата подачи на регистрацию],"&gt;="&amp;DATE(YEAR($A$1),MONTH($A$1),1),РД[Состояние],"Продажа")</f>
        <v>61780952.100000009</v>
      </c>
      <c r="J85" s="251">
        <f>COUNTIFS(РД[Дом],$C$76,РД[ИМ],A85,РД[Дата подачи на регистрацию],"&lt;="&amp;$A$1,РД[Дата подачи на регистрацию],"&gt;="&amp;DATE(YEAR($A$1),MONTH($A$1),1),РД[Состояние],"Продажа")</f>
        <v>16</v>
      </c>
      <c r="K85" s="992">
        <f t="shared" si="14"/>
        <v>2.0030325814536343</v>
      </c>
      <c r="L85" s="993">
        <f t="shared" si="14"/>
        <v>1.9368431607077776</v>
      </c>
      <c r="M85" s="358">
        <f>COUNTIFS(РД[Тип кв],M$65,РД[ИМ],$A85,РД[Дом],$C$76,РД[Дата подачи на регистрацию],"&lt;="&amp;$A$1,РД[Дата подачи на регистрацию],"&gt;="&amp;DATE(YEAR($A$1),MONTH($A$1),1))</f>
        <v>3</v>
      </c>
      <c r="N85" s="330">
        <f>COUNTIFS(РД[Тип кв],N$65,РД[ИМ],$A85,РД[Дом],$C$76,РД[Дата подачи на регистрацию],"&lt;="&amp;$A$1,РД[Дата подачи на регистрацию],"&gt;="&amp;DATE(YEAR($A$1),MONTH($A$1),1))</f>
        <v>5</v>
      </c>
      <c r="O85" s="330">
        <f>COUNTIFS(РД[Тип кв],O$65,РД[ИМ],$A85,РД[Дом],$C$76,РД[Дата подачи на регистрацию],"&lt;="&amp;$A$1,РД[Дата подачи на регистрацию],"&gt;="&amp;DATE(YEAR($A$1),MONTH($A$1),1))</f>
        <v>4</v>
      </c>
      <c r="P85" s="330">
        <f>COUNTIFS(РД[Тип кв],P$65,РД[ИМ],$A85,РД[Дом],$C$76,РД[Дата подачи на регистрацию],"&lt;="&amp;$A$1,РД[Дата подачи на регистрацию],"&gt;="&amp;DATE(YEAR($A$1),MONTH($A$1),1))</f>
        <v>4</v>
      </c>
      <c r="Q85" s="331">
        <f>COUNTIFS(РД[Тип кв],Q$65,РД[ИМ],$A85,РД[Дом],$C$76,РД[Дата подачи на регистрацию],"&lt;="&amp;$A$1,РД[Дата подачи на регистрацию],"&gt;="&amp;DATE(YEAR($A$1),MONTH($A$1),1))</f>
        <v>0</v>
      </c>
      <c r="R85" s="949"/>
      <c r="S85" s="949"/>
    </row>
    <row r="86" spans="1:20">
      <c r="A86" s="409" t="s">
        <v>114</v>
      </c>
      <c r="B86" s="961">
        <v>798</v>
      </c>
      <c r="C86" s="961">
        <v>63795513.600000001</v>
      </c>
      <c r="D86" s="970">
        <f t="shared" ref="D86:G86" si="15">SUM(D84:D85)</f>
        <v>0</v>
      </c>
      <c r="E86" s="473">
        <f t="shared" si="15"/>
        <v>1603.7600000000002</v>
      </c>
      <c r="F86" s="429">
        <f t="shared" si="15"/>
        <v>124473565.68000001</v>
      </c>
      <c r="G86" s="497">
        <f t="shared" si="15"/>
        <v>31</v>
      </c>
      <c r="H86" s="473">
        <f t="shared" ref="H86:Q86" si="16">SUM(H84:H85)</f>
        <v>1603.7600000000002</v>
      </c>
      <c r="I86" s="429">
        <f t="shared" si="16"/>
        <v>124473565.69</v>
      </c>
      <c r="J86" s="494">
        <f t="shared" si="16"/>
        <v>31</v>
      </c>
      <c r="K86" s="419">
        <f t="shared" si="14"/>
        <v>2.0097243107769427</v>
      </c>
      <c r="L86" s="420">
        <f t="shared" si="14"/>
        <v>1.9511335306500299</v>
      </c>
      <c r="M86" s="473">
        <f t="shared" si="16"/>
        <v>3</v>
      </c>
      <c r="N86" s="494">
        <f t="shared" si="16"/>
        <v>10</v>
      </c>
      <c r="O86" s="494">
        <f t="shared" si="16"/>
        <v>12</v>
      </c>
      <c r="P86" s="494">
        <f t="shared" si="16"/>
        <v>6</v>
      </c>
      <c r="Q86" s="497">
        <f t="shared" si="16"/>
        <v>0</v>
      </c>
      <c r="R86" s="949"/>
      <c r="S86" s="949"/>
    </row>
    <row r="87" spans="1:20">
      <c r="A87" s="7"/>
      <c r="B87" s="968"/>
      <c r="C87" s="968"/>
      <c r="D87" s="969"/>
      <c r="E87" s="7"/>
      <c r="F87" s="7"/>
      <c r="G87" s="7"/>
      <c r="H87" s="134"/>
      <c r="I87" s="134"/>
      <c r="J87" s="134"/>
      <c r="K87" s="7"/>
      <c r="L87" s="994"/>
      <c r="M87" s="134"/>
      <c r="N87" s="134"/>
      <c r="O87" s="134"/>
      <c r="P87" s="262"/>
      <c r="Q87" s="134"/>
      <c r="R87" s="949"/>
      <c r="S87" s="949"/>
    </row>
    <row r="88" spans="1:20">
      <c r="A88" s="2293" t="s">
        <v>713</v>
      </c>
      <c r="B88" s="2294"/>
      <c r="C88" s="972" t="s">
        <v>718</v>
      </c>
      <c r="D88" s="979"/>
      <c r="E88" s="974"/>
      <c r="F88" s="974"/>
      <c r="G88" s="974"/>
      <c r="H88" s="974"/>
      <c r="I88" s="974"/>
      <c r="J88" s="974"/>
      <c r="K88" s="974"/>
      <c r="L88" s="974"/>
      <c r="M88" s="974"/>
      <c r="N88" s="974"/>
      <c r="O88" s="974"/>
      <c r="P88" s="974"/>
      <c r="Q88" s="7"/>
      <c r="R88" s="949"/>
      <c r="S88" s="949"/>
    </row>
    <row r="89" spans="1:20">
      <c r="A89" s="685" t="s">
        <v>1</v>
      </c>
      <c r="B89" s="723" t="s">
        <v>100</v>
      </c>
      <c r="C89" s="687" t="s">
        <v>97</v>
      </c>
      <c r="D89" s="724" t="s">
        <v>95</v>
      </c>
      <c r="E89" s="137" t="s">
        <v>494</v>
      </c>
      <c r="F89" s="138" t="s">
        <v>495</v>
      </c>
      <c r="G89" s="139" t="s">
        <v>496</v>
      </c>
      <c r="H89" s="140" t="s">
        <v>101</v>
      </c>
      <c r="I89" s="141" t="s">
        <v>98</v>
      </c>
      <c r="J89" s="141" t="s">
        <v>96</v>
      </c>
      <c r="K89" s="141" t="s">
        <v>715</v>
      </c>
      <c r="L89" s="216" t="s">
        <v>716</v>
      </c>
      <c r="M89" s="217">
        <v>0</v>
      </c>
      <c r="N89" s="218">
        <v>1</v>
      </c>
      <c r="O89" s="218">
        <v>2</v>
      </c>
      <c r="P89" s="218">
        <v>3</v>
      </c>
      <c r="Q89" s="219" t="s">
        <v>1367</v>
      </c>
      <c r="R89" s="950"/>
      <c r="S89" s="950"/>
      <c r="T89" s="951"/>
    </row>
    <row r="90" spans="1:20">
      <c r="A90" s="936" t="s">
        <v>73</v>
      </c>
      <c r="B90" s="937">
        <v>336</v>
      </c>
      <c r="C90" s="937">
        <v>27768163</v>
      </c>
      <c r="D90" s="938">
        <f>D54+D66+D78</f>
        <v>0</v>
      </c>
      <c r="E90" s="148">
        <f>SUMIFS(февр2314[м2],февр2314[МОП],$A90,февр2314[Ком],"&lt;&gt;Офис")</f>
        <v>515.52</v>
      </c>
      <c r="F90" s="939">
        <f>SUMIFS(февр2314[сумма без отделки],февр2314[МОП],$A90,февр2314[Ком],"&lt;&gt;Офис")</f>
        <v>41591827.549999997</v>
      </c>
      <c r="G90" s="940">
        <f>COUNTIFS(февр2314[МОП],$A90,февр2314[Ком],"&lt;&gt;Офис")</f>
        <v>12</v>
      </c>
      <c r="H90" s="145">
        <f>SUMIFS(РД[S],РД[МОП],A90,РД[Дата подачи на регистрацию],"&lt;="&amp;$A$1,РД[Дата подачи на регистрацию],"&gt;="&amp;DATE(YEAR($A$1),MONTH($A$1),1),РД[Состояние],"Продажа")</f>
        <v>515.5200000000001</v>
      </c>
      <c r="I90" s="149">
        <f>SUMIFS(РД[Стоимость без отделки итог],РД[МОП],A90,РД[Дата подачи на регистрацию],"&lt;="&amp;$A$1,РД[Дата подачи на регистрацию],"&gt;="&amp;DATE(YEAR($A$1),MONTH($A$1),1),РД[Состояние],"Продажа")</f>
        <v>41591827.560000002</v>
      </c>
      <c r="J90" s="220">
        <f>COUNTIFS(РД[МОП],A90,РД[Дата подачи на регистрацию],"&lt;="&amp;$A$1,РД[Дата подачи на регистрацию],"&gt;="&amp;DATE(YEAR($A$1),MONTH($A$1),1),РД[Состояние],"Продажа")</f>
        <v>12</v>
      </c>
      <c r="K90" s="943">
        <f t="shared" ref="K90:L93" si="17">IFERROR(H90/B90,"")</f>
        <v>1.5342857142857145</v>
      </c>
      <c r="L90" s="944">
        <f t="shared" si="17"/>
        <v>1.4978242370588217</v>
      </c>
      <c r="M90" s="1011">
        <f t="shared" ref="M90:Q93" si="18">M54+M66+M78</f>
        <v>5</v>
      </c>
      <c r="N90" s="1012">
        <f t="shared" si="18"/>
        <v>2</v>
      </c>
      <c r="O90" s="1012">
        <f t="shared" si="18"/>
        <v>3</v>
      </c>
      <c r="P90" s="1012">
        <f t="shared" si="18"/>
        <v>2</v>
      </c>
      <c r="Q90" s="876">
        <f t="shared" si="18"/>
        <v>0</v>
      </c>
      <c r="R90" s="949"/>
      <c r="S90" s="949"/>
    </row>
    <row r="91" spans="1:20">
      <c r="A91" s="936" t="s">
        <v>8</v>
      </c>
      <c r="B91" s="937">
        <v>336</v>
      </c>
      <c r="C91" s="937">
        <v>27768163</v>
      </c>
      <c r="D91" s="938">
        <f>D55+D67+D79</f>
        <v>0</v>
      </c>
      <c r="E91" s="148">
        <f>SUMIFS(февр2314[м2],февр2314[МОП],$A91,февр2314[Ком],"&lt;&gt;Офис")</f>
        <v>338.68</v>
      </c>
      <c r="F91" s="939">
        <f>SUMIFS(февр2314[сумма без отделки],февр2314[МОП],$A91,февр2314[Ком],"&lt;&gt;Офис")</f>
        <v>28343294.140000001</v>
      </c>
      <c r="G91" s="940">
        <f>COUNTIFS(февр2314[МОП],$A91,февр2314[Ком],"&lt;&gt;Офис")</f>
        <v>8</v>
      </c>
      <c r="H91" s="145">
        <f>SUMIFS(РД[S],РД[МОП],A91,РД[Дата подачи на регистрацию],"&lt;="&amp;$A$1,РД[Дата подачи на регистрацию],"&gt;="&amp;DATE(YEAR($A$1),MONTH($A$1),1),РД[Состояние],"Продажа")</f>
        <v>338.68</v>
      </c>
      <c r="I91" s="149">
        <f>SUMIFS(РД[Стоимость без отделки итог],РД[МОП],A91,РД[Дата подачи на регистрацию],"&lt;="&amp;$A$1,РД[Дата подачи на регистрацию],"&gt;="&amp;DATE(YEAR($A$1),MONTH($A$1),1),РД[Состояние],"Продажа")</f>
        <v>28343294.140000001</v>
      </c>
      <c r="J91" s="220">
        <f>COUNTIFS(РД[МОП],A91,РД[Дата подачи на регистрацию],"&lt;="&amp;$A$1,РД[Дата подачи на регистрацию],"&gt;="&amp;DATE(YEAR($A$1),MONTH($A$1),1),РД[Состояние],"Продажа")</f>
        <v>8</v>
      </c>
      <c r="K91" s="943">
        <f t="shared" ref="K91" si="19">IFERROR(H91/B91,"")</f>
        <v>1.0079761904761906</v>
      </c>
      <c r="L91" s="944">
        <f t="shared" ref="L91" si="20">IFERROR(I91/C91,"")</f>
        <v>1.0207118900879399</v>
      </c>
      <c r="M91" s="997">
        <f t="shared" si="18"/>
        <v>1</v>
      </c>
      <c r="N91" s="878">
        <f t="shared" si="18"/>
        <v>5</v>
      </c>
      <c r="O91" s="878">
        <f t="shared" si="18"/>
        <v>1</v>
      </c>
      <c r="P91" s="878">
        <f t="shared" si="18"/>
        <v>1</v>
      </c>
      <c r="Q91" s="689">
        <f t="shared" si="18"/>
        <v>0</v>
      </c>
      <c r="R91" s="949"/>
      <c r="S91" s="949"/>
    </row>
    <row r="92" spans="1:20">
      <c r="A92" s="952" t="s">
        <v>77</v>
      </c>
      <c r="B92" s="937">
        <v>336</v>
      </c>
      <c r="C92" s="937">
        <v>27768163</v>
      </c>
      <c r="D92" s="953">
        <f>D56+D68+D80</f>
        <v>0</v>
      </c>
      <c r="E92" s="148">
        <f>SUMIFS(февр2314[м2],февр2314[МОП],$A92,февр2314[Ком],"&lt;&gt;Офис")</f>
        <v>621.01</v>
      </c>
      <c r="F92" s="939">
        <f>SUMIFS(февр2314[сумма без отделки],февр2314[МОП],$A92,февр2314[Ком],"&lt;&gt;Офис")</f>
        <v>49268463.230000004</v>
      </c>
      <c r="G92" s="940">
        <f>COUNTIFS(февр2314[МОП],$A92,февр2314[Ком],"&lt;&gt;Офис")</f>
        <v>14</v>
      </c>
      <c r="H92" s="145">
        <f>SUMIFS(РД[S],РД[МОП],A92,РД[Дата подачи на регистрацию],"&lt;="&amp;$A$1,РД[Дата подачи на регистрацию],"&gt;="&amp;DATE(YEAR($A$1),MONTH($A$1),1),РД[Состояние],"Продажа")</f>
        <v>616.13</v>
      </c>
      <c r="I92" s="149">
        <f>SUMIFS(РД[Стоимость без отделки итог],РД[МОП],A92,РД[Дата подачи на регистрацию],"&lt;="&amp;$A$1,РД[Дата подачи на регистрацию],"&gt;="&amp;DATE(YEAR($A$1),MONTH($A$1),1),РД[Состояние],"Продажа")</f>
        <v>49268463.230000004</v>
      </c>
      <c r="J92" s="220">
        <f>COUNTIFS(РД[МОП],A92,РД[Дата подачи на регистрацию],"&lt;="&amp;$A$1,РД[Дата подачи на регистрацию],"&gt;="&amp;DATE(YEAR($A$1),MONTH($A$1),1),РД[Состояние],"Продажа")</f>
        <v>14</v>
      </c>
      <c r="K92" s="987">
        <f t="shared" si="17"/>
        <v>1.833720238095238</v>
      </c>
      <c r="L92" s="988">
        <f t="shared" si="17"/>
        <v>1.7742788109533931</v>
      </c>
      <c r="M92" s="998">
        <f t="shared" si="18"/>
        <v>4</v>
      </c>
      <c r="N92" s="326">
        <f t="shared" si="18"/>
        <v>4</v>
      </c>
      <c r="O92" s="326">
        <f t="shared" si="18"/>
        <v>4</v>
      </c>
      <c r="P92" s="326">
        <f t="shared" si="18"/>
        <v>2</v>
      </c>
      <c r="Q92" s="327">
        <f t="shared" si="18"/>
        <v>0</v>
      </c>
      <c r="R92" s="949"/>
      <c r="S92" s="949"/>
    </row>
    <row r="93" spans="1:20">
      <c r="A93" s="956" t="s">
        <v>1233</v>
      </c>
      <c r="B93" s="937">
        <v>336</v>
      </c>
      <c r="C93" s="937">
        <v>27768163</v>
      </c>
      <c r="D93" s="957">
        <f>D57+D69+D81</f>
        <v>0</v>
      </c>
      <c r="E93" s="148">
        <f>SUMIFS(февр2314[м2],февр2314[МОП],$A93,февр2314[Ком],"&lt;&gt;Офис")</f>
        <v>516.23</v>
      </c>
      <c r="F93" s="939">
        <f>SUMIFS(февр2314[сумма без отделки],февр2314[МОП],$A93,февр2314[Ком],"&lt;&gt;Офис")</f>
        <v>40893617.879999995</v>
      </c>
      <c r="G93" s="940">
        <f>COUNTIFS(февр2314[МОП],$A93,февр2314[Ком],"&lt;&gt;Офис")</f>
        <v>10</v>
      </c>
      <c r="H93" s="145">
        <f>SUMIFS(РД[S],РД[МОП],A93,РД[Дата подачи на регистрацию],"&lt;="&amp;$A$1,РД[Дата подачи на регистрацию],"&gt;="&amp;DATE(YEAR($A$1),MONTH($A$1),1),РД[Состояние],"Продажа")</f>
        <v>516.23</v>
      </c>
      <c r="I93" s="149">
        <f>SUMIFS(РД[Стоимость без отделки итог],РД[МОП],A93,РД[Дата подачи на регистрацию],"&lt;="&amp;$A$1,РД[Дата подачи на регистрацию],"&gt;="&amp;DATE(YEAR($A$1),MONTH($A$1),1),РД[Состояние],"Продажа")</f>
        <v>40893617.890000001</v>
      </c>
      <c r="J93" s="220">
        <f>COUNTIFS(РД[МОП],A93,РД[Дата подачи на регистрацию],"&lt;="&amp;$A$1,РД[Дата подачи на регистрацию],"&gt;="&amp;DATE(YEAR($A$1),MONTH($A$1),1),РД[Состояние],"Продажа")</f>
        <v>10</v>
      </c>
      <c r="K93" s="987">
        <f t="shared" si="17"/>
        <v>1.5363988095238095</v>
      </c>
      <c r="L93" s="988">
        <f t="shared" si="17"/>
        <v>1.4726799857088133</v>
      </c>
      <c r="M93" s="999">
        <f t="shared" si="18"/>
        <v>2</v>
      </c>
      <c r="N93" s="365">
        <f t="shared" si="18"/>
        <v>2</v>
      </c>
      <c r="O93" s="365">
        <f t="shared" si="18"/>
        <v>5</v>
      </c>
      <c r="P93" s="365">
        <f t="shared" si="18"/>
        <v>1</v>
      </c>
      <c r="Q93" s="366">
        <f t="shared" si="18"/>
        <v>0</v>
      </c>
      <c r="R93" s="949"/>
      <c r="S93" s="949"/>
    </row>
    <row r="94" spans="1:20">
      <c r="A94" s="960" t="s">
        <v>114</v>
      </c>
      <c r="B94" s="961">
        <v>1344</v>
      </c>
      <c r="C94" s="961">
        <v>111072652</v>
      </c>
      <c r="D94" s="962">
        <f t="shared" ref="D94:J94" si="21">SUM(D90:D93)</f>
        <v>0</v>
      </c>
      <c r="E94" s="963">
        <f t="shared" si="21"/>
        <v>1991.44</v>
      </c>
      <c r="F94" s="964">
        <f t="shared" si="21"/>
        <v>160097202.80000001</v>
      </c>
      <c r="G94" s="965">
        <f t="shared" si="21"/>
        <v>44</v>
      </c>
      <c r="H94" s="961">
        <f t="shared" si="21"/>
        <v>1986.56</v>
      </c>
      <c r="I94" s="964">
        <f t="shared" si="21"/>
        <v>160097202.81999999</v>
      </c>
      <c r="J94" s="962">
        <f t="shared" si="21"/>
        <v>44</v>
      </c>
      <c r="K94" s="419">
        <f>IFERROR(H94/B94,)</f>
        <v>1.4780952380952381</v>
      </c>
      <c r="L94" s="420">
        <f>IFERROR(I94/C94,)</f>
        <v>1.4413737309522419</v>
      </c>
      <c r="M94" s="473">
        <f>SUM(M90:M93)</f>
        <v>12</v>
      </c>
      <c r="N94" s="494">
        <f>SUM(N90:N93)</f>
        <v>13</v>
      </c>
      <c r="O94" s="494">
        <f>SUM(O90:O93)</f>
        <v>13</v>
      </c>
      <c r="P94" s="989">
        <f>SUM(P90:P93)</f>
        <v>6</v>
      </c>
      <c r="Q94" s="497">
        <f>SUM(Q90:Q93)</f>
        <v>0</v>
      </c>
      <c r="R94" s="949"/>
      <c r="S94" s="949"/>
    </row>
    <row r="95" spans="1:20">
      <c r="A95" s="685" t="s">
        <v>115</v>
      </c>
      <c r="B95" s="723" t="s">
        <v>100</v>
      </c>
      <c r="C95" s="693" t="s">
        <v>97</v>
      </c>
      <c r="D95" s="724" t="s">
        <v>95</v>
      </c>
      <c r="E95" s="137" t="s">
        <v>494</v>
      </c>
      <c r="F95" s="138" t="s">
        <v>495</v>
      </c>
      <c r="G95" s="139" t="s">
        <v>496</v>
      </c>
      <c r="H95" s="980" t="s">
        <v>101</v>
      </c>
      <c r="I95" s="141" t="s">
        <v>98</v>
      </c>
      <c r="J95" s="141" t="s">
        <v>96</v>
      </c>
      <c r="K95" s="141" t="s">
        <v>715</v>
      </c>
      <c r="L95" s="216" t="s">
        <v>716</v>
      </c>
      <c r="M95" s="217">
        <v>0</v>
      </c>
      <c r="N95" s="218">
        <v>1</v>
      </c>
      <c r="O95" s="218">
        <v>2</v>
      </c>
      <c r="P95" s="218">
        <v>3</v>
      </c>
      <c r="Q95" s="219" t="s">
        <v>1367</v>
      </c>
      <c r="R95" s="950"/>
      <c r="S95" s="950"/>
      <c r="T95" s="951"/>
    </row>
    <row r="96" spans="1:20">
      <c r="A96" s="936" t="s">
        <v>16</v>
      </c>
      <c r="B96" s="937">
        <v>469</v>
      </c>
      <c r="C96" s="937">
        <v>38875428.200000003</v>
      </c>
      <c r="D96" s="417">
        <f>D60+D72+D84</f>
        <v>0</v>
      </c>
      <c r="E96" s="966">
        <f>SUMIFS(февр2314[м2],февр2314[ИМ],A96,февр2314[Ком],"&lt;&gt;Офис")</f>
        <v>986.28000000000009</v>
      </c>
      <c r="F96" s="149">
        <f>SUMIFS(февр2314[сумма без отделки],февр2314[ИМ],$A96,февр2314[Ком],"&lt;&gt;Офис")</f>
        <v>80526686.780000001</v>
      </c>
      <c r="G96" s="940">
        <f>COUNTIFS(февр2314[ИМ],A96,февр2314[Ком],"&lt;&gt;Офис")</f>
        <v>22</v>
      </c>
      <c r="H96" s="346">
        <f>SUMIFS(РД[S],РД[ИМ],A96,РД[Дата подачи на регистрацию],"&lt;="&amp;$A$1,РД[Дата подачи на регистрацию],"&gt;="&amp;DATE(YEAR($A$1),MONTH($A$1),1),РД[Состояние],"Продажа")</f>
        <v>986.28000000000009</v>
      </c>
      <c r="I96" s="184">
        <f>SUMIFS(РД[Стоимость без отделки итог],РД[ИМ],A96,РД[Дата подачи на регистрацию],"&lt;="&amp;$A$1,РД[Дата подачи на регистрацию],"&gt;="&amp;DATE(YEAR($A$1),MONTH($A$1),1),РД[Состояние],"Продажа")</f>
        <v>80526686.800000012</v>
      </c>
      <c r="J96" s="243">
        <f>COUNTIFS(РД[ИМ],A96,РД[Дата подачи на регистрацию],"&lt;="&amp;$A$1,РД[Дата подачи на регистрацию],"&gt;="&amp;DATE(YEAR($A$1),MONTH($A$1),1),РД[Состояние],"Продажа")</f>
        <v>22</v>
      </c>
      <c r="K96" s="990">
        <f t="shared" ref="K96:L98" si="22">IFERROR(H96/B96,"")</f>
        <v>2.1029424307036249</v>
      </c>
      <c r="L96" s="991">
        <f t="shared" si="22"/>
        <v>2.0714032109362077</v>
      </c>
      <c r="M96" s="183">
        <f t="shared" ref="M96:Q97" si="23">M60+M72</f>
        <v>6</v>
      </c>
      <c r="N96" s="243">
        <f t="shared" si="23"/>
        <v>1</v>
      </c>
      <c r="O96" s="243">
        <f t="shared" si="23"/>
        <v>0</v>
      </c>
      <c r="P96" s="243">
        <f t="shared" si="23"/>
        <v>0</v>
      </c>
      <c r="Q96" s="246">
        <f t="shared" si="23"/>
        <v>0</v>
      </c>
      <c r="R96" s="949"/>
      <c r="S96" s="949"/>
    </row>
    <row r="97" spans="1:20">
      <c r="A97" s="956" t="s">
        <v>22</v>
      </c>
      <c r="B97" s="937">
        <v>469</v>
      </c>
      <c r="C97" s="937">
        <v>38875428.200000003</v>
      </c>
      <c r="D97" s="518">
        <f>D61+D73+D85</f>
        <v>0</v>
      </c>
      <c r="E97" s="966">
        <f>SUMIFS(февр2314[м2],февр2314[ИМ],A97,февр2314[Ком],"&lt;&gt;Офис")</f>
        <v>876.12000000000012</v>
      </c>
      <c r="F97" s="149">
        <f>SUMIFS(февр2314[сумма без отделки],февр2314[ИМ],$A97,февр2314[Ком],"&lt;&gt;Офис")</f>
        <v>69184166.689999998</v>
      </c>
      <c r="G97" s="940">
        <f>COUNTIFS(февр2314[ИМ],$A97,февр2314[Ком],"&lt;&gt;Офис")</f>
        <v>19</v>
      </c>
      <c r="H97" s="426">
        <f>SUMIFS(РД[S],РД[ИМ],A97,РД[Дата подачи на регистрацию],"&lt;="&amp;$A$1,РД[Дата подачи на регистрацию],"&gt;="&amp;DATE(YEAR($A$1),MONTH($A$1),1),РД[Состояние],"Продажа")</f>
        <v>871.24000000000012</v>
      </c>
      <c r="I97" s="196">
        <f>SUMIFS(РД[Стоимость без отделки итог],РД[ИМ],A97,РД[Дата подачи на регистрацию],"&lt;="&amp;$A$1,РД[Дата подачи на регистрацию],"&gt;="&amp;DATE(YEAR($A$1),MONTH($A$1),1),РД[Состояние],"Продажа")</f>
        <v>69184166.690000013</v>
      </c>
      <c r="J97" s="251">
        <f>COUNTIFS(РД[ИМ],A97,РД[Дата подачи на регистрацию],"&lt;="&amp;$A$1,РД[Дата подачи на регистрацию],"&gt;="&amp;DATE(YEAR($A$1),MONTH($A$1),1),РД[Состояние],"Продажа")</f>
        <v>19</v>
      </c>
      <c r="K97" s="992">
        <f t="shared" si="22"/>
        <v>1.8576545842217487</v>
      </c>
      <c r="L97" s="993">
        <f t="shared" si="22"/>
        <v>1.7796374186304142</v>
      </c>
      <c r="M97" s="195">
        <f t="shared" si="23"/>
        <v>3</v>
      </c>
      <c r="N97" s="251">
        <f t="shared" si="23"/>
        <v>0</v>
      </c>
      <c r="O97" s="251">
        <f t="shared" si="23"/>
        <v>0</v>
      </c>
      <c r="P97" s="251">
        <f t="shared" si="23"/>
        <v>0</v>
      </c>
      <c r="Q97" s="254">
        <f t="shared" si="23"/>
        <v>0</v>
      </c>
      <c r="R97" s="949"/>
      <c r="S97" s="949"/>
    </row>
    <row r="98" spans="1:20">
      <c r="A98" s="409" t="s">
        <v>114</v>
      </c>
      <c r="B98" s="961">
        <v>938</v>
      </c>
      <c r="C98" s="961">
        <v>77750856.400000006</v>
      </c>
      <c r="D98" s="485">
        <f>SUM(D96:D97)</f>
        <v>0</v>
      </c>
      <c r="E98" s="473">
        <f t="shared" ref="E98:Q98" si="24">SUM(E96:E97)</f>
        <v>1862.4</v>
      </c>
      <c r="F98" s="429">
        <f t="shared" si="24"/>
        <v>149710853.47</v>
      </c>
      <c r="G98" s="497">
        <f t="shared" si="24"/>
        <v>41</v>
      </c>
      <c r="H98" s="484">
        <f t="shared" si="24"/>
        <v>1857.5200000000002</v>
      </c>
      <c r="I98" s="494">
        <f t="shared" si="24"/>
        <v>149710853.49000001</v>
      </c>
      <c r="J98" s="494">
        <f t="shared" si="24"/>
        <v>41</v>
      </c>
      <c r="K98" s="419">
        <f t="shared" si="22"/>
        <v>1.9802985074626869</v>
      </c>
      <c r="L98" s="507">
        <f t="shared" si="22"/>
        <v>1.9255203147833109</v>
      </c>
      <c r="M98" s="317">
        <f t="shared" si="24"/>
        <v>9</v>
      </c>
      <c r="N98" s="917">
        <f t="shared" si="24"/>
        <v>1</v>
      </c>
      <c r="O98" s="917">
        <f t="shared" si="24"/>
        <v>0</v>
      </c>
      <c r="P98" s="917">
        <f t="shared" si="24"/>
        <v>0</v>
      </c>
      <c r="Q98" s="928">
        <f t="shared" si="24"/>
        <v>0</v>
      </c>
      <c r="R98" s="949"/>
      <c r="S98" s="949"/>
    </row>
    <row r="99" spans="1:20">
      <c r="A99" s="134"/>
      <c r="B99" s="44"/>
      <c r="C99" s="44"/>
      <c r="D99" s="134"/>
      <c r="E99" s="134"/>
      <c r="F99" s="44"/>
      <c r="G99" s="134"/>
      <c r="H99" s="134"/>
      <c r="I99" s="134"/>
      <c r="J99" s="134"/>
      <c r="K99" s="255"/>
      <c r="L99" s="256"/>
      <c r="M99" s="134"/>
      <c r="N99" s="134"/>
      <c r="O99" s="134"/>
      <c r="P99" s="134"/>
      <c r="Q99" s="134"/>
      <c r="R99" s="949"/>
      <c r="S99" s="949"/>
    </row>
    <row r="100" spans="1:20" ht="15.75" customHeight="1">
      <c r="A100" s="2314" t="s">
        <v>1368</v>
      </c>
      <c r="B100" s="2315"/>
      <c r="C100" s="2315"/>
      <c r="D100" s="2315"/>
      <c r="E100" s="2315"/>
      <c r="F100" s="2315"/>
      <c r="G100" s="2315"/>
      <c r="H100" s="2315"/>
      <c r="I100" s="2315"/>
      <c r="J100" s="2315"/>
      <c r="K100" s="2315"/>
      <c r="L100" s="2315"/>
      <c r="M100" s="2315"/>
      <c r="N100" s="2315"/>
      <c r="O100" s="2316"/>
      <c r="P100" s="930"/>
      <c r="T100" s="931"/>
    </row>
    <row r="101" spans="1:20">
      <c r="A101" s="712" t="s">
        <v>1</v>
      </c>
      <c r="B101" s="713" t="s">
        <v>100</v>
      </c>
      <c r="C101" s="714" t="s">
        <v>97</v>
      </c>
      <c r="D101" s="715" t="s">
        <v>95</v>
      </c>
      <c r="E101" s="716" t="s">
        <v>494</v>
      </c>
      <c r="F101" s="265" t="s">
        <v>495</v>
      </c>
      <c r="G101" s="266" t="s">
        <v>496</v>
      </c>
      <c r="H101" s="140" t="s">
        <v>101</v>
      </c>
      <c r="I101" s="141" t="s">
        <v>98</v>
      </c>
      <c r="J101" s="141" t="s">
        <v>96</v>
      </c>
      <c r="K101" s="141" t="s">
        <v>715</v>
      </c>
      <c r="L101" s="216" t="s">
        <v>716</v>
      </c>
      <c r="M101" s="1000" t="s">
        <v>121</v>
      </c>
      <c r="N101" s="505" t="s">
        <v>27</v>
      </c>
      <c r="O101" s="506" t="s">
        <v>7</v>
      </c>
      <c r="T101" s="931"/>
    </row>
    <row r="102" spans="1:20">
      <c r="A102" s="985" t="s">
        <v>73</v>
      </c>
      <c r="B102" s="291"/>
      <c r="C102" s="292"/>
      <c r="D102" s="694"/>
      <c r="E102" s="416">
        <f>SUMIFS(февр2314[м2],февр2314[МОП],A102,февр2314[Ком],"Офис")</f>
        <v>0</v>
      </c>
      <c r="F102" s="292">
        <f>SUMIFS(февр2314[сумма без отделки],февр2314[МОП],$A102,февр2314[Ком],"оФИС")</f>
        <v>0</v>
      </c>
      <c r="G102" s="720">
        <f>COUNTIFS(февр2314[МОП],$A102,февр2314[Ком],"Офис")</f>
        <v>0</v>
      </c>
      <c r="H102" s="291">
        <f>SUMIFS(РД[S],РД[МОП],A102,РД[Дата подачи на регистрацию],"&lt;="&amp;$A$1,РД[Дата подачи на регистрацию],"&gt;="&amp;DATE(YEAR($A$1),MONTH($A$1),1),РД[Состояние],"Коммерция")</f>
        <v>0</v>
      </c>
      <c r="I102" s="292">
        <f>SUMIFS(РД[Стоимость без отделки итог],РД[МОП],A102,РД[Дата подачи на регистрацию],"&lt;="&amp;$A$1,РД[Дата подачи на регистрацию],"&gt;="&amp;DATE(YEAR($A$1),MONTH($A$1),1),РД[Состояние],"Коммерция")</f>
        <v>0</v>
      </c>
      <c r="J102" s="243">
        <f>COUNTIFS(РД[МОП],A102,РД[Дата подачи на регистрацию],"&lt;="&amp;$A$1,РД[Дата подачи на регистрацию],"&gt;="&amp;DATE(YEAR($A$1),MONTH($A$1),1),РД[Состояние],"Коммерция")</f>
        <v>0</v>
      </c>
      <c r="K102" s="990" t="str">
        <f t="shared" ref="K102:L107" si="25">IFERROR(H102/B102,"")</f>
        <v/>
      </c>
      <c r="L102" s="991" t="str">
        <f t="shared" si="25"/>
        <v/>
      </c>
      <c r="M102" s="183">
        <f>COUNTIFS(РД[Дом],M$101,РД[МОП],$A102,РД[Дата подачи на регистрацию],"&lt;="&amp;$A$1,РД[Дата подачи на регистрацию],"&gt;="&amp;DATE(YEAR($A$1),MONTH($A$1),1),РД[Состояние],"Коммерция")</f>
        <v>0</v>
      </c>
      <c r="N102" s="243">
        <f>COUNTIFS(РД[Дом],N$101,РД[МОП],$A102,РД[Дата подачи на регистрацию],"&lt;="&amp;$A$1,РД[Дата подачи на регистрацию],"&gt;="&amp;DATE(YEAR($A$1),MONTH($A$1),1),РД[Состояние],"Коммерция")</f>
        <v>0</v>
      </c>
      <c r="O102" s="246">
        <f>COUNTIFS(РД[Дом],O$101,РД[МОП],$A102,РД[Дата подачи на регистрацию],"&lt;="&amp;$A$1,РД[Дата подачи на регистрацию],"&gt;="&amp;DATE(YEAR($A$1),MONTH($A$1),1),РД[Состояние],"Коммерция")</f>
        <v>0</v>
      </c>
      <c r="P102" s="949"/>
      <c r="Q102" s="949"/>
      <c r="R102" s="949"/>
      <c r="S102" s="930"/>
      <c r="T102" s="931"/>
    </row>
    <row r="103" spans="1:20">
      <c r="A103" s="936" t="s">
        <v>8</v>
      </c>
      <c r="B103" s="267"/>
      <c r="C103" s="146"/>
      <c r="D103" s="702"/>
      <c r="E103" s="416">
        <f>SUMIFS(февр2314[м2],февр2314[МОП],A103,февр2314[Ком],"Офис")</f>
        <v>0</v>
      </c>
      <c r="F103" s="146">
        <f>SUMIFS(февр2314[сумма без отделки],февр2314[МОП],$A103,февр2314[Ком],"оФИС")</f>
        <v>0</v>
      </c>
      <c r="G103" s="417">
        <f>COUNTIFS(февр2314[МОП],$A103,февр2314[Ком],"Офис")</f>
        <v>0</v>
      </c>
      <c r="H103" s="267">
        <f>SUMIFS(РД[S],РД[МОП],A103,РД[Дата подачи на регистрацию],"&lt;="&amp;$A$1,РД[Дата подачи на регистрацию],"&gt;="&amp;DATE(YEAR($A$1),MONTH($A$1),1),РД[Состояние],"Коммерция")</f>
        <v>0</v>
      </c>
      <c r="I103" s="146">
        <f>SUMIFS(РД[Стоимость без отделки итог],РД[МОП],A103,РД[Дата подачи на регистрацию],"&lt;="&amp;$A$1,РД[Дата подачи на регистрацию],"&gt;="&amp;DATE(YEAR($A$1),MONTH($A$1),1),РД[Состояние],"Коммерция")</f>
        <v>0</v>
      </c>
      <c r="J103" s="220">
        <f>COUNTIFS(РД[МОП],A103,РД[Дата подачи на регистрацию],"&lt;="&amp;$A$1,РД[Дата подачи на регистрацию],"&gt;="&amp;DATE(YEAR($A$1),MONTH($A$1),1),РД[Состояние],"Коммерция")</f>
        <v>0</v>
      </c>
      <c r="K103" s="943" t="str">
        <f t="shared" ref="K103" si="26">IFERROR(H103/B103,"")</f>
        <v/>
      </c>
      <c r="L103" s="944" t="str">
        <f t="shared" ref="L103" si="27">IFERROR(I103/C103,"")</f>
        <v/>
      </c>
      <c r="M103" s="148">
        <f>COUNTIFS(РД[Дом],M$101,РД[МОП],$A103,РД[Дата подачи на регистрацию],"&lt;="&amp;$A$1,РД[Дата подачи на регистрацию],"&gt;="&amp;DATE(YEAR($A$1),MONTH($A$1),1),РД[Состояние],"Коммерция")</f>
        <v>0</v>
      </c>
      <c r="N103" s="220">
        <f>COUNTIFS(РД[Дом],N$101,РД[МОП],$A103,РД[Дата подачи на регистрацию],"&lt;="&amp;$A$1,РД[Дата подачи на регистрацию],"&gt;="&amp;DATE(YEAR($A$1),MONTH($A$1),1),РД[Состояние],"Коммерция")</f>
        <v>0</v>
      </c>
      <c r="O103" s="223">
        <f>COUNTIFS(РД[Дом],O$101,РД[МОП],$A103,РД[Дата подачи на регистрацию],"&lt;="&amp;$A$1,РД[Дата подачи на регистрацию],"&gt;="&amp;DATE(YEAR($A$1),MONTH($A$1),1),РД[Состояние],"Коммерция")</f>
        <v>0</v>
      </c>
      <c r="P103" s="949"/>
      <c r="Q103" s="949"/>
      <c r="R103" s="949"/>
      <c r="S103" s="930"/>
      <c r="T103" s="931"/>
    </row>
    <row r="104" spans="1:20">
      <c r="A104" s="981" t="s">
        <v>77</v>
      </c>
      <c r="B104" s="271"/>
      <c r="C104" s="52"/>
      <c r="D104" s="717"/>
      <c r="E104" s="416">
        <f>SUMIFS(февр2314[м2],февр2314[МОП],A104,февр2314[Ком],"Офис")</f>
        <v>134.52000000000001</v>
      </c>
      <c r="F104" s="52">
        <f>SUMIFS(февр2314[сумма без отделки],февр2314[МОП],$A104,февр2314[Ком],"оФИС")</f>
        <v>12779400.000000002</v>
      </c>
      <c r="G104" s="421">
        <f>COUNTIFS(февр2314[МОП],$A104,февр2314[Ком],"Офис")</f>
        <v>1</v>
      </c>
      <c r="H104" s="271">
        <f>SUMIFS(РД[S],РД[МОП],A104,РД[Дата подачи на регистрацию],"&lt;="&amp;$A$1,РД[Дата подачи на регистрацию],"&gt;="&amp;DATE(YEAR($A$1),MONTH($A$1),1),РД[Состояние],"Коммерция")</f>
        <v>134.52000000000001</v>
      </c>
      <c r="I104" s="52">
        <f>SUMIFS(РД[Стоимость без отделки итог],РД[МОП],A104,РД[Дата подачи на регистрацию],"&lt;="&amp;$A$1,РД[Дата подачи на регистрацию],"&gt;="&amp;DATE(YEAR($A$1),MONTH($A$1),1),РД[Состояние],"Коммерция")</f>
        <v>12779400</v>
      </c>
      <c r="J104" s="220">
        <f>COUNTIFS(РД[МОП],A104,РД[Дата подачи на регистрацию],"&lt;="&amp;$A$1,РД[Дата подачи на регистрацию],"&gt;="&amp;DATE(YEAR($A$1),MONTH($A$1),1),РД[Состояние],"Коммерция")</f>
        <v>1</v>
      </c>
      <c r="K104" s="52" t="str">
        <f t="shared" si="25"/>
        <v/>
      </c>
      <c r="L104" s="546" t="str">
        <f t="shared" si="25"/>
        <v/>
      </c>
      <c r="M104" s="202">
        <f>COUNTIFS(РД[Дом],M$101,РД[МОП],$A104,РД[Дата подачи на регистрацию],"&lt;="&amp;$A$1,РД[Дата подачи на регистрацию],"&gt;="&amp;DATE(YEAR($A$1),MONTH($A$1),1),РД[Состояние],"Коммерция")</f>
        <v>0</v>
      </c>
      <c r="N104" s="226">
        <f>COUNTIFS(РД[Дом],N$101,РД[МОП],$A104,РД[Дата подачи на регистрацию],"&lt;="&amp;$A$1,РД[Дата подачи на регистрацию],"&gt;="&amp;DATE(YEAR($A$1),MONTH($A$1),1),РД[Состояние],"Коммерция")</f>
        <v>1</v>
      </c>
      <c r="O104" s="227">
        <f>COUNTIFS(РД[Дом],O$101,РД[МОП],$A104,РД[Дата подачи на регистрацию],"&lt;="&amp;$A$1,РД[Дата подачи на регистрацию],"&gt;="&amp;DATE(YEAR($A$1),MONTH($A$1),1),РД[Состояние],"Коммерция")</f>
        <v>0</v>
      </c>
      <c r="P104" s="949"/>
      <c r="Q104" s="949"/>
      <c r="R104" s="949"/>
      <c r="S104" s="930"/>
      <c r="T104" s="931"/>
    </row>
    <row r="105" spans="1:20">
      <c r="A105" s="981" t="s">
        <v>1233</v>
      </c>
      <c r="B105" s="271"/>
      <c r="C105" s="52"/>
      <c r="D105" s="717"/>
      <c r="E105" s="416">
        <f>SUMIFS(февр2314[м2],февр2314[МОП],A105,февр2314[Ком],"Офис")</f>
        <v>0</v>
      </c>
      <c r="F105" s="52">
        <f>SUMIFS(февр2314[сумма без отделки],февр2314[МОП],$A105,февр2314[Ком],"оФИС")</f>
        <v>0</v>
      </c>
      <c r="G105" s="421">
        <f>COUNTIFS(февр2314[МОП],$A105,февр2314[Ком],"Офис")</f>
        <v>0</v>
      </c>
      <c r="H105" s="271">
        <f>SUMIFS(РД[S],РД[МОП],A105,РД[Дата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I105" s="52">
        <f>SUMIFS(РД[Стоимость без отделки итог],РД[МОП],A105,РД[Дата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J105" s="220">
        <f>COUNTIFS(РД[МОП],A105,РД[Дата подачи на регистрацию],"&lt;="&amp;$A$1,РД[Дата подачи на регистрацию],"&gt;="&amp;DATE(YEAR($A$1),MONTH($A$1),1),РД[Состояние],"Коммерция")</f>
        <v>0</v>
      </c>
      <c r="K105" s="224" t="str">
        <f t="shared" si="25"/>
        <v/>
      </c>
      <c r="L105" s="334" t="str">
        <f t="shared" si="25"/>
        <v/>
      </c>
      <c r="M105" s="202">
        <f>COUNTIFS(РД[Дом],M$101,РД[МОП],$A105,РД[Дата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N105" s="226">
        <f>COUNTIFS(РД[Дом],N$101,РД[МОП],$A105,РД[Дата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O105" s="227">
        <f>COUNTIFS(РД[Дом],O$101,РД[МОП],$A105,РД[Дата подачи на регистрацию],"&lt;="&amp;$A$1,РД[Дата подачи на регистрацию],"&gt;="&amp;DATE(YEAR($A$1),MONTH($A$1),1),РД[Состояние],"Коммерция")</f>
        <v>0</v>
      </c>
      <c r="P105" s="949"/>
      <c r="Q105" s="949"/>
      <c r="R105" s="949"/>
      <c r="S105" s="930"/>
      <c r="T105" s="931"/>
    </row>
    <row r="106" spans="1:20">
      <c r="A106" s="982" t="s">
        <v>29</v>
      </c>
      <c r="B106" s="516"/>
      <c r="C106" s="554"/>
      <c r="D106" s="695"/>
      <c r="E106" s="416">
        <f>SUMIFS(февр2314[м2],февр2314[МОП],A106,февр2314[Ком],"Офис")</f>
        <v>0</v>
      </c>
      <c r="F106" s="958">
        <f>SUMIFS(февр2314[сумма без отделки],февр2314[МОП],$A106,февр2314[Ком],"оФИС")</f>
        <v>0</v>
      </c>
      <c r="G106" s="983">
        <f>COUNTIFS(февр2314[МОП],$A106,февр2314[Ком],"Офис")</f>
        <v>0</v>
      </c>
      <c r="H106" s="516">
        <f>SUMIFS(РД[S],РД[МОП],A106,РД[Дата подачи на регистрацию],"&lt;="&amp;$A$1,РД[Дата подачи на регистрацию],"&gt;="&amp;DATE(YEAR($A$1),MONTH($A$1),1),РД[Состояние],"Коммерция")</f>
        <v>0</v>
      </c>
      <c r="I106" s="554">
        <f>SUMIFS(РД[Стоимость без отделки итог],РД[МОП],A106,РД[Дата подачи на регистрацию],"&lt;="&amp;$A$1,РД[Дата подачи на регистрацию],"&gt;="&amp;DATE(YEAR($A$1),MONTH($A$1),1),РД[Состояние],"Коммерция")</f>
        <v>0</v>
      </c>
      <c r="J106" s="1001">
        <f>COUNTIFS(РД[МОП],A106,РД[Дата подачи на регистрацию],"&lt;="&amp;$A$1,РД[Дата подачи на регистрацию],"&gt;="&amp;DATE(YEAR($A$1),MONTH($A$1),1),РД[Состояние],"Коммерция")</f>
        <v>0</v>
      </c>
      <c r="K106" s="252" t="str">
        <f t="shared" si="25"/>
        <v/>
      </c>
      <c r="L106" s="253" t="str">
        <f t="shared" si="25"/>
        <v/>
      </c>
      <c r="M106" s="195">
        <f>COUNTIFS(РД[Дом],M$101,РД[МОП],$A106,РД[Дата подачи на регистрацию],"&lt;="&amp;$A$1,РД[Дата подачи на регистрацию],"&gt;="&amp;DATE(YEAR($A$1),MONTH($A$1),1),РД[Состояние],"Коммерция")</f>
        <v>0</v>
      </c>
      <c r="N106" s="251">
        <f>COUNTIFS(РД[Дом],N$101,РД[МОП],$A106,РД[Дата подачи на регистрацию],"&lt;="&amp;$A$1,РД[Дата подачи на регистрацию],"&gt;="&amp;DATE(YEAR($A$1),MONTH($A$1),1),РД[Состояние],"Коммерция")</f>
        <v>0</v>
      </c>
      <c r="O106" s="254">
        <f>COUNTIFS(РД[Дом],O$101,РД[МОП],$A106,РД[Дата подачи на регистрацию],"&lt;="&amp;$A$1,РД[Дата подачи на регистрацию],"&gt;="&amp;DATE(YEAR($A$1),MONTH($A$1),1),РД[Состояние],"Коммерция")</f>
        <v>0</v>
      </c>
      <c r="P106" s="949"/>
      <c r="Q106" s="949"/>
      <c r="R106" s="949"/>
      <c r="S106" s="930"/>
      <c r="T106" s="931"/>
    </row>
    <row r="107" spans="1:20">
      <c r="A107" s="984" t="s">
        <v>114</v>
      </c>
      <c r="B107" s="323">
        <f t="shared" ref="B107:J107" si="28">SUM(B102:B106)</f>
        <v>0</v>
      </c>
      <c r="C107" s="429">
        <f t="shared" si="28"/>
        <v>0</v>
      </c>
      <c r="D107" s="319">
        <f t="shared" si="28"/>
        <v>0</v>
      </c>
      <c r="E107" s="428">
        <f t="shared" si="28"/>
        <v>134.52000000000001</v>
      </c>
      <c r="F107" s="429">
        <f t="shared" si="28"/>
        <v>12779400.000000002</v>
      </c>
      <c r="G107" s="322">
        <f t="shared" si="28"/>
        <v>1</v>
      </c>
      <c r="H107" s="323">
        <f t="shared" si="28"/>
        <v>134.52000000000001</v>
      </c>
      <c r="I107" s="429">
        <f t="shared" si="28"/>
        <v>12779400</v>
      </c>
      <c r="J107" s="429">
        <f t="shared" si="28"/>
        <v>1</v>
      </c>
      <c r="K107" s="419" t="str">
        <f t="shared" si="25"/>
        <v/>
      </c>
      <c r="L107" s="924" t="str">
        <f t="shared" si="25"/>
        <v/>
      </c>
      <c r="M107" s="318">
        <f>SUM(M102:M106)</f>
        <v>0</v>
      </c>
      <c r="N107" s="321">
        <f>SUM(N102:N106)</f>
        <v>1</v>
      </c>
      <c r="O107" s="319">
        <f>SUM(O102:O106)</f>
        <v>0</v>
      </c>
      <c r="P107" s="949"/>
      <c r="Q107" s="949"/>
      <c r="R107" s="949"/>
      <c r="S107" s="930"/>
      <c r="T107" s="931"/>
    </row>
    <row r="108" spans="1:20">
      <c r="A108" s="685" t="s">
        <v>115</v>
      </c>
      <c r="B108" s="713" t="s">
        <v>100</v>
      </c>
      <c r="C108" s="714" t="s">
        <v>97</v>
      </c>
      <c r="D108" s="715" t="s">
        <v>95</v>
      </c>
      <c r="E108" s="716" t="s">
        <v>494</v>
      </c>
      <c r="F108" s="265" t="s">
        <v>495</v>
      </c>
      <c r="G108" s="266" t="s">
        <v>496</v>
      </c>
      <c r="H108" s="140" t="s">
        <v>101</v>
      </c>
      <c r="I108" s="141" t="s">
        <v>98</v>
      </c>
      <c r="J108" s="141" t="s">
        <v>96</v>
      </c>
      <c r="K108" s="141" t="s">
        <v>715</v>
      </c>
      <c r="L108" s="216" t="s">
        <v>716</v>
      </c>
      <c r="M108" s="1000" t="s">
        <v>121</v>
      </c>
      <c r="N108" s="505" t="s">
        <v>27</v>
      </c>
      <c r="O108" s="506" t="s">
        <v>7</v>
      </c>
      <c r="P108" s="949"/>
      <c r="Q108" s="949"/>
      <c r="R108" s="949"/>
      <c r="S108" s="930"/>
      <c r="T108" s="931"/>
    </row>
    <row r="109" spans="1:20">
      <c r="A109" s="985" t="s">
        <v>16</v>
      </c>
      <c r="B109" s="291"/>
      <c r="C109" s="292"/>
      <c r="D109" s="720"/>
      <c r="E109" s="267">
        <f>SUMIFS(февр2314[м2],февр2314[ИМ],A109,февр2314[Ком],"Офис")</f>
        <v>0</v>
      </c>
      <c r="F109" s="146">
        <f>SUMIFS(февр2314[сумма без отделки],февр2314[ИМ],$A109,февр2314[Ком],"оФИС")</f>
        <v>0</v>
      </c>
      <c r="G109" s="417">
        <f>COUNTIFS(февр2314[ИМ],$A109,февр2314[Ком],"Офис")</f>
        <v>0</v>
      </c>
      <c r="H109" s="267">
        <f>SUMIFS(РД[S],РД[ИМ],A109,РД[Дата подачи на регистрацию],"&lt;="&amp;$A$1,РД[Дата подачи на регистрацию],"&gt;="&amp;DATE(YEAR($A$1),MONTH($A$1),1),РД[Состояние],"Коммерция")</f>
        <v>0</v>
      </c>
      <c r="I109" s="146">
        <f>SUMIFS(РД[Стоимость без отделки итог],РД[ИМ],A109,РД[Дата подачи на регистрацию],"&lt;="&amp;$A$1,РД[Дата подачи на регистрацию],"&gt;="&amp;DATE(YEAR($A$1),MONTH($A$1),1),РД[Состояние],"Коммерция")</f>
        <v>0</v>
      </c>
      <c r="J109" s="220">
        <f>COUNTIFS(РД[ИМ],A109,РД[Дата подачи на регистрацию],"&lt;="&amp;$A$1,РД[Дата подачи на регистрацию],"&gt;="&amp;DATE(YEAR($A$1),MONTH($A$1),1),РД[Состояние],"Коммерция")</f>
        <v>0</v>
      </c>
      <c r="K109" s="224" t="str">
        <f t="shared" ref="K109:L111" si="29">IFERROR(H109/B109,"")</f>
        <v/>
      </c>
      <c r="L109" s="225" t="str">
        <f t="shared" si="29"/>
        <v/>
      </c>
      <c r="M109" s="183">
        <f>COUNTIFS(РД[Дом],M$101,РД[ИМ],$A109,РД[Дата подачи на регистрацию],"&lt;="&amp;$A$1,РД[Дата подачи на регистрацию],"&gt;="&amp;DATE(YEAR($A$1),MONTH($A$1),1),РД[Состояние],"Коммерция")</f>
        <v>0</v>
      </c>
      <c r="N109" s="243">
        <f>COUNTIFS(РД[Дом],N$101,РД[ИМ],$A109,РД[Дата подачи на регистрацию],"&lt;="&amp;$A$1,РД[Дата подачи на регистрацию],"&gt;="&amp;DATE(YEAR($A$1),MONTH($A$1),1),РД[Состояние],"Коммерция")</f>
        <v>0</v>
      </c>
      <c r="O109" s="246">
        <f>COUNTIFS(РД[Дом],O$101,РД[ИМ],$A109,РД[Дата подачи на регистрацию],"&lt;="&amp;$A$1,РД[Дата подачи на регистрацию],"&gt;="&amp;DATE(YEAR($A$1),MONTH($A$1),1),РД[Состояние],"Коммерция")</f>
        <v>0</v>
      </c>
      <c r="P109" s="949"/>
      <c r="Q109" s="949"/>
      <c r="R109" s="949"/>
      <c r="S109" s="930"/>
      <c r="T109" s="931"/>
    </row>
    <row r="110" spans="1:20">
      <c r="A110" s="982" t="s">
        <v>22</v>
      </c>
      <c r="B110" s="516"/>
      <c r="C110" s="554"/>
      <c r="D110" s="721"/>
      <c r="E110" s="315">
        <f>SUMIFS(февр2314[м2],февр2314[ИМ],A110,февр2314[Ком],"Офис")</f>
        <v>0</v>
      </c>
      <c r="F110" s="363">
        <f>SUMIFS(февр2314[сумма без отделки],февр2314[ИМ],$A110,февр2314[Ком],"оФИС")</f>
        <v>0</v>
      </c>
      <c r="G110" s="518">
        <f>COUNTIFS(февр2314[ИМ],$A110,февр2314[Ком],"Офис")</f>
        <v>0</v>
      </c>
      <c r="H110" s="315">
        <f>SUMIFS(РД[S],РД[ИМ],A110,РД[Дата подачи на регистрацию],"&lt;="&amp;$A$1,РД[Дата подачи на регистрацию],"&gt;="&amp;DATE(YEAR($A$1),MONTH($A$1),1),РД[Состояние],"Коммерция")</f>
        <v>0</v>
      </c>
      <c r="I110" s="363">
        <f>SUMIFS(РД[Стоимость без отделки итог],РД[ИМ],A110,РД[Дата подачи на регистрацию],"&lt;="&amp;$A$1,РД[Дата подачи на регистрацию],"&gt;="&amp;DATE(YEAR($A$1),MONTH($A$1),1),РД[Состояние],"Коммерция")</f>
        <v>0</v>
      </c>
      <c r="J110" s="220">
        <f>COUNTIFS(РД[ИМ],A110,РД[Дата подачи на регистрацию],"&lt;="&amp;$A$1,РД[Дата подачи на регистрацию],"&gt;="&amp;DATE(YEAR($A$1),MONTH($A$1),1),РД[Состояние],"Коммерция")</f>
        <v>0</v>
      </c>
      <c r="K110" s="252" t="str">
        <f t="shared" si="29"/>
        <v/>
      </c>
      <c r="L110" s="260" t="str">
        <f t="shared" si="29"/>
        <v/>
      </c>
      <c r="M110" s="195">
        <f>COUNTIFS(РД[Дом],M$101,РД[ИМ],$A110,РД[Дата подачи на регистрацию],"&lt;="&amp;$A$1,РД[Дата подачи на регистрацию],"&gt;="&amp;DATE(YEAR($A$1),MONTH($A$1),1),РД[Состояние],"Коммерция")</f>
        <v>0</v>
      </c>
      <c r="N110" s="251">
        <f>COUNTIFS(РД[Дом],N$101,РД[ИМ],$A110,РД[Дата подачи на регистрацию],"&lt;="&amp;$A$1,РД[Дата подачи на регистрацию],"&gt;="&amp;DATE(YEAR($A$1),MONTH($A$1),1),РД[Состояние],"Коммерция")</f>
        <v>0</v>
      </c>
      <c r="O110" s="254">
        <f>COUNTIFS(РД[Дом],O$101,РД[ИМ],$A110,РД[Дата подачи на регистрацию],"&lt;="&amp;$A$1,РД[Дата подачи на регистрацию],"&gt;="&amp;DATE(YEAR($A$1),MONTH($A$1),1),РД[Состояние],"Коммерция")</f>
        <v>0</v>
      </c>
      <c r="P110" s="949"/>
      <c r="Q110" s="949"/>
      <c r="R110" s="949"/>
      <c r="S110" s="930"/>
      <c r="T110" s="931"/>
    </row>
    <row r="111" spans="1:20">
      <c r="A111" s="986" t="s">
        <v>114</v>
      </c>
      <c r="B111" s="282">
        <f>SUM(B109:B110)</f>
        <v>0</v>
      </c>
      <c r="C111" s="287">
        <f>SUM(C109:C110)</f>
        <v>0</v>
      </c>
      <c r="D111" s="472">
        <f>SUM(D109:D110)</f>
        <v>0</v>
      </c>
      <c r="E111" s="323">
        <f t="shared" ref="E111:J111" si="30">SUM(E109:E110)</f>
        <v>0</v>
      </c>
      <c r="F111" s="429">
        <f t="shared" si="30"/>
        <v>0</v>
      </c>
      <c r="G111" s="322">
        <f t="shared" si="30"/>
        <v>0</v>
      </c>
      <c r="H111" s="323">
        <f t="shared" si="30"/>
        <v>0</v>
      </c>
      <c r="I111" s="429">
        <f t="shared" si="30"/>
        <v>0</v>
      </c>
      <c r="J111" s="429">
        <f t="shared" si="30"/>
        <v>0</v>
      </c>
      <c r="K111" s="419" t="str">
        <f t="shared" si="29"/>
        <v/>
      </c>
      <c r="L111" s="924" t="str">
        <f t="shared" si="29"/>
        <v/>
      </c>
      <c r="M111" s="925">
        <f>SUM(M109:M110)</f>
        <v>0</v>
      </c>
      <c r="N111" s="285">
        <f>SUM(N109:N110)</f>
        <v>0</v>
      </c>
      <c r="O111" s="305">
        <f>SUM(O109:O110)</f>
        <v>0</v>
      </c>
      <c r="P111" s="949"/>
      <c r="Q111" s="949"/>
      <c r="R111" s="949"/>
      <c r="S111" s="930"/>
      <c r="T111" s="931"/>
    </row>
    <row r="112" spans="1:20">
      <c r="A112" s="134"/>
      <c r="B112" s="44"/>
      <c r="C112" s="44"/>
      <c r="D112" s="134"/>
      <c r="E112" s="134"/>
      <c r="F112" s="44"/>
      <c r="G112" s="134"/>
      <c r="H112" s="134"/>
      <c r="I112" s="134"/>
      <c r="J112" s="134"/>
      <c r="K112" s="255"/>
      <c r="L112" s="256"/>
      <c r="M112" s="134"/>
      <c r="N112" s="134"/>
      <c r="O112" s="134"/>
      <c r="P112" s="134"/>
      <c r="Q112" s="134"/>
      <c r="R112" s="949"/>
      <c r="S112" s="949"/>
    </row>
    <row r="113" spans="1:21" ht="15">
      <c r="A113" s="2317" t="s">
        <v>945</v>
      </c>
      <c r="B113" s="2318"/>
      <c r="C113" s="2318"/>
      <c r="D113" s="2318"/>
      <c r="E113" s="2318"/>
      <c r="F113" s="2318"/>
      <c r="G113" s="2318"/>
      <c r="H113" s="2319"/>
      <c r="I113" s="2319"/>
      <c r="J113" s="2319"/>
      <c r="K113" s="2319"/>
      <c r="L113" s="2319"/>
      <c r="M113" s="2319"/>
      <c r="N113" s="2320"/>
      <c r="O113" s="949"/>
      <c r="P113" s="949"/>
      <c r="Q113" s="86"/>
      <c r="R113" s="949"/>
      <c r="S113" s="949"/>
    </row>
    <row r="114" spans="1:21">
      <c r="A114" s="685" t="s">
        <v>1</v>
      </c>
      <c r="B114" s="723" t="s">
        <v>101</v>
      </c>
      <c r="C114" s="724" t="s">
        <v>98</v>
      </c>
      <c r="D114" s="688" t="s">
        <v>96</v>
      </c>
      <c r="E114" s="137" t="s">
        <v>494</v>
      </c>
      <c r="F114" s="138" t="s">
        <v>495</v>
      </c>
      <c r="G114" s="296" t="s">
        <v>496</v>
      </c>
      <c r="H114" s="140" t="s">
        <v>946</v>
      </c>
      <c r="I114" s="141" t="s">
        <v>947</v>
      </c>
      <c r="J114" s="217">
        <v>0</v>
      </c>
      <c r="K114" s="218">
        <v>1</v>
      </c>
      <c r="L114" s="340">
        <v>2</v>
      </c>
      <c r="M114" s="218">
        <v>3</v>
      </c>
      <c r="N114" s="219" t="s">
        <v>1367</v>
      </c>
      <c r="O114" s="949"/>
      <c r="P114" s="949"/>
      <c r="Q114" s="86"/>
      <c r="R114" s="949"/>
      <c r="S114" s="949"/>
    </row>
    <row r="115" spans="1:21">
      <c r="A115" s="985" t="s">
        <v>73</v>
      </c>
      <c r="B115" s="291">
        <f>SUMIFS(РД[S],РД[МОП],A115,РД[Дата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5" s="292">
        <f>SUMIFS(РД[Стоимость без отделки итог],РД[МОП],A115,РД[Дата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5" s="694">
        <f>COUNTIFS(РД[МОП],A115,РД[Дата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5" s="1015"/>
      <c r="F115" s="292"/>
      <c r="G115" s="720"/>
      <c r="H115" s="291">
        <f>SUMIFS(РД[S],РД[МОП],A115,РД[Дата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5" s="879">
        <f>SUMIFS(РД[Стоимость без отделки итог],РД[МОП],A115,РД[Дата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5" s="183">
        <f>COUNTIFS(РД[Тип кв],J$114,РД[МОП],$A115,РД[Дата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5" s="243">
        <f>COUNTIFS(РД[Тип кв],K$114,РД[МОП],$A115,РД[Дата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5" s="243">
        <f>COUNTIFS(РД[Тип кв],L$114,РД[МОП],$A115,РД[Дата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5" s="243">
        <f>COUNTIFS(РД[Тип кв],M$114,РД[МОП],$A115,РД[Дата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5" s="246">
        <f>COUNTIFS(РД[Тип кв],N$114,РД[МОП],$A115,РД[Дата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5" s="949"/>
      <c r="P115" s="949"/>
      <c r="Q115" s="86"/>
      <c r="R115" s="949"/>
      <c r="S115" s="949"/>
    </row>
    <row r="116" spans="1:21">
      <c r="A116" s="936" t="s">
        <v>8</v>
      </c>
      <c r="B116" s="267">
        <f>SUMIFS(РД[S],РД[МОП],A116,РД[Дата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6" s="146">
        <f>SUMIFS(РД[Стоимость без отделки итог],РД[МОП],A116,РД[Дата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6" s="702">
        <f>COUNTIFS(РД[МОП],A116,РД[Дата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6" s="514"/>
      <c r="F116" s="146"/>
      <c r="G116" s="417"/>
      <c r="H116" s="267">
        <f>SUMIFS(РД[S],РД[МОП],A116,РД[Дата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6" s="549">
        <f>SUMIFS(РД[Стоимость без отделки итог],РД[МОП],A116,РД[Дата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6" s="148">
        <f>COUNTIFS(РД[Тип кв],J$114,РД[МОП],$A116,РД[Дата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6" s="220">
        <f>COUNTIFS(РД[Тип кв],K$114,РД[МОП],$A116,РД[Дата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6" s="220">
        <f>COUNTIFS(РД[Тип кв],L$114,РД[МОП],$A116,РД[Дата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6" s="220">
        <f>COUNTIFS(РД[Тип кв],M$114,РД[МОП],$A116,РД[Дата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6" s="223">
        <f>COUNTIFS(РД[Тип кв],N$114,РД[МОП],$A116,РД[Дата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6" s="949"/>
      <c r="P116" s="949"/>
      <c r="Q116" s="86"/>
      <c r="R116" s="949"/>
      <c r="S116" s="949"/>
    </row>
    <row r="117" spans="1:21" s="930" customFormat="1">
      <c r="A117" s="981" t="s">
        <v>77</v>
      </c>
      <c r="B117" s="27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7" s="52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7" s="717">
        <f>COUNTIFS(РД[МОП],A117,РД[Дата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7" s="416"/>
      <c r="F117" s="52"/>
      <c r="G117" s="421"/>
      <c r="H117" s="271">
        <f>SUMIFS(РД[S],РД[МОП],A117,РД[Дата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7" s="546">
        <f>SUMIFS(РД[Стоимость без отделки итог],РД[МОП],A117,РД[Дата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7" s="202">
        <f>COUNTIFS(РД[Тип кв],J$114,РД[МОП],$A117,РД[Дата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7" s="226">
        <f>COUNTIFS(РД[Тип кв],K$114,РД[МОП],$A117,РД[Дата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7" s="226">
        <f>COUNTIFS(РД[Тип кв],L$114,РД[МОП],$A117,РД[Дата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7" s="226">
        <f>COUNTIFS(РД[Тип кв],M$114,РД[МОП],$A117,РД[Дата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7" s="227">
        <f>COUNTIFS(РД[Тип кв],N$114,РД[МОП],$A117,РД[Дата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7" s="949"/>
      <c r="P117" s="949"/>
      <c r="Q117" s="86"/>
      <c r="R117" s="949"/>
      <c r="S117" s="949"/>
      <c r="U117" s="931"/>
    </row>
    <row r="118" spans="1:21" s="930" customFormat="1">
      <c r="A118" s="981" t="s">
        <v>1233</v>
      </c>
      <c r="B118" s="27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8" s="52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8" s="717">
        <f>COUNTIFS(РД[МОП],A118,РД[Дата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8" s="416"/>
      <c r="F118" s="52"/>
      <c r="G118" s="421"/>
      <c r="H118" s="271">
        <f>SUMIFS(РД[S],РД[МОП],A118,РД[Дата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8" s="546">
        <f>SUMIFS(РД[Стоимость без отделки итог],РД[МОП],A118,РД[Дата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8" s="202">
        <f>COUNTIFS(РД[Тип кв],J$114,РД[МОП],$A118,РД[Дата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8" s="226">
        <f>COUNTIFS(РД[Тип кв],K$114,РД[МОП],$A118,РД[Дата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8" s="226">
        <f>COUNTIFS(РД[Тип кв],L$114,РД[МОП],$A118,РД[Дата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8" s="226">
        <f>COUNTIFS(РД[Тип кв],M$114,РД[МОП],$A118,РД[Дата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8" s="227">
        <f>COUNTIFS(РД[Тип кв],N$114,РД[МОП],$A118,РД[Дата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8" s="949"/>
      <c r="P118" s="949"/>
      <c r="Q118" s="86"/>
      <c r="R118" s="949"/>
      <c r="S118" s="949"/>
      <c r="U118" s="931"/>
    </row>
    <row r="119" spans="1:21" s="930" customFormat="1">
      <c r="A119" s="982" t="s">
        <v>29</v>
      </c>
      <c r="B119" s="516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19" s="554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19" s="695">
        <f>COUNTIFS(РД[МОП],A119,РД[Дата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19" s="329">
        <f>SUMIFS(февр2314[м2],февр2314[МОП],$A119,февр2314[№ дома],$C$64)</f>
        <v>0</v>
      </c>
      <c r="F119" s="958">
        <f>SUMIFS(февр2314[сумма без отделки],февр2314[МОП],$A119,февр2314[№ дома],$C$64)</f>
        <v>0</v>
      </c>
      <c r="G119" s="959">
        <f>COUNTIFS(февр2314[МОП],$A119,февр2314[№ дома],$C$64)</f>
        <v>0</v>
      </c>
      <c r="H119" s="516">
        <f>SUMIFS(РД[S],РД[МОП],A119,РД[Дата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19" s="1002">
        <f>SUMIFS(РД[Стоимость без отделки итог],РД[МОП],A119,РД[Дата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19" s="195">
        <f>COUNTIFS(РД[Тип кв],J$114,РД[МОП],$A119,РД[Дата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19" s="251">
        <f>COUNTIFS(РД[Тип кв],K$114,РД[МОП],$A119,РД[Дата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19" s="251">
        <f>COUNTIFS(РД[Тип кв],L$114,РД[МОП],$A119,РД[Дата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19" s="251">
        <f>COUNTIFS(РД[Тип кв],M$114,РД[МОП],$A119,РД[Дата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19" s="254">
        <f>COUNTIFS(РД[Тип кв],N$114,РД[МОП],$A119,РД[Дата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19" s="949"/>
      <c r="P119" s="949"/>
      <c r="Q119" s="86"/>
      <c r="R119" s="949"/>
      <c r="S119" s="949"/>
      <c r="U119" s="931"/>
    </row>
    <row r="120" spans="1:21" s="930" customFormat="1">
      <c r="A120" s="984" t="s">
        <v>114</v>
      </c>
      <c r="B120" s="323">
        <f t="shared" ref="B120:N120" si="31">SUM(B115:B119)</f>
        <v>0</v>
      </c>
      <c r="C120" s="429">
        <f t="shared" si="31"/>
        <v>0</v>
      </c>
      <c r="D120" s="319">
        <f t="shared" si="31"/>
        <v>0</v>
      </c>
      <c r="E120" s="428">
        <f t="shared" si="31"/>
        <v>0</v>
      </c>
      <c r="F120" s="429">
        <f t="shared" si="31"/>
        <v>0</v>
      </c>
      <c r="G120" s="322">
        <f t="shared" si="31"/>
        <v>0</v>
      </c>
      <c r="H120" s="323">
        <f t="shared" si="31"/>
        <v>0</v>
      </c>
      <c r="I120" s="324">
        <f t="shared" si="31"/>
        <v>0</v>
      </c>
      <c r="J120" s="284">
        <f t="shared" si="31"/>
        <v>0</v>
      </c>
      <c r="K120" s="285">
        <f t="shared" si="31"/>
        <v>0</v>
      </c>
      <c r="L120" s="285">
        <f t="shared" si="31"/>
        <v>0</v>
      </c>
      <c r="M120" s="285">
        <f t="shared" si="31"/>
        <v>0</v>
      </c>
      <c r="N120" s="305">
        <f t="shared" si="31"/>
        <v>0</v>
      </c>
      <c r="O120" s="949"/>
      <c r="P120" s="949"/>
      <c r="Q120" s="86"/>
      <c r="R120" s="949"/>
      <c r="S120" s="949"/>
      <c r="U120" s="931"/>
    </row>
    <row r="121" spans="1:21" s="930" customFormat="1">
      <c r="A121" s="725" t="s">
        <v>115</v>
      </c>
      <c r="B121" s="706" t="s">
        <v>101</v>
      </c>
      <c r="C121" s="726" t="s">
        <v>98</v>
      </c>
      <c r="D121" s="708" t="s">
        <v>96</v>
      </c>
      <c r="E121" s="486" t="s">
        <v>494</v>
      </c>
      <c r="F121" s="487" t="s">
        <v>495</v>
      </c>
      <c r="G121" s="524" t="s">
        <v>496</v>
      </c>
      <c r="H121" s="489" t="s">
        <v>946</v>
      </c>
      <c r="I121" s="525" t="s">
        <v>947</v>
      </c>
      <c r="J121" s="217">
        <v>0</v>
      </c>
      <c r="K121" s="218">
        <v>1</v>
      </c>
      <c r="L121" s="340">
        <v>2</v>
      </c>
      <c r="M121" s="218">
        <v>3</v>
      </c>
      <c r="N121" s="219" t="s">
        <v>1367</v>
      </c>
      <c r="O121" s="949"/>
      <c r="P121" s="949"/>
      <c r="Q121" s="86"/>
      <c r="R121" s="949"/>
      <c r="S121" s="949"/>
      <c r="U121" s="931"/>
    </row>
    <row r="122" spans="1:21" s="930" customFormat="1">
      <c r="A122" s="985" t="s">
        <v>16</v>
      </c>
      <c r="B122" s="291">
        <f>SUMIFS(РД[S],РД[ИМ],A122,РД[Дата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2" s="292">
        <f>SUMIFS(РД[Стоимость без отделки итог],РД[ИМ],A122,РД[Дата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2" s="694">
        <f>COUNTIFS(РД[ИМ],A122,РД[Дата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2" s="551"/>
      <c r="F122" s="292"/>
      <c r="G122" s="552"/>
      <c r="H122" s="291">
        <f>SUMIFS(РД[S],РД[ИМ],A122,РД[Дата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2" s="312">
        <f>SUMIFS(РД[Стоимость без отделки итог],РД[ИМ],A122,РД[Дата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2" s="346">
        <f>COUNTIFS(РД[Тип кв],J$114,РД[ИМ],$A122,РД[Дата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2" s="243">
        <f>COUNTIFS(РД[Тип кв],K$114,РД[ИМ],$A122,РД[Дата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2" s="243">
        <f>COUNTIFS(РД[Тип кв],L$114,РД[ИМ],$A122,РД[Дата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2" s="243">
        <f>COUNTIFS(РД[Тип кв],M$114,РД[ИМ],$A122,РД[Дата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2" s="246">
        <f>COUNTIFS(РД[Тип кв],N$114,РД[ИМ],$A122,РД[Дата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2" s="949"/>
      <c r="P122" s="949"/>
      <c r="Q122" s="86"/>
      <c r="R122" s="949"/>
      <c r="S122" s="949"/>
      <c r="U122" s="931"/>
    </row>
    <row r="123" spans="1:21" s="930" customFormat="1">
      <c r="A123" s="982" t="s">
        <v>22</v>
      </c>
      <c r="B123" s="516">
        <f>SUMIFS(РД[S],РД[ИМ],A123,РД[Дата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3" s="554">
        <f>SUMIFS(РД[Стоимость без отделки итог],РД[ИМ],A123,РД[Дата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3" s="695">
        <f>COUNTIFS(РД[ИМ],A123,РД[Дата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3" s="553"/>
      <c r="F123" s="554"/>
      <c r="G123" s="555"/>
      <c r="H123" s="516">
        <f>SUMIFS(РД[S],РД[ИМ],A123,РД[Дата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517">
        <f>SUMIFS(РД[Стоимость без отделки итог],РД[ИМ],A123,РД[Дата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426">
        <f>COUNTIFS(РД[Тип кв],J$114,РД[ИМ],$A123,РД[Дата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251">
        <f>COUNTIFS(РД[Тип кв],K$114,РД[ИМ],$A123,РД[Дата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251">
        <f>COUNTIFS(РД[Тип кв],L$114,РД[ИМ],$A123,РД[Дата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251">
        <f>COUNTIFS(РД[Тип кв],M$114,РД[ИМ],$A123,РД[Дата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254">
        <f>COUNTIFS(РД[Тип кв],N$114,РД[ИМ],$A123,РД[Дата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3" s="949"/>
      <c r="P123" s="949"/>
      <c r="Q123" s="86"/>
      <c r="R123" s="949"/>
      <c r="S123" s="949"/>
      <c r="U123" s="931"/>
    </row>
    <row r="124" spans="1:21" s="930" customFormat="1">
      <c r="A124" s="986" t="s">
        <v>114</v>
      </c>
      <c r="B124" s="282">
        <f>SUM(B122:B123)</f>
        <v>0</v>
      </c>
      <c r="C124" s="287">
        <f>SUM(C122:C123)</f>
        <v>0</v>
      </c>
      <c r="D124" s="711">
        <f>SUM(D122:D123)</f>
        <v>0</v>
      </c>
      <c r="E124" s="425">
        <f t="shared" ref="E124:N124" si="32">SUM(E122:E123)</f>
        <v>0</v>
      </c>
      <c r="F124" s="287">
        <f t="shared" si="32"/>
        <v>0</v>
      </c>
      <c r="G124" s="286">
        <f t="shared" si="32"/>
        <v>0</v>
      </c>
      <c r="H124" s="282">
        <f t="shared" si="32"/>
        <v>0</v>
      </c>
      <c r="I124" s="283">
        <f t="shared" si="32"/>
        <v>0</v>
      </c>
      <c r="J124" s="284">
        <f t="shared" si="32"/>
        <v>0</v>
      </c>
      <c r="K124" s="285">
        <f t="shared" si="32"/>
        <v>0</v>
      </c>
      <c r="L124" s="285">
        <f t="shared" si="32"/>
        <v>0</v>
      </c>
      <c r="M124" s="285">
        <f t="shared" si="32"/>
        <v>0</v>
      </c>
      <c r="N124" s="305">
        <f t="shared" si="32"/>
        <v>0</v>
      </c>
      <c r="O124" s="949"/>
      <c r="P124" s="949"/>
      <c r="Q124" s="86"/>
      <c r="R124" s="949"/>
      <c r="S124" s="949"/>
      <c r="U124" s="931"/>
    </row>
    <row r="125" spans="1:21" s="930" customFormat="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U125" s="931"/>
    </row>
    <row r="126" spans="1:21" s="930" customFormat="1">
      <c r="O126" s="949"/>
      <c r="P126" s="949"/>
      <c r="Q126" s="86"/>
      <c r="R126" s="949"/>
      <c r="S126" s="949"/>
      <c r="U126" s="931"/>
    </row>
    <row r="127" spans="1:21" s="930" customFormat="1">
      <c r="O127" s="949"/>
      <c r="P127" s="949"/>
      <c r="Q127" s="86"/>
      <c r="R127" s="949"/>
      <c r="S127" s="949"/>
      <c r="U127" s="931"/>
    </row>
    <row r="128" spans="1:21" s="930" customFormat="1">
      <c r="O128" s="949"/>
      <c r="P128" s="949"/>
      <c r="Q128" s="86"/>
      <c r="R128" s="949"/>
      <c r="S128" s="949"/>
      <c r="U128" s="931"/>
    </row>
    <row r="129" spans="1:21" s="930" customFormat="1">
      <c r="O129" s="949"/>
      <c r="P129" s="949"/>
      <c r="Q129" s="86"/>
      <c r="R129" s="949"/>
      <c r="S129" s="949"/>
      <c r="U129" s="931"/>
    </row>
    <row r="130" spans="1:21" s="930" customFormat="1">
      <c r="O130" s="949"/>
      <c r="P130" s="949"/>
      <c r="Q130" s="86"/>
      <c r="R130" s="949"/>
      <c r="S130" s="949"/>
      <c r="U130" s="931"/>
    </row>
    <row r="131" spans="1:21" s="930" customFormat="1">
      <c r="O131" s="949"/>
      <c r="P131" s="949"/>
      <c r="Q131" s="86"/>
      <c r="R131" s="949"/>
      <c r="S131" s="949"/>
      <c r="U131" s="931"/>
    </row>
    <row r="132" spans="1:21" s="930" customFormat="1">
      <c r="O132" s="949"/>
      <c r="P132" s="949"/>
      <c r="Q132" s="86"/>
      <c r="R132" s="949"/>
      <c r="S132" s="949"/>
      <c r="U132" s="931"/>
    </row>
    <row r="133" spans="1:21" s="930" customFormat="1">
      <c r="O133" s="949"/>
      <c r="P133" s="949"/>
      <c r="Q133" s="86"/>
      <c r="R133" s="949"/>
      <c r="S133" s="949"/>
      <c r="U133" s="931"/>
    </row>
    <row r="134" spans="1:21" s="930" customFormat="1">
      <c r="O134" s="949"/>
      <c r="P134" s="949"/>
      <c r="Q134" s="86"/>
      <c r="R134" s="949"/>
      <c r="S134" s="949"/>
      <c r="U134" s="931"/>
    </row>
    <row r="135" spans="1:21" s="930" customFormat="1">
      <c r="O135" s="949"/>
      <c r="P135" s="949"/>
      <c r="Q135" s="86"/>
      <c r="R135" s="949"/>
      <c r="S135" s="949"/>
      <c r="U135" s="931"/>
    </row>
    <row r="136" spans="1:21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U136" s="931"/>
    </row>
    <row r="137" spans="1:21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U137" s="931"/>
    </row>
    <row r="138" spans="1:21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U138" s="931"/>
    </row>
    <row r="139" spans="1:21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U139" s="931"/>
    </row>
    <row r="140" spans="1:21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U140" s="931"/>
    </row>
    <row r="141" spans="1:21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U141" s="931"/>
    </row>
    <row r="142" spans="1:21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U142" s="931"/>
    </row>
    <row r="143" spans="1:21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U143" s="931"/>
    </row>
    <row r="144" spans="1:21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U144" s="931"/>
    </row>
    <row r="145" spans="1:21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U145" s="931"/>
    </row>
    <row r="146" spans="1:21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U146" s="931"/>
    </row>
    <row r="147" spans="1:21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U147" s="931"/>
    </row>
    <row r="148" spans="1:21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U148" s="931"/>
    </row>
    <row r="149" spans="1:21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U149" s="931"/>
    </row>
    <row r="150" spans="1:21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U150" s="931"/>
    </row>
    <row r="151" spans="1:21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U151" s="931"/>
    </row>
    <row r="152" spans="1:21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U152" s="931"/>
    </row>
    <row r="153" spans="1:21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U153" s="931"/>
    </row>
    <row r="154" spans="1:21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U154" s="931"/>
    </row>
    <row r="155" spans="1:21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U155" s="931"/>
    </row>
    <row r="156" spans="1:21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U156" s="931"/>
    </row>
    <row r="157" spans="1:21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U157" s="931"/>
    </row>
    <row r="158" spans="1:21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U158" s="931"/>
    </row>
    <row r="159" spans="1:21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U159" s="931"/>
    </row>
    <row r="160" spans="1:21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U160" s="931"/>
    </row>
    <row r="161" spans="1:21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U161" s="931"/>
    </row>
    <row r="162" spans="1:21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U162" s="931"/>
    </row>
    <row r="163" spans="1:21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U163" s="931"/>
    </row>
    <row r="164" spans="1:21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U164" s="931"/>
    </row>
    <row r="165" spans="1:21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U165" s="931"/>
    </row>
    <row r="166" spans="1:21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U166" s="931"/>
    </row>
    <row r="167" spans="1:21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U167" s="931"/>
    </row>
    <row r="168" spans="1:21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U168" s="931"/>
    </row>
    <row r="169" spans="1:21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U169" s="931"/>
    </row>
    <row r="170" spans="1:21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U170" s="931"/>
    </row>
    <row r="171" spans="1:21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U171" s="931"/>
    </row>
    <row r="172" spans="1:21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U172" s="931"/>
    </row>
    <row r="173" spans="1:21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U173" s="931"/>
    </row>
    <row r="174" spans="1:21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U174" s="931"/>
    </row>
    <row r="175" spans="1:21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U175" s="931"/>
    </row>
    <row r="176" spans="1:21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U176" s="931"/>
    </row>
    <row r="177" spans="1:21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U177" s="931"/>
    </row>
    <row r="178" spans="1:21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U178" s="931"/>
    </row>
    <row r="179" spans="1:21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U179" s="931"/>
    </row>
    <row r="180" spans="1:21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U180" s="931"/>
    </row>
    <row r="181" spans="1:21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U181" s="931"/>
    </row>
    <row r="182" spans="1:21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U182" s="931"/>
    </row>
    <row r="183" spans="1:21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U183" s="931"/>
    </row>
    <row r="184" spans="1:21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U184" s="931"/>
    </row>
    <row r="185" spans="1:21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U185" s="931"/>
    </row>
    <row r="186" spans="1:21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U186" s="931"/>
    </row>
    <row r="187" spans="1:21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U187" s="931"/>
    </row>
    <row r="188" spans="1:21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U188" s="931"/>
    </row>
    <row r="189" spans="1:21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U189" s="931"/>
    </row>
    <row r="190" spans="1:21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U190" s="931"/>
    </row>
    <row r="191" spans="1:21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U191" s="931"/>
    </row>
    <row r="192" spans="1:21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U192" s="931"/>
    </row>
    <row r="193" spans="1:21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U193" s="931"/>
    </row>
    <row r="194" spans="1:21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U194" s="931"/>
    </row>
    <row r="195" spans="1:21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U195" s="931"/>
    </row>
    <row r="196" spans="1:21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U196" s="931"/>
    </row>
    <row r="197" spans="1:21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U197" s="931"/>
    </row>
    <row r="198" spans="1:21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U198" s="931"/>
    </row>
    <row r="199" spans="1:21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U199" s="931"/>
    </row>
    <row r="200" spans="1:21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U200" s="931"/>
    </row>
    <row r="201" spans="1:21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U201" s="931"/>
    </row>
    <row r="202" spans="1:21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U202" s="931"/>
    </row>
    <row r="203" spans="1:21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U203" s="931"/>
    </row>
    <row r="204" spans="1:21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U204" s="931"/>
    </row>
    <row r="205" spans="1:21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U205" s="931"/>
    </row>
    <row r="206" spans="1:21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U206" s="931"/>
    </row>
    <row r="207" spans="1:21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U207" s="931"/>
    </row>
    <row r="208" spans="1:21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U208" s="931"/>
    </row>
    <row r="209" spans="1:21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U209" s="931"/>
    </row>
    <row r="210" spans="1:21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U210" s="931"/>
    </row>
    <row r="211" spans="1:21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U211" s="931"/>
    </row>
    <row r="212" spans="1:21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U212" s="931"/>
    </row>
    <row r="213" spans="1:21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U213" s="931"/>
    </row>
    <row r="214" spans="1:21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U214" s="931"/>
    </row>
    <row r="215" spans="1:21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U215" s="931"/>
    </row>
    <row r="216" spans="1:21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U216" s="931"/>
    </row>
    <row r="217" spans="1:21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U217" s="931"/>
    </row>
    <row r="218" spans="1:21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U218" s="931"/>
    </row>
    <row r="219" spans="1:21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U219" s="931"/>
    </row>
    <row r="220" spans="1:21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U220" s="931"/>
    </row>
    <row r="221" spans="1:21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U221" s="931"/>
    </row>
    <row r="222" spans="1:21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U222" s="931"/>
    </row>
    <row r="223" spans="1:21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U223" s="931"/>
    </row>
    <row r="224" spans="1:21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U224" s="931"/>
    </row>
    <row r="225" spans="1:21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U225" s="931"/>
    </row>
    <row r="226" spans="1:21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U226" s="931"/>
    </row>
    <row r="227" spans="1:21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U227" s="931"/>
    </row>
    <row r="228" spans="1:21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U228" s="931"/>
    </row>
    <row r="229" spans="1:21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U229" s="931"/>
    </row>
    <row r="230" spans="1:21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U230" s="931"/>
    </row>
    <row r="231" spans="1:21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U231" s="931"/>
    </row>
    <row r="232" spans="1:21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U232" s="931"/>
    </row>
    <row r="233" spans="1:21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U233" s="931"/>
    </row>
    <row r="234" spans="1:21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U234" s="931"/>
    </row>
    <row r="235" spans="1:21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U235" s="931"/>
    </row>
    <row r="236" spans="1:21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U236" s="931"/>
    </row>
    <row r="237" spans="1:21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U237" s="931"/>
    </row>
    <row r="238" spans="1:21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U238" s="931"/>
    </row>
    <row r="239" spans="1:21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U239" s="931"/>
    </row>
    <row r="240" spans="1:21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U240" s="931"/>
    </row>
    <row r="241" spans="1:21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U241" s="931"/>
    </row>
    <row r="242" spans="1:21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U242" s="931"/>
    </row>
    <row r="243" spans="1:21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U243" s="931"/>
    </row>
    <row r="244" spans="1:21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U244" s="931"/>
    </row>
    <row r="245" spans="1:21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U245" s="931"/>
    </row>
    <row r="246" spans="1:21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U246" s="931"/>
    </row>
    <row r="247" spans="1:21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U247" s="931"/>
    </row>
    <row r="248" spans="1:21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U248" s="931"/>
    </row>
    <row r="249" spans="1:21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U249" s="931"/>
    </row>
    <row r="250" spans="1:21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U250" s="931"/>
    </row>
    <row r="251" spans="1:21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U251" s="931"/>
    </row>
    <row r="252" spans="1:21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U252" s="931"/>
    </row>
    <row r="253" spans="1:21" s="930" customFormat="1">
      <c r="A253" s="931"/>
      <c r="B253" s="931"/>
      <c r="C253" s="931"/>
      <c r="D253" s="931"/>
      <c r="E253" s="931"/>
      <c r="F253" s="931"/>
      <c r="G253" s="931"/>
      <c r="H253" s="931"/>
      <c r="I253" s="931"/>
      <c r="J253" s="931"/>
      <c r="K253" s="931"/>
      <c r="L253" s="931"/>
      <c r="M253" s="931"/>
      <c r="N253" s="931"/>
      <c r="O253" s="931"/>
      <c r="P253" s="931"/>
      <c r="Q253" s="931"/>
      <c r="R253" s="931"/>
      <c r="S253" s="931"/>
      <c r="U253" s="931"/>
    </row>
    <row r="254" spans="1:21" s="930" customFormat="1">
      <c r="A254" s="931"/>
      <c r="B254" s="931"/>
      <c r="C254" s="931"/>
      <c r="D254" s="931"/>
      <c r="E254" s="931"/>
      <c r="F254" s="931"/>
      <c r="G254" s="931"/>
      <c r="H254" s="931"/>
      <c r="I254" s="931"/>
      <c r="J254" s="931"/>
      <c r="K254" s="931"/>
      <c r="L254" s="931"/>
      <c r="M254" s="931"/>
      <c r="N254" s="931"/>
      <c r="O254" s="931"/>
      <c r="P254" s="931"/>
      <c r="Q254" s="931"/>
      <c r="R254" s="931"/>
      <c r="S254" s="931"/>
      <c r="U254" s="931"/>
    </row>
  </sheetData>
  <sheetProtection formatCells="0" formatColumns="0" formatRows="0" sort="0" autoFilter="0" pivotTables="0"/>
  <mergeCells count="7">
    <mergeCell ref="A100:O100"/>
    <mergeCell ref="A113:N113"/>
    <mergeCell ref="A1:S1"/>
    <mergeCell ref="A52:B52"/>
    <mergeCell ref="A64:B64"/>
    <mergeCell ref="A76:B76"/>
    <mergeCell ref="A88:B88"/>
  </mergeCells>
  <pageMargins left="0.25" right="0.25" top="0.75" bottom="0.75" header="0.3" footer="0.3"/>
  <pageSetup paperSize="9" scale="30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C00-000000000000}">
          <x14:formula1>
            <xm:f>Списки!$C$3:$C$11</xm:f>
          </x14:formula1>
          <xm:sqref>D13 S14 R15:S15 R32:S32 D15:D29 D31:D35 D37:D50 R28:S29 R17:S23 R34:S50</xm:sqref>
        </x14:dataValidation>
        <x14:dataValidation type="list" allowBlank="1" showInputMessage="1" showErrorMessage="1" xr:uid="{00000000-0002-0000-1C00-000001000000}">
          <x14:formula1>
            <xm:f>Списки!$C$3:$C$4</xm:f>
          </x14:formula1>
          <xm:sqref>D14 D30 R33:S33 D51 D3:D12 R5:R14 S5:S13 R24:S27 R30:S31 R3:S4</xm:sqref>
        </x14:dataValidation>
        <x14:dataValidation type="list" allowBlank="1" showInputMessage="1" showErrorMessage="1" xr:uid="{00000000-0002-0000-1C00-000002000000}">
          <x14:formula1>
            <xm:f>Списки!$D$2:$D$7</xm:f>
          </x14:formula1>
          <xm:sqref>F3:F51</xm:sqref>
        </x14:dataValidation>
        <x14:dataValidation type="list" allowBlank="1" showInputMessage="1" showErrorMessage="1" xr:uid="{00000000-0002-0000-1C00-000003000000}">
          <x14:formula1>
            <xm:f>Списки!$B$2:$B$5</xm:f>
          </x14:formula1>
          <xm:sqref>G3:G51</xm:sqref>
        </x14:dataValidation>
        <x14:dataValidation type="list" allowBlank="1" showInputMessage="1" showErrorMessage="1" xr:uid="{00000000-0002-0000-1C00-000004000000}">
          <x14:formula1>
            <xm:f>Списки!$E$2:$E$7</xm:f>
          </x14:formula1>
          <xm:sqref>H3:H51</xm:sqref>
        </x14:dataValidation>
        <x14:dataValidation type="list" allowBlank="1" showInputMessage="1" showErrorMessage="1" xr:uid="{00000000-0002-0000-1C00-000005000000}">
          <x14:formula1>
            <xm:f>Списки!$G$2:$G$3</xm:f>
          </x14:formula1>
          <xm:sqref>L3:L51</xm:sqref>
        </x14:dataValidation>
        <x14:dataValidation type="list" allowBlank="1" showInputMessage="1" showErrorMessage="1" xr:uid="{00000000-0002-0000-1C00-000006000000}">
          <x14:formula1>
            <xm:f>Списки!$F$2:$F$3</xm:f>
          </x14:formula1>
          <xm:sqref>N3:N5 N7:N51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U273"/>
  <sheetViews>
    <sheetView view="pageBreakPreview" zoomScale="85" zoomScaleNormal="85" workbookViewId="0">
      <pane ySplit="2" topLeftCell="A72" activePane="bottomLeft" state="frozen"/>
      <selection pane="bottomLeft" activeCell="A111" sqref="A111:XFD111"/>
    </sheetView>
  </sheetViews>
  <sheetFormatPr defaultColWidth="12.28515625" defaultRowHeight="12.75" outlineLevelRow="1"/>
  <cols>
    <col min="1" max="1" width="11.7109375" style="931" customWidth="1"/>
    <col min="2" max="2" width="13.5703125" style="931" customWidth="1"/>
    <col min="3" max="3" width="13.85546875" style="931" customWidth="1"/>
    <col min="4" max="5" width="10.5703125" style="931" customWidth="1"/>
    <col min="6" max="6" width="13.5703125" style="931" customWidth="1"/>
    <col min="7" max="7" width="13.140625" style="931" customWidth="1"/>
    <col min="8" max="8" width="9.42578125" style="931" customWidth="1"/>
    <col min="9" max="9" width="13.5703125" style="931" customWidth="1"/>
    <col min="10" max="10" width="9.85546875" style="931" customWidth="1"/>
    <col min="11" max="11" width="16" style="931" customWidth="1"/>
    <col min="12" max="12" width="20.42578125" style="931" customWidth="1"/>
    <col min="13" max="13" width="16.5703125" style="931" customWidth="1"/>
    <col min="14" max="14" width="16.7109375" style="931" customWidth="1"/>
    <col min="15" max="15" width="20.85546875" style="931" customWidth="1"/>
    <col min="16" max="16" width="21" style="931" customWidth="1"/>
    <col min="17" max="17" width="32.5703125" style="931" customWidth="1"/>
    <col min="18" max="18" width="9.5703125" style="931" customWidth="1"/>
    <col min="19" max="19" width="14.28515625" style="931" customWidth="1"/>
    <col min="20" max="20" width="15" style="949" customWidth="1"/>
    <col min="21" max="21" width="1.7109375" style="931" customWidth="1"/>
    <col min="22" max="16384" width="12.28515625" style="931"/>
  </cols>
  <sheetData>
    <row r="1" spans="1:21" ht="15" customHeight="1">
      <c r="A1" s="2297">
        <v>45046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U1" s="931" t="s">
        <v>830</v>
      </c>
    </row>
    <row r="2" spans="1:2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932" t="s">
        <v>578</v>
      </c>
    </row>
    <row r="3" spans="1:21" ht="13.5" customHeight="1" outlineLevel="1">
      <c r="A3" s="62">
        <v>1</v>
      </c>
      <c r="B3" s="75">
        <v>318</v>
      </c>
      <c r="C3" s="75">
        <v>24369</v>
      </c>
      <c r="D3" s="117" t="s">
        <v>77</v>
      </c>
      <c r="E3" s="62">
        <v>29.35</v>
      </c>
      <c r="F3" s="945" t="s">
        <v>25</v>
      </c>
      <c r="G3" s="62" t="s">
        <v>7</v>
      </c>
      <c r="H3" s="62" t="s">
        <v>10</v>
      </c>
      <c r="I3" s="95">
        <v>2813446.17</v>
      </c>
      <c r="J3" s="62">
        <v>0</v>
      </c>
      <c r="K3" s="62" t="s">
        <v>286</v>
      </c>
      <c r="L3" s="62" t="s">
        <v>18</v>
      </c>
      <c r="M3" s="92"/>
      <c r="N3" s="117"/>
      <c r="O3" s="62" t="s">
        <v>1416</v>
      </c>
      <c r="P3" s="76" t="s">
        <v>67</v>
      </c>
      <c r="Q3" s="76" t="s">
        <v>67</v>
      </c>
      <c r="R3" s="945" t="s">
        <v>77</v>
      </c>
      <c r="S3" s="945" t="s">
        <v>77</v>
      </c>
      <c r="T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2373196.17</v>
      </c>
    </row>
    <row r="4" spans="1:21" s="929" customFormat="1" ht="14.25" customHeight="1" outlineLevel="1">
      <c r="A4" s="62">
        <v>2</v>
      </c>
      <c r="B4" s="75">
        <v>521</v>
      </c>
      <c r="C4" s="75">
        <v>23995</v>
      </c>
      <c r="D4" s="117" t="s">
        <v>73</v>
      </c>
      <c r="E4" s="62">
        <v>74.28</v>
      </c>
      <c r="F4" s="945" t="s">
        <v>25</v>
      </c>
      <c r="G4" s="62" t="s">
        <v>7</v>
      </c>
      <c r="H4" s="62" t="s">
        <v>22</v>
      </c>
      <c r="I4" s="95">
        <v>6397976.3200000003</v>
      </c>
      <c r="J4" s="62">
        <v>3</v>
      </c>
      <c r="K4" s="62" t="s">
        <v>65</v>
      </c>
      <c r="L4" s="62" t="s">
        <v>12</v>
      </c>
      <c r="M4" s="92">
        <v>45037</v>
      </c>
      <c r="N4" s="117" t="s">
        <v>11</v>
      </c>
      <c r="O4" s="62" t="s">
        <v>1417</v>
      </c>
      <c r="P4" s="76" t="s">
        <v>67</v>
      </c>
      <c r="Q4" s="866" t="s">
        <v>655</v>
      </c>
      <c r="R4" s="945" t="s">
        <v>73</v>
      </c>
      <c r="S4" s="945" t="s">
        <v>73</v>
      </c>
      <c r="T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5283776.32</v>
      </c>
    </row>
    <row r="5" spans="1:21" s="929" customFormat="1" ht="13.5" customHeight="1" outlineLevel="1">
      <c r="A5" s="62">
        <v>3</v>
      </c>
      <c r="B5" s="62">
        <v>207</v>
      </c>
      <c r="C5" s="75">
        <v>2966</v>
      </c>
      <c r="D5" s="117" t="s">
        <v>1233</v>
      </c>
      <c r="E5" s="62">
        <v>78.73</v>
      </c>
      <c r="F5" s="117" t="s">
        <v>15</v>
      </c>
      <c r="G5" s="62" t="s">
        <v>7</v>
      </c>
      <c r="H5" s="62" t="s">
        <v>16</v>
      </c>
      <c r="I5" s="91">
        <v>6018948.6500000004</v>
      </c>
      <c r="J5" s="62">
        <v>3</v>
      </c>
      <c r="K5" s="62" t="s">
        <v>65</v>
      </c>
      <c r="L5" s="117" t="s">
        <v>12</v>
      </c>
      <c r="M5" s="537">
        <v>45019</v>
      </c>
      <c r="N5" s="62" t="s">
        <v>17</v>
      </c>
      <c r="O5" s="62" t="s">
        <v>1418</v>
      </c>
      <c r="P5" s="76" t="s">
        <v>67</v>
      </c>
      <c r="Q5" s="76" t="s">
        <v>67</v>
      </c>
      <c r="R5" s="945" t="s">
        <v>1233</v>
      </c>
      <c r="S5" s="945" t="s">
        <v>77</v>
      </c>
      <c r="T5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5704028.6500000013</v>
      </c>
    </row>
    <row r="6" spans="1:21" s="929" customFormat="1" ht="12.75" customHeight="1" outlineLevel="1">
      <c r="A6" s="62">
        <v>4</v>
      </c>
      <c r="B6" s="75">
        <v>31</v>
      </c>
      <c r="C6" s="75">
        <v>24404</v>
      </c>
      <c r="D6" s="117" t="s">
        <v>1233</v>
      </c>
      <c r="E6" s="62">
        <v>21.75</v>
      </c>
      <c r="F6" s="941" t="s">
        <v>25</v>
      </c>
      <c r="G6" s="62" t="s">
        <v>7</v>
      </c>
      <c r="H6" s="62" t="s">
        <v>10</v>
      </c>
      <c r="I6" s="95">
        <v>2320620.17</v>
      </c>
      <c r="J6" s="62">
        <v>0</v>
      </c>
      <c r="K6" s="62" t="s">
        <v>130</v>
      </c>
      <c r="L6" s="62" t="s">
        <v>18</v>
      </c>
      <c r="M6" s="92">
        <v>45020</v>
      </c>
      <c r="N6" s="62" t="s">
        <v>17</v>
      </c>
      <c r="O6" s="62" t="s">
        <v>1419</v>
      </c>
      <c r="P6" s="76" t="s">
        <v>67</v>
      </c>
      <c r="Q6" s="76" t="s">
        <v>67</v>
      </c>
      <c r="R6" s="945" t="s">
        <v>1233</v>
      </c>
      <c r="S6" s="945" t="s">
        <v>1233</v>
      </c>
      <c r="T6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1994370.17</v>
      </c>
    </row>
    <row r="7" spans="1:21" s="929" customFormat="1" outlineLevel="1">
      <c r="A7" s="62">
        <v>5</v>
      </c>
      <c r="B7" s="75">
        <v>378</v>
      </c>
      <c r="C7" s="75">
        <v>24518</v>
      </c>
      <c r="D7" s="117" t="s">
        <v>1233</v>
      </c>
      <c r="E7" s="62">
        <v>56.7</v>
      </c>
      <c r="F7" s="941" t="s">
        <v>25</v>
      </c>
      <c r="G7" s="62" t="s">
        <v>7</v>
      </c>
      <c r="H7" s="62" t="s">
        <v>10</v>
      </c>
      <c r="I7" s="95">
        <v>5567579.3899999997</v>
      </c>
      <c r="J7" s="62">
        <v>2</v>
      </c>
      <c r="K7" s="62" t="s">
        <v>286</v>
      </c>
      <c r="L7" s="62" t="s">
        <v>18</v>
      </c>
      <c r="M7" s="92">
        <v>45020</v>
      </c>
      <c r="N7" s="62" t="s">
        <v>17</v>
      </c>
      <c r="O7" s="62" t="s">
        <v>1419</v>
      </c>
      <c r="P7" s="76" t="s">
        <v>67</v>
      </c>
      <c r="Q7" s="76" t="s">
        <v>67</v>
      </c>
      <c r="R7" s="945" t="s">
        <v>1233</v>
      </c>
      <c r="S7" s="945" t="s">
        <v>1233</v>
      </c>
      <c r="T7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4717079.3899999997</v>
      </c>
    </row>
    <row r="8" spans="1:21" s="929" customFormat="1" ht="12.75" customHeight="1" outlineLevel="1">
      <c r="A8" s="62">
        <v>6</v>
      </c>
      <c r="B8" s="75">
        <v>205</v>
      </c>
      <c r="C8" s="75">
        <v>24476</v>
      </c>
      <c r="D8" s="117" t="s">
        <v>1233</v>
      </c>
      <c r="E8" s="62">
        <v>36.700000000000003</v>
      </c>
      <c r="F8" s="941" t="s">
        <v>15</v>
      </c>
      <c r="G8" s="62" t="s">
        <v>7</v>
      </c>
      <c r="H8" s="62" t="s">
        <v>16</v>
      </c>
      <c r="I8" s="95">
        <v>3460317.85</v>
      </c>
      <c r="J8" s="62">
        <v>1</v>
      </c>
      <c r="K8" s="62" t="s">
        <v>65</v>
      </c>
      <c r="L8" s="62" t="s">
        <v>18</v>
      </c>
      <c r="M8" s="92">
        <v>45019</v>
      </c>
      <c r="N8" s="62" t="s">
        <v>17</v>
      </c>
      <c r="O8" s="62" t="s">
        <v>1420</v>
      </c>
      <c r="P8" s="76" t="s">
        <v>67</v>
      </c>
      <c r="Q8" s="76" t="s">
        <v>67</v>
      </c>
      <c r="R8" s="945" t="s">
        <v>1233</v>
      </c>
      <c r="S8" s="945" t="s">
        <v>1233</v>
      </c>
      <c r="T8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3313517.85</v>
      </c>
    </row>
    <row r="9" spans="1:21" s="929" customFormat="1" outlineLevel="1">
      <c r="A9" s="62">
        <v>7</v>
      </c>
      <c r="B9" s="75">
        <v>442</v>
      </c>
      <c r="C9" s="75">
        <v>24462</v>
      </c>
      <c r="D9" s="117" t="s">
        <v>1233</v>
      </c>
      <c r="E9" s="62">
        <v>56.04</v>
      </c>
      <c r="F9" s="941" t="s">
        <v>15</v>
      </c>
      <c r="G9" s="62" t="s">
        <v>7</v>
      </c>
      <c r="H9" s="62" t="s">
        <v>22</v>
      </c>
      <c r="I9" s="95">
        <v>4508317.6900000004</v>
      </c>
      <c r="J9" s="62">
        <v>2</v>
      </c>
      <c r="K9" s="62" t="s">
        <v>65</v>
      </c>
      <c r="L9" s="62" t="s">
        <v>18</v>
      </c>
      <c r="M9" s="92">
        <v>45017</v>
      </c>
      <c r="N9" s="62" t="s">
        <v>17</v>
      </c>
      <c r="O9" s="62" t="s">
        <v>1421</v>
      </c>
      <c r="P9" s="76" t="s">
        <v>67</v>
      </c>
      <c r="Q9" s="76" t="s">
        <v>655</v>
      </c>
      <c r="R9" s="945" t="s">
        <v>1233</v>
      </c>
      <c r="S9" s="945" t="s">
        <v>1233</v>
      </c>
      <c r="T9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4284157.6900000004</v>
      </c>
    </row>
    <row r="10" spans="1:21" outlineLevel="1">
      <c r="A10" s="62">
        <v>8</v>
      </c>
      <c r="B10" s="75">
        <v>264</v>
      </c>
      <c r="C10" s="75">
        <v>24643</v>
      </c>
      <c r="D10" s="62" t="s">
        <v>77</v>
      </c>
      <c r="E10" s="62">
        <v>36.450000000000003</v>
      </c>
      <c r="F10" s="941" t="s">
        <v>15</v>
      </c>
      <c r="G10" s="62" t="s">
        <v>7</v>
      </c>
      <c r="H10" s="62" t="s">
        <v>16</v>
      </c>
      <c r="I10" s="95">
        <v>3245317.37</v>
      </c>
      <c r="J10" s="62">
        <v>0</v>
      </c>
      <c r="K10" s="62" t="s">
        <v>65</v>
      </c>
      <c r="L10" s="62" t="s">
        <v>18</v>
      </c>
      <c r="M10" s="92">
        <v>45021</v>
      </c>
      <c r="N10" s="62" t="s">
        <v>17</v>
      </c>
      <c r="O10" s="62" t="s">
        <v>1422</v>
      </c>
      <c r="P10" s="76" t="s">
        <v>67</v>
      </c>
      <c r="Q10" s="76" t="s">
        <v>67</v>
      </c>
      <c r="R10" s="941" t="s">
        <v>77</v>
      </c>
      <c r="S10" s="941" t="s">
        <v>77</v>
      </c>
      <c r="T10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3099517.3699999996</v>
      </c>
      <c r="U10" s="929"/>
    </row>
    <row r="11" spans="1:21" s="929" customFormat="1" ht="12.75" customHeight="1" outlineLevel="1">
      <c r="A11" s="62">
        <v>9</v>
      </c>
      <c r="B11" s="75">
        <v>476</v>
      </c>
      <c r="C11" s="75">
        <v>322</v>
      </c>
      <c r="D11" s="62" t="s">
        <v>77</v>
      </c>
      <c r="E11" s="62">
        <v>74.28</v>
      </c>
      <c r="F11" s="941" t="s">
        <v>15</v>
      </c>
      <c r="G11" s="62" t="s">
        <v>7</v>
      </c>
      <c r="H11" s="62" t="s">
        <v>16</v>
      </c>
      <c r="I11" s="95">
        <v>5902678.0300000003</v>
      </c>
      <c r="J11" s="62">
        <v>3</v>
      </c>
      <c r="K11" s="62" t="s">
        <v>65</v>
      </c>
      <c r="L11" s="62" t="s">
        <v>18</v>
      </c>
      <c r="M11" s="92">
        <v>45023</v>
      </c>
      <c r="N11" s="62" t="s">
        <v>17</v>
      </c>
      <c r="O11" s="62" t="s">
        <v>1423</v>
      </c>
      <c r="P11" s="76" t="s">
        <v>67</v>
      </c>
      <c r="Q11" s="76" t="s">
        <v>67</v>
      </c>
      <c r="R11" s="941" t="s">
        <v>77</v>
      </c>
      <c r="S11" s="941" t="s">
        <v>77</v>
      </c>
      <c r="T11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5605558.0300000003</v>
      </c>
    </row>
    <row r="12" spans="1:21" s="929" customFormat="1" outlineLevel="1">
      <c r="A12" s="62">
        <v>10</v>
      </c>
      <c r="B12" s="75">
        <v>406</v>
      </c>
      <c r="C12" s="75">
        <v>24598</v>
      </c>
      <c r="D12" s="62" t="s">
        <v>73</v>
      </c>
      <c r="E12" s="62">
        <v>56.04</v>
      </c>
      <c r="F12" s="941" t="s">
        <v>15</v>
      </c>
      <c r="G12" s="62" t="s">
        <v>7</v>
      </c>
      <c r="H12" s="62" t="s">
        <v>22</v>
      </c>
      <c r="I12" s="95">
        <v>4251663.3099999996</v>
      </c>
      <c r="J12" s="62">
        <v>2</v>
      </c>
      <c r="K12" s="62" t="s">
        <v>65</v>
      </c>
      <c r="L12" s="62" t="s">
        <v>18</v>
      </c>
      <c r="M12" s="92">
        <v>45020</v>
      </c>
      <c r="N12" s="62" t="s">
        <v>17</v>
      </c>
      <c r="O12" s="62" t="s">
        <v>1424</v>
      </c>
      <c r="P12" s="76" t="s">
        <v>67</v>
      </c>
      <c r="Q12" s="76" t="s">
        <v>67</v>
      </c>
      <c r="R12" s="945" t="s">
        <v>73</v>
      </c>
      <c r="S12" s="945" t="s">
        <v>73</v>
      </c>
      <c r="T12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4027503.3099999996</v>
      </c>
    </row>
    <row r="13" spans="1:21" s="929" customFormat="1" ht="12.75" customHeight="1" outlineLevel="1">
      <c r="A13" s="62">
        <v>11</v>
      </c>
      <c r="B13" s="75">
        <v>367</v>
      </c>
      <c r="C13" s="75">
        <v>24657</v>
      </c>
      <c r="D13" s="117" t="s">
        <v>73</v>
      </c>
      <c r="E13" s="62">
        <v>29.35</v>
      </c>
      <c r="F13" s="941" t="s">
        <v>15</v>
      </c>
      <c r="G13" s="62" t="s">
        <v>7</v>
      </c>
      <c r="H13" s="62" t="s">
        <v>22</v>
      </c>
      <c r="I13" s="95">
        <v>2786144.72</v>
      </c>
      <c r="J13" s="62">
        <v>0</v>
      </c>
      <c r="K13" s="62" t="s">
        <v>65</v>
      </c>
      <c r="L13" s="62" t="s">
        <v>18</v>
      </c>
      <c r="M13" s="92">
        <v>45021</v>
      </c>
      <c r="N13" s="117" t="s">
        <v>17</v>
      </c>
      <c r="O13" s="62" t="s">
        <v>1425</v>
      </c>
      <c r="P13" s="76" t="s">
        <v>67</v>
      </c>
      <c r="Q13" s="76" t="s">
        <v>67</v>
      </c>
      <c r="R13" s="945" t="s">
        <v>73</v>
      </c>
      <c r="S13" s="945" t="s">
        <v>73</v>
      </c>
      <c r="T1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2668744.7200000002</v>
      </c>
    </row>
    <row r="14" spans="1:21" s="929" customFormat="1" ht="12.75" customHeight="1" outlineLevel="1">
      <c r="A14" s="62">
        <v>12</v>
      </c>
      <c r="B14" s="75">
        <v>304</v>
      </c>
      <c r="C14" s="74">
        <v>24677</v>
      </c>
      <c r="D14" s="117" t="s">
        <v>77</v>
      </c>
      <c r="E14" s="62">
        <v>29.35</v>
      </c>
      <c r="F14" s="941" t="s">
        <v>15</v>
      </c>
      <c r="G14" s="62" t="s">
        <v>7</v>
      </c>
      <c r="H14" s="62" t="s">
        <v>16</v>
      </c>
      <c r="I14" s="95">
        <v>2588459.85</v>
      </c>
      <c r="J14" s="62">
        <v>0</v>
      </c>
      <c r="K14" s="62" t="s">
        <v>65</v>
      </c>
      <c r="L14" s="62" t="s">
        <v>18</v>
      </c>
      <c r="M14" s="92">
        <v>45023</v>
      </c>
      <c r="N14" s="117" t="s">
        <v>17</v>
      </c>
      <c r="O14" s="62" t="s">
        <v>1426</v>
      </c>
      <c r="P14" s="76" t="s">
        <v>67</v>
      </c>
      <c r="Q14" s="76" t="s">
        <v>67</v>
      </c>
      <c r="R14" s="945" t="s">
        <v>77</v>
      </c>
      <c r="S14" s="945" t="s">
        <v>77</v>
      </c>
      <c r="T1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2471059.85</v>
      </c>
    </row>
    <row r="15" spans="1:21" s="929" customFormat="1" ht="12.75" customHeight="1" outlineLevel="1">
      <c r="A15" s="62">
        <v>13</v>
      </c>
      <c r="B15" s="75">
        <v>306</v>
      </c>
      <c r="C15" s="75">
        <v>24841</v>
      </c>
      <c r="D15" s="117" t="s">
        <v>77</v>
      </c>
      <c r="E15" s="62">
        <v>36.450000000000003</v>
      </c>
      <c r="F15" s="941" t="s">
        <v>25</v>
      </c>
      <c r="G15" s="62" t="s">
        <v>7</v>
      </c>
      <c r="H15" s="62" t="s">
        <v>22</v>
      </c>
      <c r="I15" s="95">
        <v>3646267.37</v>
      </c>
      <c r="J15" s="62">
        <v>1</v>
      </c>
      <c r="K15" s="62" t="s">
        <v>65</v>
      </c>
      <c r="L15" s="62" t="s">
        <v>18</v>
      </c>
      <c r="M15" s="92">
        <v>45043</v>
      </c>
      <c r="N15" s="117" t="s">
        <v>17</v>
      </c>
      <c r="O15" s="941" t="s">
        <v>1427</v>
      </c>
      <c r="P15" s="76" t="s">
        <v>67</v>
      </c>
      <c r="Q15" s="76" t="s">
        <v>67</v>
      </c>
      <c r="R15" s="945" t="s">
        <v>77</v>
      </c>
      <c r="S15" s="945" t="s">
        <v>77</v>
      </c>
      <c r="T15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3099517.3699999996</v>
      </c>
    </row>
    <row r="16" spans="1:21" s="929" customFormat="1" ht="12.75" customHeight="1" outlineLevel="1">
      <c r="A16" s="62">
        <v>14</v>
      </c>
      <c r="B16" s="62">
        <v>190</v>
      </c>
      <c r="C16" s="75">
        <v>24674</v>
      </c>
      <c r="D16" s="117" t="s">
        <v>1233</v>
      </c>
      <c r="E16" s="62">
        <v>36.659999999999997</v>
      </c>
      <c r="F16" s="117" t="s">
        <v>15</v>
      </c>
      <c r="G16" s="62" t="s">
        <v>7</v>
      </c>
      <c r="H16" s="62" t="s">
        <v>22</v>
      </c>
      <c r="I16" s="91">
        <v>3489645.6</v>
      </c>
      <c r="J16" s="62">
        <v>1</v>
      </c>
      <c r="K16" s="62" t="s">
        <v>65</v>
      </c>
      <c r="L16" s="117" t="s">
        <v>18</v>
      </c>
      <c r="M16" s="537">
        <v>45027</v>
      </c>
      <c r="N16" s="62" t="s">
        <v>17</v>
      </c>
      <c r="O16" s="62" t="s">
        <v>1428</v>
      </c>
      <c r="P16" s="76" t="s">
        <v>67</v>
      </c>
      <c r="Q16" s="76" t="s">
        <v>655</v>
      </c>
      <c r="R16" s="945" t="s">
        <v>1233</v>
      </c>
      <c r="S16" s="945" t="s">
        <v>1233</v>
      </c>
      <c r="T16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3343005.6</v>
      </c>
    </row>
    <row r="17" spans="1:20" s="929" customFormat="1" ht="21" customHeight="1" outlineLevel="1">
      <c r="A17" s="62">
        <v>15</v>
      </c>
      <c r="B17" s="75">
        <v>279</v>
      </c>
      <c r="C17" s="75">
        <v>24458</v>
      </c>
      <c r="D17" s="62" t="s">
        <v>73</v>
      </c>
      <c r="E17" s="62">
        <v>58.55</v>
      </c>
      <c r="F17" s="941" t="s">
        <v>15</v>
      </c>
      <c r="G17" s="62" t="s">
        <v>7</v>
      </c>
      <c r="H17" s="62" t="s">
        <v>16</v>
      </c>
      <c r="I17" s="95">
        <v>4664587.5199999996</v>
      </c>
      <c r="J17" s="62">
        <v>2</v>
      </c>
      <c r="K17" s="62" t="s">
        <v>65</v>
      </c>
      <c r="L17" s="62" t="s">
        <v>18</v>
      </c>
      <c r="M17" s="92">
        <v>45028</v>
      </c>
      <c r="N17" s="62" t="s">
        <v>17</v>
      </c>
      <c r="O17" s="62" t="s">
        <v>1429</v>
      </c>
      <c r="P17" s="76" t="s">
        <v>67</v>
      </c>
      <c r="Q17" s="76" t="s">
        <v>67</v>
      </c>
      <c r="R17" s="941" t="s">
        <v>73</v>
      </c>
      <c r="S17" s="941" t="s">
        <v>73</v>
      </c>
      <c r="T17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4430387.5199999996</v>
      </c>
    </row>
    <row r="18" spans="1:20" s="929" customFormat="1" outlineLevel="1">
      <c r="A18" s="62">
        <v>16</v>
      </c>
      <c r="B18" s="75">
        <v>163</v>
      </c>
      <c r="C18" s="75">
        <v>24617</v>
      </c>
      <c r="D18" s="117" t="s">
        <v>73</v>
      </c>
      <c r="E18" s="62">
        <v>35.380000000000003</v>
      </c>
      <c r="F18" s="945" t="s">
        <v>15</v>
      </c>
      <c r="G18" s="62" t="s">
        <v>7</v>
      </c>
      <c r="H18" s="62" t="s">
        <v>22</v>
      </c>
      <c r="I18" s="95">
        <v>3336781.2</v>
      </c>
      <c r="J18" s="62">
        <v>1</v>
      </c>
      <c r="K18" s="62" t="s">
        <v>65</v>
      </c>
      <c r="L18" s="62" t="s">
        <v>18</v>
      </c>
      <c r="M18" s="92">
        <v>45022</v>
      </c>
      <c r="N18" s="62" t="s">
        <v>17</v>
      </c>
      <c r="O18" s="62" t="s">
        <v>1430</v>
      </c>
      <c r="P18" s="76" t="s">
        <v>67</v>
      </c>
      <c r="Q18" s="76" t="s">
        <v>67</v>
      </c>
      <c r="R18" s="945" t="s">
        <v>73</v>
      </c>
      <c r="S18" s="945" t="s">
        <v>73</v>
      </c>
      <c r="T18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3195261.2</v>
      </c>
    </row>
    <row r="19" spans="1:20" s="929" customFormat="1" ht="13.5" customHeight="1" outlineLevel="1">
      <c r="A19" s="62">
        <v>17</v>
      </c>
      <c r="B19" s="62">
        <v>217</v>
      </c>
      <c r="C19" s="75">
        <v>24628</v>
      </c>
      <c r="D19" s="117" t="s">
        <v>73</v>
      </c>
      <c r="E19" s="62">
        <v>28.97</v>
      </c>
      <c r="F19" s="945" t="s">
        <v>9</v>
      </c>
      <c r="G19" s="62" t="s">
        <v>7</v>
      </c>
      <c r="H19" s="62" t="s">
        <v>84</v>
      </c>
      <c r="I19" s="91">
        <v>2439066.5699999998</v>
      </c>
      <c r="J19" s="62">
        <v>0</v>
      </c>
      <c r="K19" s="62" t="s">
        <v>286</v>
      </c>
      <c r="L19" s="62" t="s">
        <v>18</v>
      </c>
      <c r="M19" s="537">
        <v>45022</v>
      </c>
      <c r="N19" s="62" t="s">
        <v>17</v>
      </c>
      <c r="O19" s="62" t="s">
        <v>1431</v>
      </c>
      <c r="P19" s="76" t="s">
        <v>67</v>
      </c>
      <c r="Q19" s="76" t="s">
        <v>67</v>
      </c>
      <c r="R19" s="945" t="s">
        <v>73</v>
      </c>
      <c r="S19" s="945" t="s">
        <v>1233</v>
      </c>
      <c r="T19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2439066.5699999998</v>
      </c>
    </row>
    <row r="20" spans="1:20" s="929" customFormat="1" ht="12.75" customHeight="1" outlineLevel="1">
      <c r="A20" s="62">
        <v>18</v>
      </c>
      <c r="B20" s="75">
        <v>478</v>
      </c>
      <c r="C20" s="75">
        <v>24622</v>
      </c>
      <c r="D20" s="117" t="s">
        <v>73</v>
      </c>
      <c r="E20" s="62">
        <v>56.04</v>
      </c>
      <c r="F20" s="945" t="s">
        <v>15</v>
      </c>
      <c r="G20" s="62" t="s">
        <v>7</v>
      </c>
      <c r="H20" s="62" t="s">
        <v>22</v>
      </c>
      <c r="I20" s="95">
        <v>4551159.71</v>
      </c>
      <c r="J20" s="62">
        <v>2</v>
      </c>
      <c r="K20" s="62" t="s">
        <v>65</v>
      </c>
      <c r="L20" s="62" t="s">
        <v>18</v>
      </c>
      <c r="M20" s="92">
        <v>45027</v>
      </c>
      <c r="N20" s="62" t="s">
        <v>17</v>
      </c>
      <c r="O20" s="62" t="s">
        <v>1432</v>
      </c>
      <c r="P20" s="76" t="s">
        <v>67</v>
      </c>
      <c r="Q20" s="76" t="s">
        <v>67</v>
      </c>
      <c r="R20" s="945" t="s">
        <v>73</v>
      </c>
      <c r="S20" s="945" t="s">
        <v>73</v>
      </c>
      <c r="T20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4326999.71</v>
      </c>
    </row>
    <row r="21" spans="1:20" s="929" customFormat="1" ht="12.75" customHeight="1" outlineLevel="1">
      <c r="A21" s="62">
        <v>19</v>
      </c>
      <c r="B21" s="75">
        <v>8</v>
      </c>
      <c r="C21" s="75">
        <v>24178</v>
      </c>
      <c r="D21" s="117" t="s">
        <v>73</v>
      </c>
      <c r="E21" s="62">
        <v>78.95</v>
      </c>
      <c r="F21" s="945" t="s">
        <v>9</v>
      </c>
      <c r="G21" s="62" t="s">
        <v>27</v>
      </c>
      <c r="H21" s="62" t="s">
        <v>10</v>
      </c>
      <c r="I21" s="95" t="s">
        <v>1433</v>
      </c>
      <c r="J21" s="62" t="s">
        <v>1337</v>
      </c>
      <c r="K21" s="62" t="s">
        <v>286</v>
      </c>
      <c r="L21" s="62" t="s">
        <v>12</v>
      </c>
      <c r="M21" s="92">
        <v>45020</v>
      </c>
      <c r="N21" s="62" t="s">
        <v>11</v>
      </c>
      <c r="O21" s="62" t="s">
        <v>1434</v>
      </c>
      <c r="P21" s="76" t="s">
        <v>67</v>
      </c>
      <c r="Q21" s="76" t="s">
        <v>67</v>
      </c>
      <c r="R21" s="945" t="s">
        <v>73</v>
      </c>
      <c r="S21" s="945" t="s">
        <v>73</v>
      </c>
      <c r="T21" s="946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22" spans="1:20" s="929" customFormat="1" ht="12.75" customHeight="1" outlineLevel="1">
      <c r="A22" s="62">
        <v>20</v>
      </c>
      <c r="B22" s="75">
        <v>12</v>
      </c>
      <c r="C22" s="75">
        <v>24671</v>
      </c>
      <c r="D22" s="117" t="s">
        <v>73</v>
      </c>
      <c r="E22" s="62">
        <v>56.03</v>
      </c>
      <c r="F22" s="945" t="s">
        <v>15</v>
      </c>
      <c r="G22" s="62" t="s">
        <v>7</v>
      </c>
      <c r="H22" s="62" t="s">
        <v>84</v>
      </c>
      <c r="I22" s="95">
        <v>4550347.58</v>
      </c>
      <c r="J22" s="62">
        <v>2</v>
      </c>
      <c r="K22" s="62" t="s">
        <v>286</v>
      </c>
      <c r="L22" s="62" t="s">
        <v>18</v>
      </c>
      <c r="M22" s="92">
        <v>45023</v>
      </c>
      <c r="N22" s="62" t="s">
        <v>17</v>
      </c>
      <c r="O22" s="941" t="s">
        <v>1435</v>
      </c>
      <c r="P22" s="76" t="s">
        <v>67</v>
      </c>
      <c r="Q22" s="76" t="s">
        <v>67</v>
      </c>
      <c r="R22" s="945" t="s">
        <v>73</v>
      </c>
      <c r="S22" s="945" t="s">
        <v>73</v>
      </c>
      <c r="T22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4326227.58</v>
      </c>
    </row>
    <row r="23" spans="1:20" s="929" customFormat="1" ht="12.75" customHeight="1" outlineLevel="1">
      <c r="A23" s="62">
        <v>21</v>
      </c>
      <c r="B23" s="62">
        <v>474</v>
      </c>
      <c r="C23" s="75">
        <v>24605</v>
      </c>
      <c r="D23" s="117" t="s">
        <v>73</v>
      </c>
      <c r="E23" s="62">
        <v>39.74</v>
      </c>
      <c r="F23" s="945" t="s">
        <v>15</v>
      </c>
      <c r="G23" s="62" t="s">
        <v>7</v>
      </c>
      <c r="H23" s="62" t="s">
        <v>84</v>
      </c>
      <c r="I23" s="95">
        <v>3683139.09</v>
      </c>
      <c r="J23" s="62">
        <v>1</v>
      </c>
      <c r="K23" s="62" t="s">
        <v>286</v>
      </c>
      <c r="L23" s="62" t="s">
        <v>18</v>
      </c>
      <c r="M23" s="92">
        <v>45021</v>
      </c>
      <c r="N23" s="62" t="s">
        <v>17</v>
      </c>
      <c r="O23" s="941" t="s">
        <v>1436</v>
      </c>
      <c r="P23" s="76" t="s">
        <v>67</v>
      </c>
      <c r="Q23" s="76" t="s">
        <v>67</v>
      </c>
      <c r="R23" s="945" t="s">
        <v>73</v>
      </c>
      <c r="S23" s="945" t="s">
        <v>73</v>
      </c>
      <c r="T2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3524179.0900000003</v>
      </c>
    </row>
    <row r="24" spans="1:20" s="929" customFormat="1" ht="12.75" customHeight="1" outlineLevel="1">
      <c r="A24" s="62">
        <v>22</v>
      </c>
      <c r="B24" s="75">
        <v>245</v>
      </c>
      <c r="C24" s="74">
        <v>24833</v>
      </c>
      <c r="D24" s="62" t="s">
        <v>77</v>
      </c>
      <c r="E24" s="62">
        <v>56.7</v>
      </c>
      <c r="F24" s="941" t="s">
        <v>15</v>
      </c>
      <c r="G24" s="62" t="s">
        <v>7</v>
      </c>
      <c r="H24" s="62" t="s">
        <v>22</v>
      </c>
      <c r="I24" s="95">
        <v>4604760.09</v>
      </c>
      <c r="J24" s="62">
        <v>2</v>
      </c>
      <c r="K24" s="62" t="s">
        <v>65</v>
      </c>
      <c r="L24" s="62" t="s">
        <v>18</v>
      </c>
      <c r="M24" s="539">
        <v>45037</v>
      </c>
      <c r="N24" s="117" t="s">
        <v>17</v>
      </c>
      <c r="O24" s="62" t="s">
        <v>1437</v>
      </c>
      <c r="P24" s="76" t="s">
        <v>67</v>
      </c>
      <c r="Q24" s="76" t="s">
        <v>67</v>
      </c>
      <c r="R24" s="945" t="s">
        <v>77</v>
      </c>
      <c r="S24" s="945" t="s">
        <v>77</v>
      </c>
      <c r="T2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4377960.09</v>
      </c>
    </row>
    <row r="25" spans="1:20" s="929" customFormat="1" ht="12.75" customHeight="1" outlineLevel="1">
      <c r="A25" s="62">
        <v>23</v>
      </c>
      <c r="B25" s="75">
        <v>473</v>
      </c>
      <c r="C25" s="75">
        <v>1473</v>
      </c>
      <c r="D25" s="117" t="s">
        <v>1233</v>
      </c>
      <c r="E25" s="62">
        <v>44.37</v>
      </c>
      <c r="F25" s="941" t="s">
        <v>15</v>
      </c>
      <c r="G25" s="62" t="s">
        <v>7</v>
      </c>
      <c r="H25" s="62" t="s">
        <v>22</v>
      </c>
      <c r="I25" s="95">
        <v>3853049.54</v>
      </c>
      <c r="J25" s="62">
        <v>1</v>
      </c>
      <c r="K25" s="62" t="s">
        <v>583</v>
      </c>
      <c r="L25" s="62" t="s">
        <v>18</v>
      </c>
      <c r="M25" s="92">
        <v>45035</v>
      </c>
      <c r="N25" s="117" t="s">
        <v>17</v>
      </c>
      <c r="O25" s="62" t="s">
        <v>1438</v>
      </c>
      <c r="P25" s="76" t="s">
        <v>67</v>
      </c>
      <c r="Q25" s="76" t="s">
        <v>67</v>
      </c>
      <c r="R25" s="945" t="s">
        <v>1233</v>
      </c>
      <c r="S25" s="945" t="s">
        <v>1233</v>
      </c>
      <c r="T25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3675569.54</v>
      </c>
    </row>
    <row r="26" spans="1:20" s="929" customFormat="1" ht="12.75" customHeight="1" outlineLevel="1">
      <c r="A26" s="62">
        <v>24</v>
      </c>
      <c r="B26" s="75">
        <v>123</v>
      </c>
      <c r="C26" s="75">
        <v>24466</v>
      </c>
      <c r="D26" s="117" t="s">
        <v>1233</v>
      </c>
      <c r="E26" s="62">
        <v>35.380000000000003</v>
      </c>
      <c r="F26" s="941" t="s">
        <v>15</v>
      </c>
      <c r="G26" s="62" t="s">
        <v>7</v>
      </c>
      <c r="H26" s="62" t="s">
        <v>16</v>
      </c>
      <c r="I26" s="95">
        <v>3086455.37</v>
      </c>
      <c r="J26" s="62">
        <v>1</v>
      </c>
      <c r="K26" s="62" t="s">
        <v>583</v>
      </c>
      <c r="L26" s="62" t="s">
        <v>18</v>
      </c>
      <c r="M26" s="92">
        <v>45040</v>
      </c>
      <c r="N26" s="117" t="s">
        <v>17</v>
      </c>
      <c r="O26" s="62" t="s">
        <v>1439</v>
      </c>
      <c r="P26" s="76" t="s">
        <v>67</v>
      </c>
      <c r="Q26" s="76" t="s">
        <v>67</v>
      </c>
      <c r="R26" s="945" t="s">
        <v>1233</v>
      </c>
      <c r="S26" s="945" t="s">
        <v>1233</v>
      </c>
      <c r="T26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2944935.37</v>
      </c>
    </row>
    <row r="27" spans="1:20" s="929" customFormat="1" ht="12.75" customHeight="1" outlineLevel="1">
      <c r="A27" s="62">
        <v>25</v>
      </c>
      <c r="B27" s="75">
        <v>531</v>
      </c>
      <c r="C27" s="74">
        <v>24782</v>
      </c>
      <c r="D27" s="62" t="s">
        <v>73</v>
      </c>
      <c r="E27" s="62">
        <v>36.5</v>
      </c>
      <c r="F27" s="941" t="s">
        <v>25</v>
      </c>
      <c r="G27" s="62" t="s">
        <v>7</v>
      </c>
      <c r="H27" s="62" t="s">
        <v>16</v>
      </c>
      <c r="I27" s="95">
        <v>4008731.86</v>
      </c>
      <c r="J27" s="62">
        <v>1</v>
      </c>
      <c r="K27" s="62" t="s">
        <v>65</v>
      </c>
      <c r="L27" s="62" t="s">
        <v>18</v>
      </c>
      <c r="M27" s="92">
        <v>45040</v>
      </c>
      <c r="N27" s="117" t="s">
        <v>17</v>
      </c>
      <c r="O27" s="62" t="s">
        <v>1440</v>
      </c>
      <c r="P27" s="76" t="s">
        <v>67</v>
      </c>
      <c r="Q27" s="76" t="s">
        <v>67</v>
      </c>
      <c r="R27" s="941" t="s">
        <v>73</v>
      </c>
      <c r="S27" s="941" t="s">
        <v>73</v>
      </c>
      <c r="T27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3461231.86</v>
      </c>
    </row>
    <row r="28" spans="1:20" ht="12.75" customHeight="1" outlineLevel="1">
      <c r="A28" s="62">
        <v>26</v>
      </c>
      <c r="B28" s="75">
        <v>78</v>
      </c>
      <c r="C28" s="75">
        <v>24645</v>
      </c>
      <c r="D28" s="117" t="s">
        <v>8</v>
      </c>
      <c r="E28" s="62">
        <v>59.87</v>
      </c>
      <c r="F28" s="941" t="s">
        <v>15</v>
      </c>
      <c r="G28" s="62" t="s">
        <v>7</v>
      </c>
      <c r="H28" s="62" t="s">
        <v>16</v>
      </c>
      <c r="I28" s="95">
        <v>5084009.53</v>
      </c>
      <c r="J28" s="62">
        <v>2</v>
      </c>
      <c r="K28" s="62" t="s">
        <v>65</v>
      </c>
      <c r="L28" s="62" t="s">
        <v>18</v>
      </c>
      <c r="M28" s="537">
        <v>45022</v>
      </c>
      <c r="N28" s="117" t="s">
        <v>17</v>
      </c>
      <c r="O28" s="76" t="s">
        <v>1441</v>
      </c>
      <c r="P28" s="76" t="s">
        <v>67</v>
      </c>
      <c r="Q28" s="76" t="s">
        <v>67</v>
      </c>
      <c r="R28" s="945" t="s">
        <v>8</v>
      </c>
      <c r="S28" s="945" t="s">
        <v>8</v>
      </c>
      <c r="T28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4844529.53</v>
      </c>
    </row>
    <row r="29" spans="1:20" s="929" customFormat="1" ht="12.75" customHeight="1" outlineLevel="1">
      <c r="A29" s="62">
        <v>27</v>
      </c>
      <c r="B29" s="75">
        <v>175</v>
      </c>
      <c r="C29" s="75">
        <v>24701</v>
      </c>
      <c r="D29" s="117" t="s">
        <v>73</v>
      </c>
      <c r="E29" s="62">
        <v>24.39</v>
      </c>
      <c r="F29" s="941" t="s">
        <v>25</v>
      </c>
      <c r="G29" s="62" t="s">
        <v>27</v>
      </c>
      <c r="H29" s="62" t="s">
        <v>16</v>
      </c>
      <c r="I29" s="95">
        <v>2930493.87</v>
      </c>
      <c r="J29" s="62">
        <v>0</v>
      </c>
      <c r="K29" s="62" t="s">
        <v>65</v>
      </c>
      <c r="L29" s="62" t="s">
        <v>18</v>
      </c>
      <c r="M29" s="92">
        <v>45034</v>
      </c>
      <c r="N29" s="117" t="s">
        <v>17</v>
      </c>
      <c r="O29" s="62" t="s">
        <v>1442</v>
      </c>
      <c r="P29" s="76" t="s">
        <v>67</v>
      </c>
      <c r="Q29" s="76" t="s">
        <v>1443</v>
      </c>
      <c r="R29" s="945" t="s">
        <v>73</v>
      </c>
      <c r="S29" s="945" t="s">
        <v>77</v>
      </c>
      <c r="T29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2564643.87</v>
      </c>
    </row>
    <row r="30" spans="1:20" s="929" customFormat="1" ht="15" customHeight="1" outlineLevel="1">
      <c r="A30" s="62">
        <v>28</v>
      </c>
      <c r="B30" s="75">
        <v>43</v>
      </c>
      <c r="C30" s="75">
        <v>24202</v>
      </c>
      <c r="D30" s="62" t="s">
        <v>73</v>
      </c>
      <c r="E30" s="62">
        <v>35.54</v>
      </c>
      <c r="F30" s="941" t="s">
        <v>25</v>
      </c>
      <c r="G30" s="62" t="s">
        <v>7</v>
      </c>
      <c r="H30" s="62" t="s">
        <v>84</v>
      </c>
      <c r="I30" s="95">
        <v>3616292.23</v>
      </c>
      <c r="J30" s="62">
        <v>1</v>
      </c>
      <c r="K30" s="62" t="s">
        <v>286</v>
      </c>
      <c r="L30" s="62" t="s">
        <v>18</v>
      </c>
      <c r="M30" s="92">
        <v>45028</v>
      </c>
      <c r="N30" s="117" t="s">
        <v>11</v>
      </c>
      <c r="O30" s="941" t="s">
        <v>1444</v>
      </c>
      <c r="P30" s="76" t="s">
        <v>67</v>
      </c>
      <c r="Q30" s="76" t="s">
        <v>67</v>
      </c>
      <c r="R30" s="941" t="s">
        <v>73</v>
      </c>
      <c r="S30" s="941" t="s">
        <v>73</v>
      </c>
      <c r="T30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3083192.2300000004</v>
      </c>
    </row>
    <row r="31" spans="1:20" s="929" customFormat="1" ht="12.75" customHeight="1" outlineLevel="1">
      <c r="A31" s="62">
        <v>29</v>
      </c>
      <c r="B31" s="62">
        <v>532</v>
      </c>
      <c r="C31" s="75">
        <v>24800</v>
      </c>
      <c r="D31" s="62" t="s">
        <v>1233</v>
      </c>
      <c r="E31" s="62">
        <v>56.04</v>
      </c>
      <c r="F31" s="941" t="s">
        <v>25</v>
      </c>
      <c r="G31" s="62" t="s">
        <v>7</v>
      </c>
      <c r="H31" s="62" t="s">
        <v>16</v>
      </c>
      <c r="I31" s="95">
        <v>5167599.71</v>
      </c>
      <c r="J31" s="62">
        <v>2</v>
      </c>
      <c r="K31" s="62" t="s">
        <v>65</v>
      </c>
      <c r="L31" s="62" t="s">
        <v>18</v>
      </c>
      <c r="M31" s="942">
        <v>45034</v>
      </c>
      <c r="N31" s="117" t="s">
        <v>17</v>
      </c>
      <c r="O31" s="941" t="s">
        <v>1445</v>
      </c>
      <c r="P31" s="76" t="s">
        <v>67</v>
      </c>
      <c r="Q31" s="76" t="s">
        <v>67</v>
      </c>
      <c r="R31" s="941" t="s">
        <v>1233</v>
      </c>
      <c r="S31" s="941" t="s">
        <v>1233</v>
      </c>
      <c r="T31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4326999.71</v>
      </c>
    </row>
    <row r="32" spans="1:20" s="929" customFormat="1" ht="12.75" customHeight="1" outlineLevel="1">
      <c r="A32" s="62">
        <v>30</v>
      </c>
      <c r="B32" s="75">
        <v>508</v>
      </c>
      <c r="C32" s="75">
        <v>24732</v>
      </c>
      <c r="D32" s="117" t="s">
        <v>1233</v>
      </c>
      <c r="E32" s="62">
        <v>23.63</v>
      </c>
      <c r="F32" s="76" t="s">
        <v>25</v>
      </c>
      <c r="G32" s="62" t="s">
        <v>27</v>
      </c>
      <c r="H32" s="62" t="s">
        <v>22</v>
      </c>
      <c r="I32" s="91">
        <v>2725569.03</v>
      </c>
      <c r="J32" s="62">
        <v>0</v>
      </c>
      <c r="K32" s="62" t="s">
        <v>65</v>
      </c>
      <c r="L32" s="62" t="s">
        <v>18</v>
      </c>
      <c r="M32" s="537">
        <v>45035</v>
      </c>
      <c r="N32" s="117" t="s">
        <v>17</v>
      </c>
      <c r="O32" s="76" t="s">
        <v>1446</v>
      </c>
      <c r="P32" s="76" t="s">
        <v>67</v>
      </c>
      <c r="Q32" s="76" t="s">
        <v>67</v>
      </c>
      <c r="R32" s="945" t="s">
        <v>1233</v>
      </c>
      <c r="S32" s="945" t="s">
        <v>77</v>
      </c>
      <c r="T32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2371119.0299999998</v>
      </c>
    </row>
    <row r="33" spans="1:21" s="929" customFormat="1" ht="12.75" customHeight="1" outlineLevel="1">
      <c r="A33" s="62">
        <v>31</v>
      </c>
      <c r="B33" s="75">
        <v>286</v>
      </c>
      <c r="C33" s="75">
        <v>24416</v>
      </c>
      <c r="D33" s="117" t="s">
        <v>8</v>
      </c>
      <c r="E33" s="62">
        <v>58.55</v>
      </c>
      <c r="F33" s="941" t="s">
        <v>15</v>
      </c>
      <c r="G33" s="62" t="s">
        <v>7</v>
      </c>
      <c r="H33" s="62" t="s">
        <v>10</v>
      </c>
      <c r="I33" s="91">
        <v>4525417.2699999996</v>
      </c>
      <c r="J33" s="62">
        <v>2</v>
      </c>
      <c r="K33" s="62" t="s">
        <v>286</v>
      </c>
      <c r="L33" s="62" t="s">
        <v>18</v>
      </c>
      <c r="M33" s="537">
        <v>45029</v>
      </c>
      <c r="N33" s="117" t="s">
        <v>17</v>
      </c>
      <c r="O33" s="76" t="s">
        <v>1447</v>
      </c>
      <c r="P33" s="76" t="s">
        <v>67</v>
      </c>
      <c r="Q33" s="76" t="s">
        <v>67</v>
      </c>
      <c r="R33" s="941" t="s">
        <v>8</v>
      </c>
      <c r="S33" s="941" t="s">
        <v>8</v>
      </c>
      <c r="T3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4291217.2699999996</v>
      </c>
    </row>
    <row r="34" spans="1:21" s="929" customFormat="1" ht="12.75" customHeight="1" outlineLevel="1">
      <c r="A34" s="62">
        <v>32</v>
      </c>
      <c r="B34" s="75">
        <v>388</v>
      </c>
      <c r="C34" s="75">
        <v>24720</v>
      </c>
      <c r="D34" s="117" t="s">
        <v>8</v>
      </c>
      <c r="E34" s="62">
        <v>29.35</v>
      </c>
      <c r="F34" s="76" t="s">
        <v>25</v>
      </c>
      <c r="G34" s="117" t="s">
        <v>7</v>
      </c>
      <c r="H34" s="117" t="s">
        <v>22</v>
      </c>
      <c r="I34" s="91">
        <v>3158416.02</v>
      </c>
      <c r="J34" s="62">
        <v>0</v>
      </c>
      <c r="K34" s="62" t="s">
        <v>65</v>
      </c>
      <c r="L34" s="117" t="s">
        <v>18</v>
      </c>
      <c r="M34" s="537">
        <v>45030</v>
      </c>
      <c r="N34" s="117" t="s">
        <v>17</v>
      </c>
      <c r="O34" s="76" t="s">
        <v>1448</v>
      </c>
      <c r="P34" s="76" t="s">
        <v>67</v>
      </c>
      <c r="Q34" s="76" t="s">
        <v>67</v>
      </c>
      <c r="R34" s="945" t="s">
        <v>8</v>
      </c>
      <c r="S34" s="945" t="s">
        <v>8</v>
      </c>
      <c r="T3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2718166.02</v>
      </c>
    </row>
    <row r="35" spans="1:21" s="929" customFormat="1" ht="12.75" customHeight="1" outlineLevel="1">
      <c r="A35" s="62">
        <v>33</v>
      </c>
      <c r="B35" s="75">
        <v>165</v>
      </c>
      <c r="C35" s="75">
        <v>1793</v>
      </c>
      <c r="D35" s="117" t="s">
        <v>73</v>
      </c>
      <c r="E35" s="62">
        <v>36.700000000000003</v>
      </c>
      <c r="F35" s="941" t="s">
        <v>25</v>
      </c>
      <c r="G35" s="62" t="s">
        <v>7</v>
      </c>
      <c r="H35" s="62" t="s">
        <v>22</v>
      </c>
      <c r="I35" s="95">
        <v>3696353.9892000002</v>
      </c>
      <c r="J35" s="62">
        <v>1</v>
      </c>
      <c r="K35" s="62" t="s">
        <v>65</v>
      </c>
      <c r="L35" s="62" t="s">
        <v>18</v>
      </c>
      <c r="M35" s="92">
        <v>45033</v>
      </c>
      <c r="N35" s="117" t="s">
        <v>17</v>
      </c>
      <c r="O35" s="62" t="s">
        <v>1449</v>
      </c>
      <c r="P35" s="113" t="s">
        <v>67</v>
      </c>
      <c r="Q35" s="76" t="s">
        <v>67</v>
      </c>
      <c r="R35" s="945" t="s">
        <v>73</v>
      </c>
      <c r="S35" s="945" t="s">
        <v>73</v>
      </c>
      <c r="T35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3145853.9891999997</v>
      </c>
    </row>
    <row r="36" spans="1:21" s="929" customFormat="1" ht="12.75" customHeight="1" outlineLevel="1">
      <c r="A36" s="62">
        <v>34</v>
      </c>
      <c r="B36" s="62">
        <v>527</v>
      </c>
      <c r="C36" s="62">
        <v>24750</v>
      </c>
      <c r="D36" s="62" t="s">
        <v>8</v>
      </c>
      <c r="E36" s="933">
        <v>44.37</v>
      </c>
      <c r="F36" s="941" t="s">
        <v>15</v>
      </c>
      <c r="G36" s="62" t="s">
        <v>7</v>
      </c>
      <c r="H36" s="62" t="s">
        <v>22</v>
      </c>
      <c r="I36" s="95">
        <v>3890457.88</v>
      </c>
      <c r="J36" s="62">
        <v>1</v>
      </c>
      <c r="K36" s="62" t="s">
        <v>65</v>
      </c>
      <c r="L36" s="62" t="s">
        <v>18</v>
      </c>
      <c r="M36" s="92">
        <v>45033</v>
      </c>
      <c r="N36" s="117" t="s">
        <v>17</v>
      </c>
      <c r="O36" s="62" t="s">
        <v>1450</v>
      </c>
      <c r="P36" s="76" t="s">
        <v>67</v>
      </c>
      <c r="Q36" s="76" t="s">
        <v>67</v>
      </c>
      <c r="R36" s="945" t="s">
        <v>8</v>
      </c>
      <c r="S36" s="945" t="s">
        <v>8</v>
      </c>
      <c r="T36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3712977.88</v>
      </c>
    </row>
    <row r="37" spans="1:21" s="929" customFormat="1" outlineLevel="1">
      <c r="A37" s="62">
        <v>35</v>
      </c>
      <c r="B37" s="75">
        <v>433</v>
      </c>
      <c r="C37" s="75">
        <v>24748</v>
      </c>
      <c r="D37" s="117" t="s">
        <v>8</v>
      </c>
      <c r="E37" s="62">
        <v>56.04</v>
      </c>
      <c r="F37" s="941" t="s">
        <v>25</v>
      </c>
      <c r="G37" s="62" t="s">
        <v>7</v>
      </c>
      <c r="H37" s="62" t="s">
        <v>16</v>
      </c>
      <c r="I37" s="95">
        <v>4868103.3099999996</v>
      </c>
      <c r="J37" s="62">
        <v>2</v>
      </c>
      <c r="K37" s="62" t="s">
        <v>65</v>
      </c>
      <c r="L37" s="62" t="s">
        <v>18</v>
      </c>
      <c r="M37" s="92">
        <v>45035</v>
      </c>
      <c r="N37" s="117" t="s">
        <v>17</v>
      </c>
      <c r="O37" s="62" t="s">
        <v>1451</v>
      </c>
      <c r="P37" s="76" t="s">
        <v>67</v>
      </c>
      <c r="Q37" s="76" t="s">
        <v>67</v>
      </c>
      <c r="R37" s="945" t="s">
        <v>8</v>
      </c>
      <c r="S37" s="945" t="s">
        <v>8</v>
      </c>
      <c r="T37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4027503.3099999996</v>
      </c>
    </row>
    <row r="38" spans="1:21" s="929" customFormat="1" outlineLevel="1">
      <c r="A38" s="62">
        <v>36</v>
      </c>
      <c r="B38" s="75">
        <v>24</v>
      </c>
      <c r="C38" s="75">
        <v>14280</v>
      </c>
      <c r="D38" s="117" t="s">
        <v>77</v>
      </c>
      <c r="E38" s="62">
        <v>77.099999999999994</v>
      </c>
      <c r="F38" s="941" t="s">
        <v>15</v>
      </c>
      <c r="G38" s="62" t="s">
        <v>121</v>
      </c>
      <c r="H38" s="62" t="s">
        <v>22</v>
      </c>
      <c r="I38" s="95">
        <v>4600000</v>
      </c>
      <c r="J38" s="62">
        <v>3</v>
      </c>
      <c r="K38" s="62" t="s">
        <v>65</v>
      </c>
      <c r="L38" s="62" t="s">
        <v>18</v>
      </c>
      <c r="M38" s="539">
        <v>45042</v>
      </c>
      <c r="N38" s="117" t="s">
        <v>17</v>
      </c>
      <c r="O38" s="62" t="s">
        <v>1452</v>
      </c>
      <c r="P38" s="76" t="s">
        <v>67</v>
      </c>
      <c r="Q38" s="76" t="s">
        <v>67</v>
      </c>
      <c r="R38" s="945" t="s">
        <v>77</v>
      </c>
      <c r="S38" s="945" t="s">
        <v>77</v>
      </c>
      <c r="T38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4175950</v>
      </c>
    </row>
    <row r="39" spans="1:21" s="929" customFormat="1" ht="12.75" customHeight="1" outlineLevel="1">
      <c r="A39" s="62">
        <v>37</v>
      </c>
      <c r="B39" s="75">
        <v>130</v>
      </c>
      <c r="C39" s="75">
        <v>24493</v>
      </c>
      <c r="D39" s="117" t="s">
        <v>77</v>
      </c>
      <c r="E39" s="62">
        <v>68.75</v>
      </c>
      <c r="F39" s="941" t="s">
        <v>15</v>
      </c>
      <c r="G39" s="62" t="s">
        <v>7</v>
      </c>
      <c r="H39" s="62" t="s">
        <v>22</v>
      </c>
      <c r="I39" s="95">
        <v>5620630.1299999999</v>
      </c>
      <c r="J39" s="62">
        <v>2</v>
      </c>
      <c r="K39" s="62" t="s">
        <v>65</v>
      </c>
      <c r="L39" s="62" t="s">
        <v>18</v>
      </c>
      <c r="M39" s="92">
        <v>45041</v>
      </c>
      <c r="N39" s="117" t="s">
        <v>17</v>
      </c>
      <c r="O39" s="62" t="s">
        <v>1453</v>
      </c>
      <c r="P39" s="76" t="s">
        <v>67</v>
      </c>
      <c r="Q39" s="76" t="s">
        <v>67</v>
      </c>
      <c r="R39" s="945" t="s">
        <v>77</v>
      </c>
      <c r="S39" s="945" t="s">
        <v>77</v>
      </c>
      <c r="T39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5345630.13</v>
      </c>
    </row>
    <row r="40" spans="1:21" s="929" customFormat="1" ht="12.75" customHeight="1" outlineLevel="1">
      <c r="A40" s="62">
        <v>38</v>
      </c>
      <c r="B40" s="75">
        <v>202</v>
      </c>
      <c r="C40" s="75">
        <v>24825</v>
      </c>
      <c r="D40" s="117" t="s">
        <v>8</v>
      </c>
      <c r="E40" s="62">
        <v>24.39</v>
      </c>
      <c r="F40" s="941" t="s">
        <v>15</v>
      </c>
      <c r="G40" s="62" t="s">
        <v>27</v>
      </c>
      <c r="H40" s="62" t="s">
        <v>16</v>
      </c>
      <c r="I40" s="95">
        <v>2662203.87</v>
      </c>
      <c r="J40" s="62">
        <v>0</v>
      </c>
      <c r="K40" s="62" t="s">
        <v>65</v>
      </c>
      <c r="L40" s="62" t="s">
        <v>18</v>
      </c>
      <c r="M40" s="539">
        <v>45038</v>
      </c>
      <c r="N40" s="117" t="s">
        <v>17</v>
      </c>
      <c r="O40" s="62" t="s">
        <v>1454</v>
      </c>
      <c r="P40" s="76" t="s">
        <v>67</v>
      </c>
      <c r="Q40" s="76" t="s">
        <v>67</v>
      </c>
      <c r="R40" s="945" t="s">
        <v>8</v>
      </c>
      <c r="S40" s="945" t="s">
        <v>8</v>
      </c>
      <c r="T40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2564643.87</v>
      </c>
    </row>
    <row r="41" spans="1:21" s="929" customFormat="1" ht="12.75" customHeight="1" outlineLevel="1">
      <c r="A41" s="62">
        <v>39</v>
      </c>
      <c r="B41" s="75">
        <v>230</v>
      </c>
      <c r="C41" s="74">
        <v>24849</v>
      </c>
      <c r="D41" s="62" t="s">
        <v>73</v>
      </c>
      <c r="E41" s="62">
        <v>36.659999999999997</v>
      </c>
      <c r="F41" s="941" t="s">
        <v>15</v>
      </c>
      <c r="G41" s="62" t="s">
        <v>7</v>
      </c>
      <c r="H41" s="62" t="s">
        <v>16</v>
      </c>
      <c r="I41" s="95">
        <v>3489645.6</v>
      </c>
      <c r="J41" s="62">
        <v>1</v>
      </c>
      <c r="K41" s="62" t="s">
        <v>65</v>
      </c>
      <c r="L41" s="62" t="s">
        <v>18</v>
      </c>
      <c r="M41" s="539">
        <v>45040</v>
      </c>
      <c r="N41" s="117" t="s">
        <v>17</v>
      </c>
      <c r="O41" s="62" t="s">
        <v>1455</v>
      </c>
      <c r="P41" s="76" t="s">
        <v>67</v>
      </c>
      <c r="Q41" s="76" t="s">
        <v>67</v>
      </c>
      <c r="R41" s="945" t="s">
        <v>73</v>
      </c>
      <c r="S41" s="945" t="s">
        <v>73</v>
      </c>
      <c r="T41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3343005.6</v>
      </c>
    </row>
    <row r="42" spans="1:21" s="929" customFormat="1" outlineLevel="1">
      <c r="A42" s="62">
        <v>40</v>
      </c>
      <c r="B42" s="75">
        <v>76</v>
      </c>
      <c r="C42" s="75">
        <v>23296</v>
      </c>
      <c r="D42" s="62" t="s">
        <v>73</v>
      </c>
      <c r="E42" s="62">
        <v>56.03</v>
      </c>
      <c r="F42" s="941" t="s">
        <v>15</v>
      </c>
      <c r="G42" s="62" t="s">
        <v>7</v>
      </c>
      <c r="H42" s="62" t="s">
        <v>22</v>
      </c>
      <c r="I42" s="95">
        <v>4290773.93</v>
      </c>
      <c r="J42" s="62">
        <v>2</v>
      </c>
      <c r="K42" s="62" t="s">
        <v>65</v>
      </c>
      <c r="L42" s="62" t="s">
        <v>18</v>
      </c>
      <c r="M42" s="92">
        <v>45040</v>
      </c>
      <c r="N42" s="117" t="s">
        <v>17</v>
      </c>
      <c r="O42" s="62" t="s">
        <v>1456</v>
      </c>
      <c r="P42" s="76" t="s">
        <v>67</v>
      </c>
      <c r="Q42" s="76" t="s">
        <v>67</v>
      </c>
      <c r="R42" s="941" t="s">
        <v>73</v>
      </c>
      <c r="S42" s="941" t="s">
        <v>73</v>
      </c>
      <c r="T42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4066653.9299999997</v>
      </c>
    </row>
    <row r="43" spans="1:21" s="929" customFormat="1" outlineLevel="1">
      <c r="A43" s="62">
        <v>41</v>
      </c>
      <c r="B43" s="75">
        <v>351</v>
      </c>
      <c r="C43" s="75">
        <v>24769</v>
      </c>
      <c r="D43" s="117" t="s">
        <v>73</v>
      </c>
      <c r="E43" s="62">
        <v>72.510000000000005</v>
      </c>
      <c r="F43" s="941" t="s">
        <v>15</v>
      </c>
      <c r="G43" s="62" t="s">
        <v>7</v>
      </c>
      <c r="H43" s="62" t="s">
        <v>16</v>
      </c>
      <c r="I43" s="95">
        <v>5590138.2800000003</v>
      </c>
      <c r="J43" s="62">
        <v>3</v>
      </c>
      <c r="K43" s="62" t="s">
        <v>65</v>
      </c>
      <c r="L43" s="62" t="s">
        <v>18</v>
      </c>
      <c r="M43" s="92">
        <v>45040</v>
      </c>
      <c r="N43" s="117" t="s">
        <v>17</v>
      </c>
      <c r="O43" s="62" t="s">
        <v>1457</v>
      </c>
      <c r="P43" s="76" t="s">
        <v>67</v>
      </c>
      <c r="Q43" s="76" t="s">
        <v>67</v>
      </c>
      <c r="R43" s="945" t="s">
        <v>73</v>
      </c>
      <c r="S43" s="945" t="s">
        <v>73</v>
      </c>
      <c r="T4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5300098.28</v>
      </c>
    </row>
    <row r="44" spans="1:21" s="929" customFormat="1" outlineLevel="1">
      <c r="A44" s="62">
        <v>42</v>
      </c>
      <c r="B44" s="75">
        <v>410</v>
      </c>
      <c r="C44" s="75">
        <v>24694</v>
      </c>
      <c r="D44" s="117" t="s">
        <v>77</v>
      </c>
      <c r="E44" s="62">
        <v>44.64</v>
      </c>
      <c r="F44" s="380" t="s">
        <v>9</v>
      </c>
      <c r="G44" s="62" t="s">
        <v>7</v>
      </c>
      <c r="H44" s="62" t="s">
        <v>16</v>
      </c>
      <c r="I44" s="95">
        <v>3876496.08</v>
      </c>
      <c r="J44" s="62">
        <v>1</v>
      </c>
      <c r="K44" s="62" t="s">
        <v>65</v>
      </c>
      <c r="L44" s="62" t="s">
        <v>18</v>
      </c>
      <c r="M44" s="92">
        <v>45043</v>
      </c>
      <c r="N44" s="117" t="s">
        <v>17</v>
      </c>
      <c r="O44" s="62" t="s">
        <v>1458</v>
      </c>
      <c r="P44" s="76" t="s">
        <v>67</v>
      </c>
      <c r="Q44" s="76" t="s">
        <v>67</v>
      </c>
      <c r="R44" s="945" t="s">
        <v>77</v>
      </c>
      <c r="S44" s="945" t="s">
        <v>77</v>
      </c>
      <c r="T4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3876496.0800000005</v>
      </c>
    </row>
    <row r="45" spans="1:21" outlineLevel="1">
      <c r="A45" s="62">
        <v>43</v>
      </c>
      <c r="B45" s="75">
        <v>228</v>
      </c>
      <c r="C45" s="75">
        <v>24845</v>
      </c>
      <c r="D45" s="117" t="s">
        <v>8</v>
      </c>
      <c r="E45" s="62">
        <v>37.81</v>
      </c>
      <c r="F45" s="941" t="s">
        <v>25</v>
      </c>
      <c r="G45" s="62" t="s">
        <v>7</v>
      </c>
      <c r="H45" s="62" t="s">
        <v>16</v>
      </c>
      <c r="I45" s="95">
        <v>4015023.48</v>
      </c>
      <c r="J45" s="62">
        <v>1</v>
      </c>
      <c r="K45" s="62" t="s">
        <v>65</v>
      </c>
      <c r="L45" s="62" t="s">
        <v>18</v>
      </c>
      <c r="M45" s="539">
        <v>45044</v>
      </c>
      <c r="N45" s="117" t="s">
        <v>17</v>
      </c>
      <c r="O45" s="62" t="s">
        <v>1459</v>
      </c>
      <c r="P45" s="76" t="s">
        <v>67</v>
      </c>
      <c r="Q45" s="76" t="s">
        <v>67</v>
      </c>
      <c r="R45" s="945" t="s">
        <v>8</v>
      </c>
      <c r="S45" s="945" t="s">
        <v>8</v>
      </c>
      <c r="T45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3447873.48</v>
      </c>
      <c r="U45" s="929"/>
    </row>
    <row r="46" spans="1:21" outlineLevel="1">
      <c r="A46" s="62">
        <v>44</v>
      </c>
      <c r="B46" s="75">
        <v>254</v>
      </c>
      <c r="C46" s="75">
        <v>24839</v>
      </c>
      <c r="D46" s="117" t="s">
        <v>1233</v>
      </c>
      <c r="E46" s="62">
        <v>33.840000000000003</v>
      </c>
      <c r="F46" s="941" t="s">
        <v>15</v>
      </c>
      <c r="G46" s="62" t="s">
        <v>7</v>
      </c>
      <c r="H46" s="62" t="s">
        <v>22</v>
      </c>
      <c r="I46" s="95">
        <v>3191539.74</v>
      </c>
      <c r="J46" s="62">
        <v>1</v>
      </c>
      <c r="K46" s="62" t="s">
        <v>65</v>
      </c>
      <c r="L46" s="62" t="s">
        <v>18</v>
      </c>
      <c r="M46" s="539">
        <v>45044</v>
      </c>
      <c r="N46" s="62" t="s">
        <v>17</v>
      </c>
      <c r="O46" s="62" t="s">
        <v>1460</v>
      </c>
      <c r="P46" s="76" t="s">
        <v>67</v>
      </c>
      <c r="Q46" s="76" t="s">
        <v>67</v>
      </c>
      <c r="R46" s="945" t="s">
        <v>1233</v>
      </c>
      <c r="S46" s="945" t="s">
        <v>1233</v>
      </c>
      <c r="T46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3056179.74</v>
      </c>
      <c r="U46" s="929"/>
    </row>
    <row r="47" spans="1:21" s="929" customFormat="1" outlineLevel="1">
      <c r="A47" s="62">
        <v>45</v>
      </c>
      <c r="B47" s="75">
        <v>191</v>
      </c>
      <c r="C47" s="75">
        <v>24735</v>
      </c>
      <c r="D47" s="117" t="s">
        <v>1207</v>
      </c>
      <c r="E47" s="62">
        <v>78.73</v>
      </c>
      <c r="F47" s="941" t="s">
        <v>15</v>
      </c>
      <c r="G47" s="62" t="s">
        <v>7</v>
      </c>
      <c r="H47" s="62" t="s">
        <v>10</v>
      </c>
      <c r="I47" s="95">
        <v>6248821.3600000003</v>
      </c>
      <c r="J47" s="62">
        <v>3</v>
      </c>
      <c r="K47" s="62" t="s">
        <v>130</v>
      </c>
      <c r="L47" s="62" t="s">
        <v>18</v>
      </c>
      <c r="M47" s="539">
        <v>45041</v>
      </c>
      <c r="N47" s="62" t="s">
        <v>17</v>
      </c>
      <c r="O47" s="62" t="s">
        <v>1461</v>
      </c>
      <c r="P47" s="76" t="s">
        <v>67</v>
      </c>
      <c r="Q47" s="76" t="s">
        <v>67</v>
      </c>
      <c r="R47" s="945" t="s">
        <v>1207</v>
      </c>
      <c r="S47" s="945" t="s">
        <v>1233</v>
      </c>
      <c r="T47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5933901.3600000003</v>
      </c>
    </row>
    <row r="48" spans="1:21" s="929" customFormat="1" outlineLevel="1">
      <c r="A48" s="62">
        <v>46</v>
      </c>
      <c r="B48" s="75">
        <v>505</v>
      </c>
      <c r="C48" s="75">
        <v>11457</v>
      </c>
      <c r="D48" s="117" t="s">
        <v>1233</v>
      </c>
      <c r="E48" s="62">
        <v>56.04</v>
      </c>
      <c r="F48" s="941" t="s">
        <v>15</v>
      </c>
      <c r="G48" s="62" t="s">
        <v>7</v>
      </c>
      <c r="H48" s="62" t="s">
        <v>10</v>
      </c>
      <c r="I48" s="95">
        <v>4291539.7300000004</v>
      </c>
      <c r="J48" s="62">
        <v>2</v>
      </c>
      <c r="K48" s="62" t="s">
        <v>130</v>
      </c>
      <c r="L48" s="62" t="s">
        <v>18</v>
      </c>
      <c r="M48" s="539">
        <v>45043</v>
      </c>
      <c r="N48" s="62" t="s">
        <v>17</v>
      </c>
      <c r="O48" s="62" t="s">
        <v>1462</v>
      </c>
      <c r="P48" s="76" t="s">
        <v>67</v>
      </c>
      <c r="Q48" s="76" t="s">
        <v>67</v>
      </c>
      <c r="R48" s="945" t="s">
        <v>1233</v>
      </c>
      <c r="S48" s="945" t="s">
        <v>1233</v>
      </c>
      <c r="T48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4067379.7300000004</v>
      </c>
    </row>
    <row r="49" spans="1:20" s="929" customFormat="1" outlineLevel="1">
      <c r="A49" s="62">
        <v>47</v>
      </c>
      <c r="B49" s="75">
        <v>106</v>
      </c>
      <c r="C49" s="75">
        <v>24508</v>
      </c>
      <c r="D49" s="117" t="s">
        <v>8</v>
      </c>
      <c r="E49" s="62">
        <v>61.76</v>
      </c>
      <c r="F49" s="941" t="s">
        <v>15</v>
      </c>
      <c r="G49" s="62" t="s">
        <v>7</v>
      </c>
      <c r="H49" s="62" t="s">
        <v>16</v>
      </c>
      <c r="I49" s="95">
        <v>5205479.2699999996</v>
      </c>
      <c r="J49" s="62">
        <v>2</v>
      </c>
      <c r="K49" s="62" t="s">
        <v>65</v>
      </c>
      <c r="L49" s="62" t="s">
        <v>18</v>
      </c>
      <c r="M49" s="539">
        <v>45042</v>
      </c>
      <c r="N49" s="62" t="s">
        <v>17</v>
      </c>
      <c r="O49" s="62" t="s">
        <v>1463</v>
      </c>
      <c r="P49" s="76" t="s">
        <v>67</v>
      </c>
      <c r="Q49" s="76" t="s">
        <v>67</v>
      </c>
      <c r="R49" s="945" t="s">
        <v>8</v>
      </c>
      <c r="S49" s="945" t="s">
        <v>8</v>
      </c>
      <c r="T49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4958439.2699999996</v>
      </c>
    </row>
    <row r="50" spans="1:20" outlineLevel="1">
      <c r="A50" s="62">
        <v>48</v>
      </c>
      <c r="B50" s="75">
        <v>175</v>
      </c>
      <c r="C50" s="75">
        <v>24823</v>
      </c>
      <c r="D50" s="117" t="s">
        <v>8</v>
      </c>
      <c r="E50" s="62">
        <v>78.73</v>
      </c>
      <c r="F50" s="941" t="s">
        <v>25</v>
      </c>
      <c r="G50" s="62" t="s">
        <v>7</v>
      </c>
      <c r="H50" s="62" t="s">
        <v>16</v>
      </c>
      <c r="I50" s="95">
        <v>7060906.3499999996</v>
      </c>
      <c r="J50" s="62">
        <v>3</v>
      </c>
      <c r="K50" s="62" t="s">
        <v>65</v>
      </c>
      <c r="L50" s="62" t="s">
        <v>18</v>
      </c>
      <c r="M50" s="539">
        <v>45044</v>
      </c>
      <c r="N50" s="62" t="s">
        <v>17</v>
      </c>
      <c r="O50" s="62" t="s">
        <v>1464</v>
      </c>
      <c r="P50" s="76" t="s">
        <v>67</v>
      </c>
      <c r="Q50" s="76" t="s">
        <v>67</v>
      </c>
      <c r="R50" s="945" t="s">
        <v>8</v>
      </c>
      <c r="S50" s="945" t="s">
        <v>8</v>
      </c>
      <c r="T50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5879956.3499999996</v>
      </c>
    </row>
    <row r="51" spans="1:20" s="929" customFormat="1" outlineLevel="1">
      <c r="A51" s="62">
        <v>49</v>
      </c>
      <c r="B51" s="75">
        <v>411</v>
      </c>
      <c r="C51" s="75">
        <v>24815</v>
      </c>
      <c r="D51" s="117" t="s">
        <v>8</v>
      </c>
      <c r="E51" s="62">
        <v>39.74</v>
      </c>
      <c r="F51" s="941" t="s">
        <v>25</v>
      </c>
      <c r="G51" s="62" t="s">
        <v>7</v>
      </c>
      <c r="H51" s="62" t="s">
        <v>10</v>
      </c>
      <c r="I51" s="352">
        <v>3937028.34</v>
      </c>
      <c r="J51" s="62">
        <v>1</v>
      </c>
      <c r="K51" s="62" t="s">
        <v>286</v>
      </c>
      <c r="L51" s="62" t="s">
        <v>18</v>
      </c>
      <c r="M51" s="539">
        <v>45042</v>
      </c>
      <c r="N51" s="62" t="s">
        <v>17</v>
      </c>
      <c r="O51" s="62" t="s">
        <v>1465</v>
      </c>
      <c r="P51" s="76" t="s">
        <v>67</v>
      </c>
      <c r="Q51" s="76" t="s">
        <v>67</v>
      </c>
      <c r="R51" s="945" t="s">
        <v>8</v>
      </c>
      <c r="S51" s="945" t="s">
        <v>8</v>
      </c>
      <c r="T51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3340928.34</v>
      </c>
    </row>
    <row r="52" spans="1:20" s="929" customFormat="1" outlineLevel="1">
      <c r="A52" s="62">
        <v>50</v>
      </c>
      <c r="B52" s="75">
        <v>369</v>
      </c>
      <c r="C52" s="75">
        <v>24901</v>
      </c>
      <c r="D52" s="117" t="s">
        <v>8</v>
      </c>
      <c r="E52" s="62">
        <v>36.450000000000003</v>
      </c>
      <c r="F52" s="1007" t="s">
        <v>15</v>
      </c>
      <c r="G52" s="62" t="s">
        <v>7</v>
      </c>
      <c r="H52" s="62" t="s">
        <v>10</v>
      </c>
      <c r="I52" s="352">
        <v>3490823.79</v>
      </c>
      <c r="J52" s="62">
        <v>0</v>
      </c>
      <c r="K52" s="62" t="s">
        <v>286</v>
      </c>
      <c r="L52" s="62" t="s">
        <v>18</v>
      </c>
      <c r="M52" s="539">
        <v>45043</v>
      </c>
      <c r="N52" s="62" t="s">
        <v>17</v>
      </c>
      <c r="O52" s="348" t="s">
        <v>1466</v>
      </c>
      <c r="P52" s="76" t="s">
        <v>67</v>
      </c>
      <c r="Q52" s="76" t="s">
        <v>67</v>
      </c>
      <c r="R52" s="945" t="s">
        <v>8</v>
      </c>
      <c r="S52" s="945" t="s">
        <v>8</v>
      </c>
      <c r="T52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3345023.79</v>
      </c>
    </row>
    <row r="53" spans="1:20" ht="12" customHeight="1" outlineLevel="1">
      <c r="A53" s="62">
        <v>51</v>
      </c>
      <c r="B53" s="75">
        <v>260</v>
      </c>
      <c r="C53" s="75">
        <v>18770</v>
      </c>
      <c r="D53" s="117" t="s">
        <v>1233</v>
      </c>
      <c r="E53" s="62">
        <v>72.510000000000005</v>
      </c>
      <c r="F53" s="1007" t="s">
        <v>9</v>
      </c>
      <c r="G53" s="62" t="s">
        <v>7</v>
      </c>
      <c r="H53" s="62" t="s">
        <v>22</v>
      </c>
      <c r="I53" s="352">
        <v>5465098.2800000003</v>
      </c>
      <c r="J53" s="62">
        <v>3</v>
      </c>
      <c r="K53" s="62" t="s">
        <v>583</v>
      </c>
      <c r="L53" s="62" t="s">
        <v>18</v>
      </c>
      <c r="M53" s="539">
        <v>45045</v>
      </c>
      <c r="N53" s="62" t="s">
        <v>17</v>
      </c>
      <c r="O53" s="62" t="s">
        <v>1467</v>
      </c>
      <c r="P53" s="76" t="s">
        <v>67</v>
      </c>
      <c r="Q53" s="76" t="s">
        <v>67</v>
      </c>
      <c r="R53" s="945" t="s">
        <v>1233</v>
      </c>
      <c r="S53" s="945" t="s">
        <v>1233</v>
      </c>
      <c r="T53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5465098.2800000003</v>
      </c>
    </row>
    <row r="54" spans="1:20" outlineLevel="1">
      <c r="A54" s="62">
        <v>52</v>
      </c>
      <c r="B54" s="75">
        <v>314</v>
      </c>
      <c r="C54" s="75">
        <v>24712</v>
      </c>
      <c r="D54" s="117" t="s">
        <v>8</v>
      </c>
      <c r="E54" s="62">
        <v>58.55</v>
      </c>
      <c r="F54" s="1007" t="s">
        <v>9</v>
      </c>
      <c r="G54" s="62" t="s">
        <v>7</v>
      </c>
      <c r="H54" s="62" t="s">
        <v>16</v>
      </c>
      <c r="I54" s="352">
        <v>4565124.76</v>
      </c>
      <c r="J54" s="62">
        <v>2</v>
      </c>
      <c r="K54" s="62" t="s">
        <v>65</v>
      </c>
      <c r="L54" s="62" t="s">
        <v>12</v>
      </c>
      <c r="M54" s="539">
        <v>45044</v>
      </c>
      <c r="N54" s="62" t="s">
        <v>17</v>
      </c>
      <c r="O54" s="348" t="s">
        <v>1468</v>
      </c>
      <c r="P54" s="76" t="s">
        <v>67</v>
      </c>
      <c r="Q54" s="76" t="s">
        <v>67</v>
      </c>
      <c r="R54" s="945" t="s">
        <v>8</v>
      </c>
      <c r="S54" s="945" t="s">
        <v>8</v>
      </c>
      <c r="T54" s="946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>4565124.76</v>
      </c>
    </row>
    <row r="55" spans="1:20" outlineLevel="1">
      <c r="A55" s="65">
        <v>53</v>
      </c>
      <c r="B55" s="79"/>
      <c r="C55" s="79"/>
      <c r="D55" s="80"/>
      <c r="E55" s="65"/>
      <c r="F55" s="934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56" spans="1:20" outlineLevel="1">
      <c r="A56" s="65">
        <v>54</v>
      </c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57" spans="1:20" outlineLevel="1">
      <c r="A57" s="65">
        <v>55</v>
      </c>
      <c r="B57" s="79"/>
      <c r="C57" s="79"/>
      <c r="D57" s="80"/>
      <c r="E57" s="65"/>
      <c r="F57" s="72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58" spans="1:20" outlineLevel="1">
      <c r="A58" s="65">
        <v>56</v>
      </c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59" spans="1:20" ht="15.75" customHeight="1" outlineLevel="1">
      <c r="A59" s="65">
        <v>57</v>
      </c>
      <c r="B59" s="79"/>
      <c r="C59" s="79"/>
      <c r="D59" s="80"/>
      <c r="E59" s="65"/>
      <c r="F59" s="72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0" spans="1:20" outlineLevel="1">
      <c r="A60" s="65">
        <v>58</v>
      </c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1" spans="1:20" outlineLevel="1">
      <c r="A61" s="65">
        <v>59</v>
      </c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2" spans="1:20" outlineLevel="1">
      <c r="A62" s="65">
        <v>60</v>
      </c>
      <c r="B62" s="79"/>
      <c r="C62" s="79"/>
      <c r="D62" s="80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388"/>
      <c r="P62" s="86"/>
      <c r="Q62" s="86"/>
      <c r="R62" s="947"/>
      <c r="S62" s="947"/>
      <c r="T62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3" spans="1:20" outlineLevel="1">
      <c r="A63" s="65">
        <v>61</v>
      </c>
      <c r="B63" s="79"/>
      <c r="C63" s="79"/>
      <c r="D63" s="80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7"/>
      <c r="S63" s="947"/>
      <c r="T63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4" spans="1:20" outlineLevel="1">
      <c r="A64" s="65">
        <v>62</v>
      </c>
      <c r="B64" s="79"/>
      <c r="C64" s="79"/>
      <c r="D64" s="80"/>
      <c r="E64" s="65"/>
      <c r="F64" s="72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7"/>
      <c r="S64" s="947"/>
      <c r="T64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5" spans="1:20" outlineLevel="1">
      <c r="A65" s="65">
        <v>63</v>
      </c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6" spans="1:20" outlineLevel="1">
      <c r="A66" s="65">
        <v>64</v>
      </c>
      <c r="B66" s="79"/>
      <c r="C66" s="79"/>
      <c r="D66" s="80"/>
      <c r="E66" s="65"/>
      <c r="F66" s="934"/>
      <c r="G66" s="65"/>
      <c r="H66" s="65"/>
      <c r="I66" s="105"/>
      <c r="J66" s="65"/>
      <c r="K66" s="65"/>
      <c r="L66" s="65"/>
      <c r="M66" s="110"/>
      <c r="N66" s="65"/>
      <c r="O66" s="72"/>
      <c r="P66" s="86"/>
      <c r="Q66" s="86"/>
      <c r="R66" s="947"/>
      <c r="S66" s="947"/>
      <c r="T66" s="948" t="str">
        <f>IFERROR(IF(февр231411[[#This Row],[№ дома]]="Дом 2",SUM(февр231411[[#This Row],[сумма]]/февр231411[[#This Row],[м2]],IF(февр231411[[#This Row],[Отделка]]="Предчистовая",-5500,""))*февр231411[[#This Row],[м2]],SUM(февр231411[[#This Row],[сумма]]/февр231411[[#This Row],[м2]],IF(февр231411[[#This Row],[Отделка]]="Черновая",0,"")&amp;IF(февр231411[[#This Row],[Отделка]]="Предчистовая",-4000,"")&amp;IF(февр231411[[#This Row],[Отделка]]="Чистовая",-15000,""))*февр231411[[#This Row],[м2]]),"")</f>
        <v/>
      </c>
    </row>
    <row r="67" spans="1:20" outlineLevel="1">
      <c r="A67" s="65"/>
      <c r="B67" s="79"/>
      <c r="C67" s="79"/>
      <c r="D67" s="80"/>
      <c r="E67" s="65"/>
      <c r="F67" s="934"/>
      <c r="G67" s="65"/>
      <c r="H67" s="65"/>
      <c r="I67" s="105"/>
      <c r="J67" s="65"/>
      <c r="K67" s="65"/>
      <c r="L67" s="65"/>
      <c r="M67" s="110"/>
      <c r="N67" s="65"/>
      <c r="O67" s="72"/>
      <c r="P67" s="86"/>
      <c r="Q67" s="86"/>
      <c r="R67" s="947"/>
      <c r="S67" s="947"/>
      <c r="T67" s="1013"/>
    </row>
    <row r="68" spans="1:20">
      <c r="A68" s="65"/>
      <c r="B68" s="79"/>
      <c r="C68" s="79"/>
      <c r="D68" s="80"/>
      <c r="E68" s="65"/>
      <c r="F68" s="934"/>
      <c r="G68" s="65"/>
      <c r="H68" s="65"/>
      <c r="I68" s="105"/>
      <c r="J68" s="65"/>
      <c r="K68" s="65"/>
      <c r="L68" s="65"/>
      <c r="M68" s="110"/>
      <c r="N68" s="65"/>
      <c r="O68" s="72"/>
      <c r="P68" s="86"/>
      <c r="Q68" s="86"/>
      <c r="R68" s="947"/>
      <c r="S68" s="947"/>
      <c r="T68" s="1013"/>
    </row>
    <row r="69" spans="1:20">
      <c r="A69" s="339"/>
      <c r="B69" s="1008"/>
      <c r="C69" s="1008"/>
      <c r="D69" s="1009"/>
      <c r="E69" s="339"/>
      <c r="F69" s="7"/>
      <c r="G69" s="339"/>
      <c r="H69" s="339"/>
      <c r="I69" s="44"/>
      <c r="J69" s="339"/>
      <c r="K69" s="339"/>
      <c r="L69" s="339"/>
      <c r="M69" s="1010"/>
      <c r="N69" s="339"/>
      <c r="O69" s="134"/>
      <c r="P69" s="498"/>
      <c r="Q69" s="498"/>
      <c r="R69" s="1014"/>
      <c r="S69" s="1014"/>
      <c r="T69" s="948"/>
    </row>
    <row r="70" spans="1:20">
      <c r="A70" s="339"/>
      <c r="B70" s="1008"/>
      <c r="C70" s="1008"/>
      <c r="D70" s="339"/>
      <c r="E70" s="339"/>
      <c r="F70" s="7"/>
      <c r="G70" s="339"/>
      <c r="H70" s="339"/>
      <c r="I70" s="44"/>
      <c r="J70" s="339"/>
      <c r="K70" s="339"/>
      <c r="L70" s="261"/>
      <c r="M70" s="1010"/>
      <c r="N70" s="339"/>
      <c r="O70" s="134"/>
      <c r="P70" s="498"/>
      <c r="Q70" s="498"/>
      <c r="R70" s="498"/>
      <c r="S70" s="498"/>
      <c r="T70" s="948"/>
    </row>
    <row r="71" spans="1:20">
      <c r="A71" s="2293" t="s">
        <v>713</v>
      </c>
      <c r="B71" s="2294"/>
      <c r="C71" s="972" t="s">
        <v>121</v>
      </c>
      <c r="D71" s="973"/>
      <c r="E71" s="29"/>
      <c r="F71" s="29"/>
      <c r="G71" s="29"/>
      <c r="H71" s="974"/>
      <c r="I71" s="974"/>
      <c r="J71" s="974"/>
      <c r="K71" s="974"/>
      <c r="L71" s="974"/>
      <c r="M71" s="29"/>
      <c r="N71" s="29"/>
      <c r="O71" s="29"/>
      <c r="P71" s="29"/>
      <c r="Q71" s="498"/>
      <c r="R71" s="498"/>
      <c r="S71" s="498"/>
      <c r="T71" s="930"/>
    </row>
    <row r="72" spans="1:20">
      <c r="A72" s="975" t="s">
        <v>1</v>
      </c>
      <c r="B72" s="976" t="s">
        <v>100</v>
      </c>
      <c r="C72" s="977" t="s">
        <v>97</v>
      </c>
      <c r="D72" s="978" t="s">
        <v>95</v>
      </c>
      <c r="E72" s="137" t="s">
        <v>494</v>
      </c>
      <c r="F72" s="477" t="s">
        <v>495</v>
      </c>
      <c r="G72" s="478" t="s">
        <v>496</v>
      </c>
      <c r="H72" s="479" t="s">
        <v>101</v>
      </c>
      <c r="I72" s="479" t="s">
        <v>98</v>
      </c>
      <c r="J72" s="479" t="s">
        <v>96</v>
      </c>
      <c r="K72" s="479" t="s">
        <v>715</v>
      </c>
      <c r="L72" s="479" t="s">
        <v>716</v>
      </c>
      <c r="M72" s="499">
        <v>0</v>
      </c>
      <c r="N72" s="340">
        <v>1</v>
      </c>
      <c r="O72" s="340">
        <v>2</v>
      </c>
      <c r="P72" s="340">
        <v>3</v>
      </c>
      <c r="Q72" s="500" t="s">
        <v>1367</v>
      </c>
      <c r="R72" s="930"/>
      <c r="S72" s="930"/>
      <c r="T72" s="930"/>
    </row>
    <row r="73" spans="1:20">
      <c r="A73" s="936" t="s">
        <v>73</v>
      </c>
      <c r="B73" s="937">
        <f>VLOOKUP(A73,'Индивидуальный план'!$F$3:$H$13,2,0)</f>
        <v>630</v>
      </c>
      <c r="C73" s="937">
        <f>VLOOKUP(A73,'Индивидуальный план'!$F$3:$H$13,3,0)</f>
        <v>56195208.814500004</v>
      </c>
      <c r="D73" s="938"/>
      <c r="E73" s="148">
        <f>SUMIFS(февр231411[м2],февр231411[МОП],$A73,февр231411[№ дома],$C$71,февр231411[Ком],"&lt;&gt;Офис")</f>
        <v>0</v>
      </c>
      <c r="F73" s="939">
        <f>SUMIFS(февр231411[сумма без отделки],февр231411[МОП],$A73,февр231411[№ дома],$C$71,февр231411[Ком],"&lt;&gt;Офис")</f>
        <v>0</v>
      </c>
      <c r="G73" s="940">
        <f>COUNTIFS(февр231411[МОП],$A73,февр231411[№ дома],$C$71,февр231411[Ком],"&lt;&gt;Офис")</f>
        <v>0</v>
      </c>
      <c r="H73" s="145">
        <f>SUMIFS(РД[S],РД[Дом],$C$71,РД[МОП],A73,РД[Дата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149">
        <f>SUMIFS(РД[Стоимость без отделки итог],РД[Дом],$C$71,РД[МОП],A73,РД[Дата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0">
        <f>COUNTIFS(РД[Дом],$C$71,РД[МОП],A73,РД[Дата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K73" s="943">
        <f t="shared" ref="K73:L76" si="0">IFERROR(H73/B73,)</f>
        <v>0</v>
      </c>
      <c r="L73" s="944">
        <f t="shared" si="0"/>
        <v>0</v>
      </c>
      <c r="M73" s="148">
        <f>COUNTIFS(РД[Тип кв],M$72,РД[МОП],$A73,РД[Дом],$C$71,РД[Дата подачи на регистрацию],"&lt;="&amp;$A$1,РД[Дата подачи на регистрацию],"&gt;="&amp;DATE(YEAR($A$1),MONTH($A$1),1))</f>
        <v>0</v>
      </c>
      <c r="N73" s="220">
        <f>COUNTIFS(РД[Тип кв],N$72,РД[МОП],$A73,РД[Дом],$C$71,РД[Дата подачи на регистрацию],"&lt;="&amp;$A$1,РД[Дата подачи на регистрацию],"&gt;="&amp;DATE(YEAR($A$1),MONTH($A$1),1))</f>
        <v>0</v>
      </c>
      <c r="O73" s="220">
        <f>COUNTIFS(РД[Тип кв],O$72,РД[МОП],$A73,РД[Дом],$C$71,РД[Дата подачи на регистрацию],"&lt;="&amp;$A$1,РД[Дата подачи на регистрацию],"&gt;="&amp;DATE(YEAR($A$1),MONTH($A$1),1))</f>
        <v>0</v>
      </c>
      <c r="P73" s="220">
        <f>COUNTIFS(РД[Тип кв],P$72,РД[МОП],$A73,РД[Дом],$C$71,РД[Дата подачи на регистрацию],"&lt;="&amp;$A$1,РД[Дата подачи на регистрацию],"&gt;="&amp;DATE(YEAR($A$1),MONTH($A$1),1))</f>
        <v>0</v>
      </c>
      <c r="Q73" s="223">
        <f>COUNTIFS(РД[Тип кв],Q$72,РД[МОП],$A73,РД[Дом],$C$71,РД[Дата подачи на регистрацию],"&lt;="&amp;$A$1,РД[Дата подачи на регистрацию],"&gt;="&amp;DATE(YEAR($A$1),MONTH($A$1),1))</f>
        <v>0</v>
      </c>
      <c r="R73" s="930"/>
      <c r="S73" s="930"/>
      <c r="T73" s="930"/>
    </row>
    <row r="74" spans="1:20">
      <c r="A74" s="936" t="s">
        <v>8</v>
      </c>
      <c r="B74" s="937">
        <f>VLOOKUP(A74,'Индивидуальный план'!$F$3:$H$13,2,0)</f>
        <v>1090</v>
      </c>
      <c r="C74" s="937">
        <f>VLOOKUP(A74,'Индивидуальный план'!$F$3:$H$13,3,0)</f>
        <v>95368499.111499995</v>
      </c>
      <c r="D74" s="938"/>
      <c r="E74" s="148">
        <f>SUMIFS(февр231411[м2],февр231411[МОП],$A74,февр231411[№ дома],$C$71,февр231411[Ком],"&lt;&gt;Офис")</f>
        <v>0</v>
      </c>
      <c r="F74" s="939">
        <f>SUMIFS(февр231411[сумма без отделки],февр231411[МОП],$A74,февр231411[№ дома],$C$71,февр231411[Ком],"&lt;&gt;Офис")</f>
        <v>0</v>
      </c>
      <c r="G74" s="940">
        <f>COUNTIFS(февр231411[МОП],$A74,февр231411[№ дома],$C$71,февр231411[Ком],"&lt;&gt;Офис")</f>
        <v>0</v>
      </c>
      <c r="H74" s="145">
        <f>SUMIFS(РД[S],РД[Дом],$C$71,РД[МОП],A74,РД[Дата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149">
        <f>SUMIFS(РД[Стоимость без отделки итог],РД[Дом],$C$71,РД[МОП],A74,РД[Дата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0">
        <f>COUNTIFS(РД[Дом],$C$71,РД[МОП],A74,РД[Дата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K74" s="943">
        <f t="shared" si="0"/>
        <v>0</v>
      </c>
      <c r="L74" s="944">
        <f t="shared" si="0"/>
        <v>0</v>
      </c>
      <c r="M74" s="148">
        <f>COUNTIFS(РД[Тип кв],M$72,РД[МОП],$A74,РД[Дом],$C$71,РД[Дата подачи на регистрацию],"&lt;="&amp;$A$1,РД[Дата подачи на регистрацию],"&gt;="&amp;DATE(YEAR($A$1),MONTH($A$1),1))</f>
        <v>0</v>
      </c>
      <c r="N74" s="220">
        <f>COUNTIFS(РД[Тип кв],N$72,РД[МОП],$A74,РД[Дом],$C$71,РД[Дата подачи на регистрацию],"&lt;="&amp;$A$1,РД[Дата подачи на регистрацию],"&gt;="&amp;DATE(YEAR($A$1),MONTH($A$1),1))</f>
        <v>0</v>
      </c>
      <c r="O74" s="220">
        <f>COUNTIFS(РД[Тип кв],O$72,РД[МОП],$A74,РД[Дом],$C$71,РД[Дата подачи на регистрацию],"&lt;="&amp;$A$1,РД[Дата подачи на регистрацию],"&gt;="&amp;DATE(YEAR($A$1),MONTH($A$1),1))</f>
        <v>0</v>
      </c>
      <c r="P74" s="220">
        <f>COUNTIFS(РД[Тип кв],P$72,РД[МОП],$A74,РД[Дом],$C$71,РД[Дата подачи на регистрацию],"&lt;="&amp;$A$1,РД[Дата подачи на регистрацию],"&gt;="&amp;DATE(YEAR($A$1),MONTH($A$1),1))</f>
        <v>0</v>
      </c>
      <c r="Q74" s="223">
        <f>COUNTIFS(РД[Тип кв],Q$72,РД[МОП],$A74,РД[Дом],$C$71,РД[Дата подачи на регистрацию],"&lt;="&amp;$A$1,РД[Дата подачи на регистрацию],"&gt;="&amp;DATE(YEAR($A$1),MONTH($A$1),1))</f>
        <v>0</v>
      </c>
      <c r="R74" s="930"/>
      <c r="S74" s="930"/>
      <c r="T74" s="930"/>
    </row>
    <row r="75" spans="1:20">
      <c r="A75" s="952" t="s">
        <v>77</v>
      </c>
      <c r="B75" s="937">
        <f>VLOOKUP(A75,'Индивидуальный план'!$F$3:$H$13,2,0)</f>
        <v>1072</v>
      </c>
      <c r="C75" s="937">
        <f>VLOOKUP(A75,'Индивидуальный план'!$F$3:$H$13,3,0)</f>
        <v>93800315.819199994</v>
      </c>
      <c r="D75" s="953"/>
      <c r="E75" s="202">
        <f>SUMIFS(февр231411[м2],февр231411[МОП],$A75,февр231411[№ дома],$C$71,февр231411[Ком],"&lt;&gt;Офис")</f>
        <v>77.099999999999994</v>
      </c>
      <c r="F75" s="954">
        <f>SUMIFS(февр231411[сумма без отделки],февр231411[МОП],$A75,февр231411[№ дома],$C$71,февр231411[Ком],"&lt;&gt;Офис")</f>
        <v>4175950</v>
      </c>
      <c r="G75" s="955">
        <f>COUNTIFS(февр231411[МОП],$A75,февр231411[№ дома],$C$71,февр231411[Ком],"&lt;&gt;Офис")</f>
        <v>1</v>
      </c>
      <c r="H75" s="145">
        <f>SUMIFS(РД[S],РД[Дом],$C$71,РД[МОП],A75,РД[Дата подачи на регистрацию],"&lt;="&amp;$A$1,РД[Дата подачи на регистрацию],"&gt;="&amp;DATE(YEAR($A$1),MONTH($A$1),1),РД[Состояние],"Продажа")</f>
        <v>78.599999999999994</v>
      </c>
      <c r="I75" s="149">
        <f>SUMIFS(РД[Стоимость без отделки итог],РД[Дом],$C$71,РД[МОП],A75,РД[Дата подачи на регистрацию],"&lt;="&amp;$A$1,РД[Дата подачи на регистрацию],"&gt;="&amp;DATE(YEAR($A$1),MONTH($A$1),1),РД[Состояние],"Продажа")</f>
        <v>4167700</v>
      </c>
      <c r="J75" s="220">
        <f>COUNTIFS(РД[Дом],$C$71,РД[МОП],A75,РД[Дата подачи на регистрацию],"&lt;="&amp;$A$1,РД[Дата подачи на регистрацию],"&gt;="&amp;DATE(YEAR($A$1),MONTH($A$1),1),РД[Состояние],"Продажа")</f>
        <v>1</v>
      </c>
      <c r="K75" s="987">
        <f t="shared" si="0"/>
        <v>7.332089552238806E-2</v>
      </c>
      <c r="L75" s="988">
        <f t="shared" si="0"/>
        <v>4.4431620124107438E-2</v>
      </c>
      <c r="M75" s="202">
        <f>COUNTIFS(РД[Тип кв],M$72,РД[МОП],$A75,РД[Дом],$C$71,РД[Дата подачи на регистрацию],"&lt;="&amp;$A$1,РД[Дата подачи на регистрацию],"&gt;="&amp;DATE(YEAR($A$1),MONTH($A$1),1))</f>
        <v>0</v>
      </c>
      <c r="N75" s="226">
        <f>COUNTIFS(РД[Тип кв],N$72,РД[МОП],$A75,РД[Дом],$C$71,РД[Дата подачи на регистрацию],"&lt;="&amp;$A$1,РД[Дата подачи на регистрацию],"&gt;="&amp;DATE(YEAR($A$1),MONTH($A$1),1))</f>
        <v>0</v>
      </c>
      <c r="O75" s="226">
        <f>COUNTIFS(РД[Тип кв],O$72,РД[МОП],$A75,РД[Дом],$C$71,РД[Дата подачи на регистрацию],"&lt;="&amp;$A$1,РД[Дата подачи на регистрацию],"&gt;="&amp;DATE(YEAR($A$1),MONTH($A$1),1))</f>
        <v>0</v>
      </c>
      <c r="P75" s="226">
        <f>COUNTIFS(РД[Тип кв],P$72,РД[МОП],$A75,РД[Дом],$C$71,РД[Дата подачи на регистрацию],"&lt;="&amp;$A$1,РД[Дата подачи на регистрацию],"&gt;="&amp;DATE(YEAR($A$1),MONTH($A$1),1))</f>
        <v>1</v>
      </c>
      <c r="Q75" s="227">
        <f>COUNTIFS(РД[Тип кв],Q$72,РД[МОП],$A75,РД[Дом],$C$71,РД[Дата подачи на регистрацию],"&lt;="&amp;$A$1,РД[Дата подачи на регистрацию],"&gt;="&amp;DATE(YEAR($A$1),MONTH($A$1),1))</f>
        <v>0</v>
      </c>
      <c r="R75" s="930"/>
      <c r="S75" s="930"/>
      <c r="T75" s="930"/>
    </row>
    <row r="76" spans="1:20">
      <c r="A76" s="956" t="s">
        <v>1233</v>
      </c>
      <c r="B76" s="937">
        <f>VLOOKUP(A76,'Индивидуальный план'!$F$3:$H$13,2,0)</f>
        <v>1142</v>
      </c>
      <c r="C76" s="937">
        <f>VLOOKUP(A76,'Индивидуальный план'!$F$3:$H$13,3,0)</f>
        <v>100045396.4754</v>
      </c>
      <c r="D76" s="957"/>
      <c r="E76" s="358">
        <f>SUMIFS(февр231411[м2],февр231411[МОП],$A76,февр231411[№ дома],$C$71,февр231411[Ком],"&lt;&gt;Офис")</f>
        <v>0</v>
      </c>
      <c r="F76" s="958">
        <f>SUMIFS(февр231411[сумма без отделки],февр231411[МОП],$A76,февр231411[№ дома],$C$71,февр231411[Ком],"&lt;&gt;Офис")</f>
        <v>0</v>
      </c>
      <c r="G76" s="959">
        <f>COUNTIFS(февр231411[МОП],$A76,февр231411[№ дома],$C$71,февр231411[Ком],"&lt;&gt;Офис")</f>
        <v>0</v>
      </c>
      <c r="H76" s="145">
        <f>SUMIFS(РД[S],РД[Дом],$C$71,РД[МОП],A76,РД[Дата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149">
        <f>SUMIFS(РД[Стоимость без отделки итог],РД[Дом],$C$71,РД[МОП],A76,РД[Дата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0">
        <f>COUNTIFS(РД[Дом],$C$71,РД[МОП],A76,РД[Дата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K76" s="987">
        <f t="shared" si="0"/>
        <v>0</v>
      </c>
      <c r="L76" s="988">
        <f t="shared" si="0"/>
        <v>0</v>
      </c>
      <c r="M76" s="195">
        <f>COUNTIFS(РД[Тип кв],M$72,РД[МОП],$A76,РД[Дом],$C$71,РД[Дата подачи на регистрацию],"&lt;="&amp;$A$1,РД[Дата подачи на регистрацию],"&gt;="&amp;DATE(YEAR($A$1),MONTH($A$1),1))</f>
        <v>0</v>
      </c>
      <c r="N76" s="251">
        <f>COUNTIFS(РД[Тип кв],N$72,РД[МОП],$A76,РД[Дом],$C$71,РД[Дата подачи на регистрацию],"&lt;="&amp;$A$1,РД[Дата подачи на регистрацию],"&gt;="&amp;DATE(YEAR($A$1),MONTH($A$1),1))</f>
        <v>0</v>
      </c>
      <c r="O76" s="251">
        <f>COUNTIFS(РД[Тип кв],O$72,РД[МОП],$A76,РД[Дом],$C$71,РД[Дата подачи на регистрацию],"&lt;="&amp;$A$1,РД[Дата подачи на регистрацию],"&gt;="&amp;DATE(YEAR($A$1),MONTH($A$1),1))</f>
        <v>0</v>
      </c>
      <c r="P76" s="251">
        <f>COUNTIFS(РД[Тип кв],P$72,РД[МОП],$A76,РД[Дом],$C$71,РД[Дата подачи на регистрацию],"&lt;="&amp;$A$1,РД[Дата подачи на регистрацию],"&gt;="&amp;DATE(YEAR($A$1),MONTH($A$1),1))</f>
        <v>0</v>
      </c>
      <c r="Q76" s="254">
        <f>COUNTIFS(РД[Тип кв],Q$72,РД[МОП],$A76,РД[Дом],$C$71,РД[Дата подачи на регистрацию],"&lt;="&amp;$A$1,РД[Дата подачи на регистрацию],"&gt;="&amp;DATE(YEAR($A$1),MONTH($A$1),1))</f>
        <v>0</v>
      </c>
      <c r="R76" s="930"/>
      <c r="S76" s="930"/>
      <c r="T76" s="930"/>
    </row>
    <row r="77" spans="1:20">
      <c r="A77" s="960" t="s">
        <v>114</v>
      </c>
      <c r="B77" s="961">
        <f>SUM(B73:B76)</f>
        <v>3934</v>
      </c>
      <c r="C77" s="961">
        <f>SUM(C73:C76)</f>
        <v>345409420.22060001</v>
      </c>
      <c r="D77" s="962">
        <f t="shared" ref="D77:J77" si="1">SUM(D73:D76)</f>
        <v>0</v>
      </c>
      <c r="E77" s="963">
        <f t="shared" si="1"/>
        <v>77.099999999999994</v>
      </c>
      <c r="F77" s="964">
        <f t="shared" si="1"/>
        <v>4175950</v>
      </c>
      <c r="G77" s="965">
        <f t="shared" si="1"/>
        <v>1</v>
      </c>
      <c r="H77" s="961">
        <f t="shared" si="1"/>
        <v>78.599999999999994</v>
      </c>
      <c r="I77" s="964">
        <f t="shared" si="1"/>
        <v>4167700</v>
      </c>
      <c r="J77" s="962">
        <f t="shared" si="1"/>
        <v>1</v>
      </c>
      <c r="K77" s="419">
        <f>IFERROR(H77/B77,)</f>
        <v>1.9979664463650227E-2</v>
      </c>
      <c r="L77" s="420">
        <f>IFERROR(I77/C77,)</f>
        <v>1.2065970862457216E-2</v>
      </c>
      <c r="M77" s="473">
        <f>SUM(M73:M76)</f>
        <v>0</v>
      </c>
      <c r="N77" s="494">
        <f>SUM(N73:N76)</f>
        <v>0</v>
      </c>
      <c r="O77" s="494">
        <f>SUM(O73:O76)</f>
        <v>0</v>
      </c>
      <c r="P77" s="989">
        <f>SUM(P73:P76)</f>
        <v>1</v>
      </c>
      <c r="Q77" s="497">
        <f>SUM(Q73:Q76)</f>
        <v>0</v>
      </c>
      <c r="R77" s="930"/>
      <c r="S77" s="930"/>
      <c r="T77" s="930"/>
    </row>
    <row r="78" spans="1:20">
      <c r="A78" s="685" t="s">
        <v>115</v>
      </c>
      <c r="B78" s="723" t="s">
        <v>100</v>
      </c>
      <c r="C78" s="693" t="s">
        <v>97</v>
      </c>
      <c r="D78" s="724" t="s">
        <v>95</v>
      </c>
      <c r="E78" s="137" t="s">
        <v>494</v>
      </c>
      <c r="F78" s="138" t="s">
        <v>495</v>
      </c>
      <c r="G78" s="139" t="s">
        <v>496</v>
      </c>
      <c r="H78" s="482" t="s">
        <v>101</v>
      </c>
      <c r="I78" s="482" t="s">
        <v>98</v>
      </c>
      <c r="J78" s="482" t="s">
        <v>96</v>
      </c>
      <c r="K78" s="502" t="s">
        <v>715</v>
      </c>
      <c r="L78" s="503" t="s">
        <v>716</v>
      </c>
      <c r="M78" s="217">
        <v>0</v>
      </c>
      <c r="N78" s="218">
        <v>1</v>
      </c>
      <c r="O78" s="218">
        <v>2</v>
      </c>
      <c r="P78" s="218">
        <v>3</v>
      </c>
      <c r="Q78" s="219" t="s">
        <v>1367</v>
      </c>
      <c r="R78" s="951"/>
      <c r="S78" s="951"/>
      <c r="T78" s="951"/>
    </row>
    <row r="79" spans="1:20">
      <c r="A79" s="936" t="s">
        <v>16</v>
      </c>
      <c r="B79" s="937">
        <f>VLOOKUP(A79,'Индивидуальный план'!$F$3:$H$13,2,0)</f>
        <v>1973</v>
      </c>
      <c r="C79" s="937">
        <f>VLOOKUP(A79,'Индивидуальный план'!$F$3:$H$13,3,0)</f>
        <v>173294735.36949998</v>
      </c>
      <c r="D79" s="417"/>
      <c r="E79" s="966">
        <f>SUMIFS(февр231411[м2],февр231411[ИМ],A79,февр231411[№ дома],$C$71,февр231411[Ком],"&lt;&gt;Офис")</f>
        <v>0</v>
      </c>
      <c r="F79" s="149">
        <f>SUMIFS(февр231411[сумма без отделки],февр231411[ИМ],$A79,февр231411[№ дома],$C$71,февр231411[Ком],"&lt;&gt;Офис")</f>
        <v>0</v>
      </c>
      <c r="G79" s="940">
        <f>COUNTIFS(февр231411[ИМ],$A79,февр231411[№ дома],$C$71,февр231411[Ком],"&lt;&gt;Офис")</f>
        <v>0</v>
      </c>
      <c r="H79" s="346">
        <f>SUMIFS(РД[S],РД[Дом],$C$71,РД[ИМ],A79,РД[Дата подачи на регистрацию],"&lt;="&amp;$A$1,РД[Дата подачи на регистрацию],"&gt;="&amp;DATE(YEAR($A$1),MONTH($A$1),1),РД[Состояние],"Продажа")</f>
        <v>0</v>
      </c>
      <c r="I79" s="184">
        <f>SUMIFS(РД[Стоимость без отделки итог],РД[Дом],$C$71,РД[ИМ],A79,РД[Дата подачи на регистрацию],"&lt;="&amp;$A$1,РД[Дата подачи на регистрацию],"&gt;="&amp;DATE(YEAR($A$1),MONTH($A$1),1),РД[Состояние],"Продажа")</f>
        <v>0</v>
      </c>
      <c r="J79" s="243">
        <f>COUNTIFS(РД[Дом],$C$71,РД[ИМ],A79,РД[Дата подачи на регистрацию],"&lt;="&amp;$A$1,РД[Дата подачи на регистрацию],"&gt;="&amp;DATE(YEAR($A$1),MONTH($A$1),1),РД[Состояние],"Продажа")</f>
        <v>0</v>
      </c>
      <c r="K79" s="990">
        <f>IFERROR(H79/B79,"")</f>
        <v>0</v>
      </c>
      <c r="L79" s="991">
        <f>IFERROR(I79/C79,"")</f>
        <v>0</v>
      </c>
      <c r="M79" s="183">
        <f>COUNTIFS(РД[Тип кв],M$72,РД[ИМ],$A79,РД[Дом],$C$71,РД[Дата подачи на регистрацию],"&lt;="&amp;$A$1,РД[Дата подачи на регистрацию],"&gt;="&amp;DATE(YEAR($A$1),MONTH($A$1),1))</f>
        <v>0</v>
      </c>
      <c r="N79" s="243">
        <f>COUNTIFS(РД[Тип кв],N$72,РД[ИМ],$A79,РД[Дом],$C$71,РД[Дата подачи на регистрацию],"&lt;="&amp;$A$1,РД[Дата подачи на регистрацию],"&gt;="&amp;DATE(YEAR($A$1),MONTH($A$1),1))</f>
        <v>0</v>
      </c>
      <c r="O79" s="243">
        <f>COUNTIFS(РД[Тип кв],O$72,РД[ИМ],$A79,РД[Дом],$C$71,РД[Дата подачи на регистрацию],"&lt;="&amp;$A$1,РД[Дата подачи на регистрацию],"&gt;="&amp;DATE(YEAR($A$1),MONTH($A$1),1))</f>
        <v>0</v>
      </c>
      <c r="P79" s="243">
        <f>COUNTIFS(РД[Тип кв],P$72,РД[ИМ],$A79,РД[Дом],$C$71,РД[Дата подачи на регистрацию],"&lt;="&amp;$A$1,РД[Дата подачи на регистрацию],"&gt;="&amp;DATE(YEAR($A$1),MONTH($A$1),1))</f>
        <v>0</v>
      </c>
      <c r="Q79" s="246">
        <f>COUNTIFS(РД[Тип кв],Q$72,РД[ИМ],$A79,РД[Дом],$C$71,РД[Дата подачи на регистрацию],"&lt;="&amp;$A$1,РД[Дата подачи на регистрацию],"&gt;="&amp;DATE(YEAR($A$1),MONTH($A$1),1))</f>
        <v>0</v>
      </c>
      <c r="R79" s="930"/>
      <c r="S79" s="930"/>
      <c r="T79" s="930"/>
    </row>
    <row r="80" spans="1:20">
      <c r="A80" s="956" t="s">
        <v>22</v>
      </c>
      <c r="B80" s="937">
        <f>VLOOKUP(A80,'Индивидуальный план'!$F$3:$H$13,2,0)</f>
        <v>1367</v>
      </c>
      <c r="C80" s="937">
        <f>VLOOKUP(A80,'Индивидуальный план'!$F$3:$H$13,3,0)</f>
        <v>120183769.75650001</v>
      </c>
      <c r="D80" s="518"/>
      <c r="E80" s="967">
        <f>SUMIFS(февр231411[м2],февр231411[ИМ],A80,февр231411[№ дома],$C$71,февр231411[Ком],"&lt;&gt;Офис")</f>
        <v>77.099999999999994</v>
      </c>
      <c r="F80" s="359">
        <f>SUMIFS(февр231411[сумма без отделки],февр231411[ИМ],$A80,февр231411[№ дома],$C$71,февр231411[Ком],"&lt;&gt;Офис")</f>
        <v>4175950</v>
      </c>
      <c r="G80" s="959">
        <f>COUNTIFS(февр231411[ИМ],$A80,февр231411[№ дома],$C$71,февр231411[Ком],"&lt;&gt;Офис")</f>
        <v>1</v>
      </c>
      <c r="H80" s="426">
        <f>SUMIFS(РД[S],РД[Дом],$C$71,РД[ИМ],A80,РД[Дата подачи на регистрацию],"&lt;="&amp;$A$1,РД[Дата подачи на регистрацию],"&gt;="&amp;DATE(YEAR($A$1),MONTH($A$1),1),РД[Состояние],"Продажа")</f>
        <v>78.599999999999994</v>
      </c>
      <c r="I80" s="196">
        <f>SUMIFS(РД[Стоимость без отделки итог],РД[Дом],$C$71,РД[ИМ],A80,РД[Дата подачи на регистрацию],"&lt;="&amp;$A$1,РД[Дата подачи на регистрацию],"&gt;="&amp;DATE(YEAR($A$1),MONTH($A$1),1),РД[Состояние],"Продажа")</f>
        <v>4167700</v>
      </c>
      <c r="J80" s="251">
        <f>COUNTIFS(РД[Дом],$C$71,РД[ИМ],A80,РД[Дата подачи на регистрацию],"&lt;="&amp;$A$1,РД[Дата подачи на регистрацию],"&gt;="&amp;DATE(YEAR($A$1),MONTH($A$1),1),РД[Состояние],"Продажа")</f>
        <v>1</v>
      </c>
      <c r="K80" s="992">
        <f>IFERROR(H80/B80,"")</f>
        <v>5.7498171177761515E-2</v>
      </c>
      <c r="L80" s="993">
        <f>IFERROR(I80/C80,"")</f>
        <v>3.4677727354068079E-2</v>
      </c>
      <c r="M80" s="195">
        <f>COUNTIFS(РД[Тип кв],M$72,РД[ИМ],$A80,РД[Дом],$C$71,РД[Дата подачи на регистрацию],"&lt;="&amp;$A$1,РД[Дата подачи на регистрацию],"&gt;="&amp;DATE(YEAR($A$1),MONTH($A$1),1))</f>
        <v>0</v>
      </c>
      <c r="N80" s="251">
        <f>COUNTIFS(РД[Тип кв],N$72,РД[ИМ],$A80,РД[Дом],$C$71,РД[Дата подачи на регистрацию],"&lt;="&amp;$A$1,РД[Дата подачи на регистрацию],"&gt;="&amp;DATE(YEAR($A$1),MONTH($A$1),1))</f>
        <v>0</v>
      </c>
      <c r="O80" s="251">
        <f>COUNTIFS(РД[Тип кв],O$72,РД[ИМ],$A80,РД[Дом],$C$71,РД[Дата подачи на регистрацию],"&lt;="&amp;$A$1,РД[Дата подачи на регистрацию],"&gt;="&amp;DATE(YEAR($A$1),MONTH($A$1),1))</f>
        <v>0</v>
      </c>
      <c r="P80" s="251">
        <f>COUNTIFS(РД[Тип кв],P$72,РД[ИМ],$A80,РД[Дом],$C$71,РД[Дата подачи на регистрацию],"&lt;="&amp;$A$1,РД[Дата подачи на регистрацию],"&gt;="&amp;DATE(YEAR($A$1),MONTH($A$1),1))</f>
        <v>1</v>
      </c>
      <c r="Q80" s="254">
        <f>COUNTIFS(РД[Тип кв],Q$72,РД[ИМ],$A80,РД[Дом],$C$71,РД[Дата подачи на регистрацию],"&lt;="&amp;$A$1,РД[Дата подачи на регистрацию],"&gt;="&amp;DATE(YEAR($A$1),MONTH($A$1),1))</f>
        <v>0</v>
      </c>
      <c r="R80" s="930"/>
      <c r="S80" s="930"/>
      <c r="T80" s="930"/>
    </row>
    <row r="81" spans="1:20">
      <c r="A81" s="409" t="s">
        <v>114</v>
      </c>
      <c r="B81" s="961">
        <f>SUM(B79:B80)</f>
        <v>3340</v>
      </c>
      <c r="C81" s="961">
        <f>SUM(C79:C80)</f>
        <v>293478505.12599999</v>
      </c>
      <c r="D81" s="485">
        <f t="shared" ref="D81:J81" si="2">SUM(D79:D80)</f>
        <v>0</v>
      </c>
      <c r="E81" s="473">
        <f t="shared" si="2"/>
        <v>77.099999999999994</v>
      </c>
      <c r="F81" s="429">
        <f t="shared" si="2"/>
        <v>4175950</v>
      </c>
      <c r="G81" s="497">
        <f t="shared" si="2"/>
        <v>1</v>
      </c>
      <c r="H81" s="473">
        <f t="shared" si="2"/>
        <v>78.599999999999994</v>
      </c>
      <c r="I81" s="429">
        <f t="shared" si="2"/>
        <v>4167700</v>
      </c>
      <c r="J81" s="497">
        <f t="shared" si="2"/>
        <v>1</v>
      </c>
      <c r="K81" s="238">
        <f>IFERROR(H81/B81,)</f>
        <v>2.3532934131736526E-2</v>
      </c>
      <c r="L81" s="501">
        <f>IFERROR(I81/C81,)</f>
        <v>1.4201040032593423E-2</v>
      </c>
      <c r="M81" s="897">
        <f>SUM(M79:M80)</f>
        <v>0</v>
      </c>
      <c r="N81" s="897">
        <f>SUM(N79:N80)</f>
        <v>0</v>
      </c>
      <c r="O81" s="897">
        <f>SUM(O79:O80)</f>
        <v>0</v>
      </c>
      <c r="P81" s="897">
        <f>SUM(P79:P80)</f>
        <v>1</v>
      </c>
      <c r="Q81" s="898">
        <f>SUM(Q79:Q80)</f>
        <v>0</v>
      </c>
      <c r="R81" s="339"/>
      <c r="S81" s="339"/>
      <c r="T81" s="339"/>
    </row>
    <row r="82" spans="1:20">
      <c r="A82" s="7"/>
      <c r="B82" s="968"/>
      <c r="C82" s="968"/>
      <c r="D82" s="7"/>
      <c r="E82" s="7"/>
      <c r="F82" s="7"/>
      <c r="G82" s="7"/>
      <c r="H82" s="134"/>
      <c r="I82" s="134"/>
      <c r="J82" s="134"/>
      <c r="K82" s="7"/>
      <c r="L82" s="994"/>
      <c r="M82" s="134"/>
      <c r="N82" s="134"/>
      <c r="O82" s="134"/>
      <c r="P82" s="262"/>
      <c r="Q82" s="134"/>
      <c r="R82" s="930"/>
      <c r="S82" s="930"/>
      <c r="T82" s="930"/>
    </row>
    <row r="83" spans="1:20">
      <c r="A83" s="2290" t="s">
        <v>713</v>
      </c>
      <c r="B83" s="2291"/>
      <c r="C83" s="935" t="s">
        <v>27</v>
      </c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7"/>
      <c r="R83" s="930"/>
      <c r="S83" s="930"/>
      <c r="T83" s="930"/>
    </row>
    <row r="84" spans="1:20">
      <c r="A84" s="685" t="s">
        <v>1</v>
      </c>
      <c r="B84" s="723" t="s">
        <v>100</v>
      </c>
      <c r="C84" s="687" t="s">
        <v>97</v>
      </c>
      <c r="D84" s="724" t="s">
        <v>95</v>
      </c>
      <c r="E84" s="137" t="s">
        <v>494</v>
      </c>
      <c r="F84" s="138" t="s">
        <v>495</v>
      </c>
      <c r="G84" s="139" t="s">
        <v>496</v>
      </c>
      <c r="H84" s="140" t="s">
        <v>101</v>
      </c>
      <c r="I84" s="141" t="s">
        <v>98</v>
      </c>
      <c r="J84" s="141" t="s">
        <v>96</v>
      </c>
      <c r="K84" s="141" t="s">
        <v>715</v>
      </c>
      <c r="L84" s="216" t="s">
        <v>716</v>
      </c>
      <c r="M84" s="217">
        <v>0</v>
      </c>
      <c r="N84" s="218">
        <v>1</v>
      </c>
      <c r="O84" s="218">
        <v>2</v>
      </c>
      <c r="P84" s="218">
        <v>3</v>
      </c>
      <c r="Q84" s="219" t="s">
        <v>1367</v>
      </c>
      <c r="R84" s="951"/>
      <c r="S84" s="951"/>
      <c r="T84" s="951"/>
    </row>
    <row r="85" spans="1:20">
      <c r="A85" s="936" t="s">
        <v>73</v>
      </c>
      <c r="B85" s="937">
        <f>VLOOKUP(A85,'Индивидуальный план'!$F$15:$H$24,2,0)</f>
        <v>685</v>
      </c>
      <c r="C85" s="937">
        <f>VLOOKUP(A85,'Индивидуальный план'!$F$15:$H$24,3,0)</f>
        <v>58063399.594999999</v>
      </c>
      <c r="D85" s="938"/>
      <c r="E85" s="148">
        <f>SUMIFS(февр231411[м2],февр231411[МОП],$A85,февр231411[№ дома],$C$83,февр231411[Ком],"&lt;&gt;Офис")</f>
        <v>24.39</v>
      </c>
      <c r="F85" s="939">
        <f>SUMIFS(февр231411[сумма без отделки],февр231411[МОП],$A85,февр231411[№ дома],$C$83,февр231411[Ком],"&lt;&gt;Офис")</f>
        <v>2564643.87</v>
      </c>
      <c r="G85" s="940">
        <f>COUNTIFS(февр231411[МОП],$A85,февр231411[№ дома],$C$83,февр231411[Ком],"&lt;&gt;Офис")</f>
        <v>1</v>
      </c>
      <c r="H85" s="148">
        <f>SUMIFS(РД[S],РД[Дом],$C$83,РД[МОП],A85,РД[Дата подачи на регистрацию],"&lt;="&amp;$A$1,РД[Дата подачи на регистрацию],"&gt;="&amp;DATE(YEAR($A$1),MONTH($A$1),1),РД[Состояние],"Продажа")</f>
        <v>24.39</v>
      </c>
      <c r="I85" s="149">
        <f>SUMIFS(РД[Стоимость без отделки итог],РД[Дом],$C$83,РД[МОП],A85,РД[Дата подачи на регистрацию],"&lt;="&amp;$A$1,РД[Дата подачи на регистрацию],"&gt;="&amp;DATE(YEAR($A$1),MONTH($A$1),1),РД[Состояние],"Продажа")</f>
        <v>2564643.87</v>
      </c>
      <c r="J85" s="220">
        <f>COUNTIFS(РД[Дом],$C$83,РД[МОП],A85,РД[Дата подачи на регистрацию],"&lt;="&amp;$A$1,РД[Дата подачи на регистрацию],"&gt;="&amp;DATE(YEAR($A$1),MONTH($A$1),1),РД[Состояние],"Продажа")</f>
        <v>1</v>
      </c>
      <c r="K85" s="943">
        <f t="shared" ref="K85:L88" si="3">IFERROR(H85/B85,"")</f>
        <v>3.5605839416058396E-2</v>
      </c>
      <c r="L85" s="944">
        <f t="shared" si="3"/>
        <v>4.4169715998180183E-2</v>
      </c>
      <c r="M85" s="183">
        <f>COUNTIFS(РД[Тип кв],M$84,РД[МОП],$A85,РД[Дом],$C$83,РД[Дата подачи на регистрацию],"&lt;="&amp;$A$1,РД[Дата подачи на регистрацию],"&gt;="&amp;DATE(YEAR($A$1),MONTH($A$1),1))</f>
        <v>1</v>
      </c>
      <c r="N85" s="243">
        <f>COUNTIFS(РД[Тип кв],N$84,РД[МОП],$A85,РД[Дом],$C$83,РД[Дата подачи на регистрацию],"&lt;="&amp;$A$1,РД[Дата подачи на регистрацию],"&gt;="&amp;DATE(YEAR($A$1),MONTH($A$1),1))</f>
        <v>0</v>
      </c>
      <c r="O85" s="243">
        <f>COUNTIFS(РД[Тип кв],O$84,РД[МОП],$A85,РД[Дом],$C$83,РД[Дата подачи на регистрацию],"&lt;="&amp;$A$1,РД[Дата подачи на регистрацию],"&gt;="&amp;DATE(YEAR($A$1),MONTH($A$1),1))</f>
        <v>0</v>
      </c>
      <c r="P85" s="243">
        <f>COUNTIFS(РД[Тип кв],P$84,РД[МОП],$A85,РД[Дом],$C$83,РД[Дата подачи на регистрацию],"&lt;="&amp;$A$1,РД[Дата подачи на регистрацию],"&gt;="&amp;DATE(YEAR($A$1),MONTH($A$1),1))</f>
        <v>0</v>
      </c>
      <c r="Q85" s="246">
        <f>COUNTIFS(РД[Тип кв],Q$84,РД[МОП],$A85,РД[Дом],$C$83,РД[Дата подачи на регистрацию],"&lt;="&amp;$A$1,РД[Дата подачи на регистрацию],"&gt;="&amp;DATE(YEAR($A$1),MONTH($A$1),1))</f>
        <v>0</v>
      </c>
      <c r="R85" s="930"/>
      <c r="S85" s="930"/>
      <c r="T85" s="930"/>
    </row>
    <row r="86" spans="1:20">
      <c r="A86" s="936" t="s">
        <v>8</v>
      </c>
      <c r="B86" s="937">
        <f>VLOOKUP(A86,'Индивидуальный план'!$F$15:$H$24,2,0)</f>
        <v>420</v>
      </c>
      <c r="C86" s="937">
        <f>VLOOKUP(A86,'Индивидуальный план'!$F$15:$H$24,3,0)</f>
        <v>35600916.539999999</v>
      </c>
      <c r="D86" s="938"/>
      <c r="E86" s="148">
        <f>SUMIFS(февр231411[м2],февр231411[МОП],$A86,февр231411[№ дома],$C$83,февр231411[Ком],"&lt;&gt;Офис")</f>
        <v>24.39</v>
      </c>
      <c r="F86" s="939">
        <f>SUMIFS(февр231411[сумма без отделки],февр231411[МОП],$A86,февр231411[№ дома],$C$83,февр231411[Ком],"&lt;&gt;Офис")</f>
        <v>2564643.87</v>
      </c>
      <c r="G86" s="940">
        <f>COUNTIFS(февр231411[МОП],$A86,февр231411[№ дома],$C$83,февр231411[Ком],"&lt;&gt;Офис")</f>
        <v>1</v>
      </c>
      <c r="H86" s="148">
        <f>SUMIFS(РД[S],РД[Дом],$C$83,РД[МОП],A86,РД[Дата подачи на регистрацию],"&lt;="&amp;$A$1,РД[Дата подачи на регистрацию],"&gt;="&amp;DATE(YEAR($A$1),MONTH($A$1),1),РД[Состояние],"Продажа")</f>
        <v>24.39</v>
      </c>
      <c r="I86" s="149">
        <f>SUMIFS(РД[Стоимость без отделки итог],РД[Дом],$C$83,РД[МОП],A86,РД[Дата подачи на регистрацию],"&lt;="&amp;$A$1,РД[Дата подачи на регистрацию],"&gt;="&amp;DATE(YEAR($A$1),MONTH($A$1),1),РД[Состояние],"Продажа")</f>
        <v>2564643.8700000038</v>
      </c>
      <c r="J86" s="220">
        <f>COUNTIFS(РД[Дом],$C$83,РД[МОП],A86,РД[Дата подачи на регистрацию],"&lt;="&amp;$A$1,РД[Дата подачи на регистрацию],"&gt;="&amp;DATE(YEAR($A$1),MONTH($A$1),1),РД[Состояние],"Продажа")</f>
        <v>1</v>
      </c>
      <c r="K86" s="943">
        <f t="shared" si="3"/>
        <v>5.8071428571428572E-2</v>
      </c>
      <c r="L86" s="944">
        <f t="shared" si="3"/>
        <v>7.203870347322254E-2</v>
      </c>
      <c r="M86" s="148">
        <f>COUNTIFS(РД[Тип кв],M$84,РД[МОП],$A86,РД[Дом],$C$83,РД[Дата подачи на регистрацию],"&lt;="&amp;$A$1,РД[Дата подачи на регистрацию],"&gt;="&amp;DATE(YEAR($A$1),MONTH($A$1),1))</f>
        <v>1</v>
      </c>
      <c r="N86" s="220">
        <f>COUNTIFS(РД[Тип кв],N$84,РД[МОП],$A86,РД[Дом],$C$83,РД[Дата подачи на регистрацию],"&lt;="&amp;$A$1,РД[Дата подачи на регистрацию],"&gt;="&amp;DATE(YEAR($A$1),MONTH($A$1),1))</f>
        <v>0</v>
      </c>
      <c r="O86" s="220">
        <f>COUNTIFS(РД[Тип кв],O$84,РД[МОП],$A86,РД[Дом],$C$83,РД[Дата подачи на регистрацию],"&lt;="&amp;$A$1,РД[Дата подачи на регистрацию],"&gt;="&amp;DATE(YEAR($A$1),MONTH($A$1),1))</f>
        <v>0</v>
      </c>
      <c r="P86" s="220">
        <f>COUNTIFS(РД[Тип кв],P$84,РД[МОП],$A86,РД[Дом],$C$83,РД[Дата подачи на регистрацию],"&lt;="&amp;$A$1,РД[Дата подачи на регистрацию],"&gt;="&amp;DATE(YEAR($A$1),MONTH($A$1),1))</f>
        <v>0</v>
      </c>
      <c r="Q86" s="223">
        <f>COUNTIFS(РД[Тип кв],Q$84,РД[МОП],$A86,РД[Дом],$C$83,РД[Дата подачи на регистрацию],"&lt;="&amp;$A$1,РД[Дата подачи на регистрацию],"&gt;="&amp;DATE(YEAR($A$1),MONTH($A$1),1))</f>
        <v>0</v>
      </c>
      <c r="R86" s="930"/>
      <c r="S86" s="930"/>
      <c r="T86" s="930"/>
    </row>
    <row r="87" spans="1:20">
      <c r="A87" s="952" t="s">
        <v>77</v>
      </c>
      <c r="B87" s="937">
        <f>VLOOKUP(A87,'Индивидуальный план'!$F$15:$H$24,2,0)</f>
        <v>592</v>
      </c>
      <c r="C87" s="937">
        <f>VLOOKUP(A87,'Индивидуальный план'!$F$15:$H$24,3,0)</f>
        <v>50180339.504000001</v>
      </c>
      <c r="D87" s="953"/>
      <c r="E87" s="202">
        <f>SUMIFS(февр231411[м2],февр231411[МОП],$A87,февр231411[№ дома],$C$83,февр231411[Ком],"&lt;&gt;Офис")</f>
        <v>0</v>
      </c>
      <c r="F87" s="954">
        <f>SUMIFS(февр231411[сумма без отделки],февр231411[МОП],$A87,февр231411[№ дома],$C$83,февр231411[Ком],"&lt;&gt;Офис")</f>
        <v>0</v>
      </c>
      <c r="G87" s="955">
        <f>COUNTIFS(февр231411[МОП],$A87,февр231411[№ дома],$C$83,февр231411[Ком],"&lt;&gt;Офис")</f>
        <v>0</v>
      </c>
      <c r="H87" s="148">
        <f>SUMIFS(РД[S],РД[Дом],$C$83,РД[МОП],A87,РД[Дата подачи на регистрацию],"&lt;="&amp;$A$1,РД[Дата подачи на регистрацию],"&gt;="&amp;DATE(YEAR($A$1),MONTH($A$1),1),РД[Состояние],"Продажа")</f>
        <v>0</v>
      </c>
      <c r="I87" s="149">
        <f>SUMIFS(РД[Стоимость без отделки итог],РД[Дом],$C$83,РД[МОП],A87,РД[Дата подачи на регистрацию],"&lt;="&amp;$A$1,РД[Дата подачи на регистрацию],"&gt;="&amp;DATE(YEAR($A$1),MONTH($A$1),1),РД[Состояние],"Продажа")</f>
        <v>0</v>
      </c>
      <c r="J87" s="220">
        <f>COUNTIFS(РД[Дом],$C$83,РД[МОП],A87,РД[Дата подачи на регистрацию],"&lt;="&amp;$A$1,РД[Дата подачи на регистрацию],"&gt;="&amp;DATE(YEAR($A$1),MONTH($A$1),1),РД[Состояние],"Продажа")</f>
        <v>0</v>
      </c>
      <c r="K87" s="987">
        <f t="shared" si="3"/>
        <v>0</v>
      </c>
      <c r="L87" s="988">
        <f t="shared" si="3"/>
        <v>0</v>
      </c>
      <c r="M87" s="202">
        <f>COUNTIFS(РД[Тип кв],M$84,РД[МОП],$A87,РД[Дом],$C$83,РД[Дата подачи на регистрацию],"&lt;="&amp;$A$1,РД[Дата подачи на регистрацию],"&gt;="&amp;DATE(YEAR($A$1),MONTH($A$1),1))</f>
        <v>0</v>
      </c>
      <c r="N87" s="226">
        <f>COUNTIFS(РД[Тип кв],N$84,РД[МОП],$A87,РД[Дом],$C$83,РД[Дата подачи на регистрацию],"&lt;="&amp;$A$1,РД[Дата подачи на регистрацию],"&gt;="&amp;DATE(YEAR($A$1),MONTH($A$1),1))</f>
        <v>0</v>
      </c>
      <c r="O87" s="226">
        <f>COUNTIFS(РД[Тип кв],O$84,РД[МОП],$A87,РД[Дом],$C$83,РД[Дата подачи на регистрацию],"&lt;="&amp;$A$1,РД[Дата подачи на регистрацию],"&gt;="&amp;DATE(YEAR($A$1),MONTH($A$1),1))</f>
        <v>0</v>
      </c>
      <c r="P87" s="226">
        <f>COUNTIFS(РД[Тип кв],P$84,РД[МОП],$A87,РД[Дом],$C$83,РД[Дата подачи на регистрацию],"&lt;="&amp;$A$1,РД[Дата подачи на регистрацию],"&gt;="&amp;DATE(YEAR($A$1),MONTH($A$1),1))</f>
        <v>0</v>
      </c>
      <c r="Q87" s="227">
        <f>COUNTIFS(РД[Тип кв],Q$84,РД[МОП],$A87,РД[Дом],$C$83,РД[Дата подачи на регистрацию],"&lt;="&amp;$A$1,РД[Дата подачи на регистрацию],"&gt;="&amp;DATE(YEAR($A$1),MONTH($A$1),1))</f>
        <v>0</v>
      </c>
      <c r="R87" s="930"/>
      <c r="S87" s="930"/>
      <c r="T87" s="930"/>
    </row>
    <row r="88" spans="1:20">
      <c r="A88" s="956" t="s">
        <v>1233</v>
      </c>
      <c r="B88" s="937">
        <f>VLOOKUP(A88,'Индивидуальный план'!$F$15:$H$24,2,0)</f>
        <v>685</v>
      </c>
      <c r="C88" s="937">
        <f>VLOOKUP(A88,'Индивидуальный план'!$F$15:$H$24,3,0)</f>
        <v>58063399.594999999</v>
      </c>
      <c r="D88" s="957"/>
      <c r="E88" s="358">
        <f>SUMIFS(февр231411[м2],февр231411[МОП],$A88,февр231411[№ дома],$C$83,февр231411[Ком],"&lt;&gt;Офис")</f>
        <v>23.63</v>
      </c>
      <c r="F88" s="958">
        <f>SUMIFS(февр231411[сумма без отделки],февр231411[МОП],$A88,февр231411[№ дома],$C$83,февр231411[Ком],"&lt;&gt;Офис")</f>
        <v>2371119.0299999998</v>
      </c>
      <c r="G88" s="959">
        <f>COUNTIFS(февр231411[МОП],$A88,февр231411[№ дома],$C$83,февр231411[Ком],"&lt;&gt;Офис")</f>
        <v>1</v>
      </c>
      <c r="H88" s="148">
        <f>SUMIFS(РД[S],РД[Дом],$C$83,РД[МОП],A88,РД[Дата подачи на регистрацию],"&lt;="&amp;$A$1,РД[Дата подачи на регистрацию],"&gt;="&amp;DATE(YEAR($A$1),MONTH($A$1),1),РД[Состояние],"Продажа")</f>
        <v>23.63</v>
      </c>
      <c r="I88" s="149">
        <f>SUMIFS(РД[Стоимость без отделки итог],РД[Дом],$C$83,РД[МОП],A88,РД[Дата подачи на регистрацию],"&lt;="&amp;$A$1,РД[Дата подачи на регистрацию],"&gt;="&amp;DATE(YEAR($A$1),MONTH($A$1),1),РД[Состояние],"Продажа")</f>
        <v>2371119.0299999998</v>
      </c>
      <c r="J88" s="220">
        <f>COUNTIFS(РД[Дом],$C$83,РД[МОП],A88,РД[Дата подачи на регистрацию],"&lt;="&amp;$A$1,РД[Дата подачи на регистрацию],"&gt;="&amp;DATE(YEAR($A$1),MONTH($A$1),1),РД[Состояние],"Продажа")</f>
        <v>1</v>
      </c>
      <c r="K88" s="987">
        <f t="shared" si="3"/>
        <v>3.4496350364963499E-2</v>
      </c>
      <c r="L88" s="988">
        <f t="shared" si="3"/>
        <v>4.0836724107421771E-2</v>
      </c>
      <c r="M88" s="195">
        <f>COUNTIFS(РД[Тип кв],M$84,РД[МОП],$A88,РД[Дом],$C$83,РД[Дата подачи на регистрацию],"&lt;="&amp;$A$1,РД[Дата подачи на регистрацию],"&gt;="&amp;DATE(YEAR($A$1),MONTH($A$1),1))</f>
        <v>1</v>
      </c>
      <c r="N88" s="251">
        <f>COUNTIFS(РД[Тип кв],N$84,РД[МОП],$A88,РД[Дом],$C$83,РД[Дата подачи на регистрацию],"&lt;="&amp;$A$1,РД[Дата подачи на регистрацию],"&gt;="&amp;DATE(YEAR($A$1),MONTH($A$1),1))</f>
        <v>0</v>
      </c>
      <c r="O88" s="251">
        <f>COUNTIFS(РД[Тип кв],O$84,РД[МОП],$A88,РД[Дом],$C$83,РД[Дата подачи на регистрацию],"&lt;="&amp;$A$1,РД[Дата подачи на регистрацию],"&gt;="&amp;DATE(YEAR($A$1),MONTH($A$1),1))</f>
        <v>0</v>
      </c>
      <c r="P88" s="251">
        <f>COUNTIFS(РД[Тип кв],P$84,РД[МОП],$A88,РД[Дом],$C$83,РД[Дата подачи на регистрацию],"&lt;="&amp;$A$1,РД[Дата подачи на регистрацию],"&gt;="&amp;DATE(YEAR($A$1),MONTH($A$1),1))</f>
        <v>0</v>
      </c>
      <c r="Q88" s="254">
        <f>COUNTIFS(РД[Тип кв],Q$84,РД[МОП],$A88,РД[Дом],$C$83,РД[Дата подачи на регистрацию],"&lt;="&amp;$A$1,РД[Дата подачи на регистрацию],"&gt;="&amp;DATE(YEAR($A$1),MONTH($A$1),1))</f>
        <v>0</v>
      </c>
      <c r="R88" s="930"/>
      <c r="S88" s="930"/>
      <c r="T88" s="930"/>
    </row>
    <row r="89" spans="1:20">
      <c r="A89" s="960" t="s">
        <v>114</v>
      </c>
      <c r="B89" s="961">
        <f>SUM(B85:B88)</f>
        <v>2382</v>
      </c>
      <c r="C89" s="961">
        <f>SUM(C85:C88)</f>
        <v>201908055.234</v>
      </c>
      <c r="D89" s="962">
        <f t="shared" ref="D89:J89" si="4">SUM(D85:D88)</f>
        <v>0</v>
      </c>
      <c r="E89" s="963">
        <f t="shared" si="4"/>
        <v>72.41</v>
      </c>
      <c r="F89" s="964">
        <f t="shared" si="4"/>
        <v>7500406.7699999996</v>
      </c>
      <c r="G89" s="965">
        <f t="shared" si="4"/>
        <v>3</v>
      </c>
      <c r="H89" s="961">
        <f t="shared" si="4"/>
        <v>72.41</v>
      </c>
      <c r="I89" s="964">
        <f t="shared" si="4"/>
        <v>7500406.7700000033</v>
      </c>
      <c r="J89" s="962">
        <f t="shared" si="4"/>
        <v>3</v>
      </c>
      <c r="K89" s="419">
        <f>IFERROR(H89/B89,)</f>
        <v>3.0398824517212424E-2</v>
      </c>
      <c r="L89" s="420">
        <f>IFERROR(I89/C89,)</f>
        <v>3.7147635151591432E-2</v>
      </c>
      <c r="M89" s="473">
        <f>SUM(M85:M88)</f>
        <v>3</v>
      </c>
      <c r="N89" s="494">
        <f>SUM(N85:N88)</f>
        <v>0</v>
      </c>
      <c r="O89" s="494">
        <f>SUM(O85:O88)</f>
        <v>0</v>
      </c>
      <c r="P89" s="989">
        <f>SUM(P85:P88)</f>
        <v>0</v>
      </c>
      <c r="Q89" s="497">
        <f>SUM(Q85:Q88)</f>
        <v>0</v>
      </c>
      <c r="R89" s="930"/>
      <c r="S89" s="930"/>
      <c r="T89" s="930"/>
    </row>
    <row r="90" spans="1:20">
      <c r="A90" s="685" t="s">
        <v>115</v>
      </c>
      <c r="B90" s="723" t="s">
        <v>100</v>
      </c>
      <c r="C90" s="693" t="s">
        <v>97</v>
      </c>
      <c r="D90" s="724" t="s">
        <v>95</v>
      </c>
      <c r="E90" s="137" t="s">
        <v>494</v>
      </c>
      <c r="F90" s="138" t="s">
        <v>495</v>
      </c>
      <c r="G90" s="139" t="s">
        <v>496</v>
      </c>
      <c r="H90" s="140" t="s">
        <v>101</v>
      </c>
      <c r="I90" s="141" t="s">
        <v>98</v>
      </c>
      <c r="J90" s="141" t="s">
        <v>96</v>
      </c>
      <c r="K90" s="495" t="s">
        <v>715</v>
      </c>
      <c r="L90" s="896" t="s">
        <v>716</v>
      </c>
      <c r="M90" s="217">
        <v>0</v>
      </c>
      <c r="N90" s="218">
        <v>1</v>
      </c>
      <c r="O90" s="218">
        <v>2</v>
      </c>
      <c r="P90" s="218">
        <v>3</v>
      </c>
      <c r="Q90" s="219" t="s">
        <v>1367</v>
      </c>
      <c r="R90" s="951"/>
      <c r="S90" s="951"/>
      <c r="T90" s="951"/>
    </row>
    <row r="91" spans="1:20">
      <c r="A91" s="936" t="s">
        <v>16</v>
      </c>
      <c r="B91" s="937" t="e">
        <f>'Индивидуальный план'!#REF!</f>
        <v>#REF!</v>
      </c>
      <c r="C91" s="937" t="e">
        <f>'Индивидуальный план'!#REF!</f>
        <v>#REF!</v>
      </c>
      <c r="D91" s="417"/>
      <c r="E91" s="966">
        <f>SUMIFS(февр231411[м2],февр231411[ИМ],A91,февр231411[№ дома],$C$83,февр231411[Ком],"&lt;&gt;Офис")</f>
        <v>48.78</v>
      </c>
      <c r="F91" s="149">
        <f>SUMIFS(февр231411[сумма без отделки],февр231411[ИМ],$A91,февр231411[№ дома],$C$83,февр231411[Ком],"&lt;&gt;Офис")</f>
        <v>5129287.74</v>
      </c>
      <c r="G91" s="940">
        <f>COUNTIFS(февр231411[ИМ],$A91,февр231411[№ дома],$C$83,февр231411[Ком],"&lt;&gt;Офис")</f>
        <v>2</v>
      </c>
      <c r="H91" s="346">
        <f>SUMIFS(РД[S],РД[Дом],$C$83,РД[ИМ],A91,РД[Дата подачи на регистрацию],"&lt;="&amp;$A$1,РД[Дата подачи на регистрацию],"&gt;="&amp;DATE(YEAR($A$1),MONTH($A$1),1),РД[Состояние],"Продажа")</f>
        <v>48.78</v>
      </c>
      <c r="I91" s="184">
        <f>SUMIFS(РД[Стоимость без отделки итог],РД[Дом],$C$83,РД[ИМ],A91,РД[Дата подачи на регистрацию],"&lt;="&amp;$A$1,РД[Дата подачи на регистрацию],"&gt;="&amp;DATE(YEAR($A$1),MONTH($A$1),1),РД[Состояние],"Продажа")</f>
        <v>5129287.7400000039</v>
      </c>
      <c r="J91" s="243">
        <f>COUNTIFS(РД[Дом],$C$83,РД[ИМ],A91,РД[Дата подачи на регистрацию],"&lt;="&amp;$A$1,РД[Дата подачи на регистрацию],"&gt;="&amp;DATE(YEAR($A$1),MONTH($A$1),1),РД[Состояние],"Продажа")</f>
        <v>2</v>
      </c>
      <c r="K91" s="990" t="str">
        <f>IFERROR(H91/B91,"")</f>
        <v/>
      </c>
      <c r="L91" s="991" t="str">
        <f>IFERROR(I91/C91,"")</f>
        <v/>
      </c>
      <c r="M91" s="183">
        <f>COUNTIFS(РД[Тип кв],M$84,РД[ИМ],$A91,РД[Дом],$C$83,РД[Дата подачи на регистрацию],"&lt;="&amp;$A$1,РД[Дата подачи на регистрацию],"&gt;="&amp;DATE(YEAR($A$1),MONTH($A$1),1))</f>
        <v>2</v>
      </c>
      <c r="N91" s="243">
        <f>COUNTIFS(РД[Тип кв],N$84,РД[ИМ],$A91,РД[Дом],$C$83,РД[Дата подачи на регистрацию],"&lt;="&amp;$A$1,РД[Дата подачи на регистрацию],"&gt;="&amp;DATE(YEAR($A$1),MONTH($A$1),1))</f>
        <v>0</v>
      </c>
      <c r="O91" s="243">
        <f>COUNTIFS(РД[Тип кв],O$84,РД[ИМ],$A91,РД[Дом],$C$83,РД[Дата подачи на регистрацию],"&lt;="&amp;$A$1,РД[Дата подачи на регистрацию],"&gt;="&amp;DATE(YEAR($A$1),MONTH($A$1),1))</f>
        <v>0</v>
      </c>
      <c r="P91" s="243">
        <f>COUNTIFS(РД[Тип кв],P$84,РД[ИМ],$A91,РД[Дом],$C$83,РД[Дата подачи на регистрацию],"&lt;="&amp;$A$1,РД[Дата подачи на регистрацию],"&gt;="&amp;DATE(YEAR($A$1),MONTH($A$1),1))</f>
        <v>0</v>
      </c>
      <c r="Q91" s="246">
        <f>COUNTIFS(РД[Тип кв],Q$84,РД[ИМ],$A91,РД[Дом],$C$83,РД[Дата подачи на регистрацию],"&lt;="&amp;$A$1,РД[Дата подачи на регистрацию],"&gt;="&amp;DATE(YEAR($A$1),MONTH($A$1),1))</f>
        <v>0</v>
      </c>
      <c r="R91" s="930"/>
      <c r="S91" s="930"/>
      <c r="T91" s="930"/>
    </row>
    <row r="92" spans="1:20">
      <c r="A92" s="956" t="s">
        <v>22</v>
      </c>
      <c r="B92" s="937" t="e">
        <f>'Индивидуальный план'!#REF!</f>
        <v>#REF!</v>
      </c>
      <c r="C92" s="937" t="e">
        <f>'Индивидуальный план'!#REF!</f>
        <v>#REF!</v>
      </c>
      <c r="D92" s="518"/>
      <c r="E92" s="967">
        <f>SUMIFS(февр231411[м2],февр231411[ИМ],A92,февр231411[№ дома],$C$83,февр231411[Ком],"&lt;&gt;Офис")</f>
        <v>23.63</v>
      </c>
      <c r="F92" s="359">
        <f>SUMIFS(февр231411[сумма без отделки],февр231411[ИМ],$A92,февр231411[№ дома],$C$83,февр231411[Ком],"&lt;&gt;Офис")</f>
        <v>2371119.0299999998</v>
      </c>
      <c r="G92" s="959">
        <f>COUNTIFS(февр231411[ИМ],$A92,февр231411[№ дома],$C$83,февр231411[Ком],"&lt;&gt;Офис")</f>
        <v>1</v>
      </c>
      <c r="H92" s="426">
        <f>SUMIFS(РД[S],РД[Дом],$C$83,РД[ИМ],A92,РД[Дата подачи на регистрацию],"&lt;="&amp;$A$1,РД[Дата подачи на регистрацию],"&gt;="&amp;DATE(YEAR($A$1),MONTH($A$1),1),РД[Состояние],"Продажа")</f>
        <v>23.63</v>
      </c>
      <c r="I92" s="196">
        <f>SUMIFS(РД[Стоимость без отделки итог],РД[Дом],$C$83,РД[ИМ],A92,РД[Дата подачи на регистрацию],"&lt;="&amp;$A$1,РД[Дата подачи на регистрацию],"&gt;="&amp;DATE(YEAR($A$1),MONTH($A$1),1),РД[Состояние],"Продажа")</f>
        <v>2371119.0299999998</v>
      </c>
      <c r="J92" s="251">
        <f>COUNTIFS(РД[Дом],$C$83,РД[ИМ],A92,РД[Дата подачи на регистрацию],"&lt;="&amp;$A$1,РД[Дата подачи на регистрацию],"&gt;="&amp;DATE(YEAR($A$1),MONTH($A$1),1),РД[Состояние],"Продажа")</f>
        <v>1</v>
      </c>
      <c r="K92" s="992" t="str">
        <f>IFERROR(H92/B92,"")</f>
        <v/>
      </c>
      <c r="L92" s="993" t="str">
        <f>IFERROR(I92/C92,"")</f>
        <v/>
      </c>
      <c r="M92" s="195">
        <f>COUNTIFS(РД[Тип кв],M$84,РД[ИМ],$A92,РД[Дом],$C$83,РД[Дата подачи на регистрацию],"&lt;="&amp;$A$1,РД[Дата подачи на регистрацию],"&gt;="&amp;DATE(YEAR($A$1),MONTH($A$1),1))</f>
        <v>1</v>
      </c>
      <c r="N92" s="251">
        <f>COUNTIFS(РД[Тип кв],N$84,РД[ИМ],$A92,РД[Дом],$C$83,РД[Дата подачи на регистрацию],"&lt;="&amp;$A$1,РД[Дата подачи на регистрацию],"&gt;="&amp;DATE(YEAR($A$1),MONTH($A$1),1))</f>
        <v>0</v>
      </c>
      <c r="O92" s="251">
        <f>COUNTIFS(РД[Тип кв],O$84,РД[ИМ],$A92,РД[Дом],$C$83,РД[Дата подачи на регистрацию],"&lt;="&amp;$A$1,РД[Дата подачи на регистрацию],"&gt;="&amp;DATE(YEAR($A$1),MONTH($A$1),1))</f>
        <v>0</v>
      </c>
      <c r="P92" s="251">
        <f>COUNTIFS(РД[Тип кв],P$84,РД[ИМ],$A92,РД[Дом],$C$83,РД[Дата подачи на регистрацию],"&lt;="&amp;$A$1,РД[Дата подачи на регистрацию],"&gt;="&amp;DATE(YEAR($A$1),MONTH($A$1),1))</f>
        <v>0</v>
      </c>
      <c r="Q92" s="254">
        <f>COUNTIFS(РД[Тип кв],Q$84,РД[ИМ],$A92,РД[Дом],$C$83,РД[Дата подачи на регистрацию],"&lt;="&amp;$A$1,РД[Дата подачи на регистрацию],"&gt;="&amp;DATE(YEAR($A$1),MONTH($A$1),1))</f>
        <v>0</v>
      </c>
      <c r="R92" s="930"/>
      <c r="S92" s="930"/>
      <c r="T92" s="930"/>
    </row>
    <row r="93" spans="1:20">
      <c r="A93" s="409" t="s">
        <v>114</v>
      </c>
      <c r="B93" s="961" t="e">
        <f>SUM(B91:B92)</f>
        <v>#REF!</v>
      </c>
      <c r="C93" s="961" t="e">
        <f>SUM(C91:C92)</f>
        <v>#REF!</v>
      </c>
      <c r="D93" s="485">
        <f t="shared" ref="D93:J93" si="5">SUM(D91:D92)</f>
        <v>0</v>
      </c>
      <c r="E93" s="473">
        <f t="shared" si="5"/>
        <v>72.41</v>
      </c>
      <c r="F93" s="429">
        <f t="shared" si="5"/>
        <v>7500406.7699999996</v>
      </c>
      <c r="G93" s="497">
        <f t="shared" si="5"/>
        <v>3</v>
      </c>
      <c r="H93" s="473">
        <f t="shared" si="5"/>
        <v>72.41</v>
      </c>
      <c r="I93" s="429">
        <f t="shared" si="5"/>
        <v>7500406.7700000033</v>
      </c>
      <c r="J93" s="497">
        <f t="shared" si="5"/>
        <v>3</v>
      </c>
      <c r="K93" s="419">
        <f>IFERROR(H93/B93,)</f>
        <v>0</v>
      </c>
      <c r="L93" s="507">
        <f>IFERROR(I93/C93,)</f>
        <v>0</v>
      </c>
      <c r="M93" s="317">
        <f>SUM(M91:M92)</f>
        <v>3</v>
      </c>
      <c r="N93" s="917">
        <f>SUM(N91:N92)</f>
        <v>0</v>
      </c>
      <c r="O93" s="917">
        <f>SUM(O91:O92)</f>
        <v>0</v>
      </c>
      <c r="P93" s="917">
        <f>SUM(P91:P92)</f>
        <v>0</v>
      </c>
      <c r="Q93" s="928">
        <f>SUM(Q91:Q92)</f>
        <v>0</v>
      </c>
      <c r="R93" s="930"/>
      <c r="S93" s="930"/>
      <c r="T93" s="930"/>
    </row>
    <row r="94" spans="1:20">
      <c r="A94" s="7"/>
      <c r="B94" s="968"/>
      <c r="C94" s="968"/>
      <c r="D94" s="969"/>
      <c r="E94" s="7"/>
      <c r="F94" s="7"/>
      <c r="G94" s="7"/>
      <c r="H94" s="134"/>
      <c r="I94" s="134"/>
      <c r="J94" s="134"/>
      <c r="K94" s="7"/>
      <c r="L94" s="994"/>
      <c r="M94" s="134"/>
      <c r="N94" s="134"/>
      <c r="O94" s="134"/>
      <c r="P94" s="262"/>
      <c r="Q94" s="134"/>
      <c r="R94" s="930"/>
      <c r="S94" s="930"/>
      <c r="T94" s="930"/>
    </row>
    <row r="95" spans="1:20">
      <c r="A95" s="2290" t="s">
        <v>713</v>
      </c>
      <c r="B95" s="2291"/>
      <c r="C95" s="935" t="s">
        <v>7</v>
      </c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7"/>
      <c r="R95" s="930"/>
      <c r="S95" s="930"/>
      <c r="T95" s="930"/>
    </row>
    <row r="96" spans="1:20">
      <c r="A96" s="685" t="s">
        <v>1</v>
      </c>
      <c r="B96" s="723" t="s">
        <v>100</v>
      </c>
      <c r="C96" s="687" t="s">
        <v>97</v>
      </c>
      <c r="D96" s="724" t="s">
        <v>95</v>
      </c>
      <c r="E96" s="137" t="s">
        <v>494</v>
      </c>
      <c r="F96" s="138" t="s">
        <v>495</v>
      </c>
      <c r="G96" s="139" t="s">
        <v>496</v>
      </c>
      <c r="H96" s="140" t="s">
        <v>101</v>
      </c>
      <c r="I96" s="141" t="s">
        <v>98</v>
      </c>
      <c r="J96" s="141" t="s">
        <v>96</v>
      </c>
      <c r="K96" s="141" t="s">
        <v>715</v>
      </c>
      <c r="L96" s="216" t="s">
        <v>716</v>
      </c>
      <c r="M96" s="217">
        <v>0</v>
      </c>
      <c r="N96" s="218">
        <v>1</v>
      </c>
      <c r="O96" s="218">
        <v>2</v>
      </c>
      <c r="P96" s="218">
        <v>3</v>
      </c>
      <c r="Q96" s="219" t="s">
        <v>1367</v>
      </c>
      <c r="R96" s="930"/>
      <c r="S96" s="930"/>
      <c r="T96" s="930"/>
    </row>
    <row r="97" spans="1:20">
      <c r="A97" s="936" t="s">
        <v>73</v>
      </c>
      <c r="B97" s="937">
        <f>VLOOKUP(A97,'Индивидуальный план'!$F$26:$H$36,2,0)</f>
        <v>1315</v>
      </c>
      <c r="C97" s="937">
        <f>VLOOKUP(A97,'Индивидуальный план'!$F$26:$H$36,3,0)</f>
        <v>114258608.4095</v>
      </c>
      <c r="D97" s="938"/>
      <c r="E97" s="148">
        <f>SUMIFS(февр231411[м2],февр231411[МОП],$A97,февр231411[№ дома],$C$95,февр231411[Ком],"&lt;&gt;Офис")</f>
        <v>708.31999999999994</v>
      </c>
      <c r="F97" s="939">
        <f>SUMIFS(февр231411[сумма без отделки],февр231411[МОП],$A97,февр231411[№ дома],$C$95,февр231411[Ком],"&lt;&gt;Офис")</f>
        <v>56622181.909199998</v>
      </c>
      <c r="G97" s="940">
        <f>COUNTIFS(февр231411[МОП],$A97,февр231411[№ дома],$C$95,февр231411[Ком],"&lt;&gt;Офис")</f>
        <v>15</v>
      </c>
      <c r="H97" s="148">
        <f>SUMIFS(РД[S],РД[Дом],$C$95,РД[МОП],A97,РД[Дата подачи на регистрацию],"&lt;="&amp;$A$1,РД[Дата подачи на регистрацию],"&gt;="&amp;DATE(YEAR($A$1),MONTH($A$1),1),РД[Состояние],"Продажа")</f>
        <v>708.31999999999994</v>
      </c>
      <c r="I97" s="149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регистрацию],"&gt;="&amp;DATE(YEAR($A$1),MONTH($A$1),1),РД[Состояние],"Продажа")</f>
        <v>56602181.910000004</v>
      </c>
      <c r="J97" s="220">
        <f>COUNTIFS(РД[Дом],$C$95,РД[МОП],A97,РД[Дата подачи на регистрацию],"&lt;="&amp;$A$1,РД[Дата подачи на регистрацию],"&gt;="&amp;DATE(YEAR($A$1),MONTH($A$1),1),РД[Состояние],"Продажа")</f>
        <v>15</v>
      </c>
      <c r="K97" s="943">
        <f t="shared" ref="K97:L100" si="6">IFERROR(H97/B97,"")</f>
        <v>0.53864638783269958</v>
      </c>
      <c r="L97" s="944">
        <f t="shared" si="6"/>
        <v>0.49538658572787092</v>
      </c>
      <c r="M97" s="183">
        <f>COUNTIFS(РД[Тип кв],M$84,РД[МОП],$A97,РД[Дом],$C$95,РД[Дата подачи на регистрацию],"&lt;="&amp;$A$1,РД[Дата подачи на регистрацию],"&gt;="&amp;DATE(YEAR($A$1),MONTH($A$1),1))</f>
        <v>2</v>
      </c>
      <c r="N97" s="243">
        <f>COUNTIFS(РД[Тип кв],N$84,РД[МОП],$A97,РД[Дом],$C$95,РД[Дата подачи на регистрацию],"&lt;="&amp;$A$1,РД[Дата подачи на регистрацию],"&gt;="&amp;DATE(YEAR($A$1),MONTH($A$1),1))</f>
        <v>6</v>
      </c>
      <c r="O97" s="243">
        <f>COUNTIFS(РД[Тип кв],O$84,РД[МОП],$A97,РД[Дом],$C$95,РД[Дата подачи на регистрацию],"&lt;="&amp;$A$1,РД[Дата подачи на регистрацию],"&gt;="&amp;DATE(YEAR($A$1),MONTH($A$1),1))</f>
        <v>5</v>
      </c>
      <c r="P97" s="243">
        <f>COUNTIFS(РД[Тип кв],P$84,РД[МОП],$A97,РД[Дом],$C$95,РД[Дата подачи на регистрацию],"&lt;="&amp;$A$1,РД[Дата подачи на регистрацию],"&gt;="&amp;DATE(YEAR($A$1),MONTH($A$1),1))</f>
        <v>2</v>
      </c>
      <c r="Q97" s="246">
        <f>COUNTIFS(РД[Тип кв],Q$84,РД[МОП],$A97,РД[Дом],$C$95,РД[Дата подачи на регистрацию],"&lt;="&amp;$A$1,РД[Дата подачи на регистрацию],"&gt;="&amp;DATE(YEAR($A$1),MONTH($A$1),1))</f>
        <v>0</v>
      </c>
      <c r="R97" s="930"/>
      <c r="S97" s="930"/>
      <c r="T97" s="930"/>
    </row>
    <row r="98" spans="1:20">
      <c r="A98" s="936" t="s">
        <v>8</v>
      </c>
      <c r="B98" s="937">
        <f>VLOOKUP(A98,'Индивидуальный план'!$F$26:$H$36,2,0)</f>
        <v>1510</v>
      </c>
      <c r="C98" s="937">
        <f>VLOOKUP(A98,'Индивидуальный план'!$F$26:$H$36,3,0)</f>
        <v>130969415.6515</v>
      </c>
      <c r="D98" s="938"/>
      <c r="E98" s="148">
        <f>SUMIFS(февр231411[м2],февр231411[МОП],$A98,февр231411[№ дома],$C$95,февр231411[Ком],"&lt;&gt;Офис")</f>
        <v>561.22</v>
      </c>
      <c r="F98" s="939">
        <f>SUMIFS(февр231411[сумма без отделки],февр231411[МОП],$A98,февр231411[№ дома],$C$95,февр231411[Ком],"&lt;&gt;Офис")</f>
        <v>45131740</v>
      </c>
      <c r="G98" s="940">
        <f>COUNTIFS(февр231411[МОП],$A98,февр231411[№ дома],$C$95,февр231411[Ком],"&lt;&gt;Офис")</f>
        <v>11</v>
      </c>
      <c r="H98" s="148">
        <f>SUMIFS(РД[S],РД[Дом],$C$95,РД[МОП],A98,РД[Дата подачи на регистрацию],"&lt;="&amp;$A$1,РД[Дата подачи на регистрацию],"&gt;="&amp;DATE(YEAR($A$1),MONTH($A$1),1),РД[Состояние],"Продажа")</f>
        <v>561.22</v>
      </c>
      <c r="I98" s="149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регистрацию],"&gt;="&amp;DATE(YEAR($A$1),MONTH($A$1),1),РД[Состояние],"Продажа")</f>
        <v>45131739.999999993</v>
      </c>
      <c r="J98" s="220">
        <f>COUNTIFS(РД[Дом],$C$95,РД[МОП],A98,РД[Дата подачи на регистрацию],"&lt;="&amp;$A$1,РД[Дата подачи на регистрацию],"&gt;="&amp;DATE(YEAR($A$1),MONTH($A$1),1),РД[Состояние],"Продажа")</f>
        <v>11</v>
      </c>
      <c r="K98" s="943">
        <f t="shared" si="6"/>
        <v>0.37166887417218547</v>
      </c>
      <c r="L98" s="944">
        <f t="shared" si="6"/>
        <v>0.34459755184441104</v>
      </c>
      <c r="M98" s="148">
        <f>COUNTIFS(РД[Тип кв],M$84,РД[МОП],$A98,РД[Дом],$C$95,РД[Дата подачи на регистрацию],"&lt;="&amp;$A$1,РД[Дата подачи на регистрацию],"&gt;="&amp;DATE(YEAR($A$1),MONTH($A$1),1))</f>
        <v>2</v>
      </c>
      <c r="N98" s="220">
        <f>COUNTIFS(РД[Тип кв],N$84,РД[МОП],$A98,РД[Дом],$C$95,РД[Дата подачи на регистрацию],"&lt;="&amp;$A$1,РД[Дата подачи на регистрацию],"&gt;="&amp;DATE(YEAR($A$1),MONTH($A$1),1))</f>
        <v>3</v>
      </c>
      <c r="O98" s="220">
        <f>COUNTIFS(РД[Тип кв],O$84,РД[МОП],$A98,РД[Дом],$C$95,РД[Дата подачи на регистрацию],"&lt;="&amp;$A$1,РД[Дата подачи на регистрацию],"&gt;="&amp;DATE(YEAR($A$1),MONTH($A$1),1))</f>
        <v>5</v>
      </c>
      <c r="P98" s="220">
        <f>COUNTIFS(РД[Тип кв],P$84,РД[МОП],$A98,РД[Дом],$C$95,РД[Дата подачи на регистрацию],"&lt;="&amp;$A$1,РД[Дата подачи на регистрацию],"&gt;="&amp;DATE(YEAR($A$1),MONTH($A$1),1))</f>
        <v>1</v>
      </c>
      <c r="Q98" s="223">
        <f>COUNTIFS(РД[Тип кв],Q$84,РД[МОП],$A98,РД[Дом],$C$95,РД[Дата подачи на регистрацию],"&lt;="&amp;$A$1,РД[Дата подачи на регистрацию],"&gt;="&amp;DATE(YEAR($A$1),MONTH($A$1),1))</f>
        <v>0</v>
      </c>
      <c r="R98" s="930"/>
      <c r="S98" s="930"/>
      <c r="T98" s="930"/>
    </row>
    <row r="99" spans="1:20">
      <c r="A99" s="952" t="s">
        <v>77</v>
      </c>
      <c r="B99" s="937">
        <f>VLOOKUP(A99,'Индивидуальный план'!$F$26:$H$36,2,0)</f>
        <v>1664</v>
      </c>
      <c r="C99" s="937">
        <f>VLOOKUP(A99,'Индивидуальный план'!$F$26:$H$36,3,0)</f>
        <v>143980655.32319999</v>
      </c>
      <c r="D99" s="953"/>
      <c r="E99" s="148">
        <f>SUMIFS(февр231411[м2],февр231411[МОП],$A99,февр231411[№ дома],$C$95,февр231411[Ком],"&lt;&gt;Офис")</f>
        <v>375.96999999999997</v>
      </c>
      <c r="F99" s="939">
        <f>SUMIFS(февр231411[сумма без отделки],февр231411[МОП],$A99,февр231411[№ дома],$C$95,февр231411[Ком],"&lt;&gt;Офис")</f>
        <v>30248935.09</v>
      </c>
      <c r="G99" s="940">
        <f>COUNTIFS(февр231411[МОП],$A99,февр231411[№ дома],$C$95,февр231411[Ком],"&lt;&gt;Офис")</f>
        <v>8</v>
      </c>
      <c r="H99" s="148">
        <f>SUMIFS(РД[S],РД[Дом],$C$95,РД[МОП],A99,РД[Дата подачи на регистрацию],"&lt;="&amp;$A$1,РД[Дата подачи на регистрацию],"&gt;="&amp;DATE(YEAR($A$1),MONTH($A$1),1),РД[Состояние],"Продажа")</f>
        <v>375.96999999999997</v>
      </c>
      <c r="I99" s="149">
        <f>SUMIFS(РД[Стоимость без отделки итог],РД[Дом],$C$95,РД[МОП],A99,РД[Дата подачи на регистрацию],"&lt;="&amp;$A$1,РД[Дата подачи на регистрацию],"&gt;="&amp;DATE(YEAR($A$1),MONTH($A$1),1),РД[Состояние],"Продажа")</f>
        <v>30070375.09</v>
      </c>
      <c r="J99" s="220">
        <f>COUNTIFS(РД[Дом],$C$95,РД[МОП],A99,РД[Дата подачи на регистрацию],"&lt;="&amp;$A$1,РД[Дата подачи на регистрацию],"&gt;="&amp;DATE(YEAR($A$1),MONTH($A$1),1),РД[Состояние],"Продажа")</f>
        <v>8</v>
      </c>
      <c r="K99" s="987">
        <f t="shared" si="6"/>
        <v>0.22594350961538459</v>
      </c>
      <c r="L99" s="988">
        <f t="shared" si="6"/>
        <v>0.20885010574857885</v>
      </c>
      <c r="M99" s="202">
        <f>COUNTIFS(РД[Тип кв],M$84,РД[МОП],$A99,РД[Дом],$C$95,РД[Дата подачи на регистрацию],"&lt;="&amp;$A$1,РД[Дата подачи на регистрацию],"&gt;="&amp;DATE(YEAR($A$1),MONTH($A$1),1))</f>
        <v>4</v>
      </c>
      <c r="N99" s="226">
        <f>COUNTIFS(РД[Тип кв],N$84,РД[МОП],$A99,РД[Дом],$C$95,РД[Дата подачи на регистрацию],"&lt;="&amp;$A$1,РД[Дата подачи на регистрацию],"&gt;="&amp;DATE(YEAR($A$1),MONTH($A$1),1))</f>
        <v>1</v>
      </c>
      <c r="O99" s="226">
        <f>COUNTIFS(РД[Тип кв],O$84,РД[МОП],$A99,РД[Дом],$C$95,РД[Дата подачи на регистрацию],"&lt;="&amp;$A$1,РД[Дата подачи на регистрацию],"&gt;="&amp;DATE(YEAR($A$1),MONTH($A$1),1))</f>
        <v>2</v>
      </c>
      <c r="P99" s="226">
        <f>COUNTIFS(РД[Тип кв],P$84,РД[МОП],$A99,РД[Дом],$C$95,РД[Дата подачи на регистрацию],"&lt;="&amp;$A$1,РД[Дата подачи на регистрацию],"&gt;="&amp;DATE(YEAR($A$1),MONTH($A$1),1))</f>
        <v>1</v>
      </c>
      <c r="Q99" s="227">
        <f>COUNTIFS(РД[Тип кв],Q$84,РД[МОП],$A99,РД[Дом],$C$95,РД[Дата подачи на регистрацию],"&lt;="&amp;$A$1,РД[Дата подачи на регистрацию],"&gt;="&amp;DATE(YEAR($A$1),MONTH($A$1),1))</f>
        <v>0</v>
      </c>
      <c r="R99" s="930"/>
      <c r="S99" s="930"/>
      <c r="T99" s="930"/>
    </row>
    <row r="100" spans="1:20">
      <c r="A100" s="956" t="s">
        <v>1233</v>
      </c>
      <c r="B100" s="937">
        <f>VLOOKUP(A100,'Индивидуальный план'!$F$26:$H$36,2,0)</f>
        <v>1827</v>
      </c>
      <c r="C100" s="937">
        <f>VLOOKUP(A100,'Индивидуальный план'!$F$26:$H$36,3,0)</f>
        <v>158108796.0704</v>
      </c>
      <c r="D100" s="957"/>
      <c r="E100" s="148">
        <f>SUMIFS(февр231411[м2],февр231411[МОП],$A100,февр231411[№ дома],$C$95,февр231411[Ком],"&lt;&gt;Офис")</f>
        <v>584.76</v>
      </c>
      <c r="F100" s="939">
        <f>SUMIFS(февр231411[сумма без отделки],февр231411[МОП],$A100,февр231411[№ дома],$C$95,февр231411[Ком],"&lt;&gt;Офис")</f>
        <v>46892321.719999999</v>
      </c>
      <c r="G100" s="940">
        <f>COUNTIFS(февр231411[МОП],$A100,февр231411[№ дома],$C$95,февр231411[Ком],"&lt;&gt;Офис")</f>
        <v>12</v>
      </c>
      <c r="H100" s="148">
        <f>SUMIFS(РД[S],РД[Дом],$C$95,РД[МОП],A100,РД[Дата подачи на регистрацию],"&lt;="&amp;$A$1,РД[Дата подачи на регистрацию],"&gt;="&amp;DATE(YEAR($A$1),MONTH($A$1),1),РД[Состояние],"Продажа")</f>
        <v>663.49000000000012</v>
      </c>
      <c r="I100" s="149">
        <f>SUMIFS(РД[Стоимость без отделки итог],РД[Дом],$C$95,РД[МОП],A100,РД[Дата подачи на регистрацию],"&lt;="&amp;$A$1,РД[Дата подачи на регистрацию],"&gt;="&amp;DATE(YEAR($A$1),MONTH($A$1),1),РД[Состояние],"Продажа")</f>
        <v>52731881.489999995</v>
      </c>
      <c r="J100" s="220">
        <f>COUNTIFS(РД[Дом],$C$95,РД[МОП],A100,РД[Дата подачи на регистрацию],"&lt;="&amp;$A$1,РД[Дата подачи на регистрацию],"&gt;="&amp;DATE(YEAR($A$1),MONTH($A$1),1),РД[Состояние],"Продажа")</f>
        <v>13</v>
      </c>
      <c r="K100" s="987">
        <f t="shared" si="6"/>
        <v>0.36315818281335527</v>
      </c>
      <c r="L100" s="988">
        <f t="shared" si="6"/>
        <v>0.33351643172667278</v>
      </c>
      <c r="M100" s="195">
        <f>COUNTIFS(РД[Тип кв],M$84,РД[МОП],$A100,РД[Дом],$C$95,РД[Дата подачи на регистрацию],"&lt;="&amp;$A$1,РД[Дата подачи на регистрацию],"&gt;="&amp;DATE(YEAR($A$1),MONTH($A$1),1))</f>
        <v>1</v>
      </c>
      <c r="N100" s="251">
        <f>COUNTIFS(РД[Тип кв],N$84,РД[МОП],$A100,РД[Дом],$C$95,РД[Дата подачи на регистрацию],"&lt;="&amp;$A$1,РД[Дата подачи на регистрацию],"&gt;="&amp;DATE(YEAR($A$1),MONTH($A$1),1))</f>
        <v>5</v>
      </c>
      <c r="O100" s="251">
        <f>COUNTIFS(РД[Тип кв],O$84,РД[МОП],$A100,РД[Дом],$C$95,РД[Дата подачи на регистрацию],"&lt;="&amp;$A$1,РД[Дата подачи на регистрацию],"&gt;="&amp;DATE(YEAR($A$1),MONTH($A$1),1))</f>
        <v>4</v>
      </c>
      <c r="P100" s="251">
        <f>COUNTIFS(РД[Тип кв],P$84,РД[МОП],$A100,РД[Дом],$C$95,РД[Дата подачи на регистрацию],"&lt;="&amp;$A$1,РД[Дата подачи на регистрацию],"&gt;="&amp;DATE(YEAR($A$1),MONTH($A$1),1))</f>
        <v>3</v>
      </c>
      <c r="Q100" s="254">
        <f>COUNTIFS(РД[Тип кв],Q$84,РД[МОП],$A100,РД[Дом],$C$95,РД[Дата подачи на регистрацию],"&lt;="&amp;$A$1,РД[Дата подачи на регистрацию],"&gt;="&amp;DATE(YEAR($A$1),MONTH($A$1),1))</f>
        <v>0</v>
      </c>
      <c r="R100" s="930"/>
      <c r="S100" s="930"/>
      <c r="T100" s="930"/>
    </row>
    <row r="101" spans="1:20">
      <c r="A101" s="960" t="s">
        <v>114</v>
      </c>
      <c r="B101" s="961">
        <f>SUM(B97:B100)</f>
        <v>6316</v>
      </c>
      <c r="C101" s="961">
        <f>SUM(C97:C100)</f>
        <v>547317475.45459998</v>
      </c>
      <c r="D101" s="962">
        <f t="shared" ref="D101:J101" si="7">SUM(D97:D100)</f>
        <v>0</v>
      </c>
      <c r="E101" s="963">
        <f t="shared" si="7"/>
        <v>2230.27</v>
      </c>
      <c r="F101" s="964">
        <f t="shared" si="7"/>
        <v>178895178.71920002</v>
      </c>
      <c r="G101" s="965">
        <f t="shared" si="7"/>
        <v>46</v>
      </c>
      <c r="H101" s="961">
        <f t="shared" si="7"/>
        <v>2309</v>
      </c>
      <c r="I101" s="964">
        <f t="shared" si="7"/>
        <v>184536178.49000001</v>
      </c>
      <c r="J101" s="962">
        <f t="shared" si="7"/>
        <v>47</v>
      </c>
      <c r="K101" s="419">
        <f>IFERROR(H101/B101,)</f>
        <v>0.36557948068397722</v>
      </c>
      <c r="L101" s="420">
        <f>IFERROR(I101/C101,)</f>
        <v>0.3371647841807443</v>
      </c>
      <c r="M101" s="473">
        <f>SUM(M97:M100)</f>
        <v>9</v>
      </c>
      <c r="N101" s="494">
        <f>SUM(N97:N100)</f>
        <v>15</v>
      </c>
      <c r="O101" s="494">
        <f>SUM(O97:O100)</f>
        <v>16</v>
      </c>
      <c r="P101" s="989">
        <f>SUM(P97:P100)</f>
        <v>7</v>
      </c>
      <c r="Q101" s="497">
        <f>SUM(Q97:Q100)</f>
        <v>0</v>
      </c>
      <c r="R101" s="930"/>
      <c r="S101" s="930"/>
      <c r="T101" s="930"/>
    </row>
    <row r="102" spans="1:20">
      <c r="A102" s="685" t="s">
        <v>115</v>
      </c>
      <c r="B102" s="723" t="s">
        <v>100</v>
      </c>
      <c r="C102" s="693" t="s">
        <v>97</v>
      </c>
      <c r="D102" s="724" t="s">
        <v>95</v>
      </c>
      <c r="E102" s="137" t="s">
        <v>494</v>
      </c>
      <c r="F102" s="138" t="s">
        <v>495</v>
      </c>
      <c r="G102" s="139" t="s">
        <v>496</v>
      </c>
      <c r="H102" s="140" t="s">
        <v>101</v>
      </c>
      <c r="I102" s="141" t="s">
        <v>98</v>
      </c>
      <c r="J102" s="141" t="s">
        <v>96</v>
      </c>
      <c r="K102" s="495" t="s">
        <v>715</v>
      </c>
      <c r="L102" s="896" t="s">
        <v>716</v>
      </c>
      <c r="M102" s="995">
        <v>0</v>
      </c>
      <c r="N102" s="996">
        <v>1</v>
      </c>
      <c r="O102" s="996">
        <v>2</v>
      </c>
      <c r="P102" s="996">
        <v>3</v>
      </c>
      <c r="Q102" s="219" t="s">
        <v>1367</v>
      </c>
      <c r="R102" s="930"/>
      <c r="S102" s="930"/>
      <c r="T102" s="930"/>
    </row>
    <row r="103" spans="1:20">
      <c r="A103" s="936" t="s">
        <v>16</v>
      </c>
      <c r="B103" s="937" t="e">
        <f>VLOOKUP(A103,'Индивидуальный план'!$F$26:$H$36,2,0)</f>
        <v>#N/A</v>
      </c>
      <c r="C103" s="937" t="e">
        <f>VLOOKUP(A103,'Индивидуальный план'!$F$26:$H$36,3,0)</f>
        <v>#N/A</v>
      </c>
      <c r="D103" s="417"/>
      <c r="E103" s="966">
        <f>SUMIFS(февр231411[м2],февр231411[ИМ],A103,февр231411[№ дома],$C$95,февр231411[Ком],"&lt;&gt;Офис")</f>
        <v>948.55</v>
      </c>
      <c r="F103" s="149">
        <f>SUMIFS(февр231411[сумма без отделки],февр231411[ИМ],$A103,февр231411[№ дома],$C$95,февр231411[Ком],"&lt;&gt;Офис")</f>
        <v>75600262.870000005</v>
      </c>
      <c r="G103" s="940">
        <f>COUNTIFS(февр231411[ИМ],$A103,февр231411[№ дома],$C$95,февр231411[Ком],"&lt;&gt;Офис")</f>
        <v>18</v>
      </c>
      <c r="H103" s="346">
        <f>SUMIFS(РД[S],РД[Дом],$C$95,РД[ИМ],A103,РД[Дата подачи на регистрацию],"&lt;="&amp;$A$1,РД[Дата подачи на регистрацию],"&gt;="&amp;DATE(YEAR($A$1),MONTH($A$1),1),РД[Состояние],"Продажа")</f>
        <v>948.55</v>
      </c>
      <c r="I103" s="184">
        <f>SUMIFS(РД[Стоимость без отделки итог],РД[Дом],$C$95,РД[ИМ],A103,РД[Дата подачи на регистрацию],"&lt;="&amp;$A$1,РД[Дата подачи на регистрацию],"&gt;="&amp;DATE(YEAR($A$1),MONTH($A$1),1),РД[Состояние],"Продажа")</f>
        <v>75421702.870000005</v>
      </c>
      <c r="J103" s="243">
        <f>COUNTIFS(РД[Дом],$C$95,РД[ИМ],A103,РД[Дата подачи на регистрацию],"&lt;="&amp;$A$1,РД[Дата подачи на регистрацию],"&gt;="&amp;DATE(YEAR($A$1),MONTH($A$1),1),РД[Состояние],"Продажа")</f>
        <v>18</v>
      </c>
      <c r="K103" s="990" t="str">
        <f t="shared" ref="K103:L105" si="8">IFERROR(H103/B103,"")</f>
        <v/>
      </c>
      <c r="L103" s="991" t="str">
        <f t="shared" si="8"/>
        <v/>
      </c>
      <c r="M103" s="183">
        <f>COUNTIFS(РД[Тип кв],M$84,РД[ИМ],$A103,РД[Дом],$C$95,РД[Дата подачи на регистрацию],"&lt;="&amp;$A$1,РД[Дата подачи на регистрацию],"&gt;="&amp;DATE(YEAR($A$1),MONTH($A$1),1))</f>
        <v>2</v>
      </c>
      <c r="N103" s="243">
        <f>COUNTIFS(РД[Тип кв],N$84,РД[ИМ],$A103,РД[Дом],$C$95,РД[Дата подачи на регистрацию],"&lt;="&amp;$A$1,РД[Дата подачи на регистрацию],"&gt;="&amp;DATE(YEAR($A$1),MONTH($A$1),1))</f>
        <v>6</v>
      </c>
      <c r="O103" s="243">
        <f>COUNTIFS(РД[Тип кв],O$84,РД[ИМ],$A103,РД[Дом],$C$95,РД[Дата подачи на регистрацию],"&lt;="&amp;$A$1,РД[Дата подачи на регистрацию],"&gt;="&amp;DATE(YEAR($A$1),MONTH($A$1),1))</f>
        <v>6</v>
      </c>
      <c r="P103" s="243">
        <f>COUNTIFS(РД[Тип кв],P$84,РД[ИМ],$A103,РД[Дом],$C$95,РД[Дата подачи на регистрацию],"&lt;="&amp;$A$1,РД[Дата подачи на регистрацию],"&gt;="&amp;DATE(YEAR($A$1),MONTH($A$1),1))</f>
        <v>4</v>
      </c>
      <c r="Q103" s="246">
        <f>COUNTIFS(РД[Тип кв],Q$84,РД[ИМ],$A103,РД[Дом],$C$95,РД[Дата подачи на регистрацию],"&lt;="&amp;$A$1,РД[Дата подачи на регистрацию],"&gt;="&amp;DATE(YEAR($A$1),MONTH($A$1),1))</f>
        <v>0</v>
      </c>
      <c r="R103" s="930"/>
      <c r="S103" s="930"/>
      <c r="T103" s="930"/>
    </row>
    <row r="104" spans="1:20">
      <c r="A104" s="956" t="s">
        <v>22</v>
      </c>
      <c r="B104" s="937">
        <f>VLOOKUP(A104,'Индивидуальный план'!$F$26:$H$36,2,0)</f>
        <v>700</v>
      </c>
      <c r="C104" s="937">
        <f>VLOOKUP(A104,'Индивидуальный план'!$F$26:$H$36,3,0)</f>
        <v>59334860.899999999</v>
      </c>
      <c r="D104" s="518"/>
      <c r="E104" s="966">
        <f>SUMIFS(февр231411[м2],февр231411[ИМ],A104,февр231411[№ дома],$C$95,февр231411[Ком],"&lt;&gt;Офис")</f>
        <v>822.86</v>
      </c>
      <c r="F104" s="149">
        <f>SUMIFS(февр231411[сумма без отделки],февр231411[ИМ],$A104,февр231411[№ дома],$C$95,февр231411[Ком],"&lt;&gt;Офис")</f>
        <v>65793055.519200012</v>
      </c>
      <c r="G104" s="940">
        <f>COUNTIFS(февр231411[ИМ],$A104,февр231411[№ дома],$C$95,февр231411[Ком],"&lt;&gt;Офис")</f>
        <v>17</v>
      </c>
      <c r="H104" s="426">
        <f>SUMIFS(РД[S],РД[Дом],$C$95,РД[ИМ],A104,РД[Дата подачи на регистрацию],"&lt;="&amp;$A$1,РД[Дата подачи на регистрацию],"&gt;="&amp;DATE(YEAR($A$1),MONTH($A$1),1),РД[Состояние],"Продажа")</f>
        <v>822.86</v>
      </c>
      <c r="I104" s="196">
        <f>SUMIFS(РД[Стоимость без отделки итог],РД[Дом],$C$95,РД[ИМ],A104,РД[Дата подачи на регистрацию],"&lt;="&amp;$A$1,РД[Дата подачи на регистрацию],"&gt;="&amp;DATE(YEAR($A$1),MONTH($A$1),1),РД[Состояние],"Продажа")</f>
        <v>65793055.520000003</v>
      </c>
      <c r="J104" s="251">
        <f>COUNTIFS(РД[Дом],$C$95,РД[ИМ],A104,РД[Дата подачи на регистрацию],"&lt;="&amp;$A$1,РД[Дата подачи на регистрацию],"&gt;="&amp;DATE(YEAR($A$1),MONTH($A$1),1),РД[Состояние],"Продажа")</f>
        <v>17</v>
      </c>
      <c r="K104" s="992">
        <f t="shared" si="8"/>
        <v>1.1755142857142857</v>
      </c>
      <c r="L104" s="993">
        <f t="shared" si="8"/>
        <v>1.1088431745190122</v>
      </c>
      <c r="M104" s="358">
        <f>COUNTIFS(РД[Тип кв],M$84,РД[ИМ],$A104,РД[Дом],$C$95,РД[Дата подачи на регистрацию],"&lt;="&amp;$A$1,РД[Дата подачи на регистрацию],"&gt;="&amp;DATE(YEAR($A$1),MONTH($A$1),1))</f>
        <v>3</v>
      </c>
      <c r="N104" s="330">
        <f>COUNTIFS(РД[Тип кв],N$84,РД[ИМ],$A104,РД[Дом],$C$95,РД[Дата подачи на регистрацию],"&lt;="&amp;$A$1,РД[Дата подачи на регистрацию],"&gt;="&amp;DATE(YEAR($A$1),MONTH($A$1),1))</f>
        <v>6</v>
      </c>
      <c r="O104" s="330">
        <f>COUNTIFS(РД[Тип кв],O$84,РД[ИМ],$A104,РД[Дом],$C$95,РД[Дата подачи на регистрацию],"&lt;="&amp;$A$1,РД[Дата подачи на регистрацию],"&gt;="&amp;DATE(YEAR($A$1),MONTH($A$1),1))</f>
        <v>6</v>
      </c>
      <c r="P104" s="330">
        <f>COUNTIFS(РД[Тип кв],P$84,РД[ИМ],$A104,РД[Дом],$C$95,РД[Дата подачи на регистрацию],"&lt;="&amp;$A$1,РД[Дата подачи на регистрацию],"&gt;="&amp;DATE(YEAR($A$1),MONTH($A$1),1))</f>
        <v>2</v>
      </c>
      <c r="Q104" s="331">
        <f>COUNTIFS(РД[Тип кв],Q$84,РД[ИМ],$A104,РД[Дом],$C$95,РД[Дата подачи на регистрацию],"&lt;="&amp;$A$1,РД[Дата подачи на регистрацию],"&gt;="&amp;DATE(YEAR($A$1),MONTH($A$1),1))</f>
        <v>0</v>
      </c>
      <c r="R104" s="930"/>
      <c r="S104" s="930"/>
      <c r="T104" s="930"/>
    </row>
    <row r="105" spans="1:20">
      <c r="A105" s="409" t="s">
        <v>114</v>
      </c>
      <c r="B105" s="961" t="e">
        <f t="shared" ref="B105:Q105" si="9">SUM(B103:B104)</f>
        <v>#N/A</v>
      </c>
      <c r="C105" s="961" t="e">
        <f t="shared" si="9"/>
        <v>#N/A</v>
      </c>
      <c r="D105" s="970">
        <f t="shared" si="9"/>
        <v>0</v>
      </c>
      <c r="E105" s="473">
        <f t="shared" si="9"/>
        <v>1771.4099999999999</v>
      </c>
      <c r="F105" s="429">
        <f t="shared" si="9"/>
        <v>141393318.38920003</v>
      </c>
      <c r="G105" s="497">
        <f t="shared" si="9"/>
        <v>35</v>
      </c>
      <c r="H105" s="473">
        <f t="shared" si="9"/>
        <v>1771.4099999999999</v>
      </c>
      <c r="I105" s="429">
        <f t="shared" si="9"/>
        <v>141214758.39000002</v>
      </c>
      <c r="J105" s="494">
        <f t="shared" si="9"/>
        <v>35</v>
      </c>
      <c r="K105" s="419" t="str">
        <f t="shared" si="8"/>
        <v/>
      </c>
      <c r="L105" s="420" t="str">
        <f t="shared" si="8"/>
        <v/>
      </c>
      <c r="M105" s="473">
        <f t="shared" si="9"/>
        <v>5</v>
      </c>
      <c r="N105" s="494">
        <f t="shared" si="9"/>
        <v>12</v>
      </c>
      <c r="O105" s="494">
        <f t="shared" si="9"/>
        <v>12</v>
      </c>
      <c r="P105" s="494">
        <f t="shared" si="9"/>
        <v>6</v>
      </c>
      <c r="Q105" s="497">
        <f t="shared" si="9"/>
        <v>0</v>
      </c>
      <c r="R105" s="930"/>
      <c r="S105" s="930"/>
      <c r="T105" s="930"/>
    </row>
    <row r="106" spans="1:20">
      <c r="A106" s="7"/>
      <c r="B106" s="968"/>
      <c r="C106" s="968"/>
      <c r="D106" s="969"/>
      <c r="E106" s="7"/>
      <c r="F106" s="7"/>
      <c r="G106" s="7"/>
      <c r="H106" s="134"/>
      <c r="I106" s="134"/>
      <c r="J106" s="134"/>
      <c r="K106" s="7"/>
      <c r="L106" s="994"/>
      <c r="M106" s="134"/>
      <c r="N106" s="134"/>
      <c r="O106" s="134"/>
      <c r="P106" s="262"/>
      <c r="Q106" s="134"/>
      <c r="R106" s="930"/>
      <c r="S106" s="930"/>
      <c r="T106" s="930"/>
    </row>
    <row r="107" spans="1:20">
      <c r="A107" s="2293" t="s">
        <v>713</v>
      </c>
      <c r="B107" s="2294"/>
      <c r="C107" s="972" t="s">
        <v>718</v>
      </c>
      <c r="D107" s="979"/>
      <c r="E107" s="974"/>
      <c r="F107" s="974"/>
      <c r="G107" s="974"/>
      <c r="H107" s="974"/>
      <c r="I107" s="974"/>
      <c r="J107" s="974"/>
      <c r="K107" s="974"/>
      <c r="L107" s="974"/>
      <c r="M107" s="974"/>
      <c r="N107" s="974"/>
      <c r="O107" s="974"/>
      <c r="P107" s="974"/>
      <c r="Q107" s="7"/>
      <c r="R107" s="930"/>
      <c r="S107" s="930"/>
      <c r="T107" s="930"/>
    </row>
    <row r="108" spans="1:20">
      <c r="A108" s="685" t="s">
        <v>1</v>
      </c>
      <c r="B108" s="723" t="s">
        <v>100</v>
      </c>
      <c r="C108" s="687" t="s">
        <v>97</v>
      </c>
      <c r="D108" s="724" t="s">
        <v>95</v>
      </c>
      <c r="E108" s="137" t="s">
        <v>494</v>
      </c>
      <c r="F108" s="138" t="s">
        <v>495</v>
      </c>
      <c r="G108" s="139" t="s">
        <v>496</v>
      </c>
      <c r="H108" s="140" t="s">
        <v>101</v>
      </c>
      <c r="I108" s="141" t="s">
        <v>98</v>
      </c>
      <c r="J108" s="141" t="s">
        <v>96</v>
      </c>
      <c r="K108" s="141" t="s">
        <v>715</v>
      </c>
      <c r="L108" s="216" t="s">
        <v>716</v>
      </c>
      <c r="M108" s="217">
        <v>0</v>
      </c>
      <c r="N108" s="218">
        <v>1</v>
      </c>
      <c r="O108" s="218">
        <v>2</v>
      </c>
      <c r="P108" s="218">
        <v>3</v>
      </c>
      <c r="Q108" s="219" t="s">
        <v>1367</v>
      </c>
      <c r="R108" s="951"/>
      <c r="S108" s="951"/>
      <c r="T108" s="951"/>
    </row>
    <row r="109" spans="1:20">
      <c r="A109" s="936" t="s">
        <v>73</v>
      </c>
      <c r="B109" s="937" t="e">
        <f>VLOOKUP(A109,'Индивидуальный план'!$F$38:$H$46,2,0)</f>
        <v>#N/A</v>
      </c>
      <c r="C109" s="937" t="e">
        <f>VLOOKUP(A109,'Индивидуальный план'!$F$38:$H$46,3,0)</f>
        <v>#N/A</v>
      </c>
      <c r="D109" s="938">
        <f>D73+D85+D97</f>
        <v>0</v>
      </c>
      <c r="E109" s="148">
        <f>SUMIFS(февр231411[м2],февр231411[МОП],$A109,февр231411[Ком],"&lt;&gt;Офис")</f>
        <v>732.70999999999992</v>
      </c>
      <c r="F109" s="939">
        <f>SUMIFS(февр231411[сумма без отделки],февр231411[МОП],$A109,февр231411[Ком],"&lt;&gt;Офис")</f>
        <v>59186825.779200003</v>
      </c>
      <c r="G109" s="940">
        <f>COUNTIFS(февр231411[МОП],$A109,февр231411[Ком],"&lt;&gt;Офис")</f>
        <v>16</v>
      </c>
      <c r="H109" s="145">
        <f>SUMIFS(РД[S],РД[МОП],A109,РД[Дата подачи на регистрацию],"&lt;="&amp;$A$1,РД[Дата подачи на регистрацию],"&gt;="&amp;DATE(YEAR($A$1),MONTH($A$1),1),РД[Состояние],"Продажа")</f>
        <v>732.70999999999992</v>
      </c>
      <c r="I109" s="149">
        <f>SUMIFS(РД[Стоимость без отделки итог],РД[МОП],A109,РД[Дата подачи на регистрацию],"&lt;="&amp;$A$1,РД[Дата подачи на регистрацию],"&gt;="&amp;DATE(YEAR($A$1),MONTH($A$1),1),РД[Состояние],"Продажа")</f>
        <v>59166825.780000001</v>
      </c>
      <c r="J109" s="220">
        <f>COUNTIFS(РД[МОП],A109,РД[Дата подачи на регистрацию],"&lt;="&amp;$A$1,РД[Дата подачи на регистрацию],"&gt;="&amp;DATE(YEAR($A$1),MONTH($A$1),1),РД[Состояние],"Продажа")</f>
        <v>16</v>
      </c>
      <c r="K109" s="943" t="str">
        <f t="shared" ref="K109:L112" si="10">IFERROR(H109/B109,"")</f>
        <v/>
      </c>
      <c r="L109" s="944" t="str">
        <f t="shared" si="10"/>
        <v/>
      </c>
      <c r="M109" s="1011">
        <f t="shared" ref="M109:Q112" si="11">M73+M85+M97</f>
        <v>3</v>
      </c>
      <c r="N109" s="1012">
        <f t="shared" si="11"/>
        <v>6</v>
      </c>
      <c r="O109" s="1012">
        <f t="shared" si="11"/>
        <v>5</v>
      </c>
      <c r="P109" s="1012">
        <f t="shared" si="11"/>
        <v>2</v>
      </c>
      <c r="Q109" s="876">
        <f t="shared" si="11"/>
        <v>0</v>
      </c>
      <c r="R109" s="930"/>
      <c r="S109" s="930"/>
      <c r="T109" s="930"/>
    </row>
    <row r="110" spans="1:20">
      <c r="A110" s="936" t="s">
        <v>8</v>
      </c>
      <c r="B110" s="937" t="e">
        <f>VLOOKUP(A110,'Индивидуальный план'!$F$38:$H$46,2,0)</f>
        <v>#N/A</v>
      </c>
      <c r="C110" s="937" t="e">
        <f>VLOOKUP(A110,'Индивидуальный план'!$F$38:$H$46,3,0)</f>
        <v>#N/A</v>
      </c>
      <c r="D110" s="938">
        <f>D74+D86+D98</f>
        <v>0</v>
      </c>
      <c r="E110" s="148">
        <f>SUMIFS(февр231411[м2],февр231411[МОП],$A110,февр231411[Ком],"&lt;&gt;Офис")</f>
        <v>585.61</v>
      </c>
      <c r="F110" s="939">
        <f>SUMIFS(февр231411[сумма без отделки],февр231411[МОП],$A110,февр231411[Ком],"&lt;&gt;Офис")</f>
        <v>47696383.86999999</v>
      </c>
      <c r="G110" s="940">
        <f>COUNTIFS(февр231411[МОП],$A110,февр231411[Ком],"&lt;&gt;Офис")</f>
        <v>12</v>
      </c>
      <c r="H110" s="145">
        <f>SUMIFS(РД[S],РД[МОП],A110,РД[Дата подачи на регистрацию],"&lt;="&amp;$A$1,РД[Дата подачи на регистрацию],"&gt;="&amp;DATE(YEAR($A$1),MONTH($A$1),1),РД[Состояние],"Продажа")</f>
        <v>585.6099999999999</v>
      </c>
      <c r="I110" s="149">
        <f>SUMIFS(РД[Стоимость без отделки итог],РД[МОП],A110,РД[Дата подачи на регистрацию],"&lt;="&amp;$A$1,РД[Дата подачи на регистрацию],"&gt;="&amp;DATE(YEAR($A$1),MONTH($A$1),1),РД[Состояние],"Продажа")</f>
        <v>47696383.869999997</v>
      </c>
      <c r="J110" s="220">
        <f>COUNTIFS(РД[МОП],A110,РД[Дата подачи на регистрацию],"&lt;="&amp;$A$1,РД[Дата подачи на регистрацию],"&gt;="&amp;DATE(YEAR($A$1),MONTH($A$1),1),РД[Состояние],"Продажа")</f>
        <v>12</v>
      </c>
      <c r="K110" s="943" t="str">
        <f t="shared" si="10"/>
        <v/>
      </c>
      <c r="L110" s="944" t="str">
        <f t="shared" si="10"/>
        <v/>
      </c>
      <c r="M110" s="997">
        <f t="shared" si="11"/>
        <v>3</v>
      </c>
      <c r="N110" s="878">
        <f t="shared" si="11"/>
        <v>3</v>
      </c>
      <c r="O110" s="878">
        <f t="shared" si="11"/>
        <v>5</v>
      </c>
      <c r="P110" s="878">
        <f t="shared" si="11"/>
        <v>1</v>
      </c>
      <c r="Q110" s="689">
        <f t="shared" si="11"/>
        <v>0</v>
      </c>
      <c r="R110" s="930"/>
      <c r="S110" s="930"/>
      <c r="T110" s="930"/>
    </row>
    <row r="111" spans="1:20">
      <c r="A111" s="952" t="s">
        <v>77</v>
      </c>
      <c r="B111" s="937" t="e">
        <f>VLOOKUP(A111,'Индивидуальный план'!$F$38:$H$46,2,0)</f>
        <v>#N/A</v>
      </c>
      <c r="C111" s="937" t="e">
        <f>VLOOKUP(A111,'Индивидуальный план'!$F$38:$H$46,3,0)</f>
        <v>#N/A</v>
      </c>
      <c r="D111" s="953">
        <f>D75+D87+D99</f>
        <v>0</v>
      </c>
      <c r="E111" s="148">
        <f>SUMIFS(февр231411[м2],февр231411[МОП],$A111,февр231411[Ком],"&lt;&gt;Офис")</f>
        <v>453.06999999999994</v>
      </c>
      <c r="F111" s="939">
        <f>SUMIFS(февр231411[сумма без отделки],февр231411[МОП],$A111,февр231411[Ком],"&lt;&gt;Офис")</f>
        <v>34424885.089999996</v>
      </c>
      <c r="G111" s="940">
        <f>COUNTIFS(февр231411[МОП],$A111,февр231411[Ком],"&lt;&gt;Офис")</f>
        <v>9</v>
      </c>
      <c r="H111" s="145">
        <f>SUMIFS(РД[S],РД[МОП],A111,РД[Дата подачи на регистрацию],"&lt;="&amp;$A$1,РД[Дата подачи на регистрацию],"&gt;="&amp;DATE(YEAR($A$1),MONTH($A$1),1),РД[Состояние],"Продажа")</f>
        <v>454.57</v>
      </c>
      <c r="I111" s="149">
        <f>SUMIFS(РД[Стоимость без отделки итог],РД[МОП],A111,РД[Дата подачи на регистрацию],"&lt;="&amp;$A$1,РД[Дата подачи на регистрацию],"&gt;="&amp;DATE(YEAR($A$1),MONTH($A$1),1),РД[Состояние],"Продажа")</f>
        <v>34238075.089999996</v>
      </c>
      <c r="J111" s="220">
        <f>COUNTIFS(РД[МОП],A111,РД[Дата подачи на регистрацию],"&lt;="&amp;$A$1,РД[Дата подачи на регистрацию],"&gt;="&amp;DATE(YEAR($A$1),MONTH($A$1),1),РД[Состояние],"Продажа")</f>
        <v>9</v>
      </c>
      <c r="K111" s="987" t="str">
        <f t="shared" si="10"/>
        <v/>
      </c>
      <c r="L111" s="988" t="str">
        <f t="shared" si="10"/>
        <v/>
      </c>
      <c r="M111" s="998">
        <f t="shared" si="11"/>
        <v>4</v>
      </c>
      <c r="N111" s="326">
        <f t="shared" si="11"/>
        <v>1</v>
      </c>
      <c r="O111" s="326">
        <f t="shared" si="11"/>
        <v>2</v>
      </c>
      <c r="P111" s="326">
        <f t="shared" si="11"/>
        <v>2</v>
      </c>
      <c r="Q111" s="327">
        <f t="shared" si="11"/>
        <v>0</v>
      </c>
      <c r="R111" s="930"/>
      <c r="S111" s="930"/>
      <c r="T111" s="930"/>
    </row>
    <row r="112" spans="1:20">
      <c r="A112" s="956" t="s">
        <v>1233</v>
      </c>
      <c r="B112" s="937" t="e">
        <f>VLOOKUP(A112,'Индивидуальный план'!$F$38:$H$46,2,0)</f>
        <v>#N/A</v>
      </c>
      <c r="C112" s="937" t="e">
        <f>VLOOKUP(A112,'Индивидуальный план'!$F$38:$H$46,3,0)</f>
        <v>#N/A</v>
      </c>
      <c r="D112" s="957">
        <f>D76+D88+D100</f>
        <v>0</v>
      </c>
      <c r="E112" s="148">
        <f>SUMIFS(февр231411[м2],февр231411[МОП],$A112,февр231411[Ком],"&lt;&gt;Офис")</f>
        <v>608.39</v>
      </c>
      <c r="F112" s="939">
        <f>SUMIFS(февр231411[сумма без отделки],февр231411[МОП],$A112,февр231411[Ком],"&lt;&gt;Офис")</f>
        <v>49263440.75</v>
      </c>
      <c r="G112" s="940">
        <f>COUNTIFS(февр231411[МОП],$A112,февр231411[Ком],"&lt;&gt;Офис")</f>
        <v>13</v>
      </c>
      <c r="H112" s="145">
        <f>SUMIFS(РД[S],РД[МОП],A112,РД[Дата подачи на регистрацию],"&lt;="&amp;$A$1,РД[Дата подачи на регистрацию],"&gt;="&amp;DATE(YEAR($A$1),MONTH($A$1),1),РД[Состояние],"Продажа")</f>
        <v>687.12</v>
      </c>
      <c r="I112" s="149">
        <f>SUMIFS(РД[Стоимость без отделки итог],РД[МОП],A112,РД[Дата подачи на регистрацию],"&lt;="&amp;$A$1,РД[Дата подачи на регистрацию],"&gt;="&amp;DATE(YEAR($A$1),MONTH($A$1),1),РД[Состояние],"Продажа")</f>
        <v>55103000.519999996</v>
      </c>
      <c r="J112" s="220">
        <f>COUNTIFS(РД[МОП],A112,РД[Дата подачи на регистрацию],"&lt;="&amp;$A$1,РД[Дата подачи на регистрацию],"&gt;="&amp;DATE(YEAR($A$1),MONTH($A$1),1),РД[Состояние],"Продажа")</f>
        <v>14</v>
      </c>
      <c r="K112" s="987" t="str">
        <f t="shared" si="10"/>
        <v/>
      </c>
      <c r="L112" s="988" t="str">
        <f t="shared" si="10"/>
        <v/>
      </c>
      <c r="M112" s="999">
        <f t="shared" si="11"/>
        <v>2</v>
      </c>
      <c r="N112" s="365">
        <f t="shared" si="11"/>
        <v>5</v>
      </c>
      <c r="O112" s="365">
        <f t="shared" si="11"/>
        <v>4</v>
      </c>
      <c r="P112" s="365">
        <f t="shared" si="11"/>
        <v>3</v>
      </c>
      <c r="Q112" s="366">
        <f t="shared" si="11"/>
        <v>0</v>
      </c>
      <c r="R112" s="930"/>
      <c r="S112" s="930"/>
      <c r="T112" s="930"/>
    </row>
    <row r="113" spans="1:20">
      <c r="A113" s="960" t="s">
        <v>114</v>
      </c>
      <c r="B113" s="961" t="e">
        <f>SUM(B109:B112)</f>
        <v>#N/A</v>
      </c>
      <c r="C113" s="961" t="e">
        <f>SUM(C109:C112)</f>
        <v>#N/A</v>
      </c>
      <c r="D113" s="962">
        <f t="shared" ref="D113:J113" si="12">SUM(D109:D112)</f>
        <v>0</v>
      </c>
      <c r="E113" s="963">
        <f t="shared" si="12"/>
        <v>2379.7799999999997</v>
      </c>
      <c r="F113" s="964">
        <f t="shared" si="12"/>
        <v>190571535.4892</v>
      </c>
      <c r="G113" s="965">
        <f t="shared" si="12"/>
        <v>50</v>
      </c>
      <c r="H113" s="961">
        <f t="shared" si="12"/>
        <v>2460.0099999999998</v>
      </c>
      <c r="I113" s="964">
        <f t="shared" si="12"/>
        <v>196204285.25999999</v>
      </c>
      <c r="J113" s="962">
        <f t="shared" si="12"/>
        <v>51</v>
      </c>
      <c r="K113" s="419">
        <f>IFERROR(H113/B113,)</f>
        <v>0</v>
      </c>
      <c r="L113" s="420">
        <f>IFERROR(I113/C113,)</f>
        <v>0</v>
      </c>
      <c r="M113" s="473">
        <f>SUM(M109:M112)</f>
        <v>12</v>
      </c>
      <c r="N113" s="494">
        <f>SUM(N109:N112)</f>
        <v>15</v>
      </c>
      <c r="O113" s="494">
        <f>SUM(O109:O112)</f>
        <v>16</v>
      </c>
      <c r="P113" s="989">
        <f>SUM(P109:P112)</f>
        <v>8</v>
      </c>
      <c r="Q113" s="497">
        <f>SUM(Q109:Q112)</f>
        <v>0</v>
      </c>
      <c r="R113" s="930"/>
      <c r="S113" s="930"/>
      <c r="T113" s="930"/>
    </row>
    <row r="114" spans="1:20">
      <c r="A114" s="685" t="s">
        <v>115</v>
      </c>
      <c r="B114" s="723" t="s">
        <v>100</v>
      </c>
      <c r="C114" s="693" t="s">
        <v>97</v>
      </c>
      <c r="D114" s="724" t="s">
        <v>95</v>
      </c>
      <c r="E114" s="137" t="s">
        <v>494</v>
      </c>
      <c r="F114" s="138" t="s">
        <v>495</v>
      </c>
      <c r="G114" s="139" t="s">
        <v>496</v>
      </c>
      <c r="H114" s="980" t="s">
        <v>101</v>
      </c>
      <c r="I114" s="141" t="s">
        <v>98</v>
      </c>
      <c r="J114" s="141" t="s">
        <v>96</v>
      </c>
      <c r="K114" s="141" t="s">
        <v>715</v>
      </c>
      <c r="L114" s="216" t="s">
        <v>716</v>
      </c>
      <c r="M114" s="217">
        <v>0</v>
      </c>
      <c r="N114" s="218">
        <v>1</v>
      </c>
      <c r="O114" s="218">
        <v>2</v>
      </c>
      <c r="P114" s="218">
        <v>3</v>
      </c>
      <c r="Q114" s="219" t="s">
        <v>1367</v>
      </c>
      <c r="R114" s="951"/>
      <c r="S114" s="951"/>
      <c r="T114" s="951"/>
    </row>
    <row r="115" spans="1:20">
      <c r="A115" s="936" t="s">
        <v>16</v>
      </c>
      <c r="B115" s="937">
        <f>VLOOKUP(A115,'Индивидуальный план'!$F$38:$H$46,2,0)</f>
        <v>3353</v>
      </c>
      <c r="C115" s="937">
        <f>VLOOKUP(A115,'Индивидуальный план'!$F$38:$H$46,3,0)</f>
        <v>290269175.42949998</v>
      </c>
      <c r="D115" s="417">
        <f>D79+D91+D103</f>
        <v>0</v>
      </c>
      <c r="E115" s="966">
        <f>SUMIFS(февр231411[м2],февр231411[ИМ],A115,февр231411[Ком],"&lt;&gt;Офис")</f>
        <v>997.32999999999993</v>
      </c>
      <c r="F115" s="149">
        <f>SUMIFS(февр231411[сумма без отделки],февр231411[ИМ],$A115,февр231411[Ком],"&lt;&gt;Офис")</f>
        <v>80729550.609999999</v>
      </c>
      <c r="G115" s="940">
        <f>COUNTIFS(февр231411[ИМ],A115,февр231411[Ком],"&lt;&gt;Офис")</f>
        <v>20</v>
      </c>
      <c r="H115" s="346">
        <f>SUMIFS(РД[S],РД[ИМ],A115,РД[Дата подачи на регистрацию],"&lt;="&amp;$A$1,РД[Дата подачи на регистрацию],"&gt;="&amp;DATE(YEAR($A$1),MONTH($A$1),1),РД[Состояние],"Продажа")</f>
        <v>997.32999999999993</v>
      </c>
      <c r="I115" s="184">
        <f>SUMIFS(РД[Стоимость без отделки итог],РД[ИМ],A115,РД[Дата подачи на регистрацию],"&lt;="&amp;$A$1,РД[Дата подачи на регистрацию],"&gt;="&amp;DATE(YEAR($A$1),MONTH($A$1),1),РД[Состояние],"Продажа")</f>
        <v>80550990.610000014</v>
      </c>
      <c r="J115" s="243">
        <f>COUNTIFS(РД[ИМ],A115,РД[Дата подачи на регистрацию],"&lt;="&amp;$A$1,РД[Дата подачи на регистрацию],"&gt;="&amp;DATE(YEAR($A$1),MONTH($A$1),1),РД[Состояние],"Продажа")</f>
        <v>20</v>
      </c>
      <c r="K115" s="990">
        <f t="shared" ref="K115:L117" si="13">IFERROR(H115/B115,"")</f>
        <v>0.29744407992842231</v>
      </c>
      <c r="L115" s="991">
        <f t="shared" si="13"/>
        <v>0.27750445940672774</v>
      </c>
      <c r="M115" s="183">
        <f t="shared" ref="M115:Q116" si="14">M79+M91</f>
        <v>2</v>
      </c>
      <c r="N115" s="243">
        <f t="shared" si="14"/>
        <v>0</v>
      </c>
      <c r="O115" s="243">
        <f t="shared" si="14"/>
        <v>0</v>
      </c>
      <c r="P115" s="243">
        <f t="shared" si="14"/>
        <v>0</v>
      </c>
      <c r="Q115" s="246">
        <f t="shared" si="14"/>
        <v>0</v>
      </c>
      <c r="R115" s="930"/>
      <c r="S115" s="930"/>
      <c r="T115" s="930"/>
    </row>
    <row r="116" spans="1:20">
      <c r="A116" s="956" t="s">
        <v>22</v>
      </c>
      <c r="B116" s="937">
        <f>VLOOKUP(A116,'Индивидуальный план'!$F$38:$H$46,2,0)</f>
        <v>2067</v>
      </c>
      <c r="C116" s="937">
        <f>VLOOKUP(A116,'Индивидуальный план'!$F$38:$H$46,3,0)</f>
        <v>179518630.65650001</v>
      </c>
      <c r="D116" s="518">
        <f>D80+D92+D104</f>
        <v>0</v>
      </c>
      <c r="E116" s="966">
        <f>SUMIFS(февр231411[м2],февр231411[ИМ],A116,февр231411[Ком],"&lt;&gt;Офис")</f>
        <v>923.59</v>
      </c>
      <c r="F116" s="149">
        <f>SUMIFS(февр231411[сумма без отделки],февр231411[ИМ],$A116,февр231411[Ком],"&lt;&gt;Офис")</f>
        <v>72340124.549200013</v>
      </c>
      <c r="G116" s="940">
        <f>COUNTIFS(февр231411[ИМ],$A116,февр231411[Ком],"&lt;&gt;Офис")</f>
        <v>19</v>
      </c>
      <c r="H116" s="426">
        <f>SUMIFS(РД[S],РД[ИМ],A116,РД[Дата подачи на регистрацию],"&lt;="&amp;$A$1,РД[Дата подачи на регистрацию],"&gt;="&amp;DATE(YEAR($A$1),MONTH($A$1),1),РД[Состояние],"Продажа")</f>
        <v>925.09</v>
      </c>
      <c r="I116" s="196">
        <f>SUMIFS(РД[Стоимость без отделки итог],РД[ИМ],A116,РД[Дата подачи на регистрацию],"&lt;="&amp;$A$1,РД[Дата подачи на регистрацию],"&gt;="&amp;DATE(YEAR($A$1),MONTH($A$1),1),РД[Состояние],"Продажа")</f>
        <v>72331874.549999997</v>
      </c>
      <c r="J116" s="251">
        <f>COUNTIFS(РД[ИМ],A116,РД[Дата подачи на регистрацию],"&lt;="&amp;$A$1,РД[Дата подачи на регистрацию],"&gt;="&amp;DATE(YEAR($A$1),MONTH($A$1),1),РД[Состояние],"Продажа")</f>
        <v>19</v>
      </c>
      <c r="K116" s="992">
        <f t="shared" si="13"/>
        <v>0.44755200774068699</v>
      </c>
      <c r="L116" s="993">
        <f t="shared" si="13"/>
        <v>0.40292126942748047</v>
      </c>
      <c r="M116" s="195">
        <f t="shared" si="14"/>
        <v>1</v>
      </c>
      <c r="N116" s="251">
        <f t="shared" si="14"/>
        <v>0</v>
      </c>
      <c r="O116" s="251">
        <f t="shared" si="14"/>
        <v>0</v>
      </c>
      <c r="P116" s="251">
        <f t="shared" si="14"/>
        <v>1</v>
      </c>
      <c r="Q116" s="254">
        <f t="shared" si="14"/>
        <v>0</v>
      </c>
      <c r="R116" s="930"/>
      <c r="S116" s="930"/>
      <c r="T116" s="930"/>
    </row>
    <row r="117" spans="1:20">
      <c r="A117" s="409" t="s">
        <v>114</v>
      </c>
      <c r="B117" s="961">
        <f>SUM(B115:B116)</f>
        <v>5420</v>
      </c>
      <c r="C117" s="961">
        <f>SUM(C115:C116)</f>
        <v>469787806.08599997</v>
      </c>
      <c r="D117" s="485">
        <f>SUM(D115:D116)</f>
        <v>0</v>
      </c>
      <c r="E117" s="473">
        <f t="shared" ref="E117:Q117" si="15">SUM(E115:E116)</f>
        <v>1920.92</v>
      </c>
      <c r="F117" s="429">
        <f t="shared" si="15"/>
        <v>153069675.15920001</v>
      </c>
      <c r="G117" s="497">
        <f t="shared" si="15"/>
        <v>39</v>
      </c>
      <c r="H117" s="484">
        <f t="shared" si="15"/>
        <v>1922.42</v>
      </c>
      <c r="I117" s="494">
        <f t="shared" si="15"/>
        <v>152882865.16000003</v>
      </c>
      <c r="J117" s="494">
        <f t="shared" si="15"/>
        <v>39</v>
      </c>
      <c r="K117" s="419">
        <f t="shared" si="13"/>
        <v>0.35469003690036904</v>
      </c>
      <c r="L117" s="507">
        <f t="shared" si="13"/>
        <v>0.32542961562525763</v>
      </c>
      <c r="M117" s="317">
        <f t="shared" si="15"/>
        <v>3</v>
      </c>
      <c r="N117" s="917">
        <f t="shared" si="15"/>
        <v>0</v>
      </c>
      <c r="O117" s="917">
        <f t="shared" si="15"/>
        <v>0</v>
      </c>
      <c r="P117" s="917">
        <f t="shared" si="15"/>
        <v>1</v>
      </c>
      <c r="Q117" s="928">
        <f t="shared" si="15"/>
        <v>0</v>
      </c>
      <c r="R117" s="930"/>
      <c r="S117" s="930"/>
      <c r="T117" s="930"/>
    </row>
    <row r="118" spans="1:20">
      <c r="A118" s="134"/>
      <c r="B118" s="44"/>
      <c r="C118" s="44"/>
      <c r="D118" s="134"/>
      <c r="E118" s="134"/>
      <c r="F118" s="44"/>
      <c r="G118" s="134"/>
      <c r="H118" s="134"/>
      <c r="I118" s="134"/>
      <c r="J118" s="134"/>
      <c r="K118" s="255"/>
      <c r="L118" s="256"/>
      <c r="M118" s="134"/>
      <c r="N118" s="134"/>
      <c r="O118" s="134"/>
      <c r="P118" s="134"/>
      <c r="Q118" s="134"/>
      <c r="R118" s="930"/>
      <c r="S118" s="930"/>
      <c r="T118" s="930"/>
    </row>
    <row r="119" spans="1:20" ht="15.75" customHeight="1">
      <c r="A119" s="2314" t="s">
        <v>1368</v>
      </c>
      <c r="B119" s="2315"/>
      <c r="C119" s="2315"/>
      <c r="D119" s="2315"/>
      <c r="E119" s="2315"/>
      <c r="F119" s="2315"/>
      <c r="G119" s="2315"/>
      <c r="H119" s="2315"/>
      <c r="I119" s="2315"/>
      <c r="J119" s="2315"/>
      <c r="K119" s="2315"/>
      <c r="L119" s="2315"/>
      <c r="M119" s="2315"/>
      <c r="N119" s="2315"/>
      <c r="O119" s="2316"/>
      <c r="P119" s="930"/>
      <c r="Q119" s="43"/>
      <c r="R119" s="43"/>
      <c r="S119" s="43"/>
      <c r="T119" s="43"/>
    </row>
    <row r="120" spans="1:20">
      <c r="A120" s="712" t="s">
        <v>1</v>
      </c>
      <c r="B120" s="713" t="s">
        <v>100</v>
      </c>
      <c r="C120" s="714" t="s">
        <v>97</v>
      </c>
      <c r="D120" s="715" t="s">
        <v>95</v>
      </c>
      <c r="E120" s="716" t="s">
        <v>494</v>
      </c>
      <c r="F120" s="265" t="s">
        <v>495</v>
      </c>
      <c r="G120" s="266" t="s">
        <v>496</v>
      </c>
      <c r="H120" s="140" t="s">
        <v>101</v>
      </c>
      <c r="I120" s="141" t="s">
        <v>98</v>
      </c>
      <c r="J120" s="141" t="s">
        <v>96</v>
      </c>
      <c r="K120" s="141" t="s">
        <v>715</v>
      </c>
      <c r="L120" s="216" t="s">
        <v>716</v>
      </c>
      <c r="M120" s="1000" t="s">
        <v>121</v>
      </c>
      <c r="N120" s="505" t="s">
        <v>27</v>
      </c>
      <c r="O120" s="506" t="s">
        <v>7</v>
      </c>
      <c r="P120" s="43"/>
      <c r="Q120" s="43"/>
      <c r="R120" s="43"/>
      <c r="S120" s="43"/>
      <c r="T120" s="43"/>
    </row>
    <row r="121" spans="1:20">
      <c r="A121" s="985" t="s">
        <v>73</v>
      </c>
      <c r="B121" s="291"/>
      <c r="C121" s="292"/>
      <c r="D121" s="694"/>
      <c r="E121" s="416">
        <f>SUMIFS(февр231411[м2],февр231411[МОП],A121,февр231411[Ком],"Офис")</f>
        <v>78.95</v>
      </c>
      <c r="F121" s="292">
        <f>SUMIFS(февр231411[сумма без отделки],февр231411[МОП],$A121,февр231411[Ком],"оФИС")</f>
        <v>0</v>
      </c>
      <c r="G121" s="720">
        <f>COUNTIFS(февр231411[МОП],$A121,февр231411[Ком],"Офис")</f>
        <v>1</v>
      </c>
      <c r="H121" s="291">
        <f>SUMIFS(РД[S],РД[МОП],A121,РД[Дата подачи на регистрацию],"&lt;="&amp;$A$1,РД[Дата подачи на регистрацию],"&gt;="&amp;DATE(YEAR($A$1),MONTH($A$1),1),РД[Состояние],"Коммерция")</f>
        <v>0</v>
      </c>
      <c r="I121" s="292">
        <f>SUMIFS(РД[Стоимость без отделки итог],РД[МОП],A121,РД[Дата подачи на регистрацию],"&lt;="&amp;$A$1,РД[Дата подачи на регистрацию],"&gt;="&amp;DATE(YEAR($A$1),MONTH($A$1),1),РД[Состояние],"Коммерция")</f>
        <v>0</v>
      </c>
      <c r="J121" s="243">
        <f>COUNTIFS(РД[МОП],A121,РД[Дата подачи на регистрацию],"&lt;="&amp;$A$1,РД[Дата подачи на регистрацию],"&gt;="&amp;DATE(YEAR($A$1),MONTH($A$1),1),РД[Состояние],"Коммерция")</f>
        <v>0</v>
      </c>
      <c r="K121" s="990" t="str">
        <f t="shared" ref="K121:L126" si="16">IFERROR(H121/B121,"")</f>
        <v/>
      </c>
      <c r="L121" s="991" t="str">
        <f t="shared" si="16"/>
        <v/>
      </c>
      <c r="M121" s="183">
        <f>COUNTIFS(РД[Дом],M$120,РД[МОП],$A121,РД[Дата подачи на регистрацию],"&lt;="&amp;$A$1,РД[Дата подачи на регистрацию],"&gt;="&amp;DATE(YEAR($A$1),MONTH($A$1),1),РД[Состояние],"Коммерция")</f>
        <v>0</v>
      </c>
      <c r="N121" s="243">
        <f>COUNTIFS(РД[Дом],N$120,РД[МОП],$A121,РД[Дата подачи на регистрацию],"&lt;="&amp;$A$1,РД[Дата подачи на регистрацию],"&gt;="&amp;DATE(YEAR($A$1),MONTH($A$1),1),РД[Состояние],"Коммерция")</f>
        <v>0</v>
      </c>
      <c r="O121" s="246">
        <f>COUNTIFS(РД[Дом],O$120,РД[МОП],$A121,РД[Дата подачи на регистрацию],"&lt;="&amp;$A$1,РД[Дата подачи на регистрацию],"&gt;="&amp;DATE(YEAR($A$1),MONTH($A$1),1),РД[Состояние],"Коммерция")</f>
        <v>0</v>
      </c>
      <c r="P121" s="930"/>
      <c r="Q121" s="930"/>
      <c r="R121" s="930"/>
      <c r="S121" s="930"/>
      <c r="T121" s="43"/>
    </row>
    <row r="122" spans="1:20">
      <c r="A122" s="936" t="s">
        <v>8</v>
      </c>
      <c r="B122" s="267"/>
      <c r="C122" s="146"/>
      <c r="D122" s="702"/>
      <c r="E122" s="416">
        <f>SUMIFS(февр231411[м2],февр231411[МОП],A122,февр231411[Ком],"Офис")</f>
        <v>0</v>
      </c>
      <c r="F122" s="146">
        <f>SUMIFS(февр231411[сумма без отделки],февр231411[МОП],$A122,февр231411[Ком],"оФИС")</f>
        <v>0</v>
      </c>
      <c r="G122" s="417">
        <f>COUNTIFS(февр231411[МОП],$A122,февр231411[Ком],"Офис")</f>
        <v>0</v>
      </c>
      <c r="H122" s="267">
        <f>SUMIFS(РД[S],РД[МОП],A122,РД[Дата подачи на регистрацию],"&lt;="&amp;$A$1,РД[Дата подачи на регистрацию],"&gt;="&amp;DATE(YEAR($A$1),MONTH($A$1),1),РД[Состояние],"Коммерция")</f>
        <v>0</v>
      </c>
      <c r="I122" s="146">
        <f>SUMIFS(РД[Стоимость без отделки итог],РД[МОП],A122,РД[Дата подачи на регистрацию],"&lt;="&amp;$A$1,РД[Дата подачи на регистрацию],"&gt;="&amp;DATE(YEAR($A$1),MONTH($A$1),1),РД[Состояние],"Коммерция")</f>
        <v>0</v>
      </c>
      <c r="J122" s="220">
        <f>COUNTIFS(РД[МОП],A122,РД[Дата подачи на регистрацию],"&lt;="&amp;$A$1,РД[Дата подачи на регистрацию],"&gt;="&amp;DATE(YEAR($A$1),MONTH($A$1),1),РД[Состояние],"Коммерция")</f>
        <v>0</v>
      </c>
      <c r="K122" s="943" t="str">
        <f t="shared" si="16"/>
        <v/>
      </c>
      <c r="L122" s="944" t="str">
        <f t="shared" si="16"/>
        <v/>
      </c>
      <c r="M122" s="148">
        <f>COUNTIFS(РД[Дом],M$120,РД[МОП],$A122,РД[Дата подачи на регистрацию],"&lt;="&amp;$A$1,РД[Дата подачи на регистрацию],"&gt;="&amp;DATE(YEAR($A$1),MONTH($A$1),1),РД[Состояние],"Коммерция")</f>
        <v>0</v>
      </c>
      <c r="N122" s="220">
        <f>COUNTIFS(РД[Дом],N$120,РД[МОП],$A122,РД[Дата подачи на регистрацию],"&lt;="&amp;$A$1,РД[Дата подачи на регистрацию],"&gt;="&amp;DATE(YEAR($A$1),MONTH($A$1),1),РД[Состояние],"Коммерция")</f>
        <v>0</v>
      </c>
      <c r="O122" s="223">
        <f>COUNTIFS(РД[Дом],O$120,РД[МОП],$A122,РД[Дата подачи на регистрацию],"&lt;="&amp;$A$1,РД[Дата подачи на регистрацию],"&gt;="&amp;DATE(YEAR($A$1),MONTH($A$1),1),РД[Состояние],"Коммерция")</f>
        <v>0</v>
      </c>
      <c r="P122" s="930"/>
      <c r="Q122" s="930"/>
      <c r="R122" s="930"/>
      <c r="S122" s="930"/>
      <c r="T122" s="43"/>
    </row>
    <row r="123" spans="1:20">
      <c r="A123" s="981" t="s">
        <v>77</v>
      </c>
      <c r="B123" s="271"/>
      <c r="C123" s="52"/>
      <c r="D123" s="717"/>
      <c r="E123" s="416">
        <f>SUMIFS(февр231411[м2],февр231411[МОП],A123,февр231411[Ком],"Офис")</f>
        <v>0</v>
      </c>
      <c r="F123" s="52">
        <f>SUMIFS(февр231411[сумма без отделки],февр231411[МОП],$A123,февр231411[Ком],"оФИС")</f>
        <v>0</v>
      </c>
      <c r="G123" s="421">
        <f>COUNTIFS(февр231411[МОП],$A123,февр231411[Ком],"Офис")</f>
        <v>0</v>
      </c>
      <c r="H123" s="271">
        <f>SUMIFS(РД[S],РД[МОП],A123,РД[Дата подачи на регистрацию],"&lt;="&amp;$A$1,РД[Дата подачи на регистрацию],"&gt;="&amp;DATE(YEAR($A$1),MONTH($A$1),1),РД[Состояние],"Коммерция")</f>
        <v>0</v>
      </c>
      <c r="I123" s="52">
        <f>SUMIFS(РД[Стоимость без отделки итог],РД[МОП],A123,РД[Дата подачи на регистрацию],"&lt;="&amp;$A$1,РД[Дата подачи на регистрацию],"&gt;="&amp;DATE(YEAR($A$1),MONTH($A$1),1),РД[Состояние],"Коммерция")</f>
        <v>0</v>
      </c>
      <c r="J123" s="220">
        <f>COUNTIFS(РД[МОП],A123,РД[Дата подачи на регистрацию],"&lt;="&amp;$A$1,РД[Дата подачи на регистрацию],"&gt;="&amp;DATE(YEAR($A$1),MONTH($A$1),1),РД[Состояние],"Коммерция")</f>
        <v>0</v>
      </c>
      <c r="K123" s="52" t="str">
        <f t="shared" si="16"/>
        <v/>
      </c>
      <c r="L123" s="546" t="str">
        <f t="shared" si="16"/>
        <v/>
      </c>
      <c r="M123" s="202">
        <f>COUNTIFS(РД[Дом],M$120,РД[МОП],$A123,РД[Дата подачи на регистрацию],"&lt;="&amp;$A$1,РД[Дата подачи на регистрацию],"&gt;="&amp;DATE(YEAR($A$1),MONTH($A$1),1),РД[Состояние],"Коммерция")</f>
        <v>0</v>
      </c>
      <c r="N123" s="226">
        <f>COUNTIFS(РД[Дом],N$120,РД[МОП],$A123,РД[Дата подачи на регистрацию],"&lt;="&amp;$A$1,РД[Дата подачи на регистрацию],"&gt;="&amp;DATE(YEAR($A$1),MONTH($A$1),1),РД[Состояние],"Коммерция")</f>
        <v>0</v>
      </c>
      <c r="O123" s="227">
        <f>COUNTIFS(РД[Дом],O$120,РД[МОП],$A123,РД[Дата подачи на регистрацию],"&lt;="&amp;$A$1,РД[Дата подачи на регистрацию],"&gt;="&amp;DATE(YEAR($A$1),MONTH($A$1),1),РД[Состояние],"Коммерция")</f>
        <v>0</v>
      </c>
      <c r="P123" s="930"/>
      <c r="Q123" s="930"/>
      <c r="R123" s="930"/>
      <c r="S123" s="930"/>
      <c r="T123" s="43"/>
    </row>
    <row r="124" spans="1:20">
      <c r="A124" s="981" t="s">
        <v>1233</v>
      </c>
      <c r="B124" s="271"/>
      <c r="C124" s="52"/>
      <c r="D124" s="717"/>
      <c r="E124" s="416">
        <f>SUMIFS(февр231411[м2],февр231411[МОП],A124,февр231411[Ком],"Офис")</f>
        <v>0</v>
      </c>
      <c r="F124" s="52">
        <f>SUMIFS(февр231411[сумма без отделки],февр231411[МОП],$A124,февр231411[Ком],"оФИС")</f>
        <v>0</v>
      </c>
      <c r="G124" s="421">
        <f>COUNTIFS(февр231411[МОП],$A124,февр231411[Ком],"Офис")</f>
        <v>0</v>
      </c>
      <c r="H124" s="271">
        <f>SUMIFS(РД[S],РД[МОП],A124,РД[Дата подачи на регистрацию],"&lt;="&amp;$A$1,РД[Дата подачи на регистрацию],"&gt;="&amp;DATE(YEAR($A$1),MONTH($A$1),1),РД[Состояние],"Коммерция")</f>
        <v>0</v>
      </c>
      <c r="I124" s="52">
        <f>SUMIFS(РД[Стоимость без отделки итог],РД[МОП],A124,РД[Дата подачи на регистрацию],"&lt;="&amp;$A$1,РД[Дата подачи на регистрацию],"&gt;="&amp;DATE(YEAR($A$1),MONTH($A$1),1),РД[Состояние],"Коммерция")</f>
        <v>0</v>
      </c>
      <c r="J124" s="220">
        <f>COUNTIFS(РД[МОП],A124,РД[Дата подачи на регистрацию],"&lt;="&amp;$A$1,РД[Дата подачи на регистрацию],"&gt;="&amp;DATE(YEAR($A$1),MONTH($A$1),1),РД[Состояние],"Коммерция")</f>
        <v>0</v>
      </c>
      <c r="K124" s="224" t="str">
        <f t="shared" si="16"/>
        <v/>
      </c>
      <c r="L124" s="334" t="str">
        <f t="shared" si="16"/>
        <v/>
      </c>
      <c r="M124" s="202">
        <f>COUNTIFS(РД[Дом],M$120,РД[МОП],$A124,РД[Дата подачи на регистрацию],"&lt;="&amp;$A$1,РД[Дата подачи на регистрацию],"&gt;="&amp;DATE(YEAR($A$1),MONTH($A$1),1),РД[Состояние],"Коммерция")</f>
        <v>0</v>
      </c>
      <c r="N124" s="226">
        <f>COUNTIFS(РД[Дом],N$120,РД[МОП],$A124,РД[Дата подачи на регистрацию],"&lt;="&amp;$A$1,РД[Дата подачи на регистрацию],"&gt;="&amp;DATE(YEAR($A$1),MONTH($A$1),1),РД[Состояние],"Коммерция")</f>
        <v>0</v>
      </c>
      <c r="O124" s="227">
        <f>COUNTIFS(РД[Дом],O$120,РД[МОП],$A124,РД[Дата подачи на регистрацию],"&lt;="&amp;$A$1,РД[Дата подачи на регистрацию],"&gt;="&amp;DATE(YEAR($A$1),MONTH($A$1),1),РД[Состояние],"Коммерция")</f>
        <v>0</v>
      </c>
      <c r="P124" s="930"/>
      <c r="Q124" s="930"/>
      <c r="R124" s="930"/>
      <c r="S124" s="930"/>
      <c r="T124" s="43"/>
    </row>
    <row r="125" spans="1:20">
      <c r="A125" s="982" t="s">
        <v>29</v>
      </c>
      <c r="B125" s="516"/>
      <c r="C125" s="554"/>
      <c r="D125" s="695"/>
      <c r="E125" s="416">
        <f>SUMIFS(февр231411[м2],февр231411[МОП],A125,февр231411[Ком],"Офис")</f>
        <v>0</v>
      </c>
      <c r="F125" s="958">
        <f>SUMIFS(февр231411[сумма без отделки],февр231411[МОП],$A125,февр231411[Ком],"оФИС")</f>
        <v>0</v>
      </c>
      <c r="G125" s="983">
        <f>COUNTIFS(февр231411[МОП],$A125,февр231411[Ком],"Офис")</f>
        <v>0</v>
      </c>
      <c r="H125" s="516">
        <f>SUMIFS(РД[S],РД[МОП],A125,РД[Дата подачи на регистрацию],"&lt;="&amp;$A$1,РД[Дата подачи на регистрацию],"&gt;="&amp;DATE(YEAR($A$1),MONTH($A$1),1),РД[Состояние],"Коммерция")</f>
        <v>0</v>
      </c>
      <c r="I125" s="554">
        <f>SUMIFS(РД[Стоимость без отделки итог],РД[МОП],A125,РД[Дата подачи на регистрацию],"&lt;="&amp;$A$1,РД[Дата подачи на регистрацию],"&gt;="&amp;DATE(YEAR($A$1),MONTH($A$1),1),РД[Состояние],"Коммерция")</f>
        <v>0</v>
      </c>
      <c r="J125" s="1001">
        <f>COUNTIFS(РД[МОП],A125,РД[Дата подачи на регистрацию],"&lt;="&amp;$A$1,РД[Дата подачи на регистрацию],"&gt;="&amp;DATE(YEAR($A$1),MONTH($A$1),1),РД[Состояние],"Коммерция")</f>
        <v>0</v>
      </c>
      <c r="K125" s="252" t="str">
        <f t="shared" si="16"/>
        <v/>
      </c>
      <c r="L125" s="253" t="str">
        <f t="shared" si="16"/>
        <v/>
      </c>
      <c r="M125" s="195">
        <f>COUNTIFS(РД[Дом],M$120,РД[МОП],$A125,РД[Дата подачи на регистрацию],"&lt;="&amp;$A$1,РД[Дата подачи на регистрацию],"&gt;="&amp;DATE(YEAR($A$1),MONTH($A$1),1),РД[Состояние],"Коммерция")</f>
        <v>0</v>
      </c>
      <c r="N125" s="251">
        <f>COUNTIFS(РД[Дом],N$120,РД[МОП],$A125,РД[Дата подачи на регистрацию],"&lt;="&amp;$A$1,РД[Дата подачи на регистрацию],"&gt;="&amp;DATE(YEAR($A$1),MONTH($A$1),1),РД[Состояние],"Коммерция")</f>
        <v>0</v>
      </c>
      <c r="O125" s="254">
        <f>COUNTIFS(РД[Дом],O$120,РД[МОП],$A125,РД[Дата подачи на регистрацию],"&lt;="&amp;$A$1,РД[Дата подачи на регистрацию],"&gt;="&amp;DATE(YEAR($A$1),MONTH($A$1),1),РД[Состояние],"Коммерция")</f>
        <v>0</v>
      </c>
      <c r="P125" s="930"/>
      <c r="Q125" s="930"/>
      <c r="R125" s="930"/>
      <c r="S125" s="930"/>
      <c r="T125" s="43"/>
    </row>
    <row r="126" spans="1:20">
      <c r="A126" s="984" t="s">
        <v>114</v>
      </c>
      <c r="B126" s="323">
        <f t="shared" ref="B126:J126" si="17">SUM(B121:B125)</f>
        <v>0</v>
      </c>
      <c r="C126" s="429">
        <f t="shared" si="17"/>
        <v>0</v>
      </c>
      <c r="D126" s="319">
        <f t="shared" si="17"/>
        <v>0</v>
      </c>
      <c r="E126" s="428">
        <f t="shared" si="17"/>
        <v>78.95</v>
      </c>
      <c r="F126" s="429">
        <f t="shared" si="17"/>
        <v>0</v>
      </c>
      <c r="G126" s="322">
        <f t="shared" si="17"/>
        <v>1</v>
      </c>
      <c r="H126" s="323">
        <f t="shared" si="17"/>
        <v>0</v>
      </c>
      <c r="I126" s="429">
        <f t="shared" si="17"/>
        <v>0</v>
      </c>
      <c r="J126" s="429">
        <f t="shared" si="17"/>
        <v>0</v>
      </c>
      <c r="K126" s="419" t="str">
        <f t="shared" si="16"/>
        <v/>
      </c>
      <c r="L126" s="924" t="str">
        <f t="shared" si="16"/>
        <v/>
      </c>
      <c r="M126" s="318">
        <f>SUM(M121:M125)</f>
        <v>0</v>
      </c>
      <c r="N126" s="321">
        <f>SUM(N121:N125)</f>
        <v>0</v>
      </c>
      <c r="O126" s="319">
        <f>SUM(O121:O125)</f>
        <v>0</v>
      </c>
      <c r="P126" s="930"/>
      <c r="Q126" s="930"/>
      <c r="R126" s="930"/>
      <c r="S126" s="930"/>
      <c r="T126" s="43"/>
    </row>
    <row r="127" spans="1:20">
      <c r="A127" s="685" t="s">
        <v>115</v>
      </c>
      <c r="B127" s="713" t="s">
        <v>100</v>
      </c>
      <c r="C127" s="714" t="s">
        <v>97</v>
      </c>
      <c r="D127" s="715" t="s">
        <v>95</v>
      </c>
      <c r="E127" s="716" t="s">
        <v>494</v>
      </c>
      <c r="F127" s="265" t="s">
        <v>495</v>
      </c>
      <c r="G127" s="266" t="s">
        <v>496</v>
      </c>
      <c r="H127" s="140" t="s">
        <v>101</v>
      </c>
      <c r="I127" s="141" t="s">
        <v>98</v>
      </c>
      <c r="J127" s="141" t="s">
        <v>96</v>
      </c>
      <c r="K127" s="141" t="s">
        <v>715</v>
      </c>
      <c r="L127" s="216" t="s">
        <v>716</v>
      </c>
      <c r="M127" s="1000" t="s">
        <v>121</v>
      </c>
      <c r="N127" s="505" t="s">
        <v>27</v>
      </c>
      <c r="O127" s="506" t="s">
        <v>7</v>
      </c>
      <c r="P127" s="930"/>
      <c r="Q127" s="930"/>
      <c r="R127" s="930"/>
      <c r="S127" s="930"/>
      <c r="T127" s="43"/>
    </row>
    <row r="128" spans="1:20">
      <c r="A128" s="985" t="s">
        <v>16</v>
      </c>
      <c r="B128" s="291"/>
      <c r="C128" s="292"/>
      <c r="D128" s="720"/>
      <c r="E128" s="267">
        <f>SUMIFS(февр231411[м2],февр231411[ИМ],A128,февр231411[Ком],"Офис")</f>
        <v>0</v>
      </c>
      <c r="F128" s="146">
        <f>SUMIFS(февр231411[сумма без отделки],февр231411[ИМ],$A128,февр231411[Ком],"оФИС")</f>
        <v>0</v>
      </c>
      <c r="G128" s="417">
        <f>COUNTIFS(февр231411[ИМ],$A128,февр231411[Ком],"Офис")</f>
        <v>0</v>
      </c>
      <c r="H128" s="267">
        <f>SUMIFS(РД[S],РД[ИМ],A128,РД[Дата подачи на регистрацию],"&lt;="&amp;$A$1,РД[Дата подачи на регистрацию],"&gt;="&amp;DATE(YEAR($A$1),MONTH($A$1),1),РД[Состояние],"Коммерция")</f>
        <v>0</v>
      </c>
      <c r="I128" s="146">
        <f>SUMIFS(РД[Стоимость без отделки итог],РД[ИМ],A128,РД[Дата подачи на регистрацию],"&lt;="&amp;$A$1,РД[Дата подачи на регистрацию],"&gt;="&amp;DATE(YEAR($A$1),MONTH($A$1),1),РД[Состояние],"Коммерция")</f>
        <v>0</v>
      </c>
      <c r="J128" s="220">
        <f>COUNTIFS(РД[ИМ],A128,РД[Дата подачи на регистрацию],"&lt;="&amp;$A$1,РД[Дата подачи на регистрацию],"&gt;="&amp;DATE(YEAR($A$1),MONTH($A$1),1),РД[Состояние],"Коммерция")</f>
        <v>0</v>
      </c>
      <c r="K128" s="224" t="str">
        <f t="shared" ref="K128:L130" si="18">IFERROR(H128/B128,"")</f>
        <v/>
      </c>
      <c r="L128" s="225" t="str">
        <f t="shared" si="18"/>
        <v/>
      </c>
      <c r="M128" s="183">
        <f>COUNTIFS(РД[Дом],M$120,РД[ИМ],$A128,РД[Дата подачи на регистрацию],"&lt;="&amp;$A$1,РД[Дата подачи на регистрацию],"&gt;="&amp;DATE(YEAR($A$1),MONTH($A$1),1),РД[Состояние],"Коммерция")</f>
        <v>0</v>
      </c>
      <c r="N128" s="243">
        <f>COUNTIFS(РД[Дом],N$120,РД[ИМ],$A128,РД[Дата подачи на регистрацию],"&lt;="&amp;$A$1,РД[Дата подачи на регистрацию],"&gt;="&amp;DATE(YEAR($A$1),MONTH($A$1),1),РД[Состояние],"Коммерция")</f>
        <v>0</v>
      </c>
      <c r="O128" s="246">
        <f>COUNTIFS(РД[Дом],O$120,РД[ИМ],$A128,РД[Дата подачи на регистрацию],"&lt;="&amp;$A$1,РД[Дата подачи на регистрацию],"&gt;="&amp;DATE(YEAR($A$1),MONTH($A$1),1),РД[Состояние],"Коммерция")</f>
        <v>0</v>
      </c>
      <c r="P128" s="930"/>
      <c r="Q128" s="930"/>
      <c r="R128" s="930"/>
      <c r="S128" s="930"/>
      <c r="T128" s="43"/>
    </row>
    <row r="129" spans="1:21">
      <c r="A129" s="982" t="s">
        <v>22</v>
      </c>
      <c r="B129" s="516"/>
      <c r="C129" s="554"/>
      <c r="D129" s="721"/>
      <c r="E129" s="315">
        <f>SUMIFS(февр231411[м2],февр231411[ИМ],A129,февр231411[Ком],"Офис")</f>
        <v>0</v>
      </c>
      <c r="F129" s="363">
        <f>SUMIFS(февр231411[сумма без отделки],февр231411[ИМ],$A129,февр231411[Ком],"оФИС")</f>
        <v>0</v>
      </c>
      <c r="G129" s="518">
        <f>COUNTIFS(февр231411[ИМ],$A129,февр231411[Ком],"Офис")</f>
        <v>0</v>
      </c>
      <c r="H129" s="315">
        <f>SUMIFS(РД[S],РД[ИМ],A129,РД[Дата подачи на регистрацию],"&lt;="&amp;$A$1,РД[Дата подачи на регистрацию],"&gt;="&amp;DATE(YEAR($A$1),MONTH($A$1),1),РД[Состояние],"Коммерция")</f>
        <v>0</v>
      </c>
      <c r="I129" s="363">
        <f>SUMIFS(РД[Стоимость без отделки итог],РД[ИМ],A129,РД[Дата подачи на регистрацию],"&lt;="&amp;$A$1,РД[Дата подачи на регистрацию],"&gt;="&amp;DATE(YEAR($A$1),MONTH($A$1),1),РД[Состояние],"Коммерция")</f>
        <v>0</v>
      </c>
      <c r="J129" s="220">
        <f>COUNTIFS(РД[ИМ],A129,РД[Дата подачи на регистрацию],"&lt;="&amp;$A$1,РД[Дата подачи на регистрацию],"&gt;="&amp;DATE(YEAR($A$1),MONTH($A$1),1),РД[Состояние],"Коммерция")</f>
        <v>0</v>
      </c>
      <c r="K129" s="252" t="str">
        <f t="shared" si="18"/>
        <v/>
      </c>
      <c r="L129" s="260" t="str">
        <f t="shared" si="18"/>
        <v/>
      </c>
      <c r="M129" s="195">
        <f>COUNTIFS(РД[Дом],M$120,РД[ИМ],$A129,РД[Дата подачи на регистрацию],"&lt;="&amp;$A$1,РД[Дата подачи на регистрацию],"&gt;="&amp;DATE(YEAR($A$1),MONTH($A$1),1),РД[Состояние],"Коммерция")</f>
        <v>0</v>
      </c>
      <c r="N129" s="251">
        <f>COUNTIFS(РД[Дом],N$120,РД[ИМ],$A129,РД[Дата подачи на регистрацию],"&lt;="&amp;$A$1,РД[Дата подачи на регистрацию],"&gt;="&amp;DATE(YEAR($A$1),MONTH($A$1),1),РД[Состояние],"Коммерция")</f>
        <v>0</v>
      </c>
      <c r="O129" s="254">
        <f>COUNTIFS(РД[Дом],O$120,РД[ИМ],$A129,РД[Дата подачи на регистрацию],"&lt;="&amp;$A$1,РД[Дата подачи на регистрацию],"&gt;="&amp;DATE(YEAR($A$1),MONTH($A$1),1),РД[Состояние],"Коммерция")</f>
        <v>0</v>
      </c>
      <c r="P129" s="930"/>
      <c r="Q129" s="930"/>
      <c r="R129" s="930"/>
      <c r="S129" s="930"/>
      <c r="T129" s="43"/>
    </row>
    <row r="130" spans="1:21">
      <c r="A130" s="986" t="s">
        <v>114</v>
      </c>
      <c r="B130" s="282">
        <f>SUM(B128:B129)</f>
        <v>0</v>
      </c>
      <c r="C130" s="287">
        <f>SUM(C128:C129)</f>
        <v>0</v>
      </c>
      <c r="D130" s="472">
        <f>SUM(D128:D129)</f>
        <v>0</v>
      </c>
      <c r="E130" s="323">
        <f t="shared" ref="E130:J130" si="19">SUM(E128:E129)</f>
        <v>0</v>
      </c>
      <c r="F130" s="429">
        <f t="shared" si="19"/>
        <v>0</v>
      </c>
      <c r="G130" s="322">
        <f t="shared" si="19"/>
        <v>0</v>
      </c>
      <c r="H130" s="323">
        <f t="shared" si="19"/>
        <v>0</v>
      </c>
      <c r="I130" s="429">
        <f t="shared" si="19"/>
        <v>0</v>
      </c>
      <c r="J130" s="429">
        <f t="shared" si="19"/>
        <v>0</v>
      </c>
      <c r="K130" s="419" t="str">
        <f t="shared" si="18"/>
        <v/>
      </c>
      <c r="L130" s="924" t="str">
        <f t="shared" si="18"/>
        <v/>
      </c>
      <c r="M130" s="925">
        <f>SUM(M128:M129)</f>
        <v>0</v>
      </c>
      <c r="N130" s="285">
        <f>SUM(N128:N129)</f>
        <v>0</v>
      </c>
      <c r="O130" s="305">
        <f>SUM(O128:O129)</f>
        <v>0</v>
      </c>
      <c r="P130" s="930"/>
      <c r="Q130" s="930"/>
      <c r="R130" s="930"/>
      <c r="S130" s="930"/>
      <c r="T130" s="43"/>
    </row>
    <row r="131" spans="1:21">
      <c r="A131" s="134"/>
      <c r="B131" s="44"/>
      <c r="C131" s="44"/>
      <c r="D131" s="134"/>
      <c r="E131" s="134"/>
      <c r="F131" s="44"/>
      <c r="G131" s="134"/>
      <c r="H131" s="134"/>
      <c r="I131" s="134"/>
      <c r="J131" s="134"/>
      <c r="K131" s="255"/>
      <c r="L131" s="256"/>
      <c r="M131" s="134"/>
      <c r="N131" s="134"/>
      <c r="O131" s="134"/>
      <c r="P131" s="134"/>
      <c r="Q131" s="134"/>
      <c r="R131" s="930"/>
      <c r="S131" s="930"/>
      <c r="T131" s="930"/>
    </row>
    <row r="132" spans="1:21" ht="15">
      <c r="A132" s="2317" t="s">
        <v>945</v>
      </c>
      <c r="B132" s="2318"/>
      <c r="C132" s="2318"/>
      <c r="D132" s="2318"/>
      <c r="E132" s="2318"/>
      <c r="F132" s="2318"/>
      <c r="G132" s="2318"/>
      <c r="H132" s="2319"/>
      <c r="I132" s="2319"/>
      <c r="J132" s="2319"/>
      <c r="K132" s="2319"/>
      <c r="L132" s="2319"/>
      <c r="M132" s="2319"/>
      <c r="N132" s="2320"/>
      <c r="O132" s="930"/>
      <c r="P132" s="930"/>
      <c r="Q132" s="498"/>
      <c r="R132" s="930"/>
      <c r="S132" s="930"/>
      <c r="T132" s="930"/>
    </row>
    <row r="133" spans="1:21">
      <c r="A133" s="685" t="s">
        <v>1</v>
      </c>
      <c r="B133" s="723" t="s">
        <v>101</v>
      </c>
      <c r="C133" s="724" t="s">
        <v>98</v>
      </c>
      <c r="D133" s="688" t="s">
        <v>96</v>
      </c>
      <c r="E133" s="137" t="s">
        <v>494</v>
      </c>
      <c r="F133" s="138" t="s">
        <v>495</v>
      </c>
      <c r="G133" s="296" t="s">
        <v>496</v>
      </c>
      <c r="H133" s="140" t="s">
        <v>946</v>
      </c>
      <c r="I133" s="141" t="s">
        <v>947</v>
      </c>
      <c r="J133" s="217">
        <v>0</v>
      </c>
      <c r="K133" s="218">
        <v>1</v>
      </c>
      <c r="L133" s="340">
        <v>2</v>
      </c>
      <c r="M133" s="218">
        <v>3</v>
      </c>
      <c r="N133" s="219" t="s">
        <v>1367</v>
      </c>
      <c r="O133" s="930"/>
      <c r="P133" s="930"/>
      <c r="Q133" s="498"/>
      <c r="R133" s="930"/>
      <c r="S133" s="930"/>
      <c r="T133" s="930"/>
    </row>
    <row r="134" spans="1:21">
      <c r="A134" s="985" t="s">
        <v>73</v>
      </c>
      <c r="B134" s="291">
        <f>SUMIFS(РД[S],РД[МОП],A134,РД[Дата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4" s="292">
        <f>SUMIFS(РД[Стоимость без отделки итог],РД[МОП],A134,РД[Дата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4" s="694">
        <f>COUNTIFS(РД[МОП],A134,РД[Дата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4" s="1015"/>
      <c r="F134" s="292"/>
      <c r="G134" s="720"/>
      <c r="H134" s="291">
        <f>SUMIFS(РД[S],РД[МОП],A134,РД[Дата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4" s="879">
        <f>SUMIFS(РД[Стоимость без отделки итог],РД[МОП],A134,РД[Дата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4" s="183">
        <f>COUNTIFS(РД[Тип кв],J$133,РД[МОП],$A134,РД[Дата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4" s="243">
        <f>COUNTIFS(РД[Тип кв],K$133,РД[МОП],$A134,РД[Дата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4" s="243">
        <f>COUNTIFS(РД[Тип кв],L$133,РД[МОП],$A134,РД[Дата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4" s="243">
        <f>COUNTIFS(РД[Тип кв],M$133,РД[МОП],$A134,РД[Дата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4" s="246">
        <f>COUNTIFS(РД[Тип кв],N$133,РД[МОП],$A134,РД[Дата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4" s="930"/>
      <c r="P134" s="930"/>
      <c r="Q134" s="498"/>
      <c r="R134" s="930"/>
      <c r="S134" s="930"/>
      <c r="T134" s="930"/>
    </row>
    <row r="135" spans="1:21">
      <c r="A135" s="936" t="s">
        <v>8</v>
      </c>
      <c r="B135" s="267">
        <f>SUMIFS(РД[S],РД[МОП],A135,РД[Дата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5" s="146">
        <f>SUMIFS(РД[Стоимость без отделки итог],РД[МОП],A135,РД[Дата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5" s="702">
        <f>COUNTIFS(РД[МОП],A135,РД[Дата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5" s="514"/>
      <c r="F135" s="146"/>
      <c r="G135" s="417"/>
      <c r="H135" s="267">
        <f>SUMIFS(РД[S],РД[МОП],A135,РД[Дата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5" s="549">
        <f>SUMIFS(РД[Стоимость без отделки итог],РД[МОП],A135,РД[Дата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5" s="148">
        <f>COUNTIFS(РД[Тип кв],J$133,РД[МОП],$A135,РД[Дата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5" s="220">
        <f>COUNTIFS(РД[Тип кв],K$133,РД[МОП],$A135,РД[Дата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5" s="220">
        <f>COUNTIFS(РД[Тип кв],L$133,РД[МОП],$A135,РД[Дата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5" s="220">
        <f>COUNTIFS(РД[Тип кв],M$133,РД[МОП],$A135,РД[Дата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5" s="223">
        <f>COUNTIFS(РД[Тип кв],N$133,РД[МОП],$A135,РД[Дата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5" s="930"/>
      <c r="P135" s="930"/>
      <c r="Q135" s="498"/>
      <c r="R135" s="930"/>
      <c r="S135" s="930"/>
      <c r="T135" s="930"/>
    </row>
    <row r="136" spans="1:21" s="949" customFormat="1">
      <c r="A136" s="981" t="s">
        <v>77</v>
      </c>
      <c r="B136" s="271">
        <f>SUMIFS(РД[S],РД[МОП],A136,РД[Дата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6" s="52">
        <f>SUMIFS(РД[Стоимость без отделки итог],РД[МОП],A136,РД[Дата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6" s="717">
        <f>COUNTIFS(РД[МОП],A136,РД[Дата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6" s="416"/>
      <c r="F136" s="52"/>
      <c r="G136" s="421"/>
      <c r="H136" s="271">
        <f>SUMIFS(РД[S],РД[МОП],A136,РД[Дата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6" s="546">
        <f>SUMIFS(РД[Стоимость без отделки итог],РД[МОП],A136,РД[Дата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6" s="202">
        <f>COUNTIFS(РД[Тип кв],J$133,РД[МОП],$A136,РД[Дата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6" s="226">
        <f>COUNTIFS(РД[Тип кв],K$133,РД[МОП],$A136,РД[Дата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6" s="226">
        <f>COUNTIFS(РД[Тип кв],L$133,РД[МОП],$A136,РД[Дата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6" s="226">
        <f>COUNTIFS(РД[Тип кв],M$133,РД[МОП],$A136,РД[Дата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6" s="227">
        <f>COUNTIFS(РД[Тип кв],N$133,РД[МОП],$A136,РД[Дата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6" s="930"/>
      <c r="P136" s="930"/>
      <c r="Q136" s="498"/>
      <c r="R136" s="930"/>
      <c r="S136" s="930"/>
      <c r="T136" s="930"/>
      <c r="U136" s="931"/>
    </row>
    <row r="137" spans="1:21" s="949" customFormat="1">
      <c r="A137" s="981" t="s">
        <v>1233</v>
      </c>
      <c r="B137" s="271">
        <f>SUMIFS(РД[S],РД[МОП],A137,РД[Дата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7" s="52">
        <f>SUMIFS(РД[Стоимость без отделки итог],РД[МОП],A137,РД[Дата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7" s="717">
        <f>COUNTIFS(РД[МОП],A137,РД[Дата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7" s="416"/>
      <c r="F137" s="52"/>
      <c r="G137" s="421"/>
      <c r="H137" s="271">
        <f>SUMIFS(РД[S],РД[МОП],A137,РД[Дата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7" s="546">
        <f>SUMIFS(РД[Стоимость без отделки итог],РД[МОП],A137,РД[Дата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7" s="202">
        <f>COUNTIFS(РД[Тип кв],J$133,РД[МОП],$A137,РД[Дата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7" s="226">
        <f>COUNTIFS(РД[Тип кв],K$133,РД[МОП],$A137,РД[Дата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7" s="226">
        <f>COUNTIFS(РД[Тип кв],L$133,РД[МОП],$A137,РД[Дата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7" s="226">
        <f>COUNTIFS(РД[Тип кв],M$133,РД[МОП],$A137,РД[Дата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7" s="227">
        <f>COUNTIFS(РД[Тип кв],N$133,РД[МОП],$A137,РД[Дата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7" s="930"/>
      <c r="P137" s="930"/>
      <c r="Q137" s="498"/>
      <c r="R137" s="930"/>
      <c r="S137" s="930"/>
      <c r="T137" s="930"/>
      <c r="U137" s="931"/>
    </row>
    <row r="138" spans="1:21" s="949" customFormat="1">
      <c r="A138" s="982" t="s">
        <v>29</v>
      </c>
      <c r="B138" s="516">
        <f>SUMIFS(РД[S],РД[МОП],A138,РД[Дата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8" s="554">
        <f>SUMIFS(РД[Стоимость без отделки итог],РД[МОП],A138,РД[Дата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8" s="695">
        <f>COUNTIFS(РД[МОП],A138,РД[Дата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8" s="329">
        <f>SUMIFS(февр231411[м2],февр231411[МОП],$A138,февр231411[№ дома],$C$83)</f>
        <v>0</v>
      </c>
      <c r="F138" s="958">
        <f>SUMIFS(февр231411[сумма без отделки],февр231411[МОП],$A138,февр231411[№ дома],$C$83)</f>
        <v>0</v>
      </c>
      <c r="G138" s="959">
        <f>COUNTIFS(февр231411[МОП],$A138,февр231411[№ дома],$C$83)</f>
        <v>0</v>
      </c>
      <c r="H138" s="516">
        <f>SUMIFS(РД[S],РД[МОП],A138,РД[Дата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8" s="1002">
        <f>SUMIFS(РД[Стоимость без отделки итог],РД[МОП],A138,РД[Дата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8" s="195">
        <f>COUNTIFS(РД[Тип кв],J$133,РД[МОП],$A138,РД[Дата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8" s="251">
        <f>COUNTIFS(РД[Тип кв],K$133,РД[МОП],$A138,РД[Дата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8" s="251">
        <f>COUNTIFS(РД[Тип кв],L$133,РД[МОП],$A138,РД[Дата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8" s="251">
        <f>COUNTIFS(РД[Тип кв],M$133,РД[МОП],$A138,РД[Дата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8" s="254">
        <f>COUNTIFS(РД[Тип кв],N$133,РД[МОП],$A138,РД[Дата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8" s="930"/>
      <c r="P138" s="930"/>
      <c r="Q138" s="498"/>
      <c r="R138" s="930"/>
      <c r="S138" s="930"/>
      <c r="T138" s="930"/>
      <c r="U138" s="931"/>
    </row>
    <row r="139" spans="1:21" s="949" customFormat="1">
      <c r="A139" s="984" t="s">
        <v>114</v>
      </c>
      <c r="B139" s="323">
        <f t="shared" ref="B139:N139" si="20">SUM(B134:B138)</f>
        <v>0</v>
      </c>
      <c r="C139" s="429">
        <f t="shared" si="20"/>
        <v>0</v>
      </c>
      <c r="D139" s="319">
        <f t="shared" si="20"/>
        <v>0</v>
      </c>
      <c r="E139" s="428">
        <f t="shared" si="20"/>
        <v>0</v>
      </c>
      <c r="F139" s="429">
        <f t="shared" si="20"/>
        <v>0</v>
      </c>
      <c r="G139" s="322">
        <f t="shared" si="20"/>
        <v>0</v>
      </c>
      <c r="H139" s="323">
        <f t="shared" si="20"/>
        <v>0</v>
      </c>
      <c r="I139" s="324">
        <f t="shared" si="20"/>
        <v>0</v>
      </c>
      <c r="J139" s="284">
        <f t="shared" si="20"/>
        <v>0</v>
      </c>
      <c r="K139" s="285">
        <f t="shared" si="20"/>
        <v>0</v>
      </c>
      <c r="L139" s="285">
        <f t="shared" si="20"/>
        <v>0</v>
      </c>
      <c r="M139" s="285">
        <f t="shared" si="20"/>
        <v>0</v>
      </c>
      <c r="N139" s="305">
        <f t="shared" si="20"/>
        <v>0</v>
      </c>
      <c r="O139" s="930"/>
      <c r="P139" s="930"/>
      <c r="Q139" s="498"/>
      <c r="R139" s="930"/>
      <c r="S139" s="930"/>
      <c r="T139" s="930"/>
      <c r="U139" s="931"/>
    </row>
    <row r="140" spans="1:21" s="949" customFormat="1">
      <c r="A140" s="725" t="s">
        <v>115</v>
      </c>
      <c r="B140" s="706" t="s">
        <v>101</v>
      </c>
      <c r="C140" s="726" t="s">
        <v>98</v>
      </c>
      <c r="D140" s="708" t="s">
        <v>96</v>
      </c>
      <c r="E140" s="486" t="s">
        <v>494</v>
      </c>
      <c r="F140" s="487" t="s">
        <v>495</v>
      </c>
      <c r="G140" s="524" t="s">
        <v>496</v>
      </c>
      <c r="H140" s="489" t="s">
        <v>946</v>
      </c>
      <c r="I140" s="525" t="s">
        <v>947</v>
      </c>
      <c r="J140" s="217">
        <v>0</v>
      </c>
      <c r="K140" s="218">
        <v>1</v>
      </c>
      <c r="L140" s="340">
        <v>2</v>
      </c>
      <c r="M140" s="218">
        <v>3</v>
      </c>
      <c r="N140" s="219" t="s">
        <v>1367</v>
      </c>
      <c r="O140" s="930"/>
      <c r="P140" s="930"/>
      <c r="Q140" s="498"/>
      <c r="R140" s="930"/>
      <c r="S140" s="930"/>
      <c r="T140" s="930"/>
      <c r="U140" s="931"/>
    </row>
    <row r="141" spans="1:21" s="949" customFormat="1">
      <c r="A141" s="985" t="s">
        <v>16</v>
      </c>
      <c r="B141" s="291">
        <f>SUMIFS(РД[S],РД[ИМ],A141,РД[Дата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41" s="292">
        <f>SUMIFS(РД[Стоимость без отделки итог],РД[ИМ],A141,РД[Дата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41" s="694">
        <f>COUNTIFS(РД[ИМ],A141,РД[Дата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41" s="551"/>
      <c r="F141" s="292"/>
      <c r="G141" s="552"/>
      <c r="H141" s="291">
        <f>SUMIFS(РД[S],РД[ИМ],A141,РД[Дата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41" s="312">
        <f>SUMIFS(РД[Стоимость без отделки итог],РД[ИМ],A141,РД[Дата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41" s="346">
        <f>COUNTIFS(РД[Тип кв],J$133,РД[ИМ],$A141,РД[Дата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41" s="243">
        <f>COUNTIFS(РД[Тип кв],K$133,РД[ИМ],$A141,РД[Дата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41" s="243">
        <f>COUNTIFS(РД[Тип кв],L$133,РД[ИМ],$A141,РД[Дата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41" s="243">
        <f>COUNTIFS(РД[Тип кв],M$133,РД[ИМ],$A141,РД[Дата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41" s="246">
        <f>COUNTIFS(РД[Тип кв],N$133,РД[ИМ],$A141,РД[Дата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41" s="930"/>
      <c r="P141" s="930"/>
      <c r="Q141" s="498"/>
      <c r="R141" s="930"/>
      <c r="S141" s="930"/>
      <c r="T141" s="930"/>
      <c r="U141" s="931"/>
    </row>
    <row r="142" spans="1:21" s="949" customFormat="1">
      <c r="A142" s="982" t="s">
        <v>22</v>
      </c>
      <c r="B142" s="516">
        <f>SUMIFS(РД[S],РД[ИМ],A142,РД[Дата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42" s="554">
        <f>SUMIFS(РД[Стоимость без отделки итог],РД[ИМ],A142,РД[Дата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42" s="695">
        <f>COUNTIFS(РД[ИМ],A142,РД[Дата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42" s="553"/>
      <c r="F142" s="554"/>
      <c r="G142" s="555"/>
      <c r="H142" s="516">
        <f>SUMIFS(РД[S],РД[ИМ],A142,РД[Дата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42" s="517">
        <f>SUMIFS(РД[Стоимость без отделки итог],РД[ИМ],A142,РД[Дата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42" s="426">
        <f>COUNTIFS(РД[Тип кв],J$133,РД[ИМ],$A142,РД[Дата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42" s="251">
        <f>COUNTIFS(РД[Тип кв],K$133,РД[ИМ],$A142,РД[Дата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42" s="251">
        <f>COUNTIFS(РД[Тип кв],L$133,РД[ИМ],$A142,РД[Дата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42" s="251">
        <f>COUNTIFS(РД[Тип кв],M$133,РД[ИМ],$A142,РД[Дата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42" s="254">
        <f>COUNTIFS(РД[Тип кв],N$133,РД[ИМ],$A142,РД[Дата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42" s="930"/>
      <c r="P142" s="930"/>
      <c r="Q142" s="498"/>
      <c r="R142" s="930"/>
      <c r="S142" s="930"/>
      <c r="T142" s="930"/>
      <c r="U142" s="931"/>
    </row>
    <row r="143" spans="1:21" s="949" customFormat="1">
      <c r="A143" s="986" t="s">
        <v>114</v>
      </c>
      <c r="B143" s="282">
        <f>SUM(B141:B142)</f>
        <v>0</v>
      </c>
      <c r="C143" s="287">
        <f>SUM(C141:C142)</f>
        <v>0</v>
      </c>
      <c r="D143" s="711">
        <f>SUM(D141:D142)</f>
        <v>0</v>
      </c>
      <c r="E143" s="425">
        <f t="shared" ref="E143:N143" si="21">SUM(E141:E142)</f>
        <v>0</v>
      </c>
      <c r="F143" s="287">
        <f t="shared" si="21"/>
        <v>0</v>
      </c>
      <c r="G143" s="286">
        <f t="shared" si="21"/>
        <v>0</v>
      </c>
      <c r="H143" s="282">
        <f t="shared" si="21"/>
        <v>0</v>
      </c>
      <c r="I143" s="283">
        <f t="shared" si="21"/>
        <v>0</v>
      </c>
      <c r="J143" s="284">
        <f t="shared" si="21"/>
        <v>0</v>
      </c>
      <c r="K143" s="285">
        <f t="shared" si="21"/>
        <v>0</v>
      </c>
      <c r="L143" s="285">
        <f t="shared" si="21"/>
        <v>0</v>
      </c>
      <c r="M143" s="285">
        <f t="shared" si="21"/>
        <v>0</v>
      </c>
      <c r="N143" s="305">
        <f t="shared" si="21"/>
        <v>0</v>
      </c>
      <c r="O143" s="930"/>
      <c r="P143" s="930"/>
      <c r="Q143" s="498"/>
      <c r="R143" s="930"/>
      <c r="S143" s="930"/>
      <c r="T143" s="930"/>
      <c r="U143" s="931"/>
    </row>
    <row r="144" spans="1:21" s="949" customFormat="1">
      <c r="A144" s="65"/>
      <c r="B144" s="65"/>
      <c r="C144" s="65"/>
      <c r="D144" s="65"/>
      <c r="E144" s="65"/>
      <c r="G144" s="65"/>
      <c r="H144" s="65"/>
      <c r="J144" s="65"/>
      <c r="K144" s="65"/>
      <c r="L144" s="65"/>
      <c r="N144" s="65"/>
      <c r="Q144" s="86"/>
      <c r="U144" s="931"/>
    </row>
    <row r="145" spans="1:21" s="949" customFormat="1">
      <c r="Q145" s="86"/>
      <c r="U145" s="931"/>
    </row>
    <row r="146" spans="1:21" s="949" customFormat="1">
      <c r="Q146" s="86"/>
      <c r="U146" s="931"/>
    </row>
    <row r="147" spans="1:21" s="949" customFormat="1">
      <c r="Q147" s="86"/>
      <c r="U147" s="931"/>
    </row>
    <row r="148" spans="1:21" s="949" customFormat="1">
      <c r="Q148" s="86"/>
      <c r="U148" s="931"/>
    </row>
    <row r="149" spans="1:21" s="949" customFormat="1">
      <c r="Q149" s="86"/>
      <c r="U149" s="931"/>
    </row>
    <row r="150" spans="1:21" s="949" customFormat="1">
      <c r="Q150" s="86"/>
      <c r="U150" s="931"/>
    </row>
    <row r="151" spans="1:21" s="949" customFormat="1">
      <c r="Q151" s="86"/>
      <c r="U151" s="931"/>
    </row>
    <row r="152" spans="1:21" s="949" customFormat="1">
      <c r="Q152" s="86"/>
      <c r="U152" s="931"/>
    </row>
    <row r="153" spans="1:21" s="949" customFormat="1">
      <c r="Q153" s="86"/>
      <c r="U153" s="931"/>
    </row>
    <row r="154" spans="1:21" s="949" customFormat="1">
      <c r="Q154" s="86"/>
      <c r="U154" s="931"/>
    </row>
    <row r="155" spans="1:21" s="949" customFormat="1">
      <c r="A155" s="65"/>
      <c r="B155" s="65"/>
      <c r="C155" s="65"/>
      <c r="D155" s="65"/>
      <c r="E155" s="65"/>
      <c r="G155" s="65"/>
      <c r="H155" s="65"/>
      <c r="J155" s="65"/>
      <c r="K155" s="65"/>
      <c r="L155" s="65"/>
      <c r="N155" s="65"/>
      <c r="Q155" s="86"/>
      <c r="U155" s="931"/>
    </row>
    <row r="156" spans="1:21" s="949" customFormat="1">
      <c r="A156" s="65"/>
      <c r="B156" s="65"/>
      <c r="C156" s="65"/>
      <c r="D156" s="65"/>
      <c r="E156" s="65"/>
      <c r="G156" s="65"/>
      <c r="H156" s="65"/>
      <c r="J156" s="65"/>
      <c r="K156" s="65"/>
      <c r="L156" s="65"/>
      <c r="N156" s="65"/>
      <c r="Q156" s="86"/>
      <c r="U156" s="931"/>
    </row>
    <row r="157" spans="1:21" s="949" customFormat="1">
      <c r="A157" s="65"/>
      <c r="B157" s="65"/>
      <c r="C157" s="65"/>
      <c r="D157" s="65"/>
      <c r="E157" s="65"/>
      <c r="G157" s="65"/>
      <c r="H157" s="65"/>
      <c r="J157" s="65"/>
      <c r="K157" s="65"/>
      <c r="L157" s="65"/>
      <c r="N157" s="65"/>
      <c r="Q157" s="86"/>
      <c r="U157" s="931"/>
    </row>
    <row r="158" spans="1:21" s="949" customFormat="1">
      <c r="A158" s="65"/>
      <c r="B158" s="65"/>
      <c r="C158" s="65"/>
      <c r="D158" s="65"/>
      <c r="E158" s="65"/>
      <c r="G158" s="65"/>
      <c r="H158" s="65"/>
      <c r="J158" s="65"/>
      <c r="K158" s="65"/>
      <c r="L158" s="65"/>
      <c r="N158" s="65"/>
      <c r="Q158" s="86"/>
      <c r="U158" s="931"/>
    </row>
    <row r="159" spans="1:21" s="949" customFormat="1">
      <c r="A159" s="65"/>
      <c r="B159" s="65"/>
      <c r="C159" s="65"/>
      <c r="D159" s="65"/>
      <c r="E159" s="65"/>
      <c r="G159" s="65"/>
      <c r="H159" s="65"/>
      <c r="J159" s="65"/>
      <c r="K159" s="65"/>
      <c r="L159" s="65"/>
      <c r="N159" s="65"/>
      <c r="Q159" s="86"/>
      <c r="U159" s="931"/>
    </row>
    <row r="160" spans="1:21" s="949" customFormat="1">
      <c r="A160" s="65"/>
      <c r="B160" s="65"/>
      <c r="C160" s="65"/>
      <c r="D160" s="65"/>
      <c r="E160" s="65"/>
      <c r="G160" s="65"/>
      <c r="H160" s="65"/>
      <c r="J160" s="65"/>
      <c r="K160" s="65"/>
      <c r="L160" s="65"/>
      <c r="N160" s="65"/>
      <c r="Q160" s="86"/>
      <c r="U160" s="931"/>
    </row>
    <row r="161" spans="1:21" s="949" customFormat="1">
      <c r="A161" s="65"/>
      <c r="B161" s="65"/>
      <c r="C161" s="65"/>
      <c r="D161" s="65"/>
      <c r="E161" s="65"/>
      <c r="G161" s="65"/>
      <c r="H161" s="65"/>
      <c r="J161" s="65"/>
      <c r="K161" s="65"/>
      <c r="L161" s="65"/>
      <c r="N161" s="65"/>
      <c r="Q161" s="86"/>
      <c r="U161" s="931"/>
    </row>
    <row r="162" spans="1:21" s="949" customFormat="1">
      <c r="A162" s="65"/>
      <c r="B162" s="65"/>
      <c r="C162" s="65"/>
      <c r="D162" s="65"/>
      <c r="E162" s="65"/>
      <c r="G162" s="65"/>
      <c r="H162" s="65"/>
      <c r="J162" s="65"/>
      <c r="K162" s="65"/>
      <c r="L162" s="65"/>
      <c r="N162" s="65"/>
      <c r="Q162" s="86"/>
      <c r="U162" s="931"/>
    </row>
    <row r="163" spans="1:21" s="949" customFormat="1">
      <c r="A163" s="65"/>
      <c r="B163" s="65"/>
      <c r="C163" s="65"/>
      <c r="D163" s="65"/>
      <c r="E163" s="65"/>
      <c r="G163" s="65"/>
      <c r="H163" s="65"/>
      <c r="J163" s="65"/>
      <c r="K163" s="65"/>
      <c r="L163" s="65"/>
      <c r="N163" s="65"/>
      <c r="Q163" s="86"/>
      <c r="U163" s="931"/>
    </row>
    <row r="164" spans="1:21" s="949" customFormat="1">
      <c r="A164" s="65"/>
      <c r="B164" s="65"/>
      <c r="C164" s="65"/>
      <c r="D164" s="65"/>
      <c r="E164" s="65"/>
      <c r="G164" s="65"/>
      <c r="H164" s="65"/>
      <c r="J164" s="65"/>
      <c r="K164" s="65"/>
      <c r="L164" s="65"/>
      <c r="N164" s="65"/>
      <c r="Q164" s="86"/>
      <c r="U164" s="931"/>
    </row>
    <row r="165" spans="1:21" s="949" customFormat="1">
      <c r="A165" s="65"/>
      <c r="B165" s="65"/>
      <c r="C165" s="65"/>
      <c r="D165" s="65"/>
      <c r="E165" s="65"/>
      <c r="G165" s="65"/>
      <c r="H165" s="65"/>
      <c r="J165" s="65"/>
      <c r="K165" s="65"/>
      <c r="L165" s="65"/>
      <c r="N165" s="65"/>
      <c r="Q165" s="86"/>
      <c r="U165" s="931"/>
    </row>
    <row r="166" spans="1:21" s="949" customFormat="1">
      <c r="A166" s="65"/>
      <c r="B166" s="65"/>
      <c r="C166" s="65"/>
      <c r="D166" s="65"/>
      <c r="E166" s="65"/>
      <c r="G166" s="65"/>
      <c r="H166" s="65"/>
      <c r="J166" s="65"/>
      <c r="K166" s="65"/>
      <c r="L166" s="65"/>
      <c r="N166" s="65"/>
      <c r="Q166" s="86"/>
      <c r="U166" s="931"/>
    </row>
    <row r="167" spans="1:21" s="949" customFormat="1">
      <c r="A167" s="65"/>
      <c r="B167" s="65"/>
      <c r="C167" s="65"/>
      <c r="D167" s="65"/>
      <c r="E167" s="65"/>
      <c r="G167" s="65"/>
      <c r="H167" s="65"/>
      <c r="J167" s="65"/>
      <c r="K167" s="65"/>
      <c r="L167" s="65"/>
      <c r="N167" s="65"/>
      <c r="Q167" s="86"/>
      <c r="U167" s="931"/>
    </row>
    <row r="168" spans="1:21" s="949" customFormat="1">
      <c r="A168" s="65"/>
      <c r="B168" s="65"/>
      <c r="C168" s="65"/>
      <c r="D168" s="65"/>
      <c r="E168" s="65"/>
      <c r="G168" s="65"/>
      <c r="H168" s="65"/>
      <c r="J168" s="65"/>
      <c r="K168" s="65"/>
      <c r="L168" s="65"/>
      <c r="N168" s="65"/>
      <c r="Q168" s="86"/>
      <c r="U168" s="931"/>
    </row>
    <row r="169" spans="1:21" s="949" customFormat="1">
      <c r="A169" s="65"/>
      <c r="B169" s="65"/>
      <c r="C169" s="65"/>
      <c r="D169" s="65"/>
      <c r="E169" s="65"/>
      <c r="G169" s="65"/>
      <c r="H169" s="65"/>
      <c r="J169" s="65"/>
      <c r="K169" s="65"/>
      <c r="L169" s="65"/>
      <c r="N169" s="65"/>
      <c r="Q169" s="86"/>
      <c r="U169" s="931"/>
    </row>
    <row r="170" spans="1:21" s="949" customFormat="1">
      <c r="A170" s="65"/>
      <c r="B170" s="65"/>
      <c r="C170" s="65"/>
      <c r="D170" s="65"/>
      <c r="E170" s="65"/>
      <c r="G170" s="65"/>
      <c r="H170" s="65"/>
      <c r="J170" s="65"/>
      <c r="K170" s="65"/>
      <c r="L170" s="65"/>
      <c r="N170" s="65"/>
      <c r="Q170" s="86"/>
      <c r="U170" s="931"/>
    </row>
    <row r="171" spans="1:21" s="949" customFormat="1">
      <c r="A171" s="65"/>
      <c r="B171" s="65"/>
      <c r="C171" s="65"/>
      <c r="D171" s="65"/>
      <c r="E171" s="65"/>
      <c r="G171" s="65"/>
      <c r="H171" s="65"/>
      <c r="J171" s="65"/>
      <c r="K171" s="65"/>
      <c r="L171" s="65"/>
      <c r="N171" s="65"/>
      <c r="Q171" s="86"/>
      <c r="U171" s="931"/>
    </row>
    <row r="172" spans="1:21" s="949" customFormat="1">
      <c r="A172" s="65"/>
      <c r="B172" s="65"/>
      <c r="C172" s="65"/>
      <c r="D172" s="65"/>
      <c r="E172" s="65"/>
      <c r="G172" s="65"/>
      <c r="H172" s="65"/>
      <c r="J172" s="65"/>
      <c r="K172" s="65"/>
      <c r="L172" s="65"/>
      <c r="N172" s="65"/>
      <c r="Q172" s="86"/>
      <c r="U172" s="931"/>
    </row>
    <row r="173" spans="1:21" s="949" customFormat="1">
      <c r="A173" s="65"/>
      <c r="B173" s="65"/>
      <c r="C173" s="65"/>
      <c r="D173" s="65"/>
      <c r="E173" s="65"/>
      <c r="G173" s="65"/>
      <c r="H173" s="65"/>
      <c r="J173" s="65"/>
      <c r="K173" s="65"/>
      <c r="L173" s="65"/>
      <c r="N173" s="65"/>
      <c r="Q173" s="86"/>
      <c r="U173" s="931"/>
    </row>
    <row r="174" spans="1:21" s="949" customFormat="1">
      <c r="A174" s="65"/>
      <c r="B174" s="65"/>
      <c r="C174" s="65"/>
      <c r="D174" s="65"/>
      <c r="E174" s="65"/>
      <c r="G174" s="65"/>
      <c r="H174" s="65"/>
      <c r="J174" s="65"/>
      <c r="K174" s="65"/>
      <c r="L174" s="65"/>
      <c r="N174" s="65"/>
      <c r="Q174" s="86"/>
      <c r="U174" s="931"/>
    </row>
    <row r="175" spans="1:21" s="949" customFormat="1">
      <c r="A175" s="65"/>
      <c r="B175" s="65"/>
      <c r="C175" s="65"/>
      <c r="D175" s="65"/>
      <c r="E175" s="65"/>
      <c r="G175" s="65"/>
      <c r="H175" s="65"/>
      <c r="J175" s="65"/>
      <c r="K175" s="65"/>
      <c r="L175" s="65"/>
      <c r="N175" s="65"/>
      <c r="Q175" s="86"/>
      <c r="U175" s="931"/>
    </row>
    <row r="176" spans="1:21" s="949" customFormat="1">
      <c r="A176" s="65"/>
      <c r="B176" s="65"/>
      <c r="C176" s="65"/>
      <c r="D176" s="65"/>
      <c r="E176" s="65"/>
      <c r="G176" s="65"/>
      <c r="H176" s="65"/>
      <c r="J176" s="65"/>
      <c r="K176" s="65"/>
      <c r="L176" s="65"/>
      <c r="N176" s="65"/>
      <c r="Q176" s="86"/>
      <c r="U176" s="931"/>
    </row>
    <row r="177" spans="1:21" s="949" customFormat="1">
      <c r="A177" s="65"/>
      <c r="B177" s="65"/>
      <c r="C177" s="65"/>
      <c r="D177" s="65"/>
      <c r="E177" s="65"/>
      <c r="G177" s="65"/>
      <c r="H177" s="65"/>
      <c r="J177" s="65"/>
      <c r="K177" s="65"/>
      <c r="L177" s="65"/>
      <c r="N177" s="65"/>
      <c r="Q177" s="86"/>
      <c r="U177" s="931"/>
    </row>
    <row r="178" spans="1:21" s="949" customFormat="1">
      <c r="A178" s="65"/>
      <c r="B178" s="65"/>
      <c r="C178" s="65"/>
      <c r="D178" s="65"/>
      <c r="E178" s="65"/>
      <c r="G178" s="65"/>
      <c r="H178" s="65"/>
      <c r="J178" s="65"/>
      <c r="K178" s="65"/>
      <c r="L178" s="65"/>
      <c r="N178" s="65"/>
      <c r="Q178" s="86"/>
      <c r="U178" s="931"/>
    </row>
    <row r="179" spans="1:21" s="949" customFormat="1">
      <c r="A179" s="65"/>
      <c r="B179" s="65"/>
      <c r="C179" s="65"/>
      <c r="D179" s="65"/>
      <c r="E179" s="65"/>
      <c r="G179" s="65"/>
      <c r="H179" s="65"/>
      <c r="J179" s="65"/>
      <c r="K179" s="65"/>
      <c r="L179" s="65"/>
      <c r="N179" s="65"/>
      <c r="Q179" s="86"/>
      <c r="U179" s="931"/>
    </row>
    <row r="180" spans="1:21" s="949" customFormat="1">
      <c r="A180" s="65"/>
      <c r="B180" s="65"/>
      <c r="C180" s="65"/>
      <c r="D180" s="65"/>
      <c r="E180" s="65"/>
      <c r="G180" s="65"/>
      <c r="H180" s="65"/>
      <c r="J180" s="65"/>
      <c r="K180" s="65"/>
      <c r="L180" s="65"/>
      <c r="N180" s="65"/>
      <c r="Q180" s="86"/>
      <c r="U180" s="931"/>
    </row>
    <row r="181" spans="1:21" s="949" customFormat="1">
      <c r="A181" s="65"/>
      <c r="B181" s="65"/>
      <c r="C181" s="65"/>
      <c r="D181" s="65"/>
      <c r="E181" s="65"/>
      <c r="G181" s="65"/>
      <c r="H181" s="65"/>
      <c r="J181" s="65"/>
      <c r="K181" s="65"/>
      <c r="L181" s="65"/>
      <c r="N181" s="65"/>
      <c r="Q181" s="86"/>
      <c r="U181" s="931"/>
    </row>
    <row r="182" spans="1:21" s="949" customFormat="1">
      <c r="A182" s="65"/>
      <c r="B182" s="65"/>
      <c r="C182" s="65"/>
      <c r="D182" s="65"/>
      <c r="E182" s="65"/>
      <c r="G182" s="65"/>
      <c r="H182" s="65"/>
      <c r="J182" s="65"/>
      <c r="K182" s="65"/>
      <c r="L182" s="65"/>
      <c r="N182" s="65"/>
      <c r="Q182" s="86"/>
      <c r="U182" s="931"/>
    </row>
    <row r="183" spans="1:21" s="949" customFormat="1">
      <c r="A183" s="65"/>
      <c r="B183" s="65"/>
      <c r="C183" s="65"/>
      <c r="D183" s="65"/>
      <c r="E183" s="65"/>
      <c r="G183" s="65"/>
      <c r="H183" s="65"/>
      <c r="J183" s="65"/>
      <c r="K183" s="65"/>
      <c r="L183" s="65"/>
      <c r="N183" s="65"/>
      <c r="Q183" s="86"/>
      <c r="U183" s="931"/>
    </row>
    <row r="184" spans="1:21" s="949" customFormat="1">
      <c r="A184" s="65"/>
      <c r="B184" s="65"/>
      <c r="C184" s="65"/>
      <c r="D184" s="65"/>
      <c r="E184" s="65"/>
      <c r="G184" s="65"/>
      <c r="H184" s="65"/>
      <c r="J184" s="65"/>
      <c r="K184" s="65"/>
      <c r="L184" s="65"/>
      <c r="N184" s="65"/>
      <c r="Q184" s="86"/>
      <c r="U184" s="931"/>
    </row>
    <row r="185" spans="1:21" s="949" customFormat="1">
      <c r="A185" s="65"/>
      <c r="B185" s="65"/>
      <c r="C185" s="65"/>
      <c r="D185" s="65"/>
      <c r="E185" s="65"/>
      <c r="G185" s="65"/>
      <c r="H185" s="65"/>
      <c r="J185" s="65"/>
      <c r="K185" s="65"/>
      <c r="L185" s="65"/>
      <c r="N185" s="65"/>
      <c r="Q185" s="86"/>
      <c r="U185" s="931"/>
    </row>
    <row r="186" spans="1:21" s="949" customFormat="1">
      <c r="A186" s="65"/>
      <c r="B186" s="65"/>
      <c r="C186" s="65"/>
      <c r="D186" s="65"/>
      <c r="E186" s="65"/>
      <c r="G186" s="65"/>
      <c r="H186" s="65"/>
      <c r="J186" s="65"/>
      <c r="K186" s="65"/>
      <c r="L186" s="65"/>
      <c r="N186" s="65"/>
      <c r="Q186" s="86"/>
      <c r="U186" s="931"/>
    </row>
    <row r="187" spans="1:21" s="949" customFormat="1">
      <c r="A187" s="65"/>
      <c r="B187" s="65"/>
      <c r="C187" s="65"/>
      <c r="D187" s="65"/>
      <c r="E187" s="65"/>
      <c r="G187" s="65"/>
      <c r="H187" s="65"/>
      <c r="J187" s="65"/>
      <c r="K187" s="65"/>
      <c r="L187" s="65"/>
      <c r="N187" s="65"/>
      <c r="Q187" s="86"/>
      <c r="U187" s="931"/>
    </row>
    <row r="188" spans="1:21" s="949" customFormat="1">
      <c r="A188" s="65"/>
      <c r="B188" s="65"/>
      <c r="C188" s="65"/>
      <c r="D188" s="65"/>
      <c r="E188" s="65"/>
      <c r="G188" s="65"/>
      <c r="H188" s="65"/>
      <c r="J188" s="65"/>
      <c r="K188" s="65"/>
      <c r="L188" s="65"/>
      <c r="N188" s="65"/>
      <c r="Q188" s="86"/>
      <c r="U188" s="931"/>
    </row>
    <row r="189" spans="1:21" s="949" customFormat="1">
      <c r="A189" s="65"/>
      <c r="B189" s="65"/>
      <c r="C189" s="65"/>
      <c r="D189" s="65"/>
      <c r="E189" s="65"/>
      <c r="G189" s="65"/>
      <c r="H189" s="65"/>
      <c r="J189" s="65"/>
      <c r="K189" s="65"/>
      <c r="L189" s="65"/>
      <c r="N189" s="65"/>
      <c r="Q189" s="86"/>
      <c r="U189" s="931"/>
    </row>
    <row r="190" spans="1:21" s="949" customFormat="1">
      <c r="A190" s="65"/>
      <c r="B190" s="65"/>
      <c r="C190" s="65"/>
      <c r="D190" s="65"/>
      <c r="E190" s="65"/>
      <c r="G190" s="65"/>
      <c r="H190" s="65"/>
      <c r="J190" s="65"/>
      <c r="K190" s="65"/>
      <c r="L190" s="65"/>
      <c r="N190" s="65"/>
      <c r="Q190" s="86"/>
      <c r="U190" s="931"/>
    </row>
    <row r="191" spans="1:21" s="949" customFormat="1">
      <c r="A191" s="65"/>
      <c r="B191" s="65"/>
      <c r="C191" s="65"/>
      <c r="D191" s="65"/>
      <c r="E191" s="65"/>
      <c r="G191" s="65"/>
      <c r="H191" s="65"/>
      <c r="J191" s="65"/>
      <c r="K191" s="65"/>
      <c r="L191" s="65"/>
      <c r="N191" s="65"/>
      <c r="Q191" s="86"/>
      <c r="U191" s="931"/>
    </row>
    <row r="192" spans="1:21" s="949" customFormat="1">
      <c r="A192" s="65"/>
      <c r="B192" s="65"/>
      <c r="C192" s="65"/>
      <c r="D192" s="65"/>
      <c r="E192" s="65"/>
      <c r="G192" s="65"/>
      <c r="H192" s="65"/>
      <c r="J192" s="65"/>
      <c r="K192" s="65"/>
      <c r="L192" s="65"/>
      <c r="N192" s="65"/>
      <c r="Q192" s="86"/>
      <c r="U192" s="931"/>
    </row>
    <row r="193" spans="1:21" s="949" customFormat="1">
      <c r="A193" s="65"/>
      <c r="B193" s="65"/>
      <c r="C193" s="65"/>
      <c r="D193" s="65"/>
      <c r="E193" s="65"/>
      <c r="G193" s="65"/>
      <c r="H193" s="65"/>
      <c r="J193" s="65"/>
      <c r="K193" s="65"/>
      <c r="L193" s="65"/>
      <c r="N193" s="65"/>
      <c r="Q193" s="86"/>
      <c r="U193" s="931"/>
    </row>
    <row r="194" spans="1:21" s="949" customFormat="1">
      <c r="A194" s="65"/>
      <c r="B194" s="65"/>
      <c r="C194" s="65"/>
      <c r="D194" s="65"/>
      <c r="E194" s="65"/>
      <c r="G194" s="65"/>
      <c r="H194" s="65"/>
      <c r="J194" s="65"/>
      <c r="K194" s="65"/>
      <c r="L194" s="65"/>
      <c r="N194" s="65"/>
      <c r="Q194" s="86"/>
      <c r="U194" s="931"/>
    </row>
    <row r="195" spans="1:21" s="949" customFormat="1">
      <c r="A195" s="65"/>
      <c r="B195" s="65"/>
      <c r="C195" s="65"/>
      <c r="D195" s="65"/>
      <c r="E195" s="65"/>
      <c r="G195" s="65"/>
      <c r="H195" s="65"/>
      <c r="J195" s="65"/>
      <c r="K195" s="65"/>
      <c r="L195" s="65"/>
      <c r="N195" s="65"/>
      <c r="Q195" s="86"/>
      <c r="U195" s="931"/>
    </row>
    <row r="196" spans="1:21" s="949" customFormat="1">
      <c r="A196" s="65"/>
      <c r="B196" s="65"/>
      <c r="C196" s="65"/>
      <c r="D196" s="65"/>
      <c r="E196" s="65"/>
      <c r="G196" s="65"/>
      <c r="H196" s="65"/>
      <c r="J196" s="65"/>
      <c r="K196" s="65"/>
      <c r="L196" s="65"/>
      <c r="N196" s="65"/>
      <c r="Q196" s="86"/>
      <c r="U196" s="931"/>
    </row>
    <row r="197" spans="1:21" s="949" customFormat="1">
      <c r="A197" s="65"/>
      <c r="B197" s="65"/>
      <c r="C197" s="65"/>
      <c r="D197" s="65"/>
      <c r="E197" s="65"/>
      <c r="G197" s="65"/>
      <c r="H197" s="65"/>
      <c r="J197" s="65"/>
      <c r="K197" s="65"/>
      <c r="L197" s="65"/>
      <c r="N197" s="65"/>
      <c r="Q197" s="86"/>
      <c r="U197" s="931"/>
    </row>
    <row r="198" spans="1:21" s="949" customFormat="1">
      <c r="A198" s="65"/>
      <c r="B198" s="65"/>
      <c r="C198" s="65"/>
      <c r="D198" s="65"/>
      <c r="E198" s="65"/>
      <c r="G198" s="65"/>
      <c r="H198" s="65"/>
      <c r="J198" s="65"/>
      <c r="K198" s="65"/>
      <c r="L198" s="65"/>
      <c r="N198" s="65"/>
      <c r="Q198" s="86"/>
      <c r="U198" s="931"/>
    </row>
    <row r="199" spans="1:21" s="949" customFormat="1">
      <c r="A199" s="65"/>
      <c r="B199" s="65"/>
      <c r="C199" s="65"/>
      <c r="D199" s="65"/>
      <c r="E199" s="65"/>
      <c r="G199" s="65"/>
      <c r="H199" s="65"/>
      <c r="J199" s="65"/>
      <c r="K199" s="65"/>
      <c r="L199" s="65"/>
      <c r="N199" s="65"/>
      <c r="Q199" s="86"/>
      <c r="U199" s="931"/>
    </row>
    <row r="200" spans="1:21" s="949" customFormat="1">
      <c r="A200" s="65"/>
      <c r="B200" s="65"/>
      <c r="C200" s="65"/>
      <c r="D200" s="65"/>
      <c r="E200" s="65"/>
      <c r="G200" s="65"/>
      <c r="H200" s="65"/>
      <c r="J200" s="65"/>
      <c r="K200" s="65"/>
      <c r="L200" s="65"/>
      <c r="N200" s="65"/>
      <c r="Q200" s="86"/>
      <c r="U200" s="931"/>
    </row>
    <row r="201" spans="1:21" s="949" customFormat="1">
      <c r="A201" s="65"/>
      <c r="B201" s="65"/>
      <c r="C201" s="65"/>
      <c r="D201" s="65"/>
      <c r="E201" s="65"/>
      <c r="G201" s="65"/>
      <c r="H201" s="65"/>
      <c r="J201" s="65"/>
      <c r="K201" s="65"/>
      <c r="L201" s="65"/>
      <c r="N201" s="65"/>
      <c r="Q201" s="86"/>
      <c r="U201" s="931"/>
    </row>
    <row r="202" spans="1:21" s="949" customFormat="1">
      <c r="A202" s="65"/>
      <c r="B202" s="65"/>
      <c r="C202" s="65"/>
      <c r="D202" s="65"/>
      <c r="E202" s="65"/>
      <c r="G202" s="65"/>
      <c r="H202" s="65"/>
      <c r="J202" s="65"/>
      <c r="K202" s="65"/>
      <c r="L202" s="65"/>
      <c r="N202" s="65"/>
      <c r="Q202" s="86"/>
      <c r="U202" s="931"/>
    </row>
    <row r="203" spans="1:21" s="949" customFormat="1">
      <c r="A203" s="65"/>
      <c r="B203" s="65"/>
      <c r="C203" s="65"/>
      <c r="D203" s="65"/>
      <c r="E203" s="65"/>
      <c r="G203" s="65"/>
      <c r="H203" s="65"/>
      <c r="J203" s="65"/>
      <c r="K203" s="65"/>
      <c r="L203" s="65"/>
      <c r="N203" s="65"/>
      <c r="Q203" s="86"/>
      <c r="U203" s="931"/>
    </row>
    <row r="204" spans="1:21" s="949" customFormat="1">
      <c r="A204" s="65"/>
      <c r="B204" s="65"/>
      <c r="C204" s="65"/>
      <c r="D204" s="65"/>
      <c r="E204" s="65"/>
      <c r="G204" s="65"/>
      <c r="H204" s="65"/>
      <c r="J204" s="65"/>
      <c r="K204" s="65"/>
      <c r="L204" s="65"/>
      <c r="N204" s="65"/>
      <c r="Q204" s="86"/>
      <c r="U204" s="931"/>
    </row>
    <row r="205" spans="1:21" s="949" customFormat="1">
      <c r="A205" s="65"/>
      <c r="B205" s="65"/>
      <c r="C205" s="65"/>
      <c r="D205" s="65"/>
      <c r="E205" s="65"/>
      <c r="G205" s="65"/>
      <c r="H205" s="65"/>
      <c r="J205" s="65"/>
      <c r="K205" s="65"/>
      <c r="L205" s="65"/>
      <c r="N205" s="65"/>
      <c r="Q205" s="86"/>
      <c r="U205" s="931"/>
    </row>
    <row r="206" spans="1:21" s="949" customFormat="1">
      <c r="A206" s="65"/>
      <c r="B206" s="65"/>
      <c r="C206" s="65"/>
      <c r="D206" s="65"/>
      <c r="E206" s="65"/>
      <c r="G206" s="65"/>
      <c r="H206" s="65"/>
      <c r="J206" s="65"/>
      <c r="K206" s="65"/>
      <c r="L206" s="65"/>
      <c r="N206" s="65"/>
      <c r="Q206" s="86"/>
      <c r="U206" s="931"/>
    </row>
    <row r="207" spans="1:21" s="949" customFormat="1">
      <c r="A207" s="65"/>
      <c r="B207" s="65"/>
      <c r="C207" s="65"/>
      <c r="D207" s="65"/>
      <c r="E207" s="65"/>
      <c r="G207" s="65"/>
      <c r="H207" s="65"/>
      <c r="J207" s="65"/>
      <c r="K207" s="65"/>
      <c r="L207" s="65"/>
      <c r="N207" s="65"/>
      <c r="Q207" s="86"/>
      <c r="U207" s="931"/>
    </row>
    <row r="208" spans="1:21" s="949" customFormat="1">
      <c r="A208" s="65"/>
      <c r="B208" s="65"/>
      <c r="C208" s="65"/>
      <c r="D208" s="65"/>
      <c r="E208" s="65"/>
      <c r="G208" s="65"/>
      <c r="H208" s="65"/>
      <c r="J208" s="65"/>
      <c r="K208" s="65"/>
      <c r="L208" s="65"/>
      <c r="N208" s="65"/>
      <c r="Q208" s="86"/>
      <c r="U208" s="931"/>
    </row>
    <row r="209" spans="1:21" s="949" customFormat="1">
      <c r="A209" s="65"/>
      <c r="B209" s="65"/>
      <c r="C209" s="65"/>
      <c r="D209" s="65"/>
      <c r="E209" s="65"/>
      <c r="G209" s="65"/>
      <c r="H209" s="65"/>
      <c r="J209" s="65"/>
      <c r="K209" s="65"/>
      <c r="L209" s="65"/>
      <c r="N209" s="65"/>
      <c r="Q209" s="86"/>
      <c r="U209" s="931"/>
    </row>
    <row r="210" spans="1:21" s="949" customFormat="1">
      <c r="A210" s="65"/>
      <c r="B210" s="65"/>
      <c r="C210" s="65"/>
      <c r="D210" s="65"/>
      <c r="E210" s="65"/>
      <c r="G210" s="65"/>
      <c r="H210" s="65"/>
      <c r="J210" s="65"/>
      <c r="K210" s="65"/>
      <c r="L210" s="65"/>
      <c r="N210" s="65"/>
      <c r="Q210" s="86"/>
      <c r="U210" s="931"/>
    </row>
    <row r="211" spans="1:21" s="949" customFormat="1">
      <c r="A211" s="65"/>
      <c r="B211" s="65"/>
      <c r="C211" s="65"/>
      <c r="D211" s="65"/>
      <c r="E211" s="65"/>
      <c r="G211" s="65"/>
      <c r="H211" s="65"/>
      <c r="J211" s="65"/>
      <c r="K211" s="65"/>
      <c r="L211" s="65"/>
      <c r="N211" s="65"/>
      <c r="Q211" s="86"/>
      <c r="U211" s="931"/>
    </row>
    <row r="212" spans="1:21" s="949" customFormat="1">
      <c r="A212" s="65"/>
      <c r="B212" s="65"/>
      <c r="C212" s="65"/>
      <c r="D212" s="65"/>
      <c r="E212" s="65"/>
      <c r="G212" s="65"/>
      <c r="H212" s="65"/>
      <c r="J212" s="65"/>
      <c r="K212" s="65"/>
      <c r="L212" s="65"/>
      <c r="N212" s="65"/>
      <c r="Q212" s="86"/>
      <c r="U212" s="931"/>
    </row>
    <row r="213" spans="1:21" s="949" customFormat="1">
      <c r="A213" s="65"/>
      <c r="B213" s="65"/>
      <c r="C213" s="65"/>
      <c r="D213" s="65"/>
      <c r="E213" s="65"/>
      <c r="G213" s="65"/>
      <c r="H213" s="65"/>
      <c r="J213" s="65"/>
      <c r="K213" s="65"/>
      <c r="L213" s="65"/>
      <c r="N213" s="65"/>
      <c r="Q213" s="86"/>
      <c r="U213" s="931"/>
    </row>
    <row r="214" spans="1:21" s="949" customFormat="1">
      <c r="A214" s="65"/>
      <c r="B214" s="65"/>
      <c r="C214" s="65"/>
      <c r="D214" s="65"/>
      <c r="E214" s="65"/>
      <c r="G214" s="65"/>
      <c r="H214" s="65"/>
      <c r="J214" s="65"/>
      <c r="K214" s="65"/>
      <c r="L214" s="65"/>
      <c r="N214" s="65"/>
      <c r="Q214" s="86"/>
      <c r="U214" s="931"/>
    </row>
    <row r="215" spans="1:21" s="949" customFormat="1">
      <c r="A215" s="65"/>
      <c r="B215" s="65"/>
      <c r="C215" s="65"/>
      <c r="D215" s="65"/>
      <c r="E215" s="65"/>
      <c r="G215" s="65"/>
      <c r="H215" s="65"/>
      <c r="J215" s="65"/>
      <c r="K215" s="65"/>
      <c r="L215" s="65"/>
      <c r="N215" s="65"/>
      <c r="Q215" s="86"/>
      <c r="U215" s="931"/>
    </row>
    <row r="216" spans="1:21" s="949" customFormat="1">
      <c r="A216" s="65"/>
      <c r="B216" s="65"/>
      <c r="C216" s="65"/>
      <c r="D216" s="65"/>
      <c r="E216" s="65"/>
      <c r="G216" s="65"/>
      <c r="H216" s="65"/>
      <c r="J216" s="65"/>
      <c r="K216" s="65"/>
      <c r="L216" s="65"/>
      <c r="N216" s="65"/>
      <c r="Q216" s="86"/>
      <c r="U216" s="931"/>
    </row>
    <row r="217" spans="1:21" s="949" customFormat="1">
      <c r="A217" s="65"/>
      <c r="B217" s="65"/>
      <c r="C217" s="65"/>
      <c r="D217" s="65"/>
      <c r="E217" s="65"/>
      <c r="G217" s="65"/>
      <c r="H217" s="65"/>
      <c r="J217" s="65"/>
      <c r="K217" s="65"/>
      <c r="L217" s="65"/>
      <c r="N217" s="65"/>
      <c r="Q217" s="86"/>
      <c r="U217" s="931"/>
    </row>
    <row r="218" spans="1:21" s="949" customFormat="1">
      <c r="A218" s="65"/>
      <c r="B218" s="65"/>
      <c r="C218" s="65"/>
      <c r="D218" s="65"/>
      <c r="E218" s="65"/>
      <c r="G218" s="65"/>
      <c r="H218" s="65"/>
      <c r="J218" s="65"/>
      <c r="K218" s="65"/>
      <c r="L218" s="65"/>
      <c r="N218" s="65"/>
      <c r="Q218" s="86"/>
      <c r="U218" s="931"/>
    </row>
    <row r="219" spans="1:21" s="949" customFormat="1">
      <c r="A219" s="65"/>
      <c r="B219" s="65"/>
      <c r="C219" s="65"/>
      <c r="D219" s="65"/>
      <c r="E219" s="65"/>
      <c r="G219" s="65"/>
      <c r="H219" s="65"/>
      <c r="J219" s="65"/>
      <c r="K219" s="65"/>
      <c r="L219" s="65"/>
      <c r="N219" s="65"/>
      <c r="Q219" s="86"/>
      <c r="U219" s="931"/>
    </row>
    <row r="220" spans="1:21" s="949" customFormat="1">
      <c r="A220" s="65"/>
      <c r="B220" s="65"/>
      <c r="C220" s="65"/>
      <c r="D220" s="65"/>
      <c r="E220" s="65"/>
      <c r="G220" s="65"/>
      <c r="H220" s="65"/>
      <c r="J220" s="65"/>
      <c r="K220" s="65"/>
      <c r="L220" s="65"/>
      <c r="N220" s="65"/>
      <c r="Q220" s="86"/>
      <c r="U220" s="931"/>
    </row>
    <row r="221" spans="1:21" s="949" customFormat="1">
      <c r="A221" s="65"/>
      <c r="B221" s="65"/>
      <c r="C221" s="65"/>
      <c r="D221" s="65"/>
      <c r="E221" s="65"/>
      <c r="G221" s="65"/>
      <c r="H221" s="65"/>
      <c r="J221" s="65"/>
      <c r="K221" s="65"/>
      <c r="L221" s="65"/>
      <c r="N221" s="65"/>
      <c r="Q221" s="86"/>
      <c r="U221" s="931"/>
    </row>
    <row r="222" spans="1:21" s="949" customFormat="1">
      <c r="A222" s="65"/>
      <c r="B222" s="65"/>
      <c r="C222" s="65"/>
      <c r="D222" s="65"/>
      <c r="E222" s="65"/>
      <c r="G222" s="65"/>
      <c r="H222" s="65"/>
      <c r="J222" s="65"/>
      <c r="K222" s="65"/>
      <c r="L222" s="65"/>
      <c r="N222" s="65"/>
      <c r="Q222" s="86"/>
      <c r="U222" s="931"/>
    </row>
    <row r="223" spans="1:21" s="949" customFormat="1">
      <c r="A223" s="65"/>
      <c r="B223" s="65"/>
      <c r="C223" s="65"/>
      <c r="D223" s="65"/>
      <c r="E223" s="65"/>
      <c r="G223" s="65"/>
      <c r="H223" s="65"/>
      <c r="J223" s="65"/>
      <c r="K223" s="65"/>
      <c r="L223" s="65"/>
      <c r="N223" s="65"/>
      <c r="Q223" s="86"/>
      <c r="U223" s="931"/>
    </row>
    <row r="224" spans="1:21" s="949" customFormat="1">
      <c r="A224" s="65"/>
      <c r="B224" s="65"/>
      <c r="C224" s="65"/>
      <c r="D224" s="65"/>
      <c r="E224" s="65"/>
      <c r="G224" s="65"/>
      <c r="H224" s="65"/>
      <c r="J224" s="65"/>
      <c r="K224" s="65"/>
      <c r="L224" s="65"/>
      <c r="N224" s="65"/>
      <c r="Q224" s="86"/>
      <c r="U224" s="931"/>
    </row>
    <row r="225" spans="1:21" s="949" customFormat="1">
      <c r="A225" s="65"/>
      <c r="B225" s="65"/>
      <c r="C225" s="65"/>
      <c r="D225" s="65"/>
      <c r="E225" s="65"/>
      <c r="G225" s="65"/>
      <c r="H225" s="65"/>
      <c r="J225" s="65"/>
      <c r="K225" s="65"/>
      <c r="L225" s="65"/>
      <c r="N225" s="65"/>
      <c r="Q225" s="86"/>
      <c r="U225" s="931"/>
    </row>
    <row r="226" spans="1:21" s="949" customFormat="1">
      <c r="A226" s="65"/>
      <c r="B226" s="65"/>
      <c r="C226" s="65"/>
      <c r="D226" s="65"/>
      <c r="E226" s="65"/>
      <c r="G226" s="65"/>
      <c r="H226" s="65"/>
      <c r="J226" s="65"/>
      <c r="K226" s="65"/>
      <c r="L226" s="65"/>
      <c r="N226" s="65"/>
      <c r="Q226" s="86"/>
      <c r="U226" s="931"/>
    </row>
    <row r="227" spans="1:21" s="949" customFormat="1">
      <c r="A227" s="65"/>
      <c r="B227" s="65"/>
      <c r="C227" s="65"/>
      <c r="D227" s="65"/>
      <c r="E227" s="65"/>
      <c r="G227" s="65"/>
      <c r="H227" s="65"/>
      <c r="J227" s="65"/>
      <c r="K227" s="65"/>
      <c r="L227" s="65"/>
      <c r="N227" s="65"/>
      <c r="Q227" s="86"/>
      <c r="U227" s="931"/>
    </row>
    <row r="228" spans="1:21" s="949" customFormat="1">
      <c r="A228" s="65"/>
      <c r="B228" s="65"/>
      <c r="C228" s="65"/>
      <c r="D228" s="65"/>
      <c r="E228" s="65"/>
      <c r="G228" s="65"/>
      <c r="H228" s="65"/>
      <c r="J228" s="65"/>
      <c r="K228" s="65"/>
      <c r="L228" s="65"/>
      <c r="N228" s="65"/>
      <c r="Q228" s="86"/>
      <c r="U228" s="931"/>
    </row>
    <row r="229" spans="1:21" s="949" customFormat="1">
      <c r="A229" s="65"/>
      <c r="B229" s="65"/>
      <c r="C229" s="65"/>
      <c r="D229" s="65"/>
      <c r="E229" s="65"/>
      <c r="G229" s="65"/>
      <c r="H229" s="65"/>
      <c r="J229" s="65"/>
      <c r="K229" s="65"/>
      <c r="L229" s="65"/>
      <c r="N229" s="65"/>
      <c r="Q229" s="86"/>
      <c r="U229" s="931"/>
    </row>
    <row r="230" spans="1:21" s="949" customFormat="1">
      <c r="A230" s="65"/>
      <c r="B230" s="65"/>
      <c r="C230" s="65"/>
      <c r="D230" s="65"/>
      <c r="E230" s="65"/>
      <c r="G230" s="65"/>
      <c r="H230" s="65"/>
      <c r="J230" s="65"/>
      <c r="K230" s="65"/>
      <c r="L230" s="65"/>
      <c r="N230" s="65"/>
      <c r="Q230" s="86"/>
      <c r="U230" s="931"/>
    </row>
    <row r="231" spans="1:21" s="949" customFormat="1">
      <c r="A231" s="65"/>
      <c r="B231" s="65"/>
      <c r="C231" s="65"/>
      <c r="D231" s="65"/>
      <c r="E231" s="65"/>
      <c r="G231" s="65"/>
      <c r="H231" s="65"/>
      <c r="J231" s="65"/>
      <c r="K231" s="65"/>
      <c r="L231" s="65"/>
      <c r="N231" s="65"/>
      <c r="Q231" s="86"/>
      <c r="U231" s="931"/>
    </row>
    <row r="232" spans="1:21" s="949" customFormat="1">
      <c r="A232" s="65"/>
      <c r="B232" s="65"/>
      <c r="C232" s="65"/>
      <c r="D232" s="65"/>
      <c r="E232" s="65"/>
      <c r="G232" s="65"/>
      <c r="H232" s="65"/>
      <c r="J232" s="65"/>
      <c r="K232" s="65"/>
      <c r="L232" s="65"/>
      <c r="N232" s="65"/>
      <c r="Q232" s="86"/>
      <c r="U232" s="931"/>
    </row>
    <row r="233" spans="1:21" s="949" customFormat="1">
      <c r="A233" s="65"/>
      <c r="B233" s="65"/>
      <c r="C233" s="65"/>
      <c r="D233" s="65"/>
      <c r="E233" s="65"/>
      <c r="G233" s="65"/>
      <c r="H233" s="65"/>
      <c r="J233" s="65"/>
      <c r="K233" s="65"/>
      <c r="L233" s="65"/>
      <c r="N233" s="65"/>
      <c r="Q233" s="86"/>
      <c r="U233" s="931"/>
    </row>
    <row r="234" spans="1:21" s="949" customFormat="1">
      <c r="A234" s="65"/>
      <c r="B234" s="65"/>
      <c r="C234" s="65"/>
      <c r="D234" s="65"/>
      <c r="E234" s="65"/>
      <c r="G234" s="65"/>
      <c r="H234" s="65"/>
      <c r="J234" s="65"/>
      <c r="K234" s="65"/>
      <c r="L234" s="65"/>
      <c r="N234" s="65"/>
      <c r="Q234" s="86"/>
      <c r="U234" s="931"/>
    </row>
    <row r="235" spans="1:21" s="949" customFormat="1">
      <c r="A235" s="65"/>
      <c r="B235" s="65"/>
      <c r="C235" s="65"/>
      <c r="D235" s="65"/>
      <c r="E235" s="65"/>
      <c r="G235" s="65"/>
      <c r="H235" s="65"/>
      <c r="J235" s="65"/>
      <c r="K235" s="65"/>
      <c r="L235" s="65"/>
      <c r="N235" s="65"/>
      <c r="Q235" s="86"/>
      <c r="U235" s="931"/>
    </row>
    <row r="236" spans="1:21" s="949" customFormat="1">
      <c r="A236" s="65"/>
      <c r="B236" s="65"/>
      <c r="C236" s="65"/>
      <c r="D236" s="65"/>
      <c r="E236" s="65"/>
      <c r="G236" s="65"/>
      <c r="H236" s="65"/>
      <c r="J236" s="65"/>
      <c r="K236" s="65"/>
      <c r="L236" s="65"/>
      <c r="N236" s="65"/>
      <c r="Q236" s="86"/>
      <c r="U236" s="931"/>
    </row>
    <row r="237" spans="1:21" s="949" customFormat="1">
      <c r="A237" s="65"/>
      <c r="B237" s="65"/>
      <c r="C237" s="65"/>
      <c r="D237" s="65"/>
      <c r="E237" s="65"/>
      <c r="G237" s="65"/>
      <c r="H237" s="65"/>
      <c r="J237" s="65"/>
      <c r="K237" s="65"/>
      <c r="L237" s="65"/>
      <c r="N237" s="65"/>
      <c r="Q237" s="86"/>
      <c r="U237" s="931"/>
    </row>
    <row r="238" spans="1:21" s="949" customFormat="1">
      <c r="A238" s="65"/>
      <c r="B238" s="65"/>
      <c r="C238" s="65"/>
      <c r="D238" s="65"/>
      <c r="E238" s="65"/>
      <c r="G238" s="65"/>
      <c r="H238" s="65"/>
      <c r="J238" s="65"/>
      <c r="K238" s="65"/>
      <c r="L238" s="65"/>
      <c r="N238" s="65"/>
      <c r="Q238" s="86"/>
      <c r="U238" s="931"/>
    </row>
    <row r="239" spans="1:21" s="949" customFormat="1">
      <c r="A239" s="65"/>
      <c r="B239" s="65"/>
      <c r="C239" s="65"/>
      <c r="D239" s="65"/>
      <c r="E239" s="65"/>
      <c r="G239" s="65"/>
      <c r="H239" s="65"/>
      <c r="J239" s="65"/>
      <c r="K239" s="65"/>
      <c r="L239" s="65"/>
      <c r="N239" s="65"/>
      <c r="Q239" s="86"/>
      <c r="U239" s="931"/>
    </row>
    <row r="240" spans="1:21" s="949" customFormat="1">
      <c r="A240" s="65"/>
      <c r="B240" s="65"/>
      <c r="C240" s="65"/>
      <c r="D240" s="65"/>
      <c r="E240" s="65"/>
      <c r="G240" s="65"/>
      <c r="H240" s="65"/>
      <c r="J240" s="65"/>
      <c r="K240" s="65"/>
      <c r="L240" s="65"/>
      <c r="N240" s="65"/>
      <c r="Q240" s="86"/>
      <c r="U240" s="931"/>
    </row>
    <row r="241" spans="1:21" s="949" customFormat="1">
      <c r="A241" s="65"/>
      <c r="B241" s="65"/>
      <c r="C241" s="65"/>
      <c r="D241" s="65"/>
      <c r="E241" s="65"/>
      <c r="G241" s="65"/>
      <c r="H241" s="65"/>
      <c r="J241" s="65"/>
      <c r="K241" s="65"/>
      <c r="L241" s="65"/>
      <c r="N241" s="65"/>
      <c r="Q241" s="86"/>
      <c r="U241" s="931"/>
    </row>
    <row r="242" spans="1:21" s="949" customFormat="1">
      <c r="A242" s="65"/>
      <c r="B242" s="65"/>
      <c r="C242" s="65"/>
      <c r="D242" s="65"/>
      <c r="E242" s="65"/>
      <c r="G242" s="65"/>
      <c r="H242" s="65"/>
      <c r="J242" s="65"/>
      <c r="K242" s="65"/>
      <c r="L242" s="65"/>
      <c r="N242" s="65"/>
      <c r="Q242" s="86"/>
      <c r="U242" s="931"/>
    </row>
    <row r="243" spans="1:21" s="949" customFormat="1">
      <c r="A243" s="65"/>
      <c r="B243" s="65"/>
      <c r="C243" s="65"/>
      <c r="D243" s="65"/>
      <c r="E243" s="65"/>
      <c r="G243" s="65"/>
      <c r="H243" s="65"/>
      <c r="J243" s="65"/>
      <c r="K243" s="65"/>
      <c r="L243" s="65"/>
      <c r="N243" s="65"/>
      <c r="Q243" s="86"/>
      <c r="U243" s="931"/>
    </row>
    <row r="244" spans="1:21" s="949" customFormat="1">
      <c r="A244" s="65"/>
      <c r="B244" s="65"/>
      <c r="C244" s="65"/>
      <c r="D244" s="65"/>
      <c r="E244" s="65"/>
      <c r="G244" s="65"/>
      <c r="H244" s="65"/>
      <c r="J244" s="65"/>
      <c r="K244" s="65"/>
      <c r="L244" s="65"/>
      <c r="N244" s="65"/>
      <c r="Q244" s="86"/>
      <c r="U244" s="931"/>
    </row>
    <row r="245" spans="1:21" s="949" customFormat="1">
      <c r="A245" s="65"/>
      <c r="B245" s="65"/>
      <c r="C245" s="65"/>
      <c r="D245" s="65"/>
      <c r="E245" s="65"/>
      <c r="G245" s="65"/>
      <c r="H245" s="65"/>
      <c r="J245" s="65"/>
      <c r="K245" s="65"/>
      <c r="L245" s="65"/>
      <c r="N245" s="65"/>
      <c r="Q245" s="86"/>
      <c r="U245" s="931"/>
    </row>
    <row r="246" spans="1:21" s="949" customFormat="1">
      <c r="A246" s="65"/>
      <c r="B246" s="65"/>
      <c r="C246" s="65"/>
      <c r="D246" s="65"/>
      <c r="E246" s="65"/>
      <c r="G246" s="65"/>
      <c r="H246" s="65"/>
      <c r="J246" s="65"/>
      <c r="K246" s="65"/>
      <c r="L246" s="65"/>
      <c r="N246" s="65"/>
      <c r="Q246" s="86"/>
      <c r="U246" s="931"/>
    </row>
    <row r="247" spans="1:21" s="949" customFormat="1">
      <c r="A247" s="65"/>
      <c r="B247" s="65"/>
      <c r="C247" s="65"/>
      <c r="D247" s="65"/>
      <c r="E247" s="65"/>
      <c r="G247" s="65"/>
      <c r="H247" s="65"/>
      <c r="J247" s="65"/>
      <c r="K247" s="65"/>
      <c r="L247" s="65"/>
      <c r="N247" s="65"/>
      <c r="Q247" s="86"/>
      <c r="U247" s="931"/>
    </row>
    <row r="248" spans="1:21" s="949" customFormat="1">
      <c r="A248" s="65"/>
      <c r="B248" s="65"/>
      <c r="C248" s="65"/>
      <c r="D248" s="65"/>
      <c r="E248" s="65"/>
      <c r="G248" s="65"/>
      <c r="H248" s="65"/>
      <c r="J248" s="65"/>
      <c r="K248" s="65"/>
      <c r="L248" s="65"/>
      <c r="N248" s="65"/>
      <c r="Q248" s="86"/>
      <c r="U248" s="931"/>
    </row>
    <row r="249" spans="1:21" s="949" customFormat="1">
      <c r="A249" s="65"/>
      <c r="B249" s="65"/>
      <c r="C249" s="65"/>
      <c r="D249" s="65"/>
      <c r="E249" s="65"/>
      <c r="G249" s="65"/>
      <c r="H249" s="65"/>
      <c r="J249" s="65"/>
      <c r="K249" s="65"/>
      <c r="L249" s="65"/>
      <c r="N249" s="65"/>
      <c r="Q249" s="86"/>
      <c r="U249" s="931"/>
    </row>
    <row r="250" spans="1:21" s="949" customFormat="1">
      <c r="A250" s="65"/>
      <c r="B250" s="65"/>
      <c r="C250" s="65"/>
      <c r="D250" s="65"/>
      <c r="E250" s="65"/>
      <c r="G250" s="65"/>
      <c r="H250" s="65"/>
      <c r="J250" s="65"/>
      <c r="K250" s="65"/>
      <c r="L250" s="65"/>
      <c r="N250" s="65"/>
      <c r="Q250" s="86"/>
      <c r="U250" s="931"/>
    </row>
    <row r="251" spans="1:21" s="949" customFormat="1">
      <c r="A251" s="65"/>
      <c r="B251" s="65"/>
      <c r="C251" s="65"/>
      <c r="D251" s="65"/>
      <c r="E251" s="65"/>
      <c r="G251" s="65"/>
      <c r="H251" s="65"/>
      <c r="J251" s="65"/>
      <c r="K251" s="65"/>
      <c r="L251" s="65"/>
      <c r="N251" s="65"/>
      <c r="Q251" s="86"/>
      <c r="U251" s="931"/>
    </row>
    <row r="252" spans="1:21" s="949" customFormat="1">
      <c r="A252" s="65"/>
      <c r="B252" s="65"/>
      <c r="C252" s="65"/>
      <c r="D252" s="65"/>
      <c r="E252" s="65"/>
      <c r="G252" s="65"/>
      <c r="H252" s="65"/>
      <c r="J252" s="65"/>
      <c r="K252" s="65"/>
      <c r="L252" s="65"/>
      <c r="N252" s="65"/>
      <c r="Q252" s="86"/>
      <c r="U252" s="931"/>
    </row>
    <row r="253" spans="1:21" s="949" customFormat="1">
      <c r="A253" s="65"/>
      <c r="B253" s="65"/>
      <c r="C253" s="65"/>
      <c r="D253" s="65"/>
      <c r="E253" s="65"/>
      <c r="G253" s="65"/>
      <c r="H253" s="65"/>
      <c r="J253" s="65"/>
      <c r="K253" s="65"/>
      <c r="L253" s="65"/>
      <c r="N253" s="65"/>
      <c r="Q253" s="86"/>
      <c r="U253" s="931"/>
    </row>
    <row r="254" spans="1:21" s="949" customFormat="1">
      <c r="A254" s="65"/>
      <c r="B254" s="65"/>
      <c r="C254" s="65"/>
      <c r="D254" s="65"/>
      <c r="E254" s="65"/>
      <c r="G254" s="65"/>
      <c r="H254" s="65"/>
      <c r="J254" s="65"/>
      <c r="K254" s="65"/>
      <c r="L254" s="65"/>
      <c r="N254" s="65"/>
      <c r="Q254" s="86"/>
      <c r="U254" s="931"/>
    </row>
    <row r="255" spans="1:21" s="949" customFormat="1">
      <c r="A255" s="65"/>
      <c r="B255" s="65"/>
      <c r="C255" s="65"/>
      <c r="D255" s="65"/>
      <c r="E255" s="65"/>
      <c r="G255" s="65"/>
      <c r="H255" s="65"/>
      <c r="J255" s="65"/>
      <c r="K255" s="65"/>
      <c r="L255" s="65"/>
      <c r="N255" s="65"/>
      <c r="Q255" s="86"/>
      <c r="U255" s="931"/>
    </row>
    <row r="256" spans="1:21" s="949" customFormat="1">
      <c r="A256" s="65"/>
      <c r="B256" s="65"/>
      <c r="C256" s="65"/>
      <c r="D256" s="65"/>
      <c r="E256" s="65"/>
      <c r="G256" s="65"/>
      <c r="H256" s="65"/>
      <c r="J256" s="65"/>
      <c r="K256" s="65"/>
      <c r="L256" s="65"/>
      <c r="N256" s="65"/>
      <c r="Q256" s="86"/>
      <c r="U256" s="931"/>
    </row>
    <row r="257" spans="1:21" s="949" customFormat="1">
      <c r="A257" s="65"/>
      <c r="B257" s="65"/>
      <c r="C257" s="65"/>
      <c r="D257" s="65"/>
      <c r="E257" s="65"/>
      <c r="G257" s="65"/>
      <c r="H257" s="65"/>
      <c r="J257" s="65"/>
      <c r="K257" s="65"/>
      <c r="L257" s="65"/>
      <c r="N257" s="65"/>
      <c r="Q257" s="86"/>
      <c r="U257" s="931"/>
    </row>
    <row r="258" spans="1:21" s="949" customFormat="1">
      <c r="A258" s="65"/>
      <c r="B258" s="65"/>
      <c r="C258" s="65"/>
      <c r="D258" s="65"/>
      <c r="E258" s="65"/>
      <c r="G258" s="65"/>
      <c r="H258" s="65"/>
      <c r="J258" s="65"/>
      <c r="K258" s="65"/>
      <c r="L258" s="65"/>
      <c r="N258" s="65"/>
      <c r="Q258" s="86"/>
      <c r="U258" s="931"/>
    </row>
    <row r="259" spans="1:21" s="949" customFormat="1">
      <c r="A259" s="65"/>
      <c r="B259" s="65"/>
      <c r="C259" s="65"/>
      <c r="D259" s="65"/>
      <c r="E259" s="65"/>
      <c r="G259" s="65"/>
      <c r="H259" s="65"/>
      <c r="J259" s="65"/>
      <c r="K259" s="65"/>
      <c r="L259" s="65"/>
      <c r="N259" s="65"/>
      <c r="Q259" s="86"/>
      <c r="U259" s="931"/>
    </row>
    <row r="260" spans="1:21" s="949" customFormat="1">
      <c r="A260" s="65"/>
      <c r="B260" s="65"/>
      <c r="C260" s="65"/>
      <c r="D260" s="65"/>
      <c r="E260" s="65"/>
      <c r="G260" s="65"/>
      <c r="H260" s="65"/>
      <c r="J260" s="65"/>
      <c r="K260" s="65"/>
      <c r="L260" s="65"/>
      <c r="N260" s="65"/>
      <c r="Q260" s="86"/>
      <c r="U260" s="931"/>
    </row>
    <row r="261" spans="1:21" s="949" customFormat="1">
      <c r="A261" s="65"/>
      <c r="B261" s="65"/>
      <c r="C261" s="65"/>
      <c r="D261" s="65"/>
      <c r="E261" s="65"/>
      <c r="G261" s="65"/>
      <c r="H261" s="65"/>
      <c r="J261" s="65"/>
      <c r="K261" s="65"/>
      <c r="L261" s="65"/>
      <c r="N261" s="65"/>
      <c r="Q261" s="86"/>
      <c r="U261" s="931"/>
    </row>
    <row r="262" spans="1:21" s="949" customFormat="1">
      <c r="A262" s="65"/>
      <c r="B262" s="65"/>
      <c r="C262" s="65"/>
      <c r="D262" s="65"/>
      <c r="E262" s="65"/>
      <c r="G262" s="65"/>
      <c r="H262" s="65"/>
      <c r="J262" s="65"/>
      <c r="K262" s="65"/>
      <c r="L262" s="65"/>
      <c r="N262" s="65"/>
      <c r="Q262" s="86"/>
      <c r="U262" s="931"/>
    </row>
    <row r="263" spans="1:21" s="949" customFormat="1">
      <c r="A263" s="65"/>
      <c r="B263" s="65"/>
      <c r="C263" s="65"/>
      <c r="D263" s="65"/>
      <c r="E263" s="65"/>
      <c r="G263" s="65"/>
      <c r="H263" s="65"/>
      <c r="J263" s="65"/>
      <c r="K263" s="65"/>
      <c r="L263" s="65"/>
      <c r="N263" s="65"/>
      <c r="Q263" s="86"/>
      <c r="U263" s="931"/>
    </row>
    <row r="264" spans="1:21" s="949" customFormat="1">
      <c r="A264" s="65"/>
      <c r="B264" s="65"/>
      <c r="C264" s="65"/>
      <c r="D264" s="65"/>
      <c r="E264" s="65"/>
      <c r="G264" s="65"/>
      <c r="H264" s="65"/>
      <c r="J264" s="65"/>
      <c r="K264" s="65"/>
      <c r="L264" s="65"/>
      <c r="N264" s="65"/>
      <c r="Q264" s="86"/>
      <c r="U264" s="931"/>
    </row>
    <row r="265" spans="1:21" s="949" customFormat="1">
      <c r="A265" s="65"/>
      <c r="B265" s="65"/>
      <c r="C265" s="65"/>
      <c r="D265" s="65"/>
      <c r="E265" s="65"/>
      <c r="G265" s="65"/>
      <c r="H265" s="65"/>
      <c r="J265" s="65"/>
      <c r="K265" s="65"/>
      <c r="L265" s="65"/>
      <c r="N265" s="65"/>
      <c r="Q265" s="86"/>
      <c r="U265" s="931"/>
    </row>
    <row r="266" spans="1:21" s="949" customFormat="1">
      <c r="A266" s="65"/>
      <c r="B266" s="65"/>
      <c r="C266" s="65"/>
      <c r="D266" s="65"/>
      <c r="E266" s="65"/>
      <c r="G266" s="65"/>
      <c r="H266" s="65"/>
      <c r="J266" s="65"/>
      <c r="K266" s="65"/>
      <c r="L266" s="65"/>
      <c r="N266" s="65"/>
      <c r="Q266" s="86"/>
      <c r="U266" s="931"/>
    </row>
    <row r="267" spans="1:21" s="949" customFormat="1">
      <c r="A267" s="65"/>
      <c r="B267" s="65"/>
      <c r="C267" s="65"/>
      <c r="D267" s="65"/>
      <c r="E267" s="65"/>
      <c r="G267" s="65"/>
      <c r="H267" s="65"/>
      <c r="J267" s="65"/>
      <c r="K267" s="65"/>
      <c r="L267" s="65"/>
      <c r="N267" s="65"/>
      <c r="Q267" s="86"/>
      <c r="U267" s="931"/>
    </row>
    <row r="268" spans="1:21" s="949" customFormat="1">
      <c r="A268" s="65"/>
      <c r="B268" s="65"/>
      <c r="C268" s="65"/>
      <c r="D268" s="65"/>
      <c r="E268" s="65"/>
      <c r="G268" s="65"/>
      <c r="H268" s="65"/>
      <c r="J268" s="65"/>
      <c r="K268" s="65"/>
      <c r="L268" s="65"/>
      <c r="N268" s="65"/>
      <c r="Q268" s="86"/>
      <c r="U268" s="931"/>
    </row>
    <row r="269" spans="1:21" s="949" customFormat="1">
      <c r="A269" s="65"/>
      <c r="B269" s="65"/>
      <c r="C269" s="65"/>
      <c r="D269" s="65"/>
      <c r="E269" s="65"/>
      <c r="G269" s="65"/>
      <c r="H269" s="65"/>
      <c r="J269" s="65"/>
      <c r="K269" s="65"/>
      <c r="L269" s="65"/>
      <c r="N269" s="65"/>
      <c r="Q269" s="86"/>
      <c r="U269" s="931"/>
    </row>
    <row r="270" spans="1:21" s="949" customFormat="1">
      <c r="A270" s="65"/>
      <c r="B270" s="65"/>
      <c r="C270" s="65"/>
      <c r="D270" s="65"/>
      <c r="E270" s="65"/>
      <c r="G270" s="65"/>
      <c r="H270" s="65"/>
      <c r="J270" s="65"/>
      <c r="K270" s="65"/>
      <c r="L270" s="65"/>
      <c r="N270" s="65"/>
      <c r="Q270" s="86"/>
      <c r="U270" s="931"/>
    </row>
    <row r="271" spans="1:21" s="949" customFormat="1">
      <c r="A271" s="65"/>
      <c r="B271" s="65"/>
      <c r="C271" s="65"/>
      <c r="D271" s="65"/>
      <c r="E271" s="65"/>
      <c r="G271" s="65"/>
      <c r="H271" s="65"/>
      <c r="J271" s="65"/>
      <c r="K271" s="65"/>
      <c r="L271" s="65"/>
      <c r="N271" s="65"/>
      <c r="Q271" s="86"/>
      <c r="U271" s="931"/>
    </row>
    <row r="272" spans="1:21" s="949" customFormat="1">
      <c r="A272" s="931"/>
      <c r="B272" s="931"/>
      <c r="C272" s="931"/>
      <c r="D272" s="931"/>
      <c r="E272" s="931"/>
      <c r="F272" s="931"/>
      <c r="G272" s="931"/>
      <c r="H272" s="931"/>
      <c r="I272" s="931"/>
      <c r="J272" s="931"/>
      <c r="K272" s="931"/>
      <c r="L272" s="931"/>
      <c r="M272" s="931"/>
      <c r="N272" s="931"/>
      <c r="O272" s="931"/>
      <c r="P272" s="931"/>
      <c r="Q272" s="931"/>
      <c r="R272" s="931"/>
      <c r="S272" s="931"/>
      <c r="U272" s="931"/>
    </row>
    <row r="273" spans="1:21" s="949" customFormat="1">
      <c r="A273" s="931"/>
      <c r="B273" s="931"/>
      <c r="C273" s="931"/>
      <c r="D273" s="931"/>
      <c r="E273" s="931"/>
      <c r="F273" s="931"/>
      <c r="G273" s="931"/>
      <c r="H273" s="931"/>
      <c r="I273" s="931"/>
      <c r="J273" s="931"/>
      <c r="K273" s="931"/>
      <c r="L273" s="931"/>
      <c r="M273" s="931"/>
      <c r="N273" s="931"/>
      <c r="O273" s="931"/>
      <c r="P273" s="931"/>
      <c r="Q273" s="931"/>
      <c r="R273" s="931"/>
      <c r="S273" s="931"/>
      <c r="U273" s="931"/>
    </row>
  </sheetData>
  <sheetProtection algorithmName="SHA-512" hashValue="eFdItXjQcRI9TyXZ9ZjFDJB5ZBl9UGzAYgz7hPuvztRkNOwf0Iv4WF7WzQgR/SbOEj/K65+xtM5tlWghA/Mctw==" saltValue="TBexCaGY9XOMALMIdU73RA==" spinCount="100000" sheet="1" formatCells="0" formatColumns="0" formatRows="0" sort="0" autoFilter="0" pivotTables="0"/>
  <mergeCells count="7">
    <mergeCell ref="A119:O119"/>
    <mergeCell ref="A132:N132"/>
    <mergeCell ref="A1:S1"/>
    <mergeCell ref="A71:B71"/>
    <mergeCell ref="A83:B83"/>
    <mergeCell ref="A95:B95"/>
    <mergeCell ref="A107:B107"/>
  </mergeCells>
  <pageMargins left="0.25" right="0.25" top="0.75" bottom="0.75" header="0.3" footer="0.3"/>
  <pageSetup paperSize="9" scale="26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D00-000000000000}">
          <x14:formula1>
            <xm:f>Списки!$C$3:$C$4</xm:f>
          </x14:formula1>
          <xm:sqref>D3:D35 D37:D70 R3:S15 R17:S69</xm:sqref>
        </x14:dataValidation>
        <x14:dataValidation type="list" allowBlank="1" showInputMessage="1" showErrorMessage="1" xr:uid="{00000000-0002-0000-1D00-000001000000}">
          <x14:formula1>
            <xm:f>Списки!$D$2:$D$7</xm:f>
          </x14:formula1>
          <xm:sqref>F3:F70</xm:sqref>
        </x14:dataValidation>
        <x14:dataValidation type="list" allowBlank="1" showInputMessage="1" showErrorMessage="1" xr:uid="{00000000-0002-0000-1D00-000002000000}">
          <x14:formula1>
            <xm:f>Списки!$B$2:$B$5</xm:f>
          </x14:formula1>
          <xm:sqref>G3:G70</xm:sqref>
        </x14:dataValidation>
        <x14:dataValidation type="list" allowBlank="1" showInputMessage="1" showErrorMessage="1" xr:uid="{00000000-0002-0000-1D00-000003000000}">
          <x14:formula1>
            <xm:f>Списки!$E$2:$E$7</xm:f>
          </x14:formula1>
          <xm:sqref>H3:H70</xm:sqref>
        </x14:dataValidation>
        <x14:dataValidation type="list" allowBlank="1" showInputMessage="1" showErrorMessage="1" xr:uid="{00000000-0002-0000-1D00-000004000000}">
          <x14:formula1>
            <xm:f>Списки!$G$2:$G$3</xm:f>
          </x14:formula1>
          <xm:sqref>L3:L70</xm:sqref>
        </x14:dataValidation>
        <x14:dataValidation type="list" allowBlank="1" showInputMessage="1" showErrorMessage="1" xr:uid="{00000000-0002-0000-1D00-000005000000}">
          <x14:formula1>
            <xm:f>Списки!$F$2:$F$3</xm:f>
          </x14:formula1>
          <xm:sqref>N3:N5 N7:N70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U265"/>
  <sheetViews>
    <sheetView view="pageBreakPreview" zoomScale="90" zoomScaleNormal="85" workbookViewId="0">
      <pane ySplit="2" topLeftCell="A44" activePane="bottomLeft" state="frozen"/>
      <selection pane="bottomLeft" activeCell="A111" sqref="A111:XFD111"/>
    </sheetView>
  </sheetViews>
  <sheetFormatPr defaultColWidth="12.28515625" defaultRowHeight="12.75" outlineLevelRow="1"/>
  <cols>
    <col min="1" max="1" width="11.7109375" style="931" customWidth="1"/>
    <col min="2" max="2" width="13.5703125" style="931" customWidth="1"/>
    <col min="3" max="3" width="13.85546875" style="931" customWidth="1"/>
    <col min="4" max="5" width="10.5703125" style="931" customWidth="1"/>
    <col min="6" max="6" width="13.5703125" style="931" customWidth="1"/>
    <col min="7" max="7" width="13.140625" style="931" customWidth="1"/>
    <col min="8" max="8" width="9.42578125" style="931" customWidth="1"/>
    <col min="9" max="9" width="12.42578125" style="931" customWidth="1"/>
    <col min="10" max="10" width="9.85546875" style="931" customWidth="1"/>
    <col min="11" max="11" width="16" style="931" customWidth="1"/>
    <col min="12" max="12" width="20.42578125" style="931" customWidth="1"/>
    <col min="13" max="13" width="16.5703125" style="931" customWidth="1"/>
    <col min="14" max="14" width="16.7109375" style="931" customWidth="1"/>
    <col min="15" max="15" width="20.85546875" style="931" customWidth="1"/>
    <col min="16" max="16" width="21" style="931" customWidth="1"/>
    <col min="17" max="17" width="32.5703125" style="931" customWidth="1"/>
    <col min="18" max="18" width="9.5703125" style="931" customWidth="1"/>
    <col min="19" max="19" width="14.28515625" style="931" customWidth="1"/>
    <col min="20" max="20" width="15" style="930" customWidth="1"/>
    <col min="21" max="21" width="1.7109375" style="931" customWidth="1"/>
    <col min="22" max="16384" width="12.28515625" style="931"/>
  </cols>
  <sheetData>
    <row r="1" spans="1:21" ht="15" customHeight="1">
      <c r="A1" s="2297">
        <v>45077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U1" s="931" t="s">
        <v>830</v>
      </c>
    </row>
    <row r="2" spans="1:2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262" t="s">
        <v>578</v>
      </c>
    </row>
    <row r="3" spans="1:21" ht="13.5" customHeight="1" outlineLevel="1">
      <c r="A3" s="62">
        <v>1</v>
      </c>
      <c r="B3" s="75">
        <v>60</v>
      </c>
      <c r="C3" s="75">
        <v>24797</v>
      </c>
      <c r="D3" s="117" t="s">
        <v>77</v>
      </c>
      <c r="E3" s="62">
        <v>56.03</v>
      </c>
      <c r="F3" s="941" t="s">
        <v>25</v>
      </c>
      <c r="G3" s="62" t="s">
        <v>7</v>
      </c>
      <c r="H3" s="62" t="s">
        <v>22</v>
      </c>
      <c r="I3" s="95">
        <v>5166677.58</v>
      </c>
      <c r="J3" s="62">
        <v>2</v>
      </c>
      <c r="K3" s="62" t="s">
        <v>65</v>
      </c>
      <c r="L3" s="62" t="s">
        <v>18</v>
      </c>
      <c r="M3" s="539">
        <v>45062</v>
      </c>
      <c r="N3" s="117" t="s">
        <v>17</v>
      </c>
      <c r="O3" s="62" t="s">
        <v>1469</v>
      </c>
      <c r="P3" s="76" t="s">
        <v>67</v>
      </c>
      <c r="Q3" s="76" t="s">
        <v>67</v>
      </c>
      <c r="R3" s="945" t="s">
        <v>77</v>
      </c>
      <c r="S3" s="945" t="s">
        <v>77</v>
      </c>
      <c r="T3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4326227.58</v>
      </c>
    </row>
    <row r="4" spans="1:21" s="929" customFormat="1" ht="12.75" customHeight="1" outlineLevel="1">
      <c r="A4" s="62">
        <v>2</v>
      </c>
      <c r="B4" s="75">
        <v>117</v>
      </c>
      <c r="C4" s="75">
        <v>22327</v>
      </c>
      <c r="D4" s="117" t="s">
        <v>1233</v>
      </c>
      <c r="E4" s="62">
        <v>54.66</v>
      </c>
      <c r="F4" s="941" t="s">
        <v>25</v>
      </c>
      <c r="G4" s="62" t="s">
        <v>7</v>
      </c>
      <c r="H4" s="62" t="s">
        <v>16</v>
      </c>
      <c r="I4" s="95">
        <v>4826013.3499999996</v>
      </c>
      <c r="J4" s="62">
        <v>2</v>
      </c>
      <c r="K4" s="62" t="s">
        <v>65</v>
      </c>
      <c r="L4" s="62" t="s">
        <v>12</v>
      </c>
      <c r="M4" s="539">
        <v>45072</v>
      </c>
      <c r="N4" s="117" t="s">
        <v>11</v>
      </c>
      <c r="O4" s="62" t="s">
        <v>1470</v>
      </c>
      <c r="P4" s="76" t="s">
        <v>67</v>
      </c>
      <c r="Q4" s="76" t="s">
        <v>67</v>
      </c>
      <c r="R4" s="945" t="s">
        <v>1233</v>
      </c>
      <c r="S4" s="945" t="s">
        <v>1233</v>
      </c>
      <c r="T4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4006113.3499999996</v>
      </c>
    </row>
    <row r="5" spans="1:21" s="929" customFormat="1" outlineLevel="1">
      <c r="A5" s="62">
        <v>3</v>
      </c>
      <c r="B5" s="75">
        <v>100</v>
      </c>
      <c r="C5" s="75">
        <v>24581</v>
      </c>
      <c r="D5" s="117" t="s">
        <v>77</v>
      </c>
      <c r="E5" s="62">
        <v>56.03</v>
      </c>
      <c r="F5" s="941" t="s">
        <v>15</v>
      </c>
      <c r="G5" s="62" t="s">
        <v>7</v>
      </c>
      <c r="H5" s="62" t="s">
        <v>22</v>
      </c>
      <c r="I5" s="95">
        <v>4550347.58</v>
      </c>
      <c r="J5" s="62">
        <v>2</v>
      </c>
      <c r="K5" s="62" t="s">
        <v>65</v>
      </c>
      <c r="L5" s="62" t="s">
        <v>18</v>
      </c>
      <c r="M5" s="92">
        <v>45048</v>
      </c>
      <c r="N5" s="62" t="s">
        <v>17</v>
      </c>
      <c r="O5" s="62" t="s">
        <v>1471</v>
      </c>
      <c r="P5" s="76" t="s">
        <v>67</v>
      </c>
      <c r="Q5" s="76" t="s">
        <v>67</v>
      </c>
      <c r="R5" s="945" t="s">
        <v>77</v>
      </c>
      <c r="S5" s="945" t="s">
        <v>77</v>
      </c>
      <c r="T5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4326227.58</v>
      </c>
    </row>
    <row r="6" spans="1:21" s="929" customFormat="1" ht="12.75" customHeight="1" outlineLevel="1">
      <c r="A6" s="62">
        <v>4</v>
      </c>
      <c r="B6" s="75">
        <v>132</v>
      </c>
      <c r="C6" s="75">
        <v>24929</v>
      </c>
      <c r="D6" s="117" t="s">
        <v>8</v>
      </c>
      <c r="E6" s="62">
        <v>37.81</v>
      </c>
      <c r="F6" s="941" t="s">
        <v>15</v>
      </c>
      <c r="G6" s="62" t="s">
        <v>7</v>
      </c>
      <c r="H6" s="62" t="s">
        <v>16</v>
      </c>
      <c r="I6" s="95">
        <v>3599113.48</v>
      </c>
      <c r="J6" s="62">
        <v>1</v>
      </c>
      <c r="K6" s="62" t="s">
        <v>65</v>
      </c>
      <c r="L6" s="62" t="s">
        <v>18</v>
      </c>
      <c r="M6" s="92">
        <v>45056</v>
      </c>
      <c r="N6" s="62" t="s">
        <v>17</v>
      </c>
      <c r="O6" s="62" t="s">
        <v>1472</v>
      </c>
      <c r="P6" s="76" t="s">
        <v>67</v>
      </c>
      <c r="Q6" s="76" t="s">
        <v>67</v>
      </c>
      <c r="R6" s="945" t="s">
        <v>77</v>
      </c>
      <c r="S6" s="945" t="s">
        <v>8</v>
      </c>
      <c r="T6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3447873.48</v>
      </c>
    </row>
    <row r="7" spans="1:21" s="929" customFormat="1" outlineLevel="1">
      <c r="A7" s="62">
        <v>5</v>
      </c>
      <c r="B7" s="75">
        <v>229</v>
      </c>
      <c r="C7" s="75">
        <v>24934</v>
      </c>
      <c r="D7" s="117" t="s">
        <v>8</v>
      </c>
      <c r="E7" s="62">
        <v>36.700000000000003</v>
      </c>
      <c r="F7" s="941" t="s">
        <v>15</v>
      </c>
      <c r="G7" s="62" t="s">
        <v>7</v>
      </c>
      <c r="H7" s="62" t="s">
        <v>16</v>
      </c>
      <c r="I7" s="95">
        <v>3493453.18</v>
      </c>
      <c r="J7" s="62">
        <v>1</v>
      </c>
      <c r="K7" s="62" t="s">
        <v>65</v>
      </c>
      <c r="L7" s="62" t="s">
        <v>18</v>
      </c>
      <c r="M7" s="92">
        <v>45056</v>
      </c>
      <c r="N7" s="62" t="s">
        <v>17</v>
      </c>
      <c r="O7" s="62" t="s">
        <v>1473</v>
      </c>
      <c r="P7" s="76" t="s">
        <v>67</v>
      </c>
      <c r="Q7" s="76" t="s">
        <v>67</v>
      </c>
      <c r="R7" s="945" t="s">
        <v>8</v>
      </c>
      <c r="S7" s="945" t="s">
        <v>8</v>
      </c>
      <c r="T7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3346653.18</v>
      </c>
    </row>
    <row r="8" spans="1:21" outlineLevel="1">
      <c r="A8" s="62">
        <v>6</v>
      </c>
      <c r="B8" s="75">
        <v>518</v>
      </c>
      <c r="C8" s="75">
        <v>24992</v>
      </c>
      <c r="D8" s="62" t="s">
        <v>8</v>
      </c>
      <c r="E8" s="62">
        <v>44.37</v>
      </c>
      <c r="F8" s="941" t="s">
        <v>25</v>
      </c>
      <c r="G8" s="62" t="s">
        <v>7</v>
      </c>
      <c r="H8" s="62" t="s">
        <v>22</v>
      </c>
      <c r="I8" s="95">
        <v>4595660.46</v>
      </c>
      <c r="J8" s="62">
        <v>1</v>
      </c>
      <c r="K8" s="62" t="s">
        <v>65</v>
      </c>
      <c r="L8" s="62" t="s">
        <v>18</v>
      </c>
      <c r="M8" s="92">
        <v>45061</v>
      </c>
      <c r="N8" s="62" t="s">
        <v>17</v>
      </c>
      <c r="O8" s="62" t="s">
        <v>1474</v>
      </c>
      <c r="P8" s="76" t="s">
        <v>67</v>
      </c>
      <c r="Q8" s="76" t="s">
        <v>67</v>
      </c>
      <c r="R8" s="941" t="s">
        <v>8</v>
      </c>
      <c r="S8" s="941" t="s">
        <v>77</v>
      </c>
      <c r="T8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3930110.46</v>
      </c>
      <c r="U8" s="929"/>
    </row>
    <row r="9" spans="1:21" s="929" customFormat="1" ht="12.75" customHeight="1" outlineLevel="1">
      <c r="A9" s="62">
        <v>7</v>
      </c>
      <c r="B9" s="75">
        <v>288</v>
      </c>
      <c r="C9" s="75">
        <v>24943</v>
      </c>
      <c r="D9" s="62" t="s">
        <v>1233</v>
      </c>
      <c r="E9" s="62">
        <v>72.510000000000005</v>
      </c>
      <c r="F9" s="941" t="s">
        <v>15</v>
      </c>
      <c r="G9" s="62" t="s">
        <v>7</v>
      </c>
      <c r="H9" s="62" t="s">
        <v>22</v>
      </c>
      <c r="I9" s="95">
        <v>5755138.2800000003</v>
      </c>
      <c r="J9" s="62">
        <v>3</v>
      </c>
      <c r="K9" s="62" t="s">
        <v>65</v>
      </c>
      <c r="L9" s="62" t="s">
        <v>18</v>
      </c>
      <c r="M9" s="92">
        <v>45057</v>
      </c>
      <c r="N9" s="62" t="s">
        <v>17</v>
      </c>
      <c r="O9" s="62" t="s">
        <v>1475</v>
      </c>
      <c r="P9" s="76" t="s">
        <v>67</v>
      </c>
      <c r="Q9" s="76" t="s">
        <v>67</v>
      </c>
      <c r="R9" s="941" t="s">
        <v>1233</v>
      </c>
      <c r="S9" s="941" t="s">
        <v>1233</v>
      </c>
      <c r="T9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5465098.2800000003</v>
      </c>
    </row>
    <row r="10" spans="1:21" s="929" customFormat="1" outlineLevel="1">
      <c r="A10" s="62">
        <v>8</v>
      </c>
      <c r="B10" s="75">
        <v>451</v>
      </c>
      <c r="C10" s="75">
        <v>24986</v>
      </c>
      <c r="D10" s="117" t="s">
        <v>77</v>
      </c>
      <c r="E10" s="62">
        <v>56.04</v>
      </c>
      <c r="F10" s="945" t="s">
        <v>15</v>
      </c>
      <c r="G10" s="62" t="s">
        <v>7</v>
      </c>
      <c r="H10" s="62" t="s">
        <v>16</v>
      </c>
      <c r="I10" s="95">
        <v>4637699.4800000004</v>
      </c>
      <c r="J10" s="62">
        <v>2</v>
      </c>
      <c r="K10" s="62" t="s">
        <v>583</v>
      </c>
      <c r="L10" s="62" t="s">
        <v>18</v>
      </c>
      <c r="M10" s="92"/>
      <c r="N10" s="62" t="s">
        <v>17</v>
      </c>
      <c r="O10" s="62" t="s">
        <v>1476</v>
      </c>
      <c r="P10" s="76" t="s">
        <v>1477</v>
      </c>
      <c r="Q10" s="76" t="s">
        <v>67</v>
      </c>
      <c r="R10" s="945" t="s">
        <v>77</v>
      </c>
      <c r="S10" s="945" t="s">
        <v>77</v>
      </c>
      <c r="T10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4413539.4800000004</v>
      </c>
    </row>
    <row r="11" spans="1:21" s="929" customFormat="1" ht="12.75" customHeight="1" outlineLevel="1">
      <c r="A11" s="62">
        <v>9</v>
      </c>
      <c r="B11" s="75">
        <v>295</v>
      </c>
      <c r="C11" s="75">
        <v>25012</v>
      </c>
      <c r="D11" s="117" t="s">
        <v>1207</v>
      </c>
      <c r="E11" s="62">
        <v>72.510000000000005</v>
      </c>
      <c r="F11" s="941" t="s">
        <v>25</v>
      </c>
      <c r="G11" s="62" t="s">
        <v>7</v>
      </c>
      <c r="H11" s="62" t="s">
        <v>22</v>
      </c>
      <c r="I11" s="95">
        <v>6611373.3399999999</v>
      </c>
      <c r="J11" s="62">
        <v>3</v>
      </c>
      <c r="K11" s="62" t="s">
        <v>583</v>
      </c>
      <c r="L11" s="62" t="s">
        <v>18</v>
      </c>
      <c r="M11" s="92">
        <v>45058</v>
      </c>
      <c r="N11" s="62" t="s">
        <v>17</v>
      </c>
      <c r="O11" s="62" t="s">
        <v>1478</v>
      </c>
      <c r="P11" s="76" t="s">
        <v>67</v>
      </c>
      <c r="Q11" s="76" t="s">
        <v>67</v>
      </c>
      <c r="R11" s="945" t="s">
        <v>77</v>
      </c>
      <c r="S11" s="945" t="s">
        <v>77</v>
      </c>
      <c r="T11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5523723.3399999999</v>
      </c>
    </row>
    <row r="12" spans="1:21" s="929" customFormat="1" ht="12.75" customHeight="1" outlineLevel="1">
      <c r="A12" s="62">
        <v>10</v>
      </c>
      <c r="B12" s="75">
        <v>424</v>
      </c>
      <c r="C12" s="75">
        <v>24842</v>
      </c>
      <c r="D12" s="117" t="s">
        <v>77</v>
      </c>
      <c r="E12" s="62">
        <v>56.04</v>
      </c>
      <c r="F12" s="941" t="s">
        <v>15</v>
      </c>
      <c r="G12" s="62" t="s">
        <v>7</v>
      </c>
      <c r="H12" s="62" t="s">
        <v>16</v>
      </c>
      <c r="I12" s="95">
        <v>4637699.4800000004</v>
      </c>
      <c r="J12" s="62">
        <v>2</v>
      </c>
      <c r="K12" s="62" t="s">
        <v>65</v>
      </c>
      <c r="L12" s="62" t="s">
        <v>18</v>
      </c>
      <c r="M12" s="92">
        <v>45058</v>
      </c>
      <c r="N12" s="62" t="s">
        <v>17</v>
      </c>
      <c r="O12" s="941" t="s">
        <v>1479</v>
      </c>
      <c r="P12" s="76" t="s">
        <v>67</v>
      </c>
      <c r="Q12" s="76" t="s">
        <v>67</v>
      </c>
      <c r="R12" s="945" t="s">
        <v>77</v>
      </c>
      <c r="S12" s="945" t="s">
        <v>77</v>
      </c>
      <c r="T12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4413539.4800000004</v>
      </c>
    </row>
    <row r="13" spans="1:21" ht="21" customHeight="1" outlineLevel="1">
      <c r="A13" s="62">
        <v>12</v>
      </c>
      <c r="B13" s="75">
        <v>416</v>
      </c>
      <c r="C13" s="75">
        <v>24957</v>
      </c>
      <c r="D13" s="62" t="s">
        <v>8</v>
      </c>
      <c r="E13" s="62">
        <v>58.62</v>
      </c>
      <c r="F13" s="941" t="s">
        <v>15</v>
      </c>
      <c r="G13" s="62" t="s">
        <v>7</v>
      </c>
      <c r="H13" s="62" t="s">
        <v>16</v>
      </c>
      <c r="I13" s="95">
        <v>4896474.67</v>
      </c>
      <c r="J13" s="62">
        <v>2</v>
      </c>
      <c r="K13" s="62" t="s">
        <v>65</v>
      </c>
      <c r="L13" s="62" t="s">
        <v>18</v>
      </c>
      <c r="M13" s="537">
        <v>45069</v>
      </c>
      <c r="N13" s="62" t="s">
        <v>17</v>
      </c>
      <c r="O13" s="941" t="s">
        <v>1480</v>
      </c>
      <c r="P13" s="76" t="s">
        <v>67</v>
      </c>
      <c r="Q13" s="76" t="s">
        <v>67</v>
      </c>
      <c r="R13" s="941" t="s">
        <v>8</v>
      </c>
      <c r="S13" s="941" t="s">
        <v>8</v>
      </c>
      <c r="T13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4661994.67</v>
      </c>
    </row>
    <row r="14" spans="1:21" s="929" customFormat="1" outlineLevel="1">
      <c r="A14" s="62">
        <v>13</v>
      </c>
      <c r="B14" s="62">
        <v>536</v>
      </c>
      <c r="C14" s="62">
        <v>24132</v>
      </c>
      <c r="D14" s="62" t="s">
        <v>8</v>
      </c>
      <c r="E14" s="62">
        <v>44.37</v>
      </c>
      <c r="F14" s="62" t="s">
        <v>15</v>
      </c>
      <c r="G14" s="62" t="s">
        <v>7</v>
      </c>
      <c r="H14" s="62" t="s">
        <v>22</v>
      </c>
      <c r="I14" s="95">
        <v>4145746.89</v>
      </c>
      <c r="J14" s="62">
        <v>1</v>
      </c>
      <c r="K14" s="62" t="s">
        <v>65</v>
      </c>
      <c r="L14" s="62" t="s">
        <v>18</v>
      </c>
      <c r="M14" s="92">
        <v>45063</v>
      </c>
      <c r="N14" s="62" t="s">
        <v>17</v>
      </c>
      <c r="O14" s="62" t="s">
        <v>1481</v>
      </c>
      <c r="P14" s="62" t="s">
        <v>67</v>
      </c>
      <c r="Q14" s="76" t="s">
        <v>67</v>
      </c>
      <c r="R14" s="945" t="s">
        <v>8</v>
      </c>
      <c r="S14" s="945" t="s">
        <v>8</v>
      </c>
      <c r="T14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3968266.8899999997</v>
      </c>
    </row>
    <row r="15" spans="1:21" s="929" customFormat="1" ht="13.5" customHeight="1" outlineLevel="1">
      <c r="A15" s="62">
        <v>14</v>
      </c>
      <c r="B15" s="62">
        <v>490</v>
      </c>
      <c r="C15" s="62">
        <v>25056</v>
      </c>
      <c r="D15" s="62" t="s">
        <v>1233</v>
      </c>
      <c r="E15" s="62">
        <v>63.74</v>
      </c>
      <c r="F15" s="62" t="s">
        <v>15</v>
      </c>
      <c r="G15" s="62" t="s">
        <v>7</v>
      </c>
      <c r="H15" s="62"/>
      <c r="I15" s="62">
        <v>5069183.5599999996</v>
      </c>
      <c r="J15" s="62">
        <v>2</v>
      </c>
      <c r="K15" s="62" t="s">
        <v>130</v>
      </c>
      <c r="L15" s="62" t="s">
        <v>18</v>
      </c>
      <c r="M15" s="92">
        <v>45064</v>
      </c>
      <c r="N15" s="62" t="s">
        <v>17</v>
      </c>
      <c r="O15" s="62" t="s">
        <v>1482</v>
      </c>
      <c r="P15" s="62" t="s">
        <v>67</v>
      </c>
      <c r="Q15" s="76" t="s">
        <v>67</v>
      </c>
      <c r="R15" s="945" t="s">
        <v>1233</v>
      </c>
      <c r="S15" s="945" t="s">
        <v>1233</v>
      </c>
      <c r="T15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4814223.5599999996</v>
      </c>
    </row>
    <row r="16" spans="1:21" s="929" customFormat="1" ht="12.75" customHeight="1" outlineLevel="1">
      <c r="A16" s="62">
        <v>16</v>
      </c>
      <c r="B16" s="62">
        <v>400</v>
      </c>
      <c r="C16" s="62">
        <v>25044</v>
      </c>
      <c r="D16" s="62" t="s">
        <v>1233</v>
      </c>
      <c r="E16" s="62">
        <v>72.510000000000005</v>
      </c>
      <c r="F16" s="62" t="s">
        <v>15</v>
      </c>
      <c r="G16" s="62" t="s">
        <v>7</v>
      </c>
      <c r="H16" s="62" t="s">
        <v>16</v>
      </c>
      <c r="I16" s="62">
        <v>5911061.8799999999</v>
      </c>
      <c r="J16" s="62">
        <v>3</v>
      </c>
      <c r="K16" s="62" t="s">
        <v>65</v>
      </c>
      <c r="L16" s="62" t="s">
        <v>18</v>
      </c>
      <c r="M16" s="96">
        <v>45075</v>
      </c>
      <c r="N16" s="62" t="s">
        <v>17</v>
      </c>
      <c r="O16" s="62" t="s">
        <v>1483</v>
      </c>
      <c r="P16" s="62" t="s">
        <v>67</v>
      </c>
      <c r="Q16" s="76" t="s">
        <v>67</v>
      </c>
      <c r="R16" s="945" t="s">
        <v>1233</v>
      </c>
      <c r="S16" s="945" t="s">
        <v>1233</v>
      </c>
      <c r="T16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5621021.8799999999</v>
      </c>
    </row>
    <row r="17" spans="1:20" s="929" customFormat="1" ht="12.75" customHeight="1" outlineLevel="1">
      <c r="A17" s="62">
        <v>17</v>
      </c>
      <c r="B17" s="62">
        <v>197</v>
      </c>
      <c r="C17" s="62">
        <v>25052</v>
      </c>
      <c r="D17" s="62" t="s">
        <v>77</v>
      </c>
      <c r="E17" s="62">
        <v>36.700000000000003</v>
      </c>
      <c r="F17" s="62" t="s">
        <v>9</v>
      </c>
      <c r="G17" s="62" t="s">
        <v>7</v>
      </c>
      <c r="H17" s="62" t="s">
        <v>16</v>
      </c>
      <c r="I17" s="62">
        <v>3380763.26</v>
      </c>
      <c r="J17" s="62">
        <v>1</v>
      </c>
      <c r="K17" s="62" t="s">
        <v>65</v>
      </c>
      <c r="L17" s="62" t="s">
        <v>18</v>
      </c>
      <c r="M17" s="96">
        <v>45070</v>
      </c>
      <c r="N17" s="62" t="s">
        <v>17</v>
      </c>
      <c r="O17" s="62" t="s">
        <v>1484</v>
      </c>
      <c r="P17" s="62" t="s">
        <v>67</v>
      </c>
      <c r="Q17" s="76" t="s">
        <v>67</v>
      </c>
      <c r="R17" s="945" t="s">
        <v>77</v>
      </c>
      <c r="S17" s="945" t="s">
        <v>77</v>
      </c>
      <c r="T17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3380763.26</v>
      </c>
    </row>
    <row r="18" spans="1:20" s="929" customFormat="1" ht="12.75" customHeight="1" outlineLevel="1">
      <c r="A18" s="62">
        <v>18</v>
      </c>
      <c r="B18" s="62">
        <v>334</v>
      </c>
      <c r="C18" s="62">
        <v>24988</v>
      </c>
      <c r="D18" s="62" t="s">
        <v>77</v>
      </c>
      <c r="E18" s="62">
        <v>36.450000000000003</v>
      </c>
      <c r="F18" s="62" t="s">
        <v>9</v>
      </c>
      <c r="G18" s="62" t="s">
        <v>7</v>
      </c>
      <c r="H18" s="62" t="s">
        <v>10</v>
      </c>
      <c r="I18" s="62">
        <v>2971817.41</v>
      </c>
      <c r="J18" s="62">
        <v>0</v>
      </c>
      <c r="K18" s="62" t="s">
        <v>130</v>
      </c>
      <c r="L18" s="62" t="s">
        <v>18</v>
      </c>
      <c r="M18" s="92">
        <v>45065</v>
      </c>
      <c r="N18" s="62" t="s">
        <v>17</v>
      </c>
      <c r="O18" s="62" t="s">
        <v>1485</v>
      </c>
      <c r="P18" s="62" t="s">
        <v>67</v>
      </c>
      <c r="Q18" s="76" t="s">
        <v>67</v>
      </c>
      <c r="R18" s="945" t="s">
        <v>77</v>
      </c>
      <c r="S18" s="945" t="s">
        <v>77</v>
      </c>
      <c r="T18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2971817.41</v>
      </c>
    </row>
    <row r="19" spans="1:20" s="929" customFormat="1" ht="12.75" customHeight="1" outlineLevel="1">
      <c r="A19" s="62">
        <v>19</v>
      </c>
      <c r="B19" s="62">
        <v>114</v>
      </c>
      <c r="C19" s="62">
        <v>25062</v>
      </c>
      <c r="D19" s="62" t="s">
        <v>1207</v>
      </c>
      <c r="E19" s="62">
        <v>61.76</v>
      </c>
      <c r="F19" s="62" t="s">
        <v>15</v>
      </c>
      <c r="G19" s="62" t="s">
        <v>7</v>
      </c>
      <c r="H19" s="62" t="s">
        <v>16</v>
      </c>
      <c r="I19" s="62">
        <v>5403817.1900000004</v>
      </c>
      <c r="J19" s="62">
        <v>2</v>
      </c>
      <c r="K19" s="62" t="s">
        <v>65</v>
      </c>
      <c r="L19" s="62" t="s">
        <v>18</v>
      </c>
      <c r="M19" s="92">
        <v>45064</v>
      </c>
      <c r="N19" s="62" t="s">
        <v>17</v>
      </c>
      <c r="O19" s="62" t="s">
        <v>1486</v>
      </c>
      <c r="P19" s="62" t="s">
        <v>67</v>
      </c>
      <c r="Q19" s="76" t="s">
        <v>67</v>
      </c>
      <c r="R19" s="945" t="s">
        <v>77</v>
      </c>
      <c r="S19" s="945" t="s">
        <v>77</v>
      </c>
      <c r="T19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5156777.1900000004</v>
      </c>
    </row>
    <row r="20" spans="1:20" ht="12.75" customHeight="1" outlineLevel="1">
      <c r="A20" s="62">
        <v>20</v>
      </c>
      <c r="B20" s="62">
        <v>185</v>
      </c>
      <c r="C20" s="62">
        <v>25073</v>
      </c>
      <c r="D20" s="62" t="s">
        <v>8</v>
      </c>
      <c r="E20" s="62">
        <v>28.97</v>
      </c>
      <c r="F20" s="62" t="s">
        <v>15</v>
      </c>
      <c r="G20" s="62" t="s">
        <v>7</v>
      </c>
      <c r="H20" s="62" t="s">
        <v>16</v>
      </c>
      <c r="I20" s="95">
        <v>2603728</v>
      </c>
      <c r="J20" s="62">
        <v>0</v>
      </c>
      <c r="K20" s="62" t="s">
        <v>65</v>
      </c>
      <c r="L20" s="62" t="s">
        <v>18</v>
      </c>
      <c r="M20" s="96">
        <v>45070</v>
      </c>
      <c r="N20" s="62" t="s">
        <v>17</v>
      </c>
      <c r="O20" s="62" t="s">
        <v>1487</v>
      </c>
      <c r="P20" s="62" t="s">
        <v>67</v>
      </c>
      <c r="Q20" s="76" t="s">
        <v>67</v>
      </c>
      <c r="R20" s="945" t="s">
        <v>8</v>
      </c>
      <c r="S20" s="945" t="s">
        <v>8</v>
      </c>
      <c r="T20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2487848</v>
      </c>
    </row>
    <row r="21" spans="1:20" s="929" customFormat="1" ht="12.75" customHeight="1" outlineLevel="1">
      <c r="A21" s="62">
        <v>21</v>
      </c>
      <c r="B21" s="75">
        <v>492</v>
      </c>
      <c r="C21" s="75">
        <v>25034</v>
      </c>
      <c r="D21" s="117" t="s">
        <v>8</v>
      </c>
      <c r="E21" s="62">
        <v>39.74</v>
      </c>
      <c r="F21" s="941" t="s">
        <v>9</v>
      </c>
      <c r="G21" s="62" t="s">
        <v>7</v>
      </c>
      <c r="H21" s="62" t="s">
        <v>16</v>
      </c>
      <c r="I21" s="95">
        <v>3660804.69</v>
      </c>
      <c r="J21" s="62">
        <v>1</v>
      </c>
      <c r="K21" s="62" t="s">
        <v>65</v>
      </c>
      <c r="L21" s="62" t="s">
        <v>18</v>
      </c>
      <c r="M21" s="92">
        <v>45077</v>
      </c>
      <c r="N21" s="62" t="s">
        <v>17</v>
      </c>
      <c r="O21" s="62" t="s">
        <v>1488</v>
      </c>
      <c r="P21" s="76" t="s">
        <v>67</v>
      </c>
      <c r="Q21" s="76" t="s">
        <v>67</v>
      </c>
      <c r="R21" s="945" t="s">
        <v>8</v>
      </c>
      <c r="S21" s="945" t="s">
        <v>8</v>
      </c>
      <c r="T21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3660804.69</v>
      </c>
    </row>
    <row r="22" spans="1:20" ht="12.75" customHeight="1" outlineLevel="1">
      <c r="A22" s="62">
        <v>22</v>
      </c>
      <c r="B22" s="75">
        <v>418</v>
      </c>
      <c r="C22" s="75">
        <v>24532</v>
      </c>
      <c r="D22" s="117" t="s">
        <v>8</v>
      </c>
      <c r="E22" s="62">
        <v>63.74</v>
      </c>
      <c r="F22" s="941" t="s">
        <v>9</v>
      </c>
      <c r="G22" s="62" t="s">
        <v>7</v>
      </c>
      <c r="H22" s="62" t="s">
        <v>16</v>
      </c>
      <c r="I22" s="95">
        <v>5069183.5599999996</v>
      </c>
      <c r="J22" s="62">
        <v>2</v>
      </c>
      <c r="K22" s="62" t="s">
        <v>65</v>
      </c>
      <c r="L22" s="62" t="s">
        <v>18</v>
      </c>
      <c r="M22" s="92">
        <v>45071</v>
      </c>
      <c r="N22" s="62" t="s">
        <v>17</v>
      </c>
      <c r="O22" s="76" t="s">
        <v>1489</v>
      </c>
      <c r="P22" s="62" t="s">
        <v>67</v>
      </c>
      <c r="Q22" s="76" t="s">
        <v>67</v>
      </c>
      <c r="R22" s="117" t="s">
        <v>8</v>
      </c>
      <c r="S22" s="117" t="s">
        <v>8</v>
      </c>
      <c r="T22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5069183.5599999996</v>
      </c>
    </row>
    <row r="23" spans="1:20" s="929" customFormat="1" ht="12.75" customHeight="1" outlineLevel="1">
      <c r="A23" s="62">
        <v>23</v>
      </c>
      <c r="B23" s="75">
        <v>71</v>
      </c>
      <c r="C23" s="75">
        <v>25100</v>
      </c>
      <c r="D23" s="117" t="s">
        <v>77</v>
      </c>
      <c r="E23" s="62">
        <v>21.75</v>
      </c>
      <c r="F23" s="941" t="s">
        <v>25</v>
      </c>
      <c r="G23" s="62" t="s">
        <v>7</v>
      </c>
      <c r="H23" s="62" t="s">
        <v>16</v>
      </c>
      <c r="I23" s="95">
        <v>2462619.17</v>
      </c>
      <c r="J23" s="62">
        <v>0</v>
      </c>
      <c r="K23" s="62" t="s">
        <v>65</v>
      </c>
      <c r="L23" s="62" t="s">
        <v>18</v>
      </c>
      <c r="M23" s="537">
        <v>45070</v>
      </c>
      <c r="N23" s="62" t="s">
        <v>17</v>
      </c>
      <c r="O23" s="76" t="s">
        <v>1490</v>
      </c>
      <c r="P23" s="76" t="s">
        <v>67</v>
      </c>
      <c r="Q23" s="76" t="s">
        <v>67</v>
      </c>
      <c r="R23" s="945" t="s">
        <v>77</v>
      </c>
      <c r="S23" s="117" t="s">
        <v>8</v>
      </c>
      <c r="T23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2136369.17</v>
      </c>
    </row>
    <row r="24" spans="1:20" s="929" customFormat="1" ht="15" customHeight="1" outlineLevel="1">
      <c r="A24" s="62">
        <v>24</v>
      </c>
      <c r="B24" s="75">
        <v>223</v>
      </c>
      <c r="C24" s="75">
        <v>25061</v>
      </c>
      <c r="D24" s="62" t="s">
        <v>8</v>
      </c>
      <c r="E24" s="62">
        <v>78.73</v>
      </c>
      <c r="F24" s="941" t="s">
        <v>9</v>
      </c>
      <c r="G24" s="62" t="s">
        <v>7</v>
      </c>
      <c r="H24" s="62" t="s">
        <v>16</v>
      </c>
      <c r="I24" s="95">
        <v>5817628.6900000004</v>
      </c>
      <c r="J24" s="62">
        <v>3</v>
      </c>
      <c r="K24" s="62" t="s">
        <v>65</v>
      </c>
      <c r="L24" s="62" t="s">
        <v>18</v>
      </c>
      <c r="M24" s="537">
        <v>45070</v>
      </c>
      <c r="N24" s="62" t="s">
        <v>17</v>
      </c>
      <c r="O24" s="941" t="s">
        <v>1491</v>
      </c>
      <c r="P24" s="76" t="s">
        <v>67</v>
      </c>
      <c r="Q24" s="76" t="s">
        <v>67</v>
      </c>
      <c r="R24" s="941" t="s">
        <v>8</v>
      </c>
      <c r="S24" s="941" t="s">
        <v>8</v>
      </c>
      <c r="T24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5817628.6900000004</v>
      </c>
    </row>
    <row r="25" spans="1:20" ht="12.75" customHeight="1" outlineLevel="1">
      <c r="A25" s="62">
        <v>25</v>
      </c>
      <c r="B25" s="62">
        <v>528</v>
      </c>
      <c r="C25" s="75">
        <v>24856</v>
      </c>
      <c r="D25" s="62" t="s">
        <v>8</v>
      </c>
      <c r="E25" s="62">
        <v>39.74</v>
      </c>
      <c r="F25" s="941" t="s">
        <v>9</v>
      </c>
      <c r="G25" s="62" t="s">
        <v>7</v>
      </c>
      <c r="H25" s="62" t="s">
        <v>16</v>
      </c>
      <c r="I25" s="95">
        <v>3660804.69</v>
      </c>
      <c r="J25" s="62">
        <v>1</v>
      </c>
      <c r="K25" s="62" t="s">
        <v>65</v>
      </c>
      <c r="L25" s="62" t="s">
        <v>18</v>
      </c>
      <c r="M25" s="942">
        <v>45072</v>
      </c>
      <c r="N25" s="117" t="s">
        <v>17</v>
      </c>
      <c r="O25" s="941" t="s">
        <v>1492</v>
      </c>
      <c r="P25" s="76" t="s">
        <v>67</v>
      </c>
      <c r="Q25" s="76" t="s">
        <v>67</v>
      </c>
      <c r="R25" s="941" t="s">
        <v>8</v>
      </c>
      <c r="S25" s="941" t="s">
        <v>8</v>
      </c>
      <c r="T25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3660804.69</v>
      </c>
    </row>
    <row r="26" spans="1:20" ht="12.75" customHeight="1" outlineLevel="1">
      <c r="A26" s="65">
        <v>26</v>
      </c>
      <c r="B26" s="79">
        <v>25</v>
      </c>
      <c r="C26" s="75">
        <v>25135</v>
      </c>
      <c r="D26" s="117" t="s">
        <v>77</v>
      </c>
      <c r="E26" s="62">
        <v>33.53</v>
      </c>
      <c r="F26" s="62" t="s">
        <v>15</v>
      </c>
      <c r="G26" s="62" t="s">
        <v>7</v>
      </c>
      <c r="H26" s="62" t="s">
        <v>16</v>
      </c>
      <c r="I26" s="91">
        <v>3346416.05</v>
      </c>
      <c r="J26" s="62">
        <v>1</v>
      </c>
      <c r="K26" s="62" t="s">
        <v>65</v>
      </c>
      <c r="L26" s="62" t="s">
        <v>18</v>
      </c>
      <c r="M26" s="537">
        <v>45077</v>
      </c>
      <c r="N26" s="117" t="s">
        <v>17</v>
      </c>
      <c r="O26" s="76" t="s">
        <v>1493</v>
      </c>
      <c r="P26" s="76" t="s">
        <v>67</v>
      </c>
      <c r="Q26" s="76" t="s">
        <v>67</v>
      </c>
      <c r="R26" s="945" t="s">
        <v>77</v>
      </c>
      <c r="S26" s="945" t="s">
        <v>77</v>
      </c>
      <c r="T26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3212296.05</v>
      </c>
    </row>
    <row r="27" spans="1:20" s="929" customFormat="1" ht="12.75" customHeight="1" outlineLevel="1">
      <c r="A27" s="62">
        <v>27</v>
      </c>
      <c r="B27" s="75">
        <v>460</v>
      </c>
      <c r="C27" s="75">
        <v>25088</v>
      </c>
      <c r="D27" s="117" t="s">
        <v>77</v>
      </c>
      <c r="E27" s="62">
        <v>56.04</v>
      </c>
      <c r="F27" s="941" t="s">
        <v>25</v>
      </c>
      <c r="G27" s="62" t="s">
        <v>7</v>
      </c>
      <c r="H27" s="62" t="s">
        <v>16</v>
      </c>
      <c r="I27" s="91">
        <v>5342000</v>
      </c>
      <c r="J27" s="62">
        <v>2</v>
      </c>
      <c r="K27" s="62" t="s">
        <v>65</v>
      </c>
      <c r="L27" s="62" t="s">
        <v>18</v>
      </c>
      <c r="M27" s="537">
        <v>45077</v>
      </c>
      <c r="N27" s="117" t="s">
        <v>17</v>
      </c>
      <c r="O27" s="76" t="s">
        <v>1494</v>
      </c>
      <c r="P27" s="76" t="s">
        <v>67</v>
      </c>
      <c r="Q27" s="76" t="s">
        <v>67</v>
      </c>
      <c r="R27" s="945" t="s">
        <v>77</v>
      </c>
      <c r="S27" s="945" t="s">
        <v>77</v>
      </c>
      <c r="T27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4501400</v>
      </c>
    </row>
    <row r="28" spans="1:20" s="929" customFormat="1" ht="12.75" customHeight="1" outlineLevel="1">
      <c r="A28" s="62">
        <v>28</v>
      </c>
      <c r="B28" s="75">
        <v>298</v>
      </c>
      <c r="C28" s="75">
        <v>22605</v>
      </c>
      <c r="D28" s="117" t="s">
        <v>1233</v>
      </c>
      <c r="E28" s="62">
        <v>67.95</v>
      </c>
      <c r="F28" s="76" t="s">
        <v>15</v>
      </c>
      <c r="G28" s="117" t="s">
        <v>7</v>
      </c>
      <c r="H28" s="117" t="s">
        <v>10</v>
      </c>
      <c r="I28" s="91">
        <v>5613865.2400000002</v>
      </c>
      <c r="J28" s="62">
        <v>2</v>
      </c>
      <c r="K28" s="117" t="s">
        <v>130</v>
      </c>
      <c r="L28" s="117" t="s">
        <v>18</v>
      </c>
      <c r="M28" s="537">
        <v>45077</v>
      </c>
      <c r="N28" s="117" t="s">
        <v>17</v>
      </c>
      <c r="O28" s="76" t="s">
        <v>1495</v>
      </c>
      <c r="P28" s="76" t="s">
        <v>67</v>
      </c>
      <c r="Q28" s="76" t="s">
        <v>67</v>
      </c>
      <c r="R28" s="945" t="s">
        <v>1233</v>
      </c>
      <c r="S28" s="945" t="s">
        <v>1233</v>
      </c>
      <c r="T28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5342065.24</v>
      </c>
    </row>
    <row r="29" spans="1:20" ht="12.75" customHeight="1" outlineLevel="1">
      <c r="A29" s="62">
        <v>29</v>
      </c>
      <c r="B29" s="75">
        <v>75</v>
      </c>
      <c r="C29" s="75">
        <v>25180</v>
      </c>
      <c r="D29" s="117" t="s">
        <v>1233</v>
      </c>
      <c r="E29" s="62">
        <v>35.54</v>
      </c>
      <c r="F29" s="76" t="s">
        <v>15</v>
      </c>
      <c r="G29" s="117" t="s">
        <v>7</v>
      </c>
      <c r="H29" s="117" t="s">
        <v>10</v>
      </c>
      <c r="I29" s="95">
        <v>3449122.17</v>
      </c>
      <c r="J29" s="62">
        <v>0</v>
      </c>
      <c r="K29" s="62" t="s">
        <v>514</v>
      </c>
      <c r="L29" s="117" t="s">
        <v>18</v>
      </c>
      <c r="M29" s="92"/>
      <c r="N29" s="117" t="s">
        <v>17</v>
      </c>
      <c r="O29" s="62" t="s">
        <v>1496</v>
      </c>
      <c r="P29" s="76" t="s">
        <v>67</v>
      </c>
      <c r="Q29" s="76" t="s">
        <v>67</v>
      </c>
      <c r="R29" s="945" t="s">
        <v>1233</v>
      </c>
      <c r="S29" s="945" t="s">
        <v>1233</v>
      </c>
      <c r="T29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3306962.17</v>
      </c>
    </row>
    <row r="30" spans="1:20" ht="12.75" customHeight="1" outlineLevel="1">
      <c r="A30" s="62">
        <v>30</v>
      </c>
      <c r="B30" s="62">
        <v>201</v>
      </c>
      <c r="C30" s="62">
        <v>25175</v>
      </c>
      <c r="D30" s="117" t="s">
        <v>8</v>
      </c>
      <c r="E30" s="1003">
        <v>28.97</v>
      </c>
      <c r="F30" s="941" t="s">
        <v>15</v>
      </c>
      <c r="G30" s="117" t="s">
        <v>7</v>
      </c>
      <c r="H30" s="117" t="s">
        <v>10</v>
      </c>
      <c r="I30" s="95">
        <v>2728120.54</v>
      </c>
      <c r="J30" s="62">
        <v>0</v>
      </c>
      <c r="K30" s="117" t="s">
        <v>130</v>
      </c>
      <c r="L30" s="117" t="s">
        <v>18</v>
      </c>
      <c r="M30" s="537">
        <v>45077</v>
      </c>
      <c r="N30" s="117" t="s">
        <v>17</v>
      </c>
      <c r="O30" s="62" t="s">
        <v>1497</v>
      </c>
      <c r="P30" s="76" t="s">
        <v>67</v>
      </c>
      <c r="Q30" s="76" t="s">
        <v>67</v>
      </c>
      <c r="R30" s="945" t="s">
        <v>8</v>
      </c>
      <c r="S30" s="945" t="s">
        <v>8</v>
      </c>
      <c r="T30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2612240.54</v>
      </c>
    </row>
    <row r="31" spans="1:20" outlineLevel="1">
      <c r="A31" s="65">
        <v>31</v>
      </c>
      <c r="B31" s="79">
        <v>93</v>
      </c>
      <c r="C31" s="75">
        <v>25077</v>
      </c>
      <c r="D31" s="117" t="s">
        <v>8</v>
      </c>
      <c r="E31" s="62">
        <v>54.66</v>
      </c>
      <c r="F31" s="941" t="s">
        <v>15</v>
      </c>
      <c r="G31" s="62" t="s">
        <v>7</v>
      </c>
      <c r="H31" s="62" t="s">
        <v>16</v>
      </c>
      <c r="I31" s="95">
        <v>4523494.8899999997</v>
      </c>
      <c r="J31" s="62">
        <v>2</v>
      </c>
      <c r="K31" s="62" t="s">
        <v>65</v>
      </c>
      <c r="L31" s="117" t="s">
        <v>18</v>
      </c>
      <c r="M31" s="537">
        <v>45077</v>
      </c>
      <c r="N31" s="117" t="s">
        <v>17</v>
      </c>
      <c r="O31" s="62" t="s">
        <v>1498</v>
      </c>
      <c r="P31" s="76" t="s">
        <v>67</v>
      </c>
      <c r="Q31" s="76" t="s">
        <v>67</v>
      </c>
      <c r="R31" s="945" t="s">
        <v>8</v>
      </c>
      <c r="S31" s="945" t="s">
        <v>8</v>
      </c>
      <c r="T31" s="946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>4304854.8899999997</v>
      </c>
    </row>
    <row r="32" spans="1:20" outlineLevel="1">
      <c r="A32" s="65"/>
      <c r="B32" s="79"/>
      <c r="C32" s="79"/>
      <c r="D32" s="80"/>
      <c r="E32" s="65"/>
      <c r="F32" s="949"/>
      <c r="G32" s="65"/>
      <c r="H32" s="65"/>
      <c r="I32" s="93"/>
      <c r="J32" s="65"/>
      <c r="K32" s="65"/>
      <c r="L32" s="65"/>
      <c r="M32" s="98"/>
      <c r="N32" s="80"/>
      <c r="O32" s="65"/>
      <c r="P32" s="86"/>
      <c r="Q32" s="86"/>
      <c r="R32" s="947"/>
      <c r="S32" s="947"/>
      <c r="T32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3" spans="1:20" ht="12.75" customHeight="1" outlineLevel="1">
      <c r="A33" s="65"/>
      <c r="B33" s="79"/>
      <c r="C33" s="79"/>
      <c r="D33" s="80"/>
      <c r="E33" s="65"/>
      <c r="F33" s="949"/>
      <c r="G33" s="65"/>
      <c r="H33" s="65"/>
      <c r="I33" s="93"/>
      <c r="J33" s="65"/>
      <c r="K33" s="65"/>
      <c r="L33" s="65"/>
      <c r="M33" s="98"/>
      <c r="N33" s="80"/>
      <c r="O33" s="65"/>
      <c r="P33" s="86"/>
      <c r="Q33" s="86"/>
      <c r="R33" s="947"/>
      <c r="S33" s="947"/>
      <c r="T33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4" spans="1:20" ht="12.75" customHeight="1" outlineLevel="1">
      <c r="A34" s="65"/>
      <c r="B34" s="79"/>
      <c r="C34" s="79"/>
      <c r="D34" s="80"/>
      <c r="E34" s="65"/>
      <c r="F34" s="949"/>
      <c r="G34" s="65"/>
      <c r="H34" s="65"/>
      <c r="I34" s="93"/>
      <c r="J34" s="65"/>
      <c r="K34" s="65"/>
      <c r="L34" s="108"/>
      <c r="M34" s="110"/>
      <c r="N34" s="80"/>
      <c r="O34" s="65"/>
      <c r="P34" s="86"/>
      <c r="Q34" s="86"/>
      <c r="R34" s="947"/>
      <c r="S34" s="947"/>
      <c r="T34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5" spans="1:20" ht="12.75" customHeight="1" outlineLevel="1">
      <c r="A35" s="65"/>
      <c r="B35" s="79"/>
      <c r="C35" s="78"/>
      <c r="D35" s="65"/>
      <c r="E35" s="65"/>
      <c r="F35" s="949"/>
      <c r="G35" s="65"/>
      <c r="H35" s="65"/>
      <c r="I35" s="93"/>
      <c r="J35" s="65"/>
      <c r="K35" s="65"/>
      <c r="L35" s="65"/>
      <c r="M35" s="98"/>
      <c r="N35" s="80"/>
      <c r="O35" s="65"/>
      <c r="P35" s="86"/>
      <c r="Q35" s="86"/>
      <c r="R35" s="949"/>
      <c r="S35" s="949"/>
      <c r="T35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6" spans="1:20" outlineLevel="1">
      <c r="A36" s="65"/>
      <c r="B36" s="79"/>
      <c r="C36" s="79"/>
      <c r="D36" s="65"/>
      <c r="E36" s="65"/>
      <c r="F36" s="949"/>
      <c r="G36" s="65"/>
      <c r="H36" s="65"/>
      <c r="I36" s="93"/>
      <c r="J36" s="65"/>
      <c r="K36" s="65"/>
      <c r="L36" s="65"/>
      <c r="M36" s="98"/>
      <c r="N36" s="80"/>
      <c r="O36" s="65"/>
      <c r="P36" s="86"/>
      <c r="Q36" s="86"/>
      <c r="R36" s="949"/>
      <c r="S36" s="949"/>
      <c r="T36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7" spans="1:20" outlineLevel="1">
      <c r="A37" s="65"/>
      <c r="B37" s="79"/>
      <c r="C37" s="79"/>
      <c r="D37" s="80"/>
      <c r="E37" s="65"/>
      <c r="F37" s="949"/>
      <c r="G37" s="65"/>
      <c r="H37" s="65"/>
      <c r="I37" s="93"/>
      <c r="J37" s="65"/>
      <c r="K37" s="65"/>
      <c r="L37" s="65"/>
      <c r="M37" s="98"/>
      <c r="N37" s="80"/>
      <c r="O37" s="65"/>
      <c r="P37" s="86"/>
      <c r="Q37" s="86"/>
      <c r="R37" s="947"/>
      <c r="S37" s="947"/>
      <c r="T37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8" spans="1:20" outlineLevel="1">
      <c r="A38" s="65"/>
      <c r="B38" s="79"/>
      <c r="C38" s="79"/>
      <c r="D38" s="80"/>
      <c r="E38" s="65"/>
      <c r="F38" s="395"/>
      <c r="G38" s="65"/>
      <c r="H38" s="65"/>
      <c r="I38" s="93"/>
      <c r="J38" s="65"/>
      <c r="K38" s="65"/>
      <c r="L38" s="65"/>
      <c r="M38" s="98"/>
      <c r="N38" s="80"/>
      <c r="O38" s="65"/>
      <c r="P38" s="86"/>
      <c r="Q38" s="86"/>
      <c r="R38" s="947"/>
      <c r="S38" s="947"/>
      <c r="T38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39" spans="1:20" outlineLevel="1">
      <c r="A39" s="65"/>
      <c r="B39" s="79"/>
      <c r="C39" s="79"/>
      <c r="D39" s="80"/>
      <c r="E39" s="65"/>
      <c r="F39" s="949"/>
      <c r="G39" s="65"/>
      <c r="H39" s="65"/>
      <c r="I39" s="93"/>
      <c r="J39" s="65"/>
      <c r="K39" s="65"/>
      <c r="L39" s="65"/>
      <c r="M39" s="110"/>
      <c r="N39" s="65"/>
      <c r="O39" s="65"/>
      <c r="P39" s="86"/>
      <c r="Q39" s="86"/>
      <c r="R39" s="947"/>
      <c r="S39" s="947"/>
      <c r="T39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0" spans="1:20" outlineLevel="1">
      <c r="A40" s="65"/>
      <c r="B40" s="79"/>
      <c r="C40" s="79"/>
      <c r="D40" s="80"/>
      <c r="E40" s="65"/>
      <c r="F40" s="949"/>
      <c r="G40" s="65"/>
      <c r="H40" s="65"/>
      <c r="I40" s="93"/>
      <c r="J40" s="65"/>
      <c r="K40" s="65"/>
      <c r="L40" s="65"/>
      <c r="M40" s="110"/>
      <c r="N40" s="65"/>
      <c r="O40" s="65"/>
      <c r="P40" s="86"/>
      <c r="Q40" s="86"/>
      <c r="R40" s="947"/>
      <c r="S40" s="947"/>
      <c r="T40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1" spans="1:20" outlineLevel="1">
      <c r="A41" s="65"/>
      <c r="B41" s="79"/>
      <c r="C41" s="79"/>
      <c r="D41" s="80"/>
      <c r="E41" s="65"/>
      <c r="F41" s="949"/>
      <c r="G41" s="65"/>
      <c r="H41" s="65"/>
      <c r="I41" s="93"/>
      <c r="J41" s="65"/>
      <c r="K41" s="65"/>
      <c r="L41" s="65"/>
      <c r="M41" s="110"/>
      <c r="N41" s="65"/>
      <c r="O41" s="65"/>
      <c r="P41" s="86"/>
      <c r="Q41" s="86"/>
      <c r="R41" s="947"/>
      <c r="S41" s="947"/>
      <c r="T41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2" spans="1:20" outlineLevel="1">
      <c r="A42" s="65"/>
      <c r="B42" s="79"/>
      <c r="C42" s="79"/>
      <c r="D42" s="80"/>
      <c r="E42" s="65"/>
      <c r="F42" s="949"/>
      <c r="G42" s="65"/>
      <c r="H42" s="65"/>
      <c r="I42" s="93"/>
      <c r="J42" s="65"/>
      <c r="K42" s="65"/>
      <c r="L42" s="65"/>
      <c r="M42" s="110"/>
      <c r="N42" s="65"/>
      <c r="O42" s="65"/>
      <c r="P42" s="86"/>
      <c r="Q42" s="86"/>
      <c r="R42" s="947"/>
      <c r="S42" s="947"/>
      <c r="T42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3" spans="1:20" outlineLevel="1">
      <c r="A43" s="65"/>
      <c r="B43" s="79"/>
      <c r="C43" s="79"/>
      <c r="D43" s="80"/>
      <c r="E43" s="65"/>
      <c r="F43" s="949"/>
      <c r="G43" s="65"/>
      <c r="H43" s="65"/>
      <c r="I43" s="93"/>
      <c r="J43" s="65"/>
      <c r="K43" s="65"/>
      <c r="L43" s="65"/>
      <c r="M43" s="110"/>
      <c r="N43" s="65"/>
      <c r="O43" s="65"/>
      <c r="P43" s="86"/>
      <c r="Q43" s="86"/>
      <c r="R43" s="947"/>
      <c r="S43" s="947"/>
      <c r="T43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4" spans="1:20" outlineLevel="1">
      <c r="A44" s="65"/>
      <c r="B44" s="79"/>
      <c r="C44" s="79"/>
      <c r="D44" s="80"/>
      <c r="E44" s="65"/>
      <c r="F44" s="934"/>
      <c r="G44" s="65"/>
      <c r="H44" s="65"/>
      <c r="I44" s="93"/>
      <c r="J44" s="65"/>
      <c r="K44" s="65"/>
      <c r="L44" s="65"/>
      <c r="M44" s="110"/>
      <c r="N44" s="65"/>
      <c r="O44" s="65"/>
      <c r="P44" s="86"/>
      <c r="Q44" s="86"/>
      <c r="R44" s="947"/>
      <c r="S44" s="947"/>
      <c r="T44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5" spans="1:20" outlineLevel="1">
      <c r="A45" s="65"/>
      <c r="B45" s="79"/>
      <c r="C45" s="79"/>
      <c r="D45" s="80"/>
      <c r="E45" s="65"/>
      <c r="F45" s="934"/>
      <c r="G45" s="65"/>
      <c r="H45" s="65"/>
      <c r="I45" s="105"/>
      <c r="J45" s="65"/>
      <c r="K45" s="65"/>
      <c r="L45" s="65"/>
      <c r="M45" s="110"/>
      <c r="N45" s="65"/>
      <c r="O45" s="72"/>
      <c r="P45" s="86"/>
      <c r="Q45" s="86"/>
      <c r="R45" s="947"/>
      <c r="S45" s="947"/>
      <c r="T45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6" spans="1:20" outlineLevel="1">
      <c r="A46" s="65"/>
      <c r="B46" s="79"/>
      <c r="C46" s="79"/>
      <c r="D46" s="80"/>
      <c r="E46" s="65"/>
      <c r="F46" s="934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7"/>
      <c r="S46" s="947"/>
      <c r="T46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7" spans="1:20" outlineLevel="1">
      <c r="A47" s="65"/>
      <c r="B47" s="79"/>
      <c r="C47" s="79"/>
      <c r="D47" s="80"/>
      <c r="E47" s="65"/>
      <c r="F47" s="934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7"/>
      <c r="S47" s="947"/>
      <c r="T47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8" spans="1:20" outlineLevel="1">
      <c r="A48" s="65"/>
      <c r="B48" s="79"/>
      <c r="C48" s="79"/>
      <c r="D48" s="80"/>
      <c r="E48" s="65"/>
      <c r="F48" s="934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49" spans="1:20" ht="12" customHeight="1" outlineLevel="1">
      <c r="A49" s="65"/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0" spans="1:20" outlineLevel="1">
      <c r="A50" s="65"/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1" spans="1:20" outlineLevel="1">
      <c r="A51" s="65"/>
      <c r="B51" s="79"/>
      <c r="C51" s="79"/>
      <c r="D51" s="80"/>
      <c r="E51" s="65"/>
      <c r="F51" s="934"/>
      <c r="G51" s="65"/>
      <c r="H51" s="65"/>
      <c r="I51" s="105"/>
      <c r="J51" s="65"/>
      <c r="K51" s="65"/>
      <c r="L51" s="65"/>
      <c r="M51" s="110"/>
      <c r="N51" s="65"/>
      <c r="O51" s="72"/>
      <c r="P51" s="86"/>
      <c r="Q51" s="86"/>
      <c r="R51" s="947"/>
      <c r="S51" s="947"/>
      <c r="T51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2" spans="1:20" outlineLevel="1">
      <c r="A52" s="65"/>
      <c r="B52" s="79"/>
      <c r="C52" s="79"/>
      <c r="D52" s="80"/>
      <c r="E52" s="65"/>
      <c r="F52" s="934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3" spans="1:20" outlineLevel="1">
      <c r="A53" s="65"/>
      <c r="B53" s="79"/>
      <c r="C53" s="79"/>
      <c r="D53" s="80"/>
      <c r="E53" s="65"/>
      <c r="F53" s="72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4" spans="1:20" outlineLevel="1">
      <c r="A54" s="65"/>
      <c r="B54" s="79"/>
      <c r="C54" s="79"/>
      <c r="D54" s="80"/>
      <c r="E54" s="65"/>
      <c r="F54" s="934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5" spans="1:20" ht="15.75" customHeight="1" outlineLevel="1">
      <c r="A55" s="65"/>
      <c r="B55" s="79"/>
      <c r="C55" s="79"/>
      <c r="D55" s="80"/>
      <c r="E55" s="65"/>
      <c r="F55" s="72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6" spans="1:20" outlineLevel="1">
      <c r="A56" s="65"/>
      <c r="B56" s="79"/>
      <c r="C56" s="79"/>
      <c r="D56" s="80"/>
      <c r="E56" s="65"/>
      <c r="F56" s="934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7"/>
      <c r="S56" s="947"/>
      <c r="T56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7" spans="1:20" outlineLevel="1">
      <c r="A57" s="65"/>
      <c r="B57" s="79"/>
      <c r="C57" s="79"/>
      <c r="D57" s="80"/>
      <c r="E57" s="65"/>
      <c r="F57" s="934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7"/>
      <c r="S57" s="947"/>
      <c r="T57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8" spans="1:20" outlineLevel="1">
      <c r="A58" s="65"/>
      <c r="B58" s="79"/>
      <c r="C58" s="79"/>
      <c r="D58" s="80"/>
      <c r="E58" s="65"/>
      <c r="F58" s="934"/>
      <c r="G58" s="65"/>
      <c r="H58" s="65"/>
      <c r="I58" s="105"/>
      <c r="J58" s="65"/>
      <c r="K58" s="65"/>
      <c r="L58" s="65"/>
      <c r="M58" s="110"/>
      <c r="N58" s="65"/>
      <c r="O58" s="388"/>
      <c r="P58" s="86"/>
      <c r="Q58" s="86"/>
      <c r="R58" s="947"/>
      <c r="S58" s="947"/>
      <c r="T58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59" spans="1:20" outlineLevel="1">
      <c r="A59" s="65"/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0" spans="1:20" outlineLevel="1">
      <c r="A60" s="65"/>
      <c r="B60" s="79"/>
      <c r="C60" s="79"/>
      <c r="D60" s="80"/>
      <c r="E60" s="65"/>
      <c r="F60" s="72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1" spans="1:20" outlineLevel="1">
      <c r="A61" s="65"/>
      <c r="B61" s="79"/>
      <c r="C61" s="79"/>
      <c r="D61" s="80"/>
      <c r="E61" s="65"/>
      <c r="F61" s="934"/>
      <c r="G61" s="65"/>
      <c r="H61" s="65"/>
      <c r="I61" s="105"/>
      <c r="J61" s="65"/>
      <c r="K61" s="65"/>
      <c r="L61" s="65"/>
      <c r="M61" s="110"/>
      <c r="N61" s="65"/>
      <c r="O61" s="72"/>
      <c r="P61" s="86"/>
      <c r="Q61" s="86"/>
      <c r="R61" s="947"/>
      <c r="S61" s="947"/>
      <c r="T61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2" spans="1:20" outlineLevel="1">
      <c r="A62" s="65"/>
      <c r="B62" s="79"/>
      <c r="C62" s="79"/>
      <c r="D62" s="80"/>
      <c r="E62" s="65"/>
      <c r="F62" s="934"/>
      <c r="G62" s="65"/>
      <c r="H62" s="65"/>
      <c r="I62" s="105"/>
      <c r="J62" s="65"/>
      <c r="K62" s="65"/>
      <c r="L62" s="65"/>
      <c r="M62" s="110"/>
      <c r="N62" s="65"/>
      <c r="O62" s="72"/>
      <c r="P62" s="86"/>
      <c r="Q62" s="86"/>
      <c r="R62" s="947"/>
      <c r="S62" s="947"/>
      <c r="T62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3" spans="1:20" outlineLevel="1">
      <c r="A63" s="65"/>
      <c r="B63" s="79"/>
      <c r="C63" s="79"/>
      <c r="D63" s="65"/>
      <c r="E63" s="65"/>
      <c r="F63" s="934"/>
      <c r="G63" s="65"/>
      <c r="H63" s="65"/>
      <c r="I63" s="105"/>
      <c r="J63" s="65"/>
      <c r="K63" s="65"/>
      <c r="L63" s="65"/>
      <c r="M63" s="110"/>
      <c r="N63" s="65"/>
      <c r="O63" s="72"/>
      <c r="P63" s="86"/>
      <c r="Q63" s="86"/>
      <c r="R63" s="949"/>
      <c r="S63" s="949"/>
      <c r="T63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4" spans="1:20">
      <c r="A64" s="65"/>
      <c r="B64" s="79"/>
      <c r="C64" s="79"/>
      <c r="D64" s="65"/>
      <c r="E64" s="65"/>
      <c r="F64" s="934"/>
      <c r="G64" s="65"/>
      <c r="H64" s="65"/>
      <c r="I64" s="105"/>
      <c r="J64" s="65"/>
      <c r="K64" s="65"/>
      <c r="L64" s="65"/>
      <c r="M64" s="110"/>
      <c r="N64" s="65"/>
      <c r="O64" s="72"/>
      <c r="P64" s="86"/>
      <c r="Q64" s="86"/>
      <c r="R64" s="949"/>
      <c r="S64" s="949"/>
      <c r="T64" s="948" t="str">
        <f>IFERROR(IF(февр23141113[[#This Row],[№ дома]]="Дом 2",SUM(февр23141113[[#This Row],[сумма]]/февр23141113[[#This Row],[м2]],IF(февр23141113[[#This Row],[Отделка]]="Предчистовая",-5500,""))*февр23141113[[#This Row],[м2]],SUM(февр23141113[[#This Row],[сумма]]/февр23141113[[#This Row],[м2]],IF(февр23141113[[#This Row],[Отделка]]="Черновая",0,"")&amp;IF(февр23141113[[#This Row],[Отделка]]="Предчистовая",-4000,"")&amp;IF(февр23141113[[#This Row],[Отделка]]="Чистовая",-15000,""))*февр23141113[[#This Row],[м2]]),"")</f>
        <v/>
      </c>
    </row>
    <row r="65" spans="1:20">
      <c r="A65" s="65"/>
      <c r="B65" s="79"/>
      <c r="C65" s="79"/>
      <c r="D65" s="80"/>
      <c r="E65" s="65"/>
      <c r="F65" s="934"/>
      <c r="G65" s="65"/>
      <c r="H65" s="65"/>
      <c r="I65" s="105"/>
      <c r="J65" s="65"/>
      <c r="K65" s="65"/>
      <c r="L65" s="65"/>
      <c r="M65" s="110"/>
      <c r="N65" s="65"/>
      <c r="O65" s="72"/>
      <c r="P65" s="86"/>
      <c r="Q65" s="86"/>
      <c r="R65" s="947"/>
      <c r="S65" s="947"/>
      <c r="T65" s="948"/>
    </row>
    <row r="66" spans="1:20" hidden="1">
      <c r="A66" s="65"/>
      <c r="B66" s="79"/>
      <c r="C66" s="79"/>
      <c r="D66" s="65"/>
      <c r="E66" s="65"/>
      <c r="F66" s="934"/>
      <c r="G66" s="65"/>
      <c r="H66" s="65"/>
      <c r="I66" s="105"/>
      <c r="J66" s="65"/>
      <c r="K66" s="65"/>
      <c r="L66" s="108"/>
      <c r="M66" s="110"/>
      <c r="N66" s="65"/>
      <c r="O66" s="72"/>
      <c r="P66" s="86"/>
      <c r="Q66" s="86"/>
      <c r="R66" s="86"/>
      <c r="S66" s="86"/>
      <c r="T66" s="948"/>
    </row>
    <row r="67" spans="1:20" hidden="1">
      <c r="A67" s="2293" t="s">
        <v>713</v>
      </c>
      <c r="B67" s="2294"/>
      <c r="C67" s="972" t="s">
        <v>121</v>
      </c>
      <c r="D67" s="973"/>
      <c r="E67" s="29"/>
      <c r="F67" s="29"/>
      <c r="G67" s="29"/>
      <c r="H67" s="974"/>
      <c r="I67" s="974"/>
      <c r="J67" s="974"/>
      <c r="K67" s="974"/>
      <c r="L67" s="974"/>
      <c r="M67" s="29"/>
      <c r="N67" s="29"/>
      <c r="O67" s="29"/>
      <c r="P67" s="29"/>
      <c r="Q67" s="86"/>
      <c r="R67" s="86"/>
      <c r="S67" s="86"/>
    </row>
    <row r="68" spans="1:20" hidden="1">
      <c r="A68" s="975" t="s">
        <v>1</v>
      </c>
      <c r="B68" s="976" t="s">
        <v>100</v>
      </c>
      <c r="C68" s="977" t="s">
        <v>97</v>
      </c>
      <c r="D68" s="978" t="s">
        <v>95</v>
      </c>
      <c r="E68" s="137" t="s">
        <v>494</v>
      </c>
      <c r="F68" s="477" t="s">
        <v>495</v>
      </c>
      <c r="G68" s="478" t="s">
        <v>496</v>
      </c>
      <c r="H68" s="479" t="s">
        <v>101</v>
      </c>
      <c r="I68" s="479" t="s">
        <v>98</v>
      </c>
      <c r="J68" s="479" t="s">
        <v>96</v>
      </c>
      <c r="K68" s="479" t="s">
        <v>715</v>
      </c>
      <c r="L68" s="479" t="s">
        <v>716</v>
      </c>
      <c r="M68" s="499">
        <v>0</v>
      </c>
      <c r="N68" s="340">
        <v>1</v>
      </c>
      <c r="O68" s="340">
        <v>2</v>
      </c>
      <c r="P68" s="340">
        <v>3</v>
      </c>
      <c r="Q68" s="500" t="s">
        <v>1367</v>
      </c>
      <c r="R68" s="949"/>
      <c r="S68" s="949"/>
    </row>
    <row r="69" spans="1:20" hidden="1">
      <c r="A69" s="936" t="s">
        <v>73</v>
      </c>
      <c r="B69" s="937">
        <f>VLOOKUP(A69,'Индивидуальный план'!$F$3:$H$13,2,0)</f>
        <v>630</v>
      </c>
      <c r="C69" s="937">
        <f>VLOOKUP(A69,'Индивидуальный план'!$F$3:$H$13,3,0)</f>
        <v>56195208.814500004</v>
      </c>
      <c r="D69" s="938"/>
      <c r="E69" s="148">
        <f>SUMIFS(февр23141113[м2],февр23141113[МОП],$A69,февр23141113[№ дома],$C$67,февр23141113[Ком],"&lt;&gt;Офис")</f>
        <v>0</v>
      </c>
      <c r="F69" s="939">
        <f>SUMIFS(февр23141113[сумма без отделки],февр23141113[МОП],$A69,февр23141113[№ дома],$C$67,февр23141113[Ком],"&lt;&gt;Офис")</f>
        <v>0</v>
      </c>
      <c r="G69" s="940">
        <f>COUNTIFS(февр23141113[МОП],$A69,февр23141113[№ дома],$C$67,февр23141113[Ком],"&lt;&gt;Офис")</f>
        <v>0</v>
      </c>
      <c r="H69" s="145">
        <f>SUMIFS(РД[S],РД[Дом],$C$67,РД[МОП],A69,РД[Дата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I69" s="149">
        <f>SUMIFS(РД[Стоимость без отделки итог],РД[Дом],$C$67,РД[МОП],A69,РД[Дата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J69" s="220">
        <f>COUNTIFS(РД[Дом],$C$67,РД[МОП],A69,РД[Дата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K69" s="943">
        <f t="shared" ref="K69:L72" si="0">IFERROR(H69/B69,)</f>
        <v>0</v>
      </c>
      <c r="L69" s="944">
        <f t="shared" si="0"/>
        <v>0</v>
      </c>
      <c r="M69" s="148">
        <f>COUNTIFS(РД[Тип кв],M$68,РД[МОП],$A69,РД[Дом],$C$67,РД[Дата подачи на регистрацию],"&lt;="&amp;$A$1,РД[Дата подачи на регистрацию],"&gt;="&amp;DATE(YEAR($A$1),MONTH($A$1),1))</f>
        <v>0</v>
      </c>
      <c r="N69" s="220">
        <f>COUNTIFS(РД[Тип кв],N$68,РД[МОП],$A69,РД[Дом],$C$67,РД[Дата подачи на регистрацию],"&lt;="&amp;$A$1,РД[Дата подачи на регистрацию],"&gt;="&amp;DATE(YEAR($A$1),MONTH($A$1),1))</f>
        <v>0</v>
      </c>
      <c r="O69" s="220">
        <f>COUNTIFS(РД[Тип кв],O$68,РД[МОП],$A69,РД[Дом],$C$67,РД[Дата подачи на регистрацию],"&lt;="&amp;$A$1,РД[Дата подачи на регистрацию],"&gt;="&amp;DATE(YEAR($A$1),MONTH($A$1),1))</f>
        <v>0</v>
      </c>
      <c r="P69" s="220">
        <f>COUNTIFS(РД[Тип кв],P$68,РД[МОП],$A69,РД[Дом],$C$67,РД[Дата подачи на регистрацию],"&lt;="&amp;$A$1,РД[Дата подачи на регистрацию],"&gt;="&amp;DATE(YEAR($A$1),MONTH($A$1),1))</f>
        <v>0</v>
      </c>
      <c r="Q69" s="223">
        <f>COUNTIFS(РД[Тип кв],Q$68,РД[МОП],$A69,РД[Дом],$C$67,РД[Дата подачи на регистрацию],"&lt;="&amp;$A$1,РД[Дата подачи на регистрацию],"&gt;="&amp;DATE(YEAR($A$1),MONTH($A$1),1))</f>
        <v>0</v>
      </c>
      <c r="R69" s="949"/>
      <c r="S69" s="949"/>
    </row>
    <row r="70" spans="1:20" hidden="1">
      <c r="A70" s="936" t="s">
        <v>8</v>
      </c>
      <c r="B70" s="937">
        <f>VLOOKUP(A70,'Индивидуальный план'!$F$3:$H$13,2,0)</f>
        <v>1090</v>
      </c>
      <c r="C70" s="937">
        <f>VLOOKUP(A70,'Индивидуальный план'!$F$3:$H$13,3,0)</f>
        <v>95368499.111499995</v>
      </c>
      <c r="D70" s="938"/>
      <c r="E70" s="148">
        <f>SUMIFS(февр23141113[м2],февр23141113[МОП],$A70,февр23141113[№ дома],$C$67,февр23141113[Ком],"&lt;&gt;Офис")</f>
        <v>0</v>
      </c>
      <c r="F70" s="939">
        <f>SUMIFS(февр23141113[сумма без отделки],февр23141113[МОП],$A70,февр23141113[№ дома],$C$67,февр23141113[Ком],"&lt;&gt;Офис")</f>
        <v>0</v>
      </c>
      <c r="G70" s="940">
        <f>COUNTIFS(февр23141113[МОП],$A70,февр23141113[№ дома],$C$67,февр23141113[Ком],"&lt;&gt;Офис")</f>
        <v>0</v>
      </c>
      <c r="H70" s="145">
        <f>SUMIFS(РД[S],РД[Дом],$C$67,РД[МОП],A70,РД[Дата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I70" s="149">
        <f>SUMIFS(РД[Стоимость без отделки итог],РД[Дом],$C$67,РД[МОП],A70,РД[Дата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J70" s="220">
        <f>COUNTIFS(РД[Дом],$C$67,РД[МОП],A70,РД[Дата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K70" s="943">
        <f t="shared" si="0"/>
        <v>0</v>
      </c>
      <c r="L70" s="944">
        <f t="shared" si="0"/>
        <v>0</v>
      </c>
      <c r="M70" s="148">
        <f>COUNTIFS(РД[Тип кв],M$68,РД[МОП],$A70,РД[Дом],$C$67,РД[Дата подачи на регистрацию],"&lt;="&amp;$A$1,РД[Дата подачи на регистрацию],"&gt;="&amp;DATE(YEAR($A$1),MONTH($A$1),1))</f>
        <v>0</v>
      </c>
      <c r="N70" s="220">
        <f>COUNTIFS(РД[Тип кв],N$68,РД[МОП],$A70,РД[Дом],$C$67,РД[Дата подачи на регистрацию],"&lt;="&amp;$A$1,РД[Дата подачи на регистрацию],"&gt;="&amp;DATE(YEAR($A$1),MONTH($A$1),1))</f>
        <v>0</v>
      </c>
      <c r="O70" s="220">
        <f>COUNTIFS(РД[Тип кв],O$68,РД[МОП],$A70,РД[Дом],$C$67,РД[Дата подачи на регистрацию],"&lt;="&amp;$A$1,РД[Дата подачи на регистрацию],"&gt;="&amp;DATE(YEAR($A$1),MONTH($A$1),1))</f>
        <v>0</v>
      </c>
      <c r="P70" s="220">
        <f>COUNTIFS(РД[Тип кв],P$68,РД[МОП],$A70,РД[Дом],$C$67,РД[Дата подачи на регистрацию],"&lt;="&amp;$A$1,РД[Дата подачи на регистрацию],"&gt;="&amp;DATE(YEAR($A$1),MONTH($A$1),1))</f>
        <v>0</v>
      </c>
      <c r="Q70" s="223">
        <f>COUNTIFS(РД[Тип кв],Q$68,РД[МОП],$A70,РД[Дом],$C$67,РД[Дата подачи на регистрацию],"&lt;="&amp;$A$1,РД[Дата подачи на регистрацию],"&gt;="&amp;DATE(YEAR($A$1),MONTH($A$1),1))</f>
        <v>0</v>
      </c>
      <c r="R70" s="949"/>
      <c r="S70" s="949"/>
    </row>
    <row r="71" spans="1:20" hidden="1">
      <c r="A71" s="952" t="s">
        <v>77</v>
      </c>
      <c r="B71" s="937">
        <f>VLOOKUP(A71,'Индивидуальный план'!$F$3:$H$13,2,0)</f>
        <v>1072</v>
      </c>
      <c r="C71" s="937">
        <f>VLOOKUP(A71,'Индивидуальный план'!$F$3:$H$13,3,0)</f>
        <v>93800315.819199994</v>
      </c>
      <c r="D71" s="953"/>
      <c r="E71" s="202">
        <f>SUMIFS(февр23141113[м2],февр23141113[МОП],$A71,февр23141113[№ дома],$C$67,февр23141113[Ком],"&lt;&gt;Офис")</f>
        <v>0</v>
      </c>
      <c r="F71" s="954">
        <f>SUMIFS(февр23141113[сумма без отделки],февр23141113[МОП],$A71,февр23141113[№ дома],$C$67,февр23141113[Ком],"&lt;&gt;Офис")</f>
        <v>0</v>
      </c>
      <c r="G71" s="955">
        <f>COUNTIFS(февр23141113[МОП],$A71,февр23141113[№ дома],$C$67,февр23141113[Ком],"&lt;&gt;Офис")</f>
        <v>0</v>
      </c>
      <c r="H71" s="145">
        <f>SUMIFS(РД[S],РД[Дом],$C$67,РД[МОП],A71,РД[Дата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I71" s="149">
        <f>SUMIFS(РД[Стоимость без отделки итог],РД[Дом],$C$67,РД[МОП],A71,РД[Дата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J71" s="220">
        <f>COUNTIFS(РД[Дом],$C$67,РД[МОП],A71,РД[Дата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K71" s="987">
        <f t="shared" si="0"/>
        <v>0</v>
      </c>
      <c r="L71" s="988">
        <f t="shared" si="0"/>
        <v>0</v>
      </c>
      <c r="M71" s="202">
        <f>COUNTIFS(РД[Тип кв],M$68,РД[МОП],$A71,РД[Дом],$C$67,РД[Дата подачи на регистрацию],"&lt;="&amp;$A$1,РД[Дата подачи на регистрацию],"&gt;="&amp;DATE(YEAR($A$1),MONTH($A$1),1))</f>
        <v>0</v>
      </c>
      <c r="N71" s="226">
        <f>COUNTIFS(РД[Тип кв],N$68,РД[МОП],$A71,РД[Дом],$C$67,РД[Дата подачи на регистрацию],"&lt;="&amp;$A$1,РД[Дата подачи на регистрацию],"&gt;="&amp;DATE(YEAR($A$1),MONTH($A$1),1))</f>
        <v>0</v>
      </c>
      <c r="O71" s="226">
        <f>COUNTIFS(РД[Тип кв],O$68,РД[МОП],$A71,РД[Дом],$C$67,РД[Дата подачи на регистрацию],"&lt;="&amp;$A$1,РД[Дата подачи на регистрацию],"&gt;="&amp;DATE(YEAR($A$1),MONTH($A$1),1))</f>
        <v>0</v>
      </c>
      <c r="P71" s="226">
        <f>COUNTIFS(РД[Тип кв],P$68,РД[МОП],$A71,РД[Дом],$C$67,РД[Дата подачи на регистрацию],"&lt;="&amp;$A$1,РД[Дата подачи на регистрацию],"&gt;="&amp;DATE(YEAR($A$1),MONTH($A$1),1))</f>
        <v>0</v>
      </c>
      <c r="Q71" s="227">
        <f>COUNTIFS(РД[Тип кв],Q$68,РД[МОП],$A71,РД[Дом],$C$67,РД[Дата подачи на регистрацию],"&lt;="&amp;$A$1,РД[Дата подачи на регистрацию],"&gt;="&amp;DATE(YEAR($A$1),MONTH($A$1),1))</f>
        <v>0</v>
      </c>
      <c r="R71" s="949"/>
      <c r="S71" s="949"/>
    </row>
    <row r="72" spans="1:20" hidden="1">
      <c r="A72" s="956" t="s">
        <v>1233</v>
      </c>
      <c r="B72" s="937">
        <f>VLOOKUP(A72,'Индивидуальный план'!$F$3:$H$13,2,0)</f>
        <v>1142</v>
      </c>
      <c r="C72" s="937">
        <f>VLOOKUP(A72,'Индивидуальный план'!$F$3:$H$13,3,0)</f>
        <v>100045396.4754</v>
      </c>
      <c r="D72" s="957"/>
      <c r="E72" s="358">
        <f>SUMIFS(февр23141113[м2],февр23141113[МОП],$A72,февр23141113[№ дома],$C$67,февр23141113[Ком],"&lt;&gt;Офис")</f>
        <v>0</v>
      </c>
      <c r="F72" s="958">
        <f>SUMIFS(февр23141113[сумма без отделки],февр23141113[МОП],$A72,февр23141113[№ дома],$C$67,февр23141113[Ком],"&lt;&gt;Офис")</f>
        <v>0</v>
      </c>
      <c r="G72" s="959">
        <f>COUNTIFS(февр23141113[МОП],$A72,февр23141113[№ дома],$C$67,февр23141113[Ком],"&lt;&gt;Офис")</f>
        <v>0</v>
      </c>
      <c r="H72" s="145">
        <f>SUMIFS(РД[S],РД[Дом],$C$67,РД[МОП],A72,РД[Дата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149">
        <f>SUMIFS(РД[Стоимость без отделки итог],РД[Дом],$C$67,РД[МОП],A72,РД[Дата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0">
        <f>COUNTIFS(РД[Дом],$C$67,РД[МОП],A72,РД[Дата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K72" s="987">
        <f t="shared" si="0"/>
        <v>0</v>
      </c>
      <c r="L72" s="988">
        <f t="shared" si="0"/>
        <v>0</v>
      </c>
      <c r="M72" s="195">
        <f>COUNTIFS(РД[Тип кв],M$68,РД[МОП],$A72,РД[Дом],$C$67,РД[Дата подачи на регистрацию],"&lt;="&amp;$A$1,РД[Дата подачи на регистрацию],"&gt;="&amp;DATE(YEAR($A$1),MONTH($A$1),1))</f>
        <v>0</v>
      </c>
      <c r="N72" s="251">
        <f>COUNTIFS(РД[Тип кв],N$68,РД[МОП],$A72,РД[Дом],$C$67,РД[Дата подачи на регистрацию],"&lt;="&amp;$A$1,РД[Дата подачи на регистрацию],"&gt;="&amp;DATE(YEAR($A$1),MONTH($A$1),1))</f>
        <v>0</v>
      </c>
      <c r="O72" s="251">
        <f>COUNTIFS(РД[Тип кв],O$68,РД[МОП],$A72,РД[Дом],$C$67,РД[Дата подачи на регистрацию],"&lt;="&amp;$A$1,РД[Дата подачи на регистрацию],"&gt;="&amp;DATE(YEAR($A$1),MONTH($A$1),1))</f>
        <v>0</v>
      </c>
      <c r="P72" s="251">
        <f>COUNTIFS(РД[Тип кв],P$68,РД[МОП],$A72,РД[Дом],$C$67,РД[Дата подачи на регистрацию],"&lt;="&amp;$A$1,РД[Дата подачи на регистрацию],"&gt;="&amp;DATE(YEAR($A$1),MONTH($A$1),1))</f>
        <v>0</v>
      </c>
      <c r="Q72" s="254">
        <f>COUNTIFS(РД[Тип кв],Q$68,РД[МОП],$A72,РД[Дом],$C$67,РД[Дата подачи на регистрацию],"&lt;="&amp;$A$1,РД[Дата подачи на регистрацию],"&gt;="&amp;DATE(YEAR($A$1),MONTH($A$1),1))</f>
        <v>0</v>
      </c>
      <c r="R72" s="949"/>
      <c r="S72" s="949"/>
    </row>
    <row r="73" spans="1:20" hidden="1">
      <c r="A73" s="960" t="s">
        <v>114</v>
      </c>
      <c r="B73" s="961">
        <f>SUM(B69:B72)</f>
        <v>3934</v>
      </c>
      <c r="C73" s="961">
        <f>SUM(C69:C72)</f>
        <v>345409420.22060001</v>
      </c>
      <c r="D73" s="962">
        <f t="shared" ref="D73:J73" si="1">SUM(D69:D72)</f>
        <v>0</v>
      </c>
      <c r="E73" s="963">
        <f t="shared" si="1"/>
        <v>0</v>
      </c>
      <c r="F73" s="964">
        <f t="shared" si="1"/>
        <v>0</v>
      </c>
      <c r="G73" s="965">
        <f t="shared" si="1"/>
        <v>0</v>
      </c>
      <c r="H73" s="961">
        <f t="shared" si="1"/>
        <v>0</v>
      </c>
      <c r="I73" s="964">
        <f t="shared" si="1"/>
        <v>0</v>
      </c>
      <c r="J73" s="962">
        <f t="shared" si="1"/>
        <v>0</v>
      </c>
      <c r="K73" s="419">
        <f>IFERROR(H73/B73,)</f>
        <v>0</v>
      </c>
      <c r="L73" s="420">
        <f>IFERROR(I73/C73,)</f>
        <v>0</v>
      </c>
      <c r="M73" s="473">
        <f>SUM(M69:M72)</f>
        <v>0</v>
      </c>
      <c r="N73" s="494">
        <f>SUM(N69:N72)</f>
        <v>0</v>
      </c>
      <c r="O73" s="494">
        <f>SUM(O69:O72)</f>
        <v>0</v>
      </c>
      <c r="P73" s="989">
        <f>SUM(P69:P72)</f>
        <v>0</v>
      </c>
      <c r="Q73" s="497">
        <f>SUM(Q69:Q72)</f>
        <v>0</v>
      </c>
      <c r="R73" s="949"/>
      <c r="S73" s="949"/>
    </row>
    <row r="74" spans="1:20" hidden="1">
      <c r="A74" s="685" t="s">
        <v>115</v>
      </c>
      <c r="B74" s="723" t="s">
        <v>100</v>
      </c>
      <c r="C74" s="693" t="s">
        <v>97</v>
      </c>
      <c r="D74" s="724" t="s">
        <v>95</v>
      </c>
      <c r="E74" s="137" t="s">
        <v>494</v>
      </c>
      <c r="F74" s="138" t="s">
        <v>495</v>
      </c>
      <c r="G74" s="139" t="s">
        <v>496</v>
      </c>
      <c r="H74" s="482" t="s">
        <v>101</v>
      </c>
      <c r="I74" s="482" t="s">
        <v>98</v>
      </c>
      <c r="J74" s="482" t="s">
        <v>96</v>
      </c>
      <c r="K74" s="502" t="s">
        <v>715</v>
      </c>
      <c r="L74" s="503" t="s">
        <v>716</v>
      </c>
      <c r="M74" s="217">
        <v>0</v>
      </c>
      <c r="N74" s="218">
        <v>1</v>
      </c>
      <c r="O74" s="218">
        <v>2</v>
      </c>
      <c r="P74" s="218">
        <v>3</v>
      </c>
      <c r="Q74" s="219" t="s">
        <v>1367</v>
      </c>
      <c r="R74" s="950"/>
      <c r="S74" s="950"/>
      <c r="T74" s="951"/>
    </row>
    <row r="75" spans="1:20" hidden="1">
      <c r="A75" s="936" t="s">
        <v>16</v>
      </c>
      <c r="B75" s="937">
        <f>VLOOKUP(A75,'Индивидуальный план'!$F$3:$H$13,2,0)</f>
        <v>1973</v>
      </c>
      <c r="C75" s="937">
        <f>VLOOKUP(A75,'Индивидуальный план'!$F$3:$H$13,3,0)</f>
        <v>173294735.36949998</v>
      </c>
      <c r="D75" s="417"/>
      <c r="E75" s="966">
        <f>SUMIFS(февр23141113[м2],февр23141113[ИМ],A75,февр23141113[№ дома],$C$67,февр23141113[Ком],"&lt;&gt;Офис")</f>
        <v>0</v>
      </c>
      <c r="F75" s="149">
        <f>SUMIFS(февр23141113[сумма без отделки],февр23141113[ИМ],$A75,февр23141113[№ дома],$C$67,февр23141113[Ком],"&lt;&gt;Офис")</f>
        <v>0</v>
      </c>
      <c r="G75" s="940">
        <f>COUNTIFS(февр23141113[ИМ],$A75,февр23141113[№ дома],$C$67,февр23141113[Ком],"&lt;&gt;Офис")</f>
        <v>0</v>
      </c>
      <c r="H75" s="346">
        <f>SUMIFS(РД[S],РД[Дом],$C$67,РД[ИМ],A75,РД[Дата подачи на регистрацию],"&lt;="&amp;$A$1,РД[Дата подачи на регистрацию],"&gt;="&amp;DATE(YEAR($A$1),MONTH($A$1),1),РД[Состояние],"Продажа")</f>
        <v>0</v>
      </c>
      <c r="I75" s="184">
        <f>SUMIFS(РД[Стоимость без отделки итог],РД[Дом],$C$67,РД[ИМ],A75,РД[Дата подачи на регистрацию],"&lt;="&amp;$A$1,РД[Дата подачи на регистрацию],"&gt;="&amp;DATE(YEAR($A$1),MONTH($A$1),1),РД[Состояние],"Продажа")</f>
        <v>0</v>
      </c>
      <c r="J75" s="243">
        <f>COUNTIFS(РД[Дом],$C$67,РД[ИМ],A75,РД[Дата подачи на регистрацию],"&lt;="&amp;$A$1,РД[Дата подачи на регистрацию],"&gt;="&amp;DATE(YEAR($A$1),MONTH($A$1),1),РД[Состояние],"Продажа")</f>
        <v>0</v>
      </c>
      <c r="K75" s="990">
        <f>IFERROR(H75/B75,"")</f>
        <v>0</v>
      </c>
      <c r="L75" s="991">
        <f>IFERROR(I75/C75,"")</f>
        <v>0</v>
      </c>
      <c r="M75" s="183">
        <f>COUNTIFS(РД[Тип кв],M$68,РД[ИМ],$A75,РД[Дом],$C$67,РД[Дата подачи на регистрацию],"&lt;="&amp;$A$1,РД[Дата подачи на регистрацию],"&gt;="&amp;DATE(YEAR($A$1),MONTH($A$1),1))</f>
        <v>0</v>
      </c>
      <c r="N75" s="243">
        <f>COUNTIFS(РД[Тип кв],N$68,РД[ИМ],$A75,РД[Дом],$C$67,РД[Дата подачи на регистрацию],"&lt;="&amp;$A$1,РД[Дата подачи на регистрацию],"&gt;="&amp;DATE(YEAR($A$1),MONTH($A$1),1))</f>
        <v>0</v>
      </c>
      <c r="O75" s="243">
        <f>COUNTIFS(РД[Тип кв],O$68,РД[ИМ],$A75,РД[Дом],$C$67,РД[Дата подачи на регистрацию],"&lt;="&amp;$A$1,РД[Дата подачи на регистрацию],"&gt;="&amp;DATE(YEAR($A$1),MONTH($A$1),1))</f>
        <v>0</v>
      </c>
      <c r="P75" s="243">
        <f>COUNTIFS(РД[Тип кв],P$68,РД[ИМ],$A75,РД[Дом],$C$67,РД[Дата подачи на регистрацию],"&lt;="&amp;$A$1,РД[Дата подачи на регистрацию],"&gt;="&amp;DATE(YEAR($A$1),MONTH($A$1),1))</f>
        <v>0</v>
      </c>
      <c r="Q75" s="246">
        <f>COUNTIFS(РД[Тип кв],Q$68,РД[ИМ],$A75,РД[Дом],$C$67,РД[Дата подачи на регистрацию],"&lt;="&amp;$A$1,РД[Дата подачи на регистрацию],"&gt;="&amp;DATE(YEAR($A$1),MONTH($A$1),1))</f>
        <v>0</v>
      </c>
      <c r="R75" s="949"/>
      <c r="S75" s="949"/>
    </row>
    <row r="76" spans="1:20" hidden="1">
      <c r="A76" s="956" t="s">
        <v>22</v>
      </c>
      <c r="B76" s="937">
        <f>VLOOKUP(A76,'Индивидуальный план'!$F$3:$H$13,2,0)</f>
        <v>1367</v>
      </c>
      <c r="C76" s="937">
        <f>VLOOKUP(A76,'Индивидуальный план'!$F$3:$H$13,3,0)</f>
        <v>120183769.75650001</v>
      </c>
      <c r="D76" s="518"/>
      <c r="E76" s="967">
        <f>SUMIFS(февр23141113[м2],февр23141113[ИМ],A76,февр23141113[№ дома],$C$67,февр23141113[Ком],"&lt;&gt;Офис")</f>
        <v>0</v>
      </c>
      <c r="F76" s="359">
        <f>SUMIFS(февр23141113[сумма без отделки],февр23141113[ИМ],$A76,февр23141113[№ дома],$C$67,февр23141113[Ком],"&lt;&gt;Офис")</f>
        <v>0</v>
      </c>
      <c r="G76" s="959">
        <f>COUNTIFS(февр23141113[ИМ],$A76,февр23141113[№ дома],$C$67,февр23141113[Ком],"&lt;&gt;Офис")</f>
        <v>0</v>
      </c>
      <c r="H76" s="426">
        <f>SUMIFS(РД[S],РД[Дом],$C$67,РД[ИМ],A76,РД[Дата подачи на регистрацию],"&lt;="&amp;$A$1,РД[Дата подачи на регистрацию],"&gt;="&amp;DATE(YEAR($A$1),MONTH($A$1),1),РД[Состояние],"Продажа")</f>
        <v>0</v>
      </c>
      <c r="I76" s="196">
        <f>SUMIFS(РД[Стоимость без отделки итог],РД[Дом],$C$67,РД[ИМ],A76,РД[Дата подачи на регистрацию],"&lt;="&amp;$A$1,РД[Дата подачи на регистрацию],"&gt;="&amp;DATE(YEAR($A$1),MONTH($A$1),1),РД[Состояние],"Продажа")</f>
        <v>0</v>
      </c>
      <c r="J76" s="251">
        <f>COUNTIFS(РД[Дом],$C$67,РД[ИМ],A76,РД[Дата подачи на регистрацию],"&lt;="&amp;$A$1,РД[Дата подачи на регистрацию],"&gt;="&amp;DATE(YEAR($A$1),MONTH($A$1),1),РД[Состояние],"Продажа")</f>
        <v>0</v>
      </c>
      <c r="K76" s="992">
        <f>IFERROR(H76/B76,"")</f>
        <v>0</v>
      </c>
      <c r="L76" s="993">
        <f>IFERROR(I76/C76,"")</f>
        <v>0</v>
      </c>
      <c r="M76" s="195">
        <f>COUNTIFS(РД[Тип кв],M$68,РД[ИМ],$A76,РД[Дом],$C$67,РД[Дата подачи на регистрацию],"&lt;="&amp;$A$1,РД[Дата подачи на регистрацию],"&gt;="&amp;DATE(YEAR($A$1),MONTH($A$1),1))</f>
        <v>0</v>
      </c>
      <c r="N76" s="251">
        <f>COUNTIFS(РД[Тип кв],N$68,РД[ИМ],$A76,РД[Дом],$C$67,РД[Дата подачи на регистрацию],"&lt;="&amp;$A$1,РД[Дата подачи на регистрацию],"&gt;="&amp;DATE(YEAR($A$1),MONTH($A$1),1))</f>
        <v>0</v>
      </c>
      <c r="O76" s="251">
        <f>COUNTIFS(РД[Тип кв],O$68,РД[ИМ],$A76,РД[Дом],$C$67,РД[Дата подачи на регистрацию],"&lt;="&amp;$A$1,РД[Дата подачи на регистрацию],"&gt;="&amp;DATE(YEAR($A$1),MONTH($A$1),1))</f>
        <v>0</v>
      </c>
      <c r="P76" s="251">
        <f>COUNTIFS(РД[Тип кв],P$68,РД[ИМ],$A76,РД[Дом],$C$67,РД[Дата подачи на регистрацию],"&lt;="&amp;$A$1,РД[Дата подачи на регистрацию],"&gt;="&amp;DATE(YEAR($A$1),MONTH($A$1),1))</f>
        <v>0</v>
      </c>
      <c r="Q76" s="254">
        <f>COUNTIFS(РД[Тип кв],Q$68,РД[ИМ],$A76,РД[Дом],$C$67,РД[Дата подачи на регистрацию],"&lt;="&amp;$A$1,РД[Дата подачи на регистрацию],"&gt;="&amp;DATE(YEAR($A$1),MONTH($A$1),1))</f>
        <v>0</v>
      </c>
      <c r="R76" s="949"/>
      <c r="S76" s="949"/>
    </row>
    <row r="77" spans="1:20" hidden="1">
      <c r="A77" s="409" t="s">
        <v>114</v>
      </c>
      <c r="B77" s="961">
        <f>SUM(B75:B76)</f>
        <v>3340</v>
      </c>
      <c r="C77" s="961">
        <f>SUM(C75:C76)</f>
        <v>293478505.12599999</v>
      </c>
      <c r="D77" s="485">
        <f t="shared" ref="D77:J77" si="2">SUM(D75:D76)</f>
        <v>0</v>
      </c>
      <c r="E77" s="473">
        <f t="shared" si="2"/>
        <v>0</v>
      </c>
      <c r="F77" s="429">
        <f t="shared" si="2"/>
        <v>0</v>
      </c>
      <c r="G77" s="497">
        <f t="shared" si="2"/>
        <v>0</v>
      </c>
      <c r="H77" s="473">
        <f t="shared" si="2"/>
        <v>0</v>
      </c>
      <c r="I77" s="429">
        <f t="shared" si="2"/>
        <v>0</v>
      </c>
      <c r="J77" s="497">
        <f t="shared" si="2"/>
        <v>0</v>
      </c>
      <c r="K77" s="238">
        <f>IFERROR(H77/B77,)</f>
        <v>0</v>
      </c>
      <c r="L77" s="501">
        <f>IFERROR(I77/C77,)</f>
        <v>0</v>
      </c>
      <c r="M77" s="897">
        <f>SUM(M75:M76)</f>
        <v>0</v>
      </c>
      <c r="N77" s="897">
        <f>SUM(N75:N76)</f>
        <v>0</v>
      </c>
      <c r="O77" s="897">
        <f>SUM(O75:O76)</f>
        <v>0</v>
      </c>
      <c r="P77" s="897">
        <f>SUM(P75:P76)</f>
        <v>0</v>
      </c>
      <c r="Q77" s="898">
        <f>SUM(Q75:Q76)</f>
        <v>0</v>
      </c>
      <c r="R77" s="65"/>
      <c r="S77" s="65"/>
      <c r="T77" s="339"/>
    </row>
    <row r="78" spans="1:20" hidden="1">
      <c r="A78" s="7"/>
      <c r="B78" s="968"/>
      <c r="C78" s="968"/>
      <c r="D78" s="7"/>
      <c r="E78" s="7"/>
      <c r="F78" s="7"/>
      <c r="G78" s="7"/>
      <c r="H78" s="134"/>
      <c r="I78" s="134"/>
      <c r="J78" s="134"/>
      <c r="K78" s="7"/>
      <c r="L78" s="994"/>
      <c r="M78" s="134"/>
      <c r="N78" s="134"/>
      <c r="O78" s="134"/>
      <c r="P78" s="262"/>
      <c r="Q78" s="134"/>
      <c r="R78" s="949"/>
      <c r="S78" s="949"/>
    </row>
    <row r="79" spans="1:20" hidden="1">
      <c r="A79" s="2290" t="s">
        <v>713</v>
      </c>
      <c r="B79" s="2291"/>
      <c r="C79" s="935" t="s">
        <v>27</v>
      </c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7"/>
      <c r="R79" s="949"/>
      <c r="S79" s="949"/>
    </row>
    <row r="80" spans="1:20" hidden="1">
      <c r="A80" s="685" t="s">
        <v>1</v>
      </c>
      <c r="B80" s="723" t="s">
        <v>100</v>
      </c>
      <c r="C80" s="687" t="s">
        <v>97</v>
      </c>
      <c r="D80" s="724" t="s">
        <v>95</v>
      </c>
      <c r="E80" s="137" t="s">
        <v>494</v>
      </c>
      <c r="F80" s="138" t="s">
        <v>495</v>
      </c>
      <c r="G80" s="139" t="s">
        <v>496</v>
      </c>
      <c r="H80" s="140" t="s">
        <v>101</v>
      </c>
      <c r="I80" s="141" t="s">
        <v>98</v>
      </c>
      <c r="J80" s="141" t="s">
        <v>96</v>
      </c>
      <c r="K80" s="141" t="s">
        <v>715</v>
      </c>
      <c r="L80" s="216" t="s">
        <v>716</v>
      </c>
      <c r="M80" s="217">
        <v>0</v>
      </c>
      <c r="N80" s="218">
        <v>1</v>
      </c>
      <c r="O80" s="218">
        <v>2</v>
      </c>
      <c r="P80" s="218">
        <v>3</v>
      </c>
      <c r="Q80" s="219" t="s">
        <v>1367</v>
      </c>
      <c r="R80" s="950"/>
      <c r="S80" s="950"/>
      <c r="T80" s="951"/>
    </row>
    <row r="81" spans="1:20" hidden="1">
      <c r="A81" s="936" t="s">
        <v>73</v>
      </c>
      <c r="B81" s="937">
        <f>VLOOKUP(A81,'Индивидуальный план'!$F$15:$H$24,2,0)</f>
        <v>685</v>
      </c>
      <c r="C81" s="937">
        <f>VLOOKUP(A81,'Индивидуальный план'!$F$15:$H$24,3,0)</f>
        <v>58063399.594999999</v>
      </c>
      <c r="D81" s="938"/>
      <c r="E81" s="148">
        <f>SUMIFS(февр23141113[м2],февр23141113[МОП],$A81,февр23141113[№ дома],$C$79,февр23141113[Ком],"&lt;&gt;Офис")</f>
        <v>0</v>
      </c>
      <c r="F81" s="939">
        <f>SUMIFS(февр23141113[сумма без отделки],февр23141113[МОП],$A81,февр23141113[№ дома],$C$79,февр23141113[Ком],"&lt;&gt;Офис")</f>
        <v>0</v>
      </c>
      <c r="G81" s="940">
        <f>COUNTIFS(февр23141113[МОП],$A81,февр23141113[№ дома],$C$79,февр23141113[Ком],"&lt;&gt;Офис")</f>
        <v>0</v>
      </c>
      <c r="H81" s="148">
        <f>SUMIFS(РД[S],РД[Дом],$C$79,РД[МОП],A81,РД[Дата подачи на регистрацию],"&lt;="&amp;$A$1,РД[Дата подачи на регистрацию],"&gt;="&amp;DATE(YEAR($A$1),MONTH($A$1),1),РД[Состояние],"Продажа")</f>
        <v>0</v>
      </c>
      <c r="I81" s="149">
        <f>SUMIFS(РД[Стоимость без отделки итог],РД[Дом],$C$79,РД[МОП],A81,РД[Дата подачи на регистрацию],"&lt;="&amp;$A$1,РД[Дата подачи на регистрацию],"&gt;="&amp;DATE(YEAR($A$1),MONTH($A$1),1),РД[Состояние],"Продажа")</f>
        <v>0</v>
      </c>
      <c r="J81" s="220">
        <f>COUNTIFS(РД[Дом],$C$79,РД[МОП],A81,РД[Дата подачи на регистрацию],"&lt;="&amp;$A$1,РД[Дата подачи на регистрацию],"&gt;="&amp;DATE(YEAR($A$1),MONTH($A$1),1),РД[Состояние],"Продажа")</f>
        <v>0</v>
      </c>
      <c r="K81" s="943">
        <f t="shared" ref="K81:L84" si="3">IFERROR(H81/B81,"")</f>
        <v>0</v>
      </c>
      <c r="L81" s="944">
        <f t="shared" si="3"/>
        <v>0</v>
      </c>
      <c r="M81" s="183">
        <f>COUNTIFS(РД[Тип кв],M$80,РД[МОП],$A81,РД[Дом],$C$79,РД[Дата подачи на регистрацию],"&lt;="&amp;$A$1,РД[Дата подачи на регистрацию],"&gt;="&amp;DATE(YEAR($A$1),MONTH($A$1),1))</f>
        <v>0</v>
      </c>
      <c r="N81" s="243">
        <f>COUNTIFS(РД[Тип кв],N$80,РД[МОП],$A81,РД[Дом],$C$79,РД[Дата подачи на регистрацию],"&lt;="&amp;$A$1,РД[Дата подачи на регистрацию],"&gt;="&amp;DATE(YEAR($A$1),MONTH($A$1),1))</f>
        <v>0</v>
      </c>
      <c r="O81" s="243">
        <f>COUNTIFS(РД[Тип кв],O$80,РД[МОП],$A81,РД[Дом],$C$79,РД[Дата подачи на регистрацию],"&lt;="&amp;$A$1,РД[Дата подачи на регистрацию],"&gt;="&amp;DATE(YEAR($A$1),MONTH($A$1),1))</f>
        <v>0</v>
      </c>
      <c r="P81" s="243">
        <f>COUNTIFS(РД[Тип кв],P$80,РД[МОП],$A81,РД[Дом],$C$79,РД[Дата подачи на регистрацию],"&lt;="&amp;$A$1,РД[Дата подачи на регистрацию],"&gt;="&amp;DATE(YEAR($A$1),MONTH($A$1),1))</f>
        <v>0</v>
      </c>
      <c r="Q81" s="246">
        <f>COUNTIFS(РД[Тип кв],Q$80,РД[МОП],$A81,РД[Дом],$C$79,РД[Дата подачи на регистрацию],"&lt;="&amp;$A$1,РД[Дата подачи на регистрацию],"&gt;="&amp;DATE(YEAR($A$1),MONTH($A$1),1))</f>
        <v>0</v>
      </c>
      <c r="R81" s="949"/>
      <c r="S81" s="949"/>
    </row>
    <row r="82" spans="1:20" hidden="1">
      <c r="A82" s="936" t="s">
        <v>8</v>
      </c>
      <c r="B82" s="937">
        <f>VLOOKUP(A82,'Индивидуальный план'!$F$15:$H$24,2,0)</f>
        <v>420</v>
      </c>
      <c r="C82" s="937">
        <f>VLOOKUP(A82,'Индивидуальный план'!$F$15:$H$24,3,0)</f>
        <v>35600916.539999999</v>
      </c>
      <c r="D82" s="938"/>
      <c r="E82" s="148">
        <f>SUMIFS(февр23141113[м2],февр23141113[МОП],$A82,февр23141113[№ дома],$C$79,февр23141113[Ком],"&lt;&gt;Офис")</f>
        <v>0</v>
      </c>
      <c r="F82" s="939">
        <f>SUMIFS(февр23141113[сумма без отделки],февр23141113[МОП],$A82,февр23141113[№ дома],$C$79,февр23141113[Ком],"&lt;&gt;Офис")</f>
        <v>0</v>
      </c>
      <c r="G82" s="940">
        <f>COUNTIFS(февр23141113[МОП],$A82,февр23141113[№ дома],$C$79,февр23141113[Ком],"&lt;&gt;Офис")</f>
        <v>0</v>
      </c>
      <c r="H82" s="148">
        <f>SUMIFS(РД[S],РД[Дом],$C$79,РД[МОП],A82,РД[Дата подачи на регистрацию],"&lt;="&amp;$A$1,РД[Дата подачи на регистрацию],"&gt;="&amp;DATE(YEAR($A$1),MONTH($A$1),1),РД[Состояние],"Продажа")</f>
        <v>0</v>
      </c>
      <c r="I82" s="149">
        <f>SUMIFS(РД[Стоимость без отделки итог],РД[Дом],$C$79,РД[МОП],A82,РД[Дата подачи на регистрацию],"&lt;="&amp;$A$1,РД[Дата подачи на регистрацию],"&gt;="&amp;DATE(YEAR($A$1),MONTH($A$1),1),РД[Состояние],"Продажа")</f>
        <v>0</v>
      </c>
      <c r="J82" s="220">
        <f>COUNTIFS(РД[Дом],$C$79,РД[МОП],A82,РД[Дата подачи на регистрацию],"&lt;="&amp;$A$1,РД[Дата подачи на регистрацию],"&gt;="&amp;DATE(YEAR($A$1),MONTH($A$1),1),РД[Состояние],"Продажа")</f>
        <v>0</v>
      </c>
      <c r="K82" s="943">
        <f t="shared" si="3"/>
        <v>0</v>
      </c>
      <c r="L82" s="944">
        <f t="shared" si="3"/>
        <v>0</v>
      </c>
      <c r="M82" s="148">
        <f>COUNTIFS(РД[Тип кв],M$80,РД[МОП],$A82,РД[Дом],$C$79,РД[Дата подачи на регистрацию],"&lt;="&amp;$A$1,РД[Дата подачи на регистрацию],"&gt;="&amp;DATE(YEAR($A$1),MONTH($A$1),1))</f>
        <v>0</v>
      </c>
      <c r="N82" s="220">
        <f>COUNTIFS(РД[Тип кв],N$80,РД[МОП],$A82,РД[Дом],$C$79,РД[Дата подачи на регистрацию],"&lt;="&amp;$A$1,РД[Дата подачи на регистрацию],"&gt;="&amp;DATE(YEAR($A$1),MONTH($A$1),1))</f>
        <v>0</v>
      </c>
      <c r="O82" s="220">
        <f>COUNTIFS(РД[Тип кв],O$80,РД[МОП],$A82,РД[Дом],$C$79,РД[Дата подачи на регистрацию],"&lt;="&amp;$A$1,РД[Дата подачи на регистрацию],"&gt;="&amp;DATE(YEAR($A$1),MONTH($A$1),1))</f>
        <v>0</v>
      </c>
      <c r="P82" s="220">
        <f>COUNTIFS(РД[Тип кв],P$80,РД[МОП],$A82,РД[Дом],$C$79,РД[Дата подачи на регистрацию],"&lt;="&amp;$A$1,РД[Дата подачи на регистрацию],"&gt;="&amp;DATE(YEAR($A$1),MONTH($A$1),1))</f>
        <v>0</v>
      </c>
      <c r="Q82" s="223">
        <f>COUNTIFS(РД[Тип кв],Q$80,РД[МОП],$A82,РД[Дом],$C$79,РД[Дата подачи на регистрацию],"&lt;="&amp;$A$1,РД[Дата подачи на регистрацию],"&gt;="&amp;DATE(YEAR($A$1),MONTH($A$1),1))</f>
        <v>0</v>
      </c>
      <c r="R82" s="949"/>
      <c r="S82" s="949"/>
    </row>
    <row r="83" spans="1:20" hidden="1">
      <c r="A83" s="952" t="s">
        <v>77</v>
      </c>
      <c r="B83" s="937">
        <f>VLOOKUP(A83,'Индивидуальный план'!$F$15:$H$24,2,0)</f>
        <v>592</v>
      </c>
      <c r="C83" s="937">
        <f>VLOOKUP(A83,'Индивидуальный план'!$F$15:$H$24,3,0)</f>
        <v>50180339.504000001</v>
      </c>
      <c r="D83" s="953"/>
      <c r="E83" s="202">
        <f>SUMIFS(февр23141113[м2],февр23141113[МОП],$A83,февр23141113[№ дома],$C$79,февр23141113[Ком],"&lt;&gt;Офис")</f>
        <v>0</v>
      </c>
      <c r="F83" s="954">
        <f>SUMIFS(февр23141113[сумма без отделки],февр23141113[МОП],$A83,февр23141113[№ дома],$C$79,февр23141113[Ком],"&lt;&gt;Офис")</f>
        <v>0</v>
      </c>
      <c r="G83" s="955">
        <f>COUNTIFS(февр23141113[МОП],$A83,февр23141113[№ дома],$C$79,февр23141113[Ком],"&lt;&gt;Офис")</f>
        <v>0</v>
      </c>
      <c r="H83" s="148">
        <f>SUMIFS(РД[S],РД[Дом],$C$79,РД[МОП],A83,РД[Дата подачи на регистрацию],"&lt;="&amp;$A$1,РД[Дата подачи на регистрацию],"&gt;="&amp;DATE(YEAR($A$1),MONTH($A$1),1),РД[Состояние],"Продажа")</f>
        <v>0</v>
      </c>
      <c r="I83" s="149">
        <f>SUMIFS(РД[Стоимость без отделки итог],РД[Дом],$C$79,РД[МОП],A83,РД[Дата подачи на регистрацию],"&lt;="&amp;$A$1,РД[Дата подачи на регистрацию],"&gt;="&amp;DATE(YEAR($A$1),MONTH($A$1),1),РД[Состояние],"Продажа")</f>
        <v>0</v>
      </c>
      <c r="J83" s="220">
        <f>COUNTIFS(РД[Дом],$C$79,РД[МОП],A83,РД[Дата подачи на регистрацию],"&lt;="&amp;$A$1,РД[Дата подачи на регистрацию],"&gt;="&amp;DATE(YEAR($A$1),MONTH($A$1),1),РД[Состояние],"Продажа")</f>
        <v>0</v>
      </c>
      <c r="K83" s="987">
        <f t="shared" si="3"/>
        <v>0</v>
      </c>
      <c r="L83" s="988">
        <f t="shared" si="3"/>
        <v>0</v>
      </c>
      <c r="M83" s="202">
        <f>COUNTIFS(РД[Тип кв],M$80,РД[МОП],$A83,РД[Дом],$C$79,РД[Дата подачи на регистрацию],"&lt;="&amp;$A$1,РД[Дата подачи на регистрацию],"&gt;="&amp;DATE(YEAR($A$1),MONTH($A$1),1))</f>
        <v>0</v>
      </c>
      <c r="N83" s="226">
        <f>COUNTIFS(РД[Тип кв],N$80,РД[МОП],$A83,РД[Дом],$C$79,РД[Дата подачи на регистрацию],"&lt;="&amp;$A$1,РД[Дата подачи на регистрацию],"&gt;="&amp;DATE(YEAR($A$1),MONTH($A$1),1))</f>
        <v>0</v>
      </c>
      <c r="O83" s="226">
        <f>COUNTIFS(РД[Тип кв],O$80,РД[МОП],$A83,РД[Дом],$C$79,РД[Дата подачи на регистрацию],"&lt;="&amp;$A$1,РД[Дата подачи на регистрацию],"&gt;="&amp;DATE(YEAR($A$1),MONTH($A$1),1))</f>
        <v>0</v>
      </c>
      <c r="P83" s="226">
        <f>COUNTIFS(РД[Тип кв],P$80,РД[МОП],$A83,РД[Дом],$C$79,РД[Дата подачи на регистрацию],"&lt;="&amp;$A$1,РД[Дата подачи на регистрацию],"&gt;="&amp;DATE(YEAR($A$1),MONTH($A$1),1))</f>
        <v>0</v>
      </c>
      <c r="Q83" s="227">
        <f>COUNTIFS(РД[Тип кв],Q$80,РД[МОП],$A83,РД[Дом],$C$79,РД[Дата подачи на регистрацию],"&lt;="&amp;$A$1,РД[Дата подачи на регистрацию],"&gt;="&amp;DATE(YEAR($A$1),MONTH($A$1),1))</f>
        <v>0</v>
      </c>
      <c r="R83" s="949"/>
      <c r="S83" s="949"/>
    </row>
    <row r="84" spans="1:20" hidden="1">
      <c r="A84" s="956" t="s">
        <v>1233</v>
      </c>
      <c r="B84" s="937">
        <f>VLOOKUP(A84,'Индивидуальный план'!$F$15:$H$24,2,0)</f>
        <v>685</v>
      </c>
      <c r="C84" s="937">
        <f>VLOOKUP(A84,'Индивидуальный план'!$F$15:$H$24,3,0)</f>
        <v>58063399.594999999</v>
      </c>
      <c r="D84" s="957"/>
      <c r="E84" s="358">
        <f>SUMIFS(февр23141113[м2],февр23141113[МОП],$A84,февр23141113[№ дома],$C$79,февр23141113[Ком],"&lt;&gt;Офис")</f>
        <v>0</v>
      </c>
      <c r="F84" s="958">
        <f>SUMIFS(февр23141113[сумма без отделки],февр23141113[МОП],$A84,февр23141113[№ дома],$C$79,февр23141113[Ком],"&lt;&gt;Офис")</f>
        <v>0</v>
      </c>
      <c r="G84" s="959">
        <f>COUNTIFS(февр23141113[МОП],$A84,февр23141113[№ дома],$C$79,февр23141113[Ком],"&lt;&gt;Офис")</f>
        <v>0</v>
      </c>
      <c r="H84" s="148">
        <f>SUMIFS(РД[S],РД[Дом],$C$79,РД[МОП],A84,РД[Дата подачи на регистрацию],"&lt;="&amp;$A$1,РД[Дата подачи на регистрацию],"&gt;="&amp;DATE(YEAR($A$1),MONTH($A$1),1),РД[Состояние],"Продажа")</f>
        <v>0</v>
      </c>
      <c r="I84" s="149">
        <f>SUMIFS(РД[Стоимость без отделки итог],РД[Дом],$C$79,РД[МОП],A84,РД[Дата подачи на регистрацию],"&lt;="&amp;$A$1,РД[Дата подачи на регистрацию],"&gt;="&amp;DATE(YEAR($A$1),MONTH($A$1),1),РД[Состояние],"Продажа")</f>
        <v>0</v>
      </c>
      <c r="J84" s="220">
        <f>COUNTIFS(РД[Дом],$C$79,РД[МОП],A84,РД[Дата подачи на регистрацию],"&lt;="&amp;$A$1,РД[Дата подачи на регистрацию],"&gt;="&amp;DATE(YEAR($A$1),MONTH($A$1),1),РД[Состояние],"Продажа")</f>
        <v>0</v>
      </c>
      <c r="K84" s="987">
        <f t="shared" si="3"/>
        <v>0</v>
      </c>
      <c r="L84" s="988">
        <f t="shared" si="3"/>
        <v>0</v>
      </c>
      <c r="M84" s="195">
        <f>COUNTIFS(РД[Тип кв],M$80,РД[МОП],$A84,РД[Дом],$C$79,РД[Дата подачи на регистрацию],"&lt;="&amp;$A$1,РД[Дата подачи на регистрацию],"&gt;="&amp;DATE(YEAR($A$1),MONTH($A$1),1))</f>
        <v>0</v>
      </c>
      <c r="N84" s="251">
        <f>COUNTIFS(РД[Тип кв],N$80,РД[МОП],$A84,РД[Дом],$C$79,РД[Дата подачи на регистрацию],"&lt;="&amp;$A$1,РД[Дата подачи на регистрацию],"&gt;="&amp;DATE(YEAR($A$1),MONTH($A$1),1))</f>
        <v>0</v>
      </c>
      <c r="O84" s="251">
        <f>COUNTIFS(РД[Тип кв],O$80,РД[МОП],$A84,РД[Дом],$C$79,РД[Дата подачи на регистрацию],"&lt;="&amp;$A$1,РД[Дата подачи на регистрацию],"&gt;="&amp;DATE(YEAR($A$1),MONTH($A$1),1))</f>
        <v>0</v>
      </c>
      <c r="P84" s="251">
        <f>COUNTIFS(РД[Тип кв],P$80,РД[МОП],$A84,РД[Дом],$C$79,РД[Дата подачи на регистрацию],"&lt;="&amp;$A$1,РД[Дата подачи на регистрацию],"&gt;="&amp;DATE(YEAR($A$1),MONTH($A$1),1))</f>
        <v>0</v>
      </c>
      <c r="Q84" s="254">
        <f>COUNTIFS(РД[Тип кв],Q$80,РД[МОП],$A84,РД[Дом],$C$79,РД[Дата подачи на регистрацию],"&lt;="&amp;$A$1,РД[Дата подачи на регистрацию],"&gt;="&amp;DATE(YEAR($A$1),MONTH($A$1),1))</f>
        <v>0</v>
      </c>
      <c r="R84" s="949"/>
      <c r="S84" s="949"/>
    </row>
    <row r="85" spans="1:20" hidden="1">
      <c r="A85" s="960" t="s">
        <v>114</v>
      </c>
      <c r="B85" s="961">
        <f>SUM(B81:B84)</f>
        <v>2382</v>
      </c>
      <c r="C85" s="961">
        <f>SUM(C81:C84)</f>
        <v>201908055.234</v>
      </c>
      <c r="D85" s="962">
        <f t="shared" ref="D85:J85" si="4">SUM(D81:D84)</f>
        <v>0</v>
      </c>
      <c r="E85" s="963">
        <f t="shared" si="4"/>
        <v>0</v>
      </c>
      <c r="F85" s="964">
        <f t="shared" si="4"/>
        <v>0</v>
      </c>
      <c r="G85" s="965">
        <f t="shared" si="4"/>
        <v>0</v>
      </c>
      <c r="H85" s="961">
        <f t="shared" si="4"/>
        <v>0</v>
      </c>
      <c r="I85" s="964">
        <f t="shared" si="4"/>
        <v>0</v>
      </c>
      <c r="J85" s="962">
        <f t="shared" si="4"/>
        <v>0</v>
      </c>
      <c r="K85" s="419">
        <f>IFERROR(H85/B85,)</f>
        <v>0</v>
      </c>
      <c r="L85" s="420">
        <f>IFERROR(I85/C85,)</f>
        <v>0</v>
      </c>
      <c r="M85" s="473">
        <f>SUM(M81:M84)</f>
        <v>0</v>
      </c>
      <c r="N85" s="494">
        <f>SUM(N81:N84)</f>
        <v>0</v>
      </c>
      <c r="O85" s="494">
        <f>SUM(O81:O84)</f>
        <v>0</v>
      </c>
      <c r="P85" s="989">
        <f>SUM(P81:P84)</f>
        <v>0</v>
      </c>
      <c r="Q85" s="497">
        <f>SUM(Q81:Q84)</f>
        <v>0</v>
      </c>
      <c r="R85" s="949"/>
      <c r="S85" s="949"/>
    </row>
    <row r="86" spans="1:20" hidden="1">
      <c r="A86" s="685" t="s">
        <v>115</v>
      </c>
      <c r="B86" s="723" t="s">
        <v>100</v>
      </c>
      <c r="C86" s="693" t="s">
        <v>97</v>
      </c>
      <c r="D86" s="724" t="s">
        <v>95</v>
      </c>
      <c r="E86" s="137" t="s">
        <v>494</v>
      </c>
      <c r="F86" s="138" t="s">
        <v>495</v>
      </c>
      <c r="G86" s="139" t="s">
        <v>496</v>
      </c>
      <c r="H86" s="140" t="s">
        <v>101</v>
      </c>
      <c r="I86" s="141" t="s">
        <v>98</v>
      </c>
      <c r="J86" s="141" t="s">
        <v>96</v>
      </c>
      <c r="K86" s="495" t="s">
        <v>715</v>
      </c>
      <c r="L86" s="896" t="s">
        <v>716</v>
      </c>
      <c r="M86" s="217">
        <v>0</v>
      </c>
      <c r="N86" s="218">
        <v>1</v>
      </c>
      <c r="O86" s="218">
        <v>2</v>
      </c>
      <c r="P86" s="218">
        <v>3</v>
      </c>
      <c r="Q86" s="219" t="s">
        <v>1367</v>
      </c>
      <c r="R86" s="950"/>
      <c r="S86" s="950"/>
      <c r="T86" s="951"/>
    </row>
    <row r="87" spans="1:20" hidden="1">
      <c r="A87" s="936" t="s">
        <v>16</v>
      </c>
      <c r="B87" s="937" t="e">
        <f>'Индивидуальный план'!#REF!</f>
        <v>#REF!</v>
      </c>
      <c r="C87" s="937" t="e">
        <f>'Индивидуальный план'!#REF!</f>
        <v>#REF!</v>
      </c>
      <c r="D87" s="417"/>
      <c r="E87" s="966">
        <f>SUMIFS(февр23141113[м2],февр23141113[ИМ],A87,февр23141113[№ дома],$C$79,февр23141113[Ком],"&lt;&gt;Офис")</f>
        <v>0</v>
      </c>
      <c r="F87" s="149">
        <f>SUMIFS(февр23141113[сумма без отделки],февр23141113[ИМ],$A87,февр23141113[№ дома],$C$79,февр23141113[Ком],"&lt;&gt;Офис")</f>
        <v>0</v>
      </c>
      <c r="G87" s="940">
        <f>COUNTIFS(февр23141113[ИМ],$A87,февр23141113[№ дома],$C$79,февр23141113[Ком],"&lt;&gt;Офис")</f>
        <v>0</v>
      </c>
      <c r="H87" s="346">
        <f>SUMIFS(РД[S],РД[Дом],$C$79,РД[ИМ],A87,РД[Дата подачи на регистрацию],"&lt;="&amp;$A$1,РД[Дата подачи на регистрацию],"&gt;="&amp;DATE(YEAR($A$1),MONTH($A$1),1),РД[Состояние],"Продажа")</f>
        <v>0</v>
      </c>
      <c r="I87" s="184">
        <f>SUMIFS(РД[Стоимость без отделки итог],РД[Дом],$C$79,РД[ИМ],A87,РД[Дата подачи на регистрацию],"&lt;="&amp;$A$1,РД[Дата подачи на регистрацию],"&gt;="&amp;DATE(YEAR($A$1),MONTH($A$1),1),РД[Состояние],"Продажа")</f>
        <v>0</v>
      </c>
      <c r="J87" s="243">
        <f>COUNTIFS(РД[Дом],$C$79,РД[ИМ],A87,РД[Дата подачи на регистрацию],"&lt;="&amp;$A$1,РД[Дата подачи на регистрацию],"&gt;="&amp;DATE(YEAR($A$1),MONTH($A$1),1),РД[Состояние],"Продажа")</f>
        <v>0</v>
      </c>
      <c r="K87" s="990" t="str">
        <f>IFERROR(H87/B87,"")</f>
        <v/>
      </c>
      <c r="L87" s="991" t="str">
        <f>IFERROR(I87/C87,"")</f>
        <v/>
      </c>
      <c r="M87" s="183">
        <f>COUNTIFS(РД[Тип кв],M$80,РД[ИМ],$A87,РД[Дом],$C$79,РД[Дата подачи на регистрацию],"&lt;="&amp;$A$1,РД[Дата подачи на регистрацию],"&gt;="&amp;DATE(YEAR($A$1),MONTH($A$1),1))</f>
        <v>0</v>
      </c>
      <c r="N87" s="243">
        <f>COUNTIFS(РД[Тип кв],N$80,РД[ИМ],$A87,РД[Дом],$C$79,РД[Дата подачи на регистрацию],"&lt;="&amp;$A$1,РД[Дата подачи на регистрацию],"&gt;="&amp;DATE(YEAR($A$1),MONTH($A$1),1))</f>
        <v>0</v>
      </c>
      <c r="O87" s="243">
        <f>COUNTIFS(РД[Тип кв],O$80,РД[ИМ],$A87,РД[Дом],$C$79,РД[Дата подачи на регистрацию],"&lt;="&amp;$A$1,РД[Дата подачи на регистрацию],"&gt;="&amp;DATE(YEAR($A$1),MONTH($A$1),1))</f>
        <v>0</v>
      </c>
      <c r="P87" s="243">
        <f>COUNTIFS(РД[Тип кв],P$80,РД[ИМ],$A87,РД[Дом],$C$79,РД[Дата подачи на регистрацию],"&lt;="&amp;$A$1,РД[Дата подачи на регистрацию],"&gt;="&amp;DATE(YEAR($A$1),MONTH($A$1),1))</f>
        <v>0</v>
      </c>
      <c r="Q87" s="246">
        <f>COUNTIFS(РД[Тип кв],Q$80,РД[ИМ],$A87,РД[Дом],$C$79,РД[Дата подачи на регистрацию],"&lt;="&amp;$A$1,РД[Дата подачи на регистрацию],"&gt;="&amp;DATE(YEAR($A$1),MONTH($A$1),1))</f>
        <v>0</v>
      </c>
      <c r="R87" s="949"/>
      <c r="S87" s="949"/>
    </row>
    <row r="88" spans="1:20" hidden="1">
      <c r="A88" s="956" t="s">
        <v>22</v>
      </c>
      <c r="B88" s="937" t="e">
        <f>'Индивидуальный план'!#REF!</f>
        <v>#REF!</v>
      </c>
      <c r="C88" s="937" t="e">
        <f>'Индивидуальный план'!#REF!</f>
        <v>#REF!</v>
      </c>
      <c r="D88" s="518"/>
      <c r="E88" s="967">
        <f>SUMIFS(февр23141113[м2],февр23141113[ИМ],A88,февр23141113[№ дома],$C$79,февр23141113[Ком],"&lt;&gt;Офис")</f>
        <v>0</v>
      </c>
      <c r="F88" s="359">
        <f>SUMIFS(февр23141113[сумма без отделки],февр23141113[ИМ],$A88,февр23141113[№ дома],$C$79,февр23141113[Ком],"&lt;&gt;Офис")</f>
        <v>0</v>
      </c>
      <c r="G88" s="959">
        <f>COUNTIFS(февр23141113[ИМ],$A88,февр23141113[№ дома],$C$79,февр23141113[Ком],"&lt;&gt;Офис")</f>
        <v>0</v>
      </c>
      <c r="H88" s="426">
        <f>SUMIFS(РД[S],РД[Дом],$C$79,РД[ИМ],A88,РД[Дата подачи на регистрацию],"&lt;="&amp;$A$1,РД[Дата подачи на регистрацию],"&gt;="&amp;DATE(YEAR($A$1),MONTH($A$1),1),РД[Состояние],"Продажа")</f>
        <v>0</v>
      </c>
      <c r="I88" s="196">
        <f>SUMIFS(РД[Стоимость без отделки итог],РД[Дом],$C$79,РД[ИМ],A88,РД[Дата подачи на регистрацию],"&lt;="&amp;$A$1,РД[Дата подачи на регистрацию],"&gt;="&amp;DATE(YEAR($A$1),MONTH($A$1),1),РД[Состояние],"Продажа")</f>
        <v>0</v>
      </c>
      <c r="J88" s="251">
        <f>COUNTIFS(РД[Дом],$C$79,РД[ИМ],A88,РД[Дата подачи на регистрацию],"&lt;="&amp;$A$1,РД[Дата подачи на регистрацию],"&gt;="&amp;DATE(YEAR($A$1),MONTH($A$1),1),РД[Состояние],"Продажа")</f>
        <v>0</v>
      </c>
      <c r="K88" s="992" t="str">
        <f>IFERROR(H88/B88,"")</f>
        <v/>
      </c>
      <c r="L88" s="993" t="str">
        <f>IFERROR(I88/C88,"")</f>
        <v/>
      </c>
      <c r="M88" s="195">
        <f>COUNTIFS(РД[Тип кв],M$80,РД[ИМ],$A88,РД[Дом],$C$79,РД[Дата подачи на регистрацию],"&lt;="&amp;$A$1,РД[Дата подачи на регистрацию],"&gt;="&amp;DATE(YEAR($A$1),MONTH($A$1),1))</f>
        <v>0</v>
      </c>
      <c r="N88" s="251">
        <f>COUNTIFS(РД[Тип кв],N$80,РД[ИМ],$A88,РД[Дом],$C$79,РД[Дата подачи на регистрацию],"&lt;="&amp;$A$1,РД[Дата подачи на регистрацию],"&gt;="&amp;DATE(YEAR($A$1),MONTH($A$1),1))</f>
        <v>0</v>
      </c>
      <c r="O88" s="251">
        <f>COUNTIFS(РД[Тип кв],O$80,РД[ИМ],$A88,РД[Дом],$C$79,РД[Дата подачи на регистрацию],"&lt;="&amp;$A$1,РД[Дата подачи на регистрацию],"&gt;="&amp;DATE(YEAR($A$1),MONTH($A$1),1))</f>
        <v>0</v>
      </c>
      <c r="P88" s="251">
        <f>COUNTIFS(РД[Тип кв],P$80,РД[ИМ],$A88,РД[Дом],$C$79,РД[Дата подачи на регистрацию],"&lt;="&amp;$A$1,РД[Дата подачи на регистрацию],"&gt;="&amp;DATE(YEAR($A$1),MONTH($A$1),1))</f>
        <v>0</v>
      </c>
      <c r="Q88" s="254">
        <f>COUNTIFS(РД[Тип кв],Q$80,РД[ИМ],$A88,РД[Дом],$C$79,РД[Дата подачи на регистрацию],"&lt;="&amp;$A$1,РД[Дата подачи на регистрацию],"&gt;="&amp;DATE(YEAR($A$1),MONTH($A$1),1))</f>
        <v>0</v>
      </c>
      <c r="R88" s="949"/>
      <c r="S88" s="949"/>
    </row>
    <row r="89" spans="1:20" hidden="1">
      <c r="A89" s="409" t="s">
        <v>114</v>
      </c>
      <c r="B89" s="961" t="e">
        <f>SUM(B87:B88)</f>
        <v>#REF!</v>
      </c>
      <c r="C89" s="961" t="e">
        <f>SUM(C87:C88)</f>
        <v>#REF!</v>
      </c>
      <c r="D89" s="485">
        <f t="shared" ref="D89:J89" si="5">SUM(D87:D88)</f>
        <v>0</v>
      </c>
      <c r="E89" s="473">
        <f t="shared" si="5"/>
        <v>0</v>
      </c>
      <c r="F89" s="429">
        <f t="shared" si="5"/>
        <v>0</v>
      </c>
      <c r="G89" s="497">
        <f t="shared" si="5"/>
        <v>0</v>
      </c>
      <c r="H89" s="473">
        <f t="shared" si="5"/>
        <v>0</v>
      </c>
      <c r="I89" s="429">
        <f t="shared" si="5"/>
        <v>0</v>
      </c>
      <c r="J89" s="497">
        <f t="shared" si="5"/>
        <v>0</v>
      </c>
      <c r="K89" s="419">
        <f>IFERROR(H89/B89,)</f>
        <v>0</v>
      </c>
      <c r="L89" s="507">
        <f>IFERROR(I89/C89,)</f>
        <v>0</v>
      </c>
      <c r="M89" s="317">
        <f>SUM(M87:M88)</f>
        <v>0</v>
      </c>
      <c r="N89" s="917">
        <f>SUM(N87:N88)</f>
        <v>0</v>
      </c>
      <c r="O89" s="917">
        <f>SUM(O87:O88)</f>
        <v>0</v>
      </c>
      <c r="P89" s="917">
        <f>SUM(P87:P88)</f>
        <v>0</v>
      </c>
      <c r="Q89" s="928">
        <f>SUM(Q87:Q88)</f>
        <v>0</v>
      </c>
      <c r="R89" s="949"/>
      <c r="S89" s="949"/>
    </row>
    <row r="90" spans="1:20">
      <c r="A90" s="7"/>
      <c r="B90" s="968"/>
      <c r="C90" s="968"/>
      <c r="D90" s="969"/>
      <c r="E90" s="7"/>
      <c r="F90" s="7"/>
      <c r="G90" s="7"/>
      <c r="H90" s="134"/>
      <c r="I90" s="134"/>
      <c r="J90" s="134"/>
      <c r="K90" s="7"/>
      <c r="L90" s="994"/>
      <c r="M90" s="134"/>
      <c r="N90" s="134"/>
      <c r="O90" s="134"/>
      <c r="P90" s="262"/>
      <c r="Q90" s="134"/>
      <c r="R90" s="949"/>
      <c r="S90" s="949"/>
    </row>
    <row r="91" spans="1:20">
      <c r="A91" s="2290" t="s">
        <v>713</v>
      </c>
      <c r="B91" s="2291"/>
      <c r="C91" s="935" t="s">
        <v>7</v>
      </c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7"/>
      <c r="R91" s="949"/>
      <c r="S91" s="949"/>
    </row>
    <row r="92" spans="1:20">
      <c r="A92" s="685" t="s">
        <v>1</v>
      </c>
      <c r="B92" s="723" t="s">
        <v>100</v>
      </c>
      <c r="C92" s="687" t="s">
        <v>97</v>
      </c>
      <c r="D92" s="724" t="s">
        <v>95</v>
      </c>
      <c r="E92" s="137" t="s">
        <v>494</v>
      </c>
      <c r="F92" s="138" t="s">
        <v>495</v>
      </c>
      <c r="G92" s="139" t="s">
        <v>496</v>
      </c>
      <c r="H92" s="140" t="s">
        <v>101</v>
      </c>
      <c r="I92" s="141" t="s">
        <v>98</v>
      </c>
      <c r="J92" s="141" t="s">
        <v>96</v>
      </c>
      <c r="K92" s="141" t="s">
        <v>715</v>
      </c>
      <c r="L92" s="216" t="s">
        <v>716</v>
      </c>
      <c r="M92" s="217">
        <v>0</v>
      </c>
      <c r="N92" s="218">
        <v>1</v>
      </c>
      <c r="O92" s="218">
        <v>2</v>
      </c>
      <c r="P92" s="218">
        <v>3</v>
      </c>
      <c r="Q92" s="219" t="s">
        <v>1367</v>
      </c>
      <c r="R92" s="949"/>
      <c r="S92" s="949"/>
    </row>
    <row r="93" spans="1:20">
      <c r="A93" s="936" t="s">
        <v>8</v>
      </c>
      <c r="B93" s="937" t="e">
        <f>VLOOKUP(A93,'Индивидуальный план'!#REF!,2,0)</f>
        <v>#REF!</v>
      </c>
      <c r="C93" s="937" t="e">
        <f>VLOOKUP(A93,'Индивидуальный план'!#REF!,3,0)</f>
        <v>#REF!</v>
      </c>
      <c r="D93" s="938"/>
      <c r="E93" s="148">
        <f>SUMIFS(февр23141113[м2],февр23141113[МОП],$A93,февр23141113[№ дома],$C$91,февр23141113[Ком],"&lt;&gt;Офис")</f>
        <v>556.41999999999996</v>
      </c>
      <c r="F93" s="939">
        <f>SUMIFS(февр23141113[сумма без отделки],февр23141113[МОП],$A93,февр23141113[№ дома],$C$91,февр23141113[Ком],"&lt;&gt;Офис")</f>
        <v>46968263.739999995</v>
      </c>
      <c r="G93" s="940">
        <f>COUNTIFS(февр23141113[МОП],$A93,февр23141113[№ дома],$C$91,февр23141113[Ком],"&lt;&gt;Офис")</f>
        <v>12</v>
      </c>
      <c r="H93" s="148">
        <f>SUMIFS(РД[S],РД[Дом],$C$91,РД[МОП],A93,РД[Дата подачи на регистрацию],"&lt;="&amp;$A$1,РД[Дата подачи на регистрацию],"&gt;="&amp;DATE(YEAR($A$1),MONTH($A$1),1),РД[Состояние],"Продажа")</f>
        <v>556.42000000000007</v>
      </c>
      <c r="I93" s="149">
        <f>SUMIFS(РД[Стоимость без отделки итог],РД[Дом],$C$91,РД[МОП],A93,РД[Дата подачи на регистрацию],"&lt;="&amp;$A$1,РД[Дата подачи на регистрацию],"&gt;="&amp;DATE(YEAR($A$1),MONTH($A$1),1),РД[Состояние],"Продажа")</f>
        <v>46395383.739999995</v>
      </c>
      <c r="J93" s="220">
        <f>COUNTIFS(РД[Дом],$C$91,РД[МОП],A93,РД[Дата подачи на регистрацию],"&lt;="&amp;$A$1,РД[Дата подачи на регистрацию],"&gt;="&amp;DATE(YEAR($A$1),MONTH($A$1),1),РД[Состояние],"Продажа")</f>
        <v>12</v>
      </c>
      <c r="K93" s="943" t="str">
        <f t="shared" ref="K93:L95" si="6">IFERROR(H93/B93,"")</f>
        <v/>
      </c>
      <c r="L93" s="944" t="str">
        <f t="shared" si="6"/>
        <v/>
      </c>
      <c r="M93" s="148">
        <f>COUNTIFS(РД[Тип кв],M$80,РД[МОП],$A93,РД[Дом],$C$91,РД[Дата подачи на регистрацию],"&lt;="&amp;$A$1,РД[Дата подачи на регистрацию],"&gt;="&amp;DATE(YEAR($A$1),MONTH($A$1),1))</f>
        <v>2</v>
      </c>
      <c r="N93" s="220">
        <f>COUNTIFS(РД[Тип кв],N$80,РД[МОП],$A93,РД[Дом],$C$91,РД[Дата подачи на регистрацию],"&lt;="&amp;$A$1,РД[Дата подачи на регистрацию],"&gt;="&amp;DATE(YEAR($A$1),MONTH($A$1),1))</f>
        <v>6</v>
      </c>
      <c r="O93" s="220">
        <f>COUNTIFS(РД[Тип кв],O$80,РД[МОП],$A93,РД[Дом],$C$91,РД[Дата подачи на регистрацию],"&lt;="&amp;$A$1,РД[Дата подачи на регистрацию],"&gt;="&amp;DATE(YEAR($A$1),MONTH($A$1),1))</f>
        <v>3</v>
      </c>
      <c r="P93" s="220">
        <f>COUNTIFS(РД[Тип кв],P$80,РД[МОП],$A93,РД[Дом],$C$91,РД[Дата подачи на регистрацию],"&lt;="&amp;$A$1,РД[Дата подачи на регистрацию],"&gt;="&amp;DATE(YEAR($A$1),MONTH($A$1),1))</f>
        <v>1</v>
      </c>
      <c r="Q93" s="223">
        <f>COUNTIFS(РД[Тип кв],Q$80,РД[МОП],$A93,РД[Дом],$C$91,РД[Дата подачи на регистрацию],"&lt;="&amp;$A$1,РД[Дата подачи на регистрацию],"&gt;="&amp;DATE(YEAR($A$1),MONTH($A$1),1))</f>
        <v>0</v>
      </c>
      <c r="R93" s="949"/>
      <c r="S93" s="949"/>
    </row>
    <row r="94" spans="1:20">
      <c r="A94" s="952" t="s">
        <v>77</v>
      </c>
      <c r="B94" s="937" t="e">
        <f>VLOOKUP(A94,'Индивидуальный план'!#REF!,2,0)</f>
        <v>#REF!</v>
      </c>
      <c r="C94" s="937" t="e">
        <f>VLOOKUP(A94,'Индивидуальный план'!#REF!,3,0)</f>
        <v>#REF!</v>
      </c>
      <c r="D94" s="953"/>
      <c r="E94" s="148">
        <f>SUMIFS(февр23141113[м2],февр23141113[МОП],$A94,февр23141113[№ дома],$C$91,февр23141113[Ком],"&lt;&gt;Офис")</f>
        <v>408.60999999999996</v>
      </c>
      <c r="F94" s="939">
        <f>SUMIFS(февр23141113[сумма без отделки],февр23141113[МОП],$A94,февр23141113[№ дома],$C$91,февр23141113[Ком],"&lt;&gt;Офис")</f>
        <v>33682180.010000005</v>
      </c>
      <c r="G94" s="940">
        <f>COUNTIFS(февр23141113[МОП],$A94,февр23141113[№ дома],$C$91,февр23141113[Ком],"&lt;&gt;Офис")</f>
        <v>9</v>
      </c>
      <c r="H94" s="148">
        <f>SUMIFS(РД[S],РД[Дом],$C$91,РД[МОП],A94,РД[Дата подачи на регистрацию],"&lt;="&amp;$A$1,РД[Дата подачи на регистрацию],"&gt;="&amp;DATE(YEAR($A$1),MONTH($A$1),1),РД[Состояние],"Продажа")</f>
        <v>542.88</v>
      </c>
      <c r="I94" s="149">
        <f>SUMIFS(РД[Стоимость без отделки итог],РД[Дом],$C$91,РД[МОП],A94,РД[Дата подачи на регистрацию],"&lt;="&amp;$A$1,РД[Дата подачи на регистрацию],"&gt;="&amp;DATE(YEAR($A$1),MONTH($A$1),1),РД[Состояние],"Продажа")</f>
        <v>44362658.229999997</v>
      </c>
      <c r="J94" s="220">
        <f>COUNTIFS(РД[Дом],$C$91,РД[МОП],A94,РД[Дата подачи на регистрацию],"&lt;="&amp;$A$1,РД[Дата подачи на регистрацию],"&gt;="&amp;DATE(YEAR($A$1),MONTH($A$1),1),РД[Состояние],"Продажа")</f>
        <v>11</v>
      </c>
      <c r="K94" s="987" t="str">
        <f t="shared" si="6"/>
        <v/>
      </c>
      <c r="L94" s="988" t="str">
        <f t="shared" si="6"/>
        <v/>
      </c>
      <c r="M94" s="202">
        <f>COUNTIFS(РД[Тип кв],M$80,РД[МОП],$A94,РД[Дом],$C$91,РД[Дата подачи на регистрацию],"&lt;="&amp;$A$1,РД[Дата подачи на регистрацию],"&gt;="&amp;DATE(YEAR($A$1),MONTH($A$1),1))</f>
        <v>2</v>
      </c>
      <c r="N94" s="226">
        <f>COUNTIFS(РД[Тип кв],N$80,РД[МОП],$A94,РД[Дом],$C$91,РД[Дата подачи на регистрацию],"&lt;="&amp;$A$1,РД[Дата подачи на регистрацию],"&gt;="&amp;DATE(YEAR($A$1),MONTH($A$1),1))</f>
        <v>2</v>
      </c>
      <c r="O94" s="226">
        <f>COUNTIFS(РД[Тип кв],O$80,РД[МОП],$A94,РД[Дом],$C$91,РД[Дата подачи на регистрацию],"&lt;="&amp;$A$1,РД[Дата подачи на регистрацию],"&gt;="&amp;DATE(YEAR($A$1),MONTH($A$1),1))</f>
        <v>6</v>
      </c>
      <c r="P94" s="226">
        <f>COUNTIFS(РД[Тип кв],P$80,РД[МОП],$A94,РД[Дом],$C$91,РД[Дата подачи на регистрацию],"&lt;="&amp;$A$1,РД[Дата подачи на регистрацию],"&gt;="&amp;DATE(YEAR($A$1),MONTH($A$1),1))</f>
        <v>1</v>
      </c>
      <c r="Q94" s="227">
        <f>COUNTIFS(РД[Тип кв],Q$80,РД[МОП],$A94,РД[Дом],$C$91,РД[Дата подачи на регистрацию],"&lt;="&amp;$A$1,РД[Дата подачи на регистрацию],"&gt;="&amp;DATE(YEAR($A$1),MONTH($A$1),1))</f>
        <v>0</v>
      </c>
      <c r="R94" s="949"/>
      <c r="S94" s="949"/>
    </row>
    <row r="95" spans="1:20">
      <c r="A95" s="956" t="s">
        <v>1233</v>
      </c>
      <c r="B95" s="937" t="e">
        <f>VLOOKUP(A95,'Индивидуальный план'!#REF!,2,0)</f>
        <v>#REF!</v>
      </c>
      <c r="C95" s="937" t="e">
        <f>VLOOKUP(A95,'Индивидуальный план'!#REF!,3,0)</f>
        <v>#REF!</v>
      </c>
      <c r="D95" s="957"/>
      <c r="E95" s="148">
        <f>SUMIFS(февр23141113[м2],февр23141113[МОП],$A95,февр23141113[№ дома],$C$91,февр23141113[Ком],"&lt;&gt;Офис")</f>
        <v>366.91</v>
      </c>
      <c r="F95" s="939">
        <f>SUMIFS(февр23141113[сумма без отделки],февр23141113[МОП],$A95,февр23141113[№ дома],$C$91,февр23141113[Ком],"&lt;&gt;Офис")</f>
        <v>28555484.479999997</v>
      </c>
      <c r="G95" s="940">
        <f>COUNTIFS(февр23141113[МОП],$A95,февр23141113[№ дома],$C$91,февр23141113[Ком],"&lt;&gt;Офис")</f>
        <v>6</v>
      </c>
      <c r="H95" s="148">
        <f>SUMIFS(РД[S],РД[Дом],$C$91,РД[МОП],A95,РД[Дата подачи на регистрацию],"&lt;="&amp;$A$1,РД[Дата подачи на регистрацию],"&gt;="&amp;DATE(YEAR($A$1),MONTH($A$1),1),РД[Состояние],"Продажа")</f>
        <v>366.91</v>
      </c>
      <c r="I95" s="149">
        <f>SUMIFS(РД[Стоимость без отделки итог],РД[Дом],$C$91,РД[МОП],A95,РД[Дата подачи на регистрацию],"&lt;="&amp;$A$1,РД[Дата подачи на регистрацию],"&gt;="&amp;DATE(YEAR($A$1),MONTH($A$1),1),РД[Состояние],"Продажа")</f>
        <v>28456275.609999999</v>
      </c>
      <c r="J95" s="220">
        <f>COUNTIFS(РД[Дом],$C$91,РД[МОП],A95,РД[Дата подачи на регистрацию],"&lt;="&amp;$A$1,РД[Дата подачи на регистрацию],"&gt;="&amp;DATE(YEAR($A$1),MONTH($A$1),1),РД[Состояние],"Продажа")</f>
        <v>6</v>
      </c>
      <c r="K95" s="987" t="str">
        <f t="shared" si="6"/>
        <v/>
      </c>
      <c r="L95" s="988" t="str">
        <f t="shared" si="6"/>
        <v/>
      </c>
      <c r="M95" s="195">
        <f>COUNTIFS(РД[Тип кв],M$80,РД[МОП],$A95,РД[Дом],$C$91,РД[Дата подачи на регистрацию],"&lt;="&amp;$A$1,РД[Дата подачи на регистрацию],"&gt;="&amp;DATE(YEAR($A$1),MONTH($A$1),1))</f>
        <v>0</v>
      </c>
      <c r="N95" s="251">
        <f>COUNTIFS(РД[Тип кв],N$80,РД[МОП],$A95,РД[Дом],$C$91,РД[Дата подачи на регистрацию],"&lt;="&amp;$A$1,РД[Дата подачи на регистрацию],"&gt;="&amp;DATE(YEAR($A$1),MONTH($A$1),1))</f>
        <v>1</v>
      </c>
      <c r="O95" s="251">
        <f>COUNTIFS(РД[Тип кв],O$80,РД[МОП],$A95,РД[Дом],$C$91,РД[Дата подачи на регистрацию],"&lt;="&amp;$A$1,РД[Дата подачи на регистрацию],"&gt;="&amp;DATE(YEAR($A$1),MONTH($A$1),1))</f>
        <v>3</v>
      </c>
      <c r="P95" s="251">
        <f>COUNTIFS(РД[Тип кв],P$80,РД[МОП],$A95,РД[Дом],$C$91,РД[Дата подачи на регистрацию],"&lt;="&amp;$A$1,РД[Дата подачи на регистрацию],"&gt;="&amp;DATE(YEAR($A$1),MONTH($A$1),1))</f>
        <v>2</v>
      </c>
      <c r="Q95" s="254">
        <f>COUNTIFS(РД[Тип кв],Q$80,РД[МОП],$A95,РД[Дом],$C$91,РД[Дата подачи на регистрацию],"&lt;="&amp;$A$1,РД[Дата подачи на регистрацию],"&gt;="&amp;DATE(YEAR($A$1),MONTH($A$1),1))</f>
        <v>0</v>
      </c>
      <c r="R95" s="949"/>
      <c r="S95" s="949"/>
    </row>
    <row r="96" spans="1:20">
      <c r="A96" s="960" t="s">
        <v>114</v>
      </c>
      <c r="B96" s="961" t="e">
        <f t="shared" ref="B96:J96" si="7">SUM(B93:B95)</f>
        <v>#REF!</v>
      </c>
      <c r="C96" s="961" t="e">
        <f t="shared" si="7"/>
        <v>#REF!</v>
      </c>
      <c r="D96" s="962">
        <f t="shared" si="7"/>
        <v>0</v>
      </c>
      <c r="E96" s="963">
        <f t="shared" si="7"/>
        <v>1331.94</v>
      </c>
      <c r="F96" s="964">
        <f t="shared" si="7"/>
        <v>109205928.22999999</v>
      </c>
      <c r="G96" s="965">
        <f t="shared" si="7"/>
        <v>27</v>
      </c>
      <c r="H96" s="961">
        <f t="shared" si="7"/>
        <v>1466.2100000000003</v>
      </c>
      <c r="I96" s="964">
        <f t="shared" si="7"/>
        <v>119214317.58</v>
      </c>
      <c r="J96" s="962">
        <f t="shared" si="7"/>
        <v>29</v>
      </c>
      <c r="K96" s="419">
        <f>IFERROR(H96/B96,)</f>
        <v>0</v>
      </c>
      <c r="L96" s="420">
        <f>IFERROR(I96/C96,)</f>
        <v>0</v>
      </c>
      <c r="M96" s="473">
        <f>SUM(M93:M95)</f>
        <v>4</v>
      </c>
      <c r="N96" s="494">
        <f>SUM(N93:N95)</f>
        <v>9</v>
      </c>
      <c r="O96" s="494">
        <f>SUM(O93:O95)</f>
        <v>12</v>
      </c>
      <c r="P96" s="989">
        <f>SUM(P93:P95)</f>
        <v>4</v>
      </c>
      <c r="Q96" s="497">
        <f>SUM(Q93:Q95)</f>
        <v>0</v>
      </c>
      <c r="R96" s="949"/>
      <c r="S96" s="949"/>
    </row>
    <row r="97" spans="1:20">
      <c r="A97" s="685" t="s">
        <v>115</v>
      </c>
      <c r="B97" s="723" t="s">
        <v>100</v>
      </c>
      <c r="C97" s="693" t="s">
        <v>97</v>
      </c>
      <c r="D97" s="724" t="s">
        <v>95</v>
      </c>
      <c r="E97" s="137" t="s">
        <v>494</v>
      </c>
      <c r="F97" s="138" t="s">
        <v>495</v>
      </c>
      <c r="G97" s="139" t="s">
        <v>496</v>
      </c>
      <c r="H97" s="140" t="s">
        <v>101</v>
      </c>
      <c r="I97" s="141" t="s">
        <v>98</v>
      </c>
      <c r="J97" s="141" t="s">
        <v>96</v>
      </c>
      <c r="K97" s="495" t="s">
        <v>715</v>
      </c>
      <c r="L97" s="896" t="s">
        <v>716</v>
      </c>
      <c r="M97" s="995">
        <v>0</v>
      </c>
      <c r="N97" s="996">
        <v>1</v>
      </c>
      <c r="O97" s="996">
        <v>2</v>
      </c>
      <c r="P97" s="996">
        <v>3</v>
      </c>
      <c r="Q97" s="219" t="s">
        <v>1367</v>
      </c>
      <c r="R97" s="949"/>
      <c r="S97" s="949"/>
    </row>
    <row r="98" spans="1:20">
      <c r="A98" s="936" t="s">
        <v>16</v>
      </c>
      <c r="B98" s="937" t="e">
        <f>VLOOKUP(A98,'Индивидуальный план'!#REF!,2,0)</f>
        <v>#REF!</v>
      </c>
      <c r="C98" s="937" t="e">
        <f>VLOOKUP(A98,'Индивидуальный план'!#REF!,3,0)</f>
        <v>#REF!</v>
      </c>
      <c r="D98" s="417"/>
      <c r="E98" s="966">
        <f>SUMIFS(февр23141113[м2],февр23141113[ИМ],A98,февр23141113[№ дома],$C$91,февр23141113[Ком],"&lt;&gt;Офис")</f>
        <v>887.7399999999999</v>
      </c>
      <c r="F98" s="149">
        <f>SUMIFS(февр23141113[сумма без отделки],февр23141113[ИМ],$A98,февр23141113[№ дома],$C$91,февр23141113[Ком],"&lt;&gt;Офис")</f>
        <v>73299465.709999993</v>
      </c>
      <c r="G98" s="940">
        <f>COUNTIFS(февр23141113[ИМ],$A98,февр23141113[№ дома],$C$91,февр23141113[Ком],"&lt;&gt;Офис")</f>
        <v>18</v>
      </c>
      <c r="H98" s="346">
        <f>SUMIFS(РД[S],РД[Дом],$C$91,РД[ИМ],A98,РД[Дата подачи на регистрацию],"&lt;="&amp;$A$1,РД[Дата подачи на регистрацию],"&gt;="&amp;DATE(YEAR($A$1),MONTH($A$1),1),РД[Состояние],"Продажа")</f>
        <v>887.73999999999978</v>
      </c>
      <c r="I98" s="184">
        <f>SUMIFS(РД[Стоимость без отделки итог],РД[Дом],$C$91,РД[ИМ],A98,РД[Дата подачи на регистрацию],"&lt;="&amp;$A$1,РД[Дата подачи на регистрацию],"&gt;="&amp;DATE(YEAR($A$1),MONTH($A$1),1),РД[Состояние],"Продажа")</f>
        <v>72726563.400000006</v>
      </c>
      <c r="J98" s="243">
        <f>COUNTIFS(РД[Дом],$C$91,РД[ИМ],A98,РД[Дата подачи на регистрацию],"&lt;="&amp;$A$1,РД[Дата подачи на регистрацию],"&gt;="&amp;DATE(YEAR($A$1),MONTH($A$1),1),РД[Состояние],"Продажа")</f>
        <v>18</v>
      </c>
      <c r="K98" s="990" t="str">
        <f t="shared" ref="K98:L100" si="8">IFERROR(H98/B98,"")</f>
        <v/>
      </c>
      <c r="L98" s="991" t="str">
        <f t="shared" si="8"/>
        <v/>
      </c>
      <c r="M98" s="183">
        <f>COUNTIFS(РД[Тип кв],M$80,РД[ИМ],$A98,РД[Дом],$C$91,РД[Дата подачи на регистрацию],"&lt;="&amp;$A$1,РД[Дата подачи на регистрацию],"&gt;="&amp;DATE(YEAR($A$1),MONTH($A$1),1))</f>
        <v>2</v>
      </c>
      <c r="N98" s="243">
        <f>COUNTIFS(РД[Тип кв],N$80,РД[ИМ],$A98,РД[Дом],$C$91,РД[Дата подачи на регистрацию],"&lt;="&amp;$A$1,РД[Дата подачи на регистрацию],"&gt;="&amp;DATE(YEAR($A$1),MONTH($A$1),1))</f>
        <v>6</v>
      </c>
      <c r="O98" s="243">
        <f>COUNTIFS(РД[Тип кв],O$80,РД[ИМ],$A98,РД[Дом],$C$91,РД[Дата подачи на регистрацию],"&lt;="&amp;$A$1,РД[Дата подачи на регистрацию],"&gt;="&amp;DATE(YEAR($A$1),MONTH($A$1),1))</f>
        <v>8</v>
      </c>
      <c r="P98" s="243">
        <f>COUNTIFS(РД[Тип кв],P$80,РД[ИМ],$A98,РД[Дом],$C$91,РД[Дата подачи на регистрацию],"&lt;="&amp;$A$1,РД[Дата подачи на регистрацию],"&gt;="&amp;DATE(YEAR($A$1),MONTH($A$1),1))</f>
        <v>2</v>
      </c>
      <c r="Q98" s="246">
        <f>COUNTIFS(РД[Тип кв],Q$80,РД[ИМ],$A98,РД[Дом],$C$91,РД[Дата подачи на регистрацию],"&lt;="&amp;$A$1,РД[Дата подачи на регистрацию],"&gt;="&amp;DATE(YEAR($A$1),MONTH($A$1),1))</f>
        <v>0</v>
      </c>
      <c r="R98" s="949"/>
      <c r="S98" s="949"/>
    </row>
    <row r="99" spans="1:20">
      <c r="A99" s="956" t="s">
        <v>22</v>
      </c>
      <c r="B99" s="937" t="e">
        <f>VLOOKUP(A99,'Индивидуальный план'!#REF!,2,0)</f>
        <v>#REF!</v>
      </c>
      <c r="C99" s="937" t="e">
        <f>VLOOKUP(A99,'Индивидуальный план'!#REF!,3,0)</f>
        <v>#REF!</v>
      </c>
      <c r="D99" s="518"/>
      <c r="E99" s="966">
        <f>SUMIFS(февр23141113[м2],февр23141113[ИМ],A99,февр23141113[№ дома],$C$91,февр23141113[Ком],"&lt;&gt;Офис")</f>
        <v>345.82</v>
      </c>
      <c r="F99" s="149">
        <f>SUMIFS(февр23141113[сумма без отделки],февр23141113[ИМ],$A99,февр23141113[№ дома],$C$91,февр23141113[Ком],"&lt;&gt;Офис")</f>
        <v>27539654.130000003</v>
      </c>
      <c r="G99" s="940">
        <f>COUNTIFS(февр23141113[ИМ],$A99,февр23141113[№ дома],$C$91,февр23141113[Ком],"&lt;&gt;Офис")</f>
        <v>6</v>
      </c>
      <c r="H99" s="426">
        <f>SUMIFS(РД[S],РД[Дом],$C$91,РД[ИМ],A99,РД[Дата подачи на регистрацию],"&lt;="&amp;$A$1,РД[Дата подачи на регистрацию],"&gt;="&amp;DATE(YEAR($A$1),MONTH($A$1),1),РД[Состояние],"Продажа")</f>
        <v>345.82000000000005</v>
      </c>
      <c r="I99" s="196">
        <f>SUMIFS(РД[Стоимость без отделки итог],РД[Дом],$C$91,РД[ИМ],A99,РД[Дата подачи на регистрацию],"&lt;="&amp;$A$1,РД[Дата подачи на регистрацию],"&gt;="&amp;DATE(YEAR($A$1),MONTH($A$1),1),РД[Состояние],"Продажа")</f>
        <v>27539654.129999995</v>
      </c>
      <c r="J99" s="251">
        <f>COUNTIFS(РД[Дом],$C$91,РД[ИМ],A99,РД[Дата подачи на регистрацию],"&lt;="&amp;$A$1,РД[Дата подачи на регистрацию],"&gt;="&amp;DATE(YEAR($A$1),MONTH($A$1),1),РД[Состояние],"Продажа")</f>
        <v>6</v>
      </c>
      <c r="K99" s="992" t="str">
        <f t="shared" si="8"/>
        <v/>
      </c>
      <c r="L99" s="993" t="str">
        <f t="shared" si="8"/>
        <v/>
      </c>
      <c r="M99" s="358">
        <f>COUNTIFS(РД[Тип кв],M$80,РД[ИМ],$A99,РД[Дом],$C$91,РД[Дата подачи на регистрацию],"&lt;="&amp;$A$1,РД[Дата подачи на регистрацию],"&gt;="&amp;DATE(YEAR($A$1),MONTH($A$1),1))</f>
        <v>0</v>
      </c>
      <c r="N99" s="330">
        <f>COUNTIFS(РД[Тип кв],N$80,РД[ИМ],$A99,РД[Дом],$C$91,РД[Дата подачи на регистрацию],"&lt;="&amp;$A$1,РД[Дата подачи на регистрацию],"&gt;="&amp;DATE(YEAR($A$1),MONTH($A$1),1))</f>
        <v>2</v>
      </c>
      <c r="O99" s="330">
        <f>COUNTIFS(РД[Тип кв],O$80,РД[ИМ],$A99,РД[Дом],$C$91,РД[Дата подачи на регистрацию],"&lt;="&amp;$A$1,РД[Дата подачи на регистрацию],"&gt;="&amp;DATE(YEAR($A$1),MONTH($A$1),1))</f>
        <v>2</v>
      </c>
      <c r="P99" s="330">
        <f>COUNTIFS(РД[Тип кв],P$80,РД[ИМ],$A99,РД[Дом],$C$91,РД[Дата подачи на регистрацию],"&lt;="&amp;$A$1,РД[Дата подачи на регистрацию],"&gt;="&amp;DATE(YEAR($A$1),MONTH($A$1),1))</f>
        <v>2</v>
      </c>
      <c r="Q99" s="331">
        <f>COUNTIFS(РД[Тип кв],Q$80,РД[ИМ],$A99,РД[Дом],$C$91,РД[Дата подачи на регистрацию],"&lt;="&amp;$A$1,РД[Дата подачи на регистрацию],"&gt;="&amp;DATE(YEAR($A$1),MONTH($A$1),1))</f>
        <v>0</v>
      </c>
      <c r="R99" s="949"/>
      <c r="S99" s="949"/>
    </row>
    <row r="100" spans="1:20">
      <c r="A100" s="409" t="s">
        <v>114</v>
      </c>
      <c r="B100" s="961" t="e">
        <f t="shared" ref="B100:Q100" si="9">SUM(B98:B99)</f>
        <v>#REF!</v>
      </c>
      <c r="C100" s="961" t="e">
        <f t="shared" si="9"/>
        <v>#REF!</v>
      </c>
      <c r="D100" s="970">
        <f t="shared" si="9"/>
        <v>0</v>
      </c>
      <c r="E100" s="473">
        <f t="shared" si="9"/>
        <v>1233.56</v>
      </c>
      <c r="F100" s="429">
        <f t="shared" si="9"/>
        <v>100839119.84</v>
      </c>
      <c r="G100" s="497">
        <f t="shared" si="9"/>
        <v>24</v>
      </c>
      <c r="H100" s="473">
        <f t="shared" si="9"/>
        <v>1233.56</v>
      </c>
      <c r="I100" s="429">
        <f t="shared" si="9"/>
        <v>100266217.53</v>
      </c>
      <c r="J100" s="494">
        <f t="shared" si="9"/>
        <v>24</v>
      </c>
      <c r="K100" s="419" t="str">
        <f t="shared" si="8"/>
        <v/>
      </c>
      <c r="L100" s="420" t="str">
        <f t="shared" si="8"/>
        <v/>
      </c>
      <c r="M100" s="473">
        <f t="shared" si="9"/>
        <v>2</v>
      </c>
      <c r="N100" s="494">
        <f t="shared" si="9"/>
        <v>8</v>
      </c>
      <c r="O100" s="494">
        <f t="shared" si="9"/>
        <v>10</v>
      </c>
      <c r="P100" s="494">
        <f t="shared" si="9"/>
        <v>4</v>
      </c>
      <c r="Q100" s="497">
        <f t="shared" si="9"/>
        <v>0</v>
      </c>
      <c r="R100" s="949"/>
      <c r="S100" s="949"/>
    </row>
    <row r="101" spans="1:20">
      <c r="A101" s="7"/>
      <c r="B101" s="968"/>
      <c r="C101" s="968"/>
      <c r="D101" s="969"/>
      <c r="E101" s="7"/>
      <c r="F101" s="7"/>
      <c r="G101" s="7"/>
      <c r="H101" s="134"/>
      <c r="I101" s="134"/>
      <c r="J101" s="134"/>
      <c r="K101" s="7"/>
      <c r="L101" s="994"/>
      <c r="M101" s="134"/>
      <c r="N101" s="134"/>
      <c r="O101" s="134"/>
      <c r="P101" s="262"/>
      <c r="Q101" s="134"/>
      <c r="R101" s="949"/>
      <c r="S101" s="949"/>
    </row>
    <row r="102" spans="1:20">
      <c r="A102" s="2293" t="s">
        <v>713</v>
      </c>
      <c r="B102" s="2294"/>
      <c r="C102" s="972" t="s">
        <v>718</v>
      </c>
      <c r="D102" s="979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7"/>
      <c r="R102" s="949"/>
      <c r="S102" s="949"/>
    </row>
    <row r="103" spans="1:20">
      <c r="A103" s="685" t="s">
        <v>1</v>
      </c>
      <c r="B103" s="723" t="s">
        <v>100</v>
      </c>
      <c r="C103" s="687" t="s">
        <v>97</v>
      </c>
      <c r="D103" s="724" t="s">
        <v>95</v>
      </c>
      <c r="E103" s="137" t="s">
        <v>494</v>
      </c>
      <c r="F103" s="138" t="s">
        <v>495</v>
      </c>
      <c r="G103" s="139" t="s">
        <v>496</v>
      </c>
      <c r="H103" s="140" t="s">
        <v>101</v>
      </c>
      <c r="I103" s="141" t="s">
        <v>98</v>
      </c>
      <c r="J103" s="141" t="s">
        <v>96</v>
      </c>
      <c r="K103" s="141" t="s">
        <v>715</v>
      </c>
      <c r="L103" s="216" t="s">
        <v>716</v>
      </c>
      <c r="M103" s="217">
        <v>0</v>
      </c>
      <c r="N103" s="218">
        <v>1</v>
      </c>
      <c r="O103" s="218">
        <v>2</v>
      </c>
      <c r="P103" s="218">
        <v>3</v>
      </c>
      <c r="Q103" s="219" t="s">
        <v>1367</v>
      </c>
      <c r="R103" s="950"/>
      <c r="S103" s="950"/>
      <c r="T103" s="951"/>
    </row>
    <row r="104" spans="1:20">
      <c r="A104" s="936" t="s">
        <v>8</v>
      </c>
      <c r="B104" s="937" t="e">
        <f>VLOOKUP(A104,'Индивидуальный план'!#REF!,2,0)</f>
        <v>#REF!</v>
      </c>
      <c r="C104" s="937" t="e">
        <f>VLOOKUP(A104,'Индивидуальный план'!#REF!,3,0)</f>
        <v>#REF!</v>
      </c>
      <c r="D104" s="938">
        <f>D70+D82+D93</f>
        <v>0</v>
      </c>
      <c r="E104" s="148">
        <f>SUMIFS(февр23141113[м2],февр23141113[МОП],$A104,февр23141113[Ком],"&lt;&gt;Офис")</f>
        <v>556.41999999999996</v>
      </c>
      <c r="F104" s="939">
        <f>SUMIFS(февр23141113[сумма без отделки],февр23141113[МОП],$A104,февр23141113[Ком],"&lt;&gt;Офис")</f>
        <v>46968263.739999995</v>
      </c>
      <c r="G104" s="940">
        <f>COUNTIFS(февр23141113[МОП],$A104,февр23141113[Ком],"&lt;&gt;Офис")</f>
        <v>12</v>
      </c>
      <c r="H104" s="145">
        <f>SUMIFS(РД[S],РД[МОП],A104,РД[Дата подачи на регистрацию],"&lt;="&amp;$A$1,РД[Дата подачи на регистрацию],"&gt;="&amp;DATE(YEAR($A$1),MONTH($A$1),1),РД[Состояние],"Продажа")</f>
        <v>556.42000000000007</v>
      </c>
      <c r="I104" s="149">
        <f>SUMIFS(РД[Стоимость без отделки итог],РД[МОП],A104,РД[Дата подачи на регистрацию],"&lt;="&amp;$A$1,РД[Дата подачи на регистрацию],"&gt;="&amp;DATE(YEAR($A$1),MONTH($A$1),1),РД[Состояние],"Продажа")</f>
        <v>46395383.739999995</v>
      </c>
      <c r="J104" s="220">
        <f>COUNTIFS(РД[МОП],A104,РД[Дата подачи на регистрацию],"&lt;="&amp;$A$1,РД[Дата подачи на регистрацию],"&gt;="&amp;DATE(YEAR($A$1),MONTH($A$1),1),РД[Состояние],"Продажа")</f>
        <v>12</v>
      </c>
      <c r="K104" s="943" t="str">
        <f t="shared" ref="K104:L106" si="10">IFERROR(H104/B104,"")</f>
        <v/>
      </c>
      <c r="L104" s="944" t="str">
        <f t="shared" si="10"/>
        <v/>
      </c>
      <c r="M104" s="997">
        <f t="shared" ref="M104:Q106" si="11">M70+M82+M93</f>
        <v>2</v>
      </c>
      <c r="N104" s="878">
        <f t="shared" si="11"/>
        <v>6</v>
      </c>
      <c r="O104" s="878">
        <f t="shared" si="11"/>
        <v>3</v>
      </c>
      <c r="P104" s="878">
        <f t="shared" si="11"/>
        <v>1</v>
      </c>
      <c r="Q104" s="689">
        <f t="shared" si="11"/>
        <v>0</v>
      </c>
      <c r="R104" s="949"/>
      <c r="S104" s="949"/>
    </row>
    <row r="105" spans="1:20">
      <c r="A105" s="952" t="s">
        <v>77</v>
      </c>
      <c r="B105" s="937" t="e">
        <f>VLOOKUP(A105,'Индивидуальный план'!#REF!,2,0)</f>
        <v>#REF!</v>
      </c>
      <c r="C105" s="937" t="e">
        <f>VLOOKUP(A105,'Индивидуальный план'!#REF!,3,0)</f>
        <v>#REF!</v>
      </c>
      <c r="D105" s="953">
        <f>D71+D83+D94</f>
        <v>0</v>
      </c>
      <c r="E105" s="148">
        <f>SUMIFS(февр23141113[м2],февр23141113[МОП],$A105,февр23141113[Ком],"&lt;&gt;Офис")</f>
        <v>408.60999999999996</v>
      </c>
      <c r="F105" s="939">
        <f>SUMIFS(февр23141113[сумма без отделки],февр23141113[МОП],$A105,февр23141113[Ком],"&lt;&gt;Офис")</f>
        <v>33682180.010000005</v>
      </c>
      <c r="G105" s="940">
        <f>COUNTIFS(февр23141113[МОП],$A105,февр23141113[Ком],"&lt;&gt;Офис")</f>
        <v>9</v>
      </c>
      <c r="H105" s="145">
        <f>SUMIFS(РД[S],РД[МОП],A105,РД[Дата подачи на регистрацию],"&lt;="&amp;$A$1,РД[Дата подачи на регистрацию],"&gt;="&amp;DATE(YEAR($A$1),MONTH($A$1),1),РД[Состояние],"Продажа")</f>
        <v>542.88</v>
      </c>
      <c r="I105" s="149">
        <f>SUMIFS(РД[Стоимость без отделки итог],РД[МОП],A105,РД[Дата подачи на регистрацию],"&lt;="&amp;$A$1,РД[Дата подачи на регистрацию],"&gt;="&amp;DATE(YEAR($A$1),MONTH($A$1),1),РД[Состояние],"Продажа")</f>
        <v>44362658.229999997</v>
      </c>
      <c r="J105" s="220">
        <f>COUNTIFS(РД[МОП],A105,РД[Дата подачи на регистрацию],"&lt;="&amp;$A$1,РД[Дата подачи на регистрацию],"&gt;="&amp;DATE(YEAR($A$1),MONTH($A$1),1),РД[Состояние],"Продажа")</f>
        <v>11</v>
      </c>
      <c r="K105" s="987" t="str">
        <f t="shared" si="10"/>
        <v/>
      </c>
      <c r="L105" s="988" t="str">
        <f t="shared" si="10"/>
        <v/>
      </c>
      <c r="M105" s="998">
        <f t="shared" si="11"/>
        <v>2</v>
      </c>
      <c r="N105" s="326">
        <f t="shared" si="11"/>
        <v>2</v>
      </c>
      <c r="O105" s="326">
        <f t="shared" si="11"/>
        <v>6</v>
      </c>
      <c r="P105" s="326">
        <f t="shared" si="11"/>
        <v>1</v>
      </c>
      <c r="Q105" s="327">
        <f t="shared" si="11"/>
        <v>0</v>
      </c>
      <c r="R105" s="949"/>
      <c r="S105" s="949"/>
    </row>
    <row r="106" spans="1:20">
      <c r="A106" s="956" t="s">
        <v>1233</v>
      </c>
      <c r="B106" s="937" t="e">
        <f>VLOOKUP(A106,'Индивидуальный план'!#REF!,2,0)</f>
        <v>#REF!</v>
      </c>
      <c r="C106" s="937" t="e">
        <f>VLOOKUP(A106,'Индивидуальный план'!#REF!,3,0)</f>
        <v>#REF!</v>
      </c>
      <c r="D106" s="957">
        <f>D72+D84+D95</f>
        <v>0</v>
      </c>
      <c r="E106" s="148">
        <f>SUMIFS(февр23141113[м2],февр23141113[МОП],$A106,февр23141113[Ком],"&lt;&gt;Офис")</f>
        <v>366.91</v>
      </c>
      <c r="F106" s="939">
        <f>SUMIFS(февр23141113[сумма без отделки],февр23141113[МОП],$A106,февр23141113[Ком],"&lt;&gt;Офис")</f>
        <v>28555484.479999997</v>
      </c>
      <c r="G106" s="940">
        <f>COUNTIFS(февр23141113[МОП],$A106,февр23141113[Ком],"&lt;&gt;Офис")</f>
        <v>6</v>
      </c>
      <c r="H106" s="145">
        <f>SUMIFS(РД[S],РД[МОП],A106,РД[Дата подачи на регистрацию],"&lt;="&amp;$A$1,РД[Дата подачи на регистрацию],"&gt;="&amp;DATE(YEAR($A$1),MONTH($A$1),1),РД[Состояние],"Продажа")</f>
        <v>366.91</v>
      </c>
      <c r="I106" s="149">
        <f>SUMIFS(РД[Стоимость без отделки итог],РД[МОП],A106,РД[Дата подачи на регистрацию],"&lt;="&amp;$A$1,РД[Дата подачи на регистрацию],"&gt;="&amp;DATE(YEAR($A$1),MONTH($A$1),1),РД[Состояние],"Продажа")</f>
        <v>28456275.609999999</v>
      </c>
      <c r="J106" s="220">
        <f>COUNTIFS(РД[МОП],A106,РД[Дата подачи на регистрацию],"&lt;="&amp;$A$1,РД[Дата подачи на регистрацию],"&gt;="&amp;DATE(YEAR($A$1),MONTH($A$1),1),РД[Состояние],"Продажа")</f>
        <v>6</v>
      </c>
      <c r="K106" s="987" t="str">
        <f t="shared" si="10"/>
        <v/>
      </c>
      <c r="L106" s="988" t="str">
        <f t="shared" si="10"/>
        <v/>
      </c>
      <c r="M106" s="999">
        <f t="shared" si="11"/>
        <v>0</v>
      </c>
      <c r="N106" s="365">
        <f t="shared" si="11"/>
        <v>1</v>
      </c>
      <c r="O106" s="365">
        <f t="shared" si="11"/>
        <v>3</v>
      </c>
      <c r="P106" s="365">
        <f t="shared" si="11"/>
        <v>2</v>
      </c>
      <c r="Q106" s="366">
        <f t="shared" si="11"/>
        <v>0</v>
      </c>
      <c r="R106" s="949"/>
      <c r="S106" s="949"/>
    </row>
    <row r="107" spans="1:20">
      <c r="A107" s="960" t="s">
        <v>114</v>
      </c>
      <c r="B107" s="961" t="e">
        <f t="shared" ref="B107:J107" si="12">SUM(B104:B106)</f>
        <v>#REF!</v>
      </c>
      <c r="C107" s="961" t="e">
        <f t="shared" si="12"/>
        <v>#REF!</v>
      </c>
      <c r="D107" s="962">
        <f t="shared" si="12"/>
        <v>0</v>
      </c>
      <c r="E107" s="963">
        <f t="shared" si="12"/>
        <v>1331.94</v>
      </c>
      <c r="F107" s="964">
        <f t="shared" si="12"/>
        <v>109205928.22999999</v>
      </c>
      <c r="G107" s="965">
        <f t="shared" si="12"/>
        <v>27</v>
      </c>
      <c r="H107" s="961">
        <f t="shared" si="12"/>
        <v>1466.2100000000003</v>
      </c>
      <c r="I107" s="964">
        <f t="shared" si="12"/>
        <v>119214317.58</v>
      </c>
      <c r="J107" s="962">
        <f t="shared" si="12"/>
        <v>29</v>
      </c>
      <c r="K107" s="419">
        <f>IFERROR(H107/B107,)</f>
        <v>0</v>
      </c>
      <c r="L107" s="420">
        <f>IFERROR(I107/C107,)</f>
        <v>0</v>
      </c>
      <c r="M107" s="473">
        <f>SUM(M104:M106)</f>
        <v>4</v>
      </c>
      <c r="N107" s="494">
        <f>SUM(N104:N106)</f>
        <v>9</v>
      </c>
      <c r="O107" s="494">
        <f>SUM(O104:O106)</f>
        <v>12</v>
      </c>
      <c r="P107" s="989">
        <f>SUM(P104:P106)</f>
        <v>4</v>
      </c>
      <c r="Q107" s="497">
        <f>SUM(Q104:Q106)</f>
        <v>0</v>
      </c>
      <c r="R107" s="949"/>
      <c r="S107" s="949"/>
    </row>
    <row r="108" spans="1:20">
      <c r="A108" s="685" t="s">
        <v>115</v>
      </c>
      <c r="B108" s="723" t="s">
        <v>100</v>
      </c>
      <c r="C108" s="693" t="s">
        <v>97</v>
      </c>
      <c r="D108" s="724" t="s">
        <v>95</v>
      </c>
      <c r="E108" s="137" t="s">
        <v>494</v>
      </c>
      <c r="F108" s="138" t="s">
        <v>495</v>
      </c>
      <c r="G108" s="139" t="s">
        <v>496</v>
      </c>
      <c r="H108" s="980" t="s">
        <v>101</v>
      </c>
      <c r="I108" s="141" t="s">
        <v>98</v>
      </c>
      <c r="J108" s="141" t="s">
        <v>96</v>
      </c>
      <c r="K108" s="141" t="s">
        <v>715</v>
      </c>
      <c r="L108" s="216" t="s">
        <v>716</v>
      </c>
      <c r="M108" s="217">
        <v>0</v>
      </c>
      <c r="N108" s="218">
        <v>1</v>
      </c>
      <c r="O108" s="218">
        <v>2</v>
      </c>
      <c r="P108" s="218">
        <v>3</v>
      </c>
      <c r="Q108" s="219" t="s">
        <v>1367</v>
      </c>
      <c r="R108" s="950"/>
      <c r="S108" s="950"/>
      <c r="T108" s="951"/>
    </row>
    <row r="109" spans="1:20">
      <c r="A109" s="936" t="s">
        <v>16</v>
      </c>
      <c r="B109" s="937" t="e">
        <f>VLOOKUP(A109,'Индивидуальный план'!#REF!,2,0)</f>
        <v>#REF!</v>
      </c>
      <c r="C109" s="937" t="e">
        <f>VLOOKUP(A109,'Индивидуальный план'!#REF!,3,0)</f>
        <v>#REF!</v>
      </c>
      <c r="D109" s="417">
        <f>D75+D87+D98</f>
        <v>0</v>
      </c>
      <c r="E109" s="966">
        <f>SUMIFS(февр23141113[м2],февр23141113[ИМ],A109,февр23141113[Ком],"&lt;&gt;Офис")</f>
        <v>887.7399999999999</v>
      </c>
      <c r="F109" s="149">
        <f>SUMIFS(февр23141113[сумма без отделки],февр23141113[ИМ],$A109,февр23141113[Ком],"&lt;&gt;Офис")</f>
        <v>73299465.709999993</v>
      </c>
      <c r="G109" s="940">
        <f>COUNTIFS(февр23141113[ИМ],A109,февр23141113[Ком],"&lt;&gt;Офис")</f>
        <v>18</v>
      </c>
      <c r="H109" s="346">
        <f>SUMIFS(РД[S],РД[ИМ],A109,РД[Дата подачи на регистрацию],"&lt;="&amp;$A$1,РД[Дата подачи на регистрацию],"&gt;="&amp;DATE(YEAR($A$1),MONTH($A$1),1),РД[Состояние],"Продажа")</f>
        <v>887.73999999999978</v>
      </c>
      <c r="I109" s="184">
        <f>SUMIFS(РД[Стоимость без отделки итог],РД[ИМ],A109,РД[Дата подачи на регистрацию],"&lt;="&amp;$A$1,РД[Дата подачи на регистрацию],"&gt;="&amp;DATE(YEAR($A$1),MONTH($A$1),1),РД[Состояние],"Продажа")</f>
        <v>72726563.400000006</v>
      </c>
      <c r="J109" s="243">
        <f>COUNTIFS(РД[ИМ],A109,РД[Дата подачи на регистрацию],"&lt;="&amp;$A$1,РД[Дата подачи на регистрацию],"&gt;="&amp;DATE(YEAR($A$1),MONTH($A$1),1),РД[Состояние],"Продажа")</f>
        <v>18</v>
      </c>
      <c r="K109" s="990" t="str">
        <f t="shared" ref="K109:L111" si="13">IFERROR(H109/B109,"")</f>
        <v/>
      </c>
      <c r="L109" s="991" t="str">
        <f t="shared" si="13"/>
        <v/>
      </c>
      <c r="M109" s="183">
        <f t="shared" ref="M109:Q110" si="14">M75+M87</f>
        <v>0</v>
      </c>
      <c r="N109" s="243">
        <f t="shared" si="14"/>
        <v>0</v>
      </c>
      <c r="O109" s="243">
        <f t="shared" si="14"/>
        <v>0</v>
      </c>
      <c r="P109" s="243">
        <f t="shared" si="14"/>
        <v>0</v>
      </c>
      <c r="Q109" s="246">
        <f t="shared" si="14"/>
        <v>0</v>
      </c>
      <c r="R109" s="949"/>
      <c r="S109" s="949"/>
    </row>
    <row r="110" spans="1:20">
      <c r="A110" s="956" t="s">
        <v>22</v>
      </c>
      <c r="B110" s="937" t="e">
        <f>VLOOKUP(A110,'Индивидуальный план'!#REF!,2,0)</f>
        <v>#REF!</v>
      </c>
      <c r="C110" s="937" t="e">
        <f>VLOOKUP(A110,'Индивидуальный план'!#REF!,3,0)</f>
        <v>#REF!</v>
      </c>
      <c r="D110" s="518">
        <f>D76+D88+D99</f>
        <v>0</v>
      </c>
      <c r="E110" s="966">
        <f>SUMIFS(февр23141113[м2],февр23141113[ИМ],A110,февр23141113[Ком],"&lt;&gt;Офис")</f>
        <v>345.82</v>
      </c>
      <c r="F110" s="149">
        <f>SUMIFS(февр23141113[сумма без отделки],февр23141113[ИМ],$A110,февр23141113[Ком],"&lt;&gt;Офис")</f>
        <v>27539654.130000003</v>
      </c>
      <c r="G110" s="940">
        <f>COUNTIFS(февр23141113[ИМ],$A110,февр23141113[Ком],"&lt;&gt;Офис")</f>
        <v>6</v>
      </c>
      <c r="H110" s="426">
        <f>SUMIFS(РД[S],РД[ИМ],A110,РД[Дата подачи на регистрацию],"&lt;="&amp;$A$1,РД[Дата подачи на регистрацию],"&gt;="&amp;DATE(YEAR($A$1),MONTH($A$1),1),РД[Состояние],"Продажа")</f>
        <v>345.82000000000005</v>
      </c>
      <c r="I110" s="196">
        <f>SUMIFS(РД[Стоимость без отделки итог],РД[ИМ],A110,РД[Дата подачи на регистрацию],"&lt;="&amp;$A$1,РД[Дата подачи на регистрацию],"&gt;="&amp;DATE(YEAR($A$1),MONTH($A$1),1),РД[Состояние],"Продажа")</f>
        <v>27539654.129999995</v>
      </c>
      <c r="J110" s="251">
        <f>COUNTIFS(РД[ИМ],A110,РД[Дата подачи на регистрацию],"&lt;="&amp;$A$1,РД[Дата подачи на регистрацию],"&gt;="&amp;DATE(YEAR($A$1),MONTH($A$1),1),РД[Состояние],"Продажа")</f>
        <v>6</v>
      </c>
      <c r="K110" s="992" t="str">
        <f t="shared" si="13"/>
        <v/>
      </c>
      <c r="L110" s="993" t="str">
        <f t="shared" si="13"/>
        <v/>
      </c>
      <c r="M110" s="195">
        <f t="shared" si="14"/>
        <v>0</v>
      </c>
      <c r="N110" s="251">
        <f t="shared" si="14"/>
        <v>0</v>
      </c>
      <c r="O110" s="251">
        <f t="shared" si="14"/>
        <v>0</v>
      </c>
      <c r="P110" s="251">
        <f t="shared" si="14"/>
        <v>0</v>
      </c>
      <c r="Q110" s="254">
        <f t="shared" si="14"/>
        <v>0</v>
      </c>
      <c r="R110" s="949"/>
      <c r="S110" s="949"/>
    </row>
    <row r="111" spans="1:20">
      <c r="A111" s="409" t="s">
        <v>114</v>
      </c>
      <c r="B111" s="961" t="e">
        <f>SUM(B109:B110)</f>
        <v>#REF!</v>
      </c>
      <c r="C111" s="961" t="e">
        <f>SUM(C109:C110)</f>
        <v>#REF!</v>
      </c>
      <c r="D111" s="485">
        <f>SUM(D109:D110)</f>
        <v>0</v>
      </c>
      <c r="E111" s="473">
        <f t="shared" ref="E111:Q111" si="15">SUM(E109:E110)</f>
        <v>1233.56</v>
      </c>
      <c r="F111" s="429">
        <f t="shared" si="15"/>
        <v>100839119.84</v>
      </c>
      <c r="G111" s="497">
        <f t="shared" si="15"/>
        <v>24</v>
      </c>
      <c r="H111" s="484">
        <f t="shared" si="15"/>
        <v>1233.56</v>
      </c>
      <c r="I111" s="494">
        <f t="shared" si="15"/>
        <v>100266217.53</v>
      </c>
      <c r="J111" s="494">
        <f t="shared" si="15"/>
        <v>24</v>
      </c>
      <c r="K111" s="419" t="str">
        <f t="shared" si="13"/>
        <v/>
      </c>
      <c r="L111" s="507" t="str">
        <f t="shared" si="13"/>
        <v/>
      </c>
      <c r="M111" s="317">
        <f t="shared" si="15"/>
        <v>0</v>
      </c>
      <c r="N111" s="917">
        <f t="shared" si="15"/>
        <v>0</v>
      </c>
      <c r="O111" s="917">
        <f t="shared" si="15"/>
        <v>0</v>
      </c>
      <c r="P111" s="917">
        <f t="shared" si="15"/>
        <v>0</v>
      </c>
      <c r="Q111" s="928">
        <f t="shared" si="15"/>
        <v>0</v>
      </c>
      <c r="R111" s="949"/>
      <c r="S111" s="949"/>
    </row>
    <row r="112" spans="1:20">
      <c r="A112" s="134"/>
      <c r="B112" s="44"/>
      <c r="C112" s="44"/>
      <c r="D112" s="134"/>
      <c r="E112" s="134"/>
      <c r="F112" s="44"/>
      <c r="G112" s="134"/>
      <c r="H112" s="134"/>
      <c r="I112" s="134"/>
      <c r="J112" s="134"/>
      <c r="K112" s="255"/>
      <c r="L112" s="256"/>
      <c r="M112" s="134"/>
      <c r="N112" s="134"/>
      <c r="O112" s="134"/>
      <c r="P112" s="134"/>
      <c r="Q112" s="134"/>
      <c r="R112" s="949"/>
      <c r="S112" s="949"/>
    </row>
    <row r="113" spans="1:21" ht="15.75" customHeight="1">
      <c r="A113" s="2314" t="s">
        <v>1368</v>
      </c>
      <c r="B113" s="2315"/>
      <c r="C113" s="2315"/>
      <c r="D113" s="2315"/>
      <c r="E113" s="2315"/>
      <c r="F113" s="2315"/>
      <c r="G113" s="2315"/>
      <c r="H113" s="2315"/>
      <c r="I113" s="2315"/>
      <c r="J113" s="2315"/>
      <c r="K113" s="2315"/>
      <c r="L113" s="2315"/>
      <c r="M113" s="2315"/>
      <c r="N113" s="2315"/>
      <c r="O113" s="2316"/>
      <c r="P113" s="930"/>
      <c r="T113" s="931"/>
    </row>
    <row r="114" spans="1:21">
      <c r="A114" s="712" t="s">
        <v>1</v>
      </c>
      <c r="B114" s="713" t="s">
        <v>100</v>
      </c>
      <c r="C114" s="714" t="s">
        <v>97</v>
      </c>
      <c r="D114" s="715" t="s">
        <v>95</v>
      </c>
      <c r="E114" s="716" t="s">
        <v>494</v>
      </c>
      <c r="F114" s="265" t="s">
        <v>495</v>
      </c>
      <c r="G114" s="266" t="s">
        <v>496</v>
      </c>
      <c r="H114" s="140" t="s">
        <v>101</v>
      </c>
      <c r="I114" s="141" t="s">
        <v>98</v>
      </c>
      <c r="J114" s="141" t="s">
        <v>96</v>
      </c>
      <c r="K114" s="141" t="s">
        <v>715</v>
      </c>
      <c r="L114" s="216" t="s">
        <v>716</v>
      </c>
      <c r="M114" s="1000" t="s">
        <v>121</v>
      </c>
      <c r="N114" s="505" t="s">
        <v>27</v>
      </c>
      <c r="O114" s="506" t="s">
        <v>7</v>
      </c>
      <c r="T114" s="931"/>
    </row>
    <row r="115" spans="1:21">
      <c r="A115" s="936" t="s">
        <v>8</v>
      </c>
      <c r="B115" s="267"/>
      <c r="C115" s="146"/>
      <c r="D115" s="702"/>
      <c r="E115" s="416">
        <f>SUMIFS(февр23141113[м2],февр23141113[МОП],A115,февр23141113[Ком],"Офис")</f>
        <v>0</v>
      </c>
      <c r="F115" s="146">
        <f>SUMIFS(февр23141113[сумма без отделки],февр23141113[МОП],$A115,февр23141113[Ком],"оФИС")</f>
        <v>0</v>
      </c>
      <c r="G115" s="417">
        <f>COUNTIFS(февр23141113[МОП],$A115,февр23141113[Ком],"Офис")</f>
        <v>0</v>
      </c>
      <c r="H115" s="267">
        <f>SUMIFS(РД[S],РД[МОП],A115,РД[Дата подачи на регистрацию],"&lt;="&amp;$A$1,РД[Дата подачи на регистрацию],"&gt;="&amp;DATE(YEAR($A$1),MONTH($A$1),1),РД[Состояние],"Коммерция")</f>
        <v>0</v>
      </c>
      <c r="I115" s="146">
        <f>SUMIFS(РД[Стоимость без отделки итог],РД[МОП],A115,РД[Дата подачи на регистрацию],"&lt;="&amp;$A$1,РД[Дата подачи на регистрацию],"&gt;="&amp;DATE(YEAR($A$1),MONTH($A$1),1),РД[Состояние],"Коммерция")</f>
        <v>0</v>
      </c>
      <c r="J115" s="220">
        <f>COUNTIFS(РД[МОП],A115,РД[Дата подачи на регистрацию],"&lt;="&amp;$A$1,РД[Дата подачи на регистрацию],"&gt;="&amp;DATE(YEAR($A$1),MONTH($A$1),1),РД[Состояние],"Коммерция")</f>
        <v>0</v>
      </c>
      <c r="K115" s="943" t="str">
        <f t="shared" ref="K115:L119" si="16">IFERROR(H115/B115,"")</f>
        <v/>
      </c>
      <c r="L115" s="944" t="str">
        <f t="shared" si="16"/>
        <v/>
      </c>
      <c r="M115" s="148">
        <f>COUNTIFS(РД[Дом],M$114,РД[МОП],$A115,РД[Дата подачи на регистрацию],"&lt;="&amp;$A$1,РД[Дата подачи на регистрацию],"&gt;="&amp;DATE(YEAR($A$1),MONTH($A$1),1),РД[Состояние],"Коммерция")</f>
        <v>0</v>
      </c>
      <c r="N115" s="220">
        <f>COUNTIFS(РД[Дом],N$114,РД[МОП],$A115,РД[Дата подачи на регистрацию],"&lt;="&amp;$A$1,РД[Дата подачи на регистрацию],"&gt;="&amp;DATE(YEAR($A$1),MONTH($A$1),1),РД[Состояние],"Коммерция")</f>
        <v>0</v>
      </c>
      <c r="O115" s="223">
        <f>COUNTIFS(РД[Дом],O$114,РД[МОП],$A115,РД[Дата подачи на регистрацию],"&lt;="&amp;$A$1,РД[Дата подачи на регистрацию],"&gt;="&amp;DATE(YEAR($A$1),MONTH($A$1),1),РД[Состояние],"Коммерция")</f>
        <v>0</v>
      </c>
      <c r="P115" s="949"/>
      <c r="Q115" s="949"/>
      <c r="R115" s="949"/>
      <c r="S115" s="930"/>
      <c r="T115" s="931"/>
    </row>
    <row r="116" spans="1:21">
      <c r="A116" s="981" t="s">
        <v>77</v>
      </c>
      <c r="B116" s="271"/>
      <c r="C116" s="52"/>
      <c r="D116" s="717"/>
      <c r="E116" s="416">
        <f>SUMIFS(февр23141113[м2],февр23141113[МОП],A116,февр23141113[Ком],"Офис")</f>
        <v>0</v>
      </c>
      <c r="F116" s="52">
        <f>SUMIFS(февр23141113[сумма без отделки],февр23141113[МОП],$A116,февр23141113[Ком],"оФИС")</f>
        <v>0</v>
      </c>
      <c r="G116" s="421">
        <f>COUNTIFS(февр23141113[МОП],$A116,февр23141113[Ком],"Офис")</f>
        <v>0</v>
      </c>
      <c r="H116" s="271">
        <f>SUMIFS(РД[S],РД[МОП],A116,РД[Дата подачи на регистрацию],"&lt;="&amp;$A$1,РД[Дата подачи на регистрацию],"&gt;="&amp;DATE(YEAR($A$1),MONTH($A$1),1),РД[Состояние],"Коммерция")</f>
        <v>0</v>
      </c>
      <c r="I116" s="52">
        <f>SUMIFS(РД[Стоимость без отделки итог],РД[МОП],A116,РД[Дата подачи на регистрацию],"&lt;="&amp;$A$1,РД[Дата подачи на регистрацию],"&gt;="&amp;DATE(YEAR($A$1),MONTH($A$1),1),РД[Состояние],"Коммерция")</f>
        <v>0</v>
      </c>
      <c r="J116" s="220">
        <f>COUNTIFS(РД[МОП],A116,РД[Дата подачи на регистрацию],"&lt;="&amp;$A$1,РД[Дата подачи на регистрацию],"&gt;="&amp;DATE(YEAR($A$1),MONTH($A$1),1),РД[Состояние],"Коммерция")</f>
        <v>0</v>
      </c>
      <c r="K116" s="52" t="str">
        <f t="shared" si="16"/>
        <v/>
      </c>
      <c r="L116" s="546" t="str">
        <f t="shared" si="16"/>
        <v/>
      </c>
      <c r="M116" s="202">
        <f>COUNTIFS(РД[Дом],M$114,РД[МОП],$A116,РД[Дата подачи на регистрацию],"&lt;="&amp;$A$1,РД[Дата подачи на регистрацию],"&gt;="&amp;DATE(YEAR($A$1),MONTH($A$1),1),РД[Состояние],"Коммерция")</f>
        <v>0</v>
      </c>
      <c r="N116" s="226">
        <f>COUNTIFS(РД[Дом],N$114,РД[МОП],$A116,РД[Дата подачи на регистрацию],"&lt;="&amp;$A$1,РД[Дата подачи на регистрацию],"&gt;="&amp;DATE(YEAR($A$1),MONTH($A$1),1),РД[Состояние],"Коммерция")</f>
        <v>0</v>
      </c>
      <c r="O116" s="227">
        <f>COUNTIFS(РД[Дом],O$114,РД[МОП],$A116,РД[Дата подачи на регистрацию],"&lt;="&amp;$A$1,РД[Дата подачи на регистрацию],"&gt;="&amp;DATE(YEAR($A$1),MONTH($A$1),1),РД[Состояние],"Коммерция")</f>
        <v>0</v>
      </c>
      <c r="P116" s="949"/>
      <c r="Q116" s="949"/>
      <c r="R116" s="949"/>
      <c r="S116" s="930"/>
      <c r="T116" s="931"/>
    </row>
    <row r="117" spans="1:21">
      <c r="A117" s="981" t="s">
        <v>1233</v>
      </c>
      <c r="B117" s="271"/>
      <c r="C117" s="52"/>
      <c r="D117" s="717"/>
      <c r="E117" s="416">
        <f>SUMIFS(февр23141113[м2],февр23141113[МОП],A117,февр23141113[Ком],"Офис")</f>
        <v>0</v>
      </c>
      <c r="F117" s="52">
        <f>SUMIFS(февр23141113[сумма без отделки],февр23141113[МОП],$A117,февр23141113[Ком],"оФИС")</f>
        <v>0</v>
      </c>
      <c r="G117" s="421">
        <f>COUNTIFS(февр23141113[МОП],$A117,февр23141113[Ком],"Офис")</f>
        <v>0</v>
      </c>
      <c r="H117" s="271">
        <f>SUMIFS(РД[S],РД[МОП],A117,РД[Дата подачи на регистрацию],"&lt;="&amp;$A$1,РД[Дата подачи на регистрацию],"&gt;="&amp;DATE(YEAR($A$1),MONTH($A$1),1),РД[Состояние],"Коммерция")</f>
        <v>0</v>
      </c>
      <c r="I117" s="52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регистрацию],"&gt;="&amp;DATE(YEAR($A$1),MONTH($A$1),1),РД[Состояние],"Коммерция")</f>
        <v>0</v>
      </c>
      <c r="J117" s="220">
        <f>COUNTIFS(РД[МОП],A117,РД[Дата подачи на регистрацию],"&lt;="&amp;$A$1,РД[Дата подачи на регистрацию],"&gt;="&amp;DATE(YEAR($A$1),MONTH($A$1),1),РД[Состояние],"Коммерция")</f>
        <v>0</v>
      </c>
      <c r="K117" s="224" t="str">
        <f t="shared" si="16"/>
        <v/>
      </c>
      <c r="L117" s="334" t="str">
        <f t="shared" si="16"/>
        <v/>
      </c>
      <c r="M117" s="202">
        <f>COUNTIFS(РД[Дом],M$114,РД[МОП],$A117,РД[Дата подачи на регистрацию],"&lt;="&amp;$A$1,РД[Дата подачи на регистрацию],"&gt;="&amp;DATE(YEAR($A$1),MONTH($A$1),1),РД[Состояние],"Коммерция")</f>
        <v>0</v>
      </c>
      <c r="N117" s="226">
        <f>COUNTIFS(РД[Дом],N$114,РД[МОП],$A117,РД[Дата подачи на регистрацию],"&lt;="&amp;$A$1,РД[Дата подачи на регистрацию],"&gt;="&amp;DATE(YEAR($A$1),MONTH($A$1),1),РД[Состояние],"Коммерция")</f>
        <v>0</v>
      </c>
      <c r="O117" s="227">
        <f>COUNTIFS(РД[Дом],O$114,РД[МОП],$A117,РД[Дата подачи на регистрацию],"&lt;="&amp;$A$1,РД[Дата подачи на регистрацию],"&gt;="&amp;DATE(YEAR($A$1),MONTH($A$1),1),РД[Состояние],"Коммерция")</f>
        <v>0</v>
      </c>
      <c r="P117" s="949"/>
      <c r="Q117" s="949"/>
      <c r="R117" s="949"/>
      <c r="S117" s="930"/>
      <c r="T117" s="931"/>
    </row>
    <row r="118" spans="1:21">
      <c r="A118" s="982" t="s">
        <v>29</v>
      </c>
      <c r="B118" s="516"/>
      <c r="C118" s="554"/>
      <c r="D118" s="695"/>
      <c r="E118" s="416">
        <f>SUMIFS(февр23141113[м2],февр23141113[МОП],A118,февр23141113[Ком],"Офис")</f>
        <v>0</v>
      </c>
      <c r="F118" s="958">
        <f>SUMIFS(февр23141113[сумма без отделки],февр23141113[МОП],$A118,февр23141113[Ком],"оФИС")</f>
        <v>0</v>
      </c>
      <c r="G118" s="983">
        <f>COUNTIFS(февр23141113[МОП],$A118,февр23141113[Ком],"Офис")</f>
        <v>0</v>
      </c>
      <c r="H118" s="516">
        <f>SUMIFS(РД[S],РД[МОП],A118,РД[Дата подачи на регистрацию],"&lt;="&amp;$A$1,РД[Дата подачи на регистрацию],"&gt;="&amp;DATE(YEAR($A$1),MONTH($A$1),1),РД[Состояние],"Коммерция")</f>
        <v>79.2</v>
      </c>
      <c r="I118" s="554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регистрацию],"&gt;="&amp;DATE(YEAR($A$1),MONTH($A$1),1),РД[Состояние],"Коммерция")</f>
        <v>9108000</v>
      </c>
      <c r="J118" s="1001">
        <f>COUNTIFS(РД[МОП],A118,РД[Дата подачи на регистрацию],"&lt;="&amp;$A$1,РД[Дата подачи на регистрацию],"&gt;="&amp;DATE(YEAR($A$1),MONTH($A$1),1),РД[Состояние],"Коммерция")</f>
        <v>1</v>
      </c>
      <c r="K118" s="252" t="str">
        <f t="shared" si="16"/>
        <v/>
      </c>
      <c r="L118" s="253" t="str">
        <f t="shared" si="16"/>
        <v/>
      </c>
      <c r="M118" s="195">
        <f>COUNTIFS(РД[Дом],M$114,РД[МОП],$A118,РД[Дата подачи на регистрацию],"&lt;="&amp;$A$1,РД[Дата подачи на регистрацию],"&gt;="&amp;DATE(YEAR($A$1),MONTH($A$1),1),РД[Состояние],"Коммерция")</f>
        <v>0</v>
      </c>
      <c r="N118" s="251">
        <f>COUNTIFS(РД[Дом],N$114,РД[МОП],$A118,РД[Дата подачи на регистрацию],"&lt;="&amp;$A$1,РД[Дата подачи на регистрацию],"&gt;="&amp;DATE(YEAR($A$1),MONTH($A$1),1),РД[Состояние],"Коммерция")</f>
        <v>0</v>
      </c>
      <c r="O118" s="254">
        <f>COUNTIFS(РД[Дом],O$114,РД[МОП],$A118,РД[Дата подачи на регистрацию],"&lt;="&amp;$A$1,РД[Дата подачи на регистрацию],"&gt;="&amp;DATE(YEAR($A$1),MONTH($A$1),1),РД[Состояние],"Коммерция")</f>
        <v>0</v>
      </c>
      <c r="P118" s="949"/>
      <c r="Q118" s="949"/>
      <c r="R118" s="949"/>
      <c r="S118" s="930"/>
      <c r="T118" s="931"/>
    </row>
    <row r="119" spans="1:21">
      <c r="A119" s="984" t="s">
        <v>114</v>
      </c>
      <c r="B119" s="323">
        <f t="shared" ref="B119:J119" si="17">SUM(B115:B118)</f>
        <v>0</v>
      </c>
      <c r="C119" s="429">
        <f t="shared" si="17"/>
        <v>0</v>
      </c>
      <c r="D119" s="319">
        <f t="shared" si="17"/>
        <v>0</v>
      </c>
      <c r="E119" s="428">
        <f t="shared" si="17"/>
        <v>0</v>
      </c>
      <c r="F119" s="429">
        <f t="shared" si="17"/>
        <v>0</v>
      </c>
      <c r="G119" s="322">
        <f t="shared" si="17"/>
        <v>0</v>
      </c>
      <c r="H119" s="323">
        <f t="shared" si="17"/>
        <v>79.2</v>
      </c>
      <c r="I119" s="429">
        <f t="shared" si="17"/>
        <v>9108000</v>
      </c>
      <c r="J119" s="429">
        <f t="shared" si="17"/>
        <v>1</v>
      </c>
      <c r="K119" s="419" t="str">
        <f t="shared" si="16"/>
        <v/>
      </c>
      <c r="L119" s="924" t="str">
        <f t="shared" si="16"/>
        <v/>
      </c>
      <c r="M119" s="318">
        <f>SUM(M115:M118)</f>
        <v>0</v>
      </c>
      <c r="N119" s="321">
        <f>SUM(N115:N118)</f>
        <v>0</v>
      </c>
      <c r="O119" s="319">
        <f>SUM(O115:O118)</f>
        <v>0</v>
      </c>
      <c r="P119" s="949"/>
      <c r="Q119" s="949"/>
      <c r="R119" s="949"/>
      <c r="S119" s="930"/>
      <c r="T119" s="931"/>
    </row>
    <row r="120" spans="1:21">
      <c r="A120" s="685" t="s">
        <v>115</v>
      </c>
      <c r="B120" s="713" t="s">
        <v>100</v>
      </c>
      <c r="C120" s="714" t="s">
        <v>97</v>
      </c>
      <c r="D120" s="715" t="s">
        <v>95</v>
      </c>
      <c r="E120" s="716" t="s">
        <v>494</v>
      </c>
      <c r="F120" s="265" t="s">
        <v>495</v>
      </c>
      <c r="G120" s="266" t="s">
        <v>496</v>
      </c>
      <c r="H120" s="140" t="s">
        <v>101</v>
      </c>
      <c r="I120" s="141" t="s">
        <v>98</v>
      </c>
      <c r="J120" s="141" t="s">
        <v>96</v>
      </c>
      <c r="K120" s="141" t="s">
        <v>715</v>
      </c>
      <c r="L120" s="216" t="s">
        <v>716</v>
      </c>
      <c r="M120" s="1000" t="s">
        <v>121</v>
      </c>
      <c r="N120" s="505" t="s">
        <v>27</v>
      </c>
      <c r="O120" s="506" t="s">
        <v>7</v>
      </c>
      <c r="P120" s="949"/>
      <c r="Q120" s="949"/>
      <c r="R120" s="949"/>
      <c r="S120" s="930"/>
      <c r="T120" s="931"/>
    </row>
    <row r="121" spans="1:21">
      <c r="A121" s="985" t="s">
        <v>16</v>
      </c>
      <c r="B121" s="291"/>
      <c r="C121" s="292"/>
      <c r="D121" s="720"/>
      <c r="E121" s="267">
        <f>SUMIFS(февр23141113[м2],февр23141113[ИМ],A121,февр23141113[Ком],"Офис")</f>
        <v>0</v>
      </c>
      <c r="F121" s="146">
        <f>SUMIFS(февр23141113[сумма без отделки],февр23141113[ИМ],$A121,февр23141113[Ком],"оФИС")</f>
        <v>0</v>
      </c>
      <c r="G121" s="417">
        <f>COUNTIFS(февр23141113[ИМ],$A121,февр23141113[Ком],"Офис")</f>
        <v>0</v>
      </c>
      <c r="H121" s="267">
        <f>SUMIFS(РД[S],РД[ИМ],A121,РД[Дата подачи на регистрацию],"&lt;="&amp;$A$1,РД[Дата подачи на регистрацию],"&gt;="&amp;DATE(YEAR($A$1),MONTH($A$1),1),РД[Состояние],"Коммерция")</f>
        <v>0</v>
      </c>
      <c r="I121" s="146">
        <f>SUMIFS(РД[Стоимость без отделки итог],РД[ИМ],A121,РД[Дата подачи на регистрацию],"&lt;="&amp;$A$1,РД[Дата подачи на регистрацию],"&gt;="&amp;DATE(YEAR($A$1),MONTH($A$1),1),РД[Состояние],"Коммерция")</f>
        <v>0</v>
      </c>
      <c r="J121" s="220">
        <f>COUNTIFS(РД[ИМ],A121,РД[Дата подачи на регистрацию],"&lt;="&amp;$A$1,РД[Дата подачи на регистрацию],"&gt;="&amp;DATE(YEAR($A$1),MONTH($A$1),1),РД[Состояние],"Коммерция")</f>
        <v>0</v>
      </c>
      <c r="K121" s="224" t="str">
        <f t="shared" ref="K121:L123" si="18">IFERROR(H121/B121,"")</f>
        <v/>
      </c>
      <c r="L121" s="225" t="str">
        <f t="shared" si="18"/>
        <v/>
      </c>
      <c r="M121" s="183">
        <f>COUNTIFS(РД[Дом],M$114,РД[ИМ],$A121,РД[Дата подачи на регистрацию],"&lt;="&amp;$A$1,РД[Дата подачи на регистрацию],"&gt;="&amp;DATE(YEAR($A$1),MONTH($A$1),1),РД[Состояние],"Коммерция")</f>
        <v>0</v>
      </c>
      <c r="N121" s="243">
        <f>COUNTIFS(РД[Дом],N$114,РД[ИМ],$A121,РД[Дата подачи на регистрацию],"&lt;="&amp;$A$1,РД[Дата подачи на регистрацию],"&gt;="&amp;DATE(YEAR($A$1),MONTH($A$1),1),РД[Состояние],"Коммерция")</f>
        <v>0</v>
      </c>
      <c r="O121" s="246">
        <f>COUNTIFS(РД[Дом],O$114,РД[ИМ],$A121,РД[Дата подачи на регистрацию],"&lt;="&amp;$A$1,РД[Дата подачи на регистрацию],"&gt;="&amp;DATE(YEAR($A$1),MONTH($A$1),1),РД[Состояние],"Коммерция")</f>
        <v>0</v>
      </c>
      <c r="P121" s="949"/>
      <c r="Q121" s="949"/>
      <c r="R121" s="949"/>
      <c r="S121" s="930"/>
      <c r="T121" s="931"/>
    </row>
    <row r="122" spans="1:21">
      <c r="A122" s="982" t="s">
        <v>22</v>
      </c>
      <c r="B122" s="516"/>
      <c r="C122" s="554"/>
      <c r="D122" s="721"/>
      <c r="E122" s="315">
        <f>SUMIFS(февр23141113[м2],февр23141113[ИМ],A122,февр23141113[Ком],"Офис")</f>
        <v>0</v>
      </c>
      <c r="F122" s="363">
        <f>SUMIFS(февр23141113[сумма без отделки],февр23141113[ИМ],$A122,февр23141113[Ком],"оФИС")</f>
        <v>0</v>
      </c>
      <c r="G122" s="518">
        <f>COUNTIFS(февр23141113[ИМ],$A122,февр23141113[Ком],"Офис")</f>
        <v>0</v>
      </c>
      <c r="H122" s="315">
        <f>SUMIFS(РД[S],РД[ИМ],A122,РД[Дата подачи на регистрацию],"&lt;="&amp;$A$1,РД[Дата подачи на регистрацию],"&gt;="&amp;DATE(YEAR($A$1),MONTH($A$1),1),РД[Состояние],"Коммерция")</f>
        <v>0</v>
      </c>
      <c r="I122" s="363">
        <f>SUMIFS(РД[Стоимость без отделки итог],РД[ИМ],A122,РД[Дата подачи на регистрацию],"&lt;="&amp;$A$1,РД[Дата подачи на регистрацию],"&gt;="&amp;DATE(YEAR($A$1),MONTH($A$1),1),РД[Состояние],"Коммерция")</f>
        <v>0</v>
      </c>
      <c r="J122" s="220">
        <f>COUNTIFS(РД[ИМ],A122,РД[Дата подачи на регистрацию],"&lt;="&amp;$A$1,РД[Дата подачи на регистрацию],"&gt;="&amp;DATE(YEAR($A$1),MONTH($A$1),1),РД[Состояние],"Коммерция")</f>
        <v>0</v>
      </c>
      <c r="K122" s="252" t="str">
        <f t="shared" si="18"/>
        <v/>
      </c>
      <c r="L122" s="260" t="str">
        <f t="shared" si="18"/>
        <v/>
      </c>
      <c r="M122" s="195">
        <f>COUNTIFS(РД[Дом],M$114,РД[ИМ],$A122,РД[Дата подачи на регистрацию],"&lt;="&amp;$A$1,РД[Дата подачи на регистрацию],"&gt;="&amp;DATE(YEAR($A$1),MONTH($A$1),1),РД[Состояние],"Коммерция")</f>
        <v>0</v>
      </c>
      <c r="N122" s="251">
        <f>COUNTIFS(РД[Дом],N$114,РД[ИМ],$A122,РД[Дата подачи на регистрацию],"&lt;="&amp;$A$1,РД[Дата подачи на регистрацию],"&gt;="&amp;DATE(YEAR($A$1),MONTH($A$1),1),РД[Состояние],"Коммерция")</f>
        <v>0</v>
      </c>
      <c r="O122" s="254">
        <f>COUNTIFS(РД[Дом],O$114,РД[ИМ],$A122,РД[Дата подачи на регистрацию],"&lt;="&amp;$A$1,РД[Дата подачи на регистрацию],"&gt;="&amp;DATE(YEAR($A$1),MONTH($A$1),1),РД[Состояние],"Коммерция")</f>
        <v>0</v>
      </c>
      <c r="P122" s="949"/>
      <c r="Q122" s="949"/>
      <c r="R122" s="949"/>
      <c r="S122" s="930"/>
      <c r="T122" s="931"/>
    </row>
    <row r="123" spans="1:21">
      <c r="A123" s="986" t="s">
        <v>114</v>
      </c>
      <c r="B123" s="282">
        <f>SUM(B121:B122)</f>
        <v>0</v>
      </c>
      <c r="C123" s="287">
        <f>SUM(C121:C122)</f>
        <v>0</v>
      </c>
      <c r="D123" s="472">
        <f>SUM(D121:D122)</f>
        <v>0</v>
      </c>
      <c r="E123" s="323">
        <f t="shared" ref="E123:J123" si="19">SUM(E121:E122)</f>
        <v>0</v>
      </c>
      <c r="F123" s="429">
        <f t="shared" si="19"/>
        <v>0</v>
      </c>
      <c r="G123" s="322">
        <f t="shared" si="19"/>
        <v>0</v>
      </c>
      <c r="H123" s="323">
        <f t="shared" si="19"/>
        <v>0</v>
      </c>
      <c r="I123" s="429">
        <f t="shared" si="19"/>
        <v>0</v>
      </c>
      <c r="J123" s="429">
        <f t="shared" si="19"/>
        <v>0</v>
      </c>
      <c r="K123" s="419" t="str">
        <f t="shared" si="18"/>
        <v/>
      </c>
      <c r="L123" s="924" t="str">
        <f t="shared" si="18"/>
        <v/>
      </c>
      <c r="M123" s="925">
        <f>SUM(M121:M122)</f>
        <v>0</v>
      </c>
      <c r="N123" s="285">
        <f>SUM(N121:N122)</f>
        <v>0</v>
      </c>
      <c r="O123" s="305">
        <f>SUM(O121:O122)</f>
        <v>0</v>
      </c>
      <c r="P123" s="949"/>
      <c r="Q123" s="949"/>
      <c r="R123" s="949"/>
      <c r="S123" s="930"/>
      <c r="T123" s="931"/>
    </row>
    <row r="124" spans="1:21">
      <c r="A124" s="134"/>
      <c r="B124" s="44"/>
      <c r="C124" s="44"/>
      <c r="D124" s="134"/>
      <c r="E124" s="134"/>
      <c r="F124" s="44"/>
      <c r="G124" s="134"/>
      <c r="H124" s="134"/>
      <c r="I124" s="134"/>
      <c r="J124" s="134"/>
      <c r="K124" s="255"/>
      <c r="L124" s="256"/>
      <c r="M124" s="134"/>
      <c r="N124" s="134"/>
      <c r="O124" s="134"/>
      <c r="P124" s="134"/>
      <c r="Q124" s="134"/>
      <c r="R124" s="949"/>
      <c r="S124" s="949"/>
    </row>
    <row r="125" spans="1:21" ht="15">
      <c r="A125" s="2317" t="s">
        <v>945</v>
      </c>
      <c r="B125" s="2318"/>
      <c r="C125" s="2318"/>
      <c r="D125" s="2318"/>
      <c r="E125" s="2318"/>
      <c r="F125" s="2318"/>
      <c r="G125" s="2318"/>
      <c r="H125" s="2319"/>
      <c r="I125" s="2319"/>
      <c r="J125" s="2319"/>
      <c r="K125" s="2319"/>
      <c r="L125" s="2319"/>
      <c r="M125" s="2319"/>
      <c r="N125" s="2320"/>
      <c r="O125" s="949"/>
      <c r="P125" s="949"/>
      <c r="Q125" s="86"/>
      <c r="R125" s="949"/>
      <c r="S125" s="949"/>
    </row>
    <row r="126" spans="1:21">
      <c r="A126" s="685" t="s">
        <v>1</v>
      </c>
      <c r="B126" s="723" t="s">
        <v>101</v>
      </c>
      <c r="C126" s="724" t="s">
        <v>98</v>
      </c>
      <c r="D126" s="688" t="s">
        <v>96</v>
      </c>
      <c r="E126" s="137" t="s">
        <v>494</v>
      </c>
      <c r="F126" s="138" t="s">
        <v>495</v>
      </c>
      <c r="G126" s="296" t="s">
        <v>496</v>
      </c>
      <c r="H126" s="140" t="s">
        <v>946</v>
      </c>
      <c r="I126" s="141" t="s">
        <v>947</v>
      </c>
      <c r="J126" s="217">
        <v>0</v>
      </c>
      <c r="K126" s="218">
        <v>1</v>
      </c>
      <c r="L126" s="340">
        <v>2</v>
      </c>
      <c r="M126" s="218">
        <v>3</v>
      </c>
      <c r="N126" s="219" t="s">
        <v>1367</v>
      </c>
      <c r="O126" s="949"/>
      <c r="P126" s="949"/>
      <c r="Q126" s="86"/>
      <c r="R126" s="949"/>
      <c r="S126" s="949"/>
    </row>
    <row r="127" spans="1:21">
      <c r="A127" s="936" t="s">
        <v>8</v>
      </c>
      <c r="B127" s="267">
        <f>SUMIFS(РД[S],РД[МОП],A127,РД[Дата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7" s="146">
        <f>SUMIFS(РД[Стоимость без отделки итог],РД[МОП],A127,РД[Дата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7" s="702">
        <f>COUNTIFS(РД[МОП],A127,РД[Дата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7" s="514"/>
      <c r="F127" s="146"/>
      <c r="G127" s="417"/>
      <c r="H127" s="267">
        <f>SUMIFS(РД[S],РД[МОП],A127,РД[Дата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7" s="549">
        <f>SUMIFS(РД[Стоимость без отделки итог],РД[МОП],A127,РД[Дата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7" s="148">
        <f>COUNTIFS(РД[Тип кв],J$126,РД[МОП],$A127,РД[Дата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7" s="220">
        <f>COUNTIFS(РД[Тип кв],K$126,РД[МОП],$A127,РД[Дата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7" s="220">
        <f>COUNTIFS(РД[Тип кв],L$126,РД[МОП],$A127,РД[Дата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7" s="220">
        <f>COUNTIFS(РД[Тип кв],M$126,РД[МОП],$A127,РД[Дата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7" s="223">
        <f>COUNTIFS(РД[Тип кв],N$126,РД[МОП],$A127,РД[Дата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7" s="949"/>
      <c r="P127" s="949"/>
      <c r="Q127" s="86"/>
      <c r="R127" s="949"/>
      <c r="S127" s="949"/>
    </row>
    <row r="128" spans="1:21" s="930" customFormat="1">
      <c r="A128" s="981" t="s">
        <v>77</v>
      </c>
      <c r="B128" s="271">
        <f>SUMIFS(РД[S],РД[МОП],A128,РД[Дата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8" s="52">
        <f>SUMIFS(РД[Стоимость без отделки итог],РД[МОП],A128,РД[Дата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8" s="717">
        <f>COUNTIFS(РД[МОП],A128,РД[Дата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8" s="416"/>
      <c r="F128" s="52"/>
      <c r="G128" s="421"/>
      <c r="H128" s="271">
        <f>SUMIFS(РД[S],РД[МОП],A128,РД[Дата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8" s="546">
        <f>SUMIFS(РД[Стоимость без отделки итог],РД[МОП],A128,РД[Дата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8" s="202">
        <f>COUNTIFS(РД[Тип кв],J$126,РД[МОП],$A128,РД[Дата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8" s="226">
        <f>COUNTIFS(РД[Тип кв],K$126,РД[МОП],$A128,РД[Дата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8" s="226">
        <f>COUNTIFS(РД[Тип кв],L$126,РД[МОП],$A128,РД[Дата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8" s="226">
        <f>COUNTIFS(РД[Тип кв],M$126,РД[МОП],$A128,РД[Дата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8" s="227">
        <f>COUNTIFS(РД[Тип кв],N$126,РД[МОП],$A128,РД[Дата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8" s="949"/>
      <c r="P128" s="949"/>
      <c r="Q128" s="86"/>
      <c r="R128" s="949"/>
      <c r="S128" s="949"/>
      <c r="U128" s="931"/>
    </row>
    <row r="129" spans="1:21" s="930" customFormat="1">
      <c r="A129" s="981" t="s">
        <v>1233</v>
      </c>
      <c r="B129" s="271">
        <f>SUMIFS(РД[S],РД[МОП],A129,РД[Дата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9" s="52">
        <f>SUMIFS(РД[Стоимость без отделки итог],РД[МОП],A129,РД[Дата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9" s="717">
        <f>COUNTIFS(РД[МОП],A129,РД[Дата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9" s="416"/>
      <c r="F129" s="52"/>
      <c r="G129" s="421"/>
      <c r="H129" s="271">
        <f>SUMIFS(РД[S],РД[МОП],A129,РД[Дата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9" s="546">
        <f>SUMIFS(РД[Стоимость без отделки итог],РД[МОП],A129,РД[Дата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9" s="202">
        <f>COUNTIFS(РД[Тип кв],J$126,РД[МОП],$A129,РД[Дата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9" s="226">
        <f>COUNTIFS(РД[Тип кв],K$126,РД[МОП],$A129,РД[Дата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9" s="226">
        <f>COUNTIFS(РД[Тип кв],L$126,РД[МОП],$A129,РД[Дата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9" s="226">
        <f>COUNTIFS(РД[Тип кв],M$126,РД[МОП],$A129,РД[Дата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9" s="227">
        <f>COUNTIFS(РД[Тип кв],N$126,РД[МОП],$A129,РД[Дата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9" s="949"/>
      <c r="P129" s="949"/>
      <c r="Q129" s="86"/>
      <c r="R129" s="949"/>
      <c r="S129" s="949"/>
      <c r="U129" s="931"/>
    </row>
    <row r="130" spans="1:21" s="930" customFormat="1">
      <c r="A130" s="982" t="s">
        <v>29</v>
      </c>
      <c r="B130" s="516">
        <f>SUMIFS(РД[S],РД[МОП],A130,РД[Дата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0" s="554">
        <f>SUMIFS(РД[Стоимость без отделки итог],РД[МОП],A130,РД[Дата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0" s="695">
        <f>COUNTIFS(РД[МОП],A130,РД[Дата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0" s="329">
        <f>SUMIFS(февр23141113[м2],февр23141113[МОП],$A130,февр23141113[№ дома],$C$79)</f>
        <v>0</v>
      </c>
      <c r="F130" s="958">
        <f>SUMIFS(февр23141113[сумма без отделки],февр23141113[МОП],$A130,февр23141113[№ дома],$C$79)</f>
        <v>0</v>
      </c>
      <c r="G130" s="959">
        <f>COUNTIFS(февр23141113[МОП],$A130,февр23141113[№ дома],$C$79)</f>
        <v>0</v>
      </c>
      <c r="H130" s="516">
        <f>SUMIFS(РД[S],РД[МОП],A130,РД[Дата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0" s="1002">
        <f>SUMIFS(РД[Стоимость без отделки итог],РД[МОП],A130,РД[Дата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0" s="195">
        <f>COUNTIFS(РД[Тип кв],J$126,РД[МОП],$A130,РД[Дата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0" s="251">
        <f>COUNTIFS(РД[Тип кв],K$126,РД[МОП],$A130,РД[Дата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0" s="251">
        <f>COUNTIFS(РД[Тип кв],L$126,РД[МОП],$A130,РД[Дата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0" s="251">
        <f>COUNTIFS(РД[Тип кв],M$126,РД[МОП],$A130,РД[Дата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0" s="254">
        <f>COUNTIFS(РД[Тип кв],N$126,РД[МОП],$A130,РД[Дата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0" s="949"/>
      <c r="P130" s="949"/>
      <c r="Q130" s="86"/>
      <c r="R130" s="949"/>
      <c r="S130" s="949"/>
      <c r="U130" s="931"/>
    </row>
    <row r="131" spans="1:21" s="930" customFormat="1">
      <c r="A131" s="984" t="s">
        <v>114</v>
      </c>
      <c r="B131" s="323">
        <f t="shared" ref="B131:N131" si="20">SUM(B127:B130)</f>
        <v>0</v>
      </c>
      <c r="C131" s="429">
        <f t="shared" si="20"/>
        <v>0</v>
      </c>
      <c r="D131" s="319">
        <f t="shared" si="20"/>
        <v>0</v>
      </c>
      <c r="E131" s="428">
        <f t="shared" si="20"/>
        <v>0</v>
      </c>
      <c r="F131" s="429">
        <f t="shared" si="20"/>
        <v>0</v>
      </c>
      <c r="G131" s="322">
        <f t="shared" si="20"/>
        <v>0</v>
      </c>
      <c r="H131" s="323">
        <f t="shared" si="20"/>
        <v>0</v>
      </c>
      <c r="I131" s="324">
        <f t="shared" si="20"/>
        <v>0</v>
      </c>
      <c r="J131" s="284">
        <f t="shared" si="20"/>
        <v>0</v>
      </c>
      <c r="K131" s="285">
        <f t="shared" si="20"/>
        <v>0</v>
      </c>
      <c r="L131" s="285">
        <f t="shared" si="20"/>
        <v>0</v>
      </c>
      <c r="M131" s="285">
        <f t="shared" si="20"/>
        <v>0</v>
      </c>
      <c r="N131" s="305">
        <f t="shared" si="20"/>
        <v>0</v>
      </c>
      <c r="O131" s="949"/>
      <c r="P131" s="949"/>
      <c r="Q131" s="86"/>
      <c r="R131" s="949"/>
      <c r="S131" s="949"/>
      <c r="U131" s="931"/>
    </row>
    <row r="132" spans="1:21" s="930" customFormat="1">
      <c r="A132" s="725" t="s">
        <v>115</v>
      </c>
      <c r="B132" s="706" t="s">
        <v>101</v>
      </c>
      <c r="C132" s="726" t="s">
        <v>98</v>
      </c>
      <c r="D132" s="708" t="s">
        <v>96</v>
      </c>
      <c r="E132" s="486" t="s">
        <v>494</v>
      </c>
      <c r="F132" s="487" t="s">
        <v>495</v>
      </c>
      <c r="G132" s="524" t="s">
        <v>496</v>
      </c>
      <c r="H132" s="489" t="s">
        <v>946</v>
      </c>
      <c r="I132" s="525" t="s">
        <v>947</v>
      </c>
      <c r="J132" s="217">
        <v>0</v>
      </c>
      <c r="K132" s="218">
        <v>1</v>
      </c>
      <c r="L132" s="340">
        <v>2</v>
      </c>
      <c r="M132" s="218">
        <v>3</v>
      </c>
      <c r="N132" s="219" t="s">
        <v>1367</v>
      </c>
      <c r="O132" s="949"/>
      <c r="P132" s="949"/>
      <c r="Q132" s="86"/>
      <c r="R132" s="949"/>
      <c r="S132" s="949"/>
      <c r="U132" s="931"/>
    </row>
    <row r="133" spans="1:21" s="930" customFormat="1">
      <c r="A133" s="985" t="s">
        <v>16</v>
      </c>
      <c r="B133" s="291">
        <f>SUMIFS(РД[S],РД[ИМ],A133,РД[Дата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3" s="292">
        <f>SUMIFS(РД[Стоимость без отделки итог],РД[ИМ],A133,РД[Дата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3" s="694">
        <f>COUNTIFS(РД[ИМ],A133,РД[Дата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3" s="551"/>
      <c r="F133" s="292"/>
      <c r="G133" s="552"/>
      <c r="H133" s="291">
        <f>SUMIFS(РД[S],РД[ИМ],A133,РД[Дата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3" s="312">
        <f>SUMIFS(РД[Стоимость без отделки итог],РД[ИМ],A133,РД[Дата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3" s="346">
        <f>COUNTIFS(РД[Тип кв],J$126,РД[ИМ],$A133,РД[Дата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3" s="243">
        <f>COUNTIFS(РД[Тип кв],K$126,РД[ИМ],$A133,РД[Дата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3" s="243">
        <f>COUNTIFS(РД[Тип кв],L$126,РД[ИМ],$A133,РД[Дата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3" s="243">
        <f>COUNTIFS(РД[Тип кв],M$126,РД[ИМ],$A133,РД[Дата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3" s="246">
        <f>COUNTIFS(РД[Тип кв],N$126,РД[ИМ],$A133,РД[Дата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3" s="949"/>
      <c r="P133" s="949"/>
      <c r="Q133" s="86"/>
      <c r="R133" s="949"/>
      <c r="S133" s="949"/>
      <c r="U133" s="931"/>
    </row>
    <row r="134" spans="1:21" s="930" customFormat="1">
      <c r="A134" s="982" t="s">
        <v>22</v>
      </c>
      <c r="B134" s="516">
        <f>SUMIFS(РД[S],РД[ИМ],A134,РД[Дата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4" s="554">
        <f>SUMIFS(РД[Стоимость без отделки итог],РД[ИМ],A134,РД[Дата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4" s="695">
        <f>COUNTIFS(РД[ИМ],A134,РД[Дата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4" s="553"/>
      <c r="F134" s="554"/>
      <c r="G134" s="555"/>
      <c r="H134" s="516">
        <f>SUMIFS(РД[S],РД[ИМ],A134,РД[Дата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4" s="517">
        <f>SUMIFS(РД[Стоимость без отделки итог],РД[ИМ],A134,РД[Дата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4" s="426">
        <f>COUNTIFS(РД[Тип кв],J$126,РД[ИМ],$A134,РД[Дата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4" s="251">
        <f>COUNTIFS(РД[Тип кв],K$126,РД[ИМ],$A134,РД[Дата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4" s="251">
        <f>COUNTIFS(РД[Тип кв],L$126,РД[ИМ],$A134,РД[Дата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4" s="251">
        <f>COUNTIFS(РД[Тип кв],M$126,РД[ИМ],$A134,РД[Дата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4" s="254">
        <f>COUNTIFS(РД[Тип кв],N$126,РД[ИМ],$A134,РД[Дата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4" s="949"/>
      <c r="P134" s="949"/>
      <c r="Q134" s="86"/>
      <c r="R134" s="949"/>
      <c r="S134" s="949"/>
      <c r="U134" s="931"/>
    </row>
    <row r="135" spans="1:21" s="930" customFormat="1">
      <c r="A135" s="986" t="s">
        <v>114</v>
      </c>
      <c r="B135" s="282">
        <f>SUM(B133:B134)</f>
        <v>0</v>
      </c>
      <c r="C135" s="287">
        <f>SUM(C133:C134)</f>
        <v>0</v>
      </c>
      <c r="D135" s="711">
        <f>SUM(D133:D134)</f>
        <v>0</v>
      </c>
      <c r="E135" s="425">
        <f t="shared" ref="E135:N135" si="21">SUM(E133:E134)</f>
        <v>0</v>
      </c>
      <c r="F135" s="287">
        <f t="shared" si="21"/>
        <v>0</v>
      </c>
      <c r="G135" s="286">
        <f t="shared" si="21"/>
        <v>0</v>
      </c>
      <c r="H135" s="282">
        <f t="shared" si="21"/>
        <v>0</v>
      </c>
      <c r="I135" s="283">
        <f t="shared" si="21"/>
        <v>0</v>
      </c>
      <c r="J135" s="284">
        <f t="shared" si="21"/>
        <v>0</v>
      </c>
      <c r="K135" s="285">
        <f t="shared" si="21"/>
        <v>0</v>
      </c>
      <c r="L135" s="285">
        <f t="shared" si="21"/>
        <v>0</v>
      </c>
      <c r="M135" s="285">
        <f t="shared" si="21"/>
        <v>0</v>
      </c>
      <c r="N135" s="305">
        <f t="shared" si="21"/>
        <v>0</v>
      </c>
      <c r="O135" s="949"/>
      <c r="P135" s="949"/>
      <c r="Q135" s="86"/>
      <c r="R135" s="949"/>
      <c r="S135" s="949"/>
      <c r="U135" s="931"/>
    </row>
    <row r="136" spans="1:21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U136" s="931"/>
    </row>
    <row r="137" spans="1:21" s="930" customFormat="1">
      <c r="O137" s="949"/>
      <c r="P137" s="949"/>
      <c r="Q137" s="86"/>
      <c r="R137" s="949"/>
      <c r="S137" s="949"/>
      <c r="U137" s="931"/>
    </row>
    <row r="138" spans="1:21" s="930" customFormat="1">
      <c r="O138" s="949"/>
      <c r="P138" s="949"/>
      <c r="Q138" s="86"/>
      <c r="R138" s="949"/>
      <c r="S138" s="949"/>
      <c r="U138" s="931"/>
    </row>
    <row r="139" spans="1:21" s="930" customFormat="1">
      <c r="O139" s="949"/>
      <c r="P139" s="949"/>
      <c r="Q139" s="86"/>
      <c r="R139" s="949"/>
      <c r="S139" s="949"/>
      <c r="U139" s="931"/>
    </row>
    <row r="140" spans="1:21" s="930" customFormat="1">
      <c r="O140" s="949"/>
      <c r="P140" s="949"/>
      <c r="Q140" s="86"/>
      <c r="R140" s="949"/>
      <c r="S140" s="949"/>
      <c r="U140" s="931"/>
    </row>
    <row r="141" spans="1:21" s="930" customFormat="1">
      <c r="O141" s="949"/>
      <c r="P141" s="949"/>
      <c r="Q141" s="86"/>
      <c r="R141" s="949"/>
      <c r="S141" s="949"/>
      <c r="U141" s="931"/>
    </row>
    <row r="142" spans="1:21" s="930" customFormat="1">
      <c r="O142" s="949"/>
      <c r="P142" s="949"/>
      <c r="Q142" s="86"/>
      <c r="R142" s="949"/>
      <c r="S142" s="949"/>
      <c r="U142" s="931"/>
    </row>
    <row r="143" spans="1:21" s="930" customFormat="1">
      <c r="O143" s="949"/>
      <c r="P143" s="949"/>
      <c r="Q143" s="86"/>
      <c r="R143" s="949"/>
      <c r="S143" s="949"/>
      <c r="U143" s="931"/>
    </row>
    <row r="144" spans="1:21" s="930" customFormat="1">
      <c r="O144" s="949"/>
      <c r="P144" s="949"/>
      <c r="Q144" s="86"/>
      <c r="R144" s="949"/>
      <c r="S144" s="949"/>
      <c r="U144" s="931"/>
    </row>
    <row r="145" spans="1:21" s="930" customFormat="1">
      <c r="O145" s="949"/>
      <c r="P145" s="949"/>
      <c r="Q145" s="86"/>
      <c r="R145" s="949"/>
      <c r="S145" s="949"/>
      <c r="U145" s="931"/>
    </row>
    <row r="146" spans="1:21" s="930" customFormat="1">
      <c r="O146" s="949"/>
      <c r="P146" s="949"/>
      <c r="Q146" s="86"/>
      <c r="R146" s="949"/>
      <c r="S146" s="949"/>
      <c r="U146" s="931"/>
    </row>
    <row r="147" spans="1:21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U147" s="931"/>
    </row>
    <row r="148" spans="1:21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U148" s="931"/>
    </row>
    <row r="149" spans="1:21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U149" s="931"/>
    </row>
    <row r="150" spans="1:21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U150" s="931"/>
    </row>
    <row r="151" spans="1:21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U151" s="931"/>
    </row>
    <row r="152" spans="1:21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U152" s="931"/>
    </row>
    <row r="153" spans="1:21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U153" s="931"/>
    </row>
    <row r="154" spans="1:21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U154" s="931"/>
    </row>
    <row r="155" spans="1:21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U155" s="931"/>
    </row>
    <row r="156" spans="1:21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U156" s="931"/>
    </row>
    <row r="157" spans="1:21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U157" s="931"/>
    </row>
    <row r="158" spans="1:21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U158" s="931"/>
    </row>
    <row r="159" spans="1:21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U159" s="931"/>
    </row>
    <row r="160" spans="1:21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U160" s="931"/>
    </row>
    <row r="161" spans="1:21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U161" s="931"/>
    </row>
    <row r="162" spans="1:21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U162" s="931"/>
    </row>
    <row r="163" spans="1:21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U163" s="931"/>
    </row>
    <row r="164" spans="1:21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U164" s="931"/>
    </row>
    <row r="165" spans="1:21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U165" s="931"/>
    </row>
    <row r="166" spans="1:21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U166" s="931"/>
    </row>
    <row r="167" spans="1:21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U167" s="931"/>
    </row>
    <row r="168" spans="1:21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U168" s="931"/>
    </row>
    <row r="169" spans="1:21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U169" s="931"/>
    </row>
    <row r="170" spans="1:21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U170" s="931"/>
    </row>
    <row r="171" spans="1:21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U171" s="931"/>
    </row>
    <row r="172" spans="1:21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U172" s="931"/>
    </row>
    <row r="173" spans="1:21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U173" s="931"/>
    </row>
    <row r="174" spans="1:21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U174" s="931"/>
    </row>
    <row r="175" spans="1:21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U175" s="931"/>
    </row>
    <row r="176" spans="1:21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U176" s="931"/>
    </row>
    <row r="177" spans="1:21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U177" s="931"/>
    </row>
    <row r="178" spans="1:21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U178" s="931"/>
    </row>
    <row r="179" spans="1:21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U179" s="931"/>
    </row>
    <row r="180" spans="1:21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U180" s="931"/>
    </row>
    <row r="181" spans="1:21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U181" s="931"/>
    </row>
    <row r="182" spans="1:21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U182" s="931"/>
    </row>
    <row r="183" spans="1:21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U183" s="931"/>
    </row>
    <row r="184" spans="1:21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U184" s="931"/>
    </row>
    <row r="185" spans="1:21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U185" s="931"/>
    </row>
    <row r="186" spans="1:21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U186" s="931"/>
    </row>
    <row r="187" spans="1:21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U187" s="931"/>
    </row>
    <row r="188" spans="1:21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U188" s="931"/>
    </row>
    <row r="189" spans="1:21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U189" s="931"/>
    </row>
    <row r="190" spans="1:21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U190" s="931"/>
    </row>
    <row r="191" spans="1:21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U191" s="931"/>
    </row>
    <row r="192" spans="1:21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U192" s="931"/>
    </row>
    <row r="193" spans="1:21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U193" s="931"/>
    </row>
    <row r="194" spans="1:21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U194" s="931"/>
    </row>
    <row r="195" spans="1:21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U195" s="931"/>
    </row>
    <row r="196" spans="1:21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U196" s="931"/>
    </row>
    <row r="197" spans="1:21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U197" s="931"/>
    </row>
    <row r="198" spans="1:21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U198" s="931"/>
    </row>
    <row r="199" spans="1:21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U199" s="931"/>
    </row>
    <row r="200" spans="1:21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U200" s="931"/>
    </row>
    <row r="201" spans="1:21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U201" s="931"/>
    </row>
    <row r="202" spans="1:21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U202" s="931"/>
    </row>
    <row r="203" spans="1:21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U203" s="931"/>
    </row>
    <row r="204" spans="1:21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U204" s="931"/>
    </row>
    <row r="205" spans="1:21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U205" s="931"/>
    </row>
    <row r="206" spans="1:21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U206" s="931"/>
    </row>
    <row r="207" spans="1:21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U207" s="931"/>
    </row>
    <row r="208" spans="1:21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U208" s="931"/>
    </row>
    <row r="209" spans="1:21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U209" s="931"/>
    </row>
    <row r="210" spans="1:21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U210" s="931"/>
    </row>
    <row r="211" spans="1:21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U211" s="931"/>
    </row>
    <row r="212" spans="1:21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U212" s="931"/>
    </row>
    <row r="213" spans="1:21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U213" s="931"/>
    </row>
    <row r="214" spans="1:21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U214" s="931"/>
    </row>
    <row r="215" spans="1:21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U215" s="931"/>
    </row>
    <row r="216" spans="1:21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U216" s="931"/>
    </row>
    <row r="217" spans="1:21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U217" s="931"/>
    </row>
    <row r="218" spans="1:21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U218" s="931"/>
    </row>
    <row r="219" spans="1:21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U219" s="931"/>
    </row>
    <row r="220" spans="1:21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U220" s="931"/>
    </row>
    <row r="221" spans="1:21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U221" s="931"/>
    </row>
    <row r="222" spans="1:21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U222" s="931"/>
    </row>
    <row r="223" spans="1:21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U223" s="931"/>
    </row>
    <row r="224" spans="1:21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U224" s="931"/>
    </row>
    <row r="225" spans="1:21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U225" s="931"/>
    </row>
    <row r="226" spans="1:21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U226" s="931"/>
    </row>
    <row r="227" spans="1:21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U227" s="931"/>
    </row>
    <row r="228" spans="1:21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U228" s="931"/>
    </row>
    <row r="229" spans="1:21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U229" s="931"/>
    </row>
    <row r="230" spans="1:21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U230" s="931"/>
    </row>
    <row r="231" spans="1:21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U231" s="931"/>
    </row>
    <row r="232" spans="1:21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U232" s="931"/>
    </row>
    <row r="233" spans="1:21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U233" s="931"/>
    </row>
    <row r="234" spans="1:21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U234" s="931"/>
    </row>
    <row r="235" spans="1:21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U235" s="931"/>
    </row>
    <row r="236" spans="1:21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U236" s="931"/>
    </row>
    <row r="237" spans="1:21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U237" s="931"/>
    </row>
    <row r="238" spans="1:21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U238" s="931"/>
    </row>
    <row r="239" spans="1:21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U239" s="931"/>
    </row>
    <row r="240" spans="1:21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U240" s="931"/>
    </row>
    <row r="241" spans="1:21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U241" s="931"/>
    </row>
    <row r="242" spans="1:21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U242" s="931"/>
    </row>
    <row r="243" spans="1:21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U243" s="931"/>
    </row>
    <row r="244" spans="1:21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U244" s="931"/>
    </row>
    <row r="245" spans="1:21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U245" s="931"/>
    </row>
    <row r="246" spans="1:21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U246" s="931"/>
    </row>
    <row r="247" spans="1:21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U247" s="931"/>
    </row>
    <row r="248" spans="1:21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U248" s="931"/>
    </row>
    <row r="249" spans="1:21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U249" s="931"/>
    </row>
    <row r="250" spans="1:21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U250" s="931"/>
    </row>
    <row r="251" spans="1:21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U251" s="931"/>
    </row>
    <row r="252" spans="1:21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U252" s="931"/>
    </row>
    <row r="253" spans="1:21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U253" s="931"/>
    </row>
    <row r="254" spans="1:21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U254" s="931"/>
    </row>
    <row r="255" spans="1:21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U255" s="931"/>
    </row>
    <row r="256" spans="1:21" s="930" customFormat="1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U256" s="931"/>
    </row>
    <row r="257" spans="1:21" s="930" customFormat="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U257" s="931"/>
    </row>
    <row r="258" spans="1:21" s="930" customFormat="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U258" s="931"/>
    </row>
    <row r="259" spans="1:21" s="930" customFormat="1">
      <c r="A259" s="65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U259" s="931"/>
    </row>
    <row r="260" spans="1:21" s="930" customFormat="1">
      <c r="A260" s="65"/>
      <c r="B260" s="65"/>
      <c r="C260" s="65"/>
      <c r="D260" s="65"/>
      <c r="E260" s="65"/>
      <c r="F260" s="949"/>
      <c r="G260" s="65"/>
      <c r="H260" s="65"/>
      <c r="I260" s="949"/>
      <c r="J260" s="65"/>
      <c r="K260" s="65"/>
      <c r="L260" s="65"/>
      <c r="M260" s="949"/>
      <c r="N260" s="65"/>
      <c r="O260" s="949"/>
      <c r="P260" s="949"/>
      <c r="Q260" s="86"/>
      <c r="R260" s="949"/>
      <c r="S260" s="949"/>
      <c r="U260" s="931"/>
    </row>
    <row r="261" spans="1:21" s="930" customFormat="1">
      <c r="A261" s="65"/>
      <c r="B261" s="65"/>
      <c r="C261" s="65"/>
      <c r="D261" s="65"/>
      <c r="E261" s="65"/>
      <c r="F261" s="949"/>
      <c r="G261" s="65"/>
      <c r="H261" s="65"/>
      <c r="I261" s="949"/>
      <c r="J261" s="65"/>
      <c r="K261" s="65"/>
      <c r="L261" s="65"/>
      <c r="M261" s="949"/>
      <c r="N261" s="65"/>
      <c r="O261" s="949"/>
      <c r="P261" s="949"/>
      <c r="Q261" s="86"/>
      <c r="R261" s="949"/>
      <c r="S261" s="949"/>
      <c r="U261" s="931"/>
    </row>
    <row r="262" spans="1:21" s="930" customFormat="1">
      <c r="A262" s="65"/>
      <c r="B262" s="65"/>
      <c r="C262" s="65"/>
      <c r="D262" s="65"/>
      <c r="E262" s="65"/>
      <c r="F262" s="949"/>
      <c r="G262" s="65"/>
      <c r="H262" s="65"/>
      <c r="I262" s="949"/>
      <c r="J262" s="65"/>
      <c r="K262" s="65"/>
      <c r="L262" s="65"/>
      <c r="M262" s="949"/>
      <c r="N262" s="65"/>
      <c r="O262" s="949"/>
      <c r="P262" s="949"/>
      <c r="Q262" s="86"/>
      <c r="R262" s="949"/>
      <c r="S262" s="949"/>
      <c r="U262" s="931"/>
    </row>
    <row r="263" spans="1:21" s="930" customFormat="1">
      <c r="A263" s="65"/>
      <c r="B263" s="65"/>
      <c r="C263" s="65"/>
      <c r="D263" s="65"/>
      <c r="E263" s="65"/>
      <c r="F263" s="949"/>
      <c r="G263" s="65"/>
      <c r="H263" s="65"/>
      <c r="I263" s="949"/>
      <c r="J263" s="65"/>
      <c r="K263" s="65"/>
      <c r="L263" s="65"/>
      <c r="M263" s="949"/>
      <c r="N263" s="65"/>
      <c r="O263" s="949"/>
      <c r="P263" s="949"/>
      <c r="Q263" s="86"/>
      <c r="R263" s="949"/>
      <c r="S263" s="949"/>
      <c r="U263" s="931"/>
    </row>
    <row r="264" spans="1:21" s="930" customFormat="1">
      <c r="A264" s="931"/>
      <c r="B264" s="931"/>
      <c r="C264" s="931"/>
      <c r="D264" s="931"/>
      <c r="E264" s="931"/>
      <c r="F264" s="931"/>
      <c r="G264" s="931"/>
      <c r="H264" s="931"/>
      <c r="I264" s="931"/>
      <c r="J264" s="931"/>
      <c r="K264" s="931"/>
      <c r="L264" s="931"/>
      <c r="M264" s="931"/>
      <c r="N264" s="931"/>
      <c r="O264" s="931"/>
      <c r="P264" s="931"/>
      <c r="Q264" s="931"/>
      <c r="R264" s="931"/>
      <c r="S264" s="931"/>
      <c r="U264" s="931"/>
    </row>
    <row r="265" spans="1:21" s="930" customFormat="1">
      <c r="A265" s="931"/>
      <c r="B265" s="931"/>
      <c r="C265" s="931"/>
      <c r="D265" s="931"/>
      <c r="E265" s="931"/>
      <c r="F265" s="931"/>
      <c r="G265" s="931"/>
      <c r="H265" s="931"/>
      <c r="I265" s="931"/>
      <c r="J265" s="931"/>
      <c r="K265" s="931"/>
      <c r="L265" s="931"/>
      <c r="M265" s="931"/>
      <c r="N265" s="931"/>
      <c r="O265" s="931"/>
      <c r="P265" s="931"/>
      <c r="Q265" s="931"/>
      <c r="R265" s="931"/>
      <c r="S265" s="931"/>
      <c r="U265" s="931"/>
    </row>
  </sheetData>
  <sheetProtection formatCells="0" formatColumns="0" formatRows="0" sort="0" autoFilter="0" pivotTables="0"/>
  <mergeCells count="7">
    <mergeCell ref="A113:O113"/>
    <mergeCell ref="A125:N125"/>
    <mergeCell ref="A1:S1"/>
    <mergeCell ref="A67:B67"/>
    <mergeCell ref="A79:B79"/>
    <mergeCell ref="A91:B91"/>
    <mergeCell ref="A102:B102"/>
  </mergeCells>
  <pageMargins left="0.25" right="0.25" top="0.75" bottom="0.75" header="0.3" footer="0.3"/>
  <pageSetup paperSize="9" scale="34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E00-000000000000}">
          <x14:formula1>
            <xm:f>Списки!$F$2:$F$3</xm:f>
          </x14:formula1>
          <xm:sqref>N3 N5:N66</xm:sqref>
        </x14:dataValidation>
        <x14:dataValidation type="list" allowBlank="1" showInputMessage="1" showErrorMessage="1" xr:uid="{00000000-0002-0000-1E00-000001000000}">
          <x14:formula1>
            <xm:f>Списки!$C$3:$C$4</xm:f>
          </x14:formula1>
          <xm:sqref>D3:D66 R3:S65</xm:sqref>
        </x14:dataValidation>
        <x14:dataValidation type="list" allowBlank="1" showInputMessage="1" showErrorMessage="1" xr:uid="{00000000-0002-0000-1E00-000002000000}">
          <x14:formula1>
            <xm:f>Списки!$D$2:$D$7</xm:f>
          </x14:formula1>
          <xm:sqref>F3:F66</xm:sqref>
        </x14:dataValidation>
        <x14:dataValidation type="list" allowBlank="1" showInputMessage="1" showErrorMessage="1" xr:uid="{00000000-0002-0000-1E00-000003000000}">
          <x14:formula1>
            <xm:f>Списки!$B$2:$B$5</xm:f>
          </x14:formula1>
          <xm:sqref>G3:G66</xm:sqref>
        </x14:dataValidation>
        <x14:dataValidation type="list" allowBlank="1" showInputMessage="1" showErrorMessage="1" xr:uid="{00000000-0002-0000-1E00-000004000000}">
          <x14:formula1>
            <xm:f>Списки!$E$2:$E$7</xm:f>
          </x14:formula1>
          <xm:sqref>H3:H66</xm:sqref>
        </x14:dataValidation>
        <x14:dataValidation type="list" allowBlank="1" showInputMessage="1" showErrorMessage="1" xr:uid="{00000000-0002-0000-1E00-000005000000}">
          <x14:formula1>
            <xm:f>Списки!$G$2:$G$3</xm:f>
          </x14:formula1>
          <xm:sqref>L3:L66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U235"/>
  <sheetViews>
    <sheetView view="pageBreakPreview" zoomScale="80" zoomScaleNormal="85" workbookViewId="0">
      <pane ySplit="2" topLeftCell="A42" activePane="bottomLeft" state="frozen"/>
      <selection pane="bottomLeft" activeCell="A111" sqref="A111:XFD111"/>
    </sheetView>
  </sheetViews>
  <sheetFormatPr defaultColWidth="12.28515625" defaultRowHeight="12.75" outlineLevelRow="1"/>
  <cols>
    <col min="1" max="1" width="11.7109375" style="931" customWidth="1"/>
    <col min="2" max="2" width="13.5703125" style="931" customWidth="1"/>
    <col min="3" max="3" width="13.85546875" style="931" customWidth="1"/>
    <col min="4" max="4" width="10.5703125" style="931" customWidth="1"/>
    <col min="5" max="5" width="11.42578125" style="931" customWidth="1"/>
    <col min="6" max="6" width="16.28515625" style="931" customWidth="1"/>
    <col min="7" max="7" width="13.140625" style="931" customWidth="1"/>
    <col min="8" max="8" width="9.42578125" style="931" customWidth="1"/>
    <col min="9" max="9" width="15" style="931" customWidth="1"/>
    <col min="10" max="10" width="9.85546875" style="931" customWidth="1"/>
    <col min="11" max="11" width="16" style="931" customWidth="1"/>
    <col min="12" max="12" width="20.42578125" style="931" customWidth="1"/>
    <col min="13" max="13" width="16.5703125" style="931" customWidth="1"/>
    <col min="14" max="14" width="16.7109375" style="931" customWidth="1"/>
    <col min="15" max="15" width="29" style="931" customWidth="1"/>
    <col min="16" max="16" width="21" style="931" customWidth="1"/>
    <col min="17" max="17" width="32.5703125" style="931" customWidth="1"/>
    <col min="18" max="18" width="9.5703125" style="931" customWidth="1"/>
    <col min="19" max="19" width="14.28515625" style="931" customWidth="1"/>
    <col min="20" max="20" width="15" style="930" customWidth="1"/>
    <col min="21" max="21" width="1.7109375" style="931" customWidth="1"/>
    <col min="22" max="16384" width="12.28515625" style="931"/>
  </cols>
  <sheetData>
    <row r="1" spans="1:21" ht="15" customHeight="1">
      <c r="A1" s="2297">
        <v>45107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U1" s="931" t="s">
        <v>830</v>
      </c>
    </row>
    <row r="2" spans="1:2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262" t="s">
        <v>578</v>
      </c>
    </row>
    <row r="3" spans="1:21" ht="14.25" customHeight="1" outlineLevel="1">
      <c r="A3" s="62">
        <v>1</v>
      </c>
      <c r="B3" s="75">
        <v>59</v>
      </c>
      <c r="C3" s="75">
        <v>25081</v>
      </c>
      <c r="D3" s="117" t="s">
        <v>1207</v>
      </c>
      <c r="E3" s="62">
        <v>35.54</v>
      </c>
      <c r="F3" s="945" t="s">
        <v>15</v>
      </c>
      <c r="G3" s="62" t="s">
        <v>7</v>
      </c>
      <c r="H3" s="62" t="s">
        <v>16</v>
      </c>
      <c r="I3" s="95">
        <v>3384279.8</v>
      </c>
      <c r="J3" s="62">
        <v>1</v>
      </c>
      <c r="K3" s="62" t="s">
        <v>65</v>
      </c>
      <c r="L3" s="62" t="s">
        <v>12</v>
      </c>
      <c r="M3" s="92">
        <v>45103</v>
      </c>
      <c r="N3" s="117" t="s">
        <v>17</v>
      </c>
      <c r="O3" s="62" t="s">
        <v>1499</v>
      </c>
      <c r="P3" s="76" t="s">
        <v>67</v>
      </c>
      <c r="Q3" s="866" t="s">
        <v>67</v>
      </c>
      <c r="R3" s="945" t="s">
        <v>1207</v>
      </c>
      <c r="S3" s="945" t="s">
        <v>77</v>
      </c>
      <c r="T3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3242119.8000000003</v>
      </c>
    </row>
    <row r="4" spans="1:21" s="929" customFormat="1" ht="13.5" customHeight="1" outlineLevel="1">
      <c r="A4" s="62">
        <v>2</v>
      </c>
      <c r="B4" s="75">
        <v>125</v>
      </c>
      <c r="C4" s="75">
        <v>9775</v>
      </c>
      <c r="D4" s="117" t="s">
        <v>77</v>
      </c>
      <c r="E4" s="62">
        <v>36.700000000000003</v>
      </c>
      <c r="F4" s="945" t="s">
        <v>25</v>
      </c>
      <c r="G4" s="62" t="s">
        <v>7</v>
      </c>
      <c r="H4" s="62" t="s">
        <v>16</v>
      </c>
      <c r="I4" s="95">
        <v>3666105.46</v>
      </c>
      <c r="J4" s="62">
        <v>1</v>
      </c>
      <c r="K4" s="62" t="s">
        <v>65</v>
      </c>
      <c r="L4" s="62" t="s">
        <v>12</v>
      </c>
      <c r="M4" s="92">
        <v>45084</v>
      </c>
      <c r="N4" s="117" t="s">
        <v>17</v>
      </c>
      <c r="O4" s="62" t="s">
        <v>1500</v>
      </c>
      <c r="P4" s="76" t="s">
        <v>67</v>
      </c>
      <c r="Q4" s="866" t="s">
        <v>67</v>
      </c>
      <c r="R4" s="945" t="s">
        <v>77</v>
      </c>
      <c r="S4" s="945" t="s">
        <v>77</v>
      </c>
      <c r="T4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3115605.46</v>
      </c>
    </row>
    <row r="5" spans="1:21" s="929" customFormat="1" ht="14.25" customHeight="1" outlineLevel="1">
      <c r="A5" s="62">
        <v>3</v>
      </c>
      <c r="B5" s="75">
        <v>488</v>
      </c>
      <c r="C5" s="75">
        <v>24956</v>
      </c>
      <c r="D5" s="117" t="s">
        <v>1233</v>
      </c>
      <c r="E5" s="62">
        <v>58.62</v>
      </c>
      <c r="F5" s="945" t="s">
        <v>15</v>
      </c>
      <c r="G5" s="62" t="s">
        <v>7</v>
      </c>
      <c r="H5" s="62" t="s">
        <v>22</v>
      </c>
      <c r="I5" s="95">
        <v>4851212.41</v>
      </c>
      <c r="J5" s="62">
        <v>2</v>
      </c>
      <c r="K5" s="62" t="s">
        <v>65</v>
      </c>
      <c r="L5" s="62" t="s">
        <v>18</v>
      </c>
      <c r="M5" s="92">
        <v>45090</v>
      </c>
      <c r="N5" s="117" t="s">
        <v>17</v>
      </c>
      <c r="O5" s="62" t="s">
        <v>1501</v>
      </c>
      <c r="P5" s="76" t="s">
        <v>67</v>
      </c>
      <c r="Q5" s="866" t="s">
        <v>67</v>
      </c>
      <c r="R5" s="945" t="s">
        <v>1233</v>
      </c>
      <c r="S5" s="945" t="s">
        <v>1233</v>
      </c>
      <c r="T5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4616732.41</v>
      </c>
    </row>
    <row r="6" spans="1:21" s="929" customFormat="1" outlineLevel="1">
      <c r="A6" s="62">
        <v>4</v>
      </c>
      <c r="B6" s="75">
        <v>108</v>
      </c>
      <c r="C6" s="75">
        <v>25170</v>
      </c>
      <c r="D6" s="117" t="s">
        <v>77</v>
      </c>
      <c r="E6" s="62">
        <v>56.03</v>
      </c>
      <c r="F6" s="941" t="s">
        <v>15</v>
      </c>
      <c r="G6" s="62" t="s">
        <v>7</v>
      </c>
      <c r="H6" s="62" t="s">
        <v>16</v>
      </c>
      <c r="I6" s="95">
        <v>4813814.6500000004</v>
      </c>
      <c r="J6" s="62">
        <v>2</v>
      </c>
      <c r="K6" s="62" t="s">
        <v>65</v>
      </c>
      <c r="L6" s="62" t="s">
        <v>18</v>
      </c>
      <c r="M6" s="92">
        <v>45079</v>
      </c>
      <c r="N6" s="62" t="s">
        <v>17</v>
      </c>
      <c r="O6" s="62" t="s">
        <v>1502</v>
      </c>
      <c r="P6" s="866" t="s">
        <v>67</v>
      </c>
      <c r="Q6" s="866" t="s">
        <v>67</v>
      </c>
      <c r="R6" s="945" t="s">
        <v>77</v>
      </c>
      <c r="S6" s="945" t="s">
        <v>77</v>
      </c>
      <c r="T6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4589694.6500000004</v>
      </c>
    </row>
    <row r="7" spans="1:21" s="929" customFormat="1" ht="12.75" customHeight="1" outlineLevel="1">
      <c r="A7" s="62">
        <v>5</v>
      </c>
      <c r="B7" s="75">
        <v>20</v>
      </c>
      <c r="C7" s="75">
        <v>6202</v>
      </c>
      <c r="D7" s="117" t="s">
        <v>77</v>
      </c>
      <c r="E7" s="62">
        <v>56.03</v>
      </c>
      <c r="F7" s="941" t="s">
        <v>25</v>
      </c>
      <c r="G7" s="62" t="s">
        <v>7</v>
      </c>
      <c r="H7" s="62" t="s">
        <v>22</v>
      </c>
      <c r="I7" s="95">
        <v>5385584.5499999998</v>
      </c>
      <c r="J7" s="62">
        <v>2</v>
      </c>
      <c r="K7" s="62" t="s">
        <v>65</v>
      </c>
      <c r="L7" s="62" t="s">
        <v>18</v>
      </c>
      <c r="M7" s="92">
        <v>45085</v>
      </c>
      <c r="N7" s="62" t="s">
        <v>17</v>
      </c>
      <c r="O7" s="62" t="s">
        <v>1503</v>
      </c>
      <c r="P7" s="866" t="s">
        <v>67</v>
      </c>
      <c r="Q7" s="866" t="s">
        <v>67</v>
      </c>
      <c r="R7" s="945" t="s">
        <v>77</v>
      </c>
      <c r="S7" s="945" t="s">
        <v>22</v>
      </c>
      <c r="T7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4545134.55</v>
      </c>
    </row>
    <row r="8" spans="1:21" s="929" customFormat="1" outlineLevel="1">
      <c r="A8" s="62">
        <v>6</v>
      </c>
      <c r="B8" s="75">
        <v>285</v>
      </c>
      <c r="C8" s="75">
        <v>25130</v>
      </c>
      <c r="D8" s="117" t="s">
        <v>77</v>
      </c>
      <c r="E8" s="62">
        <v>36.450000000000003</v>
      </c>
      <c r="F8" s="941" t="s">
        <v>15</v>
      </c>
      <c r="G8" s="62" t="s">
        <v>7</v>
      </c>
      <c r="H8" s="62" t="s">
        <v>10</v>
      </c>
      <c r="I8" s="95">
        <v>3465383.15</v>
      </c>
      <c r="J8" s="62">
        <v>0</v>
      </c>
      <c r="K8" s="62" t="s">
        <v>286</v>
      </c>
      <c r="L8" s="62" t="s">
        <v>18</v>
      </c>
      <c r="M8" s="92">
        <v>45078</v>
      </c>
      <c r="N8" s="62" t="s">
        <v>17</v>
      </c>
      <c r="O8" s="62" t="s">
        <v>1504</v>
      </c>
      <c r="P8" s="866" t="s">
        <v>67</v>
      </c>
      <c r="Q8" s="866" t="s">
        <v>67</v>
      </c>
      <c r="R8" s="117" t="s">
        <v>77</v>
      </c>
      <c r="S8" s="117" t="s">
        <v>77</v>
      </c>
      <c r="T8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3319583.15</v>
      </c>
    </row>
    <row r="9" spans="1:21" s="929" customFormat="1" outlineLevel="1">
      <c r="A9" s="62">
        <v>7</v>
      </c>
      <c r="B9" s="75">
        <v>73</v>
      </c>
      <c r="C9" s="75">
        <v>14581</v>
      </c>
      <c r="D9" s="62" t="s">
        <v>77</v>
      </c>
      <c r="E9" s="62">
        <v>33.53</v>
      </c>
      <c r="F9" s="941" t="s">
        <v>25</v>
      </c>
      <c r="G9" s="62" t="s">
        <v>7</v>
      </c>
      <c r="H9" s="62" t="s">
        <v>16</v>
      </c>
      <c r="I9" s="95">
        <v>3522508.29</v>
      </c>
      <c r="J9" s="62">
        <v>1</v>
      </c>
      <c r="K9" s="62" t="s">
        <v>65</v>
      </c>
      <c r="L9" s="62" t="s">
        <v>18</v>
      </c>
      <c r="M9" s="92">
        <v>45078</v>
      </c>
      <c r="N9" s="62" t="s">
        <v>17</v>
      </c>
      <c r="O9" s="62" t="s">
        <v>1505</v>
      </c>
      <c r="P9" s="866" t="s">
        <v>67</v>
      </c>
      <c r="Q9" s="866" t="s">
        <v>67</v>
      </c>
      <c r="R9" s="941" t="s">
        <v>77</v>
      </c>
      <c r="S9" s="941" t="s">
        <v>77</v>
      </c>
      <c r="T9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3019558.29</v>
      </c>
    </row>
    <row r="10" spans="1:21" s="929" customFormat="1" ht="12.75" customHeight="1" outlineLevel="1">
      <c r="A10" s="62">
        <v>8</v>
      </c>
      <c r="B10" s="75">
        <v>307</v>
      </c>
      <c r="C10" s="75">
        <v>24547</v>
      </c>
      <c r="D10" s="62" t="s">
        <v>8</v>
      </c>
      <c r="E10" s="62">
        <v>58.55</v>
      </c>
      <c r="F10" s="941" t="s">
        <v>9</v>
      </c>
      <c r="G10" s="62" t="s">
        <v>7</v>
      </c>
      <c r="H10" s="62" t="s">
        <v>22</v>
      </c>
      <c r="I10" s="95">
        <v>4796120.32</v>
      </c>
      <c r="J10" s="62">
        <v>2</v>
      </c>
      <c r="K10" s="62" t="s">
        <v>65</v>
      </c>
      <c r="L10" s="62" t="s">
        <v>18</v>
      </c>
      <c r="M10" s="92">
        <v>45083</v>
      </c>
      <c r="N10" s="62" t="s">
        <v>11</v>
      </c>
      <c r="O10" s="62" t="s">
        <v>1506</v>
      </c>
      <c r="P10" s="76" t="s">
        <v>67</v>
      </c>
      <c r="Q10" s="76" t="s">
        <v>67</v>
      </c>
      <c r="R10" s="941" t="s">
        <v>8</v>
      </c>
      <c r="S10" s="941" t="s">
        <v>8</v>
      </c>
      <c r="T10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4796120.32</v>
      </c>
    </row>
    <row r="11" spans="1:21" s="929" customFormat="1" outlineLevel="1">
      <c r="A11" s="62">
        <v>9</v>
      </c>
      <c r="B11" s="75">
        <v>350</v>
      </c>
      <c r="C11" s="75">
        <v>24830</v>
      </c>
      <c r="D11" s="62" t="s">
        <v>8</v>
      </c>
      <c r="E11" s="62">
        <v>56.7</v>
      </c>
      <c r="F11" s="941" t="s">
        <v>25</v>
      </c>
      <c r="G11" s="62" t="s">
        <v>7</v>
      </c>
      <c r="H11" s="62" t="s">
        <v>22</v>
      </c>
      <c r="I11" s="95">
        <v>5359798.84</v>
      </c>
      <c r="J11" s="62">
        <v>2</v>
      </c>
      <c r="K11" s="62" t="s">
        <v>65</v>
      </c>
      <c r="L11" s="62" t="s">
        <v>12</v>
      </c>
      <c r="M11" s="92">
        <v>45097</v>
      </c>
      <c r="N11" s="62" t="s">
        <v>17</v>
      </c>
      <c r="O11" s="62" t="s">
        <v>1507</v>
      </c>
      <c r="P11" s="76" t="s">
        <v>67</v>
      </c>
      <c r="Q11" s="76" t="s">
        <v>67</v>
      </c>
      <c r="R11" s="945" t="s">
        <v>8</v>
      </c>
      <c r="S11" s="945" t="s">
        <v>1233</v>
      </c>
      <c r="T11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4509298.84</v>
      </c>
    </row>
    <row r="12" spans="1:21" s="929" customFormat="1" ht="12.75" customHeight="1" outlineLevel="1">
      <c r="A12" s="62">
        <v>10</v>
      </c>
      <c r="B12" s="75">
        <v>393</v>
      </c>
      <c r="C12" s="75">
        <v>25173</v>
      </c>
      <c r="D12" s="117" t="s">
        <v>77</v>
      </c>
      <c r="E12" s="62">
        <v>72.510000000000005</v>
      </c>
      <c r="F12" s="941" t="s">
        <v>9</v>
      </c>
      <c r="G12" s="62" t="s">
        <v>7</v>
      </c>
      <c r="H12" s="62" t="s">
        <v>10</v>
      </c>
      <c r="I12" s="95">
        <v>5979810.5099999998</v>
      </c>
      <c r="J12" s="62">
        <v>3</v>
      </c>
      <c r="K12" s="62" t="s">
        <v>286</v>
      </c>
      <c r="L12" s="62" t="s">
        <v>18</v>
      </c>
      <c r="M12" s="92"/>
      <c r="N12" s="62" t="s">
        <v>17</v>
      </c>
      <c r="O12" s="62" t="s">
        <v>1508</v>
      </c>
      <c r="P12" s="76" t="s">
        <v>67</v>
      </c>
      <c r="Q12" s="76" t="s">
        <v>67</v>
      </c>
      <c r="R12" s="945" t="s">
        <v>77</v>
      </c>
      <c r="S12" s="945" t="s">
        <v>77</v>
      </c>
      <c r="T12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5979810.5099999998</v>
      </c>
    </row>
    <row r="13" spans="1:21" s="929" customFormat="1" ht="12.75" customHeight="1" outlineLevel="1">
      <c r="A13" s="62">
        <v>11</v>
      </c>
      <c r="B13" s="75">
        <v>394</v>
      </c>
      <c r="C13" s="74" t="s">
        <v>1509</v>
      </c>
      <c r="D13" s="117" t="s">
        <v>77</v>
      </c>
      <c r="E13" s="62">
        <v>33.840000000000003</v>
      </c>
      <c r="F13" s="941" t="s">
        <v>9</v>
      </c>
      <c r="G13" s="62" t="s">
        <v>7</v>
      </c>
      <c r="H13" s="62" t="s">
        <v>10</v>
      </c>
      <c r="I13" s="95">
        <v>3460268.18</v>
      </c>
      <c r="J13" s="62">
        <v>1</v>
      </c>
      <c r="K13" s="62" t="s">
        <v>286</v>
      </c>
      <c r="L13" s="62" t="s">
        <v>18</v>
      </c>
      <c r="M13" s="92"/>
      <c r="N13" s="62" t="s">
        <v>17</v>
      </c>
      <c r="O13" s="62" t="s">
        <v>1508</v>
      </c>
      <c r="P13" s="76" t="s">
        <v>67</v>
      </c>
      <c r="Q13" s="76" t="s">
        <v>67</v>
      </c>
      <c r="R13" s="945" t="s">
        <v>77</v>
      </c>
      <c r="S13" s="945" t="s">
        <v>77</v>
      </c>
      <c r="T13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3460268.18</v>
      </c>
    </row>
    <row r="14" spans="1:21" s="929" customFormat="1" ht="12.75" customHeight="1" outlineLevel="1">
      <c r="A14" s="62">
        <v>12</v>
      </c>
      <c r="B14" s="75">
        <v>387</v>
      </c>
      <c r="C14" s="75">
        <v>25168</v>
      </c>
      <c r="D14" s="117" t="s">
        <v>77</v>
      </c>
      <c r="E14" s="62">
        <v>33.840000000000003</v>
      </c>
      <c r="F14" s="941" t="s">
        <v>9</v>
      </c>
      <c r="G14" s="62" t="s">
        <v>7</v>
      </c>
      <c r="H14" s="62" t="s">
        <v>16</v>
      </c>
      <c r="I14" s="95">
        <v>3460268.18</v>
      </c>
      <c r="J14" s="62">
        <v>1</v>
      </c>
      <c r="K14" s="62" t="s">
        <v>65</v>
      </c>
      <c r="L14" s="62" t="s">
        <v>18</v>
      </c>
      <c r="M14" s="92">
        <v>45090</v>
      </c>
      <c r="N14" s="62" t="s">
        <v>17</v>
      </c>
      <c r="O14" s="941" t="s">
        <v>1510</v>
      </c>
      <c r="P14" s="76" t="s">
        <v>67</v>
      </c>
      <c r="Q14" s="76" t="s">
        <v>67</v>
      </c>
      <c r="R14" s="945" t="s">
        <v>77</v>
      </c>
      <c r="S14" s="945" t="s">
        <v>77</v>
      </c>
      <c r="T14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3460268.18</v>
      </c>
    </row>
    <row r="15" spans="1:21" ht="12.75" customHeight="1" outlineLevel="1">
      <c r="A15" s="62">
        <v>13</v>
      </c>
      <c r="B15" s="62">
        <v>142</v>
      </c>
      <c r="C15" s="75">
        <v>25070</v>
      </c>
      <c r="D15" s="117" t="s">
        <v>1233</v>
      </c>
      <c r="E15" s="62">
        <v>36.659999999999997</v>
      </c>
      <c r="F15" s="117" t="s">
        <v>9</v>
      </c>
      <c r="G15" s="62" t="s">
        <v>7</v>
      </c>
      <c r="H15" s="62" t="s">
        <v>22</v>
      </c>
      <c r="I15" s="91">
        <v>3478062.88</v>
      </c>
      <c r="J15" s="62">
        <v>0</v>
      </c>
      <c r="K15" s="62" t="s">
        <v>65</v>
      </c>
      <c r="L15" s="117" t="s">
        <v>18</v>
      </c>
      <c r="M15" s="537">
        <v>45092</v>
      </c>
      <c r="N15" s="62" t="s">
        <v>17</v>
      </c>
      <c r="O15" s="62" t="s">
        <v>1511</v>
      </c>
      <c r="P15" s="76" t="s">
        <v>67</v>
      </c>
      <c r="Q15" s="76" t="s">
        <v>67</v>
      </c>
      <c r="R15" s="945" t="s">
        <v>1233</v>
      </c>
      <c r="S15" s="945" t="s">
        <v>1233</v>
      </c>
      <c r="T15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3478062.88</v>
      </c>
      <c r="U15" s="929"/>
    </row>
    <row r="16" spans="1:21" s="929" customFormat="1" ht="21" customHeight="1" outlineLevel="1">
      <c r="A16" s="62">
        <v>14</v>
      </c>
      <c r="B16" s="883">
        <v>18</v>
      </c>
      <c r="C16" s="75">
        <v>25142</v>
      </c>
      <c r="D16" s="62" t="s">
        <v>29</v>
      </c>
      <c r="E16" s="62">
        <v>96.35</v>
      </c>
      <c r="F16" s="62" t="s">
        <v>9</v>
      </c>
      <c r="G16" s="62" t="s">
        <v>7</v>
      </c>
      <c r="H16" s="62" t="s">
        <v>10</v>
      </c>
      <c r="I16" s="95">
        <v>11080250</v>
      </c>
      <c r="J16" s="62" t="s">
        <v>1337</v>
      </c>
      <c r="K16" s="62" t="s">
        <v>286</v>
      </c>
      <c r="L16" s="62" t="s">
        <v>18</v>
      </c>
      <c r="M16" s="92">
        <v>45106</v>
      </c>
      <c r="N16" s="62" t="s">
        <v>17</v>
      </c>
      <c r="O16" s="62" t="s">
        <v>1512</v>
      </c>
      <c r="P16" s="76" t="s">
        <v>67</v>
      </c>
      <c r="Q16" s="76" t="s">
        <v>67</v>
      </c>
      <c r="R16" s="941" t="s">
        <v>29</v>
      </c>
      <c r="S16" s="941" t="s">
        <v>29</v>
      </c>
      <c r="T16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11080250</v>
      </c>
    </row>
    <row r="17" spans="1:21" s="929" customFormat="1" outlineLevel="1">
      <c r="A17" s="62">
        <v>15</v>
      </c>
      <c r="B17" s="75">
        <v>379</v>
      </c>
      <c r="C17" s="75">
        <v>25289</v>
      </c>
      <c r="D17" s="117" t="s">
        <v>1233</v>
      </c>
      <c r="E17" s="62">
        <v>72.510000000000005</v>
      </c>
      <c r="F17" s="945" t="s">
        <v>15</v>
      </c>
      <c r="G17" s="62" t="s">
        <v>7</v>
      </c>
      <c r="H17" s="62" t="s">
        <v>22</v>
      </c>
      <c r="I17" s="95">
        <v>6269850.5099999998</v>
      </c>
      <c r="J17" s="62">
        <v>3</v>
      </c>
      <c r="K17" s="62" t="s">
        <v>65</v>
      </c>
      <c r="L17" s="62" t="s">
        <v>18</v>
      </c>
      <c r="M17" s="92">
        <v>45101</v>
      </c>
      <c r="N17" s="62" t="s">
        <v>17</v>
      </c>
      <c r="O17" s="62" t="s">
        <v>1513</v>
      </c>
      <c r="P17" s="76" t="s">
        <v>67</v>
      </c>
      <c r="Q17" s="76" t="s">
        <v>67</v>
      </c>
      <c r="R17" s="945" t="s">
        <v>1233</v>
      </c>
      <c r="S17" s="945" t="s">
        <v>1233</v>
      </c>
      <c r="T17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5979810.5099999998</v>
      </c>
    </row>
    <row r="18" spans="1:21" s="929" customFormat="1" ht="13.5" customHeight="1" outlineLevel="1">
      <c r="A18" s="62">
        <v>16</v>
      </c>
      <c r="B18" s="62">
        <v>87</v>
      </c>
      <c r="C18" s="75">
        <v>25269</v>
      </c>
      <c r="D18" s="117" t="s">
        <v>8</v>
      </c>
      <c r="E18" s="62">
        <v>21.75</v>
      </c>
      <c r="F18" s="945" t="s">
        <v>15</v>
      </c>
      <c r="G18" s="62" t="s">
        <v>7</v>
      </c>
      <c r="H18" s="62" t="s">
        <v>22</v>
      </c>
      <c r="I18" s="91">
        <v>2330187.77</v>
      </c>
      <c r="J18" s="62">
        <v>0</v>
      </c>
      <c r="K18" s="62" t="s">
        <v>65</v>
      </c>
      <c r="L18" s="62" t="s">
        <v>18</v>
      </c>
      <c r="M18" s="537">
        <v>45097</v>
      </c>
      <c r="N18" s="62" t="s">
        <v>17</v>
      </c>
      <c r="O18" s="62" t="s">
        <v>1514</v>
      </c>
      <c r="P18" s="76" t="s">
        <v>67</v>
      </c>
      <c r="Q18" s="76" t="s">
        <v>67</v>
      </c>
      <c r="R18" s="945" t="s">
        <v>8</v>
      </c>
      <c r="S18" s="945" t="s">
        <v>8</v>
      </c>
      <c r="T18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2243187.77</v>
      </c>
    </row>
    <row r="19" spans="1:21" ht="12.75" customHeight="1" outlineLevel="1">
      <c r="A19" s="62">
        <v>17</v>
      </c>
      <c r="B19" s="75">
        <v>414</v>
      </c>
      <c r="C19" s="75">
        <v>25392</v>
      </c>
      <c r="D19" s="117" t="s">
        <v>8</v>
      </c>
      <c r="E19" s="62">
        <v>36.5</v>
      </c>
      <c r="F19" s="945" t="s">
        <v>15</v>
      </c>
      <c r="G19" s="62" t="s">
        <v>7</v>
      </c>
      <c r="H19" s="62" t="s">
        <v>10</v>
      </c>
      <c r="I19" s="95">
        <v>3531001.62</v>
      </c>
      <c r="J19" s="62">
        <v>0</v>
      </c>
      <c r="K19" s="62" t="s">
        <v>286</v>
      </c>
      <c r="L19" s="62" t="s">
        <v>18</v>
      </c>
      <c r="M19" s="92"/>
      <c r="N19" s="62" t="s">
        <v>17</v>
      </c>
      <c r="O19" s="62" t="s">
        <v>1515</v>
      </c>
      <c r="P19" s="76" t="s">
        <v>67</v>
      </c>
      <c r="Q19" s="76" t="s">
        <v>67</v>
      </c>
      <c r="R19" s="945" t="s">
        <v>8</v>
      </c>
      <c r="S19" s="945" t="s">
        <v>8</v>
      </c>
      <c r="T19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3385001.62</v>
      </c>
      <c r="U19" s="1006"/>
    </row>
    <row r="20" spans="1:21" s="929" customFormat="1" ht="12.75" customHeight="1" outlineLevel="1">
      <c r="A20" s="62">
        <v>18</v>
      </c>
      <c r="B20" s="75">
        <v>221</v>
      </c>
      <c r="C20" s="75">
        <v>25253</v>
      </c>
      <c r="D20" s="117" t="s">
        <v>77</v>
      </c>
      <c r="E20" s="62">
        <v>36.700000000000003</v>
      </c>
      <c r="F20" s="945" t="s">
        <v>25</v>
      </c>
      <c r="G20" s="62" t="s">
        <v>7</v>
      </c>
      <c r="H20" s="62" t="s">
        <v>22</v>
      </c>
      <c r="I20" s="95">
        <v>3998878.61</v>
      </c>
      <c r="J20" s="62">
        <v>1</v>
      </c>
      <c r="K20" s="62" t="s">
        <v>65</v>
      </c>
      <c r="L20" s="62" t="s">
        <v>18</v>
      </c>
      <c r="M20" s="92">
        <v>45096</v>
      </c>
      <c r="N20" s="62" t="s">
        <v>17</v>
      </c>
      <c r="O20" s="62" t="s">
        <v>1516</v>
      </c>
      <c r="P20" s="76" t="s">
        <v>67</v>
      </c>
      <c r="Q20" s="76" t="s">
        <v>67</v>
      </c>
      <c r="R20" s="945" t="s">
        <v>77</v>
      </c>
      <c r="S20" s="945" t="s">
        <v>77</v>
      </c>
      <c r="T20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3448378.61</v>
      </c>
    </row>
    <row r="21" spans="1:21" s="929" customFormat="1" ht="12.75" customHeight="1" outlineLevel="1">
      <c r="A21" s="62">
        <v>19</v>
      </c>
      <c r="B21" s="882">
        <v>15</v>
      </c>
      <c r="C21" s="75">
        <v>25346</v>
      </c>
      <c r="D21" s="117" t="s">
        <v>1233</v>
      </c>
      <c r="E21" s="62">
        <v>91.9</v>
      </c>
      <c r="F21" s="945" t="s">
        <v>9</v>
      </c>
      <c r="G21" s="62" t="s">
        <v>7</v>
      </c>
      <c r="H21" s="62" t="s">
        <v>84</v>
      </c>
      <c r="I21" s="95">
        <v>10568500</v>
      </c>
      <c r="J21" s="62" t="s">
        <v>1337</v>
      </c>
      <c r="K21" s="62" t="s">
        <v>130</v>
      </c>
      <c r="L21" s="62" t="s">
        <v>18</v>
      </c>
      <c r="M21" s="92">
        <v>45107</v>
      </c>
      <c r="N21" s="62" t="s">
        <v>17</v>
      </c>
      <c r="O21" s="941" t="s">
        <v>1517</v>
      </c>
      <c r="P21" s="76" t="s">
        <v>67</v>
      </c>
      <c r="Q21" s="76" t="s">
        <v>67</v>
      </c>
      <c r="R21" s="945" t="s">
        <v>1233</v>
      </c>
      <c r="S21" s="945" t="s">
        <v>1233</v>
      </c>
      <c r="T21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10568500</v>
      </c>
      <c r="U21" s="931"/>
    </row>
    <row r="22" spans="1:21" s="929" customFormat="1" ht="12.75" customHeight="1" outlineLevel="1">
      <c r="A22" s="62">
        <v>20</v>
      </c>
      <c r="B22" s="75">
        <v>32</v>
      </c>
      <c r="C22" s="75">
        <v>24063</v>
      </c>
      <c r="D22" s="117" t="s">
        <v>1233</v>
      </c>
      <c r="E22" s="62">
        <v>21.73</v>
      </c>
      <c r="F22" s="76" t="s">
        <v>25</v>
      </c>
      <c r="G22" s="62" t="s">
        <v>7</v>
      </c>
      <c r="H22" s="62" t="s">
        <v>16</v>
      </c>
      <c r="I22" s="91">
        <v>2567075.0699999998</v>
      </c>
      <c r="J22" s="62">
        <v>0</v>
      </c>
      <c r="K22" s="371" t="s">
        <v>65</v>
      </c>
      <c r="L22" s="62" t="s">
        <v>18</v>
      </c>
      <c r="M22" s="942">
        <v>45098</v>
      </c>
      <c r="N22" s="117" t="s">
        <v>17</v>
      </c>
      <c r="O22" s="76" t="s">
        <v>1518</v>
      </c>
      <c r="P22" s="76" t="s">
        <v>67</v>
      </c>
      <c r="Q22" s="76" t="s">
        <v>67</v>
      </c>
      <c r="R22" s="945" t="s">
        <v>1233</v>
      </c>
      <c r="S22" s="945" t="s">
        <v>1233</v>
      </c>
      <c r="T22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2241125.0699999998</v>
      </c>
    </row>
    <row r="23" spans="1:21" ht="12.75" customHeight="1" outlineLevel="1">
      <c r="A23" s="62">
        <v>21</v>
      </c>
      <c r="B23" s="75">
        <v>251</v>
      </c>
      <c r="C23" s="75">
        <v>25294</v>
      </c>
      <c r="D23" s="117" t="s">
        <v>8</v>
      </c>
      <c r="E23" s="62">
        <v>58.55</v>
      </c>
      <c r="F23" s="941" t="s">
        <v>15</v>
      </c>
      <c r="G23" s="62" t="s">
        <v>7</v>
      </c>
      <c r="H23" s="62" t="s">
        <v>10</v>
      </c>
      <c r="I23" s="95">
        <v>4983756.09</v>
      </c>
      <c r="J23" s="62">
        <v>2</v>
      </c>
      <c r="K23" s="62" t="s">
        <v>130</v>
      </c>
      <c r="L23" s="62" t="s">
        <v>18</v>
      </c>
      <c r="M23" s="537">
        <v>45097</v>
      </c>
      <c r="N23" s="117" t="s">
        <v>17</v>
      </c>
      <c r="O23" s="62" t="s">
        <v>1519</v>
      </c>
      <c r="P23" s="76" t="s">
        <v>67</v>
      </c>
      <c r="Q23" s="76" t="s">
        <v>67</v>
      </c>
      <c r="R23" s="945" t="s">
        <v>8</v>
      </c>
      <c r="S23" s="945" t="s">
        <v>8</v>
      </c>
      <c r="T23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4749556.09</v>
      </c>
    </row>
    <row r="24" spans="1:21" s="929" customFormat="1" ht="12.75" customHeight="1" outlineLevel="1">
      <c r="A24" s="62">
        <v>22</v>
      </c>
      <c r="B24" s="75">
        <v>276</v>
      </c>
      <c r="C24" s="75">
        <v>25275</v>
      </c>
      <c r="D24" s="117" t="s">
        <v>8</v>
      </c>
      <c r="E24" s="62">
        <v>29.35</v>
      </c>
      <c r="F24" s="941" t="s">
        <v>25</v>
      </c>
      <c r="G24" s="62" t="s">
        <v>7</v>
      </c>
      <c r="H24" s="62" t="s">
        <v>10</v>
      </c>
      <c r="I24" s="95">
        <v>3086755.35</v>
      </c>
      <c r="J24" s="62">
        <v>0</v>
      </c>
      <c r="K24" s="62" t="s">
        <v>286</v>
      </c>
      <c r="L24" s="62" t="s">
        <v>18</v>
      </c>
      <c r="M24" s="92">
        <v>45104</v>
      </c>
      <c r="N24" s="117" t="s">
        <v>17</v>
      </c>
      <c r="O24" s="62" t="s">
        <v>1520</v>
      </c>
      <c r="P24" s="76" t="s">
        <v>67</v>
      </c>
      <c r="Q24" s="76" t="s">
        <v>67</v>
      </c>
      <c r="R24" s="945" t="s">
        <v>8</v>
      </c>
      <c r="S24" s="945" t="s">
        <v>8</v>
      </c>
      <c r="T24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2646505.35</v>
      </c>
    </row>
    <row r="25" spans="1:21" s="929" customFormat="1" ht="12.75" customHeight="1" outlineLevel="1">
      <c r="A25" s="62">
        <v>23</v>
      </c>
      <c r="B25" s="75">
        <v>472</v>
      </c>
      <c r="C25" s="75">
        <v>24519</v>
      </c>
      <c r="D25" s="117" t="s">
        <v>1233</v>
      </c>
      <c r="E25" s="62">
        <v>63.74</v>
      </c>
      <c r="F25" s="941" t="s">
        <v>15</v>
      </c>
      <c r="G25" s="62" t="s">
        <v>7</v>
      </c>
      <c r="H25" s="62" t="s">
        <v>16</v>
      </c>
      <c r="I25" s="95">
        <v>5069183.5599999996</v>
      </c>
      <c r="J25" s="62">
        <v>2</v>
      </c>
      <c r="K25" s="62" t="s">
        <v>65</v>
      </c>
      <c r="L25" s="62" t="s">
        <v>18</v>
      </c>
      <c r="M25" s="92">
        <v>45098</v>
      </c>
      <c r="N25" s="117" t="s">
        <v>17</v>
      </c>
      <c r="O25" s="76" t="s">
        <v>1521</v>
      </c>
      <c r="P25" s="76" t="s">
        <v>67</v>
      </c>
      <c r="Q25" s="76" t="s">
        <v>67</v>
      </c>
      <c r="R25" s="117" t="s">
        <v>1233</v>
      </c>
      <c r="S25" s="117" t="s">
        <v>1233</v>
      </c>
      <c r="T25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4814223.5599999996</v>
      </c>
    </row>
    <row r="26" spans="1:21" s="929" customFormat="1" ht="12.75" customHeight="1" outlineLevel="1">
      <c r="A26" s="62">
        <v>24</v>
      </c>
      <c r="B26" s="75">
        <v>383</v>
      </c>
      <c r="C26" s="75">
        <v>25331</v>
      </c>
      <c r="D26" s="117" t="s">
        <v>1233</v>
      </c>
      <c r="E26" s="62">
        <v>36.450000000000003</v>
      </c>
      <c r="F26" s="941" t="s">
        <v>9</v>
      </c>
      <c r="G26" s="62" t="s">
        <v>7</v>
      </c>
      <c r="H26" s="62" t="s">
        <v>22</v>
      </c>
      <c r="I26" s="95">
        <v>3411924.12</v>
      </c>
      <c r="J26" s="62">
        <v>0</v>
      </c>
      <c r="K26" s="62" t="s">
        <v>65</v>
      </c>
      <c r="L26" s="62" t="s">
        <v>18</v>
      </c>
      <c r="M26" s="537">
        <v>45106</v>
      </c>
      <c r="N26" s="117" t="s">
        <v>17</v>
      </c>
      <c r="O26" s="76" t="s">
        <v>1522</v>
      </c>
      <c r="P26" s="76" t="s">
        <v>67</v>
      </c>
      <c r="Q26" s="76" t="s">
        <v>67</v>
      </c>
      <c r="R26" s="945" t="s">
        <v>1233</v>
      </c>
      <c r="S26" s="945" t="s">
        <v>1233</v>
      </c>
      <c r="T26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3411924.12</v>
      </c>
    </row>
    <row r="27" spans="1:21" ht="12.75" customHeight="1" outlineLevel="1">
      <c r="A27" s="62">
        <v>25</v>
      </c>
      <c r="B27" s="75">
        <v>447</v>
      </c>
      <c r="C27" s="75">
        <v>14007</v>
      </c>
      <c r="D27" s="117" t="s">
        <v>1233</v>
      </c>
      <c r="E27" s="62">
        <v>39.74</v>
      </c>
      <c r="F27" s="941" t="s">
        <v>15</v>
      </c>
      <c r="G27" s="62" t="s">
        <v>7</v>
      </c>
      <c r="H27" s="62" t="s">
        <v>22</v>
      </c>
      <c r="I27" s="95">
        <v>3625262.82</v>
      </c>
      <c r="J27" s="62">
        <v>1</v>
      </c>
      <c r="K27" s="62" t="s">
        <v>65</v>
      </c>
      <c r="L27" s="62" t="s">
        <v>18</v>
      </c>
      <c r="M27" s="92">
        <v>45107</v>
      </c>
      <c r="N27" s="117" t="s">
        <v>17</v>
      </c>
      <c r="O27" s="62" t="s">
        <v>1523</v>
      </c>
      <c r="P27" s="76" t="s">
        <v>67</v>
      </c>
      <c r="Q27" s="76" t="s">
        <v>67</v>
      </c>
      <c r="R27" s="945" t="s">
        <v>1233</v>
      </c>
      <c r="S27" s="945" t="s">
        <v>1233</v>
      </c>
      <c r="T27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3466302.82</v>
      </c>
    </row>
    <row r="28" spans="1:21" ht="15" customHeight="1" outlineLevel="1">
      <c r="A28" s="62">
        <v>26</v>
      </c>
      <c r="B28" s="75">
        <v>56</v>
      </c>
      <c r="C28" s="75">
        <v>25365</v>
      </c>
      <c r="D28" s="62" t="s">
        <v>8</v>
      </c>
      <c r="E28" s="62">
        <v>21.73</v>
      </c>
      <c r="F28" s="941" t="s">
        <v>25</v>
      </c>
      <c r="G28" s="62" t="s">
        <v>7</v>
      </c>
      <c r="H28" s="62" t="s">
        <v>16</v>
      </c>
      <c r="I28" s="95">
        <v>2567075.0699999998</v>
      </c>
      <c r="J28" s="62">
        <v>0</v>
      </c>
      <c r="K28" s="62" t="s">
        <v>65</v>
      </c>
      <c r="L28" s="62" t="s">
        <v>18</v>
      </c>
      <c r="M28" s="92"/>
      <c r="N28" s="117" t="s">
        <v>17</v>
      </c>
      <c r="O28" s="941" t="s">
        <v>1524</v>
      </c>
      <c r="P28" s="76" t="s">
        <v>67</v>
      </c>
      <c r="Q28" s="76" t="s">
        <v>67</v>
      </c>
      <c r="R28" s="941" t="s">
        <v>8</v>
      </c>
      <c r="S28" s="941" t="s">
        <v>8</v>
      </c>
      <c r="T28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2241125.0699999998</v>
      </c>
    </row>
    <row r="29" spans="1:21" ht="12.75" customHeight="1" outlineLevel="1">
      <c r="A29" s="65">
        <v>27</v>
      </c>
      <c r="B29" s="882">
        <v>13</v>
      </c>
      <c r="C29" s="79">
        <v>25323</v>
      </c>
      <c r="D29" s="65" t="s">
        <v>77</v>
      </c>
      <c r="E29" s="65">
        <v>77.55</v>
      </c>
      <c r="F29" s="949" t="s">
        <v>9</v>
      </c>
      <c r="G29" s="65" t="s">
        <v>7</v>
      </c>
      <c r="H29" s="65" t="s">
        <v>84</v>
      </c>
      <c r="I29" s="93">
        <v>8739885</v>
      </c>
      <c r="J29" s="65" t="s">
        <v>1337</v>
      </c>
      <c r="K29" s="65" t="s">
        <v>286</v>
      </c>
      <c r="L29" s="65" t="s">
        <v>18</v>
      </c>
      <c r="M29" s="1004"/>
      <c r="N29" s="80" t="s">
        <v>17</v>
      </c>
      <c r="O29" s="949" t="s">
        <v>1525</v>
      </c>
      <c r="P29" s="86" t="s">
        <v>1526</v>
      </c>
      <c r="Q29" s="86" t="s">
        <v>1526</v>
      </c>
      <c r="R29" s="949" t="s">
        <v>77</v>
      </c>
      <c r="S29" s="949" t="s">
        <v>77</v>
      </c>
      <c r="T29" s="948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8739885</v>
      </c>
    </row>
    <row r="30" spans="1:21" ht="12.75" customHeight="1" outlineLevel="1">
      <c r="A30" s="65">
        <v>28</v>
      </c>
      <c r="B30" s="883">
        <v>14</v>
      </c>
      <c r="C30" s="79" t="s">
        <v>1527</v>
      </c>
      <c r="D30" s="65" t="s">
        <v>77</v>
      </c>
      <c r="E30" s="65">
        <v>91.41</v>
      </c>
      <c r="F30" s="949" t="s">
        <v>9</v>
      </c>
      <c r="G30" s="65" t="s">
        <v>7</v>
      </c>
      <c r="H30" s="65" t="s">
        <v>84</v>
      </c>
      <c r="I30" s="104">
        <v>10301907</v>
      </c>
      <c r="J30" s="65" t="s">
        <v>1337</v>
      </c>
      <c r="K30" s="65" t="s">
        <v>286</v>
      </c>
      <c r="L30" s="65" t="s">
        <v>18</v>
      </c>
      <c r="M30" s="109"/>
      <c r="N30" s="80" t="s">
        <v>17</v>
      </c>
      <c r="O30" s="949" t="s">
        <v>1525</v>
      </c>
      <c r="P30" s="86" t="s">
        <v>1526</v>
      </c>
      <c r="Q30" s="86" t="s">
        <v>1526</v>
      </c>
      <c r="R30" s="949" t="s">
        <v>77</v>
      </c>
      <c r="S30" s="949" t="s">
        <v>77</v>
      </c>
      <c r="T30" s="948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10301907</v>
      </c>
    </row>
    <row r="31" spans="1:21" s="929" customFormat="1" ht="12.75" customHeight="1" outlineLevel="1">
      <c r="A31" s="62">
        <v>29</v>
      </c>
      <c r="B31" s="75">
        <v>340</v>
      </c>
      <c r="C31" s="75">
        <v>25293</v>
      </c>
      <c r="D31" s="117" t="s">
        <v>8</v>
      </c>
      <c r="E31" s="62">
        <v>67.95</v>
      </c>
      <c r="F31" s="941" t="s">
        <v>9</v>
      </c>
      <c r="G31" s="62" t="s">
        <v>7</v>
      </c>
      <c r="H31" s="62" t="s">
        <v>22</v>
      </c>
      <c r="I31" s="91">
        <v>5613865.2400000002</v>
      </c>
      <c r="J31" s="62">
        <v>2</v>
      </c>
      <c r="K31" s="62" t="s">
        <v>65</v>
      </c>
      <c r="L31" s="62" t="s">
        <v>18</v>
      </c>
      <c r="M31" s="537">
        <v>45105</v>
      </c>
      <c r="N31" s="117" t="s">
        <v>17</v>
      </c>
      <c r="O31" s="76" t="s">
        <v>1528</v>
      </c>
      <c r="P31" s="76" t="s">
        <v>67</v>
      </c>
      <c r="Q31" s="76" t="s">
        <v>67</v>
      </c>
      <c r="R31" s="941" t="s">
        <v>8</v>
      </c>
      <c r="S31" s="941" t="s">
        <v>8</v>
      </c>
      <c r="T31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5613865.2400000002</v>
      </c>
    </row>
    <row r="32" spans="1:21" s="929" customFormat="1" ht="12.75" customHeight="1" outlineLevel="1">
      <c r="A32" s="62">
        <v>30</v>
      </c>
      <c r="B32" s="75">
        <v>448</v>
      </c>
      <c r="C32" s="75">
        <v>25422</v>
      </c>
      <c r="D32" s="117" t="s">
        <v>77</v>
      </c>
      <c r="E32" s="62">
        <v>38.6</v>
      </c>
      <c r="F32" s="941" t="s">
        <v>15</v>
      </c>
      <c r="G32" s="62" t="s">
        <v>7</v>
      </c>
      <c r="H32" s="117" t="s">
        <v>16</v>
      </c>
      <c r="I32" s="91">
        <v>3746092.17</v>
      </c>
      <c r="J32" s="62"/>
      <c r="K32" s="62" t="s">
        <v>65</v>
      </c>
      <c r="L32" s="62" t="s">
        <v>18</v>
      </c>
      <c r="M32" s="537">
        <v>45099</v>
      </c>
      <c r="N32" s="117" t="s">
        <v>17</v>
      </c>
      <c r="O32" s="76" t="s">
        <v>1529</v>
      </c>
      <c r="P32" s="76" t="s">
        <v>67</v>
      </c>
      <c r="Q32" s="76" t="s">
        <v>67</v>
      </c>
      <c r="R32" s="941" t="s">
        <v>77</v>
      </c>
      <c r="S32" s="941" t="s">
        <v>77</v>
      </c>
      <c r="T32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3591692.17</v>
      </c>
    </row>
    <row r="33" spans="1:21" s="929" customFormat="1" ht="12.75" customHeight="1" outlineLevel="1">
      <c r="A33" s="62">
        <v>31</v>
      </c>
      <c r="B33" s="75">
        <v>29</v>
      </c>
      <c r="C33" s="75">
        <v>25339</v>
      </c>
      <c r="D33" s="117" t="s">
        <v>1233</v>
      </c>
      <c r="E33" s="62">
        <v>54.66</v>
      </c>
      <c r="F33" s="941" t="s">
        <v>25</v>
      </c>
      <c r="G33" s="62" t="s">
        <v>7</v>
      </c>
      <c r="H33" s="62" t="s">
        <v>22</v>
      </c>
      <c r="I33" s="95">
        <v>5253900.62</v>
      </c>
      <c r="J33" s="62">
        <v>2</v>
      </c>
      <c r="K33" s="62" t="s">
        <v>65</v>
      </c>
      <c r="L33" s="62" t="s">
        <v>18</v>
      </c>
      <c r="M33" s="92">
        <v>45105</v>
      </c>
      <c r="N33" s="117" t="s">
        <v>17</v>
      </c>
      <c r="O33" s="62" t="s">
        <v>1530</v>
      </c>
      <c r="P33" s="76" t="s">
        <v>67</v>
      </c>
      <c r="Q33" s="76" t="s">
        <v>67</v>
      </c>
      <c r="R33" s="945" t="s">
        <v>1233</v>
      </c>
      <c r="S33" s="945" t="s">
        <v>8</v>
      </c>
      <c r="T33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4434000.62</v>
      </c>
    </row>
    <row r="34" spans="1:21" ht="12.75" customHeight="1" outlineLevel="1">
      <c r="A34" s="62">
        <v>32</v>
      </c>
      <c r="B34" s="62">
        <v>20</v>
      </c>
      <c r="C34" s="62">
        <v>25338</v>
      </c>
      <c r="D34" s="117" t="s">
        <v>1233</v>
      </c>
      <c r="E34" s="1003"/>
      <c r="F34" s="941" t="s">
        <v>9</v>
      </c>
      <c r="G34" s="62" t="s">
        <v>27</v>
      </c>
      <c r="H34" s="62" t="s">
        <v>10</v>
      </c>
      <c r="I34" s="95">
        <v>14556000</v>
      </c>
      <c r="J34" s="62" t="s">
        <v>1337</v>
      </c>
      <c r="K34" s="62" t="s">
        <v>514</v>
      </c>
      <c r="L34" s="62" t="s">
        <v>18</v>
      </c>
      <c r="M34" s="92">
        <v>45103</v>
      </c>
      <c r="N34" s="117" t="s">
        <v>17</v>
      </c>
      <c r="O34" s="62" t="s">
        <v>1531</v>
      </c>
      <c r="P34" s="76" t="s">
        <v>67</v>
      </c>
      <c r="Q34" s="76" t="s">
        <v>67</v>
      </c>
      <c r="R34" s="945" t="s">
        <v>1233</v>
      </c>
      <c r="S34" s="945" t="s">
        <v>1233</v>
      </c>
      <c r="T34" s="946" t="str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/>
      </c>
      <c r="U34" s="929"/>
    </row>
    <row r="35" spans="1:21" outlineLevel="1">
      <c r="A35" s="62">
        <v>33</v>
      </c>
      <c r="B35" s="75">
        <v>309</v>
      </c>
      <c r="C35" s="75">
        <v>25304</v>
      </c>
      <c r="D35" s="117" t="s">
        <v>8</v>
      </c>
      <c r="E35" s="62">
        <v>72.510000000000005</v>
      </c>
      <c r="F35" s="941" t="s">
        <v>15</v>
      </c>
      <c r="G35" s="62" t="s">
        <v>7</v>
      </c>
      <c r="H35" s="62" t="s">
        <v>22</v>
      </c>
      <c r="I35" s="95">
        <v>5574399.8499999996</v>
      </c>
      <c r="J35" s="62">
        <v>3</v>
      </c>
      <c r="K35" s="62" t="s">
        <v>65</v>
      </c>
      <c r="L35" s="62" t="s">
        <v>18</v>
      </c>
      <c r="M35" s="92">
        <v>45103</v>
      </c>
      <c r="N35" s="117" t="s">
        <v>17</v>
      </c>
      <c r="O35" s="62" t="s">
        <v>1532</v>
      </c>
      <c r="P35" s="76" t="s">
        <v>67</v>
      </c>
      <c r="Q35" s="76" t="s">
        <v>67</v>
      </c>
      <c r="R35" s="945" t="s">
        <v>8</v>
      </c>
      <c r="S35" s="945" t="s">
        <v>8</v>
      </c>
      <c r="T35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5284359.8499999996</v>
      </c>
      <c r="U35" s="929"/>
    </row>
    <row r="36" spans="1:21" outlineLevel="1">
      <c r="A36" s="62">
        <v>34</v>
      </c>
      <c r="B36" s="75">
        <v>33</v>
      </c>
      <c r="C36" s="75">
        <v>25208</v>
      </c>
      <c r="D36" s="117" t="s">
        <v>77</v>
      </c>
      <c r="E36" s="62">
        <v>33.53</v>
      </c>
      <c r="F36" s="941" t="s">
        <v>25</v>
      </c>
      <c r="G36" s="62" t="s">
        <v>7</v>
      </c>
      <c r="H36" s="62" t="s">
        <v>16</v>
      </c>
      <c r="I36" s="95">
        <v>3715246.05</v>
      </c>
      <c r="J36" s="62">
        <v>1</v>
      </c>
      <c r="K36" s="62" t="s">
        <v>65</v>
      </c>
      <c r="L36" s="62" t="s">
        <v>18</v>
      </c>
      <c r="M36" s="92">
        <v>45107</v>
      </c>
      <c r="N36" s="117" t="s">
        <v>17</v>
      </c>
      <c r="O36" s="62" t="s">
        <v>367</v>
      </c>
      <c r="P36" s="76" t="s">
        <v>67</v>
      </c>
      <c r="Q36" s="76" t="s">
        <v>67</v>
      </c>
      <c r="R36" s="941" t="s">
        <v>77</v>
      </c>
      <c r="S36" s="941" t="s">
        <v>77</v>
      </c>
      <c r="T36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3212296.05</v>
      </c>
    </row>
    <row r="37" spans="1:21" s="929" customFormat="1" ht="12.75" customHeight="1" outlineLevel="1">
      <c r="A37" s="62">
        <v>35</v>
      </c>
      <c r="B37" s="75">
        <v>241</v>
      </c>
      <c r="C37" s="75">
        <v>25493</v>
      </c>
      <c r="D37" s="117" t="s">
        <v>1233</v>
      </c>
      <c r="E37" s="62">
        <v>29.35</v>
      </c>
      <c r="F37" s="941" t="s">
        <v>25</v>
      </c>
      <c r="G37" s="62" t="s">
        <v>7</v>
      </c>
      <c r="H37" s="62" t="s">
        <v>16</v>
      </c>
      <c r="I37" s="95">
        <v>3086755.35</v>
      </c>
      <c r="J37" s="62">
        <v>0</v>
      </c>
      <c r="K37" s="62" t="s">
        <v>65</v>
      </c>
      <c r="L37" s="62" t="s">
        <v>18</v>
      </c>
      <c r="M37" s="92">
        <v>45106</v>
      </c>
      <c r="N37" s="117" t="s">
        <v>17</v>
      </c>
      <c r="O37" s="62" t="s">
        <v>1533</v>
      </c>
      <c r="P37" s="76" t="s">
        <v>67</v>
      </c>
      <c r="Q37" s="76" t="s">
        <v>67</v>
      </c>
      <c r="R37" s="945" t="s">
        <v>1233</v>
      </c>
      <c r="S37" s="945" t="s">
        <v>1233</v>
      </c>
      <c r="T37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2646505.35</v>
      </c>
    </row>
    <row r="38" spans="1:21" s="929" customFormat="1" ht="12.75" customHeight="1" outlineLevel="1">
      <c r="A38" s="62">
        <v>36</v>
      </c>
      <c r="B38" s="75">
        <v>339</v>
      </c>
      <c r="C38" s="75">
        <v>24060</v>
      </c>
      <c r="D38" s="117" t="s">
        <v>8</v>
      </c>
      <c r="E38" s="62">
        <v>29.35</v>
      </c>
      <c r="F38" s="941" t="s">
        <v>25</v>
      </c>
      <c r="G38" s="62" t="s">
        <v>7</v>
      </c>
      <c r="H38" s="62" t="s">
        <v>22</v>
      </c>
      <c r="I38" s="95">
        <v>3086755.35</v>
      </c>
      <c r="J38" s="62">
        <v>0</v>
      </c>
      <c r="K38" s="62" t="s">
        <v>65</v>
      </c>
      <c r="L38" s="431" t="s">
        <v>18</v>
      </c>
      <c r="M38" s="539">
        <v>45106</v>
      </c>
      <c r="N38" s="117" t="s">
        <v>17</v>
      </c>
      <c r="O38" s="62" t="s">
        <v>1534</v>
      </c>
      <c r="P38" s="76" t="s">
        <v>67</v>
      </c>
      <c r="Q38" s="76" t="s">
        <v>67</v>
      </c>
      <c r="R38" s="945" t="s">
        <v>8</v>
      </c>
      <c r="S38" s="945" t="s">
        <v>8</v>
      </c>
      <c r="T38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2646505.35</v>
      </c>
    </row>
    <row r="39" spans="1:21" ht="12.75" customHeight="1" outlineLevel="1">
      <c r="A39" s="62">
        <v>37</v>
      </c>
      <c r="B39" s="75">
        <v>290</v>
      </c>
      <c r="C39" s="74">
        <v>8682</v>
      </c>
      <c r="D39" s="62" t="s">
        <v>8</v>
      </c>
      <c r="E39" s="62">
        <v>29.35</v>
      </c>
      <c r="F39" s="941" t="s">
        <v>25</v>
      </c>
      <c r="G39" s="62" t="s">
        <v>7</v>
      </c>
      <c r="H39" s="62" t="s">
        <v>22</v>
      </c>
      <c r="I39" s="95">
        <v>3086755.35</v>
      </c>
      <c r="J39" s="62">
        <v>0</v>
      </c>
      <c r="K39" s="62" t="s">
        <v>65</v>
      </c>
      <c r="L39" s="62" t="s">
        <v>18</v>
      </c>
      <c r="M39" s="92">
        <v>45107</v>
      </c>
      <c r="N39" s="117" t="s">
        <v>17</v>
      </c>
      <c r="O39" s="62" t="s">
        <v>1535</v>
      </c>
      <c r="P39" s="76" t="s">
        <v>67</v>
      </c>
      <c r="Q39" s="76" t="s">
        <v>67</v>
      </c>
      <c r="R39" s="941" t="s">
        <v>8</v>
      </c>
      <c r="S39" s="941" t="s">
        <v>8</v>
      </c>
      <c r="T39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2646505.35</v>
      </c>
    </row>
    <row r="40" spans="1:21" ht="14.45" customHeight="1" outlineLevel="1">
      <c r="A40" s="62">
        <v>38</v>
      </c>
      <c r="B40" s="75">
        <v>30</v>
      </c>
      <c r="C40" s="75">
        <v>25476</v>
      </c>
      <c r="D40" s="62" t="s">
        <v>77</v>
      </c>
      <c r="E40" s="62">
        <v>59.87</v>
      </c>
      <c r="F40" s="941" t="s">
        <v>25</v>
      </c>
      <c r="G40" s="62" t="s">
        <v>7</v>
      </c>
      <c r="H40" s="62" t="s">
        <v>22</v>
      </c>
      <c r="I40" s="95">
        <v>6185419.96</v>
      </c>
      <c r="J40" s="62">
        <v>2</v>
      </c>
      <c r="K40" s="62" t="s">
        <v>65</v>
      </c>
      <c r="L40" s="62" t="s">
        <v>18</v>
      </c>
      <c r="M40" s="92">
        <v>45107</v>
      </c>
      <c r="N40" s="117" t="s">
        <v>17</v>
      </c>
      <c r="O40" s="62" t="s">
        <v>1536</v>
      </c>
      <c r="P40" s="76" t="s">
        <v>67</v>
      </c>
      <c r="Q40" s="76" t="s">
        <v>67</v>
      </c>
      <c r="R40" s="941" t="s">
        <v>77</v>
      </c>
      <c r="S40" s="941" t="s">
        <v>77</v>
      </c>
      <c r="T40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5287369.96</v>
      </c>
    </row>
    <row r="41" spans="1:21" outlineLevel="1">
      <c r="A41" s="62">
        <v>39</v>
      </c>
      <c r="B41" s="75">
        <v>511</v>
      </c>
      <c r="C41" s="75">
        <v>22234</v>
      </c>
      <c r="D41" s="62" t="s">
        <v>77</v>
      </c>
      <c r="E41" s="62">
        <v>38.6</v>
      </c>
      <c r="F41" s="380" t="s">
        <v>9</v>
      </c>
      <c r="G41" s="62" t="s">
        <v>7</v>
      </c>
      <c r="H41" s="62" t="s">
        <v>16</v>
      </c>
      <c r="I41" s="95">
        <v>3591692.17</v>
      </c>
      <c r="J41" s="62">
        <v>1</v>
      </c>
      <c r="K41" s="62" t="s">
        <v>65</v>
      </c>
      <c r="L41" s="62" t="s">
        <v>18</v>
      </c>
      <c r="M41" s="92">
        <v>45107</v>
      </c>
      <c r="N41" s="117" t="s">
        <v>17</v>
      </c>
      <c r="O41" s="62" t="s">
        <v>1537</v>
      </c>
      <c r="P41" s="76" t="s">
        <v>67</v>
      </c>
      <c r="Q41" s="76" t="s">
        <v>67</v>
      </c>
      <c r="R41" s="941" t="s">
        <v>16</v>
      </c>
      <c r="S41" s="941" t="s">
        <v>77</v>
      </c>
      <c r="T41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3591692.17</v>
      </c>
    </row>
    <row r="42" spans="1:21" outlineLevel="1">
      <c r="A42" s="62">
        <v>40</v>
      </c>
      <c r="B42" s="883">
        <v>16</v>
      </c>
      <c r="C42" s="75">
        <v>25453</v>
      </c>
      <c r="D42" s="117" t="s">
        <v>8</v>
      </c>
      <c r="E42" s="62">
        <v>75.67</v>
      </c>
      <c r="F42" s="941" t="s">
        <v>9</v>
      </c>
      <c r="G42" s="62" t="s">
        <v>7</v>
      </c>
      <c r="H42" s="62" t="s">
        <v>10</v>
      </c>
      <c r="I42" s="95">
        <v>8702050</v>
      </c>
      <c r="J42" s="62" t="s">
        <v>1337</v>
      </c>
      <c r="K42" s="62" t="s">
        <v>286</v>
      </c>
      <c r="L42" s="62" t="s">
        <v>18</v>
      </c>
      <c r="M42" s="539">
        <v>45107</v>
      </c>
      <c r="N42" s="117" t="s">
        <v>17</v>
      </c>
      <c r="O42" s="62" t="s">
        <v>1538</v>
      </c>
      <c r="P42" s="76" t="s">
        <v>67</v>
      </c>
      <c r="Q42" s="76" t="s">
        <v>67</v>
      </c>
      <c r="R42" s="945" t="s">
        <v>8</v>
      </c>
      <c r="S42" s="945" t="s">
        <v>8</v>
      </c>
      <c r="T42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8702050</v>
      </c>
    </row>
    <row r="43" spans="1:21" s="929" customFormat="1" outlineLevel="1">
      <c r="A43" s="62">
        <v>41</v>
      </c>
      <c r="B43" s="75">
        <v>375</v>
      </c>
      <c r="C43" s="75">
        <v>21988</v>
      </c>
      <c r="D43" s="117" t="s">
        <v>8</v>
      </c>
      <c r="E43" s="62">
        <v>67.95</v>
      </c>
      <c r="F43" s="941" t="s">
        <v>9</v>
      </c>
      <c r="G43" s="62" t="s">
        <v>7</v>
      </c>
      <c r="H43" s="62" t="s">
        <v>10</v>
      </c>
      <c r="I43" s="384">
        <v>6033593.0700000003</v>
      </c>
      <c r="J43" s="62">
        <v>2</v>
      </c>
      <c r="K43" s="1005" t="s">
        <v>286</v>
      </c>
      <c r="L43" s="62" t="s">
        <v>18</v>
      </c>
      <c r="M43" s="92">
        <v>45106</v>
      </c>
      <c r="N43" s="62" t="s">
        <v>17</v>
      </c>
      <c r="O43" s="62" t="s">
        <v>1539</v>
      </c>
      <c r="P43" s="76" t="s">
        <v>67</v>
      </c>
      <c r="Q43" s="76" t="s">
        <v>67</v>
      </c>
      <c r="R43" s="945" t="s">
        <v>8</v>
      </c>
      <c r="S43" s="945" t="s">
        <v>8</v>
      </c>
      <c r="T43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6033593.0700000003</v>
      </c>
    </row>
    <row r="44" spans="1:21" outlineLevel="1">
      <c r="A44" s="62">
        <v>42</v>
      </c>
      <c r="B44" s="75">
        <v>102</v>
      </c>
      <c r="C44" s="75">
        <v>25484</v>
      </c>
      <c r="D44" s="117" t="s">
        <v>8</v>
      </c>
      <c r="E44" s="62">
        <v>59.87</v>
      </c>
      <c r="F44" s="941" t="s">
        <v>9</v>
      </c>
      <c r="G44" s="62" t="s">
        <v>7</v>
      </c>
      <c r="H44" s="62" t="s">
        <v>22</v>
      </c>
      <c r="I44" s="95">
        <v>5287369.96</v>
      </c>
      <c r="J44" s="62">
        <v>2</v>
      </c>
      <c r="K44" s="62" t="s">
        <v>65</v>
      </c>
      <c r="L44" s="62" t="s">
        <v>18</v>
      </c>
      <c r="M44" s="539">
        <v>45107</v>
      </c>
      <c r="N44" s="62" t="s">
        <v>17</v>
      </c>
      <c r="O44" s="62" t="s">
        <v>1540</v>
      </c>
      <c r="P44" s="76" t="s">
        <v>67</v>
      </c>
      <c r="Q44" s="76" t="s">
        <v>67</v>
      </c>
      <c r="R44" s="945" t="s">
        <v>8</v>
      </c>
      <c r="S44" s="945" t="s">
        <v>8</v>
      </c>
      <c r="T44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5287369.96</v>
      </c>
    </row>
    <row r="45" spans="1:21" s="929" customFormat="1" outlineLevel="1">
      <c r="A45" s="62">
        <v>43</v>
      </c>
      <c r="B45" s="75">
        <v>174</v>
      </c>
      <c r="C45" s="75">
        <v>25433</v>
      </c>
      <c r="D45" s="117" t="s">
        <v>8</v>
      </c>
      <c r="E45" s="62">
        <v>36.659999999999997</v>
      </c>
      <c r="F45" s="941" t="s">
        <v>15</v>
      </c>
      <c r="G45" s="62" t="s">
        <v>7</v>
      </c>
      <c r="H45" s="62" t="s">
        <v>10</v>
      </c>
      <c r="I45" s="95">
        <v>3591260.1600000001</v>
      </c>
      <c r="J45" s="62">
        <v>1</v>
      </c>
      <c r="K45" s="1005" t="s">
        <v>286</v>
      </c>
      <c r="L45" s="62" t="s">
        <v>18</v>
      </c>
      <c r="M45" s="539">
        <v>45106</v>
      </c>
      <c r="N45" s="62" t="s">
        <v>17</v>
      </c>
      <c r="O45" s="62" t="s">
        <v>1541</v>
      </c>
      <c r="P45" s="76" t="s">
        <v>67</v>
      </c>
      <c r="Q45" s="76" t="s">
        <v>67</v>
      </c>
      <c r="R45" s="945" t="s">
        <v>8</v>
      </c>
      <c r="S45" s="945" t="s">
        <v>8</v>
      </c>
      <c r="T45" s="946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>3444620.16</v>
      </c>
    </row>
    <row r="46" spans="1:21" outlineLevel="1">
      <c r="A46" s="65"/>
      <c r="B46" s="79"/>
      <c r="C46" s="79"/>
      <c r="D46" s="65"/>
      <c r="E46" s="65"/>
      <c r="F46" s="934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9"/>
      <c r="S46" s="949"/>
      <c r="T46" s="948" t="str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/>
      </c>
    </row>
    <row r="47" spans="1:21">
      <c r="A47" s="65"/>
      <c r="B47" s="79"/>
      <c r="C47" s="79"/>
      <c r="D47" s="65"/>
      <c r="E47" s="65"/>
      <c r="F47" s="934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9"/>
      <c r="S47" s="949"/>
      <c r="T47" s="948" t="str">
        <f>IFERROR(IF(февр2314111316[[#This Row],[№ дома]]="Дом 2",SUM(февр2314111316[[#This Row],[сумма]]/февр2314111316[[#This Row],[м2]],IF(февр2314111316[[#This Row],[Отделка]]="Предчистовая",-5500,""))*февр2314111316[[#This Row],[м2]],SUM(февр2314111316[[#This Row],[сумма]]/февр2314111316[[#This Row],[м2]],IF(февр2314111316[[#This Row],[Отделка]]="Черновая",0,"")&amp;IF(февр2314111316[[#This Row],[Отделка]]="Предчистовая",-4000,"")&amp;IF(февр2314111316[[#This Row],[Отделка]]="Чистовая",-15000,""))*февр2314111316[[#This Row],[м2]]),"")</f>
        <v/>
      </c>
    </row>
    <row r="48" spans="1:21">
      <c r="A48" s="65"/>
      <c r="T48" s="948"/>
    </row>
    <row r="49" spans="1:20" hidden="1">
      <c r="A49" s="65"/>
      <c r="B49" s="79"/>
      <c r="C49" s="79"/>
      <c r="D49" s="80"/>
      <c r="E49" s="65"/>
      <c r="F49" s="934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8"/>
    </row>
    <row r="50" spans="1:20" hidden="1">
      <c r="A50" s="65"/>
      <c r="B50" s="79"/>
      <c r="C50" s="79"/>
      <c r="D50" s="80"/>
      <c r="E50" s="65"/>
      <c r="F50" s="934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8"/>
    </row>
    <row r="51" spans="1:20" hidden="1">
      <c r="A51" s="2290" t="s">
        <v>713</v>
      </c>
      <c r="B51" s="2291"/>
      <c r="C51" s="935" t="s">
        <v>27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7"/>
      <c r="R51" s="949"/>
      <c r="S51" s="949"/>
    </row>
    <row r="52" spans="1:20" hidden="1">
      <c r="A52" s="685" t="s">
        <v>1</v>
      </c>
      <c r="B52" s="723" t="s">
        <v>100</v>
      </c>
      <c r="C52" s="687" t="s">
        <v>97</v>
      </c>
      <c r="D52" s="724" t="s">
        <v>95</v>
      </c>
      <c r="E52" s="137" t="s">
        <v>494</v>
      </c>
      <c r="F52" s="138" t="s">
        <v>495</v>
      </c>
      <c r="G52" s="139" t="s">
        <v>496</v>
      </c>
      <c r="H52" s="140" t="s">
        <v>101</v>
      </c>
      <c r="I52" s="141" t="s">
        <v>98</v>
      </c>
      <c r="J52" s="141" t="s">
        <v>96</v>
      </c>
      <c r="K52" s="141" t="s">
        <v>715</v>
      </c>
      <c r="L52" s="216" t="s">
        <v>716</v>
      </c>
      <c r="M52" s="217">
        <v>0</v>
      </c>
      <c r="N52" s="218">
        <v>1</v>
      </c>
      <c r="O52" s="218">
        <v>2</v>
      </c>
      <c r="P52" s="218">
        <v>3</v>
      </c>
      <c r="Q52" s="219" t="s">
        <v>1367</v>
      </c>
      <c r="R52" s="950"/>
      <c r="S52" s="950"/>
      <c r="T52" s="951"/>
    </row>
    <row r="53" spans="1:20" hidden="1">
      <c r="A53" s="936" t="s">
        <v>73</v>
      </c>
      <c r="B53" s="937">
        <f>VLOOKUP(A53,'Индивидуальный план'!$F$15:$H$24,2,0)</f>
        <v>685</v>
      </c>
      <c r="C53" s="937">
        <f>VLOOKUP(A53,'Индивидуальный план'!$F$15:$H$24,3,0)</f>
        <v>58063399.594999999</v>
      </c>
      <c r="D53" s="938"/>
      <c r="E53" s="148">
        <f>SUMIFS(февр2314111316[м2],февр2314111316[МОП],$A53,февр2314111316[№ дома],$C$51,февр2314111316[Ком],"&lt;&gt;Офис")</f>
        <v>0</v>
      </c>
      <c r="F53" s="939">
        <f>SUMIFS(февр2314111316[сумма без отделки],февр2314111316[МОП],$A53,февр2314111316[№ дома],$C$51,февр2314111316[Ком],"&lt;&gt;Офис")</f>
        <v>0</v>
      </c>
      <c r="G53" s="940">
        <f>COUNTIFS(февр2314111316[МОП],$A53,февр2314111316[№ дома],$C$51,февр2314111316[Ком],"&lt;&gt;Офис")</f>
        <v>0</v>
      </c>
      <c r="H53" s="148">
        <f>SUMIFS(РД[S],РД[Дом],$C$51,РД[МОП],A53,РД[Дата подачи на регистрацию],"&lt;="&amp;$A$1,РД[Дата подачи на регистрацию],"&gt;="&amp;DATE(YEAR($A$1),MONTH($A$1),1),РД[Состояние],"Продажа")</f>
        <v>0</v>
      </c>
      <c r="I53" s="149">
        <f>SUMIFS(РД[Стоимость без отделки итог],РД[Дом],$C$51,РД[МОП],A53,РД[Дата подачи на регистрацию],"&lt;="&amp;$A$1,РД[Дата подачи на регистрацию],"&gt;="&amp;DATE(YEAR($A$1),MONTH($A$1),1),РД[Состояние],"Продажа")</f>
        <v>0</v>
      </c>
      <c r="J53" s="220">
        <f>COUNTIFS(РД[Дом],$C$51,РД[МОП],A53,РД[Дата подачи на регистрацию],"&lt;="&amp;$A$1,РД[Дата подачи на регистрацию],"&gt;="&amp;DATE(YEAR($A$1),MONTH($A$1),1),РД[Состояние],"Продажа")</f>
        <v>0</v>
      </c>
      <c r="K53" s="943">
        <f t="shared" ref="K53:L56" si="0">IFERROR(H53/B53,"")</f>
        <v>0</v>
      </c>
      <c r="L53" s="944">
        <f t="shared" si="0"/>
        <v>0</v>
      </c>
      <c r="M53" s="183">
        <f>COUNTIFS(РД[Тип кв],M$52,РД[МОП],$A53,РД[Дом],$C$51,РД[Дата подачи на регистрацию],"&lt;="&amp;$A$1,РД[Дата подачи на регистрацию],"&gt;="&amp;DATE(YEAR($A$1),MONTH($A$1),1))</f>
        <v>0</v>
      </c>
      <c r="N53" s="243">
        <f>COUNTIFS(РД[Тип кв],N$52,РД[МОП],$A53,РД[Дом],$C$51,РД[Дата подачи на регистрацию],"&lt;="&amp;$A$1,РД[Дата подачи на регистрацию],"&gt;="&amp;DATE(YEAR($A$1),MONTH($A$1),1))</f>
        <v>0</v>
      </c>
      <c r="O53" s="243">
        <f>COUNTIFS(РД[Тип кв],O$52,РД[МОП],$A53,РД[Дом],$C$51,РД[Дата подачи на регистрацию],"&lt;="&amp;$A$1,РД[Дата подачи на регистрацию],"&gt;="&amp;DATE(YEAR($A$1),MONTH($A$1),1))</f>
        <v>0</v>
      </c>
      <c r="P53" s="243">
        <f>COUNTIFS(РД[Тип кв],P$52,РД[МОП],$A53,РД[Дом],$C$51,РД[Дата подачи на регистрацию],"&lt;="&amp;$A$1,РД[Дата подачи на регистрацию],"&gt;="&amp;DATE(YEAR($A$1),MONTH($A$1),1))</f>
        <v>0</v>
      </c>
      <c r="Q53" s="246">
        <f>COUNTIFS(РД[Тип кв],Q$52,РД[МОП],$A53,РД[Дом],$C$51,РД[Дата подачи на регистрацию],"&lt;="&amp;$A$1,РД[Дата подачи на регистрацию],"&gt;="&amp;DATE(YEAR($A$1),MONTH($A$1),1))</f>
        <v>0</v>
      </c>
      <c r="R53" s="949"/>
      <c r="S53" s="949"/>
    </row>
    <row r="54" spans="1:20" hidden="1">
      <c r="A54" s="936" t="s">
        <v>8</v>
      </c>
      <c r="B54" s="937">
        <f>VLOOKUP(A54,'Индивидуальный план'!$F$15:$H$24,2,0)</f>
        <v>420</v>
      </c>
      <c r="C54" s="937">
        <f>VLOOKUP(A54,'Индивидуальный план'!$F$15:$H$24,3,0)</f>
        <v>35600916.539999999</v>
      </c>
      <c r="D54" s="938"/>
      <c r="E54" s="148">
        <f>SUMIFS(февр2314111316[м2],февр2314111316[МОП],$A54,февр2314111316[№ дома],$C$51,февр2314111316[Ком],"&lt;&gt;Офис")</f>
        <v>0</v>
      </c>
      <c r="F54" s="939">
        <f>SUMIFS(февр2314111316[сумма без отделки],февр2314111316[МОП],$A54,февр2314111316[№ дома],$C$51,февр2314111316[Ком],"&lt;&gt;Офис")</f>
        <v>0</v>
      </c>
      <c r="G54" s="940">
        <f>COUNTIFS(февр2314111316[МОП],$A54,февр2314111316[№ дома],$C$51,февр2314111316[Ком],"&lt;&gt;Офис")</f>
        <v>0</v>
      </c>
      <c r="H54" s="148">
        <f>SUMIFS(РД[S],РД[Дом],$C$51,РД[МОП],A54,РД[Дата подачи на регистрацию],"&lt;="&amp;$A$1,РД[Дата подачи на регистрацию],"&gt;="&amp;DATE(YEAR($A$1),MONTH($A$1),1),РД[Состояние],"Продажа")</f>
        <v>0</v>
      </c>
      <c r="I54" s="149">
        <f>SUMIFS(РД[Стоимость без отделки итог],РД[Дом],$C$51,РД[МОП],A54,РД[Дата подачи на регистрацию],"&lt;="&amp;$A$1,РД[Дата подачи на регистрацию],"&gt;="&amp;DATE(YEAR($A$1),MONTH($A$1),1),РД[Состояние],"Продажа")</f>
        <v>0</v>
      </c>
      <c r="J54" s="220">
        <f>COUNTIFS(РД[Дом],$C$51,РД[МОП],A54,РД[Дата подачи на регистрацию],"&lt;="&amp;$A$1,РД[Дата подачи на регистрацию],"&gt;="&amp;DATE(YEAR($A$1),MONTH($A$1),1),РД[Состояние],"Продажа")</f>
        <v>0</v>
      </c>
      <c r="K54" s="943">
        <f t="shared" si="0"/>
        <v>0</v>
      </c>
      <c r="L54" s="944">
        <f t="shared" si="0"/>
        <v>0</v>
      </c>
      <c r="M54" s="148">
        <f>COUNTIFS(РД[Тип кв],M$52,РД[МОП],$A54,РД[Дом],$C$51,РД[Дата подачи на регистрацию],"&lt;="&amp;$A$1,РД[Дата подачи на регистрацию],"&gt;="&amp;DATE(YEAR($A$1),MONTH($A$1),1))</f>
        <v>0</v>
      </c>
      <c r="N54" s="220">
        <f>COUNTIFS(РД[Тип кв],N$52,РД[МОП],$A54,РД[Дом],$C$51,РД[Дата подачи на регистрацию],"&lt;="&amp;$A$1,РД[Дата подачи на регистрацию],"&gt;="&amp;DATE(YEAR($A$1),MONTH($A$1),1))</f>
        <v>0</v>
      </c>
      <c r="O54" s="220">
        <f>COUNTIFS(РД[Тип кв],O$52,РД[МОП],$A54,РД[Дом],$C$51,РД[Дата подачи на регистрацию],"&lt;="&amp;$A$1,РД[Дата подачи на регистрацию],"&gt;="&amp;DATE(YEAR($A$1),MONTH($A$1),1))</f>
        <v>0</v>
      </c>
      <c r="P54" s="220">
        <f>COUNTIFS(РД[Тип кв],P$52,РД[МОП],$A54,РД[Дом],$C$51,РД[Дата подачи на регистрацию],"&lt;="&amp;$A$1,РД[Дата подачи на регистрацию],"&gt;="&amp;DATE(YEAR($A$1),MONTH($A$1),1))</f>
        <v>0</v>
      </c>
      <c r="Q54" s="223">
        <f>COUNTIFS(РД[Тип кв],Q$52,РД[МОП],$A54,РД[Дом],$C$51,РД[Дата подачи на регистрацию],"&lt;="&amp;$A$1,РД[Дата подачи на регистрацию],"&gt;="&amp;DATE(YEAR($A$1),MONTH($A$1),1))</f>
        <v>0</v>
      </c>
      <c r="R54" s="949"/>
      <c r="S54" s="949"/>
    </row>
    <row r="55" spans="1:20" hidden="1">
      <c r="A55" s="952" t="s">
        <v>77</v>
      </c>
      <c r="B55" s="937">
        <f>VLOOKUP(A55,'Индивидуальный план'!$F$15:$H$24,2,0)</f>
        <v>592</v>
      </c>
      <c r="C55" s="937">
        <f>VLOOKUP(A55,'Индивидуальный план'!$F$15:$H$24,3,0)</f>
        <v>50180339.504000001</v>
      </c>
      <c r="D55" s="953"/>
      <c r="E55" s="202">
        <f>SUMIFS(февр2314111316[м2],февр2314111316[МОП],$A55,февр2314111316[№ дома],$C$51,февр2314111316[Ком],"&lt;&gt;Офис")</f>
        <v>0</v>
      </c>
      <c r="F55" s="954">
        <f>SUMIFS(февр2314111316[сумма без отделки],февр2314111316[МОП],$A55,февр2314111316[№ дома],$C$51,февр2314111316[Ком],"&lt;&gt;Офис")</f>
        <v>0</v>
      </c>
      <c r="G55" s="955">
        <f>COUNTIFS(февр2314111316[МОП],$A55,февр2314111316[№ дома],$C$51,февр2314111316[Ком],"&lt;&gt;Офис")</f>
        <v>0</v>
      </c>
      <c r="H55" s="148">
        <f>SUMIFS(РД[S],РД[Дом],$C$51,РД[МОП],A55,РД[Дата подачи на регистрацию],"&lt;="&amp;$A$1,РД[Дата подачи на регистрацию],"&gt;="&amp;DATE(YEAR($A$1),MONTH($A$1),1),РД[Состояние],"Продажа")</f>
        <v>0</v>
      </c>
      <c r="I55" s="149">
        <f>SUMIFS(РД[Стоимость без отделки итог],РД[Дом],$C$51,РД[МОП],A55,РД[Дата подачи на регистрацию],"&lt;="&amp;$A$1,РД[Дата подачи на регистрацию],"&gt;="&amp;DATE(YEAR($A$1),MONTH($A$1),1),РД[Состояние],"Продажа")</f>
        <v>0</v>
      </c>
      <c r="J55" s="220">
        <f>COUNTIFS(РД[Дом],$C$51,РД[МОП],A55,РД[Дата подачи на регистрацию],"&lt;="&amp;$A$1,РД[Дата подачи на регистрацию],"&gt;="&amp;DATE(YEAR($A$1),MONTH($A$1),1),РД[Состояние],"Продажа")</f>
        <v>0</v>
      </c>
      <c r="K55" s="987">
        <f t="shared" si="0"/>
        <v>0</v>
      </c>
      <c r="L55" s="988">
        <f t="shared" si="0"/>
        <v>0</v>
      </c>
      <c r="M55" s="202">
        <f>COUNTIFS(РД[Тип кв],M$52,РД[МОП],$A55,РД[Дом],$C$51,РД[Дата подачи на регистрацию],"&lt;="&amp;$A$1,РД[Дата подачи на регистрацию],"&gt;="&amp;DATE(YEAR($A$1),MONTH($A$1),1))</f>
        <v>0</v>
      </c>
      <c r="N55" s="226">
        <f>COUNTIFS(РД[Тип кв],N$52,РД[МОП],$A55,РД[Дом],$C$51,РД[Дата подачи на регистрацию],"&lt;="&amp;$A$1,РД[Дата подачи на регистрацию],"&gt;="&amp;DATE(YEAR($A$1),MONTH($A$1),1))</f>
        <v>0</v>
      </c>
      <c r="O55" s="226">
        <f>COUNTIFS(РД[Тип кв],O$52,РД[МОП],$A55,РД[Дом],$C$51,РД[Дата подачи на регистрацию],"&lt;="&amp;$A$1,РД[Дата подачи на регистрацию],"&gt;="&amp;DATE(YEAR($A$1),MONTH($A$1),1))</f>
        <v>0</v>
      </c>
      <c r="P55" s="226">
        <f>COUNTIFS(РД[Тип кв],P$52,РД[МОП],$A55,РД[Дом],$C$51,РД[Дата подачи на регистрацию],"&lt;="&amp;$A$1,РД[Дата подачи на регистрацию],"&gt;="&amp;DATE(YEAR($A$1),MONTH($A$1),1))</f>
        <v>0</v>
      </c>
      <c r="Q55" s="227">
        <f>COUNTIFS(РД[Тип кв],Q$52,РД[МОП],$A55,РД[Дом],$C$51,РД[Дата подачи на регистрацию],"&lt;="&amp;$A$1,РД[Дата подачи на регистрацию],"&gt;="&amp;DATE(YEAR($A$1),MONTH($A$1),1))</f>
        <v>0</v>
      </c>
      <c r="R55" s="949"/>
      <c r="S55" s="949"/>
    </row>
    <row r="56" spans="1:20" hidden="1">
      <c r="A56" s="956" t="s">
        <v>1233</v>
      </c>
      <c r="B56" s="937">
        <f>VLOOKUP(A56,'Индивидуальный план'!$F$15:$H$24,2,0)</f>
        <v>685</v>
      </c>
      <c r="C56" s="937">
        <f>VLOOKUP(A56,'Индивидуальный план'!$F$15:$H$24,3,0)</f>
        <v>58063399.594999999</v>
      </c>
      <c r="D56" s="957"/>
      <c r="E56" s="358">
        <f>SUMIFS(февр2314111316[м2],февр2314111316[МОП],$A56,февр2314111316[№ дома],$C$51,февр2314111316[Ком],"&lt;&gt;Офис")</f>
        <v>0</v>
      </c>
      <c r="F56" s="958">
        <f>SUMIFS(февр2314111316[сумма без отделки],февр2314111316[МОП],$A56,февр2314111316[№ дома],$C$51,февр2314111316[Ком],"&lt;&gt;Офис")</f>
        <v>0</v>
      </c>
      <c r="G56" s="959">
        <f>COUNTIFS(февр2314111316[МОП],$A56,февр2314111316[№ дома],$C$51,февр2314111316[Ком],"&lt;&gt;Офис")</f>
        <v>0</v>
      </c>
      <c r="H56" s="148">
        <f>SUMIFS(РД[S],РД[Дом],$C$51,РД[МОП],A56,РД[Дата подачи на регистрацию],"&lt;="&amp;$A$1,РД[Дата подачи на регистрацию],"&gt;="&amp;DATE(YEAR($A$1),MONTH($A$1),1),РД[Состояние],"Продажа")</f>
        <v>0</v>
      </c>
      <c r="I56" s="149">
        <f>SUMIFS(РД[Стоимость без отделки итог],РД[Дом],$C$51,РД[МОП],A56,РД[Дата подачи на регистрацию],"&lt;="&amp;$A$1,РД[Дата подачи на регистрацию],"&gt;="&amp;DATE(YEAR($A$1),MONTH($A$1),1),РД[Состояние],"Продажа")</f>
        <v>0</v>
      </c>
      <c r="J56" s="220">
        <f>COUNTIFS(РД[Дом],$C$51,РД[МОП],A56,РД[Дата подачи на регистрацию],"&lt;="&amp;$A$1,РД[Дата подачи на регистрацию],"&gt;="&amp;DATE(YEAR($A$1),MONTH($A$1),1),РД[Состояние],"Продажа")</f>
        <v>0</v>
      </c>
      <c r="K56" s="987">
        <f t="shared" si="0"/>
        <v>0</v>
      </c>
      <c r="L56" s="988">
        <f t="shared" si="0"/>
        <v>0</v>
      </c>
      <c r="M56" s="195">
        <f>COUNTIFS(РД[Тип кв],M$52,РД[МОП],$A56,РД[Дом],$C$51,РД[Дата подачи на регистрацию],"&lt;="&amp;$A$1,РД[Дата подачи на регистрацию],"&gt;="&amp;DATE(YEAR($A$1),MONTH($A$1),1))</f>
        <v>0</v>
      </c>
      <c r="N56" s="251">
        <f>COUNTIFS(РД[Тип кв],N$52,РД[МОП],$A56,РД[Дом],$C$51,РД[Дата подачи на регистрацию],"&lt;="&amp;$A$1,РД[Дата подачи на регистрацию],"&gt;="&amp;DATE(YEAR($A$1),MONTH($A$1),1))</f>
        <v>0</v>
      </c>
      <c r="O56" s="251">
        <f>COUNTIFS(РД[Тип кв],O$52,РД[МОП],$A56,РД[Дом],$C$51,РД[Дата подачи на регистрацию],"&lt;="&amp;$A$1,РД[Дата подачи на регистрацию],"&gt;="&amp;DATE(YEAR($A$1),MONTH($A$1),1))</f>
        <v>0</v>
      </c>
      <c r="P56" s="251">
        <f>COUNTIFS(РД[Тип кв],P$52,РД[МОП],$A56,РД[Дом],$C$51,РД[Дата подачи на регистрацию],"&lt;="&amp;$A$1,РД[Дата подачи на регистрацию],"&gt;="&amp;DATE(YEAR($A$1),MONTH($A$1),1))</f>
        <v>0</v>
      </c>
      <c r="Q56" s="254">
        <f>COUNTIFS(РД[Тип кв],Q$52,РД[МОП],$A56,РД[Дом],$C$51,РД[Дата подачи на регистрацию],"&lt;="&amp;$A$1,РД[Дата подачи на регистрацию],"&gt;="&amp;DATE(YEAR($A$1),MONTH($A$1),1))</f>
        <v>0</v>
      </c>
      <c r="R56" s="949"/>
      <c r="S56" s="949"/>
    </row>
    <row r="57" spans="1:20" hidden="1">
      <c r="A57" s="960" t="s">
        <v>114</v>
      </c>
      <c r="B57" s="961">
        <f>SUM(B53:B56)</f>
        <v>2382</v>
      </c>
      <c r="C57" s="961">
        <f>SUM(C53:C56)</f>
        <v>201908055.234</v>
      </c>
      <c r="D57" s="962">
        <f t="shared" ref="D57:J57" si="1">SUM(D53:D56)</f>
        <v>0</v>
      </c>
      <c r="E57" s="963">
        <f t="shared" si="1"/>
        <v>0</v>
      </c>
      <c r="F57" s="964">
        <f t="shared" si="1"/>
        <v>0</v>
      </c>
      <c r="G57" s="965">
        <f t="shared" si="1"/>
        <v>0</v>
      </c>
      <c r="H57" s="961">
        <f t="shared" si="1"/>
        <v>0</v>
      </c>
      <c r="I57" s="964">
        <f t="shared" si="1"/>
        <v>0</v>
      </c>
      <c r="J57" s="962">
        <f t="shared" si="1"/>
        <v>0</v>
      </c>
      <c r="K57" s="419">
        <f>IFERROR(H57/B57,)</f>
        <v>0</v>
      </c>
      <c r="L57" s="420">
        <f>IFERROR(I57/C57,)</f>
        <v>0</v>
      </c>
      <c r="M57" s="473">
        <f>SUM(M53:M56)</f>
        <v>0</v>
      </c>
      <c r="N57" s="494">
        <f>SUM(N53:N56)</f>
        <v>0</v>
      </c>
      <c r="O57" s="494">
        <f>SUM(O53:O56)</f>
        <v>0</v>
      </c>
      <c r="P57" s="989">
        <f>SUM(P53:P56)</f>
        <v>0</v>
      </c>
      <c r="Q57" s="497">
        <f>SUM(Q53:Q56)</f>
        <v>0</v>
      </c>
      <c r="R57" s="949"/>
      <c r="S57" s="949"/>
    </row>
    <row r="58" spans="1:20" hidden="1">
      <c r="A58" s="685" t="s">
        <v>115</v>
      </c>
      <c r="B58" s="723" t="s">
        <v>100</v>
      </c>
      <c r="C58" s="693" t="s">
        <v>97</v>
      </c>
      <c r="D58" s="724" t="s">
        <v>95</v>
      </c>
      <c r="E58" s="137" t="s">
        <v>494</v>
      </c>
      <c r="F58" s="138" t="s">
        <v>495</v>
      </c>
      <c r="G58" s="139" t="s">
        <v>496</v>
      </c>
      <c r="H58" s="140" t="s">
        <v>101</v>
      </c>
      <c r="I58" s="141" t="s">
        <v>98</v>
      </c>
      <c r="J58" s="141" t="s">
        <v>96</v>
      </c>
      <c r="K58" s="495" t="s">
        <v>715</v>
      </c>
      <c r="L58" s="896" t="s">
        <v>716</v>
      </c>
      <c r="M58" s="217">
        <v>0</v>
      </c>
      <c r="N58" s="218">
        <v>1</v>
      </c>
      <c r="O58" s="218">
        <v>2</v>
      </c>
      <c r="P58" s="218">
        <v>3</v>
      </c>
      <c r="Q58" s="219" t="s">
        <v>1367</v>
      </c>
      <c r="R58" s="950"/>
      <c r="S58" s="950"/>
      <c r="T58" s="951"/>
    </row>
    <row r="59" spans="1:20" hidden="1">
      <c r="A59" s="936" t="s">
        <v>16</v>
      </c>
      <c r="B59" s="937" t="e">
        <f>'Индивидуальный план'!#REF!</f>
        <v>#REF!</v>
      </c>
      <c r="C59" s="937" t="e">
        <f>'Индивидуальный план'!#REF!</f>
        <v>#REF!</v>
      </c>
      <c r="D59" s="417"/>
      <c r="E59" s="966">
        <f>SUMIFS(февр2314111316[м2],февр2314111316[ИМ],A59,февр2314111316[№ дома],$C$51,февр2314111316[Ком],"&lt;&gt;Офис")</f>
        <v>0</v>
      </c>
      <c r="F59" s="149">
        <f>SUMIFS(февр2314111316[сумма без отделки],февр2314111316[ИМ],$A59,февр2314111316[№ дома],$C$51,февр2314111316[Ком],"&lt;&gt;Офис")</f>
        <v>0</v>
      </c>
      <c r="G59" s="940">
        <f>COUNTIFS(февр2314111316[ИМ],$A59,февр2314111316[№ дома],$C$51,февр2314111316[Ком],"&lt;&gt;Офис")</f>
        <v>0</v>
      </c>
      <c r="H59" s="346">
        <f>SUMIFS(РД[S],РД[Дом],$C$51,РД[ИМ],A59,РД[Дата подачи на регистрацию],"&lt;="&amp;$A$1,РД[Дата подачи на регистрацию],"&gt;="&amp;DATE(YEAR($A$1),MONTH($A$1),1),РД[Состояние],"Продажа")</f>
        <v>0</v>
      </c>
      <c r="I59" s="184">
        <f>SUMIFS(РД[Стоимость без отделки итог],РД[Дом],$C$51,РД[ИМ],A59,РД[Дата подачи на регистрацию],"&lt;="&amp;$A$1,РД[Дата подачи на регистрацию],"&gt;="&amp;DATE(YEAR($A$1),MONTH($A$1),1),РД[Состояние],"Продажа")</f>
        <v>0</v>
      </c>
      <c r="J59" s="243">
        <f>COUNTIFS(РД[Дом],$C$51,РД[ИМ],A59,РД[Дата подачи на регистрацию],"&lt;="&amp;$A$1,РД[Дата подачи на регистрацию],"&gt;="&amp;DATE(YEAR($A$1),MONTH($A$1),1),РД[Состояние],"Продажа")</f>
        <v>0</v>
      </c>
      <c r="K59" s="990" t="str">
        <f>IFERROR(H59/B59,"")</f>
        <v/>
      </c>
      <c r="L59" s="991" t="str">
        <f>IFERROR(I59/C59,"")</f>
        <v/>
      </c>
      <c r="M59" s="183">
        <f>COUNTIFS(РД[Тип кв],M$52,РД[ИМ],$A59,РД[Дом],$C$51,РД[Дата подачи на регистрацию],"&lt;="&amp;$A$1,РД[Дата подачи на регистрацию],"&gt;="&amp;DATE(YEAR($A$1),MONTH($A$1),1))</f>
        <v>0</v>
      </c>
      <c r="N59" s="243">
        <f>COUNTIFS(РД[Тип кв],N$52,РД[ИМ],$A59,РД[Дом],$C$51,РД[Дата подачи на регистрацию],"&lt;="&amp;$A$1,РД[Дата подачи на регистрацию],"&gt;="&amp;DATE(YEAR($A$1),MONTH($A$1),1))</f>
        <v>0</v>
      </c>
      <c r="O59" s="243">
        <f>COUNTIFS(РД[Тип кв],O$52,РД[ИМ],$A59,РД[Дом],$C$51,РД[Дата подачи на регистрацию],"&lt;="&amp;$A$1,РД[Дата подачи на регистрацию],"&gt;="&amp;DATE(YEAR($A$1),MONTH($A$1),1))</f>
        <v>0</v>
      </c>
      <c r="P59" s="243">
        <f>COUNTIFS(РД[Тип кв],P$52,РД[ИМ],$A59,РД[Дом],$C$51,РД[Дата подачи на регистрацию],"&lt;="&amp;$A$1,РД[Дата подачи на регистрацию],"&gt;="&amp;DATE(YEAR($A$1),MONTH($A$1),1))</f>
        <v>0</v>
      </c>
      <c r="Q59" s="246">
        <f>COUNTIFS(РД[Тип кв],Q$52,РД[ИМ],$A59,РД[Дом],$C$51,РД[Дата подачи на регистрацию],"&lt;="&amp;$A$1,РД[Дата подачи на регистрацию],"&gt;="&amp;DATE(YEAR($A$1),MONTH($A$1),1))</f>
        <v>0</v>
      </c>
      <c r="R59" s="949"/>
      <c r="S59" s="949"/>
    </row>
    <row r="60" spans="1:20" hidden="1">
      <c r="A60" s="956" t="s">
        <v>22</v>
      </c>
      <c r="B60" s="937" t="e">
        <f>'Индивидуальный план'!#REF!</f>
        <v>#REF!</v>
      </c>
      <c r="C60" s="937" t="e">
        <f>'Индивидуальный план'!#REF!</f>
        <v>#REF!</v>
      </c>
      <c r="D60" s="518"/>
      <c r="E60" s="967">
        <f>SUMIFS(февр2314111316[м2],февр2314111316[ИМ],A60,февр2314111316[№ дома],$C$51,февр2314111316[Ком],"&lt;&gt;Офис")</f>
        <v>0</v>
      </c>
      <c r="F60" s="359">
        <f>SUMIFS(февр2314111316[сумма без отделки],февр2314111316[ИМ],$A60,февр2314111316[№ дома],$C$51,февр2314111316[Ком],"&lt;&gt;Офис")</f>
        <v>0</v>
      </c>
      <c r="G60" s="959">
        <f>COUNTIFS(февр2314111316[ИМ],$A60,февр2314111316[№ дома],$C$51,февр2314111316[Ком],"&lt;&gt;Офис")</f>
        <v>0</v>
      </c>
      <c r="H60" s="426">
        <f>SUMIFS(РД[S],РД[Дом],$C$51,РД[ИМ],A60,РД[Дата подачи на регистрацию],"&lt;="&amp;$A$1,РД[Дата подачи на регистрацию],"&gt;="&amp;DATE(YEAR($A$1),MONTH($A$1),1),РД[Состояние],"Продажа")</f>
        <v>0</v>
      </c>
      <c r="I60" s="196">
        <f>SUMIFS(РД[Стоимость без отделки итог],РД[Дом],$C$51,РД[ИМ],A60,РД[Дата подачи на регистрацию],"&lt;="&amp;$A$1,РД[Дата подачи на регистрацию],"&gt;="&amp;DATE(YEAR($A$1),MONTH($A$1),1),РД[Состояние],"Продажа")</f>
        <v>0</v>
      </c>
      <c r="J60" s="251">
        <f>COUNTIFS(РД[Дом],$C$51,РД[ИМ],A60,РД[Дата подачи на регистрацию],"&lt;="&amp;$A$1,РД[Дата подачи на регистрацию],"&gt;="&amp;DATE(YEAR($A$1),MONTH($A$1),1),РД[Состояние],"Продажа")</f>
        <v>0</v>
      </c>
      <c r="K60" s="992" t="str">
        <f>IFERROR(H60/B60,"")</f>
        <v/>
      </c>
      <c r="L60" s="993" t="str">
        <f>IFERROR(I60/C60,"")</f>
        <v/>
      </c>
      <c r="M60" s="195">
        <f>COUNTIFS(РД[Тип кв],M$52,РД[ИМ],$A60,РД[Дом],$C$51,РД[Дата подачи на регистрацию],"&lt;="&amp;$A$1,РД[Дата подачи на регистрацию],"&gt;="&amp;DATE(YEAR($A$1),MONTH($A$1),1))</f>
        <v>0</v>
      </c>
      <c r="N60" s="251">
        <f>COUNTIFS(РД[Тип кв],N$52,РД[ИМ],$A60,РД[Дом],$C$51,РД[Дата подачи на регистрацию],"&lt;="&amp;$A$1,РД[Дата подачи на регистрацию],"&gt;="&amp;DATE(YEAR($A$1),MONTH($A$1),1))</f>
        <v>0</v>
      </c>
      <c r="O60" s="251">
        <f>COUNTIFS(РД[Тип кв],O$52,РД[ИМ],$A60,РД[Дом],$C$51,РД[Дата подачи на регистрацию],"&lt;="&amp;$A$1,РД[Дата подачи на регистрацию],"&gt;="&amp;DATE(YEAR($A$1),MONTH($A$1),1))</f>
        <v>0</v>
      </c>
      <c r="P60" s="251">
        <f>COUNTIFS(РД[Тип кв],P$52,РД[ИМ],$A60,РД[Дом],$C$51,РД[Дата подачи на регистрацию],"&lt;="&amp;$A$1,РД[Дата подачи на регистрацию],"&gt;="&amp;DATE(YEAR($A$1),MONTH($A$1),1))</f>
        <v>0</v>
      </c>
      <c r="Q60" s="254">
        <f>COUNTIFS(РД[Тип кв],Q$52,РД[ИМ],$A60,РД[Дом],$C$51,РД[Дата подачи на регистрацию],"&lt;="&amp;$A$1,РД[Дата подачи на регистрацию],"&gt;="&amp;DATE(YEAR($A$1),MONTH($A$1),1))</f>
        <v>0</v>
      </c>
      <c r="R60" s="949"/>
      <c r="S60" s="949"/>
    </row>
    <row r="61" spans="1:20" hidden="1">
      <c r="A61" s="409" t="s">
        <v>114</v>
      </c>
      <c r="B61" s="961" t="e">
        <f>SUM(B59:B60)</f>
        <v>#REF!</v>
      </c>
      <c r="C61" s="961" t="e">
        <f>SUM(C59:C60)</f>
        <v>#REF!</v>
      </c>
      <c r="D61" s="485">
        <f t="shared" ref="D61:J61" si="2">SUM(D59:D60)</f>
        <v>0</v>
      </c>
      <c r="E61" s="473">
        <f t="shared" si="2"/>
        <v>0</v>
      </c>
      <c r="F61" s="429">
        <f t="shared" si="2"/>
        <v>0</v>
      </c>
      <c r="G61" s="497">
        <f t="shared" si="2"/>
        <v>0</v>
      </c>
      <c r="H61" s="473">
        <f t="shared" si="2"/>
        <v>0</v>
      </c>
      <c r="I61" s="429">
        <f t="shared" si="2"/>
        <v>0</v>
      </c>
      <c r="J61" s="497">
        <f t="shared" si="2"/>
        <v>0</v>
      </c>
      <c r="K61" s="419">
        <f>IFERROR(H61/B61,)</f>
        <v>0</v>
      </c>
      <c r="L61" s="507">
        <f>IFERROR(I61/C61,)</f>
        <v>0</v>
      </c>
      <c r="M61" s="317">
        <f>SUM(M59:M60)</f>
        <v>0</v>
      </c>
      <c r="N61" s="917">
        <f>SUM(N59:N60)</f>
        <v>0</v>
      </c>
      <c r="O61" s="917">
        <f>SUM(O59:O60)</f>
        <v>0</v>
      </c>
      <c r="P61" s="917">
        <f>SUM(P59:P60)</f>
        <v>0</v>
      </c>
      <c r="Q61" s="928">
        <f>SUM(Q59:Q60)</f>
        <v>0</v>
      </c>
      <c r="R61" s="949"/>
      <c r="S61" s="949"/>
    </row>
    <row r="62" spans="1:20">
      <c r="A62" s="7"/>
      <c r="B62" s="968"/>
      <c r="C62" s="968"/>
      <c r="D62" s="969"/>
      <c r="E62" s="7"/>
      <c r="F62" s="7"/>
      <c r="G62" s="7"/>
      <c r="H62" s="134"/>
      <c r="I62" s="134"/>
      <c r="J62" s="134"/>
      <c r="K62" s="7"/>
      <c r="L62" s="994"/>
      <c r="M62" s="134"/>
      <c r="N62" s="134"/>
      <c r="O62" s="134"/>
      <c r="P62" s="262"/>
      <c r="Q62" s="134"/>
      <c r="R62" s="949"/>
      <c r="S62" s="949"/>
    </row>
    <row r="63" spans="1:20">
      <c r="A63" s="2290" t="s">
        <v>713</v>
      </c>
      <c r="B63" s="2291"/>
      <c r="C63" s="935" t="s">
        <v>7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7"/>
      <c r="R63" s="949"/>
      <c r="S63" s="949"/>
    </row>
    <row r="64" spans="1:20">
      <c r="A64" s="685" t="s">
        <v>1</v>
      </c>
      <c r="B64" s="723" t="s">
        <v>100</v>
      </c>
      <c r="C64" s="687" t="s">
        <v>97</v>
      </c>
      <c r="D64" s="724" t="s">
        <v>95</v>
      </c>
      <c r="E64" s="137" t="s">
        <v>494</v>
      </c>
      <c r="F64" s="138" t="s">
        <v>495</v>
      </c>
      <c r="G64" s="139" t="s">
        <v>496</v>
      </c>
      <c r="H64" s="140" t="s">
        <v>101</v>
      </c>
      <c r="I64" s="141" t="s">
        <v>98</v>
      </c>
      <c r="J64" s="141" t="s">
        <v>96</v>
      </c>
      <c r="K64" s="141" t="s">
        <v>715</v>
      </c>
      <c r="L64" s="216" t="s">
        <v>716</v>
      </c>
      <c r="M64" s="217">
        <v>0</v>
      </c>
      <c r="N64" s="218">
        <v>1</v>
      </c>
      <c r="O64" s="218">
        <v>2</v>
      </c>
      <c r="P64" s="218">
        <v>3</v>
      </c>
      <c r="Q64" s="219" t="s">
        <v>1367</v>
      </c>
      <c r="R64" s="949"/>
      <c r="S64" s="949"/>
    </row>
    <row r="65" spans="1:20">
      <c r="A65" s="936" t="s">
        <v>8</v>
      </c>
      <c r="B65" s="937" t="e">
        <f>VLOOKUP(A65,'Индивидуальный план'!#REF!,2,0)</f>
        <v>#REF!</v>
      </c>
      <c r="C65" s="937" t="e">
        <f>VLOOKUP(A65,'Индивидуальный план'!#REF!,3,0)</f>
        <v>#REF!</v>
      </c>
      <c r="D65" s="938"/>
      <c r="E65" s="148">
        <f>SUMIFS(февр2314111316[м2],февр2314111316[МОП],$A65,февр2314111316[№ дома],$C$63,февр2314111316[Ком],"&lt;&gt;Офис")</f>
        <v>646.7700000000001</v>
      </c>
      <c r="F65" s="939">
        <f>SUMIFS(февр2314111316[сумма без отделки],февр2314111316[МОП],$A65,февр2314111316[№ дома],$C$63,февр2314111316[Ком],"&lt;&gt;Офис")</f>
        <v>55527614.040000007</v>
      </c>
      <c r="G65" s="940">
        <f>COUNTIFS(февр2314111316[МОП],$A65,февр2314111316[№ дома],$C$63,февр2314111316[Ком],"&lt;&gt;Офис")</f>
        <v>14</v>
      </c>
      <c r="H65" s="148">
        <f>SUMIFS(РД[S],РД[Дом],$C$63,РД[МОП],A65,РД[Дата подачи на регистрацию],"&lt;="&amp;$A$1,РД[Дата подачи на регистрацию],"&gt;="&amp;DATE(YEAR($A$1),MONTH($A$1),1),РД[Состояние],"Продажа")</f>
        <v>646.7700000000001</v>
      </c>
      <c r="I65" s="149">
        <f>SUMIFS(РД[Стоимость без отделки итог],РД[Дом],$C$63,РД[МОП],A65,РД[Дата подачи на регистрацию],"&lt;="&amp;$A$1,РД[Дата подачи на регистрацию],"&gt;="&amp;DATE(YEAR($A$1),MONTH($A$1),1),РД[Состояние],"Продажа")</f>
        <v>54994574.040000007</v>
      </c>
      <c r="J65" s="220">
        <f>COUNTIFS(РД[Дом],$C$63,РД[МОП],A65,РД[Дата подачи на регистрацию],"&lt;="&amp;$A$1,РД[Дата подачи на регистрацию],"&gt;="&amp;DATE(YEAR($A$1),MONTH($A$1),1),РД[Состояние],"Продажа")</f>
        <v>14</v>
      </c>
      <c r="K65" s="943" t="str">
        <f t="shared" ref="K65:L67" si="3">IFERROR(H65/B65,"")</f>
        <v/>
      </c>
      <c r="L65" s="944" t="str">
        <f t="shared" si="3"/>
        <v/>
      </c>
      <c r="M65" s="148">
        <f>COUNTIFS(РД[Тип кв],M$52,РД[МОП],$A65,РД[Дом],$C$63,РД[Дата подачи на регистрацию],"&lt;="&amp;$A$1,РД[Дата подачи на регистрацию],"&gt;="&amp;DATE(YEAR($A$1),MONTH($A$1),1))</f>
        <v>5</v>
      </c>
      <c r="N65" s="220">
        <f>COUNTIFS(РД[Тип кв],N$52,РД[МОП],$A65,РД[Дом],$C$63,РД[Дата подачи на регистрацию],"&lt;="&amp;$A$1,РД[Дата подачи на регистрацию],"&gt;="&amp;DATE(YEAR($A$1),MONTH($A$1),1))</f>
        <v>2</v>
      </c>
      <c r="O65" s="220">
        <f>COUNTIFS(РД[Тип кв],O$52,РД[МОП],$A65,РД[Дом],$C$63,РД[Дата подачи на регистрацию],"&lt;="&amp;$A$1,РД[Дата подачи на регистрацию],"&gt;="&amp;DATE(YEAR($A$1),MONTH($A$1),1))</f>
        <v>6</v>
      </c>
      <c r="P65" s="220">
        <f>COUNTIFS(РД[Тип кв],P$52,РД[МОП],$A65,РД[Дом],$C$63,РД[Дата подачи на регистрацию],"&lt;="&amp;$A$1,РД[Дата подачи на регистрацию],"&gt;="&amp;DATE(YEAR($A$1),MONTH($A$1),1))</f>
        <v>1</v>
      </c>
      <c r="Q65" s="223">
        <f>COUNTIFS(РД[Тип кв],Q$52,РД[МОП],$A65,РД[Дом],$C$63,РД[Дата подачи на регистрацию],"&lt;="&amp;$A$1,РД[Дата подачи на регистрацию],"&gt;="&amp;DATE(YEAR($A$1),MONTH($A$1),1))</f>
        <v>0</v>
      </c>
      <c r="R65" s="949"/>
      <c r="S65" s="949"/>
    </row>
    <row r="66" spans="1:20">
      <c r="A66" s="952" t="s">
        <v>77</v>
      </c>
      <c r="B66" s="937" t="e">
        <f>VLOOKUP(A66,'Индивидуальный план'!#REF!,2,0)</f>
        <v>#REF!</v>
      </c>
      <c r="C66" s="937" t="e">
        <f>VLOOKUP(A66,'Индивидуальный план'!#REF!,3,0)</f>
        <v>#REF!</v>
      </c>
      <c r="D66" s="953"/>
      <c r="E66" s="148">
        <f>SUMIFS(февр2314111316[м2],февр2314111316[МОП],$A66,февр2314111316[№ дома],$C$63,февр2314111316[Ком],"&lt;&gt;Офис")</f>
        <v>566.23000000000013</v>
      </c>
      <c r="F66" s="939">
        <f>SUMIFS(февр2314111316[сумма без отделки],февр2314111316[МОП],$A66,февр2314111316[№ дома],$C$63,февр2314111316[Ком],"&lt;&gt;Офис")</f>
        <v>50621351.93</v>
      </c>
      <c r="G66" s="940">
        <f>COUNTIFS(февр2314111316[МОП],$A66,февр2314111316[№ дома],$C$63,февр2314111316[Ком],"&lt;&gt;Офис")</f>
        <v>13</v>
      </c>
      <c r="H66" s="148">
        <f>SUMIFS(РД[S],РД[Дом],$C$63,РД[МОП],A66,РД[Дата подачи на регистрацию],"&lt;="&amp;$A$1,РД[Дата подачи на регистрацию],"&gt;="&amp;DATE(YEAR($A$1),MONTH($A$1),1),РД[Состояние],"Продажа")</f>
        <v>656.43000000000006</v>
      </c>
      <c r="I66" s="149">
        <f>SUMIFS(РД[Стоимость без отделки итог],РД[Дом],$C$63,РД[МОП],A66,РД[Дата подачи на регистрацию],"&lt;="&amp;$A$1,РД[Дата подачи на регистрацию],"&gt;="&amp;DATE(YEAR($A$1),MONTH($A$1),1),РД[Состояние],"Продажа")</f>
        <v>58023072.350000001</v>
      </c>
      <c r="J66" s="220">
        <f>COUNTIFS(РД[Дом],$C$63,РД[МОП],A66,РД[Дата подачи на регистрацию],"&lt;="&amp;$A$1,РД[Дата подачи на регистрацию],"&gt;="&amp;DATE(YEAR($A$1),MONTH($A$1),1),РД[Состояние],"Продажа")</f>
        <v>15</v>
      </c>
      <c r="K66" s="987" t="str">
        <f t="shared" si="3"/>
        <v/>
      </c>
      <c r="L66" s="988" t="str">
        <f t="shared" si="3"/>
        <v/>
      </c>
      <c r="M66" s="202">
        <f>COUNTIFS(РД[Тип кв],M$52,РД[МОП],$A66,РД[Дом],$C$63,РД[Дата подачи на регистрацию],"&lt;="&amp;$A$1,РД[Дата подачи на регистрацию],"&gt;="&amp;DATE(YEAR($A$1),MONTH($A$1),1))</f>
        <v>1</v>
      </c>
      <c r="N66" s="226">
        <f>COUNTIFS(РД[Тип кв],N$52,РД[МОП],$A66,РД[Дом],$C$63,РД[Дата подачи на регистрацию],"&lt;="&amp;$A$1,РД[Дата подачи на регистрацию],"&gt;="&amp;DATE(YEAR($A$1),MONTH($A$1),1))</f>
        <v>9</v>
      </c>
      <c r="O66" s="226">
        <f>COUNTIFS(РД[Тип кв],O$52,РД[МОП],$A66,РД[Дом],$C$63,РД[Дата подачи на регистрацию],"&lt;="&amp;$A$1,РД[Дата подачи на регистрацию],"&gt;="&amp;DATE(YEAR($A$1),MONTH($A$1),1))</f>
        <v>4</v>
      </c>
      <c r="P66" s="226">
        <f>COUNTIFS(РД[Тип кв],P$52,РД[МОП],$A66,РД[Дом],$C$63,РД[Дата подачи на регистрацию],"&lt;="&amp;$A$1,РД[Дата подачи на регистрацию],"&gt;="&amp;DATE(YEAR($A$1),MONTH($A$1),1))</f>
        <v>1</v>
      </c>
      <c r="Q66" s="227">
        <f>COUNTIFS(РД[Тип кв],Q$52,РД[МОП],$A66,РД[Дом],$C$63,РД[Дата подачи на регистрацию],"&lt;="&amp;$A$1,РД[Дата подачи на регистрацию],"&gt;="&amp;DATE(YEAR($A$1),MONTH($A$1),1))</f>
        <v>0</v>
      </c>
      <c r="R66" s="949"/>
      <c r="S66" s="949"/>
    </row>
    <row r="67" spans="1:20">
      <c r="A67" s="956" t="s">
        <v>1233</v>
      </c>
      <c r="B67" s="937" t="e">
        <f>VLOOKUP(A67,'Индивидуальный план'!#REF!,2,0)</f>
        <v>#REF!</v>
      </c>
      <c r="C67" s="937" t="e">
        <f>VLOOKUP(A67,'Индивидуальный план'!#REF!,3,0)</f>
        <v>#REF!</v>
      </c>
      <c r="D67" s="957"/>
      <c r="E67" s="148">
        <f>SUMIFS(февр2314111316[м2],февр2314111316[МОП],$A67,февр2314111316[№ дома],$C$63,февр2314111316[Ком],"&lt;&gt;Офис")</f>
        <v>413.46000000000004</v>
      </c>
      <c r="F67" s="939">
        <f>SUMIFS(февр2314111316[сумма без отделки],февр2314111316[МОП],$A67,февр2314111316[№ дома],$C$63,февр2314111316[Ком],"&lt;&gt;Офис")</f>
        <v>35088687.340000004</v>
      </c>
      <c r="G67" s="940">
        <f>COUNTIFS(февр2314111316[МОП],$A67,февр2314111316[№ дома],$C$63,февр2314111316[Ком],"&lt;&gt;Офис")</f>
        <v>9</v>
      </c>
      <c r="H67" s="148">
        <f>SUMIFS(РД[S],РД[Дом],$C$63,РД[МОП],A67,РД[Дата подачи на регистрацию],"&lt;="&amp;$A$1,РД[Дата подачи на регистрацию],"&gt;="&amp;DATE(YEAR($A$1),MONTH($A$1),1),РД[Состояние],"Продажа")</f>
        <v>358.8</v>
      </c>
      <c r="I67" s="149">
        <f>SUMIFS(РД[Стоимость без отделки итог],РД[Дом],$C$63,РД[МОП],A67,РД[Дата подачи на регистрацию],"&lt;="&amp;$A$1,РД[Дата подачи на регистрацию],"&gt;="&amp;DATE(YEAR($A$1),MONTH($A$1),1),РД[Состояние],"Продажа")</f>
        <v>30599131.719999999</v>
      </c>
      <c r="J67" s="220">
        <f>COUNTIFS(РД[Дом],$C$63,РД[МОП],A67,РД[Дата подачи на регистрацию],"&lt;="&amp;$A$1,РД[Дата подачи на регистрацию],"&gt;="&amp;DATE(YEAR($A$1),MONTH($A$1),1),РД[Состояние],"Продажа")</f>
        <v>8</v>
      </c>
      <c r="K67" s="987" t="str">
        <f t="shared" si="3"/>
        <v/>
      </c>
      <c r="L67" s="988" t="str">
        <f t="shared" si="3"/>
        <v/>
      </c>
      <c r="M67" s="195">
        <f>COUNTIFS(РД[Тип кв],M$52,РД[МОП],$A67,РД[Дом],$C$63,РД[Дата подачи на регистрацию],"&lt;="&amp;$A$1,РД[Дата подачи на регистрацию],"&gt;="&amp;DATE(YEAR($A$1),MONTH($A$1),1))</f>
        <v>3</v>
      </c>
      <c r="N67" s="251">
        <f>COUNTIFS(РД[Тип кв],N$52,РД[МОП],$A67,РД[Дом],$C$63,РД[Дата подачи на регистрацию],"&lt;="&amp;$A$1,РД[Дата подачи на регистрацию],"&gt;="&amp;DATE(YEAR($A$1),MONTH($A$1),1))</f>
        <v>2</v>
      </c>
      <c r="O67" s="251">
        <f>COUNTIFS(РД[Тип кв],O$52,РД[МОП],$A67,РД[Дом],$C$63,РД[Дата подачи на регистрацию],"&lt;="&amp;$A$1,РД[Дата подачи на регистрацию],"&gt;="&amp;DATE(YEAR($A$1),MONTH($A$1),1))</f>
        <v>2</v>
      </c>
      <c r="P67" s="251">
        <f>COUNTIFS(РД[Тип кв],P$52,РД[МОП],$A67,РД[Дом],$C$63,РД[Дата подачи на регистрацию],"&lt;="&amp;$A$1,РД[Дата подачи на регистрацию],"&gt;="&amp;DATE(YEAR($A$1),MONTH($A$1),1))</f>
        <v>1</v>
      </c>
      <c r="Q67" s="254">
        <f>COUNTIFS(РД[Тип кв],Q$52,РД[МОП],$A67,РД[Дом],$C$63,РД[Дата подачи на регистрацию],"&lt;="&amp;$A$1,РД[Дата подачи на регистрацию],"&gt;="&amp;DATE(YEAR($A$1),MONTH($A$1),1))</f>
        <v>0</v>
      </c>
      <c r="R67" s="949"/>
      <c r="S67" s="949"/>
    </row>
    <row r="68" spans="1:20">
      <c r="A68" s="960" t="s">
        <v>114</v>
      </c>
      <c r="B68" s="961" t="e">
        <f t="shared" ref="B68:J68" si="4">SUM(B65:B67)</f>
        <v>#REF!</v>
      </c>
      <c r="C68" s="961" t="e">
        <f t="shared" si="4"/>
        <v>#REF!</v>
      </c>
      <c r="D68" s="962">
        <f t="shared" si="4"/>
        <v>0</v>
      </c>
      <c r="E68" s="963">
        <f t="shared" si="4"/>
        <v>1626.4600000000003</v>
      </c>
      <c r="F68" s="964">
        <f t="shared" si="4"/>
        <v>141237653.31</v>
      </c>
      <c r="G68" s="965">
        <f t="shared" si="4"/>
        <v>36</v>
      </c>
      <c r="H68" s="961">
        <f t="shared" si="4"/>
        <v>1662.0000000000002</v>
      </c>
      <c r="I68" s="964">
        <f t="shared" si="4"/>
        <v>143616778.11000001</v>
      </c>
      <c r="J68" s="962">
        <f t="shared" si="4"/>
        <v>37</v>
      </c>
      <c r="K68" s="419">
        <f>IFERROR(H68/B68,)</f>
        <v>0</v>
      </c>
      <c r="L68" s="420">
        <f>IFERROR(I68/C68,)</f>
        <v>0</v>
      </c>
      <c r="M68" s="473">
        <f>SUM(M65:M67)</f>
        <v>9</v>
      </c>
      <c r="N68" s="494">
        <f>SUM(N65:N67)</f>
        <v>13</v>
      </c>
      <c r="O68" s="494">
        <f>SUM(O65:O67)</f>
        <v>12</v>
      </c>
      <c r="P68" s="989">
        <f>SUM(P65:P67)</f>
        <v>3</v>
      </c>
      <c r="Q68" s="497">
        <f>SUM(Q65:Q67)</f>
        <v>0</v>
      </c>
      <c r="R68" s="949"/>
      <c r="S68" s="949"/>
    </row>
    <row r="69" spans="1:20">
      <c r="A69" s="685" t="s">
        <v>115</v>
      </c>
      <c r="B69" s="723" t="s">
        <v>100</v>
      </c>
      <c r="C69" s="693" t="s">
        <v>97</v>
      </c>
      <c r="D69" s="724" t="s">
        <v>95</v>
      </c>
      <c r="E69" s="137" t="s">
        <v>494</v>
      </c>
      <c r="F69" s="138" t="s">
        <v>495</v>
      </c>
      <c r="G69" s="139" t="s">
        <v>496</v>
      </c>
      <c r="H69" s="140" t="s">
        <v>101</v>
      </c>
      <c r="I69" s="141" t="s">
        <v>98</v>
      </c>
      <c r="J69" s="141" t="s">
        <v>96</v>
      </c>
      <c r="K69" s="495" t="s">
        <v>715</v>
      </c>
      <c r="L69" s="896" t="s">
        <v>716</v>
      </c>
      <c r="M69" s="995">
        <v>0</v>
      </c>
      <c r="N69" s="996">
        <v>1</v>
      </c>
      <c r="O69" s="996">
        <v>2</v>
      </c>
      <c r="P69" s="996">
        <v>3</v>
      </c>
      <c r="Q69" s="219" t="s">
        <v>1367</v>
      </c>
      <c r="R69" s="949"/>
      <c r="S69" s="949"/>
    </row>
    <row r="70" spans="1:20">
      <c r="A70" s="936" t="s">
        <v>16</v>
      </c>
      <c r="B70" s="937" t="e">
        <f>VLOOKUP(A70,'Индивидуальный план'!#REF!,2,0)</f>
        <v>#REF!</v>
      </c>
      <c r="C70" s="937" t="e">
        <f>VLOOKUP(A70,'Индивидуальный план'!#REF!,3,0)</f>
        <v>#REF!</v>
      </c>
      <c r="D70" s="417"/>
      <c r="E70" s="966">
        <f>SUMIFS(февр2314111316[м2],февр2314111316[ИМ],A70,февр2314111316[№ дома],$C$63,февр2314111316[Ком],"&lt;&gt;Офис")</f>
        <v>442.92000000000007</v>
      </c>
      <c r="F70" s="149">
        <f>SUMIFS(февр2314111316[сумма без отделки],февр2314111316[ИМ],$A70,февр2314111316[№ дома],$C$63,февр2314111316[Ком],"&lt;&gt;Офис")</f>
        <v>39765905.82</v>
      </c>
      <c r="G70" s="940">
        <f>COUNTIFS(февр2314111316[ИМ],$A70,февр2314111316[№ дома],$C$63,февр2314111316[Ком],"&lt;&gt;Офис")</f>
        <v>12</v>
      </c>
      <c r="H70" s="346">
        <f>SUMIFS(РД[S],РД[Дом],$C$63,РД[ИМ],A70,РД[Дата подачи на регистрацию],"&lt;="&amp;$A$1,РД[Дата подачи на регистрацию],"&gt;="&amp;DATE(YEAR($A$1),MONTH($A$1),1),РД[Состояние],"Продажа")</f>
        <v>442.92000000000007</v>
      </c>
      <c r="I70" s="184">
        <f>SUMIFS(РД[Стоимость без отделки итог],РД[Дом],$C$63,РД[ИМ],A70,РД[Дата подачи на регистрацию],"&lt;="&amp;$A$1,РД[Дата подачи на регистрацию],"&gt;="&amp;DATE(YEAR($A$1),MONTH($A$1),1),РД[Состояние],"Продажа")</f>
        <v>39491505.82</v>
      </c>
      <c r="J70" s="243">
        <f>COUNTIFS(РД[Дом],$C$63,РД[ИМ],A70,РД[Дата подачи на регистрацию],"&lt;="&amp;$A$1,РД[Дата подачи на регистрацию],"&gt;="&amp;DATE(YEAR($A$1),MONTH($A$1),1),РД[Состояние],"Продажа")</f>
        <v>12</v>
      </c>
      <c r="K70" s="990" t="str">
        <f t="shared" ref="K70:L72" si="5">IFERROR(H70/B70,"")</f>
        <v/>
      </c>
      <c r="L70" s="991" t="str">
        <f t="shared" si="5"/>
        <v/>
      </c>
      <c r="M70" s="183">
        <f>COUNTIFS(РД[Тип кв],M$52,РД[ИМ],$A70,РД[Дом],$C$63,РД[Дата подачи на регистрацию],"&lt;="&amp;$A$1,РД[Дата подачи на регистрацию],"&gt;="&amp;DATE(YEAR($A$1),MONTH($A$1),1))</f>
        <v>3</v>
      </c>
      <c r="N70" s="243">
        <f>COUNTIFS(РД[Тип кв],N$52,РД[ИМ],$A70,РД[Дом],$C$63,РД[Дата подачи на регистрацию],"&lt;="&amp;$A$1,РД[Дата подачи на регистрацию],"&gt;="&amp;DATE(YEAR($A$1),MONTH($A$1),1))</f>
        <v>7</v>
      </c>
      <c r="O70" s="243">
        <f>COUNTIFS(РД[Тип кв],O$52,РД[ИМ],$A70,РД[Дом],$C$63,РД[Дата подачи на регистрацию],"&lt;="&amp;$A$1,РД[Дата подачи на регистрацию],"&gt;="&amp;DATE(YEAR($A$1),MONTH($A$1),1))</f>
        <v>2</v>
      </c>
      <c r="P70" s="243">
        <f>COUNTIFS(РД[Тип кв],P$52,РД[ИМ],$A70,РД[Дом],$C$63,РД[Дата подачи на регистрацию],"&lt;="&amp;$A$1,РД[Дата подачи на регистрацию],"&gt;="&amp;DATE(YEAR($A$1),MONTH($A$1),1))</f>
        <v>0</v>
      </c>
      <c r="Q70" s="246">
        <f>COUNTIFS(РД[Тип кв],Q$52,РД[ИМ],$A70,РД[Дом],$C$63,РД[Дата подачи на регистрацию],"&lt;="&amp;$A$1,РД[Дата подачи на регистрацию],"&gt;="&amp;DATE(YEAR($A$1),MONTH($A$1),1))</f>
        <v>0</v>
      </c>
      <c r="R70" s="949"/>
      <c r="S70" s="949"/>
    </row>
    <row r="71" spans="1:20">
      <c r="A71" s="956" t="s">
        <v>22</v>
      </c>
      <c r="B71" s="937" t="e">
        <f>VLOOKUP(A71,'Индивидуальный план'!#REF!,2,0)</f>
        <v>#REF!</v>
      </c>
      <c r="C71" s="937" t="e">
        <f>VLOOKUP(A71,'Индивидуальный план'!#REF!,3,0)</f>
        <v>#REF!</v>
      </c>
      <c r="D71" s="518"/>
      <c r="E71" s="966">
        <f>SUMIFS(февр2314111316[м2],февр2314111316[ИМ],A71,февр2314111316[№ дома],$C$63,февр2314111316[Ком],"&lt;&gt;Офис")</f>
        <v>847.27</v>
      </c>
      <c r="F71" s="149">
        <f>SUMIFS(февр2314111316[сумма без отделки],февр2314111316[ИМ],$A71,февр2314111316[№ дома],$C$63,февр2314111316[Ком],"&lt;&gt;Офис")</f>
        <v>71694929.159999996</v>
      </c>
      <c r="G71" s="940">
        <f>COUNTIFS(февр2314111316[ИМ],$A71,февр2314111316[№ дома],$C$63,февр2314111316[Ком],"&lt;&gt;Офис")</f>
        <v>17</v>
      </c>
      <c r="H71" s="426">
        <f>SUMIFS(РД[S],РД[Дом],$C$63,РД[ИМ],A71,РД[Дата подачи на регистрацию],"&lt;="&amp;$A$1,РД[Дата подачи на регистрацию],"&gt;="&amp;DATE(YEAR($A$1),MONTH($A$1),1),РД[Состояние],"Продажа")</f>
        <v>847.2700000000001</v>
      </c>
      <c r="I71" s="196">
        <f>SUMIFS(РД[Стоимость без отделки итог],РД[Дом],$C$63,РД[ИМ],A71,РД[Дата подачи на регистрацию],"&lt;="&amp;$A$1,РД[Дата подачи на регистрацию],"&gt;="&amp;DATE(YEAR($A$1),MONTH($A$1),1),РД[Состояние],"Продажа")</f>
        <v>71418134.159999996</v>
      </c>
      <c r="J71" s="251">
        <f>COUNTIFS(РД[Дом],$C$63,РД[ИМ],A71,РД[Дата подачи на регистрацию],"&lt;="&amp;$A$1,РД[Дата подачи на регистрацию],"&gt;="&amp;DATE(YEAR($A$1),MONTH($A$1),1),РД[Состояние],"Продажа")</f>
        <v>17</v>
      </c>
      <c r="K71" s="992" t="str">
        <f t="shared" si="5"/>
        <v/>
      </c>
      <c r="L71" s="993" t="str">
        <f t="shared" si="5"/>
        <v/>
      </c>
      <c r="M71" s="358">
        <f>COUNTIFS(РД[Тип кв],M$52,РД[ИМ],$A71,РД[Дом],$C$63,РД[Дата подачи на регистрацию],"&lt;="&amp;$A$1,РД[Дата подачи на регистрацию],"&gt;="&amp;DATE(YEAR($A$1),MONTH($A$1),1))</f>
        <v>4</v>
      </c>
      <c r="N71" s="330">
        <f>COUNTIFS(РД[Тип кв],N$52,РД[ИМ],$A71,РД[Дом],$C$63,РД[Дата подачи на регистрацию],"&lt;="&amp;$A$1,РД[Дата подачи на регистрацию],"&gt;="&amp;DATE(YEAR($A$1),MONTH($A$1),1))</f>
        <v>3</v>
      </c>
      <c r="O71" s="330">
        <f>COUNTIFS(РД[Тип кв],O$52,РД[ИМ],$A71,РД[Дом],$C$63,РД[Дата подачи на регистрацию],"&lt;="&amp;$A$1,РД[Дата подачи на регистрацию],"&gt;="&amp;DATE(YEAR($A$1),MONTH($A$1),1))</f>
        <v>8</v>
      </c>
      <c r="P71" s="330">
        <f>COUNTIFS(РД[Тип кв],P$52,РД[ИМ],$A71,РД[Дом],$C$63,РД[Дата подачи на регистрацию],"&lt;="&amp;$A$1,РД[Дата подачи на регистрацию],"&gt;="&amp;DATE(YEAR($A$1),MONTH($A$1),1))</f>
        <v>2</v>
      </c>
      <c r="Q71" s="331">
        <f>COUNTIFS(РД[Тип кв],Q$52,РД[ИМ],$A71,РД[Дом],$C$63,РД[Дата подачи на регистрацию],"&lt;="&amp;$A$1,РД[Дата подачи на регистрацию],"&gt;="&amp;DATE(YEAR($A$1),MONTH($A$1),1))</f>
        <v>0</v>
      </c>
      <c r="R71" s="949"/>
      <c r="S71" s="949"/>
    </row>
    <row r="72" spans="1:20">
      <c r="A72" s="409" t="s">
        <v>114</v>
      </c>
      <c r="B72" s="961" t="e">
        <f t="shared" ref="B72:Q72" si="6">SUM(B70:B71)</f>
        <v>#REF!</v>
      </c>
      <c r="C72" s="961" t="e">
        <f t="shared" si="6"/>
        <v>#REF!</v>
      </c>
      <c r="D72" s="970">
        <f t="shared" si="6"/>
        <v>0</v>
      </c>
      <c r="E72" s="473">
        <f t="shared" si="6"/>
        <v>1290.19</v>
      </c>
      <c r="F72" s="429">
        <f t="shared" si="6"/>
        <v>111460834.97999999</v>
      </c>
      <c r="G72" s="497">
        <f t="shared" si="6"/>
        <v>29</v>
      </c>
      <c r="H72" s="473">
        <f t="shared" si="6"/>
        <v>1290.19</v>
      </c>
      <c r="I72" s="429">
        <f t="shared" si="6"/>
        <v>110909639.97999999</v>
      </c>
      <c r="J72" s="494">
        <f t="shared" si="6"/>
        <v>29</v>
      </c>
      <c r="K72" s="419" t="str">
        <f t="shared" si="5"/>
        <v/>
      </c>
      <c r="L72" s="420" t="str">
        <f t="shared" si="5"/>
        <v/>
      </c>
      <c r="M72" s="473">
        <f t="shared" si="6"/>
        <v>7</v>
      </c>
      <c r="N72" s="494">
        <f t="shared" si="6"/>
        <v>10</v>
      </c>
      <c r="O72" s="494">
        <f t="shared" si="6"/>
        <v>10</v>
      </c>
      <c r="P72" s="494">
        <f t="shared" si="6"/>
        <v>2</v>
      </c>
      <c r="Q72" s="497">
        <f t="shared" si="6"/>
        <v>0</v>
      </c>
      <c r="R72" s="949"/>
      <c r="S72" s="949"/>
    </row>
    <row r="73" spans="1:20">
      <c r="A73" s="7"/>
      <c r="B73" s="968"/>
      <c r="C73" s="968"/>
      <c r="D73" s="969"/>
      <c r="E73" s="7"/>
      <c r="F73" s="7"/>
      <c r="G73" s="7"/>
      <c r="H73" s="134"/>
      <c r="I73" s="134"/>
      <c r="J73" s="134"/>
      <c r="K73" s="7"/>
      <c r="L73" s="994"/>
      <c r="M73" s="134"/>
      <c r="N73" s="134"/>
      <c r="O73" s="134"/>
      <c r="P73" s="262"/>
      <c r="Q73" s="134"/>
      <c r="R73" s="949"/>
      <c r="S73" s="949"/>
    </row>
    <row r="74" spans="1:20">
      <c r="A74" s="2293" t="s">
        <v>713</v>
      </c>
      <c r="B74" s="2294"/>
      <c r="C74" s="972" t="s">
        <v>718</v>
      </c>
      <c r="D74" s="979"/>
      <c r="E74" s="974"/>
      <c r="F74" s="974"/>
      <c r="G74" s="974"/>
      <c r="H74" s="974"/>
      <c r="I74" s="974"/>
      <c r="J74" s="974"/>
      <c r="K74" s="974"/>
      <c r="L74" s="974"/>
      <c r="M74" s="974"/>
      <c r="N74" s="974"/>
      <c r="O74" s="974"/>
      <c r="P74" s="974"/>
      <c r="Q74" s="7"/>
      <c r="R74" s="949"/>
      <c r="S74" s="949"/>
    </row>
    <row r="75" spans="1:20">
      <c r="A75" s="685" t="s">
        <v>1</v>
      </c>
      <c r="B75" s="723" t="s">
        <v>100</v>
      </c>
      <c r="C75" s="687" t="s">
        <v>97</v>
      </c>
      <c r="D75" s="724" t="s">
        <v>95</v>
      </c>
      <c r="E75" s="137" t="s">
        <v>494</v>
      </c>
      <c r="F75" s="138" t="s">
        <v>495</v>
      </c>
      <c r="G75" s="139" t="s">
        <v>496</v>
      </c>
      <c r="H75" s="140" t="s">
        <v>101</v>
      </c>
      <c r="I75" s="141" t="s">
        <v>98</v>
      </c>
      <c r="J75" s="141" t="s">
        <v>96</v>
      </c>
      <c r="K75" s="141" t="s">
        <v>715</v>
      </c>
      <c r="L75" s="216" t="s">
        <v>716</v>
      </c>
      <c r="M75" s="217">
        <v>0</v>
      </c>
      <c r="N75" s="218">
        <v>1</v>
      </c>
      <c r="O75" s="218">
        <v>2</v>
      </c>
      <c r="P75" s="218">
        <v>3</v>
      </c>
      <c r="Q75" s="219" t="s">
        <v>1367</v>
      </c>
      <c r="R75" s="950"/>
      <c r="S75" s="950"/>
      <c r="T75" s="951"/>
    </row>
    <row r="76" spans="1:20">
      <c r="A76" s="936" t="s">
        <v>8</v>
      </c>
      <c r="B76" s="937" t="e">
        <f>VLOOKUP(A76,'Индивидуальный план'!#REF!,2,0)</f>
        <v>#REF!</v>
      </c>
      <c r="C76" s="937" t="e">
        <f>VLOOKUP(A76,'Индивидуальный план'!#REF!,3,0)</f>
        <v>#REF!</v>
      </c>
      <c r="D76" s="938">
        <f>D54+D65</f>
        <v>0</v>
      </c>
      <c r="E76" s="148">
        <f>SUMIFS(февр2314111316[м2],февр2314111316[МОП],$A76,февр2314111316[Ком],"&lt;&gt;Офис")</f>
        <v>646.7700000000001</v>
      </c>
      <c r="F76" s="939">
        <f>SUMIFS(февр2314111316[сумма без отделки],февр2314111316[МОП],$A76,февр2314111316[Ком],"&lt;&gt;Офис")</f>
        <v>55527614.040000007</v>
      </c>
      <c r="G76" s="940">
        <f>COUNTIFS(февр2314111316[МОП],$A76,февр2314111316[Ком],"&lt;&gt;Офис")</f>
        <v>14</v>
      </c>
      <c r="H76" s="145">
        <f>SUMIFS(РД[S],РД[МОП],A76,РД[Дата подачи на регистрацию],"&lt;="&amp;$A$1,РД[Дата подачи на регистрацию],"&gt;="&amp;DATE(YEAR($A$1),MONTH($A$1),1),РД[Состояние],"Продажа")</f>
        <v>646.7700000000001</v>
      </c>
      <c r="I76" s="149">
        <f>SUMIFS(РД[Стоимость без отделки итог],РД[МОП],A76,РД[Дата подачи на регистрацию],"&lt;="&amp;$A$1,РД[Дата подачи на регистрацию],"&gt;="&amp;DATE(YEAR($A$1),MONTH($A$1),1),РД[Состояние],"Продажа")</f>
        <v>54994574.040000007</v>
      </c>
      <c r="J76" s="220">
        <f>COUNTIFS(РД[МОП],A76,РД[Дата подачи на регистрацию],"&lt;="&amp;$A$1,РД[Дата подачи на регистрацию],"&gt;="&amp;DATE(YEAR($A$1),MONTH($A$1),1),РД[Состояние],"Продажа")</f>
        <v>14</v>
      </c>
      <c r="K76" s="943" t="str">
        <f t="shared" ref="K76:L78" si="7">IFERROR(H76/B76,"")</f>
        <v/>
      </c>
      <c r="L76" s="944" t="str">
        <f t="shared" si="7"/>
        <v/>
      </c>
      <c r="M76" s="997">
        <f t="shared" ref="M76:Q78" si="8">M54+M65</f>
        <v>5</v>
      </c>
      <c r="N76" s="878">
        <f t="shared" si="8"/>
        <v>2</v>
      </c>
      <c r="O76" s="878">
        <f t="shared" si="8"/>
        <v>6</v>
      </c>
      <c r="P76" s="878">
        <f t="shared" si="8"/>
        <v>1</v>
      </c>
      <c r="Q76" s="689">
        <f t="shared" si="8"/>
        <v>0</v>
      </c>
      <c r="R76" s="949"/>
      <c r="S76" s="949"/>
    </row>
    <row r="77" spans="1:20">
      <c r="A77" s="952" t="s">
        <v>77</v>
      </c>
      <c r="B77" s="937" t="e">
        <f>VLOOKUP(A77,'Индивидуальный план'!#REF!,2,0)</f>
        <v>#REF!</v>
      </c>
      <c r="C77" s="937" t="e">
        <f>VLOOKUP(A77,'Индивидуальный план'!#REF!,3,0)</f>
        <v>#REF!</v>
      </c>
      <c r="D77" s="953">
        <f>D55+D66</f>
        <v>0</v>
      </c>
      <c r="E77" s="148">
        <f>SUMIFS(февр2314111316[м2],февр2314111316[МОП],$A77,февр2314111316[Ком],"&lt;&gt;Офис")</f>
        <v>566.23000000000013</v>
      </c>
      <c r="F77" s="939">
        <f>SUMIFS(февр2314111316[сумма без отделки],февр2314111316[МОП],$A77,февр2314111316[Ком],"&lt;&gt;Офис")</f>
        <v>50621351.93</v>
      </c>
      <c r="G77" s="940">
        <f>COUNTIFS(февр2314111316[МОП],$A77,февр2314111316[Ком],"&lt;&gt;Офис")</f>
        <v>13</v>
      </c>
      <c r="H77" s="145">
        <f>SUMIFS(РД[S],РД[МОП],A77,РД[Дата подачи на регистрацию],"&lt;="&amp;$A$1,РД[Дата подачи на регистрацию],"&gt;="&amp;DATE(YEAR($A$1),MONTH($A$1),1),РД[Состояние],"Продажа")</f>
        <v>656.43000000000006</v>
      </c>
      <c r="I77" s="149">
        <f>SUMIFS(РД[Стоимость без отделки итог],РД[МОП],A77,РД[Дата подачи на регистрацию],"&lt;="&amp;$A$1,РД[Дата подачи на регистрацию],"&gt;="&amp;DATE(YEAR($A$1),MONTH($A$1),1),РД[Состояние],"Продажа")</f>
        <v>58023072.350000001</v>
      </c>
      <c r="J77" s="220">
        <f>COUNTIFS(РД[МОП],A77,РД[Дата подачи на регистрацию],"&lt;="&amp;$A$1,РД[Дата подачи на регистрацию],"&gt;="&amp;DATE(YEAR($A$1),MONTH($A$1),1),РД[Состояние],"Продажа")</f>
        <v>15</v>
      </c>
      <c r="K77" s="987" t="str">
        <f t="shared" si="7"/>
        <v/>
      </c>
      <c r="L77" s="988" t="str">
        <f t="shared" si="7"/>
        <v/>
      </c>
      <c r="M77" s="998">
        <f t="shared" si="8"/>
        <v>1</v>
      </c>
      <c r="N77" s="326">
        <f t="shared" si="8"/>
        <v>9</v>
      </c>
      <c r="O77" s="326">
        <f t="shared" si="8"/>
        <v>4</v>
      </c>
      <c r="P77" s="326">
        <f t="shared" si="8"/>
        <v>1</v>
      </c>
      <c r="Q77" s="327">
        <f t="shared" si="8"/>
        <v>0</v>
      </c>
      <c r="R77" s="949"/>
      <c r="S77" s="949"/>
    </row>
    <row r="78" spans="1:20">
      <c r="A78" s="956" t="s">
        <v>1233</v>
      </c>
      <c r="B78" s="937" t="e">
        <f>VLOOKUP(A78,'Индивидуальный план'!#REF!,2,0)</f>
        <v>#REF!</v>
      </c>
      <c r="C78" s="937" t="e">
        <f>VLOOKUP(A78,'Индивидуальный план'!#REF!,3,0)</f>
        <v>#REF!</v>
      </c>
      <c r="D78" s="957">
        <f>D56+D67</f>
        <v>0</v>
      </c>
      <c r="E78" s="148">
        <f>SUMIFS(февр2314111316[м2],февр2314111316[МОП],$A78,февр2314111316[Ком],"&lt;&gt;Офис")</f>
        <v>413.46000000000004</v>
      </c>
      <c r="F78" s="939">
        <f>SUMIFS(февр2314111316[сумма без отделки],февр2314111316[МОП],$A78,февр2314111316[Ком],"&lt;&gt;Офис")</f>
        <v>35088687.340000004</v>
      </c>
      <c r="G78" s="940">
        <f>COUNTIFS(февр2314111316[МОП],$A78,февр2314111316[Ком],"&lt;&gt;Офис")</f>
        <v>9</v>
      </c>
      <c r="H78" s="145">
        <f>SUMIFS(РД[S],РД[МОП],A78,РД[Дата подачи на регистрацию],"&lt;="&amp;$A$1,РД[Дата подачи на регистрацию],"&gt;="&amp;DATE(YEAR($A$1),MONTH($A$1),1),РД[Состояние],"Продажа")</f>
        <v>358.8</v>
      </c>
      <c r="I78" s="149">
        <f>SUMIFS(РД[Стоимость без отделки итог],РД[МОП],A78,РД[Дата подачи на регистрацию],"&lt;="&amp;$A$1,РД[Дата подачи на регистрацию],"&gt;="&amp;DATE(YEAR($A$1),MONTH($A$1),1),РД[Состояние],"Продажа")</f>
        <v>30599131.719999999</v>
      </c>
      <c r="J78" s="220">
        <f>COUNTIFS(РД[МОП],A78,РД[Дата подачи на регистрацию],"&lt;="&amp;$A$1,РД[Дата подачи на регистрацию],"&gt;="&amp;DATE(YEAR($A$1),MONTH($A$1),1),РД[Состояние],"Продажа")</f>
        <v>8</v>
      </c>
      <c r="K78" s="987" t="str">
        <f t="shared" si="7"/>
        <v/>
      </c>
      <c r="L78" s="988" t="str">
        <f t="shared" si="7"/>
        <v/>
      </c>
      <c r="M78" s="999">
        <f t="shared" si="8"/>
        <v>3</v>
      </c>
      <c r="N78" s="365">
        <f t="shared" si="8"/>
        <v>2</v>
      </c>
      <c r="O78" s="365">
        <f t="shared" si="8"/>
        <v>2</v>
      </c>
      <c r="P78" s="365">
        <f t="shared" si="8"/>
        <v>1</v>
      </c>
      <c r="Q78" s="366">
        <f t="shared" si="8"/>
        <v>0</v>
      </c>
      <c r="R78" s="949"/>
      <c r="S78" s="949"/>
    </row>
    <row r="79" spans="1:20">
      <c r="A79" s="960" t="s">
        <v>114</v>
      </c>
      <c r="B79" s="961" t="e">
        <f t="shared" ref="B79:J79" si="9">SUM(B76:B78)</f>
        <v>#REF!</v>
      </c>
      <c r="C79" s="961" t="e">
        <f t="shared" si="9"/>
        <v>#REF!</v>
      </c>
      <c r="D79" s="962">
        <f t="shared" si="9"/>
        <v>0</v>
      </c>
      <c r="E79" s="963">
        <f t="shared" si="9"/>
        <v>1626.4600000000003</v>
      </c>
      <c r="F79" s="964">
        <f t="shared" si="9"/>
        <v>141237653.31</v>
      </c>
      <c r="G79" s="965">
        <f t="shared" si="9"/>
        <v>36</v>
      </c>
      <c r="H79" s="961">
        <f t="shared" si="9"/>
        <v>1662.0000000000002</v>
      </c>
      <c r="I79" s="964">
        <f t="shared" si="9"/>
        <v>143616778.11000001</v>
      </c>
      <c r="J79" s="962">
        <f t="shared" si="9"/>
        <v>37</v>
      </c>
      <c r="K79" s="419">
        <f>IFERROR(H79/B79,)</f>
        <v>0</v>
      </c>
      <c r="L79" s="420">
        <f>IFERROR(I79/C79,)</f>
        <v>0</v>
      </c>
      <c r="M79" s="473">
        <f>SUM(M76:M78)</f>
        <v>9</v>
      </c>
      <c r="N79" s="494">
        <f>SUM(N76:N78)</f>
        <v>13</v>
      </c>
      <c r="O79" s="494">
        <f>SUM(O76:O78)</f>
        <v>12</v>
      </c>
      <c r="P79" s="989">
        <f>SUM(P76:P78)</f>
        <v>3</v>
      </c>
      <c r="Q79" s="497">
        <f>SUM(Q76:Q78)</f>
        <v>0</v>
      </c>
      <c r="R79" s="949"/>
      <c r="S79" s="949"/>
    </row>
    <row r="80" spans="1:20">
      <c r="A80" s="685" t="s">
        <v>115</v>
      </c>
      <c r="B80" s="723" t="s">
        <v>100</v>
      </c>
      <c r="C80" s="693" t="s">
        <v>97</v>
      </c>
      <c r="D80" s="724" t="s">
        <v>95</v>
      </c>
      <c r="E80" s="137" t="s">
        <v>494</v>
      </c>
      <c r="F80" s="138" t="s">
        <v>495</v>
      </c>
      <c r="G80" s="139" t="s">
        <v>496</v>
      </c>
      <c r="H80" s="980" t="s">
        <v>101</v>
      </c>
      <c r="I80" s="141" t="s">
        <v>98</v>
      </c>
      <c r="J80" s="141" t="s">
        <v>96</v>
      </c>
      <c r="K80" s="141" t="s">
        <v>715</v>
      </c>
      <c r="L80" s="216" t="s">
        <v>716</v>
      </c>
      <c r="M80" s="217">
        <v>0</v>
      </c>
      <c r="N80" s="218">
        <v>1</v>
      </c>
      <c r="O80" s="218">
        <v>2</v>
      </c>
      <c r="P80" s="218">
        <v>3</v>
      </c>
      <c r="Q80" s="219" t="s">
        <v>1367</v>
      </c>
      <c r="R80" s="950"/>
      <c r="S80" s="950"/>
      <c r="T80" s="951"/>
    </row>
    <row r="81" spans="1:20">
      <c r="A81" s="936" t="s">
        <v>16</v>
      </c>
      <c r="B81" s="937" t="e">
        <f>VLOOKUP(A81,'Индивидуальный план'!#REF!,2,0)</f>
        <v>#REF!</v>
      </c>
      <c r="C81" s="937" t="e">
        <f>VLOOKUP(A81,'Индивидуальный план'!#REF!,3,0)</f>
        <v>#REF!</v>
      </c>
      <c r="D81" s="417">
        <f>D59+D70</f>
        <v>0</v>
      </c>
      <c r="E81" s="966">
        <f>SUMIFS(февр2314111316[м2],февр2314111316[ИМ],A81,февр2314111316[Ком],"&lt;&gt;Офис")</f>
        <v>442.92000000000007</v>
      </c>
      <c r="F81" s="149">
        <f>SUMIFS(февр2314111316[сумма без отделки],февр2314111316[ИМ],$A81,февр2314111316[Ком],"&lt;&gt;Офис")</f>
        <v>39765905.82</v>
      </c>
      <c r="G81" s="940">
        <f>COUNTIFS(февр2314111316[ИМ],A81,февр2314111316[Ком],"&lt;&gt;Офис")</f>
        <v>12</v>
      </c>
      <c r="H81" s="346">
        <f>SUMIFS(РД[S],РД[ИМ],A81,РД[Дата подачи на регистрацию],"&lt;="&amp;$A$1,РД[Дата подачи на регистрацию],"&gt;="&amp;DATE(YEAR($A$1),MONTH($A$1),1),РД[Состояние],"Продажа")</f>
        <v>442.92000000000007</v>
      </c>
      <c r="I81" s="184">
        <f>SUMIFS(РД[Стоимость без отделки итог],РД[ИМ],A81,РД[Дата подачи на регистрацию],"&lt;="&amp;$A$1,РД[Дата подачи на регистрацию],"&gt;="&amp;DATE(YEAR($A$1),MONTH($A$1),1),РД[Состояние],"Продажа")</f>
        <v>39491505.82</v>
      </c>
      <c r="J81" s="243">
        <f>COUNTIFS(РД[ИМ],A81,РД[Дата подачи на регистрацию],"&lt;="&amp;$A$1,РД[Дата подачи на регистрацию],"&gt;="&amp;DATE(YEAR($A$1),MONTH($A$1),1),РД[Состояние],"Продажа")</f>
        <v>12</v>
      </c>
      <c r="K81" s="990" t="str">
        <f t="shared" ref="K81:L83" si="10">IFERROR(H81/B81,"")</f>
        <v/>
      </c>
      <c r="L81" s="991" t="str">
        <f t="shared" si="10"/>
        <v/>
      </c>
      <c r="M81" s="183">
        <f t="shared" ref="M81:Q82" si="11">M59</f>
        <v>0</v>
      </c>
      <c r="N81" s="243">
        <f t="shared" si="11"/>
        <v>0</v>
      </c>
      <c r="O81" s="243">
        <f t="shared" si="11"/>
        <v>0</v>
      </c>
      <c r="P81" s="243">
        <f t="shared" si="11"/>
        <v>0</v>
      </c>
      <c r="Q81" s="246">
        <f t="shared" si="11"/>
        <v>0</v>
      </c>
      <c r="R81" s="949"/>
      <c r="S81" s="949"/>
    </row>
    <row r="82" spans="1:20">
      <c r="A82" s="956" t="s">
        <v>22</v>
      </c>
      <c r="B82" s="937" t="e">
        <f>VLOOKUP(A82,'Индивидуальный план'!#REF!,2,0)</f>
        <v>#REF!</v>
      </c>
      <c r="C82" s="937" t="e">
        <f>VLOOKUP(A82,'Индивидуальный план'!#REF!,3,0)</f>
        <v>#REF!</v>
      </c>
      <c r="D82" s="518">
        <f>D60+D71</f>
        <v>0</v>
      </c>
      <c r="E82" s="966">
        <f>SUMIFS(февр2314111316[м2],февр2314111316[ИМ],A82,февр2314111316[Ком],"&lt;&gt;Офис")</f>
        <v>847.27</v>
      </c>
      <c r="F82" s="149">
        <f>SUMIFS(февр2314111316[сумма без отделки],февр2314111316[ИМ],$A82,февр2314111316[Ком],"&lt;&gt;Офис")</f>
        <v>71694929.159999996</v>
      </c>
      <c r="G82" s="940">
        <f>COUNTIFS(февр2314111316[ИМ],$A82,февр2314111316[Ком],"&lt;&gt;Офис")</f>
        <v>17</v>
      </c>
      <c r="H82" s="426">
        <f>SUMIFS(РД[S],РД[ИМ],A82,РД[Дата подачи на регистрацию],"&lt;="&amp;$A$1,РД[Дата подачи на регистрацию],"&gt;="&amp;DATE(YEAR($A$1),MONTH($A$1),1),РД[Состояние],"Продажа")</f>
        <v>847.2700000000001</v>
      </c>
      <c r="I82" s="196">
        <f>SUMIFS(РД[Стоимость без отделки итог],РД[ИМ],A82,РД[Дата подачи на регистрацию],"&lt;="&amp;$A$1,РД[Дата подачи на регистрацию],"&gt;="&amp;DATE(YEAR($A$1),MONTH($A$1),1),РД[Состояние],"Продажа")</f>
        <v>71418134.159999996</v>
      </c>
      <c r="J82" s="251">
        <f>COUNTIFS(РД[ИМ],A82,РД[Дата подачи на регистрацию],"&lt;="&amp;$A$1,РД[Дата подачи на регистрацию],"&gt;="&amp;DATE(YEAR($A$1),MONTH($A$1),1),РД[Состояние],"Продажа")</f>
        <v>17</v>
      </c>
      <c r="K82" s="992" t="str">
        <f t="shared" si="10"/>
        <v/>
      </c>
      <c r="L82" s="993" t="str">
        <f t="shared" si="10"/>
        <v/>
      </c>
      <c r="M82" s="195">
        <f t="shared" si="11"/>
        <v>0</v>
      </c>
      <c r="N82" s="251">
        <f t="shared" si="11"/>
        <v>0</v>
      </c>
      <c r="O82" s="251">
        <f t="shared" si="11"/>
        <v>0</v>
      </c>
      <c r="P82" s="251">
        <f t="shared" si="11"/>
        <v>0</v>
      </c>
      <c r="Q82" s="254">
        <f t="shared" si="11"/>
        <v>0</v>
      </c>
      <c r="R82" s="949"/>
      <c r="S82" s="949"/>
    </row>
    <row r="83" spans="1:20" ht="15.75" customHeight="1">
      <c r="A83" s="409" t="s">
        <v>114</v>
      </c>
      <c r="B83" s="961" t="e">
        <f>SUM(B81:B82)</f>
        <v>#REF!</v>
      </c>
      <c r="C83" s="961" t="e">
        <f>SUM(C81:C82)</f>
        <v>#REF!</v>
      </c>
      <c r="D83" s="485">
        <f>SUM(D81:D82)</f>
        <v>0</v>
      </c>
      <c r="E83" s="473">
        <f t="shared" ref="E83:Q83" si="12">SUM(E81:E82)</f>
        <v>1290.19</v>
      </c>
      <c r="F83" s="429">
        <f t="shared" si="12"/>
        <v>111460834.97999999</v>
      </c>
      <c r="G83" s="497">
        <f t="shared" si="12"/>
        <v>29</v>
      </c>
      <c r="H83" s="484">
        <f t="shared" si="12"/>
        <v>1290.19</v>
      </c>
      <c r="I83" s="494">
        <f t="shared" si="12"/>
        <v>110909639.97999999</v>
      </c>
      <c r="J83" s="494">
        <f t="shared" si="12"/>
        <v>29</v>
      </c>
      <c r="K83" s="419" t="str">
        <f t="shared" si="10"/>
        <v/>
      </c>
      <c r="L83" s="507" t="str">
        <f t="shared" si="10"/>
        <v/>
      </c>
      <c r="M83" s="317">
        <f t="shared" si="12"/>
        <v>0</v>
      </c>
      <c r="N83" s="917">
        <f t="shared" si="12"/>
        <v>0</v>
      </c>
      <c r="O83" s="917">
        <f t="shared" si="12"/>
        <v>0</v>
      </c>
      <c r="P83" s="917">
        <f t="shared" si="12"/>
        <v>0</v>
      </c>
      <c r="Q83" s="928">
        <f t="shared" si="12"/>
        <v>0</v>
      </c>
      <c r="R83" s="949"/>
      <c r="S83" s="949"/>
    </row>
    <row r="84" spans="1:20">
      <c r="A84" s="134"/>
      <c r="B84" s="44"/>
      <c r="C84" s="44"/>
      <c r="D84" s="134"/>
      <c r="E84" s="134"/>
      <c r="F84" s="44"/>
      <c r="G84" s="134"/>
      <c r="H84" s="134"/>
      <c r="I84" s="134"/>
      <c r="J84" s="134"/>
      <c r="K84" s="255"/>
      <c r="L84" s="256"/>
      <c r="M84" s="134"/>
      <c r="N84" s="134"/>
      <c r="O84" s="134"/>
      <c r="P84" s="134"/>
      <c r="Q84" s="134"/>
      <c r="R84" s="949"/>
      <c r="S84" s="949"/>
    </row>
    <row r="85" spans="1:20" ht="15">
      <c r="A85" s="2314" t="s">
        <v>1368</v>
      </c>
      <c r="B85" s="2315"/>
      <c r="C85" s="2315"/>
      <c r="D85" s="2315"/>
      <c r="E85" s="2315"/>
      <c r="F85" s="2315"/>
      <c r="G85" s="2315"/>
      <c r="H85" s="2315"/>
      <c r="I85" s="2315"/>
      <c r="J85" s="2315"/>
      <c r="K85" s="2315"/>
      <c r="L85" s="2315"/>
      <c r="M85" s="2315"/>
      <c r="N85" s="2315"/>
      <c r="O85" s="2316"/>
      <c r="P85" s="930"/>
      <c r="T85" s="931"/>
    </row>
    <row r="86" spans="1:20">
      <c r="A86" s="712" t="s">
        <v>1</v>
      </c>
      <c r="B86" s="713" t="s">
        <v>100</v>
      </c>
      <c r="C86" s="714" t="s">
        <v>97</v>
      </c>
      <c r="D86" s="715" t="s">
        <v>95</v>
      </c>
      <c r="E86" s="716" t="s">
        <v>494</v>
      </c>
      <c r="F86" s="265" t="s">
        <v>495</v>
      </c>
      <c r="G86" s="266" t="s">
        <v>496</v>
      </c>
      <c r="H86" s="140" t="s">
        <v>101</v>
      </c>
      <c r="I86" s="141" t="s">
        <v>98</v>
      </c>
      <c r="J86" s="141" t="s">
        <v>96</v>
      </c>
      <c r="K86" s="141" t="s">
        <v>715</v>
      </c>
      <c r="L86" s="216" t="s">
        <v>716</v>
      </c>
      <c r="M86" s="1000" t="s">
        <v>121</v>
      </c>
      <c r="N86" s="505" t="s">
        <v>27</v>
      </c>
      <c r="O86" s="506" t="s">
        <v>7</v>
      </c>
      <c r="T86" s="931"/>
    </row>
    <row r="87" spans="1:20">
      <c r="A87" s="936" t="s">
        <v>8</v>
      </c>
      <c r="B87" s="267"/>
      <c r="C87" s="146"/>
      <c r="D87" s="702"/>
      <c r="E87" s="416">
        <f>SUMIFS(февр2314111316[м2],февр2314111316[МОП],A87,февр2314111316[Ком],"Офис")</f>
        <v>75.67</v>
      </c>
      <c r="F87" s="146">
        <f>SUMIFS(февр2314111316[сумма без отделки],февр2314111316[МОП],$A87,февр2314111316[Ком],"оФИС")</f>
        <v>8702050</v>
      </c>
      <c r="G87" s="417">
        <f>COUNTIFS(февр2314111316[МОП],$A87,февр2314111316[Ком],"Офис")</f>
        <v>1</v>
      </c>
      <c r="H87" s="267">
        <f>SUMIFS(РД[S],РД[МОП],A87,РД[Дата подачи на регистрацию],"&lt;="&amp;$A$1,РД[Дата подачи на регистрацию],"&gt;="&amp;DATE(YEAR($A$1),MONTH($A$1),1),РД[Состояние],"Коммерция")</f>
        <v>75.98</v>
      </c>
      <c r="I87" s="146">
        <f>SUMIFS(РД[Стоимость без отделки итог],РД[МОП],A87,РД[Дата подачи на регистрацию],"&lt;="&amp;$A$1,РД[Дата подачи на регистрацию],"&gt;="&amp;DATE(YEAR($A$1),MONTH($A$1),1),РД[Состояние],"Коммерция")</f>
        <v>8737700</v>
      </c>
      <c r="J87" s="220">
        <f>COUNTIFS(РД[МОП],A87,РД[Дата подачи на регистрацию],"&lt;="&amp;$A$1,РД[Дата подачи на регистрацию],"&gt;="&amp;DATE(YEAR($A$1),MONTH($A$1),1),РД[Состояние],"Коммерция")</f>
        <v>1</v>
      </c>
      <c r="K87" s="943" t="str">
        <f t="shared" ref="K87:L91" si="13">IFERROR(H87/B87,"")</f>
        <v/>
      </c>
      <c r="L87" s="944" t="str">
        <f t="shared" si="13"/>
        <v/>
      </c>
      <c r="M87" s="148">
        <f>COUNTIFS(РД[Дом],M$86,РД[МОП],$A87,РД[Дата подачи на регистрацию],"&lt;="&amp;$A$1,РД[Дата подачи на регистрацию],"&gt;="&amp;DATE(YEAR($A$1),MONTH($A$1),1),РД[Состояние],"Коммерция")</f>
        <v>0</v>
      </c>
      <c r="N87" s="220">
        <f>COUNTIFS(РД[Дом],N$86,РД[МОП],$A87,РД[Дата подачи на регистрацию],"&lt;="&amp;$A$1,РД[Дата подачи на регистрацию],"&gt;="&amp;DATE(YEAR($A$1),MONTH($A$1),1),РД[Состояние],"Коммерция")</f>
        <v>0</v>
      </c>
      <c r="O87" s="223">
        <f>COUNTIFS(РД[Дом],O$86,РД[МОП],$A87,РД[Дата подачи на регистрацию],"&lt;="&amp;$A$1,РД[Дата подачи на регистрацию],"&gt;="&amp;DATE(YEAR($A$1),MONTH($A$1),1),РД[Состояние],"Коммерция")</f>
        <v>1</v>
      </c>
      <c r="P87" s="949"/>
      <c r="Q87" s="949"/>
      <c r="R87" s="949"/>
      <c r="S87" s="930"/>
      <c r="T87" s="931"/>
    </row>
    <row r="88" spans="1:20">
      <c r="A88" s="981" t="s">
        <v>77</v>
      </c>
      <c r="B88" s="271"/>
      <c r="C88" s="52"/>
      <c r="D88" s="717"/>
      <c r="E88" s="416">
        <f>SUMIFS(февр2314111316[м2],февр2314111316[МОП],A88,февр2314111316[Ком],"Офис")</f>
        <v>168.95999999999998</v>
      </c>
      <c r="F88" s="52">
        <f>SUMIFS(февр2314111316[сумма без отделки],февр2314111316[МОП],$A88,февр2314111316[Ком],"оФИС")</f>
        <v>19041792</v>
      </c>
      <c r="G88" s="421">
        <f>COUNTIFS(февр2314111316[МОП],$A88,февр2314111316[Ком],"Офис")</f>
        <v>2</v>
      </c>
      <c r="H88" s="271">
        <f>SUMIFS(РД[S],РД[МОП],A88,РД[Дата подачи на регистрацию],"&lt;="&amp;$A$1,РД[Дата подачи на регистрацию],"&gt;="&amp;DATE(YEAR($A$1),MONTH($A$1),1),РД[Состояние],"Коммерция")</f>
        <v>168.95999999999998</v>
      </c>
      <c r="I88" s="52">
        <f>SUMIFS(РД[Стоимость без отделки итог],РД[МОП],A88,РД[Дата подачи на регистрацию],"&lt;="&amp;$A$1,РД[Дата подачи на регистрацию],"&gt;="&amp;DATE(YEAR($A$1),MONTH($A$1),1),РД[Состояние],"Коммерция")</f>
        <v>19041792</v>
      </c>
      <c r="J88" s="220">
        <f>COUNTIFS(РД[МОП],A88,РД[Дата подачи на регистрацию],"&lt;="&amp;$A$1,РД[Дата подачи на регистрацию],"&gt;="&amp;DATE(YEAR($A$1),MONTH($A$1),1),РД[Состояние],"Коммерция")</f>
        <v>2</v>
      </c>
      <c r="K88" s="52" t="str">
        <f t="shared" si="13"/>
        <v/>
      </c>
      <c r="L88" s="546" t="str">
        <f t="shared" si="13"/>
        <v/>
      </c>
      <c r="M88" s="202">
        <f>COUNTIFS(РД[Дом],M$86,РД[МОП],$A88,РД[Дата подачи на регистрацию],"&lt;="&amp;$A$1,РД[Дата подачи на регистрацию],"&gt;="&amp;DATE(YEAR($A$1),MONTH($A$1),1),РД[Состояние],"Коммерция")</f>
        <v>0</v>
      </c>
      <c r="N88" s="226">
        <f>COUNTIFS(РД[Дом],N$86,РД[МОП],$A88,РД[Дата подачи на регистрацию],"&lt;="&amp;$A$1,РД[Дата подачи на регистрацию],"&gt;="&amp;DATE(YEAR($A$1),MONTH($A$1),1),РД[Состояние],"Коммерция")</f>
        <v>0</v>
      </c>
      <c r="O88" s="227">
        <f>COUNTIFS(РД[Дом],O$86,РД[МОП],$A88,РД[Дата подачи на регистрацию],"&lt;="&amp;$A$1,РД[Дата подачи на регистрацию],"&gt;="&amp;DATE(YEAR($A$1),MONTH($A$1),1),РД[Состояние],"Коммерция")</f>
        <v>2</v>
      </c>
      <c r="P88" s="949"/>
      <c r="Q88" s="949"/>
      <c r="R88" s="949"/>
      <c r="S88" s="930"/>
      <c r="T88" s="931"/>
    </row>
    <row r="89" spans="1:20">
      <c r="A89" s="981" t="s">
        <v>1233</v>
      </c>
      <c r="B89" s="271"/>
      <c r="C89" s="52"/>
      <c r="D89" s="717"/>
      <c r="E89" s="416">
        <f>SUMIFS(февр2314111316[м2],февр2314111316[МОП],A89,февр2314111316[Ком],"Офис")</f>
        <v>91.9</v>
      </c>
      <c r="F89" s="52">
        <f>SUMIFS(февр2314111316[сумма без отделки],февр2314111316[МОП],$A89,февр2314111316[Ком],"оФИС")</f>
        <v>10568500</v>
      </c>
      <c r="G89" s="421">
        <f>COUNTIFS(февр2314111316[МОП],$A89,февр2314111316[Ком],"Офис")</f>
        <v>2</v>
      </c>
      <c r="H89" s="271">
        <f>SUMIFS(РД[S],РД[МОП],A89,РД[Дата подачи на регистрацию],"&lt;="&amp;$A$1,РД[Дата подачи на регистрацию],"&gt;="&amp;DATE(YEAR($A$1),MONTH($A$1),1),РД[Состояние],"Коммерция")</f>
        <v>213.2</v>
      </c>
      <c r="I89" s="52">
        <f>SUMIFS(РД[Стоимость без отделки итог],РД[МОП],A89,РД[Дата подачи на регистрацию],"&lt;="&amp;$A$1,РД[Дата подачи на регистрацию],"&gt;="&amp;DATE(YEAR($A$1),MONTH($A$1),1),РД[Состояние],"Коммерция")</f>
        <v>25124500</v>
      </c>
      <c r="J89" s="220">
        <f>COUNTIFS(РД[МОП],A89,РД[Дата подачи на регистрацию],"&lt;="&amp;$A$1,РД[Дата подачи на регистрацию],"&gt;="&amp;DATE(YEAR($A$1),MONTH($A$1),1),РД[Состояние],"Коммерция")</f>
        <v>2</v>
      </c>
      <c r="K89" s="224" t="str">
        <f t="shared" si="13"/>
        <v/>
      </c>
      <c r="L89" s="334" t="str">
        <f t="shared" si="13"/>
        <v/>
      </c>
      <c r="M89" s="202">
        <f>COUNTIFS(РД[Дом],M$86,РД[МОП],$A89,РД[Дата подачи на регистрацию],"&lt;="&amp;$A$1,РД[Дата подачи на регистрацию],"&gt;="&amp;DATE(YEAR($A$1),MONTH($A$1),1),РД[Состояние],"Коммерция")</f>
        <v>0</v>
      </c>
      <c r="N89" s="226">
        <f>COUNTIFS(РД[Дом],N$86,РД[МОП],$A89,РД[Дата подачи на регистрацию],"&lt;="&amp;$A$1,РД[Дата подачи на регистрацию],"&gt;="&amp;DATE(YEAR($A$1),MONTH($A$1),1),РД[Состояние],"Коммерция")</f>
        <v>1</v>
      </c>
      <c r="O89" s="227">
        <f>COUNTIFS(РД[Дом],O$86,РД[МОП],$A89,РД[Дата подачи на регистрацию],"&lt;="&amp;$A$1,РД[Дата подачи на регистрацию],"&gt;="&amp;DATE(YEAR($A$1),MONTH($A$1),1),РД[Состояние],"Коммерция")</f>
        <v>1</v>
      </c>
      <c r="P89" s="949"/>
      <c r="Q89" s="949"/>
      <c r="R89" s="949"/>
      <c r="S89" s="930"/>
      <c r="T89" s="931"/>
    </row>
    <row r="90" spans="1:20">
      <c r="A90" s="982" t="s">
        <v>29</v>
      </c>
      <c r="B90" s="516"/>
      <c r="C90" s="554"/>
      <c r="D90" s="695"/>
      <c r="E90" s="416">
        <f>SUMIFS(февр2314111316[м2],февр2314111316[МОП],A90,февр2314111316[Ком],"Офис")</f>
        <v>96.35</v>
      </c>
      <c r="F90" s="958">
        <f>SUMIFS(февр2314111316[сумма без отделки],февр2314111316[МОП],$A90,февр2314111316[Ком],"оФИС")</f>
        <v>11080250</v>
      </c>
      <c r="G90" s="983">
        <f>COUNTIFS(февр2314111316[МОП],$A90,февр2314111316[Ком],"Офис")</f>
        <v>1</v>
      </c>
      <c r="H90" s="516">
        <f>SUMIFS(РД[S],РД[МОП],A90,РД[Дата подачи на регистрацию],"&lt;="&amp;$A$1,РД[Дата подачи на регистрацию],"&gt;="&amp;DATE(YEAR($A$1),MONTH($A$1),1),РД[Состояние],"Коммерция")</f>
        <v>96.35</v>
      </c>
      <c r="I90" s="554">
        <f>SUMIFS(РД[Стоимость без отделки итог],РД[МОП],A90,РД[Дата подачи на регистрацию],"&lt;="&amp;$A$1,РД[Дата подачи на регистрацию],"&gt;="&amp;DATE(YEAR($A$1),MONTH($A$1),1),РД[Состояние],"Коммерция")</f>
        <v>11080250</v>
      </c>
      <c r="J90" s="1001">
        <f>COUNTIFS(РД[МОП],A90,РД[Дата подачи на регистрацию],"&lt;="&amp;$A$1,РД[Дата подачи на регистрацию],"&gt;="&amp;DATE(YEAR($A$1),MONTH($A$1),1),РД[Состояние],"Коммерция")</f>
        <v>1</v>
      </c>
      <c r="K90" s="252" t="str">
        <f t="shared" si="13"/>
        <v/>
      </c>
      <c r="L90" s="253" t="str">
        <f t="shared" si="13"/>
        <v/>
      </c>
      <c r="M90" s="195">
        <f>COUNTIFS(РД[Дом],M$86,РД[МОП],$A90,РД[Дата подачи на регистрацию],"&lt;="&amp;$A$1,РД[Дата подачи на регистрацию],"&gt;="&amp;DATE(YEAR($A$1),MONTH($A$1),1),РД[Состояние],"Коммерция")</f>
        <v>0</v>
      </c>
      <c r="N90" s="251">
        <f>COUNTIFS(РД[Дом],N$86,РД[МОП],$A90,РД[Дата подачи на регистрацию],"&lt;="&amp;$A$1,РД[Дата подачи на регистрацию],"&gt;="&amp;DATE(YEAR($A$1),MONTH($A$1),1),РД[Состояние],"Коммерция")</f>
        <v>0</v>
      </c>
      <c r="O90" s="254">
        <f>COUNTIFS(РД[Дом],O$86,РД[МОП],$A90,РД[Дата подачи на регистрацию],"&lt;="&amp;$A$1,РД[Дата подачи на регистрацию],"&gt;="&amp;DATE(YEAR($A$1),MONTH($A$1),1),РД[Состояние],"Коммерция")</f>
        <v>1</v>
      </c>
      <c r="P90" s="949"/>
      <c r="Q90" s="949"/>
      <c r="R90" s="949"/>
      <c r="S90" s="930"/>
      <c r="T90" s="931"/>
    </row>
    <row r="91" spans="1:20">
      <c r="A91" s="984" t="s">
        <v>114</v>
      </c>
      <c r="B91" s="323">
        <f t="shared" ref="B91:J91" si="14">SUM(B87:B90)</f>
        <v>0</v>
      </c>
      <c r="C91" s="429">
        <f t="shared" si="14"/>
        <v>0</v>
      </c>
      <c r="D91" s="319">
        <f t="shared" si="14"/>
        <v>0</v>
      </c>
      <c r="E91" s="428">
        <f t="shared" si="14"/>
        <v>432.88</v>
      </c>
      <c r="F91" s="429">
        <f t="shared" si="14"/>
        <v>49392592</v>
      </c>
      <c r="G91" s="322">
        <f t="shared" si="14"/>
        <v>6</v>
      </c>
      <c r="H91" s="323">
        <f t="shared" si="14"/>
        <v>554.49</v>
      </c>
      <c r="I91" s="429">
        <f t="shared" si="14"/>
        <v>63984242</v>
      </c>
      <c r="J91" s="429">
        <f t="shared" si="14"/>
        <v>6</v>
      </c>
      <c r="K91" s="419" t="str">
        <f t="shared" si="13"/>
        <v/>
      </c>
      <c r="L91" s="924" t="str">
        <f t="shared" si="13"/>
        <v/>
      </c>
      <c r="M91" s="318">
        <f>SUM(M87:M90)</f>
        <v>0</v>
      </c>
      <c r="N91" s="321">
        <f>SUM(N87:N90)</f>
        <v>1</v>
      </c>
      <c r="O91" s="319">
        <f>SUM(O87:O90)</f>
        <v>5</v>
      </c>
      <c r="P91" s="949"/>
      <c r="Q91" s="949"/>
      <c r="R91" s="949"/>
      <c r="S91" s="930"/>
      <c r="T91" s="931"/>
    </row>
    <row r="92" spans="1:20">
      <c r="A92" s="685" t="s">
        <v>115</v>
      </c>
      <c r="B92" s="713" t="s">
        <v>100</v>
      </c>
      <c r="C92" s="714" t="s">
        <v>97</v>
      </c>
      <c r="D92" s="715" t="s">
        <v>95</v>
      </c>
      <c r="E92" s="716" t="s">
        <v>494</v>
      </c>
      <c r="F92" s="265" t="s">
        <v>495</v>
      </c>
      <c r="G92" s="266" t="s">
        <v>496</v>
      </c>
      <c r="H92" s="140" t="s">
        <v>101</v>
      </c>
      <c r="I92" s="141" t="s">
        <v>98</v>
      </c>
      <c r="J92" s="141" t="s">
        <v>96</v>
      </c>
      <c r="K92" s="141" t="s">
        <v>715</v>
      </c>
      <c r="L92" s="216" t="s">
        <v>716</v>
      </c>
      <c r="M92" s="1000" t="s">
        <v>121</v>
      </c>
      <c r="N92" s="505" t="s">
        <v>27</v>
      </c>
      <c r="O92" s="506" t="s">
        <v>7</v>
      </c>
      <c r="P92" s="949"/>
      <c r="Q92" s="949"/>
      <c r="R92" s="949"/>
      <c r="S92" s="930"/>
      <c r="T92" s="931"/>
    </row>
    <row r="93" spans="1:20">
      <c r="A93" s="985" t="s">
        <v>16</v>
      </c>
      <c r="B93" s="291"/>
      <c r="C93" s="292"/>
      <c r="D93" s="720"/>
      <c r="E93" s="267">
        <f>SUMIFS(февр2314111316[м2],февр2314111316[ИМ],A93,февр2314111316[Ком],"Офис")</f>
        <v>0</v>
      </c>
      <c r="F93" s="146">
        <f>SUMIFS(февр2314111316[сумма без отделки],февр2314111316[ИМ],$A93,февр2314111316[Ком],"оФИС")</f>
        <v>0</v>
      </c>
      <c r="G93" s="417">
        <f>COUNTIFS(февр2314111316[ИМ],$A93,февр2314111316[Ком],"Офис")</f>
        <v>0</v>
      </c>
      <c r="H93" s="267">
        <f>SUMIFS(РД[S],РД[ИМ],A93,РД[Дата подачи на регистрацию],"&lt;="&amp;$A$1,РД[Дата подачи на регистрацию],"&gt;="&amp;DATE(YEAR($A$1),MONTH($A$1),1),РД[Состояние],"Коммерция")</f>
        <v>0</v>
      </c>
      <c r="I93" s="146">
        <f>SUMIFS(РД[Стоимость без отделки итог],РД[ИМ],A93,РД[Дата подачи на регистрацию],"&lt;="&amp;$A$1,РД[Дата подачи на регистрацию],"&gt;="&amp;DATE(YEAR($A$1),MONTH($A$1),1),РД[Состояние],"Коммерция")</f>
        <v>0</v>
      </c>
      <c r="J93" s="220">
        <f>COUNTIFS(РД[ИМ],A93,РД[Дата подачи на регистрацию],"&lt;="&amp;$A$1,РД[Дата подачи на регистрацию],"&gt;="&amp;DATE(YEAR($A$1),MONTH($A$1),1),РД[Состояние],"Коммерция")</f>
        <v>0</v>
      </c>
      <c r="K93" s="224" t="str">
        <f t="shared" ref="K93:L95" si="15">IFERROR(H93/B93,"")</f>
        <v/>
      </c>
      <c r="L93" s="225" t="str">
        <f t="shared" si="15"/>
        <v/>
      </c>
      <c r="M93" s="183">
        <f>COUNTIFS(РД[Дом],M$86,РД[ИМ],$A93,РД[Дата подачи на регистрацию],"&lt;="&amp;$A$1,РД[Дата подачи на регистрацию],"&gt;="&amp;DATE(YEAR($A$1),MONTH($A$1),1),РД[Состояние],"Коммерция")</f>
        <v>0</v>
      </c>
      <c r="N93" s="243">
        <f>COUNTIFS(РД[Дом],N$86,РД[ИМ],$A93,РД[Дата подачи на регистрацию],"&lt;="&amp;$A$1,РД[Дата подачи на регистрацию],"&gt;="&amp;DATE(YEAR($A$1),MONTH($A$1),1),РД[Состояние],"Коммерция")</f>
        <v>0</v>
      </c>
      <c r="O93" s="246">
        <f>COUNTIFS(РД[Дом],O$86,РД[ИМ],$A93,РД[Дата подачи на регистрацию],"&lt;="&amp;$A$1,РД[Дата подачи на регистрацию],"&gt;="&amp;DATE(YEAR($A$1),MONTH($A$1),1),РД[Состояние],"Коммерция")</f>
        <v>0</v>
      </c>
      <c r="P93" s="949"/>
      <c r="Q93" s="949"/>
      <c r="R93" s="949"/>
      <c r="S93" s="930"/>
      <c r="T93" s="931"/>
    </row>
    <row r="94" spans="1:20">
      <c r="A94" s="982" t="s">
        <v>22</v>
      </c>
      <c r="B94" s="516"/>
      <c r="C94" s="554"/>
      <c r="D94" s="721"/>
      <c r="E94" s="315">
        <f>SUMIFS(февр2314111316[м2],февр2314111316[ИМ],A94,февр2314111316[Ком],"Офис")</f>
        <v>0</v>
      </c>
      <c r="F94" s="363">
        <f>SUMIFS(февр2314111316[сумма без отделки],февр2314111316[ИМ],$A94,февр2314111316[Ком],"оФИС")</f>
        <v>0</v>
      </c>
      <c r="G94" s="518">
        <f>COUNTIFS(февр2314111316[ИМ],$A94,февр2314111316[Ком],"Офис")</f>
        <v>0</v>
      </c>
      <c r="H94" s="315">
        <f>SUMIFS(РД[S],РД[ИМ],A94,РД[Дата подачи на регистрацию],"&lt;="&amp;$A$1,РД[Дата подачи на регистрацию],"&gt;="&amp;DATE(YEAR($A$1),MONTH($A$1),1),РД[Состояние],"Коммерция")</f>
        <v>0</v>
      </c>
      <c r="I94" s="363">
        <f>SUMIFS(РД[Стоимость без отделки итог],РД[ИМ],A94,РД[Дата подачи на регистрацию],"&lt;="&amp;$A$1,РД[Дата подачи на регистрацию],"&gt;="&amp;DATE(YEAR($A$1),MONTH($A$1),1),РД[Состояние],"Коммерция")</f>
        <v>0</v>
      </c>
      <c r="J94" s="220">
        <f>COUNTIFS(РД[ИМ],A94,РД[Дата подачи на регистрацию],"&lt;="&amp;$A$1,РД[Дата подачи на регистрацию],"&gt;="&amp;DATE(YEAR($A$1),MONTH($A$1),1),РД[Состояние],"Коммерция")</f>
        <v>0</v>
      </c>
      <c r="K94" s="252" t="str">
        <f t="shared" si="15"/>
        <v/>
      </c>
      <c r="L94" s="260" t="str">
        <f t="shared" si="15"/>
        <v/>
      </c>
      <c r="M94" s="195">
        <f>COUNTIFS(РД[Дом],M$86,РД[ИМ],$A94,РД[Дата подачи на регистрацию],"&lt;="&amp;$A$1,РД[Дата подачи на регистрацию],"&gt;="&amp;DATE(YEAR($A$1),MONTH($A$1),1),РД[Состояние],"Коммерция")</f>
        <v>0</v>
      </c>
      <c r="N94" s="251">
        <f>COUNTIFS(РД[Дом],N$86,РД[ИМ],$A94,РД[Дата подачи на регистрацию],"&lt;="&amp;$A$1,РД[Дата подачи на регистрацию],"&gt;="&amp;DATE(YEAR($A$1),MONTH($A$1),1),РД[Состояние],"Коммерция")</f>
        <v>0</v>
      </c>
      <c r="O94" s="254">
        <f>COUNTIFS(РД[Дом],O$86,РД[ИМ],$A94,РД[Дата подачи на регистрацию],"&lt;="&amp;$A$1,РД[Дата подачи на регистрацию],"&gt;="&amp;DATE(YEAR($A$1),MONTH($A$1),1),РД[Состояние],"Коммерция")</f>
        <v>0</v>
      </c>
      <c r="P94" s="949"/>
      <c r="Q94" s="949"/>
      <c r="R94" s="949"/>
      <c r="S94" s="930"/>
      <c r="T94" s="931"/>
    </row>
    <row r="95" spans="1:20">
      <c r="A95" s="986" t="s">
        <v>114</v>
      </c>
      <c r="B95" s="282">
        <f>SUM(B93:B94)</f>
        <v>0</v>
      </c>
      <c r="C95" s="287">
        <f>SUM(C93:C94)</f>
        <v>0</v>
      </c>
      <c r="D95" s="472">
        <f>SUM(D93:D94)</f>
        <v>0</v>
      </c>
      <c r="E95" s="323">
        <f t="shared" ref="E95:J95" si="16">SUM(E93:E94)</f>
        <v>0</v>
      </c>
      <c r="F95" s="429">
        <f t="shared" si="16"/>
        <v>0</v>
      </c>
      <c r="G95" s="322">
        <f t="shared" si="16"/>
        <v>0</v>
      </c>
      <c r="H95" s="323">
        <f t="shared" si="16"/>
        <v>0</v>
      </c>
      <c r="I95" s="429">
        <f t="shared" si="16"/>
        <v>0</v>
      </c>
      <c r="J95" s="429">
        <f t="shared" si="16"/>
        <v>0</v>
      </c>
      <c r="K95" s="419" t="str">
        <f t="shared" si="15"/>
        <v/>
      </c>
      <c r="L95" s="924" t="str">
        <f t="shared" si="15"/>
        <v/>
      </c>
      <c r="M95" s="925">
        <f>SUM(M93:M94)</f>
        <v>0</v>
      </c>
      <c r="N95" s="285">
        <f>SUM(N93:N94)</f>
        <v>0</v>
      </c>
      <c r="O95" s="305">
        <f>SUM(O93:O94)</f>
        <v>0</v>
      </c>
      <c r="P95" s="949"/>
      <c r="Q95" s="949"/>
      <c r="R95" s="949"/>
      <c r="S95" s="930"/>
      <c r="T95" s="931"/>
    </row>
    <row r="96" spans="1:20">
      <c r="A96" s="134"/>
      <c r="B96" s="44"/>
      <c r="C96" s="44"/>
      <c r="D96" s="134"/>
      <c r="E96" s="134"/>
      <c r="F96" s="44"/>
      <c r="G96" s="134"/>
      <c r="H96" s="134"/>
      <c r="I96" s="134"/>
      <c r="J96" s="134"/>
      <c r="K96" s="255"/>
      <c r="L96" s="256"/>
      <c r="M96" s="134"/>
      <c r="N96" s="134"/>
      <c r="O96" s="134"/>
      <c r="P96" s="134"/>
      <c r="Q96" s="134"/>
      <c r="R96" s="949"/>
      <c r="S96" s="949"/>
    </row>
    <row r="97" spans="1:21" ht="15">
      <c r="A97" s="2317" t="s">
        <v>945</v>
      </c>
      <c r="B97" s="2318"/>
      <c r="C97" s="2318"/>
      <c r="D97" s="2318"/>
      <c r="E97" s="2318"/>
      <c r="F97" s="2318"/>
      <c r="G97" s="2318"/>
      <c r="H97" s="2319"/>
      <c r="I97" s="2319"/>
      <c r="J97" s="2319"/>
      <c r="K97" s="2319"/>
      <c r="L97" s="2319"/>
      <c r="M97" s="2319"/>
      <c r="N97" s="2320"/>
      <c r="O97" s="949"/>
      <c r="P97" s="949"/>
      <c r="Q97" s="86"/>
      <c r="R97" s="949"/>
      <c r="S97" s="949"/>
    </row>
    <row r="98" spans="1:21">
      <c r="A98" s="685" t="s">
        <v>1</v>
      </c>
      <c r="B98" s="723" t="s">
        <v>101</v>
      </c>
      <c r="C98" s="724" t="s">
        <v>98</v>
      </c>
      <c r="D98" s="688" t="s">
        <v>96</v>
      </c>
      <c r="E98" s="137" t="s">
        <v>494</v>
      </c>
      <c r="F98" s="138" t="s">
        <v>495</v>
      </c>
      <c r="G98" s="296" t="s">
        <v>496</v>
      </c>
      <c r="H98" s="140" t="s">
        <v>946</v>
      </c>
      <c r="I98" s="141" t="s">
        <v>947</v>
      </c>
      <c r="J98" s="217">
        <v>0</v>
      </c>
      <c r="K98" s="218">
        <v>1</v>
      </c>
      <c r="L98" s="340">
        <v>2</v>
      </c>
      <c r="M98" s="218">
        <v>3</v>
      </c>
      <c r="N98" s="219" t="s">
        <v>1367</v>
      </c>
      <c r="O98" s="949"/>
      <c r="P98" s="949"/>
      <c r="Q98" s="86"/>
      <c r="R98" s="949"/>
      <c r="S98" s="949"/>
    </row>
    <row r="99" spans="1:21" s="930" customFormat="1">
      <c r="A99" s="936" t="s">
        <v>8</v>
      </c>
      <c r="B99" s="267">
        <f>SUMIFS(РД[S],РД[МОП],A99,РД[Дата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99" s="146">
        <f>SUMIFS(РД[Стоимость без отделки итог],РД[МОП],A99,РД[Дата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99" s="702">
        <f>COUNTIFS(РД[МОП],A99,РД[Дата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99" s="514"/>
      <c r="F99" s="146"/>
      <c r="G99" s="417"/>
      <c r="H99" s="267">
        <f>SUMIFS(РД[S],РД[МОП],A99,РД[Дата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99" s="549">
        <f>SUMIFS(РД[Стоимость без отделки итог],РД[МОП],A99,РД[Дата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99" s="148">
        <f>COUNTIFS(РД[Тип кв],J$98,РД[МОП],$A99,РД[Дата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99" s="220">
        <f>COUNTIFS(РД[Тип кв],K$98,РД[МОП],$A99,РД[Дата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99" s="220">
        <f>COUNTIFS(РД[Тип кв],L$98,РД[МОП],$A99,РД[Дата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99" s="220">
        <f>COUNTIFS(РД[Тип кв],M$98,РД[МОП],$A99,РД[Дата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99" s="223">
        <f>COUNTIFS(РД[Тип кв],N$98,РД[МОП],$A99,РД[Дата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99" s="949"/>
      <c r="P99" s="949"/>
      <c r="Q99" s="86"/>
      <c r="R99" s="949"/>
      <c r="S99" s="949"/>
      <c r="U99" s="931"/>
    </row>
    <row r="100" spans="1:21" s="930" customFormat="1">
      <c r="A100" s="981" t="s">
        <v>77</v>
      </c>
      <c r="B100" s="271">
        <f>SUMIFS(РД[S],РД[МОП],A100,РД[Дата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00" s="52">
        <f>SUMIFS(РД[Стоимость без отделки итог],РД[МОП],A100,РД[Дата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00" s="717">
        <f>COUNTIFS(РД[МОП],A100,РД[Дата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00" s="416"/>
      <c r="F100" s="52"/>
      <c r="G100" s="421"/>
      <c r="H100" s="271">
        <f>SUMIFS(РД[S],РД[МОП],A100,РД[Дата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00" s="546">
        <f>SUMIFS(РД[Стоимость без отделки итог],РД[МОП],A100,РД[Дата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00" s="202">
        <f>COUNTIFS(РД[Тип кв],J$98,РД[МОП],$A100,РД[Дата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00" s="226">
        <f>COUNTIFS(РД[Тип кв],K$98,РД[МОП],$A100,РД[Дата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00" s="226">
        <f>COUNTIFS(РД[Тип кв],L$98,РД[МОП],$A100,РД[Дата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00" s="226">
        <f>COUNTIFS(РД[Тип кв],M$98,РД[МОП],$A100,РД[Дата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00" s="227">
        <f>COUNTIFS(РД[Тип кв],N$98,РД[МОП],$A100,РД[Дата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00" s="949"/>
      <c r="P100" s="949"/>
      <c r="Q100" s="86"/>
      <c r="R100" s="949"/>
      <c r="S100" s="949"/>
      <c r="U100" s="931"/>
    </row>
    <row r="101" spans="1:21" s="930" customFormat="1">
      <c r="A101" s="981" t="s">
        <v>1233</v>
      </c>
      <c r="B101" s="271">
        <f>SUMIFS(РД[S],РД[МОП],A101,РД[Дата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01" s="52">
        <f>SUMIFS(РД[Стоимость без отделки итог],РД[МОП],A101,РД[Дата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01" s="717">
        <f>COUNTIFS(РД[МОП],A101,РД[Дата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01" s="416"/>
      <c r="F101" s="52"/>
      <c r="G101" s="421"/>
      <c r="H101" s="271">
        <f>SUMIFS(РД[S],РД[МОП],A101,РД[Дата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01" s="546">
        <f>SUMIFS(РД[Стоимость без отделки итог],РД[МОП],A101,РД[Дата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01" s="202">
        <f>COUNTIFS(РД[Тип кв],J$98,РД[МОП],$A101,РД[Дата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01" s="226">
        <f>COUNTIFS(РД[Тип кв],K$98,РД[МОП],$A101,РД[Дата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01" s="226">
        <f>COUNTIFS(РД[Тип кв],L$98,РД[МОП],$A101,РД[Дата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01" s="226">
        <f>COUNTIFS(РД[Тип кв],M$98,РД[МОП],$A101,РД[Дата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01" s="227">
        <f>COUNTIFS(РД[Тип кв],N$98,РД[МОП],$A101,РД[Дата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01" s="949"/>
      <c r="P101" s="949"/>
      <c r="Q101" s="86"/>
      <c r="R101" s="949"/>
      <c r="S101" s="949"/>
      <c r="U101" s="931"/>
    </row>
    <row r="102" spans="1:21" s="930" customFormat="1">
      <c r="A102" s="982" t="s">
        <v>29</v>
      </c>
      <c r="B102" s="516">
        <f>SUMIFS(РД[S],РД[МОП],A102,РД[Дата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02" s="554">
        <f>SUMIFS(РД[Стоимость без отделки итог],РД[МОП],A102,РД[Дата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02" s="695">
        <f>COUNTIFS(РД[МОП],A102,РД[Дата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02" s="329">
        <f>SUMIFS(февр2314111316[м2],февр2314111316[МОП],$A102,февр2314111316[№ дома],$C$51)</f>
        <v>0</v>
      </c>
      <c r="F102" s="958">
        <f>SUMIFS(февр2314111316[сумма без отделки],февр2314111316[МОП],$A102,февр2314111316[№ дома],$C$51)</f>
        <v>0</v>
      </c>
      <c r="G102" s="959">
        <f>COUNTIFS(февр2314111316[МОП],$A102,февр2314111316[№ дома],$C$51)</f>
        <v>0</v>
      </c>
      <c r="H102" s="516">
        <f>SUMIFS(РД[S],РД[МОП],A102,РД[Дата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02" s="1002">
        <f>SUMIFS(РД[Стоимость без отделки итог],РД[МОП],A102,РД[Дата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02" s="195">
        <f>COUNTIFS(РД[Тип кв],J$98,РД[МОП],$A102,РД[Дата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02" s="251">
        <f>COUNTIFS(РД[Тип кв],K$98,РД[МОП],$A102,РД[Дата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02" s="251">
        <f>COUNTIFS(РД[Тип кв],L$98,РД[МОП],$A102,РД[Дата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02" s="251">
        <f>COUNTIFS(РД[Тип кв],M$98,РД[МОП],$A102,РД[Дата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02" s="254">
        <f>COUNTIFS(РД[Тип кв],N$98,РД[МОП],$A102,РД[Дата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02" s="949"/>
      <c r="P102" s="949"/>
      <c r="Q102" s="86"/>
      <c r="R102" s="949"/>
      <c r="S102" s="949"/>
      <c r="U102" s="931"/>
    </row>
    <row r="103" spans="1:21" s="930" customFormat="1">
      <c r="A103" s="984" t="s">
        <v>114</v>
      </c>
      <c r="B103" s="323">
        <f t="shared" ref="B103:N103" si="17">SUM(B99:B102)</f>
        <v>0</v>
      </c>
      <c r="C103" s="429">
        <f t="shared" si="17"/>
        <v>0</v>
      </c>
      <c r="D103" s="319">
        <f t="shared" si="17"/>
        <v>0</v>
      </c>
      <c r="E103" s="428">
        <f t="shared" si="17"/>
        <v>0</v>
      </c>
      <c r="F103" s="429">
        <f t="shared" si="17"/>
        <v>0</v>
      </c>
      <c r="G103" s="322">
        <f t="shared" si="17"/>
        <v>0</v>
      </c>
      <c r="H103" s="323">
        <f t="shared" si="17"/>
        <v>0</v>
      </c>
      <c r="I103" s="324">
        <f t="shared" si="17"/>
        <v>0</v>
      </c>
      <c r="J103" s="284">
        <f t="shared" si="17"/>
        <v>0</v>
      </c>
      <c r="K103" s="285">
        <f t="shared" si="17"/>
        <v>0</v>
      </c>
      <c r="L103" s="285">
        <f t="shared" si="17"/>
        <v>0</v>
      </c>
      <c r="M103" s="285">
        <f t="shared" si="17"/>
        <v>0</v>
      </c>
      <c r="N103" s="305">
        <f t="shared" si="17"/>
        <v>0</v>
      </c>
      <c r="O103" s="949"/>
      <c r="P103" s="949"/>
      <c r="Q103" s="86"/>
      <c r="R103" s="949"/>
      <c r="S103" s="949"/>
      <c r="U103" s="931"/>
    </row>
    <row r="104" spans="1:21" s="930" customFormat="1">
      <c r="A104" s="725" t="s">
        <v>115</v>
      </c>
      <c r="B104" s="706" t="s">
        <v>101</v>
      </c>
      <c r="C104" s="726" t="s">
        <v>98</v>
      </c>
      <c r="D104" s="708" t="s">
        <v>96</v>
      </c>
      <c r="E104" s="486" t="s">
        <v>494</v>
      </c>
      <c r="F104" s="487" t="s">
        <v>495</v>
      </c>
      <c r="G104" s="524" t="s">
        <v>496</v>
      </c>
      <c r="H104" s="489" t="s">
        <v>946</v>
      </c>
      <c r="I104" s="525" t="s">
        <v>947</v>
      </c>
      <c r="J104" s="217">
        <v>0</v>
      </c>
      <c r="K104" s="218">
        <v>1</v>
      </c>
      <c r="L104" s="340">
        <v>2</v>
      </c>
      <c r="M104" s="218">
        <v>3</v>
      </c>
      <c r="N104" s="219" t="s">
        <v>1367</v>
      </c>
      <c r="O104" s="949"/>
      <c r="P104" s="949"/>
      <c r="Q104" s="86"/>
      <c r="R104" s="949"/>
      <c r="S104" s="949"/>
      <c r="U104" s="931"/>
    </row>
    <row r="105" spans="1:21" s="930" customFormat="1">
      <c r="A105" s="985" t="s">
        <v>16</v>
      </c>
      <c r="B105" s="291">
        <f>SUMIFS(РД[S],РД[ИМ],A105,РД[Дата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05" s="292">
        <f>SUMIFS(РД[Стоимость без отделки итог],РД[ИМ],A105,РД[Дата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05" s="694">
        <f>COUNTIFS(РД[ИМ],A105,РД[Дата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05" s="551"/>
      <c r="F105" s="292"/>
      <c r="G105" s="552"/>
      <c r="H105" s="291">
        <f>SUMIFS(РД[S],РД[ИМ],A105,РД[Дата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05" s="312">
        <f>SUMIFS(РД[Стоимость без отделки итог],РД[ИМ],A105,РД[Дата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05" s="346">
        <f>COUNTIFS(РД[Тип кв],J$98,РД[ИМ],$A105,РД[Дата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05" s="243">
        <f>COUNTIFS(РД[Тип кв],K$98,РД[ИМ],$A105,РД[Дата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05" s="243">
        <f>COUNTIFS(РД[Тип кв],L$98,РД[ИМ],$A105,РД[Дата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05" s="243">
        <f>COUNTIFS(РД[Тип кв],M$98,РД[ИМ],$A105,РД[Дата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05" s="246">
        <f>COUNTIFS(РД[Тип кв],N$98,РД[ИМ],$A105,РД[Дата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05" s="949"/>
      <c r="P105" s="949"/>
      <c r="Q105" s="86"/>
      <c r="R105" s="949"/>
      <c r="S105" s="949"/>
      <c r="U105" s="931"/>
    </row>
    <row r="106" spans="1:21" s="930" customFormat="1">
      <c r="A106" s="982" t="s">
        <v>22</v>
      </c>
      <c r="B106" s="516">
        <f>SUMIFS(РД[S],РД[ИМ],A106,РД[Дата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06" s="554">
        <f>SUMIFS(РД[Стоимость без отделки итог],РД[ИМ],A106,РД[Дата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06" s="695">
        <f>COUNTIFS(РД[ИМ],A106,РД[Дата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06" s="553"/>
      <c r="F106" s="554"/>
      <c r="G106" s="555"/>
      <c r="H106" s="516">
        <f>SUMIFS(РД[S],РД[ИМ],A106,РД[Дата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06" s="517">
        <f>SUMIFS(РД[Стоимость без отделки итог],РД[ИМ],A106,РД[Дата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06" s="426">
        <f>COUNTIFS(РД[Тип кв],J$98,РД[ИМ],$A106,РД[Дата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06" s="251">
        <f>COUNTIFS(РД[Тип кв],K$98,РД[ИМ],$A106,РД[Дата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06" s="251">
        <f>COUNTIFS(РД[Тип кв],L$98,РД[ИМ],$A106,РД[Дата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06" s="251">
        <f>COUNTIFS(РД[Тип кв],M$98,РД[ИМ],$A106,РД[Дата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06" s="254">
        <f>COUNTIFS(РД[Тип кв],N$98,РД[ИМ],$A106,РД[Дата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06" s="949"/>
      <c r="P106" s="949"/>
      <c r="Q106" s="86"/>
      <c r="R106" s="949"/>
      <c r="S106" s="949"/>
      <c r="U106" s="931"/>
    </row>
    <row r="107" spans="1:21" s="930" customFormat="1">
      <c r="A107" s="986" t="s">
        <v>114</v>
      </c>
      <c r="B107" s="282">
        <f>SUM(B105:B106)</f>
        <v>0</v>
      </c>
      <c r="C107" s="287">
        <f>SUM(C105:C106)</f>
        <v>0</v>
      </c>
      <c r="D107" s="711">
        <f>SUM(D105:D106)</f>
        <v>0</v>
      </c>
      <c r="E107" s="425">
        <f t="shared" ref="E107:N107" si="18">SUM(E105:E106)</f>
        <v>0</v>
      </c>
      <c r="F107" s="287">
        <f t="shared" si="18"/>
        <v>0</v>
      </c>
      <c r="G107" s="286">
        <f t="shared" si="18"/>
        <v>0</v>
      </c>
      <c r="H107" s="282">
        <f t="shared" si="18"/>
        <v>0</v>
      </c>
      <c r="I107" s="283">
        <f t="shared" si="18"/>
        <v>0</v>
      </c>
      <c r="J107" s="284">
        <f t="shared" si="18"/>
        <v>0</v>
      </c>
      <c r="K107" s="285">
        <f t="shared" si="18"/>
        <v>0</v>
      </c>
      <c r="L107" s="285">
        <f t="shared" si="18"/>
        <v>0</v>
      </c>
      <c r="M107" s="285">
        <f t="shared" si="18"/>
        <v>0</v>
      </c>
      <c r="N107" s="305">
        <f t="shared" si="18"/>
        <v>0</v>
      </c>
      <c r="O107" s="949"/>
      <c r="P107" s="949"/>
      <c r="Q107" s="86"/>
      <c r="R107" s="949"/>
      <c r="S107" s="949"/>
      <c r="U107" s="931"/>
    </row>
    <row r="108" spans="1:21" s="930" customFormat="1">
      <c r="A108" s="65"/>
      <c r="B108" s="65"/>
      <c r="C108" s="65"/>
      <c r="D108" s="65"/>
      <c r="E108" s="65"/>
      <c r="F108" s="949"/>
      <c r="G108" s="65"/>
      <c r="H108" s="65"/>
      <c r="I108" s="949"/>
      <c r="J108" s="65"/>
      <c r="K108" s="65"/>
      <c r="L108" s="65"/>
      <c r="M108" s="949"/>
      <c r="N108" s="65"/>
      <c r="O108" s="949"/>
      <c r="P108" s="949"/>
      <c r="Q108" s="86"/>
      <c r="R108" s="949"/>
      <c r="S108" s="949"/>
      <c r="U108" s="931"/>
    </row>
    <row r="109" spans="1:21" s="930" customFormat="1">
      <c r="O109" s="949"/>
      <c r="P109" s="949"/>
      <c r="Q109" s="86"/>
      <c r="R109" s="949"/>
      <c r="S109" s="949"/>
      <c r="U109" s="931"/>
    </row>
    <row r="110" spans="1:21" s="930" customFormat="1">
      <c r="O110" s="949"/>
      <c r="P110" s="949"/>
      <c r="Q110" s="86"/>
      <c r="R110" s="949"/>
      <c r="S110" s="949"/>
      <c r="U110" s="931"/>
    </row>
    <row r="111" spans="1:21" s="930" customFormat="1">
      <c r="O111" s="949"/>
      <c r="P111" s="949"/>
      <c r="Q111" s="86"/>
      <c r="R111" s="949"/>
      <c r="S111" s="949"/>
      <c r="U111" s="931"/>
    </row>
    <row r="112" spans="1:21" s="930" customFormat="1">
      <c r="O112" s="949"/>
      <c r="P112" s="949"/>
      <c r="Q112" s="86"/>
      <c r="R112" s="949"/>
      <c r="S112" s="949"/>
      <c r="U112" s="931"/>
    </row>
    <row r="113" spans="1:21" s="930" customFormat="1">
      <c r="O113" s="949"/>
      <c r="P113" s="949"/>
      <c r="Q113" s="86"/>
      <c r="R113" s="949"/>
      <c r="S113" s="949"/>
      <c r="U113" s="931"/>
    </row>
    <row r="114" spans="1:21" s="930" customFormat="1">
      <c r="O114" s="949"/>
      <c r="P114" s="949"/>
      <c r="Q114" s="86"/>
      <c r="R114" s="949"/>
      <c r="S114" s="949"/>
      <c r="U114" s="931"/>
    </row>
    <row r="115" spans="1:21" s="930" customFormat="1">
      <c r="O115" s="949"/>
      <c r="P115" s="949"/>
      <c r="Q115" s="86"/>
      <c r="R115" s="949"/>
      <c r="S115" s="949"/>
      <c r="U115" s="931"/>
    </row>
    <row r="116" spans="1:21" s="930" customFormat="1">
      <c r="O116" s="949"/>
      <c r="P116" s="949"/>
      <c r="Q116" s="86"/>
      <c r="R116" s="949"/>
      <c r="S116" s="949"/>
      <c r="U116" s="931"/>
    </row>
    <row r="117" spans="1:21" s="930" customFormat="1">
      <c r="O117" s="949"/>
      <c r="P117" s="949"/>
      <c r="Q117" s="86"/>
      <c r="R117" s="949"/>
      <c r="S117" s="949"/>
      <c r="U117" s="931"/>
    </row>
    <row r="118" spans="1:21" s="930" customFormat="1">
      <c r="O118" s="949"/>
      <c r="P118" s="949"/>
      <c r="Q118" s="86"/>
      <c r="R118" s="949"/>
      <c r="S118" s="949"/>
      <c r="U118" s="931"/>
    </row>
    <row r="119" spans="1:21" s="930" customFormat="1">
      <c r="A119" s="65"/>
      <c r="B119" s="65"/>
      <c r="C119" s="65"/>
      <c r="D119" s="65"/>
      <c r="E119" s="65"/>
      <c r="F119" s="949"/>
      <c r="G119" s="65"/>
      <c r="H119" s="65"/>
      <c r="I119" s="949"/>
      <c r="J119" s="65"/>
      <c r="K119" s="65"/>
      <c r="L119" s="65"/>
      <c r="M119" s="949"/>
      <c r="N119" s="65"/>
      <c r="O119" s="949"/>
      <c r="P119" s="949"/>
      <c r="Q119" s="86"/>
      <c r="R119" s="949"/>
      <c r="S119" s="949"/>
      <c r="U119" s="931"/>
    </row>
    <row r="120" spans="1:21" s="930" customFormat="1">
      <c r="A120" s="65"/>
      <c r="B120" s="65"/>
      <c r="C120" s="65"/>
      <c r="D120" s="65"/>
      <c r="E120" s="65"/>
      <c r="F120" s="949"/>
      <c r="G120" s="65"/>
      <c r="H120" s="65"/>
      <c r="I120" s="949"/>
      <c r="J120" s="65"/>
      <c r="K120" s="65"/>
      <c r="L120" s="65"/>
      <c r="M120" s="949"/>
      <c r="N120" s="65"/>
      <c r="O120" s="949"/>
      <c r="P120" s="949"/>
      <c r="Q120" s="86"/>
      <c r="R120" s="949"/>
      <c r="S120" s="949"/>
      <c r="U120" s="931"/>
    </row>
    <row r="121" spans="1:21" s="930" customFormat="1">
      <c r="A121" s="65"/>
      <c r="B121" s="65"/>
      <c r="C121" s="65"/>
      <c r="D121" s="65"/>
      <c r="E121" s="65"/>
      <c r="F121" s="949"/>
      <c r="G121" s="65"/>
      <c r="H121" s="65"/>
      <c r="I121" s="949"/>
      <c r="J121" s="65"/>
      <c r="K121" s="65"/>
      <c r="L121" s="65"/>
      <c r="M121" s="949"/>
      <c r="N121" s="65"/>
      <c r="O121" s="949"/>
      <c r="P121" s="949"/>
      <c r="Q121" s="86"/>
      <c r="R121" s="949"/>
      <c r="S121" s="949"/>
      <c r="U121" s="931"/>
    </row>
    <row r="122" spans="1:21" s="930" customFormat="1">
      <c r="A122" s="65"/>
      <c r="B122" s="65"/>
      <c r="C122" s="65"/>
      <c r="D122" s="65"/>
      <c r="E122" s="65"/>
      <c r="F122" s="949"/>
      <c r="G122" s="65"/>
      <c r="H122" s="65"/>
      <c r="I122" s="949"/>
      <c r="J122" s="65"/>
      <c r="K122" s="65"/>
      <c r="L122" s="65"/>
      <c r="M122" s="949"/>
      <c r="N122" s="65"/>
      <c r="O122" s="949"/>
      <c r="P122" s="949"/>
      <c r="Q122" s="86"/>
      <c r="R122" s="949"/>
      <c r="S122" s="949"/>
      <c r="U122" s="931"/>
    </row>
    <row r="123" spans="1:21" s="930" customFormat="1">
      <c r="A123" s="65"/>
      <c r="B123" s="65"/>
      <c r="C123" s="65"/>
      <c r="D123" s="65"/>
      <c r="E123" s="65"/>
      <c r="F123" s="949"/>
      <c r="G123" s="65"/>
      <c r="H123" s="65"/>
      <c r="I123" s="949"/>
      <c r="J123" s="65"/>
      <c r="K123" s="65"/>
      <c r="L123" s="65"/>
      <c r="M123" s="949"/>
      <c r="N123" s="65"/>
      <c r="O123" s="949"/>
      <c r="P123" s="949"/>
      <c r="Q123" s="86"/>
      <c r="R123" s="949"/>
      <c r="S123" s="949"/>
      <c r="U123" s="931"/>
    </row>
    <row r="124" spans="1:21" s="930" customFormat="1">
      <c r="A124" s="65"/>
      <c r="B124" s="65"/>
      <c r="C124" s="65"/>
      <c r="D124" s="65"/>
      <c r="E124" s="65"/>
      <c r="F124" s="949"/>
      <c r="G124" s="65"/>
      <c r="H124" s="65"/>
      <c r="I124" s="949"/>
      <c r="J124" s="65"/>
      <c r="K124" s="65"/>
      <c r="L124" s="65"/>
      <c r="M124" s="949"/>
      <c r="N124" s="65"/>
      <c r="O124" s="949"/>
      <c r="P124" s="949"/>
      <c r="Q124" s="86"/>
      <c r="R124" s="949"/>
      <c r="S124" s="949"/>
      <c r="U124" s="931"/>
    </row>
    <row r="125" spans="1:21" s="930" customFormat="1">
      <c r="A125" s="65"/>
      <c r="B125" s="65"/>
      <c r="C125" s="65"/>
      <c r="D125" s="65"/>
      <c r="E125" s="65"/>
      <c r="F125" s="949"/>
      <c r="G125" s="65"/>
      <c r="H125" s="65"/>
      <c r="I125" s="949"/>
      <c r="J125" s="65"/>
      <c r="K125" s="65"/>
      <c r="L125" s="65"/>
      <c r="M125" s="949"/>
      <c r="N125" s="65"/>
      <c r="O125" s="949"/>
      <c r="P125" s="949"/>
      <c r="Q125" s="86"/>
      <c r="R125" s="949"/>
      <c r="S125" s="949"/>
      <c r="U125" s="931"/>
    </row>
    <row r="126" spans="1:21" s="930" customFormat="1">
      <c r="A126" s="65"/>
      <c r="B126" s="65"/>
      <c r="C126" s="65"/>
      <c r="D126" s="65"/>
      <c r="E126" s="65"/>
      <c r="F126" s="949"/>
      <c r="G126" s="65"/>
      <c r="H126" s="65"/>
      <c r="I126" s="949"/>
      <c r="J126" s="65"/>
      <c r="K126" s="65"/>
      <c r="L126" s="65"/>
      <c r="M126" s="949"/>
      <c r="N126" s="65"/>
      <c r="O126" s="949"/>
      <c r="P126" s="949"/>
      <c r="Q126" s="86"/>
      <c r="R126" s="949"/>
      <c r="S126" s="949"/>
      <c r="U126" s="931"/>
    </row>
    <row r="127" spans="1:21" s="930" customFormat="1">
      <c r="A127" s="65"/>
      <c r="B127" s="65"/>
      <c r="C127" s="65"/>
      <c r="D127" s="65"/>
      <c r="E127" s="65"/>
      <c r="F127" s="949"/>
      <c r="G127" s="65"/>
      <c r="H127" s="65"/>
      <c r="I127" s="949"/>
      <c r="J127" s="65"/>
      <c r="K127" s="65"/>
      <c r="L127" s="65"/>
      <c r="M127" s="949"/>
      <c r="N127" s="65"/>
      <c r="O127" s="949"/>
      <c r="P127" s="949"/>
      <c r="Q127" s="86"/>
      <c r="R127" s="949"/>
      <c r="S127" s="949"/>
      <c r="U127" s="931"/>
    </row>
    <row r="128" spans="1:21" s="930" customFormat="1">
      <c r="A128" s="65"/>
      <c r="B128" s="65"/>
      <c r="C128" s="65"/>
      <c r="D128" s="65"/>
      <c r="E128" s="65"/>
      <c r="F128" s="949"/>
      <c r="G128" s="65"/>
      <c r="H128" s="65"/>
      <c r="I128" s="949"/>
      <c r="J128" s="65"/>
      <c r="K128" s="65"/>
      <c r="L128" s="65"/>
      <c r="M128" s="949"/>
      <c r="N128" s="65"/>
      <c r="O128" s="949"/>
      <c r="P128" s="949"/>
      <c r="Q128" s="86"/>
      <c r="R128" s="949"/>
      <c r="S128" s="949"/>
      <c r="U128" s="931"/>
    </row>
    <row r="129" spans="1:21" s="930" customFormat="1">
      <c r="A129" s="65"/>
      <c r="B129" s="65"/>
      <c r="C129" s="65"/>
      <c r="D129" s="65"/>
      <c r="E129" s="65"/>
      <c r="F129" s="949"/>
      <c r="G129" s="65"/>
      <c r="H129" s="65"/>
      <c r="I129" s="949"/>
      <c r="J129" s="65"/>
      <c r="K129" s="65"/>
      <c r="L129" s="65"/>
      <c r="M129" s="949"/>
      <c r="N129" s="65"/>
      <c r="O129" s="949"/>
      <c r="P129" s="949"/>
      <c r="Q129" s="86"/>
      <c r="R129" s="949"/>
      <c r="S129" s="949"/>
      <c r="U129" s="931"/>
    </row>
    <row r="130" spans="1:21" s="930" customFormat="1">
      <c r="A130" s="65"/>
      <c r="B130" s="65"/>
      <c r="C130" s="65"/>
      <c r="D130" s="65"/>
      <c r="E130" s="65"/>
      <c r="F130" s="949"/>
      <c r="G130" s="65"/>
      <c r="H130" s="65"/>
      <c r="I130" s="949"/>
      <c r="J130" s="65"/>
      <c r="K130" s="65"/>
      <c r="L130" s="65"/>
      <c r="M130" s="949"/>
      <c r="N130" s="65"/>
      <c r="O130" s="949"/>
      <c r="P130" s="949"/>
      <c r="Q130" s="86"/>
      <c r="R130" s="949"/>
      <c r="S130" s="949"/>
      <c r="U130" s="931"/>
    </row>
    <row r="131" spans="1:21" s="930" customFormat="1">
      <c r="A131" s="65"/>
      <c r="B131" s="65"/>
      <c r="C131" s="65"/>
      <c r="D131" s="65"/>
      <c r="E131" s="65"/>
      <c r="F131" s="949"/>
      <c r="G131" s="65"/>
      <c r="H131" s="65"/>
      <c r="I131" s="949"/>
      <c r="J131" s="65"/>
      <c r="K131" s="65"/>
      <c r="L131" s="65"/>
      <c r="M131" s="949"/>
      <c r="N131" s="65"/>
      <c r="O131" s="949"/>
      <c r="P131" s="949"/>
      <c r="Q131" s="86"/>
      <c r="R131" s="949"/>
      <c r="S131" s="949"/>
      <c r="U131" s="931"/>
    </row>
    <row r="132" spans="1:21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U132" s="931"/>
    </row>
    <row r="133" spans="1:21" s="930" customFormat="1">
      <c r="A133" s="65"/>
      <c r="B133" s="65"/>
      <c r="C133" s="65"/>
      <c r="D133" s="65"/>
      <c r="E133" s="65"/>
      <c r="F133" s="949"/>
      <c r="G133" s="65"/>
      <c r="H133" s="65"/>
      <c r="I133" s="949"/>
      <c r="J133" s="65"/>
      <c r="K133" s="65"/>
      <c r="L133" s="65"/>
      <c r="M133" s="949"/>
      <c r="N133" s="65"/>
      <c r="O133" s="949"/>
      <c r="P133" s="949"/>
      <c r="Q133" s="86"/>
      <c r="R133" s="949"/>
      <c r="S133" s="949"/>
      <c r="U133" s="931"/>
    </row>
    <row r="134" spans="1:21" s="930" customFormat="1">
      <c r="A134" s="65"/>
      <c r="B134" s="65"/>
      <c r="C134" s="65"/>
      <c r="D134" s="65"/>
      <c r="E134" s="65"/>
      <c r="F134" s="949"/>
      <c r="G134" s="65"/>
      <c r="H134" s="65"/>
      <c r="I134" s="949"/>
      <c r="J134" s="65"/>
      <c r="K134" s="65"/>
      <c r="L134" s="65"/>
      <c r="M134" s="949"/>
      <c r="N134" s="65"/>
      <c r="O134" s="949"/>
      <c r="P134" s="949"/>
      <c r="Q134" s="86"/>
      <c r="R134" s="949"/>
      <c r="S134" s="949"/>
      <c r="U134" s="931"/>
    </row>
    <row r="135" spans="1:21" s="930" customFormat="1">
      <c r="A135" s="65"/>
      <c r="B135" s="65"/>
      <c r="C135" s="65"/>
      <c r="D135" s="65"/>
      <c r="E135" s="65"/>
      <c r="F135" s="949"/>
      <c r="G135" s="65"/>
      <c r="H135" s="65"/>
      <c r="I135" s="949"/>
      <c r="J135" s="65"/>
      <c r="K135" s="65"/>
      <c r="L135" s="65"/>
      <c r="M135" s="949"/>
      <c r="N135" s="65"/>
      <c r="O135" s="949"/>
      <c r="P135" s="949"/>
      <c r="Q135" s="86"/>
      <c r="R135" s="949"/>
      <c r="S135" s="949"/>
      <c r="U135" s="931"/>
    </row>
    <row r="136" spans="1:21" s="930" customFormat="1">
      <c r="A136" s="65"/>
      <c r="B136" s="65"/>
      <c r="C136" s="65"/>
      <c r="D136" s="65"/>
      <c r="E136" s="65"/>
      <c r="F136" s="949"/>
      <c r="G136" s="65"/>
      <c r="H136" s="65"/>
      <c r="I136" s="949"/>
      <c r="J136" s="65"/>
      <c r="K136" s="65"/>
      <c r="L136" s="65"/>
      <c r="M136" s="949"/>
      <c r="N136" s="65"/>
      <c r="O136" s="949"/>
      <c r="P136" s="949"/>
      <c r="Q136" s="86"/>
      <c r="R136" s="949"/>
      <c r="S136" s="949"/>
      <c r="U136" s="931"/>
    </row>
    <row r="137" spans="1:21" s="930" customFormat="1">
      <c r="A137" s="65"/>
      <c r="B137" s="65"/>
      <c r="C137" s="65"/>
      <c r="D137" s="65"/>
      <c r="E137" s="65"/>
      <c r="F137" s="949"/>
      <c r="G137" s="65"/>
      <c r="H137" s="65"/>
      <c r="I137" s="949"/>
      <c r="J137" s="65"/>
      <c r="K137" s="65"/>
      <c r="L137" s="65"/>
      <c r="M137" s="949"/>
      <c r="N137" s="65"/>
      <c r="O137" s="949"/>
      <c r="P137" s="949"/>
      <c r="Q137" s="86"/>
      <c r="R137" s="949"/>
      <c r="S137" s="949"/>
      <c r="U137" s="931"/>
    </row>
    <row r="138" spans="1:21" s="930" customFormat="1">
      <c r="A138" s="65"/>
      <c r="B138" s="65"/>
      <c r="C138" s="65"/>
      <c r="D138" s="65"/>
      <c r="E138" s="65"/>
      <c r="F138" s="949"/>
      <c r="G138" s="65"/>
      <c r="H138" s="65"/>
      <c r="I138" s="949"/>
      <c r="J138" s="65"/>
      <c r="K138" s="65"/>
      <c r="L138" s="65"/>
      <c r="M138" s="949"/>
      <c r="N138" s="65"/>
      <c r="O138" s="949"/>
      <c r="P138" s="949"/>
      <c r="Q138" s="86"/>
      <c r="R138" s="949"/>
      <c r="S138" s="949"/>
      <c r="U138" s="931"/>
    </row>
    <row r="139" spans="1:21" s="930" customFormat="1">
      <c r="A139" s="65"/>
      <c r="B139" s="65"/>
      <c r="C139" s="65"/>
      <c r="D139" s="65"/>
      <c r="E139" s="65"/>
      <c r="F139" s="949"/>
      <c r="G139" s="65"/>
      <c r="H139" s="65"/>
      <c r="I139" s="949"/>
      <c r="J139" s="65"/>
      <c r="K139" s="65"/>
      <c r="L139" s="65"/>
      <c r="M139" s="949"/>
      <c r="N139" s="65"/>
      <c r="O139" s="949"/>
      <c r="P139" s="949"/>
      <c r="Q139" s="86"/>
      <c r="R139" s="949"/>
      <c r="S139" s="949"/>
      <c r="U139" s="931"/>
    </row>
    <row r="140" spans="1:21" s="930" customFormat="1">
      <c r="A140" s="65"/>
      <c r="B140" s="65"/>
      <c r="C140" s="65"/>
      <c r="D140" s="65"/>
      <c r="E140" s="65"/>
      <c r="F140" s="949"/>
      <c r="G140" s="65"/>
      <c r="H140" s="65"/>
      <c r="I140" s="949"/>
      <c r="J140" s="65"/>
      <c r="K140" s="65"/>
      <c r="L140" s="65"/>
      <c r="M140" s="949"/>
      <c r="N140" s="65"/>
      <c r="O140" s="949"/>
      <c r="P140" s="949"/>
      <c r="Q140" s="86"/>
      <c r="R140" s="949"/>
      <c r="S140" s="949"/>
      <c r="U140" s="931"/>
    </row>
    <row r="141" spans="1:21" s="930" customFormat="1">
      <c r="A141" s="65"/>
      <c r="B141" s="65"/>
      <c r="C141" s="65"/>
      <c r="D141" s="65"/>
      <c r="E141" s="65"/>
      <c r="F141" s="949"/>
      <c r="G141" s="65"/>
      <c r="H141" s="65"/>
      <c r="I141" s="949"/>
      <c r="J141" s="65"/>
      <c r="K141" s="65"/>
      <c r="L141" s="65"/>
      <c r="M141" s="949"/>
      <c r="N141" s="65"/>
      <c r="O141" s="949"/>
      <c r="P141" s="949"/>
      <c r="Q141" s="86"/>
      <c r="R141" s="949"/>
      <c r="S141" s="949"/>
      <c r="U141" s="931"/>
    </row>
    <row r="142" spans="1:21" s="930" customFormat="1">
      <c r="A142" s="65"/>
      <c r="B142" s="65"/>
      <c r="C142" s="65"/>
      <c r="D142" s="65"/>
      <c r="E142" s="65"/>
      <c r="F142" s="949"/>
      <c r="G142" s="65"/>
      <c r="H142" s="65"/>
      <c r="I142" s="949"/>
      <c r="J142" s="65"/>
      <c r="K142" s="65"/>
      <c r="L142" s="65"/>
      <c r="M142" s="949"/>
      <c r="N142" s="65"/>
      <c r="O142" s="949"/>
      <c r="P142" s="949"/>
      <c r="Q142" s="86"/>
      <c r="R142" s="949"/>
      <c r="S142" s="949"/>
      <c r="U142" s="931"/>
    </row>
    <row r="143" spans="1:21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U143" s="931"/>
    </row>
    <row r="144" spans="1:21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U144" s="931"/>
    </row>
    <row r="145" spans="1:21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U145" s="931"/>
    </row>
    <row r="146" spans="1:21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U146" s="931"/>
    </row>
    <row r="147" spans="1:21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U147" s="931"/>
    </row>
    <row r="148" spans="1:21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U148" s="931"/>
    </row>
    <row r="149" spans="1:21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U149" s="931"/>
    </row>
    <row r="150" spans="1:21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U150" s="931"/>
    </row>
    <row r="151" spans="1:21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U151" s="931"/>
    </row>
    <row r="152" spans="1:21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U152" s="931"/>
    </row>
    <row r="153" spans="1:21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U153" s="931"/>
    </row>
    <row r="154" spans="1:21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U154" s="931"/>
    </row>
    <row r="155" spans="1:21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U155" s="931"/>
    </row>
    <row r="156" spans="1:21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U156" s="931"/>
    </row>
    <row r="157" spans="1:21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U157" s="931"/>
    </row>
    <row r="158" spans="1:21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U158" s="931"/>
    </row>
    <row r="159" spans="1:21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U159" s="931"/>
    </row>
    <row r="160" spans="1:21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U160" s="931"/>
    </row>
    <row r="161" spans="1:21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U161" s="931"/>
    </row>
    <row r="162" spans="1:21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U162" s="931"/>
    </row>
    <row r="163" spans="1:21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U163" s="931"/>
    </row>
    <row r="164" spans="1:21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U164" s="931"/>
    </row>
    <row r="165" spans="1:21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U165" s="931"/>
    </row>
    <row r="166" spans="1:21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U166" s="931"/>
    </row>
    <row r="167" spans="1:21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U167" s="931"/>
    </row>
    <row r="168" spans="1:21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U168" s="931"/>
    </row>
    <row r="169" spans="1:21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U169" s="931"/>
    </row>
    <row r="170" spans="1:21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U170" s="931"/>
    </row>
    <row r="171" spans="1:21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U171" s="931"/>
    </row>
    <row r="172" spans="1:21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U172" s="931"/>
    </row>
    <row r="173" spans="1:21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U173" s="931"/>
    </row>
    <row r="174" spans="1:21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U174" s="931"/>
    </row>
    <row r="175" spans="1:21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U175" s="931"/>
    </row>
    <row r="176" spans="1:21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U176" s="931"/>
    </row>
    <row r="177" spans="1:21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U177" s="931"/>
    </row>
    <row r="178" spans="1:21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U178" s="931"/>
    </row>
    <row r="179" spans="1:21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U179" s="931"/>
    </row>
    <row r="180" spans="1:21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U180" s="931"/>
    </row>
    <row r="181" spans="1:21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U181" s="931"/>
    </row>
    <row r="182" spans="1:21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U182" s="931"/>
    </row>
    <row r="183" spans="1:21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U183" s="931"/>
    </row>
    <row r="184" spans="1:21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U184" s="931"/>
    </row>
    <row r="185" spans="1:21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U185" s="931"/>
    </row>
    <row r="186" spans="1:21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U186" s="931"/>
    </row>
    <row r="187" spans="1:21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U187" s="931"/>
    </row>
    <row r="188" spans="1:21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U188" s="931"/>
    </row>
    <row r="189" spans="1:21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U189" s="931"/>
    </row>
    <row r="190" spans="1:21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U190" s="931"/>
    </row>
    <row r="191" spans="1:21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U191" s="931"/>
    </row>
    <row r="192" spans="1:21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U192" s="931"/>
    </row>
    <row r="193" spans="1:21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U193" s="931"/>
    </row>
    <row r="194" spans="1:21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U194" s="931"/>
    </row>
    <row r="195" spans="1:21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U195" s="931"/>
    </row>
    <row r="196" spans="1:21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U196" s="931"/>
    </row>
    <row r="197" spans="1:21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U197" s="931"/>
    </row>
    <row r="198" spans="1:21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U198" s="931"/>
    </row>
    <row r="199" spans="1:21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U199" s="931"/>
    </row>
    <row r="200" spans="1:21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U200" s="931"/>
    </row>
    <row r="201" spans="1:21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U201" s="931"/>
    </row>
    <row r="202" spans="1:21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U202" s="931"/>
    </row>
    <row r="203" spans="1:21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U203" s="931"/>
    </row>
    <row r="204" spans="1:21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U204" s="931"/>
    </row>
    <row r="205" spans="1:21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U205" s="931"/>
    </row>
    <row r="206" spans="1:21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U206" s="931"/>
    </row>
    <row r="207" spans="1:21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U207" s="931"/>
    </row>
    <row r="208" spans="1:21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U208" s="931"/>
    </row>
    <row r="209" spans="1:21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U209" s="931"/>
    </row>
    <row r="210" spans="1:21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U210" s="931"/>
    </row>
    <row r="211" spans="1:21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U211" s="931"/>
    </row>
    <row r="212" spans="1:21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U212" s="931"/>
    </row>
    <row r="213" spans="1:21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U213" s="931"/>
    </row>
    <row r="214" spans="1:21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U214" s="931"/>
    </row>
    <row r="215" spans="1:21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U215" s="931"/>
    </row>
    <row r="216" spans="1:21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U216" s="931"/>
    </row>
    <row r="217" spans="1:21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U217" s="931"/>
    </row>
    <row r="218" spans="1:21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U218" s="931"/>
    </row>
    <row r="219" spans="1:21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U219" s="931"/>
    </row>
    <row r="220" spans="1:21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U220" s="931"/>
    </row>
    <row r="221" spans="1:21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U221" s="931"/>
    </row>
    <row r="222" spans="1:21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U222" s="931"/>
    </row>
    <row r="223" spans="1:21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U223" s="931"/>
    </row>
    <row r="224" spans="1:21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U224" s="931"/>
    </row>
    <row r="225" spans="1:21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U225" s="931"/>
    </row>
    <row r="226" spans="1:21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U226" s="931"/>
    </row>
    <row r="227" spans="1:21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U227" s="931"/>
    </row>
    <row r="228" spans="1:21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U228" s="931"/>
    </row>
    <row r="229" spans="1:21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U229" s="931"/>
    </row>
    <row r="230" spans="1:21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U230" s="931"/>
    </row>
    <row r="231" spans="1:21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U231" s="931"/>
    </row>
    <row r="232" spans="1:21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U232" s="931"/>
    </row>
    <row r="233" spans="1:21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U233" s="931"/>
    </row>
    <row r="234" spans="1:21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U234" s="931"/>
    </row>
    <row r="235" spans="1:21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U235" s="931"/>
    </row>
  </sheetData>
  <sheetProtection algorithmName="SHA-512" hashValue="MqrZ0vU0zC9cbzgoli8PLSZz9RpAE7OpBbVDYFtrBTa1DIaQYNZu4jGIx63nFO8UuGnRRGS2lxIi+LOgW1IfLg==" saltValue="ovUdhoe3FEiVPD0o8UAeoQ==" spinCount="100000" sheet="1" formatCells="0" formatColumns="0" formatRows="0" sort="0" autoFilter="0" pivotTables="0"/>
  <mergeCells count="6">
    <mergeCell ref="A97:N97"/>
    <mergeCell ref="A1:S1"/>
    <mergeCell ref="A51:B51"/>
    <mergeCell ref="A63:B63"/>
    <mergeCell ref="A74:B74"/>
    <mergeCell ref="A85:O85"/>
  </mergeCells>
  <pageMargins left="0.25" right="0.25" top="0.75" bottom="0.75" header="0.3" footer="0.3"/>
  <pageSetup paperSize="9" scale="40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F00-000000000000}">
          <x14:formula1>
            <xm:f>Списки!$C$3:$C$4</xm:f>
          </x14:formula1>
          <xm:sqref>D3:D33 D35:D47 D49:D50 R3:S14 R16:S47 R49:S50</xm:sqref>
        </x14:dataValidation>
        <x14:dataValidation type="list" allowBlank="1" showInputMessage="1" showErrorMessage="1" xr:uid="{00000000-0002-0000-1F00-000001000000}">
          <x14:formula1>
            <xm:f>Списки!$D$2:$D$7</xm:f>
          </x14:formula1>
          <xm:sqref>F3:F47 F49:F50</xm:sqref>
        </x14:dataValidation>
        <x14:dataValidation type="list" allowBlank="1" showInputMessage="1" showErrorMessage="1" xr:uid="{00000000-0002-0000-1F00-000002000000}">
          <x14:formula1>
            <xm:f>Списки!$B$2:$B$5</xm:f>
          </x14:formula1>
          <xm:sqref>G3:G47 G49:G50</xm:sqref>
        </x14:dataValidation>
        <x14:dataValidation type="list" allowBlank="1" showInputMessage="1" showErrorMessage="1" xr:uid="{00000000-0002-0000-1F00-000003000000}">
          <x14:formula1>
            <xm:f>Списки!$E$2:$E$7</xm:f>
          </x14:formula1>
          <xm:sqref>H3:H47 H49:H50</xm:sqref>
        </x14:dataValidation>
        <x14:dataValidation type="list" allowBlank="1" showInputMessage="1" showErrorMessage="1" xr:uid="{00000000-0002-0000-1F00-000004000000}">
          <x14:formula1>
            <xm:f>Списки!$G$2:$G$3</xm:f>
          </x14:formula1>
          <xm:sqref>L3:L47 L49:L50</xm:sqref>
        </x14:dataValidation>
        <x14:dataValidation type="list" allowBlank="1" showInputMessage="1" showErrorMessage="1" xr:uid="{00000000-0002-0000-1F00-000005000000}">
          <x14:formula1>
            <xm:f>Списки!$F$2:$F$3</xm:f>
          </x14:formula1>
          <xm:sqref>N3:N4 N6:N47 N49:N50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U259"/>
  <sheetViews>
    <sheetView view="pageBreakPreview" zoomScale="85" zoomScaleNormal="85" workbookViewId="0">
      <pane ySplit="2" topLeftCell="A36" activePane="bottomLeft" state="frozen"/>
      <selection pane="bottomLeft" activeCell="S38" sqref="S38"/>
    </sheetView>
  </sheetViews>
  <sheetFormatPr defaultColWidth="12.28515625" defaultRowHeight="12.75" outlineLevelRow="1"/>
  <cols>
    <col min="1" max="1" width="11.7109375" style="931" customWidth="1"/>
    <col min="2" max="2" width="13.5703125" style="931" customWidth="1"/>
    <col min="3" max="3" width="13.85546875" style="931" customWidth="1"/>
    <col min="4" max="5" width="10.5703125" style="931" customWidth="1"/>
    <col min="6" max="6" width="13.5703125" style="931" customWidth="1"/>
    <col min="7" max="7" width="13.140625" style="931" customWidth="1"/>
    <col min="8" max="8" width="9.42578125" style="931" customWidth="1"/>
    <col min="9" max="9" width="13.5703125" style="931" customWidth="1"/>
    <col min="10" max="10" width="9.85546875" style="931" customWidth="1"/>
    <col min="11" max="11" width="16" style="931" customWidth="1"/>
    <col min="12" max="12" width="20.42578125" style="931" customWidth="1"/>
    <col min="13" max="13" width="16.5703125" style="931" customWidth="1"/>
    <col min="14" max="14" width="16.7109375" style="931" customWidth="1"/>
    <col min="15" max="15" width="20.85546875" style="931" customWidth="1"/>
    <col min="16" max="16" width="21" style="931" customWidth="1"/>
    <col min="17" max="17" width="32.5703125" style="931" customWidth="1"/>
    <col min="18" max="18" width="9.5703125" style="931" customWidth="1"/>
    <col min="19" max="19" width="14.28515625" style="931" customWidth="1"/>
    <col min="20" max="20" width="15" style="930" customWidth="1"/>
    <col min="21" max="21" width="1.7109375" style="931" customWidth="1"/>
    <col min="22" max="16384" width="12.28515625" style="931"/>
  </cols>
  <sheetData>
    <row r="1" spans="1:21" ht="15" customHeight="1">
      <c r="A1" s="2297">
        <v>45138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U1" s="931" t="s">
        <v>830</v>
      </c>
    </row>
    <row r="2" spans="1:21" ht="30" customHeight="1">
      <c r="A2" s="70" t="s">
        <v>719</v>
      </c>
      <c r="B2" s="70" t="s">
        <v>52</v>
      </c>
      <c r="C2" s="70" t="s">
        <v>49</v>
      </c>
      <c r="D2" s="70" t="s">
        <v>1</v>
      </c>
      <c r="E2" s="72" t="s">
        <v>53</v>
      </c>
      <c r="F2" s="932" t="s">
        <v>576</v>
      </c>
      <c r="G2" s="70" t="s">
        <v>120</v>
      </c>
      <c r="H2" s="70" t="s">
        <v>3</v>
      </c>
      <c r="I2" s="70" t="s">
        <v>54</v>
      </c>
      <c r="J2" s="70" t="s">
        <v>51</v>
      </c>
      <c r="K2" s="70" t="s">
        <v>55</v>
      </c>
      <c r="L2" s="72" t="s">
        <v>56</v>
      </c>
      <c r="M2" s="70" t="s">
        <v>57</v>
      </c>
      <c r="N2" s="70" t="s">
        <v>58</v>
      </c>
      <c r="O2" s="70" t="s">
        <v>59</v>
      </c>
      <c r="P2" s="70" t="s">
        <v>60</v>
      </c>
      <c r="Q2" s="70" t="s">
        <v>265</v>
      </c>
      <c r="R2" s="70" t="s">
        <v>62</v>
      </c>
      <c r="S2" s="70" t="s">
        <v>500</v>
      </c>
      <c r="T2" s="262" t="s">
        <v>578</v>
      </c>
    </row>
    <row r="3" spans="1:21" s="929" customFormat="1" ht="13.5" customHeight="1" outlineLevel="1">
      <c r="A3" s="62">
        <v>1</v>
      </c>
      <c r="B3" s="75">
        <v>135</v>
      </c>
      <c r="C3" s="75">
        <v>23309</v>
      </c>
      <c r="D3" s="117" t="s">
        <v>77</v>
      </c>
      <c r="E3" s="62">
        <v>78.73</v>
      </c>
      <c r="F3" s="117" t="s">
        <v>9</v>
      </c>
      <c r="G3" s="62" t="s">
        <v>7</v>
      </c>
      <c r="H3" s="62" t="s">
        <v>16</v>
      </c>
      <c r="I3" s="95">
        <v>5689424.2199999997</v>
      </c>
      <c r="J3" s="62">
        <v>3</v>
      </c>
      <c r="K3" s="62" t="s">
        <v>1542</v>
      </c>
      <c r="L3" s="62" t="s">
        <v>18</v>
      </c>
      <c r="M3" s="92"/>
      <c r="N3" s="117" t="s">
        <v>11</v>
      </c>
      <c r="O3" s="62" t="s">
        <v>1543</v>
      </c>
      <c r="P3" s="76" t="s">
        <v>67</v>
      </c>
      <c r="Q3" s="76" t="s">
        <v>67</v>
      </c>
      <c r="R3" s="945" t="s">
        <v>77</v>
      </c>
      <c r="S3" s="945" t="s">
        <v>77</v>
      </c>
      <c r="T3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5689424.2199999997</v>
      </c>
    </row>
    <row r="4" spans="1:21" s="929" customFormat="1" ht="14.25" customHeight="1" outlineLevel="1">
      <c r="A4" s="62">
        <v>2</v>
      </c>
      <c r="B4" s="75">
        <v>494</v>
      </c>
      <c r="C4" s="75">
        <v>25556</v>
      </c>
      <c r="D4" s="117" t="s">
        <v>77</v>
      </c>
      <c r="E4" s="62">
        <v>74.28</v>
      </c>
      <c r="F4" s="117" t="s">
        <v>15</v>
      </c>
      <c r="G4" s="62" t="s">
        <v>7</v>
      </c>
      <c r="H4" s="62" t="s">
        <v>22</v>
      </c>
      <c r="I4" s="95">
        <v>6301794.1200000001</v>
      </c>
      <c r="J4" s="62">
        <v>3</v>
      </c>
      <c r="K4" s="62" t="s">
        <v>583</v>
      </c>
      <c r="L4" s="62" t="s">
        <v>18</v>
      </c>
      <c r="M4" s="92">
        <v>45119</v>
      </c>
      <c r="N4" s="117" t="s">
        <v>17</v>
      </c>
      <c r="O4" s="62" t="s">
        <v>1544</v>
      </c>
      <c r="P4" s="76" t="s">
        <v>67</v>
      </c>
      <c r="Q4" s="866" t="s">
        <v>67</v>
      </c>
      <c r="R4" s="945" t="s">
        <v>77</v>
      </c>
      <c r="S4" s="945" t="s">
        <v>77</v>
      </c>
      <c r="T4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6004674.1200000001</v>
      </c>
    </row>
    <row r="5" spans="1:21" s="929" customFormat="1" ht="13.5" customHeight="1" outlineLevel="1">
      <c r="A5" s="62">
        <v>3</v>
      </c>
      <c r="B5" s="75">
        <v>443</v>
      </c>
      <c r="C5" s="75">
        <v>25285</v>
      </c>
      <c r="D5" s="62" t="s">
        <v>1233</v>
      </c>
      <c r="E5" s="62">
        <v>58.62</v>
      </c>
      <c r="F5" s="62" t="s">
        <v>15</v>
      </c>
      <c r="G5" s="62" t="s">
        <v>7</v>
      </c>
      <c r="H5" s="62" t="s">
        <v>22</v>
      </c>
      <c r="I5" s="95">
        <v>4748223.1100000003</v>
      </c>
      <c r="J5" s="62">
        <v>2</v>
      </c>
      <c r="K5" s="62" t="s">
        <v>1542</v>
      </c>
      <c r="L5" s="62" t="s">
        <v>12</v>
      </c>
      <c r="M5" s="92">
        <v>45121</v>
      </c>
      <c r="N5" s="62" t="s">
        <v>11</v>
      </c>
      <c r="O5" s="62" t="s">
        <v>1545</v>
      </c>
      <c r="P5" s="76" t="s">
        <v>111</v>
      </c>
      <c r="Q5" s="866" t="s">
        <v>111</v>
      </c>
      <c r="R5" s="941" t="s">
        <v>1233</v>
      </c>
      <c r="S5" s="941" t="s">
        <v>1233</v>
      </c>
      <c r="T5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4513743.1100000003</v>
      </c>
      <c r="U5" s="931"/>
    </row>
    <row r="6" spans="1:21" s="929" customFormat="1" ht="12.75" customHeight="1" outlineLevel="1">
      <c r="A6" s="62">
        <v>6</v>
      </c>
      <c r="B6" s="75">
        <v>30</v>
      </c>
      <c r="C6" s="75">
        <v>23793</v>
      </c>
      <c r="D6" s="62" t="s">
        <v>77</v>
      </c>
      <c r="E6" s="62">
        <v>36.659999999999997</v>
      </c>
      <c r="F6" s="62" t="s">
        <v>25</v>
      </c>
      <c r="G6" s="62" t="s">
        <v>7</v>
      </c>
      <c r="H6" s="62" t="s">
        <v>10</v>
      </c>
      <c r="I6" s="95">
        <v>3994520.16</v>
      </c>
      <c r="J6" s="62">
        <v>1</v>
      </c>
      <c r="K6" s="62" t="s">
        <v>286</v>
      </c>
      <c r="L6" s="62" t="s">
        <v>18</v>
      </c>
      <c r="M6" s="92"/>
      <c r="N6" s="117" t="s">
        <v>17</v>
      </c>
      <c r="O6" s="62" t="s">
        <v>1546</v>
      </c>
      <c r="P6" s="76" t="s">
        <v>67</v>
      </c>
      <c r="Q6" s="76" t="s">
        <v>67</v>
      </c>
      <c r="R6" s="945" t="s">
        <v>77</v>
      </c>
      <c r="S6" s="945" t="s">
        <v>77</v>
      </c>
      <c r="T6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3444620.16</v>
      </c>
      <c r="U6" s="931"/>
    </row>
    <row r="7" spans="1:21" s="929" customFormat="1" outlineLevel="1">
      <c r="A7" s="62">
        <v>7</v>
      </c>
      <c r="B7" s="75">
        <v>46</v>
      </c>
      <c r="C7" s="75">
        <v>25596</v>
      </c>
      <c r="D7" s="117" t="s">
        <v>8</v>
      </c>
      <c r="E7" s="62">
        <v>59.87</v>
      </c>
      <c r="F7" s="62" t="s">
        <v>9</v>
      </c>
      <c r="G7" s="62" t="s">
        <v>7</v>
      </c>
      <c r="H7" s="62" t="s">
        <v>22</v>
      </c>
      <c r="I7" s="95">
        <v>5445990.7300000004</v>
      </c>
      <c r="J7" s="62">
        <v>2</v>
      </c>
      <c r="K7" s="62" t="s">
        <v>583</v>
      </c>
      <c r="L7" s="62" t="s">
        <v>18</v>
      </c>
      <c r="M7" s="92">
        <v>45118</v>
      </c>
      <c r="N7" s="117" t="s">
        <v>17</v>
      </c>
      <c r="O7" s="62" t="s">
        <v>1547</v>
      </c>
      <c r="P7" s="76" t="s">
        <v>67</v>
      </c>
      <c r="Q7" s="76" t="s">
        <v>67</v>
      </c>
      <c r="R7" s="945" t="s">
        <v>8</v>
      </c>
      <c r="S7" s="945" t="s">
        <v>8</v>
      </c>
      <c r="T7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5445990.7300000004</v>
      </c>
      <c r="U7" s="931"/>
    </row>
    <row r="8" spans="1:21" s="929" customFormat="1" ht="12.75" customHeight="1" outlineLevel="1">
      <c r="A8" s="62">
        <v>11</v>
      </c>
      <c r="B8" s="75">
        <v>104</v>
      </c>
      <c r="C8" s="75">
        <v>25568</v>
      </c>
      <c r="D8" s="62" t="s">
        <v>1233</v>
      </c>
      <c r="E8" s="62">
        <v>21.73</v>
      </c>
      <c r="F8" s="62" t="s">
        <v>25</v>
      </c>
      <c r="G8" s="62" t="s">
        <v>7</v>
      </c>
      <c r="H8" s="62" t="s">
        <v>10</v>
      </c>
      <c r="I8" s="95">
        <v>2567075.0699999998</v>
      </c>
      <c r="J8" s="62">
        <v>0</v>
      </c>
      <c r="K8" s="62" t="s">
        <v>286</v>
      </c>
      <c r="L8" s="62" t="s">
        <v>18</v>
      </c>
      <c r="M8" s="92"/>
      <c r="N8" s="117" t="s">
        <v>17</v>
      </c>
      <c r="O8" s="62" t="s">
        <v>1548</v>
      </c>
      <c r="P8" s="76" t="s">
        <v>67</v>
      </c>
      <c r="Q8" s="76" t="s">
        <v>67</v>
      </c>
      <c r="R8" s="945" t="s">
        <v>1233</v>
      </c>
      <c r="S8" s="945" t="s">
        <v>1233</v>
      </c>
      <c r="T8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2241125.0699999998</v>
      </c>
      <c r="U8" s="931"/>
    </row>
    <row r="9" spans="1:21" s="929" customFormat="1" outlineLevel="1">
      <c r="A9" s="62">
        <v>12</v>
      </c>
      <c r="B9" s="75">
        <v>402</v>
      </c>
      <c r="C9" s="75">
        <v>25562</v>
      </c>
      <c r="D9" s="62" t="s">
        <v>1233</v>
      </c>
      <c r="E9" s="62">
        <v>39.74</v>
      </c>
      <c r="F9" s="62" t="s">
        <v>15</v>
      </c>
      <c r="G9" s="62" t="s">
        <v>7</v>
      </c>
      <c r="H9" s="62" t="s">
        <v>16</v>
      </c>
      <c r="I9" s="95">
        <v>3625262.82</v>
      </c>
      <c r="J9" s="62">
        <v>1</v>
      </c>
      <c r="K9" s="62" t="s">
        <v>583</v>
      </c>
      <c r="L9" s="62" t="s">
        <v>12</v>
      </c>
      <c r="M9" s="92">
        <v>45127</v>
      </c>
      <c r="N9" s="62" t="s">
        <v>17</v>
      </c>
      <c r="O9" s="62" t="s">
        <v>1549</v>
      </c>
      <c r="P9" s="76" t="s">
        <v>67</v>
      </c>
      <c r="Q9" s="76" t="s">
        <v>67</v>
      </c>
      <c r="R9" s="945" t="s">
        <v>1233</v>
      </c>
      <c r="S9" s="945" t="s">
        <v>1233</v>
      </c>
      <c r="T9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3466302.82</v>
      </c>
      <c r="U9" s="931"/>
    </row>
    <row r="10" spans="1:21" s="929" customFormat="1" ht="12.75" customHeight="1" outlineLevel="1">
      <c r="A10" s="62">
        <v>13</v>
      </c>
      <c r="B10" s="75">
        <v>278</v>
      </c>
      <c r="C10" s="75">
        <v>24898</v>
      </c>
      <c r="D10" s="117"/>
      <c r="E10" s="62">
        <v>36.450000000000003</v>
      </c>
      <c r="F10" s="62" t="s">
        <v>15</v>
      </c>
      <c r="G10" s="62" t="s">
        <v>7</v>
      </c>
      <c r="H10" s="62" t="s">
        <v>10</v>
      </c>
      <c r="I10" s="95">
        <v>3465383.15</v>
      </c>
      <c r="J10" s="62">
        <v>0</v>
      </c>
      <c r="K10" s="62" t="s">
        <v>286</v>
      </c>
      <c r="L10" s="62" t="s">
        <v>12</v>
      </c>
      <c r="M10" s="92"/>
      <c r="N10" s="62" t="s">
        <v>17</v>
      </c>
      <c r="O10" s="62" t="s">
        <v>1550</v>
      </c>
      <c r="P10" s="76" t="s">
        <v>67</v>
      </c>
      <c r="Q10" s="76" t="s">
        <v>67</v>
      </c>
      <c r="R10" s="945" t="s">
        <v>77</v>
      </c>
      <c r="S10" s="945" t="s">
        <v>77</v>
      </c>
      <c r="T10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3319583.15</v>
      </c>
    </row>
    <row r="11" spans="1:21" s="929" customFormat="1" ht="12.75" customHeight="1" outlineLevel="1">
      <c r="A11" s="62">
        <v>14</v>
      </c>
      <c r="B11" s="75">
        <v>17</v>
      </c>
      <c r="C11" s="74">
        <v>25363</v>
      </c>
      <c r="D11" s="117" t="s">
        <v>8</v>
      </c>
      <c r="E11" s="62">
        <v>101.7</v>
      </c>
      <c r="F11" s="62" t="s">
        <v>9</v>
      </c>
      <c r="G11" s="62" t="s">
        <v>27</v>
      </c>
      <c r="H11" s="62" t="s">
        <v>10</v>
      </c>
      <c r="I11" s="95">
        <v>12712500</v>
      </c>
      <c r="J11" s="62" t="s">
        <v>1337</v>
      </c>
      <c r="K11" s="62" t="s">
        <v>85</v>
      </c>
      <c r="L11" s="62" t="s">
        <v>18</v>
      </c>
      <c r="M11" s="92"/>
      <c r="N11" s="117" t="s">
        <v>17</v>
      </c>
      <c r="O11" s="62" t="s">
        <v>1551</v>
      </c>
      <c r="P11" s="76" t="s">
        <v>67</v>
      </c>
      <c r="Q11" s="76" t="s">
        <v>67</v>
      </c>
      <c r="R11" s="945" t="s">
        <v>8</v>
      </c>
      <c r="S11" s="945" t="s">
        <v>8</v>
      </c>
      <c r="T11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12712500</v>
      </c>
      <c r="U11" s="931"/>
    </row>
    <row r="12" spans="1:21" ht="12.75" customHeight="1" outlineLevel="1">
      <c r="A12" s="62">
        <v>15</v>
      </c>
      <c r="B12" s="75">
        <v>500</v>
      </c>
      <c r="C12" s="75">
        <v>25489</v>
      </c>
      <c r="D12" s="117" t="s">
        <v>1233</v>
      </c>
      <c r="E12" s="62">
        <v>44.37</v>
      </c>
      <c r="F12" s="62" t="s">
        <v>15</v>
      </c>
      <c r="G12" s="62" t="s">
        <v>7</v>
      </c>
      <c r="H12" s="62" t="s">
        <v>16</v>
      </c>
      <c r="I12" s="95">
        <v>4225112.4000000004</v>
      </c>
      <c r="J12" s="62">
        <v>1</v>
      </c>
      <c r="K12" s="62" t="s">
        <v>65</v>
      </c>
      <c r="L12" s="62" t="s">
        <v>18</v>
      </c>
      <c r="M12" s="92">
        <v>45113</v>
      </c>
      <c r="N12" s="117" t="s">
        <v>17</v>
      </c>
      <c r="O12" s="941" t="s">
        <v>1552</v>
      </c>
      <c r="P12" s="76" t="s">
        <v>67</v>
      </c>
      <c r="Q12" s="76" t="s">
        <v>67</v>
      </c>
      <c r="R12" s="945" t="s">
        <v>1233</v>
      </c>
      <c r="S12" s="945" t="s">
        <v>8</v>
      </c>
      <c r="T12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4047632.4000000004</v>
      </c>
    </row>
    <row r="13" spans="1:21" ht="12.75" customHeight="1" outlineLevel="1">
      <c r="A13" s="62">
        <v>16</v>
      </c>
      <c r="B13" s="62">
        <v>384</v>
      </c>
      <c r="C13" s="75">
        <v>24541</v>
      </c>
      <c r="D13" s="117" t="s">
        <v>77</v>
      </c>
      <c r="E13" s="62">
        <v>58.55</v>
      </c>
      <c r="F13" s="62" t="s">
        <v>15</v>
      </c>
      <c r="G13" s="62" t="s">
        <v>7</v>
      </c>
      <c r="H13" s="62" t="s">
        <v>22</v>
      </c>
      <c r="I13" s="91">
        <v>5402834.7400000002</v>
      </c>
      <c r="J13" s="62">
        <v>2</v>
      </c>
      <c r="K13" s="62" t="s">
        <v>65</v>
      </c>
      <c r="L13" s="62" t="s">
        <v>18</v>
      </c>
      <c r="M13" s="537">
        <v>45114</v>
      </c>
      <c r="N13" s="117" t="s">
        <v>17</v>
      </c>
      <c r="O13" s="62" t="s">
        <v>1553</v>
      </c>
      <c r="P13" s="76" t="s">
        <v>67</v>
      </c>
      <c r="Q13" s="76" t="s">
        <v>67</v>
      </c>
      <c r="R13" s="945" t="s">
        <v>77</v>
      </c>
      <c r="S13" s="945" t="s">
        <v>77</v>
      </c>
      <c r="T13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5168634.74</v>
      </c>
    </row>
    <row r="14" spans="1:21" s="66" customFormat="1" ht="16.5" customHeight="1" outlineLevel="1">
      <c r="A14" s="62">
        <v>17</v>
      </c>
      <c r="B14" s="75">
        <v>525</v>
      </c>
      <c r="C14" s="75">
        <v>25500</v>
      </c>
      <c r="D14" s="62" t="s">
        <v>77</v>
      </c>
      <c r="E14" s="62">
        <v>67.489999999999995</v>
      </c>
      <c r="F14" s="62" t="s">
        <v>9</v>
      </c>
      <c r="G14" s="62" t="s">
        <v>7</v>
      </c>
      <c r="H14" s="62" t="s">
        <v>16</v>
      </c>
      <c r="I14" s="95">
        <v>6027513</v>
      </c>
      <c r="J14" s="62">
        <v>2</v>
      </c>
      <c r="K14" s="62" t="s">
        <v>65</v>
      </c>
      <c r="L14" s="62" t="s">
        <v>18</v>
      </c>
      <c r="M14" s="92">
        <v>45119</v>
      </c>
      <c r="N14" s="117" t="s">
        <v>17</v>
      </c>
      <c r="O14" s="62" t="s">
        <v>1554</v>
      </c>
      <c r="P14" s="76" t="s">
        <v>67</v>
      </c>
      <c r="Q14" s="76" t="s">
        <v>67</v>
      </c>
      <c r="R14" s="117" t="s">
        <v>77</v>
      </c>
      <c r="S14" s="117" t="s">
        <v>8</v>
      </c>
      <c r="T14" s="114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6027513</v>
      </c>
    </row>
    <row r="15" spans="1:21" s="929" customFormat="1" outlineLevel="1">
      <c r="A15" s="62">
        <v>18</v>
      </c>
      <c r="B15" s="75">
        <v>192</v>
      </c>
      <c r="C15" s="75">
        <v>25594</v>
      </c>
      <c r="D15" s="117" t="s">
        <v>1233</v>
      </c>
      <c r="E15" s="62">
        <v>33.79</v>
      </c>
      <c r="F15" s="117" t="s">
        <v>15</v>
      </c>
      <c r="G15" s="62" t="s">
        <v>7</v>
      </c>
      <c r="H15" s="62" t="s">
        <v>22</v>
      </c>
      <c r="I15" s="95">
        <v>3469481.17</v>
      </c>
      <c r="J15" s="62">
        <v>1</v>
      </c>
      <c r="K15" s="62" t="s">
        <v>65</v>
      </c>
      <c r="L15" s="62" t="s">
        <v>18</v>
      </c>
      <c r="M15" s="92">
        <v>45113</v>
      </c>
      <c r="N15" s="117" t="s">
        <v>17</v>
      </c>
      <c r="O15" s="62" t="s">
        <v>1555</v>
      </c>
      <c r="P15" s="76" t="s">
        <v>67</v>
      </c>
      <c r="Q15" s="76" t="s">
        <v>67</v>
      </c>
      <c r="R15" s="945" t="s">
        <v>1233</v>
      </c>
      <c r="S15" s="945" t="s">
        <v>1233</v>
      </c>
      <c r="T15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3334321.17</v>
      </c>
      <c r="U15" s="931"/>
    </row>
    <row r="16" spans="1:21" s="929" customFormat="1" ht="13.5" customHeight="1" outlineLevel="1">
      <c r="A16" s="62">
        <v>19</v>
      </c>
      <c r="B16" s="62">
        <v>352</v>
      </c>
      <c r="C16" s="75">
        <v>25559</v>
      </c>
      <c r="D16" s="117" t="s">
        <v>77</v>
      </c>
      <c r="E16" s="62">
        <v>33.840000000000003</v>
      </c>
      <c r="F16" s="117" t="s">
        <v>15</v>
      </c>
      <c r="G16" s="62" t="s">
        <v>7</v>
      </c>
      <c r="H16" s="62" t="s">
        <v>22</v>
      </c>
      <c r="I16" s="91">
        <v>3377355.18</v>
      </c>
      <c r="J16" s="62">
        <v>1</v>
      </c>
      <c r="K16" s="62" t="s">
        <v>65</v>
      </c>
      <c r="L16" s="62" t="s">
        <v>18</v>
      </c>
      <c r="M16" s="537">
        <v>45119</v>
      </c>
      <c r="N16" s="117" t="s">
        <v>17</v>
      </c>
      <c r="O16" s="62" t="s">
        <v>1556</v>
      </c>
      <c r="P16" s="76" t="s">
        <v>67</v>
      </c>
      <c r="Q16" s="76" t="s">
        <v>67</v>
      </c>
      <c r="R16" s="945" t="s">
        <v>77</v>
      </c>
      <c r="S16" s="945" t="s">
        <v>77</v>
      </c>
      <c r="T16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3241995.18</v>
      </c>
    </row>
    <row r="17" spans="1:20" s="929" customFormat="1" ht="12.75" customHeight="1" outlineLevel="1">
      <c r="A17" s="62">
        <v>20</v>
      </c>
      <c r="B17" s="75">
        <v>170</v>
      </c>
      <c r="C17" s="75">
        <v>25579</v>
      </c>
      <c r="D17" s="117" t="s">
        <v>8</v>
      </c>
      <c r="E17" s="62">
        <v>68.75</v>
      </c>
      <c r="F17" s="117" t="s">
        <v>9</v>
      </c>
      <c r="G17" s="62" t="s">
        <v>7</v>
      </c>
      <c r="H17" s="62" t="s">
        <v>16</v>
      </c>
      <c r="I17" s="95">
        <v>5850357.5599999996</v>
      </c>
      <c r="J17" s="62">
        <v>2</v>
      </c>
      <c r="K17" s="62" t="s">
        <v>65</v>
      </c>
      <c r="L17" s="62" t="s">
        <v>18</v>
      </c>
      <c r="M17" s="92">
        <v>45128</v>
      </c>
      <c r="N17" s="117" t="s">
        <v>17</v>
      </c>
      <c r="O17" s="62" t="s">
        <v>1557</v>
      </c>
      <c r="P17" s="76" t="s">
        <v>67</v>
      </c>
      <c r="Q17" s="76" t="s">
        <v>67</v>
      </c>
      <c r="R17" s="945" t="s">
        <v>8</v>
      </c>
      <c r="S17" s="945" t="s">
        <v>8</v>
      </c>
      <c r="T17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5850357.5599999996</v>
      </c>
    </row>
    <row r="18" spans="1:20" ht="12.75" customHeight="1" outlineLevel="1">
      <c r="A18" s="62">
        <v>27</v>
      </c>
      <c r="B18" s="75">
        <v>381</v>
      </c>
      <c r="C18" s="75">
        <v>25632</v>
      </c>
      <c r="D18" s="117" t="s">
        <v>8</v>
      </c>
      <c r="E18" s="62">
        <v>29.35</v>
      </c>
      <c r="F18" s="62" t="s">
        <v>25</v>
      </c>
      <c r="G18" s="62" t="s">
        <v>7</v>
      </c>
      <c r="H18" s="62" t="s">
        <v>16</v>
      </c>
      <c r="I18" s="95">
        <v>3438740.51</v>
      </c>
      <c r="J18" s="62">
        <v>0</v>
      </c>
      <c r="K18" s="62" t="s">
        <v>583</v>
      </c>
      <c r="L18" s="62" t="s">
        <v>18</v>
      </c>
      <c r="M18" s="92">
        <v>45120</v>
      </c>
      <c r="N18" s="117" t="s">
        <v>17</v>
      </c>
      <c r="O18" s="76" t="s">
        <v>1558</v>
      </c>
      <c r="P18" s="76" t="s">
        <v>67</v>
      </c>
      <c r="Q18" s="76" t="s">
        <v>67</v>
      </c>
      <c r="R18" s="117" t="s">
        <v>8</v>
      </c>
      <c r="S18" s="117" t="s">
        <v>8</v>
      </c>
      <c r="T18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2998490.51</v>
      </c>
    </row>
    <row r="19" spans="1:20" ht="12.75" customHeight="1" outlineLevel="1">
      <c r="A19" s="62">
        <v>28</v>
      </c>
      <c r="B19" s="75">
        <v>257</v>
      </c>
      <c r="C19" s="75">
        <v>25769</v>
      </c>
      <c r="D19" s="117" t="s">
        <v>1233</v>
      </c>
      <c r="E19" s="62">
        <v>36.450000000000003</v>
      </c>
      <c r="F19" s="62" t="s">
        <v>9</v>
      </c>
      <c r="G19" s="62" t="s">
        <v>7</v>
      </c>
      <c r="H19" s="62" t="s">
        <v>16</v>
      </c>
      <c r="I19" s="95">
        <v>3419170.74</v>
      </c>
      <c r="J19" s="62">
        <v>0</v>
      </c>
      <c r="K19" s="62" t="s">
        <v>583</v>
      </c>
      <c r="L19" s="62" t="s">
        <v>18</v>
      </c>
      <c r="M19" s="537">
        <v>45132</v>
      </c>
      <c r="N19" s="117" t="s">
        <v>17</v>
      </c>
      <c r="O19" s="76" t="s">
        <v>1559</v>
      </c>
      <c r="P19" s="76" t="s">
        <v>67</v>
      </c>
      <c r="Q19" s="76" t="s">
        <v>67</v>
      </c>
      <c r="R19" s="945" t="s">
        <v>1233</v>
      </c>
      <c r="S19" s="945" t="s">
        <v>1233</v>
      </c>
      <c r="T19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3419170.74</v>
      </c>
    </row>
    <row r="20" spans="1:20" s="929" customFormat="1" ht="15" customHeight="1" outlineLevel="1">
      <c r="A20" s="62">
        <v>30</v>
      </c>
      <c r="B20" s="75">
        <v>456</v>
      </c>
      <c r="C20" s="75">
        <v>25652</v>
      </c>
      <c r="D20" s="62" t="s">
        <v>77</v>
      </c>
      <c r="E20" s="62">
        <v>39.74</v>
      </c>
      <c r="F20" s="62" t="s">
        <v>25</v>
      </c>
      <c r="G20" s="62" t="s">
        <v>7</v>
      </c>
      <c r="H20" s="62" t="s">
        <v>22</v>
      </c>
      <c r="I20" s="95">
        <v>4330120.87</v>
      </c>
      <c r="J20" s="62">
        <v>1</v>
      </c>
      <c r="K20" s="62" t="s">
        <v>583</v>
      </c>
      <c r="L20" s="62" t="s">
        <v>18</v>
      </c>
      <c r="M20" s="92">
        <v>45138</v>
      </c>
      <c r="N20" s="117" t="s">
        <v>17</v>
      </c>
      <c r="O20" s="941" t="s">
        <v>1560</v>
      </c>
      <c r="P20" s="76" t="s">
        <v>67</v>
      </c>
      <c r="Q20" s="76" t="s">
        <v>67</v>
      </c>
      <c r="R20" s="941" t="s">
        <v>77</v>
      </c>
      <c r="S20" s="941" t="s">
        <v>8</v>
      </c>
      <c r="T20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3734020.87</v>
      </c>
    </row>
    <row r="21" spans="1:20" s="929" customFormat="1" ht="12.75" customHeight="1" outlineLevel="1">
      <c r="A21" s="62">
        <v>31</v>
      </c>
      <c r="B21" s="62">
        <v>21</v>
      </c>
      <c r="C21" s="75">
        <v>25548</v>
      </c>
      <c r="D21" s="62" t="s">
        <v>77</v>
      </c>
      <c r="E21" s="62">
        <v>96.4</v>
      </c>
      <c r="F21" s="62" t="s">
        <v>9</v>
      </c>
      <c r="G21" s="62" t="s">
        <v>27</v>
      </c>
      <c r="H21" s="62" t="s">
        <v>10</v>
      </c>
      <c r="I21" s="95">
        <v>11568000</v>
      </c>
      <c r="J21" s="62" t="s">
        <v>1337</v>
      </c>
      <c r="K21" s="62" t="s">
        <v>85</v>
      </c>
      <c r="L21" s="62" t="s">
        <v>18</v>
      </c>
      <c r="M21" s="942">
        <v>45125</v>
      </c>
      <c r="N21" s="117" t="s">
        <v>17</v>
      </c>
      <c r="O21" s="941" t="s">
        <v>1561</v>
      </c>
      <c r="P21" s="76" t="s">
        <v>67</v>
      </c>
      <c r="Q21" s="76" t="s">
        <v>67</v>
      </c>
      <c r="R21" s="941" t="s">
        <v>77</v>
      </c>
      <c r="S21" s="941" t="s">
        <v>77</v>
      </c>
      <c r="T21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11568000</v>
      </c>
    </row>
    <row r="22" spans="1:20" s="929" customFormat="1" ht="12.75" customHeight="1" outlineLevel="1">
      <c r="A22" s="62">
        <v>32</v>
      </c>
      <c r="B22" s="75">
        <v>508</v>
      </c>
      <c r="C22" s="75">
        <v>25707</v>
      </c>
      <c r="D22" s="62" t="s">
        <v>77</v>
      </c>
      <c r="E22" s="62">
        <v>63.74</v>
      </c>
      <c r="F22" s="76" t="s">
        <v>15</v>
      </c>
      <c r="G22" s="62" t="s">
        <v>7</v>
      </c>
      <c r="H22" s="62" t="s">
        <v>16</v>
      </c>
      <c r="I22" s="91">
        <v>5271950.7</v>
      </c>
      <c r="J22" s="62">
        <v>2</v>
      </c>
      <c r="K22" s="62" t="s">
        <v>583</v>
      </c>
      <c r="L22" s="62" t="s">
        <v>18</v>
      </c>
      <c r="M22" s="537">
        <v>45134</v>
      </c>
      <c r="N22" s="117" t="s">
        <v>17</v>
      </c>
      <c r="O22" s="76" t="s">
        <v>1562</v>
      </c>
      <c r="P22" s="76" t="s">
        <v>67</v>
      </c>
      <c r="Q22" s="76" t="s">
        <v>67</v>
      </c>
      <c r="R22" s="941" t="s">
        <v>77</v>
      </c>
      <c r="S22" s="941" t="s">
        <v>77</v>
      </c>
      <c r="T22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5016990.7</v>
      </c>
    </row>
    <row r="23" spans="1:20" s="929" customFormat="1" ht="12.75" customHeight="1" outlineLevel="1">
      <c r="A23" s="62">
        <v>33</v>
      </c>
      <c r="B23" s="75">
        <v>312</v>
      </c>
      <c r="C23" s="75">
        <v>25698</v>
      </c>
      <c r="D23" s="62" t="s">
        <v>77</v>
      </c>
      <c r="E23" s="62">
        <v>67.95</v>
      </c>
      <c r="F23" s="62" t="s">
        <v>15</v>
      </c>
      <c r="G23" s="62" t="s">
        <v>7</v>
      </c>
      <c r="H23" s="62" t="s">
        <v>16</v>
      </c>
      <c r="I23" s="91">
        <v>6054080.6699999999</v>
      </c>
      <c r="J23" s="62">
        <v>2</v>
      </c>
      <c r="K23" s="62" t="s">
        <v>583</v>
      </c>
      <c r="L23" s="62" t="s">
        <v>18</v>
      </c>
      <c r="M23" s="537">
        <v>45128</v>
      </c>
      <c r="N23" s="117" t="s">
        <v>17</v>
      </c>
      <c r="O23" s="76" t="s">
        <v>1563</v>
      </c>
      <c r="P23" s="76" t="s">
        <v>67</v>
      </c>
      <c r="Q23" s="76" t="s">
        <v>67</v>
      </c>
      <c r="R23" s="941" t="s">
        <v>77</v>
      </c>
      <c r="S23" s="941" t="s">
        <v>77</v>
      </c>
      <c r="T23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5782280.6699999999</v>
      </c>
    </row>
    <row r="24" spans="1:20" ht="12.75" customHeight="1" outlineLevel="1">
      <c r="A24" s="62">
        <v>34</v>
      </c>
      <c r="B24" s="75">
        <v>173</v>
      </c>
      <c r="C24" s="75">
        <v>25795</v>
      </c>
      <c r="D24" s="62" t="s">
        <v>77</v>
      </c>
      <c r="E24" s="62">
        <v>36.700000000000003</v>
      </c>
      <c r="F24" s="76" t="s">
        <v>9</v>
      </c>
      <c r="G24" s="62" t="s">
        <v>7</v>
      </c>
      <c r="H24" s="62" t="s">
        <v>16</v>
      </c>
      <c r="I24" s="91">
        <v>3551829.67</v>
      </c>
      <c r="J24" s="62">
        <v>1</v>
      </c>
      <c r="K24" s="62" t="s">
        <v>583</v>
      </c>
      <c r="L24" s="62" t="s">
        <v>18</v>
      </c>
      <c r="M24" s="537">
        <v>45132</v>
      </c>
      <c r="N24" s="117" t="s">
        <v>17</v>
      </c>
      <c r="O24" s="76" t="s">
        <v>1564</v>
      </c>
      <c r="P24" s="76" t="s">
        <v>67</v>
      </c>
      <c r="Q24" s="76" t="s">
        <v>67</v>
      </c>
      <c r="R24" s="941" t="s">
        <v>77</v>
      </c>
      <c r="S24" s="941" t="s">
        <v>77</v>
      </c>
      <c r="T24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3551829.67</v>
      </c>
    </row>
    <row r="25" spans="1:20" s="929" customFormat="1" ht="12.75" customHeight="1" outlineLevel="1">
      <c r="A25" s="62">
        <v>36</v>
      </c>
      <c r="B25" s="62">
        <v>65</v>
      </c>
      <c r="C25" s="62">
        <v>25772</v>
      </c>
      <c r="D25" s="117" t="s">
        <v>8</v>
      </c>
      <c r="E25" s="933">
        <v>33.53</v>
      </c>
      <c r="F25" s="62" t="s">
        <v>15</v>
      </c>
      <c r="G25" s="62" t="s">
        <v>7</v>
      </c>
      <c r="H25" s="62" t="s">
        <v>10</v>
      </c>
      <c r="I25" s="95">
        <v>3442784.96</v>
      </c>
      <c r="J25" s="62">
        <v>1</v>
      </c>
      <c r="K25" s="62" t="s">
        <v>286</v>
      </c>
      <c r="L25" s="62" t="s">
        <v>18</v>
      </c>
      <c r="M25" s="92">
        <v>45127</v>
      </c>
      <c r="N25" s="117" t="s">
        <v>17</v>
      </c>
      <c r="O25" s="62" t="s">
        <v>1565</v>
      </c>
      <c r="P25" s="76" t="s">
        <v>67</v>
      </c>
      <c r="Q25" s="76" t="s">
        <v>67</v>
      </c>
      <c r="R25" s="945" t="s">
        <v>8</v>
      </c>
      <c r="S25" s="945" t="s">
        <v>8</v>
      </c>
      <c r="T25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3308664.96</v>
      </c>
    </row>
    <row r="26" spans="1:20" s="929" customFormat="1" outlineLevel="1">
      <c r="A26" s="62">
        <v>37</v>
      </c>
      <c r="B26" s="75">
        <v>480</v>
      </c>
      <c r="C26" s="75">
        <v>24234</v>
      </c>
      <c r="D26" s="117" t="s">
        <v>77</v>
      </c>
      <c r="E26" s="62">
        <v>67.489999999999995</v>
      </c>
      <c r="F26" s="62" t="s">
        <v>15</v>
      </c>
      <c r="G26" s="62" t="s">
        <v>7</v>
      </c>
      <c r="H26" s="62" t="s">
        <v>22</v>
      </c>
      <c r="I26" s="95">
        <v>6027513</v>
      </c>
      <c r="J26" s="62">
        <v>2</v>
      </c>
      <c r="K26" s="62" t="s">
        <v>583</v>
      </c>
      <c r="L26" s="62" t="s">
        <v>18</v>
      </c>
      <c r="M26" s="92">
        <v>45138</v>
      </c>
      <c r="N26" s="117" t="s">
        <v>17</v>
      </c>
      <c r="O26" s="62" t="s">
        <v>1566</v>
      </c>
      <c r="P26" s="76" t="s">
        <v>67</v>
      </c>
      <c r="Q26" s="76" t="s">
        <v>67</v>
      </c>
      <c r="R26" s="941" t="s">
        <v>77</v>
      </c>
      <c r="S26" s="941" t="s">
        <v>77</v>
      </c>
      <c r="T26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5757553</v>
      </c>
    </row>
    <row r="27" spans="1:20" s="929" customFormat="1" outlineLevel="1">
      <c r="A27" s="62">
        <v>38</v>
      </c>
      <c r="B27" s="75">
        <v>99</v>
      </c>
      <c r="C27" s="75">
        <v>25755</v>
      </c>
      <c r="D27" s="117" t="s">
        <v>77</v>
      </c>
      <c r="E27" s="62">
        <v>35.54</v>
      </c>
      <c r="F27" s="62" t="s">
        <v>15</v>
      </c>
      <c r="G27" s="62" t="s">
        <v>7</v>
      </c>
      <c r="H27" s="62" t="s">
        <v>22</v>
      </c>
      <c r="I27" s="95">
        <v>3566101.01</v>
      </c>
      <c r="J27" s="62">
        <v>1</v>
      </c>
      <c r="K27" s="62" t="s">
        <v>583</v>
      </c>
      <c r="L27" s="62" t="s">
        <v>18</v>
      </c>
      <c r="M27" s="92">
        <v>45134</v>
      </c>
      <c r="N27" s="117" t="s">
        <v>17</v>
      </c>
      <c r="O27" s="62" t="s">
        <v>1567</v>
      </c>
      <c r="P27" s="76" t="s">
        <v>67</v>
      </c>
      <c r="Q27" s="76" t="s">
        <v>67</v>
      </c>
      <c r="R27" s="941" t="s">
        <v>77</v>
      </c>
      <c r="S27" s="941" t="s">
        <v>8</v>
      </c>
      <c r="T27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3423941.01</v>
      </c>
    </row>
    <row r="28" spans="1:20" s="929" customFormat="1" ht="12.75" customHeight="1" outlineLevel="1">
      <c r="A28" s="62">
        <v>39</v>
      </c>
      <c r="B28" s="75">
        <v>386</v>
      </c>
      <c r="C28" s="75">
        <v>25768</v>
      </c>
      <c r="D28" s="117" t="s">
        <v>8</v>
      </c>
      <c r="E28" s="62">
        <v>72.510000000000005</v>
      </c>
      <c r="F28" s="62" t="s">
        <v>25</v>
      </c>
      <c r="G28" s="62" t="s">
        <v>7</v>
      </c>
      <c r="H28" s="62" t="s">
        <v>16</v>
      </c>
      <c r="I28" s="95">
        <v>7467886.1100000003</v>
      </c>
      <c r="J28" s="62">
        <v>3</v>
      </c>
      <c r="K28" s="62" t="s">
        <v>583</v>
      </c>
      <c r="L28" s="62" t="s">
        <v>18</v>
      </c>
      <c r="M28" s="92">
        <v>45138</v>
      </c>
      <c r="N28" s="117" t="s">
        <v>17</v>
      </c>
      <c r="O28" s="62" t="s">
        <v>1568</v>
      </c>
      <c r="P28" s="76" t="s">
        <v>67</v>
      </c>
      <c r="Q28" s="76" t="s">
        <v>67</v>
      </c>
      <c r="R28" s="945" t="s">
        <v>8</v>
      </c>
      <c r="S28" s="945" t="s">
        <v>8</v>
      </c>
      <c r="T28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6380236.1100000003</v>
      </c>
    </row>
    <row r="29" spans="1:20" s="929" customFormat="1" ht="12.75" customHeight="1" outlineLevel="1">
      <c r="A29" s="62">
        <v>41</v>
      </c>
      <c r="B29" s="75">
        <v>157</v>
      </c>
      <c r="C29" s="74">
        <v>25844</v>
      </c>
      <c r="D29" s="62" t="s">
        <v>1233</v>
      </c>
      <c r="E29" s="62">
        <v>36.700000000000003</v>
      </c>
      <c r="F29" s="62" t="s">
        <v>15</v>
      </c>
      <c r="G29" s="62" t="s">
        <v>7</v>
      </c>
      <c r="H29" s="62" t="s">
        <v>16</v>
      </c>
      <c r="I29" s="95">
        <v>3751463.72</v>
      </c>
      <c r="J29" s="62">
        <v>1</v>
      </c>
      <c r="K29" s="62"/>
      <c r="L29" s="62" t="s">
        <v>18</v>
      </c>
      <c r="M29" s="92">
        <v>45138</v>
      </c>
      <c r="N29" s="117" t="s">
        <v>17</v>
      </c>
      <c r="O29" s="62" t="s">
        <v>1569</v>
      </c>
      <c r="P29" s="76" t="s">
        <v>67</v>
      </c>
      <c r="Q29" s="76" t="s">
        <v>67</v>
      </c>
      <c r="R29" s="941" t="s">
        <v>1233</v>
      </c>
      <c r="S29" s="941" t="s">
        <v>20</v>
      </c>
      <c r="T29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3604663.72</v>
      </c>
    </row>
    <row r="30" spans="1:20" s="929" customFormat="1" outlineLevel="1">
      <c r="A30" s="62">
        <v>42</v>
      </c>
      <c r="B30" s="75">
        <v>358</v>
      </c>
      <c r="C30" s="74">
        <v>25837</v>
      </c>
      <c r="D30" s="62" t="s">
        <v>8</v>
      </c>
      <c r="E30" s="62">
        <v>72.510000000000005</v>
      </c>
      <c r="F30" s="62" t="s">
        <v>9</v>
      </c>
      <c r="G30" s="62" t="s">
        <v>7</v>
      </c>
      <c r="H30" s="62" t="s">
        <v>22</v>
      </c>
      <c r="I30" s="95">
        <v>5741631.8399999999</v>
      </c>
      <c r="J30" s="62">
        <v>3</v>
      </c>
      <c r="K30" s="62" t="s">
        <v>583</v>
      </c>
      <c r="L30" s="62" t="s">
        <v>18</v>
      </c>
      <c r="M30" s="92">
        <v>45138</v>
      </c>
      <c r="N30" s="117" t="s">
        <v>17</v>
      </c>
      <c r="O30" s="62" t="s">
        <v>1570</v>
      </c>
      <c r="P30" s="76" t="s">
        <v>67</v>
      </c>
      <c r="Q30" s="76" t="s">
        <v>67</v>
      </c>
      <c r="R30" s="941" t="s">
        <v>8</v>
      </c>
      <c r="S30" s="941" t="s">
        <v>8</v>
      </c>
      <c r="T30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5741631.8399999999</v>
      </c>
    </row>
    <row r="31" spans="1:20" s="929" customFormat="1" outlineLevel="1">
      <c r="A31" s="62">
        <v>43</v>
      </c>
      <c r="B31" s="75">
        <v>429</v>
      </c>
      <c r="C31" s="75">
        <v>25874</v>
      </c>
      <c r="D31" s="117" t="s">
        <v>77</v>
      </c>
      <c r="E31" s="62">
        <v>39.74</v>
      </c>
      <c r="F31" s="62" t="s">
        <v>15</v>
      </c>
      <c r="G31" s="62" t="s">
        <v>7</v>
      </c>
      <c r="H31" s="62" t="s">
        <v>10</v>
      </c>
      <c r="I31" s="95">
        <v>3808701.07</v>
      </c>
      <c r="J31" s="62">
        <v>1</v>
      </c>
      <c r="K31" s="62" t="s">
        <v>286</v>
      </c>
      <c r="L31" s="431" t="s">
        <v>18</v>
      </c>
      <c r="M31" s="92">
        <v>45135</v>
      </c>
      <c r="N31" s="117" t="s">
        <v>17</v>
      </c>
      <c r="O31" s="62" t="s">
        <v>1571</v>
      </c>
      <c r="P31" s="76" t="s">
        <v>67</v>
      </c>
      <c r="Q31" s="76" t="s">
        <v>67</v>
      </c>
      <c r="R31" s="945" t="s">
        <v>77</v>
      </c>
      <c r="S31" s="945" t="s">
        <v>77</v>
      </c>
      <c r="T31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3649741.07</v>
      </c>
    </row>
    <row r="32" spans="1:20" s="929" customFormat="1" outlineLevel="1">
      <c r="A32" s="62">
        <v>44</v>
      </c>
      <c r="B32" s="75">
        <v>49</v>
      </c>
      <c r="C32" s="75">
        <v>25762</v>
      </c>
      <c r="D32" s="117" t="s">
        <v>77</v>
      </c>
      <c r="E32" s="62">
        <v>33.53</v>
      </c>
      <c r="F32" s="62" t="s">
        <v>15</v>
      </c>
      <c r="G32" s="62" t="s">
        <v>7</v>
      </c>
      <c r="H32" s="62" t="s">
        <v>16</v>
      </c>
      <c r="I32" s="95">
        <v>3459549.96</v>
      </c>
      <c r="J32" s="62">
        <v>1</v>
      </c>
      <c r="K32" s="62" t="s">
        <v>583</v>
      </c>
      <c r="L32" s="62" t="s">
        <v>18</v>
      </c>
      <c r="M32" s="92">
        <v>45138</v>
      </c>
      <c r="N32" s="117" t="s">
        <v>17</v>
      </c>
      <c r="O32" s="62" t="s">
        <v>1572</v>
      </c>
      <c r="P32" s="76" t="s">
        <v>67</v>
      </c>
      <c r="Q32" s="76" t="s">
        <v>67</v>
      </c>
      <c r="R32" s="945" t="s">
        <v>77</v>
      </c>
      <c r="S32" s="945" t="s">
        <v>77</v>
      </c>
      <c r="T32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3325429.96</v>
      </c>
    </row>
    <row r="33" spans="1:20" s="929" customFormat="1" outlineLevel="1">
      <c r="A33" s="62">
        <v>45</v>
      </c>
      <c r="B33" s="75">
        <v>200</v>
      </c>
      <c r="C33" s="75">
        <v>25854</v>
      </c>
      <c r="D33" s="117" t="s">
        <v>1207</v>
      </c>
      <c r="E33" s="62">
        <v>33.79</v>
      </c>
      <c r="F33" s="62" t="s">
        <v>25</v>
      </c>
      <c r="G33" s="62" t="s">
        <v>7</v>
      </c>
      <c r="H33" s="62" t="s">
        <v>10</v>
      </c>
      <c r="I33" s="95">
        <v>3858066.17</v>
      </c>
      <c r="J33" s="62">
        <v>1</v>
      </c>
      <c r="K33" s="62" t="s">
        <v>286</v>
      </c>
      <c r="L33" s="431" t="s">
        <v>18</v>
      </c>
      <c r="M33" s="539">
        <v>45138</v>
      </c>
      <c r="N33" s="117" t="s">
        <v>17</v>
      </c>
      <c r="O33" s="62" t="s">
        <v>1573</v>
      </c>
      <c r="P33" s="76" t="s">
        <v>67</v>
      </c>
      <c r="Q33" s="76" t="s">
        <v>67</v>
      </c>
      <c r="R33" s="945" t="s">
        <v>77</v>
      </c>
      <c r="S33" s="945" t="s">
        <v>77</v>
      </c>
      <c r="T33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3351216.17</v>
      </c>
    </row>
    <row r="34" spans="1:20" s="929" customFormat="1" outlineLevel="1">
      <c r="A34" s="62">
        <v>46</v>
      </c>
      <c r="B34" s="75">
        <v>250</v>
      </c>
      <c r="C34" s="75">
        <v>25909</v>
      </c>
      <c r="D34" s="117" t="s">
        <v>77</v>
      </c>
      <c r="E34" s="62">
        <v>36.450000000000003</v>
      </c>
      <c r="F34" s="102" t="s">
        <v>25</v>
      </c>
      <c r="G34" s="102" t="s">
        <v>7</v>
      </c>
      <c r="H34" s="62" t="s">
        <v>22</v>
      </c>
      <c r="I34" s="95">
        <v>3984145.74</v>
      </c>
      <c r="J34" s="62">
        <v>1</v>
      </c>
      <c r="K34" s="62" t="s">
        <v>583</v>
      </c>
      <c r="L34" s="62" t="s">
        <v>18</v>
      </c>
      <c r="M34" s="539">
        <v>45138</v>
      </c>
      <c r="N34" s="117" t="s">
        <v>17</v>
      </c>
      <c r="O34" s="62" t="s">
        <v>1574</v>
      </c>
      <c r="P34" s="76" t="s">
        <v>1575</v>
      </c>
      <c r="Q34" s="76" t="s">
        <v>1575</v>
      </c>
      <c r="R34" s="945" t="s">
        <v>77</v>
      </c>
      <c r="S34" s="945" t="s">
        <v>77</v>
      </c>
      <c r="T34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3437395.74</v>
      </c>
    </row>
    <row r="35" spans="1:20" s="929" customFormat="1" outlineLevel="1">
      <c r="A35" s="62">
        <v>48</v>
      </c>
      <c r="B35" s="75">
        <v>119</v>
      </c>
      <c r="C35" s="74">
        <v>25889</v>
      </c>
      <c r="D35" s="117" t="s">
        <v>8</v>
      </c>
      <c r="E35" s="62">
        <v>21.75</v>
      </c>
      <c r="F35" s="62" t="s">
        <v>25</v>
      </c>
      <c r="G35" s="62" t="s">
        <v>7</v>
      </c>
      <c r="H35" s="62" t="s">
        <v>16</v>
      </c>
      <c r="I35" s="95">
        <v>2647608.36</v>
      </c>
      <c r="J35" s="62">
        <v>0</v>
      </c>
      <c r="K35" s="62" t="s">
        <v>583</v>
      </c>
      <c r="L35" s="62" t="s">
        <v>18</v>
      </c>
      <c r="M35" s="539">
        <v>45138</v>
      </c>
      <c r="N35" s="62" t="s">
        <v>17</v>
      </c>
      <c r="O35" s="62" t="s">
        <v>1576</v>
      </c>
      <c r="P35" s="76" t="s">
        <v>67</v>
      </c>
      <c r="Q35" s="76" t="s">
        <v>67</v>
      </c>
      <c r="R35" s="945" t="s">
        <v>8</v>
      </c>
      <c r="S35" s="945" t="s">
        <v>8</v>
      </c>
      <c r="T35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2321358.36</v>
      </c>
    </row>
    <row r="36" spans="1:20" s="929" customFormat="1" outlineLevel="1">
      <c r="A36" s="62">
        <v>49</v>
      </c>
      <c r="B36" s="75">
        <v>63</v>
      </c>
      <c r="C36" s="75">
        <v>25918</v>
      </c>
      <c r="D36" s="117" t="s">
        <v>20</v>
      </c>
      <c r="E36" s="62">
        <v>21.75</v>
      </c>
      <c r="F36" s="62" t="s">
        <v>15</v>
      </c>
      <c r="G36" s="62" t="s">
        <v>7</v>
      </c>
      <c r="H36" s="62" t="s">
        <v>10</v>
      </c>
      <c r="I36" s="95">
        <v>2408358.36</v>
      </c>
      <c r="J36" s="62">
        <v>0</v>
      </c>
      <c r="K36" s="62" t="s">
        <v>286</v>
      </c>
      <c r="L36" s="62" t="s">
        <v>18</v>
      </c>
      <c r="M36" s="539">
        <v>45138</v>
      </c>
      <c r="N36" s="62" t="s">
        <v>17</v>
      </c>
      <c r="O36" s="62" t="s">
        <v>1577</v>
      </c>
      <c r="P36" s="76" t="s">
        <v>67</v>
      </c>
      <c r="Q36" s="76" t="s">
        <v>67</v>
      </c>
      <c r="R36" s="945" t="s">
        <v>20</v>
      </c>
      <c r="S36" s="945" t="s">
        <v>20</v>
      </c>
      <c r="T36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2321358.36</v>
      </c>
    </row>
    <row r="37" spans="1:20" s="929" customFormat="1" outlineLevel="1">
      <c r="A37" s="62">
        <v>50</v>
      </c>
      <c r="B37" s="75">
        <v>9</v>
      </c>
      <c r="C37" s="75">
        <v>25778</v>
      </c>
      <c r="D37" s="117" t="s">
        <v>1233</v>
      </c>
      <c r="E37" s="62">
        <v>86.5</v>
      </c>
      <c r="F37" s="62" t="s">
        <v>9</v>
      </c>
      <c r="G37" s="62" t="s">
        <v>7</v>
      </c>
      <c r="H37" s="62" t="s">
        <v>10</v>
      </c>
      <c r="I37" s="95">
        <v>10350291</v>
      </c>
      <c r="J37" s="62" t="s">
        <v>1337</v>
      </c>
      <c r="K37" s="62" t="s">
        <v>286</v>
      </c>
      <c r="L37" s="62" t="s">
        <v>18</v>
      </c>
      <c r="M37" s="539">
        <v>45138</v>
      </c>
      <c r="N37" s="62" t="s">
        <v>17</v>
      </c>
      <c r="O37" s="62" t="s">
        <v>1578</v>
      </c>
      <c r="P37" s="76" t="s">
        <v>67</v>
      </c>
      <c r="Q37" s="76" t="s">
        <v>67</v>
      </c>
      <c r="R37" s="945" t="s">
        <v>1233</v>
      </c>
      <c r="S37" s="945" t="s">
        <v>77</v>
      </c>
      <c r="T37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10350291</v>
      </c>
    </row>
    <row r="38" spans="1:20" s="929" customFormat="1" outlineLevel="1">
      <c r="A38" s="62">
        <v>51</v>
      </c>
      <c r="B38" s="75">
        <v>50</v>
      </c>
      <c r="C38" s="75">
        <v>25946</v>
      </c>
      <c r="D38" s="117" t="s">
        <v>1233</v>
      </c>
      <c r="E38" s="62">
        <v>61.76</v>
      </c>
      <c r="F38" s="62" t="s">
        <v>25</v>
      </c>
      <c r="G38" s="62" t="s">
        <v>7</v>
      </c>
      <c r="H38" s="62" t="s">
        <v>16</v>
      </c>
      <c r="I38" s="95">
        <v>6255500.8600000003</v>
      </c>
      <c r="J38" s="62">
        <v>2</v>
      </c>
      <c r="K38" s="62" t="s">
        <v>583</v>
      </c>
      <c r="L38" s="62" t="s">
        <v>18</v>
      </c>
      <c r="M38" s="539">
        <v>45138</v>
      </c>
      <c r="N38" s="62" t="s">
        <v>17</v>
      </c>
      <c r="O38" s="62" t="s">
        <v>1579</v>
      </c>
      <c r="P38" s="76" t="s">
        <v>67</v>
      </c>
      <c r="Q38" s="76" t="s">
        <v>67</v>
      </c>
      <c r="R38" s="945" t="s">
        <v>1233</v>
      </c>
      <c r="S38" s="945" t="s">
        <v>1233</v>
      </c>
      <c r="T38" s="946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5329100.8600000003</v>
      </c>
    </row>
    <row r="39" spans="1:20" outlineLevel="1">
      <c r="A39" s="65">
        <v>52</v>
      </c>
      <c r="B39" s="79"/>
      <c r="C39" s="79"/>
      <c r="D39" s="80"/>
      <c r="E39" s="65"/>
      <c r="F39" s="72"/>
      <c r="G39" s="65"/>
      <c r="H39" s="65"/>
      <c r="I39" s="105"/>
      <c r="J39" s="65"/>
      <c r="K39" s="65"/>
      <c r="L39" s="65"/>
      <c r="M39" s="110"/>
      <c r="N39" s="65"/>
      <c r="O39" s="72"/>
      <c r="P39" s="86"/>
      <c r="Q39" s="86"/>
      <c r="R39" s="947"/>
      <c r="S39" s="947"/>
      <c r="T39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0" spans="1:20" outlineLevel="1">
      <c r="A40" s="65">
        <v>53</v>
      </c>
      <c r="B40" s="79"/>
      <c r="C40" s="79"/>
      <c r="D40" s="80"/>
      <c r="E40" s="65"/>
      <c r="F40" s="72"/>
      <c r="G40" s="65"/>
      <c r="H40" s="65"/>
      <c r="I40" s="105"/>
      <c r="J40" s="65"/>
      <c r="K40" s="65"/>
      <c r="L40" s="65"/>
      <c r="M40" s="110"/>
      <c r="N40" s="65"/>
      <c r="O40" s="72"/>
      <c r="P40" s="86"/>
      <c r="Q40" s="86"/>
      <c r="R40" s="947"/>
      <c r="S40" s="947"/>
      <c r="T40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1" spans="1:20" outlineLevel="1">
      <c r="A41" s="65">
        <v>54</v>
      </c>
      <c r="B41" s="79"/>
      <c r="C41" s="79"/>
      <c r="D41" s="80"/>
      <c r="E41" s="65"/>
      <c r="F41" s="72"/>
      <c r="G41" s="65"/>
      <c r="H41" s="65"/>
      <c r="I41" s="105"/>
      <c r="J41" s="65"/>
      <c r="K41" s="65"/>
      <c r="L41" s="65"/>
      <c r="M41" s="110"/>
      <c r="N41" s="65"/>
      <c r="O41" s="72"/>
      <c r="P41" s="86"/>
      <c r="Q41" s="86"/>
      <c r="R41" s="947"/>
      <c r="S41" s="947"/>
      <c r="T41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2" spans="1:20" ht="12" customHeight="1" outlineLevel="1">
      <c r="A42" s="65">
        <v>55</v>
      </c>
      <c r="B42" s="79"/>
      <c r="C42" s="79"/>
      <c r="D42" s="80"/>
      <c r="E42" s="65"/>
      <c r="F42" s="72"/>
      <c r="G42" s="65"/>
      <c r="H42" s="65"/>
      <c r="I42" s="105"/>
      <c r="J42" s="65"/>
      <c r="K42" s="65"/>
      <c r="L42" s="65"/>
      <c r="M42" s="110"/>
      <c r="N42" s="65"/>
      <c r="O42" s="72"/>
      <c r="P42" s="86"/>
      <c r="Q42" s="86"/>
      <c r="R42" s="947"/>
      <c r="S42" s="947"/>
      <c r="T42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3" spans="1:20" outlineLevel="1">
      <c r="A43" s="65">
        <v>56</v>
      </c>
      <c r="B43" s="79"/>
      <c r="C43" s="79"/>
      <c r="D43" s="80"/>
      <c r="E43" s="65"/>
      <c r="F43" s="72"/>
      <c r="G43" s="65"/>
      <c r="H43" s="65"/>
      <c r="I43" s="105"/>
      <c r="J43" s="65"/>
      <c r="K43" s="65"/>
      <c r="L43" s="65"/>
      <c r="M43" s="110"/>
      <c r="N43" s="65"/>
      <c r="O43" s="72"/>
      <c r="P43" s="86"/>
      <c r="Q43" s="86"/>
      <c r="R43" s="947"/>
      <c r="S43" s="947"/>
      <c r="T43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4" spans="1:20" outlineLevel="1">
      <c r="A44" s="65">
        <v>57</v>
      </c>
      <c r="B44" s="79"/>
      <c r="C44" s="79"/>
      <c r="D44" s="80"/>
      <c r="E44" s="65"/>
      <c r="F44" s="72"/>
      <c r="G44" s="65"/>
      <c r="H44" s="65"/>
      <c r="I44" s="105"/>
      <c r="J44" s="65"/>
      <c r="K44" s="65"/>
      <c r="L44" s="65"/>
      <c r="M44" s="110"/>
      <c r="N44" s="65"/>
      <c r="O44" s="72"/>
      <c r="P44" s="86"/>
      <c r="Q44" s="86"/>
      <c r="R44" s="947"/>
      <c r="S44" s="947"/>
      <c r="T44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5" spans="1:20" outlineLevel="1">
      <c r="A45" s="65">
        <v>58</v>
      </c>
      <c r="B45" s="79"/>
      <c r="C45" s="79"/>
      <c r="D45" s="80"/>
      <c r="E45" s="65"/>
      <c r="F45" s="72"/>
      <c r="G45" s="65"/>
      <c r="H45" s="65"/>
      <c r="I45" s="105"/>
      <c r="J45" s="65"/>
      <c r="K45" s="65"/>
      <c r="L45" s="65"/>
      <c r="M45" s="110"/>
      <c r="N45" s="65"/>
      <c r="O45" s="72"/>
      <c r="P45" s="86"/>
      <c r="Q45" s="86"/>
      <c r="R45" s="947"/>
      <c r="S45" s="947"/>
      <c r="T45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6" spans="1:20" outlineLevel="1">
      <c r="A46" s="65">
        <v>59</v>
      </c>
      <c r="B46" s="79"/>
      <c r="C46" s="79"/>
      <c r="D46" s="80"/>
      <c r="E46" s="65"/>
      <c r="F46" s="72"/>
      <c r="G46" s="65"/>
      <c r="H46" s="65"/>
      <c r="I46" s="105"/>
      <c r="J46" s="65"/>
      <c r="K46" s="65"/>
      <c r="L46" s="65"/>
      <c r="M46" s="110"/>
      <c r="N46" s="65"/>
      <c r="O46" s="72"/>
      <c r="P46" s="86"/>
      <c r="Q46" s="86"/>
      <c r="R46" s="947"/>
      <c r="S46" s="947"/>
      <c r="T46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7" spans="1:20" outlineLevel="1">
      <c r="A47" s="65">
        <v>60</v>
      </c>
      <c r="B47" s="79"/>
      <c r="C47" s="79"/>
      <c r="D47" s="80"/>
      <c r="E47" s="65"/>
      <c r="F47" s="72"/>
      <c r="G47" s="65"/>
      <c r="H47" s="65"/>
      <c r="I47" s="105"/>
      <c r="J47" s="65"/>
      <c r="K47" s="65"/>
      <c r="L47" s="65"/>
      <c r="M47" s="110"/>
      <c r="N47" s="65"/>
      <c r="O47" s="72"/>
      <c r="P47" s="86"/>
      <c r="Q47" s="86"/>
      <c r="R47" s="947"/>
      <c r="S47" s="947"/>
      <c r="T47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8" spans="1:20" ht="15.75" customHeight="1" outlineLevel="1">
      <c r="A48" s="65">
        <v>61</v>
      </c>
      <c r="B48" s="79"/>
      <c r="C48" s="79"/>
      <c r="D48" s="80"/>
      <c r="E48" s="65"/>
      <c r="F48" s="72"/>
      <c r="G48" s="65"/>
      <c r="H48" s="65"/>
      <c r="I48" s="105"/>
      <c r="J48" s="65"/>
      <c r="K48" s="65"/>
      <c r="L48" s="65"/>
      <c r="M48" s="110"/>
      <c r="N48" s="65"/>
      <c r="O48" s="72"/>
      <c r="P48" s="86"/>
      <c r="Q48" s="86"/>
      <c r="R48" s="947"/>
      <c r="S48" s="947"/>
      <c r="T48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49" spans="1:20" outlineLevel="1">
      <c r="A49" s="65">
        <v>62</v>
      </c>
      <c r="B49" s="79"/>
      <c r="C49" s="79"/>
      <c r="D49" s="80"/>
      <c r="E49" s="65"/>
      <c r="F49" s="72"/>
      <c r="G49" s="65"/>
      <c r="H49" s="65"/>
      <c r="I49" s="105"/>
      <c r="J49" s="65"/>
      <c r="K49" s="65"/>
      <c r="L49" s="65"/>
      <c r="M49" s="110"/>
      <c r="N49" s="65"/>
      <c r="O49" s="72"/>
      <c r="P49" s="86"/>
      <c r="Q49" s="86"/>
      <c r="R49" s="947"/>
      <c r="S49" s="947"/>
      <c r="T49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0" spans="1:20" outlineLevel="1">
      <c r="A50" s="65">
        <v>63</v>
      </c>
      <c r="B50" s="79"/>
      <c r="C50" s="79"/>
      <c r="D50" s="80"/>
      <c r="E50" s="65"/>
      <c r="F50" s="72"/>
      <c r="G50" s="65"/>
      <c r="H50" s="65"/>
      <c r="I50" s="105"/>
      <c r="J50" s="65"/>
      <c r="K50" s="65"/>
      <c r="L50" s="65"/>
      <c r="M50" s="110"/>
      <c r="N50" s="65"/>
      <c r="O50" s="72"/>
      <c r="P50" s="86"/>
      <c r="Q50" s="86"/>
      <c r="R50" s="947"/>
      <c r="S50" s="947"/>
      <c r="T50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1" spans="1:20" outlineLevel="1">
      <c r="A51" s="65">
        <v>64</v>
      </c>
      <c r="B51" s="79"/>
      <c r="C51" s="79"/>
      <c r="D51" s="80"/>
      <c r="E51" s="65"/>
      <c r="F51" s="72"/>
      <c r="G51" s="65"/>
      <c r="H51" s="65"/>
      <c r="I51" s="105"/>
      <c r="J51" s="65"/>
      <c r="K51" s="65"/>
      <c r="L51" s="65"/>
      <c r="M51" s="110"/>
      <c r="N51" s="65"/>
      <c r="O51" s="388"/>
      <c r="P51" s="86"/>
      <c r="Q51" s="86"/>
      <c r="R51" s="947"/>
      <c r="S51" s="947"/>
      <c r="T51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2" spans="1:20" outlineLevel="1">
      <c r="A52" s="65">
        <v>65</v>
      </c>
      <c r="B52" s="79"/>
      <c r="C52" s="79"/>
      <c r="D52" s="80"/>
      <c r="E52" s="65"/>
      <c r="F52" s="72"/>
      <c r="G52" s="65"/>
      <c r="H52" s="65"/>
      <c r="I52" s="105"/>
      <c r="J52" s="65"/>
      <c r="K52" s="65"/>
      <c r="L52" s="65"/>
      <c r="M52" s="110"/>
      <c r="N52" s="65"/>
      <c r="O52" s="72"/>
      <c r="P52" s="86"/>
      <c r="Q52" s="86"/>
      <c r="R52" s="947"/>
      <c r="S52" s="947"/>
      <c r="T52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3" spans="1:20" outlineLevel="1">
      <c r="A53" s="65">
        <v>66</v>
      </c>
      <c r="B53" s="79"/>
      <c r="C53" s="79"/>
      <c r="D53" s="80"/>
      <c r="E53" s="65"/>
      <c r="F53" s="72"/>
      <c r="G53" s="65"/>
      <c r="H53" s="65"/>
      <c r="I53" s="105"/>
      <c r="J53" s="65"/>
      <c r="K53" s="65"/>
      <c r="L53" s="65"/>
      <c r="M53" s="110"/>
      <c r="N53" s="65"/>
      <c r="O53" s="72"/>
      <c r="P53" s="86"/>
      <c r="Q53" s="86"/>
      <c r="R53" s="947"/>
      <c r="S53" s="947"/>
      <c r="T53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4" spans="1:20" outlineLevel="1">
      <c r="A54" s="65">
        <v>67</v>
      </c>
      <c r="B54" s="79"/>
      <c r="C54" s="79"/>
      <c r="D54" s="80"/>
      <c r="E54" s="65"/>
      <c r="F54" s="72"/>
      <c r="G54" s="65"/>
      <c r="H54" s="65"/>
      <c r="I54" s="105"/>
      <c r="J54" s="65"/>
      <c r="K54" s="65"/>
      <c r="L54" s="65"/>
      <c r="M54" s="110"/>
      <c r="N54" s="65"/>
      <c r="O54" s="72"/>
      <c r="P54" s="86"/>
      <c r="Q54" s="86"/>
      <c r="R54" s="947"/>
      <c r="S54" s="947"/>
      <c r="T54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5" spans="1:20" outlineLevel="1">
      <c r="A55" s="65">
        <v>68</v>
      </c>
      <c r="B55" s="79"/>
      <c r="C55" s="79"/>
      <c r="D55" s="80"/>
      <c r="E55" s="65"/>
      <c r="F55" s="72"/>
      <c r="G55" s="65"/>
      <c r="H55" s="65"/>
      <c r="I55" s="105"/>
      <c r="J55" s="65"/>
      <c r="K55" s="65"/>
      <c r="L55" s="65"/>
      <c r="M55" s="110"/>
      <c r="N55" s="65"/>
      <c r="O55" s="72"/>
      <c r="P55" s="86"/>
      <c r="Q55" s="86"/>
      <c r="R55" s="947"/>
      <c r="S55" s="947"/>
      <c r="T55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6" spans="1:20" outlineLevel="1">
      <c r="A56" s="65"/>
      <c r="B56" s="79"/>
      <c r="C56" s="79"/>
      <c r="D56" s="65"/>
      <c r="E56" s="65"/>
      <c r="F56" s="72"/>
      <c r="G56" s="65"/>
      <c r="H56" s="65"/>
      <c r="I56" s="105"/>
      <c r="J56" s="65"/>
      <c r="K56" s="65"/>
      <c r="L56" s="65"/>
      <c r="M56" s="110"/>
      <c r="N56" s="65"/>
      <c r="O56" s="72"/>
      <c r="P56" s="86"/>
      <c r="Q56" s="86"/>
      <c r="R56" s="949"/>
      <c r="S56" s="949"/>
      <c r="T56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7" spans="1:20" ht="12" customHeight="1">
      <c r="A57" s="65"/>
      <c r="B57" s="79"/>
      <c r="C57" s="79"/>
      <c r="D57" s="65"/>
      <c r="E57" s="65"/>
      <c r="F57" s="72"/>
      <c r="G57" s="65"/>
      <c r="H57" s="65"/>
      <c r="I57" s="105"/>
      <c r="J57" s="65"/>
      <c r="K57" s="65"/>
      <c r="L57" s="65"/>
      <c r="M57" s="110"/>
      <c r="N57" s="65"/>
      <c r="O57" s="72"/>
      <c r="P57" s="86"/>
      <c r="Q57" s="86"/>
      <c r="R57" s="949"/>
      <c r="S57" s="949"/>
      <c r="T57" s="948">
        <f>IF(февр231411131617[[#This Row],[Отделка]]="Предчистовая",февр231411131617[[#This Row],[сумма]]-(февр231411131617[[#This Row],[м2]]*4000),IF(февр231411131617[[#This Row],[Отделка]]="Чистовая",IF(февр231411131617[[#This Row],[№ дома]]="Дом 5",февр231411131617[[#This Row],[сумма]]-(февр231411131617[[#This Row],[м2]]*15500),февр231411131617[[#This Row],[сумма]]-(февр231411131617[[#This Row],[м2]]*15000)),февр231411131617[[#This Row],[сумма]]))</f>
        <v>0</v>
      </c>
    </row>
    <row r="58" spans="1:20">
      <c r="A58" s="65"/>
      <c r="B58" s="79"/>
      <c r="C58" s="79"/>
      <c r="D58" s="80"/>
      <c r="E58" s="65"/>
      <c r="F58" s="97"/>
      <c r="G58" s="97"/>
      <c r="H58" s="65"/>
      <c r="I58" s="105"/>
      <c r="J58" s="65"/>
      <c r="K58" s="65"/>
      <c r="L58" s="65"/>
      <c r="M58" s="110"/>
      <c r="N58" s="65"/>
      <c r="O58" s="72"/>
      <c r="P58" s="86"/>
      <c r="Q58" s="86"/>
      <c r="R58" s="947"/>
      <c r="S58" s="947"/>
      <c r="T58" s="948"/>
    </row>
    <row r="59" spans="1:20" hidden="1">
      <c r="A59" s="65"/>
      <c r="B59" s="79"/>
      <c r="C59" s="79"/>
      <c r="D59" s="80"/>
      <c r="E59" s="65"/>
      <c r="F59" s="934"/>
      <c r="G59" s="65"/>
      <c r="H59" s="65"/>
      <c r="I59" s="105"/>
      <c r="J59" s="65"/>
      <c r="K59" s="65"/>
      <c r="L59" s="65"/>
      <c r="M59" s="110"/>
      <c r="N59" s="65"/>
      <c r="O59" s="72"/>
      <c r="P59" s="86"/>
      <c r="Q59" s="86"/>
      <c r="R59" s="947"/>
      <c r="S59" s="947"/>
      <c r="T59" s="948"/>
    </row>
    <row r="60" spans="1:20" hidden="1">
      <c r="A60" s="65"/>
      <c r="B60" s="79"/>
      <c r="C60" s="79"/>
      <c r="D60" s="80"/>
      <c r="E60" s="65"/>
      <c r="F60" s="934"/>
      <c r="G60" s="65"/>
      <c r="H60" s="65"/>
      <c r="I60" s="105"/>
      <c r="J60" s="65"/>
      <c r="K60" s="65"/>
      <c r="L60" s="65"/>
      <c r="M60" s="110"/>
      <c r="N60" s="65"/>
      <c r="O60" s="72"/>
      <c r="P60" s="86"/>
      <c r="Q60" s="86"/>
      <c r="R60" s="947"/>
      <c r="S60" s="947"/>
      <c r="T60" s="948"/>
    </row>
    <row r="61" spans="1:20" hidden="1">
      <c r="A61" s="2290" t="s">
        <v>713</v>
      </c>
      <c r="B61" s="2291"/>
      <c r="C61" s="935" t="s">
        <v>27</v>
      </c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7"/>
      <c r="R61" s="949"/>
      <c r="S61" s="949"/>
    </row>
    <row r="62" spans="1:20" hidden="1">
      <c r="A62" s="685" t="s">
        <v>1</v>
      </c>
      <c r="B62" s="723" t="s">
        <v>100</v>
      </c>
      <c r="C62" s="687" t="s">
        <v>97</v>
      </c>
      <c r="D62" s="724" t="s">
        <v>95</v>
      </c>
      <c r="E62" s="137" t="s">
        <v>494</v>
      </c>
      <c r="F62" s="138" t="s">
        <v>495</v>
      </c>
      <c r="G62" s="139" t="s">
        <v>496</v>
      </c>
      <c r="H62" s="140" t="s">
        <v>101</v>
      </c>
      <c r="I62" s="141" t="s">
        <v>98</v>
      </c>
      <c r="J62" s="141" t="s">
        <v>96</v>
      </c>
      <c r="K62" s="141" t="s">
        <v>715</v>
      </c>
      <c r="L62" s="216" t="s">
        <v>716</v>
      </c>
      <c r="M62" s="217">
        <v>0</v>
      </c>
      <c r="N62" s="218">
        <v>1</v>
      </c>
      <c r="O62" s="218">
        <v>2</v>
      </c>
      <c r="P62" s="218">
        <v>3</v>
      </c>
      <c r="Q62" s="219" t="s">
        <v>1367</v>
      </c>
      <c r="R62" s="950"/>
      <c r="S62" s="950"/>
      <c r="T62" s="951"/>
    </row>
    <row r="63" spans="1:20" hidden="1">
      <c r="A63" s="936" t="s">
        <v>73</v>
      </c>
      <c r="B63" s="937">
        <f>VLOOKUP(A63,'Индивидуальный план'!$F$15:$H$24,2,0)</f>
        <v>685</v>
      </c>
      <c r="C63" s="937">
        <f>VLOOKUP(A63,'Индивидуальный план'!$F$15:$H$24,3,0)</f>
        <v>58063399.594999999</v>
      </c>
      <c r="D63" s="938"/>
      <c r="E63" s="148">
        <f>SUMIFS(февр231411131617[м2],февр231411131617[МОП],$A63,февр231411131617[№ дома],$C$61,февр231411131617[Ком],"&lt;&gt;Офис")</f>
        <v>0</v>
      </c>
      <c r="F63" s="939">
        <f>SUMIFS(февр231411131617[сумма без отделки],февр231411131617[МОП],$A63,февр231411131617[№ дома],$C$61,февр231411131617[Ком],"&lt;&gt;Офис")</f>
        <v>0</v>
      </c>
      <c r="G63" s="940">
        <f>COUNTIFS(февр231411131617[МОП],$A63,февр231411131617[№ дома],$C$61,февр231411131617[Ком],"&lt;&gt;Офис")</f>
        <v>0</v>
      </c>
      <c r="H63" s="148">
        <f>SUMIFS(РД[S],РД[Дом],$C$61,РД[МОП],A63,РД[Дата подачи на регистрацию],"&lt;="&amp;$A$1,РД[Дата подачи на регистрацию],"&gt;="&amp;DATE(YEAR($A$1),MONTH($A$1),1),РД[Состояние],"Продажа")</f>
        <v>0</v>
      </c>
      <c r="I63" s="149">
        <f>SUMIFS(РД[Стоимость без отделки итог],РД[Дом],$C$61,РД[МОП],A63,РД[Дата подачи на регистрацию],"&lt;="&amp;$A$1,РД[Дата подачи на регистрацию],"&gt;="&amp;DATE(YEAR($A$1),MONTH($A$1),1),РД[Состояние],"Продажа")</f>
        <v>0</v>
      </c>
      <c r="J63" s="220">
        <f>COUNTIFS(РД[Дом],$C$61,РД[МОП],A63,РД[Дата подачи на регистрацию],"&lt;="&amp;$A$1,РД[Дата подачи на регистрацию],"&gt;="&amp;DATE(YEAR($A$1),MONTH($A$1),1),РД[Состояние],"Продажа")</f>
        <v>0</v>
      </c>
      <c r="K63" s="943">
        <f t="shared" ref="K63:L66" si="0">IFERROR(H63/B63,"")</f>
        <v>0</v>
      </c>
      <c r="L63" s="944">
        <f t="shared" si="0"/>
        <v>0</v>
      </c>
      <c r="M63" s="183">
        <f>COUNTIFS(РД[Тип кв],M$62,РД[МОП],$A63,РД[Дом],$C$61,РД[Дата подачи на регистрацию],"&lt;="&amp;$A$1,РД[Дата подачи на регистрацию],"&gt;="&amp;DATE(YEAR($A$1),MONTH($A$1),1))</f>
        <v>0</v>
      </c>
      <c r="N63" s="243">
        <f>COUNTIFS(РД[Тип кв],N$62,РД[МОП],$A63,РД[Дом],$C$61,РД[Дата подачи на регистрацию],"&lt;="&amp;$A$1,РД[Дата подачи на регистрацию],"&gt;="&amp;DATE(YEAR($A$1),MONTH($A$1),1))</f>
        <v>0</v>
      </c>
      <c r="O63" s="243">
        <f>COUNTIFS(РД[Тип кв],O$62,РД[МОП],$A63,РД[Дом],$C$61,РД[Дата подачи на регистрацию],"&lt;="&amp;$A$1,РД[Дата подачи на регистрацию],"&gt;="&amp;DATE(YEAR($A$1),MONTH($A$1),1))</f>
        <v>0</v>
      </c>
      <c r="P63" s="243">
        <f>COUNTIFS(РД[Тип кв],P$62,РД[МОП],$A63,РД[Дом],$C$61,РД[Дата подачи на регистрацию],"&lt;="&amp;$A$1,РД[Дата подачи на регистрацию],"&gt;="&amp;DATE(YEAR($A$1),MONTH($A$1),1))</f>
        <v>0</v>
      </c>
      <c r="Q63" s="246">
        <f>COUNTIFS(РД[Тип кв],Q$62,РД[МОП],$A63,РД[Дом],$C$61,РД[Дата подачи на регистрацию],"&lt;="&amp;$A$1,РД[Дата подачи на регистрацию],"&gt;="&amp;DATE(YEAR($A$1),MONTH($A$1),1))</f>
        <v>0</v>
      </c>
      <c r="R63" s="949"/>
      <c r="S63" s="949"/>
    </row>
    <row r="64" spans="1:20" hidden="1">
      <c r="A64" s="936" t="s">
        <v>8</v>
      </c>
      <c r="B64" s="937">
        <f>VLOOKUP(A64,'Индивидуальный план'!$F$15:$H$24,2,0)</f>
        <v>420</v>
      </c>
      <c r="C64" s="937">
        <f>VLOOKUP(A64,'Индивидуальный план'!$F$15:$H$24,3,0)</f>
        <v>35600916.539999999</v>
      </c>
      <c r="D64" s="938"/>
      <c r="E64" s="148">
        <f>SUMIFS(февр231411131617[м2],февр231411131617[МОП],$A64,февр231411131617[№ дома],$C$61,февр231411131617[Ком],"&lt;&gt;Офис")</f>
        <v>0</v>
      </c>
      <c r="F64" s="939">
        <f>SUMIFS(февр231411131617[сумма без отделки],февр231411131617[МОП],$A64,февр231411131617[№ дома],$C$61,февр231411131617[Ком],"&lt;&gt;Офис")</f>
        <v>0</v>
      </c>
      <c r="G64" s="940">
        <f>COUNTIFS(февр231411131617[МОП],$A64,февр231411131617[№ дома],$C$61,февр231411131617[Ком],"&lt;&gt;Офис")</f>
        <v>0</v>
      </c>
      <c r="H64" s="148">
        <f>SUMIFS(РД[S],РД[Дом],$C$61,РД[МОП],A64,РД[Дата подачи на регистрацию],"&lt;="&amp;$A$1,РД[Дата подачи на регистрацию],"&gt;="&amp;DATE(YEAR($A$1),MONTH($A$1),1),РД[Состояние],"Продажа")</f>
        <v>0</v>
      </c>
      <c r="I64" s="149">
        <f>SUMIFS(РД[Стоимость без отделки итог],РД[Дом],$C$61,РД[МОП],A64,РД[Дата подачи на регистрацию],"&lt;="&amp;$A$1,РД[Дата подачи на регистрацию],"&gt;="&amp;DATE(YEAR($A$1),MONTH($A$1),1),РД[Состояние],"Продажа")</f>
        <v>0</v>
      </c>
      <c r="J64" s="220">
        <f>COUNTIFS(РД[Дом],$C$61,РД[МОП],A64,РД[Дата подачи на регистрацию],"&lt;="&amp;$A$1,РД[Дата подачи на регистрацию],"&gt;="&amp;DATE(YEAR($A$1),MONTH($A$1),1),РД[Состояние],"Продажа")</f>
        <v>0</v>
      </c>
      <c r="K64" s="943">
        <f t="shared" si="0"/>
        <v>0</v>
      </c>
      <c r="L64" s="944">
        <f t="shared" si="0"/>
        <v>0</v>
      </c>
      <c r="M64" s="148">
        <f>COUNTIFS(РД[Тип кв],M$62,РД[МОП],$A64,РД[Дом],$C$61,РД[Дата подачи на регистрацию],"&lt;="&amp;$A$1,РД[Дата подачи на регистрацию],"&gt;="&amp;DATE(YEAR($A$1),MONTH($A$1),1))</f>
        <v>0</v>
      </c>
      <c r="N64" s="220">
        <f>COUNTIFS(РД[Тип кв],N$62,РД[МОП],$A64,РД[Дом],$C$61,РД[Дата подачи на регистрацию],"&lt;="&amp;$A$1,РД[Дата подачи на регистрацию],"&gt;="&amp;DATE(YEAR($A$1),MONTH($A$1),1))</f>
        <v>0</v>
      </c>
      <c r="O64" s="220">
        <f>COUNTIFS(РД[Тип кв],O$62,РД[МОП],$A64,РД[Дом],$C$61,РД[Дата подачи на регистрацию],"&lt;="&amp;$A$1,РД[Дата подачи на регистрацию],"&gt;="&amp;DATE(YEAR($A$1),MONTH($A$1),1))</f>
        <v>0</v>
      </c>
      <c r="P64" s="220">
        <f>COUNTIFS(РД[Тип кв],P$62,РД[МОП],$A64,РД[Дом],$C$61,РД[Дата подачи на регистрацию],"&lt;="&amp;$A$1,РД[Дата подачи на регистрацию],"&gt;="&amp;DATE(YEAR($A$1),MONTH($A$1),1))</f>
        <v>0</v>
      </c>
      <c r="Q64" s="223">
        <f>COUNTIFS(РД[Тип кв],Q$62,РД[МОП],$A64,РД[Дом],$C$61,РД[Дата подачи на регистрацию],"&lt;="&amp;$A$1,РД[Дата подачи на регистрацию],"&gt;="&amp;DATE(YEAR($A$1),MONTH($A$1),1))</f>
        <v>0</v>
      </c>
      <c r="R64" s="949"/>
      <c r="S64" s="949"/>
    </row>
    <row r="65" spans="1:20" hidden="1">
      <c r="A65" s="952" t="s">
        <v>77</v>
      </c>
      <c r="B65" s="937">
        <f>VLOOKUP(A65,'Индивидуальный план'!$F$15:$H$24,2,0)</f>
        <v>592</v>
      </c>
      <c r="C65" s="937">
        <f>VLOOKUP(A65,'Индивидуальный план'!$F$15:$H$24,3,0)</f>
        <v>50180339.504000001</v>
      </c>
      <c r="D65" s="953"/>
      <c r="E65" s="202">
        <f>SUMIFS(февр231411131617[м2],февр231411131617[МОП],$A65,февр231411131617[№ дома],$C$61,февр231411131617[Ком],"&lt;&gt;Офис")</f>
        <v>0</v>
      </c>
      <c r="F65" s="954">
        <f>SUMIFS(февр231411131617[сумма без отделки],февр231411131617[МОП],$A65,февр231411131617[№ дома],$C$61,февр231411131617[Ком],"&lt;&gt;Офис")</f>
        <v>0</v>
      </c>
      <c r="G65" s="955">
        <f>COUNTIFS(февр231411131617[МОП],$A65,февр231411131617[№ дома],$C$61,февр231411131617[Ком],"&lt;&gt;Офис")</f>
        <v>0</v>
      </c>
      <c r="H65" s="148">
        <f>SUMIFS(РД[S],РД[Дом],$C$61,РД[МОП],A65,РД[Дата подачи на регистрацию],"&lt;="&amp;$A$1,РД[Дата подачи на регистрацию],"&gt;="&amp;DATE(YEAR($A$1),MONTH($A$1),1),РД[Состояние],"Продажа")</f>
        <v>0</v>
      </c>
      <c r="I65" s="149">
        <f>SUMIFS(РД[Стоимость без отделки итог],РД[Дом],$C$61,РД[МОП],A65,РД[Дата подачи на регистрацию],"&lt;="&amp;$A$1,РД[Дата подачи на регистрацию],"&gt;="&amp;DATE(YEAR($A$1),MONTH($A$1),1),РД[Состояние],"Продажа")</f>
        <v>0</v>
      </c>
      <c r="J65" s="220">
        <f>COUNTIFS(РД[Дом],$C$61,РД[МОП],A65,РД[Дата подачи на регистрацию],"&lt;="&amp;$A$1,РД[Дата подачи на регистрацию],"&gt;="&amp;DATE(YEAR($A$1),MONTH($A$1),1),РД[Состояние],"Продажа")</f>
        <v>0</v>
      </c>
      <c r="K65" s="987">
        <f t="shared" si="0"/>
        <v>0</v>
      </c>
      <c r="L65" s="988">
        <f t="shared" si="0"/>
        <v>0</v>
      </c>
      <c r="M65" s="202">
        <f>COUNTIFS(РД[Тип кв],M$62,РД[МОП],$A65,РД[Дом],$C$61,РД[Дата подачи на регистрацию],"&lt;="&amp;$A$1,РД[Дата подачи на регистрацию],"&gt;="&amp;DATE(YEAR($A$1),MONTH($A$1),1))</f>
        <v>0</v>
      </c>
      <c r="N65" s="226">
        <f>COUNTIFS(РД[Тип кв],N$62,РД[МОП],$A65,РД[Дом],$C$61,РД[Дата подачи на регистрацию],"&lt;="&amp;$A$1,РД[Дата подачи на регистрацию],"&gt;="&amp;DATE(YEAR($A$1),MONTH($A$1),1))</f>
        <v>0</v>
      </c>
      <c r="O65" s="226">
        <f>COUNTIFS(РД[Тип кв],O$62,РД[МОП],$A65,РД[Дом],$C$61,РД[Дата подачи на регистрацию],"&lt;="&amp;$A$1,РД[Дата подачи на регистрацию],"&gt;="&amp;DATE(YEAR($A$1),MONTH($A$1),1))</f>
        <v>0</v>
      </c>
      <c r="P65" s="226">
        <f>COUNTIFS(РД[Тип кв],P$62,РД[МОП],$A65,РД[Дом],$C$61,РД[Дата подачи на регистрацию],"&lt;="&amp;$A$1,РД[Дата подачи на регистрацию],"&gt;="&amp;DATE(YEAR($A$1),MONTH($A$1),1))</f>
        <v>0</v>
      </c>
      <c r="Q65" s="227">
        <f>COUNTIFS(РД[Тип кв],Q$62,РД[МОП],$A65,РД[Дом],$C$61,РД[Дата подачи на регистрацию],"&lt;="&amp;$A$1,РД[Дата подачи на регистрацию],"&gt;="&amp;DATE(YEAR($A$1),MONTH($A$1),1))</f>
        <v>0</v>
      </c>
      <c r="R65" s="949"/>
      <c r="S65" s="949"/>
    </row>
    <row r="66" spans="1:20" hidden="1">
      <c r="A66" s="956" t="s">
        <v>1233</v>
      </c>
      <c r="B66" s="937">
        <f>VLOOKUP(A66,'Индивидуальный план'!$F$15:$H$24,2,0)</f>
        <v>685</v>
      </c>
      <c r="C66" s="937">
        <f>VLOOKUP(A66,'Индивидуальный план'!$F$15:$H$24,3,0)</f>
        <v>58063399.594999999</v>
      </c>
      <c r="D66" s="957"/>
      <c r="E66" s="358">
        <f>SUMIFS(февр231411131617[м2],февр231411131617[МОП],$A66,февр231411131617[№ дома],$C$61,февр231411131617[Ком],"&lt;&gt;Офис")</f>
        <v>0</v>
      </c>
      <c r="F66" s="958">
        <f>SUMIFS(февр231411131617[сумма без отделки],февр231411131617[МОП],$A66,февр231411131617[№ дома],$C$61,февр231411131617[Ком],"&lt;&gt;Офис")</f>
        <v>0</v>
      </c>
      <c r="G66" s="959">
        <f>COUNTIFS(февр231411131617[МОП],$A66,февр231411131617[№ дома],$C$61,февр231411131617[Ком],"&lt;&gt;Офис")</f>
        <v>0</v>
      </c>
      <c r="H66" s="148">
        <f>SUMIFS(РД[S],РД[Дом],$C$61,РД[МОП],A66,РД[Дата подачи на регистрацию],"&lt;="&amp;$A$1,РД[Дата подачи на регистрацию],"&gt;="&amp;DATE(YEAR($A$1),MONTH($A$1),1),РД[Состояние],"Продажа")</f>
        <v>0</v>
      </c>
      <c r="I66" s="149">
        <f>SUMIFS(РД[Стоимость без отделки итог],РД[Дом],$C$61,РД[МОП],A66,РД[Дата подачи на регистрацию],"&lt;="&amp;$A$1,РД[Дата подачи на регистрацию],"&gt;="&amp;DATE(YEAR($A$1),MONTH($A$1),1),РД[Состояние],"Продажа")</f>
        <v>0</v>
      </c>
      <c r="J66" s="220">
        <f>COUNTIFS(РД[Дом],$C$61,РД[МОП],A66,РД[Дата подачи на регистрацию],"&lt;="&amp;$A$1,РД[Дата подачи на регистрацию],"&gt;="&amp;DATE(YEAR($A$1),MONTH($A$1),1),РД[Состояние],"Продажа")</f>
        <v>0</v>
      </c>
      <c r="K66" s="987">
        <f t="shared" si="0"/>
        <v>0</v>
      </c>
      <c r="L66" s="988">
        <f t="shared" si="0"/>
        <v>0</v>
      </c>
      <c r="M66" s="195">
        <f>COUNTIFS(РД[Тип кв],M$62,РД[МОП],$A66,РД[Дом],$C$61,РД[Дата подачи на регистрацию],"&lt;="&amp;$A$1,РД[Дата подачи на регистрацию],"&gt;="&amp;DATE(YEAR($A$1),MONTH($A$1),1))</f>
        <v>0</v>
      </c>
      <c r="N66" s="251">
        <f>COUNTIFS(РД[Тип кв],N$62,РД[МОП],$A66,РД[Дом],$C$61,РД[Дата подачи на регистрацию],"&lt;="&amp;$A$1,РД[Дата подачи на регистрацию],"&gt;="&amp;DATE(YEAR($A$1),MONTH($A$1),1))</f>
        <v>0</v>
      </c>
      <c r="O66" s="251">
        <f>COUNTIFS(РД[Тип кв],O$62,РД[МОП],$A66,РД[Дом],$C$61,РД[Дата подачи на регистрацию],"&lt;="&amp;$A$1,РД[Дата подачи на регистрацию],"&gt;="&amp;DATE(YEAR($A$1),MONTH($A$1),1))</f>
        <v>0</v>
      </c>
      <c r="P66" s="251">
        <f>COUNTIFS(РД[Тип кв],P$62,РД[МОП],$A66,РД[Дом],$C$61,РД[Дата подачи на регистрацию],"&lt;="&amp;$A$1,РД[Дата подачи на регистрацию],"&gt;="&amp;DATE(YEAR($A$1),MONTH($A$1),1))</f>
        <v>0</v>
      </c>
      <c r="Q66" s="254">
        <f>COUNTIFS(РД[Тип кв],Q$62,РД[МОП],$A66,РД[Дом],$C$61,РД[Дата подачи на регистрацию],"&lt;="&amp;$A$1,РД[Дата подачи на регистрацию],"&gt;="&amp;DATE(YEAR($A$1),MONTH($A$1),1))</f>
        <v>0</v>
      </c>
      <c r="R66" s="949"/>
      <c r="S66" s="949"/>
    </row>
    <row r="67" spans="1:20" hidden="1">
      <c r="A67" s="960" t="s">
        <v>114</v>
      </c>
      <c r="B67" s="961">
        <f>SUM(B63:B66)</f>
        <v>2382</v>
      </c>
      <c r="C67" s="961">
        <f>SUM(C63:C66)</f>
        <v>201908055.234</v>
      </c>
      <c r="D67" s="962">
        <f t="shared" ref="D67:J67" si="1">SUM(D63:D66)</f>
        <v>0</v>
      </c>
      <c r="E67" s="963">
        <f t="shared" si="1"/>
        <v>0</v>
      </c>
      <c r="F67" s="964">
        <f t="shared" si="1"/>
        <v>0</v>
      </c>
      <c r="G67" s="965">
        <f t="shared" si="1"/>
        <v>0</v>
      </c>
      <c r="H67" s="961">
        <f t="shared" si="1"/>
        <v>0</v>
      </c>
      <c r="I67" s="964">
        <f t="shared" si="1"/>
        <v>0</v>
      </c>
      <c r="J67" s="962">
        <f t="shared" si="1"/>
        <v>0</v>
      </c>
      <c r="K67" s="419">
        <f>IFERROR(H67/B67,)</f>
        <v>0</v>
      </c>
      <c r="L67" s="420">
        <f>IFERROR(I67/C67,)</f>
        <v>0</v>
      </c>
      <c r="M67" s="473">
        <f>SUM(M63:M66)</f>
        <v>0</v>
      </c>
      <c r="N67" s="494">
        <f>SUM(N63:N66)</f>
        <v>0</v>
      </c>
      <c r="O67" s="494">
        <f>SUM(O63:O66)</f>
        <v>0</v>
      </c>
      <c r="P67" s="989">
        <f>SUM(P63:P66)</f>
        <v>0</v>
      </c>
      <c r="Q67" s="497">
        <f>SUM(Q63:Q66)</f>
        <v>0</v>
      </c>
      <c r="R67" s="949"/>
      <c r="S67" s="949"/>
    </row>
    <row r="68" spans="1:20" hidden="1">
      <c r="A68" s="685" t="s">
        <v>115</v>
      </c>
      <c r="B68" s="723" t="s">
        <v>100</v>
      </c>
      <c r="C68" s="693" t="s">
        <v>97</v>
      </c>
      <c r="D68" s="724" t="s">
        <v>95</v>
      </c>
      <c r="E68" s="137" t="s">
        <v>494</v>
      </c>
      <c r="F68" s="138" t="s">
        <v>495</v>
      </c>
      <c r="G68" s="139" t="s">
        <v>496</v>
      </c>
      <c r="H68" s="140" t="s">
        <v>101</v>
      </c>
      <c r="I68" s="141" t="s">
        <v>98</v>
      </c>
      <c r="J68" s="141" t="s">
        <v>96</v>
      </c>
      <c r="K68" s="495" t="s">
        <v>715</v>
      </c>
      <c r="L68" s="896" t="s">
        <v>716</v>
      </c>
      <c r="M68" s="217">
        <v>0</v>
      </c>
      <c r="N68" s="218">
        <v>1</v>
      </c>
      <c r="O68" s="218">
        <v>2</v>
      </c>
      <c r="P68" s="218">
        <v>3</v>
      </c>
      <c r="Q68" s="219" t="s">
        <v>1367</v>
      </c>
      <c r="R68" s="950"/>
      <c r="S68" s="950"/>
      <c r="T68" s="951"/>
    </row>
    <row r="69" spans="1:20" hidden="1">
      <c r="A69" s="936" t="s">
        <v>16</v>
      </c>
      <c r="B69" s="937" t="e">
        <f>'Индивидуальный план'!#REF!</f>
        <v>#REF!</v>
      </c>
      <c r="C69" s="937" t="e">
        <f>'Индивидуальный план'!#REF!</f>
        <v>#REF!</v>
      </c>
      <c r="D69" s="417"/>
      <c r="E69" s="966">
        <f>SUMIFS(февр231411131617[м2],февр231411131617[ИМ],A69,февр231411131617[№ дома],$C$61,февр231411131617[Ком],"&lt;&gt;Офис")</f>
        <v>0</v>
      </c>
      <c r="F69" s="149">
        <f>SUMIFS(февр231411131617[сумма без отделки],февр231411131617[ИМ],$A69,февр231411131617[№ дома],$C$61,февр231411131617[Ком],"&lt;&gt;Офис")</f>
        <v>0</v>
      </c>
      <c r="G69" s="940">
        <f>COUNTIFS(февр231411131617[ИМ],$A69,февр231411131617[№ дома],$C$61,февр231411131617[Ком],"&lt;&gt;Офис")</f>
        <v>0</v>
      </c>
      <c r="H69" s="346">
        <f>SUMIFS(РД[S],РД[Дом],$C$61,РД[ИМ],A69,РД[Дата подачи на регистрацию],"&lt;="&amp;$A$1,РД[Дата подачи на регистрацию],"&gt;="&amp;DATE(YEAR($A$1),MONTH($A$1),1),РД[Состояние],"Продажа")</f>
        <v>0</v>
      </c>
      <c r="I69" s="184">
        <f>SUMIFS(РД[Стоимость без отделки итог],РД[Дом],$C$61,РД[ИМ],A69,РД[Дата подачи на регистрацию],"&lt;="&amp;$A$1,РД[Дата подачи на регистрацию],"&gt;="&amp;DATE(YEAR($A$1),MONTH($A$1),1),РД[Состояние],"Продажа")</f>
        <v>0</v>
      </c>
      <c r="J69" s="243">
        <f>COUNTIFS(РД[Дом],$C$61,РД[ИМ],A69,РД[Дата подачи на регистрацию],"&lt;="&amp;$A$1,РД[Дата подачи на регистрацию],"&gt;="&amp;DATE(YEAR($A$1),MONTH($A$1),1),РД[Состояние],"Продажа")</f>
        <v>0</v>
      </c>
      <c r="K69" s="990" t="str">
        <f>IFERROR(H69/B69,"")</f>
        <v/>
      </c>
      <c r="L69" s="991" t="str">
        <f>IFERROR(I69/C69,"")</f>
        <v/>
      </c>
      <c r="M69" s="183">
        <f>COUNTIFS(РД[Тип кв],M$62,РД[ИМ],$A69,РД[Дом],$C$61,РД[Дата подачи на регистрацию],"&lt;="&amp;$A$1,РД[Дата подачи на регистрацию],"&gt;="&amp;DATE(YEAR($A$1),MONTH($A$1),1))</f>
        <v>0</v>
      </c>
      <c r="N69" s="243">
        <f>COUNTIFS(РД[Тип кв],N$62,РД[ИМ],$A69,РД[Дом],$C$61,РД[Дата подачи на регистрацию],"&lt;="&amp;$A$1,РД[Дата подачи на регистрацию],"&gt;="&amp;DATE(YEAR($A$1),MONTH($A$1),1))</f>
        <v>0</v>
      </c>
      <c r="O69" s="243">
        <f>COUNTIFS(РД[Тип кв],O$62,РД[ИМ],$A69,РД[Дом],$C$61,РД[Дата подачи на регистрацию],"&lt;="&amp;$A$1,РД[Дата подачи на регистрацию],"&gt;="&amp;DATE(YEAR($A$1),MONTH($A$1),1))</f>
        <v>0</v>
      </c>
      <c r="P69" s="243">
        <f>COUNTIFS(РД[Тип кв],P$62,РД[ИМ],$A69,РД[Дом],$C$61,РД[Дата подачи на регистрацию],"&lt;="&amp;$A$1,РД[Дата подачи на регистрацию],"&gt;="&amp;DATE(YEAR($A$1),MONTH($A$1),1))</f>
        <v>0</v>
      </c>
      <c r="Q69" s="246">
        <f>COUNTIFS(РД[Тип кв],Q$62,РД[ИМ],$A69,РД[Дом],$C$61,РД[Дата подачи на регистрацию],"&lt;="&amp;$A$1,РД[Дата подачи на регистрацию],"&gt;="&amp;DATE(YEAR($A$1),MONTH($A$1),1))</f>
        <v>0</v>
      </c>
      <c r="R69" s="949"/>
      <c r="S69" s="949"/>
    </row>
    <row r="70" spans="1:20" hidden="1">
      <c r="A70" s="956" t="s">
        <v>22</v>
      </c>
      <c r="B70" s="937" t="e">
        <f>'Индивидуальный план'!#REF!</f>
        <v>#REF!</v>
      </c>
      <c r="C70" s="937" t="e">
        <f>'Индивидуальный план'!#REF!</f>
        <v>#REF!</v>
      </c>
      <c r="D70" s="518"/>
      <c r="E70" s="967">
        <f>SUMIFS(февр231411131617[м2],февр231411131617[ИМ],A70,февр231411131617[№ дома],$C$61,февр231411131617[Ком],"&lt;&gt;Офис")</f>
        <v>0</v>
      </c>
      <c r="F70" s="359">
        <f>SUMIFS(февр231411131617[сумма без отделки],февр231411131617[ИМ],$A70,февр231411131617[№ дома],$C$61,февр231411131617[Ком],"&lt;&gt;Офис")</f>
        <v>0</v>
      </c>
      <c r="G70" s="959">
        <f>COUNTIFS(февр231411131617[ИМ],$A70,февр231411131617[№ дома],$C$61,февр231411131617[Ком],"&lt;&gt;Офис")</f>
        <v>0</v>
      </c>
      <c r="H70" s="426">
        <f>SUMIFS(РД[S],РД[Дом],$C$61,РД[ИМ],A70,РД[Дата подачи на регистрацию],"&lt;="&amp;$A$1,РД[Дата подачи на регистрацию],"&gt;="&amp;DATE(YEAR($A$1),MONTH($A$1),1),РД[Состояние],"Продажа")</f>
        <v>0</v>
      </c>
      <c r="I70" s="196">
        <f>SUMIFS(РД[Стоимость без отделки итог],РД[Дом],$C$61,РД[ИМ],A70,РД[Дата подачи на регистрацию],"&lt;="&amp;$A$1,РД[Дата подачи на регистрацию],"&gt;="&amp;DATE(YEAR($A$1),MONTH($A$1),1),РД[Состояние],"Продажа")</f>
        <v>0</v>
      </c>
      <c r="J70" s="251">
        <f>COUNTIFS(РД[Дом],$C$61,РД[ИМ],A70,РД[Дата подачи на регистрацию],"&lt;="&amp;$A$1,РД[Дата подачи на регистрацию],"&gt;="&amp;DATE(YEAR($A$1),MONTH($A$1),1),РД[Состояние],"Продажа")</f>
        <v>0</v>
      </c>
      <c r="K70" s="992" t="str">
        <f>IFERROR(H70/B70,"")</f>
        <v/>
      </c>
      <c r="L70" s="993" t="str">
        <f>IFERROR(I70/C70,"")</f>
        <v/>
      </c>
      <c r="M70" s="195">
        <f>COUNTIFS(РД[Тип кв],M$62,РД[ИМ],$A70,РД[Дом],$C$61,РД[Дата подачи на регистрацию],"&lt;="&amp;$A$1,РД[Дата подачи на регистрацию],"&gt;="&amp;DATE(YEAR($A$1),MONTH($A$1),1))</f>
        <v>0</v>
      </c>
      <c r="N70" s="251">
        <f>COUNTIFS(РД[Тип кв],N$62,РД[ИМ],$A70,РД[Дом],$C$61,РД[Дата подачи на регистрацию],"&lt;="&amp;$A$1,РД[Дата подачи на регистрацию],"&gt;="&amp;DATE(YEAR($A$1),MONTH($A$1),1))</f>
        <v>0</v>
      </c>
      <c r="O70" s="251">
        <f>COUNTIFS(РД[Тип кв],O$62,РД[ИМ],$A70,РД[Дом],$C$61,РД[Дата подачи на регистрацию],"&lt;="&amp;$A$1,РД[Дата подачи на регистрацию],"&gt;="&amp;DATE(YEAR($A$1),MONTH($A$1),1))</f>
        <v>0</v>
      </c>
      <c r="P70" s="251">
        <f>COUNTIFS(РД[Тип кв],P$62,РД[ИМ],$A70,РД[Дом],$C$61,РД[Дата подачи на регистрацию],"&lt;="&amp;$A$1,РД[Дата подачи на регистрацию],"&gt;="&amp;DATE(YEAR($A$1),MONTH($A$1),1))</f>
        <v>0</v>
      </c>
      <c r="Q70" s="254">
        <f>COUNTIFS(РД[Тип кв],Q$62,РД[ИМ],$A70,РД[Дом],$C$61,РД[Дата подачи на регистрацию],"&lt;="&amp;$A$1,РД[Дата подачи на регистрацию],"&gt;="&amp;DATE(YEAR($A$1),MONTH($A$1),1))</f>
        <v>0</v>
      </c>
      <c r="R70" s="949"/>
      <c r="S70" s="949"/>
    </row>
    <row r="71" spans="1:20" hidden="1">
      <c r="A71" s="409" t="s">
        <v>114</v>
      </c>
      <c r="B71" s="961" t="e">
        <f>SUM(B69:B70)</f>
        <v>#REF!</v>
      </c>
      <c r="C71" s="961" t="e">
        <f>SUM(C69:C70)</f>
        <v>#REF!</v>
      </c>
      <c r="D71" s="485">
        <f t="shared" ref="D71:J71" si="2">SUM(D69:D70)</f>
        <v>0</v>
      </c>
      <c r="E71" s="473">
        <f t="shared" si="2"/>
        <v>0</v>
      </c>
      <c r="F71" s="429">
        <f t="shared" si="2"/>
        <v>0</v>
      </c>
      <c r="G71" s="497">
        <f t="shared" si="2"/>
        <v>0</v>
      </c>
      <c r="H71" s="473">
        <f t="shared" si="2"/>
        <v>0</v>
      </c>
      <c r="I71" s="429">
        <f t="shared" si="2"/>
        <v>0</v>
      </c>
      <c r="J71" s="497">
        <f t="shared" si="2"/>
        <v>0</v>
      </c>
      <c r="K71" s="419">
        <f>IFERROR(H71/B71,)</f>
        <v>0</v>
      </c>
      <c r="L71" s="507">
        <f>IFERROR(I71/C71,)</f>
        <v>0</v>
      </c>
      <c r="M71" s="317">
        <f>SUM(M69:M70)</f>
        <v>0</v>
      </c>
      <c r="N71" s="917">
        <f>SUM(N69:N70)</f>
        <v>0</v>
      </c>
      <c r="O71" s="917">
        <f>SUM(O69:O70)</f>
        <v>0</v>
      </c>
      <c r="P71" s="917">
        <f>SUM(P69:P70)</f>
        <v>0</v>
      </c>
      <c r="Q71" s="928">
        <f>SUM(Q69:Q70)</f>
        <v>0</v>
      </c>
      <c r="R71" s="949"/>
      <c r="S71" s="949"/>
    </row>
    <row r="72" spans="1:20">
      <c r="A72" s="7"/>
      <c r="B72" s="968"/>
      <c r="C72" s="968"/>
      <c r="D72" s="969"/>
      <c r="E72" s="7"/>
      <c r="F72" s="7"/>
      <c r="G72" s="7"/>
      <c r="H72" s="134"/>
      <c r="I72" s="134"/>
      <c r="J72" s="134"/>
      <c r="K72" s="7"/>
      <c r="L72" s="994"/>
      <c r="M72" s="134"/>
      <c r="N72" s="134"/>
      <c r="O72" s="134"/>
      <c r="P72" s="262"/>
      <c r="Q72" s="134"/>
      <c r="R72" s="949"/>
      <c r="S72" s="949"/>
    </row>
    <row r="73" spans="1:20">
      <c r="A73" s="2290" t="s">
        <v>713</v>
      </c>
      <c r="B73" s="2291"/>
      <c r="C73" s="935" t="s">
        <v>7</v>
      </c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7"/>
      <c r="R73" s="949"/>
      <c r="S73" s="949"/>
    </row>
    <row r="74" spans="1:20">
      <c r="A74" s="685" t="s">
        <v>1</v>
      </c>
      <c r="B74" s="723" t="s">
        <v>100</v>
      </c>
      <c r="C74" s="687" t="s">
        <v>97</v>
      </c>
      <c r="D74" s="724" t="s">
        <v>95</v>
      </c>
      <c r="E74" s="137" t="s">
        <v>494</v>
      </c>
      <c r="F74" s="138" t="s">
        <v>495</v>
      </c>
      <c r="G74" s="139" t="s">
        <v>496</v>
      </c>
      <c r="H74" s="140" t="s">
        <v>101</v>
      </c>
      <c r="I74" s="141" t="s">
        <v>98</v>
      </c>
      <c r="J74" s="141" t="s">
        <v>96</v>
      </c>
      <c r="K74" s="141" t="s">
        <v>715</v>
      </c>
      <c r="L74" s="216" t="s">
        <v>716</v>
      </c>
      <c r="M74" s="217">
        <v>0</v>
      </c>
      <c r="N74" s="218">
        <v>1</v>
      </c>
      <c r="O74" s="218">
        <v>2</v>
      </c>
      <c r="P74" s="218">
        <v>3</v>
      </c>
      <c r="Q74" s="219" t="s">
        <v>1367</v>
      </c>
      <c r="R74" s="949"/>
      <c r="S74" s="949"/>
    </row>
    <row r="75" spans="1:20">
      <c r="A75" s="936" t="s">
        <v>8</v>
      </c>
      <c r="B75" s="937">
        <f>VLOOKUP(A75,'Индивидуальный план'!$J$5:$L$14,2,0)</f>
        <v>575</v>
      </c>
      <c r="C75" s="937">
        <f>VLOOKUP(A75,'Индивидуальный план'!$J$5:$L$14,3,0)</f>
        <v>49457438.602499999</v>
      </c>
      <c r="D75" s="938"/>
      <c r="E75" s="148">
        <f>SUMIFS(февр231411131617[м2],февр231411131617[МОП],$A75,февр231411131617[№ дома],$C$73,февр231411131617[Ком],"&lt;&gt;Офис")</f>
        <v>358.27</v>
      </c>
      <c r="F75" s="939">
        <f>SUMIFS(февр231411131617[сумма без отделки],февр231411131617[МОП],$A75,февр231411131617[№ дома],$C$73,февр231411131617[Ком],"&lt;&gt;Офис")</f>
        <v>32046730.069999997</v>
      </c>
      <c r="G75" s="940">
        <f>COUNTIFS(февр231411131617[МОП],$A75,февр231411131617[№ дома],$C$73,февр231411131617[Ком],"&lt;&gt;Офис")</f>
        <v>7</v>
      </c>
      <c r="H75" s="148">
        <f>SUMIFS(РД[S],РД[Дом],$C$73,РД[МОП],A75,РД[Дата подачи на регистрацию],"&lt;="&amp;$A$1,РД[Дата подачи на регистрацию],"&gt;="&amp;DATE(YEAR($A$1),MONTH($A$1),1),РД[Состояние],"Продажа")</f>
        <v>358.27</v>
      </c>
      <c r="I75" s="149">
        <f>SUMIFS(РД[Стоимость без отделки итог],РД[Дом],$C$73,РД[МОП],A75,РД[Дата подачи на регистрацию],"&lt;="&amp;$A$1,РД[Дата подачи на регистрацию],"&gt;="&amp;DATE(YEAR($A$1),MONTH($A$1),1),РД[Состояние],"Продажа")</f>
        <v>31485120.07</v>
      </c>
      <c r="J75" s="220">
        <f>COUNTIFS(РД[Дом],$C$73,РД[МОП],A75,РД[Дата подачи на регистрацию],"&lt;="&amp;$A$1,РД[Дата подачи на регистрацию],"&gt;="&amp;DATE(YEAR($A$1),MONTH($A$1),1),РД[Состояние],"Продажа")</f>
        <v>7</v>
      </c>
      <c r="K75" s="943">
        <f t="shared" ref="K75:L76" si="3">IFERROR(H75/B75,"")</f>
        <v>0.62307826086956519</v>
      </c>
      <c r="L75" s="944">
        <f t="shared" si="3"/>
        <v>0.63661040603118646</v>
      </c>
      <c r="M75" s="148">
        <f>COUNTIFS(РД[Тип кв],M$62,РД[МОП],$A75,РД[Дом],$C$73,РД[Дата подачи на регистрацию],"&lt;="&amp;$A$1,РД[Дата подачи на регистрацию],"&gt;="&amp;DATE(YEAR($A$1),MONTH($A$1),1))</f>
        <v>2</v>
      </c>
      <c r="N75" s="220">
        <f>COUNTIFS(РД[Тип кв],N$62,РД[МОП],$A75,РД[Дом],$C$73,РД[Дата подачи на регистрацию],"&lt;="&amp;$A$1,РД[Дата подачи на регистрацию],"&gt;="&amp;DATE(YEAR($A$1),MONTH($A$1),1))</f>
        <v>1</v>
      </c>
      <c r="O75" s="220">
        <f>COUNTIFS(РД[Тип кв],O$62,РД[МОП],$A75,РД[Дом],$C$73,РД[Дата подачи на регистрацию],"&lt;="&amp;$A$1,РД[Дата подачи на регистрацию],"&gt;="&amp;DATE(YEAR($A$1),MONTH($A$1),1))</f>
        <v>2</v>
      </c>
      <c r="P75" s="220">
        <f>COUNTIFS(РД[Тип кв],P$62,РД[МОП],$A75,РД[Дом],$C$73,РД[Дата подачи на регистрацию],"&lt;="&amp;$A$1,РД[Дата подачи на регистрацию],"&gt;="&amp;DATE(YEAR($A$1),MONTH($A$1),1))</f>
        <v>2</v>
      </c>
      <c r="Q75" s="223">
        <f>COUNTIFS(РД[Тип кв],Q$62,РД[МОП],$A75,РД[Дом],$C$73,РД[Дата подачи на регистрацию],"&lt;="&amp;$A$1,РД[Дата подачи на регистрацию],"&gt;="&amp;DATE(YEAR($A$1),MONTH($A$1),1))</f>
        <v>0</v>
      </c>
      <c r="R75" s="949"/>
      <c r="S75" s="949"/>
    </row>
    <row r="76" spans="1:20">
      <c r="A76" s="952" t="s">
        <v>77</v>
      </c>
      <c r="B76" s="937">
        <f>VLOOKUP(A76,'Индивидуальный план'!$J$5:$L$14,2,0)</f>
        <v>575</v>
      </c>
      <c r="C76" s="937">
        <f>VLOOKUP(A76,'Индивидуальный план'!$J$5:$L$14,3,0)</f>
        <v>49457438.602499999</v>
      </c>
      <c r="D76" s="953"/>
      <c r="E76" s="148">
        <f>SUMIFS(февр231411131617[м2],февр231411131617[МОП],$A76,февр231411131617[№ дома],$C$73,февр231411131617[Ком],"&lt;&gt;Офис")</f>
        <v>770.43000000000006</v>
      </c>
      <c r="F76" s="939">
        <f>SUMIFS(февр231411131617[сумма без отделки],февр231411131617[МОП],$A76,февр231411131617[№ дома],$C$73,февр231411131617[Ком],"&lt;&gt;Офис")</f>
        <v>67256044.109999999</v>
      </c>
      <c r="G76" s="940">
        <f>COUNTIFS(февр231411131617[МОП],$A76,февр231411131617[№ дома],$C$73,февр231411131617[Ком],"&lt;&gt;Офис")</f>
        <v>15</v>
      </c>
      <c r="H76" s="148">
        <f>SUMIFS(РД[S],РД[Дом],$C$73,РД[МОП],A76,РД[Дата подачи на регистрацию],"&lt;="&amp;$A$1,РД[Дата подачи на регистрацию],"&gt;="&amp;DATE(YEAR($A$1),MONTH($A$1),1),РД[Состояние],"Продажа")</f>
        <v>840.67000000000007</v>
      </c>
      <c r="I76" s="149">
        <f>SUMIFS(РД[Стоимость без отделки итог],РД[Дом],$C$73,РД[МОП],A76,РД[Дата подачи на регистрацию],"&lt;="&amp;$A$1,РД[Дата подачи на регистрацию],"&gt;="&amp;DATE(YEAR($A$1),MONTH($A$1),1),РД[Состояние],"Продажа")</f>
        <v>73498466.030000001</v>
      </c>
      <c r="J76" s="220">
        <f>COUNTIFS(РД[Дом],$C$73,РД[МОП],A76,РД[Дата подачи на регистрацию],"&lt;="&amp;$A$1,РД[Дата подачи на регистрацию],"&gt;="&amp;DATE(YEAR($A$1),MONTH($A$1),1),РД[Состояние],"Продажа")</f>
        <v>17</v>
      </c>
      <c r="K76" s="987">
        <f t="shared" si="3"/>
        <v>1.4620347826086957</v>
      </c>
      <c r="L76" s="988">
        <f t="shared" si="3"/>
        <v>1.4860952792303475</v>
      </c>
      <c r="M76" s="202">
        <f>COUNTIFS(РД[Тип кв],M$62,РД[МОП],$A76,РД[Дом],$C$73,РД[Дата подачи на регистрацию],"&lt;="&amp;$A$1,РД[Дата подачи на регистрацию],"&gt;="&amp;DATE(YEAR($A$1),MONTH($A$1),1))</f>
        <v>2</v>
      </c>
      <c r="N76" s="226">
        <f>COUNTIFS(РД[Тип кв],N$62,РД[МОП],$A76,РД[Дом],$C$73,РД[Дата подачи на регистрацию],"&lt;="&amp;$A$1,РД[Дата подачи на регистрацию],"&gt;="&amp;DATE(YEAR($A$1),MONTH($A$1),1))</f>
        <v>8</v>
      </c>
      <c r="O76" s="226">
        <f>COUNTIFS(РД[Тип кв],O$62,РД[МОП],$A76,РД[Дом],$C$73,РД[Дата подачи на регистрацию],"&lt;="&amp;$A$1,РД[Дата подачи на регистрацию],"&gt;="&amp;DATE(YEAR($A$1),MONTH($A$1),1))</f>
        <v>5</v>
      </c>
      <c r="P76" s="226">
        <f>COUNTIFS(РД[Тип кв],P$62,РД[МОП],$A76,РД[Дом],$C$73,РД[Дата подачи на регистрацию],"&lt;="&amp;$A$1,РД[Дата подачи на регистрацию],"&gt;="&amp;DATE(YEAR($A$1),MONTH($A$1),1))</f>
        <v>2</v>
      </c>
      <c r="Q76" s="227">
        <f>COUNTIFS(РД[Тип кв],Q$62,РД[МОП],$A76,РД[Дом],$C$73,РД[Дата подачи на регистрацию],"&lt;="&amp;$A$1,РД[Дата подачи на регистрацию],"&gt;="&amp;DATE(YEAR($A$1),MONTH($A$1),1))</f>
        <v>0</v>
      </c>
      <c r="R76" s="949"/>
      <c r="S76" s="949"/>
    </row>
    <row r="77" spans="1:20">
      <c r="A77" s="956" t="s">
        <v>1233</v>
      </c>
      <c r="B77" s="937">
        <f>VLOOKUP(A77,'Индивидуальный план'!$J$5:$L$14,2,0)</f>
        <v>575</v>
      </c>
      <c r="C77" s="937">
        <f>VLOOKUP(A77,'Индивидуальный план'!$J$5:$L$14,3,0)</f>
        <v>49457438.602499999</v>
      </c>
      <c r="D77" s="953"/>
      <c r="E77" s="148">
        <f>SUMIFS(февр231411131617[м2],февр231411131617[МОП],$A77,февр231411131617[№ дома],$C$73,февр231411131617[Ком],"&lt;&gt;Офис")</f>
        <v>333.15999999999997</v>
      </c>
      <c r="F77" s="939">
        <f>SUMIFS(февр231411131617[сумма без отделки],февр231411131617[МОП],$A77,февр231411131617[№ дома],$C$73,февр231411131617[Ком],"&lt;&gt;Офис")</f>
        <v>29956059.890000001</v>
      </c>
      <c r="G77" s="940">
        <f>COUNTIFS(февр231411131617[МОП],$A77,февр231411131617[№ дома],$C$73,февр231411131617[Ком],"&lt;&gt;Офис")</f>
        <v>8</v>
      </c>
      <c r="H77" s="148">
        <f>SUMIFS(РД[S],РД[Дом],$C$73,РД[МОП],A77,РД[Дата подачи на регистрацию],"&lt;="&amp;$A$1,РД[Дата подачи на регистрацию],"&gt;="&amp;DATE(YEAR($A$1),MONTH($A$1),1),РД[Состояние],"Продажа")</f>
        <v>333.15999999999997</v>
      </c>
      <c r="I77" s="149">
        <f>SUMIFS(РД[Стоимость без отделки итог],РД[Дом],$C$73,РД[МОП],A77,РД[Дата подачи на регистрацию],"&lt;="&amp;$A$1,РД[Дата подачи на регистрацию],"&gt;="&amp;DATE(YEAR($A$1),MONTH($A$1),1),РД[Состояние],"Продажа")</f>
        <v>29906829.890000001</v>
      </c>
      <c r="J77" s="220">
        <f>COUNTIFS(РД[Дом],$C$73,РД[МОП],A77,РД[Дата подачи на регистрацию],"&lt;="&amp;$A$1,РД[Дата подачи на регистрацию],"&gt;="&amp;DATE(YEAR($A$1),MONTH($A$1),1),РД[Состояние],"Продажа")</f>
        <v>8</v>
      </c>
      <c r="K77" s="987">
        <f t="shared" ref="K77:K78" si="4">IFERROR(H77/B77,"")</f>
        <v>0.5794086956521739</v>
      </c>
      <c r="L77" s="988">
        <f t="shared" ref="L77:L78" si="5">IFERROR(I77/C77,"")</f>
        <v>0.6046983170796123</v>
      </c>
      <c r="M77" s="202">
        <f>COUNTIFS(РД[Тип кв],M$62,РД[МОП],$A77,РД[Дом],$C$73,РД[Дата подачи на регистрацию],"&lt;="&amp;$A$1,РД[Дата подачи на регистрацию],"&gt;="&amp;DATE(YEAR($A$1),MONTH($A$1),1))</f>
        <v>2</v>
      </c>
      <c r="N77" s="226">
        <f>COUNTIFS(РД[Тип кв],N$62,РД[МОП],$A77,РД[Дом],$C$73,РД[Дата подачи на регистрацию],"&lt;="&amp;$A$1,РД[Дата подачи на регистрацию],"&gt;="&amp;DATE(YEAR($A$1),MONTH($A$1),1))</f>
        <v>4</v>
      </c>
      <c r="O77" s="226">
        <f>COUNTIFS(РД[Тип кв],O$62,РД[МОП],$A77,РД[Дом],$C$73,РД[Дата подачи на регистрацию],"&lt;="&amp;$A$1,РД[Дата подачи на регистрацию],"&gt;="&amp;DATE(YEAR($A$1),MONTH($A$1),1))</f>
        <v>2</v>
      </c>
      <c r="P77" s="226">
        <f>COUNTIFS(РД[Тип кв],P$62,РД[МОП],$A77,РД[Дом],$C$73,РД[Дата подачи на регистрацию],"&lt;="&amp;$A$1,РД[Дата подачи на регистрацию],"&gt;="&amp;DATE(YEAR($A$1),MONTH($A$1),1))</f>
        <v>0</v>
      </c>
      <c r="Q77" s="227">
        <f>COUNTIFS(РД[Тип кв],Q$62,РД[МОП],$A77,РД[Дом],$C$73,РД[Дата подачи на регистрацию],"&lt;="&amp;$A$1,РД[Дата подачи на регистрацию],"&gt;="&amp;DATE(YEAR($A$1),MONTH($A$1),1))</f>
        <v>0</v>
      </c>
      <c r="R77" s="949"/>
      <c r="S77" s="949"/>
    </row>
    <row r="78" spans="1:20">
      <c r="A78" s="956" t="s">
        <v>20</v>
      </c>
      <c r="B78" s="937">
        <f>VLOOKUP(A78,'Индивидуальный план'!$J$5:$L$14,2,0)</f>
        <v>267</v>
      </c>
      <c r="C78" s="937">
        <f>VLOOKUP(A78,'Индивидуальный план'!$J$5:$L$14,3,0)</f>
        <v>22965454.098900001</v>
      </c>
      <c r="D78" s="953"/>
      <c r="E78" s="148">
        <f>SUMIFS(февр231411131617[м2],февр231411131617[МОП],$A78,февр231411131617[№ дома],$C$73,февр231411131617[Ком],"&lt;&gt;Офис")</f>
        <v>21.75</v>
      </c>
      <c r="F78" s="939">
        <f>SUMIFS(февр231411131617[сумма без отделки],февр231411131617[МОП],$A78,февр231411131617[№ дома],$C$73,февр231411131617[Ком],"&lt;&gt;Офис")</f>
        <v>2321358.36</v>
      </c>
      <c r="G78" s="940">
        <f>COUNTIFS(февр231411131617[МОП],$A78,февр231411131617[№ дома],$C$73,февр231411131617[Ком],"&lt;&gt;Офис")</f>
        <v>1</v>
      </c>
      <c r="H78" s="148">
        <f>SUMIFS(РД[S],РД[Дом],$C$73,РД[МОП],A78,РД[Дата подачи на регистрацию],"&lt;="&amp;$A$1,РД[Дата подачи на регистрацию],"&gt;="&amp;DATE(YEAR($A$1),MONTH($A$1),1),РД[Состояние],"Продажа")</f>
        <v>21.75</v>
      </c>
      <c r="I78" s="149">
        <f>SUMIFS(РД[Стоимость без отделки итог],РД[Дом],$C$73,РД[МОП],A78,РД[Дата подачи на регистрацию],"&lt;="&amp;$A$1,РД[Дата подачи на регистрацию],"&gt;="&amp;DATE(YEAR($A$1),MONTH($A$1),1),РД[Состояние],"Продажа")</f>
        <v>2310483.36</v>
      </c>
      <c r="J78" s="220">
        <f>COUNTIFS(РД[Дом],$C$73,РД[МОП],A78,РД[Дата подачи на регистрацию],"&lt;="&amp;$A$1,РД[Дата подачи на регистрацию],"&gt;="&amp;DATE(YEAR($A$1),MONTH($A$1),1),РД[Состояние],"Продажа")</f>
        <v>1</v>
      </c>
      <c r="K78" s="987">
        <f t="shared" si="4"/>
        <v>8.1460674157303375E-2</v>
      </c>
      <c r="L78" s="988">
        <f t="shared" si="5"/>
        <v>0.10060690940618794</v>
      </c>
      <c r="M78" s="202">
        <f>COUNTIFS(РД[Тип кв],M$62,РД[МОП],$A78,РД[Дом],$C$73,РД[Дата подачи на регистрацию],"&lt;="&amp;$A$1,РД[Дата подачи на регистрацию],"&gt;="&amp;DATE(YEAR($A$1),MONTH($A$1),1))</f>
        <v>1</v>
      </c>
      <c r="N78" s="226">
        <f>COUNTIFS(РД[Тип кв],N$62,РД[МОП],$A78,РД[Дом],$C$73,РД[Дата подачи на регистрацию],"&lt;="&amp;$A$1,РД[Дата подачи на регистрацию],"&gt;="&amp;DATE(YEAR($A$1),MONTH($A$1),1))</f>
        <v>0</v>
      </c>
      <c r="O78" s="226">
        <f>COUNTIFS(РД[Тип кв],O$62,РД[МОП],$A78,РД[Дом],$C$73,РД[Дата подачи на регистрацию],"&lt;="&amp;$A$1,РД[Дата подачи на регистрацию],"&gt;="&amp;DATE(YEAR($A$1),MONTH($A$1),1))</f>
        <v>0</v>
      </c>
      <c r="P78" s="226">
        <f>COUNTIFS(РД[Тип кв],P$62,РД[МОП],$A78,РД[Дом],$C$73,РД[Дата подачи на регистрацию],"&lt;="&amp;$A$1,РД[Дата подачи на регистрацию],"&gt;="&amp;DATE(YEAR($A$1),MONTH($A$1),1))</f>
        <v>0</v>
      </c>
      <c r="Q78" s="227">
        <f>COUNTIFS(РД[Тип кв],Q$62,РД[МОП],$A78,РД[Дом],$C$73,РД[Дата подачи на регистрацию],"&lt;="&amp;$A$1,РД[Дата подачи на регистрацию],"&gt;="&amp;DATE(YEAR($A$1),MONTH($A$1),1))</f>
        <v>0</v>
      </c>
      <c r="R78" s="949"/>
      <c r="S78" s="949"/>
    </row>
    <row r="79" spans="1:20" ht="14.25" customHeight="1">
      <c r="A79" s="960" t="s">
        <v>114</v>
      </c>
      <c r="B79" s="961">
        <f t="shared" ref="B79:J79" si="6">SUM(B75:B78)</f>
        <v>1992</v>
      </c>
      <c r="C79" s="961">
        <f t="shared" si="6"/>
        <v>171337769.9064</v>
      </c>
      <c r="D79" s="962">
        <f t="shared" si="6"/>
        <v>0</v>
      </c>
      <c r="E79" s="963">
        <f t="shared" si="6"/>
        <v>1483.6100000000001</v>
      </c>
      <c r="F79" s="964">
        <f t="shared" si="6"/>
        <v>131580192.42999999</v>
      </c>
      <c r="G79" s="965">
        <f t="shared" si="6"/>
        <v>31</v>
      </c>
      <c r="H79" s="961">
        <f t="shared" si="6"/>
        <v>1553.85</v>
      </c>
      <c r="I79" s="964">
        <f t="shared" si="6"/>
        <v>137200899.35000002</v>
      </c>
      <c r="J79" s="962">
        <f t="shared" si="6"/>
        <v>33</v>
      </c>
      <c r="K79" s="419">
        <f>IFERROR(H79/B79,)</f>
        <v>0.78004518072289153</v>
      </c>
      <c r="L79" s="420">
        <f>IFERROR(I79/C79,)</f>
        <v>0.8007627239747046</v>
      </c>
      <c r="M79" s="473">
        <f>SUM(M75:M78)</f>
        <v>7</v>
      </c>
      <c r="N79" s="494">
        <f>SUM(N75:N78)</f>
        <v>13</v>
      </c>
      <c r="O79" s="494">
        <f>SUM(O75:O78)</f>
        <v>9</v>
      </c>
      <c r="P79" s="989">
        <f>SUM(P75:P78)</f>
        <v>4</v>
      </c>
      <c r="Q79" s="497">
        <f>SUM(Q75:Q78)</f>
        <v>0</v>
      </c>
      <c r="R79" s="949"/>
      <c r="S79" s="949"/>
    </row>
    <row r="80" spans="1:20">
      <c r="A80" s="685" t="s">
        <v>115</v>
      </c>
      <c r="B80" s="723" t="s">
        <v>100</v>
      </c>
      <c r="C80" s="693" t="s">
        <v>97</v>
      </c>
      <c r="D80" s="724" t="s">
        <v>95</v>
      </c>
      <c r="E80" s="137" t="s">
        <v>494</v>
      </c>
      <c r="F80" s="138" t="s">
        <v>495</v>
      </c>
      <c r="G80" s="139" t="s">
        <v>496</v>
      </c>
      <c r="H80" s="140" t="s">
        <v>101</v>
      </c>
      <c r="I80" s="141" t="s">
        <v>98</v>
      </c>
      <c r="J80" s="141" t="s">
        <v>96</v>
      </c>
      <c r="K80" s="495" t="s">
        <v>715</v>
      </c>
      <c r="L80" s="896" t="s">
        <v>716</v>
      </c>
      <c r="M80" s="995">
        <v>0</v>
      </c>
      <c r="N80" s="996">
        <v>1</v>
      </c>
      <c r="O80" s="996">
        <v>2</v>
      </c>
      <c r="P80" s="996">
        <v>3</v>
      </c>
      <c r="Q80" s="219" t="s">
        <v>1367</v>
      </c>
      <c r="R80" s="949"/>
      <c r="S80" s="949"/>
    </row>
    <row r="81" spans="1:19">
      <c r="A81" s="936" t="s">
        <v>16</v>
      </c>
      <c r="B81" s="937">
        <f>VLOOKUP(A81,'Индивидуальный план'!$J$5:$L$14,2,0)</f>
        <v>854</v>
      </c>
      <c r="C81" s="937">
        <f>VLOOKUP(A81,'Индивидуальный план'!$J$5:$L$14,3,0)</f>
        <v>73455047.941799998</v>
      </c>
      <c r="D81" s="417"/>
      <c r="E81" s="966">
        <f>SUMIFS(февр231411131617[м2],февр231411131617[ИМ],A81,февр231411131617[№ дома],$C$73,февр231411131617[Ком],"&lt;&gt;Офис")</f>
        <v>759.52</v>
      </c>
      <c r="F81" s="149">
        <f>SUMIFS(февр231411131617[сумма без отделки],февр231411131617[ИМ],$A81,февр231411131617[№ дома],$C$73,февр231411131617[Ком],"&lt;&gt;Офис")</f>
        <v>66810781.300000004</v>
      </c>
      <c r="G81" s="940">
        <f>COUNTIFS(февр231411131617[ИМ],$A81,февр231411131617[№ дома],$C$73,февр231411131617[Ком],"&lt;&gt;Офис")</f>
        <v>15</v>
      </c>
      <c r="H81" s="346">
        <f>SUMIFS(РД[S],РД[Дом],$C$73,РД[ИМ],A81,РД[Дата подачи на регистрацию],"&lt;="&amp;$A$1,РД[Дата подачи на регистрацию],"&gt;="&amp;DATE(YEAR($A$1),MONTH($A$1),1),РД[Состояние],"Продажа")</f>
        <v>759.51999999999987</v>
      </c>
      <c r="I81" s="184">
        <f>SUMIFS(РД[Стоимость без отделки итог],РД[Дом],$C$73,РД[ИМ],A81,РД[Дата подачи на регистрацию],"&lt;="&amp;$A$1,РД[Дата подачи на регистрацию],"&gt;="&amp;DATE(YEAR($A$1),MONTH($A$1),1),РД[Состояние],"Продажа")</f>
        <v>66152696.299999997</v>
      </c>
      <c r="J81" s="243">
        <f>COUNTIFS(РД[Дом],$C$73,РД[ИМ],A81,РД[Дата подачи на регистрацию],"&lt;="&amp;$A$1,РД[Дата подачи на регистрацию],"&gt;="&amp;DATE(YEAR($A$1),MONTH($A$1),1),РД[Состояние],"Продажа")</f>
        <v>15</v>
      </c>
      <c r="K81" s="990">
        <f t="shared" ref="K81:L83" si="7">IFERROR(H81/B81,"")</f>
        <v>0.88936768149882883</v>
      </c>
      <c r="L81" s="991">
        <f t="shared" si="7"/>
        <v>0.90058747701606823</v>
      </c>
      <c r="M81" s="183">
        <f>COUNTIFS(РД[Тип кв],M$62,РД[ИМ],$A81,РД[Дом],$C$73,РД[Дата подачи на регистрацию],"&lt;="&amp;$A$1,РД[Дата подачи на регистрацию],"&gt;="&amp;DATE(YEAR($A$1),MONTH($A$1),1))</f>
        <v>3</v>
      </c>
      <c r="N81" s="243">
        <f>COUNTIFS(РД[Тип кв],N$62,РД[ИМ],$A81,РД[Дом],$C$73,РД[Дата подачи на регистрацию],"&lt;="&amp;$A$1,РД[Дата подачи на регистрацию],"&gt;="&amp;DATE(YEAR($A$1),MONTH($A$1),1))</f>
        <v>5</v>
      </c>
      <c r="O81" s="243">
        <f>COUNTIFS(РД[Тип кв],O$62,РД[ИМ],$A81,РД[Дом],$C$73,РД[Дата подачи на регистрацию],"&lt;="&amp;$A$1,РД[Дата подачи на регистрацию],"&gt;="&amp;DATE(YEAR($A$1),MONTH($A$1),1))</f>
        <v>5</v>
      </c>
      <c r="P81" s="243">
        <f>COUNTIFS(РД[Тип кв],P$62,РД[ИМ],$A81,РД[Дом],$C$73,РД[Дата подачи на регистрацию],"&lt;="&amp;$A$1,РД[Дата подачи на регистрацию],"&gt;="&amp;DATE(YEAR($A$1),MONTH($A$1),1))</f>
        <v>2</v>
      </c>
      <c r="Q81" s="246">
        <f>COUNTIFS(РД[Тип кв],Q$62,РД[ИМ],$A81,РД[Дом],$C$73,РД[Дата подачи на регистрацию],"&lt;="&amp;$A$1,РД[Дата подачи на регистрацию],"&gt;="&amp;DATE(YEAR($A$1),MONTH($A$1),1))</f>
        <v>0</v>
      </c>
      <c r="R81" s="949"/>
      <c r="S81" s="949"/>
    </row>
    <row r="82" spans="1:19">
      <c r="A82" s="956" t="s">
        <v>22</v>
      </c>
      <c r="B82" s="937">
        <f>VLOOKUP(A82,'Индивидуальный план'!$J$5:$L$14,2,0)</f>
        <v>540</v>
      </c>
      <c r="C82" s="937">
        <f>VLOOKUP(A82,'Индивидуальный план'!$J$5:$L$14,3,0)</f>
        <v>46446985.818000004</v>
      </c>
      <c r="D82" s="518"/>
      <c r="E82" s="966">
        <f>SUMIFS(февр231411131617[м2],февр231411131617[ИМ],A82,февр231411131617[№ дома],$C$73,февр231411131617[Ком],"&lt;&gt;Офис")</f>
        <v>570.68000000000018</v>
      </c>
      <c r="F82" s="149">
        <f>SUMIFS(февр231411131617[сумма без отделки],февр231411131617[ИМ],$A82,февр231411131617[№ дома],$C$73,февр231411131617[Ком],"&lt;&gt;Офис")</f>
        <v>49803901.509999998</v>
      </c>
      <c r="G82" s="940">
        <f>COUNTIFS(февр231411131617[ИМ],$A82,февр231411131617[№ дома],$C$73,февр231411131617[Ком],"&lt;&gt;Офис")</f>
        <v>11</v>
      </c>
      <c r="H82" s="426">
        <f>SUMIFS(РД[S],РД[Дом],$C$73,РД[ИМ],A82,РД[Дата подачи на регистрацию],"&lt;="&amp;$A$1,РД[Дата подачи на регистрацию],"&gt;="&amp;DATE(YEAR($A$1),MONTH($A$1),1),РД[Состояние],"Продажа")</f>
        <v>570.68000000000018</v>
      </c>
      <c r="I82" s="196">
        <f>SUMIFS(РД[Стоимость без отделки итог],РД[Дом],$C$73,РД[ИМ],A82,РД[Дата подачи на регистрацию],"&lt;="&amp;$A$1,РД[Дата подачи на регистрацию],"&gt;="&amp;DATE(YEAR($A$1),MONTH($A$1),1),РД[Состояние],"Продажа")</f>
        <v>49528426.509999998</v>
      </c>
      <c r="J82" s="251">
        <f>COUNTIFS(РД[Дом],$C$73,РД[ИМ],A82,РД[Дата подачи на регистрацию],"&lt;="&amp;$A$1,РД[Дата подачи на регистрацию],"&gt;="&amp;DATE(YEAR($A$1),MONTH($A$1),1),РД[Состояние],"Продажа")</f>
        <v>11</v>
      </c>
      <c r="K82" s="992">
        <f t="shared" si="7"/>
        <v>1.0568148148148151</v>
      </c>
      <c r="L82" s="993">
        <f t="shared" si="7"/>
        <v>1.0663431789540543</v>
      </c>
      <c r="M82" s="358">
        <f>COUNTIFS(РД[Тип кв],M$62,РД[ИМ],$A82,РД[Дом],$C$73,РД[Дата подачи на регистрацию],"&lt;="&amp;$A$1,РД[Дата подачи на регистрацию],"&gt;="&amp;DATE(YEAR($A$1),MONTH($A$1),1))</f>
        <v>1</v>
      </c>
      <c r="N82" s="330">
        <f>COUNTIFS(РД[Тип кв],N$62,РД[ИМ],$A82,РД[Дом],$C$73,РД[Дата подачи на регистрацию],"&lt;="&amp;$A$1,РД[Дата подачи на регистрацию],"&gt;="&amp;DATE(YEAR($A$1),MONTH($A$1),1))</f>
        <v>4</v>
      </c>
      <c r="O82" s="330">
        <f>COUNTIFS(РД[Тип кв],O$62,РД[ИМ],$A82,РД[Дом],$C$73,РД[Дата подачи на регистрацию],"&lt;="&amp;$A$1,РД[Дата подачи на регистрацию],"&gt;="&amp;DATE(YEAR($A$1),MONTH($A$1),1))</f>
        <v>4</v>
      </c>
      <c r="P82" s="330">
        <f>COUNTIFS(РД[Тип кв],P$62,РД[ИМ],$A82,РД[Дом],$C$73,РД[Дата подачи на регистрацию],"&lt;="&amp;$A$1,РД[Дата подачи на регистрацию],"&gt;="&amp;DATE(YEAR($A$1),MONTH($A$1),1))</f>
        <v>2</v>
      </c>
      <c r="Q82" s="331">
        <f>COUNTIFS(РД[Тип кв],Q$62,РД[ИМ],$A82,РД[Дом],$C$73,РД[Дата подачи на регистрацию],"&lt;="&amp;$A$1,РД[Дата подачи на регистрацию],"&gt;="&amp;DATE(YEAR($A$1),MONTH($A$1),1))</f>
        <v>0</v>
      </c>
      <c r="R82" s="949"/>
      <c r="S82" s="949"/>
    </row>
    <row r="83" spans="1:19">
      <c r="A83" s="409" t="s">
        <v>114</v>
      </c>
      <c r="B83" s="961">
        <f t="shared" ref="B83:Q83" si="8">SUM(B81:B82)</f>
        <v>1394</v>
      </c>
      <c r="C83" s="961">
        <f t="shared" si="8"/>
        <v>119902033.7598</v>
      </c>
      <c r="D83" s="970">
        <f t="shared" si="8"/>
        <v>0</v>
      </c>
      <c r="E83" s="473">
        <f t="shared" si="8"/>
        <v>1330.2000000000003</v>
      </c>
      <c r="F83" s="429">
        <f t="shared" si="8"/>
        <v>116614682.81</v>
      </c>
      <c r="G83" s="497">
        <f t="shared" si="8"/>
        <v>26</v>
      </c>
      <c r="H83" s="473">
        <f t="shared" si="8"/>
        <v>1330.2</v>
      </c>
      <c r="I83" s="429">
        <f t="shared" si="8"/>
        <v>115681122.81</v>
      </c>
      <c r="J83" s="494">
        <f t="shared" si="8"/>
        <v>26</v>
      </c>
      <c r="K83" s="419">
        <f t="shared" si="7"/>
        <v>0.95423242467718794</v>
      </c>
      <c r="L83" s="420">
        <f t="shared" si="7"/>
        <v>0.96479700287439862</v>
      </c>
      <c r="M83" s="473">
        <f t="shared" si="8"/>
        <v>4</v>
      </c>
      <c r="N83" s="494">
        <f t="shared" si="8"/>
        <v>9</v>
      </c>
      <c r="O83" s="494">
        <f t="shared" si="8"/>
        <v>9</v>
      </c>
      <c r="P83" s="494">
        <f t="shared" si="8"/>
        <v>4</v>
      </c>
      <c r="Q83" s="497">
        <f t="shared" si="8"/>
        <v>0</v>
      </c>
      <c r="R83" s="949"/>
      <c r="S83" s="949"/>
    </row>
    <row r="84" spans="1:19">
      <c r="A84" s="134"/>
      <c r="B84" s="971"/>
      <c r="C84" s="971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R84" s="949"/>
      <c r="S84" s="949"/>
    </row>
    <row r="85" spans="1:19">
      <c r="A85" s="2293" t="s">
        <v>713</v>
      </c>
      <c r="B85" s="2294"/>
      <c r="C85" s="972" t="s">
        <v>13</v>
      </c>
      <c r="D85" s="973"/>
      <c r="E85" s="29"/>
      <c r="F85" s="29"/>
      <c r="G85" s="29"/>
      <c r="H85" s="974"/>
      <c r="I85" s="974"/>
      <c r="J85" s="974"/>
      <c r="K85" s="974"/>
      <c r="L85" s="974"/>
      <c r="M85" s="29"/>
      <c r="N85" s="29"/>
      <c r="O85" s="29"/>
      <c r="P85" s="29"/>
      <c r="Q85" s="86"/>
      <c r="R85" s="949"/>
      <c r="S85" s="949"/>
    </row>
    <row r="86" spans="1:19">
      <c r="A86" s="975" t="s">
        <v>1</v>
      </c>
      <c r="B86" s="976" t="s">
        <v>100</v>
      </c>
      <c r="C86" s="977" t="s">
        <v>97</v>
      </c>
      <c r="D86" s="978" t="s">
        <v>95</v>
      </c>
      <c r="E86" s="137" t="s">
        <v>494</v>
      </c>
      <c r="F86" s="477" t="s">
        <v>495</v>
      </c>
      <c r="G86" s="478" t="s">
        <v>496</v>
      </c>
      <c r="H86" s="479" t="s">
        <v>101</v>
      </c>
      <c r="I86" s="479" t="s">
        <v>98</v>
      </c>
      <c r="J86" s="479" t="s">
        <v>96</v>
      </c>
      <c r="K86" s="479" t="s">
        <v>715</v>
      </c>
      <c r="L86" s="479" t="s">
        <v>716</v>
      </c>
      <c r="M86" s="499">
        <v>0</v>
      </c>
      <c r="N86" s="340">
        <v>1</v>
      </c>
      <c r="O86" s="340">
        <v>2</v>
      </c>
      <c r="P86" s="340">
        <v>3</v>
      </c>
      <c r="Q86" s="500" t="s">
        <v>1367</v>
      </c>
      <c r="R86" s="949"/>
      <c r="S86" s="949"/>
    </row>
    <row r="87" spans="1:19">
      <c r="A87" s="936" t="s">
        <v>8</v>
      </c>
      <c r="B87" s="937">
        <f>VLOOKUP(A87,'Индивидуальный план'!$J$18:$L$25,2,0)</f>
        <v>0</v>
      </c>
      <c r="C87" s="937">
        <f>VLOOKUP(A87,'Индивидуальный план'!$J$18:$L$25,3,0)</f>
        <v>0</v>
      </c>
      <c r="D87" s="938"/>
      <c r="E87" s="148">
        <f>SUMIFS(февр231411131617[м2],февр231411131617[МОП],$A87,февр231411131617[№ дома],$C$85,февр231411131617[Ком],"&lt;&gt;Офис")</f>
        <v>0</v>
      </c>
      <c r="F87" s="939">
        <f>SUMIFS(февр231411131617[сумма без отделки],февр231411131617[МОП],$A87,февр231411131617[№ дома],$C$85,февр231411131617[Ком],"&lt;&gt;Офис")</f>
        <v>0</v>
      </c>
      <c r="G87" s="940">
        <f>COUNTIFS(февр231411131617[МОП],$A87,февр231411131617[№ дома],$C$85,февр231411131617[Ком],"&lt;&gt;Офис")</f>
        <v>0</v>
      </c>
      <c r="H87" s="145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0</v>
      </c>
      <c r="I87" s="149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0</v>
      </c>
      <c r="J87" s="220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0</v>
      </c>
      <c r="K87" s="943">
        <f t="shared" ref="K87:L91" si="9">IFERROR(H87/B87,)</f>
        <v>0</v>
      </c>
      <c r="L87" s="944">
        <f t="shared" si="9"/>
        <v>0</v>
      </c>
      <c r="M87" s="148">
        <f>COUNTIFS(РД[Тип кв],M$86,РД[МОП],$A87,РД[Дом],$C$85,РД[Дата подачи на регистрацию],"&lt;="&amp;$A$1,РД[Дата подачи на регистрацию],"&gt;="&amp;DATE(YEAR($A$1),MONTH($A$1),1))</f>
        <v>0</v>
      </c>
      <c r="N87" s="220">
        <f>COUNTIFS(РД[Тип кв],N$86,РД[МОП],$A87,РД[Дом],$C$85,РД[Дата подачи на регистрацию],"&lt;="&amp;$A$1,РД[Дата подачи на регистрацию],"&gt;="&amp;DATE(YEAR($A$1),MONTH($A$1),1))</f>
        <v>0</v>
      </c>
      <c r="O87" s="220">
        <f>COUNTIFS(РД[Тип кв],O$86,РД[МОП],$A87,РД[Дом],$C$85,РД[Дата подачи на регистрацию],"&lt;="&amp;$A$1,РД[Дата подачи на регистрацию],"&gt;="&amp;DATE(YEAR($A$1),MONTH($A$1),1))</f>
        <v>0</v>
      </c>
      <c r="P87" s="220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Q87" s="223">
        <f>COUNTIFS(РД[Тип кв],Q$86,РД[МОП],$A87,РД[Дом],$C$85,РД[Дата подачи на регистрацию],"&lt;="&amp;$A$1,РД[Дата подачи на регистрацию],"&gt;="&amp;DATE(YEAR($A$1),MONTH($A$1),1))</f>
        <v>0</v>
      </c>
      <c r="R87" s="949"/>
      <c r="S87" s="949"/>
    </row>
    <row r="88" spans="1:19">
      <c r="A88" s="952" t="s">
        <v>77</v>
      </c>
      <c r="B88" s="937">
        <f>VLOOKUP(A88,'Индивидуальный план'!$J$18:$L$25,2,0)</f>
        <v>0</v>
      </c>
      <c r="C88" s="937">
        <f>VLOOKUP(A88,'Индивидуальный план'!$J$18:$L$25,3,0)</f>
        <v>0</v>
      </c>
      <c r="D88" s="953"/>
      <c r="E88" s="202">
        <f>SUMIFS(февр231411131617[м2],февр231411131617[МОП],$A88,февр231411131617[№ дома],$C$85,февр231411131617[Ком],"&lt;&gt;Офис")</f>
        <v>0</v>
      </c>
      <c r="F88" s="954">
        <f>SUMIFS(февр231411131617[сумма без отделки],февр231411131617[МОП],$A88,февр231411131617[№ дома],$C$85,февр231411131617[Ком],"&lt;&gt;Офис")</f>
        <v>0</v>
      </c>
      <c r="G88" s="955">
        <f>COUNTIFS(февр231411131617[МОП],$A88,февр231411131617[№ дома],$C$85,февр231411131617[Ком],"&lt;&gt;Офис")</f>
        <v>0</v>
      </c>
      <c r="H88" s="145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149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0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K88" s="987">
        <f t="shared" si="9"/>
        <v>0</v>
      </c>
      <c r="L88" s="988">
        <f t="shared" si="9"/>
        <v>0</v>
      </c>
      <c r="M88" s="202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0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6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Q88" s="227">
        <f>COUNTIFS(РД[Тип кв],Q$86,РД[МОП],$A88,РД[Дом],$C$85,РД[Дата подачи на регистрацию],"&lt;="&amp;$A$1,РД[Дата подачи на регистрацию],"&gt;="&amp;DATE(YEAR($A$1),MONTH($A$1),1))</f>
        <v>0</v>
      </c>
      <c r="R88" s="949"/>
      <c r="S88" s="949"/>
    </row>
    <row r="89" spans="1:19">
      <c r="A89" s="956" t="s">
        <v>1233</v>
      </c>
      <c r="B89" s="937">
        <f>VLOOKUP(A89,'Индивидуальный план'!$J$18:$L$25,2,0)</f>
        <v>0</v>
      </c>
      <c r="C89" s="937">
        <f>VLOOKUP(A89,'Индивидуальный план'!$J$18:$L$25,3,0)</f>
        <v>0</v>
      </c>
      <c r="D89" s="957"/>
      <c r="E89" s="358">
        <f>SUMIFS(февр231411131617[м2],февр231411131617[МОП],$A89,февр231411131617[№ дома],$C$85,февр231411131617[Ком],"&lt;&gt;Офис")</f>
        <v>0</v>
      </c>
      <c r="F89" s="958">
        <f>SUMIFS(февр231411131617[сумма без отделки],февр231411131617[МОП],$A89,февр231411131617[№ дома],$C$85,февр231411131617[Ком],"&lt;&gt;Офис")</f>
        <v>0</v>
      </c>
      <c r="G89" s="959">
        <f>COUNTIFS(февр231411131617[МОП],$A89,февр231411131617[№ дома],$C$85,февр231411131617[Ком],"&lt;&gt;Офис")</f>
        <v>0</v>
      </c>
      <c r="H89" s="145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I89" s="149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J89" s="220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K89" s="987">
        <f t="shared" ref="K89" si="10">IFERROR(H89/B89,)</f>
        <v>0</v>
      </c>
      <c r="L89" s="988">
        <f t="shared" ref="L89" si="11">IFERROR(I89/C89,)</f>
        <v>0</v>
      </c>
      <c r="M89" s="195">
        <f>COUNTIFS(РД[Тип кв],M$86,РД[МОП],$A89,РД[Дом],$C$85,РД[Дата подачи на регистрацию],"&lt;="&amp;$A$1,РД[Дата подачи на регистрацию],"&gt;="&amp;DATE(YEAR($A$1),MONTH($A$1),1))</f>
        <v>0</v>
      </c>
      <c r="N89" s="251">
        <f>COUNTIFS(РД[Тип кв],N$86,РД[МОП],$A89,РД[Дом],$C$85,РД[Дата подачи на регистрацию],"&lt;="&amp;$A$1,РД[Дата подачи на регистрацию],"&gt;="&amp;DATE(YEAR($A$1),MONTH($A$1),1))</f>
        <v>0</v>
      </c>
      <c r="O89" s="251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251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Q89" s="254">
        <f>COUNTIFS(РД[Тип кв],Q$86,РД[МОП],$A89,РД[Дом],$C$85,РД[Дата подачи на регистрацию],"&lt;="&amp;$A$1,РД[Дата подачи на регистрацию],"&gt;="&amp;DATE(YEAR($A$1),MONTH($A$1),1))</f>
        <v>0</v>
      </c>
      <c r="R89" s="949"/>
      <c r="S89" s="949"/>
    </row>
    <row r="90" spans="1:19">
      <c r="A90" s="956" t="s">
        <v>20</v>
      </c>
      <c r="B90" s="937">
        <f>VLOOKUP(A90,'Индивидуальный план'!$J$18:$L$25,2,0)</f>
        <v>0</v>
      </c>
      <c r="C90" s="937">
        <f>VLOOKUP(A90,'Индивидуальный план'!$J$18:$L$25,3,0)</f>
        <v>0</v>
      </c>
      <c r="D90" s="957"/>
      <c r="E90" s="358">
        <f>SUMIFS(февр231411131617[м2],февр231411131617[МОП],$A90,февр231411131617[№ дома],$C$85,февр231411131617[Ком],"&lt;&gt;Офис")</f>
        <v>0</v>
      </c>
      <c r="F90" s="958">
        <f>SUMIFS(февр231411131617[сумма без отделки],февр231411131617[МОП],$A90,февр231411131617[№ дома],$C$85,февр231411131617[Ком],"&lt;&gt;Офис")</f>
        <v>0</v>
      </c>
      <c r="G90" s="959">
        <f>COUNTIFS(февр231411131617[МОП],$A90,февр231411131617[№ дома],$C$85,февр231411131617[Ком],"&lt;&gt;Офис")</f>
        <v>0</v>
      </c>
      <c r="H90" s="145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0</v>
      </c>
      <c r="I90" s="14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0</v>
      </c>
      <c r="J90" s="22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0</v>
      </c>
      <c r="K90" s="987">
        <f t="shared" si="9"/>
        <v>0</v>
      </c>
      <c r="L90" s="988">
        <f t="shared" si="9"/>
        <v>0</v>
      </c>
      <c r="M90" s="195">
        <f>COUNTIFS(РД[Тип кв],M$86,РД[МОП],$A90,РД[Дом],$C$85,РД[Дата подачи на регистрацию],"&lt;="&amp;$A$1,РД[Дата подачи на регистрацию],"&gt;="&amp;DATE(YEAR($A$1),MONTH($A$1),1))</f>
        <v>0</v>
      </c>
      <c r="N90" s="251">
        <f>COUNTIFS(РД[Тип кв],N$86,РД[МОП],$A90,РД[Дом],$C$85,РД[Дата подачи на регистрацию],"&lt;="&amp;$A$1,РД[Дата подачи на регистрацию],"&gt;="&amp;DATE(YEAR($A$1),MONTH($A$1),1))</f>
        <v>0</v>
      </c>
      <c r="O90" s="251">
        <f>COUNTIFS(РД[Тип кв],O$86,РД[МОП],$A90,РД[Дом],$C$85,РД[Дата подачи на регистрацию],"&lt;="&amp;$A$1,РД[Дата подачи на регистрацию],"&gt;="&amp;DATE(YEAR($A$1),MONTH($A$1),1))</f>
        <v>0</v>
      </c>
      <c r="P90" s="25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Q90" s="254">
        <f>COUNTIFS(РД[Тип кв],Q$86,РД[МОП],$A90,РД[Дом],$C$85,РД[Дата подачи на регистрацию],"&lt;="&amp;$A$1,РД[Дата подачи на регистрацию],"&gt;="&amp;DATE(YEAR($A$1),MONTH($A$1),1))</f>
        <v>0</v>
      </c>
      <c r="R90" s="949"/>
      <c r="S90" s="949"/>
    </row>
    <row r="91" spans="1:19">
      <c r="A91" s="960" t="s">
        <v>114</v>
      </c>
      <c r="B91" s="961">
        <f t="shared" ref="B91:J91" si="12">SUM(B87:B90)</f>
        <v>0</v>
      </c>
      <c r="C91" s="961">
        <f t="shared" si="12"/>
        <v>0</v>
      </c>
      <c r="D91" s="962">
        <f t="shared" si="12"/>
        <v>0</v>
      </c>
      <c r="E91" s="963">
        <f t="shared" si="12"/>
        <v>0</v>
      </c>
      <c r="F91" s="964">
        <f t="shared" si="12"/>
        <v>0</v>
      </c>
      <c r="G91" s="965">
        <f t="shared" si="12"/>
        <v>0</v>
      </c>
      <c r="H91" s="961">
        <f t="shared" si="12"/>
        <v>0</v>
      </c>
      <c r="I91" s="964">
        <f t="shared" si="12"/>
        <v>0</v>
      </c>
      <c r="J91" s="962">
        <f t="shared" si="12"/>
        <v>0</v>
      </c>
      <c r="K91" s="419">
        <f t="shared" si="9"/>
        <v>0</v>
      </c>
      <c r="L91" s="420">
        <f t="shared" si="9"/>
        <v>0</v>
      </c>
      <c r="M91" s="473">
        <f>SUM(M87:M90)</f>
        <v>0</v>
      </c>
      <c r="N91" s="494">
        <f>SUM(N87:N90)</f>
        <v>0</v>
      </c>
      <c r="O91" s="494">
        <f>SUM(O87:O90)</f>
        <v>0</v>
      </c>
      <c r="P91" s="989">
        <f>SUM(P87:P90)</f>
        <v>0</v>
      </c>
      <c r="Q91" s="497">
        <f>SUM(Q87:Q90)</f>
        <v>0</v>
      </c>
      <c r="R91" s="949"/>
      <c r="S91" s="949"/>
    </row>
    <row r="92" spans="1:19">
      <c r="A92" s="685" t="s">
        <v>115</v>
      </c>
      <c r="B92" s="723" t="s">
        <v>100</v>
      </c>
      <c r="C92" s="693" t="s">
        <v>97</v>
      </c>
      <c r="D92" s="724" t="s">
        <v>95</v>
      </c>
      <c r="E92" s="137" t="s">
        <v>494</v>
      </c>
      <c r="F92" s="138" t="s">
        <v>495</v>
      </c>
      <c r="G92" s="139" t="s">
        <v>496</v>
      </c>
      <c r="H92" s="482" t="s">
        <v>101</v>
      </c>
      <c r="I92" s="482" t="s">
        <v>98</v>
      </c>
      <c r="J92" s="482" t="s">
        <v>96</v>
      </c>
      <c r="K92" s="502" t="s">
        <v>715</v>
      </c>
      <c r="L92" s="503" t="s">
        <v>716</v>
      </c>
      <c r="M92" s="217">
        <v>0</v>
      </c>
      <c r="N92" s="218">
        <v>1</v>
      </c>
      <c r="O92" s="218">
        <v>2</v>
      </c>
      <c r="P92" s="218">
        <v>3</v>
      </c>
      <c r="Q92" s="219" t="s">
        <v>1367</v>
      </c>
      <c r="R92" s="949"/>
      <c r="S92" s="949"/>
    </row>
    <row r="93" spans="1:19">
      <c r="A93" s="936" t="s">
        <v>16</v>
      </c>
      <c r="B93" s="937">
        <f>VLOOKUP(A93,'Индивидуальный план'!$J$18:$L$25,2,0)</f>
        <v>0</v>
      </c>
      <c r="C93" s="937">
        <f>VLOOKUP(A93,'Индивидуальный план'!$J$18:$L$25,3,0)</f>
        <v>0</v>
      </c>
      <c r="D93" s="417"/>
      <c r="E93" s="966">
        <f>SUMIFS(февр231411131617[м2],февр231411131617[ИМ],A93,февр231411131617[№ дома],$C$85,февр231411131617[Ком],"&lt;&gt;Офис")</f>
        <v>0</v>
      </c>
      <c r="F93" s="149">
        <f>SUMIFS(февр231411131617[сумма без отделки],февр231411131617[ИМ],$A93,февр231411131617[№ дома],$C$85,февр231411131617[Ком],"&lt;&gt;Офис")</f>
        <v>0</v>
      </c>
      <c r="G93" s="940">
        <f>COUNTIFS(февр231411131617[ИМ],$A93,февр231411131617[№ дома],$C$85,февр231411131617[Ком],"&lt;&gt;Офис")</f>
        <v>0</v>
      </c>
      <c r="H93" s="346">
        <f>SUMIFS(РД[S],РД[Дом],$C$85,РД[ИМ],A93,РД[Дата подачи на регистрацию],"&lt;="&amp;$A$1,РД[Дата подачи на регистрацию],"&gt;="&amp;DATE(YEAR($A$1),MONTH($A$1),1),РД[Состояние],"Продажа")</f>
        <v>0</v>
      </c>
      <c r="I93" s="184">
        <f>SUMIFS(РД[Стоимость без отделки итог],РД[Дом],$C$85,РД[ИМ],A93,РД[Дата подачи на регистрацию],"&lt;="&amp;$A$1,РД[Дата подачи на регистрацию],"&gt;="&amp;DATE(YEAR($A$1),MONTH($A$1),1),РД[Состояние],"Продажа")</f>
        <v>0</v>
      </c>
      <c r="J93" s="243">
        <f>COUNTIFS(РД[Дом],$C$85,РД[ИМ],A93,РД[Дата подачи на регистрацию],"&lt;="&amp;$A$1,РД[Дата подачи на регистрацию],"&gt;="&amp;DATE(YEAR($A$1),MONTH($A$1),1),РД[Состояние],"Продажа")</f>
        <v>0</v>
      </c>
      <c r="K93" s="990" t="str">
        <f>IFERROR(H93/B93,"")</f>
        <v/>
      </c>
      <c r="L93" s="991" t="str">
        <f>IFERROR(I93/C93,"")</f>
        <v/>
      </c>
      <c r="M93" s="183">
        <f>COUNTIFS(РД[Тип кв],M$86,РД[ИМ],$A93,РД[Дом],$C$85,РД[Дата подачи на регистрацию],"&lt;="&amp;$A$1,РД[Дата подачи на регистрацию],"&gt;="&amp;DATE(YEAR($A$1),MONTH($A$1),1))</f>
        <v>0</v>
      </c>
      <c r="N93" s="243">
        <f>COUNTIFS(РД[Тип кв],N$86,РД[ИМ],$A93,РД[Дом],$C$85,РД[Дата подачи на регистрацию],"&lt;="&amp;$A$1,РД[Дата подачи на регистрацию],"&gt;="&amp;DATE(YEAR($A$1),MONTH($A$1),1))</f>
        <v>0</v>
      </c>
      <c r="O93" s="243">
        <f>COUNTIFS(РД[Тип кв],O$86,РД[ИМ],$A93,РД[Дом],$C$85,РД[Дата подачи на регистрацию],"&lt;="&amp;$A$1,РД[Дата подачи на регистрацию],"&gt;="&amp;DATE(YEAR($A$1),MONTH($A$1),1))</f>
        <v>0</v>
      </c>
      <c r="P93" s="243">
        <f>COUNTIFS(РД[Тип кв],P$86,РД[ИМ],$A93,РД[Дом],$C$85,РД[Дата подачи на регистрацию],"&lt;="&amp;$A$1,РД[Дата подачи на регистрацию],"&gt;="&amp;DATE(YEAR($A$1),MONTH($A$1),1))</f>
        <v>0</v>
      </c>
      <c r="Q93" s="246">
        <f>COUNTIFS(РД[Тип кв],Q$86,РД[ИМ],$A93,РД[Дом],$C$85,РД[Дата подачи на регистрацию],"&lt;="&amp;$A$1,РД[Дата подачи на регистрацию],"&gt;="&amp;DATE(YEAR($A$1),MONTH($A$1),1))</f>
        <v>0</v>
      </c>
      <c r="R93" s="949"/>
      <c r="S93" s="949"/>
    </row>
    <row r="94" spans="1:19">
      <c r="A94" s="956" t="s">
        <v>22</v>
      </c>
      <c r="B94" s="937" t="e">
        <f>VLOOKUP(A94,'Индивидуальный план'!$J$18:$L$25,2,0)</f>
        <v>#N/A</v>
      </c>
      <c r="C94" s="937" t="e">
        <f>VLOOKUP(A94,'Индивидуальный план'!$J$18:$L$25,3,0)</f>
        <v>#N/A</v>
      </c>
      <c r="D94" s="518"/>
      <c r="E94" s="967">
        <f>SUMIFS(февр231411131617[м2],февр231411131617[ИМ],A94,февр231411131617[№ дома],$C$85,февр231411131617[Ком],"&lt;&gt;Офис")</f>
        <v>0</v>
      </c>
      <c r="F94" s="359">
        <f>SUMIFS(февр231411131617[сумма без отделки],февр231411131617[ИМ],$A94,февр231411131617[№ дома],$C$85,февр231411131617[Ком],"&lt;&gt;Офис")</f>
        <v>0</v>
      </c>
      <c r="G94" s="959">
        <f>COUNTIFS(февр231411131617[ИМ],$A94,февр231411131617[№ дома],$C$85,февр231411131617[Ком],"&lt;&gt;Офис")</f>
        <v>0</v>
      </c>
      <c r="H94" s="426">
        <f>SUMIFS(РД[S],РД[Дом],$C$85,РД[ИМ],A94,РД[Дата подачи на регистрацию],"&lt;="&amp;$A$1,РД[Дата подачи на регистрацию],"&gt;="&amp;DATE(YEAR($A$1),MONTH($A$1),1),РД[Состояние],"Продажа")</f>
        <v>0</v>
      </c>
      <c r="I94" s="196">
        <f>SUMIFS(РД[Стоимость без отделки итог],РД[Дом],$C$85,РД[ИМ],A94,РД[Дата подачи на регистрацию],"&lt;="&amp;$A$1,РД[Дата подачи на регистрацию],"&gt;="&amp;DATE(YEAR($A$1),MONTH($A$1),1),РД[Состояние],"Продажа")</f>
        <v>0</v>
      </c>
      <c r="J94" s="251">
        <f>COUNTIFS(РД[Дом],$C$85,РД[ИМ],A94,РД[Дата подачи на регистрацию],"&lt;="&amp;$A$1,РД[Дата подачи на регистрацию],"&gt;="&amp;DATE(YEAR($A$1),MONTH($A$1),1),РД[Состояние],"Продажа")</f>
        <v>0</v>
      </c>
      <c r="K94" s="992" t="str">
        <f>IFERROR(H94/B94,"")</f>
        <v/>
      </c>
      <c r="L94" s="993" t="str">
        <f>IFERROR(I94/C94,"")</f>
        <v/>
      </c>
      <c r="M94" s="195">
        <f>COUNTIFS(РД[Тип кв],M$86,РД[ИМ],$A94,РД[Дом],$C$85,РД[Дата подачи на регистрацию],"&lt;="&amp;$A$1,РД[Дата подачи на регистрацию],"&gt;="&amp;DATE(YEAR($A$1),MONTH($A$1),1))</f>
        <v>0</v>
      </c>
      <c r="N94" s="251">
        <f>COUNTIFS(РД[Тип кв],N$86,РД[ИМ],$A94,РД[Дом],$C$85,РД[Дата подачи на регистрацию],"&lt;="&amp;$A$1,РД[Дата подачи на регистрацию],"&gt;="&amp;DATE(YEAR($A$1),MONTH($A$1),1))</f>
        <v>0</v>
      </c>
      <c r="O94" s="251">
        <f>COUNTIFS(РД[Тип кв],O$86,РД[ИМ],$A94,РД[Дом],$C$85,РД[Дата подачи на регистрацию],"&lt;="&amp;$A$1,РД[Дата подачи на регистрацию],"&gt;="&amp;DATE(YEAR($A$1),MONTH($A$1),1))</f>
        <v>0</v>
      </c>
      <c r="P94" s="251">
        <f>COUNTIFS(РД[Тип кв],P$86,РД[ИМ],$A94,РД[Дом],$C$85,РД[Дата подачи на регистрацию],"&lt;="&amp;$A$1,РД[Дата подачи на регистрацию],"&gt;="&amp;DATE(YEAR($A$1),MONTH($A$1),1))</f>
        <v>0</v>
      </c>
      <c r="Q94" s="254">
        <f>COUNTIFS(РД[Тип кв],Q$86,РД[ИМ],$A94,РД[Дом],$C$85,РД[Дата подачи на регистрацию],"&lt;="&amp;$A$1,РД[Дата подачи на регистрацию],"&gt;="&amp;DATE(YEAR($A$1),MONTH($A$1),1))</f>
        <v>0</v>
      </c>
      <c r="R94" s="949"/>
      <c r="S94" s="949"/>
    </row>
    <row r="95" spans="1:19">
      <c r="A95" s="409" t="s">
        <v>114</v>
      </c>
      <c r="B95" s="961" t="e">
        <f t="shared" ref="B95:J95" si="13">SUM(B93:B94)</f>
        <v>#N/A</v>
      </c>
      <c r="C95" s="961" t="e">
        <f t="shared" si="13"/>
        <v>#N/A</v>
      </c>
      <c r="D95" s="485">
        <f t="shared" si="13"/>
        <v>0</v>
      </c>
      <c r="E95" s="473">
        <f t="shared" si="13"/>
        <v>0</v>
      </c>
      <c r="F95" s="429">
        <f t="shared" si="13"/>
        <v>0</v>
      </c>
      <c r="G95" s="497">
        <f t="shared" si="13"/>
        <v>0</v>
      </c>
      <c r="H95" s="473">
        <f t="shared" si="13"/>
        <v>0</v>
      </c>
      <c r="I95" s="429">
        <f t="shared" si="13"/>
        <v>0</v>
      </c>
      <c r="J95" s="497">
        <f t="shared" si="13"/>
        <v>0</v>
      </c>
      <c r="K95" s="238">
        <f>IFERROR(H95/B95,)</f>
        <v>0</v>
      </c>
      <c r="L95" s="501">
        <f>IFERROR(I95/C95,)</f>
        <v>0</v>
      </c>
      <c r="M95" s="897">
        <f>SUM(M93:M94)</f>
        <v>0</v>
      </c>
      <c r="N95" s="897">
        <f>SUM(N93:N94)</f>
        <v>0</v>
      </c>
      <c r="O95" s="897">
        <f>SUM(O93:O94)</f>
        <v>0</v>
      </c>
      <c r="P95" s="897">
        <f>SUM(P93:P94)</f>
        <v>0</v>
      </c>
      <c r="Q95" s="898">
        <f>SUM(Q93:Q94)</f>
        <v>0</v>
      </c>
      <c r="R95" s="949"/>
      <c r="S95" s="949"/>
    </row>
    <row r="96" spans="1:19">
      <c r="A96" s="7"/>
      <c r="B96" s="968"/>
      <c r="C96" s="968"/>
      <c r="D96" s="969"/>
      <c r="E96" s="7"/>
      <c r="F96" s="7"/>
      <c r="G96" s="7"/>
      <c r="H96" s="134"/>
      <c r="I96" s="134"/>
      <c r="J96" s="134"/>
      <c r="K96" s="7"/>
      <c r="L96" s="994"/>
      <c r="M96" s="134"/>
      <c r="N96" s="134"/>
      <c r="O96" s="134"/>
      <c r="P96" s="262"/>
      <c r="Q96" s="134"/>
      <c r="R96" s="949"/>
      <c r="S96" s="949"/>
    </row>
    <row r="97" spans="1:20">
      <c r="A97" s="2293" t="s">
        <v>713</v>
      </c>
      <c r="B97" s="2294"/>
      <c r="C97" s="972" t="s">
        <v>718</v>
      </c>
      <c r="D97" s="979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7"/>
      <c r="R97" s="949"/>
      <c r="S97" s="949"/>
    </row>
    <row r="98" spans="1:20">
      <c r="A98" s="685" t="s">
        <v>1</v>
      </c>
      <c r="B98" s="723" t="s">
        <v>100</v>
      </c>
      <c r="C98" s="687" t="s">
        <v>97</v>
      </c>
      <c r="D98" s="724" t="s">
        <v>95</v>
      </c>
      <c r="E98" s="137" t="s">
        <v>494</v>
      </c>
      <c r="F98" s="138" t="s">
        <v>495</v>
      </c>
      <c r="G98" s="139" t="s">
        <v>496</v>
      </c>
      <c r="H98" s="140" t="s">
        <v>101</v>
      </c>
      <c r="I98" s="141" t="s">
        <v>98</v>
      </c>
      <c r="J98" s="141" t="s">
        <v>96</v>
      </c>
      <c r="K98" s="141" t="s">
        <v>715</v>
      </c>
      <c r="L98" s="216" t="s">
        <v>716</v>
      </c>
      <c r="M98" s="217">
        <v>0</v>
      </c>
      <c r="N98" s="218">
        <v>1</v>
      </c>
      <c r="O98" s="218">
        <v>2</v>
      </c>
      <c r="P98" s="218">
        <v>3</v>
      </c>
      <c r="Q98" s="219" t="s">
        <v>1367</v>
      </c>
      <c r="R98" s="950"/>
      <c r="S98" s="950"/>
      <c r="T98" s="951"/>
    </row>
    <row r="99" spans="1:20">
      <c r="A99" s="936" t="s">
        <v>8</v>
      </c>
      <c r="B99" s="937">
        <f>VLOOKUP(A99,'Индивидуальный план'!$J$30:$L$39,2,0)</f>
        <v>575</v>
      </c>
      <c r="C99" s="937">
        <f>VLOOKUP(A99,'Индивидуальный план'!$J$30:$L$39,3,0)</f>
        <v>49457438.602499999</v>
      </c>
      <c r="D99" s="938">
        <f>D87+D64+D75</f>
        <v>0</v>
      </c>
      <c r="E99" s="148">
        <f>SUMIFS(февр231411131617[м2],февр231411131617[МОП],$A99,февр231411131617[Ком],"&lt;&gt;Офис")</f>
        <v>358.27</v>
      </c>
      <c r="F99" s="939">
        <f>SUMIFS(февр231411131617[сумма без отделки],февр231411131617[МОП],$A99,февр231411131617[Ком],"&lt;&gt;Офис")</f>
        <v>32046730.069999997</v>
      </c>
      <c r="G99" s="940">
        <f>COUNTIFS(февр231411131617[МОП],$A99,февр231411131617[Ком],"&lt;&gt;Офис")</f>
        <v>7</v>
      </c>
      <c r="H99" s="145">
        <f>SUMIFS(РД[S],РД[МОП],A99,РД[Дата подачи на регистрацию],"&lt;="&amp;$A$1,РД[Дата подачи на регистрацию],"&gt;="&amp;DATE(YEAR($A$1),MONTH($A$1),1),РД[Состояние],"Продажа")</f>
        <v>358.27</v>
      </c>
      <c r="I99" s="149">
        <f>SUMIFS(РД[Стоимость без отделки итог],РД[МОП],A99,РД[Дата подачи на регистрацию],"&lt;="&amp;$A$1,РД[Дата подачи на регистрацию],"&gt;="&amp;DATE(YEAR($A$1),MONTH($A$1),1),РД[Состояние],"Продажа")</f>
        <v>31485120.07</v>
      </c>
      <c r="J99" s="220">
        <f>COUNTIFS(РД[МОП],A99,РД[Дата подачи на регистрацию],"&lt;="&amp;$A$1,РД[Дата подачи на регистрацию],"&gt;="&amp;DATE(YEAR($A$1),MONTH($A$1),1),РД[Состояние],"Продажа")</f>
        <v>7</v>
      </c>
      <c r="K99" s="943">
        <f t="shared" ref="K99:L102" si="14">IFERROR(H99/B99,"")</f>
        <v>0.62307826086956519</v>
      </c>
      <c r="L99" s="944">
        <f t="shared" si="14"/>
        <v>0.63661040603118646</v>
      </c>
      <c r="M99" s="997">
        <f t="shared" ref="M99:Q101" si="15">M87+M64+M75</f>
        <v>2</v>
      </c>
      <c r="N99" s="878">
        <f t="shared" si="15"/>
        <v>1</v>
      </c>
      <c r="O99" s="878">
        <f t="shared" si="15"/>
        <v>2</v>
      </c>
      <c r="P99" s="878">
        <f t="shared" si="15"/>
        <v>2</v>
      </c>
      <c r="Q99" s="689">
        <f t="shared" si="15"/>
        <v>0</v>
      </c>
      <c r="R99" s="949"/>
      <c r="S99" s="949"/>
    </row>
    <row r="100" spans="1:20">
      <c r="A100" s="952" t="s">
        <v>77</v>
      </c>
      <c r="B100" s="937">
        <f>VLOOKUP(A100,'Индивидуальный план'!$J$30:$L$39,2,0)</f>
        <v>575</v>
      </c>
      <c r="C100" s="937">
        <f>VLOOKUP(A100,'Индивидуальный план'!$J$30:$L$39,3,0)</f>
        <v>49457438.602499999</v>
      </c>
      <c r="D100" s="953">
        <f>D88+D65+D76</f>
        <v>0</v>
      </c>
      <c r="E100" s="148">
        <f>SUMIFS(февр231411131617[м2],февр231411131617[МОП],$A100,февр231411131617[Ком],"&lt;&gt;Офис")</f>
        <v>770.43000000000006</v>
      </c>
      <c r="F100" s="939">
        <f>SUMIFS(февр231411131617[сумма без отделки],февр231411131617[МОП],$A100,февр231411131617[Ком],"&lt;&gt;Офис")</f>
        <v>67256044.109999999</v>
      </c>
      <c r="G100" s="940">
        <f>COUNTIFS(февр231411131617[МОП],$A100,февр231411131617[Ком],"&lt;&gt;Офис")</f>
        <v>15</v>
      </c>
      <c r="H100" s="145">
        <f>SUMIFS(РД[S],РД[МОП],A100,РД[Дата подачи на регистрацию],"&lt;="&amp;$A$1,РД[Дата подачи на регистрацию],"&gt;="&amp;DATE(YEAR($A$1),MONTH($A$1),1),РД[Состояние],"Продажа")</f>
        <v>840.67000000000007</v>
      </c>
      <c r="I100" s="149">
        <f>SUMIFS(РД[Стоимость без отделки итог],РД[МОП],A100,РД[Дата подачи на регистрацию],"&lt;="&amp;$A$1,РД[Дата подачи на регистрацию],"&gt;="&amp;DATE(YEAR($A$1),MONTH($A$1),1),РД[Состояние],"Продажа")</f>
        <v>73498466.030000001</v>
      </c>
      <c r="J100" s="220">
        <f>COUNTIFS(РД[МОП],A100,РД[Дата подачи на регистрацию],"&lt;="&amp;$A$1,РД[Дата подачи на регистрацию],"&gt;="&amp;DATE(YEAR($A$1),MONTH($A$1),1),РД[Состояние],"Продажа")</f>
        <v>17</v>
      </c>
      <c r="K100" s="987">
        <f t="shared" si="14"/>
        <v>1.4620347826086957</v>
      </c>
      <c r="L100" s="988">
        <f t="shared" si="14"/>
        <v>1.4860952792303475</v>
      </c>
      <c r="M100" s="998">
        <f t="shared" si="15"/>
        <v>2</v>
      </c>
      <c r="N100" s="326">
        <f t="shared" si="15"/>
        <v>8</v>
      </c>
      <c r="O100" s="326">
        <f t="shared" si="15"/>
        <v>5</v>
      </c>
      <c r="P100" s="326">
        <f t="shared" si="15"/>
        <v>2</v>
      </c>
      <c r="Q100" s="327">
        <f t="shared" si="15"/>
        <v>0</v>
      </c>
      <c r="R100" s="949"/>
      <c r="S100" s="949"/>
    </row>
    <row r="101" spans="1:20">
      <c r="A101" s="956" t="s">
        <v>1233</v>
      </c>
      <c r="B101" s="937">
        <f>VLOOKUP(A101,'Индивидуальный план'!$J$30:$L$39,2,0)</f>
        <v>575</v>
      </c>
      <c r="C101" s="937">
        <f>VLOOKUP(A101,'Индивидуальный план'!$J$30:$L$39,3,0)</f>
        <v>49457438.602499999</v>
      </c>
      <c r="D101" s="953">
        <f>D89+D66+D77</f>
        <v>0</v>
      </c>
      <c r="E101" s="148">
        <f>SUMIFS(февр231411131617[м2],февр231411131617[МОП],$A101,февр231411131617[Ком],"&lt;&gt;Офис")</f>
        <v>333.15999999999997</v>
      </c>
      <c r="F101" s="939">
        <f>SUMIFS(февр231411131617[сумма без отделки],февр231411131617[МОП],$A101,февр231411131617[Ком],"&lt;&gt;Офис")</f>
        <v>29956059.890000001</v>
      </c>
      <c r="G101" s="940">
        <f>COUNTIFS(февр231411131617[МОП],$A101,февр231411131617[Ком],"&lt;&gt;Офис")</f>
        <v>8</v>
      </c>
      <c r="H101" s="145">
        <f>SUMIFS(РД[S],РД[МОП],A101,РД[Дата подачи на регистрацию],"&lt;="&amp;$A$1,РД[Дата подачи на регистрацию],"&gt;="&amp;DATE(YEAR($A$1),MONTH($A$1),1),РД[Состояние],"Продажа")</f>
        <v>333.15999999999997</v>
      </c>
      <c r="I101" s="149">
        <f>SUMIFS(РД[Стоимость без отделки итог],РД[МОП],A101,РД[Дата подачи на регистрацию],"&lt;="&amp;$A$1,РД[Дата подачи на регистрацию],"&gt;="&amp;DATE(YEAR($A$1),MONTH($A$1),1),РД[Состояние],"Продажа")</f>
        <v>29906829.890000001</v>
      </c>
      <c r="J101" s="220">
        <f>COUNTIFS(РД[МОП],A101,РД[Дата подачи на регистрацию],"&lt;="&amp;$A$1,РД[Дата подачи на регистрацию],"&gt;="&amp;DATE(YEAR($A$1),MONTH($A$1),1),РД[Состояние],"Продажа")</f>
        <v>8</v>
      </c>
      <c r="K101" s="987">
        <f t="shared" ref="K101" si="16">IFERROR(H101/B101,"")</f>
        <v>0.5794086956521739</v>
      </c>
      <c r="L101" s="988">
        <f t="shared" ref="L101" si="17">IFERROR(I101/C101,"")</f>
        <v>0.6046983170796123</v>
      </c>
      <c r="M101" s="998">
        <f t="shared" si="15"/>
        <v>2</v>
      </c>
      <c r="N101" s="326">
        <f t="shared" si="15"/>
        <v>4</v>
      </c>
      <c r="O101" s="326">
        <f t="shared" si="15"/>
        <v>2</v>
      </c>
      <c r="P101" s="326">
        <f t="shared" si="15"/>
        <v>0</v>
      </c>
      <c r="Q101" s="327">
        <f t="shared" si="15"/>
        <v>0</v>
      </c>
      <c r="R101" s="949"/>
      <c r="S101" s="949"/>
    </row>
    <row r="102" spans="1:20">
      <c r="A102" s="956" t="s">
        <v>20</v>
      </c>
      <c r="B102" s="937">
        <f>VLOOKUP(A102,'Индивидуальный план'!$J$30:$L$39,2,0)</f>
        <v>267</v>
      </c>
      <c r="C102" s="937">
        <f>VLOOKUP(A102,'Индивидуальный план'!$J$30:$L$39,3,0)</f>
        <v>22965454.098900001</v>
      </c>
      <c r="D102" s="957">
        <f>D90+D66+D78</f>
        <v>0</v>
      </c>
      <c r="E102" s="148">
        <f>SUMIFS(февр231411131617[м2],февр231411131617[МОП],$A102,февр231411131617[Ком],"&lt;&gt;Офис")</f>
        <v>21.75</v>
      </c>
      <c r="F102" s="939">
        <f>SUMIFS(февр231411131617[сумма без отделки],февр231411131617[МОП],$A102,февр231411131617[Ком],"&lt;&gt;Офис")</f>
        <v>2321358.36</v>
      </c>
      <c r="G102" s="940">
        <f>COUNTIFS(февр231411131617[МОП],$A102,февр231411131617[Ком],"&lt;&gt;Офис")</f>
        <v>1</v>
      </c>
      <c r="H102" s="145">
        <f>SUMIFS(РД[S],РД[МОП],A102,РД[Дата подачи на регистрацию],"&lt;="&amp;$A$1,РД[Дата подачи на регистрацию],"&gt;="&amp;DATE(YEAR($A$1),MONTH($A$1),1),РД[Состояние],"Продажа")</f>
        <v>21.75</v>
      </c>
      <c r="I102" s="149">
        <f>SUMIFS(РД[Стоимость без отделки итог],РД[МОП],A102,РД[Дата подачи на регистрацию],"&lt;="&amp;$A$1,РД[Дата подачи на регистрацию],"&gt;="&amp;DATE(YEAR($A$1),MONTH($A$1),1),РД[Состояние],"Продажа")</f>
        <v>2310483.36</v>
      </c>
      <c r="J102" s="220">
        <f>COUNTIFS(РД[МОП],A102,РД[Дата подачи на регистрацию],"&lt;="&amp;$A$1,РД[Дата подачи на регистрацию],"&gt;="&amp;DATE(YEAR($A$1),MONTH($A$1),1),РД[Состояние],"Продажа")</f>
        <v>1</v>
      </c>
      <c r="K102" s="987">
        <f t="shared" si="14"/>
        <v>8.1460674157303375E-2</v>
      </c>
      <c r="L102" s="988">
        <f t="shared" si="14"/>
        <v>0.10060690940618794</v>
      </c>
      <c r="M102" s="999">
        <f>M90+M66+M78</f>
        <v>1</v>
      </c>
      <c r="N102" s="365">
        <f>N90+N66+N78</f>
        <v>0</v>
      </c>
      <c r="O102" s="365">
        <f>O90+O66+O78</f>
        <v>0</v>
      </c>
      <c r="P102" s="365">
        <f>P90+P66+P78</f>
        <v>0</v>
      </c>
      <c r="Q102" s="366">
        <f>Q90+Q66+Q78</f>
        <v>0</v>
      </c>
      <c r="R102" s="949"/>
      <c r="S102" s="949"/>
    </row>
    <row r="103" spans="1:20">
      <c r="A103" s="960" t="s">
        <v>114</v>
      </c>
      <c r="B103" s="961">
        <f t="shared" ref="B103:J103" si="18">SUM(B99:B102)</f>
        <v>1992</v>
      </c>
      <c r="C103" s="961">
        <f t="shared" si="18"/>
        <v>171337769.9064</v>
      </c>
      <c r="D103" s="962">
        <f t="shared" si="18"/>
        <v>0</v>
      </c>
      <c r="E103" s="963">
        <f t="shared" si="18"/>
        <v>1483.6100000000001</v>
      </c>
      <c r="F103" s="964">
        <f t="shared" si="18"/>
        <v>131580192.42999999</v>
      </c>
      <c r="G103" s="965">
        <f t="shared" si="18"/>
        <v>31</v>
      </c>
      <c r="H103" s="961">
        <f t="shared" si="18"/>
        <v>1553.85</v>
      </c>
      <c r="I103" s="964">
        <f t="shared" si="18"/>
        <v>137200899.35000002</v>
      </c>
      <c r="J103" s="962">
        <f t="shared" si="18"/>
        <v>33</v>
      </c>
      <c r="K103" s="419">
        <f>IFERROR(H103/B103,)</f>
        <v>0.78004518072289153</v>
      </c>
      <c r="L103" s="420">
        <f>IFERROR(I103/C103,)</f>
        <v>0.8007627239747046</v>
      </c>
      <c r="M103" s="473">
        <f>SUM(M99:M102)</f>
        <v>7</v>
      </c>
      <c r="N103" s="494">
        <f>SUM(N99:N102)</f>
        <v>13</v>
      </c>
      <c r="O103" s="494">
        <f>SUM(O99:O102)</f>
        <v>9</v>
      </c>
      <c r="P103" s="989">
        <f>SUM(P99:P102)</f>
        <v>4</v>
      </c>
      <c r="Q103" s="497">
        <f>SUM(Q99:Q102)</f>
        <v>0</v>
      </c>
      <c r="R103" s="949"/>
      <c r="S103" s="949"/>
    </row>
    <row r="104" spans="1:20">
      <c r="A104" s="685" t="s">
        <v>115</v>
      </c>
      <c r="B104" s="723" t="s">
        <v>100</v>
      </c>
      <c r="C104" s="693" t="s">
        <v>97</v>
      </c>
      <c r="D104" s="724" t="s">
        <v>95</v>
      </c>
      <c r="E104" s="137" t="s">
        <v>494</v>
      </c>
      <c r="F104" s="138" t="s">
        <v>495</v>
      </c>
      <c r="G104" s="139" t="s">
        <v>496</v>
      </c>
      <c r="H104" s="980" t="s">
        <v>101</v>
      </c>
      <c r="I104" s="141" t="s">
        <v>98</v>
      </c>
      <c r="J104" s="141" t="s">
        <v>96</v>
      </c>
      <c r="K104" s="141" t="s">
        <v>715</v>
      </c>
      <c r="L104" s="216" t="s">
        <v>716</v>
      </c>
      <c r="M104" s="217">
        <v>0</v>
      </c>
      <c r="N104" s="218">
        <v>1</v>
      </c>
      <c r="O104" s="218">
        <v>2</v>
      </c>
      <c r="P104" s="218">
        <v>3</v>
      </c>
      <c r="Q104" s="219" t="s">
        <v>1367</v>
      </c>
      <c r="R104" s="950"/>
      <c r="S104" s="950"/>
      <c r="T104" s="951"/>
    </row>
    <row r="105" spans="1:20">
      <c r="A105" s="936" t="s">
        <v>16</v>
      </c>
      <c r="B105" s="937">
        <f>VLOOKUP(A105,'Индивидуальный план'!$J$30:$L$39,2,0)</f>
        <v>854</v>
      </c>
      <c r="C105" s="937">
        <f>VLOOKUP(A105,'Индивидуальный план'!$J$30:$L$39,3,0)</f>
        <v>73455047.941799998</v>
      </c>
      <c r="D105" s="417">
        <f>D93+D69+D81</f>
        <v>0</v>
      </c>
      <c r="E105" s="966">
        <f>SUMIFS(февр231411131617[м2],февр231411131617[ИМ],A105,февр231411131617[Ком],"&lt;&gt;Офис")</f>
        <v>759.52</v>
      </c>
      <c r="F105" s="149">
        <f>SUMIFS(февр231411131617[сумма без отделки],февр231411131617[ИМ],$A105,февр231411131617[Ком],"&lt;&gt;Офис")</f>
        <v>66810781.300000004</v>
      </c>
      <c r="G105" s="940">
        <f>COUNTIFS(февр231411131617[ИМ],A105,февр231411131617[Ком],"&lt;&gt;Офис")</f>
        <v>15</v>
      </c>
      <c r="H105" s="346">
        <f>SUMIFS(РД[S],РД[ИМ],A105,РД[Дата подачи на регистрацию],"&lt;="&amp;$A$1,РД[Дата подачи на регистрацию],"&gt;="&amp;DATE(YEAR($A$1),MONTH($A$1),1),РД[Состояние],"Продажа")</f>
        <v>759.51999999999987</v>
      </c>
      <c r="I105" s="184">
        <f>SUMIFS(РД[Стоимость без отделки итог],РД[ИМ],A105,РД[Дата подачи на регистрацию],"&lt;="&amp;$A$1,РД[Дата подачи на регистрацию],"&gt;="&amp;DATE(YEAR($A$1),MONTH($A$1),1),РД[Состояние],"Продажа")</f>
        <v>66152696.299999997</v>
      </c>
      <c r="J105" s="243">
        <f>COUNTIFS(РД[ИМ],A105,РД[Дата подачи на регистрацию],"&lt;="&amp;$A$1,РД[Дата подачи на регистрацию],"&gt;="&amp;DATE(YEAR($A$1),MONTH($A$1),1),РД[Состояние],"Продажа")</f>
        <v>15</v>
      </c>
      <c r="K105" s="990">
        <f t="shared" ref="K105:L107" si="19">IFERROR(H105/B105,"")</f>
        <v>0.88936768149882883</v>
      </c>
      <c r="L105" s="991">
        <f t="shared" si="19"/>
        <v>0.90058747701606823</v>
      </c>
      <c r="M105" s="183">
        <f t="shared" ref="M105:Q106" si="20">M93+M69</f>
        <v>0</v>
      </c>
      <c r="N105" s="243">
        <f t="shared" si="20"/>
        <v>0</v>
      </c>
      <c r="O105" s="243">
        <f t="shared" si="20"/>
        <v>0</v>
      </c>
      <c r="P105" s="243">
        <f t="shared" si="20"/>
        <v>0</v>
      </c>
      <c r="Q105" s="246">
        <f t="shared" si="20"/>
        <v>0</v>
      </c>
      <c r="R105" s="949"/>
      <c r="S105" s="949"/>
    </row>
    <row r="106" spans="1:20">
      <c r="A106" s="956" t="s">
        <v>22</v>
      </c>
      <c r="B106" s="937">
        <f>VLOOKUP(A106,'Индивидуальный план'!$J$30:$L$39,2,0)</f>
        <v>540</v>
      </c>
      <c r="C106" s="937">
        <f>VLOOKUP(A106,'Индивидуальный план'!$J$30:$L$39,3,0)</f>
        <v>46446985.818000004</v>
      </c>
      <c r="D106" s="518">
        <f>D94+D70+D82</f>
        <v>0</v>
      </c>
      <c r="E106" s="966">
        <f>SUMIFS(февр231411131617[м2],февр231411131617[ИМ],A106,февр231411131617[Ком],"&lt;&gt;Офис")</f>
        <v>570.68000000000018</v>
      </c>
      <c r="F106" s="149">
        <f>SUMIFS(февр231411131617[сумма без отделки],февр231411131617[ИМ],$A106,февр231411131617[Ком],"&lt;&gt;Офис")</f>
        <v>49803901.509999998</v>
      </c>
      <c r="G106" s="940">
        <f>COUNTIFS(февр231411131617[ИМ],$A106,февр231411131617[Ком],"&lt;&gt;Офис")</f>
        <v>11</v>
      </c>
      <c r="H106" s="426">
        <f>SUMIFS(РД[S],РД[ИМ],A106,РД[Дата подачи на регистрацию],"&lt;="&amp;$A$1,РД[Дата подачи на регистрацию],"&gt;="&amp;DATE(YEAR($A$1),MONTH($A$1),1),РД[Состояние],"Продажа")</f>
        <v>570.68000000000018</v>
      </c>
      <c r="I106" s="196">
        <f>SUMIFS(РД[Стоимость без отделки итог],РД[ИМ],A106,РД[Дата подачи на регистрацию],"&lt;="&amp;$A$1,РД[Дата подачи на регистрацию],"&gt;="&amp;DATE(YEAR($A$1),MONTH($A$1),1),РД[Состояние],"Продажа")</f>
        <v>49528426.509999998</v>
      </c>
      <c r="J106" s="251">
        <f>COUNTIFS(РД[ИМ],A106,РД[Дата подачи на регистрацию],"&lt;="&amp;$A$1,РД[Дата подачи на регистрацию],"&gt;="&amp;DATE(YEAR($A$1),MONTH($A$1),1),РД[Состояние],"Продажа")</f>
        <v>11</v>
      </c>
      <c r="K106" s="992">
        <f t="shared" si="19"/>
        <v>1.0568148148148151</v>
      </c>
      <c r="L106" s="993">
        <f t="shared" si="19"/>
        <v>1.0663431789540543</v>
      </c>
      <c r="M106" s="195">
        <f t="shared" si="20"/>
        <v>0</v>
      </c>
      <c r="N106" s="251">
        <f t="shared" si="20"/>
        <v>0</v>
      </c>
      <c r="O106" s="251">
        <f t="shared" si="20"/>
        <v>0</v>
      </c>
      <c r="P106" s="251">
        <f t="shared" si="20"/>
        <v>0</v>
      </c>
      <c r="Q106" s="254">
        <f t="shared" si="20"/>
        <v>0</v>
      </c>
      <c r="R106" s="949"/>
      <c r="S106" s="949"/>
    </row>
    <row r="107" spans="1:20" ht="15.75" customHeight="1">
      <c r="A107" s="409" t="s">
        <v>114</v>
      </c>
      <c r="B107" s="961">
        <f>SUM(B105:B106)</f>
        <v>1394</v>
      </c>
      <c r="C107" s="961">
        <f>SUM(C105:C106)</f>
        <v>119902033.7598</v>
      </c>
      <c r="D107" s="485">
        <f>SUM(D105:D106)</f>
        <v>0</v>
      </c>
      <c r="E107" s="473">
        <f t="shared" ref="E107:Q107" si="21">SUM(E105:E106)</f>
        <v>1330.2000000000003</v>
      </c>
      <c r="F107" s="429">
        <f t="shared" si="21"/>
        <v>116614682.81</v>
      </c>
      <c r="G107" s="497">
        <f t="shared" si="21"/>
        <v>26</v>
      </c>
      <c r="H107" s="484">
        <f t="shared" si="21"/>
        <v>1330.2</v>
      </c>
      <c r="I107" s="494">
        <f t="shared" si="21"/>
        <v>115681122.81</v>
      </c>
      <c r="J107" s="494">
        <f t="shared" si="21"/>
        <v>26</v>
      </c>
      <c r="K107" s="419">
        <f t="shared" si="19"/>
        <v>0.95423242467718794</v>
      </c>
      <c r="L107" s="507">
        <f t="shared" si="19"/>
        <v>0.96479700287439862</v>
      </c>
      <c r="M107" s="317">
        <f t="shared" si="21"/>
        <v>0</v>
      </c>
      <c r="N107" s="917">
        <f t="shared" si="21"/>
        <v>0</v>
      </c>
      <c r="O107" s="917">
        <f t="shared" si="21"/>
        <v>0</v>
      </c>
      <c r="P107" s="917">
        <f t="shared" si="21"/>
        <v>0</v>
      </c>
      <c r="Q107" s="928">
        <f t="shared" si="21"/>
        <v>0</v>
      </c>
      <c r="R107" s="949"/>
      <c r="S107" s="949"/>
    </row>
    <row r="108" spans="1:20">
      <c r="A108" s="134"/>
      <c r="B108" s="44"/>
      <c r="C108" s="44"/>
      <c r="D108" s="134"/>
      <c r="E108" s="134"/>
      <c r="F108" s="44"/>
      <c r="G108" s="134"/>
      <c r="H108" s="134"/>
      <c r="I108" s="134"/>
      <c r="J108" s="134"/>
      <c r="K108" s="255"/>
      <c r="L108" s="256"/>
      <c r="M108" s="134"/>
      <c r="N108" s="134"/>
      <c r="O108" s="134"/>
      <c r="P108" s="134"/>
      <c r="Q108" s="134"/>
      <c r="R108" s="949"/>
      <c r="S108" s="949"/>
    </row>
    <row r="109" spans="1:20" ht="15">
      <c r="A109" s="2314" t="s">
        <v>1368</v>
      </c>
      <c r="B109" s="2315"/>
      <c r="C109" s="2315"/>
      <c r="D109" s="2315"/>
      <c r="E109" s="2315"/>
      <c r="F109" s="2315"/>
      <c r="G109" s="2315"/>
      <c r="H109" s="2315"/>
      <c r="I109" s="2315"/>
      <c r="J109" s="2315"/>
      <c r="K109" s="2315"/>
      <c r="L109" s="2315"/>
      <c r="M109" s="2315"/>
      <c r="N109" s="2315"/>
      <c r="O109" s="2316"/>
      <c r="P109" s="930"/>
      <c r="T109" s="931"/>
    </row>
    <row r="110" spans="1:20">
      <c r="A110" s="712" t="s">
        <v>1</v>
      </c>
      <c r="B110" s="713" t="s">
        <v>100</v>
      </c>
      <c r="C110" s="714" t="s">
        <v>97</v>
      </c>
      <c r="D110" s="715" t="s">
        <v>95</v>
      </c>
      <c r="E110" s="716" t="s">
        <v>494</v>
      </c>
      <c r="F110" s="265" t="s">
        <v>495</v>
      </c>
      <c r="G110" s="266" t="s">
        <v>496</v>
      </c>
      <c r="H110" s="140" t="s">
        <v>101</v>
      </c>
      <c r="I110" s="141" t="s">
        <v>98</v>
      </c>
      <c r="J110" s="141" t="s">
        <v>96</v>
      </c>
      <c r="K110" s="141" t="s">
        <v>715</v>
      </c>
      <c r="L110" s="216" t="s">
        <v>716</v>
      </c>
      <c r="M110" s="1000" t="s">
        <v>121</v>
      </c>
      <c r="N110" s="505" t="s">
        <v>27</v>
      </c>
      <c r="O110" s="506" t="s">
        <v>7</v>
      </c>
      <c r="T110" s="931"/>
    </row>
    <row r="111" spans="1:20">
      <c r="A111" s="936" t="s">
        <v>8</v>
      </c>
      <c r="B111" s="267"/>
      <c r="C111" s="146"/>
      <c r="D111" s="702"/>
      <c r="E111" s="416">
        <f>SUMIFS(февр231411131617[м2],февр231411131617[МОП],A111,февр231411131617[Ком],"Офис")</f>
        <v>101.7</v>
      </c>
      <c r="F111" s="146">
        <f>SUMIFS(февр231411131617[сумма без отделки],февр231411131617[МОП],$A111,февр231411131617[Ком],"оФИС")</f>
        <v>12712500</v>
      </c>
      <c r="G111" s="417">
        <f>COUNTIFS(февр231411131617[МОП],$A111,февр231411131617[Ком],"Офис")</f>
        <v>1</v>
      </c>
      <c r="H111" s="267">
        <f>SUMIFS(РД[S],РД[МОП],A111,РД[Дата подачи на регистрацию],"&lt;="&amp;$A$1,РД[Дата подачи на регистрацию],"&gt;="&amp;DATE(YEAR($A$1),MONTH($A$1),1),РД[Состояние],"Коммерция")</f>
        <v>101.7</v>
      </c>
      <c r="I111" s="146">
        <f>SUMIFS(РД[Стоимость без отделки итог],РД[МОП],A111,РД[Дата подачи на регистрацию],"&lt;="&amp;$A$1,РД[Дата подачи на регистрацию],"&gt;="&amp;DATE(YEAR($A$1),MONTH($A$1),1),РД[Состояние],"Коммерция")</f>
        <v>12712500</v>
      </c>
      <c r="J111" s="220">
        <f>COUNTIFS(РД[МОП],A111,РД[Дата подачи на регистрацию],"&lt;="&amp;$A$1,РД[Дата подачи на регистрацию],"&gt;="&amp;DATE(YEAR($A$1),MONTH($A$1),1),РД[Состояние],"Коммерция")</f>
        <v>1</v>
      </c>
      <c r="K111" s="943" t="str">
        <f t="shared" ref="K111:L115" si="22">IFERROR(H111/B111,"")</f>
        <v/>
      </c>
      <c r="L111" s="944" t="str">
        <f t="shared" si="22"/>
        <v/>
      </c>
      <c r="M111" s="148">
        <f>COUNTIFS(РД[Дом],M$110,РД[МОП],$A111,РД[Дата подачи на регистрацию],"&lt;="&amp;$A$1,РД[Дата подачи на регистрацию],"&gt;="&amp;DATE(YEAR($A$1),MONTH($A$1),1),РД[Состояние],"Коммерция")</f>
        <v>0</v>
      </c>
      <c r="N111" s="220">
        <f>COUNTIFS(РД[Дом],N$110,РД[МОП],$A111,РД[Дата подачи на регистрацию],"&lt;="&amp;$A$1,РД[Дата подачи на регистрацию],"&gt;="&amp;DATE(YEAR($A$1),MONTH($A$1),1),РД[Состояние],"Коммерция")</f>
        <v>1</v>
      </c>
      <c r="O111" s="223">
        <f>COUNTIFS(РД[Дом],O$110,РД[МОП],$A111,РД[Дата подачи на регистрацию],"&lt;="&amp;$A$1,РД[Дата подачи на регистрацию],"&gt;="&amp;DATE(YEAR($A$1),MONTH($A$1),1),РД[Состояние],"Коммерция")</f>
        <v>0</v>
      </c>
      <c r="P111" s="949"/>
      <c r="Q111" s="949"/>
      <c r="R111" s="949"/>
      <c r="S111" s="930"/>
      <c r="T111" s="931"/>
    </row>
    <row r="112" spans="1:20">
      <c r="A112" s="981" t="s">
        <v>77</v>
      </c>
      <c r="B112" s="271"/>
      <c r="C112" s="52"/>
      <c r="D112" s="717"/>
      <c r="E112" s="416">
        <f>SUMIFS(февр231411131617[м2],февр231411131617[МОП],A112,февр231411131617[Ком],"Офис")</f>
        <v>96.4</v>
      </c>
      <c r="F112" s="52">
        <f>SUMIFS(февр231411131617[сумма без отделки],февр231411131617[МОП],$A112,февр231411131617[Ком],"оФИС")</f>
        <v>11568000</v>
      </c>
      <c r="G112" s="421">
        <f>COUNTIFS(февр231411131617[МОП],$A112,февр231411131617[Ком],"Офис")</f>
        <v>1</v>
      </c>
      <c r="H112" s="271">
        <f>SUMIFS(РД[S],РД[МОП],A112,РД[Дата подачи на регистрацию],"&lt;="&amp;$A$1,РД[Дата подачи на регистрацию],"&gt;="&amp;DATE(YEAR($A$1),MONTH($A$1),1),РД[Состояние],"Коммерция")</f>
        <v>96.4</v>
      </c>
      <c r="I112" s="52">
        <f>SUMIFS(РД[Стоимость без отделки итог],РД[МОП],A112,РД[Дата подачи на регистрацию],"&lt;="&amp;$A$1,РД[Дата подачи на регистрацию],"&gt;="&amp;DATE(YEAR($A$1),MONTH($A$1),1),РД[Состояние],"Коммерция")</f>
        <v>11568000</v>
      </c>
      <c r="J112" s="220">
        <f>COUNTIFS(РД[МОП],A112,РД[Дата подачи на регистрацию],"&lt;="&amp;$A$1,РД[Дата подачи на регистрацию],"&gt;="&amp;DATE(YEAR($A$1),MONTH($A$1),1),РД[Состояние],"Коммерция")</f>
        <v>1</v>
      </c>
      <c r="K112" s="52" t="str">
        <f t="shared" si="22"/>
        <v/>
      </c>
      <c r="L112" s="546" t="str">
        <f t="shared" si="22"/>
        <v/>
      </c>
      <c r="M112" s="202">
        <f>COUNTIFS(РД[Дом],M$110,РД[МОП],$A112,РД[Дата подачи на регистрацию],"&lt;="&amp;$A$1,РД[Дата подачи на регистрацию],"&gt;="&amp;DATE(YEAR($A$1),MONTH($A$1),1),РД[Состояние],"Коммерция")</f>
        <v>0</v>
      </c>
      <c r="N112" s="226">
        <f>COUNTIFS(РД[Дом],N$110,РД[МОП],$A112,РД[Дата подачи на регистрацию],"&lt;="&amp;$A$1,РД[Дата подачи на регистрацию],"&gt;="&amp;DATE(YEAR($A$1),MONTH($A$1),1),РД[Состояние],"Коммерция")</f>
        <v>1</v>
      </c>
      <c r="O112" s="227">
        <f>COUNTIFS(РД[Дом],O$110,РД[МОП],$A112,РД[Дата подачи на регистрацию],"&lt;="&amp;$A$1,РД[Дата подачи на регистрацию],"&gt;="&amp;DATE(YEAR($A$1),MONTH($A$1),1),РД[Состояние],"Коммерция")</f>
        <v>0</v>
      </c>
      <c r="P112" s="949"/>
      <c r="Q112" s="949"/>
      <c r="R112" s="949"/>
      <c r="S112" s="930"/>
      <c r="T112" s="931"/>
    </row>
    <row r="113" spans="1:21">
      <c r="A113" s="981" t="s">
        <v>1233</v>
      </c>
      <c r="B113" s="271"/>
      <c r="C113" s="52"/>
      <c r="D113" s="717"/>
      <c r="E113" s="416">
        <f>SUMIFS(февр231411131617[м2],февр231411131617[МОП],A113,февр231411131617[Ком],"Офис")</f>
        <v>86.5</v>
      </c>
      <c r="F113" s="52">
        <f>SUMIFS(февр231411131617[сумма без отделки],февр231411131617[МОП],$A113,февр231411131617[Ком],"оФИС")</f>
        <v>10350291</v>
      </c>
      <c r="G113" s="421">
        <f>COUNTIFS(февр231411131617[МОП],$A113,февр231411131617[Ком],"Офис")</f>
        <v>1</v>
      </c>
      <c r="H113" s="271">
        <f>SUMIFS(РД[S],РД[МОП],A113,РД[Дата подачи на регистрацию],"&lt;="&amp;$A$1,РД[Дата подачи на регистрацию],"&gt;="&amp;DATE(YEAR($A$1),MONTH($A$1),1),РД[Состояние],"Коммерция")</f>
        <v>86.5</v>
      </c>
      <c r="I113" s="52">
        <f>SUMIFS(РД[Стоимость без отделки итог],РД[МОП],A113,РД[Дата подачи на регистрацию],"&lt;="&amp;$A$1,РД[Дата подачи на регистрацию],"&gt;="&amp;DATE(YEAR($A$1),MONTH($A$1),1),РД[Состояние],"Коммерция")</f>
        <v>10350291</v>
      </c>
      <c r="J113" s="220">
        <f>COUNTIFS(РД[МОП],A113,РД[Дата подачи на регистрацию],"&lt;="&amp;$A$1,РД[Дата подачи на регистрацию],"&gt;="&amp;DATE(YEAR($A$1),MONTH($A$1),1),РД[Состояние],"Коммерция")</f>
        <v>1</v>
      </c>
      <c r="K113" s="224" t="str">
        <f t="shared" si="22"/>
        <v/>
      </c>
      <c r="L113" s="334" t="str">
        <f t="shared" si="22"/>
        <v/>
      </c>
      <c r="M113" s="202">
        <f>COUNTIFS(РД[Дом],M$110,РД[МОП],$A113,РД[Дата подачи на регистрацию],"&lt;="&amp;$A$1,РД[Дата подачи на регистрацию],"&gt;="&amp;DATE(YEAR($A$1),MONTH($A$1),1),РД[Состояние],"Коммерция")</f>
        <v>0</v>
      </c>
      <c r="N113" s="226">
        <f>COUNTIFS(РД[Дом],N$110,РД[МОП],$A113,РД[Дата подачи на регистрацию],"&lt;="&amp;$A$1,РД[Дата подачи на регистрацию],"&gt;="&amp;DATE(YEAR($A$1),MONTH($A$1),1),РД[Состояние],"Коммерция")</f>
        <v>0</v>
      </c>
      <c r="O113" s="227">
        <f>COUNTIFS(РД[Дом],O$110,РД[МОП],$A113,РД[Дата подачи на регистрацию],"&lt;="&amp;$A$1,РД[Дата подачи на регистрацию],"&gt;="&amp;DATE(YEAR($A$1),MONTH($A$1),1),РД[Состояние],"Коммерция")</f>
        <v>1</v>
      </c>
      <c r="P113" s="949"/>
      <c r="Q113" s="949"/>
      <c r="R113" s="949"/>
      <c r="S113" s="930"/>
      <c r="T113" s="931"/>
    </row>
    <row r="114" spans="1:21">
      <c r="A114" s="982" t="s">
        <v>29</v>
      </c>
      <c r="B114" s="516"/>
      <c r="C114" s="554"/>
      <c r="D114" s="695"/>
      <c r="E114" s="416">
        <f>SUMIFS(февр231411131617[м2],февр231411131617[МОП],A114,февр231411131617[Ком],"Офис")</f>
        <v>0</v>
      </c>
      <c r="F114" s="958">
        <f>SUMIFS(февр231411131617[сумма без отделки],февр231411131617[МОП],$A114,февр231411131617[Ком],"оФИС")</f>
        <v>0</v>
      </c>
      <c r="G114" s="983">
        <f>COUNTIFS(февр231411131617[МОП],$A114,февр231411131617[Ком],"Офис")</f>
        <v>0</v>
      </c>
      <c r="H114" s="516">
        <f>SUMIFS(РД[S],РД[МОП],A114,РД[Дата подачи на регистрацию],"&lt;="&amp;$A$1,РД[Дата подачи на регистрацию],"&gt;="&amp;DATE(YEAR($A$1),MONTH($A$1),1),РД[Состояние],"Коммерция")</f>
        <v>0</v>
      </c>
      <c r="I114" s="554">
        <f>SUMIFS(РД[Стоимость без отделки итог],РД[МОП],A114,РД[Дата подачи на регистрацию],"&lt;="&amp;$A$1,РД[Дата подачи на регистрацию],"&gt;="&amp;DATE(YEAR($A$1),MONTH($A$1),1),РД[Состояние],"Коммерция")</f>
        <v>0</v>
      </c>
      <c r="J114" s="1001">
        <f>COUNTIFS(РД[МОП],A114,РД[Дата подачи на регистрацию],"&lt;="&amp;$A$1,РД[Дата подачи на регистрацию],"&gt;="&amp;DATE(YEAR($A$1),MONTH($A$1),1),РД[Состояние],"Коммерция")</f>
        <v>0</v>
      </c>
      <c r="K114" s="252" t="str">
        <f t="shared" si="22"/>
        <v/>
      </c>
      <c r="L114" s="253" t="str">
        <f t="shared" si="22"/>
        <v/>
      </c>
      <c r="M114" s="195">
        <f>COUNTIFS(РД[Дом],M$110,РД[МОП],$A114,РД[Дата подачи на регистрацию],"&lt;="&amp;$A$1,РД[Дата подачи на регистрацию],"&gt;="&amp;DATE(YEAR($A$1),MONTH($A$1),1),РД[Состояние],"Коммерция")</f>
        <v>0</v>
      </c>
      <c r="N114" s="251">
        <f>COUNTIFS(РД[Дом],N$110,РД[МОП],$A114,РД[Дата подачи на регистрацию],"&lt;="&amp;$A$1,РД[Дата подачи на регистрацию],"&gt;="&amp;DATE(YEAR($A$1),MONTH($A$1),1),РД[Состояние],"Коммерция")</f>
        <v>0</v>
      </c>
      <c r="O114" s="254">
        <f>COUNTIFS(РД[Дом],O$110,РД[МОП],$A114,РД[Дата подачи на регистрацию],"&lt;="&amp;$A$1,РД[Дата подачи на регистрацию],"&gt;="&amp;DATE(YEAR($A$1),MONTH($A$1),1),РД[Состояние],"Коммерция")</f>
        <v>0</v>
      </c>
      <c r="P114" s="949"/>
      <c r="Q114" s="949"/>
      <c r="R114" s="949"/>
      <c r="S114" s="930"/>
      <c r="T114" s="931"/>
    </row>
    <row r="115" spans="1:21">
      <c r="A115" s="984" t="s">
        <v>114</v>
      </c>
      <c r="B115" s="323">
        <f t="shared" ref="B115:J115" si="23">SUM(B111:B114)</f>
        <v>0</v>
      </c>
      <c r="C115" s="429">
        <f t="shared" si="23"/>
        <v>0</v>
      </c>
      <c r="D115" s="319">
        <f t="shared" si="23"/>
        <v>0</v>
      </c>
      <c r="E115" s="428">
        <f t="shared" si="23"/>
        <v>284.60000000000002</v>
      </c>
      <c r="F115" s="429">
        <f t="shared" si="23"/>
        <v>34630791</v>
      </c>
      <c r="G115" s="322">
        <f t="shared" si="23"/>
        <v>3</v>
      </c>
      <c r="H115" s="323">
        <f t="shared" si="23"/>
        <v>284.60000000000002</v>
      </c>
      <c r="I115" s="429">
        <f t="shared" si="23"/>
        <v>34630791</v>
      </c>
      <c r="J115" s="429">
        <f t="shared" si="23"/>
        <v>3</v>
      </c>
      <c r="K115" s="419" t="str">
        <f t="shared" si="22"/>
        <v/>
      </c>
      <c r="L115" s="924" t="str">
        <f t="shared" si="22"/>
        <v/>
      </c>
      <c r="M115" s="318">
        <f>SUM(M111:M114)</f>
        <v>0</v>
      </c>
      <c r="N115" s="321">
        <f>SUM(N111:N114)</f>
        <v>2</v>
      </c>
      <c r="O115" s="319">
        <f>SUM(O111:O114)</f>
        <v>1</v>
      </c>
      <c r="P115" s="949"/>
      <c r="Q115" s="949"/>
      <c r="R115" s="949"/>
      <c r="S115" s="930"/>
      <c r="T115" s="931"/>
    </row>
    <row r="116" spans="1:21">
      <c r="A116" s="685" t="s">
        <v>115</v>
      </c>
      <c r="B116" s="713" t="s">
        <v>100</v>
      </c>
      <c r="C116" s="714" t="s">
        <v>97</v>
      </c>
      <c r="D116" s="715" t="s">
        <v>95</v>
      </c>
      <c r="E116" s="716" t="s">
        <v>494</v>
      </c>
      <c r="F116" s="265" t="s">
        <v>495</v>
      </c>
      <c r="G116" s="266" t="s">
        <v>496</v>
      </c>
      <c r="H116" s="140" t="s">
        <v>101</v>
      </c>
      <c r="I116" s="141" t="s">
        <v>98</v>
      </c>
      <c r="J116" s="141" t="s">
        <v>96</v>
      </c>
      <c r="K116" s="141" t="s">
        <v>715</v>
      </c>
      <c r="L116" s="216" t="s">
        <v>716</v>
      </c>
      <c r="M116" s="1000" t="s">
        <v>121</v>
      </c>
      <c r="N116" s="505" t="s">
        <v>27</v>
      </c>
      <c r="O116" s="506" t="s">
        <v>7</v>
      </c>
      <c r="P116" s="949"/>
      <c r="Q116" s="949"/>
      <c r="R116" s="949"/>
      <c r="S116" s="930"/>
      <c r="T116" s="931"/>
    </row>
    <row r="117" spans="1:21">
      <c r="A117" s="985" t="s">
        <v>16</v>
      </c>
      <c r="B117" s="291"/>
      <c r="C117" s="292"/>
      <c r="D117" s="720"/>
      <c r="E117" s="267">
        <f>SUMIFS(февр231411131617[м2],февр231411131617[ИМ],A117,февр231411131617[Ком],"Офис")</f>
        <v>0</v>
      </c>
      <c r="F117" s="146">
        <f>SUMIFS(февр231411131617[сумма без отделки],февр231411131617[ИМ],$A117,февр231411131617[Ком],"оФИС")</f>
        <v>0</v>
      </c>
      <c r="G117" s="417">
        <f>COUNTIFS(февр231411131617[ИМ],$A117,февр231411131617[Ком],"Офис")</f>
        <v>0</v>
      </c>
      <c r="H117" s="267">
        <f>SUMIFS(РД[S],РД[ИМ],A117,РД[Дата подачи на регистрацию],"&lt;="&amp;$A$1,РД[Дата подачи на регистрацию],"&gt;="&amp;DATE(YEAR($A$1),MONTH($A$1),1),РД[Состояние],"Коммерция")</f>
        <v>0</v>
      </c>
      <c r="I117" s="146">
        <f>SUMIFS(РД[Стоимость без отделки итог],РД[ИМ],A117,РД[Дата подачи на регистрацию],"&lt;="&amp;$A$1,РД[Дата подачи на регистрацию],"&gt;="&amp;DATE(YEAR($A$1),MONTH($A$1),1),РД[Состояние],"Коммерция")</f>
        <v>0</v>
      </c>
      <c r="J117" s="220">
        <f>COUNTIFS(РД[ИМ],A117,РД[Дата подачи на регистрацию],"&lt;="&amp;$A$1,РД[Дата подачи на регистрацию],"&gt;="&amp;DATE(YEAR($A$1),MONTH($A$1),1),РД[Состояние],"Коммерция")</f>
        <v>0</v>
      </c>
      <c r="K117" s="224" t="str">
        <f t="shared" ref="K117:L119" si="24">IFERROR(H117/B117,"")</f>
        <v/>
      </c>
      <c r="L117" s="225" t="str">
        <f t="shared" si="24"/>
        <v/>
      </c>
      <c r="M117" s="183">
        <f>COUNTIFS(РД[Дом],M$110,РД[ИМ],$A117,РД[Дата подачи на регистрацию],"&lt;="&amp;$A$1,РД[Дата подачи на регистрацию],"&gt;="&amp;DATE(YEAR($A$1),MONTH($A$1),1),РД[Состояние],"Коммерция")</f>
        <v>0</v>
      </c>
      <c r="N117" s="243">
        <f>COUNTIFS(РД[Дом],N$110,РД[ИМ],$A117,РД[Дата подачи на регистрацию],"&lt;="&amp;$A$1,РД[Дата подачи на регистрацию],"&gt;="&amp;DATE(YEAR($A$1),MONTH($A$1),1),РД[Состояние],"Коммерция")</f>
        <v>0</v>
      </c>
      <c r="O117" s="246">
        <f>COUNTIFS(РД[Дом],O$110,РД[ИМ],$A117,РД[Дата подачи на регистрацию],"&lt;="&amp;$A$1,РД[Дата подачи на регистрацию],"&gt;="&amp;DATE(YEAR($A$1),MONTH($A$1),1),РД[Состояние],"Коммерция")</f>
        <v>0</v>
      </c>
      <c r="P117" s="949"/>
      <c r="Q117" s="949"/>
      <c r="R117" s="949"/>
      <c r="S117" s="930"/>
      <c r="T117" s="931"/>
    </row>
    <row r="118" spans="1:21">
      <c r="A118" s="982" t="s">
        <v>22</v>
      </c>
      <c r="B118" s="516"/>
      <c r="C118" s="554"/>
      <c r="D118" s="721"/>
      <c r="E118" s="315">
        <f>SUMIFS(февр231411131617[м2],февр231411131617[ИМ],A118,февр231411131617[Ком],"Офис")</f>
        <v>0</v>
      </c>
      <c r="F118" s="363">
        <f>SUMIFS(февр231411131617[сумма без отделки],февр231411131617[ИМ],$A118,февр231411131617[Ком],"оФИС")</f>
        <v>0</v>
      </c>
      <c r="G118" s="518">
        <f>COUNTIFS(февр231411131617[ИМ],$A118,февр231411131617[Ком],"Офис")</f>
        <v>0</v>
      </c>
      <c r="H118" s="315">
        <f>SUMIFS(РД[S],РД[ИМ],A118,РД[Дата подачи на регистрацию],"&lt;="&amp;$A$1,РД[Дата подачи на регистрацию],"&gt;="&amp;DATE(YEAR($A$1),MONTH($A$1),1),РД[Состояние],"Коммерция")</f>
        <v>0</v>
      </c>
      <c r="I118" s="363">
        <f>SUMIFS(РД[Стоимость без отделки итог],РД[ИМ],A118,РД[Дата подачи на регистрацию],"&lt;="&amp;$A$1,РД[Дата подачи на регистрацию],"&gt;="&amp;DATE(YEAR($A$1),MONTH($A$1),1),РД[Состояние],"Коммерция")</f>
        <v>0</v>
      </c>
      <c r="J118" s="220">
        <f>COUNTIFS(РД[ИМ],A118,РД[Дата подачи на регистрацию],"&lt;="&amp;$A$1,РД[Дата подачи на регистрацию],"&gt;="&amp;DATE(YEAR($A$1),MONTH($A$1),1),РД[Состояние],"Коммерция")</f>
        <v>0</v>
      </c>
      <c r="K118" s="252" t="str">
        <f t="shared" si="24"/>
        <v/>
      </c>
      <c r="L118" s="260" t="str">
        <f t="shared" si="24"/>
        <v/>
      </c>
      <c r="M118" s="195">
        <f>COUNTIFS(РД[Дом],M$110,РД[ИМ],$A118,РД[Дата подачи на регистрацию],"&lt;="&amp;$A$1,РД[Дата подачи на регистрацию],"&gt;="&amp;DATE(YEAR($A$1),MONTH($A$1),1),РД[Состояние],"Коммерция")</f>
        <v>0</v>
      </c>
      <c r="N118" s="251">
        <f>COUNTIFS(РД[Дом],N$110,РД[ИМ],$A118,РД[Дата подачи на регистрацию],"&lt;="&amp;$A$1,РД[Дата подачи на регистрацию],"&gt;="&amp;DATE(YEAR($A$1),MONTH($A$1),1),РД[Состояние],"Коммерция")</f>
        <v>0</v>
      </c>
      <c r="O118" s="254">
        <f>COUNTIFS(РД[Дом],O$110,РД[ИМ],$A118,РД[Дата подачи на регистрацию],"&lt;="&amp;$A$1,РД[Дата подачи на регистрацию],"&gt;="&amp;DATE(YEAR($A$1),MONTH($A$1),1),РД[Состояние],"Коммерция")</f>
        <v>0</v>
      </c>
      <c r="P118" s="949"/>
      <c r="Q118" s="949"/>
      <c r="R118" s="949"/>
      <c r="S118" s="930"/>
      <c r="T118" s="931"/>
    </row>
    <row r="119" spans="1:21">
      <c r="A119" s="986" t="s">
        <v>114</v>
      </c>
      <c r="B119" s="282">
        <f>SUM(B117:B118)</f>
        <v>0</v>
      </c>
      <c r="C119" s="287">
        <f>SUM(C117:C118)</f>
        <v>0</v>
      </c>
      <c r="D119" s="472">
        <f>SUM(D117:D118)</f>
        <v>0</v>
      </c>
      <c r="E119" s="323">
        <f t="shared" ref="E119:J119" si="25">SUM(E117:E118)</f>
        <v>0</v>
      </c>
      <c r="F119" s="429">
        <f t="shared" si="25"/>
        <v>0</v>
      </c>
      <c r="G119" s="322">
        <f t="shared" si="25"/>
        <v>0</v>
      </c>
      <c r="H119" s="323">
        <f t="shared" si="25"/>
        <v>0</v>
      </c>
      <c r="I119" s="429">
        <f t="shared" si="25"/>
        <v>0</v>
      </c>
      <c r="J119" s="429">
        <f t="shared" si="25"/>
        <v>0</v>
      </c>
      <c r="K119" s="419" t="str">
        <f t="shared" si="24"/>
        <v/>
      </c>
      <c r="L119" s="924" t="str">
        <f t="shared" si="24"/>
        <v/>
      </c>
      <c r="M119" s="925">
        <f>SUM(M117:M118)</f>
        <v>0</v>
      </c>
      <c r="N119" s="285">
        <f>SUM(N117:N118)</f>
        <v>0</v>
      </c>
      <c r="O119" s="305">
        <f>SUM(O117:O118)</f>
        <v>0</v>
      </c>
      <c r="P119" s="949"/>
      <c r="Q119" s="949"/>
      <c r="R119" s="949"/>
      <c r="S119" s="930"/>
      <c r="T119" s="931"/>
    </row>
    <row r="120" spans="1:21">
      <c r="A120" s="134"/>
      <c r="B120" s="44"/>
      <c r="C120" s="44"/>
      <c r="D120" s="134"/>
      <c r="E120" s="134"/>
      <c r="F120" s="44"/>
      <c r="G120" s="134"/>
      <c r="H120" s="134"/>
      <c r="I120" s="134"/>
      <c r="J120" s="134"/>
      <c r="K120" s="255"/>
      <c r="L120" s="256"/>
      <c r="M120" s="134"/>
      <c r="N120" s="134"/>
      <c r="O120" s="134"/>
      <c r="P120" s="134"/>
      <c r="Q120" s="134"/>
      <c r="R120" s="949"/>
      <c r="S120" s="949"/>
    </row>
    <row r="121" spans="1:21" ht="15">
      <c r="A121" s="2317" t="s">
        <v>945</v>
      </c>
      <c r="B121" s="2318"/>
      <c r="C121" s="2318"/>
      <c r="D121" s="2318"/>
      <c r="E121" s="2318"/>
      <c r="F121" s="2318"/>
      <c r="G121" s="2318"/>
      <c r="H121" s="2319"/>
      <c r="I121" s="2319"/>
      <c r="J121" s="2319"/>
      <c r="K121" s="2319"/>
      <c r="L121" s="2319"/>
      <c r="M121" s="2319"/>
      <c r="N121" s="2320"/>
      <c r="O121" s="949"/>
      <c r="P121" s="949"/>
      <c r="Q121" s="86"/>
      <c r="R121" s="949"/>
      <c r="S121" s="949"/>
    </row>
    <row r="122" spans="1:21">
      <c r="A122" s="685" t="s">
        <v>1</v>
      </c>
      <c r="B122" s="723" t="s">
        <v>101</v>
      </c>
      <c r="C122" s="724" t="s">
        <v>98</v>
      </c>
      <c r="D122" s="688" t="s">
        <v>96</v>
      </c>
      <c r="E122" s="137" t="s">
        <v>494</v>
      </c>
      <c r="F122" s="138" t="s">
        <v>495</v>
      </c>
      <c r="G122" s="296" t="s">
        <v>496</v>
      </c>
      <c r="H122" s="140" t="s">
        <v>946</v>
      </c>
      <c r="I122" s="141" t="s">
        <v>947</v>
      </c>
      <c r="J122" s="217">
        <v>0</v>
      </c>
      <c r="K122" s="218">
        <v>1</v>
      </c>
      <c r="L122" s="340">
        <v>2</v>
      </c>
      <c r="M122" s="218">
        <v>3</v>
      </c>
      <c r="N122" s="219" t="s">
        <v>1367</v>
      </c>
      <c r="O122" s="949"/>
      <c r="P122" s="949"/>
      <c r="Q122" s="86"/>
      <c r="R122" s="949"/>
      <c r="S122" s="949"/>
    </row>
    <row r="123" spans="1:21" s="930" customFormat="1">
      <c r="A123" s="936" t="s">
        <v>8</v>
      </c>
      <c r="B123" s="267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3" s="146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3" s="702">
        <f>COUNTIFS(РД[МОП],A123,РД[Дата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3" s="514"/>
      <c r="F123" s="146"/>
      <c r="G123" s="417"/>
      <c r="H123" s="267">
        <f>SUMIFS(РД[S],РД[МОП],A123,РД[Дата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3" s="549">
        <f>SUMIFS(РД[Стоимость без отделки итог],РД[МОП],A123,РД[Дата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3" s="148">
        <f>COUNTIFS(РД[Тип кв],J$122,РД[МОП],$A123,РД[Дата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3" s="220">
        <f>COUNTIFS(РД[Тип кв],K$122,РД[МОП],$A123,РД[Дата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3" s="220">
        <f>COUNTIFS(РД[Тип кв],L$122,РД[МОП],$A123,РД[Дата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3" s="220">
        <f>COUNTIFS(РД[Тип кв],M$122,РД[МОП],$A123,РД[Дата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3" s="223">
        <f>COUNTIFS(РД[Тип кв],N$122,РД[МОП],$A123,РД[Дата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3" s="949"/>
      <c r="P123" s="949"/>
      <c r="Q123" s="86"/>
      <c r="R123" s="949"/>
      <c r="S123" s="949"/>
      <c r="U123" s="931"/>
    </row>
    <row r="124" spans="1:21" s="930" customFormat="1">
      <c r="A124" s="981" t="s">
        <v>77</v>
      </c>
      <c r="B124" s="271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4" s="52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4" s="717">
        <f>COUNTIFS(РД[МОП],A124,РД[Дата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4" s="416"/>
      <c r="F124" s="52"/>
      <c r="G124" s="421"/>
      <c r="H124" s="271">
        <f>SUMIFS(РД[S],РД[МОП],A124,РД[Дата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4" s="546">
        <f>SUMIFS(РД[Стоимость без отделки итог],РД[МОП],A124,РД[Дата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4" s="202">
        <f>COUNTIFS(РД[Тип кв],J$122,РД[МОП],$A124,РД[Дата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4" s="226">
        <f>COUNTIFS(РД[Тип кв],K$122,РД[МОП],$A124,РД[Дата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4" s="226">
        <f>COUNTIFS(РД[Тип кв],L$122,РД[МОП],$A124,РД[Дата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4" s="226">
        <f>COUNTIFS(РД[Тип кв],M$122,РД[МОП],$A124,РД[Дата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4" s="227">
        <f>COUNTIFS(РД[Тип кв],N$122,РД[МОП],$A124,РД[Дата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4" s="949"/>
      <c r="P124" s="949"/>
      <c r="Q124" s="86"/>
      <c r="R124" s="949"/>
      <c r="S124" s="949"/>
      <c r="U124" s="931"/>
    </row>
    <row r="125" spans="1:21" s="930" customFormat="1">
      <c r="A125" s="981" t="s">
        <v>1233</v>
      </c>
      <c r="B125" s="271">
        <f>SUMIFS(РД[S],РД[МОП],A125,РД[Дата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5" s="52">
        <f>SUMIFS(РД[Стоимость без отделки итог],РД[МОП],A125,РД[Дата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5" s="717">
        <f>COUNTIFS(РД[МОП],A125,РД[Дата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5" s="416"/>
      <c r="F125" s="52"/>
      <c r="G125" s="421"/>
      <c r="H125" s="271">
        <f>SUMIFS(РД[S],РД[МОП],A125,РД[Дата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5" s="546">
        <f>SUMIFS(РД[Стоимость без отделки итог],РД[МОП],A125,РД[Дата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5" s="202">
        <f>COUNTIFS(РД[Тип кв],J$122,РД[МОП],$A125,РД[Дата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5" s="226">
        <f>COUNTIFS(РД[Тип кв],K$122,РД[МОП],$A125,РД[Дата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5" s="226">
        <f>COUNTIFS(РД[Тип кв],L$122,РД[МОП],$A125,РД[Дата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5" s="226">
        <f>COUNTIFS(РД[Тип кв],M$122,РД[МОП],$A125,РД[Дата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5" s="227">
        <f>COUNTIFS(РД[Тип кв],N$122,РД[МОП],$A125,РД[Дата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5" s="949"/>
      <c r="P125" s="949"/>
      <c r="Q125" s="86"/>
      <c r="R125" s="949"/>
      <c r="S125" s="949"/>
      <c r="U125" s="931"/>
    </row>
    <row r="126" spans="1:21" s="930" customFormat="1">
      <c r="A126" s="982" t="s">
        <v>29</v>
      </c>
      <c r="B126" s="516">
        <f>SUMIFS(РД[S],РД[МОП],A126,РД[Дата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6" s="554">
        <f>SUMIFS(РД[Стоимость без отделки итог],РД[МОП],A126,РД[Дата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6" s="695">
        <f>COUNTIFS(РД[МОП],A126,РД[Дата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6" s="329">
        <f>SUMIFS(февр231411131617[м2],февр231411131617[МОП],$A126,февр231411131617[№ дома],$C$61)</f>
        <v>0</v>
      </c>
      <c r="F126" s="958">
        <f>SUMIFS(февр231411131617[сумма без отделки],февр231411131617[МОП],$A126,февр231411131617[№ дома],$C$61)</f>
        <v>0</v>
      </c>
      <c r="G126" s="959">
        <f>COUNTIFS(февр231411131617[МОП],$A126,февр231411131617[№ дома],$C$61)</f>
        <v>0</v>
      </c>
      <c r="H126" s="516">
        <f>SUMIFS(РД[S],РД[МОП],A126,РД[Дата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6" s="1002">
        <f>SUMIFS(РД[Стоимость без отделки итог],РД[МОП],A126,РД[Дата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6" s="195">
        <f>COUNTIFS(РД[Тип кв],J$122,РД[МОП],$A126,РД[Дата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6" s="251">
        <f>COUNTIFS(РД[Тип кв],K$122,РД[МОП],$A126,РД[Дата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6" s="251">
        <f>COUNTIFS(РД[Тип кв],L$122,РД[МОП],$A126,РД[Дата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6" s="251">
        <f>COUNTIFS(РД[Тип кв],M$122,РД[МОП],$A126,РД[Дата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6" s="254">
        <f>COUNTIFS(РД[Тип кв],N$122,РД[МОП],$A126,РД[Дата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6" s="949"/>
      <c r="P126" s="949"/>
      <c r="Q126" s="86"/>
      <c r="R126" s="949"/>
      <c r="S126" s="949"/>
      <c r="U126" s="931"/>
    </row>
    <row r="127" spans="1:21" s="930" customFormat="1">
      <c r="A127" s="984" t="s">
        <v>114</v>
      </c>
      <c r="B127" s="323">
        <f t="shared" ref="B127:N127" si="26">SUM(B123:B126)</f>
        <v>0</v>
      </c>
      <c r="C127" s="429">
        <f t="shared" si="26"/>
        <v>0</v>
      </c>
      <c r="D127" s="319">
        <f t="shared" si="26"/>
        <v>0</v>
      </c>
      <c r="E127" s="428">
        <f t="shared" si="26"/>
        <v>0</v>
      </c>
      <c r="F127" s="429">
        <f t="shared" si="26"/>
        <v>0</v>
      </c>
      <c r="G127" s="322">
        <f t="shared" si="26"/>
        <v>0</v>
      </c>
      <c r="H127" s="323">
        <f t="shared" si="26"/>
        <v>0</v>
      </c>
      <c r="I127" s="324">
        <f t="shared" si="26"/>
        <v>0</v>
      </c>
      <c r="J127" s="284">
        <f t="shared" si="26"/>
        <v>0</v>
      </c>
      <c r="K127" s="285">
        <f t="shared" si="26"/>
        <v>0</v>
      </c>
      <c r="L127" s="285">
        <f t="shared" si="26"/>
        <v>0</v>
      </c>
      <c r="M127" s="285">
        <f t="shared" si="26"/>
        <v>0</v>
      </c>
      <c r="N127" s="305">
        <f t="shared" si="26"/>
        <v>0</v>
      </c>
      <c r="O127" s="949"/>
      <c r="P127" s="949"/>
      <c r="Q127" s="86"/>
      <c r="R127" s="949"/>
      <c r="S127" s="949"/>
      <c r="U127" s="931"/>
    </row>
    <row r="128" spans="1:21" s="930" customFormat="1">
      <c r="A128" s="725" t="s">
        <v>115</v>
      </c>
      <c r="B128" s="706" t="s">
        <v>101</v>
      </c>
      <c r="C128" s="726" t="s">
        <v>98</v>
      </c>
      <c r="D128" s="708" t="s">
        <v>96</v>
      </c>
      <c r="E128" s="486" t="s">
        <v>494</v>
      </c>
      <c r="F128" s="487" t="s">
        <v>495</v>
      </c>
      <c r="G128" s="524" t="s">
        <v>496</v>
      </c>
      <c r="H128" s="489" t="s">
        <v>946</v>
      </c>
      <c r="I128" s="525" t="s">
        <v>947</v>
      </c>
      <c r="J128" s="217">
        <v>0</v>
      </c>
      <c r="K128" s="218">
        <v>1</v>
      </c>
      <c r="L128" s="340">
        <v>2</v>
      </c>
      <c r="M128" s="218">
        <v>3</v>
      </c>
      <c r="N128" s="219" t="s">
        <v>1367</v>
      </c>
      <c r="O128" s="949"/>
      <c r="P128" s="949"/>
      <c r="Q128" s="86"/>
      <c r="R128" s="949"/>
      <c r="S128" s="949"/>
      <c r="U128" s="931"/>
    </row>
    <row r="129" spans="1:21" s="930" customFormat="1">
      <c r="A129" s="985" t="s">
        <v>16</v>
      </c>
      <c r="B129" s="291">
        <f>SUMIFS(РД[S],РД[ИМ],A129,РД[Дата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29" s="292">
        <f>SUMIFS(РД[Стоимость без отделки итог],РД[ИМ],A129,РД[Дата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29" s="694">
        <f>COUNTIFS(РД[ИМ],A129,РД[Дата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29" s="551"/>
      <c r="F129" s="292"/>
      <c r="G129" s="552"/>
      <c r="H129" s="291">
        <f>SUMIFS(РД[S],РД[ИМ],A129,РД[Дата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29" s="312">
        <f>SUMIFS(РД[Стоимость без отделки итог],РД[ИМ],A129,РД[Дата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29" s="346">
        <f>COUNTIFS(РД[Тип кв],J$122,РД[ИМ],$A129,РД[Дата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29" s="243">
        <f>COUNTIFS(РД[Тип кв],K$122,РД[ИМ],$A129,РД[Дата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29" s="243">
        <f>COUNTIFS(РД[Тип кв],L$122,РД[ИМ],$A129,РД[Дата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29" s="243">
        <f>COUNTIFS(РД[Тип кв],M$122,РД[ИМ],$A129,РД[Дата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29" s="246">
        <f>COUNTIFS(РД[Тип кв],N$122,РД[ИМ],$A129,РД[Дата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29" s="949"/>
      <c r="P129" s="949"/>
      <c r="Q129" s="86"/>
      <c r="R129" s="949"/>
      <c r="S129" s="949"/>
      <c r="U129" s="931"/>
    </row>
    <row r="130" spans="1:21" s="930" customFormat="1">
      <c r="A130" s="982" t="s">
        <v>22</v>
      </c>
      <c r="B130" s="516">
        <f>SUMIFS(РД[S],РД[ИМ],A130,РД[Дата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30" s="554">
        <f>SUMIFS(РД[Стоимость без отделки итог],РД[ИМ],A130,РД[Дата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30" s="695">
        <f>COUNTIFS(РД[ИМ],A130,РД[Дата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30" s="553"/>
      <c r="F130" s="554"/>
      <c r="G130" s="555"/>
      <c r="H130" s="516">
        <f>SUMIFS(РД[S],РД[ИМ],A130,РД[Дата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30" s="517">
        <f>SUMIFS(РД[Стоимость без отделки итог],РД[ИМ],A130,РД[Дата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30" s="426">
        <f>COUNTIFS(РД[Тип кв],J$122,РД[ИМ],$A130,РД[Дата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30" s="251">
        <f>COUNTIFS(РД[Тип кв],K$122,РД[ИМ],$A130,РД[Дата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30" s="251">
        <f>COUNTIFS(РД[Тип кв],L$122,РД[ИМ],$A130,РД[Дата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30" s="251">
        <f>COUNTIFS(РД[Тип кв],M$122,РД[ИМ],$A130,РД[Дата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30" s="254">
        <f>COUNTIFS(РД[Тип кв],N$122,РД[ИМ],$A130,РД[Дата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30" s="949"/>
      <c r="P130" s="949"/>
      <c r="Q130" s="86"/>
      <c r="R130" s="949"/>
      <c r="S130" s="949"/>
      <c r="U130" s="931"/>
    </row>
    <row r="131" spans="1:21" s="930" customFormat="1">
      <c r="A131" s="986" t="s">
        <v>114</v>
      </c>
      <c r="B131" s="282">
        <f>SUM(B129:B130)</f>
        <v>0</v>
      </c>
      <c r="C131" s="287">
        <f>SUM(C129:C130)</f>
        <v>0</v>
      </c>
      <c r="D131" s="711">
        <f>SUM(D129:D130)</f>
        <v>0</v>
      </c>
      <c r="E131" s="425">
        <f t="shared" ref="E131:N131" si="27">SUM(E129:E130)</f>
        <v>0</v>
      </c>
      <c r="F131" s="287">
        <f t="shared" si="27"/>
        <v>0</v>
      </c>
      <c r="G131" s="286">
        <f t="shared" si="27"/>
        <v>0</v>
      </c>
      <c r="H131" s="282">
        <f t="shared" si="27"/>
        <v>0</v>
      </c>
      <c r="I131" s="283">
        <f t="shared" si="27"/>
        <v>0</v>
      </c>
      <c r="J131" s="284">
        <f t="shared" si="27"/>
        <v>0</v>
      </c>
      <c r="K131" s="285">
        <f t="shared" si="27"/>
        <v>0</v>
      </c>
      <c r="L131" s="285">
        <f t="shared" si="27"/>
        <v>0</v>
      </c>
      <c r="M131" s="285">
        <f t="shared" si="27"/>
        <v>0</v>
      </c>
      <c r="N131" s="305">
        <f t="shared" si="27"/>
        <v>0</v>
      </c>
      <c r="O131" s="949"/>
      <c r="P131" s="949"/>
      <c r="Q131" s="86"/>
      <c r="R131" s="949"/>
      <c r="S131" s="949"/>
      <c r="U131" s="931"/>
    </row>
    <row r="132" spans="1:21" s="930" customFormat="1">
      <c r="A132" s="65"/>
      <c r="B132" s="65"/>
      <c r="C132" s="65"/>
      <c r="D132" s="65"/>
      <c r="E132" s="65"/>
      <c r="F132" s="949"/>
      <c r="G132" s="65"/>
      <c r="H132" s="65"/>
      <c r="I132" s="949"/>
      <c r="J132" s="65"/>
      <c r="K132" s="65"/>
      <c r="L132" s="65"/>
      <c r="M132" s="949"/>
      <c r="N132" s="65"/>
      <c r="O132" s="949"/>
      <c r="P132" s="949"/>
      <c r="Q132" s="86"/>
      <c r="R132" s="949"/>
      <c r="S132" s="949"/>
      <c r="U132" s="931"/>
    </row>
    <row r="133" spans="1:21" s="930" customFormat="1">
      <c r="O133" s="949"/>
      <c r="P133" s="949"/>
      <c r="Q133" s="86"/>
      <c r="R133" s="949"/>
      <c r="S133" s="949"/>
      <c r="U133" s="931"/>
    </row>
    <row r="134" spans="1:21" s="930" customFormat="1">
      <c r="O134" s="949"/>
      <c r="P134" s="949"/>
      <c r="Q134" s="86"/>
      <c r="R134" s="949"/>
      <c r="S134" s="949"/>
      <c r="U134" s="931"/>
    </row>
    <row r="135" spans="1:21" s="930" customFormat="1">
      <c r="O135" s="949"/>
      <c r="P135" s="949"/>
      <c r="Q135" s="86"/>
      <c r="R135" s="949"/>
      <c r="S135" s="949"/>
      <c r="U135" s="931"/>
    </row>
    <row r="136" spans="1:21" s="930" customFormat="1">
      <c r="O136" s="949"/>
      <c r="P136" s="949"/>
      <c r="Q136" s="86"/>
      <c r="R136" s="949"/>
      <c r="S136" s="949"/>
      <c r="U136" s="931"/>
    </row>
    <row r="137" spans="1:21" s="930" customFormat="1">
      <c r="O137" s="949"/>
      <c r="P137" s="949"/>
      <c r="Q137" s="86"/>
      <c r="R137" s="949"/>
      <c r="S137" s="949"/>
      <c r="U137" s="931"/>
    </row>
    <row r="138" spans="1:21" s="930" customFormat="1">
      <c r="O138" s="949"/>
      <c r="P138" s="949"/>
      <c r="Q138" s="86"/>
      <c r="R138" s="949"/>
      <c r="S138" s="949"/>
      <c r="U138" s="931"/>
    </row>
    <row r="139" spans="1:21" s="930" customFormat="1">
      <c r="O139" s="949"/>
      <c r="P139" s="949"/>
      <c r="Q139" s="86"/>
      <c r="R139" s="949"/>
      <c r="S139" s="949"/>
      <c r="U139" s="931"/>
    </row>
    <row r="140" spans="1:21" s="930" customFormat="1">
      <c r="O140" s="949"/>
      <c r="P140" s="949"/>
      <c r="Q140" s="86"/>
      <c r="R140" s="949"/>
      <c r="S140" s="949"/>
      <c r="U140" s="931"/>
    </row>
    <row r="141" spans="1:21" s="930" customFormat="1">
      <c r="O141" s="949"/>
      <c r="P141" s="949"/>
      <c r="Q141" s="86"/>
      <c r="R141" s="949"/>
      <c r="S141" s="949"/>
      <c r="U141" s="931"/>
    </row>
    <row r="142" spans="1:21" s="930" customFormat="1">
      <c r="O142" s="949"/>
      <c r="P142" s="949"/>
      <c r="Q142" s="86"/>
      <c r="R142" s="949"/>
      <c r="S142" s="949"/>
      <c r="U142" s="931"/>
    </row>
    <row r="143" spans="1:21" s="930" customFormat="1">
      <c r="A143" s="65"/>
      <c r="B143" s="65"/>
      <c r="C143" s="65"/>
      <c r="D143" s="65"/>
      <c r="E143" s="65"/>
      <c r="F143" s="949"/>
      <c r="G143" s="65"/>
      <c r="H143" s="65"/>
      <c r="I143" s="949"/>
      <c r="J143" s="65"/>
      <c r="K143" s="65"/>
      <c r="L143" s="65"/>
      <c r="M143" s="949"/>
      <c r="N143" s="65"/>
      <c r="O143" s="949"/>
      <c r="P143" s="949"/>
      <c r="Q143" s="86"/>
      <c r="R143" s="949"/>
      <c r="S143" s="949"/>
      <c r="U143" s="931"/>
    </row>
    <row r="144" spans="1:21" s="930" customFormat="1">
      <c r="A144" s="65"/>
      <c r="B144" s="65"/>
      <c r="C144" s="65"/>
      <c r="D144" s="65"/>
      <c r="E144" s="65"/>
      <c r="F144" s="949"/>
      <c r="G144" s="65"/>
      <c r="H144" s="65"/>
      <c r="I144" s="949"/>
      <c r="J144" s="65"/>
      <c r="K144" s="65"/>
      <c r="L144" s="65"/>
      <c r="M144" s="949"/>
      <c r="N144" s="65"/>
      <c r="O144" s="949"/>
      <c r="P144" s="949"/>
      <c r="Q144" s="86"/>
      <c r="R144" s="949"/>
      <c r="S144" s="949"/>
      <c r="U144" s="931"/>
    </row>
    <row r="145" spans="1:21" s="930" customFormat="1">
      <c r="A145" s="65"/>
      <c r="B145" s="65"/>
      <c r="C145" s="65"/>
      <c r="D145" s="65"/>
      <c r="E145" s="65"/>
      <c r="F145" s="949"/>
      <c r="G145" s="65"/>
      <c r="H145" s="65"/>
      <c r="I145" s="949"/>
      <c r="J145" s="65"/>
      <c r="K145" s="65"/>
      <c r="L145" s="65"/>
      <c r="M145" s="949"/>
      <c r="N145" s="65"/>
      <c r="O145" s="949"/>
      <c r="P145" s="949"/>
      <c r="Q145" s="86"/>
      <c r="R145" s="949"/>
      <c r="S145" s="949"/>
      <c r="U145" s="931"/>
    </row>
    <row r="146" spans="1:21" s="930" customFormat="1">
      <c r="A146" s="65"/>
      <c r="B146" s="65"/>
      <c r="C146" s="65"/>
      <c r="D146" s="65"/>
      <c r="E146" s="65"/>
      <c r="F146" s="949"/>
      <c r="G146" s="65"/>
      <c r="H146" s="65"/>
      <c r="I146" s="949"/>
      <c r="J146" s="65"/>
      <c r="K146" s="65"/>
      <c r="L146" s="65"/>
      <c r="M146" s="949"/>
      <c r="N146" s="65"/>
      <c r="O146" s="949"/>
      <c r="P146" s="949"/>
      <c r="Q146" s="86"/>
      <c r="R146" s="949"/>
      <c r="S146" s="949"/>
      <c r="U146" s="931"/>
    </row>
    <row r="147" spans="1:21" s="930" customFormat="1">
      <c r="A147" s="65"/>
      <c r="B147" s="65"/>
      <c r="C147" s="65"/>
      <c r="D147" s="65"/>
      <c r="E147" s="65"/>
      <c r="F147" s="949"/>
      <c r="G147" s="65"/>
      <c r="H147" s="65"/>
      <c r="I147" s="949"/>
      <c r="J147" s="65"/>
      <c r="K147" s="65"/>
      <c r="L147" s="65"/>
      <c r="M147" s="949"/>
      <c r="N147" s="65"/>
      <c r="O147" s="949"/>
      <c r="P147" s="949"/>
      <c r="Q147" s="86"/>
      <c r="R147" s="949"/>
      <c r="S147" s="949"/>
      <c r="U147" s="931"/>
    </row>
    <row r="148" spans="1:21" s="930" customFormat="1">
      <c r="A148" s="65"/>
      <c r="B148" s="65"/>
      <c r="C148" s="65"/>
      <c r="D148" s="65"/>
      <c r="E148" s="65"/>
      <c r="F148" s="949"/>
      <c r="G148" s="65"/>
      <c r="H148" s="65"/>
      <c r="I148" s="949"/>
      <c r="J148" s="65"/>
      <c r="K148" s="65"/>
      <c r="L148" s="65"/>
      <c r="M148" s="949"/>
      <c r="N148" s="65"/>
      <c r="O148" s="949"/>
      <c r="P148" s="949"/>
      <c r="Q148" s="86"/>
      <c r="R148" s="949"/>
      <c r="S148" s="949"/>
      <c r="U148" s="931"/>
    </row>
    <row r="149" spans="1:21" s="930" customFormat="1">
      <c r="A149" s="65"/>
      <c r="B149" s="65"/>
      <c r="C149" s="65"/>
      <c r="D149" s="65"/>
      <c r="E149" s="65"/>
      <c r="F149" s="949"/>
      <c r="G149" s="65"/>
      <c r="H149" s="65"/>
      <c r="I149" s="949"/>
      <c r="J149" s="65"/>
      <c r="K149" s="65"/>
      <c r="L149" s="65"/>
      <c r="M149" s="949"/>
      <c r="N149" s="65"/>
      <c r="O149" s="949"/>
      <c r="P149" s="949"/>
      <c r="Q149" s="86"/>
      <c r="R149" s="949"/>
      <c r="S149" s="949"/>
      <c r="U149" s="931"/>
    </row>
    <row r="150" spans="1:21" s="930" customFormat="1">
      <c r="A150" s="65"/>
      <c r="B150" s="65"/>
      <c r="C150" s="65"/>
      <c r="D150" s="65"/>
      <c r="E150" s="65"/>
      <c r="F150" s="949"/>
      <c r="G150" s="65"/>
      <c r="H150" s="65"/>
      <c r="I150" s="949"/>
      <c r="J150" s="65"/>
      <c r="K150" s="65"/>
      <c r="L150" s="65"/>
      <c r="M150" s="949"/>
      <c r="N150" s="65"/>
      <c r="O150" s="949"/>
      <c r="P150" s="949"/>
      <c r="Q150" s="86"/>
      <c r="R150" s="949"/>
      <c r="S150" s="949"/>
      <c r="U150" s="931"/>
    </row>
    <row r="151" spans="1:21" s="930" customFormat="1">
      <c r="A151" s="65"/>
      <c r="B151" s="65"/>
      <c r="C151" s="65"/>
      <c r="D151" s="65"/>
      <c r="E151" s="65"/>
      <c r="F151" s="949"/>
      <c r="G151" s="65"/>
      <c r="H151" s="65"/>
      <c r="I151" s="949"/>
      <c r="J151" s="65"/>
      <c r="K151" s="65"/>
      <c r="L151" s="65"/>
      <c r="M151" s="949"/>
      <c r="N151" s="65"/>
      <c r="O151" s="949"/>
      <c r="P151" s="949"/>
      <c r="Q151" s="86"/>
      <c r="R151" s="949"/>
      <c r="S151" s="949"/>
      <c r="U151" s="931"/>
    </row>
    <row r="152" spans="1:21" s="930" customFormat="1">
      <c r="A152" s="65"/>
      <c r="B152" s="65"/>
      <c r="C152" s="65"/>
      <c r="D152" s="65"/>
      <c r="E152" s="65"/>
      <c r="F152" s="949"/>
      <c r="G152" s="65"/>
      <c r="H152" s="65"/>
      <c r="I152" s="949"/>
      <c r="J152" s="65"/>
      <c r="K152" s="65"/>
      <c r="L152" s="65"/>
      <c r="M152" s="949"/>
      <c r="N152" s="65"/>
      <c r="O152" s="949"/>
      <c r="P152" s="949"/>
      <c r="Q152" s="86"/>
      <c r="R152" s="949"/>
      <c r="S152" s="949"/>
      <c r="U152" s="931"/>
    </row>
    <row r="153" spans="1:21" s="930" customFormat="1">
      <c r="A153" s="65"/>
      <c r="B153" s="65"/>
      <c r="C153" s="65"/>
      <c r="D153" s="65"/>
      <c r="E153" s="65"/>
      <c r="F153" s="949"/>
      <c r="G153" s="65"/>
      <c r="H153" s="65"/>
      <c r="I153" s="949"/>
      <c r="J153" s="65"/>
      <c r="K153" s="65"/>
      <c r="L153" s="65"/>
      <c r="M153" s="949"/>
      <c r="N153" s="65"/>
      <c r="O153" s="949"/>
      <c r="P153" s="949"/>
      <c r="Q153" s="86"/>
      <c r="R153" s="949"/>
      <c r="S153" s="949"/>
      <c r="U153" s="931"/>
    </row>
    <row r="154" spans="1:21" s="930" customFormat="1">
      <c r="A154" s="65"/>
      <c r="B154" s="65"/>
      <c r="C154" s="65"/>
      <c r="D154" s="65"/>
      <c r="E154" s="65"/>
      <c r="F154" s="949"/>
      <c r="G154" s="65"/>
      <c r="H154" s="65"/>
      <c r="I154" s="949"/>
      <c r="J154" s="65"/>
      <c r="K154" s="65"/>
      <c r="L154" s="65"/>
      <c r="M154" s="949"/>
      <c r="N154" s="65"/>
      <c r="O154" s="949"/>
      <c r="P154" s="949"/>
      <c r="Q154" s="86"/>
      <c r="R154" s="949"/>
      <c r="S154" s="949"/>
      <c r="U154" s="931"/>
    </row>
    <row r="155" spans="1:21" s="930" customFormat="1">
      <c r="A155" s="65"/>
      <c r="B155" s="65"/>
      <c r="C155" s="65"/>
      <c r="D155" s="65"/>
      <c r="E155" s="65"/>
      <c r="F155" s="949"/>
      <c r="G155" s="65"/>
      <c r="H155" s="65"/>
      <c r="I155" s="949"/>
      <c r="J155" s="65"/>
      <c r="K155" s="65"/>
      <c r="L155" s="65"/>
      <c r="M155" s="949"/>
      <c r="N155" s="65"/>
      <c r="O155" s="949"/>
      <c r="P155" s="949"/>
      <c r="Q155" s="86"/>
      <c r="R155" s="949"/>
      <c r="S155" s="949"/>
      <c r="U155" s="931"/>
    </row>
    <row r="156" spans="1:21" s="930" customFormat="1">
      <c r="A156" s="65"/>
      <c r="B156" s="65"/>
      <c r="C156" s="65"/>
      <c r="D156" s="65"/>
      <c r="E156" s="65"/>
      <c r="F156" s="949"/>
      <c r="G156" s="65"/>
      <c r="H156" s="65"/>
      <c r="I156" s="949"/>
      <c r="J156" s="65"/>
      <c r="K156" s="65"/>
      <c r="L156" s="65"/>
      <c r="M156" s="949"/>
      <c r="N156" s="65"/>
      <c r="O156" s="949"/>
      <c r="P156" s="949"/>
      <c r="Q156" s="86"/>
      <c r="R156" s="949"/>
      <c r="S156" s="949"/>
      <c r="U156" s="931"/>
    </row>
    <row r="157" spans="1:21" s="930" customFormat="1">
      <c r="A157" s="65"/>
      <c r="B157" s="65"/>
      <c r="C157" s="65"/>
      <c r="D157" s="65"/>
      <c r="E157" s="65"/>
      <c r="F157" s="949"/>
      <c r="G157" s="65"/>
      <c r="H157" s="65"/>
      <c r="I157" s="949"/>
      <c r="J157" s="65"/>
      <c r="K157" s="65"/>
      <c r="L157" s="65"/>
      <c r="M157" s="949"/>
      <c r="N157" s="65"/>
      <c r="O157" s="949"/>
      <c r="P157" s="949"/>
      <c r="Q157" s="86"/>
      <c r="R157" s="949"/>
      <c r="S157" s="949"/>
      <c r="U157" s="931"/>
    </row>
    <row r="158" spans="1:21" s="930" customFormat="1">
      <c r="A158" s="65"/>
      <c r="B158" s="65"/>
      <c r="C158" s="65"/>
      <c r="D158" s="65"/>
      <c r="E158" s="65"/>
      <c r="F158" s="949"/>
      <c r="G158" s="65"/>
      <c r="H158" s="65"/>
      <c r="I158" s="949"/>
      <c r="J158" s="65"/>
      <c r="K158" s="65"/>
      <c r="L158" s="65"/>
      <c r="M158" s="949"/>
      <c r="N158" s="65"/>
      <c r="O158" s="949"/>
      <c r="P158" s="949"/>
      <c r="Q158" s="86"/>
      <c r="R158" s="949"/>
      <c r="S158" s="949"/>
      <c r="U158" s="931"/>
    </row>
    <row r="159" spans="1:21" s="930" customFormat="1">
      <c r="A159" s="65"/>
      <c r="B159" s="65"/>
      <c r="C159" s="65"/>
      <c r="D159" s="65"/>
      <c r="E159" s="65"/>
      <c r="F159" s="949"/>
      <c r="G159" s="65"/>
      <c r="H159" s="65"/>
      <c r="I159" s="949"/>
      <c r="J159" s="65"/>
      <c r="K159" s="65"/>
      <c r="L159" s="65"/>
      <c r="M159" s="949"/>
      <c r="N159" s="65"/>
      <c r="O159" s="949"/>
      <c r="P159" s="949"/>
      <c r="Q159" s="86"/>
      <c r="R159" s="949"/>
      <c r="S159" s="949"/>
      <c r="U159" s="931"/>
    </row>
    <row r="160" spans="1:21" s="930" customFormat="1">
      <c r="A160" s="65"/>
      <c r="B160" s="65"/>
      <c r="C160" s="65"/>
      <c r="D160" s="65"/>
      <c r="E160" s="65"/>
      <c r="F160" s="949"/>
      <c r="G160" s="65"/>
      <c r="H160" s="65"/>
      <c r="I160" s="949"/>
      <c r="J160" s="65"/>
      <c r="K160" s="65"/>
      <c r="L160" s="65"/>
      <c r="M160" s="949"/>
      <c r="N160" s="65"/>
      <c r="O160" s="949"/>
      <c r="P160" s="949"/>
      <c r="Q160" s="86"/>
      <c r="R160" s="949"/>
      <c r="S160" s="949"/>
      <c r="U160" s="931"/>
    </row>
    <row r="161" spans="1:21" s="930" customFormat="1">
      <c r="A161" s="65"/>
      <c r="B161" s="65"/>
      <c r="C161" s="65"/>
      <c r="D161" s="65"/>
      <c r="E161" s="65"/>
      <c r="F161" s="949"/>
      <c r="G161" s="65"/>
      <c r="H161" s="65"/>
      <c r="I161" s="949"/>
      <c r="J161" s="65"/>
      <c r="K161" s="65"/>
      <c r="L161" s="65"/>
      <c r="M161" s="949"/>
      <c r="N161" s="65"/>
      <c r="O161" s="949"/>
      <c r="P161" s="949"/>
      <c r="Q161" s="86"/>
      <c r="R161" s="949"/>
      <c r="S161" s="949"/>
      <c r="U161" s="931"/>
    </row>
    <row r="162" spans="1:21" s="930" customFormat="1">
      <c r="A162" s="65"/>
      <c r="B162" s="65"/>
      <c r="C162" s="65"/>
      <c r="D162" s="65"/>
      <c r="E162" s="65"/>
      <c r="F162" s="949"/>
      <c r="G162" s="65"/>
      <c r="H162" s="65"/>
      <c r="I162" s="949"/>
      <c r="J162" s="65"/>
      <c r="K162" s="65"/>
      <c r="L162" s="65"/>
      <c r="M162" s="949"/>
      <c r="N162" s="65"/>
      <c r="O162" s="949"/>
      <c r="P162" s="949"/>
      <c r="Q162" s="86"/>
      <c r="R162" s="949"/>
      <c r="S162" s="949"/>
      <c r="U162" s="931"/>
    </row>
    <row r="163" spans="1:21" s="930" customFormat="1">
      <c r="A163" s="65"/>
      <c r="B163" s="65"/>
      <c r="C163" s="65"/>
      <c r="D163" s="65"/>
      <c r="E163" s="65"/>
      <c r="F163" s="949"/>
      <c r="G163" s="65"/>
      <c r="H163" s="65"/>
      <c r="I163" s="949"/>
      <c r="J163" s="65"/>
      <c r="K163" s="65"/>
      <c r="L163" s="65"/>
      <c r="M163" s="949"/>
      <c r="N163" s="65"/>
      <c r="O163" s="949"/>
      <c r="P163" s="949"/>
      <c r="Q163" s="86"/>
      <c r="R163" s="949"/>
      <c r="S163" s="949"/>
      <c r="U163" s="931"/>
    </row>
    <row r="164" spans="1:21" s="930" customFormat="1">
      <c r="A164" s="65"/>
      <c r="B164" s="65"/>
      <c r="C164" s="65"/>
      <c r="D164" s="65"/>
      <c r="E164" s="65"/>
      <c r="F164" s="949"/>
      <c r="G164" s="65"/>
      <c r="H164" s="65"/>
      <c r="I164" s="949"/>
      <c r="J164" s="65"/>
      <c r="K164" s="65"/>
      <c r="L164" s="65"/>
      <c r="M164" s="949"/>
      <c r="N164" s="65"/>
      <c r="O164" s="949"/>
      <c r="P164" s="949"/>
      <c r="Q164" s="86"/>
      <c r="R164" s="949"/>
      <c r="S164" s="949"/>
      <c r="U164" s="931"/>
    </row>
    <row r="165" spans="1:21" s="930" customFormat="1">
      <c r="A165" s="65"/>
      <c r="B165" s="65"/>
      <c r="C165" s="65"/>
      <c r="D165" s="65"/>
      <c r="E165" s="65"/>
      <c r="F165" s="949"/>
      <c r="G165" s="65"/>
      <c r="H165" s="65"/>
      <c r="I165" s="949"/>
      <c r="J165" s="65"/>
      <c r="K165" s="65"/>
      <c r="L165" s="65"/>
      <c r="M165" s="949"/>
      <c r="N165" s="65"/>
      <c r="O165" s="949"/>
      <c r="P165" s="949"/>
      <c r="Q165" s="86"/>
      <c r="R165" s="949"/>
      <c r="S165" s="949"/>
      <c r="U165" s="931"/>
    </row>
    <row r="166" spans="1:21" s="930" customFormat="1">
      <c r="A166" s="65"/>
      <c r="B166" s="65"/>
      <c r="C166" s="65"/>
      <c r="D166" s="65"/>
      <c r="E166" s="65"/>
      <c r="F166" s="949"/>
      <c r="G166" s="65"/>
      <c r="H166" s="65"/>
      <c r="I166" s="949"/>
      <c r="J166" s="65"/>
      <c r="K166" s="65"/>
      <c r="L166" s="65"/>
      <c r="M166" s="949"/>
      <c r="N166" s="65"/>
      <c r="O166" s="949"/>
      <c r="P166" s="949"/>
      <c r="Q166" s="86"/>
      <c r="R166" s="949"/>
      <c r="S166" s="949"/>
      <c r="U166" s="931"/>
    </row>
    <row r="167" spans="1:21" s="930" customFormat="1">
      <c r="A167" s="65"/>
      <c r="B167" s="65"/>
      <c r="C167" s="65"/>
      <c r="D167" s="65"/>
      <c r="E167" s="65"/>
      <c r="F167" s="949"/>
      <c r="G167" s="65"/>
      <c r="H167" s="65"/>
      <c r="I167" s="949"/>
      <c r="J167" s="65"/>
      <c r="K167" s="65"/>
      <c r="L167" s="65"/>
      <c r="M167" s="949"/>
      <c r="N167" s="65"/>
      <c r="O167" s="949"/>
      <c r="P167" s="949"/>
      <c r="Q167" s="86"/>
      <c r="R167" s="949"/>
      <c r="S167" s="949"/>
      <c r="U167" s="931"/>
    </row>
    <row r="168" spans="1:21" s="930" customFormat="1">
      <c r="A168" s="65"/>
      <c r="B168" s="65"/>
      <c r="C168" s="65"/>
      <c r="D168" s="65"/>
      <c r="E168" s="65"/>
      <c r="F168" s="949"/>
      <c r="G168" s="65"/>
      <c r="H168" s="65"/>
      <c r="I168" s="949"/>
      <c r="J168" s="65"/>
      <c r="K168" s="65"/>
      <c r="L168" s="65"/>
      <c r="M168" s="949"/>
      <c r="N168" s="65"/>
      <c r="O168" s="949"/>
      <c r="P168" s="949"/>
      <c r="Q168" s="86"/>
      <c r="R168" s="949"/>
      <c r="S168" s="949"/>
      <c r="U168" s="931"/>
    </row>
    <row r="169" spans="1:21" s="930" customFormat="1">
      <c r="A169" s="65"/>
      <c r="B169" s="65"/>
      <c r="C169" s="65"/>
      <c r="D169" s="65"/>
      <c r="E169" s="65"/>
      <c r="F169" s="949"/>
      <c r="G169" s="65"/>
      <c r="H169" s="65"/>
      <c r="I169" s="949"/>
      <c r="J169" s="65"/>
      <c r="K169" s="65"/>
      <c r="L169" s="65"/>
      <c r="M169" s="949"/>
      <c r="N169" s="65"/>
      <c r="O169" s="949"/>
      <c r="P169" s="949"/>
      <c r="Q169" s="86"/>
      <c r="R169" s="949"/>
      <c r="S169" s="949"/>
      <c r="U169" s="931"/>
    </row>
    <row r="170" spans="1:21" s="930" customFormat="1">
      <c r="A170" s="65"/>
      <c r="B170" s="65"/>
      <c r="C170" s="65"/>
      <c r="D170" s="65"/>
      <c r="E170" s="65"/>
      <c r="F170" s="949"/>
      <c r="G170" s="65"/>
      <c r="H170" s="65"/>
      <c r="I170" s="949"/>
      <c r="J170" s="65"/>
      <c r="K170" s="65"/>
      <c r="L170" s="65"/>
      <c r="M170" s="949"/>
      <c r="N170" s="65"/>
      <c r="O170" s="949"/>
      <c r="P170" s="949"/>
      <c r="Q170" s="86"/>
      <c r="R170" s="949"/>
      <c r="S170" s="949"/>
      <c r="U170" s="931"/>
    </row>
    <row r="171" spans="1:21" s="930" customFormat="1">
      <c r="A171" s="65"/>
      <c r="B171" s="65"/>
      <c r="C171" s="65"/>
      <c r="D171" s="65"/>
      <c r="E171" s="65"/>
      <c r="F171" s="949"/>
      <c r="G171" s="65"/>
      <c r="H171" s="65"/>
      <c r="I171" s="949"/>
      <c r="J171" s="65"/>
      <c r="K171" s="65"/>
      <c r="L171" s="65"/>
      <c r="M171" s="949"/>
      <c r="N171" s="65"/>
      <c r="O171" s="949"/>
      <c r="P171" s="949"/>
      <c r="Q171" s="86"/>
      <c r="R171" s="949"/>
      <c r="S171" s="949"/>
      <c r="U171" s="931"/>
    </row>
    <row r="172" spans="1:21" s="930" customFormat="1">
      <c r="A172" s="65"/>
      <c r="B172" s="65"/>
      <c r="C172" s="65"/>
      <c r="D172" s="65"/>
      <c r="E172" s="65"/>
      <c r="F172" s="949"/>
      <c r="G172" s="65"/>
      <c r="H172" s="65"/>
      <c r="I172" s="949"/>
      <c r="J172" s="65"/>
      <c r="K172" s="65"/>
      <c r="L172" s="65"/>
      <c r="M172" s="949"/>
      <c r="N172" s="65"/>
      <c r="O172" s="949"/>
      <c r="P172" s="949"/>
      <c r="Q172" s="86"/>
      <c r="R172" s="949"/>
      <c r="S172" s="949"/>
      <c r="U172" s="931"/>
    </row>
    <row r="173" spans="1:21" s="930" customFormat="1">
      <c r="A173" s="65"/>
      <c r="B173" s="65"/>
      <c r="C173" s="65"/>
      <c r="D173" s="65"/>
      <c r="E173" s="65"/>
      <c r="F173" s="949"/>
      <c r="G173" s="65"/>
      <c r="H173" s="65"/>
      <c r="I173" s="949"/>
      <c r="J173" s="65"/>
      <c r="K173" s="65"/>
      <c r="L173" s="65"/>
      <c r="M173" s="949"/>
      <c r="N173" s="65"/>
      <c r="O173" s="949"/>
      <c r="P173" s="949"/>
      <c r="Q173" s="86"/>
      <c r="R173" s="949"/>
      <c r="S173" s="949"/>
      <c r="U173" s="931"/>
    </row>
    <row r="174" spans="1:21" s="930" customFormat="1">
      <c r="A174" s="65"/>
      <c r="B174" s="65"/>
      <c r="C174" s="65"/>
      <c r="D174" s="65"/>
      <c r="E174" s="65"/>
      <c r="F174" s="949"/>
      <c r="G174" s="65"/>
      <c r="H174" s="65"/>
      <c r="I174" s="949"/>
      <c r="J174" s="65"/>
      <c r="K174" s="65"/>
      <c r="L174" s="65"/>
      <c r="M174" s="949"/>
      <c r="N174" s="65"/>
      <c r="O174" s="949"/>
      <c r="P174" s="949"/>
      <c r="Q174" s="86"/>
      <c r="R174" s="949"/>
      <c r="S174" s="949"/>
      <c r="U174" s="931"/>
    </row>
    <row r="175" spans="1:21" s="930" customFormat="1">
      <c r="A175" s="65"/>
      <c r="B175" s="65"/>
      <c r="C175" s="65"/>
      <c r="D175" s="65"/>
      <c r="E175" s="65"/>
      <c r="F175" s="949"/>
      <c r="G175" s="65"/>
      <c r="H175" s="65"/>
      <c r="I175" s="949"/>
      <c r="J175" s="65"/>
      <c r="K175" s="65"/>
      <c r="L175" s="65"/>
      <c r="M175" s="949"/>
      <c r="N175" s="65"/>
      <c r="O175" s="949"/>
      <c r="P175" s="949"/>
      <c r="Q175" s="86"/>
      <c r="R175" s="949"/>
      <c r="S175" s="949"/>
      <c r="U175" s="931"/>
    </row>
    <row r="176" spans="1:21" s="930" customFormat="1">
      <c r="A176" s="65"/>
      <c r="B176" s="65"/>
      <c r="C176" s="65"/>
      <c r="D176" s="65"/>
      <c r="E176" s="65"/>
      <c r="F176" s="949"/>
      <c r="G176" s="65"/>
      <c r="H176" s="65"/>
      <c r="I176" s="949"/>
      <c r="J176" s="65"/>
      <c r="K176" s="65"/>
      <c r="L176" s="65"/>
      <c r="M176" s="949"/>
      <c r="N176" s="65"/>
      <c r="O176" s="949"/>
      <c r="P176" s="949"/>
      <c r="Q176" s="86"/>
      <c r="R176" s="949"/>
      <c r="S176" s="949"/>
      <c r="U176" s="931"/>
    </row>
    <row r="177" spans="1:21" s="930" customFormat="1">
      <c r="A177" s="65"/>
      <c r="B177" s="65"/>
      <c r="C177" s="65"/>
      <c r="D177" s="65"/>
      <c r="E177" s="65"/>
      <c r="F177" s="949"/>
      <c r="G177" s="65"/>
      <c r="H177" s="65"/>
      <c r="I177" s="949"/>
      <c r="J177" s="65"/>
      <c r="K177" s="65"/>
      <c r="L177" s="65"/>
      <c r="M177" s="949"/>
      <c r="N177" s="65"/>
      <c r="O177" s="949"/>
      <c r="P177" s="949"/>
      <c r="Q177" s="86"/>
      <c r="R177" s="949"/>
      <c r="S177" s="949"/>
      <c r="U177" s="931"/>
    </row>
    <row r="178" spans="1:21" s="930" customFormat="1">
      <c r="A178" s="65"/>
      <c r="B178" s="65"/>
      <c r="C178" s="65"/>
      <c r="D178" s="65"/>
      <c r="E178" s="65"/>
      <c r="F178" s="949"/>
      <c r="G178" s="65"/>
      <c r="H178" s="65"/>
      <c r="I178" s="949"/>
      <c r="J178" s="65"/>
      <c r="K178" s="65"/>
      <c r="L178" s="65"/>
      <c r="M178" s="949"/>
      <c r="N178" s="65"/>
      <c r="O178" s="949"/>
      <c r="P178" s="949"/>
      <c r="Q178" s="86"/>
      <c r="R178" s="949"/>
      <c r="S178" s="949"/>
      <c r="U178" s="931"/>
    </row>
    <row r="179" spans="1:21" s="930" customFormat="1">
      <c r="A179" s="65"/>
      <c r="B179" s="65"/>
      <c r="C179" s="65"/>
      <c r="D179" s="65"/>
      <c r="E179" s="65"/>
      <c r="F179" s="949"/>
      <c r="G179" s="65"/>
      <c r="H179" s="65"/>
      <c r="I179" s="949"/>
      <c r="J179" s="65"/>
      <c r="K179" s="65"/>
      <c r="L179" s="65"/>
      <c r="M179" s="949"/>
      <c r="N179" s="65"/>
      <c r="O179" s="949"/>
      <c r="P179" s="949"/>
      <c r="Q179" s="86"/>
      <c r="R179" s="949"/>
      <c r="S179" s="949"/>
      <c r="U179" s="931"/>
    </row>
    <row r="180" spans="1:21" s="930" customFormat="1">
      <c r="A180" s="65"/>
      <c r="B180" s="65"/>
      <c r="C180" s="65"/>
      <c r="D180" s="65"/>
      <c r="E180" s="65"/>
      <c r="F180" s="949"/>
      <c r="G180" s="65"/>
      <c r="H180" s="65"/>
      <c r="I180" s="949"/>
      <c r="J180" s="65"/>
      <c r="K180" s="65"/>
      <c r="L180" s="65"/>
      <c r="M180" s="949"/>
      <c r="N180" s="65"/>
      <c r="O180" s="949"/>
      <c r="P180" s="949"/>
      <c r="Q180" s="86"/>
      <c r="R180" s="949"/>
      <c r="S180" s="949"/>
      <c r="U180" s="931"/>
    </row>
    <row r="181" spans="1:21" s="930" customFormat="1">
      <c r="A181" s="65"/>
      <c r="B181" s="65"/>
      <c r="C181" s="65"/>
      <c r="D181" s="65"/>
      <c r="E181" s="65"/>
      <c r="F181" s="949"/>
      <c r="G181" s="65"/>
      <c r="H181" s="65"/>
      <c r="I181" s="949"/>
      <c r="J181" s="65"/>
      <c r="K181" s="65"/>
      <c r="L181" s="65"/>
      <c r="M181" s="949"/>
      <c r="N181" s="65"/>
      <c r="O181" s="949"/>
      <c r="P181" s="949"/>
      <c r="Q181" s="86"/>
      <c r="R181" s="949"/>
      <c r="S181" s="949"/>
      <c r="U181" s="931"/>
    </row>
    <row r="182" spans="1:21" s="930" customFormat="1">
      <c r="A182" s="65"/>
      <c r="B182" s="65"/>
      <c r="C182" s="65"/>
      <c r="D182" s="65"/>
      <c r="E182" s="65"/>
      <c r="F182" s="949"/>
      <c r="G182" s="65"/>
      <c r="H182" s="65"/>
      <c r="I182" s="949"/>
      <c r="J182" s="65"/>
      <c r="K182" s="65"/>
      <c r="L182" s="65"/>
      <c r="M182" s="949"/>
      <c r="N182" s="65"/>
      <c r="O182" s="949"/>
      <c r="P182" s="949"/>
      <c r="Q182" s="86"/>
      <c r="R182" s="949"/>
      <c r="S182" s="949"/>
      <c r="U182" s="931"/>
    </row>
    <row r="183" spans="1:21" s="930" customFormat="1">
      <c r="A183" s="65"/>
      <c r="B183" s="65"/>
      <c r="C183" s="65"/>
      <c r="D183" s="65"/>
      <c r="E183" s="65"/>
      <c r="F183" s="949"/>
      <c r="G183" s="65"/>
      <c r="H183" s="65"/>
      <c r="I183" s="949"/>
      <c r="J183" s="65"/>
      <c r="K183" s="65"/>
      <c r="L183" s="65"/>
      <c r="M183" s="949"/>
      <c r="N183" s="65"/>
      <c r="O183" s="949"/>
      <c r="P183" s="949"/>
      <c r="Q183" s="86"/>
      <c r="R183" s="949"/>
      <c r="S183" s="949"/>
      <c r="U183" s="931"/>
    </row>
    <row r="184" spans="1:21" s="930" customFormat="1">
      <c r="A184" s="65"/>
      <c r="B184" s="65"/>
      <c r="C184" s="65"/>
      <c r="D184" s="65"/>
      <c r="E184" s="65"/>
      <c r="F184" s="949"/>
      <c r="G184" s="65"/>
      <c r="H184" s="65"/>
      <c r="I184" s="949"/>
      <c r="J184" s="65"/>
      <c r="K184" s="65"/>
      <c r="L184" s="65"/>
      <c r="M184" s="949"/>
      <c r="N184" s="65"/>
      <c r="O184" s="949"/>
      <c r="P184" s="949"/>
      <c r="Q184" s="86"/>
      <c r="R184" s="949"/>
      <c r="S184" s="949"/>
      <c r="U184" s="931"/>
    </row>
    <row r="185" spans="1:21" s="930" customFormat="1">
      <c r="A185" s="65"/>
      <c r="B185" s="65"/>
      <c r="C185" s="65"/>
      <c r="D185" s="65"/>
      <c r="E185" s="65"/>
      <c r="F185" s="949"/>
      <c r="G185" s="65"/>
      <c r="H185" s="65"/>
      <c r="I185" s="949"/>
      <c r="J185" s="65"/>
      <c r="K185" s="65"/>
      <c r="L185" s="65"/>
      <c r="M185" s="949"/>
      <c r="N185" s="65"/>
      <c r="O185" s="949"/>
      <c r="P185" s="949"/>
      <c r="Q185" s="86"/>
      <c r="R185" s="949"/>
      <c r="S185" s="949"/>
      <c r="U185" s="931"/>
    </row>
    <row r="186" spans="1:21" s="930" customFormat="1">
      <c r="A186" s="65"/>
      <c r="B186" s="65"/>
      <c r="C186" s="65"/>
      <c r="D186" s="65"/>
      <c r="E186" s="65"/>
      <c r="F186" s="949"/>
      <c r="G186" s="65"/>
      <c r="H186" s="65"/>
      <c r="I186" s="949"/>
      <c r="J186" s="65"/>
      <c r="K186" s="65"/>
      <c r="L186" s="65"/>
      <c r="M186" s="949"/>
      <c r="N186" s="65"/>
      <c r="O186" s="949"/>
      <c r="P186" s="949"/>
      <c r="Q186" s="86"/>
      <c r="R186" s="949"/>
      <c r="S186" s="949"/>
      <c r="U186" s="931"/>
    </row>
    <row r="187" spans="1:21" s="930" customFormat="1">
      <c r="A187" s="65"/>
      <c r="B187" s="65"/>
      <c r="C187" s="65"/>
      <c r="D187" s="65"/>
      <c r="E187" s="65"/>
      <c r="F187" s="949"/>
      <c r="G187" s="65"/>
      <c r="H187" s="65"/>
      <c r="I187" s="949"/>
      <c r="J187" s="65"/>
      <c r="K187" s="65"/>
      <c r="L187" s="65"/>
      <c r="M187" s="949"/>
      <c r="N187" s="65"/>
      <c r="O187" s="949"/>
      <c r="P187" s="949"/>
      <c r="Q187" s="86"/>
      <c r="R187" s="949"/>
      <c r="S187" s="949"/>
      <c r="U187" s="931"/>
    </row>
    <row r="188" spans="1:21" s="930" customFormat="1">
      <c r="A188" s="65"/>
      <c r="B188" s="65"/>
      <c r="C188" s="65"/>
      <c r="D188" s="65"/>
      <c r="E188" s="65"/>
      <c r="F188" s="949"/>
      <c r="G188" s="65"/>
      <c r="H188" s="65"/>
      <c r="I188" s="949"/>
      <c r="J188" s="65"/>
      <c r="K188" s="65"/>
      <c r="L188" s="65"/>
      <c r="M188" s="949"/>
      <c r="N188" s="65"/>
      <c r="O188" s="949"/>
      <c r="P188" s="949"/>
      <c r="Q188" s="86"/>
      <c r="R188" s="949"/>
      <c r="S188" s="949"/>
      <c r="U188" s="931"/>
    </row>
    <row r="189" spans="1:21" s="930" customFormat="1">
      <c r="A189" s="65"/>
      <c r="B189" s="65"/>
      <c r="C189" s="65"/>
      <c r="D189" s="65"/>
      <c r="E189" s="65"/>
      <c r="F189" s="949"/>
      <c r="G189" s="65"/>
      <c r="H189" s="65"/>
      <c r="I189" s="949"/>
      <c r="J189" s="65"/>
      <c r="K189" s="65"/>
      <c r="L189" s="65"/>
      <c r="M189" s="949"/>
      <c r="N189" s="65"/>
      <c r="O189" s="949"/>
      <c r="P189" s="949"/>
      <c r="Q189" s="86"/>
      <c r="R189" s="949"/>
      <c r="S189" s="949"/>
      <c r="U189" s="931"/>
    </row>
    <row r="190" spans="1:21" s="930" customFormat="1">
      <c r="A190" s="65"/>
      <c r="B190" s="65"/>
      <c r="C190" s="65"/>
      <c r="D190" s="65"/>
      <c r="E190" s="65"/>
      <c r="F190" s="949"/>
      <c r="G190" s="65"/>
      <c r="H190" s="65"/>
      <c r="I190" s="949"/>
      <c r="J190" s="65"/>
      <c r="K190" s="65"/>
      <c r="L190" s="65"/>
      <c r="M190" s="949"/>
      <c r="N190" s="65"/>
      <c r="O190" s="949"/>
      <c r="P190" s="949"/>
      <c r="Q190" s="86"/>
      <c r="R190" s="949"/>
      <c r="S190" s="949"/>
      <c r="U190" s="931"/>
    </row>
    <row r="191" spans="1:21" s="930" customFormat="1">
      <c r="A191" s="65"/>
      <c r="B191" s="65"/>
      <c r="C191" s="65"/>
      <c r="D191" s="65"/>
      <c r="E191" s="65"/>
      <c r="F191" s="949"/>
      <c r="G191" s="65"/>
      <c r="H191" s="65"/>
      <c r="I191" s="949"/>
      <c r="J191" s="65"/>
      <c r="K191" s="65"/>
      <c r="L191" s="65"/>
      <c r="M191" s="949"/>
      <c r="N191" s="65"/>
      <c r="O191" s="949"/>
      <c r="P191" s="949"/>
      <c r="Q191" s="86"/>
      <c r="R191" s="949"/>
      <c r="S191" s="949"/>
      <c r="U191" s="931"/>
    </row>
    <row r="192" spans="1:21" s="930" customFormat="1">
      <c r="A192" s="65"/>
      <c r="B192" s="65"/>
      <c r="C192" s="65"/>
      <c r="D192" s="65"/>
      <c r="E192" s="65"/>
      <c r="F192" s="949"/>
      <c r="G192" s="65"/>
      <c r="H192" s="65"/>
      <c r="I192" s="949"/>
      <c r="J192" s="65"/>
      <c r="K192" s="65"/>
      <c r="L192" s="65"/>
      <c r="M192" s="949"/>
      <c r="N192" s="65"/>
      <c r="O192" s="949"/>
      <c r="P192" s="949"/>
      <c r="Q192" s="86"/>
      <c r="R192" s="949"/>
      <c r="S192" s="949"/>
      <c r="U192" s="931"/>
    </row>
    <row r="193" spans="1:21" s="930" customFormat="1">
      <c r="A193" s="65"/>
      <c r="B193" s="65"/>
      <c r="C193" s="65"/>
      <c r="D193" s="65"/>
      <c r="E193" s="65"/>
      <c r="F193" s="949"/>
      <c r="G193" s="65"/>
      <c r="H193" s="65"/>
      <c r="I193" s="949"/>
      <c r="J193" s="65"/>
      <c r="K193" s="65"/>
      <c r="L193" s="65"/>
      <c r="M193" s="949"/>
      <c r="N193" s="65"/>
      <c r="O193" s="949"/>
      <c r="P193" s="949"/>
      <c r="Q193" s="86"/>
      <c r="R193" s="949"/>
      <c r="S193" s="949"/>
      <c r="U193" s="931"/>
    </row>
    <row r="194" spans="1:21" s="930" customFormat="1">
      <c r="A194" s="65"/>
      <c r="B194" s="65"/>
      <c r="C194" s="65"/>
      <c r="D194" s="65"/>
      <c r="E194" s="65"/>
      <c r="F194" s="949"/>
      <c r="G194" s="65"/>
      <c r="H194" s="65"/>
      <c r="I194" s="949"/>
      <c r="J194" s="65"/>
      <c r="K194" s="65"/>
      <c r="L194" s="65"/>
      <c r="M194" s="949"/>
      <c r="N194" s="65"/>
      <c r="O194" s="949"/>
      <c r="P194" s="949"/>
      <c r="Q194" s="86"/>
      <c r="R194" s="949"/>
      <c r="S194" s="949"/>
      <c r="U194" s="931"/>
    </row>
    <row r="195" spans="1:21" s="930" customFormat="1">
      <c r="A195" s="65"/>
      <c r="B195" s="65"/>
      <c r="C195" s="65"/>
      <c r="D195" s="65"/>
      <c r="E195" s="65"/>
      <c r="F195" s="949"/>
      <c r="G195" s="65"/>
      <c r="H195" s="65"/>
      <c r="I195" s="949"/>
      <c r="J195" s="65"/>
      <c r="K195" s="65"/>
      <c r="L195" s="65"/>
      <c r="M195" s="949"/>
      <c r="N195" s="65"/>
      <c r="O195" s="949"/>
      <c r="P195" s="949"/>
      <c r="Q195" s="86"/>
      <c r="R195" s="949"/>
      <c r="S195" s="949"/>
      <c r="U195" s="931"/>
    </row>
    <row r="196" spans="1:21" s="930" customFormat="1">
      <c r="A196" s="65"/>
      <c r="B196" s="65"/>
      <c r="C196" s="65"/>
      <c r="D196" s="65"/>
      <c r="E196" s="65"/>
      <c r="F196" s="949"/>
      <c r="G196" s="65"/>
      <c r="H196" s="65"/>
      <c r="I196" s="949"/>
      <c r="J196" s="65"/>
      <c r="K196" s="65"/>
      <c r="L196" s="65"/>
      <c r="M196" s="949"/>
      <c r="N196" s="65"/>
      <c r="O196" s="949"/>
      <c r="P196" s="949"/>
      <c r="Q196" s="86"/>
      <c r="R196" s="949"/>
      <c r="S196" s="949"/>
      <c r="U196" s="931"/>
    </row>
    <row r="197" spans="1:21" s="930" customFormat="1">
      <c r="A197" s="65"/>
      <c r="B197" s="65"/>
      <c r="C197" s="65"/>
      <c r="D197" s="65"/>
      <c r="E197" s="65"/>
      <c r="F197" s="949"/>
      <c r="G197" s="65"/>
      <c r="H197" s="65"/>
      <c r="I197" s="949"/>
      <c r="J197" s="65"/>
      <c r="K197" s="65"/>
      <c r="L197" s="65"/>
      <c r="M197" s="949"/>
      <c r="N197" s="65"/>
      <c r="O197" s="949"/>
      <c r="P197" s="949"/>
      <c r="Q197" s="86"/>
      <c r="R197" s="949"/>
      <c r="S197" s="949"/>
      <c r="U197" s="931"/>
    </row>
    <row r="198" spans="1:21" s="930" customFormat="1">
      <c r="A198" s="65"/>
      <c r="B198" s="65"/>
      <c r="C198" s="65"/>
      <c r="D198" s="65"/>
      <c r="E198" s="65"/>
      <c r="F198" s="949"/>
      <c r="G198" s="65"/>
      <c r="H198" s="65"/>
      <c r="I198" s="949"/>
      <c r="J198" s="65"/>
      <c r="K198" s="65"/>
      <c r="L198" s="65"/>
      <c r="M198" s="949"/>
      <c r="N198" s="65"/>
      <c r="O198" s="949"/>
      <c r="P198" s="949"/>
      <c r="Q198" s="86"/>
      <c r="R198" s="949"/>
      <c r="S198" s="949"/>
      <c r="U198" s="931"/>
    </row>
    <row r="199" spans="1:21" s="930" customFormat="1">
      <c r="A199" s="65"/>
      <c r="B199" s="65"/>
      <c r="C199" s="65"/>
      <c r="D199" s="65"/>
      <c r="E199" s="65"/>
      <c r="F199" s="949"/>
      <c r="G199" s="65"/>
      <c r="H199" s="65"/>
      <c r="I199" s="949"/>
      <c r="J199" s="65"/>
      <c r="K199" s="65"/>
      <c r="L199" s="65"/>
      <c r="M199" s="949"/>
      <c r="N199" s="65"/>
      <c r="O199" s="949"/>
      <c r="P199" s="949"/>
      <c r="Q199" s="86"/>
      <c r="R199" s="949"/>
      <c r="S199" s="949"/>
      <c r="U199" s="931"/>
    </row>
    <row r="200" spans="1:21" s="930" customFormat="1">
      <c r="A200" s="65"/>
      <c r="B200" s="65"/>
      <c r="C200" s="65"/>
      <c r="D200" s="65"/>
      <c r="E200" s="65"/>
      <c r="F200" s="949"/>
      <c r="G200" s="65"/>
      <c r="H200" s="65"/>
      <c r="I200" s="949"/>
      <c r="J200" s="65"/>
      <c r="K200" s="65"/>
      <c r="L200" s="65"/>
      <c r="M200" s="949"/>
      <c r="N200" s="65"/>
      <c r="O200" s="949"/>
      <c r="P200" s="949"/>
      <c r="Q200" s="86"/>
      <c r="R200" s="949"/>
      <c r="S200" s="949"/>
      <c r="U200" s="931"/>
    </row>
    <row r="201" spans="1:21" s="930" customFormat="1">
      <c r="A201" s="65"/>
      <c r="B201" s="65"/>
      <c r="C201" s="65"/>
      <c r="D201" s="65"/>
      <c r="E201" s="65"/>
      <c r="F201" s="949"/>
      <c r="G201" s="65"/>
      <c r="H201" s="65"/>
      <c r="I201" s="949"/>
      <c r="J201" s="65"/>
      <c r="K201" s="65"/>
      <c r="L201" s="65"/>
      <c r="M201" s="949"/>
      <c r="N201" s="65"/>
      <c r="O201" s="949"/>
      <c r="P201" s="949"/>
      <c r="Q201" s="86"/>
      <c r="R201" s="949"/>
      <c r="S201" s="949"/>
      <c r="U201" s="931"/>
    </row>
    <row r="202" spans="1:21" s="930" customFormat="1">
      <c r="A202" s="65"/>
      <c r="B202" s="65"/>
      <c r="C202" s="65"/>
      <c r="D202" s="65"/>
      <c r="E202" s="65"/>
      <c r="F202" s="949"/>
      <c r="G202" s="65"/>
      <c r="H202" s="65"/>
      <c r="I202" s="949"/>
      <c r="J202" s="65"/>
      <c r="K202" s="65"/>
      <c r="L202" s="65"/>
      <c r="M202" s="949"/>
      <c r="N202" s="65"/>
      <c r="O202" s="949"/>
      <c r="P202" s="949"/>
      <c r="Q202" s="86"/>
      <c r="R202" s="949"/>
      <c r="S202" s="949"/>
      <c r="U202" s="931"/>
    </row>
    <row r="203" spans="1:21" s="930" customFormat="1">
      <c r="A203" s="65"/>
      <c r="B203" s="65"/>
      <c r="C203" s="65"/>
      <c r="D203" s="65"/>
      <c r="E203" s="65"/>
      <c r="F203" s="949"/>
      <c r="G203" s="65"/>
      <c r="H203" s="65"/>
      <c r="I203" s="949"/>
      <c r="J203" s="65"/>
      <c r="K203" s="65"/>
      <c r="L203" s="65"/>
      <c r="M203" s="949"/>
      <c r="N203" s="65"/>
      <c r="O203" s="949"/>
      <c r="P203" s="949"/>
      <c r="Q203" s="86"/>
      <c r="R203" s="949"/>
      <c r="S203" s="949"/>
      <c r="U203" s="931"/>
    </row>
    <row r="204" spans="1:21" s="930" customFormat="1">
      <c r="A204" s="65"/>
      <c r="B204" s="65"/>
      <c r="C204" s="65"/>
      <c r="D204" s="65"/>
      <c r="E204" s="65"/>
      <c r="F204" s="949"/>
      <c r="G204" s="65"/>
      <c r="H204" s="65"/>
      <c r="I204" s="949"/>
      <c r="J204" s="65"/>
      <c r="K204" s="65"/>
      <c r="L204" s="65"/>
      <c r="M204" s="949"/>
      <c r="N204" s="65"/>
      <c r="O204" s="949"/>
      <c r="P204" s="949"/>
      <c r="Q204" s="86"/>
      <c r="R204" s="949"/>
      <c r="S204" s="949"/>
      <c r="U204" s="931"/>
    </row>
    <row r="205" spans="1:21" s="930" customFormat="1">
      <c r="A205" s="65"/>
      <c r="B205" s="65"/>
      <c r="C205" s="65"/>
      <c r="D205" s="65"/>
      <c r="E205" s="65"/>
      <c r="F205" s="949"/>
      <c r="G205" s="65"/>
      <c r="H205" s="65"/>
      <c r="I205" s="949"/>
      <c r="J205" s="65"/>
      <c r="K205" s="65"/>
      <c r="L205" s="65"/>
      <c r="M205" s="949"/>
      <c r="N205" s="65"/>
      <c r="O205" s="949"/>
      <c r="P205" s="949"/>
      <c r="Q205" s="86"/>
      <c r="R205" s="949"/>
      <c r="S205" s="949"/>
      <c r="U205" s="931"/>
    </row>
    <row r="206" spans="1:21" s="930" customFormat="1">
      <c r="A206" s="65"/>
      <c r="B206" s="65"/>
      <c r="C206" s="65"/>
      <c r="D206" s="65"/>
      <c r="E206" s="65"/>
      <c r="F206" s="949"/>
      <c r="G206" s="65"/>
      <c r="H206" s="65"/>
      <c r="I206" s="949"/>
      <c r="J206" s="65"/>
      <c r="K206" s="65"/>
      <c r="L206" s="65"/>
      <c r="M206" s="949"/>
      <c r="N206" s="65"/>
      <c r="O206" s="949"/>
      <c r="P206" s="949"/>
      <c r="Q206" s="86"/>
      <c r="R206" s="949"/>
      <c r="S206" s="949"/>
      <c r="U206" s="931"/>
    </row>
    <row r="207" spans="1:21" s="930" customFormat="1">
      <c r="A207" s="65"/>
      <c r="B207" s="65"/>
      <c r="C207" s="65"/>
      <c r="D207" s="65"/>
      <c r="E207" s="65"/>
      <c r="F207" s="949"/>
      <c r="G207" s="65"/>
      <c r="H207" s="65"/>
      <c r="I207" s="949"/>
      <c r="J207" s="65"/>
      <c r="K207" s="65"/>
      <c r="L207" s="65"/>
      <c r="M207" s="949"/>
      <c r="N207" s="65"/>
      <c r="O207" s="949"/>
      <c r="P207" s="949"/>
      <c r="Q207" s="86"/>
      <c r="R207" s="949"/>
      <c r="S207" s="949"/>
      <c r="U207" s="931"/>
    </row>
    <row r="208" spans="1:21" s="930" customFormat="1">
      <c r="A208" s="65"/>
      <c r="B208" s="65"/>
      <c r="C208" s="65"/>
      <c r="D208" s="65"/>
      <c r="E208" s="65"/>
      <c r="F208" s="949"/>
      <c r="G208" s="65"/>
      <c r="H208" s="65"/>
      <c r="I208" s="949"/>
      <c r="J208" s="65"/>
      <c r="K208" s="65"/>
      <c r="L208" s="65"/>
      <c r="M208" s="949"/>
      <c r="N208" s="65"/>
      <c r="O208" s="949"/>
      <c r="P208" s="949"/>
      <c r="Q208" s="86"/>
      <c r="R208" s="949"/>
      <c r="S208" s="949"/>
      <c r="U208" s="931"/>
    </row>
    <row r="209" spans="1:21" s="930" customFormat="1">
      <c r="A209" s="65"/>
      <c r="B209" s="65"/>
      <c r="C209" s="65"/>
      <c r="D209" s="65"/>
      <c r="E209" s="65"/>
      <c r="F209" s="949"/>
      <c r="G209" s="65"/>
      <c r="H209" s="65"/>
      <c r="I209" s="949"/>
      <c r="J209" s="65"/>
      <c r="K209" s="65"/>
      <c r="L209" s="65"/>
      <c r="M209" s="949"/>
      <c r="N209" s="65"/>
      <c r="O209" s="949"/>
      <c r="P209" s="949"/>
      <c r="Q209" s="86"/>
      <c r="R209" s="949"/>
      <c r="S209" s="949"/>
      <c r="U209" s="931"/>
    </row>
    <row r="210" spans="1:21" s="930" customFormat="1">
      <c r="A210" s="65"/>
      <c r="B210" s="65"/>
      <c r="C210" s="65"/>
      <c r="D210" s="65"/>
      <c r="E210" s="65"/>
      <c r="F210" s="949"/>
      <c r="G210" s="65"/>
      <c r="H210" s="65"/>
      <c r="I210" s="949"/>
      <c r="J210" s="65"/>
      <c r="K210" s="65"/>
      <c r="L210" s="65"/>
      <c r="M210" s="949"/>
      <c r="N210" s="65"/>
      <c r="O210" s="949"/>
      <c r="P210" s="949"/>
      <c r="Q210" s="86"/>
      <c r="R210" s="949"/>
      <c r="S210" s="949"/>
      <c r="U210" s="931"/>
    </row>
    <row r="211" spans="1:21" s="930" customFormat="1">
      <c r="A211" s="65"/>
      <c r="B211" s="65"/>
      <c r="C211" s="65"/>
      <c r="D211" s="65"/>
      <c r="E211" s="65"/>
      <c r="F211" s="949"/>
      <c r="G211" s="65"/>
      <c r="H211" s="65"/>
      <c r="I211" s="949"/>
      <c r="J211" s="65"/>
      <c r="K211" s="65"/>
      <c r="L211" s="65"/>
      <c r="M211" s="949"/>
      <c r="N211" s="65"/>
      <c r="O211" s="949"/>
      <c r="P211" s="949"/>
      <c r="Q211" s="86"/>
      <c r="R211" s="949"/>
      <c r="S211" s="949"/>
      <c r="U211" s="931"/>
    </row>
    <row r="212" spans="1:21" s="930" customFormat="1">
      <c r="A212" s="65"/>
      <c r="B212" s="65"/>
      <c r="C212" s="65"/>
      <c r="D212" s="65"/>
      <c r="E212" s="65"/>
      <c r="F212" s="949"/>
      <c r="G212" s="65"/>
      <c r="H212" s="65"/>
      <c r="I212" s="949"/>
      <c r="J212" s="65"/>
      <c r="K212" s="65"/>
      <c r="L212" s="65"/>
      <c r="M212" s="949"/>
      <c r="N212" s="65"/>
      <c r="O212" s="949"/>
      <c r="P212" s="949"/>
      <c r="Q212" s="86"/>
      <c r="R212" s="949"/>
      <c r="S212" s="949"/>
      <c r="U212" s="931"/>
    </row>
    <row r="213" spans="1:21" s="930" customFormat="1">
      <c r="A213" s="65"/>
      <c r="B213" s="65"/>
      <c r="C213" s="65"/>
      <c r="D213" s="65"/>
      <c r="E213" s="65"/>
      <c r="F213" s="949"/>
      <c r="G213" s="65"/>
      <c r="H213" s="65"/>
      <c r="I213" s="949"/>
      <c r="J213" s="65"/>
      <c r="K213" s="65"/>
      <c r="L213" s="65"/>
      <c r="M213" s="949"/>
      <c r="N213" s="65"/>
      <c r="O213" s="949"/>
      <c r="P213" s="949"/>
      <c r="Q213" s="86"/>
      <c r="R213" s="949"/>
      <c r="S213" s="949"/>
      <c r="U213" s="931"/>
    </row>
    <row r="214" spans="1:21" s="930" customFormat="1">
      <c r="A214" s="65"/>
      <c r="B214" s="65"/>
      <c r="C214" s="65"/>
      <c r="D214" s="65"/>
      <c r="E214" s="65"/>
      <c r="F214" s="949"/>
      <c r="G214" s="65"/>
      <c r="H214" s="65"/>
      <c r="I214" s="949"/>
      <c r="J214" s="65"/>
      <c r="K214" s="65"/>
      <c r="L214" s="65"/>
      <c r="M214" s="949"/>
      <c r="N214" s="65"/>
      <c r="O214" s="949"/>
      <c r="P214" s="949"/>
      <c r="Q214" s="86"/>
      <c r="R214" s="949"/>
      <c r="S214" s="949"/>
      <c r="U214" s="931"/>
    </row>
    <row r="215" spans="1:21" s="930" customFormat="1">
      <c r="A215" s="65"/>
      <c r="B215" s="65"/>
      <c r="C215" s="65"/>
      <c r="D215" s="65"/>
      <c r="E215" s="65"/>
      <c r="F215" s="949"/>
      <c r="G215" s="65"/>
      <c r="H215" s="65"/>
      <c r="I215" s="949"/>
      <c r="J215" s="65"/>
      <c r="K215" s="65"/>
      <c r="L215" s="65"/>
      <c r="M215" s="949"/>
      <c r="N215" s="65"/>
      <c r="O215" s="949"/>
      <c r="P215" s="949"/>
      <c r="Q215" s="86"/>
      <c r="R215" s="949"/>
      <c r="S215" s="949"/>
      <c r="U215" s="931"/>
    </row>
    <row r="216" spans="1:21" s="930" customFormat="1">
      <c r="A216" s="65"/>
      <c r="B216" s="65"/>
      <c r="C216" s="65"/>
      <c r="D216" s="65"/>
      <c r="E216" s="65"/>
      <c r="F216" s="949"/>
      <c r="G216" s="65"/>
      <c r="H216" s="65"/>
      <c r="I216" s="949"/>
      <c r="J216" s="65"/>
      <c r="K216" s="65"/>
      <c r="L216" s="65"/>
      <c r="M216" s="949"/>
      <c r="N216" s="65"/>
      <c r="O216" s="949"/>
      <c r="P216" s="949"/>
      <c r="Q216" s="86"/>
      <c r="R216" s="949"/>
      <c r="S216" s="949"/>
      <c r="U216" s="931"/>
    </row>
    <row r="217" spans="1:21" s="930" customFormat="1">
      <c r="A217" s="65"/>
      <c r="B217" s="65"/>
      <c r="C217" s="65"/>
      <c r="D217" s="65"/>
      <c r="E217" s="65"/>
      <c r="F217" s="949"/>
      <c r="G217" s="65"/>
      <c r="H217" s="65"/>
      <c r="I217" s="949"/>
      <c r="J217" s="65"/>
      <c r="K217" s="65"/>
      <c r="L217" s="65"/>
      <c r="M217" s="949"/>
      <c r="N217" s="65"/>
      <c r="O217" s="949"/>
      <c r="P217" s="949"/>
      <c r="Q217" s="86"/>
      <c r="R217" s="949"/>
      <c r="S217" s="949"/>
      <c r="U217" s="931"/>
    </row>
    <row r="218" spans="1:21" s="930" customFormat="1">
      <c r="A218" s="65"/>
      <c r="B218" s="65"/>
      <c r="C218" s="65"/>
      <c r="D218" s="65"/>
      <c r="E218" s="65"/>
      <c r="F218" s="949"/>
      <c r="G218" s="65"/>
      <c r="H218" s="65"/>
      <c r="I218" s="949"/>
      <c r="J218" s="65"/>
      <c r="K218" s="65"/>
      <c r="L218" s="65"/>
      <c r="M218" s="949"/>
      <c r="N218" s="65"/>
      <c r="O218" s="949"/>
      <c r="P218" s="949"/>
      <c r="Q218" s="86"/>
      <c r="R218" s="949"/>
      <c r="S218" s="949"/>
      <c r="U218" s="931"/>
    </row>
    <row r="219" spans="1:21" s="930" customFormat="1">
      <c r="A219" s="65"/>
      <c r="B219" s="65"/>
      <c r="C219" s="65"/>
      <c r="D219" s="65"/>
      <c r="E219" s="65"/>
      <c r="F219" s="949"/>
      <c r="G219" s="65"/>
      <c r="H219" s="65"/>
      <c r="I219" s="949"/>
      <c r="J219" s="65"/>
      <c r="K219" s="65"/>
      <c r="L219" s="65"/>
      <c r="M219" s="949"/>
      <c r="N219" s="65"/>
      <c r="O219" s="949"/>
      <c r="P219" s="949"/>
      <c r="Q219" s="86"/>
      <c r="R219" s="949"/>
      <c r="S219" s="949"/>
      <c r="U219" s="931"/>
    </row>
    <row r="220" spans="1:21" s="930" customFormat="1">
      <c r="A220" s="65"/>
      <c r="B220" s="65"/>
      <c r="C220" s="65"/>
      <c r="D220" s="65"/>
      <c r="E220" s="65"/>
      <c r="F220" s="949"/>
      <c r="G220" s="65"/>
      <c r="H220" s="65"/>
      <c r="I220" s="949"/>
      <c r="J220" s="65"/>
      <c r="K220" s="65"/>
      <c r="L220" s="65"/>
      <c r="M220" s="949"/>
      <c r="N220" s="65"/>
      <c r="O220" s="949"/>
      <c r="P220" s="949"/>
      <c r="Q220" s="86"/>
      <c r="R220" s="949"/>
      <c r="S220" s="949"/>
      <c r="U220" s="931"/>
    </row>
    <row r="221" spans="1:21" s="930" customFormat="1">
      <c r="A221" s="65"/>
      <c r="B221" s="65"/>
      <c r="C221" s="65"/>
      <c r="D221" s="65"/>
      <c r="E221" s="65"/>
      <c r="F221" s="949"/>
      <c r="G221" s="65"/>
      <c r="H221" s="65"/>
      <c r="I221" s="949"/>
      <c r="J221" s="65"/>
      <c r="K221" s="65"/>
      <c r="L221" s="65"/>
      <c r="M221" s="949"/>
      <c r="N221" s="65"/>
      <c r="O221" s="949"/>
      <c r="P221" s="949"/>
      <c r="Q221" s="86"/>
      <c r="R221" s="949"/>
      <c r="S221" s="949"/>
      <c r="U221" s="931"/>
    </row>
    <row r="222" spans="1:21" s="930" customFormat="1">
      <c r="A222" s="65"/>
      <c r="B222" s="65"/>
      <c r="C222" s="65"/>
      <c r="D222" s="65"/>
      <c r="E222" s="65"/>
      <c r="F222" s="949"/>
      <c r="G222" s="65"/>
      <c r="H222" s="65"/>
      <c r="I222" s="949"/>
      <c r="J222" s="65"/>
      <c r="K222" s="65"/>
      <c r="L222" s="65"/>
      <c r="M222" s="949"/>
      <c r="N222" s="65"/>
      <c r="O222" s="949"/>
      <c r="P222" s="949"/>
      <c r="Q222" s="86"/>
      <c r="R222" s="949"/>
      <c r="S222" s="949"/>
      <c r="U222" s="931"/>
    </row>
    <row r="223" spans="1:21" s="930" customFormat="1">
      <c r="A223" s="65"/>
      <c r="B223" s="65"/>
      <c r="C223" s="65"/>
      <c r="D223" s="65"/>
      <c r="E223" s="65"/>
      <c r="F223" s="949"/>
      <c r="G223" s="65"/>
      <c r="H223" s="65"/>
      <c r="I223" s="949"/>
      <c r="J223" s="65"/>
      <c r="K223" s="65"/>
      <c r="L223" s="65"/>
      <c r="M223" s="949"/>
      <c r="N223" s="65"/>
      <c r="O223" s="949"/>
      <c r="P223" s="949"/>
      <c r="Q223" s="86"/>
      <c r="R223" s="949"/>
      <c r="S223" s="949"/>
      <c r="U223" s="931"/>
    </row>
    <row r="224" spans="1:21" s="930" customFormat="1">
      <c r="A224" s="65"/>
      <c r="B224" s="65"/>
      <c r="C224" s="65"/>
      <c r="D224" s="65"/>
      <c r="E224" s="65"/>
      <c r="F224" s="949"/>
      <c r="G224" s="65"/>
      <c r="H224" s="65"/>
      <c r="I224" s="949"/>
      <c r="J224" s="65"/>
      <c r="K224" s="65"/>
      <c r="L224" s="65"/>
      <c r="M224" s="949"/>
      <c r="N224" s="65"/>
      <c r="O224" s="949"/>
      <c r="P224" s="949"/>
      <c r="Q224" s="86"/>
      <c r="R224" s="949"/>
      <c r="S224" s="949"/>
      <c r="U224" s="931"/>
    </row>
    <row r="225" spans="1:21" s="930" customFormat="1">
      <c r="A225" s="65"/>
      <c r="B225" s="65"/>
      <c r="C225" s="65"/>
      <c r="D225" s="65"/>
      <c r="E225" s="65"/>
      <c r="F225" s="949"/>
      <c r="G225" s="65"/>
      <c r="H225" s="65"/>
      <c r="I225" s="949"/>
      <c r="J225" s="65"/>
      <c r="K225" s="65"/>
      <c r="L225" s="65"/>
      <c r="M225" s="949"/>
      <c r="N225" s="65"/>
      <c r="O225" s="949"/>
      <c r="P225" s="949"/>
      <c r="Q225" s="86"/>
      <c r="R225" s="949"/>
      <c r="S225" s="949"/>
      <c r="U225" s="931"/>
    </row>
    <row r="226" spans="1:21" s="930" customFormat="1">
      <c r="A226" s="65"/>
      <c r="B226" s="65"/>
      <c r="C226" s="65"/>
      <c r="D226" s="65"/>
      <c r="E226" s="65"/>
      <c r="F226" s="949"/>
      <c r="G226" s="65"/>
      <c r="H226" s="65"/>
      <c r="I226" s="949"/>
      <c r="J226" s="65"/>
      <c r="K226" s="65"/>
      <c r="L226" s="65"/>
      <c r="M226" s="949"/>
      <c r="N226" s="65"/>
      <c r="O226" s="949"/>
      <c r="P226" s="949"/>
      <c r="Q226" s="86"/>
      <c r="R226" s="949"/>
      <c r="S226" s="949"/>
      <c r="U226" s="931"/>
    </row>
    <row r="227" spans="1:21" s="930" customFormat="1">
      <c r="A227" s="65"/>
      <c r="B227" s="65"/>
      <c r="C227" s="65"/>
      <c r="D227" s="65"/>
      <c r="E227" s="65"/>
      <c r="F227" s="949"/>
      <c r="G227" s="65"/>
      <c r="H227" s="65"/>
      <c r="I227" s="949"/>
      <c r="J227" s="65"/>
      <c r="K227" s="65"/>
      <c r="L227" s="65"/>
      <c r="M227" s="949"/>
      <c r="N227" s="65"/>
      <c r="O227" s="949"/>
      <c r="P227" s="949"/>
      <c r="Q227" s="86"/>
      <c r="R227" s="949"/>
      <c r="S227" s="949"/>
      <c r="U227" s="931"/>
    </row>
    <row r="228" spans="1:21" s="930" customFormat="1">
      <c r="A228" s="65"/>
      <c r="B228" s="65"/>
      <c r="C228" s="65"/>
      <c r="D228" s="65"/>
      <c r="E228" s="65"/>
      <c r="F228" s="949"/>
      <c r="G228" s="65"/>
      <c r="H228" s="65"/>
      <c r="I228" s="949"/>
      <c r="J228" s="65"/>
      <c r="K228" s="65"/>
      <c r="L228" s="65"/>
      <c r="M228" s="949"/>
      <c r="N228" s="65"/>
      <c r="O228" s="949"/>
      <c r="P228" s="949"/>
      <c r="Q228" s="86"/>
      <c r="R228" s="949"/>
      <c r="S228" s="949"/>
      <c r="U228" s="931"/>
    </row>
    <row r="229" spans="1:21" s="930" customFormat="1">
      <c r="A229" s="65"/>
      <c r="B229" s="65"/>
      <c r="C229" s="65"/>
      <c r="D229" s="65"/>
      <c r="E229" s="65"/>
      <c r="F229" s="949"/>
      <c r="G229" s="65"/>
      <c r="H229" s="65"/>
      <c r="I229" s="949"/>
      <c r="J229" s="65"/>
      <c r="K229" s="65"/>
      <c r="L229" s="65"/>
      <c r="M229" s="949"/>
      <c r="N229" s="65"/>
      <c r="O229" s="949"/>
      <c r="P229" s="949"/>
      <c r="Q229" s="86"/>
      <c r="R229" s="949"/>
      <c r="S229" s="949"/>
      <c r="U229" s="931"/>
    </row>
    <row r="230" spans="1:21" s="930" customFormat="1">
      <c r="A230" s="65"/>
      <c r="B230" s="65"/>
      <c r="C230" s="65"/>
      <c r="D230" s="65"/>
      <c r="E230" s="65"/>
      <c r="F230" s="949"/>
      <c r="G230" s="65"/>
      <c r="H230" s="65"/>
      <c r="I230" s="949"/>
      <c r="J230" s="65"/>
      <c r="K230" s="65"/>
      <c r="L230" s="65"/>
      <c r="M230" s="949"/>
      <c r="N230" s="65"/>
      <c r="O230" s="949"/>
      <c r="P230" s="949"/>
      <c r="Q230" s="86"/>
      <c r="R230" s="949"/>
      <c r="S230" s="949"/>
      <c r="U230" s="931"/>
    </row>
    <row r="231" spans="1:21" s="930" customFormat="1">
      <c r="A231" s="65"/>
      <c r="B231" s="65"/>
      <c r="C231" s="65"/>
      <c r="D231" s="65"/>
      <c r="E231" s="65"/>
      <c r="F231" s="949"/>
      <c r="G231" s="65"/>
      <c r="H231" s="65"/>
      <c r="I231" s="949"/>
      <c r="J231" s="65"/>
      <c r="K231" s="65"/>
      <c r="L231" s="65"/>
      <c r="M231" s="949"/>
      <c r="N231" s="65"/>
      <c r="O231" s="949"/>
      <c r="P231" s="949"/>
      <c r="Q231" s="86"/>
      <c r="R231" s="949"/>
      <c r="S231" s="949"/>
      <c r="U231" s="931"/>
    </row>
    <row r="232" spans="1:21" s="930" customFormat="1">
      <c r="A232" s="65"/>
      <c r="B232" s="65"/>
      <c r="C232" s="65"/>
      <c r="D232" s="65"/>
      <c r="E232" s="65"/>
      <c r="F232" s="949"/>
      <c r="G232" s="65"/>
      <c r="H232" s="65"/>
      <c r="I232" s="949"/>
      <c r="J232" s="65"/>
      <c r="K232" s="65"/>
      <c r="L232" s="65"/>
      <c r="M232" s="949"/>
      <c r="N232" s="65"/>
      <c r="O232" s="949"/>
      <c r="P232" s="949"/>
      <c r="Q232" s="86"/>
      <c r="R232" s="949"/>
      <c r="S232" s="949"/>
      <c r="U232" s="931"/>
    </row>
    <row r="233" spans="1:21" s="930" customFormat="1">
      <c r="A233" s="65"/>
      <c r="B233" s="65"/>
      <c r="C233" s="65"/>
      <c r="D233" s="65"/>
      <c r="E233" s="65"/>
      <c r="F233" s="949"/>
      <c r="G233" s="65"/>
      <c r="H233" s="65"/>
      <c r="I233" s="949"/>
      <c r="J233" s="65"/>
      <c r="K233" s="65"/>
      <c r="L233" s="65"/>
      <c r="M233" s="949"/>
      <c r="N233" s="65"/>
      <c r="O233" s="949"/>
      <c r="P233" s="949"/>
      <c r="Q233" s="86"/>
      <c r="R233" s="949"/>
      <c r="S233" s="949"/>
      <c r="U233" s="931"/>
    </row>
    <row r="234" spans="1:21" s="930" customFormat="1">
      <c r="A234" s="65"/>
      <c r="B234" s="65"/>
      <c r="C234" s="65"/>
      <c r="D234" s="65"/>
      <c r="E234" s="65"/>
      <c r="F234" s="949"/>
      <c r="G234" s="65"/>
      <c r="H234" s="65"/>
      <c r="I234" s="949"/>
      <c r="J234" s="65"/>
      <c r="K234" s="65"/>
      <c r="L234" s="65"/>
      <c r="M234" s="949"/>
      <c r="N234" s="65"/>
      <c r="O234" s="949"/>
      <c r="P234" s="949"/>
      <c r="Q234" s="86"/>
      <c r="R234" s="949"/>
      <c r="S234" s="949"/>
      <c r="U234" s="931"/>
    </row>
    <row r="235" spans="1:21" s="930" customFormat="1">
      <c r="A235" s="65"/>
      <c r="B235" s="65"/>
      <c r="C235" s="65"/>
      <c r="D235" s="65"/>
      <c r="E235" s="65"/>
      <c r="F235" s="949"/>
      <c r="G235" s="65"/>
      <c r="H235" s="65"/>
      <c r="I235" s="949"/>
      <c r="J235" s="65"/>
      <c r="K235" s="65"/>
      <c r="L235" s="65"/>
      <c r="M235" s="949"/>
      <c r="N235" s="65"/>
      <c r="O235" s="949"/>
      <c r="P235" s="949"/>
      <c r="Q235" s="86"/>
      <c r="R235" s="949"/>
      <c r="S235" s="949"/>
      <c r="U235" s="931"/>
    </row>
    <row r="236" spans="1:21" s="930" customFormat="1">
      <c r="A236" s="65"/>
      <c r="B236" s="65"/>
      <c r="C236" s="65"/>
      <c r="D236" s="65"/>
      <c r="E236" s="65"/>
      <c r="F236" s="949"/>
      <c r="G236" s="65"/>
      <c r="H236" s="65"/>
      <c r="I236" s="949"/>
      <c r="J236" s="65"/>
      <c r="K236" s="65"/>
      <c r="L236" s="65"/>
      <c r="M236" s="949"/>
      <c r="N236" s="65"/>
      <c r="O236" s="949"/>
      <c r="P236" s="949"/>
      <c r="Q236" s="86"/>
      <c r="R236" s="949"/>
      <c r="S236" s="949"/>
      <c r="U236" s="931"/>
    </row>
    <row r="237" spans="1:21" s="930" customFormat="1">
      <c r="A237" s="65"/>
      <c r="B237" s="65"/>
      <c r="C237" s="65"/>
      <c r="D237" s="65"/>
      <c r="E237" s="65"/>
      <c r="F237" s="949"/>
      <c r="G237" s="65"/>
      <c r="H237" s="65"/>
      <c r="I237" s="949"/>
      <c r="J237" s="65"/>
      <c r="K237" s="65"/>
      <c r="L237" s="65"/>
      <c r="M237" s="949"/>
      <c r="N237" s="65"/>
      <c r="O237" s="949"/>
      <c r="P237" s="949"/>
      <c r="Q237" s="86"/>
      <c r="R237" s="949"/>
      <c r="S237" s="949"/>
      <c r="U237" s="931"/>
    </row>
    <row r="238" spans="1:21" s="930" customFormat="1">
      <c r="A238" s="65"/>
      <c r="B238" s="65"/>
      <c r="C238" s="65"/>
      <c r="D238" s="65"/>
      <c r="E238" s="65"/>
      <c r="F238" s="949"/>
      <c r="G238" s="65"/>
      <c r="H238" s="65"/>
      <c r="I238" s="949"/>
      <c r="J238" s="65"/>
      <c r="K238" s="65"/>
      <c r="L238" s="65"/>
      <c r="M238" s="949"/>
      <c r="N238" s="65"/>
      <c r="O238" s="949"/>
      <c r="P238" s="949"/>
      <c r="Q238" s="86"/>
      <c r="R238" s="949"/>
      <c r="S238" s="949"/>
      <c r="U238" s="931"/>
    </row>
    <row r="239" spans="1:21" s="930" customFormat="1">
      <c r="A239" s="65"/>
      <c r="B239" s="65"/>
      <c r="C239" s="65"/>
      <c r="D239" s="65"/>
      <c r="E239" s="65"/>
      <c r="F239" s="949"/>
      <c r="G239" s="65"/>
      <c r="H239" s="65"/>
      <c r="I239" s="949"/>
      <c r="J239" s="65"/>
      <c r="K239" s="65"/>
      <c r="L239" s="65"/>
      <c r="M239" s="949"/>
      <c r="N239" s="65"/>
      <c r="O239" s="949"/>
      <c r="P239" s="949"/>
      <c r="Q239" s="86"/>
      <c r="R239" s="949"/>
      <c r="S239" s="949"/>
      <c r="U239" s="931"/>
    </row>
    <row r="240" spans="1:21" s="930" customFormat="1">
      <c r="A240" s="65"/>
      <c r="B240" s="65"/>
      <c r="C240" s="65"/>
      <c r="D240" s="65"/>
      <c r="E240" s="65"/>
      <c r="F240" s="949"/>
      <c r="G240" s="65"/>
      <c r="H240" s="65"/>
      <c r="I240" s="949"/>
      <c r="J240" s="65"/>
      <c r="K240" s="65"/>
      <c r="L240" s="65"/>
      <c r="M240" s="949"/>
      <c r="N240" s="65"/>
      <c r="O240" s="949"/>
      <c r="P240" s="949"/>
      <c r="Q240" s="86"/>
      <c r="R240" s="949"/>
      <c r="S240" s="949"/>
      <c r="U240" s="931"/>
    </row>
    <row r="241" spans="1:21" s="930" customFormat="1">
      <c r="A241" s="65"/>
      <c r="B241" s="65"/>
      <c r="C241" s="65"/>
      <c r="D241" s="65"/>
      <c r="E241" s="65"/>
      <c r="F241" s="949"/>
      <c r="G241" s="65"/>
      <c r="H241" s="65"/>
      <c r="I241" s="949"/>
      <c r="J241" s="65"/>
      <c r="K241" s="65"/>
      <c r="L241" s="65"/>
      <c r="M241" s="949"/>
      <c r="N241" s="65"/>
      <c r="O241" s="949"/>
      <c r="P241" s="949"/>
      <c r="Q241" s="86"/>
      <c r="R241" s="949"/>
      <c r="S241" s="949"/>
      <c r="U241" s="931"/>
    </row>
    <row r="242" spans="1:21" s="930" customFormat="1">
      <c r="A242" s="65"/>
      <c r="B242" s="65"/>
      <c r="C242" s="65"/>
      <c r="D242" s="65"/>
      <c r="E242" s="65"/>
      <c r="F242" s="949"/>
      <c r="G242" s="65"/>
      <c r="H242" s="65"/>
      <c r="I242" s="949"/>
      <c r="J242" s="65"/>
      <c r="K242" s="65"/>
      <c r="L242" s="65"/>
      <c r="M242" s="949"/>
      <c r="N242" s="65"/>
      <c r="O242" s="949"/>
      <c r="P242" s="949"/>
      <c r="Q242" s="86"/>
      <c r="R242" s="949"/>
      <c r="S242" s="949"/>
      <c r="U242" s="931"/>
    </row>
    <row r="243" spans="1:21" s="930" customFormat="1">
      <c r="A243" s="65"/>
      <c r="B243" s="65"/>
      <c r="C243" s="65"/>
      <c r="D243" s="65"/>
      <c r="E243" s="65"/>
      <c r="F243" s="949"/>
      <c r="G243" s="65"/>
      <c r="H243" s="65"/>
      <c r="I243" s="949"/>
      <c r="J243" s="65"/>
      <c r="K243" s="65"/>
      <c r="L243" s="65"/>
      <c r="M243" s="949"/>
      <c r="N243" s="65"/>
      <c r="O243" s="949"/>
      <c r="P243" s="949"/>
      <c r="Q243" s="86"/>
      <c r="R243" s="949"/>
      <c r="S243" s="949"/>
      <c r="U243" s="931"/>
    </row>
    <row r="244" spans="1:21" s="930" customFormat="1">
      <c r="A244" s="65"/>
      <c r="B244" s="65"/>
      <c r="C244" s="65"/>
      <c r="D244" s="65"/>
      <c r="E244" s="65"/>
      <c r="F244" s="949"/>
      <c r="G244" s="65"/>
      <c r="H244" s="65"/>
      <c r="I244" s="949"/>
      <c r="J244" s="65"/>
      <c r="K244" s="65"/>
      <c r="L244" s="65"/>
      <c r="M244" s="949"/>
      <c r="N244" s="65"/>
      <c r="O244" s="949"/>
      <c r="P244" s="949"/>
      <c r="Q244" s="86"/>
      <c r="R244" s="949"/>
      <c r="S244" s="949"/>
      <c r="U244" s="931"/>
    </row>
    <row r="245" spans="1:21" s="930" customFormat="1">
      <c r="A245" s="65"/>
      <c r="B245" s="65"/>
      <c r="C245" s="65"/>
      <c r="D245" s="65"/>
      <c r="E245" s="65"/>
      <c r="F245" s="949"/>
      <c r="G245" s="65"/>
      <c r="H245" s="65"/>
      <c r="I245" s="949"/>
      <c r="J245" s="65"/>
      <c r="K245" s="65"/>
      <c r="L245" s="65"/>
      <c r="M245" s="949"/>
      <c r="N245" s="65"/>
      <c r="O245" s="949"/>
      <c r="P245" s="949"/>
      <c r="Q245" s="86"/>
      <c r="R245" s="949"/>
      <c r="S245" s="949"/>
      <c r="U245" s="931"/>
    </row>
    <row r="246" spans="1:21" s="930" customFormat="1">
      <c r="A246" s="65"/>
      <c r="B246" s="65"/>
      <c r="C246" s="65"/>
      <c r="D246" s="65"/>
      <c r="E246" s="65"/>
      <c r="F246" s="949"/>
      <c r="G246" s="65"/>
      <c r="H246" s="65"/>
      <c r="I246" s="949"/>
      <c r="J246" s="65"/>
      <c r="K246" s="65"/>
      <c r="L246" s="65"/>
      <c r="M246" s="949"/>
      <c r="N246" s="65"/>
      <c r="O246" s="949"/>
      <c r="P246" s="949"/>
      <c r="Q246" s="86"/>
      <c r="R246" s="949"/>
      <c r="S246" s="949"/>
      <c r="U246" s="931"/>
    </row>
    <row r="247" spans="1:21" s="930" customFormat="1">
      <c r="A247" s="65"/>
      <c r="B247" s="65"/>
      <c r="C247" s="65"/>
      <c r="D247" s="65"/>
      <c r="E247" s="65"/>
      <c r="F247" s="949"/>
      <c r="G247" s="65"/>
      <c r="H247" s="65"/>
      <c r="I247" s="949"/>
      <c r="J247" s="65"/>
      <c r="K247" s="65"/>
      <c r="L247" s="65"/>
      <c r="M247" s="949"/>
      <c r="N247" s="65"/>
      <c r="O247" s="949"/>
      <c r="P247" s="949"/>
      <c r="Q247" s="86"/>
      <c r="R247" s="949"/>
      <c r="S247" s="949"/>
      <c r="U247" s="931"/>
    </row>
    <row r="248" spans="1:21" s="930" customFormat="1">
      <c r="A248" s="65"/>
      <c r="B248" s="65"/>
      <c r="C248" s="65"/>
      <c r="D248" s="65"/>
      <c r="E248" s="65"/>
      <c r="F248" s="949"/>
      <c r="G248" s="65"/>
      <c r="H248" s="65"/>
      <c r="I248" s="949"/>
      <c r="J248" s="65"/>
      <c r="K248" s="65"/>
      <c r="L248" s="65"/>
      <c r="M248" s="949"/>
      <c r="N248" s="65"/>
      <c r="O248" s="949"/>
      <c r="P248" s="949"/>
      <c r="Q248" s="86"/>
      <c r="R248" s="949"/>
      <c r="S248" s="949"/>
      <c r="U248" s="931"/>
    </row>
    <row r="249" spans="1:21" s="930" customFormat="1">
      <c r="A249" s="65"/>
      <c r="B249" s="65"/>
      <c r="C249" s="65"/>
      <c r="D249" s="65"/>
      <c r="E249" s="65"/>
      <c r="F249" s="949"/>
      <c r="G249" s="65"/>
      <c r="H249" s="65"/>
      <c r="I249" s="949"/>
      <c r="J249" s="65"/>
      <c r="K249" s="65"/>
      <c r="L249" s="65"/>
      <c r="M249" s="949"/>
      <c r="N249" s="65"/>
      <c r="O249" s="949"/>
      <c r="P249" s="949"/>
      <c r="Q249" s="86"/>
      <c r="R249" s="949"/>
      <c r="S249" s="949"/>
      <c r="U249" s="931"/>
    </row>
    <row r="250" spans="1:21" s="930" customFormat="1">
      <c r="A250" s="65"/>
      <c r="B250" s="65"/>
      <c r="C250" s="65"/>
      <c r="D250" s="65"/>
      <c r="E250" s="65"/>
      <c r="F250" s="949"/>
      <c r="G250" s="65"/>
      <c r="H250" s="65"/>
      <c r="I250" s="949"/>
      <c r="J250" s="65"/>
      <c r="K250" s="65"/>
      <c r="L250" s="65"/>
      <c r="M250" s="949"/>
      <c r="N250" s="65"/>
      <c r="O250" s="949"/>
      <c r="P250" s="949"/>
      <c r="Q250" s="86"/>
      <c r="R250" s="949"/>
      <c r="S250" s="949"/>
      <c r="U250" s="931"/>
    </row>
    <row r="251" spans="1:21" s="930" customFormat="1">
      <c r="A251" s="65"/>
      <c r="B251" s="65"/>
      <c r="C251" s="65"/>
      <c r="D251" s="65"/>
      <c r="E251" s="65"/>
      <c r="F251" s="949"/>
      <c r="G251" s="65"/>
      <c r="H251" s="65"/>
      <c r="I251" s="949"/>
      <c r="J251" s="65"/>
      <c r="K251" s="65"/>
      <c r="L251" s="65"/>
      <c r="M251" s="949"/>
      <c r="N251" s="65"/>
      <c r="O251" s="949"/>
      <c r="P251" s="949"/>
      <c r="Q251" s="86"/>
      <c r="R251" s="949"/>
      <c r="S251" s="949"/>
      <c r="U251" s="931"/>
    </row>
    <row r="252" spans="1:21" s="930" customFormat="1">
      <c r="A252" s="65"/>
      <c r="B252" s="65"/>
      <c r="C252" s="65"/>
      <c r="D252" s="65"/>
      <c r="E252" s="65"/>
      <c r="F252" s="949"/>
      <c r="G252" s="65"/>
      <c r="H252" s="65"/>
      <c r="I252" s="949"/>
      <c r="J252" s="65"/>
      <c r="K252" s="65"/>
      <c r="L252" s="65"/>
      <c r="M252" s="949"/>
      <c r="N252" s="65"/>
      <c r="O252" s="949"/>
      <c r="P252" s="949"/>
      <c r="Q252" s="86"/>
      <c r="R252" s="949"/>
      <c r="S252" s="949"/>
      <c r="U252" s="931"/>
    </row>
    <row r="253" spans="1:21" s="930" customFormat="1">
      <c r="A253" s="65"/>
      <c r="B253" s="65"/>
      <c r="C253" s="65"/>
      <c r="D253" s="65"/>
      <c r="E253" s="65"/>
      <c r="F253" s="949"/>
      <c r="G253" s="65"/>
      <c r="H253" s="65"/>
      <c r="I253" s="949"/>
      <c r="J253" s="65"/>
      <c r="K253" s="65"/>
      <c r="L253" s="65"/>
      <c r="M253" s="949"/>
      <c r="N253" s="65"/>
      <c r="O253" s="949"/>
      <c r="P253" s="949"/>
      <c r="Q253" s="86"/>
      <c r="R253" s="949"/>
      <c r="S253" s="949"/>
      <c r="U253" s="931"/>
    </row>
    <row r="254" spans="1:21" s="930" customFormat="1">
      <c r="A254" s="65"/>
      <c r="B254" s="65"/>
      <c r="C254" s="65"/>
      <c r="D254" s="65"/>
      <c r="E254" s="65"/>
      <c r="F254" s="949"/>
      <c r="G254" s="65"/>
      <c r="H254" s="65"/>
      <c r="I254" s="949"/>
      <c r="J254" s="65"/>
      <c r="K254" s="65"/>
      <c r="L254" s="65"/>
      <c r="M254" s="949"/>
      <c r="N254" s="65"/>
      <c r="O254" s="949"/>
      <c r="P254" s="949"/>
      <c r="Q254" s="86"/>
      <c r="R254" s="949"/>
      <c r="S254" s="949"/>
      <c r="U254" s="931"/>
    </row>
    <row r="255" spans="1:21" s="930" customFormat="1">
      <c r="A255" s="65"/>
      <c r="B255" s="65"/>
      <c r="C255" s="65"/>
      <c r="D255" s="65"/>
      <c r="E255" s="65"/>
      <c r="F255" s="949"/>
      <c r="G255" s="65"/>
      <c r="H255" s="65"/>
      <c r="I255" s="949"/>
      <c r="J255" s="65"/>
      <c r="K255" s="65"/>
      <c r="L255" s="65"/>
      <c r="M255" s="949"/>
      <c r="N255" s="65"/>
      <c r="O255" s="949"/>
      <c r="P255" s="949"/>
      <c r="Q255" s="86"/>
      <c r="R255" s="949"/>
      <c r="S255" s="949"/>
      <c r="U255" s="931"/>
    </row>
    <row r="256" spans="1:21" s="930" customFormat="1">
      <c r="A256" s="65"/>
      <c r="B256" s="65"/>
      <c r="C256" s="65"/>
      <c r="D256" s="65"/>
      <c r="E256" s="65"/>
      <c r="F256" s="949"/>
      <c r="G256" s="65"/>
      <c r="H256" s="65"/>
      <c r="I256" s="949"/>
      <c r="J256" s="65"/>
      <c r="K256" s="65"/>
      <c r="L256" s="65"/>
      <c r="M256" s="949"/>
      <c r="N256" s="65"/>
      <c r="O256" s="949"/>
      <c r="P256" s="949"/>
      <c r="Q256" s="86"/>
      <c r="R256" s="949"/>
      <c r="S256" s="949"/>
      <c r="U256" s="931"/>
    </row>
    <row r="257" spans="1:21" s="930" customFormat="1">
      <c r="A257" s="65"/>
      <c r="B257" s="65"/>
      <c r="C257" s="65"/>
      <c r="D257" s="65"/>
      <c r="E257" s="65"/>
      <c r="F257" s="949"/>
      <c r="G257" s="65"/>
      <c r="H257" s="65"/>
      <c r="I257" s="949"/>
      <c r="J257" s="65"/>
      <c r="K257" s="65"/>
      <c r="L257" s="65"/>
      <c r="M257" s="949"/>
      <c r="N257" s="65"/>
      <c r="O257" s="949"/>
      <c r="P257" s="949"/>
      <c r="Q257" s="86"/>
      <c r="R257" s="949"/>
      <c r="S257" s="949"/>
      <c r="U257" s="931"/>
    </row>
    <row r="258" spans="1:21" s="930" customFormat="1">
      <c r="A258" s="65"/>
      <c r="B258" s="65"/>
      <c r="C258" s="65"/>
      <c r="D258" s="65"/>
      <c r="E258" s="65"/>
      <c r="F258" s="949"/>
      <c r="G258" s="65"/>
      <c r="H258" s="65"/>
      <c r="I258" s="949"/>
      <c r="J258" s="65"/>
      <c r="K258" s="65"/>
      <c r="L258" s="65"/>
      <c r="M258" s="949"/>
      <c r="N258" s="65"/>
      <c r="O258" s="949"/>
      <c r="P258" s="949"/>
      <c r="Q258" s="86"/>
      <c r="R258" s="949"/>
      <c r="S258" s="949"/>
      <c r="U258" s="931"/>
    </row>
    <row r="259" spans="1:21" s="930" customFormat="1">
      <c r="A259" s="65"/>
      <c r="B259" s="65"/>
      <c r="C259" s="65"/>
      <c r="D259" s="65"/>
      <c r="E259" s="65"/>
      <c r="F259" s="949"/>
      <c r="G259" s="65"/>
      <c r="H259" s="65"/>
      <c r="I259" s="949"/>
      <c r="J259" s="65"/>
      <c r="K259" s="65"/>
      <c r="L259" s="65"/>
      <c r="M259" s="949"/>
      <c r="N259" s="65"/>
      <c r="O259" s="949"/>
      <c r="P259" s="949"/>
      <c r="Q259" s="86"/>
      <c r="R259" s="949"/>
      <c r="S259" s="949"/>
      <c r="U259" s="931"/>
    </row>
  </sheetData>
  <sheetProtection algorithmName="SHA-512" hashValue="LT60p+psUTklAna8GzyehWL7lDx5IPrUss5sHa4H/6X+QMKE3ttktudKxIIeKKuW+TK2/xf9EVxjqTH3cbb4rQ==" saltValue="g0RsTgiwcax9UG+LZewjkg==" spinCount="100000" sheet="1" formatCells="0" formatColumns="0" formatRows="0" sort="0" autoFilter="0" pivotTables="0"/>
  <mergeCells count="7">
    <mergeCell ref="A109:O109"/>
    <mergeCell ref="A121:N121"/>
    <mergeCell ref="A1:S1"/>
    <mergeCell ref="A61:B61"/>
    <mergeCell ref="A73:B73"/>
    <mergeCell ref="A85:B85"/>
    <mergeCell ref="A97:B97"/>
  </mergeCells>
  <pageMargins left="0.25" right="0.25" top="0.75" bottom="0.75" header="0.3" footer="0.3"/>
  <pageSetup paperSize="9" scale="32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2000-000000000000}">
          <x14:formula1>
            <xm:f>Списки!$C$3:$C$4</xm:f>
          </x14:formula1>
          <xm:sqref>D3:D24 D26:D60 R3:S12 R14:S60</xm:sqref>
        </x14:dataValidation>
        <x14:dataValidation type="list" allowBlank="1" showInputMessage="1" showErrorMessage="1" xr:uid="{00000000-0002-0000-2000-000001000000}">
          <x14:formula1>
            <xm:f>Списки!$D$2:$D$7</xm:f>
          </x14:formula1>
          <xm:sqref>F3:F60</xm:sqref>
        </x14:dataValidation>
        <x14:dataValidation type="list" allowBlank="1" showInputMessage="1" showErrorMessage="1" xr:uid="{00000000-0002-0000-2000-000002000000}">
          <x14:formula1>
            <xm:f>Списки!$B$2:$B$5</xm:f>
          </x14:formula1>
          <xm:sqref>G3:G60</xm:sqref>
        </x14:dataValidation>
        <x14:dataValidation type="list" allowBlank="1" showInputMessage="1" showErrorMessage="1" xr:uid="{00000000-0002-0000-2000-000003000000}">
          <x14:formula1>
            <xm:f>Списки!$E$2:$E$7</xm:f>
          </x14:formula1>
          <xm:sqref>H3:H60</xm:sqref>
        </x14:dataValidation>
        <x14:dataValidation type="list" allowBlank="1" showInputMessage="1" showErrorMessage="1" xr:uid="{00000000-0002-0000-2000-000004000000}">
          <x14:formula1>
            <xm:f>Списки!$G$2:$G$3</xm:f>
          </x14:formula1>
          <xm:sqref>L3:L60</xm:sqref>
        </x14:dataValidation>
        <x14:dataValidation type="list" allowBlank="1" showInputMessage="1" showErrorMessage="1" xr:uid="{00000000-0002-0000-2000-000005000000}">
          <x14:formula1>
            <xm:f>Списки!$F$2:$F$3</xm:f>
          </x14:formula1>
          <xm:sqref>N3:N5 N7:N60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V296"/>
  <sheetViews>
    <sheetView view="pageBreakPreview" zoomScaleNormal="85" workbookViewId="0">
      <pane ySplit="2" topLeftCell="A3" activePane="bottomLeft" state="frozen"/>
      <selection pane="bottomLeft" activeCell="S38" sqref="S38"/>
    </sheetView>
  </sheetViews>
  <sheetFormatPr defaultColWidth="12.28515625" defaultRowHeight="12.75" outlineLevelRow="1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31.7109375" style="66" customWidth="1"/>
    <col min="18" max="18" width="23" style="66" customWidth="1"/>
    <col min="19" max="19" width="14.28515625" style="66" customWidth="1"/>
    <col min="20" max="20" width="15" style="339" customWidth="1"/>
    <col min="21" max="21" width="15" style="66" customWidth="1"/>
    <col min="22" max="16384" width="12.28515625" style="66"/>
  </cols>
  <sheetData>
    <row r="1" spans="1:22">
      <c r="A1" s="2297">
        <v>45169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2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1583</v>
      </c>
      <c r="U2" s="889" t="s">
        <v>1584</v>
      </c>
    </row>
    <row r="3" spans="1:22" outlineLevel="1">
      <c r="A3" s="62">
        <v>1</v>
      </c>
      <c r="B3" s="75">
        <v>25719</v>
      </c>
      <c r="C3" s="62" t="s">
        <v>7</v>
      </c>
      <c r="D3" s="75">
        <v>372</v>
      </c>
      <c r="E3" s="62">
        <v>3</v>
      </c>
      <c r="F3" s="62">
        <v>72.510000000000005</v>
      </c>
      <c r="G3" s="117" t="s">
        <v>15</v>
      </c>
      <c r="H3" s="117">
        <v>4000</v>
      </c>
      <c r="I3" s="95">
        <v>6079693.0099999998</v>
      </c>
      <c r="J3" s="117" t="s">
        <v>77</v>
      </c>
      <c r="K3" s="62" t="s">
        <v>16</v>
      </c>
      <c r="L3" s="62" t="s">
        <v>1542</v>
      </c>
      <c r="M3" s="62" t="s">
        <v>12</v>
      </c>
      <c r="N3" s="92">
        <v>45152</v>
      </c>
      <c r="O3" s="117" t="s">
        <v>11</v>
      </c>
      <c r="P3" s="62" t="s">
        <v>1585</v>
      </c>
      <c r="Q3" s="76" t="s">
        <v>67</v>
      </c>
      <c r="R3" s="866" t="s">
        <v>1586</v>
      </c>
      <c r="S3" s="117" t="s">
        <v>77</v>
      </c>
      <c r="T3" s="117" t="s">
        <v>77</v>
      </c>
      <c r="U3" s="114">
        <f>февр23141113161718[[#This Row],[сумма]]-февр23141113161718[[#This Row],[Цема м2 отделки]]*февр23141113161718[[#This Row],[м2]]</f>
        <v>5789653.0099999998</v>
      </c>
    </row>
    <row r="4" spans="1:22" outlineLevel="1">
      <c r="A4" s="62">
        <v>2</v>
      </c>
      <c r="B4" s="75">
        <v>25060</v>
      </c>
      <c r="C4" s="62" t="s">
        <v>7</v>
      </c>
      <c r="D4" s="75">
        <v>231</v>
      </c>
      <c r="E4" s="62">
        <v>3</v>
      </c>
      <c r="F4" s="62">
        <v>78.73</v>
      </c>
      <c r="G4" s="117" t="s">
        <v>9</v>
      </c>
      <c r="H4" s="117"/>
      <c r="I4" s="95">
        <v>5689424.2199999997</v>
      </c>
      <c r="J4" s="117" t="s">
        <v>77</v>
      </c>
      <c r="K4" s="62" t="s">
        <v>16</v>
      </c>
      <c r="L4" s="62" t="s">
        <v>1542</v>
      </c>
      <c r="M4" s="62" t="s">
        <v>12</v>
      </c>
      <c r="N4" s="92">
        <v>45169</v>
      </c>
      <c r="O4" s="117" t="s">
        <v>11</v>
      </c>
      <c r="P4" s="62" t="s">
        <v>1587</v>
      </c>
      <c r="Q4" s="76" t="s">
        <v>67</v>
      </c>
      <c r="R4" s="866" t="s">
        <v>1586</v>
      </c>
      <c r="S4" s="117" t="s">
        <v>77</v>
      </c>
      <c r="T4" s="117" t="s">
        <v>77</v>
      </c>
      <c r="U4" s="114">
        <f>февр23141113161718[[#This Row],[сумма]]-февр23141113161718[[#This Row],[Цема м2 отделки]]*февр23141113161718[[#This Row],[м2]]</f>
        <v>5689424.2199999997</v>
      </c>
    </row>
    <row r="5" spans="1:22" outlineLevel="1">
      <c r="A5" s="65"/>
      <c r="B5" s="79"/>
      <c r="C5" s="65"/>
      <c r="D5" s="79"/>
      <c r="E5" s="65"/>
      <c r="F5" s="65"/>
      <c r="G5" s="80"/>
      <c r="H5" s="80"/>
      <c r="I5" s="93"/>
      <c r="J5" s="80"/>
      <c r="K5" s="65"/>
      <c r="L5" s="65"/>
      <c r="M5" s="65"/>
      <c r="N5" s="98"/>
      <c r="O5" s="80"/>
      <c r="P5" s="65"/>
      <c r="Q5" s="86"/>
      <c r="R5" s="86"/>
      <c r="S5" s="80"/>
      <c r="T5" s="80"/>
      <c r="U5" s="115">
        <f>февр23141113161718[[#This Row],[сумма]]-февр23141113161718[[#This Row],[Цема м2 отделки]]*февр23141113161718[[#This Row],[м2]]</f>
        <v>0</v>
      </c>
    </row>
    <row r="6" spans="1:22" s="61" customFormat="1" outlineLevel="1">
      <c r="A6" s="65"/>
      <c r="B6" s="79"/>
      <c r="C6" s="65"/>
      <c r="D6" s="79"/>
      <c r="E6" s="65"/>
      <c r="F6" s="65"/>
      <c r="G6" s="80"/>
      <c r="H6" s="80"/>
      <c r="I6" s="93"/>
      <c r="J6" s="80"/>
      <c r="K6" s="65"/>
      <c r="L6" s="65"/>
      <c r="M6" s="65"/>
      <c r="N6" s="98"/>
      <c r="O6" s="80"/>
      <c r="P6" s="65"/>
      <c r="Q6" s="86"/>
      <c r="R6" s="86"/>
      <c r="S6" s="80"/>
      <c r="T6" s="80"/>
      <c r="U6" s="115">
        <f>февр23141113161718[[#This Row],[сумма]]-февр23141113161718[[#This Row],[Цема м2 отделки]]*февр23141113161718[[#This Row],[м2]]</f>
        <v>0</v>
      </c>
      <c r="V6" s="66"/>
    </row>
    <row r="7" spans="1:22" s="61" customFormat="1" outlineLevel="1">
      <c r="A7" s="65"/>
      <c r="B7" s="79"/>
      <c r="C7" s="65"/>
      <c r="D7" s="79"/>
      <c r="E7" s="65"/>
      <c r="F7" s="65"/>
      <c r="G7" s="80"/>
      <c r="H7" s="80"/>
      <c r="I7" s="93"/>
      <c r="J7" s="80"/>
      <c r="K7" s="65"/>
      <c r="L7" s="65"/>
      <c r="M7" s="65"/>
      <c r="N7" s="98"/>
      <c r="O7" s="80"/>
      <c r="P7" s="65"/>
      <c r="Q7" s="86"/>
      <c r="R7" s="86"/>
      <c r="S7" s="80"/>
      <c r="T7" s="80"/>
      <c r="U7" s="115">
        <f>февр23141113161718[[#This Row],[сумма]]-февр23141113161718[[#This Row],[Цема м2 отделки]]*февр23141113161718[[#This Row],[м2]]</f>
        <v>0</v>
      </c>
      <c r="V7" s="66"/>
    </row>
    <row r="8" spans="1:22" s="61" customFormat="1" outlineLevel="1">
      <c r="A8" s="62">
        <v>8</v>
      </c>
      <c r="B8" s="74">
        <v>25899</v>
      </c>
      <c r="C8" s="62" t="s">
        <v>7</v>
      </c>
      <c r="D8" s="75">
        <v>150</v>
      </c>
      <c r="E8" s="62">
        <v>1</v>
      </c>
      <c r="F8" s="62">
        <v>36.659999999999997</v>
      </c>
      <c r="G8" s="117" t="s">
        <v>9</v>
      </c>
      <c r="H8" s="117"/>
      <c r="I8" s="95">
        <v>3547958.47</v>
      </c>
      <c r="J8" s="117" t="s">
        <v>8</v>
      </c>
      <c r="K8" s="62" t="s">
        <v>16</v>
      </c>
      <c r="L8" s="62" t="s">
        <v>583</v>
      </c>
      <c r="M8" s="62" t="s">
        <v>18</v>
      </c>
      <c r="N8" s="92">
        <v>45162</v>
      </c>
      <c r="O8" s="117" t="s">
        <v>17</v>
      </c>
      <c r="P8" s="62" t="s">
        <v>1588</v>
      </c>
      <c r="Q8" s="76" t="s">
        <v>67</v>
      </c>
      <c r="R8" s="76" t="s">
        <v>67</v>
      </c>
      <c r="S8" s="117" t="s">
        <v>8</v>
      </c>
      <c r="T8" s="117" t="s">
        <v>8</v>
      </c>
      <c r="U8" s="114">
        <f>февр23141113161718[[#This Row],[сумма]]-февр23141113161718[[#This Row],[Цема м2 отделки]]*февр23141113161718[[#This Row],[м2]]</f>
        <v>3547958.47</v>
      </c>
    </row>
    <row r="9" spans="1:22" s="880" customFormat="1" outlineLevel="1">
      <c r="A9" s="882"/>
      <c r="B9" s="883"/>
      <c r="C9" s="882"/>
      <c r="D9" s="882"/>
      <c r="E9" s="882"/>
      <c r="F9" s="882"/>
      <c r="G9" s="884"/>
      <c r="H9" s="884"/>
      <c r="I9" s="886"/>
      <c r="J9" s="884"/>
      <c r="K9" s="882"/>
      <c r="L9" s="882"/>
      <c r="M9" s="882"/>
      <c r="N9" s="887"/>
      <c r="O9" s="884"/>
      <c r="P9" s="882"/>
      <c r="Q9" s="885"/>
      <c r="R9" s="885"/>
      <c r="S9" s="884"/>
      <c r="T9" s="884"/>
      <c r="U9" s="890">
        <f>февр23141113161718[[#This Row],[сумма]]-февр23141113161718[[#This Row],[Цема м2 отделки]]*февр23141113161718[[#This Row],[м2]]</f>
        <v>0</v>
      </c>
    </row>
    <row r="10" spans="1:22" s="880" customFormat="1" outlineLevel="1">
      <c r="A10" s="882"/>
      <c r="B10" s="883"/>
      <c r="C10" s="882"/>
      <c r="D10" s="883"/>
      <c r="E10" s="882"/>
      <c r="F10" s="882"/>
      <c r="G10" s="885"/>
      <c r="H10" s="885"/>
      <c r="I10" s="888"/>
      <c r="J10" s="884"/>
      <c r="K10" s="882"/>
      <c r="L10" s="882"/>
      <c r="M10" s="882"/>
      <c r="N10" s="887"/>
      <c r="O10" s="884"/>
      <c r="P10" s="885"/>
      <c r="Q10" s="891"/>
      <c r="R10" s="885"/>
      <c r="S10" s="884"/>
      <c r="T10" s="884"/>
      <c r="U10" s="890">
        <f>февр23141113161718[[#This Row],[сумма]]-февр23141113161718[[#This Row],[Цема м2 отделки]]*февр23141113161718[[#This Row],[м2]]</f>
        <v>0</v>
      </c>
    </row>
    <row r="11" spans="1:22" s="61" customFormat="1" outlineLevel="1">
      <c r="A11" s="65">
        <v>11</v>
      </c>
      <c r="B11" s="79"/>
      <c r="C11" s="65"/>
      <c r="D11" s="79"/>
      <c r="E11" s="65"/>
      <c r="F11" s="65"/>
      <c r="G11" s="65"/>
      <c r="H11" s="65"/>
      <c r="I11" s="93"/>
      <c r="J11" s="80"/>
      <c r="K11" s="65"/>
      <c r="L11" s="65"/>
      <c r="M11" s="65"/>
      <c r="N11" s="98"/>
      <c r="O11" s="80"/>
      <c r="P11" s="65"/>
      <c r="Q11" s="86"/>
      <c r="R11" s="86"/>
      <c r="S11" s="80"/>
      <c r="T11" s="80"/>
      <c r="U11" s="115">
        <f>февр23141113161718[[#This Row],[сумма]]-февр23141113161718[[#This Row],[Цема м2 отделки]]*февр23141113161718[[#This Row],[м2]]</f>
        <v>0</v>
      </c>
      <c r="V11" s="66"/>
    </row>
    <row r="12" spans="1:22" s="61" customFormat="1" outlineLevel="1">
      <c r="A12" s="882">
        <v>12</v>
      </c>
      <c r="B12" s="883"/>
      <c r="C12" s="882"/>
      <c r="D12" s="883"/>
      <c r="E12" s="882"/>
      <c r="F12" s="882"/>
      <c r="G12" s="882"/>
      <c r="H12" s="882"/>
      <c r="I12" s="886"/>
      <c r="J12" s="884"/>
      <c r="K12" s="882"/>
      <c r="L12" s="882"/>
      <c r="M12" s="882"/>
      <c r="N12" s="887"/>
      <c r="O12" s="884"/>
      <c r="P12" s="882"/>
      <c r="Q12" s="891"/>
      <c r="R12" s="885"/>
      <c r="S12" s="884"/>
      <c r="T12" s="884"/>
      <c r="U12" s="890">
        <f>февр23141113161718[[#This Row],[сумма]]-февр23141113161718[[#This Row],[Цема м2 отделки]]*февр23141113161718[[#This Row],[м2]]</f>
        <v>0</v>
      </c>
      <c r="V12" s="66"/>
    </row>
    <row r="13" spans="1:22" s="61" customFormat="1" outlineLevel="1">
      <c r="A13" s="65">
        <v>13</v>
      </c>
      <c r="B13" s="79"/>
      <c r="C13" s="65"/>
      <c r="D13" s="79"/>
      <c r="E13" s="65"/>
      <c r="F13" s="65"/>
      <c r="G13" s="65"/>
      <c r="H13" s="65"/>
      <c r="I13" s="93"/>
      <c r="J13" s="80"/>
      <c r="K13" s="65"/>
      <c r="L13" s="65"/>
      <c r="M13" s="65"/>
      <c r="N13" s="98"/>
      <c r="O13" s="80"/>
      <c r="P13" s="65"/>
      <c r="Q13" s="86"/>
      <c r="R13" s="86"/>
      <c r="S13" s="80"/>
      <c r="T13" s="80"/>
      <c r="U13" s="115">
        <f>февр23141113161718[[#This Row],[сумма]]-февр23141113161718[[#This Row],[Цема м2 отделки]]*февр23141113161718[[#This Row],[м2]]</f>
        <v>0</v>
      </c>
      <c r="V13" s="66"/>
    </row>
    <row r="14" spans="1:22" s="61" customFormat="1" outlineLevel="1">
      <c r="A14" s="65">
        <v>14</v>
      </c>
      <c r="B14" s="79"/>
      <c r="C14" s="65"/>
      <c r="D14" s="79"/>
      <c r="E14" s="65"/>
      <c r="F14" s="65"/>
      <c r="G14" s="65"/>
      <c r="H14" s="65"/>
      <c r="I14" s="93"/>
      <c r="J14" s="80"/>
      <c r="K14" s="65"/>
      <c r="L14" s="65"/>
      <c r="M14" s="65"/>
      <c r="N14" s="98"/>
      <c r="O14" s="80"/>
      <c r="P14" s="65"/>
      <c r="Q14" s="86"/>
      <c r="R14" s="86"/>
      <c r="S14" s="80"/>
      <c r="T14" s="80"/>
      <c r="U14" s="115">
        <f>февр23141113161718[[#This Row],[сумма]]-февр23141113161718[[#This Row],[Цема м2 отделки]]*февр23141113161718[[#This Row],[м2]]</f>
        <v>0</v>
      </c>
      <c r="V14" s="66"/>
    </row>
    <row r="15" spans="1:22" outlineLevel="1">
      <c r="A15" s="65">
        <v>15</v>
      </c>
      <c r="B15" s="79">
        <v>25642</v>
      </c>
      <c r="C15" s="65" t="s">
        <v>13</v>
      </c>
      <c r="D15" s="79">
        <v>471</v>
      </c>
      <c r="E15" s="65">
        <v>0</v>
      </c>
      <c r="F15" s="65">
        <v>24.5</v>
      </c>
      <c r="G15" s="65" t="s">
        <v>9</v>
      </c>
      <c r="H15" s="65"/>
      <c r="I15" s="93">
        <v>2232086.2200000002</v>
      </c>
      <c r="J15" s="80" t="s">
        <v>1207</v>
      </c>
      <c r="K15" s="65" t="s">
        <v>22</v>
      </c>
      <c r="L15" s="65" t="s">
        <v>583</v>
      </c>
      <c r="M15" s="65" t="s">
        <v>12</v>
      </c>
      <c r="N15" s="98" t="s">
        <v>1589</v>
      </c>
      <c r="O15" s="80" t="s">
        <v>17</v>
      </c>
      <c r="P15" s="65" t="s">
        <v>1590</v>
      </c>
      <c r="Q15" s="86" t="s">
        <v>1591</v>
      </c>
      <c r="R15" s="86" t="s">
        <v>1592</v>
      </c>
      <c r="S15" s="80" t="s">
        <v>77</v>
      </c>
      <c r="T15" s="80" t="s">
        <v>77</v>
      </c>
      <c r="U15" s="115">
        <f>февр23141113161718[[#This Row],[сумма]]-февр23141113161718[[#This Row],[Цема м2 отделки]]*февр23141113161718[[#This Row],[м2]]</f>
        <v>2232086.2200000002</v>
      </c>
    </row>
    <row r="16" spans="1:22" outlineLevel="1">
      <c r="A16" s="65"/>
      <c r="B16" s="79"/>
      <c r="C16" s="65"/>
      <c r="D16" s="79"/>
      <c r="E16" s="65"/>
      <c r="F16" s="65"/>
      <c r="G16" s="65"/>
      <c r="H16" s="65"/>
      <c r="I16" s="93"/>
      <c r="J16" s="80"/>
      <c r="K16" s="65"/>
      <c r="L16" s="65"/>
      <c r="M16" s="65"/>
      <c r="N16" s="98"/>
      <c r="O16" s="80"/>
      <c r="P16" s="65"/>
      <c r="Q16" s="86"/>
      <c r="R16" s="86"/>
      <c r="S16" s="80"/>
      <c r="T16" s="80"/>
      <c r="U16" s="115">
        <f>февр23141113161718[[#This Row],[сумма]]-февр23141113161718[[#This Row],[Цема м2 отделки]]*февр23141113161718[[#This Row],[м2]]</f>
        <v>0</v>
      </c>
    </row>
    <row r="17" spans="1:22" outlineLevel="1">
      <c r="A17" s="882"/>
      <c r="B17" s="79"/>
      <c r="C17" s="882"/>
      <c r="D17" s="79"/>
      <c r="E17" s="65"/>
      <c r="F17" s="65"/>
      <c r="G17" s="65"/>
      <c r="H17" s="882"/>
      <c r="I17" s="93"/>
      <c r="J17" s="80"/>
      <c r="K17" s="65"/>
      <c r="L17" s="65"/>
      <c r="M17" s="65"/>
      <c r="N17" s="98"/>
      <c r="O17" s="80"/>
      <c r="P17" s="65"/>
      <c r="Q17" s="86"/>
      <c r="R17" s="86"/>
      <c r="S17" s="80"/>
      <c r="T17" s="80"/>
      <c r="U17" s="890">
        <f>февр23141113161718[[#This Row],[сумма]]-февр23141113161718[[#This Row],[Цема м2 отделки]]*февр23141113161718[[#This Row],[м2]]</f>
        <v>0</v>
      </c>
    </row>
    <row r="18" spans="1:22" s="61" customFormat="1" outlineLevel="1">
      <c r="A18" s="65"/>
      <c r="B18" s="79"/>
      <c r="C18" s="65"/>
      <c r="D18" s="79"/>
      <c r="E18" s="65"/>
      <c r="F18" s="65"/>
      <c r="G18" s="65"/>
      <c r="H18" s="65"/>
      <c r="I18" s="93"/>
      <c r="J18" s="80"/>
      <c r="K18" s="65"/>
      <c r="L18" s="65"/>
      <c r="M18" s="65"/>
      <c r="N18" s="98"/>
      <c r="O18" s="80"/>
      <c r="P18" s="65"/>
      <c r="Q18" s="86"/>
      <c r="R18" s="86"/>
      <c r="S18" s="80"/>
      <c r="T18" s="80"/>
      <c r="U18" s="115">
        <f>февр23141113161718[[#This Row],[сумма]]-февр23141113161718[[#This Row],[Цема м2 отделки]]*февр23141113161718[[#This Row],[м2]]</f>
        <v>0</v>
      </c>
      <c r="V18" s="66"/>
    </row>
    <row r="19" spans="1:22" s="880" customFormat="1" outlineLevel="1">
      <c r="A19" s="882"/>
      <c r="B19" s="883"/>
      <c r="C19" s="882"/>
      <c r="D19" s="882"/>
      <c r="E19" s="882"/>
      <c r="F19" s="882"/>
      <c r="G19" s="882"/>
      <c r="H19" s="884"/>
      <c r="I19" s="888"/>
      <c r="J19" s="884"/>
      <c r="K19" s="882"/>
      <c r="L19" s="882"/>
      <c r="M19" s="882"/>
      <c r="N19" s="887"/>
      <c r="O19" s="884"/>
      <c r="P19" s="882"/>
      <c r="Q19" s="891"/>
      <c r="R19" s="887"/>
      <c r="S19" s="884"/>
      <c r="T19" s="884"/>
      <c r="U19" s="890">
        <f>февр23141113161718[[#This Row],[сумма]]-февр23141113161718[[#This Row],[Цема м2 отделки]]*февр23141113161718[[#This Row],[м2]]</f>
        <v>0</v>
      </c>
    </row>
    <row r="20" spans="1:22" outlineLevel="1">
      <c r="A20" s="65"/>
      <c r="B20" s="79"/>
      <c r="C20" s="65"/>
      <c r="D20" s="79"/>
      <c r="E20" s="65"/>
      <c r="F20" s="65"/>
      <c r="G20" s="65"/>
      <c r="H20" s="80"/>
      <c r="I20" s="93"/>
      <c r="J20" s="80"/>
      <c r="K20" s="65"/>
      <c r="L20" s="65"/>
      <c r="M20" s="65"/>
      <c r="N20" s="98"/>
      <c r="O20" s="80"/>
      <c r="P20" s="65"/>
      <c r="Q20" s="86"/>
      <c r="R20" s="86"/>
      <c r="S20" s="80"/>
      <c r="T20" s="80"/>
      <c r="U20" s="115">
        <f>февр23141113161718[[#This Row],[сумма]]-февр23141113161718[[#This Row],[Цема м2 отделки]]*февр23141113161718[[#This Row],[м2]]</f>
        <v>0</v>
      </c>
    </row>
    <row r="21" spans="1:22" s="61" customFormat="1" outlineLevel="1">
      <c r="A21" s="65"/>
      <c r="B21" s="79"/>
      <c r="C21" s="65"/>
      <c r="D21" s="79"/>
      <c r="E21" s="65"/>
      <c r="F21" s="65"/>
      <c r="G21" s="65"/>
      <c r="H21" s="80"/>
      <c r="I21" s="93"/>
      <c r="J21" s="80"/>
      <c r="K21" s="65"/>
      <c r="L21" s="65"/>
      <c r="M21" s="65"/>
      <c r="N21" s="98"/>
      <c r="O21" s="80"/>
      <c r="P21" s="65"/>
      <c r="Q21" s="86"/>
      <c r="R21" s="86"/>
      <c r="S21" s="80"/>
      <c r="T21" s="80"/>
      <c r="U21" s="115">
        <f>февр23141113161718[[#This Row],[сумма]]-февр23141113161718[[#This Row],[Цема м2 отделки]]*февр23141113161718[[#This Row],[м2]]</f>
        <v>0</v>
      </c>
      <c r="V21" s="66"/>
    </row>
    <row r="22" spans="1:22" s="880" customFormat="1" outlineLevel="1">
      <c r="A22" s="882"/>
      <c r="B22" s="883"/>
      <c r="C22" s="882"/>
      <c r="D22" s="883"/>
      <c r="E22" s="882"/>
      <c r="F22" s="882"/>
      <c r="G22" s="882"/>
      <c r="H22" s="884"/>
      <c r="I22" s="886"/>
      <c r="J22" s="884"/>
      <c r="K22" s="882"/>
      <c r="L22" s="882"/>
      <c r="M22" s="882"/>
      <c r="N22" s="887"/>
      <c r="O22" s="884"/>
      <c r="P22" s="882"/>
      <c r="Q22" s="885"/>
      <c r="R22" s="885"/>
      <c r="S22" s="884"/>
      <c r="T22" s="884"/>
      <c r="U22" s="890">
        <f>февр23141113161718[[#This Row],[сумма]]-февр23141113161718[[#This Row],[Цема м2 отделки]]*февр23141113161718[[#This Row],[м2]]</f>
        <v>0</v>
      </c>
    </row>
    <row r="23" spans="1:22" s="61" customFormat="1" outlineLevel="1">
      <c r="A23" s="62">
        <v>23</v>
      </c>
      <c r="B23" s="75">
        <v>25778</v>
      </c>
      <c r="C23" s="62" t="s">
        <v>27</v>
      </c>
      <c r="D23" s="62">
        <v>10</v>
      </c>
      <c r="E23" s="62" t="s">
        <v>1337</v>
      </c>
      <c r="F23" s="62">
        <v>137.30000000000001</v>
      </c>
      <c r="G23" s="65"/>
      <c r="H23" s="117"/>
      <c r="I23" s="95">
        <v>17007084</v>
      </c>
      <c r="J23" s="117" t="s">
        <v>1233</v>
      </c>
      <c r="K23" s="62" t="s">
        <v>10</v>
      </c>
      <c r="L23" s="62" t="s">
        <v>286</v>
      </c>
      <c r="M23" s="62" t="s">
        <v>18</v>
      </c>
      <c r="N23" s="92">
        <v>45142</v>
      </c>
      <c r="O23" s="117" t="s">
        <v>17</v>
      </c>
      <c r="P23" s="62" t="s">
        <v>1578</v>
      </c>
      <c r="Q23" s="76"/>
      <c r="R23" s="76" t="s">
        <v>67</v>
      </c>
      <c r="S23" s="117" t="s">
        <v>1233</v>
      </c>
      <c r="T23" s="117" t="s">
        <v>77</v>
      </c>
      <c r="U23" s="114">
        <f>февр23141113161718[[#This Row],[сумма]]-февр23141113161718[[#This Row],[Цема м2 отделки]]*февр23141113161718[[#This Row],[м2]]</f>
        <v>17007084</v>
      </c>
    </row>
    <row r="24" spans="1:22" outlineLevel="1">
      <c r="A24" s="65"/>
      <c r="B24" s="79"/>
      <c r="C24" s="65"/>
      <c r="D24" s="79"/>
      <c r="E24" s="65"/>
      <c r="F24" s="65"/>
      <c r="G24" s="65"/>
      <c r="H24" s="65"/>
      <c r="I24" s="93"/>
      <c r="J24" s="80"/>
      <c r="K24" s="65"/>
      <c r="L24" s="65"/>
      <c r="M24" s="65"/>
      <c r="N24" s="98"/>
      <c r="O24" s="80"/>
      <c r="P24" s="65"/>
      <c r="Q24" s="86"/>
      <c r="R24" s="86"/>
      <c r="S24" s="80"/>
      <c r="T24" s="80"/>
      <c r="U24" s="115">
        <f>февр23141113161718[[#This Row],[сумма]]-февр23141113161718[[#This Row],[Цема м2 отделки]]*февр23141113161718[[#This Row],[м2]]</f>
        <v>0</v>
      </c>
    </row>
    <row r="25" spans="1:22" outlineLevel="1">
      <c r="A25" s="65"/>
      <c r="B25" s="79"/>
      <c r="C25" s="65"/>
      <c r="D25" s="79"/>
      <c r="E25" s="65"/>
      <c r="F25" s="65"/>
      <c r="G25" s="65"/>
      <c r="H25" s="65"/>
      <c r="I25" s="93"/>
      <c r="J25" s="80"/>
      <c r="K25" s="65"/>
      <c r="L25" s="65"/>
      <c r="M25" s="65"/>
      <c r="N25" s="98"/>
      <c r="O25" s="80"/>
      <c r="P25" s="65"/>
      <c r="Q25" s="86"/>
      <c r="R25" s="86"/>
      <c r="S25" s="80"/>
      <c r="T25" s="80"/>
      <c r="U25" s="115">
        <f>февр23141113161718[[#This Row],[сумма]]-февр23141113161718[[#This Row],[Цема м2 отделки]]*февр23141113161718[[#This Row],[м2]]</f>
        <v>0</v>
      </c>
    </row>
    <row r="26" spans="1:22" s="61" customFormat="1" outlineLevel="1">
      <c r="A26" s="62">
        <v>32</v>
      </c>
      <c r="B26" s="75">
        <v>25923</v>
      </c>
      <c r="C26" s="62" t="s">
        <v>7</v>
      </c>
      <c r="D26" s="75">
        <v>332</v>
      </c>
      <c r="E26" s="62">
        <v>0</v>
      </c>
      <c r="F26" s="62">
        <v>29.35</v>
      </c>
      <c r="G26" s="65"/>
      <c r="H26" s="76"/>
      <c r="I26" s="91">
        <v>2705900.33</v>
      </c>
      <c r="J26" s="117" t="s">
        <v>77</v>
      </c>
      <c r="K26" s="62" t="s">
        <v>22</v>
      </c>
      <c r="L26" s="62" t="s">
        <v>583</v>
      </c>
      <c r="M26" s="62" t="s">
        <v>18</v>
      </c>
      <c r="N26" s="537">
        <v>45145</v>
      </c>
      <c r="O26" s="117" t="s">
        <v>17</v>
      </c>
      <c r="P26" s="76" t="s">
        <v>1593</v>
      </c>
      <c r="Q26" s="76" t="s">
        <v>67</v>
      </c>
      <c r="R26" s="76" t="s">
        <v>67</v>
      </c>
      <c r="S26" s="117" t="s">
        <v>77</v>
      </c>
      <c r="T26" s="117" t="s">
        <v>77</v>
      </c>
      <c r="U26" s="114">
        <f>февр23141113161718[[#This Row],[сумма]]-февр23141113161718[[#This Row],[Цема м2 отделки]]*февр23141113161718[[#This Row],[м2]]</f>
        <v>2705900.33</v>
      </c>
    </row>
    <row r="27" spans="1:22" outlineLevel="1">
      <c r="A27" s="62">
        <v>33</v>
      </c>
      <c r="B27" s="75">
        <v>25231</v>
      </c>
      <c r="C27" s="62" t="s">
        <v>7</v>
      </c>
      <c r="D27" s="75">
        <v>272</v>
      </c>
      <c r="E27" s="62">
        <v>2</v>
      </c>
      <c r="F27" s="62">
        <v>58.55</v>
      </c>
      <c r="G27" s="65"/>
      <c r="H27" s="62">
        <v>4500</v>
      </c>
      <c r="I27" s="91">
        <v>5203479.0199999996</v>
      </c>
      <c r="J27" s="117" t="s">
        <v>77</v>
      </c>
      <c r="K27" s="62" t="s">
        <v>22</v>
      </c>
      <c r="L27" s="62" t="s">
        <v>583</v>
      </c>
      <c r="M27" s="62" t="s">
        <v>18</v>
      </c>
      <c r="N27" s="537">
        <v>45149</v>
      </c>
      <c r="O27" s="117" t="s">
        <v>17</v>
      </c>
      <c r="P27" s="76" t="s">
        <v>1594</v>
      </c>
      <c r="Q27" s="76" t="s">
        <v>67</v>
      </c>
      <c r="R27" s="76" t="s">
        <v>67</v>
      </c>
      <c r="S27" s="62" t="s">
        <v>77</v>
      </c>
      <c r="T27" s="62" t="s">
        <v>77</v>
      </c>
      <c r="U27" s="114">
        <f>февр23141113161718[[#This Row],[сумма]]-февр23141113161718[[#This Row],[Цема м2 отделки]]*февр23141113161718[[#This Row],[м2]]</f>
        <v>4940004.0199999996</v>
      </c>
    </row>
    <row r="28" spans="1:22" outlineLevel="1">
      <c r="A28" s="65"/>
      <c r="B28" s="79"/>
      <c r="C28" s="80"/>
      <c r="D28" s="79"/>
      <c r="E28" s="65"/>
      <c r="F28" s="65"/>
      <c r="G28" s="65"/>
      <c r="H28" s="86"/>
      <c r="I28" s="93"/>
      <c r="J28" s="80"/>
      <c r="K28" s="65"/>
      <c r="L28" s="65"/>
      <c r="M28" s="65"/>
      <c r="N28" s="98"/>
      <c r="O28" s="80"/>
      <c r="P28" s="65"/>
      <c r="Q28" s="86"/>
      <c r="R28" s="86"/>
      <c r="S28" s="80"/>
      <c r="T28" s="80"/>
      <c r="U28" s="115">
        <f>февр23141113161718[[#This Row],[сумма]]-февр23141113161718[[#This Row],[Цема м2 отделки]]*февр23141113161718[[#This Row],[м2]]</f>
        <v>0</v>
      </c>
    </row>
    <row r="29" spans="1:22" s="880" customFormat="1" ht="19.5" customHeight="1" outlineLevel="1">
      <c r="A29" s="882"/>
      <c r="B29" s="79"/>
      <c r="C29" s="882"/>
      <c r="D29" s="79"/>
      <c r="E29" s="65"/>
      <c r="F29" s="65"/>
      <c r="G29" s="65"/>
      <c r="H29" s="882"/>
      <c r="I29" s="93"/>
      <c r="J29" s="80"/>
      <c r="K29" s="65"/>
      <c r="L29" s="65"/>
      <c r="M29" s="65"/>
      <c r="N29" s="98"/>
      <c r="O29" s="80"/>
      <c r="P29" s="65"/>
      <c r="Q29" s="86"/>
      <c r="R29" s="86"/>
      <c r="S29" s="80"/>
      <c r="T29" s="80"/>
      <c r="U29" s="890">
        <f>февр23141113161718[[#This Row],[сумма]]-февр23141113161718[[#This Row],[Цема м2 отделки]]*февр23141113161718[[#This Row],[м2]]</f>
        <v>0</v>
      </c>
    </row>
    <row r="30" spans="1:22" s="61" customFormat="1" outlineLevel="1">
      <c r="A30" s="62">
        <v>36</v>
      </c>
      <c r="B30" s="75">
        <v>25111</v>
      </c>
      <c r="C30" s="62" t="s">
        <v>7</v>
      </c>
      <c r="D30" s="75">
        <v>138</v>
      </c>
      <c r="E30" s="62">
        <v>2</v>
      </c>
      <c r="F30" s="62">
        <v>68.75</v>
      </c>
      <c r="G30" s="65"/>
      <c r="H30" s="62">
        <v>4500</v>
      </c>
      <c r="I30" s="95">
        <v>6214408.75</v>
      </c>
      <c r="J30" s="117" t="s">
        <v>8</v>
      </c>
      <c r="K30" s="62" t="s">
        <v>22</v>
      </c>
      <c r="L30" s="62" t="s">
        <v>583</v>
      </c>
      <c r="M30" s="62" t="s">
        <v>18</v>
      </c>
      <c r="N30" s="92">
        <v>45153</v>
      </c>
      <c r="O30" s="117" t="s">
        <v>17</v>
      </c>
      <c r="P30" s="62" t="s">
        <v>1595</v>
      </c>
      <c r="Q30" s="113" t="s">
        <v>67</v>
      </c>
      <c r="R30" s="76" t="s">
        <v>67</v>
      </c>
      <c r="S30" s="117" t="s">
        <v>8</v>
      </c>
      <c r="T30" s="117" t="s">
        <v>8</v>
      </c>
      <c r="U30" s="114">
        <f>февр23141113161718[[#This Row],[сумма]]-февр23141113161718[[#This Row],[Цема м2 отделки]]*февр23141113161718[[#This Row],[м2]]</f>
        <v>5905033.75</v>
      </c>
    </row>
    <row r="31" spans="1:22" ht="15" customHeight="1" outlineLevel="1">
      <c r="A31" s="65"/>
      <c r="B31" s="79"/>
      <c r="C31" s="65"/>
      <c r="D31" s="79"/>
      <c r="E31" s="65"/>
      <c r="F31" s="65"/>
      <c r="G31" s="65"/>
      <c r="H31" s="77"/>
      <c r="I31" s="93"/>
      <c r="J31" s="80"/>
      <c r="K31" s="65"/>
      <c r="L31" s="65"/>
      <c r="M31" s="65"/>
      <c r="N31" s="98"/>
      <c r="O31" s="80"/>
      <c r="P31" s="65"/>
      <c r="Q31" s="86"/>
      <c r="R31" s="86"/>
      <c r="S31" s="80"/>
      <c r="T31" s="80"/>
      <c r="U31" s="115">
        <f>февр23141113161718[[#This Row],[сумма]]-февр23141113161718[[#This Row],[Цема м2 отделки]]*февр23141113161718[[#This Row],[м2]]</f>
        <v>0</v>
      </c>
    </row>
    <row r="32" spans="1:22" s="880" customFormat="1" outlineLevel="1">
      <c r="A32" s="882"/>
      <c r="B32" s="883"/>
      <c r="C32" s="882"/>
      <c r="D32" s="883"/>
      <c r="E32" s="882"/>
      <c r="F32" s="882"/>
      <c r="G32" s="882"/>
      <c r="H32" s="882"/>
      <c r="I32" s="886"/>
      <c r="J32" s="884"/>
      <c r="K32" s="882"/>
      <c r="L32" s="882"/>
      <c r="M32" s="882"/>
      <c r="N32" s="887"/>
      <c r="O32" s="884"/>
      <c r="P32" s="882"/>
      <c r="Q32" s="885"/>
      <c r="R32" s="885"/>
      <c r="S32" s="884"/>
      <c r="T32" s="884"/>
      <c r="U32" s="890">
        <f>февр23141113161718[[#This Row],[сумма]]-февр23141113161718[[#This Row],[Цема м2 отделки]]*февр23141113161718[[#This Row],[м2]]</f>
        <v>0</v>
      </c>
    </row>
    <row r="33" spans="1:21" s="880" customFormat="1" outlineLevel="1">
      <c r="A33" s="882"/>
      <c r="B33" s="883"/>
      <c r="C33" s="882"/>
      <c r="D33" s="883"/>
      <c r="E33" s="882"/>
      <c r="F33" s="882"/>
      <c r="G33" s="882"/>
      <c r="H33" s="882"/>
      <c r="I33" s="886"/>
      <c r="J33" s="884"/>
      <c r="K33" s="882"/>
      <c r="L33" s="882"/>
      <c r="M33" s="882"/>
      <c r="N33" s="887"/>
      <c r="O33" s="884"/>
      <c r="P33" s="882"/>
      <c r="Q33" s="891"/>
      <c r="R33" s="885"/>
      <c r="S33" s="884"/>
      <c r="T33" s="884"/>
      <c r="U33" s="890">
        <f>февр23141113161718[[#This Row],[сумма]]-февр23141113161718[[#This Row],[Цема м2 отделки]]*февр23141113161718[[#This Row],[м2]]</f>
        <v>0</v>
      </c>
    </row>
    <row r="34" spans="1:21" outlineLevel="1">
      <c r="A34" s="62">
        <v>44</v>
      </c>
      <c r="B34" s="75">
        <v>26110</v>
      </c>
      <c r="C34" s="62" t="s">
        <v>7</v>
      </c>
      <c r="D34" s="75">
        <v>300</v>
      </c>
      <c r="E34" s="62">
        <v>2</v>
      </c>
      <c r="F34" s="62">
        <v>58.55</v>
      </c>
      <c r="G34" s="62"/>
      <c r="H34" s="62">
        <v>4500</v>
      </c>
      <c r="I34" s="95">
        <v>5203479.0199999996</v>
      </c>
      <c r="J34" s="117" t="s">
        <v>20</v>
      </c>
      <c r="K34" s="62" t="s">
        <v>16</v>
      </c>
      <c r="L34" s="62" t="s">
        <v>583</v>
      </c>
      <c r="M34" s="62" t="s">
        <v>18</v>
      </c>
      <c r="N34" s="92" t="s">
        <v>1596</v>
      </c>
      <c r="O34" s="117" t="s">
        <v>17</v>
      </c>
      <c r="P34" s="62" t="s">
        <v>1597</v>
      </c>
      <c r="Q34" s="113" t="s">
        <v>67</v>
      </c>
      <c r="R34" s="76"/>
      <c r="S34" s="117" t="s">
        <v>20</v>
      </c>
      <c r="T34" s="117" t="s">
        <v>20</v>
      </c>
      <c r="U34" s="114">
        <f>февр23141113161718[[#This Row],[сумма]]-февр23141113161718[[#This Row],[Цема м2 отделки]]*февр23141113161718[[#This Row],[м2]]</f>
        <v>4940004.0199999996</v>
      </c>
    </row>
    <row r="35" spans="1:21" s="61" customFormat="1" outlineLevel="1">
      <c r="A35" s="62">
        <v>45</v>
      </c>
      <c r="B35" s="75">
        <v>12497</v>
      </c>
      <c r="C35" s="62" t="s">
        <v>7</v>
      </c>
      <c r="D35" s="75">
        <v>439</v>
      </c>
      <c r="E35" s="62">
        <v>1</v>
      </c>
      <c r="F35" s="62">
        <v>38.6</v>
      </c>
      <c r="G35" s="65"/>
      <c r="H35" s="62">
        <v>15500</v>
      </c>
      <c r="I35" s="95">
        <v>4278442.91</v>
      </c>
      <c r="J35" s="117" t="s">
        <v>73</v>
      </c>
      <c r="K35" s="62" t="s">
        <v>22</v>
      </c>
      <c r="L35" s="62" t="s">
        <v>583</v>
      </c>
      <c r="M35" s="62" t="s">
        <v>18</v>
      </c>
      <c r="N35" s="92">
        <v>45163</v>
      </c>
      <c r="O35" s="117" t="s">
        <v>17</v>
      </c>
      <c r="P35" s="62" t="s">
        <v>1598</v>
      </c>
      <c r="Q35" s="113" t="s">
        <v>67</v>
      </c>
      <c r="R35" s="113" t="s">
        <v>67</v>
      </c>
      <c r="S35" s="117" t="s">
        <v>73</v>
      </c>
      <c r="T35" s="117" t="s">
        <v>73</v>
      </c>
      <c r="U35" s="114">
        <f>февр23141113161718[[#This Row],[сумма]]-февр23141113161718[[#This Row],[Цема м2 отделки]]*февр23141113161718[[#This Row],[м2]]</f>
        <v>3680142.91</v>
      </c>
    </row>
    <row r="36" spans="1:21" s="880" customFormat="1" outlineLevel="1">
      <c r="A36" s="882">
        <v>49</v>
      </c>
      <c r="B36" s="883"/>
      <c r="C36" s="882"/>
      <c r="D36" s="883"/>
      <c r="E36" s="882"/>
      <c r="F36" s="882"/>
      <c r="G36" s="65"/>
      <c r="H36" s="882"/>
      <c r="I36" s="886"/>
      <c r="J36" s="884"/>
      <c r="K36" s="882"/>
      <c r="L36" s="882"/>
      <c r="M36" s="882"/>
      <c r="N36" s="887"/>
      <c r="O36" s="884"/>
      <c r="P36" s="882"/>
      <c r="Q36" s="885"/>
      <c r="R36" s="885"/>
      <c r="S36" s="884"/>
      <c r="T36" s="884"/>
      <c r="U36" s="890">
        <f>февр23141113161718[[#This Row],[сумма]]-февр23141113161718[[#This Row],[Цема м2 отделки]]*февр23141113161718[[#This Row],[м2]]</f>
        <v>0</v>
      </c>
    </row>
    <row r="37" spans="1:21" s="61" customFormat="1" outlineLevel="1">
      <c r="A37" s="62">
        <v>50</v>
      </c>
      <c r="B37" s="75">
        <v>26099</v>
      </c>
      <c r="C37" s="62" t="s">
        <v>7</v>
      </c>
      <c r="D37" s="75">
        <v>3</v>
      </c>
      <c r="E37" s="62">
        <v>1</v>
      </c>
      <c r="F37" s="62">
        <v>35.54</v>
      </c>
      <c r="G37" s="65"/>
      <c r="H37" s="62">
        <v>15500</v>
      </c>
      <c r="I37" s="95">
        <v>3957041.01</v>
      </c>
      <c r="J37" s="117" t="s">
        <v>73</v>
      </c>
      <c r="K37" s="62" t="s">
        <v>22</v>
      </c>
      <c r="L37" s="62" t="s">
        <v>583</v>
      </c>
      <c r="M37" s="62" t="s">
        <v>18</v>
      </c>
      <c r="N37" s="92">
        <v>45155</v>
      </c>
      <c r="O37" s="117" t="s">
        <v>17</v>
      </c>
      <c r="P37" s="62" t="s">
        <v>1599</v>
      </c>
      <c r="Q37" s="113" t="s">
        <v>67</v>
      </c>
      <c r="R37" s="113" t="s">
        <v>67</v>
      </c>
      <c r="S37" s="117" t="s">
        <v>73</v>
      </c>
      <c r="T37" s="117" t="s">
        <v>73</v>
      </c>
      <c r="U37" s="114">
        <f>февр23141113161718[[#This Row],[сумма]]-февр23141113161718[[#This Row],[Цема м2 отделки]]*февр23141113161718[[#This Row],[м2]]</f>
        <v>3406171.01</v>
      </c>
    </row>
    <row r="38" spans="1:21" s="61" customFormat="1" outlineLevel="1">
      <c r="A38" s="62">
        <v>51</v>
      </c>
      <c r="B38" s="75">
        <v>26079</v>
      </c>
      <c r="C38" s="62" t="s">
        <v>27</v>
      </c>
      <c r="D38" s="75">
        <v>8</v>
      </c>
      <c r="E38" s="62" t="s">
        <v>1337</v>
      </c>
      <c r="F38" s="62">
        <v>84.7</v>
      </c>
      <c r="G38" s="65"/>
      <c r="H38" s="62"/>
      <c r="I38" s="95">
        <v>11011000</v>
      </c>
      <c r="J38" s="117" t="s">
        <v>1233</v>
      </c>
      <c r="K38" s="62" t="s">
        <v>10</v>
      </c>
      <c r="L38" s="62" t="s">
        <v>514</v>
      </c>
      <c r="M38" s="62"/>
      <c r="N38" s="92">
        <v>45162</v>
      </c>
      <c r="O38" s="117"/>
      <c r="P38" s="62" t="s">
        <v>1600</v>
      </c>
      <c r="Q38" s="113" t="s">
        <v>67</v>
      </c>
      <c r="R38" s="76" t="s">
        <v>67</v>
      </c>
      <c r="S38" s="117" t="s">
        <v>1233</v>
      </c>
      <c r="T38" s="117" t="s">
        <v>1233</v>
      </c>
      <c r="U38" s="114">
        <f>февр23141113161718[[#This Row],[сумма]]-февр23141113161718[[#This Row],[Цема м2 отделки]]*февр23141113161718[[#This Row],[м2]]</f>
        <v>11011000</v>
      </c>
    </row>
    <row r="39" spans="1:21" s="61" customFormat="1" outlineLevel="1">
      <c r="A39" s="62">
        <v>52</v>
      </c>
      <c r="B39" s="75">
        <v>26003</v>
      </c>
      <c r="C39" s="62" t="s">
        <v>7</v>
      </c>
      <c r="D39" s="75">
        <v>17</v>
      </c>
      <c r="E39" s="62" t="s">
        <v>1337</v>
      </c>
      <c r="F39" s="62">
        <v>49.57</v>
      </c>
      <c r="G39" s="65"/>
      <c r="H39" s="62"/>
      <c r="I39" s="95">
        <v>7435500</v>
      </c>
      <c r="J39" s="117" t="s">
        <v>1233</v>
      </c>
      <c r="K39" s="62" t="s">
        <v>10</v>
      </c>
      <c r="L39" s="62" t="s">
        <v>286</v>
      </c>
      <c r="M39" s="62"/>
      <c r="N39" s="92">
        <v>45153</v>
      </c>
      <c r="O39" s="117" t="s">
        <v>17</v>
      </c>
      <c r="P39" s="62" t="s">
        <v>1600</v>
      </c>
      <c r="Q39" s="113" t="s">
        <v>67</v>
      </c>
      <c r="R39" s="76" t="s">
        <v>67</v>
      </c>
      <c r="S39" s="117" t="s">
        <v>1233</v>
      </c>
      <c r="T39" s="117" t="s">
        <v>1233</v>
      </c>
      <c r="U39" s="114">
        <f>февр23141113161718[[#This Row],[сумма]]-февр23141113161718[[#This Row],[Цема м2 отделки]]*февр23141113161718[[#This Row],[м2]]</f>
        <v>7435500</v>
      </c>
    </row>
    <row r="40" spans="1:21" outlineLevel="1">
      <c r="A40" s="62">
        <v>53</v>
      </c>
      <c r="B40" s="75">
        <v>4236</v>
      </c>
      <c r="C40" s="62" t="s">
        <v>7</v>
      </c>
      <c r="D40" s="75">
        <v>399</v>
      </c>
      <c r="E40" s="62">
        <v>2</v>
      </c>
      <c r="F40" s="62">
        <v>58.01</v>
      </c>
      <c r="G40" s="62"/>
      <c r="H40" s="62">
        <v>15500</v>
      </c>
      <c r="I40" s="95">
        <v>6034330.9500000002</v>
      </c>
      <c r="J40" s="117" t="s">
        <v>1233</v>
      </c>
      <c r="K40" s="62" t="s">
        <v>16</v>
      </c>
      <c r="L40" s="62" t="s">
        <v>583</v>
      </c>
      <c r="M40" s="62" t="s">
        <v>18</v>
      </c>
      <c r="N40" s="92">
        <v>45161</v>
      </c>
      <c r="O40" s="117" t="s">
        <v>17</v>
      </c>
      <c r="P40" s="62" t="s">
        <v>1601</v>
      </c>
      <c r="Q40" s="113" t="s">
        <v>67</v>
      </c>
      <c r="R40" s="76" t="s">
        <v>67</v>
      </c>
      <c r="S40" s="117" t="s">
        <v>1233</v>
      </c>
      <c r="T40" s="117" t="s">
        <v>1233</v>
      </c>
      <c r="U40" s="114">
        <f>февр23141113161718[[#This Row],[сумма]]-февр23141113161718[[#This Row],[Цема м2 отделки]]*февр23141113161718[[#This Row],[м2]]</f>
        <v>5135175.95</v>
      </c>
    </row>
    <row r="41" spans="1:21" s="61" customFormat="1" outlineLevel="1">
      <c r="A41" s="62">
        <v>55</v>
      </c>
      <c r="B41" s="75">
        <v>26073</v>
      </c>
      <c r="C41" s="62" t="s">
        <v>7</v>
      </c>
      <c r="D41" s="75">
        <v>420</v>
      </c>
      <c r="E41" s="62">
        <v>1</v>
      </c>
      <c r="F41" s="62">
        <v>39.74</v>
      </c>
      <c r="G41" s="65"/>
      <c r="H41" s="62">
        <v>15500</v>
      </c>
      <c r="I41" s="95">
        <v>4349980.1399999997</v>
      </c>
      <c r="J41" s="117" t="s">
        <v>20</v>
      </c>
      <c r="K41" s="62" t="s">
        <v>22</v>
      </c>
      <c r="L41" s="62" t="s">
        <v>583</v>
      </c>
      <c r="M41" s="62" t="s">
        <v>18</v>
      </c>
      <c r="N41" s="92">
        <v>45162</v>
      </c>
      <c r="O41" s="117" t="s">
        <v>17</v>
      </c>
      <c r="P41" s="62" t="s">
        <v>1602</v>
      </c>
      <c r="Q41" s="113" t="s">
        <v>67</v>
      </c>
      <c r="R41" s="76" t="s">
        <v>67</v>
      </c>
      <c r="S41" s="117" t="s">
        <v>20</v>
      </c>
      <c r="T41" s="117" t="s">
        <v>20</v>
      </c>
      <c r="U41" s="114">
        <f>февр23141113161718[[#This Row],[сумма]]-февр23141113161718[[#This Row],[Цема м2 отделки]]*февр23141113161718[[#This Row],[м2]]</f>
        <v>3734010.1399999997</v>
      </c>
    </row>
    <row r="42" spans="1:21" s="61" customFormat="1" outlineLevel="1">
      <c r="A42" s="62">
        <v>56</v>
      </c>
      <c r="B42" s="75">
        <v>24097</v>
      </c>
      <c r="C42" s="62" t="s">
        <v>7</v>
      </c>
      <c r="D42" s="75">
        <v>360</v>
      </c>
      <c r="E42" s="62">
        <v>0</v>
      </c>
      <c r="F42" s="62">
        <v>29.35</v>
      </c>
      <c r="G42" s="62"/>
      <c r="H42" s="62">
        <v>15500</v>
      </c>
      <c r="I42" s="95">
        <v>3273506.08</v>
      </c>
      <c r="J42" s="117" t="s">
        <v>20</v>
      </c>
      <c r="K42" s="62" t="s">
        <v>16</v>
      </c>
      <c r="L42" s="62" t="s">
        <v>583</v>
      </c>
      <c r="M42" s="62" t="s">
        <v>18</v>
      </c>
      <c r="N42" s="92">
        <v>45161</v>
      </c>
      <c r="O42" s="117" t="s">
        <v>17</v>
      </c>
      <c r="P42" s="62" t="s">
        <v>1603</v>
      </c>
      <c r="Q42" s="76" t="s">
        <v>67</v>
      </c>
      <c r="R42" s="76" t="s">
        <v>67</v>
      </c>
      <c r="S42" s="117" t="s">
        <v>20</v>
      </c>
      <c r="T42" s="117" t="s">
        <v>20</v>
      </c>
      <c r="U42" s="114">
        <f>февр23141113161718[[#This Row],[сумма]]-февр23141113161718[[#This Row],[Цема м2 отделки]]*февр23141113161718[[#This Row],[м2]]</f>
        <v>2818581.08</v>
      </c>
    </row>
    <row r="43" spans="1:21" s="61" customFormat="1" outlineLevel="1">
      <c r="A43" s="62">
        <v>57</v>
      </c>
      <c r="B43" s="75">
        <v>26137</v>
      </c>
      <c r="C43" s="62" t="s">
        <v>7</v>
      </c>
      <c r="D43" s="75">
        <v>519</v>
      </c>
      <c r="E43" s="62">
        <v>1</v>
      </c>
      <c r="F43" s="62">
        <v>39.74</v>
      </c>
      <c r="G43" s="62"/>
      <c r="H43" s="62">
        <v>15500</v>
      </c>
      <c r="I43" s="95">
        <v>4386598.5599999996</v>
      </c>
      <c r="J43" s="117" t="s">
        <v>8</v>
      </c>
      <c r="K43" s="62" t="s">
        <v>16</v>
      </c>
      <c r="L43" s="62" t="s">
        <v>583</v>
      </c>
      <c r="M43" s="62" t="s">
        <v>18</v>
      </c>
      <c r="N43" s="92">
        <v>45159</v>
      </c>
      <c r="O43" s="117" t="s">
        <v>17</v>
      </c>
      <c r="P43" s="62" t="s">
        <v>1604</v>
      </c>
      <c r="Q43" s="76" t="s">
        <v>67</v>
      </c>
      <c r="R43" s="76" t="s">
        <v>67</v>
      </c>
      <c r="S43" s="117" t="s">
        <v>8</v>
      </c>
      <c r="T43" s="117" t="s">
        <v>8</v>
      </c>
      <c r="U43" s="114">
        <f>февр23141113161718[[#This Row],[сумма]]-февр23141113161718[[#This Row],[Цема м2 отделки]]*февр23141113161718[[#This Row],[м2]]</f>
        <v>3770628.5599999996</v>
      </c>
    </row>
    <row r="44" spans="1:21" ht="15.75" customHeight="1" outlineLevel="1">
      <c r="A44" s="65"/>
      <c r="B44" s="79"/>
      <c r="C44" s="65"/>
      <c r="D44" s="79"/>
      <c r="E44" s="65"/>
      <c r="F44" s="65"/>
      <c r="G44" s="65"/>
      <c r="H44" s="65"/>
      <c r="I44" s="93"/>
      <c r="J44" s="80"/>
      <c r="K44" s="65"/>
      <c r="L44" s="65"/>
      <c r="M44" s="65"/>
      <c r="N44" s="98"/>
      <c r="O44" s="80"/>
      <c r="P44" s="65"/>
      <c r="Q44" s="118"/>
      <c r="R44" s="86"/>
      <c r="S44" s="80"/>
      <c r="T44" s="80"/>
      <c r="U44" s="115">
        <f>февр23141113161718[[#This Row],[сумма]]-февр23141113161718[[#This Row],[Цема м2 отделки]]*февр23141113161718[[#This Row],[м2]]</f>
        <v>0</v>
      </c>
    </row>
    <row r="45" spans="1:21" s="61" customFormat="1" outlineLevel="1">
      <c r="A45" s="62">
        <v>59</v>
      </c>
      <c r="B45" s="75">
        <v>26158</v>
      </c>
      <c r="C45" s="62" t="s">
        <v>7</v>
      </c>
      <c r="D45" s="75">
        <v>224</v>
      </c>
      <c r="E45" s="62">
        <v>1</v>
      </c>
      <c r="F45" s="62">
        <v>33.79</v>
      </c>
      <c r="G45" s="62"/>
      <c r="H45" s="62">
        <v>15500</v>
      </c>
      <c r="I45" s="95">
        <v>3791379.75</v>
      </c>
      <c r="J45" s="117" t="s">
        <v>73</v>
      </c>
      <c r="K45" s="62" t="s">
        <v>16</v>
      </c>
      <c r="L45" s="62" t="s">
        <v>583</v>
      </c>
      <c r="M45" s="62" t="s">
        <v>18</v>
      </c>
      <c r="N45" s="92">
        <v>45157</v>
      </c>
      <c r="O45" s="117" t="s">
        <v>17</v>
      </c>
      <c r="P45" s="62" t="s">
        <v>1605</v>
      </c>
      <c r="Q45" s="113" t="s">
        <v>67</v>
      </c>
      <c r="R45" s="113" t="s">
        <v>67</v>
      </c>
      <c r="S45" s="117" t="s">
        <v>73</v>
      </c>
      <c r="T45" s="117" t="s">
        <v>73</v>
      </c>
      <c r="U45" s="114">
        <f>февр23141113161718[[#This Row],[сумма]]-февр23141113161718[[#This Row],[Цема м2 отделки]]*февр23141113161718[[#This Row],[м2]]</f>
        <v>3267634.75</v>
      </c>
    </row>
    <row r="46" spans="1:21" s="880" customFormat="1" ht="9.75" customHeight="1" outlineLevel="1">
      <c r="A46" s="882"/>
      <c r="B46" s="79"/>
      <c r="C46" s="882"/>
      <c r="D46" s="79"/>
      <c r="E46" s="65"/>
      <c r="F46" s="65"/>
      <c r="G46" s="65"/>
      <c r="H46" s="882"/>
      <c r="I46" s="93"/>
      <c r="J46" s="80"/>
      <c r="K46" s="65"/>
      <c r="L46" s="65"/>
      <c r="M46" s="65"/>
      <c r="N46" s="98"/>
      <c r="O46" s="80"/>
      <c r="P46" s="65"/>
      <c r="Q46" s="86"/>
      <c r="R46" s="86"/>
      <c r="S46" s="80"/>
      <c r="T46" s="80"/>
      <c r="U46" s="890">
        <f>февр23141113161718[[#This Row],[сумма]]-февр23141113161718[[#This Row],[Цема м2 отделки]]*февр23141113161718[[#This Row],[м2]]</f>
        <v>0</v>
      </c>
    </row>
    <row r="47" spans="1:21" outlineLevel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80"/>
      <c r="P47" s="65"/>
      <c r="Q47" s="86"/>
      <c r="R47" s="86"/>
      <c r="S47" s="80"/>
      <c r="T47" s="80"/>
      <c r="U47" s="115">
        <f>февр23141113161718[[#This Row],[сумма]]-февр23141113161718[[#This Row],[Цема м2 отделки]]*февр23141113161718[[#This Row],[м2]]</f>
        <v>0</v>
      </c>
    </row>
    <row r="48" spans="1:21" s="61" customFormat="1" outlineLevel="1">
      <c r="A48" s="62">
        <v>62</v>
      </c>
      <c r="B48" s="75">
        <v>26172</v>
      </c>
      <c r="C48" s="62" t="s">
        <v>7</v>
      </c>
      <c r="D48" s="75">
        <v>483</v>
      </c>
      <c r="E48" s="62">
        <v>1</v>
      </c>
      <c r="F48" s="62">
        <v>39.74</v>
      </c>
      <c r="G48" s="65"/>
      <c r="H48" s="62">
        <v>15500</v>
      </c>
      <c r="I48" s="95">
        <v>4349990.87</v>
      </c>
      <c r="J48" s="117" t="s">
        <v>73</v>
      </c>
      <c r="K48" s="62" t="s">
        <v>22</v>
      </c>
      <c r="L48" s="62" t="s">
        <v>583</v>
      </c>
      <c r="M48" s="62" t="s">
        <v>18</v>
      </c>
      <c r="N48" s="92">
        <v>45168</v>
      </c>
      <c r="O48" s="117" t="s">
        <v>17</v>
      </c>
      <c r="P48" s="62" t="s">
        <v>1606</v>
      </c>
      <c r="Q48" s="113" t="s">
        <v>67</v>
      </c>
      <c r="R48" s="113" t="s">
        <v>67</v>
      </c>
      <c r="S48" s="117" t="s">
        <v>73</v>
      </c>
      <c r="T48" s="117" t="s">
        <v>73</v>
      </c>
      <c r="U48" s="114">
        <f>февр23141113161718[[#This Row],[сумма]]-февр23141113161718[[#This Row],[Цема м2 отделки]]*февр23141113161718[[#This Row],[м2]]</f>
        <v>3734020.87</v>
      </c>
    </row>
    <row r="49" spans="1:21" s="61" customFormat="1" outlineLevel="1">
      <c r="A49" s="62">
        <v>65</v>
      </c>
      <c r="B49" s="74">
        <v>26154</v>
      </c>
      <c r="C49" s="62" t="s">
        <v>7</v>
      </c>
      <c r="D49" s="75">
        <v>425</v>
      </c>
      <c r="E49" s="62">
        <v>2</v>
      </c>
      <c r="F49" s="62">
        <v>58.62</v>
      </c>
      <c r="G49" s="62"/>
      <c r="H49" s="62">
        <v>15500</v>
      </c>
      <c r="I49" s="95">
        <v>5706142.79</v>
      </c>
      <c r="J49" s="117" t="s">
        <v>8</v>
      </c>
      <c r="K49" s="62" t="s">
        <v>16</v>
      </c>
      <c r="L49" s="62" t="s">
        <v>583</v>
      </c>
      <c r="M49" s="62" t="s">
        <v>18</v>
      </c>
      <c r="N49" s="92">
        <v>45162</v>
      </c>
      <c r="O49" s="117" t="s">
        <v>17</v>
      </c>
      <c r="P49" s="62" t="s">
        <v>1607</v>
      </c>
      <c r="Q49" s="113" t="s">
        <v>67</v>
      </c>
      <c r="R49" s="76" t="s">
        <v>67</v>
      </c>
      <c r="S49" s="117" t="s">
        <v>8</v>
      </c>
      <c r="T49" s="117" t="s">
        <v>8</v>
      </c>
      <c r="U49" s="114">
        <f>февр23141113161718[[#This Row],[сумма]]-февр23141113161718[[#This Row],[Цема м2 отделки]]*февр23141113161718[[#This Row],[м2]]</f>
        <v>4797532.79</v>
      </c>
    </row>
    <row r="50" spans="1:21" s="880" customFormat="1" outlineLevel="1">
      <c r="A50" s="882"/>
      <c r="B50" s="883"/>
      <c r="C50" s="882"/>
      <c r="D50" s="883"/>
      <c r="E50" s="882"/>
      <c r="F50" s="882"/>
      <c r="G50" s="882"/>
      <c r="H50" s="882"/>
      <c r="I50" s="886"/>
      <c r="J50" s="884"/>
      <c r="K50" s="882"/>
      <c r="L50" s="882"/>
      <c r="M50" s="882"/>
      <c r="N50" s="887"/>
      <c r="O50" s="884"/>
      <c r="P50" s="882"/>
      <c r="Q50" s="891"/>
      <c r="R50" s="885"/>
      <c r="S50" s="884"/>
      <c r="T50" s="884"/>
      <c r="U50" s="890">
        <f>февр23141113161718[[#This Row],[сумма]]-февр23141113161718[[#This Row],[Цема м2 отделки]]*февр23141113161718[[#This Row],[м2]]</f>
        <v>0</v>
      </c>
    </row>
    <row r="51" spans="1:21" s="61" customFormat="1" outlineLevel="1">
      <c r="A51" s="62">
        <v>71</v>
      </c>
      <c r="B51" s="75">
        <v>23441</v>
      </c>
      <c r="C51" s="62" t="s">
        <v>7</v>
      </c>
      <c r="D51" s="75">
        <v>376</v>
      </c>
      <c r="E51" s="349">
        <v>0</v>
      </c>
      <c r="F51" s="62">
        <v>36.450000000000003</v>
      </c>
      <c r="G51" s="62"/>
      <c r="H51" s="62">
        <v>4500</v>
      </c>
      <c r="I51" s="95">
        <v>3326878.73</v>
      </c>
      <c r="J51" s="62" t="s">
        <v>73</v>
      </c>
      <c r="K51" s="62" t="s">
        <v>16</v>
      </c>
      <c r="L51" s="62" t="s">
        <v>583</v>
      </c>
      <c r="M51" s="62" t="s">
        <v>18</v>
      </c>
      <c r="N51" s="92">
        <v>45156</v>
      </c>
      <c r="O51" s="62" t="s">
        <v>17</v>
      </c>
      <c r="P51" s="62" t="s">
        <v>1608</v>
      </c>
      <c r="Q51" s="76" t="s">
        <v>67</v>
      </c>
      <c r="R51" s="76" t="s">
        <v>67</v>
      </c>
      <c r="S51" s="62" t="s">
        <v>73</v>
      </c>
      <c r="T51" s="62" t="s">
        <v>73</v>
      </c>
      <c r="U51" s="114">
        <f>февр23141113161718[[#This Row],[сумма]]-февр23141113161718[[#This Row],[Цема м2 отделки]]*февр23141113161718[[#This Row],[м2]]</f>
        <v>3162853.73</v>
      </c>
    </row>
    <row r="52" spans="1:21" s="61" customFormat="1" outlineLevel="1">
      <c r="A52" s="62"/>
      <c r="B52" s="74"/>
      <c r="C52" s="62"/>
      <c r="D52" s="75"/>
      <c r="E52" s="349"/>
      <c r="F52" s="62"/>
      <c r="G52" s="62"/>
      <c r="H52" s="62"/>
      <c r="I52" s="95"/>
      <c r="J52" s="348"/>
      <c r="K52" s="62"/>
      <c r="L52" s="62"/>
      <c r="M52" s="62"/>
      <c r="N52" s="92"/>
      <c r="O52" s="62"/>
      <c r="P52" s="117"/>
      <c r="Q52" s="76"/>
      <c r="R52" s="76"/>
      <c r="S52" s="62"/>
      <c r="T52" s="62"/>
      <c r="U52" s="114">
        <f>февр23141113161718[[#This Row],[сумма]]-февр23141113161718[[#This Row],[Цема м2 отделки]]*февр23141113161718[[#This Row],[м2]]</f>
        <v>0</v>
      </c>
    </row>
    <row r="53" spans="1:21" s="61" customFormat="1" outlineLevel="1">
      <c r="A53" s="62"/>
      <c r="B53" s="74"/>
      <c r="C53" s="62"/>
      <c r="D53" s="75"/>
      <c r="E53" s="349"/>
      <c r="F53" s="62"/>
      <c r="G53" s="62"/>
      <c r="H53" s="348"/>
      <c r="I53" s="95"/>
      <c r="J53" s="348"/>
      <c r="K53" s="62"/>
      <c r="L53" s="62"/>
      <c r="M53" s="62"/>
      <c r="N53" s="92"/>
      <c r="O53" s="62"/>
      <c r="P53" s="117"/>
      <c r="Q53" s="76"/>
      <c r="R53" s="76"/>
      <c r="S53" s="62"/>
      <c r="T53" s="62"/>
      <c r="U53" s="114">
        <f>февр23141113161718[[#This Row],[сумма]]-февр23141113161718[[#This Row],[Цема м2 отделки]]*февр23141113161718[[#This Row],[м2]]</f>
        <v>0</v>
      </c>
    </row>
    <row r="54" spans="1:21" s="61" customFormat="1" outlineLevel="1">
      <c r="A54" s="62">
        <v>74</v>
      </c>
      <c r="B54" s="75">
        <v>26247</v>
      </c>
      <c r="C54" s="62" t="s">
        <v>7</v>
      </c>
      <c r="D54" s="75">
        <v>403</v>
      </c>
      <c r="E54" s="349">
        <v>1</v>
      </c>
      <c r="F54" s="62">
        <v>38.6</v>
      </c>
      <c r="G54" s="62"/>
      <c r="H54" s="348">
        <v>15500</v>
      </c>
      <c r="I54" s="352">
        <v>4297742.91</v>
      </c>
      <c r="J54" s="348" t="s">
        <v>20</v>
      </c>
      <c r="K54" s="62" t="s">
        <v>16</v>
      </c>
      <c r="L54" s="62" t="s">
        <v>583</v>
      </c>
      <c r="M54" s="62" t="s">
        <v>18</v>
      </c>
      <c r="N54" s="92">
        <v>45167</v>
      </c>
      <c r="O54" s="62" t="s">
        <v>17</v>
      </c>
      <c r="P54" s="62" t="s">
        <v>1609</v>
      </c>
      <c r="Q54" s="76" t="s">
        <v>67</v>
      </c>
      <c r="R54" s="76" t="s">
        <v>67</v>
      </c>
      <c r="S54" s="62" t="s">
        <v>20</v>
      </c>
      <c r="T54" s="62" t="s">
        <v>20</v>
      </c>
      <c r="U54" s="114">
        <f>февр23141113161718[[#This Row],[сумма]]-февр23141113161718[[#This Row],[Цема м2 отделки]]*февр23141113161718[[#This Row],[м2]]</f>
        <v>3699442.91</v>
      </c>
    </row>
    <row r="55" spans="1:21" s="61" customFormat="1" outlineLevel="1">
      <c r="A55" s="62">
        <v>77</v>
      </c>
      <c r="B55" s="75">
        <v>26298</v>
      </c>
      <c r="C55" s="62" t="s">
        <v>7</v>
      </c>
      <c r="D55" s="75">
        <v>513</v>
      </c>
      <c r="E55" s="349">
        <v>1</v>
      </c>
      <c r="F55" s="62">
        <v>36.5</v>
      </c>
      <c r="G55" s="65"/>
      <c r="H55" s="348"/>
      <c r="I55" s="352">
        <v>3673086.98</v>
      </c>
      <c r="J55" s="62" t="s">
        <v>1233</v>
      </c>
      <c r="K55" s="62" t="s">
        <v>22</v>
      </c>
      <c r="L55" s="62" t="s">
        <v>583</v>
      </c>
      <c r="M55" s="62" t="s">
        <v>18</v>
      </c>
      <c r="N55" s="92">
        <v>45169</v>
      </c>
      <c r="O55" s="62" t="s">
        <v>17</v>
      </c>
      <c r="P55" s="62" t="s">
        <v>1610</v>
      </c>
      <c r="Q55" s="76" t="s">
        <v>67</v>
      </c>
      <c r="R55" s="76" t="s">
        <v>67</v>
      </c>
      <c r="S55" s="62" t="s">
        <v>1233</v>
      </c>
      <c r="T55" s="62" t="s">
        <v>1233</v>
      </c>
      <c r="U55" s="114">
        <f>февр23141113161718[[#This Row],[сумма]]-февр23141113161718[[#This Row],[Цема м2 отделки]]*февр23141113161718[[#This Row],[м2]]</f>
        <v>3673086.98</v>
      </c>
    </row>
    <row r="56" spans="1:21" outlineLevel="1">
      <c r="A56" s="62">
        <v>78</v>
      </c>
      <c r="B56" s="75">
        <v>26181</v>
      </c>
      <c r="C56" s="62" t="s">
        <v>7</v>
      </c>
      <c r="D56" s="75">
        <v>501</v>
      </c>
      <c r="E56" s="349">
        <v>1</v>
      </c>
      <c r="F56" s="62">
        <v>39.74</v>
      </c>
      <c r="G56" s="65"/>
      <c r="H56" s="348">
        <v>4500</v>
      </c>
      <c r="I56" s="352">
        <v>3949458.56</v>
      </c>
      <c r="J56" s="348" t="s">
        <v>1207</v>
      </c>
      <c r="K56" s="62" t="s">
        <v>22</v>
      </c>
      <c r="L56" s="117" t="s">
        <v>583</v>
      </c>
      <c r="M56" s="117" t="s">
        <v>18</v>
      </c>
      <c r="N56" s="92">
        <v>45168</v>
      </c>
      <c r="O56" s="62" t="s">
        <v>17</v>
      </c>
      <c r="P56" s="117" t="s">
        <v>1611</v>
      </c>
      <c r="Q56" s="76" t="s">
        <v>67</v>
      </c>
      <c r="R56" s="76" t="s">
        <v>67</v>
      </c>
      <c r="S56" s="62" t="s">
        <v>20</v>
      </c>
      <c r="T56" s="62" t="s">
        <v>20</v>
      </c>
      <c r="U56" s="114">
        <f>февр23141113161718[[#This Row],[сумма]]-февр23141113161718[[#This Row],[Цема м2 отделки]]*февр23141113161718[[#This Row],[м2]]</f>
        <v>3770628.56</v>
      </c>
    </row>
    <row r="57" spans="1:21" s="61" customFormat="1" outlineLevel="1">
      <c r="A57" s="62">
        <v>80</v>
      </c>
      <c r="B57" s="75">
        <v>26246</v>
      </c>
      <c r="C57" s="62" t="s">
        <v>7</v>
      </c>
      <c r="D57" s="75">
        <v>70</v>
      </c>
      <c r="E57" s="349">
        <v>2</v>
      </c>
      <c r="F57" s="62">
        <v>59.87</v>
      </c>
      <c r="G57" s="65"/>
      <c r="H57" s="348">
        <v>15500</v>
      </c>
      <c r="I57" s="352">
        <v>6537355.5700000003</v>
      </c>
      <c r="J57" s="348" t="s">
        <v>20</v>
      </c>
      <c r="K57" s="62" t="s">
        <v>22</v>
      </c>
      <c r="L57" s="117" t="s">
        <v>583</v>
      </c>
      <c r="M57" s="62" t="s">
        <v>18</v>
      </c>
      <c r="N57" s="92">
        <v>45167</v>
      </c>
      <c r="O57" s="62" t="s">
        <v>17</v>
      </c>
      <c r="P57" s="117" t="s">
        <v>1612</v>
      </c>
      <c r="Q57" s="76" t="s">
        <v>67</v>
      </c>
      <c r="R57" s="76" t="s">
        <v>67</v>
      </c>
      <c r="S57" s="62" t="s">
        <v>20</v>
      </c>
      <c r="T57" s="62" t="s">
        <v>20</v>
      </c>
      <c r="U57" s="114">
        <f>февр23141113161718[[#This Row],[сумма]]-февр23141113161718[[#This Row],[Цема м2 отделки]]*февр23141113161718[[#This Row],[м2]]</f>
        <v>5609370.5700000003</v>
      </c>
    </row>
    <row r="58" spans="1:21" outlineLevel="1">
      <c r="A58" s="62">
        <v>81</v>
      </c>
      <c r="B58" s="75">
        <v>25314</v>
      </c>
      <c r="C58" s="62" t="s">
        <v>7</v>
      </c>
      <c r="D58" s="75">
        <v>199</v>
      </c>
      <c r="E58" s="349">
        <v>3</v>
      </c>
      <c r="F58" s="117">
        <v>78.73</v>
      </c>
      <c r="G58" s="65"/>
      <c r="H58" s="348">
        <v>15500</v>
      </c>
      <c r="I58" s="352">
        <v>7583121.6500000004</v>
      </c>
      <c r="J58" s="348" t="s">
        <v>8</v>
      </c>
      <c r="K58" s="62" t="s">
        <v>22</v>
      </c>
      <c r="L58" s="117" t="s">
        <v>583</v>
      </c>
      <c r="M58" s="62" t="s">
        <v>18</v>
      </c>
      <c r="N58" s="92">
        <v>45167</v>
      </c>
      <c r="O58" s="62" t="s">
        <v>17</v>
      </c>
      <c r="P58" s="117" t="s">
        <v>1613</v>
      </c>
      <c r="Q58" s="76" t="s">
        <v>67</v>
      </c>
      <c r="R58" s="76" t="s">
        <v>67</v>
      </c>
      <c r="S58" s="62" t="s">
        <v>8</v>
      </c>
      <c r="T58" s="62" t="s">
        <v>8</v>
      </c>
      <c r="U58" s="114">
        <f>февр23141113161718[[#This Row],[сумма]]-февр23141113161718[[#This Row],[Цема м2 отделки]]*февр23141113161718[[#This Row],[м2]]</f>
        <v>6362806.6500000004</v>
      </c>
    </row>
    <row r="59" spans="1:21" s="61" customFormat="1" outlineLevel="1">
      <c r="A59" s="62">
        <v>82</v>
      </c>
      <c r="B59" s="74">
        <v>25537</v>
      </c>
      <c r="C59" s="62" t="s">
        <v>7</v>
      </c>
      <c r="D59" s="75">
        <v>214</v>
      </c>
      <c r="E59" s="349">
        <v>1</v>
      </c>
      <c r="F59" s="62">
        <v>36.659999999999997</v>
      </c>
      <c r="G59" s="65"/>
      <c r="H59" s="348">
        <v>4500</v>
      </c>
      <c r="I59" s="352">
        <v>3747374.94</v>
      </c>
      <c r="J59" s="348" t="s">
        <v>8</v>
      </c>
      <c r="K59" s="62" t="s">
        <v>22</v>
      </c>
      <c r="L59" s="117" t="s">
        <v>583</v>
      </c>
      <c r="M59" s="62" t="s">
        <v>12</v>
      </c>
      <c r="N59" s="92">
        <v>45166</v>
      </c>
      <c r="O59" s="62" t="s">
        <v>17</v>
      </c>
      <c r="P59" s="117" t="s">
        <v>1614</v>
      </c>
      <c r="Q59" s="76" t="s">
        <v>67</v>
      </c>
      <c r="R59" s="892" t="s">
        <v>67</v>
      </c>
      <c r="S59" s="62" t="s">
        <v>8</v>
      </c>
      <c r="T59" s="62" t="s">
        <v>8</v>
      </c>
      <c r="U59" s="114">
        <f>февр23141113161718[[#This Row],[сумма]]-февр23141113161718[[#This Row],[Цема м2 отделки]]*февр23141113161718[[#This Row],[м2]]</f>
        <v>3582404.94</v>
      </c>
    </row>
    <row r="60" spans="1:21" s="61" customFormat="1" outlineLevel="1">
      <c r="A60" s="62">
        <v>83</v>
      </c>
      <c r="B60" s="75">
        <v>8206</v>
      </c>
      <c r="C60" s="62" t="s">
        <v>7</v>
      </c>
      <c r="D60" s="75">
        <v>365</v>
      </c>
      <c r="E60" s="349">
        <v>3</v>
      </c>
      <c r="F60" s="62">
        <v>72.510000000000005</v>
      </c>
      <c r="G60" s="65"/>
      <c r="H60" s="348">
        <v>4500</v>
      </c>
      <c r="I60" s="352">
        <v>6115948.0099999998</v>
      </c>
      <c r="J60" s="348" t="s">
        <v>77</v>
      </c>
      <c r="K60" s="62" t="s">
        <v>22</v>
      </c>
      <c r="L60" s="117" t="s">
        <v>583</v>
      </c>
      <c r="M60" s="62" t="s">
        <v>18</v>
      </c>
      <c r="N60" s="92">
        <v>45162</v>
      </c>
      <c r="O60" s="62" t="s">
        <v>17</v>
      </c>
      <c r="P60" s="62" t="s">
        <v>1615</v>
      </c>
      <c r="Q60" s="76" t="s">
        <v>67</v>
      </c>
      <c r="R60" s="76" t="s">
        <v>67</v>
      </c>
      <c r="S60" s="62" t="s">
        <v>77</v>
      </c>
      <c r="T60" s="62" t="s">
        <v>77</v>
      </c>
      <c r="U60" s="114">
        <f>февр23141113161718[[#This Row],[сумма]]-февр23141113161718[[#This Row],[Цема м2 отделки]]*февр23141113161718[[#This Row],[м2]]</f>
        <v>5789653.0099999998</v>
      </c>
    </row>
    <row r="61" spans="1:21" s="61" customFormat="1" outlineLevel="1">
      <c r="A61" s="62">
        <v>84</v>
      </c>
      <c r="B61" s="75">
        <v>22385</v>
      </c>
      <c r="C61" s="62" t="s">
        <v>7</v>
      </c>
      <c r="D61" s="75">
        <v>407</v>
      </c>
      <c r="E61" s="349">
        <v>2</v>
      </c>
      <c r="F61" s="62">
        <v>58.62</v>
      </c>
      <c r="G61" s="62"/>
      <c r="H61" s="348">
        <v>15500</v>
      </c>
      <c r="I61" s="352">
        <v>5806501.5199999996</v>
      </c>
      <c r="J61" s="348" t="s">
        <v>77</v>
      </c>
      <c r="K61" s="62" t="s">
        <v>16</v>
      </c>
      <c r="L61" s="117" t="s">
        <v>583</v>
      </c>
      <c r="M61" s="62" t="s">
        <v>18</v>
      </c>
      <c r="N61" s="92">
        <v>45166</v>
      </c>
      <c r="O61" s="62" t="s">
        <v>17</v>
      </c>
      <c r="P61" s="62" t="s">
        <v>1616</v>
      </c>
      <c r="Q61" s="76" t="s">
        <v>67</v>
      </c>
      <c r="R61" s="76" t="s">
        <v>67</v>
      </c>
      <c r="S61" s="62" t="s">
        <v>77</v>
      </c>
      <c r="T61" s="62" t="s">
        <v>77</v>
      </c>
      <c r="U61" s="114">
        <f>февр23141113161718[[#This Row],[сумма]]-февр23141113161718[[#This Row],[Цема м2 отделки]]*февр23141113161718[[#This Row],[м2]]</f>
        <v>4897891.5199999996</v>
      </c>
    </row>
    <row r="62" spans="1:21" s="61" customFormat="1" outlineLevel="1">
      <c r="A62" s="62">
        <v>85</v>
      </c>
      <c r="B62" s="75">
        <v>24572</v>
      </c>
      <c r="C62" s="62" t="s">
        <v>7</v>
      </c>
      <c r="D62" s="75">
        <v>475</v>
      </c>
      <c r="E62" s="349">
        <v>1</v>
      </c>
      <c r="F62" s="62">
        <v>38.6</v>
      </c>
      <c r="G62" s="62"/>
      <c r="H62" s="348">
        <v>15500</v>
      </c>
      <c r="I62" s="352">
        <v>4297742.91</v>
      </c>
      <c r="J62" s="348" t="s">
        <v>77</v>
      </c>
      <c r="K62" s="62" t="s">
        <v>16</v>
      </c>
      <c r="L62" s="117" t="s">
        <v>583</v>
      </c>
      <c r="M62" s="62" t="s">
        <v>18</v>
      </c>
      <c r="N62" s="92">
        <v>45168</v>
      </c>
      <c r="O62" s="62" t="s">
        <v>17</v>
      </c>
      <c r="P62" s="62" t="s">
        <v>1617</v>
      </c>
      <c r="Q62" s="76" t="s">
        <v>67</v>
      </c>
      <c r="R62" s="76" t="s">
        <v>67</v>
      </c>
      <c r="S62" s="62" t="s">
        <v>77</v>
      </c>
      <c r="T62" s="62" t="s">
        <v>77</v>
      </c>
      <c r="U62" s="114">
        <f>февр23141113161718[[#This Row],[сумма]]-февр23141113161718[[#This Row],[Цема м2 отделки]]*февр23141113161718[[#This Row],[м2]]</f>
        <v>3699442.91</v>
      </c>
    </row>
    <row r="63" spans="1:21" s="61" customFormat="1" outlineLevel="1">
      <c r="A63" s="62">
        <v>86</v>
      </c>
      <c r="B63" s="75">
        <v>26195</v>
      </c>
      <c r="C63" s="62" t="s">
        <v>7</v>
      </c>
      <c r="D63" s="75">
        <v>497</v>
      </c>
      <c r="E63" s="349">
        <v>2</v>
      </c>
      <c r="F63" s="62">
        <v>58.62</v>
      </c>
      <c r="G63" s="65"/>
      <c r="H63" s="348"/>
      <c r="I63" s="352">
        <v>5193205.59</v>
      </c>
      <c r="J63" s="348" t="s">
        <v>77</v>
      </c>
      <c r="K63" s="62" t="s">
        <v>22</v>
      </c>
      <c r="L63" s="117" t="s">
        <v>583</v>
      </c>
      <c r="M63" s="62" t="s">
        <v>18</v>
      </c>
      <c r="N63" s="92">
        <v>45166</v>
      </c>
      <c r="O63" s="62" t="s">
        <v>17</v>
      </c>
      <c r="P63" s="62" t="s">
        <v>1618</v>
      </c>
      <c r="Q63" s="76" t="s">
        <v>67</v>
      </c>
      <c r="R63" s="76" t="s">
        <v>67</v>
      </c>
      <c r="S63" s="62" t="s">
        <v>77</v>
      </c>
      <c r="T63" s="62" t="s">
        <v>77</v>
      </c>
      <c r="U63" s="114">
        <f>февр23141113161718[[#This Row],[сумма]]-февр23141113161718[[#This Row],[Цема м2 отделки]]*февр23141113161718[[#This Row],[м2]]</f>
        <v>5193205.59</v>
      </c>
    </row>
    <row r="64" spans="1:21" s="61" customFormat="1" outlineLevel="1">
      <c r="A64" s="62">
        <v>87</v>
      </c>
      <c r="B64" s="75">
        <v>22705</v>
      </c>
      <c r="C64" s="62" t="s">
        <v>7</v>
      </c>
      <c r="D64" s="75">
        <v>267</v>
      </c>
      <c r="E64" s="349">
        <v>3</v>
      </c>
      <c r="F64" s="62">
        <v>72.510000000000005</v>
      </c>
      <c r="G64" s="62"/>
      <c r="H64" s="348"/>
      <c r="I64" s="352">
        <v>5348069.3899999997</v>
      </c>
      <c r="J64" s="348" t="s">
        <v>77</v>
      </c>
      <c r="K64" s="62" t="s">
        <v>16</v>
      </c>
      <c r="L64" s="117" t="s">
        <v>583</v>
      </c>
      <c r="M64" s="62" t="s">
        <v>18</v>
      </c>
      <c r="N64" s="92">
        <v>45169</v>
      </c>
      <c r="O64" s="62" t="s">
        <v>11</v>
      </c>
      <c r="P64" s="62" t="s">
        <v>1619</v>
      </c>
      <c r="Q64" s="76" t="s">
        <v>67</v>
      </c>
      <c r="R64" s="76" t="s">
        <v>67</v>
      </c>
      <c r="S64" s="62" t="s">
        <v>77</v>
      </c>
      <c r="T64" s="62" t="s">
        <v>77</v>
      </c>
      <c r="U64" s="114">
        <f>февр23141113161718[[#This Row],[сумма]]-февр23141113161718[[#This Row],[Цема м2 отделки]]*февр23141113161718[[#This Row],[м2]]</f>
        <v>5348069.3899999997</v>
      </c>
    </row>
    <row r="65" spans="1:21" outlineLevel="1">
      <c r="A65" s="62">
        <v>88</v>
      </c>
      <c r="B65" s="75">
        <v>26311</v>
      </c>
      <c r="C65" s="62" t="s">
        <v>7</v>
      </c>
      <c r="D65" s="75">
        <v>72</v>
      </c>
      <c r="E65" s="349">
        <v>0</v>
      </c>
      <c r="F65" s="62">
        <v>21.73</v>
      </c>
      <c r="G65" s="62"/>
      <c r="H65" s="348">
        <v>15500</v>
      </c>
      <c r="I65" s="352">
        <v>2760591.8</v>
      </c>
      <c r="J65" s="348" t="s">
        <v>20</v>
      </c>
      <c r="K65" s="62" t="s">
        <v>16</v>
      </c>
      <c r="L65" s="62" t="s">
        <v>583</v>
      </c>
      <c r="M65" s="62" t="s">
        <v>18</v>
      </c>
      <c r="N65" s="92">
        <v>45167</v>
      </c>
      <c r="O65" s="62" t="s">
        <v>17</v>
      </c>
      <c r="P65" s="62" t="s">
        <v>1620</v>
      </c>
      <c r="Q65" s="76" t="s">
        <v>67</v>
      </c>
      <c r="R65" s="76" t="s">
        <v>67</v>
      </c>
      <c r="S65" s="62" t="s">
        <v>20</v>
      </c>
      <c r="T65" s="62" t="s">
        <v>20</v>
      </c>
      <c r="U65" s="114">
        <f>февр23141113161718[[#This Row],[сумма]]-февр23141113161718[[#This Row],[Цема м2 отделки]]*февр23141113161718[[#This Row],[м2]]</f>
        <v>2423776.7999999998</v>
      </c>
    </row>
    <row r="66" spans="1:21" outlineLevel="1">
      <c r="A66" s="62">
        <v>90</v>
      </c>
      <c r="B66" s="75">
        <v>26330</v>
      </c>
      <c r="C66" s="62" t="s">
        <v>7</v>
      </c>
      <c r="D66" s="75">
        <v>457</v>
      </c>
      <c r="E66" s="349">
        <v>1</v>
      </c>
      <c r="F66" s="62">
        <v>38.6</v>
      </c>
      <c r="G66" s="62"/>
      <c r="H66" s="348"/>
      <c r="I66" s="352">
        <v>3699442.91</v>
      </c>
      <c r="J66" s="348" t="s">
        <v>1207</v>
      </c>
      <c r="K66" s="62" t="s">
        <v>16</v>
      </c>
      <c r="L66" s="62" t="s">
        <v>583</v>
      </c>
      <c r="M66" s="62" t="s">
        <v>18</v>
      </c>
      <c r="N66" s="92">
        <v>45168</v>
      </c>
      <c r="O66" s="62" t="s">
        <v>17</v>
      </c>
      <c r="P66" s="62" t="s">
        <v>1621</v>
      </c>
      <c r="Q66" s="76" t="s">
        <v>67</v>
      </c>
      <c r="R66" s="76" t="s">
        <v>67</v>
      </c>
      <c r="S66" s="62" t="s">
        <v>77</v>
      </c>
      <c r="T66" s="62" t="s">
        <v>77</v>
      </c>
      <c r="U66" s="114">
        <f>февр23141113161718[[#This Row],[сумма]]-февр23141113161718[[#This Row],[Цема м2 отделки]]*февр23141113161718[[#This Row],[м2]]</f>
        <v>3699442.91</v>
      </c>
    </row>
    <row r="67" spans="1:21" outlineLevel="1">
      <c r="A67" s="882">
        <v>91</v>
      </c>
      <c r="B67" s="883"/>
      <c r="C67" s="882"/>
      <c r="D67" s="883"/>
      <c r="E67" s="893"/>
      <c r="F67" s="882"/>
      <c r="G67" s="882"/>
      <c r="H67" s="894"/>
      <c r="I67" s="895"/>
      <c r="J67" s="894"/>
      <c r="K67" s="882"/>
      <c r="L67" s="882"/>
      <c r="M67" s="882"/>
      <c r="N67" s="887"/>
      <c r="O67" s="882"/>
      <c r="P67" s="882"/>
      <c r="Q67" s="885"/>
      <c r="R67" s="885"/>
      <c r="S67" s="882"/>
      <c r="T67" s="882"/>
      <c r="U67" s="890">
        <f>февр23141113161718[[#This Row],[сумма]]-февр23141113161718[[#This Row],[Цема м2 отделки]]*февр23141113161718[[#This Row],[м2]]</f>
        <v>0</v>
      </c>
    </row>
    <row r="68" spans="1:21" outlineLevel="1">
      <c r="A68" s="62">
        <v>92</v>
      </c>
      <c r="B68" s="75">
        <v>26329</v>
      </c>
      <c r="C68" s="62" t="s">
        <v>7</v>
      </c>
      <c r="D68" s="75">
        <v>409</v>
      </c>
      <c r="E68" s="349">
        <v>2</v>
      </c>
      <c r="F68" s="62">
        <v>63.74</v>
      </c>
      <c r="G68" s="62"/>
      <c r="H68" s="348"/>
      <c r="I68" s="352">
        <v>5221258.91</v>
      </c>
      <c r="J68" s="348" t="s">
        <v>73</v>
      </c>
      <c r="K68" s="62" t="s">
        <v>16</v>
      </c>
      <c r="L68" s="62" t="s">
        <v>583</v>
      </c>
      <c r="M68" s="62" t="s">
        <v>18</v>
      </c>
      <c r="N68" s="92">
        <v>45163</v>
      </c>
      <c r="O68" s="62" t="s">
        <v>17</v>
      </c>
      <c r="P68" s="62" t="s">
        <v>1622</v>
      </c>
      <c r="Q68" s="76" t="s">
        <v>67</v>
      </c>
      <c r="R68" s="76" t="s">
        <v>67</v>
      </c>
      <c r="S68" s="62" t="s">
        <v>73</v>
      </c>
      <c r="T68" s="62" t="s">
        <v>73</v>
      </c>
      <c r="U68" s="114">
        <f>февр23141113161718[[#This Row],[сумма]]-февр23141113161718[[#This Row],[Цема м2 отделки]]*февр23141113161718[[#This Row],[м2]]</f>
        <v>5221258.91</v>
      </c>
    </row>
    <row r="69" spans="1:21" s="61" customFormat="1" outlineLevel="1">
      <c r="A69" s="62">
        <v>93</v>
      </c>
      <c r="B69" s="75">
        <v>26334</v>
      </c>
      <c r="C69" s="62" t="s">
        <v>7</v>
      </c>
      <c r="D69" s="75">
        <v>311</v>
      </c>
      <c r="E69" s="349">
        <v>0</v>
      </c>
      <c r="F69" s="62">
        <v>29.35</v>
      </c>
      <c r="G69" s="62"/>
      <c r="H69" s="348">
        <v>4500</v>
      </c>
      <c r="I69" s="352">
        <v>2822538.83</v>
      </c>
      <c r="J69" s="348" t="s">
        <v>73</v>
      </c>
      <c r="K69" s="62" t="s">
        <v>16</v>
      </c>
      <c r="L69" s="62" t="s">
        <v>583</v>
      </c>
      <c r="M69" s="62" t="s">
        <v>18</v>
      </c>
      <c r="N69" s="92">
        <v>45162</v>
      </c>
      <c r="O69" s="62" t="s">
        <v>17</v>
      </c>
      <c r="P69" s="62" t="s">
        <v>1623</v>
      </c>
      <c r="Q69" s="76" t="s">
        <v>67</v>
      </c>
      <c r="R69" s="76" t="s">
        <v>67</v>
      </c>
      <c r="S69" s="62" t="s">
        <v>73</v>
      </c>
      <c r="T69" s="62" t="s">
        <v>73</v>
      </c>
      <c r="U69" s="114">
        <f>февр23141113161718[[#This Row],[сумма]]-февр23141113161718[[#This Row],[Цема м2 отделки]]*февр23141113161718[[#This Row],[м2]]</f>
        <v>2690463.83</v>
      </c>
    </row>
    <row r="70" spans="1:21" outlineLevel="1">
      <c r="A70" s="62">
        <v>94</v>
      </c>
      <c r="B70" s="75">
        <v>25348</v>
      </c>
      <c r="C70" s="62" t="s">
        <v>7</v>
      </c>
      <c r="D70" s="75">
        <v>13</v>
      </c>
      <c r="E70" s="62">
        <v>2</v>
      </c>
      <c r="F70" s="62">
        <v>54.66</v>
      </c>
      <c r="G70" s="65"/>
      <c r="H70" s="62">
        <v>15500</v>
      </c>
      <c r="I70" s="95">
        <v>5642601.54</v>
      </c>
      <c r="J70" s="117" t="s">
        <v>1233</v>
      </c>
      <c r="K70" s="62" t="s">
        <v>22</v>
      </c>
      <c r="L70" s="62" t="s">
        <v>583</v>
      </c>
      <c r="M70" s="62" t="s">
        <v>18</v>
      </c>
      <c r="N70" s="92">
        <v>45163</v>
      </c>
      <c r="O70" s="117" t="s">
        <v>17</v>
      </c>
      <c r="P70" s="62" t="s">
        <v>1624</v>
      </c>
      <c r="Q70" s="76" t="s">
        <v>67</v>
      </c>
      <c r="R70" s="76" t="s">
        <v>67</v>
      </c>
      <c r="S70" s="117" t="s">
        <v>1233</v>
      </c>
      <c r="T70" s="117" t="s">
        <v>73</v>
      </c>
      <c r="U70" s="114">
        <f>февр23141113161718[[#This Row],[сумма]]-февр23141113161718[[#This Row],[Цема м2 отделки]]*февр23141113161718[[#This Row],[м2]]</f>
        <v>4795371.54</v>
      </c>
    </row>
    <row r="71" spans="1:21" outlineLevel="1">
      <c r="A71" s="62">
        <v>95</v>
      </c>
      <c r="B71" s="75">
        <v>26336</v>
      </c>
      <c r="C71" s="62" t="s">
        <v>7</v>
      </c>
      <c r="D71" s="75">
        <v>320</v>
      </c>
      <c r="E71" s="349">
        <v>0</v>
      </c>
      <c r="F71" s="62">
        <v>36.450000000000003</v>
      </c>
      <c r="G71" s="62"/>
      <c r="H71" s="348">
        <v>4500</v>
      </c>
      <c r="I71" s="352">
        <v>3583195.74</v>
      </c>
      <c r="J71" s="348" t="s">
        <v>8</v>
      </c>
      <c r="K71" s="62" t="s">
        <v>16</v>
      </c>
      <c r="L71" s="62" t="s">
        <v>583</v>
      </c>
      <c r="M71" s="62" t="s">
        <v>18</v>
      </c>
      <c r="N71" s="92">
        <v>45166</v>
      </c>
      <c r="O71" s="62" t="s">
        <v>17</v>
      </c>
      <c r="P71" s="62" t="s">
        <v>1625</v>
      </c>
      <c r="Q71" s="76" t="s">
        <v>67</v>
      </c>
      <c r="R71" s="76" t="s">
        <v>67</v>
      </c>
      <c r="S71" s="62" t="s">
        <v>8</v>
      </c>
      <c r="T71" s="62" t="s">
        <v>8</v>
      </c>
      <c r="U71" s="114">
        <f>февр23141113161718[[#This Row],[сумма]]-февр23141113161718[[#This Row],[Цема м2 отделки]]*февр23141113161718[[#This Row],[м2]]</f>
        <v>3419170.74</v>
      </c>
    </row>
    <row r="72" spans="1:21" outlineLevel="1">
      <c r="A72" s="65"/>
      <c r="B72" s="79"/>
      <c r="C72" s="65"/>
      <c r="D72" s="79"/>
      <c r="E72" s="87"/>
      <c r="F72" s="65"/>
      <c r="G72" s="65"/>
      <c r="H72" s="72"/>
      <c r="N72" s="98"/>
      <c r="O72" s="65"/>
      <c r="P72" s="65"/>
      <c r="Q72" s="86"/>
      <c r="R72" s="86"/>
      <c r="S72" s="65"/>
      <c r="T72" s="65"/>
      <c r="U72" s="115">
        <f>февр23141113161718[[#This Row],[сумма]]-февр23141113161718[[#This Row],[Цема м2 отделки]]*февр23141113161718[[#This Row],[м2]]</f>
        <v>0</v>
      </c>
    </row>
    <row r="73" spans="1:21" s="61" customFormat="1" outlineLevel="1">
      <c r="A73" s="62">
        <v>97</v>
      </c>
      <c r="B73" s="75">
        <v>26931</v>
      </c>
      <c r="C73" s="62" t="s">
        <v>7</v>
      </c>
      <c r="D73" s="75">
        <v>395</v>
      </c>
      <c r="E73" s="349">
        <v>0</v>
      </c>
      <c r="F73" s="62">
        <v>29.35</v>
      </c>
      <c r="G73" s="65"/>
      <c r="H73" s="348">
        <v>4500</v>
      </c>
      <c r="I73" s="352">
        <v>3453415.51</v>
      </c>
      <c r="J73" s="348" t="s">
        <v>77</v>
      </c>
      <c r="K73" s="62" t="s">
        <v>22</v>
      </c>
      <c r="L73" s="62" t="s">
        <v>583</v>
      </c>
      <c r="M73" s="62" t="s">
        <v>18</v>
      </c>
      <c r="N73" s="92"/>
      <c r="O73" s="62" t="s">
        <v>17</v>
      </c>
      <c r="P73" s="62" t="s">
        <v>1626</v>
      </c>
      <c r="Q73" s="76" t="s">
        <v>67</v>
      </c>
      <c r="R73" s="76" t="s">
        <v>67</v>
      </c>
      <c r="S73" s="62" t="s">
        <v>77</v>
      </c>
      <c r="T73" s="62" t="s">
        <v>77</v>
      </c>
      <c r="U73" s="114">
        <f>февр23141113161718[[#This Row],[сумма]]-февр23141113161718[[#This Row],[Цема м2 отделки]]*февр23141113161718[[#This Row],[м2]]</f>
        <v>3321340.51</v>
      </c>
    </row>
    <row r="74" spans="1:21" outlineLevel="1">
      <c r="A74" s="62">
        <v>98</v>
      </c>
      <c r="B74" s="75">
        <v>26374</v>
      </c>
      <c r="C74" s="62" t="s">
        <v>7</v>
      </c>
      <c r="D74" s="75">
        <v>156</v>
      </c>
      <c r="E74" s="349">
        <v>1</v>
      </c>
      <c r="F74" s="62">
        <v>37.81</v>
      </c>
      <c r="G74" s="65"/>
      <c r="H74" s="348">
        <v>4500</v>
      </c>
      <c r="I74" s="352">
        <v>3975771.03</v>
      </c>
      <c r="J74" s="348" t="s">
        <v>1233</v>
      </c>
      <c r="K74" s="62" t="s">
        <v>22</v>
      </c>
      <c r="L74" s="62" t="s">
        <v>583</v>
      </c>
      <c r="M74" s="62" t="s">
        <v>18</v>
      </c>
      <c r="N74" s="92">
        <v>45168</v>
      </c>
      <c r="O74" s="62" t="s">
        <v>17</v>
      </c>
      <c r="P74" s="62" t="s">
        <v>1627</v>
      </c>
      <c r="Q74" s="76" t="s">
        <v>67</v>
      </c>
      <c r="R74" s="76" t="s">
        <v>67</v>
      </c>
      <c r="S74" s="62" t="s">
        <v>1233</v>
      </c>
      <c r="T74" s="62" t="s">
        <v>1233</v>
      </c>
      <c r="U74" s="114">
        <f>февр23141113161718[[#This Row],[сумма]]-февр23141113161718[[#This Row],[Цема м2 отделки]]*февр23141113161718[[#This Row],[м2]]</f>
        <v>3805626.03</v>
      </c>
    </row>
    <row r="75" spans="1:21" s="61" customFormat="1" outlineLevel="1">
      <c r="A75" s="62">
        <v>99</v>
      </c>
      <c r="B75" s="75">
        <v>24874</v>
      </c>
      <c r="C75" s="62" t="s">
        <v>7</v>
      </c>
      <c r="D75" s="75">
        <v>212</v>
      </c>
      <c r="E75" s="349">
        <v>1</v>
      </c>
      <c r="F75" s="62">
        <v>37.81</v>
      </c>
      <c r="G75" s="65"/>
      <c r="H75" s="348">
        <v>4500</v>
      </c>
      <c r="I75" s="352">
        <v>3864927.61</v>
      </c>
      <c r="J75" s="348" t="s">
        <v>77</v>
      </c>
      <c r="K75" s="62" t="s">
        <v>22</v>
      </c>
      <c r="L75" s="62" t="s">
        <v>583</v>
      </c>
      <c r="M75" s="62" t="s">
        <v>18</v>
      </c>
      <c r="N75" s="92">
        <v>45168</v>
      </c>
      <c r="O75" s="62" t="s">
        <v>17</v>
      </c>
      <c r="P75" s="62" t="s">
        <v>1628</v>
      </c>
      <c r="Q75" s="76" t="s">
        <v>67</v>
      </c>
      <c r="R75" s="76" t="s">
        <v>67</v>
      </c>
      <c r="S75" s="62" t="s">
        <v>77</v>
      </c>
      <c r="T75" s="62" t="s">
        <v>77</v>
      </c>
      <c r="U75" s="114">
        <f>февр23141113161718[[#This Row],[сумма]]-февр23141113161718[[#This Row],[Цема м2 отделки]]*февр23141113161718[[#This Row],[м2]]</f>
        <v>3694782.61</v>
      </c>
    </row>
    <row r="76" spans="1:21" s="61" customFormat="1" outlineLevel="1">
      <c r="A76" s="62">
        <v>100</v>
      </c>
      <c r="B76" s="75">
        <v>25982</v>
      </c>
      <c r="C76" s="62" t="s">
        <v>7</v>
      </c>
      <c r="D76" s="75">
        <v>81</v>
      </c>
      <c r="E76" s="349">
        <v>1</v>
      </c>
      <c r="F76" s="62">
        <v>33.53</v>
      </c>
      <c r="G76" s="62"/>
      <c r="H76" s="348">
        <v>15500</v>
      </c>
      <c r="I76" s="352">
        <v>4098036.26</v>
      </c>
      <c r="J76" s="348" t="s">
        <v>1207</v>
      </c>
      <c r="K76" s="62" t="s">
        <v>16</v>
      </c>
      <c r="L76" s="117" t="s">
        <v>583</v>
      </c>
      <c r="M76" s="62" t="s">
        <v>18</v>
      </c>
      <c r="N76" s="92">
        <v>45169</v>
      </c>
      <c r="O76" s="62" t="s">
        <v>17</v>
      </c>
      <c r="P76" s="62" t="s">
        <v>1629</v>
      </c>
      <c r="Q76" s="76" t="s">
        <v>67</v>
      </c>
      <c r="R76" s="76" t="s">
        <v>491</v>
      </c>
      <c r="S76" s="62" t="s">
        <v>77</v>
      </c>
      <c r="T76" s="62" t="s">
        <v>77</v>
      </c>
      <c r="U76" s="114">
        <f>февр23141113161718[[#This Row],[сумма]]-февр23141113161718[[#This Row],[Цема м2 отделки]]*февр23141113161718[[#This Row],[м2]]</f>
        <v>3578321.26</v>
      </c>
    </row>
    <row r="77" spans="1:21" outlineLevel="1">
      <c r="A77" s="65">
        <v>101</v>
      </c>
      <c r="B77" s="79"/>
      <c r="C77" s="65"/>
      <c r="D77" s="79"/>
      <c r="E77" s="87"/>
      <c r="F77" s="65"/>
      <c r="G77" s="65"/>
      <c r="H77" s="72"/>
      <c r="I77" s="105"/>
      <c r="J77" s="72"/>
      <c r="K77" s="65"/>
      <c r="L77" s="65"/>
      <c r="M77" s="65"/>
      <c r="N77" s="98"/>
      <c r="O77" s="65"/>
      <c r="P77" s="65"/>
      <c r="Q77" s="118"/>
      <c r="R77" s="118"/>
      <c r="S77" s="65"/>
      <c r="T77" s="65"/>
      <c r="U77" s="115">
        <f>февр23141113161718[[#This Row],[сумма]]-февр23141113161718[[#This Row],[Цема м2 отделки]]*февр23141113161718[[#This Row],[м2]]</f>
        <v>0</v>
      </c>
    </row>
    <row r="78" spans="1:21" s="880" customFormat="1" outlineLevel="1">
      <c r="A78" s="882">
        <v>102</v>
      </c>
      <c r="B78" s="883"/>
      <c r="C78" s="882"/>
      <c r="D78" s="883"/>
      <c r="E78" s="893"/>
      <c r="F78" s="882"/>
      <c r="G78" s="882"/>
      <c r="H78" s="894"/>
      <c r="I78" s="895"/>
      <c r="J78" s="894"/>
      <c r="K78" s="882"/>
      <c r="L78" s="882"/>
      <c r="M78" s="882"/>
      <c r="N78" s="887"/>
      <c r="O78" s="882"/>
      <c r="P78" s="882"/>
      <c r="Q78" s="891"/>
      <c r="R78" s="891"/>
      <c r="S78" s="882"/>
      <c r="T78" s="882"/>
      <c r="U78" s="890">
        <f>февр23141113161718[[#This Row],[сумма]]-февр23141113161718[[#This Row],[Цема м2 отделки]]*февр23141113161718[[#This Row],[м2]]</f>
        <v>0</v>
      </c>
    </row>
    <row r="79" spans="1:21" outlineLevel="1">
      <c r="A79" s="65">
        <v>103</v>
      </c>
      <c r="B79" s="79"/>
      <c r="C79" s="65"/>
      <c r="D79" s="79"/>
      <c r="E79" s="87"/>
      <c r="F79" s="65"/>
      <c r="G79" s="65"/>
      <c r="H79" s="72"/>
      <c r="I79" s="105"/>
      <c r="J79" s="72"/>
      <c r="K79" s="65"/>
      <c r="L79" s="65"/>
      <c r="M79" s="65"/>
      <c r="N79" s="98"/>
      <c r="O79" s="65"/>
      <c r="P79" s="65"/>
      <c r="Q79" s="86"/>
      <c r="R79" s="86"/>
      <c r="S79" s="65"/>
      <c r="T79" s="65"/>
      <c r="U79" s="115">
        <f>февр23141113161718[[#This Row],[сумма]]-февр23141113161718[[#This Row],[Цема м2 отделки]]*февр23141113161718[[#This Row],[м2]]</f>
        <v>0</v>
      </c>
    </row>
    <row r="80" spans="1:21" s="880" customFormat="1" outlineLevel="1">
      <c r="A80" s="882">
        <v>104</v>
      </c>
      <c r="B80" s="883"/>
      <c r="C80" s="882"/>
      <c r="D80" s="883"/>
      <c r="E80" s="893"/>
      <c r="F80" s="882"/>
      <c r="G80" s="882"/>
      <c r="H80" s="894"/>
      <c r="I80" s="895"/>
      <c r="J80" s="894"/>
      <c r="K80" s="882"/>
      <c r="L80" s="882"/>
      <c r="M80" s="882"/>
      <c r="N80" s="887"/>
      <c r="O80" s="882"/>
      <c r="P80" s="882"/>
      <c r="Q80" s="885"/>
      <c r="R80" s="885"/>
      <c r="S80" s="882"/>
      <c r="T80" s="882"/>
      <c r="U80" s="890">
        <f>февр23141113161718[[#This Row],[сумма]]-февр23141113161718[[#This Row],[Цема м2 отделки]]*февр23141113161718[[#This Row],[м2]]</f>
        <v>0</v>
      </c>
    </row>
    <row r="81" spans="1:21" s="880" customFormat="1" outlineLevel="1">
      <c r="A81" s="882">
        <v>105</v>
      </c>
      <c r="B81" s="883"/>
      <c r="C81" s="882"/>
      <c r="D81" s="883"/>
      <c r="E81" s="893"/>
      <c r="F81" s="882"/>
      <c r="G81" s="882"/>
      <c r="H81" s="894"/>
      <c r="I81" s="895"/>
      <c r="J81" s="894"/>
      <c r="K81" s="882"/>
      <c r="L81" s="882"/>
      <c r="M81" s="882"/>
      <c r="N81" s="887"/>
      <c r="O81" s="882"/>
      <c r="P81" s="882"/>
      <c r="Q81" s="891"/>
      <c r="R81" s="885"/>
      <c r="S81" s="882"/>
      <c r="T81" s="882"/>
      <c r="U81" s="890">
        <f>февр23141113161718[[#This Row],[сумма]]-февр23141113161718[[#This Row],[Цема м2 отделки]]*февр23141113161718[[#This Row],[м2]]</f>
        <v>0</v>
      </c>
    </row>
    <row r="82" spans="1:21" outlineLevel="1">
      <c r="A82" s="62">
        <v>106</v>
      </c>
      <c r="B82" s="75">
        <v>25512</v>
      </c>
      <c r="C82" s="62" t="s">
        <v>7</v>
      </c>
      <c r="D82" s="75">
        <v>454</v>
      </c>
      <c r="E82" s="349">
        <v>2</v>
      </c>
      <c r="F82" s="62">
        <v>63.74</v>
      </c>
      <c r="G82" s="65"/>
      <c r="H82" s="348">
        <v>4500</v>
      </c>
      <c r="I82" s="352">
        <v>5664726.7800000003</v>
      </c>
      <c r="J82" s="348" t="s">
        <v>77</v>
      </c>
      <c r="K82" s="62" t="s">
        <v>16</v>
      </c>
      <c r="L82" s="62" t="s">
        <v>583</v>
      </c>
      <c r="M82" s="62" t="s">
        <v>18</v>
      </c>
      <c r="N82" s="92">
        <v>45169</v>
      </c>
      <c r="O82" s="62" t="s">
        <v>17</v>
      </c>
      <c r="P82" s="62" t="s">
        <v>1630</v>
      </c>
      <c r="Q82" s="76" t="s">
        <v>67</v>
      </c>
      <c r="R82" s="76" t="s">
        <v>67</v>
      </c>
      <c r="S82" s="62" t="s">
        <v>77</v>
      </c>
      <c r="T82" s="62" t="s">
        <v>77</v>
      </c>
      <c r="U82" s="114">
        <f>февр23141113161718[[#This Row],[сумма]]-февр23141113161718[[#This Row],[Цема м2 отделки]]*февр23141113161718[[#This Row],[м2]]</f>
        <v>5377896.7800000003</v>
      </c>
    </row>
    <row r="83" spans="1:21" outlineLevel="1">
      <c r="A83" s="65"/>
      <c r="B83" s="79"/>
      <c r="C83" s="65"/>
      <c r="D83" s="79"/>
      <c r="E83" s="87"/>
      <c r="F83" s="65"/>
      <c r="G83" s="65"/>
      <c r="H83" s="72"/>
      <c r="I83" s="105"/>
      <c r="J83" s="72"/>
      <c r="K83" s="65"/>
      <c r="L83" s="65"/>
      <c r="M83" s="65"/>
      <c r="N83" s="98"/>
      <c r="O83" s="65" t="s">
        <v>17</v>
      </c>
      <c r="P83" s="65"/>
      <c r="Q83" s="86"/>
      <c r="R83" s="86"/>
      <c r="S83" s="65"/>
      <c r="T83" s="65"/>
      <c r="U83" s="115">
        <f>февр23141113161718[[#This Row],[сумма]]-февр23141113161718[[#This Row],[Цема м2 отделки]]*февр23141113161718[[#This Row],[м2]]</f>
        <v>0</v>
      </c>
    </row>
    <row r="84" spans="1:21" outlineLevel="1">
      <c r="A84" s="65"/>
      <c r="B84" s="79"/>
      <c r="C84" s="65"/>
      <c r="D84" s="79"/>
      <c r="E84" s="87"/>
      <c r="F84" s="65"/>
      <c r="G84" s="65"/>
      <c r="H84" s="72"/>
      <c r="I84" s="105"/>
      <c r="J84" s="72"/>
      <c r="K84" s="65"/>
      <c r="L84" s="65"/>
      <c r="M84" s="65"/>
      <c r="N84" s="98"/>
      <c r="O84" s="65" t="s">
        <v>17</v>
      </c>
      <c r="P84" s="65"/>
      <c r="Q84" s="86"/>
      <c r="R84" s="86"/>
      <c r="S84" s="65"/>
      <c r="T84" s="65"/>
      <c r="U84" s="115">
        <f>февр23141113161718[[#This Row],[сумма]]-февр23141113161718[[#This Row],[Цема м2 отделки]]*февр23141113161718[[#This Row],[м2]]</f>
        <v>0</v>
      </c>
    </row>
    <row r="85" spans="1:21" outlineLevel="1">
      <c r="A85" s="65"/>
      <c r="B85" s="79"/>
      <c r="C85" s="65"/>
      <c r="D85" s="79"/>
      <c r="E85" s="87"/>
      <c r="F85" s="65"/>
      <c r="G85" s="65"/>
      <c r="H85" s="72"/>
      <c r="I85" s="105"/>
      <c r="J85" s="72"/>
      <c r="K85" s="65"/>
      <c r="L85" s="65"/>
      <c r="M85" s="65"/>
      <c r="N85" s="98"/>
      <c r="O85" s="65"/>
      <c r="P85" s="65"/>
      <c r="Q85" s="86"/>
      <c r="R85" s="86"/>
      <c r="S85" s="65"/>
      <c r="T85" s="65"/>
      <c r="U85" s="115">
        <f>февр23141113161718[[#This Row],[сумма]]-февр23141113161718[[#This Row],[Цема м2 отделки]]*февр23141113161718[[#This Row],[м2]]</f>
        <v>0</v>
      </c>
    </row>
    <row r="86" spans="1:21" outlineLevel="1">
      <c r="A86" s="65"/>
      <c r="B86" s="79"/>
      <c r="C86" s="65"/>
      <c r="D86" s="79"/>
      <c r="E86" s="87"/>
      <c r="F86" s="65"/>
      <c r="G86" s="65"/>
      <c r="H86" s="72"/>
      <c r="I86" s="105"/>
      <c r="J86" s="72"/>
      <c r="K86" s="65"/>
      <c r="L86" s="65"/>
      <c r="M86" s="65"/>
      <c r="N86" s="98"/>
      <c r="O86" s="65"/>
      <c r="P86" s="65"/>
      <c r="Q86" s="86"/>
      <c r="R86" s="86"/>
      <c r="S86" s="65"/>
      <c r="T86" s="65"/>
      <c r="U86" s="115">
        <f>февр23141113161718[[#This Row],[сумма]]-февр23141113161718[[#This Row],[Цема м2 отделки]]*февр23141113161718[[#This Row],[м2]]</f>
        <v>0</v>
      </c>
    </row>
    <row r="87" spans="1:21">
      <c r="A87" s="65"/>
      <c r="B87" s="79"/>
      <c r="C87" s="65"/>
      <c r="D87" s="79"/>
      <c r="E87" s="65"/>
      <c r="F87" s="65"/>
      <c r="G87" s="65"/>
      <c r="H87" s="65"/>
      <c r="I87" s="93"/>
      <c r="J87" s="80"/>
      <c r="K87" s="65"/>
      <c r="L87" s="65"/>
      <c r="M87" s="65"/>
      <c r="N87" s="98"/>
      <c r="O87" s="80"/>
      <c r="P87" s="65"/>
      <c r="Q87" s="86"/>
      <c r="R87" s="86"/>
      <c r="S87" s="80"/>
      <c r="T87" s="80"/>
      <c r="U87" s="115"/>
    </row>
    <row r="88" spans="1:21">
      <c r="A88" s="65"/>
      <c r="B88" s="79"/>
      <c r="C88" s="65"/>
      <c r="D88" s="79"/>
      <c r="E88" s="65"/>
      <c r="F88" s="65"/>
      <c r="G88" s="65"/>
      <c r="H88" s="65"/>
      <c r="I88" s="93"/>
      <c r="J88" s="80"/>
      <c r="K88" s="65"/>
      <c r="L88" s="65"/>
      <c r="M88" s="65"/>
      <c r="N88" s="98"/>
      <c r="O88" s="80"/>
      <c r="P88" s="65"/>
      <c r="Q88" s="118"/>
      <c r="R88" s="86"/>
      <c r="S88" s="80"/>
      <c r="T88" s="80"/>
      <c r="U88" s="115"/>
    </row>
    <row r="89" spans="1:21">
      <c r="A89" s="65"/>
      <c r="B89" s="79"/>
      <c r="C89" s="65"/>
      <c r="D89" s="79"/>
      <c r="E89" s="65"/>
      <c r="F89" s="65"/>
      <c r="G89" s="65"/>
      <c r="H89" s="65"/>
      <c r="I89" s="93"/>
      <c r="J89" s="80"/>
      <c r="K89" s="65"/>
      <c r="L89" s="65"/>
      <c r="M89" s="65"/>
      <c r="N89" s="98"/>
      <c r="O89" s="80"/>
      <c r="P89" s="65"/>
      <c r="Q89" s="118"/>
      <c r="R89" s="86"/>
      <c r="S89" s="80"/>
      <c r="T89" s="80"/>
      <c r="U89" s="115"/>
    </row>
    <row r="90" spans="1:21">
      <c r="A90" s="65"/>
      <c r="B90" s="79"/>
      <c r="C90" s="65"/>
      <c r="D90" s="79"/>
      <c r="E90" s="65"/>
      <c r="F90" s="65"/>
      <c r="G90" s="65"/>
      <c r="H90" s="65"/>
      <c r="I90" s="93"/>
      <c r="J90" s="80"/>
      <c r="K90" s="65"/>
      <c r="L90" s="65"/>
      <c r="M90" s="65"/>
      <c r="N90" s="98"/>
      <c r="O90" s="80"/>
      <c r="P90" s="65"/>
      <c r="Q90" s="118"/>
      <c r="R90" s="86"/>
      <c r="S90" s="80"/>
      <c r="T90" s="80"/>
      <c r="U90" s="115"/>
    </row>
    <row r="91" spans="1:21">
      <c r="A91" s="65"/>
      <c r="B91" s="79"/>
      <c r="C91" s="79"/>
      <c r="D91" s="80"/>
      <c r="E91" s="65"/>
      <c r="F91" s="72"/>
      <c r="G91" s="65"/>
      <c r="H91" s="65"/>
      <c r="I91" s="105"/>
      <c r="J91" s="65"/>
      <c r="K91" s="65"/>
      <c r="L91" s="65"/>
      <c r="M91" s="110"/>
      <c r="N91" s="65"/>
      <c r="O91" s="72"/>
      <c r="P91" s="86"/>
      <c r="Q91" s="86"/>
      <c r="R91" s="80"/>
      <c r="S91" s="80"/>
      <c r="T91" s="115"/>
    </row>
    <row r="92" spans="1:21">
      <c r="A92" s="65"/>
      <c r="B92" s="79"/>
      <c r="C92" s="79"/>
      <c r="D92" s="80"/>
      <c r="E92" s="65"/>
      <c r="F92" s="72"/>
      <c r="G92" s="65"/>
      <c r="H92" s="65"/>
      <c r="I92" s="105"/>
      <c r="J92" s="65"/>
      <c r="K92" s="65"/>
      <c r="L92" s="65"/>
      <c r="M92" s="110"/>
      <c r="N92" s="65"/>
      <c r="O92" s="72"/>
      <c r="P92" s="86"/>
      <c r="Q92" s="86"/>
      <c r="R92" s="80"/>
      <c r="S92" s="80"/>
      <c r="T92" s="115"/>
    </row>
    <row r="93" spans="1:21">
      <c r="A93" s="65"/>
      <c r="B93" s="79"/>
      <c r="C93" s="79"/>
      <c r="D93" s="80"/>
      <c r="E93" s="65"/>
      <c r="F93" s="72"/>
      <c r="G93" s="65"/>
      <c r="H93" s="65"/>
      <c r="I93" s="105"/>
      <c r="J93" s="65"/>
      <c r="K93" s="65"/>
      <c r="L93" s="65"/>
      <c r="M93" s="110"/>
      <c r="N93" s="65"/>
      <c r="O93" s="72"/>
      <c r="P93" s="86"/>
      <c r="Q93" s="86"/>
      <c r="R93" s="80"/>
      <c r="S93" s="80"/>
      <c r="T93" s="115"/>
    </row>
    <row r="94" spans="1:21">
      <c r="A94" s="2325" t="s">
        <v>713</v>
      </c>
      <c r="B94" s="2326"/>
      <c r="C94" s="133" t="s">
        <v>7</v>
      </c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65"/>
      <c r="S94" s="65"/>
    </row>
    <row r="95" spans="1:21">
      <c r="A95" s="685" t="s">
        <v>1</v>
      </c>
      <c r="B95" s="859" t="s">
        <v>100</v>
      </c>
      <c r="C95" s="707" t="s">
        <v>97</v>
      </c>
      <c r="D95" s="726" t="s">
        <v>95</v>
      </c>
      <c r="E95" s="137" t="s">
        <v>494</v>
      </c>
      <c r="F95" s="138" t="s">
        <v>495</v>
      </c>
      <c r="G95" s="139" t="s">
        <v>496</v>
      </c>
      <c r="H95" s="140" t="s">
        <v>101</v>
      </c>
      <c r="I95" s="141" t="s">
        <v>98</v>
      </c>
      <c r="J95" s="141" t="s">
        <v>96</v>
      </c>
      <c r="K95" s="141" t="s">
        <v>715</v>
      </c>
      <c r="L95" s="216" t="s">
        <v>716</v>
      </c>
      <c r="M95" s="217">
        <v>0</v>
      </c>
      <c r="N95" s="218">
        <v>1</v>
      </c>
      <c r="O95" s="218">
        <v>2</v>
      </c>
      <c r="P95" s="218">
        <v>3</v>
      </c>
      <c r="Q95" s="219" t="s">
        <v>1367</v>
      </c>
      <c r="R95" s="65"/>
      <c r="S95" s="65"/>
    </row>
    <row r="96" spans="1:21">
      <c r="A96" s="142" t="s">
        <v>73</v>
      </c>
      <c r="B96" s="291">
        <f>IFERROR(VLOOKUP(A96,'Индивидуальный план'!$N$3:$P$14,2,0),"")</f>
        <v>315</v>
      </c>
      <c r="C96" s="292">
        <f>IFERROR(VLOOKUP(A96,'Индивидуальный план'!$N$3:$P$14,3,0),"")</f>
        <v>28036254.708000001</v>
      </c>
      <c r="D96" s="876"/>
      <c r="E96" s="145">
        <f>SUMIFS(февр23141113161718[м2],февр23141113161718[МОП],$A96,февр23141113161718[№ дома],$C$94,февр23141113161718[Комнатность],"&lt;&gt;Офис")</f>
        <v>277.21000000000004</v>
      </c>
      <c r="F96" s="146">
        <f>SUMIFS(февр23141113161718[Сумма без отделки],февр23141113161718[МОП],$A96,февр23141113161718[№ дома],$C$94,февр23141113161718[Комнатность],"&lt;&gt;Офис")</f>
        <v>25162546.009999998</v>
      </c>
      <c r="G96" s="147">
        <f>COUNTIFS(февр23141113161718[МОП],$A96,февр23141113161718[№ дома],$C$94,февр23141113161718[Комнатность],"&lt;&gt;Офис")</f>
        <v>7</v>
      </c>
      <c r="H96" s="183">
        <f>SUMIFS(РД[S],РД[Дом],$C$94,РД[МОП],A96,РД[Дата подачи на регистрацию],"&lt;="&amp;$A$1,РД[Дата подачи на регистрацию],"&gt;="&amp;DATE(YEAR($A$1),MONTH($A$1),1),РД[Состояние],"Продажа")</f>
        <v>277.20999999999998</v>
      </c>
      <c r="I96" s="184">
        <f>SUMIFS(РД[Стоимость без отделки итог],РД[Дом],$C$94,РД[МОП],A96,РД[Дата подачи на регистрацию],"&lt;="&amp;$A$1,РД[Дата подачи на регистрацию],"&gt;="&amp;DATE(YEAR($A$1),MONTH($A$1),1),РД[Состояние],"Продажа")</f>
        <v>25181846.010000002</v>
      </c>
      <c r="J96" s="243">
        <f>COUNTIFS(РД[Дом],$C$94,РД[МОП],A96,РД[Дата подачи на регистрацию],"&lt;="&amp;$A$1,РД[Дата подачи на регистрацию],"&gt;="&amp;DATE(YEAR($A$1),MONTH($A$1),1),РД[Состояние],"Продажа")</f>
        <v>7</v>
      </c>
      <c r="K96" s="244">
        <f t="shared" ref="K96" si="0">IFERROR(H96/B96,"")</f>
        <v>0.88003174603174594</v>
      </c>
      <c r="L96" s="258">
        <f t="shared" ref="L96" si="1">IFERROR(I96/C96,"")</f>
        <v>0.8981886586589789</v>
      </c>
      <c r="M96" s="202">
        <f>COUNTIFS(РД[Тип кв],M$95,РД[МОП],$A96,РД[Дом],$C$94,РД[Дата подачи на регистрацию],"&lt;="&amp;$A$1,РД[Дата подачи на регистрацию],"&gt;="&amp;DATE(YEAR($A$1),MONTH($A$1),1))</f>
        <v>2</v>
      </c>
      <c r="N96" s="226">
        <f>COUNTIFS(РД[Тип кв],N$95,РД[МОП],$A96,РД[Дом],$C$94,РД[Дата подачи на регистрацию],"&lt;="&amp;$A$1,РД[Дата подачи на регистрацию],"&gt;="&amp;DATE(YEAR($A$1),MONTH($A$1),1))</f>
        <v>4</v>
      </c>
      <c r="O96" s="226">
        <f>COUNTIFS(РД[Тип кв],O$95,РД[МОП],$A96,РД[Дом],$C$94,РД[Дата подачи на регистрацию],"&lt;="&amp;$A$1,РД[Дата подачи на регистрацию],"&gt;="&amp;DATE(YEAR($A$1),MONTH($A$1),1))</f>
        <v>1</v>
      </c>
      <c r="P96" s="226">
        <f>COUNTIFS(РД[Тип кв],P$95,РД[МОП],$A96,РД[Дом],$C$94,РД[Дата подачи на регистрацию],"&lt;="&amp;$A$1,РД[Дата подачи на регистрацию],"&gt;="&amp;DATE(YEAR($A$1),MONTH($A$1),1))</f>
        <v>0</v>
      </c>
      <c r="Q96" s="227">
        <f>COUNTIFS(РД[Тип кв],Q$95,РД[МОП],$A96,РД[Дом],$C$94,РД[Дата подачи на регистрацию],"&lt;="&amp;$A$1,РД[Дата подачи на регистрацию],"&gt;="&amp;DATE(YEAR($A$1),MONTH($A$1),1))</f>
        <v>0</v>
      </c>
      <c r="R96" s="65"/>
      <c r="S96" s="65"/>
    </row>
    <row r="97" spans="1:19">
      <c r="A97" s="142" t="s">
        <v>8</v>
      </c>
      <c r="B97" s="271">
        <f>IFERROR(VLOOKUP(A97,'Индивидуальный план'!$N$3:$P$14,2,0),"")</f>
        <v>325</v>
      </c>
      <c r="C97" s="52">
        <f>IFERROR(VLOOKUP(A97,'Индивидуальный план'!$N$3:$P$14,3,0),"")</f>
        <v>28926294.539999999</v>
      </c>
      <c r="D97" s="327"/>
      <c r="E97" s="145">
        <f>SUMIFS(февр23141113161718[м2],февр23141113161718[МОП],$A97,февр23141113161718[№ дома],$C$94,февр23141113161718[Комнатность],"&lt;&gt;Офис")</f>
        <v>355.60999999999996</v>
      </c>
      <c r="F97" s="146">
        <f>SUMIFS(февр23141113161718[Сумма без отделки],февр23141113161718[МОП],$A97,февр23141113161718[№ дома],$C$94,февр23141113161718[Комнатность],"&lt;&gt;Офис")</f>
        <v>31385535.899999999</v>
      </c>
      <c r="G97" s="147">
        <f>COUNTIFS(февр23141113161718[МОП],$A97,февр23141113161718[№ дома],$C$94,февр23141113161718[Комнатность],"&lt;&gt;Офис")</f>
        <v>7</v>
      </c>
      <c r="H97" s="148">
        <f>SUMIFS(РД[S],РД[Дом],$C$94,РД[МОП],A97,РД[Дата подачи на регистрацию],"&lt;="&amp;$A$1,РД[Дата подачи на регистрацию],"&gt;="&amp;DATE(YEAR($A$1),MONTH($A$1),1),РД[Состояние],"Продажа")</f>
        <v>355.61</v>
      </c>
      <c r="I97" s="149">
        <f>SUMIFS(РД[Стоимость без отделки итог],РД[Дом],$C$94,РД[МОП],A97,РД[Дата подачи на регистрацию],"&lt;="&amp;$A$1,РД[Дата подачи на регистрацию],"&gt;="&amp;DATE(YEAR($A$1),MONTH($A$1),1),РД[Состояние],"Продажа")</f>
        <v>31385535.899999999</v>
      </c>
      <c r="J97" s="220">
        <f>COUNTIFS(РД[Дом],$C$94,РД[МОП],A97,РД[Дата подачи на регистрацию],"&lt;="&amp;$A$1,РД[Дата подачи на регистрацию],"&gt;="&amp;DATE(YEAR($A$1),MONTH($A$1),1),РД[Состояние],"Продажа")</f>
        <v>7</v>
      </c>
      <c r="K97" s="221">
        <f t="shared" ref="K97:L99" si="2">IFERROR(H97/B97,"")</f>
        <v>1.0941846153846155</v>
      </c>
      <c r="L97" s="222">
        <f t="shared" si="2"/>
        <v>1.0850175039391685</v>
      </c>
      <c r="M97" s="148">
        <f>COUNTIFS(РД[Тип кв],M$95,РД[МОП],$A97,РД[Дом],$C$94,РД[Дата подачи на регистрацию],"&lt;="&amp;$A$1,РД[Дата подачи на регистрацию],"&gt;="&amp;DATE(YEAR($A$1),MONTH($A$1),1))</f>
        <v>1</v>
      </c>
      <c r="N97" s="220">
        <f>COUNTIFS(РД[Тип кв],N$95,РД[МОП],$A97,РД[Дом],$C$94,РД[Дата подачи на регистрацию],"&lt;="&amp;$A$1,РД[Дата подачи на регистрацию],"&gt;="&amp;DATE(YEAR($A$1),MONTH($A$1),1))</f>
        <v>3</v>
      </c>
      <c r="O97" s="220">
        <f>COUNTIFS(РД[Тип кв],O$95,РД[МОП],$A97,РД[Дом],$C$94,РД[Дата подачи на регистрацию],"&lt;="&amp;$A$1,РД[Дата подачи на регистрацию],"&gt;="&amp;DATE(YEAR($A$1),MONTH($A$1),1))</f>
        <v>2</v>
      </c>
      <c r="P97" s="220">
        <f>COUNTIFS(РД[Тип кв],P$95,РД[МОП],$A97,РД[Дом],$C$94,РД[Дата подачи на регистрацию],"&lt;="&amp;$A$1,РД[Дата подачи на регистрацию],"&gt;="&amp;DATE(YEAR($A$1),MONTH($A$1),1))</f>
        <v>1</v>
      </c>
      <c r="Q97" s="223">
        <f>COUNTIFS(РД[Тип кв],Q$95,РД[МОП],$A97,РД[Дом],$C$94,РД[Дата подачи на регистрацию],"&lt;="&amp;$A$1,РД[Дата подачи на регистрацию],"&gt;="&amp;DATE(YEAR($A$1),MONTH($A$1),1))</f>
        <v>0</v>
      </c>
      <c r="R97" s="65"/>
      <c r="S97" s="65"/>
    </row>
    <row r="98" spans="1:19">
      <c r="A98" s="398" t="s">
        <v>77</v>
      </c>
      <c r="B98" s="271">
        <f>IFERROR(VLOOKUP(A98,'Индивидуальный план'!$N$3:$P$14,2,0),"")</f>
        <v>220</v>
      </c>
      <c r="C98" s="52">
        <f>IFERROR(VLOOKUP(A98,'Индивидуальный план'!$N$3:$P$14,3,0),"")</f>
        <v>19580876.304000001</v>
      </c>
      <c r="D98" s="327"/>
      <c r="E98" s="145">
        <f>SUMIFS(февр23141113161718[м2],февр23141113161718[МОП],$A98,февр23141113161718[№ дома],$C$94,февр23141113161718[Комнатность],"&lt;&gt;Офис")</f>
        <v>670.90000000000009</v>
      </c>
      <c r="F98" s="146">
        <f>SUMIFS(февр23141113161718[Сумма без отделки],февр23141113161718[МОП],$A98,февр23141113161718[№ дома],$C$94,февр23141113161718[Комнатность],"&lt;&gt;Офис")</f>
        <v>56447263.899999999</v>
      </c>
      <c r="G98" s="147">
        <f>COUNTIFS(февр23141113161718[МОП],$A98,февр23141113161718[№ дома],$C$94,февр23141113161718[Комнатность],"&lt;&gt;Офис")</f>
        <v>12</v>
      </c>
      <c r="H98" s="148">
        <f>SUMIFS(РД[S],РД[Дом],$C$94,РД[МОП],A98,РД[Дата подачи на регистрацию],"&lt;="&amp;$A$1,РД[Дата подачи на регистрацию],"&gt;="&amp;DATE(YEAR($A$1),MONTH($A$1),1),РД[Состояние],"Продажа")</f>
        <v>650.88</v>
      </c>
      <c r="I98" s="149">
        <f>SUMIFS(РД[Стоимость без отделки итог],РД[Дом],$C$94,РД[МОП],A98,РД[Дата подачи на регистрацию],"&lt;="&amp;$A$1,РД[Дата подачи на регистрацию],"&gt;="&amp;DATE(YEAR($A$1),MONTH($A$1),1),РД[Состояние],"Продажа")</f>
        <v>54630651.219999991</v>
      </c>
      <c r="J98" s="220">
        <f>COUNTIFS(РД[Дом],$C$94,РД[МОП],A98,РД[Дата подачи на регистрацию],"&lt;="&amp;$A$1,РД[Дата подачи на регистрацию],"&gt;="&amp;DATE(YEAR($A$1),MONTH($A$1),1),РД[Состояние],"Продажа")</f>
        <v>12</v>
      </c>
      <c r="K98" s="224">
        <f t="shared" si="2"/>
        <v>2.9585454545454546</v>
      </c>
      <c r="L98" s="225">
        <f t="shared" si="2"/>
        <v>2.7900003233685711</v>
      </c>
      <c r="M98" s="202">
        <f>COUNTIFS(РД[Тип кв],M$95,РД[МОП],$A98,РД[Дом],$C$94,РД[Дата подачи на регистрацию],"&lt;="&amp;$A$1,РД[Дата подачи на регистрацию],"&gt;="&amp;DATE(YEAR($A$1),MONTH($A$1),1))</f>
        <v>2</v>
      </c>
      <c r="N98" s="226">
        <f>COUNTIFS(РД[Тип кв],N$95,РД[МОП],$A98,РД[Дом],$C$94,РД[Дата подачи на регистрацию],"&lt;="&amp;$A$1,РД[Дата подачи на регистрацию],"&gt;="&amp;DATE(YEAR($A$1),MONTH($A$1),1))</f>
        <v>4</v>
      </c>
      <c r="O98" s="226">
        <f>COUNTIFS(РД[Тип кв],O$95,РД[МОП],$A98,РД[Дом],$C$94,РД[Дата подачи на регистрацию],"&lt;="&amp;$A$1,РД[Дата подачи на регистрацию],"&gt;="&amp;DATE(YEAR($A$1),MONTH($A$1),1))</f>
        <v>4</v>
      </c>
      <c r="P98" s="226">
        <f>COUNTIFS(РД[Тип кв],P$95,РД[МОП],$A98,РД[Дом],$C$94,РД[Дата подачи на регистрацию],"&lt;="&amp;$A$1,РД[Дата подачи на регистрацию],"&gt;="&amp;DATE(YEAR($A$1),MONTH($A$1),1))</f>
        <v>4</v>
      </c>
      <c r="Q98" s="227">
        <f>COUNTIFS(РД[Тип кв],Q$95,РД[МОП],$A98,РД[Дом],$C$94,РД[Дата подачи на регистрацию],"&lt;="&amp;$A$1,РД[Дата подачи на регистрацию],"&gt;="&amp;DATE(YEAR($A$1),MONTH($A$1),1))</f>
        <v>0</v>
      </c>
      <c r="R98" s="65"/>
      <c r="S98" s="65"/>
    </row>
    <row r="99" spans="1:19">
      <c r="A99" s="153" t="s">
        <v>1233</v>
      </c>
      <c r="B99" s="271">
        <f>IFERROR(VLOOKUP(A99,'Индивидуальный план'!$N$3:$P$14,2,0),"")</f>
        <v>252</v>
      </c>
      <c r="C99" s="52">
        <f>IFERROR(VLOOKUP(A99,'Индивидуальный план'!$N$3:$P$14,3,0),"")</f>
        <v>22429003.766399998</v>
      </c>
      <c r="D99" s="327"/>
      <c r="E99" s="145">
        <f>SUMIFS(февр23141113161718[м2],февр23141113161718[МОП],$A99,февр23141113161718[№ дома],$C$94,февр23141113161718[Комнатность],"&lt;&gt;Офис")</f>
        <v>186.98</v>
      </c>
      <c r="F99" s="146">
        <f>SUMIFS(февр23141113161718[Сумма без отделки],февр23141113161718[МОП],$A99,февр23141113161718[№ дома],$C$94,февр23141113161718[Комнатность],"&lt;&gt;Офис")</f>
        <v>17409260.5</v>
      </c>
      <c r="G99" s="147">
        <f>COUNTIFS(февр23141113161718[МОП],$A99,февр23141113161718[№ дома],$C$94,февр23141113161718[Комнатность],"&lt;&gt;Офис")</f>
        <v>4</v>
      </c>
      <c r="H99" s="148">
        <f>SUMIFS(РД[S],РД[Дом],$C$94,РД[МОП],A99,РД[Дата подачи на регистрацию],"&lt;="&amp;$A$1,РД[Дата подачи на регистрацию],"&gt;="&amp;DATE(YEAR($A$1),MONTH($A$1),1),РД[Состояние],"Продажа")</f>
        <v>185.67000000000002</v>
      </c>
      <c r="I99" s="149">
        <f>SUMIFS(РД[Стоимость без отделки итог],РД[Дом],$C$94,РД[МОП],A99,РД[Дата подачи на регистрацию],"&lt;="&amp;$A$1,РД[Дата подачи на регистрацию],"&gt;="&amp;DATE(YEAR($A$1),MONTH($A$1),1),РД[Состояние],"Продажа")</f>
        <v>17429565.5</v>
      </c>
      <c r="J99" s="220">
        <f>COUNTIFS(РД[Дом],$C$94,РД[МОП],A99,РД[Дата подачи на регистрацию],"&lt;="&amp;$A$1,РД[Дата подачи на регистрацию],"&gt;="&amp;DATE(YEAR($A$1),MONTH($A$1),1),РД[Состояние],"Продажа")</f>
        <v>4</v>
      </c>
      <c r="K99" s="224">
        <f t="shared" si="2"/>
        <v>0.73678571428571438</v>
      </c>
      <c r="L99" s="225">
        <f t="shared" si="2"/>
        <v>0.77709940581982251</v>
      </c>
      <c r="M99" s="202">
        <f>COUNTIFS(РД[Тип кв],M$95,РД[МОП],$A99,РД[Дом],$C$94,РД[Дата подачи на регистрацию],"&lt;="&amp;$A$1,РД[Дата подачи на регистрацию],"&gt;="&amp;DATE(YEAR($A$1),MONTH($A$1),1))</f>
        <v>0</v>
      </c>
      <c r="N99" s="226">
        <f>COUNTIFS(РД[Тип кв],N$95,РД[МОП],$A99,РД[Дом],$C$94,РД[Дата подачи на регистрацию],"&lt;="&amp;$A$1,РД[Дата подачи на регистрацию],"&gt;="&amp;DATE(YEAR($A$1),MONTH($A$1),1))</f>
        <v>2</v>
      </c>
      <c r="O99" s="226">
        <f>COUNTIFS(РД[Тип кв],O$95,РД[МОП],$A99,РД[Дом],$C$94,РД[Дата подачи на регистрацию],"&lt;="&amp;$A$1,РД[Дата подачи на регистрацию],"&gt;="&amp;DATE(YEAR($A$1),MONTH($A$1),1))</f>
        <v>2</v>
      </c>
      <c r="P99" s="226">
        <f>COUNTIFS(РД[Тип кв],P$95,РД[МОП],$A99,РД[Дом],$C$94,РД[Дата подачи на регистрацию],"&lt;="&amp;$A$1,РД[Дата подачи на регистрацию],"&gt;="&amp;DATE(YEAR($A$1),MONTH($A$1),1))</f>
        <v>0</v>
      </c>
      <c r="Q99" s="227">
        <f>COUNTIFS(РД[Тип кв],Q$95,РД[МОП],$A99,РД[Дом],$C$94,РД[Дата подачи на регистрацию],"&lt;="&amp;$A$1,РД[Дата подачи на регистрацию],"&gt;="&amp;DATE(YEAR($A$1),MONTH($A$1),1))</f>
        <v>0</v>
      </c>
      <c r="R99" s="65"/>
      <c r="S99" s="65"/>
    </row>
    <row r="100" spans="1:19">
      <c r="A100" s="153" t="s">
        <v>20</v>
      </c>
      <c r="B100" s="516">
        <f>IFERROR(VLOOKUP(A100,'Индивидуальный план'!$N$3:$P$14,2,0),"")</f>
        <v>375</v>
      </c>
      <c r="C100" s="554">
        <f>IFERROR(VLOOKUP(A100,'Индивидуальный план'!$N$3:$P$14,3,0),"")</f>
        <v>33376493.699999999</v>
      </c>
      <c r="D100" s="860"/>
      <c r="E100" s="328">
        <f>SUMIFS(февр23141113161718[м2],февр23141113161718[МОП],$A100,февр23141113161718[№ дома],$C$94,февр23141113161718[Комнатность],"&lt;&gt;Офис")</f>
        <v>247.83999999999997</v>
      </c>
      <c r="F100" s="403">
        <f>SUMIFS(февр23141113161718[Сумма без отделки],февр23141113161718[МОП],$A100,февр23141113161718[№ дома],$C$94,февр23141113161718[Комнатность],"&lt;&gt;Офис")</f>
        <v>23225185.52</v>
      </c>
      <c r="G100" s="404">
        <f>COUNTIFS(февр23141113161718[МОП],$A100,февр23141113161718[№ дома],$C$94,февр23141113161718[Комнатность],"&lt;&gt;Офис")</f>
        <v>6</v>
      </c>
      <c r="H100" s="187">
        <f>SUMIFS(РД[S],РД[Дом],$C$94,РД[МОП],A100,РД[Дата подачи на регистрацию],"&lt;="&amp;$A$1,РД[Дата подачи на регистрацию],"&gt;="&amp;DATE(YEAR($A$1),MONTH($A$1),1),РД[Состояние],"Продажа")</f>
        <v>287.58</v>
      </c>
      <c r="I100" s="188">
        <f>SUMIFS(РД[Стоимость без отделки итог],РД[Дом],$C$94,РД[МОП],A100,РД[Дата подачи на регистрацию],"&lt;="&amp;$A$1,РД[Дата подачи на регистрацию],"&gt;="&amp;DATE(YEAR($A$1),MONTH($A$1),1),РД[Состояние],"Продажа")</f>
        <v>26772444.969999999</v>
      </c>
      <c r="J100" s="247">
        <f>COUNTIFS(РД[Дом],$C$94,РД[МОП],A100,РД[Дата подачи на регистрацию],"&lt;="&amp;$A$1,РД[Дата подачи на регистрацию],"&gt;="&amp;DATE(YEAR($A$1),MONTH($A$1),1),РД[Состояние],"Продажа")</f>
        <v>7</v>
      </c>
      <c r="K100" s="360">
        <f t="shared" ref="K100" si="3">IFERROR(H100/B100,"")</f>
        <v>0.76688000000000001</v>
      </c>
      <c r="L100" s="361">
        <f t="shared" ref="L100" si="4">IFERROR(I100/C100,"")</f>
        <v>0.80213473622006015</v>
      </c>
      <c r="M100" s="358">
        <f>COUNTIFS(РД[Тип кв],M$95,РД[МОП],$A100,РД[Дом],$C$94,РД[Дата подачи на регистрацию],"&lt;="&amp;$A$1,РД[Дата подачи на регистрацию],"&gt;="&amp;DATE(YEAR($A$1),MONTH($A$1),1))</f>
        <v>2</v>
      </c>
      <c r="N100" s="330">
        <f>COUNTIFS(РД[Тип кв],N$95,РД[МОП],$A100,РД[Дом],$C$94,РД[Дата подачи на регистрацию],"&lt;="&amp;$A$1,РД[Дата подачи на регистрацию],"&gt;="&amp;DATE(YEAR($A$1),MONTH($A$1),1))</f>
        <v>3</v>
      </c>
      <c r="O100" s="330">
        <f>COUNTIFS(РД[Тип кв],O$95,РД[МОП],$A100,РД[Дом],$C$94,РД[Дата подачи на регистрацию],"&lt;="&amp;$A$1,РД[Дата подачи на регистрацию],"&gt;="&amp;DATE(YEAR($A$1),MONTH($A$1),1))</f>
        <v>2</v>
      </c>
      <c r="P100" s="330">
        <f>COUNTIFS(РД[Тип кв],P$95,РД[МОП],$A100,РД[Дом],$C$94,РД[Дата подачи на регистрацию],"&lt;="&amp;$A$1,РД[Дата подачи на регистрацию],"&gt;="&amp;DATE(YEAR($A$1),MONTH($A$1),1))</f>
        <v>0</v>
      </c>
      <c r="Q100" s="331">
        <f>COUNTIFS(РД[Тип кв],Q$95,РД[МОП],$A100,РД[Дом],$C$94,РД[Дата подачи на регистрацию],"&lt;="&amp;$A$1,РД[Дата подачи на регистрацию],"&gt;="&amp;DATE(YEAR($A$1),MONTH($A$1),1))</f>
        <v>0</v>
      </c>
      <c r="R100" s="65"/>
      <c r="S100" s="65"/>
    </row>
    <row r="101" spans="1:19">
      <c r="A101" s="154" t="s">
        <v>29</v>
      </c>
      <c r="B101" s="861" t="str">
        <f>IFERROR(VLOOKUP(A101,'Индивидуальный план'!$N$3:$P$14,2,0),"")</f>
        <v/>
      </c>
      <c r="C101" s="862" t="str">
        <f>IFERROR(VLOOKUP(A101,'Индивидуальный план'!$N$3:$P$14,3,0),"")</f>
        <v/>
      </c>
      <c r="D101" s="863"/>
      <c r="E101" s="341">
        <f>SUMIFS(февр23141113161718[м2],февр23141113161718[МОП],$A101,февр23141113161718[№ дома],$C$94,февр23141113161718[Комнатность],"&lt;&gt;Офис")</f>
        <v>0</v>
      </c>
      <c r="F101" s="277">
        <f>SUMIFS(февр23141113161718[Сумма без отделки],февр23141113161718[МОП],$A101,февр23141113161718[№ дома],$C$94,февр23141113161718[Комнатность],"&lt;&gt;Офис")</f>
        <v>0</v>
      </c>
      <c r="G101" s="405">
        <f>COUNTIFS(февр23141113161718[МОП],$A101,февр23141113161718[№ дома],$C$94,февр23141113161718[Комнатность],"&lt;&gt;Офис")</f>
        <v>0</v>
      </c>
      <c r="H101" s="159">
        <f>SUMIFS(РД[S],РД[Дом],$C$94,РД[МОП],A101,РД[Дата подачи на регистрацию],"&lt;="&amp;$A$1,РД[Дата подачи на регистрацию],"&gt;="&amp;DATE(YEAR($A$1),MONTH($A$1),1),РД[Состояние],"Продажа")</f>
        <v>0</v>
      </c>
      <c r="I101" s="160">
        <f>SUMIFS(РД[Стоимость без отделки итог],РД[Дом],$C$94,РД[МОП],A101,РД[Дата подачи на регистрацию],"&lt;="&amp;$A$1,РД[Дата подачи на регистрацию],"&gt;="&amp;DATE(YEAR($A$1),MONTH($A$1),1),РД[Состояние],"Продажа")</f>
        <v>0</v>
      </c>
      <c r="J101" s="228">
        <f>COUNTIFS(РД[Дом],$C$94,РД[МОП],A101,РД[Дата подачи на регистрацию],"&lt;="&amp;$A$1,РД[Дата подачи на регистрацию],"&gt;="&amp;DATE(YEAR($A$1),MONTH($A$1),1),РД[Состояние],"Продажа")</f>
        <v>0</v>
      </c>
      <c r="K101" s="229" t="str">
        <f t="shared" ref="K101:K103" si="5">IFERROR(H101/B101,"")</f>
        <v/>
      </c>
      <c r="L101" s="230" t="str">
        <f t="shared" ref="L101:L103" si="6">IFERROR(I101/C101,"")</f>
        <v/>
      </c>
      <c r="M101" s="159">
        <f>COUNTIFS(РД[Тип кв],M$95,РД[МОП],$A101,РД[Дом],$C$94,РД[Дата подачи на регистрацию],"&lt;="&amp;$A$1,РД[Дата подачи на регистрацию],"&gt;="&amp;DATE(YEAR($A$1),MONTH($A$1),1))</f>
        <v>0</v>
      </c>
      <c r="N101" s="228">
        <f>COUNTIFS(РД[Тип кв],N$95,РД[МОП],$A101,РД[Дом],$C$94,РД[Дата подачи на регистрацию],"&lt;="&amp;$A$1,РД[Дата подачи на регистрацию],"&gt;="&amp;DATE(YEAR($A$1),MONTH($A$1),1))</f>
        <v>0</v>
      </c>
      <c r="O101" s="228">
        <f>COUNTIFS(РД[Тип кв],O$95,РД[МОП],$A101,РД[Дом],$C$94,РД[Дата подачи на регистрацию],"&lt;="&amp;$A$1,РД[Дата подачи на регистрацию],"&gt;="&amp;DATE(YEAR($A$1),MONTH($A$1),1))</f>
        <v>0</v>
      </c>
      <c r="P101" s="228">
        <f>COUNTIFS(РД[Тип кв],P$95,РД[МОП],$A101,РД[Дом],$C$94,РД[Дата подачи на регистрацию],"&lt;="&amp;$A$1,РД[Дата подачи на регистрацию],"&gt;="&amp;DATE(YEAR($A$1),MONTH($A$1),1))</f>
        <v>0</v>
      </c>
      <c r="Q101" s="231">
        <f>COUNTIFS(РД[Тип кв],Q$95,РД[МОП],$A101,РД[Дом],$C$94,РД[Дата подачи на регистрацию],"&lt;="&amp;$A$1,РД[Дата подачи на регистрацию],"&gt;="&amp;DATE(YEAR($A$1),MONTH($A$1),1))</f>
        <v>0</v>
      </c>
      <c r="R101" s="65"/>
      <c r="S101" s="65"/>
    </row>
    <row r="102" spans="1:19">
      <c r="A102" s="161" t="s">
        <v>1207</v>
      </c>
      <c r="B102" s="278" t="str">
        <f>IFERROR(VLOOKUP(A102,'Индивидуальный план'!$N$3:$P$14,2,0),"")</f>
        <v/>
      </c>
      <c r="C102" s="281" t="str">
        <f>IFERROR(VLOOKUP(A102,'Индивидуальный план'!$N$3:$P$14,3,0),"")</f>
        <v/>
      </c>
      <c r="D102" s="511"/>
      <c r="E102" s="406">
        <f>SUMIFS(февр23141113161718[м2],февр23141113161718[МОП],$A102,февр23141113161718[№ дома],$C$94,февр23141113161718[Комнатность],"&lt;&gt;Офис")</f>
        <v>111.87</v>
      </c>
      <c r="F102" s="281">
        <f>SUMIFS(февр23141113161718[Сумма без отделки],февр23141113161718[МОП],$A102,февр23141113161718[№ дома],$C$94,февр23141113161718[Комнатность],"&lt;&gt;Офис")</f>
        <v>11048392.73</v>
      </c>
      <c r="G102" s="407">
        <f>COUNTIFS(февр23141113161718[МОП],$A102,февр23141113161718[№ дома],$C$94,февр23141113161718[Комнатность],"&lt;&gt;Офис")</f>
        <v>3</v>
      </c>
      <c r="H102" s="166">
        <f>SUMIFS(РД[S],РД[Дом],$C$94,РД[МОП],A102,РД[Дата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167">
        <f>SUMIFS(РД[Стоимость без отделки итог],РД[Дом],$C$94,РД[МОП],A102,РД[Дата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32">
        <f>COUNTIFS(РД[Дом],$C$94,РД[МОП],A102,РД[Дата подачи на регистрацию],"&lt;="&amp;$A$1,РД[Дата подачи на регистрацию],"&gt;="&amp;DATE(YEAR($A$1),MONTH($A$1),1),РД[Состояние],"Продажа")</f>
        <v>0</v>
      </c>
      <c r="K102" s="233" t="str">
        <f t="shared" si="5"/>
        <v/>
      </c>
      <c r="L102" s="234" t="str">
        <f t="shared" si="6"/>
        <v/>
      </c>
      <c r="M102" s="166">
        <f>COUNTIFS(РД[Тип кв],M$95,РД[МОП],$A102,РД[Дом],$C$94,РД[Дата подачи на регистрацию],"&lt;="&amp;$A$1,РД[Дата подачи на регистрацию],"&gt;="&amp;DATE(YEAR($A$1),MONTH($A$1),1))</f>
        <v>0</v>
      </c>
      <c r="N102" s="232">
        <f>COUNTIFS(РД[Тип кв],N$95,РД[МОП],$A102,РД[Дом],$C$94,РД[Дата подачи на регистрацию],"&lt;="&amp;$A$1,РД[Дата подачи на регистрацию],"&gt;="&amp;DATE(YEAR($A$1),MONTH($A$1),1))</f>
        <v>0</v>
      </c>
      <c r="O102" s="232">
        <f>COUNTIFS(РД[Тип кв],O$95,РД[МОП],$A102,РД[Дом],$C$94,РД[Дата подачи на регистрацию],"&lt;="&amp;$A$1,РД[Дата подачи на регистрацию],"&gt;="&amp;DATE(YEAR($A$1),MONTH($A$1),1))</f>
        <v>0</v>
      </c>
      <c r="P102" s="232">
        <f>COUNTIFS(РД[Тип кв],P$95,РД[МОП],$A102,РД[Дом],$C$94,РД[Дата подачи на регистрацию],"&lt;="&amp;$A$1,РД[Дата подачи на регистрацию],"&gt;="&amp;DATE(YEAR($A$1),MONTH($A$1),1))</f>
        <v>0</v>
      </c>
      <c r="Q102" s="337">
        <f>COUNTIFS(РД[Тип кв],Q$95,РД[МОП],$A102,РД[Дом],$C$94,РД[Дата подачи на регистрацию],"&lt;="&amp;$A$1,РД[Дата подачи на регистрацию],"&gt;="&amp;DATE(YEAR($A$1),MONTH($A$1),1))</f>
        <v>0</v>
      </c>
      <c r="R102" s="65"/>
      <c r="S102" s="65"/>
    </row>
    <row r="103" spans="1:19">
      <c r="A103" s="168" t="s">
        <v>114</v>
      </c>
      <c r="B103" s="172">
        <f t="shared" ref="B103:J103" si="7">SUM(B96:B102)</f>
        <v>1487</v>
      </c>
      <c r="C103" s="173">
        <f t="shared" si="7"/>
        <v>132348923.0184</v>
      </c>
      <c r="D103" s="691">
        <f t="shared" si="7"/>
        <v>0</v>
      </c>
      <c r="E103" s="173">
        <f t="shared" si="7"/>
        <v>1850.4099999999999</v>
      </c>
      <c r="F103" s="173">
        <f t="shared" si="7"/>
        <v>164678184.56</v>
      </c>
      <c r="G103" s="171">
        <f t="shared" si="7"/>
        <v>39</v>
      </c>
      <c r="H103" s="172">
        <f t="shared" si="7"/>
        <v>1756.9499999999998</v>
      </c>
      <c r="I103" s="173">
        <f t="shared" si="7"/>
        <v>155400043.59999999</v>
      </c>
      <c r="J103" s="170">
        <f t="shared" si="7"/>
        <v>37</v>
      </c>
      <c r="K103" s="238">
        <f t="shared" si="5"/>
        <v>1.181540013449899</v>
      </c>
      <c r="L103" s="501">
        <f t="shared" si="6"/>
        <v>1.174169309850714</v>
      </c>
      <c r="M103" s="169">
        <f>SUM(M96:M102)</f>
        <v>7</v>
      </c>
      <c r="N103" s="170">
        <f>SUM(N96:N102)</f>
        <v>16</v>
      </c>
      <c r="O103" s="170">
        <f>SUM(O96:O102)</f>
        <v>11</v>
      </c>
      <c r="P103" s="170">
        <f>SUM(P96:P102)</f>
        <v>5</v>
      </c>
      <c r="Q103" s="691">
        <f>SUM(Q96:Q102)</f>
        <v>0</v>
      </c>
      <c r="R103" s="65"/>
      <c r="S103" s="65"/>
    </row>
    <row r="104" spans="1:19">
      <c r="A104" s="692" t="s">
        <v>115</v>
      </c>
      <c r="B104" s="706" t="s">
        <v>100</v>
      </c>
      <c r="C104" s="710" t="s">
        <v>97</v>
      </c>
      <c r="D104" s="708" t="s">
        <v>95</v>
      </c>
      <c r="E104" s="295" t="s">
        <v>494</v>
      </c>
      <c r="F104" s="138" t="s">
        <v>495</v>
      </c>
      <c r="G104" s="470" t="s">
        <v>496</v>
      </c>
      <c r="H104" s="140" t="s">
        <v>101</v>
      </c>
      <c r="I104" s="141" t="s">
        <v>98</v>
      </c>
      <c r="J104" s="141" t="s">
        <v>96</v>
      </c>
      <c r="K104" s="495" t="s">
        <v>715</v>
      </c>
      <c r="L104" s="896" t="s">
        <v>716</v>
      </c>
      <c r="M104" s="217">
        <v>0</v>
      </c>
      <c r="N104" s="218">
        <v>1</v>
      </c>
      <c r="O104" s="218">
        <v>2</v>
      </c>
      <c r="P104" s="218">
        <v>3</v>
      </c>
      <c r="Q104" s="219" t="s">
        <v>1367</v>
      </c>
      <c r="R104" s="65"/>
      <c r="S104" s="65"/>
    </row>
    <row r="105" spans="1:19">
      <c r="A105" s="142" t="s">
        <v>16</v>
      </c>
      <c r="B105" s="291">
        <f>IFERROR(VLOOKUP(A105,'Индивидуальный план'!$N$3:$P$14,2,0),"")</f>
        <v>492</v>
      </c>
      <c r="C105" s="292">
        <f>IFERROR(VLOOKUP(A105,'Индивидуальный план'!$N$3:$P$14,3,0),"")</f>
        <v>43789959.729999997</v>
      </c>
      <c r="D105" s="694"/>
      <c r="E105" s="145">
        <f>SUMIFS(февр23141113161718[м2],февр23141113161718[ИМ],A105,февр23141113161718[№ дома],$C$94,февр23141113161718[Комнатность],"&lt;&gt;Офис")</f>
        <v>997.88000000000011</v>
      </c>
      <c r="F105" s="149">
        <f>SUMIFS(февр23141113161718[Сумма без отделки],февр23141113161718[ИМ],$A105,февр23141113161718[№ дома],$C$94,февр23141113161718[Комнатность],"&lt;&gt;Офис")</f>
        <v>86974624.539999977</v>
      </c>
      <c r="G105" s="147">
        <f>COUNTIFS(февр23141113161718[ИМ],$A105,февр23141113161718[№ дома],$C$94,февр23141113161718[Комнатность],"&lt;&gt;Офис")</f>
        <v>21</v>
      </c>
      <c r="H105" s="183">
        <f>SUMIFS(РД[S],РД[Дом],$C$94,РД[ИМ],A105,РД[Дата подачи на регистрацию],"&lt;="&amp;$A$1,РД[Дата подачи на регистрацию],"&gt;="&amp;DATE(YEAR($A$1),MONTH($A$1),1),РД[Состояние],"Продажа")</f>
        <v>963.04000000000019</v>
      </c>
      <c r="I105" s="184">
        <f>SUMIFS(РД[Стоимость без отделки итог],РД[Дом],$C$94,РД[ИМ],A105,РД[Дата подачи на регистрацию],"&lt;="&amp;$A$1,РД[Дата подачи на регистрацию],"&gt;="&amp;DATE(YEAR($A$1),MONTH($A$1),1),РД[Состояние],"Продажа")</f>
        <v>83416608.279999986</v>
      </c>
      <c r="J105" s="243">
        <f>COUNTIFS(РД[Дом],$C$94,РД[ИМ],A105,РД[Дата подачи на регистрацию],"&lt;="&amp;$A$1,РД[Дата подачи на регистрацию],"&gt;="&amp;DATE(YEAR($A$1),MONTH($A$1),1),РД[Состояние],"Продажа")</f>
        <v>20</v>
      </c>
      <c r="K105" s="244">
        <f t="shared" ref="K105:L107" si="8">IFERROR(H105/B105,"")</f>
        <v>1.9573983739837402</v>
      </c>
      <c r="L105" s="258">
        <f t="shared" si="8"/>
        <v>1.9049254394004895</v>
      </c>
      <c r="M105" s="358">
        <f>COUNTIFS(РД[Тип кв],M$104,РД[ИМ],$A105,РД[Дом],$C$94,РД[Дата подачи на регистрацию],"&lt;="&amp;$A$1,РД[Дата подачи на регистрацию],"&gt;="&amp;DATE(YEAR($A$1),MONTH($A$1),1))</f>
        <v>5</v>
      </c>
      <c r="N105" s="330">
        <f>COUNTIFS(РД[Тип кв],N$104,РД[ИМ],$A105,РД[Дом],$C$94,РД[Дата подачи на регистрацию],"&lt;="&amp;$A$1,РД[Дата подачи на регистрацию],"&gt;="&amp;DATE(YEAR($A$1),MONTH($A$1),1))</f>
        <v>7</v>
      </c>
      <c r="O105" s="330">
        <f>COUNTIFS(РД[Тип кв],O$104,РД[ИМ],$A105,РД[Дом],$C$94,РД[Дата подачи на регистрацию],"&lt;="&amp;$A$1,РД[Дата подачи на регистрацию],"&gt;="&amp;DATE(YEAR($A$1),MONTH($A$1),1))</f>
        <v>6</v>
      </c>
      <c r="P105" s="330">
        <f>COUNTIFS(РД[Тип кв],P$104,РД[ИМ],$A105,РД[Дом],$C$94,РД[Дата подачи на регистрацию],"&lt;="&amp;$A$1,РД[Дата подачи на регистрацию],"&gt;="&amp;DATE(YEAR($A$1),MONTH($A$1),1))</f>
        <v>3</v>
      </c>
      <c r="Q105" s="331">
        <f>COUNTIFS(РД[Тип кв],Q$104,РД[ИМ],$A105,РД[Дом],$C$94,РД[Дата подачи на регистрацию],"&lt;="&amp;$A$1,РД[Дата подачи на регистрацию],"&gt;="&amp;DATE(YEAR($A$1),MONTH($A$1),1))</f>
        <v>0</v>
      </c>
      <c r="R105" s="65"/>
      <c r="S105" s="65"/>
    </row>
    <row r="106" spans="1:19">
      <c r="A106" s="153" t="s">
        <v>22</v>
      </c>
      <c r="B106" s="516">
        <f>IFERROR(VLOOKUP(A106,'Индивидуальный план'!$N$3:$P$14,2,0),"")</f>
        <v>492</v>
      </c>
      <c r="C106" s="554">
        <f>IFERROR(VLOOKUP(A106,'Индивидуальный план'!$N$3:$P$14,3,0),"")</f>
        <v>43789959.729999997</v>
      </c>
      <c r="D106" s="695"/>
      <c r="E106" s="145">
        <f>SUMIFS(февр23141113161718[м2],февр23141113161718[ИМ],A106,февр23141113161718[№ дома],$C$94,февр23141113161718[Комнатность],"&lt;&gt;Офис")</f>
        <v>852.53</v>
      </c>
      <c r="F106" s="149">
        <f>SUMIFS(февр23141113161718[Сумма без отделки],февр23141113161718[ИМ],$A106,февр23141113161718[№ дома],$C$94,февр23141113161718[Комнатность],"&lt;&gt;Офис")</f>
        <v>77703560.019999996</v>
      </c>
      <c r="G106" s="147">
        <f>COUNTIFS(февр23141113161718[ИМ],$A106,февр23141113161718[№ дома],$C$94,февр23141113161718[Комнатность],"&lt;&gt;Офис")</f>
        <v>18</v>
      </c>
      <c r="H106" s="195">
        <f>SUMIFS(РД[S],РД[Дом],$C$94,РД[ИМ],A106,РД[Дата подачи на регистрацию],"&lt;="&amp;$A$1,РД[Дата подачи на регистрацию],"&gt;="&amp;DATE(YEAR($A$1),MONTH($A$1),1),РД[Состояние],"Продажа")</f>
        <v>793.91</v>
      </c>
      <c r="I106" s="196">
        <f>SUMIFS(РД[Стоимость без отделки итог],РД[Дом],$C$94,РД[ИМ],A106,РД[Дата подачи на регистрацию],"&lt;="&amp;$A$1,РД[Дата подачи на регистрацию],"&gt;="&amp;DATE(YEAR($A$1),MONTH($A$1),1),РД[Состояние],"Продажа")</f>
        <v>71983435.320000008</v>
      </c>
      <c r="J106" s="251">
        <f>COUNTIFS(РД[Дом],$C$94,РД[ИМ],A106,РД[Дата подачи на регистрацию],"&lt;="&amp;$A$1,РД[Дата подачи на регистрацию],"&gt;="&amp;DATE(YEAR($A$1),MONTH($A$1),1),РД[Состояние],"Продажа")</f>
        <v>17</v>
      </c>
      <c r="K106" s="252">
        <f t="shared" si="8"/>
        <v>1.6136382113821137</v>
      </c>
      <c r="L106" s="260">
        <f t="shared" si="8"/>
        <v>1.6438342433707467</v>
      </c>
      <c r="M106" s="358">
        <f>COUNTIFS(РД[Тип кв],M$104,РД[ИМ],$A106,РД[Дом],$C$94,РД[Дата подачи на регистрацию],"&lt;="&amp;$A$1,РД[Дата подачи на регистрацию],"&gt;="&amp;DATE(YEAR($A$1),MONTH($A$1),1))</f>
        <v>2</v>
      </c>
      <c r="N106" s="330">
        <f>COUNTIFS(РД[Тип кв],N$104,РД[ИМ],$A106,РД[Дом],$C$94,РД[Дата подачи на регистрацию],"&lt;="&amp;$A$1,РД[Дата подачи на регистрацию],"&gt;="&amp;DATE(YEAR($A$1),MONTH($A$1),1))</f>
        <v>9</v>
      </c>
      <c r="O106" s="330">
        <f>COUNTIFS(РД[Тип кв],O$104,РД[ИМ],$A106,РД[Дом],$C$94,РД[Дата подачи на регистрацию],"&lt;="&amp;$A$1,РД[Дата подачи на регистрацию],"&gt;="&amp;DATE(YEAR($A$1),MONTH($A$1),1))</f>
        <v>5</v>
      </c>
      <c r="P106" s="330">
        <f>COUNTIFS(РД[Тип кв],P$104,РД[ИМ],$A106,РД[Дом],$C$94,РД[Дата подачи на регистрацию],"&lt;="&amp;$A$1,РД[Дата подачи на регистрацию],"&gt;="&amp;DATE(YEAR($A$1),MONTH($A$1),1))</f>
        <v>2</v>
      </c>
      <c r="Q106" s="331">
        <f>COUNTIFS(РД[Тип кв],Q$104,РД[ИМ],$A106,РД[Дом],$C$94,РД[Дата подачи на регистрацию],"&lt;="&amp;$A$1,РД[Дата подачи на регистрацию],"&gt;="&amp;DATE(YEAR($A$1),MONTH($A$1),1))</f>
        <v>0</v>
      </c>
      <c r="R106" s="65"/>
      <c r="S106" s="65"/>
    </row>
    <row r="107" spans="1:19">
      <c r="A107" s="317" t="s">
        <v>114</v>
      </c>
      <c r="B107" s="172">
        <f t="shared" ref="B107:Q107" si="9">SUM(B105:B106)</f>
        <v>984</v>
      </c>
      <c r="C107" s="173">
        <f t="shared" si="9"/>
        <v>87579919.459999993</v>
      </c>
      <c r="D107" s="696">
        <f t="shared" si="9"/>
        <v>0</v>
      </c>
      <c r="E107" s="484">
        <f t="shared" si="9"/>
        <v>1850.41</v>
      </c>
      <c r="F107" s="429">
        <f t="shared" si="9"/>
        <v>164678184.55999997</v>
      </c>
      <c r="G107" s="485">
        <f t="shared" si="9"/>
        <v>39</v>
      </c>
      <c r="H107" s="473">
        <f t="shared" si="9"/>
        <v>1756.9500000000003</v>
      </c>
      <c r="I107" s="429">
        <f t="shared" si="9"/>
        <v>155400043.59999999</v>
      </c>
      <c r="J107" s="494">
        <f t="shared" si="9"/>
        <v>37</v>
      </c>
      <c r="K107" s="419">
        <f t="shared" si="8"/>
        <v>1.7855182926829272</v>
      </c>
      <c r="L107" s="507">
        <f t="shared" si="8"/>
        <v>1.774379841385618</v>
      </c>
      <c r="M107" s="473">
        <f t="shared" si="9"/>
        <v>7</v>
      </c>
      <c r="N107" s="494">
        <f t="shared" si="9"/>
        <v>16</v>
      </c>
      <c r="O107" s="494">
        <f t="shared" si="9"/>
        <v>11</v>
      </c>
      <c r="P107" s="494">
        <f t="shared" si="9"/>
        <v>5</v>
      </c>
      <c r="Q107" s="497">
        <f t="shared" si="9"/>
        <v>0</v>
      </c>
      <c r="R107" s="65"/>
      <c r="S107" s="65"/>
    </row>
    <row r="108" spans="1:19">
      <c r="A108" s="134"/>
      <c r="B108" s="197"/>
      <c r="C108" s="197"/>
      <c r="D108" s="198"/>
      <c r="E108" s="134"/>
      <c r="F108" s="44"/>
      <c r="G108" s="134"/>
      <c r="H108" s="134"/>
      <c r="I108" s="44"/>
      <c r="J108" s="134"/>
      <c r="K108" s="255"/>
      <c r="L108" s="256"/>
      <c r="M108" s="134"/>
      <c r="N108" s="134"/>
      <c r="O108" s="134"/>
      <c r="P108" s="134"/>
      <c r="Q108" s="134"/>
      <c r="R108" s="65"/>
      <c r="S108" s="65"/>
    </row>
    <row r="109" spans="1:19">
      <c r="A109" s="2327" t="s">
        <v>713</v>
      </c>
      <c r="B109" s="2328"/>
      <c r="C109" s="474" t="s">
        <v>13</v>
      </c>
      <c r="D109" s="697"/>
      <c r="E109" s="475"/>
      <c r="F109" s="475"/>
      <c r="G109" s="475"/>
      <c r="H109" s="476"/>
      <c r="I109" s="476"/>
      <c r="J109" s="476"/>
      <c r="K109" s="476"/>
      <c r="L109" s="476"/>
      <c r="M109" s="475"/>
      <c r="N109" s="475"/>
      <c r="O109" s="475"/>
      <c r="P109" s="475"/>
      <c r="Q109" s="86"/>
      <c r="R109" s="65"/>
      <c r="S109" s="65"/>
    </row>
    <row r="110" spans="1:19">
      <c r="A110" s="698" t="s">
        <v>1</v>
      </c>
      <c r="B110" s="699" t="s">
        <v>100</v>
      </c>
      <c r="C110" s="700" t="s">
        <v>97</v>
      </c>
      <c r="D110" s="701" t="s">
        <v>95</v>
      </c>
      <c r="E110" s="137" t="s">
        <v>494</v>
      </c>
      <c r="F110" s="477" t="s">
        <v>495</v>
      </c>
      <c r="G110" s="478" t="s">
        <v>496</v>
      </c>
      <c r="H110" s="479" t="s">
        <v>101</v>
      </c>
      <c r="I110" s="479" t="s">
        <v>98</v>
      </c>
      <c r="J110" s="479" t="s">
        <v>96</v>
      </c>
      <c r="K110" s="479" t="s">
        <v>715</v>
      </c>
      <c r="L110" s="479" t="s">
        <v>716</v>
      </c>
      <c r="M110" s="499">
        <v>0</v>
      </c>
      <c r="N110" s="340">
        <v>1</v>
      </c>
      <c r="O110" s="340">
        <v>2</v>
      </c>
      <c r="P110" s="340">
        <v>3</v>
      </c>
      <c r="Q110" s="500" t="s">
        <v>1367</v>
      </c>
      <c r="R110" s="65"/>
      <c r="S110" s="65"/>
    </row>
    <row r="111" spans="1:19">
      <c r="A111" s="177" t="s">
        <v>73</v>
      </c>
      <c r="B111" s="291">
        <f>IFERROR(VLOOKUP(A111,'Индивидуальный план'!$N$16:$P$27,2,0),"")</f>
        <v>0</v>
      </c>
      <c r="C111" s="292">
        <f>IFERROR(VLOOKUP(A111,'Индивидуальный план'!$N$16:$P$27,3,0),"")</f>
        <v>0</v>
      </c>
      <c r="D111" s="876"/>
      <c r="E111" s="145">
        <f>SUMIFS(февр23141113161718[м2],февр23141113161718[МОП],$A111,февр23141113161718[№ дома],$C$109,февр23141113161718[Комнатность],"&lt;&gt;Офис")</f>
        <v>0</v>
      </c>
      <c r="F111" s="146">
        <f>SUMIFS(февр23141113161718[Сумма без отделки],февр23141113161718[МОП],$A111,февр23141113161718[№ дома],$C$109,февр23141113161718[Комнатность],"&lt;&gt;Офис")</f>
        <v>0</v>
      </c>
      <c r="G111" s="147">
        <f>COUNTIFS(февр23141113161718[МОП],$A111,февр23141113161718[№ дома],$C$109,февр23141113161718[Комнатность],"&lt;&gt;Офис")</f>
        <v>0</v>
      </c>
      <c r="H111" s="148">
        <f>SUMIFS(РД[S],РД[Дом],$C$109,РД[МОП],A111,РД[Дата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149">
        <f>SUMIFS(РД[Стоимость без отделки итог],РД[Дом],$C$109,РД[МОП],A111,РД[Дата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20">
        <f>COUNTIFS(РД[Дом],$C$109,РД[МОП],A111,РД[Дата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K111" s="221">
        <f t="shared" ref="K111" si="10">IFERROR(H111/B111,)</f>
        <v>0</v>
      </c>
      <c r="L111" s="222">
        <f t="shared" ref="L111" si="11">IFERROR(I111/C111,)</f>
        <v>0</v>
      </c>
      <c r="M111" s="145">
        <f>COUNTIFS(РД[Тип кв],M$110,РД[МОП],$A111,РД[Дом],$C$109,РД[Дата подачи на регистрацию],"&lt;="&amp;$A$1,РД[Дата подачи на регистрацию],"&gt;="&amp;DATE(YEAR($A$1),MONTH($A$1),1))</f>
        <v>0</v>
      </c>
      <c r="N111" s="220">
        <f>COUNTIFS(РД[Тип кв],N$110,РД[МОП],$A111,РД[Дом],$C$109,РД[Дата подачи на регистрацию],"&lt;="&amp;$A$1,РД[Дата подачи на регистрацию],"&gt;="&amp;DATE(YEAR($A$1),MONTH($A$1),1))</f>
        <v>0</v>
      </c>
      <c r="O111" s="220">
        <f>COUNTIFS(РД[Тип кв],O$110,РД[МОП],$A111,РД[Дом],$C$109,РД[Дата подачи на регистрацию],"&lt;="&amp;$A$1,РД[Дата подачи на регистрацию],"&gt;="&amp;DATE(YEAR($A$1),MONTH($A$1),1))</f>
        <v>0</v>
      </c>
      <c r="P111" s="220">
        <f>COUNTIFS(РД[Тип кв],P$110,РД[МОП],$A111,РД[Дом],$C$109,РД[Дата подачи на регистрацию],"&lt;="&amp;$A$1,РД[Дата подачи на регистрацию],"&gt;="&amp;DATE(YEAR($A$1),MONTH($A$1),1))</f>
        <v>0</v>
      </c>
      <c r="Q111" s="223">
        <f>COUNTIFS(РД[Тип кв],Q$110,РД[МОП],$A111,РД[Дом],$C$109,РД[Дата подачи на регистрацию],"&lt;="&amp;$A$1,РД[Дата подачи на регистрацию],"&gt;="&amp;DATE(YEAR($A$1),MONTH($A$1),1))</f>
        <v>0</v>
      </c>
      <c r="R111" s="65"/>
      <c r="S111" s="65"/>
    </row>
    <row r="112" spans="1:19">
      <c r="A112" s="398" t="s">
        <v>8</v>
      </c>
      <c r="B112" s="271">
        <f>IFERROR(VLOOKUP(A112,'Индивидуальный план'!$N$16:$P$27,2,0),"")</f>
        <v>0</v>
      </c>
      <c r="C112" s="52">
        <f>IFERROR(VLOOKUP(A112,'Индивидуальный план'!$N$16:$P$27,3,0),"")</f>
        <v>0</v>
      </c>
      <c r="D112" s="327"/>
      <c r="E112" s="257">
        <f>SUMIFS(февр23141113161718[м2],февр23141113161718[МОП],$A112,февр23141113161718[№ дома],$C$109,февр23141113161718[Комнатность],"&lt;&gt;Офис")</f>
        <v>0</v>
      </c>
      <c r="F112" s="52">
        <f>SUMIFS(февр23141113161718[Сумма без отделки],февр23141113161718[МОП],$A112,февр23141113161718[№ дома],$C$109,февр23141113161718[Комнатность],"&lt;&gt;Офис")</f>
        <v>0</v>
      </c>
      <c r="G112" s="413">
        <f>COUNTIFS(февр23141113161718[МОП],$A112,февр23141113161718[№ дома],$C$109,февр23141113161718[Комнатность],"&lt;&gt;Офис")</f>
        <v>0</v>
      </c>
      <c r="H112" s="202">
        <f>SUMIFS(РД[S],РД[Дом],$C$109,РД[МОП],A112,РД[Дата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I112" s="203">
        <f>SUMIFS(РД[Стоимость без отделки итог],РД[Дом],$C$109,РД[МОП],A112,РД[Дата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J112" s="226">
        <f>COUNTIFS(РД[Дом],$C$109,РД[МОП],A112,РД[Дата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K112" s="224">
        <f t="shared" ref="K112:L114" si="12">IFERROR(H112/B112,)</f>
        <v>0</v>
      </c>
      <c r="L112" s="225">
        <f t="shared" si="12"/>
        <v>0</v>
      </c>
      <c r="M112" s="257">
        <f>COUNTIFS(РД[Тип кв],M$110,РД[МОП],$A112,РД[Дом],$C$109,РД[Дата подачи на регистрацию],"&lt;="&amp;$A$1,РД[Дата подачи на регистрацию],"&gt;="&amp;DATE(YEAR($A$1),MONTH($A$1),1))</f>
        <v>0</v>
      </c>
      <c r="N112" s="226">
        <f>COUNTIFS(РД[Тип кв],N$110,РД[МОП],$A112,РД[Дом],$C$109,РД[Дата подачи на регистрацию],"&lt;="&amp;$A$1,РД[Дата подачи на регистрацию],"&gt;="&amp;DATE(YEAR($A$1),MONTH($A$1),1))</f>
        <v>0</v>
      </c>
      <c r="O112" s="226">
        <f>COUNTIFS(РД[Тип кв],O$110,РД[МОП],$A112,РД[Дом],$C$109,РД[Дата подачи на регистрацию],"&lt;="&amp;$A$1,РД[Дата подачи на регистрацию],"&gt;="&amp;DATE(YEAR($A$1),MONTH($A$1),1))</f>
        <v>0</v>
      </c>
      <c r="P112" s="226">
        <f>COUNTIFS(РД[Тип кв],P$110,РД[МОП],$A112,РД[Дом],$C$109,РД[Дата подачи на регистрацию],"&lt;="&amp;$A$1,РД[Дата подачи на регистрацию],"&gt;="&amp;DATE(YEAR($A$1),MONTH($A$1),1))</f>
        <v>0</v>
      </c>
      <c r="Q112" s="227">
        <f>COUNTIFS(РД[Тип кв],Q$110,РД[МОП],$A112,РД[Дом],$C$109,РД[Дата подачи на регистрацию],"&lt;="&amp;$A$1,РД[Дата подачи на регистрацию],"&gt;="&amp;DATE(YEAR($A$1),MONTH($A$1),1))</f>
        <v>0</v>
      </c>
      <c r="R112" s="65"/>
      <c r="S112" s="65"/>
    </row>
    <row r="113" spans="1:20">
      <c r="A113" s="398" t="s">
        <v>77</v>
      </c>
      <c r="B113" s="271">
        <f>IFERROR(VLOOKUP(A113,'Индивидуальный план'!$N$16:$P$27,2,0),"")</f>
        <v>0</v>
      </c>
      <c r="C113" s="52">
        <f>IFERROR(VLOOKUP(A113,'Индивидуальный план'!$N$16:$P$27,3,0),"")</f>
        <v>0</v>
      </c>
      <c r="D113" s="327"/>
      <c r="E113" s="257">
        <f>SUMIFS(февр23141113161718[м2],февр23141113161718[МОП],$A113,февр23141113161718[№ дома],$C$109,февр23141113161718[Комнатность],"&lt;&gt;Офис")</f>
        <v>0</v>
      </c>
      <c r="F113" s="52">
        <f>SUMIFS(февр23141113161718[Сумма без отделки],февр23141113161718[МОП],$A113,февр23141113161718[№ дома],$C$109,февр23141113161718[Комнатность],"&lt;&gt;Офис")</f>
        <v>0</v>
      </c>
      <c r="G113" s="413">
        <f>COUNTIFS(февр23141113161718[МОП],$A113,февр23141113161718[№ дома],$C$109,февр23141113161718[Комнатность],"&lt;&gt;Офис")</f>
        <v>0</v>
      </c>
      <c r="H113" s="202">
        <f>SUMIFS(РД[S],РД[Дом],$C$109,РД[МОП],A113,РД[Дата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I113" s="203">
        <f>SUMIFS(РД[Стоимость без отделки итог],РД[Дом],$C$109,РД[МОП],A113,РД[Дата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J113" s="226">
        <f>COUNTIFS(РД[Дом],$C$109,РД[МОП],A113,РД[Дата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K113" s="224">
        <f t="shared" si="12"/>
        <v>0</v>
      </c>
      <c r="L113" s="225">
        <f t="shared" si="12"/>
        <v>0</v>
      </c>
      <c r="M113" s="257">
        <f>COUNTIFS(РД[Тип кв],M$110,РД[МОП],$A113,РД[Дом],$C$109,РД[Дата подачи на регистрацию],"&lt;="&amp;$A$1,РД[Дата подачи на регистрацию],"&gt;="&amp;DATE(YEAR($A$1),MONTH($A$1),1))</f>
        <v>0</v>
      </c>
      <c r="N113" s="226">
        <f>COUNTIFS(РД[Тип кв],N$110,РД[МОП],$A113,РД[Дом],$C$109,РД[Дата подачи на регистрацию],"&lt;="&amp;$A$1,РД[Дата подачи на регистрацию],"&gt;="&amp;DATE(YEAR($A$1),MONTH($A$1),1))</f>
        <v>0</v>
      </c>
      <c r="O113" s="226">
        <f>COUNTIFS(РД[Тип кв],O$110,РД[МОП],$A113,РД[Дом],$C$109,РД[Дата подачи на регистрацию],"&lt;="&amp;$A$1,РД[Дата подачи на регистрацию],"&gt;="&amp;DATE(YEAR($A$1),MONTH($A$1),1))</f>
        <v>0</v>
      </c>
      <c r="P113" s="226">
        <f>COUNTIFS(РД[Тип кв],P$110,РД[МОП],$A113,РД[Дом],$C$109,РД[Дата подачи на регистрацию],"&lt;="&amp;$A$1,РД[Дата подачи на регистрацию],"&gt;="&amp;DATE(YEAR($A$1),MONTH($A$1),1))</f>
        <v>0</v>
      </c>
      <c r="Q113" s="227">
        <f>COUNTIFS(РД[Тип кв],Q$110,РД[МОП],$A113,РД[Дом],$C$109,РД[Дата подачи на регистрацию],"&lt;="&amp;$A$1,РД[Дата подачи на регистрацию],"&gt;="&amp;DATE(YEAR($A$1),MONTH($A$1),1))</f>
        <v>0</v>
      </c>
      <c r="R113" s="65"/>
      <c r="S113" s="65"/>
    </row>
    <row r="114" spans="1:20">
      <c r="A114" s="398" t="s">
        <v>1233</v>
      </c>
      <c r="B114" s="271">
        <f>IFERROR(VLOOKUP(A114,'Индивидуальный план'!$N$16:$P$27,2,0),"")</f>
        <v>0</v>
      </c>
      <c r="C114" s="52">
        <f>IFERROR(VLOOKUP(A114,'Индивидуальный план'!$N$16:$P$27,3,0),"")</f>
        <v>0</v>
      </c>
      <c r="D114" s="327"/>
      <c r="E114" s="257">
        <f>SUMIFS(февр23141113161718[м2],февр23141113161718[МОП],$A114,февр23141113161718[№ дома],$C$109,февр23141113161718[Комнатность],"&lt;&gt;Офис")</f>
        <v>0</v>
      </c>
      <c r="F114" s="52">
        <f>SUMIFS(февр23141113161718[Сумма без отделки],февр23141113161718[МОП],$A114,февр23141113161718[№ дома],$C$109,февр23141113161718[Комнатность],"&lt;&gt;Офис")</f>
        <v>0</v>
      </c>
      <c r="G114" s="413">
        <f>COUNTIFS(февр23141113161718[МОП],$A114,февр23141113161718[№ дома],$C$109,февр23141113161718[Комнатность],"&lt;&gt;Офис")</f>
        <v>0</v>
      </c>
      <c r="H114" s="202">
        <f>SUMIFS(РД[S],РД[Дом],$C$109,РД[МОП],A114,РД[Дата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I114" s="203">
        <f>SUMIFS(РД[Стоимость без отделки итог],РД[Дом],$C$109,РД[МОП],A114,РД[Дата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J114" s="226">
        <f>COUNTIFS(РД[Дом],$C$109,РД[МОП],A114,РД[Дата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K114" s="224">
        <f t="shared" si="12"/>
        <v>0</v>
      </c>
      <c r="L114" s="225">
        <f t="shared" si="12"/>
        <v>0</v>
      </c>
      <c r="M114" s="257">
        <f>COUNTIFS(РД[Тип кв],M$110,РД[МОП],$A114,РД[Дом],$C$109,РД[Дата подачи на регистрацию],"&lt;="&amp;$A$1,РД[Дата подачи на регистрацию],"&gt;="&amp;DATE(YEAR($A$1),MONTH($A$1),1))</f>
        <v>0</v>
      </c>
      <c r="N114" s="226">
        <f>COUNTIFS(РД[Тип кв],N$110,РД[МОП],$A114,РД[Дом],$C$109,РД[Дата подачи на регистрацию],"&lt;="&amp;$A$1,РД[Дата подачи на регистрацию],"&gt;="&amp;DATE(YEAR($A$1),MONTH($A$1),1))</f>
        <v>0</v>
      </c>
      <c r="O114" s="226">
        <f>COUNTIFS(РД[Тип кв],O$110,РД[МОП],$A114,РД[Дом],$C$109,РД[Дата подачи на регистрацию],"&lt;="&amp;$A$1,РД[Дата подачи на регистрацию],"&gt;="&amp;DATE(YEAR($A$1),MONTH($A$1),1))</f>
        <v>0</v>
      </c>
      <c r="P114" s="226">
        <f>COUNTIFS(РД[Тип кв],P$110,РД[МОП],$A114,РД[Дом],$C$109,РД[Дата подачи на регистрацию],"&lt;="&amp;$A$1,РД[Дата подачи на регистрацию],"&gt;="&amp;DATE(YEAR($A$1),MONTH($A$1),1))</f>
        <v>0</v>
      </c>
      <c r="Q114" s="227">
        <f>COUNTIFS(РД[Тип кв],Q$110,РД[МОП],$A114,РД[Дом],$C$109,РД[Дата подачи на регистрацию],"&lt;="&amp;$A$1,РД[Дата подачи на регистрацию],"&gt;="&amp;DATE(YEAR($A$1),MONTH($A$1),1))</f>
        <v>0</v>
      </c>
      <c r="R114" s="65"/>
      <c r="S114" s="65"/>
    </row>
    <row r="115" spans="1:20">
      <c r="A115" s="153" t="s">
        <v>20</v>
      </c>
      <c r="B115" s="315">
        <f>IFERROR(VLOOKUP(A115,'Индивидуальный план'!$N$16:$P$27,2,0),"")</f>
        <v>0</v>
      </c>
      <c r="C115" s="363">
        <f>IFERROR(VLOOKUP(A115,'Индивидуальный план'!$N$16:$P$27,3,0),"")</f>
        <v>0</v>
      </c>
      <c r="D115" s="366"/>
      <c r="E115" s="329">
        <f>SUMIFS(февр23141113161718[м2],февр23141113161718[МОП],$A115,февр23141113161718[№ дома],$C$109,февр23141113161718[Комнатность],"&lt;&gt;Офис")</f>
        <v>0</v>
      </c>
      <c r="F115" s="363">
        <f>SUMIFS(февр23141113161718[Сумма без отделки],февр23141113161718[МОП],$A115,февр23141113161718[№ дома],$C$109,февр23141113161718[Комнатность],"&lt;&gt;Офис")</f>
        <v>0</v>
      </c>
      <c r="G115" s="414">
        <f>COUNTIFS(февр23141113161718[МОП],$A115,февр23141113161718[№ дома],$C$109,февр23141113161718[Комнатность],"&lt;&gt;Офис")</f>
        <v>0</v>
      </c>
      <c r="H115" s="358">
        <f>SUMIFS(РД[S],РД[Дом],$C$109,РД[МОП],A115,РД[Дата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I115" s="359">
        <f>SUMIFS(РД[Стоимость без отделки итог],РД[Дом],$C$109,РД[МОП],A115,РД[Дата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J115" s="330">
        <f>COUNTIFS(РД[Дом],$C$109,РД[МОП],A115,РД[Дата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K115" s="360">
        <f t="shared" ref="K115:K117" si="13">IFERROR(H115/B115,)</f>
        <v>0</v>
      </c>
      <c r="L115" s="361">
        <f t="shared" ref="L115:L117" si="14">IFERROR(I115/C115,)</f>
        <v>0</v>
      </c>
      <c r="M115" s="329">
        <f>COUNTIFS(РД[Тип кв],M$110,РД[МОП],$A115,РД[Дом],$C$109,РД[Дата подачи на регистрацию],"&lt;="&amp;$A$1,РД[Дата подачи на регистрацию],"&gt;="&amp;DATE(YEAR($A$1),MONTH($A$1),1))</f>
        <v>0</v>
      </c>
      <c r="N115" s="330">
        <f>COUNTIFS(РД[Тип кв],N$110,РД[МОП],$A115,РД[Дом],$C$109,РД[Дата подачи на регистрацию],"&lt;="&amp;$A$1,РД[Дата подачи на регистрацию],"&gt;="&amp;DATE(YEAR($A$1),MONTH($A$1),1))</f>
        <v>0</v>
      </c>
      <c r="O115" s="330">
        <f>COUNTIFS(РД[Тип кв],O$110,РД[МОП],$A115,РД[Дом],$C$109,РД[Дата подачи на регистрацию],"&lt;="&amp;$A$1,РД[Дата подачи на регистрацию],"&gt;="&amp;DATE(YEAR($A$1),MONTH($A$1),1))</f>
        <v>0</v>
      </c>
      <c r="P115" s="330">
        <f>COUNTIFS(РД[Тип кв],P$110,РД[МОП],$A115,РД[Дом],$C$109,РД[Дата подачи на регистрацию],"&lt;="&amp;$A$1,РД[Дата подачи на регистрацию],"&gt;="&amp;DATE(YEAR($A$1),MONTH($A$1),1))</f>
        <v>0</v>
      </c>
      <c r="Q115" s="331">
        <f>COUNTIFS(РД[Тип кв],Q$110,РД[МОП],$A115,РД[Дом],$C$109,РД[Дата подачи на регистрацию],"&lt;="&amp;$A$1,РД[Дата подачи на регистрацию],"&gt;="&amp;DATE(YEAR($A$1),MONTH($A$1),1))</f>
        <v>0</v>
      </c>
      <c r="R115" s="65"/>
      <c r="S115" s="65"/>
    </row>
    <row r="116" spans="1:20">
      <c r="A116" s="154" t="s">
        <v>29</v>
      </c>
      <c r="B116" s="274" t="str">
        <f>IFERROR(VLOOKUP(A116,'Индивидуальный план'!$N$3:$P$14,2,0),"")</f>
        <v/>
      </c>
      <c r="C116" s="277" t="str">
        <f>IFERROR(VLOOKUP(A116,'Индивидуальный план'!$N$3:$P$14,3,0),"")</f>
        <v/>
      </c>
      <c r="D116" s="690"/>
      <c r="E116" s="341">
        <f>SUMIFS(февр23141113161718[м2],февр23141113161718[МОП],$A116,февр23141113161718[№ дома],$C$109,февр23141113161718[Комнатность],"&lt;&gt;Офис")</f>
        <v>0</v>
      </c>
      <c r="F116" s="277">
        <f>SUMIFS(февр23141113161718[Сумма без отделки],февр23141113161718[МОП],$A116,февр23141113161718[№ дома],$C$109,февр23141113161718[Комнатность],"&lt;&gt;Офис")</f>
        <v>0</v>
      </c>
      <c r="G116" s="405">
        <f>COUNTIFS(февр23141113161718[МОП],$A116,февр23141113161718[№ дома],$C$109,февр23141113161718[Комнатность],"&lt;&gt;Офис")</f>
        <v>0</v>
      </c>
      <c r="H116" s="159">
        <f>SUMIFS(РД[S],РД[Дом],$C$109,РД[МОП],A116,РД[Дата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I116" s="160">
        <f>SUMIFS(РД[Стоимость без отделки итог],РД[Дом],$C$109,РД[МОП],A116,РД[Дата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J116" s="228">
        <f>COUNTIFS(РД[Дом],$C$109,РД[МОП],A116,РД[Дата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K116" s="229">
        <f t="shared" si="13"/>
        <v>0</v>
      </c>
      <c r="L116" s="230">
        <f t="shared" si="14"/>
        <v>0</v>
      </c>
      <c r="M116" s="341">
        <f>COUNTIFS(РД[Тип кв],M$110,РД[МОП],$A116,РД[Дом],$C$109,РД[Дата подачи на регистрацию],"&lt;="&amp;$A$1,РД[Дата подачи на регистрацию],"&gt;="&amp;DATE(YEAR($A$1),MONTH($A$1),1))</f>
        <v>0</v>
      </c>
      <c r="N116" s="228">
        <f>COUNTIFS(РД[Тип кв],N$110,РД[МОП],$A116,РД[Дом],$C$109,РД[Дата подачи на регистрацию],"&lt;="&amp;$A$1,РД[Дата подачи на регистрацию],"&gt;="&amp;DATE(YEAR($A$1),MONTH($A$1),1))</f>
        <v>0</v>
      </c>
      <c r="O116" s="228">
        <f>COUNTIFS(РД[Тип кв],O$110,РД[МОП],$A116,РД[Дом],$C$109,РД[Дата подачи на регистрацию],"&lt;="&amp;$A$1,РД[Дата подачи на регистрацию],"&gt;="&amp;DATE(YEAR($A$1),MONTH($A$1),1))</f>
        <v>0</v>
      </c>
      <c r="P116" s="228">
        <f>COUNTIFS(РД[Тип кв],P$110,РД[МОП],$A116,РД[Дом],$C$109,РД[Дата подачи на регистрацию],"&lt;="&amp;$A$1,РД[Дата подачи на регистрацию],"&gt;="&amp;DATE(YEAR($A$1),MONTH($A$1),1))</f>
        <v>0</v>
      </c>
      <c r="Q116" s="231">
        <f>COUNTIFS(РД[Тип кв],Q$110,РД[МОП],$A116,РД[Дом],$C$109,РД[Дата подачи на регистрацию],"&lt;="&amp;$A$1,РД[Дата подачи на регистрацию],"&gt;="&amp;DATE(YEAR($A$1),MONTH($A$1),1))</f>
        <v>0</v>
      </c>
      <c r="R116" s="65"/>
      <c r="S116" s="65"/>
    </row>
    <row r="117" spans="1:20">
      <c r="A117" s="161" t="s">
        <v>1207</v>
      </c>
      <c r="B117" s="278" t="str">
        <f>IFERROR(VLOOKUP(A117,'Индивидуальный план'!$N$3:$P$14,2,0),"")</f>
        <v/>
      </c>
      <c r="C117" s="281" t="str">
        <f>IFERROR(VLOOKUP(A117,'Индивидуальный план'!$N$3:$P$14,3,0),"")</f>
        <v/>
      </c>
      <c r="D117" s="511"/>
      <c r="E117" s="406">
        <f>SUMIFS(февр23141113161718[м2],февр23141113161718[МОП],$A117,февр23141113161718[№ дома],$C$109,февр23141113161718[Комнатность],"&lt;&gt;Офис")</f>
        <v>24.5</v>
      </c>
      <c r="F117" s="281">
        <f>SUMIFS(февр23141113161718[Сумма без отделки],февр23141113161718[МОП],$A117,февр23141113161718[№ дома],$C$109,февр23141113161718[Комнатность],"&lt;&gt;Офис")</f>
        <v>2232086.2200000002</v>
      </c>
      <c r="G117" s="407">
        <f>COUNTIFS(февр23141113161718[МОП],$A117,февр23141113161718[№ дома],$C$109,февр23141113161718[Комнатность],"&lt;&gt;Офис")</f>
        <v>1</v>
      </c>
      <c r="H117" s="166">
        <f>SUMIFS(РД[S],РД[Дом],$C$109,РД[МОП],A117,РД[Дата подачи на регистрацию],"&lt;="&amp;$A$1,РД[Дата подачи на регистрацию],"&gt;="&amp;DATE(YEAR($A$1),MONTH($A$1),1),РД[Состояние],"Продажа")</f>
        <v>0</v>
      </c>
      <c r="I117" s="167">
        <f>SUMIFS(РД[Стоимость без отделки итог],РД[Дом],$C$109,РД[МОП],A117,РД[Дата подачи на регистрацию],"&lt;="&amp;$A$1,РД[Дата подачи на регистрацию],"&gt;="&amp;DATE(YEAR($A$1),MONTH($A$1),1),РД[Состояние],"Продажа")</f>
        <v>0</v>
      </c>
      <c r="J117" s="232">
        <f>COUNTIFS(РД[Дом],$C$109,РД[МОП],A117,РД[Дата подачи на регистрацию],"&lt;="&amp;$A$1,РД[Дата подачи на регистрацию],"&gt;="&amp;DATE(YEAR($A$1),MONTH($A$1),1),РД[Состояние],"Продажа")</f>
        <v>0</v>
      </c>
      <c r="K117" s="233">
        <f t="shared" si="13"/>
        <v>0</v>
      </c>
      <c r="L117" s="234">
        <f t="shared" si="14"/>
        <v>0</v>
      </c>
      <c r="M117" s="406">
        <f>COUNTIFS(РД[Тип кв],M$110,РД[МОП],$A117,РД[Дом],$C$109,РД[Дата подачи на регистрацию],"&lt;="&amp;$A$1,РД[Дата подачи на регистрацию],"&gt;="&amp;DATE(YEAR($A$1),MONTH($A$1),1))</f>
        <v>0</v>
      </c>
      <c r="N117" s="232">
        <f>COUNTIFS(РД[Тип кв],N$110,РД[МОП],$A117,РД[Дом],$C$109,РД[Дата подачи на регистрацию],"&lt;="&amp;$A$1,РД[Дата подачи на регистрацию],"&gt;="&amp;DATE(YEAR($A$1),MONTH($A$1),1))</f>
        <v>0</v>
      </c>
      <c r="O117" s="232">
        <f>COUNTIFS(РД[Тип кв],O$110,РД[МОП],$A117,РД[Дом],$C$109,РД[Дата подачи на регистрацию],"&lt;="&amp;$A$1,РД[Дата подачи на регистрацию],"&gt;="&amp;DATE(YEAR($A$1),MONTH($A$1),1))</f>
        <v>0</v>
      </c>
      <c r="P117" s="232">
        <f>COUNTIFS(РД[Тип кв],P$110,РД[МОП],$A117,РД[Дом],$C$109,РД[Дата подачи на регистрацию],"&lt;="&amp;$A$1,РД[Дата подачи на регистрацию],"&gt;="&amp;DATE(YEAR($A$1),MONTH($A$1),1))</f>
        <v>0</v>
      </c>
      <c r="Q117" s="337">
        <f>COUNTIFS(РД[Тип кв],Q$110,РД[МОП],$A117,РД[Дом],$C$109,РД[Дата подачи на регистрацию],"&lt;="&amp;$A$1,РД[Дата подачи на регистрацию],"&gt;="&amp;DATE(YEAR($A$1),MONTH($A$1),1))</f>
        <v>0</v>
      </c>
      <c r="R117" s="65"/>
      <c r="S117" s="65"/>
    </row>
    <row r="118" spans="1:20">
      <c r="A118" s="168" t="s">
        <v>114</v>
      </c>
      <c r="B118" s="172">
        <f t="shared" ref="B118:J118" si="15">SUM(B111:B117)</f>
        <v>0</v>
      </c>
      <c r="C118" s="173">
        <f t="shared" si="15"/>
        <v>0</v>
      </c>
      <c r="D118" s="691">
        <f t="shared" si="15"/>
        <v>0</v>
      </c>
      <c r="E118" s="173">
        <f t="shared" si="15"/>
        <v>24.5</v>
      </c>
      <c r="F118" s="173">
        <f t="shared" si="15"/>
        <v>2232086.2200000002</v>
      </c>
      <c r="G118" s="171">
        <f t="shared" si="15"/>
        <v>1</v>
      </c>
      <c r="H118" s="172">
        <f t="shared" si="15"/>
        <v>0</v>
      </c>
      <c r="I118" s="173">
        <f t="shared" si="15"/>
        <v>0</v>
      </c>
      <c r="J118" s="170">
        <f t="shared" si="15"/>
        <v>0</v>
      </c>
      <c r="K118" s="238" t="str">
        <f>IFERROR(H118/B118,"")</f>
        <v/>
      </c>
      <c r="L118" s="501" t="str">
        <f>IFERROR(I118/C118,"")</f>
        <v/>
      </c>
      <c r="M118" s="169">
        <f>SUM(M111:M117)</f>
        <v>0</v>
      </c>
      <c r="N118" s="170">
        <f>SUM(N111:N117)</f>
        <v>0</v>
      </c>
      <c r="O118" s="170">
        <f>SUM(O111:O117)</f>
        <v>0</v>
      </c>
      <c r="P118" s="170">
        <f>SUM(P111:P117)</f>
        <v>0</v>
      </c>
      <c r="Q118" s="691">
        <f>SUM(Q111:Q117)</f>
        <v>0</v>
      </c>
      <c r="R118" s="65"/>
      <c r="S118" s="65"/>
    </row>
    <row r="119" spans="1:20">
      <c r="A119" s="692" t="s">
        <v>115</v>
      </c>
      <c r="B119" s="686" t="s">
        <v>100</v>
      </c>
      <c r="C119" s="693" t="s">
        <v>97</v>
      </c>
      <c r="D119" s="688" t="s">
        <v>95</v>
      </c>
      <c r="E119" s="295" t="s">
        <v>494</v>
      </c>
      <c r="F119" s="138" t="s">
        <v>495</v>
      </c>
      <c r="G119" s="470" t="s">
        <v>496</v>
      </c>
      <c r="H119" s="481" t="s">
        <v>101</v>
      </c>
      <c r="I119" s="482" t="s">
        <v>98</v>
      </c>
      <c r="J119" s="482" t="s">
        <v>96</v>
      </c>
      <c r="K119" s="502" t="s">
        <v>715</v>
      </c>
      <c r="L119" s="503" t="s">
        <v>716</v>
      </c>
      <c r="M119" s="512">
        <v>0</v>
      </c>
      <c r="N119" s="218">
        <v>1</v>
      </c>
      <c r="O119" s="218">
        <v>2</v>
      </c>
      <c r="P119" s="218">
        <v>3</v>
      </c>
      <c r="Q119" s="219" t="s">
        <v>1367</v>
      </c>
      <c r="R119" s="65"/>
      <c r="S119" s="65"/>
    </row>
    <row r="120" spans="1:20">
      <c r="A120" s="142" t="s">
        <v>16</v>
      </c>
      <c r="B120" s="271">
        <f>IFERROR(VLOOKUP(A120,'Индивидуальный план'!$N$16:$P$27,2,0),"")</f>
        <v>0</v>
      </c>
      <c r="C120" s="52">
        <f>IFERROR(VLOOKUP(A120,'Индивидуальный план'!$N$16:$P$27,3,0),"")</f>
        <v>0</v>
      </c>
      <c r="D120" s="702"/>
      <c r="E120" s="145">
        <f>SUMIFS(февр23141113161718[м2],февр23141113161718[ИМ],A120,февр23141113161718[№ дома],$C$109,февр23141113161718[Комнатность],"&lt;&gt;Офис")</f>
        <v>0</v>
      </c>
      <c r="F120" s="149">
        <f>SUMIFS(февр23141113161718[Сумма без отделки],февр23141113161718[ИМ],$A120,февр23141113161718[№ дома],$C$109,февр23141113161718[Комнатность],"&lt;&gt;Офис")</f>
        <v>0</v>
      </c>
      <c r="G120" s="147">
        <f>COUNTIFS(февр23141113161718[ИМ],$A120,февр23141113161718[№ дома],$C$109,февр23141113161718[Комнатность],"&lt;&gt;Офис")</f>
        <v>0</v>
      </c>
      <c r="H120" s="183">
        <f>SUMIFS(РД[S],РД[Дом],$C$109,РД[ИМ],A120,РД[Дата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I120" s="184">
        <f>SUMIFS(РД[Стоимость без отделки итог],РД[Дом],$C$109,РД[ИМ],A120,РД[Дата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J120" s="243">
        <f>COUNTIFS(РД[Дом],$C$109,РД[ИМ],A120,РД[Дата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K120" s="244" t="str">
        <f>IFERROR(H120/B120,"")</f>
        <v/>
      </c>
      <c r="L120" s="258" t="str">
        <f>IFERROR(I120/C120,"")</f>
        <v/>
      </c>
      <c r="M120" s="346">
        <f>COUNTIFS(РД[Тип кв],M$110,РД[ИМ],$A120,РД[Дом],$C$109,РД[Дата подачи на регистрацию],"&lt;="&amp;$A$1,РД[Дата подачи на регистрацию],"&gt;="&amp;DATE(YEAR($A$1),MONTH($A$1),1))</f>
        <v>0</v>
      </c>
      <c r="N120" s="243">
        <f>COUNTIFS(РД[Тип кв],N$110,РД[ИМ],$A120,РД[Дом],$C$109,РД[Дата подачи на регистрацию],"&lt;="&amp;$A$1,РД[Дата подачи на регистрацию],"&gt;="&amp;DATE(YEAR($A$1),MONTH($A$1),1))</f>
        <v>0</v>
      </c>
      <c r="O120" s="243">
        <f>COUNTIFS(РД[Тип кв],O$110,РД[ИМ],$A120,РД[Дом],$C$109,РД[Дата подачи на регистрацию],"&lt;="&amp;$A$1,РД[Дата подачи на регистрацию],"&gt;="&amp;DATE(YEAR($A$1),MONTH($A$1),1))</f>
        <v>0</v>
      </c>
      <c r="P120" s="243">
        <f>COUNTIFS(РД[Тип кв],P$110,РД[ИМ],$A120,РД[Дом],$C$109,РД[Дата подачи на регистрацию],"&lt;="&amp;$A$1,РД[Дата подачи на регистрацию],"&gt;="&amp;DATE(YEAR($A$1),MONTH($A$1),1))</f>
        <v>0</v>
      </c>
      <c r="Q120" s="246">
        <f>COUNTIFS(РД[Тип кв],Q$110,РД[ИМ],$A120,РД[Дом],$C$109,РД[Дата подачи на регистрацию],"&lt;="&amp;$A$1,РД[Дата подачи на регистрацию],"&gt;="&amp;DATE(YEAR($A$1),MONTH($A$1),1))</f>
        <v>0</v>
      </c>
      <c r="R120" s="65"/>
      <c r="S120" s="65"/>
    </row>
    <row r="121" spans="1:20">
      <c r="A121" s="153" t="s">
        <v>22</v>
      </c>
      <c r="B121" s="271">
        <f>IFERROR(VLOOKUP(A121,'Индивидуальный план'!$N$16:$P$27,2,0),"")</f>
        <v>0</v>
      </c>
      <c r="C121" s="52">
        <f>IFERROR(VLOOKUP(A121,'Индивидуальный план'!$N$16:$P$27,3,0),"")</f>
        <v>0</v>
      </c>
      <c r="D121" s="703"/>
      <c r="E121" s="329">
        <f>SUMIFS(февр23141113161718[м2],февр23141113161718[ИМ],A121,февр23141113161718[№ дома],$C$109,февр23141113161718[Комнатность],"&lt;&gt;Офис")</f>
        <v>24.5</v>
      </c>
      <c r="F121" s="359">
        <f>SUMIFS(февр23141113161718[Сумма без отделки],февр23141113161718[ИМ],$A121,февр23141113161718[№ дома],$C$109,февр23141113161718[Комнатность],"&lt;&gt;Офис")</f>
        <v>2232086.2200000002</v>
      </c>
      <c r="G121" s="414">
        <f>COUNTIFS(февр23141113161718[ИМ],$A121,февр23141113161718[№ дома],$C$109,февр23141113161718[Комнатность],"&lt;&gt;Офис")</f>
        <v>1</v>
      </c>
      <c r="H121" s="358">
        <f>SUMIFS(РД[S],РД[Дом],$C$109,РД[ИМ],A121,РД[Дата подачи на регистрацию],"&lt;="&amp;$A$1,РД[Дата подачи на регистрацию],"&gt;="&amp;DATE(YEAR($A$1),MONTH($A$1),1),РД[Состояние],"Продажа")</f>
        <v>0</v>
      </c>
      <c r="I121" s="359">
        <f>SUMIFS(РД[Стоимость без отделки итог],РД[Дом],$C$109,РД[ИМ],A121,РД[Дата подачи на регистрацию],"&lt;="&amp;$A$1,РД[Дата подачи на регистрацию],"&gt;="&amp;DATE(YEAR($A$1),MONTH($A$1),1),РД[Состояние],"Продажа")</f>
        <v>0</v>
      </c>
      <c r="J121" s="330">
        <f>COUNTIFS(РД[Дом],$C$109,РД[ИМ],A121,РД[Дата подачи на регистрацию],"&lt;="&amp;$A$1,РД[Дата подачи на регистрацию],"&gt;="&amp;DATE(YEAR($A$1),MONTH($A$1),1),РД[Состояние],"Продажа")</f>
        <v>0</v>
      </c>
      <c r="K121" s="360" t="str">
        <f>IFERROR(H121/B121,"")</f>
        <v/>
      </c>
      <c r="L121" s="361" t="str">
        <f>IFERROR(I121/C121,"")</f>
        <v/>
      </c>
      <c r="M121" s="426">
        <f>COUNTIFS(РД[Тип кв],M$110,РД[ИМ],$A121,РД[Дом],$C$109,РД[Дата подачи на регистрацию],"&lt;="&amp;$A$1,РД[Дата подачи на регистрацию],"&gt;="&amp;DATE(YEAR($A$1),MONTH($A$1),1))</f>
        <v>0</v>
      </c>
      <c r="N121" s="251">
        <f>COUNTIFS(РД[Тип кв],N$110,РД[ИМ],$A121,РД[Дом],$C$109,РД[Дата подачи на регистрацию],"&lt;="&amp;$A$1,РД[Дата подачи на регистрацию],"&gt;="&amp;DATE(YEAR($A$1),MONTH($A$1),1))</f>
        <v>0</v>
      </c>
      <c r="O121" s="251">
        <f>COUNTIFS(РД[Тип кв],O$110,РД[ИМ],$A121,РД[Дом],$C$109,РД[Дата подачи на регистрацию],"&lt;="&amp;$A$1,РД[Дата подачи на регистрацию],"&gt;="&amp;DATE(YEAR($A$1),MONTH($A$1),1))</f>
        <v>0</v>
      </c>
      <c r="P121" s="251">
        <f>COUNTIFS(РД[Тип кв],P$110,РД[ИМ],$A121,РД[Дом],$C$109,РД[Дата подачи на регистрацию],"&lt;="&amp;$A$1,РД[Дата подачи на регистрацию],"&gt;="&amp;DATE(YEAR($A$1),MONTH($A$1),1))</f>
        <v>0</v>
      </c>
      <c r="Q121" s="254">
        <f>COUNTIFS(РД[Тип кв],Q$110,РД[ИМ],$A121,РД[Дом],$C$109,РД[Дата подачи на регистрацию],"&lt;="&amp;$A$1,РД[Дата подачи на регистрацию],"&gt;="&amp;DATE(YEAR($A$1),MONTH($A$1),1))</f>
        <v>0</v>
      </c>
      <c r="R121" s="65"/>
      <c r="S121" s="65"/>
    </row>
    <row r="122" spans="1:20">
      <c r="A122" s="317" t="s">
        <v>114</v>
      </c>
      <c r="B122" s="410">
        <f t="shared" ref="B122:J122" si="16">SUM(B120:B121)</f>
        <v>0</v>
      </c>
      <c r="C122" s="411">
        <f t="shared" si="16"/>
        <v>0</v>
      </c>
      <c r="D122" s="497">
        <f t="shared" si="16"/>
        <v>0</v>
      </c>
      <c r="E122" s="484">
        <f t="shared" si="16"/>
        <v>24.5</v>
      </c>
      <c r="F122" s="429">
        <f t="shared" si="16"/>
        <v>2232086.2200000002</v>
      </c>
      <c r="G122" s="485">
        <f t="shared" si="16"/>
        <v>1</v>
      </c>
      <c r="H122" s="473">
        <f t="shared" si="16"/>
        <v>0</v>
      </c>
      <c r="I122" s="429">
        <f t="shared" si="16"/>
        <v>0</v>
      </c>
      <c r="J122" s="494">
        <f t="shared" si="16"/>
        <v>0</v>
      </c>
      <c r="K122" s="419">
        <f>IFERROR(H122/B122,)</f>
        <v>0</v>
      </c>
      <c r="L122" s="507">
        <f>IFERROR(I122/C122,)</f>
        <v>0</v>
      </c>
      <c r="M122" s="897">
        <f>SUM(M120:M121)</f>
        <v>0</v>
      </c>
      <c r="N122" s="897">
        <f>SUM(N120:N121)</f>
        <v>0</v>
      </c>
      <c r="O122" s="897">
        <f>SUM(O120:O121)</f>
        <v>0</v>
      </c>
      <c r="P122" s="897">
        <f>SUM(P120:P121)</f>
        <v>0</v>
      </c>
      <c r="Q122" s="898">
        <f>SUM(Q120:Q121)</f>
        <v>0</v>
      </c>
      <c r="R122" s="65"/>
      <c r="S122" s="65"/>
    </row>
    <row r="123" spans="1:20">
      <c r="A123" s="134"/>
      <c r="B123" s="211"/>
      <c r="C123" s="211"/>
      <c r="D123" s="212"/>
      <c r="E123" s="134"/>
      <c r="F123" s="134"/>
      <c r="G123" s="134"/>
      <c r="H123" s="134"/>
      <c r="I123" s="134"/>
      <c r="J123" s="134"/>
      <c r="K123" s="134"/>
      <c r="L123" s="261"/>
      <c r="M123" s="134"/>
      <c r="N123" s="134"/>
      <c r="O123" s="134"/>
      <c r="P123" s="262"/>
      <c r="Q123" s="134"/>
      <c r="R123" s="65"/>
      <c r="S123" s="65"/>
    </row>
    <row r="124" spans="1:20">
      <c r="A124" s="2327" t="s">
        <v>713</v>
      </c>
      <c r="B124" s="2328"/>
      <c r="C124" s="474" t="s">
        <v>718</v>
      </c>
      <c r="D124" s="704"/>
      <c r="E124" s="476"/>
      <c r="F124" s="476"/>
      <c r="G124" s="476"/>
      <c r="H124" s="476"/>
      <c r="I124" s="476"/>
      <c r="J124" s="476"/>
      <c r="K124" s="476"/>
      <c r="L124" s="476"/>
      <c r="M124" s="476"/>
      <c r="N124" s="476"/>
      <c r="O124" s="476"/>
      <c r="P124" s="476"/>
      <c r="Q124" s="134"/>
      <c r="R124" s="65"/>
      <c r="S124" s="65"/>
    </row>
    <row r="125" spans="1:20">
      <c r="A125" s="705" t="s">
        <v>1</v>
      </c>
      <c r="B125" s="706" t="s">
        <v>100</v>
      </c>
      <c r="C125" s="707" t="s">
        <v>97</v>
      </c>
      <c r="D125" s="708" t="s">
        <v>95</v>
      </c>
      <c r="E125" s="486" t="s">
        <v>494</v>
      </c>
      <c r="F125" s="487" t="s">
        <v>495</v>
      </c>
      <c r="G125" s="488" t="s">
        <v>496</v>
      </c>
      <c r="H125" s="489" t="s">
        <v>101</v>
      </c>
      <c r="I125" s="490" t="s">
        <v>98</v>
      </c>
      <c r="J125" s="490" t="s">
        <v>96</v>
      </c>
      <c r="K125" s="490" t="s">
        <v>715</v>
      </c>
      <c r="L125" s="508" t="s">
        <v>716</v>
      </c>
      <c r="M125" s="217">
        <v>0</v>
      </c>
      <c r="N125" s="218">
        <v>1</v>
      </c>
      <c r="O125" s="218">
        <v>2</v>
      </c>
      <c r="P125" s="218">
        <v>3</v>
      </c>
      <c r="Q125" s="219" t="s">
        <v>1367</v>
      </c>
      <c r="R125" s="86"/>
      <c r="S125" s="86"/>
      <c r="T125" s="498"/>
    </row>
    <row r="126" spans="1:20">
      <c r="A126" s="177" t="s">
        <v>73</v>
      </c>
      <c r="B126" s="291">
        <f>IFERROR(VLOOKUP(A126,'Индивидуальный план'!$N$29:$P$40,2,0),"")</f>
        <v>315</v>
      </c>
      <c r="C126" s="292">
        <f>IFERROR(VLOOKUP(A126,'Индивидуальный план'!$N$29:$P$40,3,0),"")</f>
        <v>28036254.708000001</v>
      </c>
      <c r="D126" s="876">
        <f>D111+D96</f>
        <v>0</v>
      </c>
      <c r="E126" s="346">
        <f>SUMIFS(февр23141113161718[м2],февр23141113161718[МОП],$A126,февр23141113161718[Комнатность],"&lt;&gt;Офис")</f>
        <v>277.21000000000004</v>
      </c>
      <c r="F126" s="292">
        <f>SUMIFS(февр23141113161718[Сумма без отделки],февр23141113161718[МОП],$A126,февр23141113161718[Комнатность],"&lt;&gt;Офис")</f>
        <v>25162546.009999998</v>
      </c>
      <c r="G126" s="415">
        <f>COUNTIFS(февр23141113161718[МОП],$A126,февр23141113161718[Комнатность],"&lt;&gt;Офис")</f>
        <v>7</v>
      </c>
      <c r="H126" s="183">
        <f>SUMIFS(РД[S],РД[МОП],A126,РД[Дата подачи на регистрацию],"&lt;="&amp;$A$1,РД[Дата подачи на регистрацию],"&gt;="&amp;DATE(YEAR($A$1),MONTH($A$1),1),РД[Состояние],"Продажа")</f>
        <v>277.20999999999998</v>
      </c>
      <c r="I126" s="184">
        <f>SUMIFS(РД[Стоимость без отделки итог],РД[МОП],A126,РД[Дата подачи на регистрацию],"&lt;="&amp;$A$1,РД[Дата подачи на регистрацию],"&gt;="&amp;DATE(YEAR($A$1),MONTH($A$1),1),РД[Состояние],"Продажа")</f>
        <v>25181846.010000002</v>
      </c>
      <c r="J126" s="243">
        <f>COUNTIFS(РД[МОП],A126,РД[Дата подачи на регистрацию],"&lt;="&amp;$A$1,РД[Дата подачи на регистрацию],"&gt;="&amp;DATE(YEAR($A$1),MONTH($A$1),1),РД[Состояние],"Продажа")</f>
        <v>7</v>
      </c>
      <c r="K126" s="244">
        <f t="shared" ref="K126" si="17">IFERROR(H126/B126,"")</f>
        <v>0.88003174603174594</v>
      </c>
      <c r="L126" s="258">
        <f t="shared" ref="L126" si="18">IFERROR(I126/C126,"")</f>
        <v>0.8981886586589789</v>
      </c>
      <c r="M126" s="877">
        <f t="shared" ref="M126:Q132" si="19">M111+M96</f>
        <v>2</v>
      </c>
      <c r="N126" s="878">
        <f t="shared" si="19"/>
        <v>4</v>
      </c>
      <c r="O126" s="878">
        <f t="shared" si="19"/>
        <v>1</v>
      </c>
      <c r="P126" s="878">
        <f t="shared" si="19"/>
        <v>0</v>
      </c>
      <c r="Q126" s="689">
        <f t="shared" si="19"/>
        <v>0</v>
      </c>
      <c r="R126" s="86"/>
      <c r="S126" s="86"/>
      <c r="T126" s="498"/>
    </row>
    <row r="127" spans="1:20">
      <c r="A127" s="398" t="s">
        <v>8</v>
      </c>
      <c r="B127" s="271">
        <f>IFERROR(VLOOKUP(A127,'Индивидуальный план'!$N$29:$P$40,2,0),"")</f>
        <v>325</v>
      </c>
      <c r="C127" s="52">
        <f>IFERROR(VLOOKUP(A127,'Индивидуальный план'!$N$29:$P$40,3,0),"")</f>
        <v>28926294.539999999</v>
      </c>
      <c r="D127" s="327">
        <f>D112+D97</f>
        <v>0</v>
      </c>
      <c r="E127" s="257">
        <f>SUMIFS(февр23141113161718[м2],февр23141113161718[МОП],$A127,февр23141113161718[Комнатность],"&lt;&gt;Офис")</f>
        <v>355.60999999999996</v>
      </c>
      <c r="F127" s="52">
        <f>SUMIFS(февр23141113161718[Сумма без отделки],февр23141113161718[МОП],$A127,февр23141113161718[Комнатность],"&lt;&gt;Офис")</f>
        <v>31385535.899999999</v>
      </c>
      <c r="G127" s="413">
        <f>COUNTIFS(февр23141113161718[МОП],$A127,февр23141113161718[Комнатность],"&lt;&gt;Офис")</f>
        <v>7</v>
      </c>
      <c r="H127" s="202">
        <f>SUMIFS(РД[S],РД[МОП],A127,РД[Дата подачи на регистрацию],"&lt;="&amp;$A$1,РД[Дата подачи на регистрацию],"&gt;="&amp;DATE(YEAR($A$1),MONTH($A$1),1),РД[Состояние],"Продажа")</f>
        <v>355.61</v>
      </c>
      <c r="I127" s="203">
        <f>SUMIFS(РД[Стоимость без отделки итог],РД[МОП],A127,РД[Дата подачи на регистрацию],"&lt;="&amp;$A$1,РД[Дата подачи на регистрацию],"&gt;="&amp;DATE(YEAR($A$1),MONTH($A$1),1),РД[Состояние],"Продажа")</f>
        <v>31385535.899999999</v>
      </c>
      <c r="J127" s="226">
        <f>COUNTIFS(РД[МОП],A127,РД[Дата подачи на регистрацию],"&lt;="&amp;$A$1,РД[Дата подачи на регистрацию],"&gt;="&amp;DATE(YEAR($A$1),MONTH($A$1),1),РД[Состояние],"Продажа")</f>
        <v>7</v>
      </c>
      <c r="K127" s="224">
        <f t="shared" ref="K127:L129" si="20">IFERROR(H127/B127,"")</f>
        <v>1.0941846153846155</v>
      </c>
      <c r="L127" s="225">
        <f t="shared" si="20"/>
        <v>1.0850175039391685</v>
      </c>
      <c r="M127" s="325">
        <f t="shared" si="19"/>
        <v>1</v>
      </c>
      <c r="N127" s="326">
        <f t="shared" si="19"/>
        <v>3</v>
      </c>
      <c r="O127" s="326">
        <f t="shared" si="19"/>
        <v>2</v>
      </c>
      <c r="P127" s="326">
        <f t="shared" si="19"/>
        <v>1</v>
      </c>
      <c r="Q127" s="327">
        <f t="shared" si="19"/>
        <v>0</v>
      </c>
      <c r="R127" s="65"/>
      <c r="S127" s="65"/>
    </row>
    <row r="128" spans="1:20">
      <c r="A128" s="398" t="s">
        <v>77</v>
      </c>
      <c r="B128" s="271">
        <f>IFERROR(VLOOKUP(A128,'Индивидуальный план'!$N$29:$P$40,2,0),"")</f>
        <v>220</v>
      </c>
      <c r="C128" s="52">
        <f>IFERROR(VLOOKUP(A128,'Индивидуальный план'!$N$29:$P$40,3,0),"")</f>
        <v>19580876.304000001</v>
      </c>
      <c r="D128" s="327">
        <f>D113+D98</f>
        <v>0</v>
      </c>
      <c r="E128" s="257">
        <f>SUMIFS(февр23141113161718[м2],февр23141113161718[МОП],$A128,февр23141113161718[Комнатность],"&lt;&gt;Офис")</f>
        <v>670.90000000000009</v>
      </c>
      <c r="F128" s="52">
        <f>SUMIFS(февр23141113161718[Сумма без отделки],февр23141113161718[МОП],$A128,февр23141113161718[Комнатность],"&lt;&gt;Офис")</f>
        <v>56447263.899999999</v>
      </c>
      <c r="G128" s="413">
        <f>COUNTIFS(февр23141113161718[МОП],$A128,февр23141113161718[Комнатность],"&lt;&gt;Офис")</f>
        <v>12</v>
      </c>
      <c r="H128" s="202">
        <f>SUMIFS(РД[S],РД[МОП],A128,РД[Дата подачи на регистрацию],"&lt;="&amp;$A$1,РД[Дата подачи на регистрацию],"&gt;="&amp;DATE(YEAR($A$1),MONTH($A$1),1),РД[Состояние],"Продажа")</f>
        <v>650.88</v>
      </c>
      <c r="I128" s="203">
        <f>SUMIFS(РД[Стоимость без отделки итог],РД[МОП],A128,РД[Дата подачи на регистрацию],"&lt;="&amp;$A$1,РД[Дата подачи на регистрацию],"&gt;="&amp;DATE(YEAR($A$1),MONTH($A$1),1),РД[Состояние],"Продажа")</f>
        <v>54630651.219999991</v>
      </c>
      <c r="J128" s="226">
        <f>COUNTIFS(РД[МОП],A128,РД[Дата подачи на регистрацию],"&lt;="&amp;$A$1,РД[Дата подачи на регистрацию],"&gt;="&amp;DATE(YEAR($A$1),MONTH($A$1),1),РД[Состояние],"Продажа")</f>
        <v>12</v>
      </c>
      <c r="K128" s="224">
        <f t="shared" si="20"/>
        <v>2.9585454545454546</v>
      </c>
      <c r="L128" s="225">
        <f t="shared" si="20"/>
        <v>2.7900003233685711</v>
      </c>
      <c r="M128" s="325">
        <f t="shared" si="19"/>
        <v>2</v>
      </c>
      <c r="N128" s="326">
        <f t="shared" si="19"/>
        <v>4</v>
      </c>
      <c r="O128" s="326">
        <f t="shared" si="19"/>
        <v>4</v>
      </c>
      <c r="P128" s="326">
        <f t="shared" si="19"/>
        <v>4</v>
      </c>
      <c r="Q128" s="327">
        <f t="shared" si="19"/>
        <v>0</v>
      </c>
      <c r="R128" s="65"/>
      <c r="S128" s="65"/>
    </row>
    <row r="129" spans="1:20">
      <c r="A129" s="398" t="s">
        <v>1233</v>
      </c>
      <c r="B129" s="271">
        <f>IFERROR(VLOOKUP(A129,'Индивидуальный план'!$N$29:$P$40,2,0),"")</f>
        <v>252</v>
      </c>
      <c r="C129" s="52">
        <f>IFERROR(VLOOKUP(A129,'Индивидуальный план'!$N$29:$P$40,3,0),"")</f>
        <v>22429003.766399998</v>
      </c>
      <c r="D129" s="327">
        <f>D114+D99</f>
        <v>0</v>
      </c>
      <c r="E129" s="257">
        <f>SUMIFS(февр23141113161718[м2],февр23141113161718[МОП],$A129,февр23141113161718[Комнатность],"&lt;&gt;Офис")</f>
        <v>186.98</v>
      </c>
      <c r="F129" s="52">
        <f>SUMIFS(февр23141113161718[Сумма без отделки],февр23141113161718[МОП],$A129,февр23141113161718[Комнатность],"&lt;&gt;Офис")</f>
        <v>17409260.5</v>
      </c>
      <c r="G129" s="413">
        <f>COUNTIFS(февр23141113161718[МОП],$A129,февр23141113161718[Комнатность],"&lt;&gt;Офис")</f>
        <v>4</v>
      </c>
      <c r="H129" s="202">
        <f>SUMIFS(РД[S],РД[МОП],A129,РД[Дата подачи на регистрацию],"&lt;="&amp;$A$1,РД[Дата подачи на регистрацию],"&gt;="&amp;DATE(YEAR($A$1),MONTH($A$1),1),РД[Состояние],"Продажа")</f>
        <v>185.67000000000002</v>
      </c>
      <c r="I129" s="203">
        <f>SUMIFS(РД[Стоимость без отделки итог],РД[МОП],A129,РД[Дата подачи на регистрацию],"&lt;="&amp;$A$1,РД[Дата подачи на регистрацию],"&gt;="&amp;DATE(YEAR($A$1),MONTH($A$1),1),РД[Состояние],"Продажа")</f>
        <v>17429565.5</v>
      </c>
      <c r="J129" s="226">
        <f>COUNTIFS(РД[МОП],A129,РД[Дата подачи на регистрацию],"&lt;="&amp;$A$1,РД[Дата подачи на регистрацию],"&gt;="&amp;DATE(YEAR($A$1),MONTH($A$1),1),РД[Состояние],"Продажа")</f>
        <v>4</v>
      </c>
      <c r="K129" s="224">
        <f t="shared" si="20"/>
        <v>0.73678571428571438</v>
      </c>
      <c r="L129" s="225">
        <f t="shared" si="20"/>
        <v>0.77709940581982251</v>
      </c>
      <c r="M129" s="325">
        <f t="shared" si="19"/>
        <v>0</v>
      </c>
      <c r="N129" s="326">
        <f t="shared" si="19"/>
        <v>2</v>
      </c>
      <c r="O129" s="326">
        <f t="shared" si="19"/>
        <v>2</v>
      </c>
      <c r="P129" s="326">
        <f t="shared" si="19"/>
        <v>0</v>
      </c>
      <c r="Q129" s="327">
        <f t="shared" si="19"/>
        <v>0</v>
      </c>
      <c r="R129" s="65"/>
      <c r="S129" s="65"/>
    </row>
    <row r="130" spans="1:20">
      <c r="A130" s="153" t="s">
        <v>20</v>
      </c>
      <c r="B130" s="315">
        <f>IFERROR(VLOOKUP(A130,'Индивидуальный план'!$N$29:$P$40,2,0),"")</f>
        <v>375</v>
      </c>
      <c r="C130" s="363">
        <f>IFERROR(VLOOKUP(A130,'Индивидуальный план'!$N$29:$P$40,3,0),"")</f>
        <v>33376493.699999999</v>
      </c>
      <c r="D130" s="366">
        <f>D115+D100</f>
        <v>0</v>
      </c>
      <c r="E130" s="329">
        <f>SUMIFS(февр23141113161718[м2],февр23141113161718[МОП],$A130,февр23141113161718[Комнатность],"&lt;&gt;Офис")</f>
        <v>247.83999999999997</v>
      </c>
      <c r="F130" s="363">
        <f>SUMIFS(февр23141113161718[Сумма без отделки],февр23141113161718[МОП],$A130,февр23141113161718[Комнатность],"&lt;&gt;Офис")</f>
        <v>23225185.52</v>
      </c>
      <c r="G130" s="414">
        <f>COUNTIFS(февр23141113161718[МОП],$A130,февр23141113161718[Комнатность],"&lt;&gt;Офис")</f>
        <v>6</v>
      </c>
      <c r="H130" s="358">
        <f>SUMIFS(РД[S],РД[МОП],A130,РД[Дата подачи на регистрацию],"&lt;="&amp;$A$1,РД[Дата подачи на регистрацию],"&gt;="&amp;DATE(YEAR($A$1),MONTH($A$1),1),РД[Состояние],"Продажа")</f>
        <v>287.58</v>
      </c>
      <c r="I130" s="359">
        <f>SUMIFS(РД[Стоимость без отделки итог],РД[МОП],A130,РД[Дата подачи на регистрацию],"&lt;="&amp;$A$1,РД[Дата подачи на регистрацию],"&gt;="&amp;DATE(YEAR($A$1),MONTH($A$1),1),РД[Состояние],"Продажа")</f>
        <v>26772444.969999999</v>
      </c>
      <c r="J130" s="330">
        <f>COUNTIFS(РД[МОП],A130,РД[Дата подачи на регистрацию],"&lt;="&amp;$A$1,РД[Дата подачи на регистрацию],"&gt;="&amp;DATE(YEAR($A$1),MONTH($A$1),1),РД[Состояние],"Продажа")</f>
        <v>7</v>
      </c>
      <c r="K130" s="360">
        <f t="shared" ref="K130" si="21">IFERROR(H130/B130,"")</f>
        <v>0.76688000000000001</v>
      </c>
      <c r="L130" s="361">
        <f t="shared" ref="L130" si="22">IFERROR(I130/C130,"")</f>
        <v>0.80213473622006015</v>
      </c>
      <c r="M130" s="364">
        <f t="shared" si="19"/>
        <v>2</v>
      </c>
      <c r="N130" s="365">
        <f t="shared" si="19"/>
        <v>3</v>
      </c>
      <c r="O130" s="365">
        <f t="shared" si="19"/>
        <v>2</v>
      </c>
      <c r="P130" s="365">
        <f t="shared" si="19"/>
        <v>0</v>
      </c>
      <c r="Q130" s="366">
        <f t="shared" si="19"/>
        <v>0</v>
      </c>
      <c r="R130" s="65"/>
      <c r="S130" s="65"/>
    </row>
    <row r="131" spans="1:20">
      <c r="A131" s="154" t="s">
        <v>29</v>
      </c>
      <c r="B131" s="274"/>
      <c r="C131" s="277"/>
      <c r="D131" s="690"/>
      <c r="E131" s="341">
        <f>SUMIFS(февр23141113161718[м2],февр23141113161718[МОП],$A131,февр23141113161718[Комнатность],"&lt;&gt;Офис")</f>
        <v>0</v>
      </c>
      <c r="F131" s="277">
        <f>SUMIFS(февр23141113161718[Сумма без отделки],февр23141113161718[МОП],$A131,февр23141113161718[Комнатность],"&lt;&gt;Офис")</f>
        <v>0</v>
      </c>
      <c r="G131" s="405">
        <f>COUNTIFS(февр23141113161718[МОП],$A131,февр23141113161718[Комнатность],"&lt;&gt;Офис")</f>
        <v>0</v>
      </c>
      <c r="H131" s="159">
        <f>SUMIFS(РД[S],РД[МОП],A131,РД[Дата подачи на регистрацию],"&lt;="&amp;$A$1,РД[Дата подачи на регистрацию],"&gt;="&amp;DATE(YEAR($A$1),MONTH($A$1),1),РД[Состояние],"Продажа")</f>
        <v>0</v>
      </c>
      <c r="I131" s="160">
        <f>SUMIFS(РД[Стоимость без отделки итог],РД[МОП],A131,РД[Дата подачи на регистрацию],"&lt;="&amp;$A$1,РД[Дата подачи на регистрацию],"&gt;="&amp;DATE(YEAR($A$1),MONTH($A$1),1),РД[Состояние],"Продажа")</f>
        <v>0</v>
      </c>
      <c r="J131" s="228">
        <f>COUNTIFS(РД[МОП],A131,РД[Дата подачи на регистрацию],"&lt;="&amp;$A$1,РД[Дата подачи на регистрацию],"&gt;="&amp;DATE(YEAR($A$1),MONTH($A$1),1),РД[Состояние],"Продажа")</f>
        <v>0</v>
      </c>
      <c r="K131" s="229" t="str">
        <f t="shared" ref="K131:K133" si="23">IFERROR(H131/B131,"")</f>
        <v/>
      </c>
      <c r="L131" s="230" t="str">
        <f t="shared" ref="L131:L133" si="24">IFERROR(I131/C131,"")</f>
        <v/>
      </c>
      <c r="M131" s="159">
        <f t="shared" si="19"/>
        <v>0</v>
      </c>
      <c r="N131" s="228">
        <f t="shared" si="19"/>
        <v>0</v>
      </c>
      <c r="O131" s="228">
        <f t="shared" si="19"/>
        <v>0</v>
      </c>
      <c r="P131" s="228">
        <f t="shared" si="19"/>
        <v>0</v>
      </c>
      <c r="Q131" s="231">
        <f t="shared" si="19"/>
        <v>0</v>
      </c>
      <c r="R131" s="65"/>
      <c r="S131" s="65"/>
    </row>
    <row r="132" spans="1:20">
      <c r="A132" s="161" t="s">
        <v>1207</v>
      </c>
      <c r="B132" s="278"/>
      <c r="C132" s="281"/>
      <c r="D132" s="511"/>
      <c r="E132" s="406">
        <f>SUMIFS(февр23141113161718[м2],февр23141113161718[МОП],$A132,февр23141113161718[Комнатность],"&lt;&gt;Офис")</f>
        <v>136.37</v>
      </c>
      <c r="F132" s="281">
        <f>SUMIFS(февр23141113161718[Сумма без отделки],февр23141113161718[МОП],$A132,февр23141113161718[Комнатность],"&lt;&gt;Офис")</f>
        <v>13280478.950000001</v>
      </c>
      <c r="G132" s="407">
        <f>COUNTIFS(февр23141113161718[МОП],$A132,февр23141113161718[Комнатность],"&lt;&gt;Офис")</f>
        <v>4</v>
      </c>
      <c r="H132" s="166">
        <f>SUMIFS(РД[S],РД[МОП],A132,РД[Дата подачи на регистрацию],"&lt;="&amp;$A$1,РД[Дата подачи на регистрацию],"&gt;="&amp;DATE(YEAR($A$1),MONTH($A$1),1),РД[Состояние],"Продажа")</f>
        <v>0</v>
      </c>
      <c r="I132" s="167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регистрацию],"&gt;="&amp;DATE(YEAR($A$1),MONTH($A$1),1),РД[Состояние],"Продажа")</f>
        <v>0</v>
      </c>
      <c r="J132" s="232">
        <f>COUNTIFS(РД[МОП],A132,РД[Дата подачи на регистрацию],"&lt;="&amp;$A$1,РД[Дата подачи на регистрацию],"&gt;="&amp;DATE(YEAR($A$1),MONTH($A$1),1),РД[Состояние],"Продажа")</f>
        <v>0</v>
      </c>
      <c r="K132" s="233" t="str">
        <f t="shared" si="23"/>
        <v/>
      </c>
      <c r="L132" s="234" t="str">
        <f t="shared" si="24"/>
        <v/>
      </c>
      <c r="M132" s="509">
        <f t="shared" si="19"/>
        <v>0</v>
      </c>
      <c r="N132" s="510">
        <f t="shared" si="19"/>
        <v>0</v>
      </c>
      <c r="O132" s="510">
        <f t="shared" si="19"/>
        <v>0</v>
      </c>
      <c r="P132" s="510">
        <f t="shared" si="19"/>
        <v>0</v>
      </c>
      <c r="Q132" s="511">
        <f t="shared" si="19"/>
        <v>0</v>
      </c>
      <c r="R132" s="65"/>
      <c r="S132" s="65"/>
    </row>
    <row r="133" spans="1:20">
      <c r="A133" s="168" t="s">
        <v>114</v>
      </c>
      <c r="B133" s="172">
        <f t="shared" ref="B133:J133" si="25">SUM(B126:B132)</f>
        <v>1487</v>
      </c>
      <c r="C133" s="173">
        <f t="shared" si="25"/>
        <v>132348923.0184</v>
      </c>
      <c r="D133" s="691">
        <f t="shared" si="25"/>
        <v>0</v>
      </c>
      <c r="E133" s="173">
        <f t="shared" si="25"/>
        <v>1874.9099999999999</v>
      </c>
      <c r="F133" s="173">
        <f t="shared" si="25"/>
        <v>166910270.78</v>
      </c>
      <c r="G133" s="171">
        <f t="shared" si="25"/>
        <v>40</v>
      </c>
      <c r="H133" s="172">
        <f t="shared" si="25"/>
        <v>1756.9499999999998</v>
      </c>
      <c r="I133" s="173">
        <f t="shared" si="25"/>
        <v>155400043.59999999</v>
      </c>
      <c r="J133" s="170">
        <f t="shared" si="25"/>
        <v>37</v>
      </c>
      <c r="K133" s="238">
        <f t="shared" si="23"/>
        <v>1.181540013449899</v>
      </c>
      <c r="L133" s="501">
        <f t="shared" si="24"/>
        <v>1.174169309850714</v>
      </c>
      <c r="M133" s="169">
        <f>SUM(M126:M132)</f>
        <v>7</v>
      </c>
      <c r="N133" s="170">
        <f>SUM(N126:N132)</f>
        <v>16</v>
      </c>
      <c r="O133" s="170">
        <f>SUM(O126:O132)</f>
        <v>11</v>
      </c>
      <c r="P133" s="170">
        <f>SUM(P126:P132)</f>
        <v>5</v>
      </c>
      <c r="Q133" s="691">
        <f>SUM(Q126:Q132)</f>
        <v>0</v>
      </c>
      <c r="R133" s="65"/>
      <c r="S133" s="65"/>
    </row>
    <row r="134" spans="1:20">
      <c r="A134" s="692" t="s">
        <v>115</v>
      </c>
      <c r="B134" s="706" t="s">
        <v>100</v>
      </c>
      <c r="C134" s="710" t="s">
        <v>97</v>
      </c>
      <c r="D134" s="708" t="s">
        <v>95</v>
      </c>
      <c r="E134" s="295" t="s">
        <v>494</v>
      </c>
      <c r="F134" s="138" t="s">
        <v>495</v>
      </c>
      <c r="G134" s="470" t="s">
        <v>496</v>
      </c>
      <c r="H134" s="140" t="s">
        <v>101</v>
      </c>
      <c r="I134" s="141" t="s">
        <v>98</v>
      </c>
      <c r="J134" s="141" t="s">
        <v>96</v>
      </c>
      <c r="K134" s="141" t="s">
        <v>715</v>
      </c>
      <c r="L134" s="216" t="s">
        <v>716</v>
      </c>
      <c r="M134" s="512">
        <v>0</v>
      </c>
      <c r="N134" s="218">
        <v>1</v>
      </c>
      <c r="O134" s="218">
        <v>2</v>
      </c>
      <c r="P134" s="218">
        <v>3</v>
      </c>
      <c r="Q134" s="219" t="s">
        <v>1367</v>
      </c>
      <c r="R134" s="86"/>
      <c r="S134" s="86"/>
      <c r="T134" s="498"/>
    </row>
    <row r="135" spans="1:20">
      <c r="A135" s="142" t="s">
        <v>16</v>
      </c>
      <c r="B135" s="291">
        <f>IFERROR(VLOOKUP(A135,'Индивидуальный план'!$N$29:$P$40,2,0),"")</f>
        <v>492</v>
      </c>
      <c r="C135" s="292">
        <f>IFERROR(VLOOKUP(A135,'Индивидуальный план'!$N$29:$P$40,3,0),"")</f>
        <v>43789959.729999997</v>
      </c>
      <c r="D135" s="694">
        <f>D120+D105</f>
        <v>0</v>
      </c>
      <c r="E135" s="145">
        <f>SUMIFS(февр23141113161718[м2],февр23141113161718[ИМ],A135,февр23141113161718[Комнатность],"&lt;&gt;Офис")</f>
        <v>997.88000000000011</v>
      </c>
      <c r="F135" s="149">
        <f>SUMIFS(февр23141113161718[Сумма без отделки],февр23141113161718[ИМ],$A135,февр23141113161718[Комнатность],"&lt;&gt;Офис")</f>
        <v>86974624.539999977</v>
      </c>
      <c r="G135" s="147">
        <f>COUNTIFS(февр23141113161718[ИМ],A135,февр23141113161718[Комнатность],"&lt;&gt;Офис")</f>
        <v>21</v>
      </c>
      <c r="H135" s="183">
        <f>SUMIFS(РД[S],РД[ИМ],A135,РД[Дата подачи на регистрацию],"&lt;="&amp;$A$1,РД[Дата подачи на регистрацию],"&gt;="&amp;DATE(YEAR($A$1),MONTH($A$1),1),РД[Состояние],"Продажа")</f>
        <v>963.04000000000019</v>
      </c>
      <c r="I135" s="184">
        <f>SUMIFS(РД[Стоимость без отделки итог],РД[ИМ],A135,РД[Дата подачи на регистрацию],"&lt;="&amp;$A$1,РД[Дата подачи на регистрацию],"&gt;="&amp;DATE(YEAR($A$1),MONTH($A$1),1),РД[Состояние],"Продажа")</f>
        <v>83416608.279999986</v>
      </c>
      <c r="J135" s="243">
        <f>COUNTIFS(РД[ИМ],A135,РД[Дата подачи на регистрацию],"&lt;="&amp;$A$1,РД[Дата подачи на регистрацию],"&gt;="&amp;DATE(YEAR($A$1),MONTH($A$1),1),РД[Состояние],"Продажа")</f>
        <v>20</v>
      </c>
      <c r="K135" s="244">
        <f t="shared" ref="K135:L137" si="26">IFERROR(H135/B135,"")</f>
        <v>1.9573983739837402</v>
      </c>
      <c r="L135" s="258">
        <f t="shared" si="26"/>
        <v>1.9049254394004895</v>
      </c>
      <c r="M135" s="346">
        <f>M120+M105</f>
        <v>5</v>
      </c>
      <c r="N135" s="346">
        <f t="shared" ref="N135:Q136" si="27">N120+N105</f>
        <v>7</v>
      </c>
      <c r="O135" s="346">
        <f t="shared" si="27"/>
        <v>6</v>
      </c>
      <c r="P135" s="346">
        <f t="shared" si="27"/>
        <v>3</v>
      </c>
      <c r="Q135" s="346">
        <f t="shared" si="27"/>
        <v>0</v>
      </c>
      <c r="R135" s="65"/>
      <c r="S135" s="65"/>
    </row>
    <row r="136" spans="1:20">
      <c r="A136" s="153" t="s">
        <v>22</v>
      </c>
      <c r="B136" s="516">
        <f>IFERROR(VLOOKUP(A136,'Индивидуальный план'!$N$29:$P$40,2,0),"")</f>
        <v>492</v>
      </c>
      <c r="C136" s="554">
        <f>IFERROR(VLOOKUP(A136,'Индивидуальный план'!$N$29:$P$40,3,0),"")</f>
        <v>43789959.729999997</v>
      </c>
      <c r="D136" s="695">
        <f>D121+D106</f>
        <v>0</v>
      </c>
      <c r="E136" s="145">
        <f>SUMIFS(февр23141113161718[м2],февр23141113161718[ИМ],A136,февр23141113161718[Комнатность],"&lt;&gt;Офис")</f>
        <v>877.03</v>
      </c>
      <c r="F136" s="149">
        <f>SUMIFS(февр23141113161718[Сумма без отделки],февр23141113161718[ИМ],$A136,февр23141113161718[Комнатность],"&lt;&gt;Офис")</f>
        <v>79935646.24000001</v>
      </c>
      <c r="G136" s="147">
        <f>COUNTIFS(февр23141113161718[ИМ],$A136,февр23141113161718[Комнатность],"&lt;&gt;Офис")</f>
        <v>19</v>
      </c>
      <c r="H136" s="195">
        <f>SUMIFS(РД[S],РД[ИМ],A136,РД[Дата подачи на регистрацию],"&lt;="&amp;$A$1,РД[Дата подачи на регистрацию],"&gt;="&amp;DATE(YEAR($A$1),MONTH($A$1),1),РД[Состояние],"Продажа")</f>
        <v>793.91</v>
      </c>
      <c r="I136" s="196">
        <f>SUMIFS(РД[Стоимость без отделки итог],РД[ИМ],A136,РД[Дата подачи на регистрацию],"&lt;="&amp;$A$1,РД[Дата подачи на регистрацию],"&gt;="&amp;DATE(YEAR($A$1),MONTH($A$1),1),РД[Состояние],"Продажа")</f>
        <v>71983435.320000008</v>
      </c>
      <c r="J136" s="251">
        <f>COUNTIFS(РД[ИМ],A136,РД[Дата подачи на регистрацию],"&lt;="&amp;$A$1,РД[Дата подачи на регистрацию],"&gt;="&amp;DATE(YEAR($A$1),MONTH($A$1),1),РД[Состояние],"Продажа")</f>
        <v>17</v>
      </c>
      <c r="K136" s="252">
        <f t="shared" si="26"/>
        <v>1.6136382113821137</v>
      </c>
      <c r="L136" s="260">
        <f t="shared" si="26"/>
        <v>1.6438342433707467</v>
      </c>
      <c r="M136" s="426">
        <f>M121+M106</f>
        <v>2</v>
      </c>
      <c r="N136" s="251">
        <f t="shared" si="27"/>
        <v>9</v>
      </c>
      <c r="O136" s="251">
        <f t="shared" si="27"/>
        <v>5</v>
      </c>
      <c r="P136" s="251">
        <f t="shared" si="27"/>
        <v>2</v>
      </c>
      <c r="Q136" s="254">
        <f t="shared" si="27"/>
        <v>0</v>
      </c>
      <c r="R136" s="65"/>
      <c r="S136" s="65"/>
    </row>
    <row r="137" spans="1:20">
      <c r="A137" s="317" t="s">
        <v>114</v>
      </c>
      <c r="B137" s="172">
        <f>SUM(B135:B136)</f>
        <v>984</v>
      </c>
      <c r="C137" s="173">
        <f>SUM(C135:C136)</f>
        <v>87579919.459999993</v>
      </c>
      <c r="D137" s="711">
        <f>SUM(D135:D136)</f>
        <v>0</v>
      </c>
      <c r="E137" s="484">
        <f t="shared" ref="E137:Q137" si="28">SUM(E135:E136)</f>
        <v>1874.91</v>
      </c>
      <c r="F137" s="429">
        <f t="shared" si="28"/>
        <v>166910270.77999997</v>
      </c>
      <c r="G137" s="485">
        <f t="shared" si="28"/>
        <v>40</v>
      </c>
      <c r="H137" s="473">
        <f t="shared" si="28"/>
        <v>1756.9500000000003</v>
      </c>
      <c r="I137" s="494">
        <f t="shared" si="28"/>
        <v>155400043.59999999</v>
      </c>
      <c r="J137" s="494">
        <f t="shared" si="28"/>
        <v>37</v>
      </c>
      <c r="K137" s="419">
        <f t="shared" si="26"/>
        <v>1.7855182926829272</v>
      </c>
      <c r="L137" s="507">
        <f t="shared" si="26"/>
        <v>1.774379841385618</v>
      </c>
      <c r="M137" s="917">
        <f t="shared" si="28"/>
        <v>7</v>
      </c>
      <c r="N137" s="917">
        <f t="shared" si="28"/>
        <v>16</v>
      </c>
      <c r="O137" s="917">
        <f t="shared" si="28"/>
        <v>11</v>
      </c>
      <c r="P137" s="917">
        <f t="shared" si="28"/>
        <v>5</v>
      </c>
      <c r="Q137" s="928">
        <f t="shared" si="28"/>
        <v>0</v>
      </c>
      <c r="R137" s="65"/>
      <c r="S137" s="65"/>
    </row>
    <row r="138" spans="1:20">
      <c r="A138" s="134"/>
      <c r="B138" s="44"/>
      <c r="C138" s="44"/>
      <c r="D138" s="134"/>
      <c r="E138" s="134"/>
      <c r="F138" s="44"/>
      <c r="G138" s="134"/>
      <c r="H138" s="134"/>
      <c r="I138" s="134"/>
      <c r="J138" s="134"/>
      <c r="K138" s="255"/>
      <c r="L138" s="256"/>
      <c r="M138" s="134"/>
      <c r="N138" s="134"/>
      <c r="O138" s="134"/>
      <c r="P138" s="134"/>
      <c r="Q138" s="134"/>
      <c r="R138" s="65"/>
      <c r="S138" s="65"/>
    </row>
    <row r="139" spans="1:20" ht="15">
      <c r="A139" s="2314" t="s">
        <v>1368</v>
      </c>
      <c r="B139" s="2315"/>
      <c r="C139" s="2315"/>
      <c r="D139" s="2315"/>
      <c r="E139" s="2315"/>
      <c r="F139" s="2315"/>
      <c r="G139" s="2315"/>
      <c r="H139" s="2315"/>
      <c r="I139" s="2315"/>
      <c r="J139" s="2315"/>
      <c r="K139" s="2315"/>
      <c r="L139" s="2315"/>
      <c r="M139" s="2315"/>
      <c r="N139" s="2315"/>
      <c r="O139" s="2316"/>
      <c r="P139" s="339"/>
      <c r="T139" s="66"/>
    </row>
    <row r="140" spans="1:20">
      <c r="A140" s="712" t="s">
        <v>1</v>
      </c>
      <c r="B140" s="713" t="s">
        <v>100</v>
      </c>
      <c r="C140" s="714" t="s">
        <v>97</v>
      </c>
      <c r="D140" s="715" t="s">
        <v>95</v>
      </c>
      <c r="E140" s="716" t="s">
        <v>494</v>
      </c>
      <c r="F140" s="265" t="s">
        <v>495</v>
      </c>
      <c r="G140" s="266" t="s">
        <v>496</v>
      </c>
      <c r="H140" s="140" t="s">
        <v>101</v>
      </c>
      <c r="I140" s="141" t="s">
        <v>98</v>
      </c>
      <c r="J140" s="141" t="s">
        <v>96</v>
      </c>
      <c r="K140" s="141" t="s">
        <v>715</v>
      </c>
      <c r="L140" s="216" t="s">
        <v>716</v>
      </c>
      <c r="M140" s="332" t="s">
        <v>121</v>
      </c>
      <c r="N140" s="218" t="s">
        <v>27</v>
      </c>
      <c r="O140" s="219" t="s">
        <v>7</v>
      </c>
      <c r="T140" s="66"/>
    </row>
    <row r="141" spans="1:20">
      <c r="A141" s="142" t="s">
        <v>73</v>
      </c>
      <c r="B141" s="291"/>
      <c r="C141" s="292"/>
      <c r="D141" s="694"/>
      <c r="E141" s="416">
        <f>SUMIFS(февр23141113161718[м2],февр23141113161718[МОП],A141,февр23141113161718[Комнатность],"Офис")</f>
        <v>0</v>
      </c>
      <c r="F141" s="146">
        <f>SUMIFS(февр23141113161718[Сумма без отделки],февр23141113161718[МОП],$A141,февр23141113161718[Комнатность],"оФИС")</f>
        <v>0</v>
      </c>
      <c r="G141" s="417">
        <f>COUNTIFS(февр23141113161718[МОП],$A141,февр23141113161718[Комнатность],"Офис")</f>
        <v>0</v>
      </c>
      <c r="H141" s="291">
        <f>SUMIFS(РД[S],РД[МОП],A141,РД[Дата подачи на регистрацию],"&lt;="&amp;$A$1,РД[Дата подачи на регистрацию],"&gt;="&amp;DATE(YEAR($A$1),MONTH($A$1),1),РД[Состояние],"Коммерция")</f>
        <v>0</v>
      </c>
      <c r="I141" s="292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регистрацию],"&gt;="&amp;DATE(YEAR($A$1),MONTH($A$1),1),РД[Состояние],"Коммерция")</f>
        <v>0</v>
      </c>
      <c r="J141" s="243">
        <f>COUNTIFS(РД[МОП],A141,РД[Дата подачи на регистрацию],"&lt;="&amp;$A$1,РД[Дата подачи на регистрацию],"&gt;="&amp;DATE(YEAR($A$1),MONTH($A$1),1),РД[Состояние],"Коммерция")</f>
        <v>0</v>
      </c>
      <c r="K141" s="244" t="str">
        <f t="shared" ref="K141" si="29">IFERROR(H141/B141,"")</f>
        <v/>
      </c>
      <c r="L141" s="258" t="str">
        <f t="shared" ref="L141" si="30">IFERROR(I141/C141,"")</f>
        <v/>
      </c>
      <c r="M141" s="145">
        <f>COUNTIFS(РД[Дом],M$140,РД[МОП],$A141,РД[Дата подачи на регистрацию],"&lt;="&amp;$A$1,РД[Дата подачи на регистрацию],"&gt;="&amp;DATE(YEAR($A$1),MONTH($A$1),1),РД[Состояние],"Коммерция")</f>
        <v>0</v>
      </c>
      <c r="N141" s="220">
        <f>COUNTIFS(РД[Дом],N$140,РД[МОП],$A141,РД[Дата подачи на регистрацию],"&lt;="&amp;$A$1,РД[Дата подачи на регистрацию],"&gt;="&amp;DATE(YEAR($A$1),MONTH($A$1),1),РД[Состояние],"Коммерция")</f>
        <v>0</v>
      </c>
      <c r="O141" s="223">
        <f>COUNTIFS(РД[Дом],O$140,РД[МОП],$A141,РД[Дата подачи на регистрацию],"&lt;="&amp;$A$1,РД[Дата подачи на регистрацию],"&gt;="&amp;DATE(YEAR($A$1),MONTH($A$1),1),РД[Состояние],"Коммерция")</f>
        <v>0</v>
      </c>
      <c r="T141" s="66"/>
    </row>
    <row r="142" spans="1:20">
      <c r="A142" s="142" t="s">
        <v>8</v>
      </c>
      <c r="B142" s="267"/>
      <c r="C142" s="146"/>
      <c r="D142" s="702"/>
      <c r="E142" s="416">
        <f>SUMIFS(февр23141113161718[м2],февр23141113161718[МОП],A142,февр23141113161718[Комнатность],"Офис")</f>
        <v>0</v>
      </c>
      <c r="F142" s="146">
        <f>SUMIFS(февр23141113161718[Сумма без отделки],февр23141113161718[МОП],$A142,февр23141113161718[Комнатность],"оФИС")</f>
        <v>0</v>
      </c>
      <c r="G142" s="417">
        <f>COUNTIFS(февр23141113161718[МОП],$A142,февр23141113161718[Комнатность],"Офис")</f>
        <v>0</v>
      </c>
      <c r="H142" s="267">
        <f>SUMIFS(РД[S],РД[МОП],A142,РД[Дата подачи на регистрацию],"&lt;="&amp;$A$1,РД[Дата подачи на регистрацию],"&gt;="&amp;DATE(YEAR($A$1),MONTH($A$1),1),РД[Состояние],"Коммерция")</f>
        <v>0</v>
      </c>
      <c r="I142" s="146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регистрацию],"&gt;="&amp;DATE(YEAR($A$1),MONTH($A$1),1),РД[Состояние],"Коммерция")</f>
        <v>0</v>
      </c>
      <c r="J142" s="220">
        <f>COUNTIFS(РД[МОП],A142,РД[Дата подачи на регистрацию],"&lt;="&amp;$A$1,РД[Дата подачи на регистрацию],"&gt;="&amp;DATE(YEAR($A$1),MONTH($A$1),1),РД[Состояние],"Коммерция")</f>
        <v>0</v>
      </c>
      <c r="K142" s="221" t="str">
        <f t="shared" ref="K142:L148" si="31">IFERROR(H142/B142,"")</f>
        <v/>
      </c>
      <c r="L142" s="222" t="str">
        <f t="shared" si="31"/>
        <v/>
      </c>
      <c r="M142" s="145">
        <f>COUNTIFS(РД[Дом],M$140,РД[МОП],$A142,РД[Дата подачи на регистрацию],"&lt;="&amp;$A$1,РД[Дата подачи на регистрацию],"&gt;="&amp;DATE(YEAR($A$1),MONTH($A$1),1),РД[Состояние],"Коммерция")</f>
        <v>0</v>
      </c>
      <c r="N142" s="220">
        <f>COUNTIFS(РД[Дом],N$140,РД[МОП],$A142,РД[Дата подачи на регистрацию],"&lt;="&amp;$A$1,РД[Дата подачи на регистрацию],"&gt;="&amp;DATE(YEAR($A$1),MONTH($A$1),1),РД[Состояние],"Коммерция")</f>
        <v>0</v>
      </c>
      <c r="O142" s="223">
        <f>COUNTIFS(РД[Дом],O$140,РД[МОП],$A142,РД[Дата подачи на регистрацию],"&lt;="&amp;$A$1,РД[Дата подачи на регистрацию],"&gt;="&amp;DATE(YEAR($A$1),MONTH($A$1),1),РД[Состояние],"Коммерция")</f>
        <v>0</v>
      </c>
      <c r="P142" s="65"/>
      <c r="Q142" s="65"/>
      <c r="R142" s="65"/>
      <c r="S142" s="339"/>
      <c r="T142" s="66"/>
    </row>
    <row r="143" spans="1:20">
      <c r="A143" s="398" t="s">
        <v>77</v>
      </c>
      <c r="B143" s="271"/>
      <c r="C143" s="52"/>
      <c r="D143" s="717"/>
      <c r="E143" s="416">
        <f>SUMIFS(февр23141113161718[м2],февр23141113161718[МОП],A143,февр23141113161718[Комнатность],"Офис")</f>
        <v>0</v>
      </c>
      <c r="F143" s="52">
        <f>SUMIFS(февр23141113161718[Сумма без отделки],февр23141113161718[МОП],$A143,февр23141113161718[Комнатность],"оФИС")</f>
        <v>0</v>
      </c>
      <c r="G143" s="421">
        <f>COUNTIFS(февр23141113161718[МОП],$A143,февр23141113161718[Комнатность],"Офис")</f>
        <v>0</v>
      </c>
      <c r="H143" s="271">
        <f>SUMIFS(РД[S],РД[МОП],A143,РД[Дата подачи на регистрацию],"&lt;="&amp;$A$1,РД[Дата подачи на регистрацию],"&gt;="&amp;DATE(YEAR($A$1),MONTH($A$1),1),РД[Состояние],"Коммерция")</f>
        <v>0</v>
      </c>
      <c r="I143" s="52">
        <f>SUMIFS(РД[Стоимость без отделки итог],РД[МОП],A143,РД[Дата подачи на регистрацию],"&lt;="&amp;$A$1,РД[Дата подачи на регистрацию],"&gt;="&amp;DATE(YEAR($A$1),MONTH($A$1),1),РД[Состояние],"Коммерция")</f>
        <v>0</v>
      </c>
      <c r="J143" s="220">
        <f>COUNTIFS(РД[МОП],A143,РД[Дата подачи на регистрацию],"&lt;="&amp;$A$1,РД[Дата подачи на регистрацию],"&gt;="&amp;DATE(YEAR($A$1),MONTH($A$1),1),РД[Состояние],"Коммерция")</f>
        <v>0</v>
      </c>
      <c r="K143" s="52" t="str">
        <f t="shared" si="31"/>
        <v/>
      </c>
      <c r="L143" s="272" t="str">
        <f t="shared" si="31"/>
        <v/>
      </c>
      <c r="M143" s="257">
        <f>COUNTIFS(РД[Дом],M$140,РД[МОП],$A143,РД[Дата подачи на регистрацию],"&lt;="&amp;$A$1,РД[Дата подачи на регистрацию],"&gt;="&amp;DATE(YEAR($A$1),MONTH($A$1),1),РД[Состояние],"Коммерция")</f>
        <v>0</v>
      </c>
      <c r="N143" s="226">
        <f>COUNTIFS(РД[Дом],N$140,РД[МОП],$A143,РД[Дата подачи на регистрацию],"&lt;="&amp;$A$1,РД[Дата подачи на регистрацию],"&gt;="&amp;DATE(YEAR($A$1),MONTH($A$1),1),РД[Состояние],"Коммерция")</f>
        <v>0</v>
      </c>
      <c r="O143" s="227">
        <f>COUNTIFS(РД[Дом],O$140,РД[МОП],$A143,РД[Дата подачи на регистрацию],"&lt;="&amp;$A$1,РД[Дата подачи на регистрацию],"&gt;="&amp;DATE(YEAR($A$1),MONTH($A$1),1),РД[Состояние],"Коммерция")</f>
        <v>0</v>
      </c>
      <c r="P143" s="65"/>
      <c r="Q143" s="65"/>
      <c r="R143" s="65"/>
      <c r="S143" s="339"/>
      <c r="T143" s="66"/>
    </row>
    <row r="144" spans="1:20">
      <c r="A144" s="398" t="s">
        <v>1233</v>
      </c>
      <c r="B144" s="271"/>
      <c r="C144" s="52"/>
      <c r="D144" s="717"/>
      <c r="E144" s="416">
        <f>SUMIFS(февр23141113161718[м2],февр23141113161718[МОП],A144,февр23141113161718[Комнатность],"Офис")</f>
        <v>271.57</v>
      </c>
      <c r="F144" s="52">
        <f>SUMIFS(февр23141113161718[Сумма без отделки],февр23141113161718[МОП],$A144,февр23141113161718[Комнатность],"оФИС")</f>
        <v>35453584</v>
      </c>
      <c r="G144" s="421">
        <f>COUNTIFS(февр23141113161718[МОП],$A144,февр23141113161718[Комнатность],"Офис")</f>
        <v>3</v>
      </c>
      <c r="H144" s="271">
        <f>SUMIFS(РД[S],РД[МОП],A144,РД[Дата подачи на регистрацию],"&lt;="&amp;$A$1,РД[Дата подачи на регистрацию],"&gt;="&amp;DATE(YEAR($A$1),MONTH($A$1),1),РД[Состояние],"Коммерция")</f>
        <v>271.57</v>
      </c>
      <c r="I144" s="52">
        <f>SUMIFS(РД[Стоимость без отделки итог],РД[МОП],A144,РД[Дата подачи на регистрацию],"&lt;="&amp;$A$1,РД[Дата подачи на регистрацию],"&gt;="&amp;DATE(YEAR($A$1),MONTH($A$1),1),РД[Состояние],"Коммерция")</f>
        <v>35453584</v>
      </c>
      <c r="J144" s="220">
        <f>COUNTIFS(РД[МОП],A144,РД[Дата подачи на регистрацию],"&lt;="&amp;$A$1,РД[Дата подачи на регистрацию],"&gt;="&amp;DATE(YEAR($A$1),MONTH($A$1),1),РД[Состояние],"Коммерция")</f>
        <v>3</v>
      </c>
      <c r="K144" s="224" t="str">
        <f t="shared" si="31"/>
        <v/>
      </c>
      <c r="L144" s="225" t="str">
        <f t="shared" si="31"/>
        <v/>
      </c>
      <c r="M144" s="257">
        <f>COUNTIFS(РД[Дом],M$140,РД[МОП],$A144,РД[Дата подачи на регистрацию],"&lt;="&amp;$A$1,РД[Дата подачи на регистрацию],"&gt;="&amp;DATE(YEAR($A$1),MONTH($A$1),1),РД[Состояние],"Коммерция")</f>
        <v>0</v>
      </c>
      <c r="N144" s="226">
        <f>COUNTIFS(РД[Дом],N$140,РД[МОП],$A144,РД[Дата подачи на регистрацию],"&lt;="&amp;$A$1,РД[Дата подачи на регистрацию],"&gt;="&amp;DATE(YEAR($A$1),MONTH($A$1),1),РД[Состояние],"Коммерция")</f>
        <v>2</v>
      </c>
      <c r="O144" s="227">
        <f>COUNTIFS(РД[Дом],O$140,РД[МОП],$A144,РД[Дата подачи на регистрацию],"&lt;="&amp;$A$1,РД[Дата подачи на регистрацию],"&gt;="&amp;DATE(YEAR($A$1),MONTH($A$1),1),РД[Состояние],"Коммерция")</f>
        <v>1</v>
      </c>
      <c r="P144" s="65"/>
      <c r="Q144" s="65"/>
      <c r="R144" s="65"/>
      <c r="S144" s="339"/>
      <c r="T144" s="66"/>
    </row>
    <row r="145" spans="1:21">
      <c r="A145" s="153" t="s">
        <v>20</v>
      </c>
      <c r="B145" s="315"/>
      <c r="C145" s="363"/>
      <c r="D145" s="703"/>
      <c r="E145" s="422">
        <f>SUMIFS(февр23141113161718[м2],февр23141113161718[МОП],A145,февр23141113161718[Комнатность],"Офис")</f>
        <v>0</v>
      </c>
      <c r="F145" s="363">
        <f>SUMIFS(февр23141113161718[Сумма без отделки],февр23141113161718[МОП],$A145,февр23141113161718[Комнатность],"оФИС")</f>
        <v>0</v>
      </c>
      <c r="G145" s="414">
        <f>COUNTIFS(февр23141113161718[МОП],$A145,февр23141113161718[Комнатность],"Офис")</f>
        <v>0</v>
      </c>
      <c r="H145" s="315">
        <f>SUMIFS(РД[S],РД[МОП],A145,РД[Дата подачи на регистрацию],"&lt;="&amp;$A$1,РД[Дата подачи на регистрацию],"&gt;="&amp;DATE(YEAR($A$1),MONTH($A$1),1),РД[Состояние],"Коммерция")</f>
        <v>0</v>
      </c>
      <c r="I145" s="363">
        <f>SUMIFS(РД[Стоимость без отделки итог],РД[МОП],A145,РД[Дата подачи на регистрацию],"&lt;="&amp;$A$1,РД[Дата подачи на регистрацию],"&gt;="&amp;DATE(YEAR($A$1),MONTH($A$1),1),РД[Состояние],"Коммерция")</f>
        <v>0</v>
      </c>
      <c r="J145" s="247">
        <f>COUNTIFS(РД[МОП],A145,РД[Дата подачи на регистрацию],"&lt;="&amp;$A$1,РД[Дата подачи на регистрацию],"&gt;="&amp;DATE(YEAR($A$1),MONTH($A$1),1),РД[Состояние],"Коммерция")</f>
        <v>0</v>
      </c>
      <c r="K145" s="360" t="str">
        <f t="shared" si="31"/>
        <v/>
      </c>
      <c r="L145" s="361" t="str">
        <f t="shared" si="31"/>
        <v/>
      </c>
      <c r="M145" s="329">
        <f>COUNTIFS(РД[Дом],M$140,РД[МОП],$A145,РД[Дата подачи на регистрацию],"&lt;="&amp;$A$1,РД[Дата подачи на регистрацию],"&gt;="&amp;DATE(YEAR($A$1),MONTH($A$1),1),РД[Состояние],"Коммерция")</f>
        <v>0</v>
      </c>
      <c r="N145" s="330">
        <f>COUNTIFS(РД[Дом],N$140,РД[МОП],$A145,РД[Дата подачи на регистрацию],"&lt;="&amp;$A$1,РД[Дата подачи на регистрацию],"&gt;="&amp;DATE(YEAR($A$1),MONTH($A$1),1),РД[Состояние],"Коммерция")</f>
        <v>0</v>
      </c>
      <c r="O145" s="331">
        <f>COUNTIFS(РД[Дом],O$140,РД[МОП],$A145,РД[Дата подачи на регистрацию],"&lt;="&amp;$A$1,РД[Дата подачи на регистрацию],"&gt;="&amp;DATE(YEAR($A$1),MONTH($A$1),1),РД[Состояние],"Коммерция")</f>
        <v>0</v>
      </c>
      <c r="P145" s="65"/>
      <c r="Q145" s="65"/>
      <c r="R145" s="65"/>
      <c r="S145" s="339"/>
      <c r="T145" s="66"/>
    </row>
    <row r="146" spans="1:21">
      <c r="A146" s="154" t="s">
        <v>29</v>
      </c>
      <c r="B146" s="274"/>
      <c r="C146" s="277"/>
      <c r="D146" s="718"/>
      <c r="E146" s="423">
        <f>SUMIFS(февр23141113161718[м2],февр23141113161718[МОП],A146,февр23141113161718[Комнатность],"Офис")</f>
        <v>0</v>
      </c>
      <c r="F146" s="277">
        <f>SUMIFS(февр23141113161718[Сумма без отделки],февр23141113161718[МОП],$A146,февр23141113161718[Комнатность],"оФИС")</f>
        <v>0</v>
      </c>
      <c r="G146" s="405">
        <f>COUNTIFS(февр23141113161718[МОП],$A146,февр23141113161718[Комнатность],"Офис")</f>
        <v>0</v>
      </c>
      <c r="H146" s="274">
        <f>SUMIFS(РД[S],РД[МОП],A146,РД[Дата подачи на регистрацию],"&lt;="&amp;$A$1,РД[Дата подачи на регистрацию],"&gt;="&amp;DATE(YEAR($A$1),MONTH($A$1),1),РД[Состояние],"Коммерция")</f>
        <v>0</v>
      </c>
      <c r="I146" s="277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регистрацию],"&gt;="&amp;DATE(YEAR($A$1),MONTH($A$1),1),РД[Состояние],"Коммерция")</f>
        <v>0</v>
      </c>
      <c r="J146" s="228">
        <f>COUNTIFS(РД[МОП],A146,РД[Дата подачи на регистрацию],"&lt;="&amp;$A$1,РД[Дата подачи на регистрацию],"&gt;="&amp;DATE(YEAR($A$1),MONTH($A$1),1),РД[Состояние],"Коммерция")</f>
        <v>0</v>
      </c>
      <c r="K146" s="229" t="str">
        <f t="shared" ref="K146" si="32">IFERROR(H146/B146,"")</f>
        <v/>
      </c>
      <c r="L146" s="230" t="str">
        <f t="shared" ref="L146" si="33">IFERROR(I146/C146,"")</f>
        <v/>
      </c>
      <c r="M146" s="341">
        <f>COUNTIFS(РД[Дом],M$140,РД[МОП],$A146,РД[Дата подачи на регистрацию],"&lt;="&amp;$A$1,РД[Дата подачи на регистрацию],"&gt;="&amp;DATE(YEAR($A$1),MONTH($A$1),1),РД[Состояние],"Коммерция")</f>
        <v>0</v>
      </c>
      <c r="N146" s="228">
        <f>COUNTIFS(РД[Дом],N$140,РД[МОП],$A146,РД[Дата подачи на регистрацию],"&lt;="&amp;$A$1,РД[Дата подачи на регистрацию],"&gt;="&amp;DATE(YEAR($A$1),MONTH($A$1),1),РД[Состояние],"Коммерция")</f>
        <v>0</v>
      </c>
      <c r="O146" s="231">
        <f>COUNTIFS(РД[Дом],O$140,РД[МОП],$A146,РД[Дата подачи на регистрацию],"&lt;="&amp;$A$1,РД[Дата подачи на регистрацию],"&gt;="&amp;DATE(YEAR($A$1),MONTH($A$1),1),РД[Состояние],"Коммерция")</f>
        <v>0</v>
      </c>
      <c r="P146" s="65"/>
      <c r="Q146" s="65"/>
      <c r="R146" s="65"/>
      <c r="S146" s="339"/>
      <c r="T146" s="66"/>
    </row>
    <row r="147" spans="1:21">
      <c r="A147" s="161" t="s">
        <v>1207</v>
      </c>
      <c r="B147" s="899"/>
      <c r="C147" s="900"/>
      <c r="D147" s="901"/>
      <c r="E147" s="902">
        <f>SUMIFS(февр23141113161718[м2],февр23141113161718[МОП],A147,февр23141113161718[Комнатность],"Офис")</f>
        <v>0</v>
      </c>
      <c r="F147" s="900">
        <f>SUMIFS(февр23141113161718[Сумма без отделки],февр23141113161718[МОП],$A147,февр23141113161718[Комнатность],"оФИС")</f>
        <v>0</v>
      </c>
      <c r="G147" s="903">
        <f>COUNTIFS(февр23141113161718[МОП],$A147,февр23141113161718[Комнатность],"Офис")</f>
        <v>0</v>
      </c>
      <c r="H147" s="899">
        <f>SUMIFS(РД[S],РД[МОП],A147,РД[Дата подачи на регистрацию],"&lt;="&amp;$A$1,РД[Дата подачи на регистрацию],"&gt;="&amp;DATE(YEAR($A$1),MONTH($A$1),1),РД[Состояние],"Коммерция")</f>
        <v>0</v>
      </c>
      <c r="I147" s="900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регистрацию],"&gt;="&amp;DATE(YEAR($A$1),MONTH($A$1),1),РД[Состояние],"Коммерция")</f>
        <v>0</v>
      </c>
      <c r="J147" s="236">
        <f>COUNTIFS(РД[МОП],A147,РД[Дата подачи на регистрацию],"&lt;="&amp;$A$1,РД[Дата подачи на регистрацию],"&gt;="&amp;DATE(YEAR($A$1),MONTH($A$1),1),РД[Состояние],"Коммерция")</f>
        <v>0</v>
      </c>
      <c r="K147" s="918" t="str">
        <f t="shared" ref="K147" si="34">IFERROR(H147/B147,"")</f>
        <v/>
      </c>
      <c r="L147" s="919" t="str">
        <f t="shared" ref="L147" si="35">IFERROR(I147/C147,"")</f>
        <v/>
      </c>
      <c r="M147" s="905">
        <f>COUNTIFS(РД[Дом],M$140,РД[МОП],$A147,РД[Дата подачи на регистрацию],"&lt;="&amp;$A$1,РД[Дата подачи на регистрацию],"&gt;="&amp;DATE(YEAR($A$1),MONTH($A$1),1),РД[Состояние],"Коммерция")</f>
        <v>0</v>
      </c>
      <c r="N147" s="236">
        <f>COUNTIFS(РД[Дом],N$140,РД[МОП],$A147,РД[Дата подачи на регистрацию],"&lt;="&amp;$A$1,РД[Дата подачи на регистрацию],"&gt;="&amp;DATE(YEAR($A$1),MONTH($A$1),1),РД[Состояние],"Коммерция")</f>
        <v>0</v>
      </c>
      <c r="O147" s="237">
        <f>COUNTIFS(РД[Дом],O$140,РД[МОП],$A147,РД[Дата подачи на регистрацию],"&lt;="&amp;$A$1,РД[Дата подачи на регистрацию],"&gt;="&amp;DATE(YEAR($A$1),MONTH($A$1),1),РД[Состояние],"Коммерция")</f>
        <v>0</v>
      </c>
      <c r="P147" s="65"/>
      <c r="Q147" s="65"/>
      <c r="R147" s="65"/>
      <c r="S147" s="339"/>
      <c r="T147" s="66"/>
    </row>
    <row r="148" spans="1:21">
      <c r="A148" s="513" t="s">
        <v>114</v>
      </c>
      <c r="B148" s="323">
        <f t="shared" ref="B148:J148" si="36">SUM(B141:B147)</f>
        <v>0</v>
      </c>
      <c r="C148" s="429">
        <f t="shared" si="36"/>
        <v>0</v>
      </c>
      <c r="D148" s="322">
        <f t="shared" si="36"/>
        <v>0</v>
      </c>
      <c r="E148" s="323">
        <f t="shared" si="36"/>
        <v>271.57</v>
      </c>
      <c r="F148" s="429">
        <f t="shared" si="36"/>
        <v>35453584</v>
      </c>
      <c r="G148" s="319">
        <f t="shared" si="36"/>
        <v>3</v>
      </c>
      <c r="H148" s="428">
        <f t="shared" si="36"/>
        <v>271.57</v>
      </c>
      <c r="I148" s="429">
        <f t="shared" si="36"/>
        <v>35453584</v>
      </c>
      <c r="J148" s="321">
        <f t="shared" si="36"/>
        <v>3</v>
      </c>
      <c r="K148" s="419" t="str">
        <f t="shared" si="31"/>
        <v/>
      </c>
      <c r="L148" s="527" t="str">
        <f t="shared" si="31"/>
        <v/>
      </c>
      <c r="M148" s="318">
        <f>SUM(M141:M147)</f>
        <v>0</v>
      </c>
      <c r="N148" s="321">
        <f>SUM(N141:N147)</f>
        <v>2</v>
      </c>
      <c r="O148" s="319">
        <f>SUM(O141:O147)</f>
        <v>1</v>
      </c>
      <c r="P148" s="65"/>
      <c r="Q148" s="65"/>
      <c r="R148" s="65"/>
      <c r="S148" s="339"/>
      <c r="T148" s="66"/>
    </row>
    <row r="149" spans="1:21">
      <c r="A149" s="685" t="s">
        <v>115</v>
      </c>
      <c r="B149" s="713" t="s">
        <v>100</v>
      </c>
      <c r="C149" s="714" t="s">
        <v>97</v>
      </c>
      <c r="D149" s="715" t="s">
        <v>95</v>
      </c>
      <c r="E149" s="716" t="s">
        <v>494</v>
      </c>
      <c r="F149" s="265" t="s">
        <v>495</v>
      </c>
      <c r="G149" s="266" t="s">
        <v>496</v>
      </c>
      <c r="H149" s="309" t="s">
        <v>101</v>
      </c>
      <c r="I149" s="310" t="s">
        <v>98</v>
      </c>
      <c r="J149" s="310" t="s">
        <v>96</v>
      </c>
      <c r="K149" s="310" t="s">
        <v>715</v>
      </c>
      <c r="L149" s="920" t="s">
        <v>716</v>
      </c>
      <c r="M149" s="921" t="s">
        <v>121</v>
      </c>
      <c r="N149" s="922" t="s">
        <v>27</v>
      </c>
      <c r="O149" s="923" t="s">
        <v>7</v>
      </c>
      <c r="P149" s="65"/>
      <c r="Q149" s="65"/>
      <c r="R149" s="65"/>
      <c r="S149" s="339"/>
      <c r="T149" s="66"/>
    </row>
    <row r="150" spans="1:21">
      <c r="A150" s="177" t="s">
        <v>16</v>
      </c>
      <c r="B150" s="291"/>
      <c r="C150" s="292"/>
      <c r="D150" s="720"/>
      <c r="E150" s="267">
        <f>SUMIFS(февр23141113161718[м2],февр23141113161718[ИМ],A150,февр23141113161718[Комнатность],"Офис")</f>
        <v>0</v>
      </c>
      <c r="F150" s="146">
        <f>SUMIFS(февр23141113161718[Сумма без отделки],февр23141113161718[ИМ],$A150,февр23141113161718[Комнатность],"оФИС")</f>
        <v>0</v>
      </c>
      <c r="G150" s="417">
        <f>COUNTIFS(февр23141113161718[ИМ],$A150,февр23141113161718[Комнатность],"Офис")</f>
        <v>0</v>
      </c>
      <c r="H150" s="267">
        <f>SUMIFS(РД[S],РД[ИМ],A150,РД[Дата подачи на регистрацию],"&lt;="&amp;$A$1,РД[Дата подачи на регистрацию],"&gt;="&amp;DATE(YEAR($A$1),MONTH($A$1),1),РД[Состояние],"Коммерция")</f>
        <v>0</v>
      </c>
      <c r="I150" s="146">
        <f>SUMIFS(РД[Стоимость без отделки итог],РД[ИМ],A150,РД[Дата подачи на регистрацию],"&lt;="&amp;$A$1,РД[Дата подачи на регистрацию],"&gt;="&amp;DATE(YEAR($A$1),MONTH($A$1),1),РД[Состояние],"Коммерция")</f>
        <v>0</v>
      </c>
      <c r="J150" s="220">
        <f>COUNTIFS(РД[ИМ],A150,РД[Дата подачи на регистрацию],"&lt;="&amp;$A$1,РД[Дата подачи на регистрацию],"&gt;="&amp;DATE(YEAR($A$1),MONTH($A$1),1),РД[Состояние],"Коммерция")</f>
        <v>0</v>
      </c>
      <c r="K150" s="224" t="str">
        <f t="shared" ref="K150:L152" si="37">IFERROR(H150/B150,"")</f>
        <v/>
      </c>
      <c r="L150" s="225" t="str">
        <f t="shared" si="37"/>
        <v/>
      </c>
      <c r="M150" s="183">
        <f>COUNTIFS(РД[Дом],M$140,РД[ИМ],$A150,РД[Дата подачи на регистрацию],"&lt;="&amp;$A$1,РД[Дата подачи на регистрацию],"&gt;="&amp;DATE(YEAR($A$1),MONTH($A$1),1),РД[Состояние],"Коммерция")</f>
        <v>0</v>
      </c>
      <c r="N150" s="243">
        <f>COUNTIFS(РД[Дом],N$140,РД[ИМ],$A150,РД[Дата подачи на регистрацию],"&lt;="&amp;$A$1,РД[Дата подачи на регистрацию],"&gt;="&amp;DATE(YEAR($A$1),MONTH($A$1),1),РД[Состояние],"Коммерция")</f>
        <v>0</v>
      </c>
      <c r="O150" s="246">
        <f>COUNTIFS(РД[Дом],O$140,РД[ИМ],$A150,РД[Дата подачи на регистрацию],"&lt;="&amp;$A$1,РД[Дата подачи на регистрацию],"&gt;="&amp;DATE(YEAR($A$1),MONTH($A$1),1),РД[Состояние],"Коммерция")</f>
        <v>0</v>
      </c>
      <c r="P150" s="65"/>
      <c r="Q150" s="65"/>
      <c r="R150" s="65"/>
      <c r="S150" s="339"/>
      <c r="T150" s="66"/>
    </row>
    <row r="151" spans="1:21">
      <c r="A151" s="189" t="s">
        <v>22</v>
      </c>
      <c r="B151" s="516"/>
      <c r="C151" s="554"/>
      <c r="D151" s="721"/>
      <c r="E151" s="315">
        <f>SUMIFS(февр23141113161718[м2],февр23141113161718[ИМ],A151,февр23141113161718[Комнатность],"Офис")</f>
        <v>0</v>
      </c>
      <c r="F151" s="363">
        <f>SUMIFS(февр23141113161718[Сумма без отделки],февр23141113161718[ИМ],$A151,февр23141113161718[Комнатность],"оФИС")</f>
        <v>0</v>
      </c>
      <c r="G151" s="518">
        <f>COUNTIFS(февр23141113161718[ИМ],$A151,февр23141113161718[Комнатность],"Офис")</f>
        <v>0</v>
      </c>
      <c r="H151" s="315">
        <f>SUMIFS(РД[S],РД[ИМ],A151,РД[Дата подачи на регистрацию],"&lt;="&amp;$A$1,РД[Дата подачи на регистрацию],"&gt;="&amp;DATE(YEAR($A$1),MONTH($A$1),1),РД[Состояние],"Коммерция")</f>
        <v>0</v>
      </c>
      <c r="I151" s="363">
        <f>SUMIFS(РД[Стоимость без отделки итог],РД[ИМ],A151,РД[Дата подачи на регистрацию],"&lt;="&amp;$A$1,РД[Дата подачи на регистрацию],"&gt;="&amp;DATE(YEAR($A$1),MONTH($A$1),1),РД[Состояние],"Коммерция")</f>
        <v>0</v>
      </c>
      <c r="J151" s="220">
        <f>COUNTIFS(РД[ИМ],A151,РД[Дата подачи на регистрацию],"&lt;="&amp;$A$1,РД[Дата подачи на регистрацию],"&gt;="&amp;DATE(YEAR($A$1),MONTH($A$1),1),РД[Состояние],"Коммерция")</f>
        <v>0</v>
      </c>
      <c r="K151" s="252" t="str">
        <f t="shared" si="37"/>
        <v/>
      </c>
      <c r="L151" s="260" t="str">
        <f t="shared" si="37"/>
        <v/>
      </c>
      <c r="M151" s="195">
        <f>COUNTIFS(РД[Дом],M$140,РД[ИМ],$A151,РД[Дата подачи на регистрацию],"&lt;="&amp;$A$1,РД[Дата подачи на регистрацию],"&gt;="&amp;DATE(YEAR($A$1),MONTH($A$1),1),РД[Состояние],"Коммерция")</f>
        <v>0</v>
      </c>
      <c r="N151" s="251">
        <f>COUNTIFS(РД[Дом],N$140,РД[ИМ],$A151,РД[Дата подачи на регистрацию],"&lt;="&amp;$A$1,РД[Дата подачи на регистрацию],"&gt;="&amp;DATE(YEAR($A$1),MONTH($A$1),1),РД[Состояние],"Коммерция")</f>
        <v>0</v>
      </c>
      <c r="O151" s="254">
        <f>COUNTIFS(РД[Дом],O$140,РД[ИМ],$A151,РД[Дата подачи на регистрацию],"&lt;="&amp;$A$1,РД[Дата подачи на регистрацию],"&gt;="&amp;DATE(YEAR($A$1),MONTH($A$1),1),РД[Состояние],"Коммерция")</f>
        <v>0</v>
      </c>
      <c r="P151" s="65"/>
      <c r="Q151" s="65"/>
      <c r="R151" s="65"/>
      <c r="S151" s="339"/>
      <c r="T151" s="66"/>
    </row>
    <row r="152" spans="1:21">
      <c r="A152" s="513" t="s">
        <v>114</v>
      </c>
      <c r="B152" s="282">
        <f>SUM(B150:B151)</f>
        <v>0</v>
      </c>
      <c r="C152" s="287">
        <f>SUM(C150:C151)</f>
        <v>0</v>
      </c>
      <c r="D152" s="472">
        <f>SUM(D150:D151)</f>
        <v>0</v>
      </c>
      <c r="E152" s="323">
        <f t="shared" ref="E152:J152" si="38">SUM(E150:E151)</f>
        <v>0</v>
      </c>
      <c r="F152" s="429">
        <f t="shared" si="38"/>
        <v>0</v>
      </c>
      <c r="G152" s="322">
        <f t="shared" si="38"/>
        <v>0</v>
      </c>
      <c r="H152" s="323">
        <f t="shared" si="38"/>
        <v>0</v>
      </c>
      <c r="I152" s="429">
        <f t="shared" si="38"/>
        <v>0</v>
      </c>
      <c r="J152" s="429">
        <f t="shared" si="38"/>
        <v>0</v>
      </c>
      <c r="K152" s="419" t="str">
        <f t="shared" si="37"/>
        <v/>
      </c>
      <c r="L152" s="924" t="str">
        <f t="shared" si="37"/>
        <v/>
      </c>
      <c r="M152" s="925">
        <f>SUM(M150:M151)</f>
        <v>0</v>
      </c>
      <c r="N152" s="285">
        <f>SUM(N150:N151)</f>
        <v>0</v>
      </c>
      <c r="O152" s="305">
        <f>SUM(O150:O151)</f>
        <v>0</v>
      </c>
      <c r="P152" s="65"/>
      <c r="Q152" s="65"/>
      <c r="R152" s="65"/>
      <c r="S152" s="339"/>
      <c r="T152" s="66"/>
    </row>
    <row r="153" spans="1:21">
      <c r="A153" s="134"/>
      <c r="B153" s="44"/>
      <c r="C153" s="44"/>
      <c r="D153" s="134"/>
      <c r="E153" s="134"/>
      <c r="F153" s="44"/>
      <c r="G153" s="134"/>
      <c r="H153" s="134"/>
      <c r="I153" s="134"/>
      <c r="J153" s="134"/>
      <c r="K153" s="255"/>
      <c r="L153" s="256"/>
      <c r="M153" s="134"/>
      <c r="N153" s="134"/>
      <c r="O153" s="134"/>
      <c r="P153" s="134"/>
      <c r="Q153" s="134"/>
      <c r="R153" s="65"/>
      <c r="S153" s="65"/>
    </row>
    <row r="154" spans="1:21" ht="15">
      <c r="A154" s="2321" t="s">
        <v>945</v>
      </c>
      <c r="B154" s="2322"/>
      <c r="C154" s="2322"/>
      <c r="D154" s="2322"/>
      <c r="E154" s="2322"/>
      <c r="F154" s="2322"/>
      <c r="G154" s="2322"/>
      <c r="H154" s="2323"/>
      <c r="I154" s="2323"/>
      <c r="J154" s="2323"/>
      <c r="K154" s="2323"/>
      <c r="L154" s="2323"/>
      <c r="M154" s="2323"/>
      <c r="N154" s="2324"/>
      <c r="O154" s="65"/>
      <c r="P154" s="65"/>
      <c r="Q154" s="86"/>
      <c r="R154" s="65"/>
      <c r="S154" s="65"/>
    </row>
    <row r="155" spans="1:21" ht="15">
      <c r="A155" s="519"/>
      <c r="B155" s="520"/>
      <c r="C155" s="520"/>
      <c r="D155" s="520"/>
      <c r="E155" s="520"/>
      <c r="F155" s="520"/>
      <c r="G155" s="520"/>
      <c r="H155" s="722"/>
      <c r="I155" s="722"/>
      <c r="J155" s="722"/>
      <c r="K155" s="722"/>
      <c r="L155" s="722"/>
      <c r="M155" s="722"/>
      <c r="N155" s="727"/>
      <c r="O155" s="65"/>
      <c r="P155" s="65"/>
      <c r="Q155" s="86"/>
      <c r="R155" s="65"/>
      <c r="S155" s="65"/>
    </row>
    <row r="156" spans="1:21">
      <c r="A156" s="685" t="s">
        <v>1</v>
      </c>
      <c r="B156" s="723" t="s">
        <v>101</v>
      </c>
      <c r="C156" s="724" t="s">
        <v>98</v>
      </c>
      <c r="D156" s="688" t="s">
        <v>96</v>
      </c>
      <c r="E156" s="137" t="s">
        <v>494</v>
      </c>
      <c r="F156" s="138" t="s">
        <v>495</v>
      </c>
      <c r="G156" s="296" t="s">
        <v>496</v>
      </c>
      <c r="H156" s="140" t="s">
        <v>946</v>
      </c>
      <c r="I156" s="141" t="s">
        <v>947</v>
      </c>
      <c r="J156" s="217">
        <v>0</v>
      </c>
      <c r="K156" s="218">
        <v>1</v>
      </c>
      <c r="L156" s="340">
        <v>2</v>
      </c>
      <c r="M156" s="218">
        <v>3</v>
      </c>
      <c r="N156" s="219" t="s">
        <v>1367</v>
      </c>
      <c r="O156" s="65"/>
      <c r="P156" s="65"/>
      <c r="Q156" s="86"/>
      <c r="R156" s="65"/>
      <c r="S156" s="65"/>
    </row>
    <row r="157" spans="1:21">
      <c r="A157" s="142" t="s">
        <v>73</v>
      </c>
      <c r="B157" s="291">
        <f>SUMIFS(РД[S],РД[МОП],A157,РД[Дата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57" s="292">
        <f>SUMIFS(РД[Стоимость без отделки итог],РД[МОП],A157,РД[Дата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57" s="694">
        <f>COUNTIFS(РД[МОП],A157,РД[Дата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57" s="329">
        <f>SUMIFS(февр23141113161718[м2],февр23141113161718[КТУ],$A157,февр23141113161718[МОП],"Все метры")</f>
        <v>0</v>
      </c>
      <c r="F157" s="363">
        <f>SUMIFS(февр23141113161718[Сумма без отделки],февр23141113161718[КТУ],$A157,февр23141113161718[МОП],"Все метры")</f>
        <v>0</v>
      </c>
      <c r="G157" s="414">
        <f>COUNTIFS(февр23141113161718[КТУ],$A157,февр23141113161718[МОП],"Все метры")</f>
        <v>0</v>
      </c>
      <c r="H157" s="291">
        <f>SUMIFS(РД[S],РД[МОП],A157,РД[Дата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57" s="879">
        <f>SUMIFS(РД[Стоимость без отделки итог],РД[МОП],A157,РД[Дата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57" s="183">
        <f>COUNTIFS(РД[Тип кв],J$156,РД[МОП],$A157,РД[Дата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57" s="243">
        <f>COUNTIFS(РД[Тип кв],K$156,РД[МОП],$A157,РД[Дата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57" s="243">
        <f>COUNTIFS(РД[Тип кв],L$156,РД[МОП],$A157,РД[Дата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57" s="243">
        <f>COUNTIFS(РД[Тип кв],M$156,РД[МОП],$A157,РД[Дата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57" s="246">
        <f>COUNTIFS(РД[Тип кв],N$156,РД[МОП],$A157,РД[Дата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57" s="65"/>
      <c r="P157" s="65"/>
      <c r="Q157" s="86"/>
      <c r="R157" s="65"/>
      <c r="S157" s="65"/>
    </row>
    <row r="158" spans="1:21" s="339" customFormat="1">
      <c r="A158" s="142" t="s">
        <v>8</v>
      </c>
      <c r="B158" s="267">
        <f>SUMIFS(РД[S],РД[МОП],A158,РД[Дата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58" s="146">
        <f>SUMIFS(РД[Стоимость без отделки итог],РД[МОП],A158,РД[Дата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58" s="702">
        <f>COUNTIFS(РД[МОП],A158,РД[Дата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58" s="329">
        <f>SUMIFS(февр23141113161718[м2],февр23141113161718[КТУ],$A158,февр23141113161718[МОП],"Все метры")</f>
        <v>0</v>
      </c>
      <c r="F158" s="363">
        <f>SUMIFS(февр23141113161718[Сумма без отделки],февр23141113161718[КТУ],$A158,февр23141113161718[МОП],"Все метры")</f>
        <v>0</v>
      </c>
      <c r="G158" s="414">
        <f>COUNTIFS(февр23141113161718[КТУ],$A158,февр23141113161718[МОП],"Все метры")</f>
        <v>0</v>
      </c>
      <c r="H158" s="267">
        <f>SUMIFS(РД[S],РД[МОП],A158,РД[Дата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58" s="549">
        <f>SUMIFS(РД[Стоимость без отделки итог],РД[МОП],A158,РД[Дата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58" s="148">
        <f>COUNTIFS(РД[Тип кв],J$156,РД[МОП],$A158,РД[Дата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58" s="220">
        <f>COUNTIFS(РД[Тип кв],K$156,РД[МОП],$A158,РД[Дата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58" s="220">
        <f>COUNTIFS(РД[Тип кв],L$156,РД[МОП],$A158,РД[Дата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58" s="220">
        <f>COUNTIFS(РД[Тип кв],M$156,РД[МОП],$A158,РД[Дата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58" s="223">
        <f>COUNTIFS(РД[Тип кв],N$156,РД[МОП],$A158,РД[Дата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58" s="65"/>
      <c r="P158" s="65"/>
      <c r="Q158" s="86"/>
      <c r="R158" s="65"/>
      <c r="S158" s="65"/>
      <c r="U158" s="66"/>
    </row>
    <row r="159" spans="1:21" s="339" customFormat="1">
      <c r="A159" s="398" t="s">
        <v>77</v>
      </c>
      <c r="B159" s="271">
        <f>SUMIFS(РД[S],РД[МОП],A159,РД[Дата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59" s="52">
        <f>SUMIFS(РД[Стоимость без отделки итог],РД[МОП],A159,РД[Дата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59" s="717">
        <f>COUNTIFS(РД[МОП],A159,РД[Дата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59" s="329">
        <f>SUMIFS(февр23141113161718[м2],февр23141113161718[КТУ],$A159,февр23141113161718[МОП],"Все метры")</f>
        <v>96.63</v>
      </c>
      <c r="F159" s="363">
        <f>SUMIFS(февр23141113161718[Сумма без отделки],февр23141113161718[КТУ],$A159,февр23141113161718[МОП],"Все метры")</f>
        <v>9509850.3900000006</v>
      </c>
      <c r="G159" s="414">
        <f>COUNTIFS(февр23141113161718[КТУ],$A159,февр23141113161718[МОП],"Все метры")</f>
        <v>3</v>
      </c>
      <c r="H159" s="271">
        <f>SUMIFS(РД[S],РД[МОП],A159,РД[Дата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59" s="546">
        <f>SUMIFS(РД[Стоимость без отделки итог],РД[МОП],A159,РД[Дата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59" s="202">
        <f>COUNTIFS(РД[Тип кв],J$156,РД[МОП],$A159,РД[Дата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59" s="226">
        <f>COUNTIFS(РД[Тип кв],K$156,РД[МОП],$A159,РД[Дата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59" s="226">
        <f>COUNTIFS(РД[Тип кв],L$156,РД[МОП],$A159,РД[Дата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59" s="226">
        <f>COUNTIFS(РД[Тип кв],M$156,РД[МОП],$A159,РД[Дата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59" s="227">
        <f>COUNTIFS(РД[Тип кв],N$156,РД[МОП],$A159,РД[Дата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59" s="65"/>
      <c r="P159" s="65"/>
      <c r="Q159" s="86"/>
      <c r="R159" s="65"/>
      <c r="S159" s="65"/>
      <c r="U159" s="66"/>
    </row>
    <row r="160" spans="1:21" s="339" customFormat="1">
      <c r="A160" s="398" t="s">
        <v>1233</v>
      </c>
      <c r="B160" s="271">
        <f>SUMIFS(РД[S],РД[МОП],A160,РД[Дата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0" s="52">
        <f>SUMIFS(РД[Стоимость без отделки итог],РД[МОП],A160,РД[Дата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0" s="717">
        <f>COUNTIFS(РД[МОП],A160,РД[Дата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0" s="329">
        <f>SUMIFS(февр23141113161718[м2],февр23141113161718[КТУ],$A160,февр23141113161718[МОП],"Все метры")</f>
        <v>0</v>
      </c>
      <c r="F160" s="363">
        <f>SUMIFS(февр23141113161718[Сумма без отделки],февр23141113161718[КТУ],$A160,февр23141113161718[МОП],"Все метры")</f>
        <v>0</v>
      </c>
      <c r="G160" s="414">
        <f>COUNTIFS(февр23141113161718[КТУ],$A160,февр23141113161718[МОП],"Все метры")</f>
        <v>0</v>
      </c>
      <c r="H160" s="271">
        <f>SUMIFS(РД[S],РД[МОП],A160,РД[Дата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0" s="546">
        <f>SUMIFS(РД[Стоимость без отделки итог],РД[МОП],A160,РД[Дата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0" s="202">
        <f>COUNTIFS(РД[Тип кв],J$156,РД[МОП],$A160,РД[Дата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0" s="226">
        <f>COUNTIFS(РД[Тип кв],K$156,РД[МОП],$A160,РД[Дата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0" s="226">
        <f>COUNTIFS(РД[Тип кв],L$156,РД[МОП],$A160,РД[Дата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0" s="226">
        <f>COUNTIFS(РД[Тип кв],M$156,РД[МОП],$A160,РД[Дата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0" s="227">
        <f>COUNTIFS(РД[Тип кв],N$156,РД[МОП],$A160,РД[Дата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0" s="65"/>
      <c r="P160" s="65"/>
      <c r="Q160" s="86"/>
      <c r="R160" s="65"/>
      <c r="S160" s="65"/>
      <c r="U160" s="66"/>
    </row>
    <row r="161" spans="1:21" s="339" customFormat="1">
      <c r="A161" s="153" t="s">
        <v>20</v>
      </c>
      <c r="B161" s="315">
        <f>SUMIFS(РД[S],РД[МОП],A161,РД[Дата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1" s="363">
        <f>SUMIFS(РД[Стоимость без отделки итог],РД[МОП],A161,РД[Дата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1" s="703">
        <f>COUNTIFS(РД[МОП],A161,РД[Дата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1" s="329">
        <f>SUMIFS(февр23141113161718[м2],февр23141113161718[КТУ],$A161,февр23141113161718[МОП],"Все метры")</f>
        <v>39.74</v>
      </c>
      <c r="F161" s="363">
        <f>SUMIFS(февр23141113161718[Сумма без отделки],февр23141113161718[КТУ],$A161,февр23141113161718[МОП],"Все метры")</f>
        <v>3770628.56</v>
      </c>
      <c r="G161" s="414">
        <f>COUNTIFS(февр23141113161718[КТУ],$A161,февр23141113161718[МОП],"Все метры")</f>
        <v>1</v>
      </c>
      <c r="H161" s="315">
        <f>SUMIFS(РД[S],РД[МОП],A161,РД[Дата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1" s="550">
        <f>SUMIFS(РД[Стоимость без отделки итог],РД[МОП],A161,РД[Дата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1" s="358">
        <f>COUNTIFS(РД[Тип кв],J$156,РД[МОП],$A161,РД[Дата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1" s="330">
        <f>COUNTIFS(РД[Тип кв],K$156,РД[МОП],$A161,РД[Дата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1" s="330">
        <f>COUNTIFS(РД[Тип кв],L$156,РД[МОП],$A161,РД[Дата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1" s="330">
        <f>COUNTIFS(РД[Тип кв],M$156,РД[МОП],$A161,РД[Дата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1" s="331">
        <f>COUNTIFS(РД[Тип кв],N$156,РД[МОП],$A161,РД[Дата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1" s="65"/>
      <c r="P161" s="65"/>
      <c r="Q161" s="86"/>
      <c r="R161" s="65"/>
      <c r="S161" s="65"/>
      <c r="U161" s="66"/>
    </row>
    <row r="162" spans="1:21" s="339" customFormat="1">
      <c r="A162" s="154" t="s">
        <v>29</v>
      </c>
      <c r="B162" s="274">
        <f>SUMIFS(РД[S],РД[МОП],A162,РД[Дата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2" s="277">
        <f>SUMIFS(РД[Стоимость без отделки итог],РД[МОП],A162,РД[Дата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2" s="718">
        <f>COUNTIFS(РД[МОП],A162,РД[Дата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2" s="341">
        <f>SUMIFS(февр23141113161718[м2],февр23141113161718[КТУ],$A162,февр23141113161718[МОП],"Все метры")</f>
        <v>0</v>
      </c>
      <c r="F162" s="277">
        <f>SUMIFS(февр23141113161718[Сумма без отделки],февр23141113161718[КТУ],$A162,февр23141113161718[МОП],"Все метры")</f>
        <v>0</v>
      </c>
      <c r="G162" s="405">
        <f>COUNTIFS(февр23141113161718[КТУ],$A162,февр23141113161718[МОП],"Все метры")</f>
        <v>0</v>
      </c>
      <c r="H162" s="274">
        <f>SUMIFS(РД[S],РД[МОП],A162,РД[Дата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2" s="275">
        <f>SUMIFS(РД[Стоимость без отделки итог],РД[МОП],A162,РД[Дата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2" s="341">
        <f>COUNTIFS(РД[Тип кв],J$156,РД[МОП],$A162,РД[Дата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2" s="228">
        <f>COUNTIFS(РД[Тип кв],K$156,РД[МОП],$A162,РД[Дата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2" s="228">
        <f>COUNTIFS(РД[Тип кв],L$156,РД[МОП],$A162,РД[Дата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2" s="228">
        <f>COUNTIFS(РД[Тип кв],M$156,РД[МОП],$A162,РД[Дата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2" s="231">
        <f>COUNTIFS(РД[Тип кв],N$156,РД[МОП],$A162,РД[Дата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2" s="65"/>
      <c r="P162" s="65"/>
      <c r="Q162" s="86"/>
      <c r="R162" s="65"/>
      <c r="S162" s="65"/>
      <c r="U162" s="66"/>
    </row>
    <row r="163" spans="1:21" s="339" customFormat="1">
      <c r="A163" s="904" t="s">
        <v>1207</v>
      </c>
      <c r="B163" s="899">
        <f>SUMIFS(РД[S],РД[МОП],A163,РД[Дата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3" s="900">
        <f>SUMIFS(РД[Стоимость без отделки итог],РД[МОП],A163,РД[Дата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3" s="901">
        <f>COUNTIFS(РД[МОП],A163,РД[Дата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3" s="905">
        <f>SUMIFS(февр23141113161718[м2],февр23141113161718[КТУ],$A163,февр23141113161718[МОП],"Все метры")</f>
        <v>0</v>
      </c>
      <c r="F163" s="900">
        <f>SUMIFS(февр23141113161718[Сумма без отделки],февр23141113161718[КТУ],$A163,февр23141113161718[МОП],"Все метры")</f>
        <v>0</v>
      </c>
      <c r="G163" s="903">
        <f>COUNTIFS(февр23141113161718[КТУ],$A163,февр23141113161718[МОП],"Все метры")</f>
        <v>0</v>
      </c>
      <c r="H163" s="899">
        <f>SUMIFS(РД[S],РД[МОП],A163,РД[Дата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3" s="926">
        <f>SUMIFS(РД[Стоимость без отделки итог],РД[МОП],A163,РД[Дата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3" s="905">
        <f>COUNTIFS(РД[Тип кв],J$156,РД[МОП],$A163,РД[Дата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3" s="236">
        <f>COUNTIFS(РД[Тип кв],K$156,РД[МОП],$A163,РД[Дата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3" s="236">
        <f>COUNTIFS(РД[Тип кв],L$156,РД[МОП],$A163,РД[Дата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3" s="236">
        <f>COUNTIFS(РД[Тип кв],M$156,РД[МОП],$A163,РД[Дата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3" s="237">
        <f>COUNTIFS(РД[Тип кв],N$156,РД[МОП],$A163,РД[Дата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3" s="65"/>
      <c r="P163" s="65"/>
      <c r="Q163" s="86"/>
      <c r="R163" s="65"/>
      <c r="S163" s="65"/>
      <c r="U163" s="66"/>
    </row>
    <row r="164" spans="1:21" s="339" customFormat="1">
      <c r="A164" s="906" t="s">
        <v>114</v>
      </c>
      <c r="B164" s="323">
        <f t="shared" ref="B164:N164" si="39">SUM(B157:B163)</f>
        <v>0</v>
      </c>
      <c r="C164" s="429">
        <f t="shared" si="39"/>
        <v>0</v>
      </c>
      <c r="D164" s="319">
        <f t="shared" si="39"/>
        <v>0</v>
      </c>
      <c r="E164" s="428">
        <f t="shared" si="39"/>
        <v>136.37</v>
      </c>
      <c r="F164" s="429">
        <f t="shared" si="39"/>
        <v>13280478.950000001</v>
      </c>
      <c r="G164" s="322">
        <f t="shared" si="39"/>
        <v>4</v>
      </c>
      <c r="H164" s="323">
        <f t="shared" si="39"/>
        <v>0</v>
      </c>
      <c r="I164" s="324">
        <f t="shared" si="39"/>
        <v>0</v>
      </c>
      <c r="J164" s="320">
        <f t="shared" si="39"/>
        <v>0</v>
      </c>
      <c r="K164" s="321">
        <f t="shared" si="39"/>
        <v>0</v>
      </c>
      <c r="L164" s="321">
        <f t="shared" si="39"/>
        <v>0</v>
      </c>
      <c r="M164" s="321">
        <f t="shared" si="39"/>
        <v>0</v>
      </c>
      <c r="N164" s="319">
        <f t="shared" si="39"/>
        <v>0</v>
      </c>
      <c r="O164" s="65"/>
      <c r="P164" s="65"/>
      <c r="Q164" s="86"/>
      <c r="R164" s="65"/>
      <c r="S164" s="65"/>
      <c r="U164" s="66"/>
    </row>
    <row r="165" spans="1:21" s="339" customFormat="1">
      <c r="A165" s="725" t="s">
        <v>115</v>
      </c>
      <c r="B165" s="907" t="s">
        <v>101</v>
      </c>
      <c r="C165" s="908" t="s">
        <v>98</v>
      </c>
      <c r="D165" s="909" t="s">
        <v>96</v>
      </c>
      <c r="E165" s="910" t="s">
        <v>494</v>
      </c>
      <c r="F165" s="911" t="s">
        <v>495</v>
      </c>
      <c r="G165" s="912" t="s">
        <v>496</v>
      </c>
      <c r="H165" s="913" t="s">
        <v>946</v>
      </c>
      <c r="I165" s="927" t="s">
        <v>947</v>
      </c>
      <c r="J165" s="342">
        <v>0</v>
      </c>
      <c r="K165" s="343">
        <v>1</v>
      </c>
      <c r="L165" s="344">
        <v>2</v>
      </c>
      <c r="M165" s="343">
        <v>3</v>
      </c>
      <c r="N165" s="345" t="s">
        <v>1367</v>
      </c>
      <c r="O165" s="65"/>
      <c r="P165" s="65"/>
      <c r="Q165" s="86"/>
      <c r="R165" s="65"/>
      <c r="S165" s="65"/>
      <c r="U165" s="66"/>
    </row>
    <row r="166" spans="1:21" s="339" customFormat="1">
      <c r="A166" s="177" t="s">
        <v>16</v>
      </c>
      <c r="B166" s="291">
        <f>SUMIFS(РД[S],РД[ИМ],A166,РД[Дата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6" s="292">
        <f>SUMIFS(РД[Стоимость без отделки итог],РД[ИМ],A166,РД[Дата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6" s="694">
        <f>COUNTIFS(РД[ИМ],A166,РД[Дата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6" s="914">
        <f>SUMIFS(февр23141113161718[м2],февр23141113161718[ИМ],$A166,февр23141113161718[МОП],"Все метры")</f>
        <v>72.13</v>
      </c>
      <c r="F166" s="915">
        <f>SUMIFS(февр23141113161718[Сумма без отделки],февр23141113161718[ИМ],$A166,февр23141113161718[МОП],"Все метры")</f>
        <v>7277764.1699999999</v>
      </c>
      <c r="G166" s="916">
        <f>COUNTIFS(февр23141113161718[ИМ],$A166,февр23141113161718[МОП],"Все метры")</f>
        <v>2</v>
      </c>
      <c r="H166" s="291">
        <f>SUMIFS(РД[S],РД[ИМ],A166,РД[Дата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6" s="312">
        <f>SUMIFS(РД[Стоимость без отделки итог],РД[ИМ],A166,РД[Дата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6" s="346">
        <f>COUNTIFS(РД[Тип кв],J$156,РД[ИМ],$A166,РД[Дата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6" s="243">
        <f>COUNTIFS(РД[Тип кв],K$156,РД[ИМ],$A166,РД[Дата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6" s="243">
        <f>COUNTIFS(РД[Тип кв],L$156,РД[ИМ],$A166,РД[Дата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6" s="243">
        <f>COUNTIFS(РД[Тип кв],M$156,РД[ИМ],$A166,РД[Дата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6" s="246">
        <f>COUNTIFS(РД[Тип кв],N$156,РД[ИМ],$A166,РД[Дата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6" s="65"/>
      <c r="P166" s="65"/>
      <c r="Q166" s="86"/>
      <c r="R166" s="65"/>
      <c r="S166" s="65"/>
      <c r="U166" s="66"/>
    </row>
    <row r="167" spans="1:21" s="339" customFormat="1">
      <c r="A167" s="189" t="s">
        <v>22</v>
      </c>
      <c r="B167" s="516">
        <f>SUMIFS(РД[S],РД[ИМ],A167,РД[Дата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67" s="554">
        <f>SUMIFS(РД[Стоимость без отделки итог],РД[ИМ],A167,РД[Дата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67" s="695">
        <f>COUNTIFS(РД[ИМ],A167,РД[Дата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67" s="195">
        <f>SUMIFS(февр23141113161718[м2],февр23141113161718[ИМ],$A167,февр23141113161718[МОП],"Все метры")</f>
        <v>64.240000000000009</v>
      </c>
      <c r="F167" s="554">
        <f>SUMIFS(февр23141113161718[Сумма без отделки],февр23141113161718[ИМ],$A167,февр23141113161718[МОП],"Все метры")</f>
        <v>6002714.7800000003</v>
      </c>
      <c r="G167" s="254">
        <f>COUNTIFS(февр23141113161718[ИМ],$A167,февр23141113161718[МОП],"Все метры")</f>
        <v>2</v>
      </c>
      <c r="H167" s="516">
        <f>SUMIFS(РД[S],РД[ИМ],A167,РД[Дата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67" s="517">
        <f>SUMIFS(РД[Стоимость без отделки итог],РД[ИМ],A167,РД[Дата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67" s="426">
        <f>COUNTIFS(РД[Тип кв],J$156,РД[ИМ],$A167,РД[Дата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67" s="251">
        <f>COUNTIFS(РД[Тип кв],K$156,РД[ИМ],$A167,РД[Дата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67" s="251">
        <f>COUNTIFS(РД[Тип кв],L$156,РД[ИМ],$A167,РД[Дата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67" s="251">
        <f>COUNTIFS(РД[Тип кв],M$156,РД[ИМ],$A167,РД[Дата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67" s="254">
        <f>COUNTIFS(РД[Тип кв],N$156,РД[ИМ],$A167,РД[Дата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67" s="65"/>
      <c r="P167" s="65"/>
      <c r="Q167" s="86"/>
      <c r="R167" s="65"/>
      <c r="S167" s="65"/>
      <c r="U167" s="66"/>
    </row>
    <row r="168" spans="1:21" s="339" customFormat="1">
      <c r="A168" s="513" t="s">
        <v>114</v>
      </c>
      <c r="B168" s="282">
        <f>SUM(B166:B167)</f>
        <v>0</v>
      </c>
      <c r="C168" s="287">
        <f>SUM(C166:C167)</f>
        <v>0</v>
      </c>
      <c r="D168" s="711">
        <f>SUM(D166:D167)</f>
        <v>0</v>
      </c>
      <c r="E168" s="425">
        <f t="shared" ref="E168:N168" si="40">SUM(E166:E167)</f>
        <v>136.37</v>
      </c>
      <c r="F168" s="287">
        <f t="shared" si="40"/>
        <v>13280478.949999999</v>
      </c>
      <c r="G168" s="286">
        <f t="shared" si="40"/>
        <v>4</v>
      </c>
      <c r="H168" s="282">
        <f t="shared" si="40"/>
        <v>0</v>
      </c>
      <c r="I168" s="283">
        <f t="shared" si="40"/>
        <v>0</v>
      </c>
      <c r="J168" s="284">
        <f t="shared" si="40"/>
        <v>0</v>
      </c>
      <c r="K168" s="285">
        <f t="shared" si="40"/>
        <v>0</v>
      </c>
      <c r="L168" s="285">
        <f t="shared" si="40"/>
        <v>0</v>
      </c>
      <c r="M168" s="285">
        <f t="shared" si="40"/>
        <v>0</v>
      </c>
      <c r="N168" s="305">
        <f t="shared" si="40"/>
        <v>0</v>
      </c>
      <c r="O168" s="65"/>
      <c r="P168" s="65"/>
      <c r="Q168" s="86"/>
      <c r="R168" s="65"/>
      <c r="S168" s="65"/>
      <c r="U168" s="66"/>
    </row>
    <row r="169" spans="1:21" s="339" customForma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86"/>
      <c r="R169" s="65"/>
      <c r="S169" s="65"/>
      <c r="U169" s="66"/>
    </row>
    <row r="170" spans="1:21" s="339" customFormat="1">
      <c r="O170" s="65"/>
      <c r="P170" s="65"/>
      <c r="Q170" s="86"/>
      <c r="R170" s="65"/>
      <c r="S170" s="65"/>
      <c r="U170" s="66"/>
    </row>
    <row r="171" spans="1:21" s="339" customFormat="1">
      <c r="O171" s="65"/>
      <c r="P171" s="65"/>
      <c r="Q171" s="86"/>
      <c r="R171" s="65"/>
      <c r="S171" s="65"/>
      <c r="U171" s="66"/>
    </row>
    <row r="172" spans="1:21" s="339" customFormat="1">
      <c r="O172" s="65"/>
      <c r="P172" s="65"/>
      <c r="Q172" s="86"/>
      <c r="R172" s="65"/>
      <c r="S172" s="65"/>
      <c r="U172" s="66"/>
    </row>
    <row r="173" spans="1:21" s="339" customFormat="1">
      <c r="O173" s="65"/>
      <c r="P173" s="65"/>
      <c r="Q173" s="86"/>
      <c r="R173" s="65"/>
      <c r="S173" s="65"/>
      <c r="U173" s="66"/>
    </row>
    <row r="174" spans="1:21" s="339" customFormat="1">
      <c r="O174" s="65"/>
      <c r="P174" s="65"/>
      <c r="Q174" s="86"/>
      <c r="R174" s="65"/>
      <c r="S174" s="65"/>
      <c r="U174" s="66"/>
    </row>
    <row r="175" spans="1:21" s="339" customFormat="1">
      <c r="O175" s="65"/>
      <c r="P175" s="65"/>
      <c r="Q175" s="86"/>
      <c r="R175" s="65"/>
      <c r="S175" s="65"/>
      <c r="U175" s="66"/>
    </row>
    <row r="176" spans="1:21" s="339" customFormat="1">
      <c r="O176" s="65"/>
      <c r="P176" s="65"/>
      <c r="Q176" s="86"/>
      <c r="R176" s="65"/>
      <c r="S176" s="65"/>
      <c r="U176" s="66"/>
    </row>
    <row r="177" spans="1:21" s="339" customFormat="1">
      <c r="O177" s="65"/>
      <c r="P177" s="65"/>
      <c r="Q177" s="86"/>
      <c r="R177" s="65"/>
      <c r="S177" s="65"/>
      <c r="U177" s="66"/>
    </row>
    <row r="178" spans="1:21" s="339" customFormat="1">
      <c r="O178" s="65"/>
      <c r="P178" s="65"/>
      <c r="Q178" s="86"/>
      <c r="R178" s="65"/>
      <c r="S178" s="65"/>
      <c r="U178" s="66"/>
    </row>
    <row r="179" spans="1:21" s="339" customFormat="1">
      <c r="O179" s="65"/>
      <c r="P179" s="65"/>
      <c r="Q179" s="86"/>
      <c r="R179" s="65"/>
      <c r="S179" s="65"/>
      <c r="U179" s="66"/>
    </row>
    <row r="180" spans="1:21" s="339" customForma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86"/>
      <c r="R180" s="65"/>
      <c r="S180" s="65"/>
      <c r="U180" s="66"/>
    </row>
    <row r="181" spans="1:21" s="339" customForma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86"/>
      <c r="R181" s="65"/>
      <c r="S181" s="65"/>
      <c r="U181" s="66"/>
    </row>
    <row r="182" spans="1:21" s="339" customForma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86"/>
      <c r="R182" s="65"/>
      <c r="S182" s="65"/>
      <c r="U182" s="66"/>
    </row>
    <row r="183" spans="1:21" s="339" customForma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86"/>
      <c r="R183" s="65"/>
      <c r="S183" s="65"/>
      <c r="U183" s="66"/>
    </row>
    <row r="184" spans="1:21" s="339" customForma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86"/>
      <c r="R184" s="65"/>
      <c r="S184" s="65"/>
      <c r="U184" s="66"/>
    </row>
    <row r="185" spans="1:21" s="339" customForma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86"/>
      <c r="R185" s="65"/>
      <c r="S185" s="65"/>
      <c r="U185" s="66"/>
    </row>
    <row r="186" spans="1:21" s="339" customForma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86"/>
      <c r="R186" s="65"/>
      <c r="S186" s="65"/>
      <c r="U186" s="66"/>
    </row>
    <row r="187" spans="1:21" s="339" customForma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86"/>
      <c r="R187" s="65"/>
      <c r="S187" s="65"/>
      <c r="U187" s="66"/>
    </row>
    <row r="188" spans="1:21" s="339" customForma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86"/>
      <c r="R188" s="65"/>
      <c r="S188" s="65"/>
      <c r="U188" s="66"/>
    </row>
    <row r="189" spans="1:21" s="339" customForma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86"/>
      <c r="R189" s="65"/>
      <c r="S189" s="65"/>
      <c r="U189" s="66"/>
    </row>
    <row r="190" spans="1:21" s="339" customForma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86"/>
      <c r="R190" s="65"/>
      <c r="S190" s="65"/>
      <c r="U190" s="66"/>
    </row>
    <row r="191" spans="1:21" s="339" customForma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86"/>
      <c r="R191" s="65"/>
      <c r="S191" s="65"/>
      <c r="U191" s="66"/>
    </row>
    <row r="192" spans="1:21" s="339" customForma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86"/>
      <c r="R192" s="65"/>
      <c r="S192" s="65"/>
      <c r="U192" s="66"/>
    </row>
    <row r="193" spans="1:21" s="339" customForma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86"/>
      <c r="R193" s="65"/>
      <c r="S193" s="65"/>
      <c r="U193" s="66"/>
    </row>
    <row r="194" spans="1:21" s="339" customForma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86"/>
      <c r="R194" s="65"/>
      <c r="S194" s="65"/>
      <c r="U194" s="66"/>
    </row>
    <row r="195" spans="1:21" s="339" customForma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86"/>
      <c r="R195" s="65"/>
      <c r="S195" s="65"/>
      <c r="U195" s="66"/>
    </row>
    <row r="196" spans="1:21" s="339" customForma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86"/>
      <c r="R196" s="65"/>
      <c r="S196" s="65"/>
      <c r="U196" s="66"/>
    </row>
    <row r="197" spans="1:21" s="339" customForma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86"/>
      <c r="R197" s="65"/>
      <c r="S197" s="65"/>
      <c r="U197" s="66"/>
    </row>
    <row r="198" spans="1:21" s="339" customForma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86"/>
      <c r="R198" s="65"/>
      <c r="S198" s="65"/>
      <c r="U198" s="66"/>
    </row>
    <row r="199" spans="1:21" s="339" customForma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86"/>
      <c r="R199" s="65"/>
      <c r="S199" s="65"/>
      <c r="U199" s="66"/>
    </row>
    <row r="200" spans="1:21" s="339" customForma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86"/>
      <c r="R200" s="65"/>
      <c r="S200" s="65"/>
      <c r="U200" s="66"/>
    </row>
    <row r="201" spans="1:21" s="339" customForma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86"/>
      <c r="R201" s="65"/>
      <c r="S201" s="65"/>
      <c r="U201" s="66"/>
    </row>
    <row r="202" spans="1:21" s="339" customForma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86"/>
      <c r="R202" s="65"/>
      <c r="S202" s="65"/>
      <c r="U202" s="66"/>
    </row>
    <row r="203" spans="1:21" s="339" customForma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86"/>
      <c r="R203" s="65"/>
      <c r="S203" s="65"/>
      <c r="U203" s="66"/>
    </row>
    <row r="204" spans="1:21" s="339" customForma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86"/>
      <c r="R204" s="65"/>
      <c r="S204" s="65"/>
      <c r="U204" s="66"/>
    </row>
    <row r="205" spans="1:21" s="339" customForma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86"/>
      <c r="R205" s="65"/>
      <c r="S205" s="65"/>
      <c r="U205" s="66"/>
    </row>
    <row r="206" spans="1:21" s="339" customForma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86"/>
      <c r="R206" s="65"/>
      <c r="S206" s="65"/>
      <c r="U206" s="66"/>
    </row>
    <row r="207" spans="1:21" s="339" customForma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86"/>
      <c r="R207" s="65"/>
      <c r="S207" s="65"/>
      <c r="U207" s="66"/>
    </row>
    <row r="208" spans="1:21" s="339" customForma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86"/>
      <c r="R208" s="65"/>
      <c r="S208" s="65"/>
      <c r="U208" s="66"/>
    </row>
    <row r="209" spans="1:21" s="339" customForma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86"/>
      <c r="R209" s="65"/>
      <c r="S209" s="65"/>
      <c r="U209" s="66"/>
    </row>
    <row r="210" spans="1:21" s="339" customForma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86"/>
      <c r="R210" s="65"/>
      <c r="S210" s="65"/>
      <c r="U210" s="66"/>
    </row>
    <row r="211" spans="1:21" s="339" customForma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86"/>
      <c r="R211" s="65"/>
      <c r="S211" s="65"/>
      <c r="U211" s="66"/>
    </row>
    <row r="212" spans="1:21" s="339" customForma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86"/>
      <c r="R212" s="65"/>
      <c r="S212" s="65"/>
      <c r="U212" s="66"/>
    </row>
    <row r="213" spans="1:21" s="339" customForma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86"/>
      <c r="R213" s="65"/>
      <c r="S213" s="65"/>
      <c r="U213" s="66"/>
    </row>
    <row r="214" spans="1:21" s="339" customForma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86"/>
      <c r="R214" s="65"/>
      <c r="S214" s="65"/>
      <c r="U214" s="66"/>
    </row>
    <row r="215" spans="1:21" s="339" customForma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86"/>
      <c r="R215" s="65"/>
      <c r="S215" s="65"/>
      <c r="U215" s="66"/>
    </row>
    <row r="216" spans="1:21" s="339" customForma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86"/>
      <c r="R216" s="65"/>
      <c r="S216" s="65"/>
      <c r="U216" s="66"/>
    </row>
    <row r="217" spans="1:21" s="339" customForma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  <c r="U217" s="66"/>
    </row>
    <row r="218" spans="1:21" s="339" customForma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86"/>
      <c r="R218" s="65"/>
      <c r="S218" s="65"/>
      <c r="U218" s="66"/>
    </row>
    <row r="219" spans="1:21" s="339" customForma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86"/>
      <c r="R219" s="65"/>
      <c r="S219" s="65"/>
      <c r="U219" s="66"/>
    </row>
    <row r="220" spans="1:21" s="339" customForma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86"/>
      <c r="R220" s="65"/>
      <c r="S220" s="65"/>
      <c r="U220" s="66"/>
    </row>
    <row r="221" spans="1:21" s="339" customForma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86"/>
      <c r="R221" s="65"/>
      <c r="S221" s="65"/>
      <c r="U221" s="66"/>
    </row>
    <row r="222" spans="1:21" s="339" customForma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  <c r="U222" s="66"/>
    </row>
    <row r="223" spans="1:21" s="339" customForma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86"/>
      <c r="R223" s="65"/>
      <c r="S223" s="65"/>
      <c r="U223" s="66"/>
    </row>
    <row r="224" spans="1:21" s="339" customForma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86"/>
      <c r="R224" s="65"/>
      <c r="S224" s="65"/>
      <c r="U224" s="66"/>
    </row>
    <row r="225" spans="1:21" s="339" customForma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86"/>
      <c r="R225" s="65"/>
      <c r="S225" s="65"/>
      <c r="U225" s="66"/>
    </row>
    <row r="226" spans="1:21" s="339" customForma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86"/>
      <c r="R226" s="65"/>
      <c r="S226" s="65"/>
      <c r="U226" s="66"/>
    </row>
    <row r="227" spans="1:21" s="339" customForma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86"/>
      <c r="R227" s="65"/>
      <c r="S227" s="65"/>
      <c r="U227" s="66"/>
    </row>
    <row r="228" spans="1:21" s="339" customForma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86"/>
      <c r="R228" s="65"/>
      <c r="S228" s="65"/>
      <c r="U228" s="66"/>
    </row>
    <row r="229" spans="1:21" s="339" customForma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86"/>
      <c r="R229" s="65"/>
      <c r="S229" s="65"/>
      <c r="U229" s="66"/>
    </row>
    <row r="230" spans="1:21" s="339" customForma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86"/>
      <c r="R230" s="65"/>
      <c r="S230" s="65"/>
      <c r="U230" s="66"/>
    </row>
    <row r="231" spans="1:21" s="339" customForma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86"/>
      <c r="R231" s="65"/>
      <c r="S231" s="65"/>
      <c r="U231" s="66"/>
    </row>
    <row r="232" spans="1:21" s="339" customForma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86"/>
      <c r="R232" s="65"/>
      <c r="S232" s="65"/>
      <c r="U232" s="66"/>
    </row>
    <row r="233" spans="1:21" s="339" customForma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86"/>
      <c r="R233" s="65"/>
      <c r="S233" s="65"/>
      <c r="U233" s="66"/>
    </row>
    <row r="234" spans="1:21" s="339" customForma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86"/>
      <c r="R234" s="65"/>
      <c r="S234" s="65"/>
      <c r="U234" s="66"/>
    </row>
    <row r="235" spans="1:21" s="339" customForma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86"/>
      <c r="R235" s="65"/>
      <c r="S235" s="65"/>
      <c r="U235" s="66"/>
    </row>
    <row r="236" spans="1:21" s="339" customForma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86"/>
      <c r="R236" s="65"/>
      <c r="S236" s="65"/>
      <c r="U236" s="66"/>
    </row>
    <row r="237" spans="1:21" s="339" customForma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86"/>
      <c r="R237" s="65"/>
      <c r="S237" s="65"/>
      <c r="U237" s="66"/>
    </row>
    <row r="238" spans="1:21" s="339" customForma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86"/>
      <c r="R238" s="65"/>
      <c r="S238" s="65"/>
      <c r="U238" s="66"/>
    </row>
    <row r="239" spans="1:21" s="339" customForma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86"/>
      <c r="R239" s="65"/>
      <c r="S239" s="65"/>
      <c r="U239" s="66"/>
    </row>
    <row r="240" spans="1:21" s="339" customForma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86"/>
      <c r="R240" s="65"/>
      <c r="S240" s="65"/>
      <c r="U240" s="66"/>
    </row>
    <row r="241" spans="1:21" s="339" customForma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86"/>
      <c r="R241" s="65"/>
      <c r="S241" s="65"/>
      <c r="U241" s="66"/>
    </row>
    <row r="242" spans="1:21" s="339" customForma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86"/>
      <c r="R242" s="65"/>
      <c r="S242" s="65"/>
      <c r="U242" s="66"/>
    </row>
    <row r="243" spans="1:21" s="339" customForma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86"/>
      <c r="R243" s="65"/>
      <c r="S243" s="65"/>
      <c r="U243" s="66"/>
    </row>
    <row r="244" spans="1:21" s="339" customForma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86"/>
      <c r="R244" s="65"/>
      <c r="S244" s="65"/>
      <c r="U244" s="66"/>
    </row>
    <row r="245" spans="1:21" s="339" customForma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86"/>
      <c r="R245" s="65"/>
      <c r="S245" s="65"/>
      <c r="U245" s="66"/>
    </row>
    <row r="246" spans="1:21" s="339" customForma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86"/>
      <c r="R246" s="65"/>
      <c r="S246" s="65"/>
      <c r="U246" s="66"/>
    </row>
    <row r="247" spans="1:21" s="339" customForma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86"/>
      <c r="R247" s="65"/>
      <c r="S247" s="65"/>
      <c r="U247" s="66"/>
    </row>
    <row r="248" spans="1:21" s="339" customForma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86"/>
      <c r="R248" s="65"/>
      <c r="S248" s="65"/>
      <c r="U248" s="66"/>
    </row>
    <row r="249" spans="1:21" s="339" customForma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86"/>
      <c r="R249" s="65"/>
      <c r="S249" s="65"/>
      <c r="U249" s="66"/>
    </row>
    <row r="250" spans="1:21" s="339" customForma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86"/>
      <c r="R250" s="65"/>
      <c r="S250" s="65"/>
      <c r="U250" s="66"/>
    </row>
    <row r="251" spans="1:21" s="339" customForma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86"/>
      <c r="R251" s="65"/>
      <c r="S251" s="65"/>
      <c r="U251" s="66"/>
    </row>
    <row r="252" spans="1:21" s="339" customForma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86"/>
      <c r="R252" s="65"/>
      <c r="S252" s="65"/>
      <c r="U252" s="66"/>
    </row>
    <row r="253" spans="1:21" s="339" customForma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86"/>
      <c r="R253" s="65"/>
      <c r="S253" s="65"/>
      <c r="U253" s="66"/>
    </row>
    <row r="254" spans="1:21" s="339" customForma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86"/>
      <c r="R254" s="65"/>
      <c r="S254" s="65"/>
      <c r="U254" s="66"/>
    </row>
    <row r="255" spans="1:21" s="339" customForma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86"/>
      <c r="R255" s="65"/>
      <c r="S255" s="65"/>
      <c r="U255" s="66"/>
    </row>
    <row r="256" spans="1:21" s="339" customForma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86"/>
      <c r="R256" s="65"/>
      <c r="S256" s="65"/>
      <c r="U256" s="66"/>
    </row>
    <row r="257" spans="1:21" s="339" customForma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86"/>
      <c r="R257" s="65"/>
      <c r="S257" s="65"/>
      <c r="U257" s="66"/>
    </row>
    <row r="258" spans="1:21" s="339" customForma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86"/>
      <c r="R258" s="65"/>
      <c r="S258" s="65"/>
      <c r="U258" s="66"/>
    </row>
    <row r="259" spans="1:21" s="339" customForma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86"/>
      <c r="R259" s="65"/>
      <c r="S259" s="65"/>
      <c r="U259" s="66"/>
    </row>
    <row r="260" spans="1:21" s="339" customForma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86"/>
      <c r="R260" s="65"/>
      <c r="S260" s="65"/>
      <c r="U260" s="66"/>
    </row>
    <row r="261" spans="1:21" s="339" customForma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86"/>
      <c r="R261" s="65"/>
      <c r="S261" s="65"/>
      <c r="U261" s="66"/>
    </row>
    <row r="262" spans="1:21" s="339" customForma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86"/>
      <c r="R262" s="65"/>
      <c r="S262" s="65"/>
      <c r="U262" s="66"/>
    </row>
    <row r="263" spans="1:21" s="339" customForma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86"/>
      <c r="R263" s="65"/>
      <c r="S263" s="65"/>
      <c r="U263" s="66"/>
    </row>
    <row r="264" spans="1:21" s="339" customForma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86"/>
      <c r="R264" s="65"/>
      <c r="S264" s="65"/>
      <c r="U264" s="66"/>
    </row>
    <row r="265" spans="1:21" s="339" customForma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86"/>
      <c r="R265" s="65"/>
      <c r="S265" s="65"/>
      <c r="U265" s="66"/>
    </row>
    <row r="266" spans="1:21" s="339" customForma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86"/>
      <c r="R266" s="65"/>
      <c r="S266" s="65"/>
      <c r="U266" s="66"/>
    </row>
    <row r="267" spans="1:21" s="339" customForma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86"/>
      <c r="R267" s="65"/>
      <c r="S267" s="65"/>
      <c r="U267" s="66"/>
    </row>
    <row r="268" spans="1:21" s="339" customForma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86"/>
      <c r="R268" s="65"/>
      <c r="S268" s="65"/>
      <c r="U268" s="66"/>
    </row>
    <row r="269" spans="1:21" s="339" customForma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86"/>
      <c r="R269" s="65"/>
      <c r="S269" s="65"/>
      <c r="U269" s="66"/>
    </row>
    <row r="270" spans="1:21" s="339" customForma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86"/>
      <c r="R270" s="65"/>
      <c r="S270" s="65"/>
      <c r="U270" s="66"/>
    </row>
    <row r="271" spans="1:21" s="339" customForma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86"/>
      <c r="R271" s="65"/>
      <c r="S271" s="65"/>
      <c r="U271" s="66"/>
    </row>
    <row r="272" spans="1:21" s="339" customForma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86"/>
      <c r="R272" s="65"/>
      <c r="S272" s="65"/>
      <c r="U272" s="66"/>
    </row>
    <row r="273" spans="1:21" s="339" customForma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86"/>
      <c r="R273" s="65"/>
      <c r="S273" s="65"/>
      <c r="U273" s="66"/>
    </row>
    <row r="274" spans="1:21" s="339" customForma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86"/>
      <c r="R274" s="65"/>
      <c r="S274" s="65"/>
      <c r="U274" s="66"/>
    </row>
    <row r="275" spans="1:21" s="339" customForma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86"/>
      <c r="R275" s="65"/>
      <c r="S275" s="65"/>
      <c r="U275" s="66"/>
    </row>
    <row r="276" spans="1:21" s="339" customForma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86"/>
      <c r="R276" s="65"/>
      <c r="S276" s="65"/>
      <c r="U276" s="66"/>
    </row>
    <row r="277" spans="1:21" s="339" customForma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86"/>
      <c r="R277" s="65"/>
      <c r="S277" s="65"/>
      <c r="U277" s="66"/>
    </row>
    <row r="278" spans="1:21" s="339" customForma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86"/>
      <c r="R278" s="65"/>
      <c r="S278" s="65"/>
      <c r="U278" s="66"/>
    </row>
    <row r="279" spans="1:21" s="339" customForma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86"/>
      <c r="R279" s="65"/>
      <c r="S279" s="65"/>
      <c r="U279" s="66"/>
    </row>
    <row r="280" spans="1:21" s="339" customForma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86"/>
      <c r="R280" s="65"/>
      <c r="S280" s="65"/>
      <c r="U280" s="66"/>
    </row>
    <row r="281" spans="1:21" s="339" customForma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86"/>
      <c r="R281" s="65"/>
      <c r="S281" s="65"/>
      <c r="U281" s="66"/>
    </row>
    <row r="282" spans="1:21" s="339" customForma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86"/>
      <c r="R282" s="65"/>
      <c r="S282" s="65"/>
      <c r="U282" s="66"/>
    </row>
    <row r="283" spans="1:21" s="339" customForma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86"/>
      <c r="R283" s="65"/>
      <c r="S283" s="65"/>
      <c r="U283" s="66"/>
    </row>
    <row r="284" spans="1:21" s="339" customForma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86"/>
      <c r="R284" s="65"/>
      <c r="S284" s="65"/>
      <c r="U284" s="66"/>
    </row>
    <row r="285" spans="1:21" s="339" customForma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86"/>
      <c r="R285" s="65"/>
      <c r="S285" s="65"/>
      <c r="U285" s="66"/>
    </row>
    <row r="286" spans="1:21" s="339" customForma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86"/>
      <c r="R286" s="65"/>
      <c r="S286" s="65"/>
      <c r="U286" s="66"/>
    </row>
    <row r="287" spans="1:21" s="339" customForma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86"/>
      <c r="R287" s="65"/>
      <c r="S287" s="65"/>
      <c r="U287" s="66"/>
    </row>
    <row r="288" spans="1:21" s="339" customForma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86"/>
      <c r="R288" s="65"/>
      <c r="S288" s="65"/>
      <c r="U288" s="66"/>
    </row>
    <row r="289" spans="1:21" s="339" customForma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86"/>
      <c r="R289" s="65"/>
      <c r="S289" s="65"/>
      <c r="U289" s="66"/>
    </row>
    <row r="290" spans="1:21" s="339" customForma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86"/>
      <c r="R290" s="65"/>
      <c r="S290" s="65"/>
      <c r="U290" s="66"/>
    </row>
    <row r="291" spans="1:21" s="339" customForma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86"/>
      <c r="R291" s="65"/>
      <c r="S291" s="65"/>
      <c r="U291" s="66"/>
    </row>
    <row r="292" spans="1:21" s="339" customForma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86"/>
      <c r="R292" s="65"/>
      <c r="S292" s="65"/>
      <c r="U292" s="66"/>
    </row>
    <row r="293" spans="1:21" s="339" customForma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86"/>
      <c r="R293" s="65"/>
      <c r="S293" s="65"/>
      <c r="U293" s="66"/>
    </row>
    <row r="294" spans="1:21" s="339" customForma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86"/>
      <c r="R294" s="65"/>
      <c r="S294" s="65"/>
      <c r="U294" s="66"/>
    </row>
    <row r="295" spans="1:21" s="339" customForma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86"/>
      <c r="R295" s="65"/>
      <c r="S295" s="65"/>
      <c r="U295" s="66"/>
    </row>
    <row r="296" spans="1:21" s="339" customForma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86"/>
      <c r="R296" s="65"/>
      <c r="S296" s="65"/>
      <c r="U296" s="66"/>
    </row>
  </sheetData>
  <sheetProtection algorithmName="SHA-512" hashValue="MV+F1aHeFsGP7FnyOlge7bCeI2HoShgZBCH5or11Y0Hc39PJm3QKyvsuB3UTQREwlLtLIHOW6Mdw9KQhdZBoSg==" saltValue="jZC/Cd6s4cpg6RisbTiqag==" spinCount="100000" sheet="1" formatCells="0" formatColumns="0" formatRows="0" sort="0" autoFilter="0" pivotTables="0"/>
  <mergeCells count="6">
    <mergeCell ref="A154:N154"/>
    <mergeCell ref="A1:U1"/>
    <mergeCell ref="A94:B94"/>
    <mergeCell ref="A109:B109"/>
    <mergeCell ref="A124:B124"/>
    <mergeCell ref="A139:O139"/>
  </mergeCells>
  <pageMargins left="0.25" right="0.25" top="0.75" bottom="0.75" header="0.3" footer="0.3"/>
  <pageSetup paperSize="9" scale="23" orientation="landscape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100-000000000000}">
          <x14:formula1>
            <xm:f>Списки!$B$2:$B$5</xm:f>
          </x14:formula1>
          <xm:sqref>C3:C90 G91:G93</xm:sqref>
        </x14:dataValidation>
        <x14:dataValidation type="list" allowBlank="1" showInputMessage="1" showErrorMessage="1" xr:uid="{00000000-0002-0000-2100-000001000000}">
          <x14:formula1>
            <xm:f>Списки!$C$3:$C$4</xm:f>
          </x14:formula1>
          <xm:sqref>D91:D93 R91:S93</xm:sqref>
        </x14:dataValidation>
        <x14:dataValidation type="list" allowBlank="1" showInputMessage="1" showErrorMessage="1" xr:uid="{00000000-0002-0000-2100-000002000000}">
          <x14:formula1>
            <xm:f>Списки!$D$2:$D$7</xm:f>
          </x14:formula1>
          <xm:sqref>F91:F93 G3:G90</xm:sqref>
        </x14:dataValidation>
        <x14:dataValidation type="list" allowBlank="1" showInputMessage="1" showErrorMessage="1" xr:uid="{00000000-0002-0000-2100-000003000000}">
          <x14:formula1>
            <xm:f>Списки!$E$2:$E$7</xm:f>
          </x14:formula1>
          <xm:sqref>H91:H93 K3:K71 K73:K90</xm:sqref>
        </x14:dataValidation>
        <x14:dataValidation type="list" allowBlank="1" showInputMessage="1" showErrorMessage="1" xr:uid="{00000000-0002-0000-2100-000004000000}">
          <x14:formula1>
            <xm:f>Списки!$C$2:$C$9</xm:f>
          </x14:formula1>
          <xm:sqref>J3:J71 J73:J90 S3:T90</xm:sqref>
        </x14:dataValidation>
        <x14:dataValidation type="list" allowBlank="1" showInputMessage="1" showErrorMessage="1" xr:uid="{00000000-0002-0000-2100-000005000000}">
          <x14:formula1>
            <xm:f>Списки!$G$2:$G$3</xm:f>
          </x14:formula1>
          <xm:sqref>L91:L93 M3:M71 M73:M90</xm:sqref>
        </x14:dataValidation>
        <x14:dataValidation type="list" allowBlank="1" showInputMessage="1" showErrorMessage="1" xr:uid="{00000000-0002-0000-2100-000006000000}">
          <x14:formula1>
            <xm:f>Списки!$F$2:$F$3</xm:f>
          </x14:formula1>
          <xm:sqref>N91:N93 O3:O5 O7:O90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V319"/>
  <sheetViews>
    <sheetView view="pageBreakPreview" zoomScale="85" zoomScaleNormal="85" workbookViewId="0">
      <pane ySplit="2" topLeftCell="A12" activePane="bottomLeft" state="frozen"/>
      <selection pane="bottomLeft" activeCell="S38" sqref="S38"/>
    </sheetView>
  </sheetViews>
  <sheetFormatPr defaultColWidth="12.28515625" defaultRowHeight="12.75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29.425781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2">
      <c r="A1" s="2297">
        <v>45199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2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2" s="880" customFormat="1" ht="15.75" customHeight="1">
      <c r="A3" s="62">
        <v>1</v>
      </c>
      <c r="B3" s="75">
        <v>26052</v>
      </c>
      <c r="C3" s="62" t="s">
        <v>13</v>
      </c>
      <c r="D3" s="75">
        <v>228</v>
      </c>
      <c r="E3" s="62">
        <v>1</v>
      </c>
      <c r="F3" s="62">
        <v>34.76</v>
      </c>
      <c r="G3" s="62" t="s">
        <v>25</v>
      </c>
      <c r="H3" s="62">
        <v>15500</v>
      </c>
      <c r="I3" s="95">
        <v>3536722.9</v>
      </c>
      <c r="J3" s="117" t="s">
        <v>73</v>
      </c>
      <c r="K3" s="62" t="s">
        <v>22</v>
      </c>
      <c r="L3" s="62" t="s">
        <v>583</v>
      </c>
      <c r="M3" s="62" t="s">
        <v>12</v>
      </c>
      <c r="N3" s="92">
        <v>45173</v>
      </c>
      <c r="O3" s="117" t="s">
        <v>17</v>
      </c>
      <c r="P3" s="62" t="s">
        <v>1631</v>
      </c>
      <c r="Q3" s="113" t="s">
        <v>67</v>
      </c>
      <c r="R3" s="113" t="s">
        <v>67</v>
      </c>
      <c r="S3" s="117" t="s">
        <v>73</v>
      </c>
      <c r="T3" s="117" t="s">
        <v>73</v>
      </c>
      <c r="U3" s="114">
        <f>sept[[#This Row],[сумма]]-sept[[#This Row],[Цема м2 отделки]]*sept[[#This Row],[м2]]</f>
        <v>2997942.9</v>
      </c>
      <c r="V3" s="66"/>
    </row>
    <row r="4" spans="1:22">
      <c r="A4" s="62">
        <v>2</v>
      </c>
      <c r="B4" s="75">
        <v>25244</v>
      </c>
      <c r="C4" s="62" t="s">
        <v>7</v>
      </c>
      <c r="D4" s="75">
        <v>166</v>
      </c>
      <c r="E4" s="62">
        <v>1</v>
      </c>
      <c r="F4" s="62">
        <v>36.659999999999997</v>
      </c>
      <c r="G4" s="117" t="s">
        <v>15</v>
      </c>
      <c r="H4" s="117">
        <v>4500</v>
      </c>
      <c r="I4" s="95">
        <v>3747374.94</v>
      </c>
      <c r="J4" s="117" t="s">
        <v>77</v>
      </c>
      <c r="K4" s="62" t="s">
        <v>16</v>
      </c>
      <c r="L4" s="62" t="s">
        <v>583</v>
      </c>
      <c r="M4" s="62" t="s">
        <v>12</v>
      </c>
      <c r="N4" s="92">
        <v>45194</v>
      </c>
      <c r="O4" s="117" t="s">
        <v>17</v>
      </c>
      <c r="P4" s="62" t="s">
        <v>1632</v>
      </c>
      <c r="Q4" s="113" t="s">
        <v>67</v>
      </c>
      <c r="R4" s="866" t="s">
        <v>67</v>
      </c>
      <c r="S4" s="117" t="s">
        <v>77</v>
      </c>
      <c r="T4" s="117" t="s">
        <v>77</v>
      </c>
      <c r="U4" s="114">
        <f>sept[[#This Row],[сумма]]-sept[[#This Row],[Цема м2 отделки]]*sept[[#This Row],[м2]]</f>
        <v>3582404.94</v>
      </c>
    </row>
    <row r="5" spans="1:22" s="61" customFormat="1">
      <c r="A5" s="65">
        <v>6</v>
      </c>
      <c r="B5" s="79"/>
      <c r="C5" s="65"/>
      <c r="D5" s="79"/>
      <c r="E5" s="65"/>
      <c r="F5" s="65"/>
      <c r="G5" s="80"/>
      <c r="H5" s="80"/>
      <c r="I5" s="93"/>
      <c r="J5" s="80"/>
      <c r="K5" s="65"/>
      <c r="L5" s="65"/>
      <c r="M5" s="65"/>
      <c r="N5" s="98"/>
      <c r="O5" s="80"/>
      <c r="P5" s="65"/>
      <c r="Q5" s="118"/>
      <c r="R5" s="86"/>
      <c r="S5" s="80"/>
      <c r="T5" s="80"/>
      <c r="U5" s="115">
        <f>sept[[#This Row],[сумма]]-sept[[#This Row],[Цема м2 отделки]]*sept[[#This Row],[м2]]</f>
        <v>0</v>
      </c>
      <c r="V5" s="66"/>
    </row>
    <row r="6" spans="1:22" s="61" customFormat="1" ht="13.5" customHeight="1">
      <c r="A6" s="62">
        <v>7</v>
      </c>
      <c r="B6" s="75">
        <v>26201</v>
      </c>
      <c r="C6" s="62" t="s">
        <v>7</v>
      </c>
      <c r="D6" s="75">
        <v>11</v>
      </c>
      <c r="E6" s="349" t="s">
        <v>1337</v>
      </c>
      <c r="F6" s="62">
        <v>52.8</v>
      </c>
      <c r="G6" s="62" t="s">
        <v>9</v>
      </c>
      <c r="H6" s="348"/>
      <c r="I6" s="352">
        <v>6930000</v>
      </c>
      <c r="J6" s="117" t="s">
        <v>20</v>
      </c>
      <c r="K6" s="62" t="s">
        <v>10</v>
      </c>
      <c r="L6" s="62" t="s">
        <v>286</v>
      </c>
      <c r="M6" s="62" t="s">
        <v>12</v>
      </c>
      <c r="N6" s="92"/>
      <c r="O6" s="117" t="s">
        <v>17</v>
      </c>
      <c r="P6" s="62" t="s">
        <v>1633</v>
      </c>
      <c r="Q6" s="76" t="s">
        <v>67</v>
      </c>
      <c r="R6" s="76" t="s">
        <v>67</v>
      </c>
      <c r="S6" s="117" t="s">
        <v>20</v>
      </c>
      <c r="T6" s="117" t="s">
        <v>20</v>
      </c>
      <c r="U6" s="114">
        <f>sept[[#This Row],[сумма]]-sept[[#This Row],[Цема м2 отделки]]*sept[[#This Row],[м2]]</f>
        <v>6930000</v>
      </c>
    </row>
    <row r="7" spans="1:22" s="61" customFormat="1">
      <c r="A7" s="62">
        <v>8</v>
      </c>
      <c r="B7" s="75">
        <v>23314</v>
      </c>
      <c r="C7" s="62" t="s">
        <v>7</v>
      </c>
      <c r="D7" s="75">
        <v>397</v>
      </c>
      <c r="E7" s="62">
        <v>0</v>
      </c>
      <c r="F7" s="62">
        <v>36.450000000000003</v>
      </c>
      <c r="G7" s="117" t="s">
        <v>9</v>
      </c>
      <c r="H7" s="117"/>
      <c r="I7" s="95">
        <v>3514281.92</v>
      </c>
      <c r="J7" s="117" t="s">
        <v>1233</v>
      </c>
      <c r="K7" s="62" t="s">
        <v>10</v>
      </c>
      <c r="L7" s="62" t="s">
        <v>286</v>
      </c>
      <c r="M7" s="62" t="s">
        <v>12</v>
      </c>
      <c r="N7" s="92"/>
      <c r="O7" s="117" t="s">
        <v>17</v>
      </c>
      <c r="P7" s="62" t="s">
        <v>1634</v>
      </c>
      <c r="Q7" s="76" t="s">
        <v>67</v>
      </c>
      <c r="R7" s="76" t="s">
        <v>67</v>
      </c>
      <c r="S7" s="117" t="s">
        <v>1233</v>
      </c>
      <c r="T7" s="117" t="s">
        <v>1233</v>
      </c>
      <c r="U7" s="114">
        <f>sept[[#This Row],[сумма]]-sept[[#This Row],[Цема м2 отделки]]*sept[[#This Row],[м2]]</f>
        <v>3514281.92</v>
      </c>
    </row>
    <row r="8" spans="1:22" s="61" customFormat="1">
      <c r="A8" s="62">
        <v>9</v>
      </c>
      <c r="B8" s="75">
        <v>26400</v>
      </c>
      <c r="C8" s="62" t="s">
        <v>13</v>
      </c>
      <c r="D8" s="62">
        <v>204</v>
      </c>
      <c r="E8" s="62">
        <v>2</v>
      </c>
      <c r="F8" s="62">
        <v>57.6</v>
      </c>
      <c r="G8" s="117" t="s">
        <v>25</v>
      </c>
      <c r="H8" s="117">
        <v>15500</v>
      </c>
      <c r="I8" s="95">
        <v>5749820</v>
      </c>
      <c r="J8" s="117" t="s">
        <v>20</v>
      </c>
      <c r="K8" s="62" t="s">
        <v>22</v>
      </c>
      <c r="L8" s="62" t="s">
        <v>583</v>
      </c>
      <c r="M8" s="62" t="s">
        <v>18</v>
      </c>
      <c r="N8" s="92">
        <v>45184</v>
      </c>
      <c r="O8" s="117" t="s">
        <v>17</v>
      </c>
      <c r="P8" s="62" t="s">
        <v>1635</v>
      </c>
      <c r="Q8" s="113" t="s">
        <v>67</v>
      </c>
      <c r="R8" s="76" t="s">
        <v>67</v>
      </c>
      <c r="S8" s="117" t="s">
        <v>20</v>
      </c>
      <c r="T8" s="117" t="s">
        <v>8</v>
      </c>
      <c r="U8" s="114">
        <f>sept[[#This Row],[сумма]]-sept[[#This Row],[Цема м2 отделки]]*sept[[#This Row],[м2]]</f>
        <v>4857020</v>
      </c>
    </row>
    <row r="9" spans="1:22" s="61" customFormat="1">
      <c r="A9" s="62">
        <v>10</v>
      </c>
      <c r="B9" s="75">
        <v>26466</v>
      </c>
      <c r="C9" s="62" t="s">
        <v>7</v>
      </c>
      <c r="D9" s="75">
        <v>436</v>
      </c>
      <c r="E9" s="62">
        <v>2</v>
      </c>
      <c r="F9" s="62">
        <v>63.74</v>
      </c>
      <c r="G9" s="76" t="s">
        <v>9</v>
      </c>
      <c r="H9" s="76"/>
      <c r="I9" s="91">
        <v>5377897</v>
      </c>
      <c r="J9" s="117" t="s">
        <v>20</v>
      </c>
      <c r="K9" s="62" t="s">
        <v>16</v>
      </c>
      <c r="L9" s="62" t="s">
        <v>583</v>
      </c>
      <c r="M9" s="62" t="s">
        <v>18</v>
      </c>
      <c r="N9" s="92">
        <v>45173</v>
      </c>
      <c r="O9" s="117" t="s">
        <v>17</v>
      </c>
      <c r="P9" s="76" t="s">
        <v>1636</v>
      </c>
      <c r="Q9" s="76" t="s">
        <v>67</v>
      </c>
      <c r="R9" s="76" t="s">
        <v>67</v>
      </c>
      <c r="S9" s="117" t="s">
        <v>20</v>
      </c>
      <c r="T9" s="117" t="s">
        <v>20</v>
      </c>
      <c r="U9" s="114">
        <f>sept[[#This Row],[сумма]]-sept[[#This Row],[Цема м2 отделки]]*sept[[#This Row],[м2]]</f>
        <v>5377897</v>
      </c>
      <c r="V9" s="66"/>
    </row>
    <row r="10" spans="1:22" s="61" customFormat="1">
      <c r="A10" s="62">
        <v>11</v>
      </c>
      <c r="B10" s="75">
        <v>25911</v>
      </c>
      <c r="C10" s="62" t="s">
        <v>7</v>
      </c>
      <c r="D10" s="62">
        <v>330</v>
      </c>
      <c r="E10" s="62">
        <v>3</v>
      </c>
      <c r="F10" s="62">
        <v>72.510000000000005</v>
      </c>
      <c r="G10" s="62" t="s">
        <v>9</v>
      </c>
      <c r="H10" s="62"/>
      <c r="I10" s="95">
        <v>5397133.9299999997</v>
      </c>
      <c r="J10" s="62" t="s">
        <v>20</v>
      </c>
      <c r="K10" s="62" t="s">
        <v>22</v>
      </c>
      <c r="L10" s="62" t="s">
        <v>1542</v>
      </c>
      <c r="M10" s="62" t="s">
        <v>12</v>
      </c>
      <c r="N10" s="92" t="s">
        <v>1596</v>
      </c>
      <c r="O10" s="117" t="s">
        <v>11</v>
      </c>
      <c r="P10" s="62" t="s">
        <v>1637</v>
      </c>
      <c r="Q10" s="76" t="s">
        <v>67</v>
      </c>
      <c r="R10" s="76" t="s">
        <v>67</v>
      </c>
      <c r="S10" s="62" t="s">
        <v>20</v>
      </c>
      <c r="T10" s="62" t="s">
        <v>20</v>
      </c>
      <c r="U10" s="114">
        <f>sept[[#This Row],[сумма]]-sept[[#This Row],[Цема м2 отделки]]*sept[[#This Row],[м2]]</f>
        <v>5397133.9299999997</v>
      </c>
      <c r="V10" s="66"/>
    </row>
    <row r="11" spans="1:22" s="61" customFormat="1">
      <c r="A11" s="62">
        <v>12</v>
      </c>
      <c r="B11" s="75">
        <v>1405</v>
      </c>
      <c r="C11" s="62" t="s">
        <v>13</v>
      </c>
      <c r="D11" s="75">
        <v>1</v>
      </c>
      <c r="E11" s="62">
        <v>1</v>
      </c>
      <c r="F11" s="62">
        <v>34.39</v>
      </c>
      <c r="G11" s="62" t="s">
        <v>15</v>
      </c>
      <c r="H11" s="62">
        <v>6000</v>
      </c>
      <c r="I11" s="95">
        <v>3340296.92</v>
      </c>
      <c r="J11" s="117" t="s">
        <v>20</v>
      </c>
      <c r="K11" s="62" t="s">
        <v>22</v>
      </c>
      <c r="L11" s="62" t="s">
        <v>583</v>
      </c>
      <c r="M11" s="62" t="s">
        <v>18</v>
      </c>
      <c r="N11" s="92"/>
      <c r="O11" s="117" t="s">
        <v>17</v>
      </c>
      <c r="P11" s="62" t="s">
        <v>1638</v>
      </c>
      <c r="Q11" s="76" t="s">
        <v>67</v>
      </c>
      <c r="R11" s="76" t="s">
        <v>67</v>
      </c>
      <c r="S11" s="117" t="s">
        <v>20</v>
      </c>
      <c r="T11" s="117" t="s">
        <v>20</v>
      </c>
      <c r="U11" s="114">
        <f>sept[[#This Row],[сумма]]-sept[[#This Row],[Цема м2 отделки]]*sept[[#This Row],[м2]]</f>
        <v>3133956.92</v>
      </c>
    </row>
    <row r="12" spans="1:22" s="61" customFormat="1">
      <c r="A12" s="62">
        <v>13</v>
      </c>
      <c r="B12" s="75">
        <v>26385</v>
      </c>
      <c r="C12" s="62" t="s">
        <v>13</v>
      </c>
      <c r="D12" s="75">
        <v>332</v>
      </c>
      <c r="E12" s="62">
        <v>3</v>
      </c>
      <c r="F12" s="62">
        <v>80.97</v>
      </c>
      <c r="G12" s="62" t="s">
        <v>9</v>
      </c>
      <c r="H12" s="62"/>
      <c r="I12" s="95">
        <v>6121938.7800000003</v>
      </c>
      <c r="J12" s="117" t="s">
        <v>1233</v>
      </c>
      <c r="K12" s="62" t="s">
        <v>16</v>
      </c>
      <c r="L12" s="62" t="s">
        <v>583</v>
      </c>
      <c r="M12" s="62" t="s">
        <v>18</v>
      </c>
      <c r="N12" s="92"/>
      <c r="O12" s="117" t="s">
        <v>17</v>
      </c>
      <c r="P12" s="62" t="s">
        <v>1639</v>
      </c>
      <c r="Q12" s="76" t="s">
        <v>67</v>
      </c>
      <c r="R12" s="76" t="s">
        <v>67</v>
      </c>
      <c r="S12" s="117" t="s">
        <v>1233</v>
      </c>
      <c r="T12" s="117" t="s">
        <v>1233</v>
      </c>
      <c r="U12" s="114">
        <f>sept[[#This Row],[сумма]]-sept[[#This Row],[Цема м2 отделки]]*sept[[#This Row],[м2]]</f>
        <v>6121938.7800000003</v>
      </c>
    </row>
    <row r="13" spans="1:22" s="61" customFormat="1">
      <c r="A13" s="62">
        <v>14</v>
      </c>
      <c r="B13" s="75">
        <v>25970</v>
      </c>
      <c r="C13" s="62" t="s">
        <v>13</v>
      </c>
      <c r="D13" s="75">
        <v>178</v>
      </c>
      <c r="E13" s="62">
        <v>1</v>
      </c>
      <c r="F13" s="62">
        <v>37.86</v>
      </c>
      <c r="G13" s="76" t="s">
        <v>15</v>
      </c>
      <c r="H13" s="76">
        <v>4500</v>
      </c>
      <c r="I13" s="91">
        <v>3548381.18</v>
      </c>
      <c r="J13" s="117" t="s">
        <v>20</v>
      </c>
      <c r="K13" s="62" t="s">
        <v>16</v>
      </c>
      <c r="L13" s="371" t="s">
        <v>583</v>
      </c>
      <c r="M13" s="62" t="s">
        <v>12</v>
      </c>
      <c r="N13" s="92">
        <v>45184</v>
      </c>
      <c r="O13" s="117" t="s">
        <v>17</v>
      </c>
      <c r="P13" s="76" t="s">
        <v>1640</v>
      </c>
      <c r="Q13" s="113" t="s">
        <v>67</v>
      </c>
      <c r="R13" s="76" t="s">
        <v>67</v>
      </c>
      <c r="S13" s="117" t="s">
        <v>20</v>
      </c>
      <c r="T13" s="117" t="s">
        <v>20</v>
      </c>
      <c r="U13" s="114">
        <f>sept[[#This Row],[сумма]]-sept[[#This Row],[Цема м2 отделки]]*sept[[#This Row],[м2]]</f>
        <v>3378011.18</v>
      </c>
    </row>
    <row r="14" spans="1:22" s="61" customFormat="1">
      <c r="A14" s="62">
        <v>15</v>
      </c>
      <c r="B14" s="75">
        <v>25869</v>
      </c>
      <c r="C14" s="62" t="s">
        <v>13</v>
      </c>
      <c r="D14" s="75">
        <v>206</v>
      </c>
      <c r="E14" s="62">
        <v>1</v>
      </c>
      <c r="F14" s="62">
        <v>37.86</v>
      </c>
      <c r="G14" s="62" t="s">
        <v>15</v>
      </c>
      <c r="H14" s="62">
        <v>4500</v>
      </c>
      <c r="I14" s="95">
        <v>3548381.18</v>
      </c>
      <c r="J14" s="117" t="s">
        <v>20</v>
      </c>
      <c r="K14" s="62" t="s">
        <v>22</v>
      </c>
      <c r="L14" s="62" t="s">
        <v>583</v>
      </c>
      <c r="M14" s="62" t="s">
        <v>12</v>
      </c>
      <c r="N14" s="92">
        <v>45184</v>
      </c>
      <c r="O14" s="117" t="s">
        <v>17</v>
      </c>
      <c r="P14" s="62" t="s">
        <v>1641</v>
      </c>
      <c r="Q14" s="113" t="s">
        <v>67</v>
      </c>
      <c r="R14" s="76" t="s">
        <v>67</v>
      </c>
      <c r="S14" s="117" t="s">
        <v>20</v>
      </c>
      <c r="T14" s="117" t="s">
        <v>20</v>
      </c>
      <c r="U14" s="114">
        <f>sept[[#This Row],[сумма]]-sept[[#This Row],[Цема м2 отделки]]*sept[[#This Row],[м2]]</f>
        <v>3378011.18</v>
      </c>
    </row>
    <row r="15" spans="1:22" s="61" customFormat="1">
      <c r="A15" s="62">
        <v>16</v>
      </c>
      <c r="B15" s="75">
        <v>25852</v>
      </c>
      <c r="C15" s="62" t="s">
        <v>13</v>
      </c>
      <c r="D15" s="75">
        <v>93</v>
      </c>
      <c r="E15" s="62">
        <v>1</v>
      </c>
      <c r="F15" s="62">
        <v>37.729999999999997</v>
      </c>
      <c r="G15" s="62" t="s">
        <v>9</v>
      </c>
      <c r="H15" s="62"/>
      <c r="I15" s="95">
        <v>3305204.6</v>
      </c>
      <c r="J15" s="117" t="s">
        <v>20</v>
      </c>
      <c r="K15" s="62" t="s">
        <v>22</v>
      </c>
      <c r="L15" s="62" t="s">
        <v>583</v>
      </c>
      <c r="M15" s="62" t="s">
        <v>12</v>
      </c>
      <c r="N15" s="92">
        <v>45184</v>
      </c>
      <c r="O15" s="117" t="s">
        <v>17</v>
      </c>
      <c r="P15" s="62" t="s">
        <v>1642</v>
      </c>
      <c r="Q15" s="113" t="s">
        <v>67</v>
      </c>
      <c r="R15" s="76" t="s">
        <v>67</v>
      </c>
      <c r="S15" s="117" t="s">
        <v>20</v>
      </c>
      <c r="T15" s="117" t="s">
        <v>20</v>
      </c>
      <c r="U15" s="114">
        <f>sept[[#This Row],[сумма]]-sept[[#This Row],[Цема м2 отделки]]*sept[[#This Row],[м2]]</f>
        <v>3305204.6</v>
      </c>
    </row>
    <row r="16" spans="1:22" s="61" customFormat="1">
      <c r="A16" s="62">
        <v>17</v>
      </c>
      <c r="B16" s="75">
        <v>26037</v>
      </c>
      <c r="C16" s="62" t="s">
        <v>13</v>
      </c>
      <c r="D16" s="75">
        <v>251</v>
      </c>
      <c r="E16" s="62">
        <v>0</v>
      </c>
      <c r="F16" s="62">
        <v>24.53</v>
      </c>
      <c r="G16" s="62" t="s">
        <v>9</v>
      </c>
      <c r="H16" s="62"/>
      <c r="I16" s="95">
        <v>2234819.39</v>
      </c>
      <c r="J16" s="117" t="s">
        <v>20</v>
      </c>
      <c r="K16" s="62" t="s">
        <v>10</v>
      </c>
      <c r="L16" s="62" t="s">
        <v>514</v>
      </c>
      <c r="M16" s="62" t="s">
        <v>12</v>
      </c>
      <c r="N16" s="92" t="s">
        <v>1589</v>
      </c>
      <c r="O16" s="117" t="s">
        <v>17</v>
      </c>
      <c r="P16" s="62" t="s">
        <v>1643</v>
      </c>
      <c r="Q16" s="113" t="s">
        <v>67</v>
      </c>
      <c r="R16" s="113" t="s">
        <v>67</v>
      </c>
      <c r="S16" s="117" t="s">
        <v>20</v>
      </c>
      <c r="T16" s="117" t="s">
        <v>20</v>
      </c>
      <c r="U16" s="114">
        <f>sept[[#This Row],[сумма]]-sept[[#This Row],[Цема м2 отделки]]*sept[[#This Row],[м2]]</f>
        <v>2234819.39</v>
      </c>
    </row>
    <row r="17" spans="1:22" s="61" customFormat="1">
      <c r="A17" s="62" t="s">
        <v>134</v>
      </c>
      <c r="B17" s="75">
        <v>25933</v>
      </c>
      <c r="C17" s="62" t="s">
        <v>13</v>
      </c>
      <c r="D17" s="75">
        <v>449</v>
      </c>
      <c r="E17" s="62">
        <v>2</v>
      </c>
      <c r="F17" s="62">
        <v>57.8</v>
      </c>
      <c r="G17" s="62" t="s">
        <v>25</v>
      </c>
      <c r="H17" s="62">
        <v>15500</v>
      </c>
      <c r="I17" s="95">
        <v>5470745.7199999997</v>
      </c>
      <c r="J17" s="62" t="s">
        <v>20</v>
      </c>
      <c r="K17" s="62" t="s">
        <v>22</v>
      </c>
      <c r="L17" s="62" t="s">
        <v>583</v>
      </c>
      <c r="M17" s="62" t="s">
        <v>12</v>
      </c>
      <c r="N17" s="92" t="s">
        <v>1589</v>
      </c>
      <c r="O17" s="117" t="s">
        <v>17</v>
      </c>
      <c r="P17" s="62" t="s">
        <v>1644</v>
      </c>
      <c r="Q17" s="113" t="s">
        <v>67</v>
      </c>
      <c r="R17" s="76" t="s">
        <v>67</v>
      </c>
      <c r="S17" s="62" t="s">
        <v>20</v>
      </c>
      <c r="T17" s="62" t="s">
        <v>20</v>
      </c>
      <c r="U17" s="114">
        <f>sept[[#This Row],[сумма]]-sept[[#This Row],[Цема м2 отделки]]*sept[[#This Row],[м2]]</f>
        <v>4574845.72</v>
      </c>
    </row>
    <row r="18" spans="1:22" s="61" customFormat="1">
      <c r="A18" s="62">
        <v>19</v>
      </c>
      <c r="B18" s="75">
        <v>26043</v>
      </c>
      <c r="C18" s="62" t="s">
        <v>13</v>
      </c>
      <c r="D18" s="75">
        <v>124</v>
      </c>
      <c r="E18" s="62">
        <v>1</v>
      </c>
      <c r="F18" s="62">
        <v>42.28</v>
      </c>
      <c r="G18" s="62" t="s">
        <v>15</v>
      </c>
      <c r="H18" s="62">
        <v>4500</v>
      </c>
      <c r="I18" s="95">
        <v>3774021.04</v>
      </c>
      <c r="J18" s="117" t="s">
        <v>1207</v>
      </c>
      <c r="K18" s="62" t="s">
        <v>16</v>
      </c>
      <c r="L18" s="62" t="s">
        <v>583</v>
      </c>
      <c r="M18" s="62" t="s">
        <v>12</v>
      </c>
      <c r="N18" s="92" t="s">
        <v>1589</v>
      </c>
      <c r="O18" s="117" t="s">
        <v>17</v>
      </c>
      <c r="P18" s="62" t="s">
        <v>1645</v>
      </c>
      <c r="Q18" s="113" t="s">
        <v>67</v>
      </c>
      <c r="R18" s="113" t="s">
        <v>67</v>
      </c>
      <c r="S18" s="117" t="s">
        <v>1207</v>
      </c>
      <c r="T18" s="117" t="s">
        <v>20</v>
      </c>
      <c r="U18" s="114">
        <f>sept[[#This Row],[сумма]]-sept[[#This Row],[Цема м2 отделки]]*sept[[#This Row],[м2]]</f>
        <v>3583761.04</v>
      </c>
    </row>
    <row r="19" spans="1:22" s="61" customFormat="1">
      <c r="A19" s="62">
        <v>20</v>
      </c>
      <c r="B19" s="75">
        <v>25965</v>
      </c>
      <c r="C19" s="62" t="s">
        <v>13</v>
      </c>
      <c r="D19" s="75">
        <v>5</v>
      </c>
      <c r="E19" s="62">
        <v>2</v>
      </c>
      <c r="F19" s="62">
        <v>58.27</v>
      </c>
      <c r="G19" s="62" t="s">
        <v>15</v>
      </c>
      <c r="H19" s="62">
        <v>4500</v>
      </c>
      <c r="I19" s="95">
        <v>4919256.54</v>
      </c>
      <c r="J19" s="117" t="s">
        <v>20</v>
      </c>
      <c r="K19" s="62" t="s">
        <v>16</v>
      </c>
      <c r="L19" s="62" t="s">
        <v>583</v>
      </c>
      <c r="M19" s="62" t="s">
        <v>18</v>
      </c>
      <c r="N19" s="92" t="s">
        <v>1589</v>
      </c>
      <c r="O19" s="117" t="s">
        <v>17</v>
      </c>
      <c r="P19" s="62" t="s">
        <v>1646</v>
      </c>
      <c r="Q19" s="113" t="s">
        <v>67</v>
      </c>
      <c r="R19" s="113" t="s">
        <v>67</v>
      </c>
      <c r="S19" s="117" t="s">
        <v>20</v>
      </c>
      <c r="T19" s="117" t="s">
        <v>20</v>
      </c>
      <c r="U19" s="114">
        <f>sept[[#This Row],[сумма]]-sept[[#This Row],[Цема м2 отделки]]*sept[[#This Row],[м2]]</f>
        <v>4657041.54</v>
      </c>
    </row>
    <row r="20" spans="1:22" s="61" customFormat="1">
      <c r="A20" s="62">
        <v>21</v>
      </c>
      <c r="B20" s="75">
        <v>26372</v>
      </c>
      <c r="C20" s="62" t="s">
        <v>13</v>
      </c>
      <c r="D20" s="75">
        <v>392</v>
      </c>
      <c r="E20" s="62">
        <v>0</v>
      </c>
      <c r="F20" s="62">
        <v>24.5</v>
      </c>
      <c r="G20" s="62" t="s">
        <v>15</v>
      </c>
      <c r="H20" s="62">
        <v>5000</v>
      </c>
      <c r="I20" s="95">
        <v>2793116.87</v>
      </c>
      <c r="J20" s="117" t="s">
        <v>1207</v>
      </c>
      <c r="K20" s="62" t="s">
        <v>16</v>
      </c>
      <c r="L20" s="62" t="s">
        <v>583</v>
      </c>
      <c r="M20" s="62" t="s">
        <v>18</v>
      </c>
      <c r="N20" s="92" t="s">
        <v>1589</v>
      </c>
      <c r="O20" s="117" t="s">
        <v>17</v>
      </c>
      <c r="P20" s="62" t="s">
        <v>1647</v>
      </c>
      <c r="Q20" s="113" t="s">
        <v>67</v>
      </c>
      <c r="R20" s="113" t="s">
        <v>67</v>
      </c>
      <c r="S20" s="117" t="s">
        <v>1207</v>
      </c>
      <c r="T20" s="117" t="s">
        <v>20</v>
      </c>
      <c r="U20" s="114">
        <f>sept[[#This Row],[сумма]]-sept[[#This Row],[Цема м2 отделки]]*sept[[#This Row],[м2]]</f>
        <v>2670616.87</v>
      </c>
    </row>
    <row r="21" spans="1:22" s="61" customFormat="1">
      <c r="A21" s="62">
        <v>22</v>
      </c>
      <c r="B21" s="75">
        <v>26080</v>
      </c>
      <c r="C21" s="62" t="s">
        <v>13</v>
      </c>
      <c r="D21" s="75">
        <v>131</v>
      </c>
      <c r="E21" s="62">
        <v>1</v>
      </c>
      <c r="F21" s="62">
        <v>42.28</v>
      </c>
      <c r="G21" s="62" t="s">
        <v>15</v>
      </c>
      <c r="H21" s="62">
        <v>4500</v>
      </c>
      <c r="I21" s="95">
        <v>3774021.04</v>
      </c>
      <c r="J21" s="117" t="s">
        <v>1207</v>
      </c>
      <c r="K21" s="62" t="s">
        <v>16</v>
      </c>
      <c r="L21" s="62" t="s">
        <v>583</v>
      </c>
      <c r="M21" s="62" t="s">
        <v>12</v>
      </c>
      <c r="N21" s="92" t="s">
        <v>1589</v>
      </c>
      <c r="O21" s="117" t="s">
        <v>17</v>
      </c>
      <c r="P21" s="62" t="s">
        <v>1648</v>
      </c>
      <c r="Q21" s="113" t="s">
        <v>67</v>
      </c>
      <c r="R21" s="113" t="s">
        <v>67</v>
      </c>
      <c r="S21" s="117" t="s">
        <v>1207</v>
      </c>
      <c r="T21" s="117" t="s">
        <v>20</v>
      </c>
      <c r="U21" s="114">
        <f>sept[[#This Row],[сумма]]-sept[[#This Row],[Цема м2 отделки]]*sept[[#This Row],[м2]]</f>
        <v>3583761.04</v>
      </c>
      <c r="V21" s="66"/>
    </row>
    <row r="22" spans="1:22" s="61" customFormat="1">
      <c r="A22" s="65">
        <v>23</v>
      </c>
      <c r="B22" s="79">
        <v>26202</v>
      </c>
      <c r="C22" s="65" t="s">
        <v>7</v>
      </c>
      <c r="D22" s="79">
        <v>97</v>
      </c>
      <c r="E22" s="65"/>
      <c r="F22" s="65"/>
      <c r="G22" s="65"/>
      <c r="H22" s="65"/>
      <c r="I22" s="93"/>
      <c r="J22" s="80"/>
      <c r="K22" s="65"/>
      <c r="L22" s="65"/>
      <c r="M22" s="65"/>
      <c r="N22" s="98"/>
      <c r="O22" s="80"/>
      <c r="P22" s="65"/>
      <c r="Q22" s="118"/>
      <c r="R22" s="86"/>
      <c r="S22" s="80"/>
      <c r="T22" s="80"/>
      <c r="U22" s="115">
        <f>sept[[#This Row],[сумма]]-sept[[#This Row],[Цема м2 отделки]]*sept[[#This Row],[м2]]</f>
        <v>0</v>
      </c>
      <c r="V22" s="66"/>
    </row>
    <row r="23" spans="1:22" s="61" customFormat="1">
      <c r="A23" s="62">
        <v>24</v>
      </c>
      <c r="B23" s="75">
        <v>26038</v>
      </c>
      <c r="C23" s="62" t="s">
        <v>13</v>
      </c>
      <c r="D23" s="75">
        <v>448</v>
      </c>
      <c r="E23" s="62">
        <v>2</v>
      </c>
      <c r="F23" s="62">
        <v>58.24</v>
      </c>
      <c r="G23" s="62" t="s">
        <v>15</v>
      </c>
      <c r="H23" s="62">
        <v>4500</v>
      </c>
      <c r="I23" s="95">
        <v>4894237.42</v>
      </c>
      <c r="J23" s="117" t="s">
        <v>1207</v>
      </c>
      <c r="K23" s="62" t="s">
        <v>22</v>
      </c>
      <c r="L23" s="62" t="s">
        <v>583</v>
      </c>
      <c r="M23" s="62" t="s">
        <v>18</v>
      </c>
      <c r="N23" s="92" t="s">
        <v>1589</v>
      </c>
      <c r="O23" s="117" t="s">
        <v>17</v>
      </c>
      <c r="P23" s="62" t="s">
        <v>1649</v>
      </c>
      <c r="Q23" s="76" t="s">
        <v>67</v>
      </c>
      <c r="R23" s="76" t="s">
        <v>67</v>
      </c>
      <c r="S23" s="117" t="s">
        <v>1207</v>
      </c>
      <c r="T23" s="117" t="s">
        <v>20</v>
      </c>
      <c r="U23" s="114">
        <f>sept[[#This Row],[сумма]]-sept[[#This Row],[Цема м2 отделки]]*sept[[#This Row],[м2]]</f>
        <v>4632157.42</v>
      </c>
    </row>
    <row r="24" spans="1:22" s="61" customFormat="1">
      <c r="A24" s="62">
        <v>25</v>
      </c>
      <c r="B24" s="75">
        <v>26519</v>
      </c>
      <c r="C24" s="62" t="s">
        <v>7</v>
      </c>
      <c r="D24" s="75">
        <v>270</v>
      </c>
      <c r="E24" s="62">
        <v>2</v>
      </c>
      <c r="F24" s="62">
        <v>67.95</v>
      </c>
      <c r="G24" s="62" t="s">
        <v>15</v>
      </c>
      <c r="H24" s="62">
        <v>4500</v>
      </c>
      <c r="I24" s="352">
        <v>6261524.5499999998</v>
      </c>
      <c r="J24" s="348" t="s">
        <v>1207</v>
      </c>
      <c r="K24" s="62" t="s">
        <v>16</v>
      </c>
      <c r="L24" s="62" t="s">
        <v>583</v>
      </c>
      <c r="M24" s="62" t="s">
        <v>18</v>
      </c>
      <c r="N24" s="92"/>
      <c r="O24" s="62" t="s">
        <v>17</v>
      </c>
      <c r="P24" s="62" t="s">
        <v>1650</v>
      </c>
      <c r="Q24" s="76" t="s">
        <v>67</v>
      </c>
      <c r="R24" s="76" t="s">
        <v>67</v>
      </c>
      <c r="S24" s="62" t="s">
        <v>1207</v>
      </c>
      <c r="T24" s="62" t="s">
        <v>77</v>
      </c>
      <c r="U24" s="114">
        <f>sept[[#This Row],[сумма]]-sept[[#This Row],[Цема м2 отделки]]*sept[[#This Row],[м2]]</f>
        <v>5955749.5499999998</v>
      </c>
    </row>
    <row r="25" spans="1:22" s="61" customFormat="1">
      <c r="A25" s="62">
        <v>26</v>
      </c>
      <c r="B25" s="75">
        <v>26449</v>
      </c>
      <c r="C25" s="62" t="s">
        <v>7</v>
      </c>
      <c r="D25" s="75">
        <v>529</v>
      </c>
      <c r="E25" s="62">
        <v>1</v>
      </c>
      <c r="F25" s="62">
        <v>38.6</v>
      </c>
      <c r="G25" s="62" t="s">
        <v>15</v>
      </c>
      <c r="H25" s="62">
        <v>4500</v>
      </c>
      <c r="I25" s="95">
        <v>4021483.49</v>
      </c>
      <c r="J25" s="117" t="s">
        <v>20</v>
      </c>
      <c r="K25" s="62" t="s">
        <v>16</v>
      </c>
      <c r="L25" s="62" t="s">
        <v>583</v>
      </c>
      <c r="M25" s="62" t="s">
        <v>18</v>
      </c>
      <c r="N25" s="92">
        <v>45170</v>
      </c>
      <c r="O25" s="117" t="s">
        <v>17</v>
      </c>
      <c r="P25" s="62" t="s">
        <v>1651</v>
      </c>
      <c r="Q25" s="76" t="s">
        <v>67</v>
      </c>
      <c r="R25" s="76" t="s">
        <v>67</v>
      </c>
      <c r="S25" s="117" t="s">
        <v>20</v>
      </c>
      <c r="T25" s="117" t="s">
        <v>20</v>
      </c>
      <c r="U25" s="114">
        <f>sept[[#This Row],[сумма]]-sept[[#This Row],[Цема м2 отделки]]*sept[[#This Row],[м2]]</f>
        <v>3847783.49</v>
      </c>
      <c r="V25" s="66"/>
    </row>
    <row r="26" spans="1:22" s="61" customFormat="1">
      <c r="A26" s="62">
        <v>27</v>
      </c>
      <c r="B26" s="75">
        <v>26464</v>
      </c>
      <c r="C26" s="62" t="s">
        <v>7</v>
      </c>
      <c r="D26" s="75">
        <v>502</v>
      </c>
      <c r="E26" s="349">
        <v>1</v>
      </c>
      <c r="F26" s="62">
        <v>38.6</v>
      </c>
      <c r="G26" s="62" t="s">
        <v>25</v>
      </c>
      <c r="H26" s="348">
        <v>15500</v>
      </c>
      <c r="I26" s="352">
        <v>4369127.82</v>
      </c>
      <c r="J26" s="348" t="s">
        <v>20</v>
      </c>
      <c r="K26" s="62" t="s">
        <v>22</v>
      </c>
      <c r="L26" s="62" t="s">
        <v>583</v>
      </c>
      <c r="M26" s="62" t="s">
        <v>18</v>
      </c>
      <c r="N26" s="92"/>
      <c r="O26" s="62" t="s">
        <v>17</v>
      </c>
      <c r="P26" s="62" t="s">
        <v>1652</v>
      </c>
      <c r="Q26" s="76" t="s">
        <v>67</v>
      </c>
      <c r="R26" s="76" t="s">
        <v>67</v>
      </c>
      <c r="S26" s="62" t="s">
        <v>20</v>
      </c>
      <c r="T26" s="62" t="s">
        <v>20</v>
      </c>
      <c r="U26" s="114">
        <f>sept[[#This Row],[сумма]]-sept[[#This Row],[Цема м2 отделки]]*sept[[#This Row],[м2]]</f>
        <v>3770827.8200000003</v>
      </c>
    </row>
    <row r="27" spans="1:22">
      <c r="A27" s="65">
        <v>28</v>
      </c>
      <c r="B27" s="79"/>
      <c r="C27" s="65"/>
      <c r="D27" s="79"/>
      <c r="E27" s="87"/>
      <c r="F27" s="65"/>
      <c r="G27" s="65"/>
      <c r="H27" s="72"/>
      <c r="I27" s="105"/>
      <c r="J27" s="72"/>
      <c r="K27" s="65"/>
      <c r="L27" s="80"/>
      <c r="M27" s="65"/>
      <c r="N27" s="98"/>
      <c r="O27" s="65"/>
      <c r="P27" s="80"/>
      <c r="Q27" s="86"/>
      <c r="R27" s="86"/>
      <c r="S27" s="65"/>
      <c r="U27" s="115">
        <f>sept[[#This Row],[сумма]]-sept[[#This Row],[Цема м2 отделки]]*sept[[#This Row],[м2]]</f>
        <v>0</v>
      </c>
    </row>
    <row r="28" spans="1:22" s="61" customFormat="1" ht="13.5" customHeight="1">
      <c r="A28" s="62">
        <v>29</v>
      </c>
      <c r="B28" s="75">
        <v>26050</v>
      </c>
      <c r="C28" s="62" t="s">
        <v>13</v>
      </c>
      <c r="D28" s="75">
        <v>157</v>
      </c>
      <c r="E28" s="62">
        <v>1</v>
      </c>
      <c r="F28" s="62">
        <v>37.86</v>
      </c>
      <c r="G28" s="62" t="s">
        <v>9</v>
      </c>
      <c r="H28" s="62"/>
      <c r="I28" s="95">
        <v>3117597.22</v>
      </c>
      <c r="J28" s="117" t="s">
        <v>73</v>
      </c>
      <c r="K28" s="62" t="s">
        <v>84</v>
      </c>
      <c r="L28" s="62" t="s">
        <v>286</v>
      </c>
      <c r="M28" s="62" t="s">
        <v>12</v>
      </c>
      <c r="N28" s="92" t="s">
        <v>1653</v>
      </c>
      <c r="O28" s="117" t="s">
        <v>17</v>
      </c>
      <c r="P28" s="62" t="s">
        <v>1654</v>
      </c>
      <c r="Q28" s="76" t="s">
        <v>67</v>
      </c>
      <c r="R28" s="76" t="s">
        <v>1655</v>
      </c>
      <c r="S28" s="117" t="s">
        <v>73</v>
      </c>
      <c r="T28" s="117" t="s">
        <v>73</v>
      </c>
      <c r="U28" s="114">
        <f>sept[[#This Row],[сумма]]-sept[[#This Row],[Цема м2 отделки]]*sept[[#This Row],[м2]]</f>
        <v>3117597.22</v>
      </c>
    </row>
    <row r="29" spans="1:22" s="61" customFormat="1" ht="13.5" customHeight="1">
      <c r="A29" s="62">
        <v>30</v>
      </c>
      <c r="B29" s="75">
        <v>26051</v>
      </c>
      <c r="C29" s="62" t="s">
        <v>13</v>
      </c>
      <c r="D29" s="75">
        <v>129</v>
      </c>
      <c r="E29" s="62">
        <v>1</v>
      </c>
      <c r="F29" s="62">
        <v>37.86</v>
      </c>
      <c r="G29" s="62" t="s">
        <v>9</v>
      </c>
      <c r="H29" s="62"/>
      <c r="I29" s="95">
        <v>3146464.04</v>
      </c>
      <c r="J29" s="117" t="s">
        <v>73</v>
      </c>
      <c r="K29" s="62" t="s">
        <v>84</v>
      </c>
      <c r="L29" s="62" t="s">
        <v>286</v>
      </c>
      <c r="M29" s="62" t="s">
        <v>12</v>
      </c>
      <c r="N29" s="92" t="s">
        <v>1653</v>
      </c>
      <c r="O29" s="117" t="s">
        <v>17</v>
      </c>
      <c r="P29" s="62" t="s">
        <v>1654</v>
      </c>
      <c r="Q29" s="76" t="s">
        <v>67</v>
      </c>
      <c r="R29" s="76" t="s">
        <v>1655</v>
      </c>
      <c r="S29" s="117" t="s">
        <v>73</v>
      </c>
      <c r="T29" s="117" t="s">
        <v>73</v>
      </c>
      <c r="U29" s="114">
        <f>sept[[#This Row],[сумма]]-sept[[#This Row],[Цема м2 отделки]]*sept[[#This Row],[м2]]</f>
        <v>3146464.04</v>
      </c>
    </row>
    <row r="30" spans="1:22" s="61" customFormat="1" ht="25.5">
      <c r="A30" s="62">
        <v>31</v>
      </c>
      <c r="B30" s="75">
        <v>4007</v>
      </c>
      <c r="C30" s="62" t="s">
        <v>13</v>
      </c>
      <c r="D30" s="75">
        <v>406</v>
      </c>
      <c r="E30" s="62">
        <v>1</v>
      </c>
      <c r="F30" s="62">
        <v>43.21</v>
      </c>
      <c r="G30" s="62" t="s">
        <v>25</v>
      </c>
      <c r="H30" s="62">
        <v>15500</v>
      </c>
      <c r="I30" s="95">
        <v>4162008.59</v>
      </c>
      <c r="J30" s="117" t="s">
        <v>73</v>
      </c>
      <c r="K30" s="62" t="s">
        <v>16</v>
      </c>
      <c r="L30" s="62" t="s">
        <v>583</v>
      </c>
      <c r="M30" s="62" t="s">
        <v>12</v>
      </c>
      <c r="N30" s="92" t="s">
        <v>1589</v>
      </c>
      <c r="O30" s="117" t="s">
        <v>17</v>
      </c>
      <c r="P30" s="62" t="s">
        <v>1656</v>
      </c>
      <c r="Q30" s="76" t="s">
        <v>67</v>
      </c>
      <c r="R30" s="76" t="s">
        <v>1657</v>
      </c>
      <c r="S30" s="117" t="s">
        <v>73</v>
      </c>
      <c r="T30" s="117" t="s">
        <v>20</v>
      </c>
      <c r="U30" s="114">
        <f>sept[[#This Row],[сумма]]-sept[[#This Row],[Цема м2 отделки]]*sept[[#This Row],[м2]]</f>
        <v>3492253.59</v>
      </c>
    </row>
    <row r="31" spans="1:22" s="61" customFormat="1">
      <c r="A31" s="62">
        <v>32</v>
      </c>
      <c r="B31" s="75">
        <v>26288</v>
      </c>
      <c r="C31" s="62" t="s">
        <v>13</v>
      </c>
      <c r="D31" s="75">
        <v>463</v>
      </c>
      <c r="E31" s="62">
        <v>0</v>
      </c>
      <c r="F31" s="62">
        <v>24.5</v>
      </c>
      <c r="G31" s="62" t="s">
        <v>9</v>
      </c>
      <c r="H31" s="62">
        <v>0</v>
      </c>
      <c r="I31" s="95">
        <v>2343690.58</v>
      </c>
      <c r="J31" s="117" t="s">
        <v>73</v>
      </c>
      <c r="K31" s="62" t="s">
        <v>16</v>
      </c>
      <c r="L31" s="62" t="s">
        <v>583</v>
      </c>
      <c r="M31" s="62" t="s">
        <v>18</v>
      </c>
      <c r="N31" s="92" t="s">
        <v>1658</v>
      </c>
      <c r="O31" s="117" t="s">
        <v>17</v>
      </c>
      <c r="P31" s="62" t="s">
        <v>1659</v>
      </c>
      <c r="Q31" s="113" t="s">
        <v>67</v>
      </c>
      <c r="R31" s="113" t="s">
        <v>67</v>
      </c>
      <c r="S31" s="117" t="s">
        <v>73</v>
      </c>
      <c r="T31" s="117" t="s">
        <v>73</v>
      </c>
      <c r="U31" s="114">
        <f>sept[[#This Row],[сумма]]-sept[[#This Row],[Цема м2 отделки]]*sept[[#This Row],[м2]]</f>
        <v>2343690.58</v>
      </c>
    </row>
    <row r="32" spans="1:22" s="61" customFormat="1">
      <c r="A32" s="62">
        <v>33</v>
      </c>
      <c r="B32" s="75">
        <v>26325</v>
      </c>
      <c r="C32" s="62" t="s">
        <v>13</v>
      </c>
      <c r="D32" s="75">
        <v>237</v>
      </c>
      <c r="E32" s="349">
        <v>0</v>
      </c>
      <c r="F32" s="75">
        <v>24.53</v>
      </c>
      <c r="G32" s="62" t="s">
        <v>9</v>
      </c>
      <c r="H32" s="348"/>
      <c r="I32" s="95">
        <v>2369123.34</v>
      </c>
      <c r="J32" s="62" t="s">
        <v>73</v>
      </c>
      <c r="K32" s="62" t="s">
        <v>16</v>
      </c>
      <c r="L32" s="62" t="s">
        <v>583</v>
      </c>
      <c r="M32" s="62" t="s">
        <v>18</v>
      </c>
      <c r="N32" s="92" t="s">
        <v>1658</v>
      </c>
      <c r="O32" s="62" t="s">
        <v>17</v>
      </c>
      <c r="P32" s="62" t="s">
        <v>1660</v>
      </c>
      <c r="Q32" s="113" t="s">
        <v>67</v>
      </c>
      <c r="R32" s="113" t="s">
        <v>67</v>
      </c>
      <c r="S32" s="62" t="s">
        <v>73</v>
      </c>
      <c r="T32" s="62" t="s">
        <v>73</v>
      </c>
      <c r="U32" s="114">
        <f>sept[[#This Row],[сумма]]-sept[[#This Row],[Цема м2 отделки]]*sept[[#This Row],[м2]]</f>
        <v>2369123.34</v>
      </c>
    </row>
    <row r="33" spans="1:21" s="61" customFormat="1">
      <c r="A33" s="62">
        <v>34</v>
      </c>
      <c r="B33" s="75">
        <v>26015</v>
      </c>
      <c r="C33" s="62" t="s">
        <v>13</v>
      </c>
      <c r="D33" s="75">
        <v>413</v>
      </c>
      <c r="E33" s="62">
        <v>0</v>
      </c>
      <c r="F33" s="62">
        <v>29.4</v>
      </c>
      <c r="G33" s="62" t="s">
        <v>15</v>
      </c>
      <c r="H33" s="62">
        <v>4500</v>
      </c>
      <c r="I33" s="95">
        <v>2785048.77</v>
      </c>
      <c r="J33" s="117" t="s">
        <v>1207</v>
      </c>
      <c r="K33" s="62" t="s">
        <v>22</v>
      </c>
      <c r="L33" s="62" t="s">
        <v>583</v>
      </c>
      <c r="M33" s="62" t="s">
        <v>12</v>
      </c>
      <c r="N33" s="92" t="s">
        <v>1589</v>
      </c>
      <c r="O33" s="117" t="s">
        <v>17</v>
      </c>
      <c r="P33" s="62" t="s">
        <v>1661</v>
      </c>
      <c r="Q33" s="113" t="s">
        <v>67</v>
      </c>
      <c r="R33" s="113" t="s">
        <v>67</v>
      </c>
      <c r="S33" s="117" t="s">
        <v>1207</v>
      </c>
      <c r="T33" s="117" t="s">
        <v>73</v>
      </c>
      <c r="U33" s="114">
        <f>sept[[#This Row],[сумма]]-sept[[#This Row],[Цема м2 отделки]]*sept[[#This Row],[м2]]</f>
        <v>2652748.77</v>
      </c>
    </row>
    <row r="34" spans="1:21" s="61" customFormat="1">
      <c r="A34" s="62">
        <v>35</v>
      </c>
      <c r="B34" s="75">
        <v>26433</v>
      </c>
      <c r="C34" s="62" t="s">
        <v>7</v>
      </c>
      <c r="D34" s="75">
        <v>232</v>
      </c>
      <c r="E34" s="62">
        <v>1</v>
      </c>
      <c r="F34" s="62">
        <v>33.79</v>
      </c>
      <c r="G34" s="62" t="s">
        <v>15</v>
      </c>
      <c r="H34" s="62">
        <v>4500</v>
      </c>
      <c r="I34" s="95">
        <v>3792466.94</v>
      </c>
      <c r="J34" s="117" t="s">
        <v>73</v>
      </c>
      <c r="K34" s="62" t="s">
        <v>22</v>
      </c>
      <c r="L34" s="62" t="s">
        <v>583</v>
      </c>
      <c r="M34" s="62" t="s">
        <v>18</v>
      </c>
      <c r="N34" s="92">
        <v>45180</v>
      </c>
      <c r="O34" s="117" t="s">
        <v>17</v>
      </c>
      <c r="P34" s="62" t="s">
        <v>1662</v>
      </c>
      <c r="Q34" s="113" t="s">
        <v>67</v>
      </c>
      <c r="R34" s="76" t="s">
        <v>67</v>
      </c>
      <c r="S34" s="117" t="s">
        <v>73</v>
      </c>
      <c r="T34" s="117" t="s">
        <v>73</v>
      </c>
      <c r="U34" s="114">
        <f>sept[[#This Row],[сумма]]-sept[[#This Row],[Цема м2 отделки]]*sept[[#This Row],[м2]]</f>
        <v>3640411.94</v>
      </c>
    </row>
    <row r="35" spans="1:21" s="61" customFormat="1">
      <c r="A35" s="62">
        <v>36</v>
      </c>
      <c r="B35" s="62">
        <v>26466</v>
      </c>
      <c r="C35" s="62" t="s">
        <v>7</v>
      </c>
      <c r="D35" s="62">
        <v>38</v>
      </c>
      <c r="E35" s="62">
        <v>2</v>
      </c>
      <c r="F35" s="75">
        <v>59.87</v>
      </c>
      <c r="G35" s="62" t="s">
        <v>25</v>
      </c>
      <c r="H35" s="62">
        <v>15500</v>
      </c>
      <c r="I35" s="95">
        <v>6537355.5700000003</v>
      </c>
      <c r="J35" s="62" t="s">
        <v>73</v>
      </c>
      <c r="K35" s="62" t="s">
        <v>16</v>
      </c>
      <c r="L35" s="62" t="s">
        <v>583</v>
      </c>
      <c r="M35" s="62" t="s">
        <v>18</v>
      </c>
      <c r="N35" s="92">
        <v>45177</v>
      </c>
      <c r="O35" s="117" t="s">
        <v>17</v>
      </c>
      <c r="P35" s="62" t="s">
        <v>1663</v>
      </c>
      <c r="Q35" s="76" t="s">
        <v>67</v>
      </c>
      <c r="R35" s="76" t="s">
        <v>67</v>
      </c>
      <c r="S35" s="117" t="s">
        <v>73</v>
      </c>
      <c r="T35" s="117" t="s">
        <v>73</v>
      </c>
      <c r="U35" s="114">
        <f>sept[[#This Row],[сумма]]-sept[[#This Row],[Цема м2 отделки]]*sept[[#This Row],[м2]]</f>
        <v>5609370.5700000003</v>
      </c>
    </row>
    <row r="36" spans="1:21" s="61" customFormat="1">
      <c r="A36" s="62">
        <v>37</v>
      </c>
      <c r="B36" s="75">
        <v>25623</v>
      </c>
      <c r="C36" s="62" t="s">
        <v>13</v>
      </c>
      <c r="D36" s="75">
        <v>7</v>
      </c>
      <c r="E36" s="62">
        <v>1</v>
      </c>
      <c r="F36" s="62">
        <v>35.74</v>
      </c>
      <c r="G36" s="62" t="s">
        <v>9</v>
      </c>
      <c r="H36" s="62"/>
      <c r="I36" s="95">
        <v>2838142.81</v>
      </c>
      <c r="J36" s="117" t="s">
        <v>8</v>
      </c>
      <c r="K36" s="62" t="s">
        <v>10</v>
      </c>
      <c r="L36" s="62" t="s">
        <v>286</v>
      </c>
      <c r="M36" s="62" t="s">
        <v>12</v>
      </c>
      <c r="N36" s="92" t="s">
        <v>1589</v>
      </c>
      <c r="O36" s="117" t="s">
        <v>17</v>
      </c>
      <c r="P36" s="62" t="s">
        <v>1664</v>
      </c>
      <c r="Q36" s="76" t="s">
        <v>67</v>
      </c>
      <c r="R36" s="76" t="s">
        <v>67</v>
      </c>
      <c r="S36" s="117" t="s">
        <v>8</v>
      </c>
      <c r="T36" s="117" t="s">
        <v>8</v>
      </c>
      <c r="U36" s="114">
        <f>sept[[#This Row],[сумма]]-sept[[#This Row],[Цема м2 отделки]]*sept[[#This Row],[м2]]</f>
        <v>2838142.81</v>
      </c>
    </row>
    <row r="37" spans="1:21" s="61" customFormat="1">
      <c r="A37" s="62">
        <v>38</v>
      </c>
      <c r="B37" s="75">
        <v>23312</v>
      </c>
      <c r="C37" s="62" t="s">
        <v>13</v>
      </c>
      <c r="D37" s="75">
        <v>270</v>
      </c>
      <c r="E37" s="62">
        <v>1</v>
      </c>
      <c r="F37" s="62">
        <v>34.81</v>
      </c>
      <c r="G37" s="62" t="s">
        <v>15</v>
      </c>
      <c r="H37" s="62">
        <v>4000</v>
      </c>
      <c r="I37" s="95">
        <v>3069825</v>
      </c>
      <c r="J37" s="117" t="s">
        <v>8</v>
      </c>
      <c r="K37" s="62" t="s">
        <v>22</v>
      </c>
      <c r="L37" s="62" t="s">
        <v>583</v>
      </c>
      <c r="M37" s="62" t="s">
        <v>12</v>
      </c>
      <c r="N37" s="92" t="s">
        <v>1589</v>
      </c>
      <c r="O37" s="117" t="s">
        <v>17</v>
      </c>
      <c r="P37" s="62" t="s">
        <v>1665</v>
      </c>
      <c r="Q37" s="76" t="s">
        <v>67</v>
      </c>
      <c r="R37" s="76" t="s">
        <v>67</v>
      </c>
      <c r="S37" s="117" t="s">
        <v>8</v>
      </c>
      <c r="T37" s="117" t="s">
        <v>8</v>
      </c>
      <c r="U37" s="114">
        <f>sept[[#This Row],[сумма]]-sept[[#This Row],[Цема м2 отделки]]*sept[[#This Row],[м2]]</f>
        <v>2930585</v>
      </c>
    </row>
    <row r="38" spans="1:21" s="61" customFormat="1">
      <c r="A38" s="62">
        <v>39</v>
      </c>
      <c r="B38" s="75">
        <v>25846</v>
      </c>
      <c r="C38" s="62" t="s">
        <v>13</v>
      </c>
      <c r="D38" s="75">
        <v>429</v>
      </c>
      <c r="E38" s="62">
        <v>0</v>
      </c>
      <c r="F38" s="62">
        <v>29.4</v>
      </c>
      <c r="G38" s="62" t="s">
        <v>15</v>
      </c>
      <c r="H38" s="62">
        <v>4500</v>
      </c>
      <c r="I38" s="95">
        <v>2759293.78</v>
      </c>
      <c r="J38" s="117" t="s">
        <v>8</v>
      </c>
      <c r="K38" s="62" t="s">
        <v>16</v>
      </c>
      <c r="L38" s="62" t="s">
        <v>583</v>
      </c>
      <c r="M38" s="62" t="s">
        <v>12</v>
      </c>
      <c r="N38" s="92" t="s">
        <v>1589</v>
      </c>
      <c r="O38" s="117" t="s">
        <v>17</v>
      </c>
      <c r="P38" s="62" t="s">
        <v>1268</v>
      </c>
      <c r="Q38" s="76" t="s">
        <v>67</v>
      </c>
      <c r="R38" s="76" t="s">
        <v>67</v>
      </c>
      <c r="S38" s="117" t="s">
        <v>8</v>
      </c>
      <c r="T38" s="117" t="s">
        <v>8</v>
      </c>
      <c r="U38" s="114">
        <f>sept[[#This Row],[сумма]]-sept[[#This Row],[Цема м2 отделки]]*sept[[#This Row],[м2]]</f>
        <v>2626993.7799999998</v>
      </c>
    </row>
    <row r="39" spans="1:21" s="61" customFormat="1">
      <c r="A39" s="62">
        <v>40</v>
      </c>
      <c r="B39" s="75">
        <v>25776</v>
      </c>
      <c r="C39" s="62" t="s">
        <v>13</v>
      </c>
      <c r="D39" s="75">
        <v>176</v>
      </c>
      <c r="E39" s="62">
        <v>2</v>
      </c>
      <c r="F39" s="62">
        <v>57.6</v>
      </c>
      <c r="G39" s="62" t="s">
        <v>25</v>
      </c>
      <c r="H39" s="62">
        <v>15500</v>
      </c>
      <c r="I39" s="95">
        <v>5518532.7400000002</v>
      </c>
      <c r="J39" s="117" t="s">
        <v>8</v>
      </c>
      <c r="K39" s="62" t="s">
        <v>16</v>
      </c>
      <c r="L39" s="62" t="s">
        <v>583</v>
      </c>
      <c r="M39" s="431" t="s">
        <v>12</v>
      </c>
      <c r="N39" s="92" t="s">
        <v>1589</v>
      </c>
      <c r="O39" s="117" t="s">
        <v>17</v>
      </c>
      <c r="P39" s="62" t="s">
        <v>1336</v>
      </c>
      <c r="Q39" s="76" t="s">
        <v>67</v>
      </c>
      <c r="R39" s="76" t="s">
        <v>67</v>
      </c>
      <c r="S39" s="117" t="s">
        <v>8</v>
      </c>
      <c r="T39" s="117" t="s">
        <v>8</v>
      </c>
      <c r="U39" s="114">
        <f>sept[[#This Row],[сумма]]-sept[[#This Row],[Цема м2 отделки]]*sept[[#This Row],[м2]]</f>
        <v>4625732.74</v>
      </c>
    </row>
    <row r="40" spans="1:21" s="61" customFormat="1">
      <c r="A40" s="62">
        <v>41</v>
      </c>
      <c r="B40" s="74">
        <v>25765</v>
      </c>
      <c r="C40" s="62" t="s">
        <v>13</v>
      </c>
      <c r="D40" s="75">
        <v>147</v>
      </c>
      <c r="E40" s="62">
        <v>0</v>
      </c>
      <c r="F40" s="62">
        <v>24.28</v>
      </c>
      <c r="G40" s="62" t="s">
        <v>15</v>
      </c>
      <c r="H40" s="62">
        <v>4500</v>
      </c>
      <c r="I40" s="95">
        <v>2342572.7599999998</v>
      </c>
      <c r="J40" s="62" t="s">
        <v>8</v>
      </c>
      <c r="K40" s="62" t="s">
        <v>10</v>
      </c>
      <c r="L40" s="62" t="s">
        <v>286</v>
      </c>
      <c r="M40" s="62" t="s">
        <v>12</v>
      </c>
      <c r="N40" s="92" t="s">
        <v>1589</v>
      </c>
      <c r="O40" s="117" t="s">
        <v>17</v>
      </c>
      <c r="P40" s="62" t="s">
        <v>1666</v>
      </c>
      <c r="Q40" s="76" t="s">
        <v>67</v>
      </c>
      <c r="R40" s="76" t="s">
        <v>67</v>
      </c>
      <c r="S40" s="62" t="s">
        <v>8</v>
      </c>
      <c r="T40" s="62" t="s">
        <v>8</v>
      </c>
      <c r="U40" s="114">
        <f>sept[[#This Row],[сумма]]-sept[[#This Row],[Цема м2 отделки]]*sept[[#This Row],[м2]]</f>
        <v>2233312.7599999998</v>
      </c>
    </row>
    <row r="41" spans="1:21" s="61" customFormat="1">
      <c r="A41" s="62">
        <v>42</v>
      </c>
      <c r="B41" s="75">
        <v>15786</v>
      </c>
      <c r="C41" s="62" t="s">
        <v>13</v>
      </c>
      <c r="D41" s="75">
        <v>31</v>
      </c>
      <c r="E41" s="62">
        <v>2</v>
      </c>
      <c r="F41" s="62">
        <v>59.09</v>
      </c>
      <c r="G41" s="62" t="s">
        <v>15</v>
      </c>
      <c r="H41" s="62">
        <v>4500</v>
      </c>
      <c r="I41" s="95">
        <v>5011296.45</v>
      </c>
      <c r="J41" s="62" t="s">
        <v>8</v>
      </c>
      <c r="K41" s="62" t="s">
        <v>16</v>
      </c>
      <c r="L41" s="62" t="s">
        <v>583</v>
      </c>
      <c r="M41" s="62" t="s">
        <v>12</v>
      </c>
      <c r="N41" s="92" t="s">
        <v>1589</v>
      </c>
      <c r="O41" s="117" t="s">
        <v>17</v>
      </c>
      <c r="P41" s="62" t="s">
        <v>1667</v>
      </c>
      <c r="Q41" s="76" t="s">
        <v>67</v>
      </c>
      <c r="R41" s="76" t="s">
        <v>67</v>
      </c>
      <c r="S41" s="62" t="s">
        <v>8</v>
      </c>
      <c r="T41" s="62" t="s">
        <v>1233</v>
      </c>
      <c r="U41" s="114">
        <f>sept[[#This Row],[сумма]]-sept[[#This Row],[Цема м2 отделки]]*sept[[#This Row],[м2]]</f>
        <v>4745391.45</v>
      </c>
    </row>
    <row r="42" spans="1:21" s="61" customFormat="1">
      <c r="A42" s="62">
        <v>43</v>
      </c>
      <c r="B42" s="75">
        <v>26102</v>
      </c>
      <c r="C42" s="62" t="s">
        <v>13</v>
      </c>
      <c r="D42" s="75">
        <v>399</v>
      </c>
      <c r="E42" s="62">
        <v>0</v>
      </c>
      <c r="F42" s="62">
        <v>24.5</v>
      </c>
      <c r="G42" s="62" t="s">
        <v>25</v>
      </c>
      <c r="H42" s="62">
        <v>15500</v>
      </c>
      <c r="I42" s="95">
        <v>2633298.71</v>
      </c>
      <c r="J42" s="117" t="s">
        <v>8</v>
      </c>
      <c r="K42" s="62" t="s">
        <v>22</v>
      </c>
      <c r="L42" s="62" t="s">
        <v>583</v>
      </c>
      <c r="M42" s="62" t="s">
        <v>12</v>
      </c>
      <c r="N42" s="92" t="s">
        <v>1589</v>
      </c>
      <c r="O42" s="117" t="s">
        <v>17</v>
      </c>
      <c r="P42" s="62" t="s">
        <v>1668</v>
      </c>
      <c r="Q42" s="76" t="s">
        <v>67</v>
      </c>
      <c r="R42" s="76" t="s">
        <v>67</v>
      </c>
      <c r="S42" s="117" t="s">
        <v>8</v>
      </c>
      <c r="T42" s="117" t="s">
        <v>73</v>
      </c>
      <c r="U42" s="114">
        <f>sept[[#This Row],[сумма]]-sept[[#This Row],[Цема м2 отделки]]*sept[[#This Row],[м2]]</f>
        <v>2253548.71</v>
      </c>
    </row>
    <row r="43" spans="1:21" s="61" customFormat="1">
      <c r="A43" s="62">
        <v>44</v>
      </c>
      <c r="B43" s="75">
        <v>26089</v>
      </c>
      <c r="C43" s="62" t="s">
        <v>13</v>
      </c>
      <c r="D43" s="75">
        <v>417</v>
      </c>
      <c r="E43" s="62">
        <v>2</v>
      </c>
      <c r="F43" s="62">
        <v>57.8</v>
      </c>
      <c r="G43" s="392" t="s">
        <v>9</v>
      </c>
      <c r="H43" s="392"/>
      <c r="I43" s="95">
        <v>4619478.3099999996</v>
      </c>
      <c r="J43" s="117" t="s">
        <v>8</v>
      </c>
      <c r="K43" s="62" t="s">
        <v>16</v>
      </c>
      <c r="L43" s="62" t="s">
        <v>583</v>
      </c>
      <c r="M43" s="62" t="s">
        <v>12</v>
      </c>
      <c r="N43" s="92" t="s">
        <v>1589</v>
      </c>
      <c r="O43" s="117" t="s">
        <v>17</v>
      </c>
      <c r="P43" s="62" t="s">
        <v>1669</v>
      </c>
      <c r="Q43" s="76" t="s">
        <v>67</v>
      </c>
      <c r="R43" s="76" t="s">
        <v>67</v>
      </c>
      <c r="S43" s="117" t="s">
        <v>8</v>
      </c>
      <c r="T43" s="117" t="s">
        <v>8</v>
      </c>
      <c r="U43" s="114">
        <f>sept[[#This Row],[сумма]]-sept[[#This Row],[Цема м2 отделки]]*sept[[#This Row],[м2]]</f>
        <v>4619478.3099999996</v>
      </c>
    </row>
    <row r="44" spans="1:21" s="61" customFormat="1">
      <c r="A44" s="62">
        <v>45</v>
      </c>
      <c r="B44" s="75">
        <v>25598</v>
      </c>
      <c r="C44" s="62" t="s">
        <v>13</v>
      </c>
      <c r="D44" s="75">
        <v>275</v>
      </c>
      <c r="E44" s="62">
        <v>1</v>
      </c>
      <c r="F44" s="62">
        <v>37.81</v>
      </c>
      <c r="G44" s="62" t="s">
        <v>25</v>
      </c>
      <c r="H44" s="62">
        <v>15500</v>
      </c>
      <c r="I44" s="95">
        <v>3990273.81</v>
      </c>
      <c r="J44" s="117" t="s">
        <v>8</v>
      </c>
      <c r="K44" s="62" t="s">
        <v>16</v>
      </c>
      <c r="L44" s="62" t="s">
        <v>583</v>
      </c>
      <c r="M44" s="62" t="s">
        <v>12</v>
      </c>
      <c r="N44" s="92" t="s">
        <v>1589</v>
      </c>
      <c r="O44" s="62" t="s">
        <v>17</v>
      </c>
      <c r="P44" s="62" t="s">
        <v>1670</v>
      </c>
      <c r="Q44" s="76" t="s">
        <v>67</v>
      </c>
      <c r="R44" s="76" t="s">
        <v>67</v>
      </c>
      <c r="S44" s="117" t="s">
        <v>8</v>
      </c>
      <c r="T44" s="117" t="s">
        <v>8</v>
      </c>
      <c r="U44" s="114">
        <f>sept[[#This Row],[сумма]]-sept[[#This Row],[Цема м2 отделки]]*sept[[#This Row],[м2]]</f>
        <v>3404218.81</v>
      </c>
    </row>
    <row r="45" spans="1:21" s="61" customFormat="1">
      <c r="A45" s="62">
        <v>46</v>
      </c>
      <c r="B45" s="75">
        <v>22730</v>
      </c>
      <c r="C45" s="62" t="s">
        <v>13</v>
      </c>
      <c r="D45" s="75">
        <v>397</v>
      </c>
      <c r="E45" s="62">
        <v>0</v>
      </c>
      <c r="F45" s="62">
        <v>29.4</v>
      </c>
      <c r="G45" s="62" t="s">
        <v>15</v>
      </c>
      <c r="H45" s="62">
        <v>4500</v>
      </c>
      <c r="I45" s="95">
        <v>2785048.77</v>
      </c>
      <c r="J45" s="117" t="s">
        <v>8</v>
      </c>
      <c r="K45" s="62" t="s">
        <v>22</v>
      </c>
      <c r="L45" s="62" t="s">
        <v>583</v>
      </c>
      <c r="M45" s="62" t="s">
        <v>12</v>
      </c>
      <c r="N45" s="92" t="s">
        <v>1589</v>
      </c>
      <c r="O45" s="62" t="s">
        <v>17</v>
      </c>
      <c r="P45" s="62" t="s">
        <v>1671</v>
      </c>
      <c r="Q45" s="76" t="s">
        <v>67</v>
      </c>
      <c r="R45" s="76" t="s">
        <v>67</v>
      </c>
      <c r="S45" s="117" t="s">
        <v>8</v>
      </c>
      <c r="T45" s="117" t="s">
        <v>8</v>
      </c>
      <c r="U45" s="114">
        <f>sept[[#This Row],[сумма]]-sept[[#This Row],[Цема м2 отделки]]*sept[[#This Row],[м2]]</f>
        <v>2652748.77</v>
      </c>
    </row>
    <row r="46" spans="1:21" s="61" customFormat="1">
      <c r="A46" s="62">
        <v>47</v>
      </c>
      <c r="B46" s="75">
        <v>25886</v>
      </c>
      <c r="C46" s="62" t="s">
        <v>13</v>
      </c>
      <c r="D46" s="75">
        <v>16</v>
      </c>
      <c r="E46" s="62">
        <v>1</v>
      </c>
      <c r="F46" s="62">
        <v>37.729999999999997</v>
      </c>
      <c r="G46" s="62" t="s">
        <v>15</v>
      </c>
      <c r="H46" s="62">
        <v>4500</v>
      </c>
      <c r="I46" s="95">
        <v>3505593.53</v>
      </c>
      <c r="J46" s="117" t="s">
        <v>8</v>
      </c>
      <c r="K46" s="62" t="s">
        <v>16</v>
      </c>
      <c r="L46" s="62" t="s">
        <v>583</v>
      </c>
      <c r="M46" s="62" t="s">
        <v>12</v>
      </c>
      <c r="N46" s="92" t="s">
        <v>1589</v>
      </c>
      <c r="O46" s="62" t="s">
        <v>17</v>
      </c>
      <c r="P46" s="62" t="s">
        <v>1672</v>
      </c>
      <c r="Q46" s="76" t="s">
        <v>67</v>
      </c>
      <c r="R46" s="76" t="s">
        <v>67</v>
      </c>
      <c r="S46" s="117" t="s">
        <v>8</v>
      </c>
      <c r="T46" s="117" t="s">
        <v>8</v>
      </c>
      <c r="U46" s="114">
        <f>sept[[#This Row],[сумма]]-sept[[#This Row],[Цема м2 отделки]]*sept[[#This Row],[м2]]</f>
        <v>3335808.53</v>
      </c>
    </row>
    <row r="47" spans="1:21" s="61" customFormat="1">
      <c r="A47" s="62">
        <v>48</v>
      </c>
      <c r="B47" s="75">
        <v>26284</v>
      </c>
      <c r="C47" s="62" t="s">
        <v>13</v>
      </c>
      <c r="D47" s="75">
        <v>113</v>
      </c>
      <c r="E47" s="62">
        <v>0</v>
      </c>
      <c r="F47" s="62">
        <v>24.28</v>
      </c>
      <c r="G47" s="62" t="s">
        <v>9</v>
      </c>
      <c r="H47" s="62"/>
      <c r="I47" s="95">
        <v>2523643.29</v>
      </c>
      <c r="J47" s="117" t="s">
        <v>8</v>
      </c>
      <c r="K47" s="62" t="s">
        <v>16</v>
      </c>
      <c r="L47" s="62" t="s">
        <v>583</v>
      </c>
      <c r="M47" s="62" t="s">
        <v>12</v>
      </c>
      <c r="N47" s="92" t="s">
        <v>1589</v>
      </c>
      <c r="O47" s="62" t="s">
        <v>17</v>
      </c>
      <c r="P47" s="62" t="s">
        <v>1673</v>
      </c>
      <c r="Q47" s="76" t="s">
        <v>67</v>
      </c>
      <c r="R47" s="76" t="s">
        <v>67</v>
      </c>
      <c r="S47" s="117" t="s">
        <v>8</v>
      </c>
      <c r="T47" s="117" t="s">
        <v>1233</v>
      </c>
      <c r="U47" s="114">
        <f>sept[[#This Row],[сумма]]-sept[[#This Row],[Цема м2 отделки]]*sept[[#This Row],[м2]]</f>
        <v>2523643.29</v>
      </c>
    </row>
    <row r="48" spans="1:21" s="61" customFormat="1">
      <c r="A48" s="62">
        <v>49</v>
      </c>
      <c r="B48" s="75">
        <v>26266</v>
      </c>
      <c r="C48" s="62" t="s">
        <v>13</v>
      </c>
      <c r="D48" s="75">
        <v>224</v>
      </c>
      <c r="E48" s="62">
        <v>0</v>
      </c>
      <c r="F48" s="62">
        <v>24.53</v>
      </c>
      <c r="G48" s="62" t="s">
        <v>9</v>
      </c>
      <c r="H48" s="62"/>
      <c r="I48" s="95">
        <v>2572191.27</v>
      </c>
      <c r="J48" s="117" t="s">
        <v>8</v>
      </c>
      <c r="K48" s="62" t="s">
        <v>16</v>
      </c>
      <c r="L48" s="62" t="s">
        <v>583</v>
      </c>
      <c r="M48" s="62" t="s">
        <v>12</v>
      </c>
      <c r="N48" s="92" t="s">
        <v>1589</v>
      </c>
      <c r="O48" s="62" t="s">
        <v>17</v>
      </c>
      <c r="P48" s="62" t="s">
        <v>1535</v>
      </c>
      <c r="Q48" s="76" t="s">
        <v>67</v>
      </c>
      <c r="R48" s="76" t="s">
        <v>67</v>
      </c>
      <c r="S48" s="117" t="s">
        <v>8</v>
      </c>
      <c r="T48" s="117" t="s">
        <v>8</v>
      </c>
      <c r="U48" s="114">
        <f>sept[[#This Row],[сумма]]-sept[[#This Row],[Цема м2 отделки]]*sept[[#This Row],[м2]]</f>
        <v>2572191.27</v>
      </c>
    </row>
    <row r="49" spans="1:22" s="61" customFormat="1">
      <c r="A49" s="62">
        <v>50</v>
      </c>
      <c r="B49" s="75">
        <v>24700</v>
      </c>
      <c r="C49" s="62" t="s">
        <v>13</v>
      </c>
      <c r="D49" s="75">
        <v>453</v>
      </c>
      <c r="E49" s="62">
        <v>0</v>
      </c>
      <c r="F49" s="62">
        <v>29.4</v>
      </c>
      <c r="G49" s="117" t="s">
        <v>9</v>
      </c>
      <c r="H49" s="117"/>
      <c r="I49" s="95">
        <v>2626993.7799999998</v>
      </c>
      <c r="J49" s="117" t="s">
        <v>1233</v>
      </c>
      <c r="K49" s="62" t="s">
        <v>10</v>
      </c>
      <c r="L49" s="62" t="s">
        <v>514</v>
      </c>
      <c r="M49" s="62" t="s">
        <v>12</v>
      </c>
      <c r="N49" s="92" t="s">
        <v>1658</v>
      </c>
      <c r="O49" s="117" t="s">
        <v>17</v>
      </c>
      <c r="P49" s="62" t="s">
        <v>1674</v>
      </c>
      <c r="Q49" s="76" t="s">
        <v>67</v>
      </c>
      <c r="R49" s="76" t="s">
        <v>67</v>
      </c>
      <c r="S49" s="117" t="s">
        <v>1233</v>
      </c>
      <c r="T49" s="117" t="s">
        <v>1233</v>
      </c>
      <c r="U49" s="114">
        <f>sept[[#This Row],[сумма]]-sept[[#This Row],[Цема м2 отделки]]*sept[[#This Row],[м2]]</f>
        <v>2626993.7799999998</v>
      </c>
    </row>
    <row r="50" spans="1:22" s="61" customFormat="1">
      <c r="A50" s="62">
        <v>51</v>
      </c>
      <c r="B50" s="75">
        <v>25740</v>
      </c>
      <c r="C50" s="62" t="s">
        <v>13</v>
      </c>
      <c r="D50" s="75">
        <v>25</v>
      </c>
      <c r="E50" s="62">
        <v>2</v>
      </c>
      <c r="F50" s="62">
        <v>62.17</v>
      </c>
      <c r="G50" s="117" t="s">
        <v>25</v>
      </c>
      <c r="H50" s="117">
        <v>15500</v>
      </c>
      <c r="I50" s="95">
        <v>6004382.3300000001</v>
      </c>
      <c r="J50" s="117" t="s">
        <v>1233</v>
      </c>
      <c r="K50" s="62" t="s">
        <v>16</v>
      </c>
      <c r="L50" s="62" t="s">
        <v>583</v>
      </c>
      <c r="M50" s="62" t="s">
        <v>12</v>
      </c>
      <c r="N50" s="92">
        <v>45184</v>
      </c>
      <c r="O50" s="117" t="s">
        <v>17</v>
      </c>
      <c r="P50" s="62" t="s">
        <v>1675</v>
      </c>
      <c r="Q50" s="76" t="s">
        <v>67</v>
      </c>
      <c r="R50" s="76" t="s">
        <v>67</v>
      </c>
      <c r="S50" s="117" t="s">
        <v>1233</v>
      </c>
      <c r="T50" s="117" t="s">
        <v>1233</v>
      </c>
      <c r="U50" s="114">
        <f>sept[[#This Row],[сумма]]-sept[[#This Row],[Цема м2 отделки]]*sept[[#This Row],[м2]]</f>
        <v>5040747.33</v>
      </c>
    </row>
    <row r="51" spans="1:22" s="61" customFormat="1">
      <c r="A51" s="62">
        <v>52</v>
      </c>
      <c r="B51" s="75">
        <v>25735</v>
      </c>
      <c r="C51" s="62" t="s">
        <v>13</v>
      </c>
      <c r="D51" s="75">
        <v>63</v>
      </c>
      <c r="E51" s="62">
        <v>1</v>
      </c>
      <c r="F51" s="62">
        <v>34.39</v>
      </c>
      <c r="G51" s="62" t="s">
        <v>25</v>
      </c>
      <c r="H51" s="62">
        <v>15500</v>
      </c>
      <c r="I51" s="95">
        <v>3207578.17</v>
      </c>
      <c r="J51" s="117" t="s">
        <v>1233</v>
      </c>
      <c r="K51" s="62" t="s">
        <v>16</v>
      </c>
      <c r="L51" s="62" t="s">
        <v>583</v>
      </c>
      <c r="M51" s="62" t="s">
        <v>18</v>
      </c>
      <c r="N51" s="92" t="s">
        <v>1589</v>
      </c>
      <c r="O51" s="117" t="s">
        <v>17</v>
      </c>
      <c r="P51" s="62" t="s">
        <v>1676</v>
      </c>
      <c r="Q51" s="76" t="s">
        <v>67</v>
      </c>
      <c r="R51" s="76" t="s">
        <v>67</v>
      </c>
      <c r="S51" s="117" t="s">
        <v>1233</v>
      </c>
      <c r="T51" s="117" t="s">
        <v>1233</v>
      </c>
      <c r="U51" s="114">
        <f>sept[[#This Row],[сумма]]-sept[[#This Row],[Цема м2 отделки]]*sept[[#This Row],[м2]]</f>
        <v>2674533.17</v>
      </c>
    </row>
    <row r="52" spans="1:22" s="61" customFormat="1">
      <c r="A52" s="62">
        <v>53</v>
      </c>
      <c r="B52" s="75">
        <v>25745</v>
      </c>
      <c r="C52" s="62" t="s">
        <v>13</v>
      </c>
      <c r="D52" s="75">
        <v>547</v>
      </c>
      <c r="E52" s="62">
        <v>3</v>
      </c>
      <c r="F52" s="62">
        <v>79.44</v>
      </c>
      <c r="G52" s="62" t="s">
        <v>25</v>
      </c>
      <c r="H52" s="62">
        <v>15500</v>
      </c>
      <c r="I52" s="95">
        <v>7865626.8799999999</v>
      </c>
      <c r="J52" s="117" t="s">
        <v>1233</v>
      </c>
      <c r="K52" s="62" t="s">
        <v>16</v>
      </c>
      <c r="L52" s="62" t="s">
        <v>583</v>
      </c>
      <c r="M52" s="62" t="s">
        <v>18</v>
      </c>
      <c r="N52" s="92" t="s">
        <v>1589</v>
      </c>
      <c r="O52" s="117" t="s">
        <v>17</v>
      </c>
      <c r="P52" s="62" t="s">
        <v>1677</v>
      </c>
      <c r="Q52" s="76" t="s">
        <v>67</v>
      </c>
      <c r="R52" s="76" t="s">
        <v>67</v>
      </c>
      <c r="S52" s="117" t="s">
        <v>1233</v>
      </c>
      <c r="T52" s="117" t="s">
        <v>1233</v>
      </c>
      <c r="U52" s="114">
        <f>sept[[#This Row],[сумма]]-sept[[#This Row],[Цема м2 отделки]]*sept[[#This Row],[м2]]</f>
        <v>6634306.8799999999</v>
      </c>
    </row>
    <row r="53" spans="1:22" s="61" customFormat="1">
      <c r="A53" s="62">
        <v>54</v>
      </c>
      <c r="B53" s="75">
        <v>25771</v>
      </c>
      <c r="C53" s="62" t="s">
        <v>13</v>
      </c>
      <c r="D53" s="75">
        <v>189</v>
      </c>
      <c r="E53" s="62">
        <v>0</v>
      </c>
      <c r="F53" s="62">
        <v>24.28</v>
      </c>
      <c r="G53" s="62" t="s">
        <v>9</v>
      </c>
      <c r="H53" s="62"/>
      <c r="I53" s="95">
        <v>2233312.7599999998</v>
      </c>
      <c r="J53" s="117" t="s">
        <v>1233</v>
      </c>
      <c r="K53" s="62" t="s">
        <v>22</v>
      </c>
      <c r="L53" s="62" t="s">
        <v>583</v>
      </c>
      <c r="M53" s="431" t="s">
        <v>18</v>
      </c>
      <c r="N53" s="92" t="s">
        <v>1589</v>
      </c>
      <c r="O53" s="117" t="s">
        <v>17</v>
      </c>
      <c r="P53" s="62" t="s">
        <v>1678</v>
      </c>
      <c r="Q53" s="76" t="s">
        <v>67</v>
      </c>
      <c r="R53" s="76" t="s">
        <v>67</v>
      </c>
      <c r="S53" s="117" t="s">
        <v>1233</v>
      </c>
      <c r="T53" s="117" t="s">
        <v>1233</v>
      </c>
      <c r="U53" s="114">
        <f>sept[[#This Row],[сумма]]-sept[[#This Row],[Цема м2 отделки]]*sept[[#This Row],[м2]]</f>
        <v>2233312.7599999998</v>
      </c>
    </row>
    <row r="54" spans="1:22" s="61" customFormat="1">
      <c r="A54" s="62">
        <v>55</v>
      </c>
      <c r="B54" s="75">
        <v>25975</v>
      </c>
      <c r="C54" s="62" t="s">
        <v>13</v>
      </c>
      <c r="D54" s="75">
        <v>133</v>
      </c>
      <c r="E54" s="62">
        <v>0</v>
      </c>
      <c r="F54" s="62">
        <v>24.28</v>
      </c>
      <c r="G54" s="62" t="s">
        <v>15</v>
      </c>
      <c r="H54" s="62">
        <v>4500</v>
      </c>
      <c r="I54" s="95">
        <v>2363842.29</v>
      </c>
      <c r="J54" s="117" t="s">
        <v>1233</v>
      </c>
      <c r="K54" s="62" t="s">
        <v>16</v>
      </c>
      <c r="L54" s="62" t="s">
        <v>583</v>
      </c>
      <c r="M54" s="62" t="s">
        <v>12</v>
      </c>
      <c r="N54" s="92" t="s">
        <v>1589</v>
      </c>
      <c r="O54" s="117" t="s">
        <v>17</v>
      </c>
      <c r="P54" s="76" t="s">
        <v>1679</v>
      </c>
      <c r="Q54" s="76" t="s">
        <v>67</v>
      </c>
      <c r="R54" s="76" t="s">
        <v>67</v>
      </c>
      <c r="S54" s="117" t="s">
        <v>1233</v>
      </c>
      <c r="T54" s="117" t="s">
        <v>1233</v>
      </c>
      <c r="U54" s="114">
        <f>sept[[#This Row],[сумма]]-sept[[#This Row],[Цема м2 отделки]]*sept[[#This Row],[м2]]</f>
        <v>2254582.29</v>
      </c>
    </row>
    <row r="55" spans="1:22" s="61" customFormat="1">
      <c r="A55" s="62">
        <v>56</v>
      </c>
      <c r="B55" s="75">
        <v>26019</v>
      </c>
      <c r="C55" s="62" t="s">
        <v>13</v>
      </c>
      <c r="D55" s="75">
        <v>485</v>
      </c>
      <c r="E55" s="62">
        <v>0</v>
      </c>
      <c r="F55" s="62">
        <v>29.4</v>
      </c>
      <c r="G55" s="62" t="s">
        <v>9</v>
      </c>
      <c r="H55" s="62"/>
      <c r="I55" s="95">
        <v>2626993.7799999998</v>
      </c>
      <c r="J55" s="117" t="s">
        <v>1233</v>
      </c>
      <c r="K55" s="62" t="s">
        <v>16</v>
      </c>
      <c r="L55" s="62" t="s">
        <v>583</v>
      </c>
      <c r="M55" s="62" t="s">
        <v>12</v>
      </c>
      <c r="N55" s="537" t="s">
        <v>1589</v>
      </c>
      <c r="O55" s="117" t="s">
        <v>17</v>
      </c>
      <c r="P55" s="76" t="s">
        <v>1680</v>
      </c>
      <c r="Q55" s="76" t="s">
        <v>67</v>
      </c>
      <c r="R55" s="76" t="s">
        <v>67</v>
      </c>
      <c r="S55" s="117" t="s">
        <v>1233</v>
      </c>
      <c r="T55" s="117" t="s">
        <v>1233</v>
      </c>
      <c r="U55" s="114">
        <f>sept[[#This Row],[сумма]]-sept[[#This Row],[Цема м2 отделки]]*sept[[#This Row],[м2]]</f>
        <v>2626993.7799999998</v>
      </c>
    </row>
    <row r="56" spans="1:22">
      <c r="A56" s="65">
        <v>57</v>
      </c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sept[[#This Row],[сумма]]-sept[[#This Row],[Цема м2 отделки]]*sept[[#This Row],[м2]]</f>
        <v>0</v>
      </c>
    </row>
    <row r="57" spans="1:22" s="880" customFormat="1">
      <c r="A57" s="369">
        <v>58</v>
      </c>
      <c r="B57" s="440">
        <v>26002</v>
      </c>
      <c r="C57" s="369" t="s">
        <v>13</v>
      </c>
      <c r="D57" s="440">
        <v>431</v>
      </c>
      <c r="E57" s="369">
        <v>0</v>
      </c>
      <c r="F57" s="369">
        <v>24.5</v>
      </c>
      <c r="G57" s="369" t="s">
        <v>9</v>
      </c>
      <c r="H57" s="369"/>
      <c r="I57" s="450">
        <v>1882086.22</v>
      </c>
      <c r="J57" s="456" t="s">
        <v>1233</v>
      </c>
      <c r="K57" s="369" t="s">
        <v>16</v>
      </c>
      <c r="L57" s="369" t="s">
        <v>583</v>
      </c>
      <c r="M57" s="369" t="s">
        <v>12</v>
      </c>
      <c r="N57" s="538" t="s">
        <v>1589</v>
      </c>
      <c r="O57" s="456" t="s">
        <v>17</v>
      </c>
      <c r="P57" s="369" t="s">
        <v>1681</v>
      </c>
      <c r="Q57" s="372" t="s">
        <v>67</v>
      </c>
      <c r="R57" s="446" t="s">
        <v>67</v>
      </c>
      <c r="S57" s="456" t="s">
        <v>1233</v>
      </c>
      <c r="T57" s="456" t="s">
        <v>1233</v>
      </c>
      <c r="U57" s="373">
        <f>sept[[#This Row],[сумма]]-sept[[#This Row],[Цема м2 отделки]]*sept[[#This Row],[м2]]</f>
        <v>1882086.22</v>
      </c>
      <c r="V57" s="368"/>
    </row>
    <row r="58" spans="1:22" s="61" customFormat="1">
      <c r="A58" s="62">
        <v>59</v>
      </c>
      <c r="B58" s="75">
        <v>23731</v>
      </c>
      <c r="C58" s="62" t="s">
        <v>13</v>
      </c>
      <c r="D58" s="75">
        <v>454</v>
      </c>
      <c r="E58" s="62">
        <v>1</v>
      </c>
      <c r="F58" s="62">
        <v>43.21</v>
      </c>
      <c r="G58" s="62" t="s">
        <v>9</v>
      </c>
      <c r="H58" s="62"/>
      <c r="I58" s="95">
        <v>3680114.9</v>
      </c>
      <c r="J58" s="117" t="s">
        <v>1233</v>
      </c>
      <c r="K58" s="62" t="s">
        <v>22</v>
      </c>
      <c r="L58" s="62" t="s">
        <v>583</v>
      </c>
      <c r="M58" s="62" t="s">
        <v>12</v>
      </c>
      <c r="N58" s="92" t="s">
        <v>1589</v>
      </c>
      <c r="O58" s="117" t="s">
        <v>17</v>
      </c>
      <c r="P58" s="62" t="s">
        <v>1152</v>
      </c>
      <c r="Q58" s="113" t="s">
        <v>67</v>
      </c>
      <c r="R58" s="113" t="s">
        <v>67</v>
      </c>
      <c r="S58" s="117" t="s">
        <v>1233</v>
      </c>
      <c r="T58" s="117" t="s">
        <v>1233</v>
      </c>
      <c r="U58" s="114">
        <f>sept[[#This Row],[сумма]]-sept[[#This Row],[Цема м2 отделки]]*sept[[#This Row],[м2]]</f>
        <v>3680114.9</v>
      </c>
    </row>
    <row r="59" spans="1:22">
      <c r="A59" s="62">
        <v>60</v>
      </c>
      <c r="B59" s="75">
        <v>26206</v>
      </c>
      <c r="C59" s="62" t="s">
        <v>13</v>
      </c>
      <c r="D59" s="75">
        <v>384</v>
      </c>
      <c r="E59" s="62">
        <v>0</v>
      </c>
      <c r="F59" s="62">
        <v>24.53</v>
      </c>
      <c r="G59" s="62" t="s">
        <v>25</v>
      </c>
      <c r="H59" s="62">
        <v>15500</v>
      </c>
      <c r="I59" s="95">
        <v>2829920.87</v>
      </c>
      <c r="J59" s="117" t="s">
        <v>1233</v>
      </c>
      <c r="K59" s="62" t="s">
        <v>16</v>
      </c>
      <c r="L59" s="62" t="s">
        <v>583</v>
      </c>
      <c r="M59" s="62" t="s">
        <v>12</v>
      </c>
      <c r="N59" s="92" t="s">
        <v>1658</v>
      </c>
      <c r="O59" s="117" t="s">
        <v>11</v>
      </c>
      <c r="P59" s="62" t="s">
        <v>1483</v>
      </c>
      <c r="Q59" s="113" t="s">
        <v>67</v>
      </c>
      <c r="R59" s="76" t="s">
        <v>67</v>
      </c>
      <c r="S59" s="117" t="s">
        <v>1233</v>
      </c>
      <c r="T59" s="117" t="s">
        <v>1233</v>
      </c>
      <c r="U59" s="114">
        <f>sept[[#This Row],[сумма]]-sept[[#This Row],[Цема м2 отделки]]*sept[[#This Row],[м2]]</f>
        <v>2449705.87</v>
      </c>
      <c r="V59" s="61"/>
    </row>
    <row r="60" spans="1:22" s="61" customFormat="1">
      <c r="A60" s="62">
        <v>61</v>
      </c>
      <c r="B60" s="75">
        <v>26890</v>
      </c>
      <c r="C60" s="62" t="s">
        <v>7</v>
      </c>
      <c r="D60" s="75">
        <v>380</v>
      </c>
      <c r="E60" s="62">
        <v>1</v>
      </c>
      <c r="F60" s="62">
        <v>33.840000000000003</v>
      </c>
      <c r="G60" s="62" t="s">
        <v>15</v>
      </c>
      <c r="H60" s="62">
        <v>7500</v>
      </c>
      <c r="I60" s="95">
        <v>4224471.9000000004</v>
      </c>
      <c r="J60" s="62" t="s">
        <v>73</v>
      </c>
      <c r="K60" s="62" t="s">
        <v>16</v>
      </c>
      <c r="L60" s="62" t="s">
        <v>583</v>
      </c>
      <c r="M60" s="62" t="s">
        <v>18</v>
      </c>
      <c r="N60" s="92">
        <v>45199</v>
      </c>
      <c r="O60" s="62" t="s">
        <v>17</v>
      </c>
      <c r="P60" s="62" t="s">
        <v>1682</v>
      </c>
      <c r="Q60" s="113" t="s">
        <v>67</v>
      </c>
      <c r="R60" s="113" t="s">
        <v>67</v>
      </c>
      <c r="S60" s="62" t="s">
        <v>73</v>
      </c>
      <c r="T60" s="62" t="s">
        <v>8</v>
      </c>
      <c r="U60" s="114">
        <f>sept[[#This Row],[сумма]]-sept[[#This Row],[Цема м2 отделки]]*sept[[#This Row],[м2]]</f>
        <v>3970671.9000000004</v>
      </c>
    </row>
    <row r="61" spans="1:22" s="61" customFormat="1">
      <c r="A61" s="62">
        <v>62</v>
      </c>
      <c r="B61" s="75">
        <v>26613</v>
      </c>
      <c r="C61" s="62" t="s">
        <v>13</v>
      </c>
      <c r="D61" s="75">
        <v>412</v>
      </c>
      <c r="E61" s="62">
        <v>1</v>
      </c>
      <c r="F61" s="62">
        <v>39.69</v>
      </c>
      <c r="G61" s="62" t="s">
        <v>9</v>
      </c>
      <c r="H61" s="348"/>
      <c r="I61" s="95">
        <v>3673227.74</v>
      </c>
      <c r="J61" s="117" t="s">
        <v>1233</v>
      </c>
      <c r="K61" s="62" t="s">
        <v>16</v>
      </c>
      <c r="L61" s="62" t="s">
        <v>583</v>
      </c>
      <c r="M61" s="62" t="s">
        <v>18</v>
      </c>
      <c r="N61" s="539" t="s">
        <v>1589</v>
      </c>
      <c r="O61" s="62" t="s">
        <v>17</v>
      </c>
      <c r="P61" s="348" t="s">
        <v>1683</v>
      </c>
      <c r="Q61" s="113" t="s">
        <v>67</v>
      </c>
      <c r="R61" s="113" t="s">
        <v>67</v>
      </c>
      <c r="S61" s="117" t="s">
        <v>1233</v>
      </c>
      <c r="T61" s="117" t="s">
        <v>1233</v>
      </c>
      <c r="U61" s="114">
        <f>sept[[#This Row],[сумма]]-sept[[#This Row],[Цема м2 отделки]]*sept[[#This Row],[м2]]</f>
        <v>3673227.74</v>
      </c>
    </row>
    <row r="62" spans="1:22" s="61" customFormat="1">
      <c r="A62" s="62">
        <v>63</v>
      </c>
      <c r="B62" s="75">
        <v>26496</v>
      </c>
      <c r="C62" s="62" t="s">
        <v>13</v>
      </c>
      <c r="D62" s="75">
        <v>508</v>
      </c>
      <c r="E62" s="62">
        <v>1</v>
      </c>
      <c r="F62" s="62">
        <v>39.69</v>
      </c>
      <c r="G62" s="62" t="s">
        <v>15</v>
      </c>
      <c r="H62" s="62">
        <v>5000</v>
      </c>
      <c r="I62" s="95">
        <v>3906495</v>
      </c>
      <c r="J62" s="117" t="s">
        <v>1233</v>
      </c>
      <c r="K62" s="62" t="s">
        <v>22</v>
      </c>
      <c r="L62" s="62" t="s">
        <v>583</v>
      </c>
      <c r="M62" s="62" t="s">
        <v>18</v>
      </c>
      <c r="N62" s="92" t="s">
        <v>1589</v>
      </c>
      <c r="O62" s="62" t="s">
        <v>17</v>
      </c>
      <c r="P62" s="62" t="s">
        <v>1684</v>
      </c>
      <c r="Q62" s="113" t="s">
        <v>67</v>
      </c>
      <c r="R62" s="113" t="s">
        <v>67</v>
      </c>
      <c r="S62" s="117" t="s">
        <v>1233</v>
      </c>
      <c r="T62" s="117" t="s">
        <v>20</v>
      </c>
      <c r="U62" s="114">
        <f>sept[[#This Row],[сумма]]-sept[[#This Row],[Цема м2 отделки]]*sept[[#This Row],[м2]]</f>
        <v>3708045</v>
      </c>
    </row>
    <row r="63" spans="1:22" s="61" customFormat="1">
      <c r="A63" s="62">
        <v>64</v>
      </c>
      <c r="B63" s="75">
        <v>26382</v>
      </c>
      <c r="C63" s="62" t="s">
        <v>13</v>
      </c>
      <c r="D63" s="75">
        <v>312</v>
      </c>
      <c r="E63" s="62">
        <v>1</v>
      </c>
      <c r="F63" s="62">
        <v>34.81</v>
      </c>
      <c r="G63" s="62" t="s">
        <v>9</v>
      </c>
      <c r="H63" s="348"/>
      <c r="I63" s="95">
        <v>3350610.44</v>
      </c>
      <c r="J63" s="117" t="s">
        <v>1207</v>
      </c>
      <c r="K63" s="62" t="s">
        <v>16</v>
      </c>
      <c r="L63" s="62" t="s">
        <v>583</v>
      </c>
      <c r="M63" s="62" t="s">
        <v>12</v>
      </c>
      <c r="N63" s="92">
        <v>45184</v>
      </c>
      <c r="O63" s="62" t="s">
        <v>17</v>
      </c>
      <c r="P63" s="62" t="s">
        <v>1685</v>
      </c>
      <c r="Q63" s="113" t="s">
        <v>67</v>
      </c>
      <c r="R63" s="76" t="s">
        <v>67</v>
      </c>
      <c r="S63" s="117" t="s">
        <v>1207</v>
      </c>
      <c r="T63" s="117" t="s">
        <v>1233</v>
      </c>
      <c r="U63" s="114">
        <f>sept[[#This Row],[сумма]]-sept[[#This Row],[Цема м2 отделки]]*sept[[#This Row],[м2]]</f>
        <v>3350610.44</v>
      </c>
    </row>
    <row r="64" spans="1:22" s="61" customFormat="1">
      <c r="A64" s="62">
        <v>65</v>
      </c>
      <c r="B64" s="75">
        <v>26706</v>
      </c>
      <c r="C64" s="62" t="s">
        <v>7</v>
      </c>
      <c r="D64" s="75">
        <v>491</v>
      </c>
      <c r="E64" s="62">
        <v>1</v>
      </c>
      <c r="F64" s="62">
        <v>44.37</v>
      </c>
      <c r="G64" s="62" t="s">
        <v>9</v>
      </c>
      <c r="H64" s="348"/>
      <c r="I64" s="95">
        <v>4230658.6500000004</v>
      </c>
      <c r="J64" s="117" t="s">
        <v>1207</v>
      </c>
      <c r="K64" s="62" t="s">
        <v>16</v>
      </c>
      <c r="L64" s="62" t="s">
        <v>583</v>
      </c>
      <c r="M64" s="62" t="s">
        <v>18</v>
      </c>
      <c r="N64" s="539">
        <v>45188</v>
      </c>
      <c r="O64" s="62" t="s">
        <v>17</v>
      </c>
      <c r="P64" s="62" t="s">
        <v>1686</v>
      </c>
      <c r="Q64" s="113" t="s">
        <v>67</v>
      </c>
      <c r="R64" s="113" t="s">
        <v>67</v>
      </c>
      <c r="S64" s="117" t="s">
        <v>1207</v>
      </c>
      <c r="T64" s="117" t="s">
        <v>1233</v>
      </c>
      <c r="U64" s="114">
        <f>sept[[#This Row],[сумма]]-sept[[#This Row],[Цема м2 отделки]]*sept[[#This Row],[м2]]</f>
        <v>4230658.6500000004</v>
      </c>
    </row>
    <row r="65" spans="1:21" s="61" customFormat="1">
      <c r="A65" s="62">
        <v>66</v>
      </c>
      <c r="B65" s="75">
        <v>26532</v>
      </c>
      <c r="C65" s="62" t="s">
        <v>7</v>
      </c>
      <c r="D65" s="75">
        <v>374</v>
      </c>
      <c r="E65" s="62">
        <v>0</v>
      </c>
      <c r="F65" s="62">
        <v>29.35</v>
      </c>
      <c r="G65" s="62" t="s">
        <v>15</v>
      </c>
      <c r="H65" s="62">
        <v>4500</v>
      </c>
      <c r="I65" s="95">
        <v>3405826.83</v>
      </c>
      <c r="J65" s="62" t="s">
        <v>73</v>
      </c>
      <c r="K65" s="62" t="s">
        <v>16</v>
      </c>
      <c r="L65" s="62" t="s">
        <v>583</v>
      </c>
      <c r="M65" s="62" t="s">
        <v>18</v>
      </c>
      <c r="N65" s="92">
        <v>45187</v>
      </c>
      <c r="O65" s="62" t="s">
        <v>17</v>
      </c>
      <c r="P65" s="62" t="s">
        <v>1687</v>
      </c>
      <c r="Q65" s="113" t="s">
        <v>67</v>
      </c>
      <c r="R65" s="113" t="s">
        <v>67</v>
      </c>
      <c r="S65" s="62" t="s">
        <v>73</v>
      </c>
      <c r="T65" s="62" t="s">
        <v>73</v>
      </c>
      <c r="U65" s="114">
        <f>sept[[#This Row],[сумма]]-sept[[#This Row],[Цема м2 отделки]]*sept[[#This Row],[м2]]</f>
        <v>3273751.83</v>
      </c>
    </row>
    <row r="66" spans="1:21" s="61" customFormat="1" ht="22.5" customHeight="1">
      <c r="A66" s="62">
        <v>67</v>
      </c>
      <c r="B66" s="75">
        <v>24533</v>
      </c>
      <c r="C66" s="62" t="s">
        <v>13</v>
      </c>
      <c r="D66" s="75">
        <v>37</v>
      </c>
      <c r="E66" s="62">
        <v>1</v>
      </c>
      <c r="F66" s="62">
        <v>37.729999999999997</v>
      </c>
      <c r="G66" s="76" t="s">
        <v>25</v>
      </c>
      <c r="H66" s="76">
        <v>15500</v>
      </c>
      <c r="I66" s="91">
        <v>3871154.6</v>
      </c>
      <c r="J66" s="117" t="s">
        <v>77</v>
      </c>
      <c r="K66" s="62" t="s">
        <v>16</v>
      </c>
      <c r="L66" s="62" t="s">
        <v>583</v>
      </c>
      <c r="M66" s="62" t="s">
        <v>12</v>
      </c>
      <c r="N66" s="92" t="s">
        <v>1589</v>
      </c>
      <c r="O66" s="117" t="s">
        <v>17</v>
      </c>
      <c r="P66" s="76" t="s">
        <v>1688</v>
      </c>
      <c r="Q66" s="113" t="s">
        <v>67</v>
      </c>
      <c r="R66" s="113" t="s">
        <v>67</v>
      </c>
      <c r="S66" s="117" t="s">
        <v>77</v>
      </c>
      <c r="T66" s="117" t="s">
        <v>8</v>
      </c>
      <c r="U66" s="114">
        <f>sept[[#This Row],[сумма]]-sept[[#This Row],[Цема м2 отделки]]*sept[[#This Row],[м2]]</f>
        <v>3286339.6</v>
      </c>
    </row>
    <row r="67" spans="1:21" s="61" customFormat="1">
      <c r="A67" s="62">
        <v>68</v>
      </c>
      <c r="B67" s="75">
        <v>23944</v>
      </c>
      <c r="C67" s="62" t="s">
        <v>13</v>
      </c>
      <c r="D67" s="75">
        <v>107</v>
      </c>
      <c r="E67" s="62">
        <v>1</v>
      </c>
      <c r="F67" s="62">
        <v>37.369999999999997</v>
      </c>
      <c r="G67" s="62" t="s">
        <v>15</v>
      </c>
      <c r="H67" s="62">
        <v>4000</v>
      </c>
      <c r="I67" s="95">
        <v>3456124.6</v>
      </c>
      <c r="J67" s="117" t="s">
        <v>77</v>
      </c>
      <c r="K67" s="62" t="s">
        <v>10</v>
      </c>
      <c r="L67" s="62" t="s">
        <v>85</v>
      </c>
      <c r="M67" s="62" t="s">
        <v>12</v>
      </c>
      <c r="N67" s="92" t="s">
        <v>1589</v>
      </c>
      <c r="O67" s="117" t="s">
        <v>17</v>
      </c>
      <c r="P67" s="62" t="s">
        <v>1689</v>
      </c>
      <c r="Q67" s="76" t="s">
        <v>67</v>
      </c>
      <c r="R67" s="76" t="s">
        <v>67</v>
      </c>
      <c r="S67" s="117" t="s">
        <v>77</v>
      </c>
      <c r="T67" s="117" t="s">
        <v>77</v>
      </c>
      <c r="U67" s="114">
        <f>sept[[#This Row],[сумма]]-sept[[#This Row],[Цема м2 отделки]]*sept[[#This Row],[м2]]</f>
        <v>3306644.6</v>
      </c>
    </row>
    <row r="68" spans="1:21" s="61" customFormat="1">
      <c r="A68" s="62">
        <v>69</v>
      </c>
      <c r="B68" s="75">
        <v>24624</v>
      </c>
      <c r="C68" s="62" t="s">
        <v>13</v>
      </c>
      <c r="D68" s="75">
        <v>407</v>
      </c>
      <c r="E68" s="62">
        <v>0</v>
      </c>
      <c r="F68" s="62">
        <v>24.5</v>
      </c>
      <c r="G68" s="62" t="s">
        <v>9</v>
      </c>
      <c r="H68" s="62"/>
      <c r="I68" s="95">
        <v>2253548.71</v>
      </c>
      <c r="J68" s="117" t="s">
        <v>77</v>
      </c>
      <c r="K68" s="62" t="s">
        <v>16</v>
      </c>
      <c r="L68" s="62" t="s">
        <v>583</v>
      </c>
      <c r="M68" s="62" t="s">
        <v>12</v>
      </c>
      <c r="N68" s="92" t="s">
        <v>1589</v>
      </c>
      <c r="O68" s="117" t="s">
        <v>17</v>
      </c>
      <c r="P68" s="62" t="s">
        <v>1690</v>
      </c>
      <c r="Q68" s="76" t="s">
        <v>67</v>
      </c>
      <c r="R68" s="76" t="s">
        <v>67</v>
      </c>
      <c r="S68" s="117" t="s">
        <v>77</v>
      </c>
      <c r="T68" s="117" t="s">
        <v>8</v>
      </c>
      <c r="U68" s="114">
        <f>sept[[#This Row],[сумма]]-sept[[#This Row],[Цема м2 отделки]]*sept[[#This Row],[м2]]</f>
        <v>2253548.71</v>
      </c>
    </row>
    <row r="69" spans="1:21" s="61" customFormat="1" ht="13.5" customHeight="1">
      <c r="A69" s="62">
        <v>70</v>
      </c>
      <c r="B69" s="75">
        <v>25466</v>
      </c>
      <c r="C69" s="62" t="s">
        <v>13</v>
      </c>
      <c r="D69" s="75">
        <v>242</v>
      </c>
      <c r="E69" s="62">
        <v>1</v>
      </c>
      <c r="F69" s="62">
        <v>34.81</v>
      </c>
      <c r="G69" s="62" t="s">
        <v>9</v>
      </c>
      <c r="H69" s="62"/>
      <c r="I69" s="95">
        <v>2978820.15</v>
      </c>
      <c r="J69" s="117" t="s">
        <v>77</v>
      </c>
      <c r="K69" s="62" t="s">
        <v>10</v>
      </c>
      <c r="L69" s="62" t="s">
        <v>286</v>
      </c>
      <c r="M69" s="62" t="s">
        <v>12</v>
      </c>
      <c r="N69" s="92" t="s">
        <v>1589</v>
      </c>
      <c r="O69" s="117" t="s">
        <v>17</v>
      </c>
      <c r="P69" s="62" t="s">
        <v>67</v>
      </c>
      <c r="Q69" s="113" t="s">
        <v>67</v>
      </c>
      <c r="R69" s="113">
        <v>47390</v>
      </c>
      <c r="S69" s="62" t="s">
        <v>77</v>
      </c>
      <c r="T69" s="62" t="s">
        <v>77</v>
      </c>
      <c r="U69" s="114">
        <f>sept[[#This Row],[сумма]]-sept[[#This Row],[Цема м2 отделки]]*sept[[#This Row],[м2]]</f>
        <v>2978820.15</v>
      </c>
    </row>
    <row r="70" spans="1:21" s="61" customFormat="1">
      <c r="A70" s="62">
        <v>71</v>
      </c>
      <c r="B70" s="75">
        <v>25502</v>
      </c>
      <c r="C70" s="62" t="s">
        <v>13</v>
      </c>
      <c r="D70" s="62">
        <v>300</v>
      </c>
      <c r="E70" s="349">
        <v>0</v>
      </c>
      <c r="F70" s="62">
        <v>24.53</v>
      </c>
      <c r="G70" s="62" t="s">
        <v>9</v>
      </c>
      <c r="H70" s="348"/>
      <c r="I70" s="95">
        <v>2277796.6800000002</v>
      </c>
      <c r="J70" s="348" t="s">
        <v>77</v>
      </c>
      <c r="K70" s="62" t="s">
        <v>84</v>
      </c>
      <c r="L70" s="62" t="s">
        <v>286</v>
      </c>
      <c r="M70" s="62" t="s">
        <v>12</v>
      </c>
      <c r="N70" s="92" t="s">
        <v>1589</v>
      </c>
      <c r="O70" s="62" t="s">
        <v>17</v>
      </c>
      <c r="P70" s="62" t="s">
        <v>1170</v>
      </c>
      <c r="Q70" s="76" t="s">
        <v>67</v>
      </c>
      <c r="R70" s="76" t="s">
        <v>67</v>
      </c>
      <c r="S70" s="62" t="s">
        <v>77</v>
      </c>
      <c r="T70" s="62" t="s">
        <v>77</v>
      </c>
      <c r="U70" s="114">
        <f>sept[[#This Row],[сумма]]-sept[[#This Row],[Цема м2 отделки]]*sept[[#This Row],[м2]]</f>
        <v>2277796.6800000002</v>
      </c>
    </row>
    <row r="71" spans="1:21" s="61" customFormat="1">
      <c r="A71" s="62">
        <v>72</v>
      </c>
      <c r="B71" s="75">
        <v>2241</v>
      </c>
      <c r="C71" s="62" t="s">
        <v>13</v>
      </c>
      <c r="D71" s="75">
        <v>230</v>
      </c>
      <c r="E71" s="349">
        <v>0</v>
      </c>
      <c r="F71" s="62">
        <v>24.53</v>
      </c>
      <c r="G71" s="62" t="s">
        <v>25</v>
      </c>
      <c r="H71" s="348">
        <v>15500</v>
      </c>
      <c r="I71" s="352">
        <v>2636523.16</v>
      </c>
      <c r="J71" s="348" t="s">
        <v>77</v>
      </c>
      <c r="K71" s="62" t="s">
        <v>16</v>
      </c>
      <c r="L71" s="62" t="s">
        <v>583</v>
      </c>
      <c r="M71" s="62" t="s">
        <v>18</v>
      </c>
      <c r="N71" s="92">
        <v>45163</v>
      </c>
      <c r="O71" s="62" t="s">
        <v>17</v>
      </c>
      <c r="P71" s="62" t="s">
        <v>1691</v>
      </c>
      <c r="Q71" s="76" t="s">
        <v>67</v>
      </c>
      <c r="R71" s="76" t="s">
        <v>67</v>
      </c>
      <c r="S71" s="62" t="s">
        <v>77</v>
      </c>
      <c r="T71" s="62" t="s">
        <v>77</v>
      </c>
      <c r="U71" s="114">
        <f>sept[[#This Row],[сумма]]-sept[[#This Row],[Цема м2 отделки]]*sept[[#This Row],[м2]]</f>
        <v>2256308.16</v>
      </c>
    </row>
    <row r="72" spans="1:21" s="61" customFormat="1">
      <c r="A72" s="62">
        <v>73</v>
      </c>
      <c r="B72" s="75">
        <v>17257</v>
      </c>
      <c r="C72" s="62" t="s">
        <v>13</v>
      </c>
      <c r="D72" s="75">
        <v>14</v>
      </c>
      <c r="E72" s="349">
        <v>1</v>
      </c>
      <c r="F72" s="62">
        <v>34.39</v>
      </c>
      <c r="G72" s="62" t="s">
        <v>9</v>
      </c>
      <c r="H72" s="348"/>
      <c r="I72" s="352">
        <v>3016799.82</v>
      </c>
      <c r="J72" s="348" t="s">
        <v>77</v>
      </c>
      <c r="K72" s="62" t="s">
        <v>22</v>
      </c>
      <c r="L72" s="62" t="s">
        <v>583</v>
      </c>
      <c r="M72" s="62" t="s">
        <v>18</v>
      </c>
      <c r="N72" s="92" t="s">
        <v>1658</v>
      </c>
      <c r="O72" s="62" t="s">
        <v>17</v>
      </c>
      <c r="P72" s="62" t="s">
        <v>1692</v>
      </c>
      <c r="Q72" s="76" t="s">
        <v>67</v>
      </c>
      <c r="R72" s="76" t="s">
        <v>67</v>
      </c>
      <c r="S72" s="62" t="s">
        <v>77</v>
      </c>
      <c r="T72" s="62" t="s">
        <v>77</v>
      </c>
      <c r="U72" s="114">
        <f>sept[[#This Row],[сумма]]-sept[[#This Row],[Цема м2 отделки]]*sept[[#This Row],[м2]]</f>
        <v>3016799.82</v>
      </c>
    </row>
    <row r="73" spans="1:21" s="61" customFormat="1">
      <c r="A73" s="62">
        <v>74</v>
      </c>
      <c r="B73" s="75">
        <v>26416</v>
      </c>
      <c r="C73" s="62" t="s">
        <v>13</v>
      </c>
      <c r="D73" s="75">
        <v>466</v>
      </c>
      <c r="E73" s="349">
        <v>1</v>
      </c>
      <c r="F73" s="62">
        <v>38.299999999999997</v>
      </c>
      <c r="G73" s="62" t="s">
        <v>9</v>
      </c>
      <c r="H73" s="348"/>
      <c r="I73" s="352">
        <v>3522894.51</v>
      </c>
      <c r="J73" s="348" t="s">
        <v>77</v>
      </c>
      <c r="K73" s="62" t="s">
        <v>16</v>
      </c>
      <c r="L73" s="62" t="s">
        <v>583</v>
      </c>
      <c r="M73" s="62" t="s">
        <v>18</v>
      </c>
      <c r="N73" s="92" t="s">
        <v>1658</v>
      </c>
      <c r="O73" s="62" t="s">
        <v>17</v>
      </c>
      <c r="P73" s="62" t="s">
        <v>1693</v>
      </c>
      <c r="Q73" s="76" t="s">
        <v>67</v>
      </c>
      <c r="R73" s="76" t="s">
        <v>67</v>
      </c>
      <c r="S73" s="62" t="s">
        <v>77</v>
      </c>
      <c r="T73" s="62" t="s">
        <v>77</v>
      </c>
      <c r="U73" s="114">
        <f>sept[[#This Row],[сумма]]-sept[[#This Row],[Цема м2 отделки]]*sept[[#This Row],[м2]]</f>
        <v>3522894.51</v>
      </c>
    </row>
    <row r="74" spans="1:21" s="61" customFormat="1">
      <c r="A74" s="62">
        <v>75</v>
      </c>
      <c r="B74" s="75">
        <v>26435</v>
      </c>
      <c r="C74" s="62" t="s">
        <v>13</v>
      </c>
      <c r="D74" s="75">
        <v>136</v>
      </c>
      <c r="E74" s="349">
        <v>1</v>
      </c>
      <c r="F74" s="62">
        <v>37.86</v>
      </c>
      <c r="G74" s="62" t="s">
        <v>9</v>
      </c>
      <c r="H74" s="348"/>
      <c r="I74" s="352">
        <v>3507573.3</v>
      </c>
      <c r="J74" s="348" t="s">
        <v>77</v>
      </c>
      <c r="K74" s="62" t="s">
        <v>16</v>
      </c>
      <c r="L74" s="62" t="s">
        <v>583</v>
      </c>
      <c r="M74" s="62" t="s">
        <v>18</v>
      </c>
      <c r="N74" s="92" t="s">
        <v>1658</v>
      </c>
      <c r="O74" s="62" t="s">
        <v>17</v>
      </c>
      <c r="P74" s="62" t="s">
        <v>1041</v>
      </c>
      <c r="Q74" s="76" t="s">
        <v>67</v>
      </c>
      <c r="R74" s="76" t="s">
        <v>67</v>
      </c>
      <c r="S74" s="62" t="s">
        <v>77</v>
      </c>
      <c r="T74" s="62" t="s">
        <v>77</v>
      </c>
      <c r="U74" s="114">
        <f>sept[[#This Row],[сумма]]-sept[[#This Row],[Цема м2 отделки]]*sept[[#This Row],[м2]]</f>
        <v>3507573.3</v>
      </c>
    </row>
    <row r="75" spans="1:21" s="61" customFormat="1">
      <c r="A75" s="62">
        <v>76</v>
      </c>
      <c r="B75" s="75">
        <v>26347</v>
      </c>
      <c r="C75" s="62" t="s">
        <v>13</v>
      </c>
      <c r="D75" s="75">
        <v>308</v>
      </c>
      <c r="E75" s="349">
        <v>2</v>
      </c>
      <c r="F75" s="62">
        <v>56.58</v>
      </c>
      <c r="G75" s="62" t="s">
        <v>9</v>
      </c>
      <c r="H75" s="348"/>
      <c r="I75" s="352">
        <v>4771010.05</v>
      </c>
      <c r="J75" s="348" t="s">
        <v>77</v>
      </c>
      <c r="K75" s="62" t="s">
        <v>16</v>
      </c>
      <c r="L75" s="62" t="s">
        <v>583</v>
      </c>
      <c r="M75" s="62" t="s">
        <v>18</v>
      </c>
      <c r="N75" s="92" t="s">
        <v>1658</v>
      </c>
      <c r="O75" s="62" t="s">
        <v>17</v>
      </c>
      <c r="P75" s="62" t="s">
        <v>1694</v>
      </c>
      <c r="Q75" s="76" t="s">
        <v>67</v>
      </c>
      <c r="R75" s="76" t="s">
        <v>67</v>
      </c>
      <c r="S75" s="62" t="s">
        <v>77</v>
      </c>
      <c r="T75" s="62" t="s">
        <v>77</v>
      </c>
      <c r="U75" s="114">
        <f>sept[[#This Row],[сумма]]-sept[[#This Row],[Цема м2 отделки]]*sept[[#This Row],[м2]]</f>
        <v>4771010.05</v>
      </c>
    </row>
    <row r="76" spans="1:21" s="61" customFormat="1">
      <c r="A76" s="62">
        <v>77</v>
      </c>
      <c r="B76" s="75">
        <v>26417</v>
      </c>
      <c r="C76" s="62" t="s">
        <v>13</v>
      </c>
      <c r="D76" s="75">
        <v>434</v>
      </c>
      <c r="E76" s="349">
        <v>1</v>
      </c>
      <c r="F76" s="62">
        <v>38.299999999999997</v>
      </c>
      <c r="G76" s="62" t="s">
        <v>9</v>
      </c>
      <c r="H76" s="348"/>
      <c r="I76" s="352">
        <v>3522894.51</v>
      </c>
      <c r="J76" s="348" t="s">
        <v>77</v>
      </c>
      <c r="K76" s="62" t="s">
        <v>16</v>
      </c>
      <c r="L76" s="62" t="s">
        <v>583</v>
      </c>
      <c r="M76" s="62" t="s">
        <v>18</v>
      </c>
      <c r="N76" s="92" t="s">
        <v>1658</v>
      </c>
      <c r="O76" s="62" t="s">
        <v>17</v>
      </c>
      <c r="P76" s="62" t="s">
        <v>1695</v>
      </c>
      <c r="Q76" s="76" t="s">
        <v>67</v>
      </c>
      <c r="R76" s="76" t="s">
        <v>67</v>
      </c>
      <c r="S76" s="62" t="s">
        <v>77</v>
      </c>
      <c r="T76" s="62" t="s">
        <v>77</v>
      </c>
      <c r="U76" s="114">
        <f>sept[[#This Row],[сумма]]-sept[[#This Row],[Цема м2 отделки]]*sept[[#This Row],[м2]]</f>
        <v>3522894.51</v>
      </c>
    </row>
    <row r="77" spans="1:21" s="61" customFormat="1">
      <c r="A77" s="62">
        <v>78</v>
      </c>
      <c r="B77" s="349">
        <v>23537</v>
      </c>
      <c r="C77" s="62" t="s">
        <v>7</v>
      </c>
      <c r="D77" s="62">
        <v>97</v>
      </c>
      <c r="E77" s="349">
        <v>1</v>
      </c>
      <c r="F77" s="62">
        <v>33.53</v>
      </c>
      <c r="G77" s="62" t="s">
        <v>25</v>
      </c>
      <c r="H77" s="348">
        <v>22000</v>
      </c>
      <c r="I77" s="352">
        <v>4530680.5599999996</v>
      </c>
      <c r="J77" s="348" t="s">
        <v>77</v>
      </c>
      <c r="K77" s="62" t="s">
        <v>10</v>
      </c>
      <c r="L77" s="62" t="s">
        <v>286</v>
      </c>
      <c r="M77" s="62" t="s">
        <v>18</v>
      </c>
      <c r="N77" s="96">
        <v>45184</v>
      </c>
      <c r="O77" s="62" t="s">
        <v>17</v>
      </c>
      <c r="P77" s="62" t="s">
        <v>1696</v>
      </c>
      <c r="Q77" s="76" t="s">
        <v>67</v>
      </c>
      <c r="R77" s="76" t="s">
        <v>67</v>
      </c>
      <c r="S77" s="62" t="s">
        <v>77</v>
      </c>
      <c r="T77" s="62" t="s">
        <v>77</v>
      </c>
      <c r="U77" s="114">
        <f>sept[[#This Row],[сумма]]-sept[[#This Row],[Цема м2 отделки]]*sept[[#This Row],[м2]]</f>
        <v>3793020.5599999996</v>
      </c>
    </row>
    <row r="78" spans="1:21" s="61" customFormat="1">
      <c r="A78" s="62">
        <v>79</v>
      </c>
      <c r="B78" s="349" t="s">
        <v>1697</v>
      </c>
      <c r="C78" s="62" t="s">
        <v>13</v>
      </c>
      <c r="D78" s="62">
        <v>240</v>
      </c>
      <c r="E78" s="349">
        <v>1</v>
      </c>
      <c r="F78" s="62">
        <v>37.81</v>
      </c>
      <c r="G78" s="62" t="s">
        <v>9</v>
      </c>
      <c r="H78" s="348"/>
      <c r="I78" s="352">
        <v>3542227.58</v>
      </c>
      <c r="J78" s="348" t="s">
        <v>77</v>
      </c>
      <c r="K78" s="62" t="s">
        <v>10</v>
      </c>
      <c r="L78" s="62" t="s">
        <v>286</v>
      </c>
      <c r="M78" s="62" t="s">
        <v>18</v>
      </c>
      <c r="N78" s="96">
        <v>45188</v>
      </c>
      <c r="O78" s="62" t="s">
        <v>17</v>
      </c>
      <c r="P78" s="62" t="s">
        <v>1698</v>
      </c>
      <c r="Q78" s="76" t="s">
        <v>67</v>
      </c>
      <c r="R78" s="76" t="s">
        <v>67</v>
      </c>
      <c r="S78" s="62" t="s">
        <v>77</v>
      </c>
      <c r="T78" s="62" t="s">
        <v>77</v>
      </c>
      <c r="U78" s="114">
        <f>sept[[#This Row],[сумма]]-sept[[#This Row],[Цема м2 отделки]]*sept[[#This Row],[м2]]</f>
        <v>3542227.58</v>
      </c>
    </row>
    <row r="79" spans="1:21" s="61" customFormat="1">
      <c r="A79" s="62">
        <v>80</v>
      </c>
      <c r="B79" s="349">
        <v>26527</v>
      </c>
      <c r="C79" s="62" t="s">
        <v>13</v>
      </c>
      <c r="D79" s="62">
        <v>418</v>
      </c>
      <c r="E79" s="349">
        <v>1</v>
      </c>
      <c r="F79" s="62">
        <v>38.299999999999997</v>
      </c>
      <c r="G79" s="62" t="s">
        <v>9</v>
      </c>
      <c r="H79" s="348"/>
      <c r="I79" s="352">
        <v>3662178.98</v>
      </c>
      <c r="J79" s="348" t="s">
        <v>77</v>
      </c>
      <c r="K79" s="62" t="s">
        <v>16</v>
      </c>
      <c r="L79" s="62" t="s">
        <v>583</v>
      </c>
      <c r="M79" s="62" t="s">
        <v>18</v>
      </c>
      <c r="N79" s="96">
        <v>45188</v>
      </c>
      <c r="O79" s="62"/>
      <c r="P79" s="62" t="s">
        <v>1698</v>
      </c>
      <c r="Q79" s="76" t="s">
        <v>67</v>
      </c>
      <c r="R79" s="76" t="s">
        <v>67</v>
      </c>
      <c r="S79" s="62" t="s">
        <v>77</v>
      </c>
      <c r="T79" s="62" t="s">
        <v>77</v>
      </c>
      <c r="U79" s="114">
        <f>sept[[#This Row],[сумма]]-sept[[#This Row],[Цема м2 отделки]]*sept[[#This Row],[м2]]</f>
        <v>3662178.98</v>
      </c>
    </row>
    <row r="80" spans="1:21" s="61" customFormat="1">
      <c r="A80" s="62">
        <v>81</v>
      </c>
      <c r="B80" s="75">
        <v>23786</v>
      </c>
      <c r="C80" s="62" t="s">
        <v>7</v>
      </c>
      <c r="D80" s="75">
        <v>487</v>
      </c>
      <c r="E80" s="349">
        <v>2</v>
      </c>
      <c r="F80" s="62">
        <v>56.04</v>
      </c>
      <c r="G80" s="62" t="s">
        <v>9</v>
      </c>
      <c r="H80" s="348"/>
      <c r="I80" s="95">
        <v>4868239.63</v>
      </c>
      <c r="J80" s="62" t="s">
        <v>8</v>
      </c>
      <c r="K80" s="62" t="s">
        <v>22</v>
      </c>
      <c r="L80" s="62" t="s">
        <v>583</v>
      </c>
      <c r="M80" s="62" t="s">
        <v>18</v>
      </c>
      <c r="N80" s="113">
        <v>45185</v>
      </c>
      <c r="O80" s="62" t="s">
        <v>17</v>
      </c>
      <c r="P80" s="62" t="s">
        <v>1699</v>
      </c>
      <c r="Q80" s="76" t="s">
        <v>67</v>
      </c>
      <c r="R80" s="76" t="s">
        <v>67</v>
      </c>
      <c r="S80" s="62" t="s">
        <v>8</v>
      </c>
      <c r="T80" s="62" t="s">
        <v>8</v>
      </c>
      <c r="U80" s="114">
        <f>sept[[#This Row],[сумма]]-sept[[#This Row],[Цема м2 отделки]]*sept[[#This Row],[м2]]</f>
        <v>4868239.63</v>
      </c>
    </row>
    <row r="81" spans="1:21" s="61" customFormat="1">
      <c r="A81" s="62">
        <v>82</v>
      </c>
      <c r="B81" s="349">
        <v>25055</v>
      </c>
      <c r="C81" s="62" t="s">
        <v>13</v>
      </c>
      <c r="D81" s="62">
        <v>467</v>
      </c>
      <c r="E81" s="349">
        <v>3</v>
      </c>
      <c r="F81" s="62">
        <v>79.44</v>
      </c>
      <c r="G81" s="62" t="s">
        <v>15</v>
      </c>
      <c r="H81" s="348">
        <v>5000</v>
      </c>
      <c r="I81" s="352">
        <v>6958955.1200000001</v>
      </c>
      <c r="J81" s="348" t="s">
        <v>1233</v>
      </c>
      <c r="K81" s="62" t="s">
        <v>16</v>
      </c>
      <c r="L81" s="62" t="s">
        <v>583</v>
      </c>
      <c r="M81" s="62" t="s">
        <v>18</v>
      </c>
      <c r="N81" s="96">
        <v>45184</v>
      </c>
      <c r="O81" s="62" t="s">
        <v>17</v>
      </c>
      <c r="P81" s="62" t="s">
        <v>1700</v>
      </c>
      <c r="Q81" s="76" t="s">
        <v>67</v>
      </c>
      <c r="R81" s="76" t="s">
        <v>67</v>
      </c>
      <c r="S81" s="62" t="s">
        <v>1233</v>
      </c>
      <c r="T81" s="62" t="s">
        <v>1233</v>
      </c>
      <c r="U81" s="114">
        <f>sept[[#This Row],[сумма]]-sept[[#This Row],[Цема м2 отделки]]*sept[[#This Row],[м2]]</f>
        <v>6561755.1200000001</v>
      </c>
    </row>
    <row r="82" spans="1:21" s="61" customFormat="1">
      <c r="A82" s="62">
        <v>83</v>
      </c>
      <c r="B82" s="350">
        <v>26419</v>
      </c>
      <c r="C82" s="62" t="s">
        <v>7</v>
      </c>
      <c r="D82" s="62">
        <v>127</v>
      </c>
      <c r="E82" s="349">
        <v>3</v>
      </c>
      <c r="F82" s="62">
        <v>78.73</v>
      </c>
      <c r="G82" s="62" t="s">
        <v>9</v>
      </c>
      <c r="H82" s="348"/>
      <c r="I82" s="95">
        <v>7148372.9699999997</v>
      </c>
      <c r="J82" s="62" t="s">
        <v>8</v>
      </c>
      <c r="K82" s="62" t="s">
        <v>10</v>
      </c>
      <c r="L82" s="62" t="s">
        <v>286</v>
      </c>
      <c r="M82" s="62" t="s">
        <v>18</v>
      </c>
      <c r="N82" s="92"/>
      <c r="O82" s="62" t="s">
        <v>17</v>
      </c>
      <c r="P82" s="62" t="s">
        <v>1701</v>
      </c>
      <c r="Q82" s="76" t="s">
        <v>67</v>
      </c>
      <c r="R82" s="76" t="s">
        <v>67</v>
      </c>
      <c r="S82" s="62" t="s">
        <v>8</v>
      </c>
      <c r="T82" s="62" t="s">
        <v>8</v>
      </c>
      <c r="U82" s="114">
        <f>sept[[#This Row],[сумма]]-sept[[#This Row],[Цема м2 отделки]]*sept[[#This Row],[м2]]</f>
        <v>7148372.9699999997</v>
      </c>
    </row>
    <row r="83" spans="1:21" s="61" customFormat="1">
      <c r="A83" s="62">
        <v>84</v>
      </c>
      <c r="B83" s="350">
        <v>26274</v>
      </c>
      <c r="C83" s="62" t="s">
        <v>7</v>
      </c>
      <c r="D83" s="62">
        <v>355</v>
      </c>
      <c r="E83" s="349">
        <v>0</v>
      </c>
      <c r="F83" s="62">
        <v>36.450000000000003</v>
      </c>
      <c r="G83" s="62" t="s">
        <v>25</v>
      </c>
      <c r="H83" s="348">
        <v>15500</v>
      </c>
      <c r="I83" s="95">
        <v>4086720.78</v>
      </c>
      <c r="J83" s="62" t="s">
        <v>8</v>
      </c>
      <c r="K83" s="62" t="s">
        <v>16</v>
      </c>
      <c r="L83" s="62" t="s">
        <v>583</v>
      </c>
      <c r="M83" s="62" t="s">
        <v>18</v>
      </c>
      <c r="N83" s="92">
        <v>45180</v>
      </c>
      <c r="O83" s="62" t="s">
        <v>17</v>
      </c>
      <c r="P83" s="62" t="s">
        <v>1702</v>
      </c>
      <c r="Q83" s="76" t="s">
        <v>67</v>
      </c>
      <c r="R83" s="76" t="s">
        <v>67</v>
      </c>
      <c r="S83" s="62" t="s">
        <v>8</v>
      </c>
      <c r="T83" s="62" t="s">
        <v>8</v>
      </c>
      <c r="U83" s="114">
        <f>sept[[#This Row],[сумма]]-sept[[#This Row],[Цема м2 отделки]]*sept[[#This Row],[м2]]</f>
        <v>3521745.78</v>
      </c>
    </row>
    <row r="84" spans="1:21" s="61" customFormat="1">
      <c r="A84" s="62">
        <v>85</v>
      </c>
      <c r="B84" s="350">
        <v>24965</v>
      </c>
      <c r="C84" s="62" t="s">
        <v>7</v>
      </c>
      <c r="D84" s="62">
        <v>291</v>
      </c>
      <c r="E84" s="349">
        <v>2</v>
      </c>
      <c r="F84" s="62">
        <v>67.95</v>
      </c>
      <c r="G84" s="62" t="s">
        <v>15</v>
      </c>
      <c r="H84" s="348">
        <v>4500</v>
      </c>
      <c r="I84" s="95">
        <v>6261524.5499999998</v>
      </c>
      <c r="J84" s="62" t="s">
        <v>8</v>
      </c>
      <c r="K84" s="62" t="s">
        <v>16</v>
      </c>
      <c r="L84" s="62" t="s">
        <v>583</v>
      </c>
      <c r="M84" s="62" t="s">
        <v>18</v>
      </c>
      <c r="N84" s="92">
        <v>45187</v>
      </c>
      <c r="O84" s="62" t="s">
        <v>17</v>
      </c>
      <c r="P84" s="62" t="s">
        <v>1703</v>
      </c>
      <c r="Q84" s="96" t="s">
        <v>67</v>
      </c>
      <c r="R84" s="76" t="s">
        <v>67</v>
      </c>
      <c r="S84" s="62" t="s">
        <v>8</v>
      </c>
      <c r="T84" s="62" t="s">
        <v>8</v>
      </c>
      <c r="U84" s="114">
        <f>sept[[#This Row],[сумма]]-sept[[#This Row],[Цема м2 отделки]]*sept[[#This Row],[м2]]</f>
        <v>5955749.5499999998</v>
      </c>
    </row>
    <row r="85" spans="1:21" s="61" customFormat="1">
      <c r="A85" s="62">
        <v>86</v>
      </c>
      <c r="B85" s="349">
        <v>25731</v>
      </c>
      <c r="C85" s="62" t="s">
        <v>13</v>
      </c>
      <c r="D85" s="62">
        <v>155</v>
      </c>
      <c r="E85" s="349">
        <v>2</v>
      </c>
      <c r="F85" s="62">
        <v>57.6</v>
      </c>
      <c r="G85" s="62" t="s">
        <v>9</v>
      </c>
      <c r="H85" s="348"/>
      <c r="I85" s="95">
        <v>4786524.0999999996</v>
      </c>
      <c r="J85" s="62" t="s">
        <v>8</v>
      </c>
      <c r="K85" s="62" t="s">
        <v>16</v>
      </c>
      <c r="L85" s="62" t="s">
        <v>583</v>
      </c>
      <c r="M85" s="62" t="s">
        <v>18</v>
      </c>
      <c r="N85" s="92">
        <v>45184</v>
      </c>
      <c r="O85" s="62" t="s">
        <v>17</v>
      </c>
      <c r="P85" s="62" t="s">
        <v>1704</v>
      </c>
      <c r="Q85" s="62" t="s">
        <v>67</v>
      </c>
      <c r="R85" s="76" t="s">
        <v>67</v>
      </c>
      <c r="S85" s="62" t="s">
        <v>8</v>
      </c>
      <c r="T85" s="62" t="s">
        <v>8</v>
      </c>
      <c r="U85" s="114">
        <f>sept[[#This Row],[сумма]]-sept[[#This Row],[Цема м2 отделки]]*sept[[#This Row],[м2]]</f>
        <v>4786524.0999999996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sept[[#This Row],[сумма]]-sept[[#This Row],[Цема м2 отделки]]*sept[[#This Row],[м2]]</f>
        <v>0</v>
      </c>
    </row>
    <row r="87" spans="1:21" s="61" customFormat="1" ht="11.25" customHeight="1">
      <c r="A87" s="62">
        <v>88</v>
      </c>
      <c r="B87" s="349">
        <v>26684</v>
      </c>
      <c r="C87" s="62" t="s">
        <v>13</v>
      </c>
      <c r="D87" s="62">
        <v>137</v>
      </c>
      <c r="E87" s="349">
        <v>3</v>
      </c>
      <c r="F87" s="62">
        <v>84.99</v>
      </c>
      <c r="G87" s="62" t="s">
        <v>15</v>
      </c>
      <c r="H87" s="348">
        <v>7500</v>
      </c>
      <c r="I87" s="352">
        <v>7256081.8300000001</v>
      </c>
      <c r="J87" s="348" t="s">
        <v>20</v>
      </c>
      <c r="K87" s="62" t="s">
        <v>16</v>
      </c>
      <c r="L87" s="62" t="s">
        <v>583</v>
      </c>
      <c r="M87" s="62" t="s">
        <v>18</v>
      </c>
      <c r="N87" s="92">
        <v>45188</v>
      </c>
      <c r="O87" s="62" t="s">
        <v>17</v>
      </c>
      <c r="P87" s="62" t="s">
        <v>1705</v>
      </c>
      <c r="Q87" s="62" t="s">
        <v>67</v>
      </c>
      <c r="R87" s="62" t="s">
        <v>67</v>
      </c>
      <c r="S87" s="62" t="s">
        <v>20</v>
      </c>
      <c r="T87" s="62" t="s">
        <v>20</v>
      </c>
      <c r="U87" s="114">
        <f>sept[[#This Row],[сумма]]-sept[[#This Row],[Цема м2 отделки]]*sept[[#This Row],[м2]]</f>
        <v>6618656.8300000001</v>
      </c>
    </row>
    <row r="88" spans="1:21" s="61" customFormat="1">
      <c r="A88" s="62">
        <v>89</v>
      </c>
      <c r="B88" s="349"/>
      <c r="C88" s="62"/>
      <c r="D88" s="62"/>
      <c r="E88" s="349"/>
      <c r="F88" s="62"/>
      <c r="G88" s="62"/>
      <c r="H88" s="348"/>
      <c r="I88" s="352" t="s">
        <v>118</v>
      </c>
      <c r="J88" s="348" t="s">
        <v>1207</v>
      </c>
      <c r="K88" s="62" t="s">
        <v>16</v>
      </c>
      <c r="L88" s="62" t="s">
        <v>118</v>
      </c>
      <c r="M88" s="62" t="s">
        <v>18</v>
      </c>
      <c r="N88" s="92"/>
      <c r="O88" s="62" t="s">
        <v>17</v>
      </c>
      <c r="P88" s="62" t="s">
        <v>118</v>
      </c>
      <c r="Q88" s="62" t="s">
        <v>118</v>
      </c>
      <c r="R88" s="62" t="s">
        <v>118</v>
      </c>
      <c r="S88" s="62" t="s">
        <v>1207</v>
      </c>
      <c r="T88" s="62" t="s">
        <v>77</v>
      </c>
      <c r="U88" s="114" t="e">
        <f>sept[[#This Row],[сумма]]-sept[[#This Row],[Цема м2 отделки]]*sept[[#This Row],[м2]]</f>
        <v>#VALUE!</v>
      </c>
    </row>
    <row r="89" spans="1:21" s="61" customFormat="1">
      <c r="A89" s="62">
        <v>90</v>
      </c>
      <c r="B89" s="349">
        <v>25737</v>
      </c>
      <c r="C89" s="62" t="s">
        <v>7</v>
      </c>
      <c r="D89" s="62">
        <v>68</v>
      </c>
      <c r="E89" s="349">
        <v>2</v>
      </c>
      <c r="F89" s="62">
        <v>56.03</v>
      </c>
      <c r="G89" s="62" t="s">
        <v>15</v>
      </c>
      <c r="H89" s="348">
        <v>7500</v>
      </c>
      <c r="I89" s="352">
        <v>5483254.9299999997</v>
      </c>
      <c r="J89" s="348" t="s">
        <v>8</v>
      </c>
      <c r="K89" s="62" t="s">
        <v>16</v>
      </c>
      <c r="L89" s="62" t="s">
        <v>583</v>
      </c>
      <c r="M89" s="62" t="s">
        <v>18</v>
      </c>
      <c r="N89" s="92"/>
      <c r="O89" s="62" t="s">
        <v>17</v>
      </c>
      <c r="P89" s="62" t="s">
        <v>1706</v>
      </c>
      <c r="Q89" s="62" t="s">
        <v>67</v>
      </c>
      <c r="R89" s="62" t="s">
        <v>67</v>
      </c>
      <c r="S89" s="62" t="s">
        <v>8</v>
      </c>
      <c r="T89" s="62" t="s">
        <v>8</v>
      </c>
      <c r="U89" s="114">
        <f>sept[[#This Row],[сумма]]-sept[[#This Row],[Цема м2 отделки]]*sept[[#This Row],[м2]]</f>
        <v>5063029.93</v>
      </c>
    </row>
    <row r="90" spans="1:21" s="61" customFormat="1">
      <c r="A90" s="62">
        <v>91</v>
      </c>
      <c r="B90" s="349">
        <v>26684</v>
      </c>
      <c r="C90" s="62" t="s">
        <v>7</v>
      </c>
      <c r="D90" s="62">
        <v>86</v>
      </c>
      <c r="E90" s="349">
        <v>2</v>
      </c>
      <c r="F90" s="62">
        <v>59.87</v>
      </c>
      <c r="G90" s="62" t="s">
        <v>15</v>
      </c>
      <c r="H90" s="348">
        <v>7500</v>
      </c>
      <c r="I90" s="352">
        <v>6058395.5700000003</v>
      </c>
      <c r="J90" s="348" t="s">
        <v>20</v>
      </c>
      <c r="K90" s="62" t="s">
        <v>16</v>
      </c>
      <c r="L90" s="62" t="s">
        <v>583</v>
      </c>
      <c r="M90" s="62" t="s">
        <v>18</v>
      </c>
      <c r="N90" s="92"/>
      <c r="O90" s="62" t="s">
        <v>17</v>
      </c>
      <c r="P90" s="62" t="s">
        <v>1707</v>
      </c>
      <c r="Q90" s="62" t="s">
        <v>67</v>
      </c>
      <c r="R90" s="62" t="s">
        <v>67</v>
      </c>
      <c r="S90" s="62" t="s">
        <v>20</v>
      </c>
      <c r="T90" s="62" t="s">
        <v>8</v>
      </c>
      <c r="U90" s="114">
        <f>sept[[#This Row],[сумма]]-sept[[#This Row],[Цема м2 отделки]]*sept[[#This Row],[м2]]</f>
        <v>5609370.5700000003</v>
      </c>
    </row>
    <row r="91" spans="1:21" s="61" customFormat="1">
      <c r="A91" s="62">
        <v>92</v>
      </c>
      <c r="B91" s="349">
        <v>26824</v>
      </c>
      <c r="C91" s="62" t="s">
        <v>13</v>
      </c>
      <c r="D91" s="62">
        <v>238</v>
      </c>
      <c r="E91" s="349">
        <v>2</v>
      </c>
      <c r="F91" s="62">
        <v>56.58</v>
      </c>
      <c r="G91" s="62" t="s">
        <v>15</v>
      </c>
      <c r="H91" s="348">
        <v>7500</v>
      </c>
      <c r="I91" s="352">
        <v>5338489.91</v>
      </c>
      <c r="J91" s="348" t="s">
        <v>20</v>
      </c>
      <c r="K91" s="62" t="s">
        <v>22</v>
      </c>
      <c r="L91" s="62" t="s">
        <v>583</v>
      </c>
      <c r="M91" s="62" t="s">
        <v>18</v>
      </c>
      <c r="N91" s="92"/>
      <c r="O91" s="62" t="s">
        <v>17</v>
      </c>
      <c r="P91" s="62" t="s">
        <v>1708</v>
      </c>
      <c r="Q91" s="62" t="s">
        <v>67</v>
      </c>
      <c r="R91" s="62" t="s">
        <v>67</v>
      </c>
      <c r="S91" s="62" t="s">
        <v>20</v>
      </c>
      <c r="T91" s="62" t="s">
        <v>20</v>
      </c>
      <c r="U91" s="114">
        <f>sept[[#This Row],[сумма]]-sept[[#This Row],[Цема м2 отделки]]*sept[[#This Row],[м2]]</f>
        <v>4914139.91</v>
      </c>
    </row>
    <row r="92" spans="1:21" s="61" customFormat="1">
      <c r="A92" s="62">
        <v>93</v>
      </c>
      <c r="B92" s="349">
        <v>26709</v>
      </c>
      <c r="C92" s="62" t="s">
        <v>7</v>
      </c>
      <c r="D92" s="62">
        <v>481</v>
      </c>
      <c r="E92" s="349">
        <v>2</v>
      </c>
      <c r="F92" s="62">
        <v>63.74</v>
      </c>
      <c r="G92" s="62" t="s">
        <v>9</v>
      </c>
      <c r="H92" s="348"/>
      <c r="I92" s="352">
        <v>5377896.7800000003</v>
      </c>
      <c r="J92" s="348" t="s">
        <v>1233</v>
      </c>
      <c r="K92" s="62" t="s">
        <v>16</v>
      </c>
      <c r="L92" s="62" t="s">
        <v>583</v>
      </c>
      <c r="M92" s="62" t="s">
        <v>18</v>
      </c>
      <c r="N92" s="92"/>
      <c r="O92" s="62" t="s">
        <v>17</v>
      </c>
      <c r="P92" s="62" t="s">
        <v>1709</v>
      </c>
      <c r="Q92" s="62" t="s">
        <v>67</v>
      </c>
      <c r="R92" s="62" t="s">
        <v>67</v>
      </c>
      <c r="S92" s="62" t="s">
        <v>1233</v>
      </c>
      <c r="T92" s="62" t="s">
        <v>1233</v>
      </c>
      <c r="U92" s="114">
        <f>sept[[#This Row],[сумма]]-sept[[#This Row],[Цема м2 отделки]]*sept[[#This Row],[м2]]</f>
        <v>5377896.7800000003</v>
      </c>
    </row>
    <row r="93" spans="1:21" s="61" customFormat="1">
      <c r="A93" s="62">
        <v>94</v>
      </c>
      <c r="B93" s="349">
        <v>26849</v>
      </c>
      <c r="C93" s="62" t="s">
        <v>13</v>
      </c>
      <c r="D93" s="62">
        <v>208</v>
      </c>
      <c r="E93" s="349">
        <v>1</v>
      </c>
      <c r="F93" s="62">
        <v>42.28</v>
      </c>
      <c r="G93" s="62" t="s">
        <v>9</v>
      </c>
      <c r="H93" s="348"/>
      <c r="I93" s="352">
        <v>3788495.9</v>
      </c>
      <c r="J93" s="348" t="s">
        <v>8</v>
      </c>
      <c r="K93" s="62" t="s">
        <v>16</v>
      </c>
      <c r="L93" s="62" t="s">
        <v>583</v>
      </c>
      <c r="M93" s="62" t="s">
        <v>18</v>
      </c>
      <c r="N93" s="92">
        <v>45194</v>
      </c>
      <c r="O93" s="62" t="s">
        <v>17</v>
      </c>
      <c r="P93" s="62" t="s">
        <v>1710</v>
      </c>
      <c r="Q93" s="62" t="s">
        <v>67</v>
      </c>
      <c r="R93" s="76" t="s">
        <v>67</v>
      </c>
      <c r="S93" s="62" t="s">
        <v>8</v>
      </c>
      <c r="T93" s="62" t="s">
        <v>8</v>
      </c>
      <c r="U93" s="114">
        <f>sept[[#This Row],[сумма]]-sept[[#This Row],[Цема м2 отделки]]*sept[[#This Row],[м2]]</f>
        <v>3788495.9</v>
      </c>
    </row>
    <row r="94" spans="1:21" s="61" customFormat="1">
      <c r="A94" s="62">
        <v>95</v>
      </c>
      <c r="B94" s="349">
        <v>26548</v>
      </c>
      <c r="C94" s="62" t="s">
        <v>13</v>
      </c>
      <c r="D94" s="62">
        <v>565</v>
      </c>
      <c r="E94" s="349">
        <v>0</v>
      </c>
      <c r="F94" s="62">
        <v>29.4</v>
      </c>
      <c r="G94" s="62" t="s">
        <v>9</v>
      </c>
      <c r="H94" s="348"/>
      <c r="I94" s="352">
        <v>3063924.53</v>
      </c>
      <c r="J94" s="348" t="s">
        <v>73</v>
      </c>
      <c r="K94" s="62" t="s">
        <v>16</v>
      </c>
      <c r="L94" s="62" t="s">
        <v>583</v>
      </c>
      <c r="M94" s="62" t="s">
        <v>18</v>
      </c>
      <c r="N94" s="92">
        <v>45188</v>
      </c>
      <c r="O94" s="62" t="s">
        <v>17</v>
      </c>
      <c r="P94" s="62" t="s">
        <v>1711</v>
      </c>
      <c r="Q94" s="62" t="s">
        <v>67</v>
      </c>
      <c r="R94" s="62" t="s">
        <v>67</v>
      </c>
      <c r="S94" s="62" t="s">
        <v>73</v>
      </c>
      <c r="T94" s="62" t="s">
        <v>1233</v>
      </c>
      <c r="U94" s="114">
        <f>sept[[#This Row],[сумма]]-sept[[#This Row],[Цема м2 отделки]]*sept[[#This Row],[м2]]</f>
        <v>3063924.53</v>
      </c>
    </row>
    <row r="95" spans="1:21" s="61" customFormat="1">
      <c r="A95" s="62">
        <v>96</v>
      </c>
      <c r="B95" s="349">
        <v>14424</v>
      </c>
      <c r="C95" s="62" t="s">
        <v>13</v>
      </c>
      <c r="D95" s="62">
        <v>119</v>
      </c>
      <c r="E95" s="349">
        <v>0</v>
      </c>
      <c r="F95" s="62">
        <v>24.28</v>
      </c>
      <c r="G95" s="62" t="s">
        <v>25</v>
      </c>
      <c r="H95" s="348">
        <v>7500</v>
      </c>
      <c r="I95" s="352">
        <v>2588383</v>
      </c>
      <c r="J95" s="348" t="s">
        <v>77</v>
      </c>
      <c r="K95" s="62" t="s">
        <v>16</v>
      </c>
      <c r="L95" s="62" t="s">
        <v>583</v>
      </c>
      <c r="M95" s="62" t="s">
        <v>12</v>
      </c>
      <c r="N95" s="92"/>
      <c r="O95" s="62" t="s">
        <v>17</v>
      </c>
      <c r="P95" s="62" t="s">
        <v>1712</v>
      </c>
      <c r="Q95" s="62" t="s">
        <v>67</v>
      </c>
      <c r="R95" s="62" t="s">
        <v>67</v>
      </c>
      <c r="S95" s="62"/>
      <c r="T95" s="62"/>
      <c r="U95" s="114">
        <f>sept[[#This Row],[сумма]]-sept[[#This Row],[Цема м2 отделки]]*sept[[#This Row],[м2]]</f>
        <v>2406283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sept[[#This Row],[сумма]]-sept[[#This Row],[Цема м2 отделки]]*sept[[#This Row],[м2]]</f>
        <v>0</v>
      </c>
    </row>
    <row r="97" spans="1:21" s="61" customFormat="1">
      <c r="A97" s="62">
        <v>98</v>
      </c>
      <c r="B97" s="349">
        <v>26647</v>
      </c>
      <c r="C97" s="62" t="s">
        <v>13</v>
      </c>
      <c r="D97" s="62">
        <v>414</v>
      </c>
      <c r="E97" s="349">
        <v>1</v>
      </c>
      <c r="F97" s="62">
        <v>43.21</v>
      </c>
      <c r="G97" s="62" t="s">
        <v>9</v>
      </c>
      <c r="H97" s="348"/>
      <c r="I97" s="881">
        <v>4058128.51</v>
      </c>
      <c r="J97" s="348" t="s">
        <v>14</v>
      </c>
      <c r="K97" s="62" t="s">
        <v>16</v>
      </c>
      <c r="L97" s="62" t="s">
        <v>583</v>
      </c>
      <c r="M97" s="62" t="s">
        <v>18</v>
      </c>
      <c r="N97" s="92">
        <v>45188</v>
      </c>
      <c r="O97" s="62" t="s">
        <v>17</v>
      </c>
      <c r="P97" s="62" t="s">
        <v>1713</v>
      </c>
      <c r="Q97" s="62" t="s">
        <v>67</v>
      </c>
      <c r="R97" s="76" t="s">
        <v>67</v>
      </c>
      <c r="S97" s="62" t="s">
        <v>14</v>
      </c>
      <c r="T97" s="62" t="s">
        <v>14</v>
      </c>
      <c r="U97" s="114">
        <f>sept[[#This Row],[сумма]]-sept[[#This Row],[Цема м2 отделки]]*sept[[#This Row],[м2]]</f>
        <v>4058128.51</v>
      </c>
    </row>
    <row r="98" spans="1:21" s="61" customFormat="1">
      <c r="A98" s="62">
        <v>99</v>
      </c>
      <c r="B98" s="349">
        <v>26305</v>
      </c>
      <c r="C98" s="62" t="s">
        <v>13</v>
      </c>
      <c r="D98" s="62">
        <v>504</v>
      </c>
      <c r="E98" s="349">
        <v>2</v>
      </c>
      <c r="F98" s="62">
        <v>58.24</v>
      </c>
      <c r="G98" s="62" t="s">
        <v>25</v>
      </c>
      <c r="H98" s="348">
        <v>22000</v>
      </c>
      <c r="I98" s="352">
        <v>6290958.4199999999</v>
      </c>
      <c r="J98" s="348" t="s">
        <v>20</v>
      </c>
      <c r="K98" s="62" t="s">
        <v>22</v>
      </c>
      <c r="L98" s="62" t="s">
        <v>583</v>
      </c>
      <c r="M98" s="62" t="s">
        <v>18</v>
      </c>
      <c r="N98" s="92">
        <v>45229</v>
      </c>
      <c r="O98" s="62" t="s">
        <v>17</v>
      </c>
      <c r="P98" s="62" t="s">
        <v>1714</v>
      </c>
      <c r="Q98" s="96" t="s">
        <v>67</v>
      </c>
      <c r="R98" s="113" t="s">
        <v>67</v>
      </c>
      <c r="S98" s="62" t="s">
        <v>20</v>
      </c>
      <c r="T98" s="62" t="s">
        <v>20</v>
      </c>
      <c r="U98" s="114">
        <f>sept[[#This Row],[сумма]]-sept[[#This Row],[Цема м2 отделки]]*sept[[#This Row],[м2]]</f>
        <v>5009678.42</v>
      </c>
    </row>
    <row r="99" spans="1:21" s="61" customFormat="1">
      <c r="A99" s="62">
        <v>100</v>
      </c>
      <c r="B99" s="349">
        <v>26947</v>
      </c>
      <c r="C99" s="62" t="s">
        <v>13</v>
      </c>
      <c r="D99" s="62">
        <v>152</v>
      </c>
      <c r="E99" s="349">
        <v>1</v>
      </c>
      <c r="F99" s="62">
        <v>42.28</v>
      </c>
      <c r="G99" s="62" t="s">
        <v>9</v>
      </c>
      <c r="H99" s="348"/>
      <c r="I99" s="352">
        <v>4030314.79</v>
      </c>
      <c r="J99" s="348" t="s">
        <v>20</v>
      </c>
      <c r="K99" s="62" t="s">
        <v>16</v>
      </c>
      <c r="L99" s="62" t="s">
        <v>583</v>
      </c>
      <c r="M99" s="62" t="s">
        <v>18</v>
      </c>
      <c r="N99" s="92">
        <v>45199</v>
      </c>
      <c r="O99" s="62" t="s">
        <v>17</v>
      </c>
      <c r="P99" s="62" t="s">
        <v>1715</v>
      </c>
      <c r="Q99" s="96" t="s">
        <v>67</v>
      </c>
      <c r="R99" s="96" t="s">
        <v>67</v>
      </c>
      <c r="S99" s="62" t="s">
        <v>20</v>
      </c>
      <c r="T99" s="62" t="s">
        <v>20</v>
      </c>
      <c r="U99" s="114">
        <f>sept[[#This Row],[сумма]]-sept[[#This Row],[Цема м2 отделки]]*sept[[#This Row],[м2]]</f>
        <v>4030314.79</v>
      </c>
    </row>
    <row r="100" spans="1:21" s="61" customFormat="1">
      <c r="A100" s="62">
        <v>101</v>
      </c>
      <c r="B100" s="350">
        <v>27019</v>
      </c>
      <c r="C100" s="62" t="s">
        <v>13</v>
      </c>
      <c r="D100" s="62">
        <v>524</v>
      </c>
      <c r="E100" s="349">
        <v>1</v>
      </c>
      <c r="F100" s="62">
        <v>39.69</v>
      </c>
      <c r="G100" s="62" t="s">
        <v>9</v>
      </c>
      <c r="H100" s="348"/>
      <c r="I100" s="352">
        <v>3797409.16</v>
      </c>
      <c r="J100" s="348" t="s">
        <v>8</v>
      </c>
      <c r="K100" s="62"/>
      <c r="L100" s="62" t="s">
        <v>286</v>
      </c>
      <c r="M100" s="62" t="s">
        <v>18</v>
      </c>
      <c r="N100" s="92">
        <v>45197</v>
      </c>
      <c r="O100" s="62" t="s">
        <v>17</v>
      </c>
      <c r="P100" s="62" t="s">
        <v>1716</v>
      </c>
      <c r="Q100" s="62" t="s">
        <v>67</v>
      </c>
      <c r="R100" s="62" t="s">
        <v>67</v>
      </c>
      <c r="S100" s="62" t="s">
        <v>8</v>
      </c>
      <c r="T100" s="62" t="s">
        <v>8</v>
      </c>
      <c r="U100" s="114">
        <f>sept[[#This Row],[сумма]]-sept[[#This Row],[Цема м2 отделки]]*sept[[#This Row],[м2]]</f>
        <v>3797409.16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sept[[#This Row],[сумма]]-sept[[#This Row],[Цема м2 отделки]]*sept[[#This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sept[[#This Row],[сумма]]-sept[[#This Row],[Цема м2 отделки]]*sept[[#This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sept[[#This Row],[сумма]]-sept[[#This Row],[Цема м2 отделки]]*sept[[#This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sept[[#This Row],[сумма]]-sept[[#This Row],[Цема м2 отделки]]*sept[[#This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sept[[#This Row],[сумма]]-sept[[#This Row],[Цема м2 отделки]]*sept[[#This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sept[[#This Row],[сумма]]-sept[[#This Row],[Цема м2 отделки]]*sept[[#This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sept[[#This Row],[сумма]]-sept[[#This Row],[Цема м2 отделки]]*sept[[#This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sept[[#This Row],[сумма]]-sept[[#This Row],[Цема м2 отделки]]*sept[[#This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sept[[#This Row],[сумма]]-sept[[#This Row],[Цема м2 отделки]]*sept[[#This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sept[[#This Row],[сумма]]-sept[[#This Row],[Цема м2 отделки]]*sept[[#This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86"/>
      <c r="S111" s="65"/>
      <c r="U111" s="115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  <c r="T112" s="93"/>
    </row>
    <row r="113" spans="1:21">
      <c r="A113" s="65"/>
      <c r="B113" s="87"/>
      <c r="C113" s="65"/>
      <c r="D113" s="65"/>
      <c r="E113" s="87"/>
      <c r="F113" s="65"/>
      <c r="G113" s="65"/>
      <c r="H113" s="72"/>
      <c r="I113" s="105"/>
      <c r="J113" s="72"/>
      <c r="K113" s="65"/>
      <c r="L113" s="65"/>
      <c r="M113" s="65"/>
      <c r="N113" s="98"/>
      <c r="O113" s="65"/>
      <c r="P113" s="65"/>
      <c r="Q113" s="65"/>
      <c r="R113" s="65"/>
      <c r="S113" s="65"/>
    </row>
    <row r="114" spans="1:21" s="65" customFormat="1">
      <c r="B114" s="79"/>
      <c r="D114" s="79"/>
      <c r="I114" s="93"/>
      <c r="J114" s="80"/>
      <c r="N114" s="98"/>
      <c r="O114" s="80"/>
      <c r="Q114" s="86"/>
      <c r="U114" s="66"/>
    </row>
    <row r="115" spans="1:21" s="65" customFormat="1">
      <c r="B115" s="79"/>
      <c r="C115" s="79"/>
      <c r="D115" s="80"/>
      <c r="F115" s="72"/>
      <c r="I115" s="105"/>
      <c r="M115" s="110"/>
      <c r="O115" s="72"/>
      <c r="P115" s="86"/>
      <c r="Q115" s="86"/>
      <c r="U115" s="66"/>
    </row>
    <row r="116" spans="1:21" s="65" customFormat="1">
      <c r="U116" s="66"/>
    </row>
    <row r="117" spans="1:21" s="65" customFormat="1">
      <c r="A117" s="2325" t="s">
        <v>713</v>
      </c>
      <c r="B117" s="2326"/>
      <c r="C117" s="133" t="s">
        <v>7</v>
      </c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U117" s="66"/>
    </row>
    <row r="118" spans="1:21" s="65" customFormat="1">
      <c r="A118" s="685" t="s">
        <v>1</v>
      </c>
      <c r="B118" s="859" t="s">
        <v>100</v>
      </c>
      <c r="C118" s="707" t="s">
        <v>97</v>
      </c>
      <c r="D118" s="726" t="s">
        <v>95</v>
      </c>
      <c r="E118" s="137" t="s">
        <v>494</v>
      </c>
      <c r="F118" s="138" t="s">
        <v>495</v>
      </c>
      <c r="G118" s="139" t="s">
        <v>496</v>
      </c>
      <c r="H118" s="140" t="s">
        <v>101</v>
      </c>
      <c r="I118" s="141" t="s">
        <v>98</v>
      </c>
      <c r="J118" s="141" t="s">
        <v>96</v>
      </c>
      <c r="K118" s="141" t="s">
        <v>715</v>
      </c>
      <c r="L118" s="216" t="s">
        <v>716</v>
      </c>
      <c r="M118" s="217">
        <v>0</v>
      </c>
      <c r="N118" s="218">
        <v>1</v>
      </c>
      <c r="O118" s="218">
        <v>2</v>
      </c>
      <c r="P118" s="218">
        <v>3</v>
      </c>
      <c r="Q118" s="219" t="s">
        <v>1367</v>
      </c>
      <c r="U118" s="66"/>
    </row>
    <row r="119" spans="1:21" s="65" customFormat="1">
      <c r="A119" s="142" t="s">
        <v>73</v>
      </c>
      <c r="B119" s="291">
        <f>IFERROR(VLOOKUP(A119,'Индивидуальный план'!$R$3:$T$14,2,0),"")</f>
        <v>315</v>
      </c>
      <c r="C119" s="292">
        <f>IFERROR(VLOOKUP(A119,'Индивидуальный план'!$R$3:$T$14,3,0),"")</f>
        <v>28158954.1065</v>
      </c>
      <c r="D119" s="876"/>
      <c r="E119" s="145">
        <f>SUMIFS(sept[м2],sept[МОП],$A119,sept[№ дома],$C$117,sept[Комнатность],"&lt;&gt;Офис")</f>
        <v>156.85</v>
      </c>
      <c r="F119" s="146">
        <f>SUMIFS(sept[Сумма без отделки],sept[МОП],$A119,sept[№ дома],$C$117,sept[Комнатность],"&lt;&gt;Офис")</f>
        <v>16494206.24</v>
      </c>
      <c r="G119" s="147">
        <f>COUNTIFS(sept[МОП],$A119,sept[№ дома],$C$117,sept[Комнатность],"&lt;&gt;Офис")</f>
        <v>4</v>
      </c>
      <c r="H119" s="183">
        <f>SUMIFS(РД[S],РД[Дом],$C$117,РД[МОП],A119,РД[Дата подачи на регистрацию],"&lt;="&amp;$A$1,РД[Дата подачи на регистрацию],"&gt;="&amp;DATE(YEAR($A$1),MONTH($A$1),1),РД[Состояние],"Продажа")</f>
        <v>156.85</v>
      </c>
      <c r="I119" s="184">
        <f>SUMIFS(РД[Стоимость без отделки итог],РД[Дом],$C$117,РД[МОП],A119,РД[Дата подачи на регистрацию],"&lt;="&amp;$A$1,РД[Дата подачи на регистрацию],"&gt;="&amp;DATE(YEAR($A$1),MONTH($A$1),1),РД[Состояние],"Продажа")</f>
        <v>16494206.24</v>
      </c>
      <c r="J119" s="243">
        <f>COUNTIFS(РД[Дом],$C$117,РД[МОП],A119,РД[Дата подачи на регистрацию],"&lt;="&amp;$A$1,РД[Дата подачи на регистрацию],"&gt;="&amp;DATE(YEAR($A$1),MONTH($A$1),1),РД[Состояние],"Продажа")</f>
        <v>4</v>
      </c>
      <c r="K119" s="244">
        <f t="shared" ref="K119:L125" si="0">IFERROR(H119/B119,"")</f>
        <v>0.4979365079365079</v>
      </c>
      <c r="L119" s="258">
        <f t="shared" si="0"/>
        <v>0.58575351121413288</v>
      </c>
      <c r="M119" s="183">
        <f>COUNTIFS(РД[Тип кв],M$118,РД[МОП],$A119,РД[Дом],$C$117,РД[Дата подачи на регистрацию],"&lt;="&amp;$A$1,РД[Дата подачи на регистрацию],"&gt;="&amp;DATE(YEAR($A$1),MONTH($A$1),1))</f>
        <v>1</v>
      </c>
      <c r="N119" s="243">
        <f>COUNTIFS(РД[Тип кв],N$118,РД[МОП],$A119,РД[Дом],$C$117,РД[Дата подачи на регистрацию],"&lt;="&amp;$A$1,РД[Дата подачи на регистрацию],"&gt;="&amp;DATE(YEAR($A$1),MONTH($A$1),1))</f>
        <v>2</v>
      </c>
      <c r="O119" s="243">
        <f>COUNTIFS(РД[Тип кв],O$118,РД[МОП],$A119,РД[Дом],$C$117,РД[Дата подачи на регистрацию],"&lt;="&amp;$A$1,РД[Дата подачи на регистрацию],"&gt;="&amp;DATE(YEAR($A$1),MONTH($A$1),1))</f>
        <v>1</v>
      </c>
      <c r="P119" s="243">
        <f>COUNTIFS(РД[Тип кв],P$118,РД[МОП],$A119,РД[Дом],$C$117,РД[Дата подачи на регистрацию],"&lt;="&amp;$A$1,РД[Дата подачи на регистрацию],"&gt;="&amp;DATE(YEAR($A$1),MONTH($A$1),1))</f>
        <v>0</v>
      </c>
      <c r="Q119" s="246">
        <f>COUNTIFS(РД[Тип кв],Q$118,РД[МОП],$A119,РД[Дом],$C$117,РД[Дата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142" t="s">
        <v>8</v>
      </c>
      <c r="B120" s="271">
        <f>IFERROR(VLOOKUP(A120,'Индивидуальный план'!$R$3:$T$14,2,0),"")</f>
        <v>190</v>
      </c>
      <c r="C120" s="52">
        <f>IFERROR(VLOOKUP(A120,'Индивидуальный план'!$R$3:$T$14,3,0),"")</f>
        <v>16984765.969000001</v>
      </c>
      <c r="D120" s="327"/>
      <c r="E120" s="145">
        <f>SUMIFS(sept[м2],sept[МОП],$A120,sept[№ дома],$C$117,sept[Комнатность],"&lt;&gt;Офис")</f>
        <v>295.20000000000005</v>
      </c>
      <c r="F120" s="146">
        <f>SUMIFS(sept[Сумма без отделки],sept[МОП],$A120,sept[№ дома],$C$117,sept[Комнатность],"&lt;&gt;Офис")</f>
        <v>26557137.859999999</v>
      </c>
      <c r="G120" s="147">
        <f>COUNTIFS(sept[МОП],$A120,sept[№ дома],$C$117,sept[Комнатность],"&lt;&gt;Офис")</f>
        <v>5</v>
      </c>
      <c r="H120" s="148">
        <f>SUMIFS(РД[S],РД[Дом],$C$117,РД[МОП],A120,РД[Дата подачи на регистрацию],"&lt;="&amp;$A$1,РД[Дата подачи на регистрацию],"&gt;="&amp;DATE(YEAR($A$1),MONTH($A$1),1),РД[Состояние],"Продажа")</f>
        <v>295.20000000000005</v>
      </c>
      <c r="I120" s="149">
        <f>SUMIFS(РД[Стоимость без отделки итог],РД[Дом],$C$117,РД[МОП],A120,РД[Дата подачи на регистрацию],"&lt;="&amp;$A$1,РД[Дата подачи на регистрацию],"&gt;="&amp;DATE(YEAR($A$1),MONTH($A$1),1),РД[Состояние],"Продажа")</f>
        <v>26557137.859999999</v>
      </c>
      <c r="J120" s="220">
        <f>COUNTIFS(РД[Дом],$C$117,РД[МОП],A120,РД[Дата подачи на регистрацию],"&lt;="&amp;$A$1,РД[Дата подачи на регистрацию],"&gt;="&amp;DATE(YEAR($A$1),MONTH($A$1),1),РД[Состояние],"Продажа")</f>
        <v>5</v>
      </c>
      <c r="K120" s="221">
        <f t="shared" si="0"/>
        <v>1.553684210526316</v>
      </c>
      <c r="L120" s="222">
        <f t="shared" si="0"/>
        <v>1.5635857396252122</v>
      </c>
      <c r="M120" s="148">
        <f>COUNTIFS(РД[Тип кв],M$118,РД[МОП],$A120,РД[Дом],$C$117,РД[Дата подачи на регистрацию],"&lt;="&amp;$A$1,РД[Дата подачи на регистрацию],"&gt;="&amp;DATE(YEAR($A$1),MONTH($A$1),1))</f>
        <v>1</v>
      </c>
      <c r="N120" s="220">
        <f>COUNTIFS(РД[Тип кв],N$118,РД[МОП],$A120,РД[Дом],$C$117,РД[Дата подачи на регистрацию],"&lt;="&amp;$A$1,РД[Дата подачи на регистрацию],"&gt;="&amp;DATE(YEAR($A$1),MONTH($A$1),1))</f>
        <v>0</v>
      </c>
      <c r="O120" s="220">
        <f>COUNTIFS(РД[Тип кв],O$118,РД[МОП],$A120,РД[Дом],$C$117,РД[Дата подачи на регистрацию],"&lt;="&amp;$A$1,РД[Дата подачи на регистрацию],"&gt;="&amp;DATE(YEAR($A$1),MONTH($A$1),1))</f>
        <v>3</v>
      </c>
      <c r="P120" s="220">
        <f>COUNTIFS(РД[Тип кв],P$118,РД[МОП],$A120,РД[Дом],$C$117,РД[Дата подачи на регистрацию],"&lt;="&amp;$A$1,РД[Дата подачи на регистрацию],"&gt;="&amp;DATE(YEAR($A$1),MONTH($A$1),1))</f>
        <v>1</v>
      </c>
      <c r="Q120" s="223">
        <f>COUNTIFS(РД[Тип кв],Q$118,РД[МОП],$A120,РД[Дом],$C$117,РД[Дата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398" t="s">
        <v>77</v>
      </c>
      <c r="B121" s="271">
        <f>IFERROR(VLOOKUP(A121,'Индивидуальный план'!$R$3:$T$14,2,0),"")</f>
        <v>277</v>
      </c>
      <c r="C121" s="52">
        <f>IFERROR(VLOOKUP(A121,'Индивидуальный план'!$R$3:$T$14,3,0),"")</f>
        <v>24762000.912700001</v>
      </c>
      <c r="D121" s="327"/>
      <c r="E121" s="145">
        <f>SUMIFS(sept[м2],sept[МОП],$A121,sept[№ дома],$C$117,sept[Комнатность],"&lt;&gt;Офис")</f>
        <v>70.19</v>
      </c>
      <c r="F121" s="146">
        <f>SUMIFS(sept[Сумма без отделки],sept[МОП],$A121,sept[№ дома],$C$117,sept[Комнатность],"&lt;&gt;Офис")</f>
        <v>7375425.5</v>
      </c>
      <c r="G121" s="147">
        <f>COUNTIFS(sept[МОП],$A121,sept[№ дома],$C$117,sept[Комнатность],"&lt;&gt;Офис")</f>
        <v>2</v>
      </c>
      <c r="H121" s="148">
        <f>SUMIFS(РД[S],РД[Дом],$C$117,РД[МОП],A121,РД[Дата подачи на регистрацию],"&lt;="&amp;$A$1,РД[Дата подачи на регистрацию],"&gt;="&amp;DATE(YEAR($A$1),MONTH($A$1),1),РД[Состояние],"Продажа")</f>
        <v>138.13999999999999</v>
      </c>
      <c r="I121" s="149">
        <f>SUMIFS(РД[Стоимость без отделки итог],РД[Дом],$C$117,РД[МОП],A121,РД[Дата подачи на регистрацию],"&lt;="&amp;$A$1,РД[Дата подачи на регистрацию],"&gt;="&amp;DATE(YEAR($A$1),MONTH($A$1),1),РД[Состояние],"Продажа")</f>
        <v>13103593.819999998</v>
      </c>
      <c r="J121" s="220">
        <f>COUNTIFS(РД[Дом],$C$117,РД[МОП],A121,РД[Дата подачи на регистрацию],"&lt;="&amp;$A$1,РД[Дата подачи на регистрацию],"&gt;="&amp;DATE(YEAR($A$1),MONTH($A$1),1),РД[Состояние],"Продажа")</f>
        <v>3</v>
      </c>
      <c r="K121" s="224">
        <f t="shared" si="0"/>
        <v>0.49870036101083026</v>
      </c>
      <c r="L121" s="225">
        <f t="shared" si="0"/>
        <v>0.529181541758178</v>
      </c>
      <c r="M121" s="202">
        <f>COUNTIFS(РД[Тип кв],M$118,РД[МОП],$A121,РД[Дом],$C$117,РД[Дата подачи на регистрацию],"&lt;="&amp;$A$1,РД[Дата подачи на регистрацию],"&gt;="&amp;DATE(YEAR($A$1),MONTH($A$1),1))</f>
        <v>0</v>
      </c>
      <c r="N121" s="226">
        <f>COUNTIFS(РД[Тип кв],N$118,РД[МОП],$A121,РД[Дом],$C$117,РД[Дата подачи на регистрацию],"&lt;="&amp;$A$1,РД[Дата подачи на регистрацию],"&gt;="&amp;DATE(YEAR($A$1),MONTH($A$1),1))</f>
        <v>2</v>
      </c>
      <c r="O121" s="226">
        <f>COUNTIFS(РД[Тип кв],O$118,РД[МОП],$A121,РД[Дом],$C$117,РД[Дата подачи на регистрацию],"&lt;="&amp;$A$1,РД[Дата подачи на регистрацию],"&gt;="&amp;DATE(YEAR($A$1),MONTH($A$1),1))</f>
        <v>1</v>
      </c>
      <c r="P121" s="226">
        <f>COUNTIFS(РД[Тип кв],P$118,РД[МОП],$A121,РД[Дом],$C$117,РД[Дата подачи на регистрацию],"&lt;="&amp;$A$1,РД[Дата подачи на регистрацию],"&gt;="&amp;DATE(YEAR($A$1),MONTH($A$1),1))</f>
        <v>0</v>
      </c>
      <c r="Q121" s="227">
        <f>COUNTIFS(РД[Тип кв],Q$118,РД[МОП],$A121,РД[Дом],$C$117,РД[Дата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3" t="s">
        <v>1233</v>
      </c>
      <c r="B122" s="271">
        <f>IFERROR(VLOOKUP(A122,'Индивидуальный план'!$R$3:$T$14,2,0),"")</f>
        <v>315</v>
      </c>
      <c r="C122" s="52">
        <f>IFERROR(VLOOKUP(A122,'Индивидуальный план'!$R$3:$T$14,3,0),"")</f>
        <v>28158954.1065</v>
      </c>
      <c r="D122" s="327"/>
      <c r="E122" s="145">
        <f>SUMIFS(sept[м2],sept[МОП],$A122,sept[№ дома],$C$117,sept[Комнатность],"&lt;&gt;Офис")</f>
        <v>100.19</v>
      </c>
      <c r="F122" s="146">
        <f>SUMIFS(sept[Сумма без отделки],sept[МОП],$A122,sept[№ дома],$C$117,sept[Комнатность],"&lt;&gt;Офис")</f>
        <v>8892178.6999999993</v>
      </c>
      <c r="G122" s="147">
        <f>COUNTIFS(sept[МОП],$A122,sept[№ дома],$C$117,sept[Комнатность],"&lt;&gt;Офис")</f>
        <v>2</v>
      </c>
      <c r="H122" s="148">
        <f>SUMIFS(РД[S],РД[Дом],$C$117,РД[МОП],A122,РД[Дата подачи на регистрацию],"&lt;="&amp;$A$1,РД[Дата подачи на регистрацию],"&gt;="&amp;DATE(YEAR($A$1),MONTH($A$1),1),РД[Состояние],"Продажа")</f>
        <v>144.56</v>
      </c>
      <c r="I122" s="149">
        <f>SUMIFS(РД[Стоимость без отделки итог],РД[Дом],$C$117,РД[МОП],A122,РД[Дата подачи на регистрацию],"&lt;="&amp;$A$1,РД[Дата подачи на регистрацию],"&gt;="&amp;DATE(YEAR($A$1),MONTH($A$1),1),РД[Состояние],"Продажа")</f>
        <v>13085022.35</v>
      </c>
      <c r="J122" s="220">
        <f>COUNTIFS(РД[Дом],$C$117,РД[МОП],A122,РД[Дата подачи на регистрацию],"&lt;="&amp;$A$1,РД[Дата подачи на регистрацию],"&gt;="&amp;DATE(YEAR($A$1),MONTH($A$1),1),РД[Состояние],"Продажа")</f>
        <v>3</v>
      </c>
      <c r="K122" s="224">
        <f t="shared" si="0"/>
        <v>0.45892063492063495</v>
      </c>
      <c r="L122" s="225">
        <f t="shared" si="0"/>
        <v>0.46468424574688133</v>
      </c>
      <c r="M122" s="202">
        <f>COUNTIFS(РД[Тип кв],M$118,РД[МОП],$A122,РД[Дом],$C$117,РД[Дата подачи на регистрацию],"&lt;="&amp;$A$1,РД[Дата подачи на регистрацию],"&gt;="&amp;DATE(YEAR($A$1),MONTH($A$1),1))</f>
        <v>1</v>
      </c>
      <c r="N122" s="226">
        <f>COUNTIFS(РД[Тип кв],N$118,РД[МОП],$A122,РД[Дом],$C$117,РД[Дата подачи на регистрацию],"&lt;="&amp;$A$1,РД[Дата подачи на регистрацию],"&gt;="&amp;DATE(YEAR($A$1),MONTH($A$1),1))</f>
        <v>1</v>
      </c>
      <c r="O122" s="226">
        <f>COUNTIFS(РД[Тип кв],O$118,РД[МОП],$A122,РД[Дом],$C$117,РД[Дата подачи на регистрацию],"&lt;="&amp;$A$1,РД[Дата подачи на регистрацию],"&gt;="&amp;DATE(YEAR($A$1),MONTH($A$1),1))</f>
        <v>1</v>
      </c>
      <c r="P122" s="226">
        <f>COUNTIFS(РД[Тип кв],P$118,РД[МОП],$A122,РД[Дом],$C$117,РД[Дата подачи на регистрацию],"&lt;="&amp;$A$1,РД[Дата подачи на регистрацию],"&gt;="&amp;DATE(YEAR($A$1),MONTH($A$1),1))</f>
        <v>0</v>
      </c>
      <c r="Q122" s="227">
        <f>COUNTIFS(РД[Тип кв],Q$118,РД[МОП],$A122,РД[Дом],$C$117,РД[Дата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53" t="s">
        <v>20</v>
      </c>
      <c r="B123" s="516">
        <f>IFERROR(VLOOKUP(A123,'Индивидуальный план'!$R$3:$T$14,2,0),"")</f>
        <v>277</v>
      </c>
      <c r="C123" s="554">
        <f>IFERROR(VLOOKUP(A123,'Индивидуальный план'!$R$3:$T$14,3,0),"")</f>
        <v>24762000.912700001</v>
      </c>
      <c r="D123" s="860"/>
      <c r="E123" s="328">
        <f>SUMIFS(sept[м2],sept[МОП],$A123,sept[№ дома],$C$117,sept[Комнатность],"&lt;&gt;Офис")</f>
        <v>273.32</v>
      </c>
      <c r="F123" s="403">
        <f>SUMIFS(sept[Сумма без отделки],sept[МОП],$A123,sept[№ дома],$C$117,sept[Комнатность],"&lt;&gt;Офис")</f>
        <v>24003012.810000002</v>
      </c>
      <c r="G123" s="404">
        <f>COUNTIFS(sept[МОП],$A123,sept[№ дома],$C$117,sept[Комнатность],"&lt;&gt;Офис")</f>
        <v>5</v>
      </c>
      <c r="H123" s="187">
        <f>SUMIFS(РД[S],РД[Дом],$C$117,РД[МОП],A123,РД[Дата подачи на регистрацию],"&lt;="&amp;$A$1,РД[Дата подачи на регистрацию],"&gt;="&amp;DATE(YEAR($A$1),MONTH($A$1),1),РД[Состояние],"Продажа")</f>
        <v>273.32</v>
      </c>
      <c r="I123" s="188">
        <f>SUMIFS(РД[Стоимость без отделки итог],РД[Дом],$C$117,РД[МОП],A123,РД[Дата подачи на регистрацию],"&lt;="&amp;$A$1,РД[Дата подачи на регистрацию],"&gt;="&amp;DATE(YEAR($A$1),MONTH($A$1),1),РД[Состояние],"Продажа")</f>
        <v>24003012.59</v>
      </c>
      <c r="J123" s="247">
        <f>COUNTIFS(РД[Дом],$C$117,РД[МОП],A123,РД[Дата подачи на регистрацию],"&lt;="&amp;$A$1,РД[Дата подачи на регистрацию],"&gt;="&amp;DATE(YEAR($A$1),MONTH($A$1),1),РД[Состояние],"Продажа")</f>
        <v>5</v>
      </c>
      <c r="K123" s="360">
        <f t="shared" si="0"/>
        <v>0.98671480144404333</v>
      </c>
      <c r="L123" s="361">
        <f t="shared" si="0"/>
        <v>0.96934866752586502</v>
      </c>
      <c r="M123" s="358">
        <f>COUNTIFS(РД[Тип кв],M$118,РД[МОП],$A123,РД[Дом],$C$117,РД[Дата подачи на регистрацию],"&lt;="&amp;$A$1,РД[Дата подачи на регистрацию],"&gt;="&amp;DATE(YEAR($A$1),MONTH($A$1),1))</f>
        <v>0</v>
      </c>
      <c r="N123" s="330">
        <f>COUNTIFS(РД[Тип кв],N$118,РД[МОП],$A123,РД[Дом],$C$117,РД[Дата подачи на регистрацию],"&lt;="&amp;$A$1,РД[Дата подачи на регистрацию],"&gt;="&amp;DATE(YEAR($A$1),MONTH($A$1),1))</f>
        <v>2</v>
      </c>
      <c r="O123" s="330">
        <f>COUNTIFS(РД[Тип кв],O$118,РД[МОП],$A123,РД[Дом],$C$117,РД[Дата подачи на регистрацию],"&lt;="&amp;$A$1,РД[Дата подачи на регистрацию],"&gt;="&amp;DATE(YEAR($A$1),MONTH($A$1),1))</f>
        <v>2</v>
      </c>
      <c r="P123" s="330">
        <f>COUNTIFS(РД[Тип кв],P$118,РД[МОП],$A123,РД[Дом],$C$117,РД[Дата подачи на регистрацию],"&lt;="&amp;$A$1,РД[Дата подачи на регистрацию],"&gt;="&amp;DATE(YEAR($A$1),MONTH($A$1),1))</f>
        <v>1</v>
      </c>
      <c r="Q123" s="331">
        <f>COUNTIFS(РД[Тип кв],Q$118,РД[МОП],$A123,РД[Дом],$C$117,РД[Дата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54" t="s">
        <v>29</v>
      </c>
      <c r="B124" s="861" t="str">
        <f>IFERROR(VLOOKUP(A124,'Индивидуальный план'!$R$3:$T$14,2,0),"")</f>
        <v/>
      </c>
      <c r="C124" s="862" t="str">
        <f>IFERROR(VLOOKUP(A124,'Индивидуальный план'!$R$3:$T$14,3,0),"")</f>
        <v/>
      </c>
      <c r="D124" s="863"/>
      <c r="E124" s="341">
        <f>SUMIFS(sept[м2],sept[МОП],$A124,sept[№ дома],$C$117,sept[Комнатность],"&lt;&gt;Офис")</f>
        <v>0</v>
      </c>
      <c r="F124" s="277">
        <f>SUMIFS(sept[Сумма без отделки],sept[МОП],$A124,sept[№ дома],$C$117,sept[Комнатность],"&lt;&gt;Офис")</f>
        <v>0</v>
      </c>
      <c r="G124" s="405">
        <f>COUNTIFS(sept[МОП],$A124,sept[№ дома],$C$117,sept[Комнатность],"&lt;&gt;Офис")</f>
        <v>0</v>
      </c>
      <c r="H124" s="159">
        <f>SUMIFS(РД[S],РД[Дом],$C$117,РД[МОП],A124,РД[Дата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I124" s="160">
        <f>SUMIFS(РД[Стоимость без отделки итог],РД[Дом],$C$117,РД[МОП],A124,РД[Дата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J124" s="228">
        <f>COUNTIFS(РД[Дом],$C$117,РД[МОП],A124,РД[Дата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K124" s="229" t="str">
        <f t="shared" si="0"/>
        <v/>
      </c>
      <c r="L124" s="230" t="str">
        <f t="shared" si="0"/>
        <v/>
      </c>
      <c r="M124" s="159">
        <f>COUNTIFS(РД[Тип кв],M$118,РД[МОП],$A124,РД[Дом],$C$117,РД[Дата подачи на регистрацию],"&lt;="&amp;$A$1,РД[Дата подачи на регистрацию],"&gt;="&amp;DATE(YEAR($A$1),MONTH($A$1),1))</f>
        <v>0</v>
      </c>
      <c r="N124" s="228">
        <f>COUNTIFS(РД[Тип кв],N$118,РД[МОП],$A124,РД[Дом],$C$117,РД[Дата подачи на регистрацию],"&lt;="&amp;$A$1,РД[Дата подачи на регистрацию],"&gt;="&amp;DATE(YEAR($A$1),MONTH($A$1),1))</f>
        <v>0</v>
      </c>
      <c r="O124" s="228">
        <f>COUNTIFS(РД[Тип кв],O$118,РД[МОП],$A124,РД[Дом],$C$117,РД[Дата подачи на регистрацию],"&lt;="&amp;$A$1,РД[Дата подачи на регистрацию],"&gt;="&amp;DATE(YEAR($A$1),MONTH($A$1),1))</f>
        <v>0</v>
      </c>
      <c r="P124" s="228">
        <f>COUNTIFS(РД[Тип кв],P$118,РД[МОП],$A124,РД[Дом],$C$117,РД[Дата подачи на регистрацию],"&lt;="&amp;$A$1,РД[Дата подачи на регистрацию],"&gt;="&amp;DATE(YEAR($A$1),MONTH($A$1),1))</f>
        <v>0</v>
      </c>
      <c r="Q124" s="231">
        <f>COUNTIFS(РД[Тип кв],Q$118,РД[МОП],$A124,РД[Дом],$C$117,РД[Дата подачи на регистрацию],"&lt;="&amp;$A$1,РД[Дата подачи на регистрацию],"&gt;="&amp;DATE(YEAR($A$1),MONTH($A$1),1))</f>
        <v>0</v>
      </c>
      <c r="U124" s="66"/>
    </row>
    <row r="125" spans="1:21" s="65" customFormat="1">
      <c r="A125" s="161" t="s">
        <v>1207</v>
      </c>
      <c r="B125" s="278" t="str">
        <f>IFERROR(VLOOKUP(A125,'Индивидуальный план'!$R$3:$T$14,2,0),"")</f>
        <v/>
      </c>
      <c r="C125" s="281" t="str">
        <f>IFERROR(VLOOKUP(A125,'Индивидуальный план'!$R$3:$T$14,3,0),"")</f>
        <v/>
      </c>
      <c r="D125" s="511"/>
      <c r="E125" s="406">
        <f>SUMIFS(sept[м2],sept[МОП],$A125,sept[№ дома],$C$117,sept[Комнатность],"&lt;&gt;Офис")</f>
        <v>112.32</v>
      </c>
      <c r="F125" s="281">
        <f>SUMIFS(sept[Сумма без отделки],sept[МОП],$A125,sept[№ дома],$C$117,sept[Комнатность],"&lt;&gt;Офис")</f>
        <v>10186408.199999999</v>
      </c>
      <c r="G125" s="407">
        <f>COUNTIFS(sept[МОП],$A125,sept[№ дома],$C$117,sept[Комнатность],"&lt;&gt;Офис")</f>
        <v>2</v>
      </c>
      <c r="H125" s="166">
        <f>SUMIFS(РД[S],РД[Дом],$C$117,РД[МОП],A125,РД[Дата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167">
        <f>SUMIFS(РД[Стоимость без отделки итог],РД[Дом],$C$117,РД[МОП],A125,РД[Дата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32">
        <f>COUNTIFS(РД[Дом],$C$117,РД[МОП],A125,РД[Дата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K125" s="233" t="str">
        <f t="shared" si="0"/>
        <v/>
      </c>
      <c r="L125" s="234" t="str">
        <f t="shared" si="0"/>
        <v/>
      </c>
      <c r="M125" s="235">
        <f>COUNTIFS(РД[Тип кв],M$118,РД[МОП],$A125,РД[Дом],$C$117,РД[Дата подачи на регистрацию],"&lt;="&amp;$A$1,РД[Дата подачи на регистрацию],"&gt;="&amp;DATE(YEAR($A$1),MONTH($A$1),1))</f>
        <v>0</v>
      </c>
      <c r="N125" s="236">
        <f>COUNTIFS(РД[Тип кв],N$118,РД[МОП],$A125,РД[Дом],$C$117,РД[Дата подачи на регистрацию],"&lt;="&amp;$A$1,РД[Дата подачи на регистрацию],"&gt;="&amp;DATE(YEAR($A$1),MONTH($A$1),1))</f>
        <v>0</v>
      </c>
      <c r="O125" s="236">
        <f>COUNTIFS(РД[Тип кв],O$118,РД[МОП],$A125,РД[Дом],$C$117,РД[Дата подачи на регистрацию],"&lt;="&amp;$A$1,РД[Дата подачи на регистрацию],"&gt;="&amp;DATE(YEAR($A$1),MONTH($A$1),1))</f>
        <v>0</v>
      </c>
      <c r="P125" s="236">
        <f>COUNTIFS(РД[Тип кв],P$118,РД[МОП],$A125,РД[Дом],$C$117,РД[Дата подачи на регистрацию],"&lt;="&amp;$A$1,РД[Дата подачи на регистрацию],"&gt;="&amp;DATE(YEAR($A$1),MONTH($A$1),1))</f>
        <v>0</v>
      </c>
      <c r="Q125" s="237">
        <f>COUNTIFS(РД[Тип кв],Q$118,РД[МОП],$A125,РД[Дом],$C$117,РД[Дата подачи на регистрацию],"&lt;="&amp;$A$1,РД[Дата подачи на регистрацию],"&gt;="&amp;DATE(YEAR($A$1),MONTH($A$1),1))</f>
        <v>0</v>
      </c>
      <c r="U125" s="66"/>
    </row>
    <row r="126" spans="1:21" s="65" customFormat="1">
      <c r="A126" s="168" t="s">
        <v>114</v>
      </c>
      <c r="B126" s="172">
        <f t="shared" ref="B126:J126" si="1">SUM(B119:B125)</f>
        <v>1374</v>
      </c>
      <c r="C126" s="173">
        <f t="shared" si="1"/>
        <v>122826676.00739999</v>
      </c>
      <c r="D126" s="691">
        <f t="shared" si="1"/>
        <v>0</v>
      </c>
      <c r="E126" s="173">
        <f t="shared" si="1"/>
        <v>1008.0699999999999</v>
      </c>
      <c r="F126" s="173">
        <f t="shared" si="1"/>
        <v>93508369.310000002</v>
      </c>
      <c r="G126" s="171">
        <f t="shared" si="1"/>
        <v>20</v>
      </c>
      <c r="H126" s="172">
        <f t="shared" si="1"/>
        <v>1008.0699999999999</v>
      </c>
      <c r="I126" s="173">
        <f t="shared" si="1"/>
        <v>93242972.859999999</v>
      </c>
      <c r="J126" s="170">
        <f t="shared" si="1"/>
        <v>20</v>
      </c>
      <c r="K126" s="238">
        <f>IFERROR(H126/B126,"")</f>
        <v>0.73367540029112077</v>
      </c>
      <c r="L126" s="239">
        <f>IFERROR(I126/C126,"")</f>
        <v>0.75914268700377718</v>
      </c>
      <c r="M126" s="240">
        <f>SUM(M119:M125)</f>
        <v>3</v>
      </c>
      <c r="N126" s="241">
        <f>SUM(N119:N125)</f>
        <v>7</v>
      </c>
      <c r="O126" s="241">
        <f>SUM(O119:O125)</f>
        <v>8</v>
      </c>
      <c r="P126" s="241">
        <f>SUM(P119:P125)</f>
        <v>2</v>
      </c>
      <c r="Q126" s="242">
        <f>SUM(Q119:Q125)</f>
        <v>0</v>
      </c>
      <c r="U126" s="66"/>
    </row>
    <row r="127" spans="1:21" s="65" customFormat="1">
      <c r="A127" s="692" t="s">
        <v>115</v>
      </c>
      <c r="B127" s="706" t="s">
        <v>100</v>
      </c>
      <c r="C127" s="710" t="s">
        <v>97</v>
      </c>
      <c r="D127" s="708" t="s">
        <v>95</v>
      </c>
      <c r="E127" s="295" t="s">
        <v>494</v>
      </c>
      <c r="F127" s="138" t="s">
        <v>495</v>
      </c>
      <c r="G127" s="470" t="s">
        <v>496</v>
      </c>
      <c r="H127" s="140" t="s">
        <v>101</v>
      </c>
      <c r="I127" s="141" t="s">
        <v>98</v>
      </c>
      <c r="J127" s="141" t="s">
        <v>96</v>
      </c>
      <c r="K127" s="495" t="s">
        <v>715</v>
      </c>
      <c r="L127" s="496" t="s">
        <v>716</v>
      </c>
      <c r="M127" s="217">
        <v>0</v>
      </c>
      <c r="N127" s="218">
        <v>1</v>
      </c>
      <c r="O127" s="218">
        <v>2</v>
      </c>
      <c r="P127" s="218">
        <v>3</v>
      </c>
      <c r="Q127" s="219" t="s">
        <v>1367</v>
      </c>
      <c r="U127" s="66"/>
    </row>
    <row r="128" spans="1:21" s="65" customFormat="1">
      <c r="A128" s="142" t="s">
        <v>16</v>
      </c>
      <c r="B128" s="291">
        <f>IFERROR(VLOOKUP(A128,'Индивидуальный план'!$R$3:$T$14,2,0),"")</f>
        <v>627</v>
      </c>
      <c r="C128" s="292">
        <f>IFERROR(VLOOKUP(A128,'Индивидуальный план'!$R$3:$T$14,3,0),"")</f>
        <v>56049727.697700001</v>
      </c>
      <c r="D128" s="694"/>
      <c r="E128" s="145">
        <f>SUMIFS(sept[м2],sept[ИМ],A128,sept[№ дома],$C$117,sept[Комнатность],"&lt;&gt;Офис")</f>
        <v>658.42</v>
      </c>
      <c r="F128" s="149">
        <f>SUMIFS(sept[Сумма без отделки],sept[ИМ],$A128,sept[№ дома],$C$117,sept[Комнатность],"&lt;&gt;Офис")</f>
        <v>61376080.539999992</v>
      </c>
      <c r="G128" s="147">
        <f>COUNTIFS(sept[ИМ],$A128,sept[№ дома],$C$117,sept[Комнатность],"&lt;&gt;Офис")</f>
        <v>13</v>
      </c>
      <c r="H128" s="183">
        <f>SUMIFS(РД[S],РД[Дом],$C$117,РД[ИМ],A128,РД[Дата подачи на регистрацию],"&lt;="&amp;$A$1,РД[Дата подачи на регистрацию],"&gt;="&amp;DATE(YEAR($A$1),MONTH($A$1),1),РД[Состояние],"Продажа")</f>
        <v>658.42000000000007</v>
      </c>
      <c r="I128" s="184">
        <f>SUMIFS(РД[Стоимость без отделки итог],РД[Дом],$C$117,РД[ИМ],A128,РД[Дата подачи на регистрацию],"&lt;="&amp;$A$1,РД[Дата подачи на регистрацию],"&gt;="&amp;DATE(YEAR($A$1),MONTH($A$1),1),РД[Состояние],"Продажа")</f>
        <v>61338265.32</v>
      </c>
      <c r="J128" s="243">
        <f>COUNTIFS(РД[Дом],$C$117,РД[ИМ],A128,РД[Дата подачи на регистрацию],"&lt;="&amp;$A$1,РД[Дата подачи на регистрацию],"&gt;="&amp;DATE(YEAR($A$1),MONTH($A$1),1),РД[Состояние],"Продажа")</f>
        <v>13</v>
      </c>
      <c r="K128" s="244">
        <f t="shared" ref="K128:L130" si="2">IFERROR(H128/B128,"")</f>
        <v>1.0501116427432218</v>
      </c>
      <c r="L128" s="245">
        <f t="shared" si="2"/>
        <v>1.0943543856416811</v>
      </c>
      <c r="M128" s="183">
        <f>COUNTIFS(РД[Тип кв],M118,РД[ИМ],$A128,РД[Дом],$C$117,РД[Дата подачи на регистрацию],"&lt;="&amp;$A$1,РД[Дата подачи на регистрацию],"&gt;="&amp;DATE(YEAR($A$1),MONTH($A$1),1))</f>
        <v>2</v>
      </c>
      <c r="N128" s="243">
        <f>COUNTIFS(РД[Тип кв],N118,РД[ИМ],$A128,РД[Дом],$C$117,РД[Дата подачи на регистрацию],"&lt;="&amp;$A$1,РД[Дата подачи на регистрацию],"&gt;="&amp;DATE(YEAR($A$1),MONTH($A$1),1))</f>
        <v>4</v>
      </c>
      <c r="O128" s="243">
        <f>COUNTIFS(РД[Тип кв],O118,РД[ИМ],$A128,РД[Дом],$C$117,РД[Дата подачи на регистрацию],"&lt;="&amp;$A$1,РД[Дата подачи на регистрацию],"&gt;="&amp;DATE(YEAR($A$1),MONTH($A$1),1))</f>
        <v>7</v>
      </c>
      <c r="P128" s="243">
        <f>COUNTIFS(РД[Тип кв],P118,РД[ИМ],$A128,РД[Дом],$C$117,РД[Дата подачи на регистрацию],"&lt;="&amp;$A$1,РД[Дата подачи на регистрацию],"&gt;="&amp;DATE(YEAR($A$1),MONTH($A$1),1))</f>
        <v>0</v>
      </c>
      <c r="Q128" s="246">
        <f>COUNTIFS(РД[Тип кв],Q118,РД[ИМ],$A128,РД[Дом],$C$117,РД[Дата подачи на регистрацию],"&lt;="&amp;$A$1,РД[Дата подачи на регистрацию],"&gt;="&amp;DATE(YEAR($A$1),MONTH($A$1),1))</f>
        <v>0</v>
      </c>
      <c r="U128" s="66"/>
    </row>
    <row r="129" spans="1:21" s="65" customFormat="1">
      <c r="A129" s="153" t="s">
        <v>22</v>
      </c>
      <c r="B129" s="516">
        <f>IFERROR(VLOOKUP(A129,'Индивидуальный план'!$R$3:$T$14,2,0),"")</f>
        <v>335</v>
      </c>
      <c r="C129" s="554">
        <f>IFERROR(VLOOKUP(A129,'Индивидуальный план'!$R$3:$T$14,3,0),"")</f>
        <v>29946824.208500002</v>
      </c>
      <c r="D129" s="695"/>
      <c r="E129" s="145">
        <f>SUMIFS(sept[м2],sept[ИМ],A129,sept[№ дома],$C$117,sept[Комнатность],"&lt;&gt;Офис")</f>
        <v>200.94</v>
      </c>
      <c r="F129" s="149">
        <f>SUMIFS(sept[Сумма без отделки],sept[ИМ],$A129,sept[№ дома],$C$117,sept[Комнатность],"&lt;&gt;Офис")</f>
        <v>17676613.32</v>
      </c>
      <c r="G129" s="147">
        <f>COUNTIFS(sept[ИМ],$A129,sept[№ дома],$C$117,sept[Комнатность],"&lt;&gt;Офис")</f>
        <v>4</v>
      </c>
      <c r="H129" s="195">
        <f>SUMIFS(РД[S],РД[Дом],$C$117,РД[ИМ],A129,РД[Дата подачи на регистрацию],"&lt;="&amp;$A$1,РД[Дата подачи на регистрацию],"&gt;="&amp;DATE(YEAR($A$1),MONTH($A$1),1),РД[Состояние],"Продажа")</f>
        <v>200.94</v>
      </c>
      <c r="I129" s="196">
        <f>SUMIFS(РД[Стоимость без отделки итог],РД[Дом],$C$117,РД[ИМ],A129,РД[Дата подачи на регистрацию],"&lt;="&amp;$A$1,РД[Дата подачи на регистрацию],"&gt;="&amp;DATE(YEAR($A$1),MONTH($A$1),1),РД[Состояние],"Продажа")</f>
        <v>17676613.32</v>
      </c>
      <c r="J129" s="251">
        <f>COUNTIFS(РД[Дом],$C$117,РД[ИМ],A129,РД[Дата подачи на регистрацию],"&lt;="&amp;$A$1,РД[Дата подачи на регистрацию],"&gt;="&amp;DATE(YEAR($A$1),MONTH($A$1),1),РД[Состояние],"Продажа")</f>
        <v>4</v>
      </c>
      <c r="K129" s="252">
        <f t="shared" si="2"/>
        <v>0.59982089552238804</v>
      </c>
      <c r="L129" s="253">
        <f t="shared" si="2"/>
        <v>0.59026670731191366</v>
      </c>
      <c r="M129" s="195">
        <f>COUNTIFS(РД[Тип кв],M118,РД[ИМ],$A129,РД[Дом],$C$117,РД[Дата подачи на регистрацию],"&lt;="&amp;$A$1,РД[Дата подачи на регистрацию],"&gt;="&amp;DATE(YEAR($A$1),MONTH($A$1),1))</f>
        <v>0</v>
      </c>
      <c r="N129" s="251">
        <f>COUNTIFS(РД[Тип кв],N118,РД[ИМ],$A129,РД[Дом],$C$117,РД[Дата подачи на регистрацию],"&lt;="&amp;$A$1,РД[Дата подачи на регистрацию],"&gt;="&amp;DATE(YEAR($A$1),MONTH($A$1),1))</f>
        <v>2</v>
      </c>
      <c r="O129" s="251">
        <f>COUNTIFS(РД[Тип кв],O118,РД[ИМ],$A129,РД[Дом],$C$117,РД[Дата подачи на регистрацию],"&lt;="&amp;$A$1,РД[Дата подачи на регистрацию],"&gt;="&amp;DATE(YEAR($A$1),MONTH($A$1),1))</f>
        <v>1</v>
      </c>
      <c r="P129" s="251">
        <f>COUNTIFS(РД[Тип кв],P118,РД[ИМ],$A129,РД[Дом],$C$117,РД[Дата подачи на регистрацию],"&lt;="&amp;$A$1,РД[Дата подачи на регистрацию],"&gt;="&amp;DATE(YEAR($A$1),MONTH($A$1),1))</f>
        <v>1</v>
      </c>
      <c r="Q129" s="254">
        <f>COUNTIFS(РД[Тип кв],Q118,РД[ИМ],$A129,РД[Дом],$C$117,РД[Дата подачи на регистрацию],"&lt;="&amp;$A$1,РД[Дата подачи на регистрацию],"&gt;="&amp;DATE(YEAR($A$1),MONTH($A$1),1))</f>
        <v>0</v>
      </c>
      <c r="U129" s="66"/>
    </row>
    <row r="130" spans="1:21" s="65" customFormat="1">
      <c r="A130" s="317" t="s">
        <v>114</v>
      </c>
      <c r="B130" s="172">
        <f t="shared" ref="B130:Q130" si="3">SUM(B128:B129)</f>
        <v>962</v>
      </c>
      <c r="C130" s="173">
        <f t="shared" si="3"/>
        <v>85996551.906200007</v>
      </c>
      <c r="D130" s="696">
        <f t="shared" si="3"/>
        <v>0</v>
      </c>
      <c r="E130" s="484">
        <f t="shared" si="3"/>
        <v>859.3599999999999</v>
      </c>
      <c r="F130" s="429">
        <f t="shared" si="3"/>
        <v>79052693.859999985</v>
      </c>
      <c r="G130" s="485">
        <f t="shared" si="3"/>
        <v>17</v>
      </c>
      <c r="H130" s="473">
        <f t="shared" si="3"/>
        <v>859.36000000000013</v>
      </c>
      <c r="I130" s="429">
        <f t="shared" si="3"/>
        <v>79014878.640000001</v>
      </c>
      <c r="J130" s="494">
        <f t="shared" si="3"/>
        <v>17</v>
      </c>
      <c r="K130" s="419">
        <f t="shared" si="2"/>
        <v>0.89330561330561342</v>
      </c>
      <c r="L130" s="420">
        <f t="shared" si="2"/>
        <v>0.9188144976578223</v>
      </c>
      <c r="M130" s="473">
        <f t="shared" si="3"/>
        <v>2</v>
      </c>
      <c r="N130" s="494">
        <f t="shared" si="3"/>
        <v>6</v>
      </c>
      <c r="O130" s="494">
        <f t="shared" si="3"/>
        <v>8</v>
      </c>
      <c r="P130" s="494">
        <f t="shared" si="3"/>
        <v>1</v>
      </c>
      <c r="Q130" s="497">
        <f t="shared" si="3"/>
        <v>0</v>
      </c>
      <c r="U130" s="66"/>
    </row>
    <row r="131" spans="1:21" s="65" customFormat="1">
      <c r="A131" s="134"/>
      <c r="B131" s="197"/>
      <c r="C131" s="197"/>
      <c r="D131" s="198"/>
      <c r="E131" s="134"/>
      <c r="F131" s="44"/>
      <c r="G131" s="134"/>
      <c r="H131" s="134"/>
      <c r="I131" s="44"/>
      <c r="J131" s="134"/>
      <c r="K131" s="255"/>
      <c r="L131" s="256"/>
      <c r="M131" s="134"/>
      <c r="N131" s="134"/>
      <c r="O131" s="134"/>
      <c r="P131" s="134"/>
      <c r="Q131" s="134"/>
      <c r="U131" s="66"/>
    </row>
    <row r="132" spans="1:21" s="65" customFormat="1">
      <c r="A132" s="2327" t="s">
        <v>713</v>
      </c>
      <c r="B132" s="2328"/>
      <c r="C132" s="474" t="s">
        <v>13</v>
      </c>
      <c r="D132" s="697"/>
      <c r="E132" s="475"/>
      <c r="F132" s="475"/>
      <c r="G132" s="475"/>
      <c r="H132" s="476"/>
      <c r="I132" s="476"/>
      <c r="J132" s="476"/>
      <c r="K132" s="476"/>
      <c r="L132" s="476"/>
      <c r="M132" s="475"/>
      <c r="N132" s="475"/>
      <c r="O132" s="475"/>
      <c r="P132" s="475"/>
      <c r="Q132" s="498"/>
      <c r="U132" s="66"/>
    </row>
    <row r="133" spans="1:21" s="65" customFormat="1">
      <c r="A133" s="698" t="s">
        <v>1</v>
      </c>
      <c r="B133" s="699" t="s">
        <v>100</v>
      </c>
      <c r="C133" s="700" t="s">
        <v>97</v>
      </c>
      <c r="D133" s="701" t="s">
        <v>95</v>
      </c>
      <c r="E133" s="137" t="s">
        <v>494</v>
      </c>
      <c r="F133" s="477" t="s">
        <v>495</v>
      </c>
      <c r="G133" s="478" t="s">
        <v>496</v>
      </c>
      <c r="H133" s="479" t="s">
        <v>101</v>
      </c>
      <c r="I133" s="479" t="s">
        <v>98</v>
      </c>
      <c r="J133" s="479" t="s">
        <v>96</v>
      </c>
      <c r="K133" s="479" t="s">
        <v>715</v>
      </c>
      <c r="L133" s="479" t="s">
        <v>716</v>
      </c>
      <c r="M133" s="499">
        <v>0</v>
      </c>
      <c r="N133" s="340">
        <v>1</v>
      </c>
      <c r="O133" s="340">
        <v>2</v>
      </c>
      <c r="P133" s="340">
        <v>3</v>
      </c>
      <c r="Q133" s="500" t="s">
        <v>1367</v>
      </c>
      <c r="U133" s="66"/>
    </row>
    <row r="134" spans="1:21" s="65" customFormat="1">
      <c r="A134" s="177" t="s">
        <v>73</v>
      </c>
      <c r="B134" s="291">
        <f>IFERROR(VLOOKUP(A134,'Индивидуальный план'!$R$16:$T$27,2,0),"")</f>
        <v>685</v>
      </c>
      <c r="C134" s="292">
        <f>IFERROR(VLOOKUP(A134,'Индивидуальный план'!$R$16:$T$27,3,0),"")</f>
        <v>58063399.594999999</v>
      </c>
      <c r="D134" s="876"/>
      <c r="E134" s="145">
        <f>SUMIFS(sept[м2],sept[МОП],$A134,sept[№ дома],$C$132,sept[Комнатность],"&lt;&gt;Офис")</f>
        <v>232.12</v>
      </c>
      <c r="F134" s="146">
        <f>SUMIFS(sept[Сумма без отделки],sept[МОП],$A134,sept[№ дома],$C$132,sept[Комнатность],"&lt;&gt;Офис")</f>
        <v>20530996.200000003</v>
      </c>
      <c r="G134" s="147">
        <f>COUNTIFS(sept[МОП],$A134,sept[№ дома],$C$132,sept[Комнатность],"&lt;&gt;Офис")</f>
        <v>7</v>
      </c>
      <c r="H134" s="148">
        <f>SUMIFS(РД[S],РД[Дом],$C$132,РД[МОП],A134,РД[Дата подачи на регистрацию],"&lt;="&amp;$A$1,РД[Дата подачи на регистрацию],"&gt;="&amp;DATE(YEAR($A$1),MONTH($A$1),1),РД[Состояние],"Продажа")</f>
        <v>261.52</v>
      </c>
      <c r="I134" s="149">
        <f>SUMIFS(РД[Стоимость без отделки итог],РД[Дом],$C$132,РД[МОП],A134,РД[Дата подачи на регистрацию],"&lt;="&amp;$A$1,РД[Дата подачи на регистрацию],"&gt;="&amp;DATE(YEAR($A$1),MONTH($A$1),1),РД[Состояние],"Продажа")</f>
        <v>23183744.969999999</v>
      </c>
      <c r="J134" s="220">
        <f>COUNTIFS(РД[Дом],$C$132,РД[МОП],A134,РД[Дата подачи на регистрацию],"&lt;="&amp;$A$1,РД[Дата подачи на регистрацию],"&gt;="&amp;DATE(YEAR($A$1),MONTH($A$1),1),РД[Состояние],"Продажа")</f>
        <v>8</v>
      </c>
      <c r="K134" s="221">
        <f t="shared" ref="K134:L140" si="4">IFERROR(H134/B134,)</f>
        <v>0.38178102189781021</v>
      </c>
      <c r="L134" s="222">
        <f t="shared" si="4"/>
        <v>0.39928328571371519</v>
      </c>
      <c r="M134" s="257">
        <f>COUNTIFS(РД[Тип кв],M$133,РД[МОП],$A134,РД[Дом],$C$132,РД[Дата подачи на регистрацию],"&lt;="&amp;$A$1,РД[Дата подачи на регистрацию],"&gt;="&amp;DATE(YEAR($A$1),MONTH($A$1),1))</f>
        <v>4</v>
      </c>
      <c r="N134" s="226">
        <f>COUNTIFS(РД[Тип кв],N$133,РД[МОП],$A134,РД[Дом],$C$132,РД[Дата подачи на регистрацию],"&lt;="&amp;$A$1,РД[Дата подачи на регистрацию],"&gt;="&amp;DATE(YEAR($A$1),MONTH($A$1),1))</f>
        <v>4</v>
      </c>
      <c r="O134" s="226">
        <f>COUNTIFS(РД[Тип кв],O$133,РД[МОП],$A134,РД[Дом],$C$132,РД[Дата подачи на регистрацию],"&lt;="&amp;$A$1,РД[Дата подачи на регистрацию],"&gt;="&amp;DATE(YEAR($A$1),MONTH($A$1),1))</f>
        <v>0</v>
      </c>
      <c r="P134" s="226">
        <f>COUNTIFS(РД[Тип кв],P$133,РД[МОП],$A134,РД[Дом],$C$132,РД[Дата подачи на регистрацию],"&lt;="&amp;$A$1,РД[Дата подачи на регистрацию],"&gt;="&amp;DATE(YEAR($A$1),MONTH($A$1),1))</f>
        <v>0</v>
      </c>
      <c r="Q134" s="227">
        <f>COUNTIFS(РД[Тип кв],Q$133,РД[МОП],$A134,РД[Дом],$C$132,РД[Дата подачи на регистрацию],"&lt;="&amp;$A$1,РД[Дата подачи на регистрацию],"&gt;="&amp;DATE(YEAR($A$1),MONTH($A$1),1))</f>
        <v>0</v>
      </c>
      <c r="U134" s="66"/>
    </row>
    <row r="135" spans="1:21" s="65" customFormat="1">
      <c r="A135" s="398" t="s">
        <v>8</v>
      </c>
      <c r="B135" s="271">
        <f>IFERROR(VLOOKUP(A135,'Индивидуальный план'!$R$16:$T$27,2,0),"")</f>
        <v>420</v>
      </c>
      <c r="C135" s="52">
        <f>IFERROR(VLOOKUP(A135,'Индивидуальный план'!$R$16:$T$27,3,0),"")</f>
        <v>35600916.539999999</v>
      </c>
      <c r="D135" s="327"/>
      <c r="E135" s="257">
        <f>SUMIFS(sept[м2],sept[МОП],$A135,sept[№ дома],$C$132,sept[Комнатность],"&lt;&gt;Офис")</f>
        <v>616.54</v>
      </c>
      <c r="F135" s="52">
        <f>SUMIFS(sept[Сумма без отделки],sept[МОП],$A135,sept[№ дома],$C$132,sept[Комнатность],"&lt;&gt;Офис")</f>
        <v>53734225.390000001</v>
      </c>
      <c r="G135" s="413">
        <f>COUNTIFS(sept[МОП],$A135,sept[№ дома],$C$132,sept[Комнатность],"&lt;&gt;Офис")</f>
        <v>16</v>
      </c>
      <c r="H135" s="202">
        <f>SUMIFS(РД[S],РД[Дом],$C$132,РД[МОП],A135,РД[Дата подачи на регистрацию],"&lt;="&amp;$A$1,РД[Дата подачи на регистрацию],"&gt;="&amp;DATE(YEAR($A$1),MONTH($A$1),1),РД[Состояние],"Продажа")</f>
        <v>580.79999999999995</v>
      </c>
      <c r="I135" s="203">
        <f>SUMIFS(РД[Стоимость без отделки итог],РД[Дом],$C$132,РД[МОП],A135,РД[Дата подачи на регистрацию],"&lt;="&amp;$A$1,РД[Дата подачи на регистрацию],"&gt;="&amp;DATE(YEAR($A$1),MONTH($A$1),1),РД[Состояние],"Продажа")</f>
        <v>50896082.290000007</v>
      </c>
      <c r="J135" s="226">
        <f>COUNTIFS(РД[Дом],$C$132,РД[МОП],A135,РД[Дата подачи на регистрацию],"&lt;="&amp;$A$1,РД[Дата подачи на регистрацию],"&gt;="&amp;DATE(YEAR($A$1),MONTH($A$1),1),РД[Состояние],"Продажа")</f>
        <v>15</v>
      </c>
      <c r="K135" s="224">
        <f t="shared" si="4"/>
        <v>1.3828571428571428</v>
      </c>
      <c r="L135" s="225">
        <f t="shared" si="4"/>
        <v>1.4296284263584864</v>
      </c>
      <c r="M135" s="257">
        <f>COUNTIFS(РД[Тип кв],M$133,РД[МОП],$A135,РД[Дом],$C$132,РД[Дата подачи на регистрацию],"&lt;="&amp;$A$1,РД[Дата подачи на регистрацию],"&gt;="&amp;DATE(YEAR($A$1),MONTH($A$1),1))</f>
        <v>6</v>
      </c>
      <c r="N135" s="226">
        <f>COUNTIFS(РД[Тип кв],N$133,РД[МОП],$A135,РД[Дом],$C$132,РД[Дата подачи на регистрацию],"&lt;="&amp;$A$1,РД[Дата подачи на регистрацию],"&gt;="&amp;DATE(YEAR($A$1),MONTH($A$1),1))</f>
        <v>6</v>
      </c>
      <c r="O135" s="226">
        <f>COUNTIFS(РД[Тип кв],O$133,РД[МОП],$A135,РД[Дом],$C$132,РД[Дата подачи на регистрацию],"&lt;="&amp;$A$1,РД[Дата подачи на регистрацию],"&gt;="&amp;DATE(YEAR($A$1),MONTH($A$1),1))</f>
        <v>4</v>
      </c>
      <c r="P135" s="226">
        <f>COUNTIFS(РД[Тип кв],P$133,РД[МОП],$A135,РД[Дом],$C$132,РД[Дата подачи на регистрацию],"&lt;="&amp;$A$1,РД[Дата подачи на регистрацию],"&gt;="&amp;DATE(YEAR($A$1),MONTH($A$1),1))</f>
        <v>0</v>
      </c>
      <c r="Q135" s="227">
        <f>COUNTIFS(РД[Тип кв],Q$133,РД[МОП],$A135,РД[Дом],$C$132,РД[Дата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398" t="s">
        <v>77</v>
      </c>
      <c r="B136" s="271">
        <f>IFERROR(VLOOKUP(A136,'Индивидуальный план'!$R$16:$T$27,2,0),"")</f>
        <v>592</v>
      </c>
      <c r="C136" s="52">
        <f>IFERROR(VLOOKUP(A136,'Индивидуальный план'!$R$16:$T$27,3,0),"")</f>
        <v>50180339.504000001</v>
      </c>
      <c r="D136" s="327"/>
      <c r="E136" s="257">
        <f>SUMIFS(sept[м2],sept[МОП],$A136,sept[№ дома],$C$132,sept[Комнатность],"&lt;&gt;Офис")</f>
        <v>489.29000000000008</v>
      </c>
      <c r="F136" s="52">
        <f>SUMIFS(sept[Сумма без отделки],sept[МОП],$A136,sept[№ дома],$C$132,sept[Комнатность],"&lt;&gt;Офис")</f>
        <v>44311319.649999991</v>
      </c>
      <c r="G136" s="413">
        <f>COUNTIFS(sept[МОП],$A136,sept[№ дома],$C$132,sept[Комнатность],"&lt;&gt;Офис")</f>
        <v>14</v>
      </c>
      <c r="H136" s="202">
        <f>SUMIFS(РД[S],РД[Дом],$C$132,РД[МОП],A136,РД[Дата подачи на регистрацию],"&lt;="&amp;$A$1,РД[Дата подачи на регистрацию],"&gt;="&amp;DATE(YEAR($A$1),MONTH($A$1),1),РД[Состояние],"Продажа")</f>
        <v>514.15000000000009</v>
      </c>
      <c r="I136" s="203">
        <f>SUMIFS(РД[Стоимость без отделки итог],РД[Дом],$C$132,РД[МОП],A136,РД[Дата подачи на регистрацию],"&lt;="&amp;$A$1,РД[Дата подачи на регистрацию],"&gt;="&amp;DATE(YEAR($A$1),MONTH($A$1),1),РД[Состояние],"Продажа")</f>
        <v>46295746.32</v>
      </c>
      <c r="J136" s="226">
        <f>COUNTIFS(РД[Дом],$C$132,РД[МОП],A136,РД[Дата подачи на регистрацию],"&lt;="&amp;$A$1,РД[Дата подачи на регистрацию],"&gt;="&amp;DATE(YEAR($A$1),MONTH($A$1),1),РД[Состояние],"Продажа")</f>
        <v>15</v>
      </c>
      <c r="K136" s="224">
        <f t="shared" si="4"/>
        <v>0.86849662162162178</v>
      </c>
      <c r="L136" s="225">
        <f t="shared" si="4"/>
        <v>0.92258734750707794</v>
      </c>
      <c r="M136" s="257">
        <f>COUNTIFS(РД[Тип кв],M$133,РД[МОП],$A136,РД[Дом],$C$132,РД[Дата подачи на регистрацию],"&lt;="&amp;$A$1,РД[Дата подачи на регистрацию],"&gt;="&amp;DATE(YEAR($A$1),MONTH($A$1),1))</f>
        <v>5</v>
      </c>
      <c r="N136" s="226">
        <f>COUNTIFS(РД[Тип кв],N$133,РД[МОП],$A136,РД[Дом],$C$132,РД[Дата подачи на регистрацию],"&lt;="&amp;$A$1,РД[Дата подачи на регистрацию],"&gt;="&amp;DATE(YEAR($A$1),MONTH($A$1),1))</f>
        <v>9</v>
      </c>
      <c r="O136" s="226">
        <f>COUNTIFS(РД[Тип кв],O$133,РД[МОП],$A136,РД[Дом],$C$132,РД[Дата подачи на регистрацию],"&lt;="&amp;$A$1,РД[Дата подачи на регистрацию],"&gt;="&amp;DATE(YEAR($A$1),MONTH($A$1),1))</f>
        <v>1</v>
      </c>
      <c r="P136" s="226">
        <f>COUNTIFS(РД[Тип кв],P$133,РД[МОП],$A136,РД[Дом],$C$132,РД[Дата подачи на регистрацию],"&lt;="&amp;$A$1,РД[Дата подачи на регистрацию],"&gt;="&amp;DATE(YEAR($A$1),MONTH($A$1),1))</f>
        <v>0</v>
      </c>
      <c r="Q136" s="227">
        <f>COUNTIFS(РД[Тип кв],Q$133,РД[МОП],$A136,РД[Дом],$C$132,РД[Дата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398" t="s">
        <v>1233</v>
      </c>
      <c r="B137" s="271">
        <f>IFERROR(VLOOKUP(A137,'Индивидуальный план'!$R$16:$T$27,2,0),"")</f>
        <v>685</v>
      </c>
      <c r="C137" s="52">
        <f>IFERROR(VLOOKUP(A137,'Индивидуальный план'!$R$16:$T$27,3,0),"")</f>
        <v>58063399.594999999</v>
      </c>
      <c r="D137" s="327"/>
      <c r="E137" s="257">
        <f>SUMIFS(sept[м2],sept[МОП],$A137,sept[№ дома],$C$132,sept[Комнатность],"&lt;&gt;Офис")</f>
        <v>615.38999999999987</v>
      </c>
      <c r="F137" s="52">
        <f>SUMIFS(sept[Сумма без отделки],sept[МОП],$A137,sept[№ дома],$C$132,sept[Комнатность],"&lt;&gt;Офис")</f>
        <v>52168343.619999997</v>
      </c>
      <c r="G137" s="413">
        <f>COUNTIFS(sept[МОП],$A137,sept[№ дома],$C$132,sept[Комнатность],"&lt;&gt;Офис")</f>
        <v>14</v>
      </c>
      <c r="H137" s="202">
        <f>SUMIFS(РД[S],РД[Дом],$C$132,РД[МОП],A137,РД[Дата подачи на регистрацию],"&lt;="&amp;$A$1,РД[Дата подачи на регистрацию],"&gt;="&amp;DATE(YEAR($A$1),MONTH($A$1),1),РД[Состояние],"Продажа")</f>
        <v>650.19999999999993</v>
      </c>
      <c r="I137" s="203">
        <f>SUMIFS(РД[Стоимость без отделки итог],РД[Дом],$C$132,РД[МОП],A137,РД[Дата подачи на регистрацию],"&lt;="&amp;$A$1,РД[Дата подачи на регистрацию],"&gt;="&amp;DATE(YEAR($A$1),MONTH($A$1),1),РД[Состояние],"Продажа")</f>
        <v>55518954.060000002</v>
      </c>
      <c r="J137" s="226">
        <f>COUNTIFS(РД[Дом],$C$132,РД[МОП],A137,РД[Дата подачи на регистрацию],"&lt;="&amp;$A$1,РД[Дата подачи на регистрацию],"&gt;="&amp;DATE(YEAR($A$1),MONTH($A$1),1),РД[Состояние],"Продажа")</f>
        <v>15</v>
      </c>
      <c r="K137" s="224">
        <f t="shared" si="4"/>
        <v>0.9491970802919707</v>
      </c>
      <c r="L137" s="225">
        <f t="shared" si="4"/>
        <v>0.9561781509049101</v>
      </c>
      <c r="M137" s="257">
        <f>COUNTIFS(РД[Тип кв],M$133,РД[МОП],$A137,РД[Дом],$C$132,РД[Дата подачи на регистрацию],"&lt;="&amp;$A$1,РД[Дата подачи на регистрацию],"&gt;="&amp;DATE(YEAR($A$1),MONTH($A$1),1))</f>
        <v>6</v>
      </c>
      <c r="N137" s="226">
        <f>COUNTIFS(РД[Тип кв],N$133,РД[МОП],$A137,РД[Дом],$C$132,РД[Дата подачи на регистрацию],"&lt;="&amp;$A$1,РД[Дата подачи на регистрацию],"&gt;="&amp;DATE(YEAR($A$1),MONTH($A$1),1))</f>
        <v>5</v>
      </c>
      <c r="O137" s="226">
        <f>COUNTIFS(РД[Тип кв],O$133,РД[МОП],$A137,РД[Дом],$C$132,РД[Дата подачи на регистрацию],"&lt;="&amp;$A$1,РД[Дата подачи на регистрацию],"&gt;="&amp;DATE(YEAR($A$1),MONTH($A$1),1))</f>
        <v>1</v>
      </c>
      <c r="P137" s="226">
        <f>COUNTIFS(РД[Тип кв],P$133,РД[МОП],$A137,РД[Дом],$C$132,РД[Дата подачи на регистрацию],"&lt;="&amp;$A$1,РД[Дата подачи на регистрацию],"&gt;="&amp;DATE(YEAR($A$1),MONTH($A$1),1))</f>
        <v>3</v>
      </c>
      <c r="Q137" s="227">
        <f>COUNTIFS(РД[Тип кв],Q$133,РД[МОП],$A137,РД[Дом],$C$132,РД[Дата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153" t="s">
        <v>20</v>
      </c>
      <c r="B138" s="315">
        <f>IFERROR(VLOOKUP(A138,'Индивидуальный план'!$R$16:$T$27,2,0),"")</f>
        <v>592</v>
      </c>
      <c r="C138" s="363">
        <f>IFERROR(VLOOKUP(A138,'Индивидуальный план'!$R$16:$T$27,3,0),"")</f>
        <v>50180339.504000001</v>
      </c>
      <c r="D138" s="366"/>
      <c r="E138" s="329">
        <f>SUMIFS(sept[м2],sept[МОП],$A138,sept[№ дома],$C$132,sept[Комнатность],"&lt;&gt;Офис")</f>
        <v>588.13</v>
      </c>
      <c r="F138" s="363">
        <f>SUMIFS(sept[Сумма без отделки],sept[МОП],$A138,sept[№ дома],$C$132,sept[Комнатность],"&lt;&gt;Офис")</f>
        <v>50091700.479999997</v>
      </c>
      <c r="G138" s="414">
        <f>COUNTIFS(sept[МОП],$A138,sept[№ дома],$C$132,sept[Комнатность],"&lt;&gt;Офис")</f>
        <v>12</v>
      </c>
      <c r="H138" s="358">
        <f>SUMIFS(РД[S],РД[Дом],$C$132,РД[МОП],A138,РД[Дата подачи на регистрацию],"&lt;="&amp;$A$1,РД[Дата подачи на регистрацию],"&gt;="&amp;DATE(YEAR($A$1),MONTH($A$1),1),РД[Состояние],"Продажа")</f>
        <v>755.43</v>
      </c>
      <c r="I138" s="359">
        <f>SUMIFS(РД[Стоимость без отделки итог],РД[Дом],$C$132,РД[МОП],A138,РД[Дата подачи на регистрацию],"&lt;="&amp;$A$1,РД[Дата подачи на регистрацию],"&gt;="&amp;DATE(YEAR($A$1),MONTH($A$1),1),РД[Состояние],"Продажа")</f>
        <v>64517496.630000003</v>
      </c>
      <c r="J138" s="330">
        <f>COUNTIFS(РД[Дом],$C$132,РД[МОП],A138,РД[Дата подачи на регистрацию],"&lt;="&amp;$A$1,РД[Дата подачи на регистрацию],"&gt;="&amp;DATE(YEAR($A$1),MONTH($A$1),1),РД[Состояние],"Продажа")</f>
        <v>16</v>
      </c>
      <c r="K138" s="360">
        <f t="shared" si="4"/>
        <v>1.2760641891891891</v>
      </c>
      <c r="L138" s="361">
        <f t="shared" si="4"/>
        <v>1.2857126370150833</v>
      </c>
      <c r="M138" s="329">
        <f>COUNTIFS(РД[Тип кв],M$133,РД[МОП],$A138,РД[Дом],$C$132,РД[Дата подачи на регистрацию],"&lt;="&amp;$A$1,РД[Дата подачи на регистрацию],"&gt;="&amp;DATE(YEAR($A$1),MONTH($A$1),1))</f>
        <v>2</v>
      </c>
      <c r="N138" s="330">
        <f>COUNTIFS(РД[Тип кв],N$133,РД[МОП],$A138,РД[Дом],$C$132,РД[Дата подачи на регистрацию],"&lt;="&amp;$A$1,РД[Дата подачи на регистрацию],"&gt;="&amp;DATE(YEAR($A$1),MONTH($A$1),1))</f>
        <v>7</v>
      </c>
      <c r="O138" s="330">
        <f>COUNTIFS(РД[Тип кв],O$133,РД[МОП],$A138,РД[Дом],$C$132,РД[Дата подачи на регистрацию],"&lt;="&amp;$A$1,РД[Дата подачи на регистрацию],"&gt;="&amp;DATE(YEAR($A$1),MONTH($A$1),1))</f>
        <v>6</v>
      </c>
      <c r="P138" s="330">
        <f>COUNTIFS(РД[Тип кв],P$133,РД[МОП],$A138,РД[Дом],$C$132,РД[Дата подачи на регистрацию],"&lt;="&amp;$A$1,РД[Дата подачи на регистрацию],"&gt;="&amp;DATE(YEAR($A$1),MONTH($A$1),1))</f>
        <v>1</v>
      </c>
      <c r="Q138" s="331">
        <f>COUNTIFS(РД[Тип кв],Q$133,РД[МОП],$A138,РД[Дом],$C$132,РД[Дата подачи на регистрацию],"&lt;="&amp;$A$1,РД[Дата подачи на регистрацию],"&gt;="&amp;DATE(YEAR($A$1),MONTH($A$1),1))</f>
        <v>0</v>
      </c>
      <c r="U138" s="66"/>
    </row>
    <row r="139" spans="1:21" s="65" customFormat="1">
      <c r="A139" s="154" t="s">
        <v>29</v>
      </c>
      <c r="B139" s="274" t="str">
        <f>IFERROR(VLOOKUP(A139,'Индивидуальный план'!$R$3:$T$14,2,0),"")</f>
        <v/>
      </c>
      <c r="C139" s="277" t="str">
        <f>IFERROR(VLOOKUP(A139,'Индивидуальный план'!$R$3:$T$14,3,0),"")</f>
        <v/>
      </c>
      <c r="D139" s="690"/>
      <c r="E139" s="341">
        <f>SUMIFS(sept[м2],sept[МОП],$A139,sept[№ дома],$C$132,sept[Комнатность],"&lt;&gt;Офис")</f>
        <v>0</v>
      </c>
      <c r="F139" s="277">
        <f>SUMIFS(sept[Сумма без отделки],sept[МОП],$A139,sept[№ дома],$C$132,sept[Комнатность],"&lt;&gt;Офис")</f>
        <v>0</v>
      </c>
      <c r="G139" s="405">
        <f>COUNTIFS(sept[МОП],$A139,sept[№ дома],$C$132,sept[Комнатность],"&lt;&gt;Офис")</f>
        <v>0</v>
      </c>
      <c r="H139" s="159">
        <f>SUMIFS(РД[S],РД[Дом],$C$132,РД[МОП],A139,РД[Дата подачи на регистрацию],"&lt;="&amp;$A$1,РД[Дата подачи на регистрацию],"&gt;="&amp;DATE(YEAR($A$1),MONTH($A$1),1),РД[Состояние],"Продажа")</f>
        <v>0</v>
      </c>
      <c r="I139" s="160">
        <f>SUMIFS(РД[Стоимость без отделки итог],РД[Дом],$C$132,РД[МОП],A139,РД[Дата подачи на регистрацию],"&lt;="&amp;$A$1,РД[Дата подачи на регистрацию],"&gt;="&amp;DATE(YEAR($A$1),MONTH($A$1),1),РД[Состояние],"Продажа")</f>
        <v>0</v>
      </c>
      <c r="J139" s="228">
        <f>COUNTIFS(РД[Дом],$C$132,РД[МОП],A139,РД[Дата подачи на регистрацию],"&lt;="&amp;$A$1,РД[Дата подачи на регистрацию],"&gt;="&amp;DATE(YEAR($A$1),MONTH($A$1),1),РД[Состояние],"Продажа")</f>
        <v>0</v>
      </c>
      <c r="K139" s="229">
        <f t="shared" si="4"/>
        <v>0</v>
      </c>
      <c r="L139" s="230">
        <f t="shared" si="4"/>
        <v>0</v>
      </c>
      <c r="M139" s="341">
        <f>COUNTIFS(РД[Тип кв],M$133,РД[МОП],$A139,РД[Дом],$C$132,РД[Дата подачи на регистрацию],"&lt;="&amp;$A$1,РД[Дата подачи на регистрацию],"&gt;="&amp;DATE(YEAR($A$1),MONTH($A$1),1))</f>
        <v>1</v>
      </c>
      <c r="N139" s="228">
        <f>COUNTIFS(РД[Тип кв],N$133,РД[МОП],$A139,РД[Дом],$C$132,РД[Дата подачи на регистрацию],"&lt;="&amp;$A$1,РД[Дата подачи на регистрацию],"&gt;="&amp;DATE(YEAR($A$1),MONTH($A$1),1))</f>
        <v>0</v>
      </c>
      <c r="O139" s="228">
        <f>COUNTIFS(РД[Тип кв],O$133,РД[МОП],$A139,РД[Дом],$C$132,РД[Дата подачи на регистрацию],"&lt;="&amp;$A$1,РД[Дата подачи на регистрацию],"&gt;="&amp;DATE(YEAR($A$1),MONTH($A$1),1))</f>
        <v>0</v>
      </c>
      <c r="P139" s="228">
        <f>COUNTIFS(РД[Тип кв],P$133,РД[МОП],$A139,РД[Дом],$C$132,РД[Дата подачи на регистрацию],"&lt;="&amp;$A$1,РД[Дата подачи на регистрацию],"&gt;="&amp;DATE(YEAR($A$1),MONTH($A$1),1))</f>
        <v>0</v>
      </c>
      <c r="Q139" s="231">
        <f>COUNTIFS(РД[Тип кв],Q$133,РД[МОП],$A139,РД[Дом],$C$132,РД[Дата подачи на регистрацию],"&lt;="&amp;$A$1,РД[Дата подачи на регистрацию],"&gt;="&amp;DATE(YEAR($A$1),MONTH($A$1),1))</f>
        <v>0</v>
      </c>
      <c r="U139" s="66"/>
    </row>
    <row r="140" spans="1:21" s="65" customFormat="1">
      <c r="A140" s="161" t="s">
        <v>1207</v>
      </c>
      <c r="B140" s="278" t="str">
        <f>IFERROR(VLOOKUP(A140,'Индивидуальный план'!$R$3:$T$14,2,0),"")</f>
        <v/>
      </c>
      <c r="C140" s="281" t="str">
        <f>IFERROR(VLOOKUP(A140,'Индивидуальный план'!$R$3:$T$14,3,0),"")</f>
        <v/>
      </c>
      <c r="D140" s="511"/>
      <c r="E140" s="406">
        <f>SUMIFS(sept[м2],sept[МОП],$A140,sept[№ дома],$C$132,sept[Комнатность],"&lt;&gt;Офис")</f>
        <v>231.51000000000002</v>
      </c>
      <c r="F140" s="281">
        <f>SUMIFS(sept[Сумма без отделки],sept[МОП],$A140,sept[№ дома],$C$132,sept[Комнатность],"&lt;&gt;Офис")</f>
        <v>20473655.580000002</v>
      </c>
      <c r="G140" s="407">
        <f>COUNTIFS(sept[МОП],$A140,sept[№ дома],$C$132,sept[Комнатность],"&lt;&gt;Офис")</f>
        <v>6</v>
      </c>
      <c r="H140" s="166">
        <f>SUMIFS(РД[S],РД[Дом],$C$132,РД[МОП],A140,РД[Дата подачи на регистрацию],"&lt;="&amp;$A$1,РД[Дата подачи на регистрацию],"&gt;="&amp;DATE(YEAR($A$1),MONTH($A$1),1),РД[Состояние],"Продажа")</f>
        <v>0</v>
      </c>
      <c r="I140" s="167">
        <f>SUMIFS(РД[Стоимость без отделки итог],РД[Дом],$C$132,РД[МОП],A140,РД[Дата подачи на регистрацию],"&lt;="&amp;$A$1,РД[Дата подачи на регистрацию],"&gt;="&amp;DATE(YEAR($A$1),MONTH($A$1),1),РД[Состояние],"Продажа")</f>
        <v>0</v>
      </c>
      <c r="J140" s="232">
        <f>COUNTIFS(РД[Дом],$C$132,РД[МОП],A140,РД[Дата подачи на регистрацию],"&lt;="&amp;$A$1,РД[Дата подачи на регистрацию],"&gt;="&amp;DATE(YEAR($A$1),MONTH($A$1),1),РД[Состояние],"Продажа")</f>
        <v>0</v>
      </c>
      <c r="K140" s="233">
        <f t="shared" si="4"/>
        <v>0</v>
      </c>
      <c r="L140" s="234">
        <f t="shared" si="4"/>
        <v>0</v>
      </c>
      <c r="M140" s="406">
        <f>COUNTIFS(РД[Тип кв],M$133,РД[МОП],$A140,РД[Дом],$C$132,РД[Дата подачи на регистрацию],"&lt;="&amp;$A$1,РД[Дата подачи на регистрацию],"&gt;="&amp;DATE(YEAR($A$1),MONTH($A$1),1))</f>
        <v>0</v>
      </c>
      <c r="N140" s="232">
        <f>COUNTIFS(РД[Тип кв],N$133,РД[МОП],$A140,РД[Дом],$C$132,РД[Дата подачи на регистрацию],"&lt;="&amp;$A$1,РД[Дата подачи на регистрацию],"&gt;="&amp;DATE(YEAR($A$1),MONTH($A$1),1))</f>
        <v>0</v>
      </c>
      <c r="O140" s="232">
        <f>COUNTIFS(РД[Тип кв],O$133,РД[МОП],$A140,РД[Дом],$C$132,РД[Дата подачи на регистрацию],"&lt;="&amp;$A$1,РД[Дата подачи на регистрацию],"&gt;="&amp;DATE(YEAR($A$1),MONTH($A$1),1))</f>
        <v>0</v>
      </c>
      <c r="P140" s="232">
        <f>COUNTIFS(РД[Тип кв],P$133,РД[МОП],$A140,РД[Дом],$C$132,РД[Дата подачи на регистрацию],"&lt;="&amp;$A$1,РД[Дата подачи на регистрацию],"&gt;="&amp;DATE(YEAR($A$1),MONTH($A$1),1))</f>
        <v>0</v>
      </c>
      <c r="Q140" s="337">
        <f>COUNTIFS(РД[Тип кв],Q$133,РД[МОП],$A140,РД[Дом],$C$132,РД[Дата подачи на регистрацию],"&lt;="&amp;$A$1,РД[Дата подачи на регистрацию],"&gt;="&amp;DATE(YEAR($A$1),MONTH($A$1),1))</f>
        <v>0</v>
      </c>
      <c r="U140" s="66"/>
    </row>
    <row r="141" spans="1:21" s="65" customFormat="1">
      <c r="A141" s="168" t="s">
        <v>114</v>
      </c>
      <c r="B141" s="172">
        <f>SUM(B134:B140)</f>
        <v>2974</v>
      </c>
      <c r="C141" s="172">
        <f>SUM(C134:C140)</f>
        <v>252088394.73800001</v>
      </c>
      <c r="D141" s="691">
        <f t="shared" ref="D141" si="5">SUM(D134:D140)</f>
        <v>0</v>
      </c>
      <c r="E141" s="173">
        <f t="shared" ref="E141" si="6">SUM(E134:E140)</f>
        <v>2772.98</v>
      </c>
      <c r="F141" s="173">
        <f t="shared" ref="F141" si="7">SUM(F134:F140)</f>
        <v>241310240.91999999</v>
      </c>
      <c r="G141" s="171">
        <f t="shared" ref="G141" si="8">SUM(G134:G140)</f>
        <v>69</v>
      </c>
      <c r="H141" s="172">
        <f t="shared" ref="H141" si="9">SUM(H134:H140)</f>
        <v>2762.1</v>
      </c>
      <c r="I141" s="173">
        <f t="shared" ref="I141" si="10">SUM(I134:I140)</f>
        <v>240412024.27000001</v>
      </c>
      <c r="J141" s="170">
        <f t="shared" ref="J141" si="11">SUM(J134:J140)</f>
        <v>69</v>
      </c>
      <c r="K141" s="238">
        <f>IFERROR(H141/B141,"")</f>
        <v>0.92874915938130465</v>
      </c>
      <c r="L141" s="501">
        <f>IFERROR(I141/C141,"")</f>
        <v>0.9536814438437935</v>
      </c>
      <c r="M141" s="171">
        <f t="shared" ref="M141:Q141" si="12">SUM(M134:M140)</f>
        <v>24</v>
      </c>
      <c r="N141" s="171">
        <f t="shared" si="12"/>
        <v>31</v>
      </c>
      <c r="O141" s="171">
        <f t="shared" si="12"/>
        <v>12</v>
      </c>
      <c r="P141" s="171">
        <f t="shared" si="12"/>
        <v>4</v>
      </c>
      <c r="Q141" s="171">
        <f t="shared" si="12"/>
        <v>0</v>
      </c>
      <c r="U141" s="66"/>
    </row>
    <row r="142" spans="1:21" s="65" customFormat="1">
      <c r="A142" s="692" t="s">
        <v>115</v>
      </c>
      <c r="B142" s="686" t="s">
        <v>100</v>
      </c>
      <c r="C142" s="693" t="s">
        <v>97</v>
      </c>
      <c r="D142" s="688" t="s">
        <v>95</v>
      </c>
      <c r="E142" s="295" t="s">
        <v>494</v>
      </c>
      <c r="F142" s="138" t="s">
        <v>495</v>
      </c>
      <c r="G142" s="470" t="s">
        <v>496</v>
      </c>
      <c r="H142" s="481" t="s">
        <v>101</v>
      </c>
      <c r="I142" s="482" t="s">
        <v>98</v>
      </c>
      <c r="J142" s="482" t="s">
        <v>96</v>
      </c>
      <c r="K142" s="502" t="s">
        <v>715</v>
      </c>
      <c r="L142" s="503" t="s">
        <v>716</v>
      </c>
      <c r="M142" s="504">
        <v>0</v>
      </c>
      <c r="N142" s="505">
        <v>1</v>
      </c>
      <c r="O142" s="505">
        <v>2</v>
      </c>
      <c r="P142" s="505">
        <v>3</v>
      </c>
      <c r="Q142" s="506" t="s">
        <v>1367</v>
      </c>
      <c r="U142" s="66"/>
    </row>
    <row r="143" spans="1:21" s="65" customFormat="1">
      <c r="A143" s="142" t="s">
        <v>16</v>
      </c>
      <c r="B143" s="271">
        <f>IFERROR(VLOOKUP(A143,'Индивидуальный план'!$R$16:$T$27,2,0),"")</f>
        <v>1380</v>
      </c>
      <c r="C143" s="52">
        <f>IFERROR(VLOOKUP(A143,'Индивидуальный план'!$R$16:$T$27,3,0),"")</f>
        <v>116974440.06</v>
      </c>
      <c r="D143" s="702"/>
      <c r="E143" s="145">
        <f>SUMIFS(sept[м2],sept[ИМ],A143,sept[№ дома],$C$132,sept[Комнатность],"&lt;&gt;Офис")</f>
        <v>1759.4299999999994</v>
      </c>
      <c r="F143" s="149">
        <f>SUMIFS(sept[Сумма без отделки],sept[ИМ],$A143,sept[№ дома],$C$132,sept[Комнатность],"&lt;&gt;Офис")</f>
        <v>153337280.45999998</v>
      </c>
      <c r="G143" s="147">
        <f>COUNTIFS(sept[ИМ],$A143,sept[№ дома],$C$132,sept[Комнатность],"&lt;&gt;Офис")</f>
        <v>42</v>
      </c>
      <c r="H143" s="183">
        <f>SUMIFS(РД[S],РД[Дом],$C$132,РД[ИМ],A143,РД[Дата подачи на регистрацию],"&lt;="&amp;$A$1,РД[Дата подачи на регистрацию],"&gt;="&amp;DATE(YEAR($A$1),MONTH($A$1),1),РД[Состояние],"Продажа")</f>
        <v>1734.9</v>
      </c>
      <c r="I143" s="184">
        <f>SUMIFS(РД[Стоимость без отделки итог],РД[Дом],$C$132,РД[ИМ],A143,РД[Дата подачи на регистрацию],"&lt;="&amp;$A$1,РД[Дата подачи на регистрацию],"&gt;="&amp;DATE(YEAR($A$1),MONTH($A$1),1),РД[Состояние],"Продажа")</f>
        <v>150881097.30000001</v>
      </c>
      <c r="J143" s="243">
        <f>COUNTIFS(РД[Дом],$C$132,РД[ИМ],A143,РД[Дата подачи на регистрацию],"&lt;="&amp;$A$1,РД[Дата подачи на регистрацию],"&gt;="&amp;DATE(YEAR($A$1),MONTH($A$1),1),РД[Состояние],"Продажа")</f>
        <v>41</v>
      </c>
      <c r="K143" s="244">
        <f>IFERROR(H143/B143,"")</f>
        <v>1.2571739130434783</v>
      </c>
      <c r="L143" s="245">
        <f>IFERROR(I143/C143,"")</f>
        <v>1.2898638131766922</v>
      </c>
      <c r="M143" s="183">
        <f>COUNTIFS(РД[Тип кв],M133,РД[ИМ],$A143,РД[Дом],$C$132,РД[Дата подачи на регистрацию],"&lt;="&amp;$A$1,РД[Дата подачи на регистрацию],"&gt;="&amp;DATE(YEAR($A$1),MONTH($A$1),1))</f>
        <v>13</v>
      </c>
      <c r="N143" s="243">
        <f>COUNTIFS(РД[Тип кв],N133,РД[ИМ],$A143,РД[Дом],$C$132,РД[Дата подачи на регистрацию],"&lt;="&amp;$A$1,РД[Дата подачи на регистрацию],"&gt;="&amp;DATE(YEAR($A$1),MONTH($A$1),1))</f>
        <v>17</v>
      </c>
      <c r="O143" s="243">
        <f>COUNTIFS(РД[Тип кв],O133,РД[ИМ],$A143,РД[Дом],$C$132,РД[Дата подачи на регистрацию],"&lt;="&amp;$A$1,РД[Дата подачи на регистрацию],"&gt;="&amp;DATE(YEAR($A$1),MONTH($A$1),1))</f>
        <v>7</v>
      </c>
      <c r="P143" s="243">
        <f>COUNTIFS(РД[Тип кв],P133,РД[ИМ],$A143,РД[Дом],$C$132,РД[Дата подачи на регистрацию],"&lt;="&amp;$A$1,РД[Дата подачи на регистрацию],"&gt;="&amp;DATE(YEAR($A$1),MONTH($A$1),1))</f>
        <v>4</v>
      </c>
      <c r="Q143" s="246">
        <f>COUNTIFS(РД[Тип кв],Q133,РД[ИМ],$A143,РД[Дом],$C$132,РД[Дата подачи на регистрацию],"&lt;="&amp;$A$1,РД[Дата подачи на регистрацию],"&gt;="&amp;DATE(YEAR($A$1),MONTH($A$1),1))</f>
        <v>0</v>
      </c>
      <c r="U143" s="66"/>
    </row>
    <row r="144" spans="1:21" s="65" customFormat="1">
      <c r="A144" s="153" t="s">
        <v>22</v>
      </c>
      <c r="B144" s="271">
        <f>IFERROR(VLOOKUP(A144,'Индивидуальный план'!$R$16:$T$27,2,0),"")</f>
        <v>700</v>
      </c>
      <c r="C144" s="52">
        <f>IFERROR(VLOOKUP(A144,'Индивидуальный план'!$R$16:$T$27,3,0),"")</f>
        <v>59334860.899999999</v>
      </c>
      <c r="D144" s="703"/>
      <c r="E144" s="329">
        <f>SUMIFS(sept[м2],sept[ИМ],A144,sept[№ дома],$C$132,sept[Комнатность],"&lt;&gt;Офис")</f>
        <v>692.88</v>
      </c>
      <c r="F144" s="359">
        <f>SUMIFS(sept[Сумма без отделки],sept[ИМ],$A144,sept[№ дома],$C$132,sept[Комнатность],"&lt;&gt;Офис")</f>
        <v>59930860.799999997</v>
      </c>
      <c r="G144" s="414">
        <f>COUNTIFS(sept[ИМ],$A144,sept[№ дома],$C$132,sept[Комнатность],"&lt;&gt;Офис")</f>
        <v>17</v>
      </c>
      <c r="H144" s="358">
        <f>SUMIFS(РД[S],РД[Дом],$C$132,РД[ИМ],A144,РД[Дата подачи на регистрацию],"&lt;="&amp;$A$1,РД[Дата подачи на регистрацию],"&gt;="&amp;DATE(YEAR($A$1),MONTH($A$1),1),РД[Состояние],"Продажа")</f>
        <v>741.91000000000008</v>
      </c>
      <c r="I144" s="359">
        <f>SUMIFS(РД[Стоимость без отделки итог],РД[Дом],$C$132,РД[ИМ],A144,РД[Дата подачи на регистрацию],"&lt;="&amp;$A$1,РД[Дата подачи на регистрацию],"&gt;="&amp;DATE(YEAR($A$1),MONTH($A$1),1),РД[Состояние],"Продажа")</f>
        <v>64419254.670000009</v>
      </c>
      <c r="J144" s="330">
        <f>COUNTIFS(РД[Дом],$C$132,РД[ИМ],A144,РД[Дата подачи на регистрацию],"&lt;="&amp;$A$1,РД[Дата подачи на регистрацию],"&gt;="&amp;DATE(YEAR($A$1),MONTH($A$1),1),РД[Состояние],"Продажа")</f>
        <v>19</v>
      </c>
      <c r="K144" s="360">
        <f>IFERROR(H144/B144,"")</f>
        <v>1.0598714285714288</v>
      </c>
      <c r="L144" s="367">
        <f>IFERROR(I144/C144,"")</f>
        <v>1.0856898237036232</v>
      </c>
      <c r="M144" s="195">
        <f>COUNTIFS(РД[Тип кв],M$133,РД[ИМ],$A144,РД[Дом],$C$132,РД[Дата подачи на регистрацию],"&lt;="&amp;$A$1,РД[Дата подачи на регистрацию],"&gt;="&amp;DATE(YEAR($A$1),MONTH($A$1),1))</f>
        <v>6</v>
      </c>
      <c r="N144" s="251">
        <f>COUNTIFS(РД[Тип кв],N$133,РД[ИМ],$A144,РД[Дом],$C$132,РД[Дата подачи на регистрацию],"&lt;="&amp;$A$1,РД[Дата подачи на регистрацию],"&gt;="&amp;DATE(YEAR($A$1),MONTH($A$1),1))</f>
        <v>8</v>
      </c>
      <c r="O144" s="251">
        <f>COUNTIFS(РД[Тип кв],O$133,РД[ИМ],$A144,РД[Дом],$C$132,РД[Дата подачи на регистрацию],"&lt;="&amp;$A$1,РД[Дата подачи на регистрацию],"&gt;="&amp;DATE(YEAR($A$1),MONTH($A$1),1))</f>
        <v>5</v>
      </c>
      <c r="P144" s="251">
        <f>COUNTIFS(РД[Тип кв],P$133,РД[ИМ],$A144,РД[Дом],$C$132,РД[Дата подачи на регистрацию],"&lt;="&amp;$A$1,РД[Дата подачи на регистрацию],"&gt;="&amp;DATE(YEAR($A$1),MONTH($A$1),1))</f>
        <v>0</v>
      </c>
      <c r="Q144" s="254">
        <f>COUNTIFS(РД[Тип кв],Q$133,РД[ИМ],$A144,РД[Дом],$C$132,РД[Дата подачи на регистрацию],"&lt;="&amp;$A$1,РД[Дата подачи на регистрацию],"&gt;="&amp;DATE(YEAR($A$1),MONTH($A$1),1))</f>
        <v>0</v>
      </c>
      <c r="R144" s="86"/>
      <c r="S144" s="86"/>
      <c r="T144" s="86"/>
      <c r="U144" s="66"/>
    </row>
    <row r="145" spans="1:21" s="65" customFormat="1">
      <c r="A145" s="317" t="s">
        <v>114</v>
      </c>
      <c r="B145" s="410">
        <f t="shared" ref="B145:J145" si="13">SUM(B143:B144)</f>
        <v>2080</v>
      </c>
      <c r="C145" s="411">
        <f t="shared" si="13"/>
        <v>176309300.96000001</v>
      </c>
      <c r="D145" s="497">
        <f t="shared" si="13"/>
        <v>0</v>
      </c>
      <c r="E145" s="484">
        <f t="shared" si="13"/>
        <v>2452.3099999999995</v>
      </c>
      <c r="F145" s="429">
        <f t="shared" si="13"/>
        <v>213268141.25999999</v>
      </c>
      <c r="G145" s="485">
        <f t="shared" si="13"/>
        <v>59</v>
      </c>
      <c r="H145" s="473">
        <f t="shared" si="13"/>
        <v>2476.8100000000004</v>
      </c>
      <c r="I145" s="429">
        <f t="shared" si="13"/>
        <v>215300351.97000003</v>
      </c>
      <c r="J145" s="494">
        <f t="shared" si="13"/>
        <v>60</v>
      </c>
      <c r="K145" s="419">
        <f>IFERROR(H145/B145,)</f>
        <v>1.1907740384615386</v>
      </c>
      <c r="L145" s="507">
        <f>IFERROR(I145/C145,)</f>
        <v>1.2211514128732555</v>
      </c>
      <c r="M145" s="317">
        <f t="shared" ref="M145:Q145" si="14">SUM(M143:M144)</f>
        <v>19</v>
      </c>
      <c r="N145" s="485">
        <f t="shared" si="14"/>
        <v>25</v>
      </c>
      <c r="O145" s="485">
        <f t="shared" si="14"/>
        <v>12</v>
      </c>
      <c r="P145" s="485">
        <f t="shared" si="14"/>
        <v>4</v>
      </c>
      <c r="Q145" s="497">
        <f t="shared" si="14"/>
        <v>0</v>
      </c>
      <c r="R145" s="86"/>
      <c r="S145" s="86"/>
      <c r="T145" s="86"/>
      <c r="U145" s="66"/>
    </row>
    <row r="146" spans="1:21" s="65" customFormat="1">
      <c r="A146" s="134"/>
      <c r="B146" s="211"/>
      <c r="C146" s="211"/>
      <c r="D146" s="212"/>
      <c r="E146" s="134"/>
      <c r="F146" s="134"/>
      <c r="G146" s="134"/>
      <c r="H146" s="134"/>
      <c r="I146" s="134"/>
      <c r="J146" s="134"/>
      <c r="K146" s="134"/>
      <c r="L146" s="261"/>
      <c r="M146" s="134"/>
      <c r="N146" s="134"/>
      <c r="O146" s="134"/>
      <c r="P146" s="262"/>
      <c r="Q146" s="134"/>
      <c r="U146" s="66"/>
    </row>
    <row r="147" spans="1:21" s="65" customFormat="1">
      <c r="A147" s="2327" t="s">
        <v>713</v>
      </c>
      <c r="B147" s="2328"/>
      <c r="C147" s="474" t="s">
        <v>718</v>
      </c>
      <c r="D147" s="704"/>
      <c r="E147" s="476"/>
      <c r="F147" s="476"/>
      <c r="G147" s="476"/>
      <c r="H147" s="476"/>
      <c r="I147" s="476"/>
      <c r="J147" s="476"/>
      <c r="K147" s="476"/>
      <c r="L147" s="476"/>
      <c r="M147" s="476"/>
      <c r="N147" s="476"/>
      <c r="O147" s="476"/>
      <c r="P147" s="476"/>
      <c r="Q147" s="134"/>
      <c r="U147" s="66"/>
    </row>
    <row r="148" spans="1:21" s="65" customFormat="1">
      <c r="A148" s="705" t="s">
        <v>1</v>
      </c>
      <c r="B148" s="706" t="s">
        <v>100</v>
      </c>
      <c r="C148" s="707" t="s">
        <v>97</v>
      </c>
      <c r="D148" s="708" t="s">
        <v>95</v>
      </c>
      <c r="E148" s="486" t="s">
        <v>494</v>
      </c>
      <c r="F148" s="487" t="s">
        <v>495</v>
      </c>
      <c r="G148" s="488" t="s">
        <v>496</v>
      </c>
      <c r="H148" s="489" t="s">
        <v>101</v>
      </c>
      <c r="I148" s="490" t="s">
        <v>98</v>
      </c>
      <c r="J148" s="490" t="s">
        <v>96</v>
      </c>
      <c r="K148" s="490" t="s">
        <v>715</v>
      </c>
      <c r="L148" s="508" t="s">
        <v>716</v>
      </c>
      <c r="M148" s="217">
        <v>0</v>
      </c>
      <c r="N148" s="218">
        <v>1</v>
      </c>
      <c r="O148" s="218">
        <v>2</v>
      </c>
      <c r="P148" s="218">
        <v>3</v>
      </c>
      <c r="Q148" s="219" t="s">
        <v>1367</v>
      </c>
      <c r="U148" s="66"/>
    </row>
    <row r="149" spans="1:21" s="65" customFormat="1">
      <c r="A149" s="177" t="s">
        <v>73</v>
      </c>
      <c r="B149" s="291">
        <f>IFERROR(VLOOKUP(A149,'Индивидуальный план'!$R$29:$T$40,2,0),"")</f>
        <v>1000</v>
      </c>
      <c r="C149" s="292">
        <f>IFERROR(VLOOKUP(A149,'Индивидуальный план'!$R$29:$T$40,3,0),"")</f>
        <v>86222353.701499999</v>
      </c>
      <c r="D149" s="876">
        <f>D134+D119</f>
        <v>0</v>
      </c>
      <c r="E149" s="346">
        <f>SUMIFS(sept[м2],sept[МОП],$A149,sept[Комнатность],"&lt;&gt;Офис")</f>
        <v>388.97</v>
      </c>
      <c r="F149" s="292">
        <f>SUMIFS(sept[Сумма без отделки],sept[МОП],$A149,sept[Комнатность],"&lt;&gt;Офис")</f>
        <v>37025202.440000005</v>
      </c>
      <c r="G149" s="415">
        <f>COUNTIFS(sept[МОП],$A149,sept[Комнатность],"&lt;&gt;Офис")</f>
        <v>11</v>
      </c>
      <c r="H149" s="183">
        <f>SUMIFS(РД[S],РД[МОП],A149,РД[Дата подачи на регистрацию],"&lt;="&amp;$A$1,РД[Дата подачи на регистрацию],"&gt;="&amp;DATE(YEAR($A$1),MONTH($A$1),1),РД[Состояние],"Продажа")</f>
        <v>418.37</v>
      </c>
      <c r="I149" s="184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39677951.210000001</v>
      </c>
      <c r="J149" s="243">
        <f>COUNTIFS(РД[МОП],A149,РД[Дата подачи на регистрацию],"&lt;="&amp;$A$1,РД[Дата подачи на регистрацию],"&gt;="&amp;DATE(YEAR($A$1),MONTH($A$1),1),РД[Состояние],"Продажа")</f>
        <v>12</v>
      </c>
      <c r="K149" s="244">
        <f t="shared" ref="K149:L155" si="15">IFERROR(H149/B149,"")</f>
        <v>0.41837000000000002</v>
      </c>
      <c r="L149" s="258">
        <f t="shared" si="15"/>
        <v>0.46018172210148944</v>
      </c>
      <c r="M149" s="877">
        <f t="shared" ref="M149:Q149" si="16">M134+M119</f>
        <v>5</v>
      </c>
      <c r="N149" s="878">
        <f t="shared" si="16"/>
        <v>6</v>
      </c>
      <c r="O149" s="878">
        <f t="shared" si="16"/>
        <v>1</v>
      </c>
      <c r="P149" s="878">
        <f t="shared" si="16"/>
        <v>0</v>
      </c>
      <c r="Q149" s="689">
        <f t="shared" si="16"/>
        <v>0</v>
      </c>
      <c r="U149" s="66"/>
    </row>
    <row r="150" spans="1:21" s="65" customFormat="1">
      <c r="A150" s="398" t="s">
        <v>8</v>
      </c>
      <c r="B150" s="271">
        <f>IFERROR(VLOOKUP(A150,'Индивидуальный план'!$R$29:$T$40,2,0),"")</f>
        <v>610</v>
      </c>
      <c r="C150" s="52">
        <f>IFERROR(VLOOKUP(A150,'Индивидуальный план'!$R$29:$T$40,3,0),"")</f>
        <v>52585682.509000003</v>
      </c>
      <c r="D150" s="327">
        <f>D135+D120</f>
        <v>0</v>
      </c>
      <c r="E150" s="257">
        <f>SUMIFS(sept[м2],sept[МОП],$A150,sept[Комнатность],"&lt;&gt;Офис")</f>
        <v>911.74</v>
      </c>
      <c r="F150" s="52">
        <f>SUMIFS(sept[Сумма без отделки],sept[МОП],$A150,sept[Комнатность],"&lt;&gt;Офис")</f>
        <v>80291363.25</v>
      </c>
      <c r="G150" s="413">
        <f>COUNTIFS(sept[МОП],$A150,sept[Комнатность],"&lt;&gt;Офис")</f>
        <v>21</v>
      </c>
      <c r="H150" s="202">
        <f>SUMIFS(РД[S],РД[МОП],A150,РД[Дата подачи на регистрацию],"&lt;="&amp;$A$1,РД[Дата подачи на регистрацию],"&gt;="&amp;DATE(YEAR($A$1),MONTH($A$1),1),РД[Состояние],"Продажа")</f>
        <v>876</v>
      </c>
      <c r="I150" s="203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77453220.149999991</v>
      </c>
      <c r="J150" s="226">
        <f>COUNTIFS(РД[МОП],A150,РД[Дата подачи на регистрацию],"&lt;="&amp;$A$1,РД[Дата подачи на регистрацию],"&gt;="&amp;DATE(YEAR($A$1),MONTH($A$1),1),РД[Состояние],"Продажа")</f>
        <v>20</v>
      </c>
      <c r="K150" s="224">
        <f t="shared" si="15"/>
        <v>1.4360655737704917</v>
      </c>
      <c r="L150" s="225">
        <f t="shared" si="15"/>
        <v>1.4728955954264533</v>
      </c>
      <c r="M150" s="325">
        <f t="shared" ref="M150:Q150" si="17">M135+M120</f>
        <v>7</v>
      </c>
      <c r="N150" s="326">
        <f t="shared" si="17"/>
        <v>6</v>
      </c>
      <c r="O150" s="326">
        <f t="shared" si="17"/>
        <v>7</v>
      </c>
      <c r="P150" s="326">
        <f t="shared" si="17"/>
        <v>1</v>
      </c>
      <c r="Q150" s="327">
        <f t="shared" si="17"/>
        <v>0</v>
      </c>
      <c r="U150" s="66"/>
    </row>
    <row r="151" spans="1:21" s="65" customFormat="1">
      <c r="A151" s="398" t="s">
        <v>77</v>
      </c>
      <c r="B151" s="271">
        <f>IFERROR(VLOOKUP(A151,'Индивидуальный план'!$R$29:$T$40,2,0),"")</f>
        <v>869</v>
      </c>
      <c r="C151" s="52">
        <f>IFERROR(VLOOKUP(A151,'Индивидуальный план'!$R$29:$T$40,3,0),"")</f>
        <v>74942340.416700006</v>
      </c>
      <c r="D151" s="327">
        <f>D136+D121</f>
        <v>0</v>
      </c>
      <c r="E151" s="257">
        <f>SUMIFS(sept[м2],sept[МОП],$A151,sept[Комнатность],"&lt;&gt;Офис")</f>
        <v>559.48</v>
      </c>
      <c r="F151" s="52">
        <f>SUMIFS(sept[Сумма без отделки],sept[МОП],$A151,sept[Комнатность],"&lt;&gt;Офис")</f>
        <v>51686745.149999999</v>
      </c>
      <c r="G151" s="413">
        <f>COUNTIFS(sept[МОП],$A151,sept[Комнатность],"&lt;&gt;Офис")</f>
        <v>16</v>
      </c>
      <c r="H151" s="202">
        <f>SUMIFS(РД[S],РД[МОП],A151,РД[Дата подачи на регистрацию],"&lt;="&amp;$A$1,РД[Дата подачи на регистрацию],"&gt;="&amp;DATE(YEAR($A$1),MONTH($A$1),1),РД[Состояние],"Продажа")</f>
        <v>652.29</v>
      </c>
      <c r="I151" s="203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59399340.139999993</v>
      </c>
      <c r="J151" s="226">
        <f>COUNTIFS(РД[МОП],A151,РД[Дата подачи на регистрацию],"&lt;="&amp;$A$1,РД[Дата подачи на регистрацию],"&gt;="&amp;DATE(YEAR($A$1),MONTH($A$1),1),РД[Состояние],"Продажа")</f>
        <v>18</v>
      </c>
      <c r="K151" s="224">
        <f t="shared" si="15"/>
        <v>0.75062140391254306</v>
      </c>
      <c r="L151" s="225">
        <f t="shared" si="15"/>
        <v>0.7926005487648683</v>
      </c>
      <c r="M151" s="325">
        <f t="shared" ref="M151:Q151" si="18">M136+M121</f>
        <v>5</v>
      </c>
      <c r="N151" s="326">
        <f t="shared" si="18"/>
        <v>11</v>
      </c>
      <c r="O151" s="326">
        <f t="shared" si="18"/>
        <v>2</v>
      </c>
      <c r="P151" s="326">
        <f t="shared" si="18"/>
        <v>0</v>
      </c>
      <c r="Q151" s="327">
        <f t="shared" si="18"/>
        <v>0</v>
      </c>
      <c r="U151" s="66"/>
    </row>
    <row r="152" spans="1:21" s="65" customFormat="1">
      <c r="A152" s="398" t="s">
        <v>1233</v>
      </c>
      <c r="B152" s="271">
        <f>IFERROR(VLOOKUP(A152,'Индивидуальный план'!$R$29:$T$40,2,0),"")</f>
        <v>1000</v>
      </c>
      <c r="C152" s="52">
        <f>IFERROR(VLOOKUP(A152,'Индивидуальный план'!$R$29:$T$40,3,0),"")</f>
        <v>86222353.701499999</v>
      </c>
      <c r="D152" s="327">
        <f>D137+D122</f>
        <v>0</v>
      </c>
      <c r="E152" s="257">
        <f>SUMIFS(sept[м2],sept[МОП],$A152,sept[Комнатность],"&lt;&gt;Офис")</f>
        <v>715.58000000000015</v>
      </c>
      <c r="F152" s="52">
        <f>SUMIFS(sept[Сумма без отделки],sept[МОП],$A152,sept[Комнатность],"&lt;&gt;Офис")</f>
        <v>61060522.319999993</v>
      </c>
      <c r="G152" s="413">
        <f>COUNTIFS(sept[МОП],$A152,sept[Комнатность],"&lt;&gt;Офис")</f>
        <v>16</v>
      </c>
      <c r="H152" s="202">
        <f>SUMIFS(РД[S],РД[МОП],A152,РД[Дата подачи на регистрацию],"&lt;="&amp;$A$1,РД[Дата подачи на регистрацию],"&gt;="&amp;DATE(YEAR($A$1),MONTH($A$1),1),РД[Состояние],"Продажа")</f>
        <v>794.75999999999988</v>
      </c>
      <c r="I152" s="203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регистрацию],"&gt;="&amp;DATE(YEAR($A$1),MONTH($A$1),1),РД[Состояние],"Продажа")</f>
        <v>68603976.409999996</v>
      </c>
      <c r="J152" s="226">
        <f>COUNTIFS(РД[МОП],A152,РД[Дата подачи на регистрацию],"&lt;="&amp;$A$1,РД[Дата подачи на регистрацию],"&gt;="&amp;DATE(YEAR($A$1),MONTH($A$1),1),РД[Состояние],"Продажа")</f>
        <v>18</v>
      </c>
      <c r="K152" s="224">
        <f t="shared" si="15"/>
        <v>0.79475999999999991</v>
      </c>
      <c r="L152" s="225">
        <f t="shared" si="15"/>
        <v>0.79566346156016043</v>
      </c>
      <c r="M152" s="325">
        <f t="shared" ref="M152:Q152" si="19">M137+M122</f>
        <v>7</v>
      </c>
      <c r="N152" s="326">
        <f t="shared" si="19"/>
        <v>6</v>
      </c>
      <c r="O152" s="326">
        <f t="shared" si="19"/>
        <v>2</v>
      </c>
      <c r="P152" s="326">
        <f t="shared" si="19"/>
        <v>3</v>
      </c>
      <c r="Q152" s="327">
        <f t="shared" si="19"/>
        <v>0</v>
      </c>
      <c r="U152" s="66"/>
    </row>
    <row r="153" spans="1:21" s="65" customFormat="1">
      <c r="A153" s="153" t="s">
        <v>20</v>
      </c>
      <c r="B153" s="315">
        <f>IFERROR(VLOOKUP(A153,'Индивидуальный план'!$R$29:$T$40,2,0),"")</f>
        <v>869</v>
      </c>
      <c r="C153" s="363">
        <f>IFERROR(VLOOKUP(A153,'Индивидуальный план'!$R$29:$T$40,3,0),"")</f>
        <v>74942340.416700006</v>
      </c>
      <c r="D153" s="366">
        <f>D138+D123</f>
        <v>0</v>
      </c>
      <c r="E153" s="329">
        <f>SUMIFS(sept[м2],sept[МОП],$A153,sept[Комнатность],"&lt;&gt;Офис")</f>
        <v>861.45</v>
      </c>
      <c r="F153" s="363">
        <f>SUMIFS(sept[Сумма без отделки],sept[МОП],$A153,sept[Комнатность],"&lt;&gt;Офис")</f>
        <v>74094713.290000007</v>
      </c>
      <c r="G153" s="414">
        <f>COUNTIFS(sept[МОП],$A153,sept[Комнатность],"&lt;&gt;Офис")</f>
        <v>17</v>
      </c>
      <c r="H153" s="358">
        <f>SUMIFS(РД[S],РД[МОП],A153,РД[Дата подачи на регистрацию],"&lt;="&amp;$A$1,РД[Дата подачи на регистрацию],"&gt;="&amp;DATE(YEAR($A$1),MONTH($A$1),1),РД[Состояние],"Продажа")</f>
        <v>1028.75</v>
      </c>
      <c r="I153" s="359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88520509.220000014</v>
      </c>
      <c r="J153" s="330">
        <f>COUNTIFS(РД[МОП],A153,РД[Дата подачи на регистрацию],"&lt;="&amp;$A$1,РД[Дата подачи на регистрацию],"&gt;="&amp;DATE(YEAR($A$1),MONTH($A$1),1),РД[Состояние],"Продажа")</f>
        <v>21</v>
      </c>
      <c r="K153" s="360">
        <f t="shared" si="15"/>
        <v>1.183831990794016</v>
      </c>
      <c r="L153" s="361">
        <f t="shared" si="15"/>
        <v>1.1811815420735683</v>
      </c>
      <c r="M153" s="364">
        <f t="shared" ref="M153:Q153" si="20">M138+M123</f>
        <v>2</v>
      </c>
      <c r="N153" s="365">
        <f t="shared" si="20"/>
        <v>9</v>
      </c>
      <c r="O153" s="365">
        <f t="shared" si="20"/>
        <v>8</v>
      </c>
      <c r="P153" s="365">
        <f t="shared" si="20"/>
        <v>2</v>
      </c>
      <c r="Q153" s="366">
        <f t="shared" si="20"/>
        <v>0</v>
      </c>
      <c r="R153" s="86"/>
      <c r="S153" s="86"/>
      <c r="T153" s="86"/>
      <c r="U153" s="66"/>
    </row>
    <row r="154" spans="1:21" s="65" customFormat="1">
      <c r="A154" s="154" t="s">
        <v>29</v>
      </c>
      <c r="B154" s="274"/>
      <c r="C154" s="277"/>
      <c r="D154" s="690"/>
      <c r="E154" s="341">
        <f>SUMIFS(sept[м2],sept[МОП],$A154,sept[Комнатность],"&lt;&gt;Офис")</f>
        <v>0</v>
      </c>
      <c r="F154" s="277">
        <f>SUMIFS(sept[Сумма без отделки],sept[МОП],$A154,sept[Комнатность],"&lt;&gt;Офис")</f>
        <v>0</v>
      </c>
      <c r="G154" s="405">
        <f>COUNTIFS(sept[МОП],$A154,sept[Комнатность],"&lt;&gt;Офис")</f>
        <v>0</v>
      </c>
      <c r="H154" s="159">
        <f>SUMIFS(РД[S],РД[МОП],A154,РД[Дата подачи на регистрацию],"&lt;="&amp;$A$1,РД[Дата подачи на регистрацию],"&gt;="&amp;DATE(YEAR($A$1),MONTH($A$1),1),РД[Состояние],"Продажа")</f>
        <v>0</v>
      </c>
      <c r="I154" s="160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0</v>
      </c>
      <c r="J154" s="228">
        <f>COUNTIFS(РД[МОП],A154,РД[Дата подачи на регистрацию],"&lt;="&amp;$A$1,РД[Дата подачи на регистрацию],"&gt;="&amp;DATE(YEAR($A$1),MONTH($A$1),1),РД[Состояние],"Продажа")</f>
        <v>0</v>
      </c>
      <c r="K154" s="229" t="str">
        <f t="shared" si="15"/>
        <v/>
      </c>
      <c r="L154" s="230" t="str">
        <f t="shared" si="15"/>
        <v/>
      </c>
      <c r="M154" s="159">
        <f t="shared" ref="M154:Q154" si="21">M139+M124</f>
        <v>1</v>
      </c>
      <c r="N154" s="228">
        <f t="shared" si="21"/>
        <v>0</v>
      </c>
      <c r="O154" s="228">
        <f t="shared" si="21"/>
        <v>0</v>
      </c>
      <c r="P154" s="228">
        <f t="shared" si="21"/>
        <v>0</v>
      </c>
      <c r="Q154" s="231">
        <f t="shared" si="21"/>
        <v>0</v>
      </c>
      <c r="U154" s="66"/>
    </row>
    <row r="155" spans="1:21" s="65" customFormat="1">
      <c r="A155" s="161" t="s">
        <v>1207</v>
      </c>
      <c r="B155" s="278"/>
      <c r="C155" s="281"/>
      <c r="D155" s="511"/>
      <c r="E155" s="406">
        <f>SUMIFS(sept[м2],sept[МОП],$A155,sept[Комнатность],"&lt;&gt;Офис")</f>
        <v>343.83</v>
      </c>
      <c r="F155" s="281" t="e">
        <f>SUMIFS(sept[Сумма без отделки],sept[МОП],$A155,sept[Комнатность],"&lt;&gt;Офис")</f>
        <v>#VALUE!</v>
      </c>
      <c r="G155" s="407">
        <f>COUNTIFS(sept[МОП],$A155,sept[Комнатность],"&lt;&gt;Офис")</f>
        <v>9</v>
      </c>
      <c r="H155" s="166">
        <f>SUMIFS(РД[S],РД[МОП],A155,РД[Дата подачи на регистрацию],"&lt;="&amp;$A$1,РД[Дата подачи на регистрацию],"&gt;="&amp;DATE(YEAR($A$1),MONTH($A$1),1),РД[Состояние],"Продажа")</f>
        <v>0</v>
      </c>
      <c r="I155" s="167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регистрацию],"&gt;="&amp;DATE(YEAR($A$1),MONTH($A$1),1),РД[Состояние],"Продажа")</f>
        <v>0</v>
      </c>
      <c r="J155" s="232">
        <f>COUNTIFS(РД[МОП],A155,РД[Дата подачи на регистрацию],"&lt;="&amp;$A$1,РД[Дата подачи на регистрацию],"&gt;="&amp;DATE(YEAR($A$1),MONTH($A$1),1),РД[Состояние],"Продажа")</f>
        <v>0</v>
      </c>
      <c r="K155" s="233" t="str">
        <f t="shared" si="15"/>
        <v/>
      </c>
      <c r="L155" s="234" t="str">
        <f t="shared" si="15"/>
        <v/>
      </c>
      <c r="M155" s="509">
        <f t="shared" ref="M155:Q155" si="22">M140+M125</f>
        <v>0</v>
      </c>
      <c r="N155" s="510">
        <f t="shared" si="22"/>
        <v>0</v>
      </c>
      <c r="O155" s="510">
        <f t="shared" si="22"/>
        <v>0</v>
      </c>
      <c r="P155" s="510">
        <f t="shared" si="22"/>
        <v>0</v>
      </c>
      <c r="Q155" s="511">
        <f t="shared" si="22"/>
        <v>0</v>
      </c>
      <c r="U155" s="66"/>
    </row>
    <row r="156" spans="1:21" s="65" customFormat="1">
      <c r="A156" s="168" t="s">
        <v>114</v>
      </c>
      <c r="B156" s="172">
        <f t="shared" ref="B156:J156" si="23">SUM(B150:B152)</f>
        <v>2479</v>
      </c>
      <c r="C156" s="173">
        <f t="shared" si="23"/>
        <v>213750376.62720001</v>
      </c>
      <c r="D156" s="709">
        <f t="shared" si="23"/>
        <v>0</v>
      </c>
      <c r="E156" s="173">
        <f t="shared" si="23"/>
        <v>2186.8000000000002</v>
      </c>
      <c r="F156" s="492">
        <f t="shared" si="23"/>
        <v>193038630.72</v>
      </c>
      <c r="G156" s="493">
        <f t="shared" si="23"/>
        <v>53</v>
      </c>
      <c r="H156" s="172">
        <f t="shared" si="23"/>
        <v>2323.0499999999997</v>
      </c>
      <c r="I156" s="492">
        <f t="shared" si="23"/>
        <v>205456536.69999999</v>
      </c>
      <c r="J156" s="493">
        <f t="shared" si="23"/>
        <v>56</v>
      </c>
      <c r="K156" s="238">
        <f>IFERROR(H156/B156,)</f>
        <v>0.93709156918112135</v>
      </c>
      <c r="L156" s="501">
        <f>IFERROR(I156/C156,)</f>
        <v>0.96119847806553704</v>
      </c>
      <c r="M156" s="471">
        <f>SUM(M150:M152)</f>
        <v>19</v>
      </c>
      <c r="N156" s="471">
        <f>SUM(N150:N152)</f>
        <v>23</v>
      </c>
      <c r="O156" s="471">
        <f>SUM(O150:O152)</f>
        <v>11</v>
      </c>
      <c r="P156" s="471">
        <f>SUM(P150:P152)</f>
        <v>4</v>
      </c>
      <c r="Q156" s="471">
        <f>SUM(Q150:Q152)</f>
        <v>0</v>
      </c>
      <c r="U156" s="66"/>
    </row>
    <row r="157" spans="1:21" s="65" customFormat="1">
      <c r="A157" s="692" t="s">
        <v>115</v>
      </c>
      <c r="B157" s="706" t="s">
        <v>100</v>
      </c>
      <c r="C157" s="710" t="s">
        <v>97</v>
      </c>
      <c r="D157" s="708" t="s">
        <v>95</v>
      </c>
      <c r="E157" s="295" t="s">
        <v>494</v>
      </c>
      <c r="F157" s="138" t="s">
        <v>495</v>
      </c>
      <c r="G157" s="470" t="s">
        <v>496</v>
      </c>
      <c r="H157" s="140" t="s">
        <v>101</v>
      </c>
      <c r="I157" s="141" t="s">
        <v>98</v>
      </c>
      <c r="J157" s="141" t="s">
        <v>96</v>
      </c>
      <c r="K157" s="141" t="s">
        <v>715</v>
      </c>
      <c r="L157" s="216" t="s">
        <v>716</v>
      </c>
      <c r="M157" s="512">
        <v>0</v>
      </c>
      <c r="N157" s="218">
        <v>1</v>
      </c>
      <c r="O157" s="218">
        <v>2</v>
      </c>
      <c r="P157" s="218">
        <v>3</v>
      </c>
      <c r="Q157" s="219" t="s">
        <v>1367</v>
      </c>
      <c r="U157" s="66"/>
    </row>
    <row r="158" spans="1:21" s="65" customFormat="1">
      <c r="A158" s="142" t="s">
        <v>16</v>
      </c>
      <c r="B158" s="291">
        <f>IFERROR(VLOOKUP(A158,'Индивидуальный план'!$R$29:$T$40,2,0),"")</f>
        <v>2007</v>
      </c>
      <c r="C158" s="292">
        <f>IFERROR(VLOOKUP(A158,'Индивидуальный план'!$R$29:$T$40,3,0),"")</f>
        <v>173024167.7577</v>
      </c>
      <c r="D158" s="694">
        <f>D143+D128</f>
        <v>0</v>
      </c>
      <c r="E158" s="145">
        <f>SUMIFS(sept[м2],sept[ИМ],A158,sept[Комнатность],"&lt;&gt;Офис")</f>
        <v>2417.85</v>
      </c>
      <c r="F158" s="149" t="e">
        <f>SUMIFS(sept[Сумма без отделки],sept[ИМ],$A158,sept[Комнатность],"&lt;&gt;Офис")</f>
        <v>#VALUE!</v>
      </c>
      <c r="G158" s="147">
        <f>COUNTIFS(sept[ИМ],A158,sept[Комнатность],"&lt;&gt;Офис")</f>
        <v>56</v>
      </c>
      <c r="H158" s="183">
        <f>SUMIFS(РД[S],РД[ИМ],A158,РД[Дата подачи на регистрацию],"&lt;="&amp;$A$1,РД[Дата подачи на регистрацию],"&gt;="&amp;DATE(YEAR($A$1),MONTH($A$1),1),РД[Состояние],"Продажа")</f>
        <v>2393.3200000000006</v>
      </c>
      <c r="I158" s="184">
        <f>SUMIFS(РД[Стоимость без отделки итог],РД[ИМ],A158,РД[Дата подачи на регистрацию],"&lt;="&amp;$A$1,РД[Дата подачи на регистрацию],"&gt;="&amp;DATE(YEAR($A$1),MONTH($A$1),1),РД[Состояние],"Продажа")</f>
        <v>212219362.62000003</v>
      </c>
      <c r="J158" s="243">
        <f>COUNTIFS(РД[ИМ],A158,РД[Дата подачи на регистрацию],"&lt;="&amp;$A$1,РД[Дата подачи на регистрацию],"&gt;="&amp;DATE(YEAR($A$1),MONTH($A$1),1),РД[Состояние],"Продажа")</f>
        <v>54</v>
      </c>
      <c r="K158" s="244">
        <f t="shared" ref="K158:L160" si="24">IFERROR(H158/B158,"")</f>
        <v>1.1924862979571502</v>
      </c>
      <c r="L158" s="258">
        <f t="shared" si="24"/>
        <v>1.2265301741961754</v>
      </c>
      <c r="M158" s="346">
        <f>M143+M128</f>
        <v>15</v>
      </c>
      <c r="N158" s="243">
        <f t="shared" ref="N158:Q159" si="25">N143+N128</f>
        <v>21</v>
      </c>
      <c r="O158" s="243">
        <f t="shared" si="25"/>
        <v>14</v>
      </c>
      <c r="P158" s="243">
        <f t="shared" si="25"/>
        <v>4</v>
      </c>
      <c r="Q158" s="246">
        <f t="shared" si="25"/>
        <v>0</v>
      </c>
      <c r="R158" s="66"/>
      <c r="S158" s="66"/>
      <c r="T158" s="66"/>
      <c r="U158" s="66"/>
    </row>
    <row r="159" spans="1:21" s="65" customFormat="1">
      <c r="A159" s="153" t="s">
        <v>22</v>
      </c>
      <c r="B159" s="516">
        <f>IFERROR(VLOOKUP(A159,'Индивидуальный план'!$R$29:$T$40,2,0),"")</f>
        <v>1035</v>
      </c>
      <c r="C159" s="554">
        <f>IFERROR(VLOOKUP(A159,'Индивидуальный план'!$R$29:$T$40,3,0),"")</f>
        <v>89281685.108500004</v>
      </c>
      <c r="D159" s="695">
        <f>D144+D129</f>
        <v>0</v>
      </c>
      <c r="E159" s="145">
        <f>SUMIFS(sept[м2],sept[ИМ],A159,sept[Комнатность],"&lt;&gt;Офис")</f>
        <v>893.81999999999994</v>
      </c>
      <c r="F159" s="149">
        <f>SUMIFS(sept[Сумма без отделки],sept[ИМ],$A159,sept[Комнатность],"&lt;&gt;Офис")</f>
        <v>77607474.120000005</v>
      </c>
      <c r="G159" s="147">
        <f>COUNTIFS(sept[ИМ],$A159,sept[Комнатность],"&lt;&gt;Офис")</f>
        <v>21</v>
      </c>
      <c r="H159" s="195">
        <f>SUMIFS(РД[S],РД[ИМ],A159,РД[Дата подачи на регистрацию],"&lt;="&amp;$A$1,РД[Дата подачи на регистрацию],"&gt;="&amp;DATE(YEAR($A$1),MONTH($A$1),1),РД[Состояние],"Продажа")</f>
        <v>942.85000000000014</v>
      </c>
      <c r="I159" s="196">
        <f>SUMIFS(РД[Стоимость без отделки итог],РД[ИМ],A159,РД[Дата подачи на регистрацию],"&lt;="&amp;$A$1,РД[Дата подачи на регистрацию],"&gt;="&amp;DATE(YEAR($A$1),MONTH($A$1),1),РД[Состояние],"Продажа")</f>
        <v>82095867.99000001</v>
      </c>
      <c r="J159" s="251">
        <f>COUNTIFS(РД[ИМ],A159,РД[Дата подачи на регистрацию],"&lt;="&amp;$A$1,РД[Дата подачи на регистрацию],"&gt;="&amp;DATE(YEAR($A$1),MONTH($A$1),1),РД[Состояние],"Продажа")</f>
        <v>23</v>
      </c>
      <c r="K159" s="252">
        <f t="shared" si="24"/>
        <v>0.91096618357487935</v>
      </c>
      <c r="L159" s="260">
        <f t="shared" si="24"/>
        <v>0.91951521625328425</v>
      </c>
      <c r="M159" s="329">
        <f>M144+M129</f>
        <v>6</v>
      </c>
      <c r="N159" s="330">
        <f t="shared" si="25"/>
        <v>10</v>
      </c>
      <c r="O159" s="330">
        <f t="shared" si="25"/>
        <v>6</v>
      </c>
      <c r="P159" s="330">
        <f t="shared" si="25"/>
        <v>1</v>
      </c>
      <c r="Q159" s="331">
        <f t="shared" si="25"/>
        <v>0</v>
      </c>
      <c r="R159" s="66"/>
      <c r="S159" s="66"/>
      <c r="T159" s="66"/>
      <c r="U159" s="66"/>
    </row>
    <row r="160" spans="1:21" s="65" customFormat="1">
      <c r="A160" s="317" t="s">
        <v>114</v>
      </c>
      <c r="B160" s="172">
        <f>SUM(B158:B159)</f>
        <v>3042</v>
      </c>
      <c r="C160" s="173">
        <f>SUM(C158:C159)</f>
        <v>262305852.8662</v>
      </c>
      <c r="D160" s="711">
        <f>SUM(D158:D159)</f>
        <v>0</v>
      </c>
      <c r="E160" s="484">
        <f t="shared" ref="E160:Q160" si="26">SUM(E158:E159)</f>
        <v>3311.67</v>
      </c>
      <c r="F160" s="429" t="e">
        <f t="shared" si="26"/>
        <v>#VALUE!</v>
      </c>
      <c r="G160" s="485">
        <f t="shared" si="26"/>
        <v>77</v>
      </c>
      <c r="H160" s="473">
        <f t="shared" si="26"/>
        <v>3336.170000000001</v>
      </c>
      <c r="I160" s="494">
        <f t="shared" si="26"/>
        <v>294315230.61000001</v>
      </c>
      <c r="J160" s="494">
        <f t="shared" si="26"/>
        <v>77</v>
      </c>
      <c r="K160" s="419">
        <f t="shared" si="24"/>
        <v>1.0967028270874428</v>
      </c>
      <c r="L160" s="420">
        <f t="shared" si="24"/>
        <v>1.1220307415714728</v>
      </c>
      <c r="M160" s="473">
        <f t="shared" si="26"/>
        <v>21</v>
      </c>
      <c r="N160" s="494">
        <f t="shared" si="26"/>
        <v>31</v>
      </c>
      <c r="O160" s="494">
        <f t="shared" si="26"/>
        <v>20</v>
      </c>
      <c r="P160" s="494">
        <f t="shared" si="26"/>
        <v>5</v>
      </c>
      <c r="Q160" s="497">
        <f t="shared" si="26"/>
        <v>0</v>
      </c>
      <c r="R160" s="66"/>
      <c r="S160" s="66"/>
      <c r="T160" s="66"/>
      <c r="U160" s="66"/>
    </row>
    <row r="161" spans="1:21" s="65" customFormat="1">
      <c r="A161" s="134"/>
      <c r="B161" s="44"/>
      <c r="C161" s="44"/>
      <c r="D161" s="134"/>
      <c r="E161" s="134"/>
      <c r="F161" s="44"/>
      <c r="G161" s="134"/>
      <c r="H161" s="134"/>
      <c r="I161" s="134"/>
      <c r="J161" s="134"/>
      <c r="K161" s="255"/>
      <c r="L161" s="256"/>
      <c r="M161" s="134"/>
      <c r="N161" s="134"/>
      <c r="O161" s="134"/>
      <c r="P161" s="134"/>
      <c r="Q161" s="134"/>
      <c r="T161" s="66"/>
      <c r="U161" s="66"/>
    </row>
    <row r="162" spans="1:21" s="65" customFormat="1" ht="15">
      <c r="A162" s="2314" t="s">
        <v>1368</v>
      </c>
      <c r="B162" s="2315"/>
      <c r="C162" s="2315"/>
      <c r="D162" s="2315"/>
      <c r="E162" s="2315"/>
      <c r="F162" s="2315"/>
      <c r="G162" s="2315"/>
      <c r="H162" s="2315"/>
      <c r="I162" s="2315"/>
      <c r="J162" s="2315"/>
      <c r="K162" s="2315"/>
      <c r="L162" s="2315"/>
      <c r="M162" s="2315"/>
      <c r="N162" s="2315"/>
      <c r="O162" s="2316"/>
      <c r="P162" s="339"/>
      <c r="Q162" s="66"/>
      <c r="T162" s="66"/>
      <c r="U162" s="66"/>
    </row>
    <row r="163" spans="1:21" s="65" customFormat="1">
      <c r="A163" s="712" t="s">
        <v>1</v>
      </c>
      <c r="B163" s="713" t="s">
        <v>100</v>
      </c>
      <c r="C163" s="714" t="s">
        <v>97</v>
      </c>
      <c r="D163" s="715" t="s">
        <v>95</v>
      </c>
      <c r="E163" s="716" t="s">
        <v>494</v>
      </c>
      <c r="F163" s="265" t="s">
        <v>495</v>
      </c>
      <c r="G163" s="266" t="s">
        <v>496</v>
      </c>
      <c r="H163" s="140" t="s">
        <v>101</v>
      </c>
      <c r="I163" s="141" t="s">
        <v>98</v>
      </c>
      <c r="J163" s="141" t="s">
        <v>96</v>
      </c>
      <c r="K163" s="141" t="s">
        <v>715</v>
      </c>
      <c r="L163" s="216" t="s">
        <v>716</v>
      </c>
      <c r="M163" s="332" t="s">
        <v>121</v>
      </c>
      <c r="N163" s="218" t="s">
        <v>27</v>
      </c>
      <c r="O163" s="219" t="s">
        <v>7</v>
      </c>
      <c r="P163" s="545"/>
      <c r="Q163" s="66"/>
      <c r="T163" s="66"/>
      <c r="U163" s="66"/>
    </row>
    <row r="164" spans="1:21" s="65" customFormat="1">
      <c r="A164" s="142" t="s">
        <v>73</v>
      </c>
      <c r="B164" s="291"/>
      <c r="C164" s="292"/>
      <c r="D164" s="694"/>
      <c r="E164" s="416">
        <f>SUMIFS(sept[м2],sept[МОП],A164,sept[Комнатность],"Офис")</f>
        <v>0</v>
      </c>
      <c r="F164" s="146">
        <f>SUMIFS(sept[Сумма без отделки],sept[МОП],$A164,sept[Комнатность],"оФИС")</f>
        <v>0</v>
      </c>
      <c r="G164" s="417">
        <f>COUNTIFS(sept[МОП],$A164,sept[Комнатность],"Офис")</f>
        <v>0</v>
      </c>
      <c r="H164" s="291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92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43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K164" s="244" t="str">
        <f t="shared" ref="K164:L171" si="27">IFERROR(H164/B164,"")</f>
        <v/>
      </c>
      <c r="L164" s="245" t="str">
        <f t="shared" si="27"/>
        <v/>
      </c>
      <c r="M164" s="183">
        <f>COUNTIFS(РД[Дом],M$163,РД[МОП],$A164,РД[Дата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346">
        <f>COUNTIFS(РД[Дом],N$163,РД[МОП],$A164,РД[Дата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46">
        <f>COUNTIFS(РД[Дом],O$163,РД[МОП],$A164,РД[Дата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P164" s="545"/>
      <c r="Q164" s="66"/>
      <c r="T164" s="66"/>
      <c r="U164" s="66"/>
    </row>
    <row r="165" spans="1:21" s="65" customFormat="1">
      <c r="A165" s="142" t="s">
        <v>8</v>
      </c>
      <c r="B165" s="267"/>
      <c r="C165" s="146"/>
      <c r="D165" s="702"/>
      <c r="E165" s="416">
        <f>SUMIFS(sept[м2],sept[МОП],A165,sept[Комнатность],"Офис")</f>
        <v>0</v>
      </c>
      <c r="F165" s="146">
        <f>SUMIFS(sept[Сумма без отделки],sept[МОП],$A165,sept[Комнатность],"оФИС")</f>
        <v>0</v>
      </c>
      <c r="G165" s="417">
        <f>COUNTIFS(sept[МОП],$A165,sept[Комнатность],"Офис")</f>
        <v>0</v>
      </c>
      <c r="H165" s="267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146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20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K165" s="221" t="str">
        <f t="shared" si="27"/>
        <v/>
      </c>
      <c r="L165" s="333" t="str">
        <f t="shared" si="27"/>
        <v/>
      </c>
      <c r="M165" s="148">
        <f>COUNTIFS(РД[Дом],M$163,РД[МОП],$A165,РД[Дата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20">
        <f>COUNTIFS(РД[Дом],N$163,РД[МОП],$A165,РД[Дата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223">
        <f>COUNTIFS(РД[Дом],O$163,РД[МОП],$A165,РД[Дата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P165" s="339"/>
      <c r="T165" s="66"/>
      <c r="U165" s="66"/>
    </row>
    <row r="166" spans="1:21" s="65" customFormat="1">
      <c r="A166" s="398" t="s">
        <v>77</v>
      </c>
      <c r="B166" s="271"/>
      <c r="C166" s="52"/>
      <c r="D166" s="717"/>
      <c r="E166" s="416">
        <f>SUMIFS(sept[м2],sept[МОП],A166,sept[Комнатность],"Офис")</f>
        <v>0</v>
      </c>
      <c r="F166" s="52">
        <f>SUMIFS(sept[Сумма без отделки],sept[МОП],$A166,sept[Комнатность],"оФИС")</f>
        <v>0</v>
      </c>
      <c r="G166" s="421">
        <f>COUNTIFS(sept[МОП],$A166,sept[Комнатность],"Офис")</f>
        <v>0</v>
      </c>
      <c r="H166" s="271">
        <f>SUMIFS(РД[S],РД[МОП],A166,РД[Дата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I166" s="52">
        <f>SUMIFS(РД[Стоимость без отделки итог],РД[МОП],A166,РД[Дата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J166" s="220">
        <f>COUNTIFS(РД[МОП],A166,РД[Дата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K166" s="52" t="str">
        <f t="shared" si="27"/>
        <v/>
      </c>
      <c r="L166" s="546" t="str">
        <f t="shared" si="27"/>
        <v/>
      </c>
      <c r="M166" s="202">
        <f>COUNTIFS(РД[Дом],M$163,РД[МОП],$A166,РД[Дата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N166" s="226">
        <f>COUNTIFS(РД[Дом],N$163,РД[МОП],$A166,РД[Дата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O166" s="227">
        <f>COUNTIFS(РД[Дом],O$163,РД[МОП],$A166,РД[Дата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P166" s="339"/>
      <c r="T166" s="66"/>
      <c r="U166" s="66"/>
    </row>
    <row r="167" spans="1:21" s="65" customFormat="1">
      <c r="A167" s="398" t="s">
        <v>1233</v>
      </c>
      <c r="B167" s="271"/>
      <c r="C167" s="52"/>
      <c r="D167" s="717"/>
      <c r="E167" s="416">
        <f>SUMIFS(sept[м2],sept[МОП],A167,sept[Комнатность],"Офис")</f>
        <v>0</v>
      </c>
      <c r="F167" s="52">
        <f>SUMIFS(sept[Сумма без отделки],sept[МОП],$A167,sept[Комнатность],"оФИС")</f>
        <v>0</v>
      </c>
      <c r="G167" s="421">
        <f>COUNTIFS(sept[МОП],$A167,sept[Комнатность],"Офис")</f>
        <v>0</v>
      </c>
      <c r="H167" s="271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I167" s="52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J167" s="220">
        <f>COUNTIFS(РД[МОП],A167,РД[Дата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K167" s="224" t="str">
        <f t="shared" si="27"/>
        <v/>
      </c>
      <c r="L167" s="334" t="str">
        <f t="shared" si="27"/>
        <v/>
      </c>
      <c r="M167" s="202">
        <f>COUNTIFS(РД[Дом],M$163,РД[МОП],$A167,РД[Дата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N167" s="226">
        <f>COUNTIFS(РД[Дом],N$163,РД[МОП],$A167,РД[Дата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O167" s="227">
        <f>COUNTIFS(РД[Дом],O$163,РД[МОП],$A167,РД[Дата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P167" s="339"/>
      <c r="T167" s="66"/>
      <c r="U167" s="66"/>
    </row>
    <row r="168" spans="1:21" s="65" customFormat="1">
      <c r="A168" s="153" t="s">
        <v>20</v>
      </c>
      <c r="B168" s="315"/>
      <c r="C168" s="363"/>
      <c r="D168" s="703"/>
      <c r="E168" s="422">
        <f>SUMIFS(sept[м2],sept[МОП],A168,sept[Комнатность],"Офис")</f>
        <v>52.8</v>
      </c>
      <c r="F168" s="363">
        <f>SUMIFS(sept[Сумма без отделки],sept[МОП],$A168,sept[Комнатность],"оФИС")</f>
        <v>6930000</v>
      </c>
      <c r="G168" s="414">
        <f>COUNTIFS(sept[МОП],$A168,sept[Комнатность],"Офис")</f>
        <v>1</v>
      </c>
      <c r="H168" s="315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52.8</v>
      </c>
      <c r="I168" s="363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6930000</v>
      </c>
      <c r="J168" s="247">
        <f>COUNTIFS(РД[МОП],A168,РД[Дата подачи на регистрацию],"&lt;="&amp;$A$1,РД[Дата подачи на регистрацию],"&gt;="&amp;DATE(YEAR($A$1),MONTH($A$1),1),РД[Состояние],"Коммерция")</f>
        <v>1</v>
      </c>
      <c r="K168" s="360" t="str">
        <f t="shared" si="27"/>
        <v/>
      </c>
      <c r="L168" s="367" t="str">
        <f t="shared" si="27"/>
        <v/>
      </c>
      <c r="M168" s="358">
        <f>COUNTIFS(РД[Дом],M$163,РД[МОП],$A168,РД[Дата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330">
        <f>COUNTIFS(РД[Дом],N$163,РД[МОП],$A168,РД[Дата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331">
        <f>COUNTIFS(РД[Дом],O$163,РД[МОП],$A168,РД[Дата подачи на регистрацию],"&lt;="&amp;$A$1,РД[Дата подачи на регистрацию],"&gt;="&amp;DATE(YEAR($A$1),MONTH($A$1),1),РД[Состояние],"Коммерция")</f>
        <v>1</v>
      </c>
      <c r="P168" s="339"/>
      <c r="T168" s="66"/>
      <c r="U168" s="66"/>
    </row>
    <row r="169" spans="1:21" s="65" customFormat="1">
      <c r="A169" s="154" t="s">
        <v>29</v>
      </c>
      <c r="B169" s="274"/>
      <c r="C169" s="277"/>
      <c r="D169" s="718"/>
      <c r="E169" s="423">
        <f>SUMIFS(sept[м2],sept[МОП],A169,sept[Комнатность],"Офис")</f>
        <v>0</v>
      </c>
      <c r="F169" s="277">
        <f>SUMIFS(sept[Сумма без отделки],sept[МОП],$A169,sept[Комнатность],"оФИС")</f>
        <v>0</v>
      </c>
      <c r="G169" s="405">
        <f>COUNTIFS(sept[МОП],$A169,sept[Комнатность],"Офис")</f>
        <v>0</v>
      </c>
      <c r="H169" s="274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77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8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K169" s="229" t="str">
        <f t="shared" si="27"/>
        <v/>
      </c>
      <c r="L169" s="335" t="str">
        <f t="shared" si="27"/>
        <v/>
      </c>
      <c r="M169" s="159">
        <f>COUNTIFS(РД[Дом],M$163,РД[МОП],$A169,РД[Дата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8">
        <f>COUNTIFS(РД[Дом],N$163,РД[МОП],$A169,РД[Дата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31">
        <f>COUNTIFS(РД[Дом],O$163,РД[МОП],$A169,РД[Дата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T169" s="66"/>
      <c r="U169" s="66"/>
    </row>
    <row r="170" spans="1:21" s="65" customFormat="1">
      <c r="A170" s="161" t="s">
        <v>1207</v>
      </c>
      <c r="B170" s="278"/>
      <c r="C170" s="281"/>
      <c r="D170" s="719"/>
      <c r="E170" s="424">
        <f>SUMIFS(sept[м2],sept[МОП],A170,sept[Комнатность],"Офис")</f>
        <v>0</v>
      </c>
      <c r="F170" s="281">
        <f>SUMIFS(sept[Сумма без отделки],sept[МОП],$A170,sept[Комнатность],"оФИС")</f>
        <v>0</v>
      </c>
      <c r="G170" s="407">
        <f>COUNTIFS(sept[МОП],$A170,sept[Комнатность],"Офис")</f>
        <v>0</v>
      </c>
      <c r="H170" s="278">
        <f>SUMIFS(РД[S],РД[МОП],A170,РД[Дата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I170" s="281">
        <f>SUMIFS(РД[Стоимость без отделки итог],РД[МОП],A170,РД[Дата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J170" s="232">
        <f>COUNTIFS(РД[МОП],A170,РД[Дата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K170" s="233" t="str">
        <f t="shared" si="27"/>
        <v/>
      </c>
      <c r="L170" s="336" t="str">
        <f t="shared" si="27"/>
        <v/>
      </c>
      <c r="M170" s="166">
        <f>COUNTIFS(РД[Дом],M$163,РД[МОП],$A170,РД[Дата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N170" s="232">
        <f>COUNTIFS(РД[Дом],N$163,РД[МОП],$A170,РД[Дата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O170" s="337">
        <f>COUNTIFS(РД[Дом],O$163,РД[МОП],$A170,РД[Дата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P170" s="339"/>
      <c r="T170" s="66"/>
      <c r="U170" s="66"/>
    </row>
    <row r="171" spans="1:21" s="65" customFormat="1">
      <c r="A171" s="513" t="s">
        <v>114</v>
      </c>
      <c r="B171" s="282">
        <f t="shared" ref="B171:J171" si="28">SUM(B165:B168)</f>
        <v>0</v>
      </c>
      <c r="C171" s="287">
        <f t="shared" si="28"/>
        <v>0</v>
      </c>
      <c r="D171" s="305">
        <f t="shared" si="28"/>
        <v>0</v>
      </c>
      <c r="E171" s="425">
        <f t="shared" si="28"/>
        <v>52.8</v>
      </c>
      <c r="F171" s="287">
        <f t="shared" si="28"/>
        <v>6930000</v>
      </c>
      <c r="G171" s="286">
        <f t="shared" si="28"/>
        <v>1</v>
      </c>
      <c r="H171" s="282">
        <f t="shared" si="28"/>
        <v>52.8</v>
      </c>
      <c r="I171" s="287">
        <f t="shared" si="28"/>
        <v>6930000</v>
      </c>
      <c r="J171" s="287">
        <f t="shared" si="28"/>
        <v>1</v>
      </c>
      <c r="K171" s="238" t="str">
        <f t="shared" si="27"/>
        <v/>
      </c>
      <c r="L171" s="338" t="str">
        <f t="shared" si="27"/>
        <v/>
      </c>
      <c r="M171" s="318">
        <f>SUM(M165:M168)</f>
        <v>0</v>
      </c>
      <c r="N171" s="321">
        <f>SUM(N165:N168)</f>
        <v>0</v>
      </c>
      <c r="O171" s="319">
        <f>SUM(O165:O168)</f>
        <v>1</v>
      </c>
      <c r="P171" s="339"/>
      <c r="T171" s="66"/>
      <c r="U171" s="66"/>
    </row>
    <row r="172" spans="1:21" s="65" customFormat="1">
      <c r="A172" s="685" t="s">
        <v>115</v>
      </c>
      <c r="B172" s="713" t="s">
        <v>100</v>
      </c>
      <c r="C172" s="714" t="s">
        <v>97</v>
      </c>
      <c r="D172" s="715" t="s">
        <v>95</v>
      </c>
      <c r="E172" s="716" t="s">
        <v>494</v>
      </c>
      <c r="F172" s="265" t="s">
        <v>495</v>
      </c>
      <c r="G172" s="266" t="s">
        <v>496</v>
      </c>
      <c r="H172" s="140" t="s">
        <v>101</v>
      </c>
      <c r="I172" s="141" t="s">
        <v>98</v>
      </c>
      <c r="J172" s="141" t="s">
        <v>96</v>
      </c>
      <c r="K172" s="141" t="s">
        <v>715</v>
      </c>
      <c r="L172" s="526" t="s">
        <v>716</v>
      </c>
      <c r="M172" s="332" t="s">
        <v>121</v>
      </c>
      <c r="N172" s="218" t="s">
        <v>27</v>
      </c>
      <c r="O172" s="219" t="s">
        <v>7</v>
      </c>
      <c r="P172" s="339"/>
      <c r="U172" s="66"/>
    </row>
    <row r="173" spans="1:21" s="65" customFormat="1">
      <c r="A173" s="177" t="s">
        <v>16</v>
      </c>
      <c r="B173" s="291"/>
      <c r="C173" s="292"/>
      <c r="D173" s="720"/>
      <c r="E173" s="267">
        <f>SUMIFS(sept[м2],sept[ИМ],A173,sept[Комнатность],"Офис")</f>
        <v>0</v>
      </c>
      <c r="F173" s="146">
        <f>SUMIFS(sept[Сумма без отделки],sept[ИМ],$A173,sept[Комнатность],"оФИС")</f>
        <v>0</v>
      </c>
      <c r="G173" s="417">
        <f>COUNTIFS(sept[ИМ],$A173,sept[Комнатность],"Офис")</f>
        <v>0</v>
      </c>
      <c r="H173" s="267">
        <f>SUMIFS(РД[S],РД[ИМ],A173,РД[Дата подачи на регистрацию],"&lt;="&amp;$A$1,РД[Дата подачи на регистрацию],"&gt;="&amp;DATE(YEAR($A$1),MONTH($A$1),1),РД[Состояние],"Коммерция")</f>
        <v>0</v>
      </c>
      <c r="I173" s="146">
        <f>SUMIFS(РД[Стоимость без отделки итог],РД[ИМ],A173,РД[Дата подачи на регистрацию],"&lt;="&amp;$A$1,РД[Дата подачи на регистрацию],"&gt;="&amp;DATE(YEAR($A$1),MONTH($A$1),1),РД[Состояние],"Коммерция")</f>
        <v>0</v>
      </c>
      <c r="J173" s="220">
        <f>COUNTIFS(РД[ИМ],A173,РД[Дата подачи на регистрацию],"&lt;="&amp;$A$1,РД[Дата подачи на регистрацию],"&gt;="&amp;DATE(YEAR($A$1),MONTH($A$1),1),РД[Состояние],"Коммерция")</f>
        <v>0</v>
      </c>
      <c r="K173" s="224" t="str">
        <f t="shared" ref="K173:L175" si="29">IFERROR(H173/B173,"")</f>
        <v/>
      </c>
      <c r="L173" s="334" t="str">
        <f t="shared" si="29"/>
        <v/>
      </c>
      <c r="M173" s="148">
        <f>COUNTIFS(РД[Дом],M$163,РД[ИМ],$A173,РД[Дата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N173" s="220">
        <f>COUNTIFS(РД[Дом],N$163,РД[ИМ],$A173,РД[Дата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O173" s="223">
        <f>COUNTIFS(РД[Дом],O$163,РД[ИМ],$A173,РД[Дата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P173" s="339"/>
      <c r="U173" s="66"/>
    </row>
    <row r="174" spans="1:21" s="65" customFormat="1">
      <c r="A174" s="189" t="s">
        <v>22</v>
      </c>
      <c r="B174" s="516"/>
      <c r="C174" s="554"/>
      <c r="D174" s="721"/>
      <c r="E174" s="315">
        <f>SUMIFS(sept[м2],sept[ИМ],A174,sept[Комнатность],"Офис")</f>
        <v>0</v>
      </c>
      <c r="F174" s="363">
        <f>SUMIFS(sept[Сумма без отделки],sept[ИМ],$A174,sept[Комнатность],"оФИС")</f>
        <v>0</v>
      </c>
      <c r="G174" s="518">
        <f>COUNTIFS(sept[ИМ],$A174,sept[Комнатность],"Офис")</f>
        <v>0</v>
      </c>
      <c r="H174" s="315">
        <f>SUMIFS(РД[S],РД[ИМ],A174,РД[Дата подачи на регистрацию],"&lt;="&amp;$A$1,РД[Дата подачи на регистрацию],"&gt;="&amp;DATE(YEAR($A$1),MONTH($A$1),1),РД[Состояние],"Коммерция")</f>
        <v>0</v>
      </c>
      <c r="I174" s="363">
        <f>SUMIFS(РД[Стоимость без отделки итог],РД[ИМ],A174,РД[Дата подачи на регистрацию],"&lt;="&amp;$A$1,РД[Дата подачи на регистрацию],"&gt;="&amp;DATE(YEAR($A$1),MONTH($A$1),1),РД[Состояние],"Коммерция")</f>
        <v>0</v>
      </c>
      <c r="J174" s="220">
        <f>COUNTIFS(РД[ИМ],A174,РД[Дата подачи на регистрацию],"&lt;="&amp;$A$1,РД[Дата подачи на регистрацию],"&gt;="&amp;DATE(YEAR($A$1),MONTH($A$1),1),РД[Состояние],"Коммерция")</f>
        <v>0</v>
      </c>
      <c r="K174" s="252" t="str">
        <f t="shared" si="29"/>
        <v/>
      </c>
      <c r="L174" s="253" t="str">
        <f t="shared" si="29"/>
        <v/>
      </c>
      <c r="M174" s="202">
        <f>COUNTIFS(РД[Дом],M$163,РД[ИМ],$A174,РД[Дата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N174" s="226">
        <f>COUNTIFS(РД[Дом],N$163,РД[ИМ],$A174,РД[Дата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O174" s="227">
        <f>COUNTIFS(РД[Дом],O$163,РД[ИМ],$A174,РД[Дата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P174" s="339"/>
      <c r="U174" s="66"/>
    </row>
    <row r="175" spans="1:21" s="65" customFormat="1">
      <c r="A175" s="513" t="s">
        <v>114</v>
      </c>
      <c r="B175" s="282">
        <f>SUM(B173:B174)</f>
        <v>0</v>
      </c>
      <c r="C175" s="287">
        <f>SUM(C173:C174)</f>
        <v>0</v>
      </c>
      <c r="D175" s="472">
        <f>SUM(D173:D174)</f>
        <v>0</v>
      </c>
      <c r="E175" s="323">
        <f t="shared" ref="E175:J175" si="30">SUM(E173:E174)</f>
        <v>0</v>
      </c>
      <c r="F175" s="429">
        <f t="shared" si="30"/>
        <v>0</v>
      </c>
      <c r="G175" s="322">
        <f t="shared" si="30"/>
        <v>0</v>
      </c>
      <c r="H175" s="323">
        <f t="shared" si="30"/>
        <v>0</v>
      </c>
      <c r="I175" s="429">
        <f t="shared" si="30"/>
        <v>0</v>
      </c>
      <c r="J175" s="429">
        <f t="shared" si="30"/>
        <v>0</v>
      </c>
      <c r="K175" s="419" t="str">
        <f t="shared" si="29"/>
        <v/>
      </c>
      <c r="L175" s="527" t="str">
        <f t="shared" si="29"/>
        <v/>
      </c>
      <c r="M175" s="318">
        <f>SUM(M173:M174)</f>
        <v>0</v>
      </c>
      <c r="N175" s="321">
        <f>SUM(N173:N174)</f>
        <v>0</v>
      </c>
      <c r="O175" s="319">
        <f>SUM(O173:O174)</f>
        <v>0</v>
      </c>
      <c r="P175" s="339"/>
      <c r="U175" s="66"/>
    </row>
    <row r="176" spans="1:21" s="65" customFormat="1">
      <c r="A176" s="134"/>
      <c r="B176" s="44"/>
      <c r="C176" s="44"/>
      <c r="D176" s="134"/>
      <c r="E176" s="134"/>
      <c r="F176" s="44"/>
      <c r="G176" s="134"/>
      <c r="H176" s="134"/>
      <c r="I176" s="134"/>
      <c r="J176" s="134"/>
      <c r="K176" s="255"/>
      <c r="L176" s="256"/>
      <c r="M176" s="134"/>
      <c r="N176" s="134"/>
      <c r="O176" s="134"/>
      <c r="P176" s="134"/>
      <c r="Q176" s="72"/>
      <c r="U176" s="66"/>
    </row>
    <row r="177" spans="1:21" s="65" customFormat="1" ht="15">
      <c r="A177" s="2321" t="s">
        <v>945</v>
      </c>
      <c r="B177" s="2322"/>
      <c r="C177" s="2322"/>
      <c r="D177" s="2322"/>
      <c r="E177" s="2322"/>
      <c r="F177" s="2322"/>
      <c r="G177" s="2322"/>
      <c r="H177" s="2323"/>
      <c r="I177" s="2323"/>
      <c r="J177" s="2323"/>
      <c r="K177" s="2323"/>
      <c r="L177" s="2323"/>
      <c r="M177" s="2323"/>
      <c r="N177" s="2324"/>
      <c r="O177" s="339"/>
      <c r="P177" s="339"/>
      <c r="Q177" s="86"/>
      <c r="U177" s="66"/>
    </row>
    <row r="178" spans="1:21" s="65" customFormat="1" ht="15">
      <c r="A178" s="519"/>
      <c r="B178" s="520"/>
      <c r="C178" s="520"/>
      <c r="D178" s="520"/>
      <c r="E178" s="520"/>
      <c r="F178" s="520"/>
      <c r="G178" s="520"/>
      <c r="H178" s="722"/>
      <c r="I178" s="722"/>
      <c r="J178" s="722"/>
      <c r="K178" s="722"/>
      <c r="L178" s="722"/>
      <c r="M178" s="722"/>
      <c r="N178" s="727"/>
      <c r="O178" s="339"/>
      <c r="P178" s="339"/>
      <c r="Q178" s="86"/>
      <c r="U178" s="66"/>
    </row>
    <row r="179" spans="1:21" s="65" customFormat="1">
      <c r="A179" s="685" t="s">
        <v>1</v>
      </c>
      <c r="B179" s="723" t="s">
        <v>101</v>
      </c>
      <c r="C179" s="724" t="s">
        <v>98</v>
      </c>
      <c r="D179" s="688" t="s">
        <v>96</v>
      </c>
      <c r="E179" s="137" t="s">
        <v>494</v>
      </c>
      <c r="F179" s="138" t="s">
        <v>495</v>
      </c>
      <c r="G179" s="296" t="s">
        <v>496</v>
      </c>
      <c r="H179" s="140" t="s">
        <v>946</v>
      </c>
      <c r="I179" s="141" t="s">
        <v>947</v>
      </c>
      <c r="J179" s="217">
        <v>0</v>
      </c>
      <c r="K179" s="218">
        <v>1</v>
      </c>
      <c r="L179" s="340">
        <v>2</v>
      </c>
      <c r="M179" s="218">
        <v>3</v>
      </c>
      <c r="N179" s="219" t="s">
        <v>1367</v>
      </c>
      <c r="O179" s="339"/>
      <c r="P179" s="339"/>
      <c r="Q179" s="86"/>
      <c r="U179" s="66"/>
    </row>
    <row r="180" spans="1:21" s="65" customFormat="1">
      <c r="A180" s="142" t="s">
        <v>73</v>
      </c>
      <c r="B180" s="291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0" s="292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0" s="694">
        <f>COUNTIFS(РД[МОП],A180,РД[Дата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0" s="329">
        <f>SUMIFS(sept[м2],sept[МОП],$A180,sept[№ дома],#REF!)</f>
        <v>0</v>
      </c>
      <c r="F180" s="363">
        <f>SUMIFS(sept[Сумма без отделки],sept[МОП],$A180,sept[№ дома],#REF!)</f>
        <v>0</v>
      </c>
      <c r="G180" s="414">
        <f>COUNTIFS(sept[МОП],$A180,sept[№ дома],#REF!)</f>
        <v>0</v>
      </c>
      <c r="H180" s="291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0" s="879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0" s="183">
        <f>COUNTIFS(РД[Тип кв],J$179,РД[МОП],$A180,РД[Дата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0" s="243">
        <f>COUNTIFS(РД[Тип кв],K$179,РД[МОП],$A180,РД[Дата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0" s="243">
        <f>COUNTIFS(РД[Тип кв],L$179,РД[МОП],$A180,РД[Дата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0" s="243">
        <f>COUNTIFS(РД[Тип кв],M$179,РД[МОП],$A180,РД[Дата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246">
        <f>COUNTIFS(РД[Тип кв],T$175,РД[МОП],$A180,РД[Дата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0" s="339"/>
      <c r="P180" s="339"/>
      <c r="Q180" s="86"/>
      <c r="U180" s="66"/>
    </row>
    <row r="181" spans="1:21" s="65" customFormat="1">
      <c r="A181" s="142" t="s">
        <v>8</v>
      </c>
      <c r="B181" s="267">
        <f>SUMIFS(РД[S],РД[МОП],A181,РД[Дата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1" s="146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1" s="702">
        <f>COUNTIFS(РД[МОП],A181,РД[Дата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1" s="329">
        <f>SUMIFS(sept[м2],sept[МОП],$A181,sept[№ дома],#REF!)</f>
        <v>0</v>
      </c>
      <c r="F181" s="363">
        <f>SUMIFS(sept[Сумма без отделки],sept[МОП],$A181,sept[№ дома],#REF!)</f>
        <v>0</v>
      </c>
      <c r="G181" s="414">
        <f>COUNTIFS(sept[МОП],$A181,sept[№ дома],#REF!)</f>
        <v>0</v>
      </c>
      <c r="H181" s="267">
        <f>SUMIFS(РД[S],РД[МОП],A181,РД[Дата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1" s="549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1" s="148">
        <f>COUNTIFS(РД[Тип кв],J$179,РД[МОП],$A181,РД[Дата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1" s="220">
        <f>COUNTIFS(РД[Тип кв],K$179,РД[МОП],$A181,РД[Дата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1" s="220">
        <f>COUNTIFS(РД[Тип кв],L$179,РД[МОП],$A181,РД[Дата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1" s="220">
        <f>COUNTIFS(РД[Тип кв],M$179,РД[МОП],$A181,РД[Дата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1" s="223">
        <f>COUNTIFS(РД[Тип кв],T$175,РД[МОП],$A181,РД[Дата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1" s="339"/>
      <c r="P181" s="339"/>
      <c r="Q181" s="86"/>
      <c r="U181" s="66"/>
    </row>
    <row r="182" spans="1:21" s="65" customFormat="1">
      <c r="A182" s="398" t="s">
        <v>77</v>
      </c>
      <c r="B182" s="271">
        <f>SUMIFS(РД[S],РД[МОП],A182,РД[Дата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2" s="52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2" s="717">
        <f>COUNTIFS(РД[МОП],A182,РД[Дата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2" s="329">
        <f>SUMIFS(sept[м2],sept[МОП],$A182,sept[№ дома],#REF!)</f>
        <v>0</v>
      </c>
      <c r="F182" s="363">
        <f>SUMIFS(sept[Сумма без отделки],sept[МОП],$A182,sept[№ дома],#REF!)</f>
        <v>0</v>
      </c>
      <c r="G182" s="414">
        <f>COUNTIFS(sept[МОП],$A182,sept[№ дома],#REF!)</f>
        <v>0</v>
      </c>
      <c r="H182" s="271">
        <f>SUMIFS(РД[S],РД[МОП],A182,РД[Дата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2" s="546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2" s="202">
        <f>COUNTIFS(РД[Тип кв],J$179,РД[МОП],$A182,РД[Дата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2" s="226">
        <f>COUNTIFS(РД[Тип кв],K$179,РД[МОП],$A182,РД[Дата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2" s="226">
        <f>COUNTIFS(РД[Тип кв],L$179,РД[МОП],$A182,РД[Дата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2" s="226">
        <f>COUNTIFS(РД[Тип кв],M$179,РД[МОП],$A182,РД[Дата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2" s="227">
        <f>COUNTIFS(РД[Тип кв],T$175,РД[МОП],$A182,РД[Дата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2" s="339"/>
      <c r="P182" s="339"/>
      <c r="Q182" s="86"/>
      <c r="U182" s="66"/>
    </row>
    <row r="183" spans="1:21" s="65" customFormat="1">
      <c r="A183" s="398" t="s">
        <v>1233</v>
      </c>
      <c r="B183" s="271">
        <f>SUMIFS(РД[S],РД[МОП],A183,РД[Дата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3" s="52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3" s="717">
        <f>COUNTIFS(РД[МОП],A183,РД[Дата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3" s="329">
        <f>SUMIFS(sept[м2],sept[МОП],$A183,sept[№ дома],#REF!)</f>
        <v>0</v>
      </c>
      <c r="F183" s="363">
        <f>SUMIFS(sept[Сумма без отделки],sept[МОП],$A183,sept[№ дома],#REF!)</f>
        <v>0</v>
      </c>
      <c r="G183" s="414">
        <f>COUNTIFS(sept[МОП],$A183,sept[№ дома],#REF!)</f>
        <v>0</v>
      </c>
      <c r="H183" s="271">
        <f>SUMIFS(РД[S],РД[МОП],A183,РД[Дата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3" s="546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3" s="202">
        <f>COUNTIFS(РД[Тип кв],J$179,РД[МОП],$A183,РД[Дата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3" s="226">
        <f>COUNTIFS(РД[Тип кв],K$179,РД[МОП],$A183,РД[Дата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3" s="226">
        <f>COUNTIFS(РД[Тип кв],L$179,РД[МОП],$A183,РД[Дата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3" s="226">
        <f>COUNTIFS(РД[Тип кв],M$179,РД[МОП],$A183,РД[Дата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227">
        <f>COUNTIFS(РД[Тип кв],T$175,РД[МОП],$A183,РД[Дата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3" s="339"/>
      <c r="P183" s="339"/>
      <c r="Q183" s="86"/>
      <c r="U183" s="66"/>
    </row>
    <row r="184" spans="1:21" s="65" customFormat="1">
      <c r="A184" s="153" t="s">
        <v>20</v>
      </c>
      <c r="B184" s="315">
        <f>SUMIFS(РД[S],РД[МОП],A184,РД[Дата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4" s="363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4" s="703">
        <f>COUNTIFS(РД[МОП],A184,РД[Дата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4" s="329">
        <f>SUMIFS(sept[м2],sept[МОП],$A184,sept[№ дома],#REF!)</f>
        <v>0</v>
      </c>
      <c r="F184" s="363">
        <f>SUMIFS(sept[Сумма без отделки],sept[МОП],$A184,sept[№ дома],#REF!)</f>
        <v>0</v>
      </c>
      <c r="G184" s="414">
        <f>COUNTIFS(sept[МОП],$A184,sept[№ дома],#REF!)</f>
        <v>0</v>
      </c>
      <c r="H184" s="315">
        <f>SUMIFS(РД[S],РД[МОП],A184,РД[Дата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4" s="550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4" s="358">
        <f>COUNTIFS(РД[Тип кв],J$179,РД[МОП],$A184,РД[Дата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4" s="330">
        <f>COUNTIFS(РД[Тип кв],K$179,РД[МОП],$A184,РД[Дата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4" s="330">
        <f>COUNTIFS(РД[Тип кв],L$179,РД[МОП],$A184,РД[Дата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4" s="330">
        <f>COUNTIFS(РД[Тип кв],M$179,РД[МОП],$A184,РД[Дата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331">
        <f>COUNTIFS(РД[Тип кв],T$175,РД[МОП],$A184,РД[Дата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154" t="s">
        <v>29</v>
      </c>
      <c r="B185" s="274">
        <f>SUMIFS(РД[S],РД[МОП],A185,РД[Дата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5" s="277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5" s="718">
        <f>COUNTIFS(РД[МОП],A185,РД[Дата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5" s="341">
        <f>SUMIFS(sept[м2],sept[МОП],$A185,sept[№ дома],#REF!)</f>
        <v>0</v>
      </c>
      <c r="F185" s="277">
        <f>SUMIFS(sept[Сумма без отделки],sept[МОП],$A185,sept[№ дома],#REF!)</f>
        <v>0</v>
      </c>
      <c r="G185" s="405">
        <f>COUNTIFS(sept[МОП],$A185,sept[№ дома],#REF!)</f>
        <v>0</v>
      </c>
      <c r="H185" s="274">
        <f>SUMIFS(РД[S],РД[МОП],A185,РД[Дата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5" s="277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5" s="228">
        <f>COUNTIFS(РД[Тип кв],J$179,РД[МОП],$A185,РД[Дата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5" s="228">
        <f>COUNTIFS(РД[Тип кв],K$179,РД[МОП],$A185,РД[Дата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5" s="228">
        <f>COUNTIFS(РД[Тип кв],L$179,РД[МОП],$A185,РД[Дата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5" s="228">
        <f>COUNTIFS(РД[Тип кв],M$179,РД[МОП],$A185,РД[Дата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5" s="231">
        <f>COUNTIFS(РД[Тип кв],T$175,РД[МОП],$A185,РД[Дата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5" s="339"/>
      <c r="P185" s="339"/>
      <c r="Q185" s="86"/>
      <c r="U185" s="66"/>
    </row>
    <row r="186" spans="1:21" s="65" customFormat="1">
      <c r="A186" s="161" t="s">
        <v>1207</v>
      </c>
      <c r="B186" s="278">
        <f>SUMIFS(РД[S],РД[МОП],A186,РД[Дата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6" s="281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6" s="719">
        <f>COUNTIFS(РД[МОП],A186,РД[Дата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6" s="406">
        <f>SUMIFS(sept[м2],sept[МОП],$A186,sept[№ дома],#REF!)</f>
        <v>0</v>
      </c>
      <c r="F186" s="281">
        <f>SUMIFS(sept[Сумма без отделки],sept[МОП],$A186,sept[№ дома],#REF!)</f>
        <v>0</v>
      </c>
      <c r="G186" s="407">
        <f>COUNTIFS(sept[МОП],$A186,sept[№ дома],#REF!)</f>
        <v>0</v>
      </c>
      <c r="H186" s="278">
        <f>SUMIFS(РД[S],РД[МОП],A186,РД[Дата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6" s="281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6" s="232">
        <f>COUNTIFS(РД[Тип кв],J$179,РД[МОП],$A186,РД[Дата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6" s="232">
        <f>COUNTIFS(РД[Тип кв],K$179,РД[МОП],$A186,РД[Дата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6" s="232">
        <f>COUNTIFS(РД[Тип кв],L$179,РД[МОП],$A186,РД[Дата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6" s="232">
        <f>COUNTIFS(РД[Тип кв],M$179,РД[МОП],$A186,РД[Дата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6" s="337">
        <f>COUNTIFS(РД[Тип кв],T$175,РД[МОП],$A186,РД[Дата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6" s="339"/>
      <c r="P186" s="339"/>
      <c r="Q186" s="86"/>
      <c r="U186" s="66"/>
    </row>
    <row r="187" spans="1:21" s="65" customFormat="1">
      <c r="A187" s="513" t="s">
        <v>114</v>
      </c>
      <c r="B187" s="282">
        <f t="shared" ref="B187:M187" si="31">SUM(B181:B184)</f>
        <v>0</v>
      </c>
      <c r="C187" s="287">
        <f t="shared" si="31"/>
        <v>0</v>
      </c>
      <c r="D187" s="305">
        <f t="shared" si="31"/>
        <v>0</v>
      </c>
      <c r="E187" s="425">
        <f t="shared" si="31"/>
        <v>0</v>
      </c>
      <c r="F187" s="287">
        <f t="shared" si="31"/>
        <v>0</v>
      </c>
      <c r="G187" s="286">
        <f t="shared" si="31"/>
        <v>0</v>
      </c>
      <c r="H187" s="282">
        <f t="shared" si="31"/>
        <v>0</v>
      </c>
      <c r="I187" s="283">
        <f t="shared" si="31"/>
        <v>0</v>
      </c>
      <c r="J187" s="284">
        <f t="shared" si="31"/>
        <v>0</v>
      </c>
      <c r="K187" s="285">
        <f t="shared" si="31"/>
        <v>0</v>
      </c>
      <c r="L187" s="285">
        <f t="shared" si="31"/>
        <v>0</v>
      </c>
      <c r="M187" s="285">
        <f t="shared" si="31"/>
        <v>0</v>
      </c>
      <c r="N187" s="305">
        <f>SUM(T177:T180)</f>
        <v>0</v>
      </c>
      <c r="O187" s="339"/>
      <c r="P187" s="339"/>
      <c r="Q187" s="86"/>
      <c r="U187" s="66"/>
    </row>
    <row r="188" spans="1:21" s="65" customFormat="1">
      <c r="A188" s="725" t="s">
        <v>115</v>
      </c>
      <c r="B188" s="706" t="s">
        <v>101</v>
      </c>
      <c r="C188" s="726" t="s">
        <v>98</v>
      </c>
      <c r="D188" s="708" t="s">
        <v>96</v>
      </c>
      <c r="E188" s="486" t="s">
        <v>494</v>
      </c>
      <c r="F188" s="487" t="s">
        <v>495</v>
      </c>
      <c r="G188" s="524" t="s">
        <v>496</v>
      </c>
      <c r="H188" s="489" t="s">
        <v>946</v>
      </c>
      <c r="I188" s="525" t="s">
        <v>947</v>
      </c>
      <c r="J188" s="217">
        <v>0</v>
      </c>
      <c r="K188" s="218">
        <v>1</v>
      </c>
      <c r="L188" s="340">
        <v>2</v>
      </c>
      <c r="M188" s="218">
        <v>3</v>
      </c>
      <c r="N188" s="219" t="s">
        <v>1367</v>
      </c>
      <c r="O188" s="339"/>
      <c r="P188" s="339"/>
      <c r="Q188" s="86"/>
      <c r="U188" s="66"/>
    </row>
    <row r="189" spans="1:21" s="65" customFormat="1">
      <c r="A189" s="177" t="s">
        <v>16</v>
      </c>
      <c r="B189" s="291">
        <f>SUMIFS(РД[S],РД[ИМ],A189,РД[Дата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9" s="292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9" s="694">
        <f>COUNTIFS(РД[ИМ],A189,РД[Дата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9" s="551"/>
      <c r="F189" s="292"/>
      <c r="G189" s="552"/>
      <c r="H189" s="291">
        <f>SUMIFS(РД[S],РД[ИМ],A189,РД[Дата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9" s="312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9" s="346">
        <f>COUNTIFS(РД[Тип кв],J$179,РД[ИМ],$A189,РД[Дата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9" s="243">
        <f>COUNTIFS(РД[Тип кв],K$179,РД[ИМ],$A189,РД[Дата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9" s="243">
        <f>COUNTIFS(РД[Тип кв],L$179,РД[ИМ],$A189,РД[Дата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9" s="243">
        <f>COUNTIFS(РД[Тип кв],M$179,РД[ИМ],$A189,РД[Дата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9" s="246">
        <f>COUNTIFS(РД[Тип кв],T$175,РД[ИМ],$A189,РД[Дата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9" s="339"/>
      <c r="P189" s="339"/>
      <c r="Q189" s="86"/>
      <c r="U189" s="66"/>
    </row>
    <row r="190" spans="1:21" s="65" customFormat="1">
      <c r="A190" s="189" t="s">
        <v>22</v>
      </c>
      <c r="B190" s="516">
        <f>SUMIFS(РД[S],РД[ИМ],A190,РД[Дата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90" s="554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90" s="695">
        <f>COUNTIFS(РД[ИМ],A190,РД[Дата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90" s="553"/>
      <c r="F190" s="554"/>
      <c r="G190" s="555"/>
      <c r="H190" s="516">
        <f>SUMIFS(РД[S],РД[ИМ],A190,РД[Дата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90" s="517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90" s="426">
        <f>COUNTIFS(РД[Тип кв],J$179,РД[ИМ],$A190,РД[Дата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90" s="251">
        <f>COUNTIFS(РД[Тип кв],K$179,РД[ИМ],$A190,РД[Дата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90" s="251">
        <f>COUNTIFS(РД[Тип кв],L$179,РД[ИМ],$A190,РД[Дата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90" s="251">
        <f>COUNTIFS(РД[Тип кв],M$179,РД[ИМ],$A190,РД[Дата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90" s="254">
        <f>COUNTIFS(РД[Тип кв],T$175,РД[ИМ],$A190,РД[Дата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90" s="339"/>
      <c r="P190" s="339"/>
      <c r="Q190" s="86"/>
      <c r="U190" s="66"/>
    </row>
    <row r="191" spans="1:21" s="65" customFormat="1">
      <c r="A191" s="513" t="s">
        <v>114</v>
      </c>
      <c r="B191" s="282">
        <f>SUM(B189:B190)</f>
        <v>0</v>
      </c>
      <c r="C191" s="287">
        <f>SUM(C189:C190)</f>
        <v>0</v>
      </c>
      <c r="D191" s="711">
        <f>SUM(D189:D190)</f>
        <v>0</v>
      </c>
      <c r="E191" s="425">
        <f t="shared" ref="E191:M191" si="32">SUM(E189:E190)</f>
        <v>0</v>
      </c>
      <c r="F191" s="287">
        <f t="shared" si="32"/>
        <v>0</v>
      </c>
      <c r="G191" s="286">
        <f t="shared" si="32"/>
        <v>0</v>
      </c>
      <c r="H191" s="282">
        <f t="shared" si="32"/>
        <v>0</v>
      </c>
      <c r="I191" s="283">
        <f t="shared" si="32"/>
        <v>0</v>
      </c>
      <c r="J191" s="284">
        <f t="shared" si="32"/>
        <v>0</v>
      </c>
      <c r="K191" s="285">
        <f t="shared" si="32"/>
        <v>0</v>
      </c>
      <c r="L191" s="285">
        <f t="shared" si="32"/>
        <v>0</v>
      </c>
      <c r="M191" s="285">
        <f t="shared" si="32"/>
        <v>0</v>
      </c>
      <c r="N191" s="305">
        <f>SUM(T185:T186)</f>
        <v>0</v>
      </c>
      <c r="O191" s="339"/>
      <c r="P191" s="339"/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:21" s="65" customFormat="1">
      <c r="Q225" s="86"/>
      <c r="U225" s="66"/>
    </row>
    <row r="226" spans="1:21" s="65" customFormat="1">
      <c r="Q226" s="86"/>
      <c r="U226" s="66"/>
    </row>
    <row r="227" spans="1:21" s="65" customFormat="1">
      <c r="Q227" s="86"/>
      <c r="U227" s="66"/>
    </row>
    <row r="228" spans="1:2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86"/>
      <c r="R228" s="65"/>
      <c r="S228" s="65"/>
    </row>
    <row r="229" spans="1:2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86"/>
      <c r="R229" s="65"/>
      <c r="S229" s="65"/>
    </row>
    <row r="230" spans="1:2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86"/>
      <c r="R230" s="65"/>
      <c r="S230" s="65"/>
    </row>
    <row r="231" spans="1:2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86"/>
      <c r="R231" s="65"/>
      <c r="S231" s="65"/>
    </row>
    <row r="232" spans="1:2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86"/>
      <c r="R232" s="65"/>
      <c r="S232" s="65"/>
    </row>
    <row r="233" spans="1:2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86"/>
      <c r="R233" s="65"/>
      <c r="S233" s="65"/>
    </row>
    <row r="234" spans="1:2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86"/>
      <c r="R234" s="65"/>
      <c r="S234" s="65"/>
    </row>
    <row r="235" spans="1:2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86"/>
      <c r="R235" s="65"/>
      <c r="S235" s="65"/>
    </row>
    <row r="236" spans="1:2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86"/>
      <c r="R236" s="65"/>
      <c r="S236" s="65"/>
    </row>
    <row r="237" spans="1:2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86"/>
      <c r="R237" s="65"/>
      <c r="S237" s="65"/>
    </row>
    <row r="238" spans="1:2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86"/>
      <c r="R238" s="65"/>
      <c r="S238" s="65"/>
    </row>
    <row r="239" spans="1:2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86"/>
      <c r="R239" s="65"/>
      <c r="S239" s="65"/>
    </row>
    <row r="240" spans="1:2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86"/>
      <c r="R240" s="65"/>
      <c r="S240" s="65"/>
    </row>
    <row r="241" spans="1:19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86"/>
      <c r="R241" s="65"/>
      <c r="S241" s="65"/>
    </row>
    <row r="242" spans="1:19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86"/>
      <c r="R242" s="65"/>
      <c r="S242" s="65"/>
    </row>
    <row r="243" spans="1:19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86"/>
      <c r="R243" s="65"/>
      <c r="S243" s="65"/>
    </row>
    <row r="244" spans="1:19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86"/>
      <c r="R244" s="65"/>
      <c r="S244" s="65"/>
    </row>
    <row r="245" spans="1:19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86"/>
      <c r="R245" s="65"/>
      <c r="S245" s="65"/>
    </row>
    <row r="246" spans="1:19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86"/>
      <c r="R246" s="65"/>
      <c r="S246" s="65"/>
    </row>
    <row r="247" spans="1:19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86"/>
      <c r="R247" s="65"/>
      <c r="S247" s="65"/>
    </row>
    <row r="248" spans="1:19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86"/>
      <c r="R248" s="65"/>
      <c r="S248" s="65"/>
    </row>
    <row r="249" spans="1:1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86"/>
      <c r="R249" s="65"/>
      <c r="S249" s="65"/>
    </row>
    <row r="250" spans="1:19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86"/>
      <c r="R250" s="65"/>
      <c r="S250" s="65"/>
    </row>
    <row r="251" spans="1:19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86"/>
      <c r="R251" s="65"/>
      <c r="S251" s="65"/>
    </row>
    <row r="252" spans="1:19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86"/>
      <c r="R252" s="65"/>
      <c r="S252" s="65"/>
    </row>
    <row r="253" spans="1:19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86"/>
      <c r="R253" s="65"/>
      <c r="S253" s="65"/>
    </row>
    <row r="254" spans="1:19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86"/>
      <c r="R254" s="65"/>
      <c r="S254" s="65"/>
    </row>
    <row r="255" spans="1:19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86"/>
      <c r="R255" s="65"/>
      <c r="S255" s="65"/>
    </row>
    <row r="256" spans="1:19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86"/>
      <c r="R256" s="65"/>
      <c r="S256" s="65"/>
    </row>
    <row r="257" spans="1:19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86"/>
      <c r="R257" s="65"/>
      <c r="S257" s="65"/>
    </row>
    <row r="258" spans="1:19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86"/>
      <c r="R258" s="65"/>
      <c r="S258" s="65"/>
    </row>
    <row r="259" spans="1:1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86"/>
      <c r="R259" s="65"/>
      <c r="S259" s="65"/>
    </row>
    <row r="260" spans="1:19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86"/>
      <c r="R260" s="65"/>
      <c r="S260" s="65"/>
    </row>
    <row r="261" spans="1:19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86"/>
      <c r="R261" s="65"/>
      <c r="S261" s="65"/>
    </row>
    <row r="262" spans="1:19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86"/>
      <c r="R262" s="65"/>
      <c r="S262" s="65"/>
    </row>
    <row r="263" spans="1:19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86"/>
      <c r="R263" s="65"/>
      <c r="S263" s="65"/>
    </row>
    <row r="264" spans="1:19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86"/>
      <c r="R264" s="65"/>
      <c r="S264" s="65"/>
    </row>
    <row r="265" spans="1:19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86"/>
      <c r="R265" s="65"/>
      <c r="S265" s="65"/>
    </row>
    <row r="266" spans="1:19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86"/>
      <c r="R266" s="65"/>
      <c r="S266" s="65"/>
    </row>
    <row r="267" spans="1:19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86"/>
      <c r="R267" s="65"/>
      <c r="S267" s="65"/>
    </row>
    <row r="268" spans="1:19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86"/>
      <c r="R268" s="65"/>
      <c r="S268" s="65"/>
    </row>
    <row r="269" spans="1:1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86"/>
      <c r="R269" s="65"/>
      <c r="S269" s="65"/>
    </row>
    <row r="270" spans="1:19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86"/>
      <c r="R270" s="65"/>
      <c r="S270" s="65"/>
    </row>
    <row r="271" spans="1:19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86"/>
      <c r="R271" s="65"/>
      <c r="S271" s="65"/>
    </row>
    <row r="272" spans="1:19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86"/>
      <c r="R272" s="65"/>
      <c r="S272" s="65"/>
    </row>
    <row r="273" spans="1:19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86"/>
      <c r="R273" s="65"/>
      <c r="S273" s="65"/>
    </row>
    <row r="274" spans="1:19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86"/>
      <c r="R274" s="65"/>
      <c r="S274" s="65"/>
    </row>
    <row r="275" spans="1:19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86"/>
      <c r="R275" s="65"/>
      <c r="S275" s="65"/>
    </row>
    <row r="276" spans="1:19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86"/>
      <c r="R276" s="65"/>
      <c r="S276" s="65"/>
    </row>
    <row r="277" spans="1:19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86"/>
      <c r="R277" s="65"/>
      <c r="S277" s="65"/>
    </row>
    <row r="278" spans="1:19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86"/>
      <c r="R278" s="65"/>
      <c r="S278" s="65"/>
    </row>
    <row r="279" spans="1:1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86"/>
      <c r="R279" s="65"/>
      <c r="S279" s="65"/>
    </row>
    <row r="280" spans="1:19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86"/>
      <c r="R280" s="65"/>
      <c r="S280" s="65"/>
    </row>
    <row r="281" spans="1:19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86"/>
      <c r="R281" s="65"/>
      <c r="S281" s="65"/>
    </row>
    <row r="282" spans="1:19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86"/>
      <c r="R282" s="65"/>
      <c r="S282" s="65"/>
    </row>
    <row r="283" spans="1:19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86"/>
      <c r="R283" s="65"/>
      <c r="S283" s="65"/>
    </row>
    <row r="284" spans="1:19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86"/>
      <c r="R284" s="65"/>
      <c r="S284" s="65"/>
    </row>
    <row r="285" spans="1:19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86"/>
      <c r="R285" s="65"/>
      <c r="S285" s="65"/>
    </row>
    <row r="286" spans="1:19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86"/>
      <c r="R286" s="65"/>
      <c r="S286" s="65"/>
    </row>
    <row r="287" spans="1:19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86"/>
      <c r="R287" s="65"/>
      <c r="S287" s="65"/>
    </row>
    <row r="288" spans="1:19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86"/>
      <c r="R288" s="65"/>
      <c r="S288" s="65"/>
    </row>
    <row r="289" spans="1:1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86"/>
      <c r="R289" s="65"/>
      <c r="S289" s="65"/>
    </row>
    <row r="290" spans="1:19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86"/>
      <c r="R290" s="65"/>
      <c r="S290" s="65"/>
    </row>
    <row r="291" spans="1:19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86"/>
      <c r="R291" s="65"/>
      <c r="S291" s="65"/>
    </row>
    <row r="292" spans="1:19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86"/>
      <c r="R292" s="65"/>
      <c r="S292" s="65"/>
    </row>
    <row r="293" spans="1:19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86"/>
      <c r="R293" s="65"/>
      <c r="S293" s="65"/>
    </row>
    <row r="294" spans="1:19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86"/>
      <c r="R294" s="65"/>
      <c r="S294" s="65"/>
    </row>
    <row r="295" spans="1:19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86"/>
      <c r="R295" s="65"/>
      <c r="S295" s="65"/>
    </row>
    <row r="296" spans="1:19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86"/>
      <c r="R296" s="65"/>
      <c r="S296" s="65"/>
    </row>
    <row r="297" spans="1:19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86"/>
      <c r="R297" s="65"/>
      <c r="S297" s="65"/>
    </row>
    <row r="298" spans="1:19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86"/>
      <c r="R298" s="65"/>
      <c r="S298" s="65"/>
    </row>
    <row r="299" spans="1:1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86"/>
      <c r="R299" s="65"/>
      <c r="S299" s="65"/>
    </row>
    <row r="300" spans="1:19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86"/>
      <c r="R300" s="65"/>
      <c r="S300" s="65"/>
    </row>
    <row r="301" spans="1:19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86"/>
      <c r="R301" s="65"/>
      <c r="S301" s="65"/>
    </row>
    <row r="302" spans="1:19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86"/>
      <c r="R302" s="65"/>
      <c r="S302" s="65"/>
    </row>
    <row r="303" spans="1:19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86"/>
      <c r="R303" s="65"/>
      <c r="S303" s="65"/>
    </row>
    <row r="304" spans="1:19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86"/>
      <c r="R304" s="65"/>
      <c r="S304" s="65"/>
    </row>
    <row r="305" spans="1:19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86"/>
      <c r="R305" s="65"/>
      <c r="S305" s="65"/>
    </row>
    <row r="306" spans="1:19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86"/>
      <c r="R306" s="65"/>
      <c r="S306" s="65"/>
    </row>
    <row r="307" spans="1:19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86"/>
      <c r="R307" s="65"/>
      <c r="S307" s="65"/>
    </row>
    <row r="308" spans="1:19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86"/>
      <c r="R308" s="65"/>
      <c r="S308" s="65"/>
    </row>
    <row r="309" spans="1:1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86"/>
      <c r="R309" s="65"/>
      <c r="S309" s="65"/>
    </row>
    <row r="310" spans="1:19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86"/>
      <c r="R310" s="65"/>
      <c r="S310" s="65"/>
    </row>
    <row r="311" spans="1:19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86"/>
      <c r="R311" s="65"/>
      <c r="S311" s="65"/>
    </row>
    <row r="312" spans="1:19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86"/>
      <c r="R312" s="65"/>
      <c r="S312" s="65"/>
    </row>
    <row r="313" spans="1:19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86"/>
      <c r="R313" s="65"/>
      <c r="S313" s="65"/>
    </row>
    <row r="314" spans="1:19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86"/>
      <c r="R314" s="65"/>
      <c r="S314" s="65"/>
    </row>
    <row r="315" spans="1:19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86"/>
      <c r="R315" s="65"/>
      <c r="S315" s="65"/>
    </row>
    <row r="316" spans="1:19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86"/>
    </row>
    <row r="317" spans="1:19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86"/>
    </row>
    <row r="318" spans="1:19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86"/>
    </row>
    <row r="319" spans="1: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86"/>
    </row>
  </sheetData>
  <sheetProtection algorithmName="SHA-512" hashValue="uw6e6mam22MWI78fRKj0R/JSw2wz8KwxkKB6Ru+COBfnKH8gImweDG6wnT6CA4QRMKmDFsTrCw7jDPG+rZ8BhA==" saltValue="D+vM6z+eA42dSaCxcHklKA==" spinCount="100000" sheet="1" formatCells="0" formatColumns="0" formatRows="0" sort="0" autoFilter="0" pivotTables="0"/>
  <mergeCells count="6">
    <mergeCell ref="A177:N177"/>
    <mergeCell ref="A1:U1"/>
    <mergeCell ref="A117:B117"/>
    <mergeCell ref="A132:B132"/>
    <mergeCell ref="A147:B147"/>
    <mergeCell ref="A162:O162"/>
  </mergeCells>
  <pageMargins left="0.25" right="0.25" top="0.75" bottom="0.75" header="0.3" footer="0.3"/>
  <pageSetup paperSize="9" scale="2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200-000000000000}">
          <x14:formula1>
            <xm:f>Списки!$B$2:$B$5</xm:f>
          </x14:formula1>
          <xm:sqref>C3:C110 G114:G115</xm:sqref>
        </x14:dataValidation>
        <x14:dataValidation type="list" allowBlank="1" showInputMessage="1" showErrorMessage="1" xr:uid="{00000000-0002-0000-2200-000001000000}">
          <x14:formula1>
            <xm:f>Списки!$C$3:$C$4</xm:f>
          </x14:formula1>
          <xm:sqref>D114:D115</xm:sqref>
        </x14:dataValidation>
        <x14:dataValidation type="list" allowBlank="1" showInputMessage="1" showErrorMessage="1" xr:uid="{00000000-0002-0000-2200-000002000000}">
          <x14:formula1>
            <xm:f>Списки!$D$2:$D$7</xm:f>
          </x14:formula1>
          <xm:sqref>F114:F115 G3:G110</xm:sqref>
        </x14:dataValidation>
        <x14:dataValidation type="list" allowBlank="1" showInputMessage="1" showErrorMessage="1" xr:uid="{00000000-0002-0000-2200-000003000000}">
          <x14:formula1>
            <xm:f>Списки!$E$2:$E$7</xm:f>
          </x14:formula1>
          <xm:sqref>H114:H115 K3:K110</xm:sqref>
        </x14:dataValidation>
        <x14:dataValidation type="list" allowBlank="1" showInputMessage="1" showErrorMessage="1" xr:uid="{00000000-0002-0000-2200-000004000000}">
          <x14:formula1>
            <xm:f>Списки!$C$2:$C$9</xm:f>
          </x14:formula1>
          <xm:sqref>J3:J110 S3:T110</xm:sqref>
        </x14:dataValidation>
        <x14:dataValidation type="list" allowBlank="1" showInputMessage="1" showErrorMessage="1" xr:uid="{00000000-0002-0000-2200-000005000000}">
          <x14:formula1>
            <xm:f>Списки!$G$2:$G$3</xm:f>
          </x14:formula1>
          <xm:sqref>L114:L115 M3:M110</xm:sqref>
        </x14:dataValidation>
        <x14:dataValidation type="list" allowBlank="1" showInputMessage="1" showErrorMessage="1" xr:uid="{00000000-0002-0000-2200-000006000000}">
          <x14:formula1>
            <xm:f>Списки!$F$2:$F$3</xm:f>
          </x14:formula1>
          <xm:sqref>N114:N115 O3:O4 O6:O69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U324"/>
  <sheetViews>
    <sheetView view="pageBreakPreview" zoomScale="85" zoomScaleNormal="85" workbookViewId="0">
      <pane ySplit="2" topLeftCell="A114" activePane="bottomLeft" state="frozen"/>
      <selection pane="bottomLeft" activeCell="S38" sqref="S38"/>
    </sheetView>
  </sheetViews>
  <sheetFormatPr defaultColWidth="12.28515625" defaultRowHeight="12.75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29.425781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1">
      <c r="A1" s="2297">
        <v>45230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 s="438" customFormat="1" ht="15.75" customHeight="1">
      <c r="A3" s="530">
        <v>1</v>
      </c>
      <c r="B3" s="867">
        <v>26772</v>
      </c>
      <c r="C3" s="530" t="s">
        <v>7</v>
      </c>
      <c r="D3" s="531">
        <v>417</v>
      </c>
      <c r="E3" s="530">
        <v>2</v>
      </c>
      <c r="F3" s="530">
        <v>67.489999999999995</v>
      </c>
      <c r="G3" s="535" t="s">
        <v>15</v>
      </c>
      <c r="H3" s="535">
        <v>7500</v>
      </c>
      <c r="I3" s="533">
        <v>5938471.0099999998</v>
      </c>
      <c r="J3" s="535" t="s">
        <v>8</v>
      </c>
      <c r="K3" s="530" t="s">
        <v>16</v>
      </c>
      <c r="L3" s="530" t="s">
        <v>1542</v>
      </c>
      <c r="M3" s="530" t="s">
        <v>12</v>
      </c>
      <c r="N3" s="534">
        <v>45229</v>
      </c>
      <c r="O3" s="535" t="s">
        <v>11</v>
      </c>
      <c r="P3" s="530" t="s">
        <v>1717</v>
      </c>
      <c r="Q3" s="536" t="s">
        <v>67</v>
      </c>
      <c r="R3" s="536" t="s">
        <v>67</v>
      </c>
      <c r="S3" s="535" t="s">
        <v>8</v>
      </c>
      <c r="T3" s="535" t="s">
        <v>8</v>
      </c>
      <c r="U3" s="542">
        <f>sept20[[#This Row],[сумма]]-sept20[[#This Row],[Цема м2 отделки]]*sept20[[#This Row],[м2]]</f>
        <v>5432296.0099999998</v>
      </c>
    </row>
    <row r="4" spans="1:21" hidden="1">
      <c r="A4" s="65">
        <v>2</v>
      </c>
      <c r="B4" s="79" t="s">
        <v>118</v>
      </c>
      <c r="C4" s="65"/>
      <c r="D4" s="79" t="s">
        <v>118</v>
      </c>
      <c r="E4" s="65" t="s">
        <v>118</v>
      </c>
      <c r="F4" s="65" t="s">
        <v>118</v>
      </c>
      <c r="G4" s="80"/>
      <c r="H4" s="80" t="s">
        <v>118</v>
      </c>
      <c r="I4" s="93" t="s">
        <v>118</v>
      </c>
      <c r="J4" s="80"/>
      <c r="K4" s="65"/>
      <c r="L4" s="65"/>
      <c r="M4" s="65"/>
      <c r="N4" s="98"/>
      <c r="O4" s="80"/>
      <c r="P4" s="65"/>
      <c r="Q4" s="118"/>
      <c r="R4" s="70"/>
      <c r="S4" s="80"/>
      <c r="T4" s="80"/>
      <c r="U4" s="115" t="e">
        <f>sept20[[#This Row],[сумма]]-sept20[[#This Row],[Цема м2 отделки]]*sept20[[#This Row],[м2]]</f>
        <v>#VALUE!</v>
      </c>
    </row>
    <row r="5" spans="1:21" hidden="1">
      <c r="A5" s="65">
        <v>3</v>
      </c>
      <c r="B5" s="79" t="s">
        <v>118</v>
      </c>
      <c r="C5" s="65"/>
      <c r="D5" s="79"/>
      <c r="E5" s="65"/>
      <c r="F5" s="65"/>
      <c r="G5" s="80"/>
      <c r="H5" s="80"/>
      <c r="I5" s="93"/>
      <c r="J5" s="80"/>
      <c r="K5" s="65"/>
      <c r="L5" s="65"/>
      <c r="M5" s="65"/>
      <c r="N5" s="98"/>
      <c r="O5" s="80"/>
      <c r="P5" s="65"/>
      <c r="Q5" s="118"/>
      <c r="R5" s="86"/>
      <c r="S5" s="80"/>
      <c r="T5" s="80"/>
      <c r="U5" s="115">
        <f>sept20[[#This Row],[сумма]]-sept20[[#This Row],[Цема м2 отделки]]*sept20[[#This Row],[м2]]</f>
        <v>0</v>
      </c>
    </row>
    <row r="6" spans="1:21" s="438" customFormat="1" ht="13.5" customHeight="1">
      <c r="A6" s="530">
        <v>4</v>
      </c>
      <c r="B6" s="531">
        <v>21575</v>
      </c>
      <c r="C6" s="530" t="s">
        <v>13</v>
      </c>
      <c r="D6" s="531">
        <v>450</v>
      </c>
      <c r="E6" s="868">
        <v>1</v>
      </c>
      <c r="F6" s="530">
        <v>38.299999999999997</v>
      </c>
      <c r="G6" s="530" t="s">
        <v>9</v>
      </c>
      <c r="H6" s="869"/>
      <c r="I6" s="872">
        <v>3591569.53</v>
      </c>
      <c r="J6" s="535" t="s">
        <v>73</v>
      </c>
      <c r="K6" s="530" t="s">
        <v>16</v>
      </c>
      <c r="L6" s="530" t="s">
        <v>583</v>
      </c>
      <c r="M6" s="530" t="s">
        <v>18</v>
      </c>
      <c r="N6" s="534">
        <v>45202</v>
      </c>
      <c r="O6" s="535" t="s">
        <v>17</v>
      </c>
      <c r="P6" s="530" t="s">
        <v>1065</v>
      </c>
      <c r="Q6" s="536" t="s">
        <v>67</v>
      </c>
      <c r="R6" s="536" t="s">
        <v>67</v>
      </c>
      <c r="S6" s="535" t="s">
        <v>73</v>
      </c>
      <c r="T6" s="535" t="s">
        <v>73</v>
      </c>
      <c r="U6" s="542">
        <f>sept20[[#This Row],[сумма]]-sept20[[#This Row],[Цема м2 отделки]]*sept20[[#This Row],[м2]]</f>
        <v>3591569.53</v>
      </c>
    </row>
    <row r="7" spans="1:21" hidden="1">
      <c r="A7" s="65">
        <v>5</v>
      </c>
      <c r="B7" s="78" t="s">
        <v>118</v>
      </c>
      <c r="C7" s="65"/>
      <c r="D7" s="79" t="s">
        <v>118</v>
      </c>
      <c r="E7" s="65" t="s">
        <v>118</v>
      </c>
      <c r="F7" s="65" t="s">
        <v>118</v>
      </c>
      <c r="G7" s="80"/>
      <c r="H7" s="80" t="s">
        <v>118</v>
      </c>
      <c r="I7" s="93" t="s">
        <v>118</v>
      </c>
      <c r="J7" s="80"/>
      <c r="K7" s="65"/>
      <c r="L7" s="65"/>
      <c r="M7" s="65"/>
      <c r="N7" s="98"/>
      <c r="O7" s="80"/>
      <c r="P7" s="65"/>
      <c r="Q7" s="118"/>
      <c r="R7" s="86"/>
      <c r="S7" s="80"/>
      <c r="T7" s="80"/>
      <c r="U7" s="115" t="e">
        <f>sept20[[#This Row],[сумма]]-sept20[[#This Row],[Цема м2 отделки]]*sept20[[#This Row],[м2]]</f>
        <v>#VALUE!</v>
      </c>
    </row>
    <row r="8" spans="1:21" hidden="1">
      <c r="A8" s="65" t="s">
        <v>118</v>
      </c>
      <c r="B8" s="79" t="s">
        <v>118</v>
      </c>
      <c r="C8" s="80"/>
      <c r="D8" s="79" t="s">
        <v>118</v>
      </c>
      <c r="E8" s="65" t="s">
        <v>118</v>
      </c>
      <c r="F8" s="65" t="s">
        <v>118</v>
      </c>
      <c r="G8" s="86" t="s">
        <v>25</v>
      </c>
      <c r="H8" s="86" t="s">
        <v>118</v>
      </c>
      <c r="I8" s="93" t="s">
        <v>118</v>
      </c>
      <c r="J8" s="80"/>
      <c r="K8" s="65"/>
      <c r="L8" s="65"/>
      <c r="M8" s="65"/>
      <c r="N8" s="86"/>
      <c r="O8" s="80"/>
      <c r="P8" s="86"/>
      <c r="Q8" s="118" t="s">
        <v>118</v>
      </c>
      <c r="R8" s="86" t="s">
        <v>118</v>
      </c>
      <c r="S8" s="80"/>
      <c r="T8" s="80" t="s">
        <v>1233</v>
      </c>
      <c r="U8" s="115" t="e">
        <f>sept20[[#This Row],[сумма]]-sept20[[#This Row],[Цема м2 отделки]]*sept20[[#This Row],[м2]]</f>
        <v>#VALUE!</v>
      </c>
    </row>
    <row r="9" spans="1:21" s="438" customFormat="1" ht="25.5">
      <c r="A9" s="530">
        <v>7</v>
      </c>
      <c r="B9" s="531">
        <v>3600</v>
      </c>
      <c r="C9" s="530" t="s">
        <v>7</v>
      </c>
      <c r="D9" s="531">
        <v>430</v>
      </c>
      <c r="E9" s="530">
        <v>1</v>
      </c>
      <c r="F9" s="530">
        <v>38.6</v>
      </c>
      <c r="G9" s="536" t="s">
        <v>25</v>
      </c>
      <c r="H9" s="536">
        <v>22000</v>
      </c>
      <c r="I9" s="873">
        <v>4431000.83</v>
      </c>
      <c r="J9" s="535" t="s">
        <v>20</v>
      </c>
      <c r="K9" s="530" t="s">
        <v>16</v>
      </c>
      <c r="L9" s="530" t="s">
        <v>583</v>
      </c>
      <c r="M9" s="530" t="s">
        <v>12</v>
      </c>
      <c r="N9" s="534">
        <v>45229</v>
      </c>
      <c r="O9" s="535"/>
      <c r="P9" s="536" t="s">
        <v>1718</v>
      </c>
      <c r="Q9" s="536" t="s">
        <v>67</v>
      </c>
      <c r="R9" s="536" t="s">
        <v>67</v>
      </c>
      <c r="S9" s="535" t="s">
        <v>20</v>
      </c>
      <c r="T9" s="535" t="s">
        <v>20</v>
      </c>
      <c r="U9" s="542">
        <f>sept20[[#This Row],[сумма]]-sept20[[#This Row],[Цема м2 отделки]]*sept20[[#This Row],[м2]]</f>
        <v>3581800.83</v>
      </c>
    </row>
    <row r="10" spans="1:21" s="438" customFormat="1">
      <c r="A10" s="530">
        <v>8</v>
      </c>
      <c r="B10" s="531">
        <v>27226</v>
      </c>
      <c r="C10" s="530" t="s">
        <v>7</v>
      </c>
      <c r="D10" s="530">
        <v>354</v>
      </c>
      <c r="E10" s="530">
        <v>2</v>
      </c>
      <c r="F10" s="530">
        <v>67.95</v>
      </c>
      <c r="G10" s="530" t="s">
        <v>25</v>
      </c>
      <c r="H10" s="530">
        <v>22000</v>
      </c>
      <c r="I10" s="533">
        <v>7150000</v>
      </c>
      <c r="J10" s="530" t="s">
        <v>20</v>
      </c>
      <c r="K10" s="530" t="s">
        <v>16</v>
      </c>
      <c r="L10" s="530" t="s">
        <v>583</v>
      </c>
      <c r="M10" s="530" t="s">
        <v>18</v>
      </c>
      <c r="N10" s="534">
        <v>45212</v>
      </c>
      <c r="O10" s="535" t="s">
        <v>17</v>
      </c>
      <c r="P10" s="530" t="s">
        <v>1719</v>
      </c>
      <c r="Q10" s="536" t="s">
        <v>67</v>
      </c>
      <c r="R10" s="536" t="s">
        <v>67</v>
      </c>
      <c r="S10" s="530" t="s">
        <v>20</v>
      </c>
      <c r="T10" s="530" t="s">
        <v>20</v>
      </c>
      <c r="U10" s="542">
        <f>sept20[[#This Row],[сумма]]-sept20[[#This Row],[Цема м2 отделки]]*sept20[[#This Row],[м2]]</f>
        <v>5655100</v>
      </c>
    </row>
    <row r="11" spans="1:21" s="438" customFormat="1">
      <c r="A11" s="530">
        <v>9</v>
      </c>
      <c r="B11" s="531">
        <v>3944</v>
      </c>
      <c r="C11" s="530" t="s">
        <v>13</v>
      </c>
      <c r="D11" s="531">
        <v>394</v>
      </c>
      <c r="E11" s="530">
        <v>1</v>
      </c>
      <c r="F11" s="530">
        <v>51.71</v>
      </c>
      <c r="G11" s="530" t="s">
        <v>9</v>
      </c>
      <c r="H11" s="530"/>
      <c r="I11" s="533">
        <v>4810603.0199999996</v>
      </c>
      <c r="J11" s="535" t="s">
        <v>20</v>
      </c>
      <c r="K11" s="530" t="s">
        <v>16</v>
      </c>
      <c r="L11" s="530" t="s">
        <v>583</v>
      </c>
      <c r="M11" s="530" t="s">
        <v>18</v>
      </c>
      <c r="N11" s="534">
        <v>45211</v>
      </c>
      <c r="O11" s="535" t="s">
        <v>17</v>
      </c>
      <c r="P11" s="530" t="s">
        <v>1720</v>
      </c>
      <c r="Q11" s="536" t="s">
        <v>67</v>
      </c>
      <c r="R11" s="536" t="s">
        <v>67</v>
      </c>
      <c r="S11" s="535" t="s">
        <v>20</v>
      </c>
      <c r="T11" s="535" t="s">
        <v>20</v>
      </c>
      <c r="U11" s="542">
        <f>sept20[[#This Row],[сумма]]-sept20[[#This Row],[Цема м2 отделки]]*sept20[[#This Row],[м2]]</f>
        <v>4810603.0199999996</v>
      </c>
    </row>
    <row r="12" spans="1:21" s="438" customFormat="1">
      <c r="A12" s="530">
        <v>10</v>
      </c>
      <c r="B12" s="531">
        <v>27020</v>
      </c>
      <c r="C12" s="530" t="s">
        <v>7</v>
      </c>
      <c r="D12" s="531">
        <v>2</v>
      </c>
      <c r="E12" s="530" t="s">
        <v>1337</v>
      </c>
      <c r="F12" s="530">
        <v>88.73</v>
      </c>
      <c r="G12" s="530" t="s">
        <v>9</v>
      </c>
      <c r="H12" s="530"/>
      <c r="I12" s="533">
        <v>10714148</v>
      </c>
      <c r="J12" s="535" t="s">
        <v>73</v>
      </c>
      <c r="K12" s="530" t="s">
        <v>84</v>
      </c>
      <c r="L12" s="530" t="s">
        <v>130</v>
      </c>
      <c r="M12" s="530" t="s">
        <v>12</v>
      </c>
      <c r="N12" s="534"/>
      <c r="O12" s="535" t="s">
        <v>17</v>
      </c>
      <c r="P12" s="530" t="s">
        <v>1721</v>
      </c>
      <c r="Q12" s="536" t="s">
        <v>67</v>
      </c>
      <c r="R12" s="536"/>
      <c r="S12" s="535" t="s">
        <v>73</v>
      </c>
      <c r="T12" s="535" t="s">
        <v>20</v>
      </c>
      <c r="U12" s="542">
        <f>sept20[[#This Row],[сумма]]-sept20[[#This Row],[Цема м2 отделки]]*sept20[[#This Row],[м2]]</f>
        <v>10714148</v>
      </c>
    </row>
    <row r="13" spans="1:21" hidden="1">
      <c r="A13" s="65">
        <v>11</v>
      </c>
      <c r="B13" s="79">
        <v>27246</v>
      </c>
      <c r="C13" s="65" t="s">
        <v>7</v>
      </c>
      <c r="D13" s="79">
        <v>385</v>
      </c>
      <c r="E13" s="65">
        <v>2</v>
      </c>
      <c r="F13" s="65">
        <v>56.7</v>
      </c>
      <c r="G13" s="86" t="s">
        <v>15</v>
      </c>
      <c r="H13" s="86"/>
      <c r="I13" s="104"/>
      <c r="J13" s="80" t="s">
        <v>73</v>
      </c>
      <c r="K13" s="65" t="s">
        <v>22</v>
      </c>
      <c r="L13" s="107" t="s">
        <v>583</v>
      </c>
      <c r="M13" s="65" t="s">
        <v>18</v>
      </c>
      <c r="N13" s="98"/>
      <c r="O13" s="80" t="s">
        <v>17</v>
      </c>
      <c r="P13" s="86" t="s">
        <v>1722</v>
      </c>
      <c r="Q13" s="118" t="s">
        <v>1723</v>
      </c>
      <c r="R13" s="86" t="s">
        <v>491</v>
      </c>
      <c r="S13" s="80" t="s">
        <v>73</v>
      </c>
      <c r="T13" s="80" t="s">
        <v>73</v>
      </c>
      <c r="U13" s="115">
        <f>sept20[[#This Row],[сумма]]-sept20[[#This Row],[Цема м2 отделки]]*sept20[[#This Row],[м2]]</f>
        <v>0</v>
      </c>
    </row>
    <row r="14" spans="1:21" s="438" customFormat="1">
      <c r="A14" s="530">
        <v>12</v>
      </c>
      <c r="B14" s="531">
        <v>27031</v>
      </c>
      <c r="C14" s="530" t="s">
        <v>7</v>
      </c>
      <c r="D14" s="531">
        <v>455</v>
      </c>
      <c r="E14" s="530">
        <v>1</v>
      </c>
      <c r="F14" s="530">
        <v>44.37</v>
      </c>
      <c r="G14" s="530" t="s">
        <v>9</v>
      </c>
      <c r="H14" s="530"/>
      <c r="I14" s="533">
        <v>4252843.6500000004</v>
      </c>
      <c r="J14" s="535" t="s">
        <v>73</v>
      </c>
      <c r="K14" s="530" t="s">
        <v>22</v>
      </c>
      <c r="L14" s="530" t="s">
        <v>583</v>
      </c>
      <c r="M14" s="530" t="s">
        <v>12</v>
      </c>
      <c r="N14" s="534">
        <v>45224</v>
      </c>
      <c r="O14" s="535" t="s">
        <v>17</v>
      </c>
      <c r="P14" s="530" t="s">
        <v>1724</v>
      </c>
      <c r="Q14" s="541" t="s">
        <v>67</v>
      </c>
      <c r="R14" s="541" t="s">
        <v>67</v>
      </c>
      <c r="S14" s="535" t="s">
        <v>73</v>
      </c>
      <c r="T14" s="535" t="s">
        <v>73</v>
      </c>
      <c r="U14" s="542">
        <f>sept20[[#This Row],[сумма]]-sept20[[#This Row],[Цема м2 отделки]]*sept20[[#This Row],[м2]]</f>
        <v>4252843.6500000004</v>
      </c>
    </row>
    <row r="15" spans="1:21" s="438" customFormat="1">
      <c r="A15" s="530">
        <v>13</v>
      </c>
      <c r="B15" s="531">
        <v>27273</v>
      </c>
      <c r="C15" s="530" t="s">
        <v>13</v>
      </c>
      <c r="D15" s="531">
        <v>304</v>
      </c>
      <c r="E15" s="530">
        <v>3</v>
      </c>
      <c r="F15" s="530">
        <v>80.97</v>
      </c>
      <c r="G15" s="530" t="s">
        <v>9</v>
      </c>
      <c r="H15" s="530"/>
      <c r="I15" s="533">
        <v>6480614.9100000001</v>
      </c>
      <c r="J15" s="535" t="s">
        <v>1207</v>
      </c>
      <c r="K15" s="530" t="s">
        <v>16</v>
      </c>
      <c r="L15" s="530" t="s">
        <v>583</v>
      </c>
      <c r="M15" s="530" t="s">
        <v>18</v>
      </c>
      <c r="N15" s="534">
        <v>45217</v>
      </c>
      <c r="O15" s="535" t="s">
        <v>17</v>
      </c>
      <c r="P15" s="530" t="s">
        <v>1725</v>
      </c>
      <c r="Q15" s="541" t="s">
        <v>67</v>
      </c>
      <c r="R15" s="541" t="s">
        <v>67</v>
      </c>
      <c r="S15" s="535" t="s">
        <v>1207</v>
      </c>
      <c r="T15" s="535" t="s">
        <v>20</v>
      </c>
      <c r="U15" s="542">
        <f>sept20[[#This Row],[сумма]]-sept20[[#This Row],[Цема м2 отделки]]*sept20[[#This Row],[м2]]</f>
        <v>6480614.9100000001</v>
      </c>
    </row>
    <row r="16" spans="1:21">
      <c r="A16" s="530">
        <v>14</v>
      </c>
      <c r="B16" s="531">
        <v>27260</v>
      </c>
      <c r="C16" s="530" t="s">
        <v>7</v>
      </c>
      <c r="D16" s="531">
        <v>10</v>
      </c>
      <c r="E16" s="530" t="s">
        <v>1337</v>
      </c>
      <c r="F16" s="530">
        <v>96.31</v>
      </c>
      <c r="G16" s="530" t="s">
        <v>9</v>
      </c>
      <c r="H16" s="530"/>
      <c r="I16" s="533">
        <v>11629433</v>
      </c>
      <c r="J16" s="535" t="s">
        <v>1233</v>
      </c>
      <c r="K16" s="530" t="s">
        <v>10</v>
      </c>
      <c r="L16" s="530" t="s">
        <v>286</v>
      </c>
      <c r="M16" s="530" t="s">
        <v>18</v>
      </c>
      <c r="N16" s="534"/>
      <c r="O16" s="535" t="s">
        <v>17</v>
      </c>
      <c r="P16" s="530" t="s">
        <v>1726</v>
      </c>
      <c r="Q16" s="541" t="s">
        <v>67</v>
      </c>
      <c r="R16" s="541" t="s">
        <v>67</v>
      </c>
      <c r="S16" s="535" t="s">
        <v>1233</v>
      </c>
      <c r="T16" s="535" t="s">
        <v>1233</v>
      </c>
      <c r="U16" s="542">
        <f>sept20[[#This Row],[сумма]]-sept20[[#This Row],[Цема м2 отделки]]*sept20[[#This Row],[м2]]</f>
        <v>11629433</v>
      </c>
    </row>
    <row r="17" spans="1:21">
      <c r="A17" s="530">
        <v>15</v>
      </c>
      <c r="B17" s="531">
        <v>27337</v>
      </c>
      <c r="C17" s="530" t="s">
        <v>27</v>
      </c>
      <c r="D17" s="531">
        <v>9</v>
      </c>
      <c r="E17" s="530" t="s">
        <v>1337</v>
      </c>
      <c r="F17" s="530">
        <v>149.19999999999999</v>
      </c>
      <c r="G17" s="530" t="s">
        <v>9</v>
      </c>
      <c r="H17" s="530"/>
      <c r="I17" s="533">
        <v>17904000</v>
      </c>
      <c r="J17" s="530" t="s">
        <v>1233</v>
      </c>
      <c r="K17" s="530" t="s">
        <v>10</v>
      </c>
      <c r="L17" s="530" t="s">
        <v>514</v>
      </c>
      <c r="M17" s="530" t="s">
        <v>18</v>
      </c>
      <c r="N17" s="534"/>
      <c r="O17" s="535" t="s">
        <v>17</v>
      </c>
      <c r="P17" s="530" t="s">
        <v>1727</v>
      </c>
      <c r="Q17" s="541" t="s">
        <v>67</v>
      </c>
      <c r="R17" s="536" t="s">
        <v>67</v>
      </c>
      <c r="S17" s="530" t="s">
        <v>1233</v>
      </c>
      <c r="T17" s="530" t="s">
        <v>1233</v>
      </c>
      <c r="U17" s="542">
        <f>sept20[[#This Row],[сумма]]-sept20[[#This Row],[Цема м2 отделки]]*sept20[[#This Row],[м2]]</f>
        <v>17904000</v>
      </c>
    </row>
    <row r="18" spans="1:21" s="438" customFormat="1" ht="25.5">
      <c r="A18" s="530">
        <v>16</v>
      </c>
      <c r="B18" s="531">
        <v>6722</v>
      </c>
      <c r="C18" s="530" t="s">
        <v>13</v>
      </c>
      <c r="D18" s="531">
        <v>232</v>
      </c>
      <c r="E18" s="530">
        <v>1</v>
      </c>
      <c r="F18" s="530">
        <v>59.68</v>
      </c>
      <c r="G18" s="530" t="s">
        <v>9</v>
      </c>
      <c r="H18" s="530"/>
      <c r="I18" s="533">
        <v>5076164.76</v>
      </c>
      <c r="J18" s="535" t="s">
        <v>14</v>
      </c>
      <c r="K18" s="530" t="s">
        <v>16</v>
      </c>
      <c r="L18" s="530" t="s">
        <v>583</v>
      </c>
      <c r="M18" s="530" t="s">
        <v>18</v>
      </c>
      <c r="N18" s="534">
        <v>45216</v>
      </c>
      <c r="O18" s="535" t="s">
        <v>17</v>
      </c>
      <c r="P18" s="536" t="s">
        <v>1728</v>
      </c>
      <c r="Q18" s="541" t="s">
        <v>67</v>
      </c>
      <c r="R18" s="541" t="s">
        <v>67</v>
      </c>
      <c r="S18" s="535" t="s">
        <v>14</v>
      </c>
      <c r="T18" s="535" t="s">
        <v>14</v>
      </c>
      <c r="U18" s="542">
        <f>sept20[[#This Row],[сумма]]-sept20[[#This Row],[Цема м2 отделки]]*sept20[[#This Row],[м2]]</f>
        <v>5076164.76</v>
      </c>
    </row>
    <row r="19" spans="1:21" hidden="1">
      <c r="A19" s="65"/>
      <c r="B19" s="79"/>
      <c r="C19" s="65"/>
      <c r="D19" s="79"/>
      <c r="E19" s="65"/>
      <c r="F19" s="65"/>
      <c r="G19" s="65"/>
      <c r="H19" s="65"/>
      <c r="I19" s="93"/>
      <c r="J19" s="80"/>
      <c r="K19" s="65"/>
      <c r="L19" s="65"/>
      <c r="M19" s="65"/>
      <c r="N19" s="98"/>
      <c r="O19" s="80"/>
      <c r="P19" s="86"/>
      <c r="Q19" s="118"/>
      <c r="R19" s="118"/>
      <c r="S19" s="80"/>
      <c r="T19" s="80"/>
      <c r="U19" s="115">
        <f>sept20[[#This Row],[сумма]]-sept20[[#This Row],[Цема м2 отделки]]*sept20[[#This Row],[м2]]</f>
        <v>0</v>
      </c>
    </row>
    <row r="20" spans="1:21" s="438" customFormat="1" ht="15">
      <c r="A20" s="530">
        <v>18</v>
      </c>
      <c r="B20" s="531">
        <v>27058</v>
      </c>
      <c r="C20" s="530" t="s">
        <v>13</v>
      </c>
      <c r="D20" s="531">
        <v>385</v>
      </c>
      <c r="E20" s="530">
        <v>2</v>
      </c>
      <c r="F20" s="530">
        <v>56.58</v>
      </c>
      <c r="G20" s="530" t="s">
        <v>15</v>
      </c>
      <c r="H20" s="530">
        <v>7500</v>
      </c>
      <c r="I20" s="533">
        <v>5443388.4000000004</v>
      </c>
      <c r="J20" s="535" t="s">
        <v>8</v>
      </c>
      <c r="K20" s="530" t="s">
        <v>22</v>
      </c>
      <c r="L20" s="530" t="s">
        <v>583</v>
      </c>
      <c r="M20" s="530" t="s">
        <v>18</v>
      </c>
      <c r="N20" s="534">
        <v>45212</v>
      </c>
      <c r="O20" s="535" t="s">
        <v>17</v>
      </c>
      <c r="P20" s="874" t="s">
        <v>1729</v>
      </c>
      <c r="Q20" s="541" t="s">
        <v>67</v>
      </c>
      <c r="R20" s="541" t="s">
        <v>67</v>
      </c>
      <c r="S20" s="535" t="s">
        <v>8</v>
      </c>
      <c r="T20" s="535" t="s">
        <v>8</v>
      </c>
      <c r="U20" s="542">
        <f>sept20[[#This Row],[сумма]]-sept20[[#This Row],[Цема м2 отделки]]*sept20[[#This Row],[м2]]</f>
        <v>5019038.4000000004</v>
      </c>
    </row>
    <row r="21" spans="1:21" s="438" customFormat="1">
      <c r="A21" s="530">
        <v>19</v>
      </c>
      <c r="B21" s="531">
        <v>25815</v>
      </c>
      <c r="C21" s="530" t="s">
        <v>13</v>
      </c>
      <c r="D21" s="531">
        <v>382</v>
      </c>
      <c r="E21" s="530">
        <v>1</v>
      </c>
      <c r="F21" s="530">
        <v>34.81</v>
      </c>
      <c r="G21" s="530" t="s">
        <v>15</v>
      </c>
      <c r="H21" s="530">
        <v>4500</v>
      </c>
      <c r="I21" s="533">
        <v>3494340.21</v>
      </c>
      <c r="J21" s="535" t="s">
        <v>20</v>
      </c>
      <c r="K21" s="530" t="s">
        <v>16</v>
      </c>
      <c r="L21" s="530" t="s">
        <v>583</v>
      </c>
      <c r="M21" s="530" t="s">
        <v>12</v>
      </c>
      <c r="N21" s="534">
        <v>45217</v>
      </c>
      <c r="O21" s="535" t="s">
        <v>17</v>
      </c>
      <c r="P21" s="530" t="s">
        <v>1730</v>
      </c>
      <c r="Q21" s="541" t="s">
        <v>67</v>
      </c>
      <c r="R21" s="541" t="s">
        <v>67</v>
      </c>
      <c r="S21" s="535" t="s">
        <v>20</v>
      </c>
      <c r="T21" s="535" t="s">
        <v>20</v>
      </c>
      <c r="U21" s="542">
        <f>sept20[[#This Row],[сумма]]-sept20[[#This Row],[Цема м2 отделки]]*sept20[[#This Row],[м2]]</f>
        <v>3337695.21</v>
      </c>
    </row>
    <row r="22" spans="1:21" s="438" customFormat="1" ht="15" customHeight="1">
      <c r="A22" s="530">
        <v>20</v>
      </c>
      <c r="B22" s="531">
        <v>27292</v>
      </c>
      <c r="C22" s="530" t="s">
        <v>7</v>
      </c>
      <c r="D22" s="531">
        <v>305</v>
      </c>
      <c r="E22" s="530">
        <v>2</v>
      </c>
      <c r="F22" s="530">
        <v>67.95</v>
      </c>
      <c r="G22" s="530" t="s">
        <v>15</v>
      </c>
      <c r="H22" s="530">
        <v>7500</v>
      </c>
      <c r="I22" s="533">
        <v>6335992.5999999996</v>
      </c>
      <c r="J22" s="535" t="s">
        <v>73</v>
      </c>
      <c r="K22" s="530" t="s">
        <v>16</v>
      </c>
      <c r="L22" s="530" t="s">
        <v>583</v>
      </c>
      <c r="M22" s="530" t="s">
        <v>12</v>
      </c>
      <c r="N22" s="534">
        <v>45230</v>
      </c>
      <c r="O22" s="535" t="s">
        <v>17</v>
      </c>
      <c r="P22" s="530" t="s">
        <v>1731</v>
      </c>
      <c r="Q22" s="541" t="s">
        <v>67</v>
      </c>
      <c r="R22" s="541" t="s">
        <v>67</v>
      </c>
      <c r="S22" s="535" t="s">
        <v>73</v>
      </c>
      <c r="T22" s="535" t="s">
        <v>14</v>
      </c>
      <c r="U22" s="542">
        <f>sept20[[#This Row],[сумма]]-sept20[[#This Row],[Цема м2 отделки]]*sept20[[#This Row],[м2]]</f>
        <v>5826367.5999999996</v>
      </c>
    </row>
    <row r="23" spans="1:21" s="438" customFormat="1">
      <c r="A23" s="530">
        <v>21</v>
      </c>
      <c r="B23" s="531">
        <v>27339</v>
      </c>
      <c r="C23" s="530" t="s">
        <v>7</v>
      </c>
      <c r="D23" s="531">
        <v>1</v>
      </c>
      <c r="E23" s="530" t="s">
        <v>1337</v>
      </c>
      <c r="F23" s="530">
        <v>90.98</v>
      </c>
      <c r="G23" s="530" t="s">
        <v>9</v>
      </c>
      <c r="H23" s="530"/>
      <c r="I23" s="533">
        <v>10985835</v>
      </c>
      <c r="J23" s="535" t="s">
        <v>1233</v>
      </c>
      <c r="K23" s="530"/>
      <c r="L23" s="530" t="s">
        <v>286</v>
      </c>
      <c r="M23" s="530" t="s">
        <v>18</v>
      </c>
      <c r="N23" s="534">
        <v>45217</v>
      </c>
      <c r="O23" s="535" t="s">
        <v>17</v>
      </c>
      <c r="P23" s="530" t="s">
        <v>1732</v>
      </c>
      <c r="Q23" s="536" t="s">
        <v>67</v>
      </c>
      <c r="R23" s="536" t="s">
        <v>67</v>
      </c>
      <c r="S23" s="535" t="s">
        <v>1233</v>
      </c>
      <c r="T23" s="535" t="s">
        <v>1233</v>
      </c>
      <c r="U23" s="542">
        <f>sept20[[#This Row],[сумма]]-sept20[[#This Row],[Цема м2 отделки]]*sept20[[#This Row],[м2]]</f>
        <v>10985835</v>
      </c>
    </row>
    <row r="24" spans="1:21" s="438" customFormat="1">
      <c r="A24" s="530">
        <v>22</v>
      </c>
      <c r="B24" s="531">
        <v>27439</v>
      </c>
      <c r="C24" s="530" t="s">
        <v>7</v>
      </c>
      <c r="D24" s="531">
        <v>2</v>
      </c>
      <c r="E24" s="530" t="s">
        <v>1337</v>
      </c>
      <c r="F24" s="530">
        <v>88.73</v>
      </c>
      <c r="G24" s="530" t="s">
        <v>9</v>
      </c>
      <c r="H24" s="530"/>
      <c r="I24" s="533">
        <v>10714148</v>
      </c>
      <c r="J24" s="869" t="s">
        <v>1233</v>
      </c>
      <c r="K24" s="530"/>
      <c r="L24" s="530" t="s">
        <v>286</v>
      </c>
      <c r="M24" s="530" t="s">
        <v>18</v>
      </c>
      <c r="N24" s="534">
        <v>45217</v>
      </c>
      <c r="O24" s="530" t="s">
        <v>17</v>
      </c>
      <c r="P24" s="530" t="s">
        <v>1732</v>
      </c>
      <c r="Q24" s="536" t="s">
        <v>67</v>
      </c>
      <c r="R24" s="536" t="s">
        <v>67</v>
      </c>
      <c r="S24" s="530" t="s">
        <v>1233</v>
      </c>
      <c r="T24" s="530" t="s">
        <v>1233</v>
      </c>
      <c r="U24" s="542">
        <f>sept20[[#This Row],[сумма]]-sept20[[#This Row],[Цема м2 отделки]]*sept20[[#This Row],[м2]]</f>
        <v>10714148</v>
      </c>
    </row>
    <row r="25" spans="1:21" s="438" customFormat="1">
      <c r="A25" s="530">
        <v>23</v>
      </c>
      <c r="B25" s="531">
        <v>26846</v>
      </c>
      <c r="C25" s="530" t="s">
        <v>7</v>
      </c>
      <c r="D25" s="531">
        <v>3</v>
      </c>
      <c r="E25" s="530" t="s">
        <v>1337</v>
      </c>
      <c r="F25" s="530">
        <v>100.75</v>
      </c>
      <c r="G25" s="530" t="s">
        <v>9</v>
      </c>
      <c r="H25" s="530"/>
      <c r="I25" s="533">
        <v>12165563</v>
      </c>
      <c r="J25" s="535" t="s">
        <v>73</v>
      </c>
      <c r="K25" s="530"/>
      <c r="L25" s="530" t="s">
        <v>130</v>
      </c>
      <c r="M25" s="530" t="s">
        <v>18</v>
      </c>
      <c r="N25" s="534">
        <v>45219</v>
      </c>
      <c r="O25" s="535" t="s">
        <v>17</v>
      </c>
      <c r="P25" s="530" t="s">
        <v>1733</v>
      </c>
      <c r="Q25" s="536" t="s">
        <v>67</v>
      </c>
      <c r="R25" s="536" t="s">
        <v>67</v>
      </c>
      <c r="S25" s="535" t="s">
        <v>73</v>
      </c>
      <c r="T25" s="535" t="s">
        <v>73</v>
      </c>
      <c r="U25" s="542">
        <f>sept20[[#This Row],[сумма]]-sept20[[#This Row],[Цема м2 отделки]]*sept20[[#This Row],[м2]]</f>
        <v>12165563</v>
      </c>
    </row>
    <row r="26" spans="1:21" s="438" customFormat="1">
      <c r="A26" s="530">
        <v>24</v>
      </c>
      <c r="B26" s="531">
        <v>27433</v>
      </c>
      <c r="C26" s="530" t="s">
        <v>13</v>
      </c>
      <c r="D26" s="531">
        <v>337</v>
      </c>
      <c r="E26" s="868">
        <v>2</v>
      </c>
      <c r="F26" s="530">
        <v>60.24</v>
      </c>
      <c r="G26" s="530" t="s">
        <v>15</v>
      </c>
      <c r="H26" s="869">
        <v>7500</v>
      </c>
      <c r="I26" s="872">
        <v>5541702.3799999999</v>
      </c>
      <c r="J26" s="869" t="s">
        <v>8</v>
      </c>
      <c r="K26" s="530" t="s">
        <v>16</v>
      </c>
      <c r="L26" s="530" t="s">
        <v>583</v>
      </c>
      <c r="M26" s="530" t="s">
        <v>18</v>
      </c>
      <c r="N26" s="534">
        <v>45222</v>
      </c>
      <c r="O26" s="530" t="s">
        <v>17</v>
      </c>
      <c r="P26" s="530" t="s">
        <v>1734</v>
      </c>
      <c r="Q26" s="536" t="s">
        <v>67</v>
      </c>
      <c r="R26" s="536" t="s">
        <v>67</v>
      </c>
      <c r="S26" s="530" t="s">
        <v>8</v>
      </c>
      <c r="T26" s="530" t="s">
        <v>8</v>
      </c>
      <c r="U26" s="542">
        <f>sept20[[#This Row],[сумма]]-sept20[[#This Row],[Цема м2 отделки]]*sept20[[#This Row],[м2]]</f>
        <v>5089902.38</v>
      </c>
    </row>
    <row r="27" spans="1:21" hidden="1">
      <c r="A27" s="65">
        <v>25</v>
      </c>
      <c r="B27" s="79" t="s">
        <v>118</v>
      </c>
      <c r="C27" s="65" t="s">
        <v>74</v>
      </c>
      <c r="D27" s="79">
        <v>1</v>
      </c>
      <c r="E27" s="87" t="s">
        <v>118</v>
      </c>
      <c r="F27" s="65" t="s">
        <v>118</v>
      </c>
      <c r="G27" s="65"/>
      <c r="H27" s="72"/>
      <c r="I27" s="105" t="s">
        <v>118</v>
      </c>
      <c r="J27" s="72"/>
      <c r="K27" s="65"/>
      <c r="L27" s="80" t="s">
        <v>118</v>
      </c>
      <c r="M27" s="65" t="s">
        <v>18</v>
      </c>
      <c r="N27" s="98"/>
      <c r="O27" s="65"/>
      <c r="P27" s="80"/>
      <c r="Q27" s="131"/>
      <c r="R27" s="86"/>
      <c r="S27" s="65"/>
      <c r="U27" s="115" t="e">
        <f>sept20[[#This Row],[сумма]]-sept20[[#This Row],[Цема м2 отделки]]*sept20[[#This Row],[м2]]</f>
        <v>#VALUE!</v>
      </c>
    </row>
    <row r="28" spans="1:21" s="438" customFormat="1" ht="13.5" customHeight="1">
      <c r="A28" s="530">
        <v>26</v>
      </c>
      <c r="B28" s="531">
        <v>27507</v>
      </c>
      <c r="C28" s="530" t="s">
        <v>7</v>
      </c>
      <c r="D28" s="531">
        <v>468</v>
      </c>
      <c r="E28" s="530">
        <v>1</v>
      </c>
      <c r="F28" s="530">
        <v>36.5</v>
      </c>
      <c r="G28" s="530" t="s">
        <v>25</v>
      </c>
      <c r="H28" s="530">
        <v>22500</v>
      </c>
      <c r="I28" s="533">
        <v>4852592.51</v>
      </c>
      <c r="J28" s="535" t="s">
        <v>1233</v>
      </c>
      <c r="K28" s="530" t="s">
        <v>16</v>
      </c>
      <c r="L28" s="530" t="s">
        <v>65</v>
      </c>
      <c r="M28" s="530" t="s">
        <v>18</v>
      </c>
      <c r="N28" s="534">
        <v>45222</v>
      </c>
      <c r="O28" s="535" t="s">
        <v>17</v>
      </c>
      <c r="P28" s="530" t="s">
        <v>1735</v>
      </c>
      <c r="Q28" s="536" t="s">
        <v>67</v>
      </c>
      <c r="R28" s="536" t="s">
        <v>67</v>
      </c>
      <c r="S28" s="535" t="s">
        <v>1233</v>
      </c>
      <c r="T28" s="535" t="s">
        <v>1233</v>
      </c>
      <c r="U28" s="542">
        <f>sept20[[#This Row],[сумма]]-sept20[[#This Row],[Цема м2 отделки]]*sept20[[#This Row],[м2]]</f>
        <v>4031342.51</v>
      </c>
    </row>
    <row r="29" spans="1:21" s="438" customFormat="1" ht="13.5" customHeight="1">
      <c r="A29" s="530">
        <v>27</v>
      </c>
      <c r="B29" s="531">
        <v>15662</v>
      </c>
      <c r="C29" s="530" t="s">
        <v>13</v>
      </c>
      <c r="D29" s="531">
        <v>6</v>
      </c>
      <c r="E29" s="530">
        <v>1</v>
      </c>
      <c r="F29" s="530">
        <v>42.75</v>
      </c>
      <c r="G29" s="530" t="s">
        <v>25</v>
      </c>
      <c r="H29" s="530"/>
      <c r="I29" s="533">
        <v>4977178.16</v>
      </c>
      <c r="J29" s="535" t="s">
        <v>77</v>
      </c>
      <c r="K29" s="530" t="s">
        <v>16</v>
      </c>
      <c r="L29" s="530" t="s">
        <v>583</v>
      </c>
      <c r="M29" s="530" t="s">
        <v>12</v>
      </c>
      <c r="N29" s="534"/>
      <c r="O29" s="535" t="s">
        <v>11</v>
      </c>
      <c r="P29" s="530" t="s">
        <v>1736</v>
      </c>
      <c r="Q29" s="536" t="s">
        <v>67</v>
      </c>
      <c r="R29" s="536" t="s">
        <v>67</v>
      </c>
      <c r="S29" s="535" t="s">
        <v>77</v>
      </c>
      <c r="T29" s="535" t="s">
        <v>77</v>
      </c>
      <c r="U29" s="542">
        <f>sept20[[#This Row],[сумма]]-sept20[[#This Row],[Цема м2 отделки]]*sept20[[#This Row],[м2]]</f>
        <v>4977178.16</v>
      </c>
    </row>
    <row r="30" spans="1:21">
      <c r="A30" s="530">
        <v>28</v>
      </c>
      <c r="B30" s="531">
        <v>27456</v>
      </c>
      <c r="C30" s="530" t="s">
        <v>7</v>
      </c>
      <c r="D30" s="531">
        <v>148</v>
      </c>
      <c r="E30" s="530">
        <v>1</v>
      </c>
      <c r="F30" s="530">
        <v>37.81</v>
      </c>
      <c r="G30" s="530" t="s">
        <v>9</v>
      </c>
      <c r="H30" s="530"/>
      <c r="I30" s="533">
        <v>3995175.5</v>
      </c>
      <c r="J30" s="535" t="s">
        <v>20</v>
      </c>
      <c r="K30" s="530" t="s">
        <v>22</v>
      </c>
      <c r="L30" s="530" t="s">
        <v>583</v>
      </c>
      <c r="M30" s="530" t="s">
        <v>18</v>
      </c>
      <c r="N30" s="534">
        <v>45226</v>
      </c>
      <c r="O30" s="535" t="s">
        <v>17</v>
      </c>
      <c r="P30" s="530" t="s">
        <v>1737</v>
      </c>
      <c r="Q30" s="536" t="s">
        <v>67</v>
      </c>
      <c r="R30" s="536" t="s">
        <v>67</v>
      </c>
      <c r="S30" s="535" t="s">
        <v>20</v>
      </c>
      <c r="T30" s="535" t="s">
        <v>20</v>
      </c>
      <c r="U30" s="542">
        <f>sept20[[#This Row],[сумма]]-sept20[[#This Row],[Цема м2 отделки]]*sept20[[#This Row],[м2]]</f>
        <v>3995175.5</v>
      </c>
    </row>
    <row r="31" spans="1:21" s="438" customFormat="1">
      <c r="A31" s="530">
        <v>29</v>
      </c>
      <c r="B31" s="531">
        <v>27578</v>
      </c>
      <c r="C31" s="530" t="s">
        <v>7</v>
      </c>
      <c r="D31" s="531">
        <v>206</v>
      </c>
      <c r="E31" s="530">
        <v>1</v>
      </c>
      <c r="F31" s="530">
        <v>36.659999999999997</v>
      </c>
      <c r="G31" s="530" t="s">
        <v>9</v>
      </c>
      <c r="H31" s="530"/>
      <c r="I31" s="533">
        <v>4106833.2</v>
      </c>
      <c r="J31" s="535" t="s">
        <v>1233</v>
      </c>
      <c r="K31" s="530" t="s">
        <v>16</v>
      </c>
      <c r="L31" s="530" t="s">
        <v>583</v>
      </c>
      <c r="M31" s="530" t="s">
        <v>18</v>
      </c>
      <c r="N31" s="534">
        <v>45226</v>
      </c>
      <c r="O31" s="535" t="s">
        <v>17</v>
      </c>
      <c r="P31" s="530" t="s">
        <v>1738</v>
      </c>
      <c r="Q31" s="536" t="s">
        <v>67</v>
      </c>
      <c r="R31" s="536" t="s">
        <v>67</v>
      </c>
      <c r="S31" s="535" t="s">
        <v>1233</v>
      </c>
      <c r="T31" s="535" t="s">
        <v>1233</v>
      </c>
      <c r="U31" s="542">
        <f>sept20[[#This Row],[сумма]]-sept20[[#This Row],[Цема м2 отделки]]*sept20[[#This Row],[м2]]</f>
        <v>4106833.2</v>
      </c>
    </row>
    <row r="32" spans="1:21" s="438" customFormat="1">
      <c r="A32" s="530">
        <v>30</v>
      </c>
      <c r="B32" s="531">
        <v>21460</v>
      </c>
      <c r="C32" s="530" t="s">
        <v>7</v>
      </c>
      <c r="D32" s="531">
        <v>499</v>
      </c>
      <c r="E32" s="868">
        <v>2</v>
      </c>
      <c r="F32" s="531">
        <v>63.74</v>
      </c>
      <c r="G32" s="530" t="s">
        <v>25</v>
      </c>
      <c r="H32" s="869"/>
      <c r="I32" s="533">
        <v>6832389.4000000004</v>
      </c>
      <c r="J32" s="530" t="s">
        <v>1207</v>
      </c>
      <c r="K32" s="530" t="s">
        <v>22</v>
      </c>
      <c r="L32" s="530" t="s">
        <v>583</v>
      </c>
      <c r="M32" s="530" t="s">
        <v>18</v>
      </c>
      <c r="N32" s="534">
        <v>45229</v>
      </c>
      <c r="O32" s="530" t="s">
        <v>17</v>
      </c>
      <c r="P32" s="530" t="s">
        <v>1739</v>
      </c>
      <c r="Q32" s="536" t="s">
        <v>67</v>
      </c>
      <c r="R32" s="536" t="s">
        <v>67</v>
      </c>
      <c r="S32" s="530" t="s">
        <v>1233</v>
      </c>
      <c r="T32" s="530" t="s">
        <v>1233</v>
      </c>
      <c r="U32" s="542">
        <f>sept20[[#This Row],[сумма]]-sept20[[#This Row],[Цема м2 отделки]]*sept20[[#This Row],[м2]]</f>
        <v>6832389.4000000004</v>
      </c>
    </row>
    <row r="33" spans="1:21" hidden="1">
      <c r="A33" s="65"/>
      <c r="B33" s="79"/>
      <c r="C33" s="65"/>
      <c r="D33" s="79"/>
      <c r="E33" s="65"/>
      <c r="F33" s="65"/>
      <c r="G33" s="65"/>
      <c r="H33" s="65"/>
      <c r="I33" s="106"/>
      <c r="J33" s="80"/>
      <c r="K33" s="65"/>
      <c r="L33" s="65"/>
      <c r="M33" s="65"/>
      <c r="N33" s="98"/>
      <c r="O33" s="80" t="s">
        <v>17</v>
      </c>
      <c r="P33" s="65"/>
      <c r="Q33" s="118"/>
      <c r="R33" s="118"/>
      <c r="S33" s="80"/>
      <c r="T33" s="80"/>
      <c r="U33" s="115">
        <f>sept20[[#This Row],[сумма]]-sept20[[#This Row],[Цема м2 отделки]]*sept20[[#This Row],[м2]]</f>
        <v>0</v>
      </c>
    </row>
    <row r="34" spans="1:21" s="438" customFormat="1">
      <c r="A34" s="530">
        <v>32</v>
      </c>
      <c r="B34" s="531">
        <v>27634</v>
      </c>
      <c r="C34" s="530" t="s">
        <v>13</v>
      </c>
      <c r="D34" s="531">
        <v>95</v>
      </c>
      <c r="E34" s="530">
        <v>2</v>
      </c>
      <c r="F34" s="530">
        <v>62.17</v>
      </c>
      <c r="G34" s="530" t="s">
        <v>15</v>
      </c>
      <c r="H34" s="530">
        <v>7500</v>
      </c>
      <c r="I34" s="533">
        <v>5757929.9400000004</v>
      </c>
      <c r="J34" s="535" t="s">
        <v>20</v>
      </c>
      <c r="K34" s="530" t="s">
        <v>22</v>
      </c>
      <c r="L34" s="530" t="s">
        <v>583</v>
      </c>
      <c r="M34" s="530" t="s">
        <v>18</v>
      </c>
      <c r="N34" s="534">
        <v>45225</v>
      </c>
      <c r="O34" s="535" t="s">
        <v>17</v>
      </c>
      <c r="P34" s="530" t="s">
        <v>1740</v>
      </c>
      <c r="Q34" s="536" t="s">
        <v>67</v>
      </c>
      <c r="R34" s="536" t="s">
        <v>67</v>
      </c>
      <c r="S34" s="535" t="s">
        <v>20</v>
      </c>
      <c r="T34" s="535" t="s">
        <v>20</v>
      </c>
      <c r="U34" s="542">
        <f>sept20[[#This Row],[сумма]]-sept20[[#This Row],[Цема м2 отделки]]*sept20[[#This Row],[м2]]</f>
        <v>5291654.9400000004</v>
      </c>
    </row>
    <row r="35" spans="1:21" s="438" customFormat="1">
      <c r="A35" s="530">
        <v>33</v>
      </c>
      <c r="B35" s="870">
        <v>3531</v>
      </c>
      <c r="C35" s="530" t="s">
        <v>13</v>
      </c>
      <c r="D35" s="530">
        <v>104</v>
      </c>
      <c r="E35" s="530">
        <v>1</v>
      </c>
      <c r="F35" s="531">
        <v>42.75</v>
      </c>
      <c r="G35" s="530" t="s">
        <v>25</v>
      </c>
      <c r="H35" s="530">
        <v>22000</v>
      </c>
      <c r="I35" s="533">
        <v>4977178.16</v>
      </c>
      <c r="J35" s="530" t="s">
        <v>8</v>
      </c>
      <c r="K35" s="530" t="s">
        <v>16</v>
      </c>
      <c r="L35" s="530" t="s">
        <v>583</v>
      </c>
      <c r="M35" s="530" t="s">
        <v>18</v>
      </c>
      <c r="N35" s="534">
        <v>45224</v>
      </c>
      <c r="O35" s="535" t="s">
        <v>17</v>
      </c>
      <c r="P35" s="530" t="s">
        <v>1741</v>
      </c>
      <c r="Q35" s="536" t="s">
        <v>67</v>
      </c>
      <c r="R35" s="536" t="s">
        <v>67</v>
      </c>
      <c r="S35" s="535" t="s">
        <v>8</v>
      </c>
      <c r="T35" s="535" t="s">
        <v>8</v>
      </c>
      <c r="U35" s="542">
        <f>sept20[[#This Row],[сумма]]-sept20[[#This Row],[Цема м2 отделки]]*sept20[[#This Row],[м2]]</f>
        <v>4036678.16</v>
      </c>
    </row>
    <row r="36" spans="1:21" s="438" customFormat="1">
      <c r="A36" s="530">
        <v>34</v>
      </c>
      <c r="B36" s="531">
        <v>27612</v>
      </c>
      <c r="C36" s="530" t="s">
        <v>7</v>
      </c>
      <c r="D36" s="531">
        <v>293</v>
      </c>
      <c r="E36" s="530">
        <v>2</v>
      </c>
      <c r="F36" s="530">
        <v>58.55</v>
      </c>
      <c r="G36" s="530" t="s">
        <v>15</v>
      </c>
      <c r="H36" s="530">
        <v>7500</v>
      </c>
      <c r="I36" s="533">
        <v>5624054.3899999997</v>
      </c>
      <c r="J36" s="535" t="s">
        <v>8</v>
      </c>
      <c r="K36" s="530" t="s">
        <v>16</v>
      </c>
      <c r="L36" s="530" t="s">
        <v>583</v>
      </c>
      <c r="M36" s="530" t="s">
        <v>18</v>
      </c>
      <c r="N36" s="534">
        <v>45226</v>
      </c>
      <c r="O36" s="535" t="s">
        <v>17</v>
      </c>
      <c r="P36" s="530" t="s">
        <v>1742</v>
      </c>
      <c r="Q36" s="536" t="s">
        <v>67</v>
      </c>
      <c r="R36" s="536" t="s">
        <v>67</v>
      </c>
      <c r="S36" s="535" t="s">
        <v>8</v>
      </c>
      <c r="T36" s="535" t="s">
        <v>8</v>
      </c>
      <c r="U36" s="542">
        <f>sept20[[#This Row],[сумма]]-sept20[[#This Row],[Цема м2 отделки]]*sept20[[#This Row],[м2]]</f>
        <v>5184929.3899999997</v>
      </c>
    </row>
    <row r="37" spans="1:21" s="438" customFormat="1">
      <c r="A37" s="530">
        <v>35</v>
      </c>
      <c r="B37" s="867">
        <v>27529</v>
      </c>
      <c r="C37" s="530" t="s">
        <v>13</v>
      </c>
      <c r="D37" s="531">
        <v>472</v>
      </c>
      <c r="E37" s="530">
        <v>2</v>
      </c>
      <c r="F37" s="530">
        <v>58.24</v>
      </c>
      <c r="G37" s="530" t="s">
        <v>9</v>
      </c>
      <c r="H37" s="530"/>
      <c r="I37" s="533">
        <v>4759194.5</v>
      </c>
      <c r="J37" s="535" t="s">
        <v>8</v>
      </c>
      <c r="K37" s="530" t="s">
        <v>22</v>
      </c>
      <c r="L37" s="530" t="s">
        <v>583</v>
      </c>
      <c r="M37" s="530" t="s">
        <v>18</v>
      </c>
      <c r="N37" s="534">
        <v>45230</v>
      </c>
      <c r="O37" s="535" t="s">
        <v>17</v>
      </c>
      <c r="P37" s="530" t="s">
        <v>1743</v>
      </c>
      <c r="Q37" s="536" t="s">
        <v>67</v>
      </c>
      <c r="R37" s="536" t="s">
        <v>67</v>
      </c>
      <c r="S37" s="535" t="s">
        <v>8</v>
      </c>
      <c r="T37" s="535" t="s">
        <v>8</v>
      </c>
      <c r="U37" s="542">
        <f>sept20[[#This Row],[сумма]]-sept20[[#This Row],[Цема м2 отделки]]*sept20[[#This Row],[м2]]</f>
        <v>4759194.5</v>
      </c>
    </row>
    <row r="38" spans="1:21" s="438" customFormat="1">
      <c r="A38" s="530">
        <v>36</v>
      </c>
      <c r="B38" s="531">
        <v>27651</v>
      </c>
      <c r="C38" s="530" t="s">
        <v>7</v>
      </c>
      <c r="D38" s="531">
        <v>445</v>
      </c>
      <c r="E38" s="530">
        <v>2</v>
      </c>
      <c r="F38" s="530">
        <v>63.74</v>
      </c>
      <c r="G38" s="530" t="s">
        <v>15</v>
      </c>
      <c r="H38" s="530">
        <v>7500</v>
      </c>
      <c r="I38" s="533">
        <v>5855946.7800000003</v>
      </c>
      <c r="J38" s="535" t="s">
        <v>20</v>
      </c>
      <c r="K38" s="530" t="s">
        <v>22</v>
      </c>
      <c r="L38" s="530" t="s">
        <v>583</v>
      </c>
      <c r="M38" s="530" t="s">
        <v>18</v>
      </c>
      <c r="N38" s="534">
        <v>45229</v>
      </c>
      <c r="O38" s="535" t="s">
        <v>17</v>
      </c>
      <c r="P38" s="530" t="s">
        <v>1744</v>
      </c>
      <c r="Q38" s="536" t="s">
        <v>67</v>
      </c>
      <c r="R38" s="536" t="s">
        <v>67</v>
      </c>
      <c r="S38" s="535" t="s">
        <v>20</v>
      </c>
      <c r="T38" s="535" t="s">
        <v>20</v>
      </c>
      <c r="U38" s="542">
        <f>sept20[[#This Row],[сумма]]-sept20[[#This Row],[Цема м2 отделки]]*sept20[[#This Row],[м2]]</f>
        <v>5377896.7800000003</v>
      </c>
    </row>
    <row r="39" spans="1:21" s="438" customFormat="1">
      <c r="A39" s="530">
        <v>37</v>
      </c>
      <c r="B39" s="531">
        <v>27681</v>
      </c>
      <c r="C39" s="530" t="s">
        <v>13</v>
      </c>
      <c r="D39" s="531">
        <v>27</v>
      </c>
      <c r="E39" s="530">
        <v>1</v>
      </c>
      <c r="F39" s="530">
        <v>42.75</v>
      </c>
      <c r="G39" s="530" t="s">
        <v>9</v>
      </c>
      <c r="H39" s="530"/>
      <c r="I39" s="533">
        <v>4075679.84</v>
      </c>
      <c r="J39" s="535" t="s">
        <v>1233</v>
      </c>
      <c r="K39" s="530" t="s">
        <v>22</v>
      </c>
      <c r="L39" s="530" t="s">
        <v>583</v>
      </c>
      <c r="M39" s="875"/>
      <c r="N39" s="534">
        <v>45230</v>
      </c>
      <c r="O39" s="535"/>
      <c r="P39" s="530" t="s">
        <v>1745</v>
      </c>
      <c r="Q39" s="536" t="s">
        <v>67</v>
      </c>
      <c r="R39" s="536" t="s">
        <v>67</v>
      </c>
      <c r="S39" s="535" t="s">
        <v>1233</v>
      </c>
      <c r="T39" s="535" t="s">
        <v>8</v>
      </c>
      <c r="U39" s="542">
        <f>sept20[[#This Row],[сумма]]-sept20[[#This Row],[Цема м2 отделки]]*sept20[[#This Row],[м2]]</f>
        <v>4075679.84</v>
      </c>
    </row>
    <row r="40" spans="1:21" s="438" customFormat="1">
      <c r="A40" s="530">
        <v>38</v>
      </c>
      <c r="B40" s="867">
        <v>27661</v>
      </c>
      <c r="C40" s="530" t="s">
        <v>13</v>
      </c>
      <c r="D40" s="531">
        <v>529</v>
      </c>
      <c r="E40" s="530">
        <v>2</v>
      </c>
      <c r="F40" s="530">
        <v>57.8</v>
      </c>
      <c r="G40" s="530" t="s">
        <v>15</v>
      </c>
      <c r="H40" s="530">
        <v>7500</v>
      </c>
      <c r="I40" s="533">
        <v>5232764.74</v>
      </c>
      <c r="J40" s="530" t="s">
        <v>1233</v>
      </c>
      <c r="K40" s="530" t="s">
        <v>22</v>
      </c>
      <c r="L40" s="530" t="s">
        <v>583</v>
      </c>
      <c r="M40" s="530"/>
      <c r="N40" s="534">
        <v>45230</v>
      </c>
      <c r="O40" s="535"/>
      <c r="P40" s="530" t="s">
        <v>1746</v>
      </c>
      <c r="Q40" s="536" t="s">
        <v>67</v>
      </c>
      <c r="R40" s="536" t="s">
        <v>67</v>
      </c>
      <c r="S40" s="530" t="s">
        <v>1233</v>
      </c>
      <c r="T40" s="530" t="s">
        <v>1233</v>
      </c>
      <c r="U40" s="542">
        <f>sept20[[#This Row],[сумма]]-sept20[[#This Row],[Цема м2 отделки]]*sept20[[#This Row],[м2]]</f>
        <v>4799264.74</v>
      </c>
    </row>
    <row r="41" spans="1:21" s="438" customFormat="1">
      <c r="A41" s="530">
        <v>39</v>
      </c>
      <c r="B41" s="531">
        <v>27765</v>
      </c>
      <c r="C41" s="530" t="s">
        <v>13</v>
      </c>
      <c r="D41" s="531">
        <v>187</v>
      </c>
      <c r="E41" s="530">
        <v>1</v>
      </c>
      <c r="F41" s="530">
        <v>42.28</v>
      </c>
      <c r="G41" s="530" t="s">
        <v>9</v>
      </c>
      <c r="H41" s="530"/>
      <c r="I41" s="533">
        <v>3953910.6</v>
      </c>
      <c r="J41" s="530" t="s">
        <v>20</v>
      </c>
      <c r="K41" s="530" t="s">
        <v>22</v>
      </c>
      <c r="L41" s="530" t="s">
        <v>583</v>
      </c>
      <c r="M41" s="530" t="s">
        <v>18</v>
      </c>
      <c r="N41" s="534">
        <v>45230</v>
      </c>
      <c r="O41" s="535" t="s">
        <v>17</v>
      </c>
      <c r="P41" s="530" t="s">
        <v>1747</v>
      </c>
      <c r="Q41" s="536" t="s">
        <v>67</v>
      </c>
      <c r="R41" s="536" t="s">
        <v>67</v>
      </c>
      <c r="S41" s="530" t="s">
        <v>20</v>
      </c>
      <c r="T41" s="530" t="s">
        <v>20</v>
      </c>
      <c r="U41" s="542">
        <f>sept20[[#This Row],[сумма]]-sept20[[#This Row],[Цема м2 отделки]]*sept20[[#This Row],[м2]]</f>
        <v>3953910.6</v>
      </c>
    </row>
    <row r="42" spans="1:21" hidden="1">
      <c r="A42" s="65"/>
      <c r="B42" s="79"/>
      <c r="C42" s="65"/>
      <c r="D42" s="79"/>
      <c r="E42" s="65"/>
      <c r="F42" s="65"/>
      <c r="G42" s="65"/>
      <c r="H42" s="65"/>
      <c r="I42" s="93"/>
      <c r="J42" s="80"/>
      <c r="K42" s="65"/>
      <c r="L42" s="65"/>
      <c r="M42" s="65"/>
      <c r="N42" s="98"/>
      <c r="O42" s="80"/>
      <c r="P42" s="65"/>
      <c r="Q42" s="86"/>
      <c r="R42" s="86"/>
      <c r="S42" s="80" t="s">
        <v>8</v>
      </c>
      <c r="T42" s="80" t="s">
        <v>8</v>
      </c>
      <c r="U42" s="115">
        <f>sept20[[#This Row],[сумма]]-sept20[[#This Row],[Цема м2 отделки]]*sept20[[#This Row],[м2]]</f>
        <v>0</v>
      </c>
    </row>
    <row r="43" spans="1:21" s="438" customFormat="1">
      <c r="A43" s="530">
        <v>41</v>
      </c>
      <c r="B43" s="531">
        <v>27586</v>
      </c>
      <c r="C43" s="530" t="s">
        <v>13</v>
      </c>
      <c r="D43" s="531">
        <v>135</v>
      </c>
      <c r="E43" s="530">
        <v>2</v>
      </c>
      <c r="F43" s="530">
        <v>58.31</v>
      </c>
      <c r="G43" s="871" t="s">
        <v>25</v>
      </c>
      <c r="H43" s="871">
        <v>22500</v>
      </c>
      <c r="I43" s="533">
        <v>6365233.5700000003</v>
      </c>
      <c r="J43" s="535" t="s">
        <v>1233</v>
      </c>
      <c r="K43" s="530" t="s">
        <v>16</v>
      </c>
      <c r="L43" s="530" t="s">
        <v>583</v>
      </c>
      <c r="M43" s="530" t="s">
        <v>18</v>
      </c>
      <c r="N43" s="534">
        <v>45230</v>
      </c>
      <c r="O43" s="535" t="s">
        <v>17</v>
      </c>
      <c r="P43" s="530" t="s">
        <v>1748</v>
      </c>
      <c r="Q43" s="536" t="s">
        <v>67</v>
      </c>
      <c r="R43" s="536" t="s">
        <v>67</v>
      </c>
      <c r="S43" s="535" t="s">
        <v>1233</v>
      </c>
      <c r="T43" s="535" t="s">
        <v>1233</v>
      </c>
      <c r="U43" s="542">
        <f>sept20[[#This Row],[сумма]]-sept20[[#This Row],[Цема м2 отделки]]*sept20[[#This Row],[м2]]</f>
        <v>5053258.57</v>
      </c>
    </row>
    <row r="44" spans="1:21" s="438" customFormat="1">
      <c r="A44" s="530">
        <v>42</v>
      </c>
      <c r="B44" s="531">
        <v>833</v>
      </c>
      <c r="C44" s="530" t="s">
        <v>7</v>
      </c>
      <c r="D44" s="531">
        <v>371</v>
      </c>
      <c r="E44" s="530">
        <v>2</v>
      </c>
      <c r="F44" s="530">
        <v>56.7</v>
      </c>
      <c r="G44" s="530" t="s">
        <v>9</v>
      </c>
      <c r="H44" s="530"/>
      <c r="I44" s="533">
        <v>5575652.9000000004</v>
      </c>
      <c r="J44" s="535" t="s">
        <v>1233</v>
      </c>
      <c r="K44" s="530" t="s">
        <v>16</v>
      </c>
      <c r="L44" s="530" t="s">
        <v>583</v>
      </c>
      <c r="M44" s="530" t="s">
        <v>18</v>
      </c>
      <c r="N44" s="534">
        <v>45230</v>
      </c>
      <c r="O44" s="530" t="s">
        <v>17</v>
      </c>
      <c r="P44" s="530" t="s">
        <v>1749</v>
      </c>
      <c r="Q44" s="536" t="s">
        <v>67</v>
      </c>
      <c r="R44" s="536" t="s">
        <v>67</v>
      </c>
      <c r="S44" s="535" t="s">
        <v>1233</v>
      </c>
      <c r="T44" s="535" t="s">
        <v>14</v>
      </c>
      <c r="U44" s="542">
        <f>sept20[[#This Row],[сумма]]-sept20[[#This Row],[Цема м2 отделки]]*sept20[[#This Row],[м2]]</f>
        <v>5575652.9000000004</v>
      </c>
    </row>
    <row r="45" spans="1:21" s="438" customFormat="1">
      <c r="A45" s="530">
        <v>43</v>
      </c>
      <c r="B45" s="531">
        <v>26984</v>
      </c>
      <c r="C45" s="530" t="s">
        <v>13</v>
      </c>
      <c r="D45" s="531">
        <v>491</v>
      </c>
      <c r="E45" s="530">
        <v>3</v>
      </c>
      <c r="F45" s="530">
        <v>79.44</v>
      </c>
      <c r="G45" s="530" t="s">
        <v>9</v>
      </c>
      <c r="H45" s="530"/>
      <c r="I45" s="533">
        <v>6561755.1200000001</v>
      </c>
      <c r="J45" s="535" t="s">
        <v>14</v>
      </c>
      <c r="K45" s="530" t="s">
        <v>16</v>
      </c>
      <c r="L45" s="530" t="s">
        <v>583</v>
      </c>
      <c r="M45" s="530" t="s">
        <v>18</v>
      </c>
      <c r="N45" s="534">
        <v>45229</v>
      </c>
      <c r="O45" s="530" t="s">
        <v>17</v>
      </c>
      <c r="P45" s="530" t="s">
        <v>1750</v>
      </c>
      <c r="Q45" s="536" t="s">
        <v>67</v>
      </c>
      <c r="R45" s="536" t="s">
        <v>1751</v>
      </c>
      <c r="S45" s="535" t="s">
        <v>14</v>
      </c>
      <c r="T45" s="535" t="s">
        <v>14</v>
      </c>
      <c r="U45" s="542">
        <f>sept20[[#This Row],[сумма]]-sept20[[#This Row],[Цема м2 отделки]]*sept20[[#This Row],[м2]]</f>
        <v>6561755.1200000001</v>
      </c>
    </row>
    <row r="46" spans="1:21" s="438" customFormat="1">
      <c r="A46" s="530">
        <v>44</v>
      </c>
      <c r="B46" s="867">
        <v>27600</v>
      </c>
      <c r="C46" s="530" t="s">
        <v>13</v>
      </c>
      <c r="D46" s="531">
        <v>489</v>
      </c>
      <c r="E46" s="530">
        <v>2</v>
      </c>
      <c r="F46" s="530">
        <v>57.8</v>
      </c>
      <c r="G46" s="530" t="s">
        <v>25</v>
      </c>
      <c r="H46" s="530">
        <v>22000</v>
      </c>
      <c r="I46" s="533">
        <v>6120341.7000000002</v>
      </c>
      <c r="J46" s="535" t="s">
        <v>8</v>
      </c>
      <c r="K46" s="530" t="s">
        <v>16</v>
      </c>
      <c r="L46" s="530" t="s">
        <v>583</v>
      </c>
      <c r="M46" s="530" t="s">
        <v>18</v>
      </c>
      <c r="N46" s="534">
        <v>45230</v>
      </c>
      <c r="O46" s="530" t="s">
        <v>17</v>
      </c>
      <c r="P46" s="530" t="s">
        <v>1752</v>
      </c>
      <c r="Q46" s="536" t="s">
        <v>67</v>
      </c>
      <c r="R46" s="536" t="s">
        <v>67</v>
      </c>
      <c r="S46" s="535" t="s">
        <v>8</v>
      </c>
      <c r="T46" s="535" t="s">
        <v>8</v>
      </c>
      <c r="U46" s="542">
        <f>sept20[[#This Row],[сумма]]-sept20[[#This Row],[Цема м2 отделки]]*sept20[[#This Row],[м2]]</f>
        <v>4848741.7</v>
      </c>
    </row>
    <row r="47" spans="1:21" hidden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681"/>
      <c r="R47" s="86"/>
      <c r="S47" s="80"/>
      <c r="T47" s="80"/>
      <c r="U47" s="115">
        <f>sept20[[#This Row],[сумма]]-sept20[[#This Row],[Цема м2 отделки]]*sept20[[#This Row],[м2]]</f>
        <v>0</v>
      </c>
    </row>
    <row r="48" spans="1:21" hidden="1">
      <c r="A48" s="65"/>
      <c r="B48" s="79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86"/>
      <c r="R48" s="86"/>
      <c r="S48" s="80"/>
      <c r="T48" s="80"/>
      <c r="U48" s="115">
        <f>sept20[[#This Row],[сумма]]-sept20[[#This Row],[Цема м2 отделки]]*sept20[[#This Row],[м2]]</f>
        <v>0</v>
      </c>
    </row>
    <row r="49" spans="1:21" hidden="1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65"/>
      <c r="Q49" s="86"/>
      <c r="R49" s="86"/>
      <c r="S49" s="80"/>
      <c r="T49" s="80"/>
      <c r="U49" s="115">
        <f>sept20[[#This Row],[сумма]]-sept20[[#This Row],[Цема м2 отделки]]*sept20[[#This Row],[м2]]</f>
        <v>0</v>
      </c>
    </row>
    <row r="50" spans="1:21" hidden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sept20[[#This Row],[сумма]]-sept20[[#This Row],[Цема м2 отделки]]*sept20[[#This Row],[м2]]</f>
        <v>0</v>
      </c>
    </row>
    <row r="51" spans="1:21" hidden="1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sept20[[#This Row],[сумма]]-sept20[[#This Row],[Цема м2 отделки]]*sept20[[#This Row],[м2]]</f>
        <v>0</v>
      </c>
    </row>
    <row r="52" spans="1:21" hidden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86"/>
      <c r="R52" s="86"/>
      <c r="S52" s="80"/>
      <c r="T52" s="80"/>
      <c r="U52" s="115">
        <f>sept20[[#This Row],[сумма]]-sept20[[#This Row],[Цема м2 отделки]]*sept20[[#This Row],[м2]]</f>
        <v>0</v>
      </c>
    </row>
    <row r="53" spans="1:21" hidden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sept20[[#This Row],[сумма]]-sept20[[#This Row],[Цема м2 отделки]]*sept20[[#This Row],[м2]]</f>
        <v>0</v>
      </c>
    </row>
    <row r="54" spans="1:21" hidden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sept20[[#This Row],[сумма]]-sept20[[#This Row],[Цема м2 отделки]]*sept20[[#This Row],[м2]]</f>
        <v>0</v>
      </c>
    </row>
    <row r="55" spans="1:21" hidden="1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sept20[[#This Row],[сумма]]-sept20[[#This Row],[Цема м2 отделки]]*sept20[[#This Row],[м2]]</f>
        <v>0</v>
      </c>
    </row>
    <row r="56" spans="1:21" hidden="1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sept20[[#This Row],[сумма]]-sept20[[#This Row],[Цема м2 отделки]]*sept20[[#This Row],[м2]]</f>
        <v>0</v>
      </c>
    </row>
    <row r="57" spans="1:21" hidden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sept20[[#This Row],[сумма]]-sept20[[#This Row],[Цема м2 отделки]]*sept20[[#This Row],[м2]]</f>
        <v>0</v>
      </c>
    </row>
    <row r="58" spans="1:21" hidden="1">
      <c r="A58" s="65"/>
      <c r="B58" s="79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sept20[[#This Row],[сумма]]-sept20[[#This Row],[Цема м2 отделки]]*sept20[[#This Row],[м2]]</f>
        <v>0</v>
      </c>
    </row>
    <row r="59" spans="1:21" hidden="1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sept20[[#This Row],[сумма]]-sept20[[#This Row],[Цема м2 отделки]]*sept20[[#This Row],[м2]]</f>
        <v>0</v>
      </c>
    </row>
    <row r="60" spans="1:21" hidden="1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sept20[[#This Row],[сумма]]-sept20[[#This Row],[Цема м2 отделки]]*sept20[[#This Row],[м2]]</f>
        <v>0</v>
      </c>
    </row>
    <row r="61" spans="1:21" hidden="1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sept20[[#This Row],[сумма]]-sept20[[#This Row],[Цема м2 отделки]]*sept20[[#This Row],[м2]]</f>
        <v>0</v>
      </c>
    </row>
    <row r="62" spans="1:21" hidden="1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sept20[[#This Row],[сумма]]-sept20[[#This Row],[Цема м2 отделки]]*sept20[[#This Row],[м2]]</f>
        <v>0</v>
      </c>
    </row>
    <row r="63" spans="1:21" hidden="1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sept20[[#This Row],[сумма]]-sept20[[#This Row],[Цема м2 отделки]]*sept20[[#This Row],[м2]]</f>
        <v>0</v>
      </c>
    </row>
    <row r="64" spans="1:21" hidden="1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sept20[[#This Row],[сумма]]-sept20[[#This Row],[Цема м2 отделки]]*sept20[[#This Row],[м2]]</f>
        <v>0</v>
      </c>
    </row>
    <row r="65" spans="1:21" hidden="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sept20[[#This Row],[сумма]]-sept20[[#This Row],[Цема м2 отделки]]*sept20[[#This Row],[м2]]</f>
        <v>0</v>
      </c>
    </row>
    <row r="66" spans="1:21" ht="22.5" hidden="1" customHeight="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sept20[[#This Row],[сумма]]-sept20[[#This Row],[Цема м2 отделки]]*sept20[[#This Row],[м2]]</f>
        <v>0</v>
      </c>
    </row>
    <row r="67" spans="1:21" hidden="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sept20[[#This Row],[сумма]]-sept20[[#This Row],[Цема м2 отделки]]*sept20[[#This Row],[м2]]</f>
        <v>0</v>
      </c>
    </row>
    <row r="68" spans="1:21" hidden="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sept20[[#This Row],[сумма]]-sept20[[#This Row],[Цема м2 отделки]]*sept20[[#This Row],[м2]]</f>
        <v>0</v>
      </c>
    </row>
    <row r="69" spans="1:21" ht="13.5" hidden="1" customHeight="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sept20[[#This Row],[сумма]]-sept20[[#This Row],[Цема м2 отделки]]*sept20[[#This Row],[м2]]</f>
        <v>0</v>
      </c>
    </row>
    <row r="70" spans="1:21" hidden="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sept20[[#This Row],[сумма]]-sept20[[#This Row],[Цема м2 отделки]]*sept20[[#This Row],[м2]]</f>
        <v>0</v>
      </c>
    </row>
    <row r="71" spans="1:21" hidden="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sept20[[#This Row],[сумма]]-sept20[[#This Row],[Цема м2 отделки]]*sept20[[#This Row],[м2]]</f>
        <v>0</v>
      </c>
    </row>
    <row r="72" spans="1:21" hidden="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sept20[[#This Row],[сумма]]-sept20[[#This Row],[Цема м2 отделки]]*sept20[[#This Row],[м2]]</f>
        <v>0</v>
      </c>
    </row>
    <row r="73" spans="1:21" hidden="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sept20[[#This Row],[сумма]]-sept20[[#This Row],[Цема м2 отделки]]*sept20[[#This Row],[м2]]</f>
        <v>0</v>
      </c>
    </row>
    <row r="74" spans="1:21" hidden="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sept20[[#This Row],[сумма]]-sept20[[#This Row],[Цема м2 отделки]]*sept20[[#This Row],[м2]]</f>
        <v>0</v>
      </c>
    </row>
    <row r="75" spans="1:21" hidden="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sept20[[#This Row],[сумма]]-sept20[[#This Row],[Цема м2 отделки]]*sept20[[#This Row],[м2]]</f>
        <v>0</v>
      </c>
    </row>
    <row r="76" spans="1:21" hidden="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sept20[[#This Row],[сумма]]-sept20[[#This Row],[Цема м2 отделки]]*sept20[[#This Row],[м2]]</f>
        <v>0</v>
      </c>
    </row>
    <row r="77" spans="1:21" hidden="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sept20[[#This Row],[сумма]]-sept20[[#This Row],[Цема м2 отделки]]*sept20[[#This Row],[м2]]</f>
        <v>0</v>
      </c>
    </row>
    <row r="78" spans="1:21" hidden="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sept20[[#This Row],[сумма]]-sept20[[#This Row],[Цема м2 отделки]]*sept20[[#This Row],[м2]]</f>
        <v>0</v>
      </c>
    </row>
    <row r="79" spans="1:21" hidden="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sept20[[#This Row],[сумма]]-sept20[[#This Row],[Цема м2 отделки]]*sept20[[#This Row],[м2]]</f>
        <v>0</v>
      </c>
    </row>
    <row r="80" spans="1:21" hidden="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sept20[[#This Row],[сумма]]-sept20[[#This Row],[Цема м2 отделки]]*sept20[[#This Row],[м2]]</f>
        <v>0</v>
      </c>
    </row>
    <row r="81" spans="1:21" hidden="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sept20[[#This Row],[сумма]]-sept20[[#This Row],[Цема м2 отделки]]*sept20[[#This Row],[м2]]</f>
        <v>0</v>
      </c>
    </row>
    <row r="82" spans="1:21" hidden="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sept20[[#This Row],[сумма]]-sept20[[#This Row],[Цема м2 отделки]]*sept20[[#This Row],[м2]]</f>
        <v>0</v>
      </c>
    </row>
    <row r="83" spans="1:21" hidden="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sept20[[#This Row],[сумма]]-sept20[[#This Row],[Цема м2 отделки]]*sept20[[#This Row],[м2]]</f>
        <v>0</v>
      </c>
    </row>
    <row r="84" spans="1:21" hidden="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sept20[[#This Row],[сумма]]-sept20[[#This Row],[Цема м2 отделки]]*sept20[[#This Row],[м2]]</f>
        <v>0</v>
      </c>
    </row>
    <row r="85" spans="1:21" hidden="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sept20[[#This Row],[сумма]]-sept20[[#This Row],[Цема м2 отделки]]*sept20[[#This Row],[м2]]</f>
        <v>0</v>
      </c>
    </row>
    <row r="86" spans="1:21" hidden="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sept20[[#This Row],[сумма]]-sept20[[#This Row],[Цема м2 отделки]]*sept20[[#This Row],[м2]]</f>
        <v>0</v>
      </c>
    </row>
    <row r="87" spans="1:21" ht="11.25" hidden="1" customHeight="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sept20[[#This Row],[сумма]]-sept20[[#This Row],[Цема м2 отделки]]*sept20[[#This Row],[м2]]</f>
        <v>0</v>
      </c>
    </row>
    <row r="88" spans="1:21" hidden="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sept20[[#This Row],[сумма]]-sept20[[#This Row],[Цема м2 отделки]]*sept20[[#This Row],[м2]]</f>
        <v>0</v>
      </c>
    </row>
    <row r="89" spans="1:21" hidden="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sept20[[#This Row],[сумма]]-sept20[[#This Row],[Цема м2 отделки]]*sept20[[#This Row],[м2]]</f>
        <v>0</v>
      </c>
    </row>
    <row r="90" spans="1:21" hidden="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sept20[[#This Row],[сумма]]-sept20[[#This Row],[Цема м2 отделки]]*sept20[[#This Row],[м2]]</f>
        <v>0</v>
      </c>
    </row>
    <row r="91" spans="1:21" hidden="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sept20[[#This Row],[сумма]]-sept20[[#This Row],[Цема м2 отделки]]*sept20[[#This Row],[м2]]</f>
        <v>0</v>
      </c>
    </row>
    <row r="92" spans="1:21" hidden="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sept20[[#This Row],[сумма]]-sept20[[#This Row],[Цема м2 отделки]]*sept20[[#This Row],[м2]]</f>
        <v>0</v>
      </c>
    </row>
    <row r="93" spans="1:21" hidden="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sept20[[#This Row],[сумма]]-sept20[[#This Row],[Цема м2 отделки]]*sept20[[#This Row],[м2]]</f>
        <v>0</v>
      </c>
    </row>
    <row r="94" spans="1:21" hidden="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sept20[[#This Row],[сумма]]-sept20[[#This Row],[Цема м2 отделки]]*sept20[[#This Row],[м2]]</f>
        <v>0</v>
      </c>
    </row>
    <row r="95" spans="1:21" hidden="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sept20[[#This Row],[сумма]]-sept20[[#This Row],[Цема м2 отделки]]*sept20[[#This Row],[м2]]</f>
        <v>0</v>
      </c>
    </row>
    <row r="96" spans="1:21" hidden="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sept20[[#This Row],[сумма]]-sept20[[#This Row],[Цема м2 отделки]]*sept20[[#This Row],[м2]]</f>
        <v>0</v>
      </c>
    </row>
    <row r="97" spans="1:21" hidden="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sept20[[#This Row],[сумма]]-sept20[[#This Row],[Цема м2 отделки]]*sept20[[#This Row],[м2]]</f>
        <v>0</v>
      </c>
    </row>
    <row r="98" spans="1:21" hidden="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sept20[[#This Row],[сумма]]-sept20[[#This Row],[Цема м2 отделки]]*sept20[[#This Row],[м2]]</f>
        <v>0</v>
      </c>
    </row>
    <row r="99" spans="1:21" hidden="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sept20[[#This Row],[сумма]]-sept20[[#This Row],[Цема м2 отделки]]*sept20[[#This Row],[м2]]</f>
        <v>0</v>
      </c>
    </row>
    <row r="100" spans="1:21" hidden="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sept20[[#This Row],[сумма]]-sept20[[#This Row],[Цема м2 отделки]]*sept20[[#This Row],[м2]]</f>
        <v>0</v>
      </c>
    </row>
    <row r="101" spans="1:21" hidden="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sept20[[#This Row],[сумма]]-sept20[[#This Row],[Цема м2 отделки]]*sept20[[#This Row],[м2]]</f>
        <v>0</v>
      </c>
    </row>
    <row r="102" spans="1:21" hidden="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sept20[[#This Row],[сумма]]-sept20[[#This Row],[Цема м2 отделки]]*sept20[[#This Row],[м2]]</f>
        <v>0</v>
      </c>
    </row>
    <row r="103" spans="1:21" hidden="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sept20[[#This Row],[сумма]]-sept20[[#This Row],[Цема м2 отделки]]*sept20[[#This Row],[м2]]</f>
        <v>0</v>
      </c>
    </row>
    <row r="104" spans="1:21" hidden="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sept20[[#This Row],[сумма]]-sept20[[#This Row],[Цема м2 отделки]]*sept20[[#This Row],[м2]]</f>
        <v>0</v>
      </c>
    </row>
    <row r="105" spans="1:21" hidden="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sept20[[#This Row],[сумма]]-sept20[[#This Row],[Цема м2 отделки]]*sept20[[#This Row],[м2]]</f>
        <v>0</v>
      </c>
    </row>
    <row r="106" spans="1:21" hidden="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sept20[[#This Row],[сумма]]-sept20[[#This Row],[Цема м2 отделки]]*sept20[[#This Row],[м2]]</f>
        <v>0</v>
      </c>
    </row>
    <row r="107" spans="1:21" hidden="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sept20[[#This Row],[сумма]]-sept20[[#This Row],[Цема м2 отделки]]*sept20[[#This Row],[м2]]</f>
        <v>0</v>
      </c>
    </row>
    <row r="108" spans="1:21" hidden="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sept20[[#This Row],[сумма]]-sept20[[#This Row],[Цема м2 отделки]]*sept20[[#This Row],[м2]]</f>
        <v>0</v>
      </c>
    </row>
    <row r="109" spans="1:21" hidden="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sept20[[#This Row],[сумма]]-sept20[[#This Row],[Цема м2 отделки]]*sept20[[#This Row],[м2]]</f>
        <v>0</v>
      </c>
    </row>
    <row r="110" spans="1:21" hidden="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sept20[[#This Row],[сумма]]-sept20[[#This Row],[Цема м2 отделки]]*sept20[[#This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86"/>
      <c r="S111" s="65"/>
      <c r="U111" s="115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  <c r="T112" s="93"/>
    </row>
    <row r="113" spans="1:21">
      <c r="A113" s="65"/>
      <c r="B113" s="87"/>
      <c r="C113" s="65"/>
      <c r="D113" s="65"/>
      <c r="E113" s="87"/>
      <c r="F113" s="65"/>
      <c r="G113" s="65"/>
      <c r="H113" s="72"/>
      <c r="I113" s="105"/>
      <c r="J113" s="72"/>
      <c r="K113" s="65"/>
      <c r="L113" s="65"/>
      <c r="M113" s="65"/>
      <c r="N113" s="98"/>
      <c r="O113" s="65"/>
      <c r="P113" s="65"/>
      <c r="Q113" s="65"/>
      <c r="R113" s="65"/>
      <c r="S113" s="65"/>
    </row>
    <row r="114" spans="1:21" s="65" customFormat="1">
      <c r="B114" s="79"/>
      <c r="D114" s="79"/>
      <c r="I114" s="93"/>
      <c r="J114" s="80"/>
      <c r="N114" s="98"/>
      <c r="O114" s="80"/>
      <c r="Q114" s="86"/>
      <c r="U114" s="66"/>
    </row>
    <row r="115" spans="1:21" s="65" customFormat="1">
      <c r="B115" s="79"/>
      <c r="C115" s="79"/>
      <c r="D115" s="80"/>
      <c r="F115" s="72"/>
      <c r="I115" s="105"/>
      <c r="M115" s="110"/>
      <c r="O115" s="72"/>
      <c r="P115" s="86"/>
      <c r="Q115" s="86"/>
      <c r="U115" s="66"/>
    </row>
    <row r="116" spans="1:21" s="65" customFormat="1">
      <c r="U116" s="66"/>
    </row>
    <row r="117" spans="1:21" s="65" customFormat="1">
      <c r="A117" s="2325" t="s">
        <v>713</v>
      </c>
      <c r="B117" s="2326"/>
      <c r="C117" s="133" t="s">
        <v>7</v>
      </c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U117" s="66"/>
    </row>
    <row r="118" spans="1:21" s="65" customFormat="1">
      <c r="A118" s="685" t="s">
        <v>1</v>
      </c>
      <c r="B118" s="859" t="s">
        <v>100</v>
      </c>
      <c r="C118" s="707" t="s">
        <v>97</v>
      </c>
      <c r="D118" s="726" t="s">
        <v>95</v>
      </c>
      <c r="E118" s="137" t="s">
        <v>494</v>
      </c>
      <c r="F118" s="138" t="s">
        <v>495</v>
      </c>
      <c r="G118" s="139" t="s">
        <v>496</v>
      </c>
      <c r="H118" s="140" t="s">
        <v>101</v>
      </c>
      <c r="I118" s="141" t="s">
        <v>98</v>
      </c>
      <c r="J118" s="141" t="s">
        <v>96</v>
      </c>
      <c r="K118" s="141" t="s">
        <v>715</v>
      </c>
      <c r="L118" s="216" t="s">
        <v>716</v>
      </c>
      <c r="M118" s="217">
        <v>0</v>
      </c>
      <c r="N118" s="218">
        <v>1</v>
      </c>
      <c r="O118" s="218">
        <v>2</v>
      </c>
      <c r="P118" s="218">
        <v>3</v>
      </c>
      <c r="Q118" s="219" t="s">
        <v>1367</v>
      </c>
      <c r="U118" s="66"/>
    </row>
    <row r="119" spans="1:21" s="65" customFormat="1">
      <c r="A119" s="142" t="s">
        <v>73</v>
      </c>
      <c r="B119" s="291">
        <f>IFERROR(VLOOKUP(A119,'Индивидуальный план'!$Z$5:$AB$10,2,0),"")</f>
        <v>170</v>
      </c>
      <c r="C119" s="292">
        <f>IFERROR(VLOOKUP(A119,'Индивидуальный план'!$Z$5:$AB$10,3,0),"")</f>
        <v>15717003.251</v>
      </c>
      <c r="D119" s="876"/>
      <c r="E119" s="145">
        <f>SUMIFS(sept20[м2],sept20[МОП],$A119,sept20[№ дома],$C$117,sept20[Комнатность],"&lt;&gt;Офис")</f>
        <v>169.01999999999998</v>
      </c>
      <c r="F119" s="146">
        <f>SUMIFS(sept20[Сумма без отделки],sept20[МОП],$A119,sept20[№ дома],$C$117,sept20[Комнатность],"&lt;&gt;Офис")</f>
        <v>10079211.25</v>
      </c>
      <c r="G119" s="147">
        <f>COUNTIFS(sept20[МОП],$A119,sept20[№ дома],$C$117,sept20[Комнатность],"&lt;&gt;Офис")</f>
        <v>3</v>
      </c>
      <c r="H119" s="183">
        <f>SUMIFS(РД[S],РД[Дом],$C$117,РД[МОП],A119,РД[Дата подачи на регистрацию],"&lt;="&amp;$A$1,РД[Дата подачи на регистрацию],"&gt;="&amp;DATE(YEAR($A$1),MONTH($A$1),1),РД[Состояние],"Продажа")</f>
        <v>112.32</v>
      </c>
      <c r="I119" s="184">
        <f>SUMIFS(РД[Стоимость без отделки итог],РД[Дом],$C$117,РД[МОП],A119,РД[Дата подачи на регистрацию],"&lt;="&amp;$A$1,РД[Дата подачи на регистрацию],"&gt;="&amp;DATE(YEAR($A$1),MONTH($A$1),1),РД[Состояние],"Продажа")</f>
        <v>10094211.25</v>
      </c>
      <c r="J119" s="243">
        <f>COUNTIFS(РД[Дом],$C$117,РД[МОП],A119,РД[Дата подачи на регистрацию],"&lt;="&amp;$A$1,РД[Дата подачи на регистрацию],"&gt;="&amp;DATE(YEAR($A$1),MONTH($A$1),1),РД[Состояние],"Продажа")</f>
        <v>2</v>
      </c>
      <c r="K119" s="244">
        <f t="shared" ref="K119:L126" si="0">IFERROR(H119/B119,"")</f>
        <v>0.66070588235294114</v>
      </c>
      <c r="L119" s="258">
        <f t="shared" si="0"/>
        <v>0.64224783114158557</v>
      </c>
      <c r="M119" s="183">
        <f>COUNTIFS(РД[Тип кв],M$118,РД[МОП],$A119,РД[Дом],$C$117,РД[Дата подачи на регистрацию],"&lt;="&amp;$A$1,РД[Дата подачи на регистрацию],"&gt;="&amp;DATE(YEAR($A$1),MONTH($A$1),1))</f>
        <v>0</v>
      </c>
      <c r="N119" s="243">
        <f>COUNTIFS(РД[Тип кв],N$118,РД[МОП],$A119,РД[Дом],$C$117,РД[Дата подачи на регистрацию],"&lt;="&amp;$A$1,РД[Дата подачи на регистрацию],"&gt;="&amp;DATE(YEAR($A$1),MONTH($A$1),1))</f>
        <v>1</v>
      </c>
      <c r="O119" s="243">
        <f>COUNTIFS(РД[Тип кв],O$118,РД[МОП],$A119,РД[Дом],$C$117,РД[Дата подачи на регистрацию],"&lt;="&amp;$A$1,РД[Дата подачи на регистрацию],"&gt;="&amp;DATE(YEAR($A$1),MONTH($A$1),1))</f>
        <v>1</v>
      </c>
      <c r="P119" s="243">
        <f>COUNTIFS(РД[Тип кв],P$118,РД[МОП],$A119,РД[Дом],$C$117,РД[Дата подачи на регистрацию],"&lt;="&amp;$A$1,РД[Дата подачи на регистрацию],"&gt;="&amp;DATE(YEAR($A$1),MONTH($A$1),1))</f>
        <v>0</v>
      </c>
      <c r="Q119" s="246">
        <f>COUNTIFS(РД[Тип кв],Q$118,РД[МОП],$A119,РД[Дом],$C$117,РД[Дата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142" t="s">
        <v>8</v>
      </c>
      <c r="B120" s="271">
        <f>IFERROR(VLOOKUP(A120,'Индивидуальный план'!$Z$5:$AB$10,2,0),"")</f>
        <v>240</v>
      </c>
      <c r="C120" s="52">
        <f>IFERROR(VLOOKUP(A120,'Индивидуальный план'!$Z$5:$AB$10,3,0),"")</f>
        <v>22188710.471999999</v>
      </c>
      <c r="D120" s="327"/>
      <c r="E120" s="145">
        <f>SUMIFS(sept20[м2],sept20[МОП],$A120,sept20[№ дома],$C$117,sept20[Комнатность],"&lt;&gt;Офис")</f>
        <v>126.03999999999999</v>
      </c>
      <c r="F120" s="146">
        <f>SUMIFS(sept20[Сумма без отделки],sept20[МОП],$A120,sept20[№ дома],$C$117,sept20[Комнатность],"&lt;&gt;Офис")</f>
        <v>10617225.399999999</v>
      </c>
      <c r="G120" s="147">
        <f>COUNTIFS(sept20[МОП],$A120,sept20[№ дома],$C$117,sept20[Комнатность],"&lt;&gt;Офис")</f>
        <v>2</v>
      </c>
      <c r="H120" s="148">
        <f>SUMIFS(РД[S],РД[Дом],$C$117,РД[МОП],A120,РД[Дата подачи на регистрацию],"&lt;="&amp;$A$1,РД[Дата подачи на регистрацию],"&gt;="&amp;DATE(YEAR($A$1),MONTH($A$1),1),РД[Состояние],"Продажа")</f>
        <v>126.03999999999999</v>
      </c>
      <c r="I120" s="149">
        <f>SUMIFS(РД[Стоимость без отделки итог],РД[Дом],$C$117,РД[МОП],A120,РД[Дата подачи на регистрацию],"&lt;="&amp;$A$1,РД[Дата подачи на регистрацию],"&gt;="&amp;DATE(YEAR($A$1),MONTH($A$1),1),РД[Состояние],"Продажа")</f>
        <v>10617225.399999999</v>
      </c>
      <c r="J120" s="220">
        <f>COUNTIFS(РД[Дом],$C$117,РД[МОП],A120,РД[Дата подачи на регистрацию],"&lt;="&amp;$A$1,РД[Дата подачи на регистрацию],"&gt;="&amp;DATE(YEAR($A$1),MONTH($A$1),1),РД[Состояние],"Продажа")</f>
        <v>2</v>
      </c>
      <c r="K120" s="221">
        <f t="shared" si="0"/>
        <v>0.52516666666666667</v>
      </c>
      <c r="L120" s="222">
        <f t="shared" si="0"/>
        <v>0.47849672983014979</v>
      </c>
      <c r="M120" s="148">
        <f>COUNTIFS(РД[Тип кв],M$118,РД[МОП],$A120,РД[Дом],$C$117,РД[Дата подачи на регистрацию],"&lt;="&amp;$A$1,РД[Дата подачи на регистрацию],"&gt;="&amp;DATE(YEAR($A$1),MONTH($A$1),1))</f>
        <v>0</v>
      </c>
      <c r="N120" s="220">
        <f>COUNTIFS(РД[Тип кв],N$118,РД[МОП],$A120,РД[Дом],$C$117,РД[Дата подачи на регистрацию],"&lt;="&amp;$A$1,РД[Дата подачи на регистрацию],"&gt;="&amp;DATE(YEAR($A$1),MONTH($A$1),1))</f>
        <v>0</v>
      </c>
      <c r="O120" s="220">
        <f>COUNTIFS(РД[Тип кв],O$118,РД[МОП],$A120,РД[Дом],$C$117,РД[Дата подачи на регистрацию],"&lt;="&amp;$A$1,РД[Дата подачи на регистрацию],"&gt;="&amp;DATE(YEAR($A$1),MONTH($A$1),1))</f>
        <v>2</v>
      </c>
      <c r="P120" s="220">
        <f>COUNTIFS(РД[Тип кв],P$118,РД[МОП],$A120,РД[Дом],$C$117,РД[Дата подачи на регистрацию],"&lt;="&amp;$A$1,РД[Дата подачи на регистрацию],"&gt;="&amp;DATE(YEAR($A$1),MONTH($A$1),1))</f>
        <v>0</v>
      </c>
      <c r="Q120" s="223">
        <f>COUNTIFS(РД[Тип кв],Q$118,РД[МОП],$A120,РД[Дом],$C$117,РД[Дата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398" t="s">
        <v>77</v>
      </c>
      <c r="B121" s="271">
        <f>IFERROR(VLOOKUP(A121,'Индивидуальный план'!$Z$5:$AB$10,2,0),"")</f>
        <v>0</v>
      </c>
      <c r="C121" s="52">
        <f>IFERROR(VLOOKUP(A121,'Индивидуальный план'!$Z$5:$AB$10,3,0),"")</f>
        <v>0</v>
      </c>
      <c r="D121" s="327"/>
      <c r="E121" s="145">
        <f>SUMIFS(sept20[м2],sept20[МОП],$A121,sept20[№ дома],$C$117,sept20[Комнатность],"&lt;&gt;Офис")</f>
        <v>0</v>
      </c>
      <c r="F121" s="146">
        <f>SUMIFS(sept20[Сумма без отделки],sept20[МОП],$A121,sept20[№ дома],$C$117,sept20[Комнатность],"&lt;&gt;Офис")</f>
        <v>0</v>
      </c>
      <c r="G121" s="147">
        <f>COUNTIFS(sept20[МОП],$A121,sept20[№ дома],$C$117,sept20[Комнатность],"&lt;&gt;Офис")</f>
        <v>0</v>
      </c>
      <c r="H121" s="148">
        <f>SUMIFS(РД[S],РД[Дом],$C$117,РД[МОП],A121,РД[Дата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149">
        <f>SUMIFS(РД[Стоимость без отделки итог],РД[Дом],$C$117,РД[МОП],A121,РД[Дата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0">
        <f>COUNTIFS(РД[Дом],$C$117,РД[МОП],A121,РД[Дата подачи на регистрацию],"&lt;="&amp;$A$1,РД[Дата подачи на регистрацию],"&gt;="&amp;DATE(YEAR($A$1),MONTH($A$1),1),РД[Состояние],"Продажа")</f>
        <v>0</v>
      </c>
      <c r="K121" s="224" t="str">
        <f t="shared" si="0"/>
        <v/>
      </c>
      <c r="L121" s="225" t="str">
        <f t="shared" si="0"/>
        <v/>
      </c>
      <c r="M121" s="202">
        <f>COUNTIFS(РД[Тип кв],M$118,РД[МОП],$A121,РД[Дом],$C$117,РД[Дата подачи на регистрацию],"&lt;="&amp;$A$1,РД[Дата подачи на регистрацию],"&gt;="&amp;DATE(YEAR($A$1),MONTH($A$1),1))</f>
        <v>0</v>
      </c>
      <c r="N121" s="226">
        <f>COUNTIFS(РД[Тип кв],N$118,РД[МОП],$A121,РД[Дом],$C$117,РД[Дата подачи на регистрацию],"&lt;="&amp;$A$1,РД[Дата подачи на регистрацию],"&gt;="&amp;DATE(YEAR($A$1),MONTH($A$1),1))</f>
        <v>0</v>
      </c>
      <c r="O121" s="226">
        <f>COUNTIFS(РД[Тип кв],O$118,РД[МОП],$A121,РД[Дом],$C$117,РД[Дата подачи на регистрацию],"&lt;="&amp;$A$1,РД[Дата подачи на регистрацию],"&gt;="&amp;DATE(YEAR($A$1),MONTH($A$1),1))</f>
        <v>0</v>
      </c>
      <c r="P121" s="226">
        <f>COUNTIFS(РД[Тип кв],P$118,РД[МОП],$A121,РД[Дом],$C$117,РД[Дата подачи на регистрацию],"&lt;="&amp;$A$1,РД[Дата подачи на регистрацию],"&gt;="&amp;DATE(YEAR($A$1),MONTH($A$1),1))</f>
        <v>0</v>
      </c>
      <c r="Q121" s="227">
        <f>COUNTIFS(РД[Тип кв],Q$118,РД[МОП],$A121,РД[Дом],$C$117,РД[Дата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3" t="s">
        <v>1233</v>
      </c>
      <c r="B122" s="271">
        <f>IFERROR(VLOOKUP(A122,'Индивидуальный план'!$Z$5:$AB$10,2,0),"")</f>
        <v>209</v>
      </c>
      <c r="C122" s="52">
        <f>IFERROR(VLOOKUP(A122,'Индивидуальный план'!$Z$5:$AB$10,3,0),"")</f>
        <v>19322668.7027</v>
      </c>
      <c r="D122" s="327"/>
      <c r="E122" s="145">
        <f>SUMIFS(sept20[м2],sept20[МОП],$A122,sept20[№ дома],$C$117,sept20[Комнатность],"&lt;&gt;Офис")</f>
        <v>129.86000000000001</v>
      </c>
      <c r="F122" s="146">
        <f>SUMIFS(sept20[Сумма без отделки],sept20[МОП],$A122,sept20[№ дома],$C$117,sept20[Комнатность],"&lt;&gt;Офис")</f>
        <v>13713828.609999999</v>
      </c>
      <c r="G122" s="147">
        <f>COUNTIFS(sept20[МОП],$A122,sept20[№ дома],$C$117,sept20[Комнатность],"&lt;&gt;Офис")</f>
        <v>3</v>
      </c>
      <c r="H122" s="148">
        <f>SUMIFS(РД[S],РД[Дом],$C$117,РД[МОП],A122,РД[Дата подачи на регистрацию],"&lt;="&amp;$A$1,РД[Дата подачи на регистрацию],"&gt;="&amp;DATE(YEAR($A$1),MONTH($A$1),1),РД[Состояние],"Продажа")</f>
        <v>193.60000000000002</v>
      </c>
      <c r="I122" s="149">
        <f>SUMIFS(РД[Стоимость без отделки итог],РД[Дом],$C$117,РД[МОП],A122,РД[Дата подачи на регистрацию],"&lt;="&amp;$A$1,РД[Дата подачи на регистрацию],"&gt;="&amp;DATE(YEAR($A$1),MONTH($A$1),1),РД[Состояние],"Продажа")</f>
        <v>19053585.82</v>
      </c>
      <c r="J122" s="220">
        <f>COUNTIFS(РД[Дом],$C$117,РД[МОП],A122,РД[Дата подачи на регистрацию],"&lt;="&amp;$A$1,РД[Дата подачи на регистрацию],"&gt;="&amp;DATE(YEAR($A$1),MONTH($A$1),1),РД[Состояние],"Продажа")</f>
        <v>4</v>
      </c>
      <c r="K122" s="224">
        <f t="shared" ref="K122" si="1">IFERROR(H122/B122,"")</f>
        <v>0.92631578947368431</v>
      </c>
      <c r="L122" s="225">
        <f t="shared" ref="L122" si="2">IFERROR(I122/C122,"")</f>
        <v>0.98607423814794282</v>
      </c>
      <c r="M122" s="202">
        <f>COUNTIFS(РД[Тип кв],M$118,РД[МОП],$A122,РД[Дом],$C$117,РД[Дата подачи на регистрацию],"&lt;="&amp;$A$1,РД[Дата подачи на регистрацию],"&gt;="&amp;DATE(YEAR($A$1),MONTH($A$1),1))</f>
        <v>0</v>
      </c>
      <c r="N122" s="226">
        <f>COUNTIFS(РД[Тип кв],N$118,РД[МОП],$A122,РД[Дом],$C$117,РД[Дата подачи на регистрацию],"&lt;="&amp;$A$1,РД[Дата подачи на регистрацию],"&gt;="&amp;DATE(YEAR($A$1),MONTH($A$1),1))</f>
        <v>2</v>
      </c>
      <c r="O122" s="226">
        <f>COUNTIFS(РД[Тип кв],O$118,РД[МОП],$A122,РД[Дом],$C$117,РД[Дата подачи на регистрацию],"&lt;="&amp;$A$1,РД[Дата подачи на регистрацию],"&gt;="&amp;DATE(YEAR($A$1),MONTH($A$1),1))</f>
        <v>2</v>
      </c>
      <c r="P122" s="226">
        <f>COUNTIFS(РД[Тип кв],P$118,РД[МОП],$A122,РД[Дом],$C$117,РД[Дата подачи на регистрацию],"&lt;="&amp;$A$1,РД[Дата подачи на регистрацию],"&gt;="&amp;DATE(YEAR($A$1),MONTH($A$1),1))</f>
        <v>0</v>
      </c>
      <c r="Q122" s="227">
        <f>COUNTIFS(РД[Тип кв],Q$118,РД[МОП],$A122,РД[Дом],$C$117,РД[Дата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53" t="s">
        <v>20</v>
      </c>
      <c r="B123" s="271">
        <f>IFERROR(VLOOKUP(A123,'Индивидуальный план'!$Z$5:$AB$10,2,0),"")</f>
        <v>240</v>
      </c>
      <c r="C123" s="52">
        <f>IFERROR(VLOOKUP(A123,'Индивидуальный план'!$Z$5:$AB$10,3,0),"")</f>
        <v>22188710.471999999</v>
      </c>
      <c r="D123" s="327"/>
      <c r="E123" s="145">
        <f>SUMIFS(sept20[м2],sept20[МОП],$A123,sept20[№ дома],$C$117,sept20[Комнатность],"&lt;&gt;Офис")</f>
        <v>208.10000000000002</v>
      </c>
      <c r="F123" s="146">
        <f>SUMIFS(sept20[Сумма без отделки],sept20[МОП],$A123,sept20[№ дома],$C$117,sept20[Комнатность],"&lt;&gt;Офис")</f>
        <v>18609973.109999999</v>
      </c>
      <c r="G123" s="147">
        <f>COUNTIFS(sept20[МОП],$A123,sept20[№ дома],$C$117,sept20[Комнатность],"&lt;&gt;Офис")</f>
        <v>4</v>
      </c>
      <c r="H123" s="148">
        <f>SUMIFS(РД[S],РД[Дом],$C$117,РД[МОП],A123,РД[Дата подачи на регистрацию],"&lt;="&amp;$A$1,РД[Дата подачи на регистрацию],"&gt;="&amp;DATE(YEAR($A$1),MONTH($A$1),1),РД[Состояние],"Продажа")</f>
        <v>208.1</v>
      </c>
      <c r="I123" s="149">
        <f>SUMIFS(РД[Стоимость без отделки итог],РД[Дом],$C$117,РД[МОП],A123,РД[Дата подачи на регистрацию],"&lt;="&amp;$A$1,РД[Дата подачи на регистрацию],"&gt;="&amp;DATE(YEAR($A$1),MONTH($A$1),1),РД[Состояние],"Продажа")</f>
        <v>18610622.660000004</v>
      </c>
      <c r="J123" s="220">
        <f>COUNTIFS(РД[Дом],$C$117,РД[МОП],A123,РД[Дата подачи на регистрацию],"&lt;="&amp;$A$1,РД[Дата подачи на регистрацию],"&gt;="&amp;DATE(YEAR($A$1),MONTH($A$1),1),РД[Состояние],"Продажа")</f>
        <v>4</v>
      </c>
      <c r="K123" s="224">
        <f t="shared" si="0"/>
        <v>0.86708333333333332</v>
      </c>
      <c r="L123" s="225">
        <f t="shared" si="0"/>
        <v>0.83874286806729059</v>
      </c>
      <c r="M123" s="202">
        <f>COUNTIFS(РД[Тип кв],M$118,РД[МОП],$A123,РД[Дом],$C$117,РД[Дата подачи на регистрацию],"&lt;="&amp;$A$1,РД[Дата подачи на регистрацию],"&gt;="&amp;DATE(YEAR($A$1),MONTH($A$1),1))</f>
        <v>0</v>
      </c>
      <c r="N123" s="226">
        <f>COUNTIFS(РД[Тип кв],N$118,РД[МОП],$A123,РД[Дом],$C$117,РД[Дата подачи на регистрацию],"&lt;="&amp;$A$1,РД[Дата подачи на регистрацию],"&gt;="&amp;DATE(YEAR($A$1),MONTH($A$1),1))</f>
        <v>2</v>
      </c>
      <c r="O123" s="226">
        <f>COUNTIFS(РД[Тип кв],O$118,РД[МОП],$A123,РД[Дом],$C$117,РД[Дата подачи на регистрацию],"&lt;="&amp;$A$1,РД[Дата подачи на регистрацию],"&gt;="&amp;DATE(YEAR($A$1),MONTH($A$1),1))</f>
        <v>2</v>
      </c>
      <c r="P123" s="226">
        <f>COUNTIFS(РД[Тип кв],P$118,РД[МОП],$A123,РД[Дом],$C$117,РД[Дата подачи на регистрацию],"&lt;="&amp;$A$1,РД[Дата подачи на регистрацию],"&gt;="&amp;DATE(YEAR($A$1),MONTH($A$1),1))</f>
        <v>0</v>
      </c>
      <c r="Q123" s="227">
        <f>COUNTIFS(РД[Тип кв],Q$118,РД[МОП],$A123,РД[Дом],$C$117,РД[Дата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53" t="s">
        <v>14</v>
      </c>
      <c r="B124" s="516">
        <f>IFERROR(VLOOKUP(A124,'Индивидуальный план'!$Z$5:$AB$10,2,0),"")</f>
        <v>200</v>
      </c>
      <c r="C124" s="554">
        <f>IFERROR(VLOOKUP(A124,'Индивидуальный план'!$Z$5:$AB$10,3,0),"")</f>
        <v>18490592.059999999</v>
      </c>
      <c r="D124" s="860"/>
      <c r="E124" s="328">
        <f>SUMIFS(sept20[м2],sept20[МОП],$A124,sept20[№ дома],$C$117,sept20[Комнатность],"&lt;&gt;Офис")</f>
        <v>0</v>
      </c>
      <c r="F124" s="403">
        <f>SUMIFS(sept20[Сумма без отделки],sept20[МОП],$A124,sept20[№ дома],$C$117,sept20[Комнатность],"&lt;&gt;Офис")</f>
        <v>0</v>
      </c>
      <c r="G124" s="404">
        <f>COUNTIFS(sept20[МОП],$A124,sept20[№ дома],$C$117,sept20[Комнатность],"&lt;&gt;Офис")</f>
        <v>0</v>
      </c>
      <c r="H124" s="187">
        <f>SUMIFS(РД[S],РД[Дом],$C$117,РД[МОП],A124,РД[Дата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I124" s="188">
        <f>SUMIFS(РД[Стоимость без отделки итог],РД[Дом],$C$117,РД[МОП],A124,РД[Дата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J124" s="247">
        <f>COUNTIFS(РД[Дом],$C$117,РД[МОП],A124,РД[Дата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K124" s="360">
        <f t="shared" si="0"/>
        <v>0</v>
      </c>
      <c r="L124" s="361">
        <f t="shared" si="0"/>
        <v>0</v>
      </c>
      <c r="M124" s="358">
        <f>COUNTIFS(РД[Тип кв],M$118,РД[МОП],$A124,РД[Дом],$C$117,РД[Дата подачи на регистрацию],"&lt;="&amp;$A$1,РД[Дата подачи на регистрацию],"&gt;="&amp;DATE(YEAR($A$1),MONTH($A$1),1))</f>
        <v>0</v>
      </c>
      <c r="N124" s="330">
        <f>COUNTIFS(РД[Тип кв],N$118,РД[МОП],$A124,РД[Дом],$C$117,РД[Дата подачи на регистрацию],"&lt;="&amp;$A$1,РД[Дата подачи на регистрацию],"&gt;="&amp;DATE(YEAR($A$1),MONTH($A$1),1))</f>
        <v>0</v>
      </c>
      <c r="O124" s="330">
        <f>COUNTIFS(РД[Тип кв],O$118,РД[МОП],$A124,РД[Дом],$C$117,РД[Дата подачи на регистрацию],"&lt;="&amp;$A$1,РД[Дата подачи на регистрацию],"&gt;="&amp;DATE(YEAR($A$1),MONTH($A$1),1))</f>
        <v>0</v>
      </c>
      <c r="P124" s="330">
        <f>COUNTIFS(РД[Тип кв],P$118,РД[МОП],$A124,РД[Дом],$C$117,РД[Дата подачи на регистрацию],"&lt;="&amp;$A$1,РД[Дата подачи на регистрацию],"&gt;="&amp;DATE(YEAR($A$1),MONTH($A$1),1))</f>
        <v>0</v>
      </c>
      <c r="Q124" s="331">
        <f>COUNTIFS(РД[Тип кв],Q$118,РД[МОП],$A124,РД[Дом],$C$117,РД[Дата подачи на регистрацию],"&lt;="&amp;$A$1,РД[Дата подачи на регистрацию],"&gt;="&amp;DATE(YEAR($A$1),MONTH($A$1),1))</f>
        <v>0</v>
      </c>
      <c r="U124" s="66"/>
    </row>
    <row r="125" spans="1:21" s="65" customFormat="1">
      <c r="A125" s="154" t="s">
        <v>29</v>
      </c>
      <c r="B125" s="861" t="str">
        <f>IFERROR(VLOOKUP(A125,'Индивидуальный план'!$R$3:$T$14,2,0),"")</f>
        <v/>
      </c>
      <c r="C125" s="862" t="str">
        <f>IFERROR(VLOOKUP(A125,'Индивидуальный план'!$R$3:$T$14,3,0),"")</f>
        <v/>
      </c>
      <c r="D125" s="863"/>
      <c r="E125" s="341">
        <f>SUMIFS(sept20[м2],sept20[МОП],$A125,sept20[№ дома],$C$117,sept20[Комнатность],"&lt;&gt;Офис")</f>
        <v>0</v>
      </c>
      <c r="F125" s="277">
        <f>SUMIFS(sept20[Сумма без отделки],sept20[МОП],$A125,sept20[№ дома],$C$117,sept20[Комнатность],"&lt;&gt;Офис")</f>
        <v>0</v>
      </c>
      <c r="G125" s="405">
        <f>COUNTIFS(sept20[МОП],$A125,sept20[№ дома],$C$117,sept20[Комнатность],"&lt;&gt;Офис")</f>
        <v>0</v>
      </c>
      <c r="H125" s="159">
        <f>SUMIFS(РД[S],РД[Дом],$C$117,РД[МОП],A125,РД[Дата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160">
        <f>SUMIFS(РД[Стоимость без отделки итог],РД[Дом],$C$117,РД[МОП],A125,РД[Дата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8">
        <f>COUNTIFS(РД[Дом],$C$117,РД[МОП],A125,РД[Дата подачи на регистрацию],"&lt;="&amp;$A$1,РД[Дата подачи на регистрацию],"&gt;="&amp;DATE(YEAR($A$1),MONTH($A$1),1),РД[Состояние],"Продажа")</f>
        <v>0</v>
      </c>
      <c r="K125" s="229" t="str">
        <f t="shared" si="0"/>
        <v/>
      </c>
      <c r="L125" s="230" t="str">
        <f t="shared" si="0"/>
        <v/>
      </c>
      <c r="M125" s="159">
        <f>COUNTIFS(РД[Тип кв],M$118,РД[МОП],$A125,РД[Дом],$C$117,РД[Дата подачи на регистрацию],"&lt;="&amp;$A$1,РД[Дата подачи на регистрацию],"&gt;="&amp;DATE(YEAR($A$1),MONTH($A$1),1))</f>
        <v>0</v>
      </c>
      <c r="N125" s="228">
        <f>COUNTIFS(РД[Тип кв],N$118,РД[МОП],$A125,РД[Дом],$C$117,РД[Дата подачи на регистрацию],"&lt;="&amp;$A$1,РД[Дата подачи на регистрацию],"&gt;="&amp;DATE(YEAR($A$1),MONTH($A$1),1))</f>
        <v>0</v>
      </c>
      <c r="O125" s="228">
        <f>COUNTIFS(РД[Тип кв],O$118,РД[МОП],$A125,РД[Дом],$C$117,РД[Дата подачи на регистрацию],"&lt;="&amp;$A$1,РД[Дата подачи на регистрацию],"&gt;="&amp;DATE(YEAR($A$1),MONTH($A$1),1))</f>
        <v>0</v>
      </c>
      <c r="P125" s="228">
        <f>COUNTIFS(РД[Тип кв],P$118,РД[МОП],$A125,РД[Дом],$C$117,РД[Дата подачи на регистрацию],"&lt;="&amp;$A$1,РД[Дата подачи на регистрацию],"&gt;="&amp;DATE(YEAR($A$1),MONTH($A$1),1))</f>
        <v>0</v>
      </c>
      <c r="Q125" s="231">
        <f>COUNTIFS(РД[Тип кв],Q$118,РД[МОП],$A125,РД[Дом],$C$117,РД[Дата подачи на регистрацию],"&lt;="&amp;$A$1,РД[Дата подачи на регистрацию],"&gt;="&amp;DATE(YEAR($A$1),MONTH($A$1),1))</f>
        <v>0</v>
      </c>
      <c r="U125" s="66"/>
    </row>
    <row r="126" spans="1:21" s="65" customFormat="1">
      <c r="A126" s="161" t="s">
        <v>1207</v>
      </c>
      <c r="B126" s="278" t="str">
        <f>IFERROR(VLOOKUP(A126,'Индивидуальный план'!$R$3:$T$14,2,0),"")</f>
        <v/>
      </c>
      <c r="C126" s="281" t="str">
        <f>IFERROR(VLOOKUP(A126,'Индивидуальный план'!$R$3:$T$14,3,0),"")</f>
        <v/>
      </c>
      <c r="D126" s="511"/>
      <c r="E126" s="406">
        <f>SUMIFS(sept20[м2],sept20[МОП],$A126,sept20[№ дома],$C$117,sept20[Комнатность],"&lt;&gt;Офис")</f>
        <v>63.74</v>
      </c>
      <c r="F126" s="281">
        <f>SUMIFS(sept20[Сумма без отделки],sept20[МОП],$A126,sept20[№ дома],$C$117,sept20[Комнатность],"&lt;&gt;Офис")</f>
        <v>6832389.4000000004</v>
      </c>
      <c r="G126" s="407">
        <f>COUNTIFS(sept20[МОП],$A126,sept20[№ дома],$C$117,sept20[Комнатность],"&lt;&gt;Офис")</f>
        <v>1</v>
      </c>
      <c r="H126" s="166">
        <f>SUMIFS(РД[S],РД[Дом],$C$117,РД[МОП],A126,РД[Дата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167">
        <f>SUMIFS(РД[Стоимость без отделки итог],РД[Дом],$C$117,РД[МОП],A126,РД[Дата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32">
        <f>COUNTIFS(РД[Дом],$C$117,РД[МОП],A126,РД[Дата подачи на регистрацию],"&lt;="&amp;$A$1,РД[Дата подачи на регистрацию],"&gt;="&amp;DATE(YEAR($A$1),MONTH($A$1),1),РД[Состояние],"Продажа")</f>
        <v>0</v>
      </c>
      <c r="K126" s="233" t="str">
        <f t="shared" si="0"/>
        <v/>
      </c>
      <c r="L126" s="234" t="str">
        <f t="shared" si="0"/>
        <v/>
      </c>
      <c r="M126" s="235">
        <f>COUNTIFS(РД[Тип кв],M$118,РД[МОП],$A126,РД[Дом],$C$117,РД[Дата подачи на регистрацию],"&lt;="&amp;$A$1,РД[Дата подачи на регистрацию],"&gt;="&amp;DATE(YEAR($A$1),MONTH($A$1),1))</f>
        <v>0</v>
      </c>
      <c r="N126" s="236">
        <f>COUNTIFS(РД[Тип кв],N$118,РД[МОП],$A126,РД[Дом],$C$117,РД[Дата подачи на регистрацию],"&lt;="&amp;$A$1,РД[Дата подачи на регистрацию],"&gt;="&amp;DATE(YEAR($A$1),MONTH($A$1),1))</f>
        <v>0</v>
      </c>
      <c r="O126" s="236">
        <f>COUNTIFS(РД[Тип кв],O$118,РД[МОП],$A126,РД[Дом],$C$117,РД[Дата подачи на регистрацию],"&lt;="&amp;$A$1,РД[Дата подачи на регистрацию],"&gt;="&amp;DATE(YEAR($A$1),MONTH($A$1),1))</f>
        <v>0</v>
      </c>
      <c r="P126" s="236">
        <f>COUNTIFS(РД[Тип кв],P$118,РД[МОП],$A126,РД[Дом],$C$117,РД[Дата подачи на регистрацию],"&lt;="&amp;$A$1,РД[Дата подачи на регистрацию],"&gt;="&amp;DATE(YEAR($A$1),MONTH($A$1),1))</f>
        <v>0</v>
      </c>
      <c r="Q126" s="237">
        <f>COUNTIFS(РД[Тип кв],Q$118,РД[МОП],$A126,РД[Дом],$C$117,РД[Дата подачи на регистрацию],"&lt;="&amp;$A$1,РД[Дата подачи на регистрацию],"&gt;="&amp;DATE(YEAR($A$1),MONTH($A$1),1))</f>
        <v>0</v>
      </c>
      <c r="U126" s="66"/>
    </row>
    <row r="127" spans="1:21" s="65" customFormat="1">
      <c r="A127" s="168" t="s">
        <v>114</v>
      </c>
      <c r="B127" s="172">
        <f t="shared" ref="B127:J127" si="3">SUM(B119:B126)</f>
        <v>1059</v>
      </c>
      <c r="C127" s="173">
        <f t="shared" si="3"/>
        <v>97907684.957699999</v>
      </c>
      <c r="D127" s="691">
        <f t="shared" si="3"/>
        <v>0</v>
      </c>
      <c r="E127" s="173">
        <f t="shared" si="3"/>
        <v>696.76</v>
      </c>
      <c r="F127" s="173">
        <f t="shared" si="3"/>
        <v>59852627.769999996</v>
      </c>
      <c r="G127" s="171">
        <f t="shared" si="3"/>
        <v>13</v>
      </c>
      <c r="H127" s="172">
        <f t="shared" si="3"/>
        <v>640.06000000000006</v>
      </c>
      <c r="I127" s="173">
        <f t="shared" si="3"/>
        <v>58375645.130000003</v>
      </c>
      <c r="J127" s="170">
        <f t="shared" si="3"/>
        <v>12</v>
      </c>
      <c r="K127" s="238">
        <f>IFERROR(H127/B127,"")</f>
        <v>0.60440037771482535</v>
      </c>
      <c r="L127" s="239">
        <f>IFERROR(I127/C127,"")</f>
        <v>0.59623149250460361</v>
      </c>
      <c r="M127" s="240">
        <f>SUM(M119:M126)</f>
        <v>0</v>
      </c>
      <c r="N127" s="241">
        <f>SUM(N119:N126)</f>
        <v>5</v>
      </c>
      <c r="O127" s="241">
        <f>SUM(O119:O126)</f>
        <v>7</v>
      </c>
      <c r="P127" s="241">
        <f>SUM(P119:P126)</f>
        <v>0</v>
      </c>
      <c r="Q127" s="242">
        <f>SUM(Q119:Q126)</f>
        <v>0</v>
      </c>
      <c r="U127" s="66"/>
    </row>
    <row r="128" spans="1:21" s="65" customFormat="1">
      <c r="A128" s="692" t="s">
        <v>115</v>
      </c>
      <c r="B128" s="706" t="s">
        <v>100</v>
      </c>
      <c r="C128" s="710" t="s">
        <v>97</v>
      </c>
      <c r="D128" s="708" t="s">
        <v>95</v>
      </c>
      <c r="E128" s="295" t="s">
        <v>494</v>
      </c>
      <c r="F128" s="138" t="s">
        <v>495</v>
      </c>
      <c r="G128" s="470" t="s">
        <v>496</v>
      </c>
      <c r="H128" s="140" t="s">
        <v>101</v>
      </c>
      <c r="I128" s="141" t="s">
        <v>98</v>
      </c>
      <c r="J128" s="141" t="s">
        <v>96</v>
      </c>
      <c r="K128" s="495" t="s">
        <v>715</v>
      </c>
      <c r="L128" s="496" t="s">
        <v>716</v>
      </c>
      <c r="M128" s="217">
        <v>0</v>
      </c>
      <c r="N128" s="218">
        <v>1</v>
      </c>
      <c r="O128" s="218">
        <v>2</v>
      </c>
      <c r="P128" s="218">
        <v>3</v>
      </c>
      <c r="Q128" s="219" t="s">
        <v>1367</v>
      </c>
      <c r="U128" s="66"/>
    </row>
    <row r="129" spans="1:21" s="65" customFormat="1">
      <c r="A129" s="142" t="s">
        <v>16</v>
      </c>
      <c r="B129" s="291">
        <f>IFERROR(VLOOKUP(A129,'Индивидуальный план'!$Z$13:$AB$14,2,0),"")</f>
        <v>424</v>
      </c>
      <c r="C129" s="292">
        <f>IFERROR(VLOOKUP(A129,'Индивидуальный план'!$Z$13:$AB$14,3,0),"")</f>
        <v>39200055.167199999</v>
      </c>
      <c r="D129" s="694"/>
      <c r="E129" s="145">
        <f>SUMIFS(sept20[м2],sept20[ИМ],A129,sept20[№ дома],$C$117,sept20[Комнатность],"&lt;&gt;Офис")</f>
        <v>430.4</v>
      </c>
      <c r="F129" s="149">
        <f>SUMIFS(sept20[Сумма без отделки],sept20[ИМ],$A129,sept20[№ дома],$C$117,sept20[Комнатность],"&lt;&gt;Офис")</f>
        <v>39394322.43999999</v>
      </c>
      <c r="G129" s="147">
        <f>COUNTIFS(sept20[ИМ],$A129,sept20[№ дома],$C$117,sept20[Комнатность],"&lt;&gt;Офис")</f>
        <v>8</v>
      </c>
      <c r="H129" s="183">
        <f>SUMIFS(РД[S],РД[Дом],$C$117,РД[ИМ],A129,РД[Дата подачи на регистрацию],"&lt;="&amp;$A$1,РД[Дата подачи на регистрацию],"&gt;="&amp;DATE(YEAR($A$1),MONTH($A$1),1),РД[Состояние],"Продажа")</f>
        <v>362.45000000000005</v>
      </c>
      <c r="I129" s="184">
        <f>SUMIFS(РД[Стоимость без отделки итог],РД[Дом],$C$117,РД[ИМ],A129,РД[Дата подачи на регистрацию],"&lt;="&amp;$A$1,РД[Дата подачи на регистрацию],"&gt;="&amp;DATE(YEAR($A$1),MONTH($A$1),1),РД[Состояние],"Продажа")</f>
        <v>33586854.389999993</v>
      </c>
      <c r="J129" s="243">
        <f>COUNTIFS(РД[Дом],$C$117,РД[ИМ],A129,РД[Дата подачи на регистрацию],"&lt;="&amp;$A$1,РД[Дата подачи на регистрацию],"&gt;="&amp;DATE(YEAR($A$1),MONTH($A$1),1),РД[Состояние],"Продажа")</f>
        <v>7</v>
      </c>
      <c r="K129" s="244">
        <f t="shared" ref="K129:L131" si="4">IFERROR(H129/B129,"")</f>
        <v>0.85483490566037745</v>
      </c>
      <c r="L129" s="245">
        <f t="shared" si="4"/>
        <v>0.85680630414273606</v>
      </c>
      <c r="M129" s="183">
        <f>COUNTIFS(РД[Тип кв],M118,РД[ИМ],$A129,РД[Дом],$C$117,РД[Дата подачи на регистрацию],"&lt;="&amp;$A$1,РД[Дата подачи на регистрацию],"&gt;="&amp;DATE(YEAR($A$1),MONTH($A$1),1))</f>
        <v>0</v>
      </c>
      <c r="N129" s="243">
        <f>COUNTIFS(РД[Тип кв],N118,РД[ИМ],$A129,РД[Дом],$C$117,РД[Дата подачи на регистрацию],"&lt;="&amp;$A$1,РД[Дата подачи на регистрацию],"&gt;="&amp;DATE(YEAR($A$1),MONTH($A$1),1))</f>
        <v>3</v>
      </c>
      <c r="O129" s="243">
        <f>COUNTIFS(РД[Тип кв],O118,РД[ИМ],$A129,РД[Дом],$C$117,РД[Дата подачи на регистрацию],"&lt;="&amp;$A$1,РД[Дата подачи на регистрацию],"&gt;="&amp;DATE(YEAR($A$1),MONTH($A$1),1))</f>
        <v>4</v>
      </c>
      <c r="P129" s="243">
        <f>COUNTIFS(РД[Тип кв],P118,РД[ИМ],$A129,РД[Дом],$C$117,РД[Дата подачи на регистрацию],"&lt;="&amp;$A$1,РД[Дата подачи на регистрацию],"&gt;="&amp;DATE(YEAR($A$1),MONTH($A$1),1))</f>
        <v>0</v>
      </c>
      <c r="Q129" s="246">
        <f>COUNTIFS(РД[Тип кв],Q118,РД[ИМ],$A129,РД[Дом],$C$117,РД[Дата подачи на регистрацию],"&lt;="&amp;$A$1,РД[Дата подачи на регистрацию],"&gt;="&amp;DATE(YEAR($A$1),MONTH($A$1),1))</f>
        <v>0</v>
      </c>
      <c r="U129" s="66"/>
    </row>
    <row r="130" spans="1:21" s="65" customFormat="1">
      <c r="A130" s="153" t="s">
        <v>22</v>
      </c>
      <c r="B130" s="516">
        <f>IFERROR(VLOOKUP(A130,'Индивидуальный план'!$Z$13:$AB$14,2,0),"")</f>
        <v>424</v>
      </c>
      <c r="C130" s="554">
        <f>IFERROR(VLOOKUP(A130,'Индивидуальный план'!$Z$13:$AB$14,3,0),"")</f>
        <v>39200055.167199999</v>
      </c>
      <c r="D130" s="695"/>
      <c r="E130" s="145">
        <f>SUMIFS(sept20[м2],sept20[ИМ],A130,sept20[№ дома],$C$117,sept20[Комнатность],"&lt;&gt;Офис")</f>
        <v>266.36</v>
      </c>
      <c r="F130" s="149">
        <f>SUMIFS(sept20[Сумма без отделки],sept20[ИМ],$A130,sept20[№ дома],$C$117,sept20[Комнатность],"&lt;&gt;Офис")</f>
        <v>20458305.330000002</v>
      </c>
      <c r="G130" s="147">
        <f>COUNTIFS(sept20[ИМ],$A130,sept20[№ дома],$C$117,sept20[Комнатность],"&lt;&gt;Офис")</f>
        <v>5</v>
      </c>
      <c r="H130" s="195">
        <f>SUMIFS(РД[S],РД[Дом],$C$117,РД[ИМ],A130,РД[Дата подачи на регистрацию],"&lt;="&amp;$A$1,РД[Дата подачи на регистрацию],"&gt;="&amp;DATE(YEAR($A$1),MONTH($A$1),1),РД[Состояние],"Продажа")</f>
        <v>277.61</v>
      </c>
      <c r="I130" s="196">
        <f>SUMIFS(РД[Стоимость без отделки итог],РД[Дом],$C$117,РД[ИМ],A130,РД[Дата подачи на регистрацию],"&lt;="&amp;$A$1,РД[Дата подачи на регистрацию],"&gt;="&amp;DATE(YEAR($A$1),MONTH($A$1),1),РД[Состояние],"Продажа")</f>
        <v>24788790.740000002</v>
      </c>
      <c r="J130" s="251">
        <f>COUNTIFS(РД[Дом],$C$117,РД[ИМ],A130,РД[Дата подачи на регистрацию],"&lt;="&amp;$A$1,РД[Дата подачи на регистрацию],"&gt;="&amp;DATE(YEAR($A$1),MONTH($A$1),1),РД[Состояние],"Продажа")</f>
        <v>5</v>
      </c>
      <c r="K130" s="252">
        <f t="shared" si="4"/>
        <v>0.65474056603773589</v>
      </c>
      <c r="L130" s="253">
        <f t="shared" si="4"/>
        <v>0.63236622076852622</v>
      </c>
      <c r="M130" s="195">
        <f>COUNTIFS(РД[Тип кв],M118,РД[ИМ],$A130,РД[Дом],$C$117,РД[Дата подачи на регистрацию],"&lt;="&amp;$A$1,РД[Дата подачи на регистрацию],"&gt;="&amp;DATE(YEAR($A$1),MONTH($A$1),1))</f>
        <v>0</v>
      </c>
      <c r="N130" s="251">
        <f>COUNTIFS(РД[Тип кв],N118,РД[ИМ],$A130,РД[Дом],$C$117,РД[Дата подачи на регистрацию],"&lt;="&amp;$A$1,РД[Дата подачи на регистрацию],"&gt;="&amp;DATE(YEAR($A$1),MONTH($A$1),1))</f>
        <v>2</v>
      </c>
      <c r="O130" s="251">
        <f>COUNTIFS(РД[Тип кв],O118,РД[ИМ],$A130,РД[Дом],$C$117,РД[Дата подачи на регистрацию],"&lt;="&amp;$A$1,РД[Дата подачи на регистрацию],"&gt;="&amp;DATE(YEAR($A$1),MONTH($A$1),1))</f>
        <v>3</v>
      </c>
      <c r="P130" s="251">
        <f>COUNTIFS(РД[Тип кв],P118,РД[ИМ],$A130,РД[Дом],$C$117,РД[Дата подачи на регистрацию],"&lt;="&amp;$A$1,РД[Дата подачи на регистрацию],"&gt;="&amp;DATE(YEAR($A$1),MONTH($A$1),1))</f>
        <v>0</v>
      </c>
      <c r="Q130" s="254">
        <f>COUNTIFS(РД[Тип кв],Q118,РД[ИМ],$A130,РД[Дом],$C$117,РД[Дата подачи на регистрацию],"&lt;="&amp;$A$1,РД[Дата подачи на регистрацию],"&gt;="&amp;DATE(YEAR($A$1),MONTH($A$1),1))</f>
        <v>0</v>
      </c>
      <c r="U130" s="66"/>
    </row>
    <row r="131" spans="1:21" s="65" customFormat="1">
      <c r="A131" s="317" t="s">
        <v>114</v>
      </c>
      <c r="B131" s="172">
        <f t="shared" ref="B131:Q131" si="5">SUM(B129:B130)</f>
        <v>848</v>
      </c>
      <c r="C131" s="173">
        <f t="shared" si="5"/>
        <v>78400110.334399998</v>
      </c>
      <c r="D131" s="696">
        <f t="shared" si="5"/>
        <v>0</v>
      </c>
      <c r="E131" s="484">
        <f t="shared" si="5"/>
        <v>696.76</v>
      </c>
      <c r="F131" s="429">
        <f t="shared" si="5"/>
        <v>59852627.769999996</v>
      </c>
      <c r="G131" s="485">
        <f t="shared" si="5"/>
        <v>13</v>
      </c>
      <c r="H131" s="473">
        <f t="shared" si="5"/>
        <v>640.06000000000006</v>
      </c>
      <c r="I131" s="429">
        <f t="shared" si="5"/>
        <v>58375645.129999995</v>
      </c>
      <c r="J131" s="494">
        <f t="shared" si="5"/>
        <v>12</v>
      </c>
      <c r="K131" s="419">
        <f t="shared" si="4"/>
        <v>0.75478773584905667</v>
      </c>
      <c r="L131" s="420">
        <f t="shared" si="4"/>
        <v>0.74458626245563109</v>
      </c>
      <c r="M131" s="473">
        <f t="shared" si="5"/>
        <v>0</v>
      </c>
      <c r="N131" s="494">
        <f t="shared" si="5"/>
        <v>5</v>
      </c>
      <c r="O131" s="494">
        <f t="shared" si="5"/>
        <v>7</v>
      </c>
      <c r="P131" s="494">
        <f t="shared" si="5"/>
        <v>0</v>
      </c>
      <c r="Q131" s="497">
        <f t="shared" si="5"/>
        <v>0</v>
      </c>
      <c r="U131" s="66"/>
    </row>
    <row r="132" spans="1:21" s="65" customFormat="1">
      <c r="A132" s="134"/>
      <c r="B132" s="197"/>
      <c r="C132" s="197"/>
      <c r="D132" s="198"/>
      <c r="E132" s="134"/>
      <c r="F132" s="44"/>
      <c r="G132" s="134"/>
      <c r="H132" s="134"/>
      <c r="I132" s="44"/>
      <c r="J132" s="134"/>
      <c r="K132" s="255"/>
      <c r="L132" s="256"/>
      <c r="M132" s="134"/>
      <c r="N132" s="134"/>
      <c r="O132" s="134"/>
      <c r="P132" s="134"/>
      <c r="Q132" s="134"/>
      <c r="U132" s="66"/>
    </row>
    <row r="133" spans="1:21" s="65" customFormat="1">
      <c r="A133" s="2327" t="s">
        <v>713</v>
      </c>
      <c r="B133" s="2328"/>
      <c r="C133" s="474" t="s">
        <v>13</v>
      </c>
      <c r="D133" s="697"/>
      <c r="E133" s="475"/>
      <c r="F133" s="475"/>
      <c r="G133" s="475"/>
      <c r="H133" s="476"/>
      <c r="I133" s="476"/>
      <c r="J133" s="476"/>
      <c r="K133" s="476"/>
      <c r="L133" s="476"/>
      <c r="M133" s="475"/>
      <c r="N133" s="475"/>
      <c r="O133" s="475"/>
      <c r="P133" s="475"/>
      <c r="Q133" s="498"/>
      <c r="U133" s="66"/>
    </row>
    <row r="134" spans="1:21" s="65" customFormat="1">
      <c r="A134" s="698" t="s">
        <v>1</v>
      </c>
      <c r="B134" s="699" t="s">
        <v>100</v>
      </c>
      <c r="C134" s="700" t="s">
        <v>97</v>
      </c>
      <c r="D134" s="701" t="s">
        <v>95</v>
      </c>
      <c r="E134" s="137" t="s">
        <v>494</v>
      </c>
      <c r="F134" s="477" t="s">
        <v>495</v>
      </c>
      <c r="G134" s="478" t="s">
        <v>496</v>
      </c>
      <c r="H134" s="479" t="s">
        <v>101</v>
      </c>
      <c r="I134" s="479" t="s">
        <v>98</v>
      </c>
      <c r="J134" s="479" t="s">
        <v>96</v>
      </c>
      <c r="K134" s="479" t="s">
        <v>715</v>
      </c>
      <c r="L134" s="479" t="s">
        <v>716</v>
      </c>
      <c r="M134" s="499">
        <v>0</v>
      </c>
      <c r="N134" s="340">
        <v>1</v>
      </c>
      <c r="O134" s="340">
        <v>2</v>
      </c>
      <c r="P134" s="340">
        <v>3</v>
      </c>
      <c r="Q134" s="500" t="s">
        <v>1367</v>
      </c>
      <c r="U134" s="66"/>
    </row>
    <row r="135" spans="1:21" s="65" customFormat="1">
      <c r="A135" s="177" t="s">
        <v>73</v>
      </c>
      <c r="B135" s="291">
        <f>IFERROR(VLOOKUP(A135,'Индивидуальный план'!$Z$20:$AB$25,2,0),"")</f>
        <v>253</v>
      </c>
      <c r="C135" s="292">
        <f>IFERROR(VLOOKUP(A135,'Индивидуальный план'!$Z$20:$AB$25,3,0),"")</f>
        <v>21517504.094899997</v>
      </c>
      <c r="D135" s="876"/>
      <c r="E135" s="145">
        <f>SUMIFS(sept20[м2],sept20[МОП],$A135,sept20[№ дома],$C$133,sept20[Комнатность],"&lt;&gt;Офис")</f>
        <v>38.299999999999997</v>
      </c>
      <c r="F135" s="146">
        <f>SUMIFS(sept20[Сумма без отделки],sept20[МОП],$A135,sept20[№ дома],$C$133,sept20[Комнатность],"&lt;&gt;Офис")</f>
        <v>3591569.53</v>
      </c>
      <c r="G135" s="147">
        <f>COUNTIFS(sept20[МОП],$A135,sept20[№ дома],$C$133,sept20[Комнатность],"&lt;&gt;Офис")</f>
        <v>1</v>
      </c>
      <c r="H135" s="148">
        <f>SUMIFS(РД[S],РД[Дом],$C$133,РД[МОП],A135,РД[Дата подачи на регистрацию],"&lt;="&amp;$A$1,РД[Дата подачи на регистрацию],"&gt;="&amp;DATE(YEAR($A$1),MONTH($A$1),1),РД[Состояние],"Продажа")</f>
        <v>38.299999999999997</v>
      </c>
      <c r="I135" s="149">
        <f>SUMIFS(РД[Стоимость без отделки итог],РД[Дом],$C$133,РД[МОП],A135,РД[Дата подачи на регистрацию],"&lt;="&amp;$A$1,РД[Дата подачи на регистрацию],"&gt;="&amp;DATE(YEAR($A$1),MONTH($A$1),1),РД[Состояние],"Продажа")</f>
        <v>3591569.53</v>
      </c>
      <c r="J135" s="220">
        <f>COUNTIFS(РД[Дом],$C$133,РД[МОП],A135,РД[Дата подачи на регистрацию],"&lt;="&amp;$A$1,РД[Дата подачи на регистрацию],"&gt;="&amp;DATE(YEAR($A$1),MONTH($A$1),1),РД[Состояние],"Продажа")</f>
        <v>1</v>
      </c>
      <c r="K135" s="221">
        <f t="shared" ref="K135:L142" si="6">IFERROR(H135/B135,)</f>
        <v>0.15138339920948615</v>
      </c>
      <c r="L135" s="222">
        <f t="shared" si="6"/>
        <v>0.16691385367744677</v>
      </c>
      <c r="M135" s="257">
        <f>COUNTIFS(РД[Тип кв],M$134,РД[МОП],$A135,РД[Дом],$C$133,РД[Дата подачи на регистрацию],"&lt;="&amp;$A$1,РД[Дата подачи на регистрацию],"&gt;="&amp;DATE(YEAR($A$1),MONTH($A$1),1))</f>
        <v>0</v>
      </c>
      <c r="N135" s="226">
        <f>COUNTIFS(РД[Тип кв],N$134,РД[МОП],$A135,РД[Дом],$C$133,РД[Дата подачи на регистрацию],"&lt;="&amp;$A$1,РД[Дата подачи на регистрацию],"&gt;="&amp;DATE(YEAR($A$1),MONTH($A$1),1))</f>
        <v>1</v>
      </c>
      <c r="O135" s="226">
        <f>COUNTIFS(РД[Тип кв],O$134,РД[МОП],$A135,РД[Дом],$C$133,РД[Дата подачи на регистрацию],"&lt;="&amp;$A$1,РД[Дата подачи на регистрацию],"&gt;="&amp;DATE(YEAR($A$1),MONTH($A$1),1))</f>
        <v>0</v>
      </c>
      <c r="P135" s="226">
        <f>COUNTIFS(РД[Тип кв],P$134,РД[МОП],$A135,РД[Дом],$C$133,РД[Дата подачи на регистрацию],"&lt;="&amp;$A$1,РД[Дата подачи на регистрацию],"&gt;="&amp;DATE(YEAR($A$1),MONTH($A$1),1))</f>
        <v>0</v>
      </c>
      <c r="Q135" s="227">
        <f>COUNTIFS(РД[Тип кв],Q$134,РД[МОП],$A135,РД[Дом],$C$133,РД[Дата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398" t="s">
        <v>8</v>
      </c>
      <c r="B136" s="271">
        <f>IFERROR(VLOOKUP(A136,'Индивидуальный план'!$Z$20:$AB$25,2,0),"")</f>
        <v>368</v>
      </c>
      <c r="C136" s="52">
        <f>IFERROR(VLOOKUP(A136,'Индивидуальный план'!$Z$20:$AB$25,3,0),"")</f>
        <v>31298187.7744</v>
      </c>
      <c r="D136" s="327"/>
      <c r="E136" s="257">
        <f>SUMIFS(sept20[м2],sept20[МОП],$A136,sept20[№ дома],$C$133,sept20[Комнатность],"&lt;&gt;Офис")</f>
        <v>275.61</v>
      </c>
      <c r="F136" s="52">
        <f>SUMIFS(sept20[Сумма без отделки],sept20[МОП],$A136,sept20[№ дома],$C$133,sept20[Комнатность],"&lt;&gt;Офис")</f>
        <v>23753555.140000001</v>
      </c>
      <c r="G136" s="413">
        <f>COUNTIFS(sept20[МОП],$A136,sept20[№ дома],$C$133,sept20[Комнатность],"&lt;&gt;Офис")</f>
        <v>5</v>
      </c>
      <c r="H136" s="202">
        <f>SUMIFS(РД[S],РД[Дом],$C$133,РД[МОП],A136,РД[Дата подачи на регистрацию],"&lt;="&amp;$A$1,РД[Дата подачи на регистрацию],"&gt;="&amp;DATE(YEAR($A$1),MONTH($A$1),1),РД[Состояние],"Продажа")</f>
        <v>315.3</v>
      </c>
      <c r="I136" s="203">
        <f>SUMIFS(РД[Стоимость без отделки итог],РД[Дом],$C$133,РД[МОП],A136,РД[Дата подачи на регистрацию],"&lt;="&amp;$A$1,РД[Дата подачи на регистрацию],"&gt;="&amp;DATE(YEAR($A$1),MONTH($A$1),1),РД[Состояние],"Продажа")</f>
        <v>27628462.449999999</v>
      </c>
      <c r="J136" s="226">
        <f>COUNTIFS(РД[Дом],$C$133,РД[МОП],A136,РД[Дата подачи на регистрацию],"&lt;="&amp;$A$1,РД[Дата подачи на регистрацию],"&gt;="&amp;DATE(YEAR($A$1),MONTH($A$1),1),РД[Состояние],"Продажа")</f>
        <v>6</v>
      </c>
      <c r="K136" s="224">
        <f t="shared" si="6"/>
        <v>0.8567934782608696</v>
      </c>
      <c r="L136" s="225">
        <f t="shared" si="6"/>
        <v>0.88274959077977</v>
      </c>
      <c r="M136" s="257">
        <f>COUNTIFS(РД[Тип кв],M$134,РД[МОП],$A136,РД[Дом],$C$133,РД[Дата подачи на регистрацию],"&lt;="&amp;$A$1,РД[Дата подачи на регистрацию],"&gt;="&amp;DATE(YEAR($A$1),MONTH($A$1),1))</f>
        <v>0</v>
      </c>
      <c r="N136" s="226">
        <f>COUNTIFS(РД[Тип кв],N$134,РД[МОП],$A136,РД[Дом],$C$133,РД[Дата подачи на регистрацию],"&lt;="&amp;$A$1,РД[Дата подачи на регистрацию],"&gt;="&amp;DATE(YEAR($A$1),MONTH($A$1),1))</f>
        <v>2</v>
      </c>
      <c r="O136" s="226">
        <f>COUNTIFS(РД[Тип кв],O$134,РД[МОП],$A136,РД[Дом],$C$133,РД[Дата подачи на регистрацию],"&lt;="&amp;$A$1,РД[Дата подачи на регистрацию],"&gt;="&amp;DATE(YEAR($A$1),MONTH($A$1),1))</f>
        <v>4</v>
      </c>
      <c r="P136" s="226">
        <f>COUNTIFS(РД[Тип кв],P$134,РД[МОП],$A136,РД[Дом],$C$133,РД[Дата подачи на регистрацию],"&lt;="&amp;$A$1,РД[Дата подачи на регистрацию],"&gt;="&amp;DATE(YEAR($A$1),MONTH($A$1),1))</f>
        <v>0</v>
      </c>
      <c r="Q136" s="227">
        <f>COUNTIFS(РД[Тип кв],Q$134,РД[МОП],$A136,РД[Дом],$C$133,РД[Дата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398" t="s">
        <v>77</v>
      </c>
      <c r="B137" s="271">
        <f>IFERROR(VLOOKUP(A137,'Индивидуальный план'!$Z$20:$AB$25,2,0),"")</f>
        <v>0</v>
      </c>
      <c r="C137" s="52">
        <f>IFERROR(VLOOKUP(A137,'Индивидуальный план'!$Z$20:$AB$25,3,0),"")</f>
        <v>0</v>
      </c>
      <c r="D137" s="327"/>
      <c r="E137" s="257">
        <f>SUMIFS(sept20[м2],sept20[МОП],$A137,sept20[№ дома],$C$133,sept20[Комнатность],"&lt;&gt;Офис")</f>
        <v>42.75</v>
      </c>
      <c r="F137" s="52">
        <f>SUMIFS(sept20[Сумма без отделки],sept20[МОП],$A137,sept20[№ дома],$C$133,sept20[Комнатность],"&lt;&gt;Офис")</f>
        <v>4977178.16</v>
      </c>
      <c r="G137" s="413">
        <f>COUNTIFS(sept20[МОП],$A137,sept20[№ дома],$C$133,sept20[Комнатность],"&lt;&gt;Офис")</f>
        <v>1</v>
      </c>
      <c r="H137" s="202">
        <f>SUMIFS(РД[S],РД[Дом],$C$133,РД[МОП],A137,РД[Дата подачи на регистрацию],"&lt;="&amp;$A$1,РД[Дата подачи на регистрацию],"&gt;="&amp;DATE(YEAR($A$1),MONTH($A$1),1),РД[Состояние],"Продажа")</f>
        <v>42.75</v>
      </c>
      <c r="I137" s="203">
        <f>SUMIFS(РД[Стоимость без отделки итог],РД[Дом],$C$133,РД[МОП],A137,РД[Дата подачи на регистрацию],"&lt;="&amp;$A$1,РД[Дата подачи на регистрацию],"&gt;="&amp;DATE(YEAR($A$1),MONTH($A$1),1),РД[Состояние],"Продажа")</f>
        <v>4036678.16</v>
      </c>
      <c r="J137" s="226">
        <f>COUNTIFS(РД[Дом],$C$133,РД[МОП],A137,РД[Дата подачи на регистрацию],"&lt;="&amp;$A$1,РД[Дата подачи на регистрацию],"&gt;="&amp;DATE(YEAR($A$1),MONTH($A$1),1),РД[Состояние],"Продажа")</f>
        <v>1</v>
      </c>
      <c r="K137" s="224">
        <f t="shared" si="6"/>
        <v>0</v>
      </c>
      <c r="L137" s="225">
        <f t="shared" si="6"/>
        <v>0</v>
      </c>
      <c r="M137" s="257">
        <f>COUNTIFS(РД[Тип кв],M$134,РД[МОП],$A137,РД[Дом],$C$133,РД[Дата подачи на регистрацию],"&lt;="&amp;$A$1,РД[Дата подачи на регистрацию],"&gt;="&amp;DATE(YEAR($A$1),MONTH($A$1),1))</f>
        <v>0</v>
      </c>
      <c r="N137" s="226">
        <f>COUNTIFS(РД[Тип кв],N$134,РД[МОП],$A137,РД[Дом],$C$133,РД[Дата подачи на регистрацию],"&lt;="&amp;$A$1,РД[Дата подачи на регистрацию],"&gt;="&amp;DATE(YEAR($A$1),MONTH($A$1),1))</f>
        <v>1</v>
      </c>
      <c r="O137" s="226">
        <f>COUNTIFS(РД[Тип кв],O$134,РД[МОП],$A137,РД[Дом],$C$133,РД[Дата подачи на регистрацию],"&lt;="&amp;$A$1,РД[Дата подачи на регистрацию],"&gt;="&amp;DATE(YEAR($A$1),MONTH($A$1),1))</f>
        <v>0</v>
      </c>
      <c r="P137" s="226">
        <f>COUNTIFS(РД[Тип кв],P$134,РД[МОП],$A137,РД[Дом],$C$133,РД[Дата подачи на регистрацию],"&lt;="&amp;$A$1,РД[Дата подачи на регистрацию],"&gt;="&amp;DATE(YEAR($A$1),MONTH($A$1),1))</f>
        <v>0</v>
      </c>
      <c r="Q137" s="227">
        <f>COUNTIFS(РД[Тип кв],Q$134,РД[МОП],$A137,РД[Дом],$C$133,РД[Дата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398" t="s">
        <v>1233</v>
      </c>
      <c r="B138" s="271">
        <f>IFERROR(VLOOKUP(A138,'Индивидуальный план'!$Z$20:$AB$25,2,0),"")</f>
        <v>338</v>
      </c>
      <c r="C138" s="52">
        <f>IFERROR(VLOOKUP(A138,'Индивидуальный план'!$Z$20:$AB$25,3,0),"")</f>
        <v>28746705.075399999</v>
      </c>
      <c r="D138" s="327"/>
      <c r="E138" s="257">
        <f>SUMIFS(sept20[м2],sept20[МОП],$A138,sept20[№ дома],$C$133,sept20[Комнатность],"&lt;&gt;Офис")</f>
        <v>158.86000000000001</v>
      </c>
      <c r="F138" s="52">
        <f>SUMIFS(sept20[Сумма без отделки],sept20[МОП],$A138,sept20[№ дома],$C$133,sept20[Комнатность],"&lt;&gt;Офис")</f>
        <v>13928203.15</v>
      </c>
      <c r="G138" s="413">
        <f>COUNTIFS(sept20[МОП],$A138,sept20[№ дома],$C$133,sept20[Комнатность],"&lt;&gt;Офис")</f>
        <v>3</v>
      </c>
      <c r="H138" s="202">
        <f>SUMIFS(РД[S],РД[Дом],$C$133,РД[МОП],A138,РД[Дата подачи на регистрацию],"&lt;="&amp;$A$1,РД[Дата подачи на регистрацию],"&gt;="&amp;DATE(YEAR($A$1),MONTH($A$1),1),РД[Состояние],"Продажа")</f>
        <v>101.06</v>
      </c>
      <c r="I138" s="203">
        <f>SUMIFS(РД[Стоимость без отделки итог],РД[Дом],$C$133,РД[МОП],A138,РД[Дата подачи на регистрацию],"&lt;="&amp;$A$1,РД[Дата подачи на регистрацию],"&gt;="&amp;DATE(YEAR($A$1),MONTH($A$1),1),РД[Состояние],"Продажа")</f>
        <v>9158093.4100000001</v>
      </c>
      <c r="J138" s="226">
        <f>COUNTIFS(РД[Дом],$C$133,РД[МОП],A138,РД[Дата подачи на регистрацию],"&lt;="&amp;$A$1,РД[Дата подачи на регистрацию],"&gt;="&amp;DATE(YEAR($A$1),MONTH($A$1),1),РД[Состояние],"Продажа")</f>
        <v>2</v>
      </c>
      <c r="K138" s="224">
        <f t="shared" ref="K138" si="7">IFERROR(H138/B138,)</f>
        <v>0.29899408284023671</v>
      </c>
      <c r="L138" s="225">
        <f t="shared" ref="L138" si="8">IFERROR(I138/C138,)</f>
        <v>0.31857889055386179</v>
      </c>
      <c r="M138" s="257">
        <f>COUNTIFS(РД[Тип кв],M$134,РД[МОП],$A138,РД[Дом],$C$133,РД[Дата подачи на регистрацию],"&lt;="&amp;$A$1,РД[Дата подачи на регистрацию],"&gt;="&amp;DATE(YEAR($A$1),MONTH($A$1),1))</f>
        <v>0</v>
      </c>
      <c r="N138" s="226">
        <f>COUNTIFS(РД[Тип кв],N$134,РД[МОП],$A138,РД[Дом],$C$133,РД[Дата подачи на регистрацию],"&lt;="&amp;$A$1,РД[Дата подачи на регистрацию],"&gt;="&amp;DATE(YEAR($A$1),MONTH($A$1),1))</f>
        <v>1</v>
      </c>
      <c r="O138" s="226">
        <f>COUNTIFS(РД[Тип кв],O$134,РД[МОП],$A138,РД[Дом],$C$133,РД[Дата подачи на регистрацию],"&lt;="&amp;$A$1,РД[Дата подачи на регистрацию],"&gt;="&amp;DATE(YEAR($A$1),MONTH($A$1),1))</f>
        <v>2</v>
      </c>
      <c r="P138" s="226">
        <f>COUNTIFS(РД[Тип кв],P$134,РД[МОП],$A138,РД[Дом],$C$133,РД[Дата подачи на регистрацию],"&lt;="&amp;$A$1,РД[Дата подачи на регистрацию],"&gt;="&amp;DATE(YEAR($A$1),MONTH($A$1),1))</f>
        <v>0</v>
      </c>
      <c r="Q138" s="227">
        <f>COUNTIFS(РД[Тип кв],Q$134,РД[МОП],$A138,РД[Дом],$C$133,РД[Дата подачи на регистрацию],"&lt;="&amp;$A$1,РД[Дата подачи на регистрацию],"&gt;="&amp;DATE(YEAR($A$1),MONTH($A$1),1))</f>
        <v>0</v>
      </c>
      <c r="U138" s="66"/>
    </row>
    <row r="139" spans="1:21" s="65" customFormat="1">
      <c r="A139" s="153" t="s">
        <v>20</v>
      </c>
      <c r="B139" s="271">
        <f>IFERROR(VLOOKUP(A139,'Индивидуальный план'!$Z$20:$AB$25,2,0),"")</f>
        <v>368</v>
      </c>
      <c r="C139" s="52">
        <f>IFERROR(VLOOKUP(A139,'Индивидуальный план'!$Z$20:$AB$25,3,0),"")</f>
        <v>31298187.7744</v>
      </c>
      <c r="D139" s="327"/>
      <c r="E139" s="257">
        <f>SUMIFS(sept20[м2],sept20[МОП],$A139,sept20[№ дома],$C$133,sept20[Комнатность],"&lt;&gt;Офис")</f>
        <v>190.97</v>
      </c>
      <c r="F139" s="52">
        <f>SUMIFS(sept20[Сумма без отделки],sept20[МОП],$A139,sept20[№ дома],$C$133,sept20[Комнатность],"&lt;&gt;Офис")</f>
        <v>17393863.77</v>
      </c>
      <c r="G139" s="413">
        <f>COUNTIFS(sept20[МОП],$A139,sept20[№ дома],$C$133,sept20[Комнатность],"&lt;&gt;Офис")</f>
        <v>4</v>
      </c>
      <c r="H139" s="202">
        <f>SUMIFS(РД[S],РД[Дом],$C$133,РД[МОП],A139,РД[Дата подачи на регистрацию],"&lt;="&amp;$A$1,РД[Дата подачи на регистрацию],"&gt;="&amp;DATE(YEAR($A$1),MONTH($A$1),1),РД[Состояние],"Продажа")</f>
        <v>271.94000000000005</v>
      </c>
      <c r="I139" s="203">
        <f>SUMIFS(РД[Стоимость без отделки итог],РД[Дом],$C$133,РД[МОП],A139,РД[Дата подачи на регистрацию],"&lt;="&amp;$A$1,РД[Дата подачи на регистрацию],"&gt;="&amp;DATE(YEAR($A$1),MONTH($A$1),1),РД[Состояние],"Продажа")</f>
        <v>23872073.680000003</v>
      </c>
      <c r="J139" s="226">
        <f>COUNTIFS(РД[Дом],$C$133,РД[МОП],A139,РД[Дата подачи на регистрацию],"&lt;="&amp;$A$1,РД[Дата подачи на регистрацию],"&gt;="&amp;DATE(YEAR($A$1),MONTH($A$1),1),РД[Состояние],"Продажа")</f>
        <v>5</v>
      </c>
      <c r="K139" s="224">
        <f t="shared" si="6"/>
        <v>0.73896739130434796</v>
      </c>
      <c r="L139" s="225">
        <f t="shared" si="6"/>
        <v>0.76273022106174138</v>
      </c>
      <c r="M139" s="257">
        <f>COUNTIFS(РД[Тип кв],M$134,РД[МОП],$A139,РД[Дом],$C$133,РД[Дата подачи на регистрацию],"&lt;="&amp;$A$1,РД[Дата подачи на регистрацию],"&gt;="&amp;DATE(YEAR($A$1),MONTH($A$1),1))</f>
        <v>0</v>
      </c>
      <c r="N139" s="226">
        <f>COUNTIFS(РД[Тип кв],N$134,РД[МОП],$A139,РД[Дом],$C$133,РД[Дата подачи на регистрацию],"&lt;="&amp;$A$1,РД[Дата подачи на регистрацию],"&gt;="&amp;DATE(YEAR($A$1),MONTH($A$1),1))</f>
        <v>3</v>
      </c>
      <c r="O139" s="226">
        <f>COUNTIFS(РД[Тип кв],O$134,РД[МОП],$A139,РД[Дом],$C$133,РД[Дата подачи на регистрацию],"&lt;="&amp;$A$1,РД[Дата подачи на регистрацию],"&gt;="&amp;DATE(YEAR($A$1),MONTH($A$1),1))</f>
        <v>1</v>
      </c>
      <c r="P139" s="226">
        <f>COUNTIFS(РД[Тип кв],P$134,РД[МОП],$A139,РД[Дом],$C$133,РД[Дата подачи на регистрацию],"&lt;="&amp;$A$1,РД[Дата подачи на регистрацию],"&gt;="&amp;DATE(YEAR($A$1),MONTH($A$1),1))</f>
        <v>1</v>
      </c>
      <c r="Q139" s="227">
        <f>COUNTIFS(РД[Тип кв],Q$134,РД[МОП],$A139,РД[Дом],$C$133,РД[Дата подачи на регистрацию],"&lt;="&amp;$A$1,РД[Дата подачи на регистрацию],"&gt;="&amp;DATE(YEAR($A$1),MONTH($A$1),1))</f>
        <v>0</v>
      </c>
      <c r="U139" s="66"/>
    </row>
    <row r="140" spans="1:21" s="65" customFormat="1">
      <c r="A140" s="153" t="s">
        <v>14</v>
      </c>
      <c r="B140" s="315">
        <f>IFERROR(VLOOKUP(A140,'Индивидуальный план'!$Z$20:$AB$25,2,0),"")</f>
        <v>303</v>
      </c>
      <c r="C140" s="363">
        <f>IFERROR(VLOOKUP(A140,'Индивидуальный план'!$Z$20:$AB$25,3,0),"")</f>
        <v>25769975.2599</v>
      </c>
      <c r="D140" s="366"/>
      <c r="E140" s="329">
        <f>SUMIFS(sept20[м2],sept20[МОП],$A140,sept20[№ дома],$C$133,sept20[Комнатность],"&lt;&gt;Офис")</f>
        <v>139.12</v>
      </c>
      <c r="F140" s="363">
        <f>SUMIFS(sept20[Сумма без отделки],sept20[МОП],$A140,sept20[№ дома],$C$133,sept20[Комнатность],"&lt;&gt;Офис")</f>
        <v>11637919.879999999</v>
      </c>
      <c r="G140" s="414">
        <f>COUNTIFS(sept20[МОП],$A140,sept20[№ дома],$C$133,sept20[Комнатность],"&lt;&gt;Офис")</f>
        <v>2</v>
      </c>
      <c r="H140" s="358">
        <f>SUMIFS(РД[S],РД[Дом],$C$133,РД[МОП],A140,РД[Дата подачи на регистрацию],"&lt;="&amp;$A$1,РД[Дата подачи на регистрацию],"&gt;="&amp;DATE(YEAR($A$1),MONTH($A$1),1),РД[Состояние],"Продажа")</f>
        <v>139.12</v>
      </c>
      <c r="I140" s="359">
        <f>SUMIFS(РД[Стоимость без отделки итог],РД[Дом],$C$133,РД[МОП],A140,РД[Дата подачи на регистрацию],"&lt;="&amp;$A$1,РД[Дата подачи на регистрацию],"&gt;="&amp;DATE(YEAR($A$1),MONTH($A$1),1),РД[Состояние],"Продажа")</f>
        <v>11637919.879999999</v>
      </c>
      <c r="J140" s="330">
        <f>COUNTIFS(РД[Дом],$C$133,РД[МОП],A140,РД[Дата подачи на регистрацию],"&lt;="&amp;$A$1,РД[Дата подачи на регистрацию],"&gt;="&amp;DATE(YEAR($A$1),MONTH($A$1),1),РД[Состояние],"Продажа")</f>
        <v>2</v>
      </c>
      <c r="K140" s="360">
        <f t="shared" si="6"/>
        <v>0.45914191419141914</v>
      </c>
      <c r="L140" s="361">
        <f t="shared" si="6"/>
        <v>0.45160772420722767</v>
      </c>
      <c r="M140" s="329">
        <f>COUNTIFS(РД[Тип кв],M$134,РД[МОП],$A140,РД[Дом],$C$133,РД[Дата подачи на регистрацию],"&lt;="&amp;$A$1,РД[Дата подачи на регистрацию],"&gt;="&amp;DATE(YEAR($A$1),MONTH($A$1),1))</f>
        <v>0</v>
      </c>
      <c r="N140" s="330">
        <f>COUNTIFS(РД[Тип кв],N$134,РД[МОП],$A140,РД[Дом],$C$133,РД[Дата подачи на регистрацию],"&lt;="&amp;$A$1,РД[Дата подачи на регистрацию],"&gt;="&amp;DATE(YEAR($A$1),MONTH($A$1),1))</f>
        <v>1</v>
      </c>
      <c r="O140" s="330">
        <f>COUNTIFS(РД[Тип кв],O$134,РД[МОП],$A140,РД[Дом],$C$133,РД[Дата подачи на регистрацию],"&lt;="&amp;$A$1,РД[Дата подачи на регистрацию],"&gt;="&amp;DATE(YEAR($A$1),MONTH($A$1),1))</f>
        <v>0</v>
      </c>
      <c r="P140" s="330">
        <f>COUNTIFS(РД[Тип кв],P$134,РД[МОП],$A140,РД[Дом],$C$133,РД[Дата подачи на регистрацию],"&lt;="&amp;$A$1,РД[Дата подачи на регистрацию],"&gt;="&amp;DATE(YEAR($A$1),MONTH($A$1),1))</f>
        <v>1</v>
      </c>
      <c r="Q140" s="331">
        <f>COUNTIFS(РД[Тип кв],Q$134,РД[МОП],$A140,РД[Дом],$C$133,РД[Дата подачи на регистрацию],"&lt;="&amp;$A$1,РД[Дата подачи на регистрацию],"&gt;="&amp;DATE(YEAR($A$1),MONTH($A$1),1))</f>
        <v>0</v>
      </c>
      <c r="U140" s="66"/>
    </row>
    <row r="141" spans="1:21" s="65" customFormat="1">
      <c r="A141" s="154" t="s">
        <v>29</v>
      </c>
      <c r="B141" s="274" t="str">
        <f>IFERROR(VLOOKUP(A141,'Индивидуальный план'!$R$3:$T$14,2,0),"")</f>
        <v/>
      </c>
      <c r="C141" s="277" t="str">
        <f>IFERROR(VLOOKUP(A141,'Индивидуальный план'!$R$3:$T$14,3,0),"")</f>
        <v/>
      </c>
      <c r="D141" s="690"/>
      <c r="E141" s="341">
        <f>SUMIFS(sept20[м2],sept20[МОП],$A141,sept20[№ дома],$C$133,sept20[Комнатность],"&lt;&gt;Офис")</f>
        <v>0</v>
      </c>
      <c r="F141" s="277">
        <f>SUMIFS(sept20[Сумма без отделки],sept20[МОП],$A141,sept20[№ дома],$C$133,sept20[Комнатность],"&lt;&gt;Офис")</f>
        <v>0</v>
      </c>
      <c r="G141" s="405">
        <f>COUNTIFS(sept20[МОП],$A141,sept20[№ дома],$C$133,sept20[Комнатность],"&lt;&gt;Офис")</f>
        <v>0</v>
      </c>
      <c r="H141" s="159">
        <f>SUMIFS(РД[S],РД[Дом],$C$133,РД[МОП],A141,РД[Дата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160">
        <f>SUMIFS(РД[Стоимость без отделки итог],РД[Дом],$C$133,РД[МОП],A141,РД[Дата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8">
        <f>COUNTIFS(РД[Дом],$C$133,РД[МОП],A141,РД[Дата подачи на регистрацию],"&lt;="&amp;$A$1,РД[Дата подачи на регистрацию],"&gt;="&amp;DATE(YEAR($A$1),MONTH($A$1),1),РД[Состояние],"Продажа")</f>
        <v>0</v>
      </c>
      <c r="K141" s="229">
        <f t="shared" si="6"/>
        <v>0</v>
      </c>
      <c r="L141" s="230">
        <f t="shared" si="6"/>
        <v>0</v>
      </c>
      <c r="M141" s="341">
        <f>COUNTIFS(РД[Тип кв],M$134,РД[МОП],$A141,РД[Дом],$C$133,РД[Дата подачи на регистрацию],"&lt;="&amp;$A$1,РД[Дата подачи на регистрацию],"&gt;="&amp;DATE(YEAR($A$1),MONTH($A$1),1))</f>
        <v>1</v>
      </c>
      <c r="N141" s="228">
        <f>COUNTIFS(РД[Тип кв],N$134,РД[МОП],$A141,РД[Дом],$C$133,РД[Дата подачи на регистрацию],"&lt;="&amp;$A$1,РД[Дата подачи на регистрацию],"&gt;="&amp;DATE(YEAR($A$1),MONTH($A$1),1))</f>
        <v>0</v>
      </c>
      <c r="O141" s="228">
        <f>COUNTIFS(РД[Тип кв],O$134,РД[МОП],$A141,РД[Дом],$C$133,РД[Дата подачи на регистрацию],"&lt;="&amp;$A$1,РД[Дата подачи на регистрацию],"&gt;="&amp;DATE(YEAR($A$1),MONTH($A$1),1))</f>
        <v>0</v>
      </c>
      <c r="P141" s="228">
        <f>COUNTIFS(РД[Тип кв],P$134,РД[МОП],$A141,РД[Дом],$C$133,РД[Дата подачи на регистрацию],"&lt;="&amp;$A$1,РД[Дата подачи на регистрацию],"&gt;="&amp;DATE(YEAR($A$1),MONTH($A$1),1))</f>
        <v>0</v>
      </c>
      <c r="Q141" s="231">
        <f>COUNTIFS(РД[Тип кв],Q$134,РД[МОП],$A141,РД[Дом],$C$133,РД[Дата подачи на регистрацию],"&lt;="&amp;$A$1,РД[Дата подачи на регистрацию],"&gt;="&amp;DATE(YEAR($A$1),MONTH($A$1),1))</f>
        <v>0</v>
      </c>
      <c r="U141" s="66"/>
    </row>
    <row r="142" spans="1:21" s="65" customFormat="1">
      <c r="A142" s="161" t="s">
        <v>1207</v>
      </c>
      <c r="B142" s="278" t="str">
        <f>IFERROR(VLOOKUP(A142,'Индивидуальный план'!$R$3:$T$14,2,0),"")</f>
        <v/>
      </c>
      <c r="C142" s="281" t="str">
        <f>IFERROR(VLOOKUP(A142,'Индивидуальный план'!$R$3:$T$14,3,0),"")</f>
        <v/>
      </c>
      <c r="D142" s="511"/>
      <c r="E142" s="406">
        <f>SUMIFS(sept20[м2],sept20[МОП],$A142,sept20[№ дома],$C$133,sept20[Комнатность],"&lt;&gt;Офис")</f>
        <v>80.97</v>
      </c>
      <c r="F142" s="281">
        <f>SUMIFS(sept20[Сумма без отделки],sept20[МОП],$A142,sept20[№ дома],$C$133,sept20[Комнатность],"&lt;&gt;Офис")</f>
        <v>6480614.9100000001</v>
      </c>
      <c r="G142" s="407">
        <f>COUNTIFS(sept20[МОП],$A142,sept20[№ дома],$C$133,sept20[Комнатность],"&lt;&gt;Офис")</f>
        <v>1</v>
      </c>
      <c r="H142" s="166">
        <f>SUMIFS(РД[S],РД[Дом],$C$133,РД[МОП],A142,РД[Дата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167">
        <f>SUMIFS(РД[Стоимость без отделки итог],РД[Дом],$C$133,РД[МОП],A142,РД[Дата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32">
        <f>COUNTIFS(РД[Дом],$C$133,РД[МОП],A142,РД[Дата подачи на регистрацию],"&lt;="&amp;$A$1,РД[Дата подачи на регистрацию],"&gt;="&amp;DATE(YEAR($A$1),MONTH($A$1),1),РД[Состояние],"Продажа")</f>
        <v>0</v>
      </c>
      <c r="K142" s="233">
        <f t="shared" si="6"/>
        <v>0</v>
      </c>
      <c r="L142" s="234">
        <f t="shared" si="6"/>
        <v>0</v>
      </c>
      <c r="M142" s="406">
        <f>COUNTIFS(РД[Тип кв],M$134,РД[МОП],$A142,РД[Дом],$C$133,РД[Дата подачи на регистрацию],"&lt;="&amp;$A$1,РД[Дата подачи на регистрацию],"&gt;="&amp;DATE(YEAR($A$1),MONTH($A$1),1))</f>
        <v>0</v>
      </c>
      <c r="N142" s="232">
        <f>COUNTIFS(РД[Тип кв],N$134,РД[МОП],$A142,РД[Дом],$C$133,РД[Дата подачи на регистрацию],"&lt;="&amp;$A$1,РД[Дата подачи на регистрацию],"&gt;="&amp;DATE(YEAR($A$1),MONTH($A$1),1))</f>
        <v>0</v>
      </c>
      <c r="O142" s="232">
        <f>COUNTIFS(РД[Тип кв],O$134,РД[МОП],$A142,РД[Дом],$C$133,РД[Дата подачи на регистрацию],"&lt;="&amp;$A$1,РД[Дата подачи на регистрацию],"&gt;="&amp;DATE(YEAR($A$1),MONTH($A$1),1))</f>
        <v>0</v>
      </c>
      <c r="P142" s="232">
        <f>COUNTIFS(РД[Тип кв],P$134,РД[МОП],$A142,РД[Дом],$C$133,РД[Дата подачи на регистрацию],"&lt;="&amp;$A$1,РД[Дата подачи на регистрацию],"&gt;="&amp;DATE(YEAR($A$1),MONTH($A$1),1))</f>
        <v>0</v>
      </c>
      <c r="Q142" s="337">
        <f>COUNTIFS(РД[Тип кв],Q$134,РД[МОП],$A142,РД[Дом],$C$133,РД[Дата подачи на регистрацию],"&lt;="&amp;$A$1,РД[Дата подачи на регистрацию],"&gt;="&amp;DATE(YEAR($A$1),MONTH($A$1),1))</f>
        <v>0</v>
      </c>
      <c r="U142" s="66"/>
    </row>
    <row r="143" spans="1:21" s="65" customFormat="1">
      <c r="A143" s="168" t="s">
        <v>114</v>
      </c>
      <c r="B143" s="172">
        <f>SUM(B135:B142)</f>
        <v>1630</v>
      </c>
      <c r="C143" s="172">
        <f>SUM(C135:C142)</f>
        <v>138630559.97899997</v>
      </c>
      <c r="D143" s="691">
        <f t="shared" ref="D143:J143" si="9">SUM(D135:D142)</f>
        <v>0</v>
      </c>
      <c r="E143" s="173">
        <f t="shared" si="9"/>
        <v>926.58</v>
      </c>
      <c r="F143" s="173">
        <f t="shared" si="9"/>
        <v>81762904.539999992</v>
      </c>
      <c r="G143" s="171">
        <f t="shared" si="9"/>
        <v>17</v>
      </c>
      <c r="H143" s="172">
        <f t="shared" si="9"/>
        <v>908.47000000000014</v>
      </c>
      <c r="I143" s="173">
        <f t="shared" si="9"/>
        <v>79924797.109999999</v>
      </c>
      <c r="J143" s="170">
        <f t="shared" si="9"/>
        <v>17</v>
      </c>
      <c r="K143" s="238">
        <f>IFERROR(H143/B143,"")</f>
        <v>0.55734355828220872</v>
      </c>
      <c r="L143" s="501">
        <f>IFERROR(I143/C143,"")</f>
        <v>0.57653086824511968</v>
      </c>
      <c r="M143" s="171">
        <f t="shared" ref="M143:Q143" si="10">SUM(M135:M142)</f>
        <v>1</v>
      </c>
      <c r="N143" s="171">
        <f t="shared" si="10"/>
        <v>9</v>
      </c>
      <c r="O143" s="171">
        <f t="shared" si="10"/>
        <v>7</v>
      </c>
      <c r="P143" s="171">
        <f t="shared" si="10"/>
        <v>2</v>
      </c>
      <c r="Q143" s="171">
        <f t="shared" si="10"/>
        <v>0</v>
      </c>
      <c r="U143" s="66"/>
    </row>
    <row r="144" spans="1:21" s="65" customFormat="1">
      <c r="A144" s="692" t="s">
        <v>115</v>
      </c>
      <c r="B144" s="686" t="s">
        <v>100</v>
      </c>
      <c r="C144" s="693" t="s">
        <v>97</v>
      </c>
      <c r="D144" s="688" t="s">
        <v>95</v>
      </c>
      <c r="E144" s="295" t="s">
        <v>494</v>
      </c>
      <c r="F144" s="138" t="s">
        <v>495</v>
      </c>
      <c r="G144" s="470" t="s">
        <v>496</v>
      </c>
      <c r="H144" s="481" t="s">
        <v>101</v>
      </c>
      <c r="I144" s="482" t="s">
        <v>98</v>
      </c>
      <c r="J144" s="482" t="s">
        <v>96</v>
      </c>
      <c r="K144" s="502" t="s">
        <v>715</v>
      </c>
      <c r="L144" s="503" t="s">
        <v>716</v>
      </c>
      <c r="M144" s="504">
        <v>0</v>
      </c>
      <c r="N144" s="505">
        <v>1</v>
      </c>
      <c r="O144" s="505">
        <v>2</v>
      </c>
      <c r="P144" s="505">
        <v>3</v>
      </c>
      <c r="Q144" s="506" t="s">
        <v>1367</v>
      </c>
      <c r="U144" s="66"/>
    </row>
    <row r="145" spans="1:21" s="65" customFormat="1">
      <c r="A145" s="142" t="s">
        <v>16</v>
      </c>
      <c r="B145" s="291">
        <f>IFERROR(VLOOKUP(A145,'Индивидуальный план'!$Z$28:$AB$29,2,0),"")</f>
        <v>570</v>
      </c>
      <c r="C145" s="292">
        <f>IFERROR(VLOOKUP(A145,'Индивидуальный план'!$Z$28:$AB$29,3,0),"")</f>
        <v>50709927.222000003</v>
      </c>
      <c r="D145" s="702"/>
      <c r="E145" s="145">
        <f>SUMIFS(sept20[м2],sept20[ИМ],A145,sept20[№ дома],$C$133,sept20[Комнатность],"&lt;&gt;Офис")</f>
        <v>606.76</v>
      </c>
      <c r="F145" s="149">
        <f>SUMIFS(sept20[Сумма без отделки],sept20[ИМ],$A145,sept20[№ дома],$C$133,sept20[Комнатность],"&lt;&gt;Офис")</f>
        <v>53864161.519999996</v>
      </c>
      <c r="G145" s="147">
        <f>COUNTIFS(sept20[ИМ],$A145,sept20[№ дома],$C$133,sept20[Комнатность],"&lt;&gt;Офис")</f>
        <v>11</v>
      </c>
      <c r="H145" s="183">
        <f>SUMIFS(РД[S],РД[Дом],$C$133,РД[ИМ],A145,РД[Дата подачи на регистрацию],"&lt;="&amp;$A$1,РД[Дата подачи на регистрацию],"&gt;="&amp;DATE(YEAR($A$1),MONTH($A$1),1),РД[Состояние],"Продажа")</f>
        <v>606.76</v>
      </c>
      <c r="I145" s="184">
        <f>SUMIFS(РД[Стоимость без отделки итог],РД[Дом],$C$133,РД[ИМ],A145,РД[Дата подачи на регистрацию],"&lt;="&amp;$A$1,РД[Дата подачи на регистрацию],"&gt;="&amp;DATE(YEAR($A$1),MONTH($A$1),1),РД[Состояние],"Продажа")</f>
        <v>52950411.519999996</v>
      </c>
      <c r="J145" s="243">
        <f>COUNTIFS(РД[Дом],$C$133,РД[ИМ],A145,РД[Дата подачи на регистрацию],"&lt;="&amp;$A$1,РД[Дата подачи на регистрацию],"&gt;="&amp;DATE(YEAR($A$1),MONTH($A$1),1),РД[Состояние],"Продажа")</f>
        <v>11</v>
      </c>
      <c r="K145" s="244">
        <f>IFERROR(H145/B145,"")</f>
        <v>1.0644912280701755</v>
      </c>
      <c r="L145" s="245">
        <f>IFERROR(I145/C145,"")</f>
        <v>1.044182360747463</v>
      </c>
      <c r="M145" s="183">
        <f>COUNTIFS(РД[Тип кв],M134,РД[ИМ],$A145,РД[Дом],$C$133,РД[Дата подачи на регистрацию],"&lt;="&amp;$A$1,РД[Дата подачи на регистрацию],"&gt;="&amp;DATE(YEAR($A$1),MONTH($A$1),1))</f>
        <v>0</v>
      </c>
      <c r="N145" s="243">
        <f>COUNTIFS(РД[Тип кв],N134,РД[ИМ],$A145,РД[Дом],$C$133,РД[Дата подачи на регистрацию],"&lt;="&amp;$A$1,РД[Дата подачи на регистрацию],"&gt;="&amp;DATE(YEAR($A$1),MONTH($A$1),1))</f>
        <v>6</v>
      </c>
      <c r="O145" s="243">
        <f>COUNTIFS(РД[Тип кв],O134,РД[ИМ],$A145,РД[Дом],$C$133,РД[Дата подачи на регистрацию],"&lt;="&amp;$A$1,РД[Дата подачи на регистрацию],"&gt;="&amp;DATE(YEAR($A$1),MONTH($A$1),1))</f>
        <v>3</v>
      </c>
      <c r="P145" s="243">
        <f>COUNTIFS(РД[Тип кв],P134,РД[ИМ],$A145,РД[Дом],$C$133,РД[Дата подачи на регистрацию],"&lt;="&amp;$A$1,РД[Дата подачи на регистрацию],"&gt;="&amp;DATE(YEAR($A$1),MONTH($A$1),1))</f>
        <v>2</v>
      </c>
      <c r="Q145" s="246">
        <f>COUNTIFS(РД[Тип кв],Q134,РД[ИМ],$A145,РД[Дом],$C$133,РД[Дата подачи на регистрацию],"&lt;="&amp;$A$1,РД[Дата подачи на регистрацию],"&gt;="&amp;DATE(YEAR($A$1),MONTH($A$1),1))</f>
        <v>0</v>
      </c>
      <c r="U145" s="66"/>
    </row>
    <row r="146" spans="1:21" s="65" customFormat="1">
      <c r="A146" s="153" t="s">
        <v>22</v>
      </c>
      <c r="B146" s="516">
        <f>IFERROR(VLOOKUP(A146,'Индивидуальный план'!$Z$28:$AB$29,2,0),"")</f>
        <v>570</v>
      </c>
      <c r="C146" s="554">
        <f>IFERROR(VLOOKUP(A146,'Индивидуальный план'!$Z$28:$AB$29,3,0),"")</f>
        <v>50709927.222000003</v>
      </c>
      <c r="D146" s="703"/>
      <c r="E146" s="329">
        <f>SUMIFS(sept20[м2],sept20[ИМ],A146,sept20[№ дома],$C$133,sept20[Комнатность],"&lt;&gt;Офис")</f>
        <v>319.82000000000005</v>
      </c>
      <c r="F146" s="359">
        <f>SUMIFS(sept20[Сумма без отделки],sept20[ИМ],$A146,sept20[№ дома],$C$133,sept20[Комнатность],"&lt;&gt;Офис")</f>
        <v>27898743.020000003</v>
      </c>
      <c r="G146" s="414">
        <f>COUNTIFS(sept20[ИМ],$A146,sept20[№ дома],$C$133,sept20[Комнатность],"&lt;&gt;Офис")</f>
        <v>6</v>
      </c>
      <c r="H146" s="358">
        <f>SUMIFS(РД[S],РД[Дом],$C$133,РД[ИМ],A146,РД[Дата подачи на регистрацию],"&lt;="&amp;$A$1,РД[Дата подачи на регистрацию],"&gt;="&amp;DATE(YEAR($A$1),MONTH($A$1),1),РД[Состояние],"Продажа")</f>
        <v>301.70999999999998</v>
      </c>
      <c r="I146" s="359">
        <f>SUMIFS(РД[Стоимость без отделки итог],РД[Дом],$C$133,РД[ИМ],A146,РД[Дата подачи на регистрацию],"&lt;="&amp;$A$1,РД[Дата подачи на регистрацию],"&gt;="&amp;DATE(YEAR($A$1),MONTH($A$1),1),РД[Состояние],"Продажа")</f>
        <v>26974385.59</v>
      </c>
      <c r="J146" s="330">
        <f>COUNTIFS(РД[Дом],$C$133,РД[ИМ],A146,РД[Дата подачи на регистрацию],"&lt;="&amp;$A$1,РД[Дата подачи на регистрацию],"&gt;="&amp;DATE(YEAR($A$1),MONTH($A$1),1),РД[Состояние],"Продажа")</f>
        <v>6</v>
      </c>
      <c r="K146" s="360">
        <f>IFERROR(H146/B146,"")</f>
        <v>0.52931578947368418</v>
      </c>
      <c r="L146" s="367">
        <f>IFERROR(I146/C146,"")</f>
        <v>0.53193500893642431</v>
      </c>
      <c r="M146" s="195">
        <f>COUNTIFS(РД[Тип кв],M$134,РД[ИМ],$A146,РД[Дом],$C$133,РД[Дата подачи на регистрацию],"&lt;="&amp;$A$1,РД[Дата подачи на регистрацию],"&gt;="&amp;DATE(YEAR($A$1),MONTH($A$1),1))</f>
        <v>0</v>
      </c>
      <c r="N146" s="251">
        <f>COUNTIFS(РД[Тип кв],N$134,РД[ИМ],$A146,РД[Дом],$C$133,РД[Дата подачи на регистрацию],"&lt;="&amp;$A$1,РД[Дата подачи на регистрацию],"&gt;="&amp;DATE(YEAR($A$1),MONTH($A$1),1))</f>
        <v>3</v>
      </c>
      <c r="O146" s="251">
        <f>COUNTIFS(РД[Тип кв],O$134,РД[ИМ],$A146,РД[Дом],$C$133,РД[Дата подачи на регистрацию],"&lt;="&amp;$A$1,РД[Дата подачи на регистрацию],"&gt;="&amp;DATE(YEAR($A$1),MONTH($A$1),1))</f>
        <v>4</v>
      </c>
      <c r="P146" s="251">
        <f>COUNTIFS(РД[Тип кв],P$134,РД[ИМ],$A146,РД[Дом],$C$133,РД[Дата подачи на регистрацию],"&lt;="&amp;$A$1,РД[Дата подачи на регистрацию],"&gt;="&amp;DATE(YEAR($A$1),MONTH($A$1),1))</f>
        <v>0</v>
      </c>
      <c r="Q146" s="254">
        <f>COUNTIFS(РД[Тип кв],Q$134,РД[ИМ],$A146,РД[Дом],$C$133,РД[Дата подачи на регистрацию],"&lt;="&amp;$A$1,РД[Дата подачи на регистрацию],"&gt;="&amp;DATE(YEAR($A$1),MONTH($A$1),1))</f>
        <v>0</v>
      </c>
      <c r="R146" s="86"/>
      <c r="S146" s="86"/>
      <c r="T146" s="86"/>
      <c r="U146" s="66"/>
    </row>
    <row r="147" spans="1:21" s="65" customFormat="1">
      <c r="A147" s="317" t="s">
        <v>114</v>
      </c>
      <c r="B147" s="410">
        <f t="shared" ref="B147:J147" si="11">SUM(B145:B146)</f>
        <v>1140</v>
      </c>
      <c r="C147" s="411">
        <f t="shared" si="11"/>
        <v>101419854.44400001</v>
      </c>
      <c r="D147" s="497">
        <f t="shared" si="11"/>
        <v>0</v>
      </c>
      <c r="E147" s="484">
        <f t="shared" si="11"/>
        <v>926.58</v>
      </c>
      <c r="F147" s="429">
        <f t="shared" si="11"/>
        <v>81762904.539999992</v>
      </c>
      <c r="G147" s="485">
        <f t="shared" si="11"/>
        <v>17</v>
      </c>
      <c r="H147" s="473">
        <f t="shared" si="11"/>
        <v>908.47</v>
      </c>
      <c r="I147" s="429">
        <f t="shared" si="11"/>
        <v>79924797.109999999</v>
      </c>
      <c r="J147" s="494">
        <f t="shared" si="11"/>
        <v>17</v>
      </c>
      <c r="K147" s="419">
        <f>IFERROR(H147/B147,)</f>
        <v>0.79690350877192984</v>
      </c>
      <c r="L147" s="507">
        <f>IFERROR(I147/C147,)</f>
        <v>0.78805868484194364</v>
      </c>
      <c r="M147" s="317">
        <f t="shared" ref="M147:Q147" si="12">SUM(M145:M146)</f>
        <v>0</v>
      </c>
      <c r="N147" s="485">
        <f t="shared" si="12"/>
        <v>9</v>
      </c>
      <c r="O147" s="485">
        <f t="shared" si="12"/>
        <v>7</v>
      </c>
      <c r="P147" s="485">
        <f t="shared" si="12"/>
        <v>2</v>
      </c>
      <c r="Q147" s="497">
        <f t="shared" si="12"/>
        <v>0</v>
      </c>
      <c r="R147" s="86"/>
      <c r="S147" s="86"/>
      <c r="T147" s="86"/>
      <c r="U147" s="66"/>
    </row>
    <row r="148" spans="1:21" s="65" customFormat="1">
      <c r="A148" s="134"/>
      <c r="B148" s="211"/>
      <c r="C148" s="211"/>
      <c r="D148" s="212"/>
      <c r="E148" s="134"/>
      <c r="F148" s="134"/>
      <c r="G148" s="134"/>
      <c r="H148" s="134"/>
      <c r="I148" s="134"/>
      <c r="J148" s="134"/>
      <c r="K148" s="134"/>
      <c r="L148" s="261"/>
      <c r="M148" s="134"/>
      <c r="N148" s="134"/>
      <c r="O148" s="134"/>
      <c r="P148" s="262"/>
      <c r="Q148" s="134"/>
      <c r="U148" s="66"/>
    </row>
    <row r="149" spans="1:21" s="65" customFormat="1">
      <c r="A149" s="2327" t="s">
        <v>713</v>
      </c>
      <c r="B149" s="2328"/>
      <c r="C149" s="474" t="s">
        <v>718</v>
      </c>
      <c r="D149" s="704"/>
      <c r="E149" s="476"/>
      <c r="F149" s="476"/>
      <c r="G149" s="476"/>
      <c r="H149" s="476"/>
      <c r="I149" s="476"/>
      <c r="J149" s="476"/>
      <c r="K149" s="476"/>
      <c r="L149" s="476"/>
      <c r="M149" s="476"/>
      <c r="N149" s="476"/>
      <c r="O149" s="476"/>
      <c r="P149" s="476"/>
      <c r="Q149" s="134"/>
      <c r="U149" s="66"/>
    </row>
    <row r="150" spans="1:21" s="65" customFormat="1">
      <c r="A150" s="705" t="s">
        <v>1</v>
      </c>
      <c r="B150" s="706" t="s">
        <v>100</v>
      </c>
      <c r="C150" s="707" t="s">
        <v>97</v>
      </c>
      <c r="D150" s="708" t="s">
        <v>95</v>
      </c>
      <c r="E150" s="486" t="s">
        <v>494</v>
      </c>
      <c r="F150" s="487" t="s">
        <v>495</v>
      </c>
      <c r="G150" s="488" t="s">
        <v>496</v>
      </c>
      <c r="H150" s="489" t="s">
        <v>101</v>
      </c>
      <c r="I150" s="490" t="s">
        <v>98</v>
      </c>
      <c r="J150" s="490" t="s">
        <v>96</v>
      </c>
      <c r="K150" s="490" t="s">
        <v>715</v>
      </c>
      <c r="L150" s="508" t="s">
        <v>716</v>
      </c>
      <c r="M150" s="217">
        <v>0</v>
      </c>
      <c r="N150" s="218">
        <v>1</v>
      </c>
      <c r="O150" s="218">
        <v>2</v>
      </c>
      <c r="P150" s="218">
        <v>3</v>
      </c>
      <c r="Q150" s="219" t="s">
        <v>1367</v>
      </c>
      <c r="U150" s="66"/>
    </row>
    <row r="151" spans="1:21" s="65" customFormat="1">
      <c r="A151" s="177" t="s">
        <v>73</v>
      </c>
      <c r="B151" s="291">
        <f>IFERROR(VLOOKUP(A151,'Индивидуальный план'!$Z$35:$AB$40,2,0),"")</f>
        <v>423</v>
      </c>
      <c r="C151" s="292">
        <f>IFERROR(VLOOKUP(A151,'Индивидуальный план'!$Z$35:$AB$40,3,0),"")</f>
        <v>37234507.345899999</v>
      </c>
      <c r="D151" s="876"/>
      <c r="E151" s="346">
        <f>SUMIFS(sept20[м2],sept20[МОП],$A151,sept20[Комнатность],"&lt;&gt;Офис")</f>
        <v>207.32</v>
      </c>
      <c r="F151" s="292">
        <f>SUMIFS(sept20[Сумма без отделки],sept20[МОП],$A151,sept20[Комнатность],"&lt;&gt;Офис")</f>
        <v>13670780.779999999</v>
      </c>
      <c r="G151" s="415">
        <f>COUNTIFS(sept20[МОП],$A151,sept20[Комнатность],"&lt;&gt;Офис")</f>
        <v>4</v>
      </c>
      <c r="H151" s="183">
        <f>SUMIFS(РД[S],РД[МОП],A151,РД[Дата подачи на регистрацию],"&lt;="&amp;$A$1,РД[Дата подачи на регистрацию],"&gt;="&amp;DATE(YEAR($A$1),MONTH($A$1),1),РД[Состояние],"Продажа")</f>
        <v>150.62</v>
      </c>
      <c r="I151" s="184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13685780.779999999</v>
      </c>
      <c r="J151" s="243">
        <f>COUNTIFS(РД[МОП],A151,РД[Дата подачи на регистрацию],"&lt;="&amp;$A$1,РД[Дата подачи на регистрацию],"&gt;="&amp;DATE(YEAR($A$1),MONTH($A$1),1),РД[Состояние],"Продажа")</f>
        <v>3</v>
      </c>
      <c r="K151" s="244">
        <f t="shared" ref="K151:L158" si="13">IFERROR(H151/B151,"")</f>
        <v>0.3560756501182033</v>
      </c>
      <c r="L151" s="258">
        <f t="shared" si="13"/>
        <v>0.36755638131215884</v>
      </c>
      <c r="M151" s="877">
        <f t="shared" ref="M151:Q153" si="14">M135+M119</f>
        <v>0</v>
      </c>
      <c r="N151" s="878">
        <f t="shared" si="14"/>
        <v>2</v>
      </c>
      <c r="O151" s="878">
        <f t="shared" si="14"/>
        <v>1</v>
      </c>
      <c r="P151" s="878">
        <f t="shared" si="14"/>
        <v>0</v>
      </c>
      <c r="Q151" s="689">
        <f t="shared" si="14"/>
        <v>0</v>
      </c>
      <c r="U151" s="66"/>
    </row>
    <row r="152" spans="1:21" s="65" customFormat="1">
      <c r="A152" s="398" t="s">
        <v>8</v>
      </c>
      <c r="B152" s="271">
        <f>IFERROR(VLOOKUP(A152,'Индивидуальный план'!$Z$35:$AB$40,2,0),"")</f>
        <v>608</v>
      </c>
      <c r="C152" s="52">
        <f>IFERROR(VLOOKUP(A152,'Индивидуальный план'!$Z$35:$AB$40,3,0),"")</f>
        <v>53486898.246399999</v>
      </c>
      <c r="D152" s="327"/>
      <c r="E152" s="257">
        <f>SUMIFS(sept20[м2],sept20[МОП],$A152,sept20[Комнатность],"&lt;&gt;Офис")</f>
        <v>401.65000000000003</v>
      </c>
      <c r="F152" s="52">
        <f>SUMIFS(sept20[Сумма без отделки],sept20[МОП],$A152,sept20[Комнатность],"&lt;&gt;Офис")</f>
        <v>34370780.539999999</v>
      </c>
      <c r="G152" s="413">
        <f>COUNTIFS(sept20[МОП],$A152,sept20[Комнатность],"&lt;&gt;Офис")</f>
        <v>7</v>
      </c>
      <c r="H152" s="202">
        <f>SUMIFS(РД[S],РД[МОП],A152,РД[Дата подачи на регистрацию],"&lt;="&amp;$A$1,РД[Дата подачи на регистрацию],"&gt;="&amp;DATE(YEAR($A$1),MONTH($A$1),1),РД[Состояние],"Продажа")</f>
        <v>441.34000000000003</v>
      </c>
      <c r="I152" s="203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регистрацию],"&gt;="&amp;DATE(YEAR($A$1),MONTH($A$1),1),РД[Состояние],"Продажа")</f>
        <v>38245687.850000009</v>
      </c>
      <c r="J152" s="226">
        <f>COUNTIFS(РД[МОП],A152,РД[Дата подачи на регистрацию],"&lt;="&amp;$A$1,РД[Дата подачи на регистрацию],"&gt;="&amp;DATE(YEAR($A$1),MONTH($A$1),1),РД[Состояние],"Продажа")</f>
        <v>8</v>
      </c>
      <c r="K152" s="224">
        <f t="shared" si="13"/>
        <v>0.72588815789473693</v>
      </c>
      <c r="L152" s="225">
        <f t="shared" si="13"/>
        <v>0.71504777999674307</v>
      </c>
      <c r="M152" s="325">
        <f t="shared" si="14"/>
        <v>0</v>
      </c>
      <c r="N152" s="326">
        <f t="shared" si="14"/>
        <v>2</v>
      </c>
      <c r="O152" s="326">
        <f t="shared" si="14"/>
        <v>6</v>
      </c>
      <c r="P152" s="326">
        <f t="shared" si="14"/>
        <v>0</v>
      </c>
      <c r="Q152" s="327">
        <f t="shared" si="14"/>
        <v>0</v>
      </c>
      <c r="U152" s="66"/>
    </row>
    <row r="153" spans="1:21" s="65" customFormat="1">
      <c r="A153" s="398" t="s">
        <v>77</v>
      </c>
      <c r="B153" s="271">
        <f>IFERROR(VLOOKUP(A153,'Индивидуальный план'!$Z$35:$AB$40,2,0),"")</f>
        <v>0</v>
      </c>
      <c r="C153" s="52">
        <f>IFERROR(VLOOKUP(A153,'Индивидуальный план'!$Z$35:$AB$40,3,0),"")</f>
        <v>0</v>
      </c>
      <c r="D153" s="327"/>
      <c r="E153" s="257">
        <f>SUMIFS(sept20[м2],sept20[МОП],$A153,sept20[Комнатность],"&lt;&gt;Офис")</f>
        <v>42.75</v>
      </c>
      <c r="F153" s="52">
        <f>SUMIFS(sept20[Сумма без отделки],sept20[МОП],$A153,sept20[Комнатность],"&lt;&gt;Офис")</f>
        <v>4977178.16</v>
      </c>
      <c r="G153" s="413">
        <f>COUNTIFS(sept20[МОП],$A153,sept20[Комнатность],"&lt;&gt;Офис")</f>
        <v>1</v>
      </c>
      <c r="H153" s="202">
        <f>SUMIFS(РД[S],РД[МОП],A153,РД[Дата подачи на регистрацию],"&lt;="&amp;$A$1,РД[Дата подачи на регистрацию],"&gt;="&amp;DATE(YEAR($A$1),MONTH($A$1),1),РД[Состояние],"Продажа")</f>
        <v>42.75</v>
      </c>
      <c r="I153" s="203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4036678.16</v>
      </c>
      <c r="J153" s="226">
        <f>COUNTIFS(РД[МОП],A153,РД[Дата подачи на регистрацию],"&lt;="&amp;$A$1,РД[Дата подачи на регистрацию],"&gt;="&amp;DATE(YEAR($A$1),MONTH($A$1),1),РД[Состояние],"Продажа")</f>
        <v>1</v>
      </c>
      <c r="K153" s="224" t="str">
        <f t="shared" si="13"/>
        <v/>
      </c>
      <c r="L153" s="225" t="str">
        <f t="shared" si="13"/>
        <v/>
      </c>
      <c r="M153" s="325">
        <f t="shared" si="14"/>
        <v>0</v>
      </c>
      <c r="N153" s="326">
        <f t="shared" si="14"/>
        <v>1</v>
      </c>
      <c r="O153" s="326">
        <f t="shared" si="14"/>
        <v>0</v>
      </c>
      <c r="P153" s="326">
        <f t="shared" si="14"/>
        <v>0</v>
      </c>
      <c r="Q153" s="327">
        <f t="shared" si="14"/>
        <v>0</v>
      </c>
      <c r="U153" s="66"/>
    </row>
    <row r="154" spans="1:21" s="65" customFormat="1">
      <c r="A154" s="398" t="s">
        <v>1233</v>
      </c>
      <c r="B154" s="271">
        <f>IFERROR(VLOOKUP(A154,'Индивидуальный план'!$Z$35:$AB$40,2,0),"")</f>
        <v>547</v>
      </c>
      <c r="C154" s="52">
        <f>IFERROR(VLOOKUP(A154,'Индивидуальный план'!$Z$35:$AB$40,3,0),"")</f>
        <v>48069373.778099999</v>
      </c>
      <c r="D154" s="327"/>
      <c r="E154" s="257">
        <f>SUMIFS(sept20[м2],sept20[МОП],$A154,sept20[Комнатность],"&lt;&gt;Офис")</f>
        <v>288.71999999999997</v>
      </c>
      <c r="F154" s="52">
        <f>SUMIFS(sept20[Сумма без отделки],sept20[МОП],$A154,sept20[Комнатность],"&lt;&gt;Офис")</f>
        <v>27642031.759999998</v>
      </c>
      <c r="G154" s="413">
        <f>COUNTIFS(sept20[МОП],$A154,sept20[Комнатность],"&lt;&gt;Офис")</f>
        <v>6</v>
      </c>
      <c r="H154" s="202">
        <f>SUMIFS(РД[S],РД[МОП],A154,РД[Дата подачи на регистрацию],"&lt;="&amp;$A$1,РД[Дата подачи на регистрацию],"&gt;="&amp;DATE(YEAR($A$1),MONTH($A$1),1),РД[Состояние],"Продажа")</f>
        <v>294.66000000000003</v>
      </c>
      <c r="I154" s="203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28211679.229999997</v>
      </c>
      <c r="J154" s="226">
        <f>COUNTIFS(РД[МОП],A154,РД[Дата подачи на регистрацию],"&lt;="&amp;$A$1,РД[Дата подачи на регистрацию],"&gt;="&amp;DATE(YEAR($A$1),MONTH($A$1),1),РД[Состояние],"Продажа")</f>
        <v>6</v>
      </c>
      <c r="K154" s="224">
        <f t="shared" si="13"/>
        <v>0.53868372943327247</v>
      </c>
      <c r="L154" s="225">
        <f t="shared" si="13"/>
        <v>0.58689508542865598</v>
      </c>
      <c r="M154" s="325">
        <f t="shared" ref="M154:Q155" si="15">M139+M123</f>
        <v>0</v>
      </c>
      <c r="N154" s="326">
        <f t="shared" si="15"/>
        <v>5</v>
      </c>
      <c r="O154" s="326">
        <f t="shared" si="15"/>
        <v>3</v>
      </c>
      <c r="P154" s="326">
        <f t="shared" si="15"/>
        <v>1</v>
      </c>
      <c r="Q154" s="327">
        <f t="shared" si="15"/>
        <v>0</v>
      </c>
      <c r="U154" s="66"/>
    </row>
    <row r="155" spans="1:21" s="65" customFormat="1">
      <c r="A155" s="153" t="s">
        <v>20</v>
      </c>
      <c r="B155" s="315">
        <f>IFERROR(VLOOKUP(A155,'Индивидуальный план'!$Z$35:$AB$40,2,0),"")</f>
        <v>608</v>
      </c>
      <c r="C155" s="363">
        <f>IFERROR(VLOOKUP(A155,'Индивидуальный план'!$Z$35:$AB$40,3,0),"")</f>
        <v>53486898.246399999</v>
      </c>
      <c r="D155" s="366"/>
      <c r="E155" s="257">
        <f>SUMIFS(sept20[м2],sept20[МОП],$A155,sept20[Комнатность],"&lt;&gt;Офис")</f>
        <v>399.07000000000005</v>
      </c>
      <c r="F155" s="52">
        <f>SUMIFS(sept20[Сумма без отделки],sept20[МОП],$A155,sept20[Комнатность],"&lt;&gt;Офис")</f>
        <v>36003836.880000003</v>
      </c>
      <c r="G155" s="413">
        <f>COUNTIFS(sept20[МОП],$A155,sept20[Комнатность],"&lt;&gt;Офис")</f>
        <v>8</v>
      </c>
      <c r="H155" s="202">
        <f>SUMIFS(РД[S],РД[МОП],A155,РД[Дата подачи на регистрацию],"&lt;="&amp;$A$1,РД[Дата подачи на регистрацию],"&gt;="&amp;DATE(YEAR($A$1),MONTH($A$1),1),РД[Состояние],"Продажа")</f>
        <v>480.04000000000008</v>
      </c>
      <c r="I155" s="203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регистрацию],"&gt;="&amp;DATE(YEAR($A$1),MONTH($A$1),1),РД[Состояние],"Продажа")</f>
        <v>42482696.340000004</v>
      </c>
      <c r="J155" s="226">
        <f>COUNTIFS(РД[МОП],A155,РД[Дата подачи на регистрацию],"&lt;="&amp;$A$1,РД[Дата подачи на регистрацию],"&gt;="&amp;DATE(YEAR($A$1),MONTH($A$1),1),РД[Состояние],"Продажа")</f>
        <v>9</v>
      </c>
      <c r="K155" s="224">
        <f t="shared" ref="K155" si="16">IFERROR(H155/B155,"")</f>
        <v>0.78953947368421062</v>
      </c>
      <c r="L155" s="225">
        <f t="shared" ref="L155" si="17">IFERROR(I155/C155,"")</f>
        <v>0.79426359973789196</v>
      </c>
      <c r="M155" s="325">
        <f t="shared" si="15"/>
        <v>0</v>
      </c>
      <c r="N155" s="326">
        <f t="shared" si="15"/>
        <v>1</v>
      </c>
      <c r="O155" s="326">
        <f t="shared" si="15"/>
        <v>0</v>
      </c>
      <c r="P155" s="326">
        <f t="shared" si="15"/>
        <v>1</v>
      </c>
      <c r="Q155" s="327">
        <f t="shared" si="15"/>
        <v>0</v>
      </c>
      <c r="U155" s="66"/>
    </row>
    <row r="156" spans="1:21" s="65" customFormat="1">
      <c r="A156" s="153" t="s">
        <v>14</v>
      </c>
      <c r="B156" s="315">
        <f>IFERROR(VLOOKUP(A156,'Индивидуальный план'!$Z$35:$AB$40,2,0),"")</f>
        <v>503</v>
      </c>
      <c r="C156" s="363">
        <f>IFERROR(VLOOKUP(A156,'Индивидуальный план'!$Z$35:$AB$40,3,0),"")</f>
        <v>44260567.319899999</v>
      </c>
      <c r="D156" s="366"/>
      <c r="E156" s="329">
        <f>SUMIFS(sept20[м2],sept20[МОП],$A156,sept20[Комнатность],"&lt;&gt;Офис")</f>
        <v>139.12</v>
      </c>
      <c r="F156" s="363">
        <f>SUMIFS(sept20[Сумма без отделки],sept20[МОП],$A156,sept20[Комнатность],"&lt;&gt;Офис")</f>
        <v>11637919.879999999</v>
      </c>
      <c r="G156" s="414">
        <f>COUNTIFS(sept20[МОП],$A156,sept20[Комнатность],"&lt;&gt;Офис")</f>
        <v>2</v>
      </c>
      <c r="H156" s="358">
        <f>SUMIFS(РД[S],РД[МОП],A156,РД[Дата подачи на регистрацию],"&lt;="&amp;$A$1,РД[Дата подачи на регистрацию],"&gt;="&amp;DATE(YEAR($A$1),MONTH($A$1),1),РД[Состояние],"Продажа")</f>
        <v>139.12</v>
      </c>
      <c r="I156" s="359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регистрацию],"&gt;="&amp;DATE(YEAR($A$1),MONTH($A$1),1),РД[Состояние],"Продажа")</f>
        <v>11637919.879999999</v>
      </c>
      <c r="J156" s="330">
        <f>COUNTIFS(РД[МОП],A156,РД[Дата подачи на регистрацию],"&lt;="&amp;$A$1,РД[Дата подачи на регистрацию],"&gt;="&amp;DATE(YEAR($A$1),MONTH($A$1),1),РД[Состояние],"Продажа")</f>
        <v>2</v>
      </c>
      <c r="K156" s="360">
        <f t="shared" si="13"/>
        <v>0.27658051689860835</v>
      </c>
      <c r="L156" s="361">
        <f t="shared" si="13"/>
        <v>0.26294104627907633</v>
      </c>
      <c r="M156" s="364">
        <f t="shared" ref="M156:Q158" si="18">M140+M124</f>
        <v>0</v>
      </c>
      <c r="N156" s="365">
        <f t="shared" si="18"/>
        <v>1</v>
      </c>
      <c r="O156" s="365">
        <f t="shared" si="18"/>
        <v>0</v>
      </c>
      <c r="P156" s="365">
        <f t="shared" si="18"/>
        <v>1</v>
      </c>
      <c r="Q156" s="366">
        <f t="shared" si="18"/>
        <v>0</v>
      </c>
      <c r="R156" s="86"/>
      <c r="S156" s="86"/>
      <c r="T156" s="86"/>
      <c r="U156" s="66"/>
    </row>
    <row r="157" spans="1:21" s="65" customFormat="1">
      <c r="A157" s="154" t="s">
        <v>29</v>
      </c>
      <c r="B157" s="274"/>
      <c r="C157" s="277"/>
      <c r="D157" s="690"/>
      <c r="E157" s="341">
        <f>SUMIFS(sept20[м2],sept20[МОП],$A157,sept20[Комнатность],"&lt;&gt;Офис")</f>
        <v>0</v>
      </c>
      <c r="F157" s="277">
        <f>SUMIFS(sept20[Сумма без отделки],sept20[МОП],$A157,sept20[Комнатность],"&lt;&gt;Офис")</f>
        <v>0</v>
      </c>
      <c r="G157" s="405">
        <f>COUNTIFS(sept20[МОП],$A157,sept20[Комнатность],"&lt;&gt;Офис")</f>
        <v>0</v>
      </c>
      <c r="H157" s="159">
        <f>SUMIFS(РД[S],РД[МОП],A157,РД[Дата подачи на регистрацию],"&lt;="&amp;$A$1,РД[Дата подачи на регистрацию],"&gt;="&amp;DATE(YEAR($A$1),MONTH($A$1),1),РД[Состояние],"Продажа")</f>
        <v>0</v>
      </c>
      <c r="I157" s="160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регистрацию],"&gt;="&amp;DATE(YEAR($A$1),MONTH($A$1),1),РД[Состояние],"Продажа")</f>
        <v>0</v>
      </c>
      <c r="J157" s="228">
        <f>COUNTIFS(РД[МОП],A157,РД[Дата подачи на регистрацию],"&lt;="&amp;$A$1,РД[Дата подачи на регистрацию],"&gt;="&amp;DATE(YEAR($A$1),MONTH($A$1),1),РД[Состояние],"Продажа")</f>
        <v>0</v>
      </c>
      <c r="K157" s="229" t="str">
        <f t="shared" si="13"/>
        <v/>
      </c>
      <c r="L157" s="230" t="str">
        <f t="shared" si="13"/>
        <v/>
      </c>
      <c r="M157" s="159">
        <f t="shared" si="18"/>
        <v>1</v>
      </c>
      <c r="N157" s="228">
        <f t="shared" si="18"/>
        <v>0</v>
      </c>
      <c r="O157" s="228">
        <f t="shared" si="18"/>
        <v>0</v>
      </c>
      <c r="P157" s="228">
        <f t="shared" si="18"/>
        <v>0</v>
      </c>
      <c r="Q157" s="231">
        <f t="shared" si="18"/>
        <v>0</v>
      </c>
      <c r="U157" s="66"/>
    </row>
    <row r="158" spans="1:21" s="65" customFormat="1">
      <c r="A158" s="161" t="s">
        <v>1207</v>
      </c>
      <c r="B158" s="278"/>
      <c r="C158" s="281"/>
      <c r="D158" s="511"/>
      <c r="E158" s="406">
        <f>SUMIFS(sept20[м2],sept20[МОП],$A158,sept20[Комнатность],"&lt;&gt;Офис")</f>
        <v>144.71</v>
      </c>
      <c r="F158" s="281">
        <f>SUMIFS(sept20[Сумма без отделки],sept20[МОП],$A158,sept20[Комнатность],"&lt;&gt;Офис")</f>
        <v>13313004.310000001</v>
      </c>
      <c r="G158" s="407">
        <f>COUNTIFS(sept20[МОП],$A158,sept20[Комнатность],"&lt;&gt;Офис")</f>
        <v>2</v>
      </c>
      <c r="H158" s="166">
        <f>SUMIFS(РД[S],РД[МОП],A158,РД[Дата подачи на регистрацию],"&lt;="&amp;$A$1,РД[Дата подачи на регистрацию],"&gt;="&amp;DATE(YEAR($A$1),MONTH($A$1),1),РД[Состояние],"Продажа")</f>
        <v>0</v>
      </c>
      <c r="I158" s="167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регистрацию],"&gt;="&amp;DATE(YEAR($A$1),MONTH($A$1),1),РД[Состояние],"Продажа")</f>
        <v>0</v>
      </c>
      <c r="J158" s="232">
        <f>COUNTIFS(РД[МОП],A158,РД[Дата подачи на регистрацию],"&lt;="&amp;$A$1,РД[Дата подачи на регистрацию],"&gt;="&amp;DATE(YEAR($A$1),MONTH($A$1),1),РД[Состояние],"Продажа")</f>
        <v>0</v>
      </c>
      <c r="K158" s="233" t="str">
        <f t="shared" si="13"/>
        <v/>
      </c>
      <c r="L158" s="234" t="str">
        <f t="shared" si="13"/>
        <v/>
      </c>
      <c r="M158" s="509">
        <f t="shared" si="18"/>
        <v>0</v>
      </c>
      <c r="N158" s="510">
        <f t="shared" si="18"/>
        <v>0</v>
      </c>
      <c r="O158" s="510">
        <f t="shared" si="18"/>
        <v>0</v>
      </c>
      <c r="P158" s="510">
        <f t="shared" si="18"/>
        <v>0</v>
      </c>
      <c r="Q158" s="511">
        <f t="shared" si="18"/>
        <v>0</v>
      </c>
      <c r="U158" s="66"/>
    </row>
    <row r="159" spans="1:21" s="65" customFormat="1">
      <c r="A159" s="168" t="s">
        <v>114</v>
      </c>
      <c r="B159" s="172">
        <f>SUM(B151:B158)</f>
        <v>2689</v>
      </c>
      <c r="C159" s="173">
        <f>SUM(C151:C158)</f>
        <v>236538244.93670002</v>
      </c>
      <c r="D159" s="709">
        <f>SUM(D151:D158)</f>
        <v>0</v>
      </c>
      <c r="E159" s="173">
        <f t="shared" ref="E159:H159" si="19">SUM(E151:E158)</f>
        <v>1623.3400000000001</v>
      </c>
      <c r="F159" s="492">
        <f t="shared" si="19"/>
        <v>141615532.31</v>
      </c>
      <c r="G159" s="493">
        <f t="shared" si="19"/>
        <v>30</v>
      </c>
      <c r="H159" s="172">
        <f t="shared" si="19"/>
        <v>1548.5300000000002</v>
      </c>
      <c r="I159" s="492">
        <f t="shared" ref="I159:J159" si="20">SUM(I151:I158)</f>
        <v>138300442.24000001</v>
      </c>
      <c r="J159" s="493">
        <f t="shared" si="20"/>
        <v>29</v>
      </c>
      <c r="K159" s="238">
        <f>IFERROR(H159/B159,)</f>
        <v>0.57587579025660107</v>
      </c>
      <c r="L159" s="501">
        <f>IFERROR(I159/C159,)</f>
        <v>0.5846853318667794</v>
      </c>
      <c r="M159" s="471">
        <f>SUM(M151:M158)</f>
        <v>1</v>
      </c>
      <c r="N159" s="471">
        <f>SUM(N151:N158)</f>
        <v>12</v>
      </c>
      <c r="O159" s="471">
        <f>SUM(O151:O158)</f>
        <v>10</v>
      </c>
      <c r="P159" s="471">
        <f>SUM(P151:P158)</f>
        <v>3</v>
      </c>
      <c r="Q159" s="471">
        <f>SUM(Q151:Q158)</f>
        <v>0</v>
      </c>
      <c r="U159" s="66"/>
    </row>
    <row r="160" spans="1:21" s="65" customFormat="1">
      <c r="A160" s="692" t="s">
        <v>115</v>
      </c>
      <c r="B160" s="706" t="s">
        <v>100</v>
      </c>
      <c r="C160" s="710" t="s">
        <v>97</v>
      </c>
      <c r="D160" s="708" t="s">
        <v>95</v>
      </c>
      <c r="E160" s="295" t="s">
        <v>494</v>
      </c>
      <c r="F160" s="138" t="s">
        <v>495</v>
      </c>
      <c r="G160" s="470" t="s">
        <v>496</v>
      </c>
      <c r="H160" s="140" t="s">
        <v>101</v>
      </c>
      <c r="I160" s="141" t="s">
        <v>98</v>
      </c>
      <c r="J160" s="141" t="s">
        <v>96</v>
      </c>
      <c r="K160" s="141" t="s">
        <v>715</v>
      </c>
      <c r="L160" s="216" t="s">
        <v>716</v>
      </c>
      <c r="M160" s="512">
        <v>0</v>
      </c>
      <c r="N160" s="218">
        <v>1</v>
      </c>
      <c r="O160" s="218">
        <v>2</v>
      </c>
      <c r="P160" s="218">
        <v>3</v>
      </c>
      <c r="Q160" s="219" t="s">
        <v>1367</v>
      </c>
      <c r="U160" s="66"/>
    </row>
    <row r="161" spans="1:21" s="65" customFormat="1">
      <c r="A161" s="142" t="s">
        <v>16</v>
      </c>
      <c r="B161" s="291">
        <f>IFERROR(VLOOKUP(A161,'Индивидуальный план'!$R$29:$T$40,2,0),"")</f>
        <v>2007</v>
      </c>
      <c r="C161" s="292">
        <f>IFERROR(VLOOKUP(A161,'Индивидуальный план'!$R$29:$T$40,3,0),"")</f>
        <v>173024167.7577</v>
      </c>
      <c r="D161" s="694"/>
      <c r="E161" s="145">
        <f>SUMIFS(sept20[м2],sept20[ИМ],A161,sept20[Комнатность],"&lt;&gt;Офис")</f>
        <v>1037.1599999999999</v>
      </c>
      <c r="F161" s="149">
        <f>SUMIFS(sept20[Сумма без отделки],sept20[ИМ],$A161,sept20[Комнатность],"&lt;&gt;Офис")</f>
        <v>93258483.960000023</v>
      </c>
      <c r="G161" s="147">
        <f>COUNTIFS(sept20[ИМ],A161,sept20[Комнатность],"&lt;&gt;Офис")</f>
        <v>19</v>
      </c>
      <c r="H161" s="183">
        <f>SUMIFS(РД[S],РД[ИМ],A161,РД[Дата подачи на регистрацию],"&lt;="&amp;$A$1,РД[Дата подачи на регистрацию],"&gt;="&amp;DATE(YEAR($A$1),MONTH($A$1),1),РД[Состояние],"Продажа")</f>
        <v>969.21</v>
      </c>
      <c r="I161" s="18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регистрацию],"&gt;="&amp;DATE(YEAR($A$1),MONTH($A$1),1),РД[Состояние],"Продажа")</f>
        <v>86537265.909999996</v>
      </c>
      <c r="J161" s="243">
        <f>COUNTIFS(РД[ИМ],A161,РД[Дата подачи на регистрацию],"&lt;="&amp;$A$1,РД[Дата подачи на регистрацию],"&gt;="&amp;DATE(YEAR($A$1),MONTH($A$1),1),РД[Состояние],"Продажа")</f>
        <v>18</v>
      </c>
      <c r="K161" s="244">
        <f t="shared" ref="K161:L163" si="21">IFERROR(H161/B161,"")</f>
        <v>0.48291479820627803</v>
      </c>
      <c r="L161" s="258">
        <f t="shared" si="21"/>
        <v>0.50014554054197369</v>
      </c>
      <c r="M161" s="346">
        <f t="shared" ref="M161:Q162" si="22">M145+M129</f>
        <v>0</v>
      </c>
      <c r="N161" s="243">
        <f t="shared" si="22"/>
        <v>9</v>
      </c>
      <c r="O161" s="243">
        <f t="shared" si="22"/>
        <v>7</v>
      </c>
      <c r="P161" s="243">
        <f t="shared" si="22"/>
        <v>2</v>
      </c>
      <c r="Q161" s="246">
        <f t="shared" si="22"/>
        <v>0</v>
      </c>
      <c r="R161" s="66"/>
      <c r="S161" s="66"/>
      <c r="T161" s="66"/>
      <c r="U161" s="66"/>
    </row>
    <row r="162" spans="1:21" s="65" customFormat="1">
      <c r="A162" s="153" t="s">
        <v>22</v>
      </c>
      <c r="B162" s="516">
        <f>IFERROR(VLOOKUP(A162,'Индивидуальный план'!$R$29:$T$40,2,0),"")</f>
        <v>1035</v>
      </c>
      <c r="C162" s="554">
        <f>IFERROR(VLOOKUP(A162,'Индивидуальный план'!$R$29:$T$40,3,0),"")</f>
        <v>89281685.108500004</v>
      </c>
      <c r="D162" s="695"/>
      <c r="E162" s="145">
        <f>SUMIFS(sept20[м2],sept20[ИМ],A162,sept20[Комнатность],"&lt;&gt;Офис")</f>
        <v>586.17999999999995</v>
      </c>
      <c r="F162" s="149">
        <f>SUMIFS(sept20[Сумма без отделки],sept20[ИМ],$A162,sept20[Комнатность],"&lt;&gt;Офис")</f>
        <v>48357048.350000009</v>
      </c>
      <c r="G162" s="147">
        <f>COUNTIFS(sept20[ИМ],$A162,sept20[Комнатность],"&lt;&gt;Офис")</f>
        <v>11</v>
      </c>
      <c r="H162" s="195">
        <f>SUMIFS(РД[S],РД[ИМ],A162,РД[Дата подачи на регистрацию],"&lt;="&amp;$A$1,РД[Дата подачи на регистрацию],"&gt;="&amp;DATE(YEAR($A$1),MONTH($A$1),1),РД[Состояние],"Продажа")</f>
        <v>579.32000000000016</v>
      </c>
      <c r="I162" s="196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регистрацию],"&gt;="&amp;DATE(YEAR($A$1),MONTH($A$1),1),РД[Состояние],"Продажа")</f>
        <v>51763176.330000013</v>
      </c>
      <c r="J162" s="251">
        <f>COUNTIFS(РД[ИМ],A162,РД[Дата подачи на регистрацию],"&lt;="&amp;$A$1,РД[Дата подачи на регистрацию],"&gt;="&amp;DATE(YEAR($A$1),MONTH($A$1),1),РД[Состояние],"Продажа")</f>
        <v>11</v>
      </c>
      <c r="K162" s="252">
        <f t="shared" si="21"/>
        <v>0.55972946859903394</v>
      </c>
      <c r="L162" s="260">
        <f t="shared" si="21"/>
        <v>0.57977373822071754</v>
      </c>
      <c r="M162" s="329">
        <f t="shared" si="22"/>
        <v>0</v>
      </c>
      <c r="N162" s="330">
        <f t="shared" si="22"/>
        <v>5</v>
      </c>
      <c r="O162" s="330">
        <f t="shared" si="22"/>
        <v>7</v>
      </c>
      <c r="P162" s="330">
        <f t="shared" si="22"/>
        <v>0</v>
      </c>
      <c r="Q162" s="331">
        <f t="shared" si="22"/>
        <v>0</v>
      </c>
      <c r="R162" s="66"/>
      <c r="S162" s="66"/>
      <c r="T162" s="66"/>
      <c r="U162" s="66"/>
    </row>
    <row r="163" spans="1:21" s="65" customFormat="1">
      <c r="A163" s="317" t="s">
        <v>114</v>
      </c>
      <c r="B163" s="172">
        <f>SUM(B161:B162)</f>
        <v>3042</v>
      </c>
      <c r="C163" s="173">
        <f>SUM(C161:C162)</f>
        <v>262305852.8662</v>
      </c>
      <c r="D163" s="711">
        <f>SUM(D161:D162)</f>
        <v>0</v>
      </c>
      <c r="E163" s="484">
        <f t="shared" ref="E163:Q163" si="23">SUM(E161:E162)</f>
        <v>1623.3399999999997</v>
      </c>
      <c r="F163" s="429">
        <f t="shared" si="23"/>
        <v>141615532.31000003</v>
      </c>
      <c r="G163" s="485">
        <f t="shared" si="23"/>
        <v>30</v>
      </c>
      <c r="H163" s="473">
        <f t="shared" si="23"/>
        <v>1548.5300000000002</v>
      </c>
      <c r="I163" s="494">
        <f t="shared" si="23"/>
        <v>138300442.24000001</v>
      </c>
      <c r="J163" s="494">
        <f t="shared" si="23"/>
        <v>29</v>
      </c>
      <c r="K163" s="419">
        <f t="shared" si="21"/>
        <v>0.50904996712689032</v>
      </c>
      <c r="L163" s="420">
        <f t="shared" si="21"/>
        <v>0.52724878506826878</v>
      </c>
      <c r="M163" s="473">
        <f t="shared" si="23"/>
        <v>0</v>
      </c>
      <c r="N163" s="494">
        <f t="shared" si="23"/>
        <v>14</v>
      </c>
      <c r="O163" s="494">
        <f t="shared" si="23"/>
        <v>14</v>
      </c>
      <c r="P163" s="494">
        <f t="shared" si="23"/>
        <v>2</v>
      </c>
      <c r="Q163" s="497">
        <f t="shared" si="23"/>
        <v>0</v>
      </c>
      <c r="R163" s="66"/>
      <c r="S163" s="66"/>
      <c r="T163" s="66"/>
      <c r="U163" s="66"/>
    </row>
    <row r="164" spans="1:21" s="65" customFormat="1">
      <c r="A164" s="134"/>
      <c r="B164" s="44"/>
      <c r="C164" s="44"/>
      <c r="D164" s="134"/>
      <c r="E164" s="134"/>
      <c r="F164" s="44"/>
      <c r="G164" s="134"/>
      <c r="H164" s="134"/>
      <c r="I164" s="134"/>
      <c r="J164" s="134"/>
      <c r="K164" s="255"/>
      <c r="L164" s="256"/>
      <c r="M164" s="134"/>
      <c r="N164" s="134"/>
      <c r="O164" s="134"/>
      <c r="P164" s="134"/>
      <c r="Q164" s="134"/>
      <c r="T164" s="66"/>
      <c r="U164" s="66"/>
    </row>
    <row r="165" spans="1:21" s="65" customFormat="1" ht="15">
      <c r="A165" s="2314" t="s">
        <v>1368</v>
      </c>
      <c r="B165" s="2315"/>
      <c r="C165" s="2315"/>
      <c r="D165" s="2315"/>
      <c r="E165" s="2315"/>
      <c r="F165" s="2315"/>
      <c r="G165" s="2315"/>
      <c r="H165" s="2315"/>
      <c r="I165" s="2315"/>
      <c r="J165" s="2315"/>
      <c r="K165" s="2315"/>
      <c r="L165" s="2315"/>
      <c r="M165" s="2315"/>
      <c r="N165" s="2315"/>
      <c r="O165" s="2316"/>
      <c r="P165" s="339"/>
      <c r="Q165" s="66"/>
      <c r="T165" s="66"/>
      <c r="U165" s="66"/>
    </row>
    <row r="166" spans="1:21" s="65" customFormat="1">
      <c r="A166" s="712" t="s">
        <v>1</v>
      </c>
      <c r="B166" s="713" t="s">
        <v>100</v>
      </c>
      <c r="C166" s="714" t="s">
        <v>97</v>
      </c>
      <c r="D166" s="715" t="s">
        <v>95</v>
      </c>
      <c r="E166" s="716" t="s">
        <v>494</v>
      </c>
      <c r="F166" s="265" t="s">
        <v>495</v>
      </c>
      <c r="G166" s="266" t="s">
        <v>496</v>
      </c>
      <c r="H166" s="140" t="s">
        <v>101</v>
      </c>
      <c r="I166" s="141" t="s">
        <v>98</v>
      </c>
      <c r="J166" s="141" t="s">
        <v>96</v>
      </c>
      <c r="K166" s="141" t="s">
        <v>715</v>
      </c>
      <c r="L166" s="216" t="s">
        <v>716</v>
      </c>
      <c r="M166" s="332" t="s">
        <v>121</v>
      </c>
      <c r="N166" s="218" t="s">
        <v>27</v>
      </c>
      <c r="O166" s="219" t="s">
        <v>7</v>
      </c>
      <c r="P166" s="545"/>
      <c r="Q166" s="66"/>
      <c r="T166" s="66"/>
      <c r="U166" s="66"/>
    </row>
    <row r="167" spans="1:21" s="65" customFormat="1">
      <c r="A167" s="142" t="s">
        <v>73</v>
      </c>
      <c r="B167" s="291"/>
      <c r="C167" s="292"/>
      <c r="D167" s="694"/>
      <c r="E167" s="416">
        <f>SUMIFS(sept20[м2],sept20[МОП],A167,sept20[Комнатность],"Офис")</f>
        <v>189.48000000000002</v>
      </c>
      <c r="F167" s="146">
        <f>SUMIFS(sept20[Сумма без отделки],sept20[МОП],$A167,sept20[Комнатность],"оФИС")</f>
        <v>22879711</v>
      </c>
      <c r="G167" s="417">
        <f>COUNTIFS(sept20[МОП],$A167,sept20[Комнатность],"Офис")</f>
        <v>2</v>
      </c>
      <c r="H167" s="291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189.95</v>
      </c>
      <c r="I167" s="292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22936463</v>
      </c>
      <c r="J167" s="243">
        <f>COUNTIFS(РД[МОП],A167,РД[Дата подачи на регистрацию],"&lt;="&amp;$A$1,РД[Дата подачи на регистрацию],"&gt;="&amp;DATE(YEAR($A$1),MONTH($A$1),1),РД[Состояние],"Коммерция")</f>
        <v>2</v>
      </c>
      <c r="K167" s="244" t="str">
        <f t="shared" ref="K167:L175" si="24">IFERROR(H167/B167,"")</f>
        <v/>
      </c>
      <c r="L167" s="245" t="str">
        <f t="shared" si="24"/>
        <v/>
      </c>
      <c r="M167" s="183">
        <f>COUNTIFS(РД[Дом],M$166,РД[МОП],$A167,РД[Дата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N167" s="346">
        <f>COUNTIFS(РД[Дом],N$166,РД[МОП],$A167,РД[Дата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O167" s="246">
        <f>COUNTIFS(РД[Дом],O$166,РД[МОП],$A167,РД[Дата подачи на регистрацию],"&lt;="&amp;$A$1,РД[Дата подачи на регистрацию],"&gt;="&amp;DATE(YEAR($A$1),MONTH($A$1),1),РД[Состояние],"Коммерция")</f>
        <v>2</v>
      </c>
      <c r="P167" s="545"/>
      <c r="Q167" s="66"/>
      <c r="T167" s="66"/>
      <c r="U167" s="66"/>
    </row>
    <row r="168" spans="1:21" s="65" customFormat="1">
      <c r="A168" s="142" t="s">
        <v>8</v>
      </c>
      <c r="B168" s="267"/>
      <c r="C168" s="146"/>
      <c r="D168" s="702"/>
      <c r="E168" s="416">
        <f>SUMIFS(sept20[м2],sept20[МОП],A168,sept20[Комнатность],"Офис")</f>
        <v>0</v>
      </c>
      <c r="F168" s="146">
        <f>SUMIFS(sept20[Сумма без отделки],sept20[МОП],$A168,sept20[Комнатность],"оФИС")</f>
        <v>0</v>
      </c>
      <c r="G168" s="417">
        <f>COUNTIFS(sept20[МОП],$A168,sept20[Комнатность],"Офис")</f>
        <v>0</v>
      </c>
      <c r="H168" s="267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I168" s="146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0">
        <f>COUNTIFS(РД[МОП],A168,РД[Дата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K168" s="221" t="str">
        <f t="shared" si="24"/>
        <v/>
      </c>
      <c r="L168" s="333" t="str">
        <f t="shared" si="24"/>
        <v/>
      </c>
      <c r="M168" s="148">
        <f>COUNTIFS(РД[Дом],M$166,РД[МОП],$A168,РД[Дата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0">
        <f>COUNTIFS(РД[Дом],N$166,РД[МОП],$A168,РД[Дата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223">
        <f>COUNTIFS(РД[Дом],O$166,РД[МОП],$A168,РД[Дата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P168" s="339"/>
      <c r="T168" s="66"/>
      <c r="U168" s="66"/>
    </row>
    <row r="169" spans="1:21" s="65" customFormat="1">
      <c r="A169" s="398" t="s">
        <v>77</v>
      </c>
      <c r="B169" s="271"/>
      <c r="C169" s="52"/>
      <c r="D169" s="717"/>
      <c r="E169" s="416">
        <f>SUMIFS(sept20[м2],sept20[МОП],A169,sept20[Комнатность],"Офис")</f>
        <v>0</v>
      </c>
      <c r="F169" s="52">
        <f>SUMIFS(sept20[Сумма без отделки],sept20[МОП],$A169,sept20[Комнатность],"оФИС")</f>
        <v>0</v>
      </c>
      <c r="G169" s="421">
        <f>COUNTIFS(sept20[МОП],$A169,sept20[Комнатность],"Офис")</f>
        <v>0</v>
      </c>
      <c r="H169" s="271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52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0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K169" s="52" t="str">
        <f t="shared" si="24"/>
        <v/>
      </c>
      <c r="L169" s="546" t="str">
        <f t="shared" si="24"/>
        <v/>
      </c>
      <c r="M169" s="202">
        <f>COUNTIFS(РД[Дом],M$166,РД[МОП],$A169,РД[Дата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6">
        <f>COUNTIFS(РД[Дом],N$166,РД[МОП],$A169,РД[Дата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7">
        <f>COUNTIFS(РД[Дом],O$166,РД[МОП],$A169,РД[Дата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T169" s="66"/>
      <c r="U169" s="66"/>
    </row>
    <row r="170" spans="1:21" s="65" customFormat="1">
      <c r="A170" s="398" t="s">
        <v>1233</v>
      </c>
      <c r="B170" s="271"/>
      <c r="C170" s="52"/>
      <c r="D170" s="717"/>
      <c r="E170" s="416">
        <f>SUMIFS(sept20[м2],sept20[МОП],A170,sept20[Комнатность],"Офис")</f>
        <v>425.22</v>
      </c>
      <c r="F170" s="52">
        <f>SUMIFS(sept20[Сумма без отделки],sept20[МОП],$A170,sept20[Комнатность],"оФИС")</f>
        <v>51233416</v>
      </c>
      <c r="G170" s="421">
        <f>COUNTIFS(sept20[МОП],$A170,sept20[Комнатность],"Офис")</f>
        <v>4</v>
      </c>
      <c r="H170" s="271">
        <f>SUMIFS(РД[S],РД[МОП],A170,РД[Дата подачи на регистрацию],"&lt;="&amp;$A$1,РД[Дата подачи на регистрацию],"&gt;="&amp;DATE(YEAR($A$1),MONTH($A$1),1),РД[Состояние],"Коммерция")</f>
        <v>425.22</v>
      </c>
      <c r="I170" s="52">
        <f>SUMIFS(РД[Стоимость без отделки итог],РД[МОП],A170,РД[Дата подачи на регистрацию],"&lt;="&amp;$A$1,РД[Дата подачи на регистрацию],"&gt;="&amp;DATE(YEAR($A$1),MONTH($A$1),1),РД[Состояние],"Коммерция")</f>
        <v>51233416</v>
      </c>
      <c r="J170" s="220">
        <f>COUNTIFS(РД[МОП],A170,РД[Дата подачи на регистрацию],"&lt;="&amp;$A$1,РД[Дата подачи на регистрацию],"&gt;="&amp;DATE(YEAR($A$1),MONTH($A$1),1),РД[Состояние],"Коммерция")</f>
        <v>4</v>
      </c>
      <c r="K170" s="224" t="str">
        <f t="shared" si="24"/>
        <v/>
      </c>
      <c r="L170" s="334" t="str">
        <f t="shared" si="24"/>
        <v/>
      </c>
      <c r="M170" s="202">
        <f>COUNTIFS(РД[Дом],M$166,РД[МОП],$A170,РД[Дата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N170" s="226">
        <f>COUNTIFS(РД[Дом],N$166,РД[МОП],$A170,РД[Дата подачи на регистрацию],"&lt;="&amp;$A$1,РД[Дата подачи на регистрацию],"&gt;="&amp;DATE(YEAR($A$1),MONTH($A$1),1),РД[Состояние],"Коммерция")</f>
        <v>1</v>
      </c>
      <c r="O170" s="227">
        <f>COUNTIFS(РД[Дом],O$166,РД[МОП],$A170,РД[Дата подачи на регистрацию],"&lt;="&amp;$A$1,РД[Дата подачи на регистрацию],"&gt;="&amp;DATE(YEAR($A$1),MONTH($A$1),1),РД[Состояние],"Коммерция")</f>
        <v>3</v>
      </c>
      <c r="P170" s="339"/>
      <c r="T170" s="66"/>
      <c r="U170" s="66"/>
    </row>
    <row r="171" spans="1:21" s="65" customFormat="1">
      <c r="A171" s="153" t="s">
        <v>20</v>
      </c>
      <c r="B171" s="271"/>
      <c r="C171" s="52"/>
      <c r="D171" s="717"/>
      <c r="E171" s="416">
        <f>SUMIFS(sept20[м2],sept20[МОП],A171,sept20[Комнатность],"Офис")</f>
        <v>0</v>
      </c>
      <c r="F171" s="52">
        <f>SUMIFS(sept20[Сумма без отделки],sept20[МОП],$A171,sept20[Комнатность],"оФИС")</f>
        <v>0</v>
      </c>
      <c r="G171" s="421">
        <f>COUNTIFS(sept20[МОП],$A171,sept20[Комнатность],"Офис")</f>
        <v>0</v>
      </c>
      <c r="H171" s="271">
        <f>SUMIFS(РД[S],РД[МОП],A171,РД[Дата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I171" s="52">
        <f>SUMIFS(РД[Стоимость без отделки итог],РД[МОП],A171,РД[Дата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J171" s="220">
        <f>COUNTIFS(РД[МОП],A171,РД[Дата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K171" s="224" t="str">
        <f t="shared" ref="K171" si="25">IFERROR(H171/B171,"")</f>
        <v/>
      </c>
      <c r="L171" s="334" t="str">
        <f t="shared" ref="L171" si="26">IFERROR(I171/C171,"")</f>
        <v/>
      </c>
      <c r="M171" s="202">
        <f>COUNTIFS(РД[Дом],M$166,РД[МОП],$A171,РД[Дата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N171" s="226">
        <f>COUNTIFS(РД[Дом],N$166,РД[МОП],$A171,РД[Дата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O171" s="227">
        <f>COUNTIFS(РД[Дом],O$166,РД[МОП],$A171,РД[Дата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P171" s="339"/>
      <c r="T171" s="66"/>
      <c r="U171" s="66"/>
    </row>
    <row r="172" spans="1:21" s="65" customFormat="1">
      <c r="A172" s="153" t="s">
        <v>14</v>
      </c>
      <c r="B172" s="315"/>
      <c r="C172" s="363"/>
      <c r="D172" s="703"/>
      <c r="E172" s="422">
        <f>SUMIFS(sept20[м2],sept20[МОП],A172,sept20[Комнатность],"Офис")</f>
        <v>0</v>
      </c>
      <c r="F172" s="363">
        <f>SUMIFS(sept20[Сумма без отделки],sept20[МОП],$A172,sept20[Комнатность],"оФИС")</f>
        <v>0</v>
      </c>
      <c r="G172" s="414">
        <f>COUNTIFS(sept20[МОП],$A172,sept20[Комнатность],"Офис")</f>
        <v>0</v>
      </c>
      <c r="H172" s="315">
        <f>SUMIFS(РД[S],РД[МОП],A172,РД[Дата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I172" s="363">
        <f>SUMIFS(РД[Стоимость без отделки итог],РД[МОП],A172,РД[Дата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J172" s="247">
        <f>COUNTIFS(РД[МОП],A172,РД[Дата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K172" s="360" t="str">
        <f t="shared" si="24"/>
        <v/>
      </c>
      <c r="L172" s="367" t="str">
        <f t="shared" si="24"/>
        <v/>
      </c>
      <c r="M172" s="358">
        <f>COUNTIFS(РД[Дом],M$166,РД[МОП],$A172,РД[Дата подачи на регистрацию],"&lt;="&amp;$A$1,РД[Дата подачи на регистрацию],"&gt;="&amp;DATE(YEAR($A$1),MONTH($A$1),1),РД[Состояние],"Коммерция")</f>
        <v>0</v>
      </c>
      <c r="N172" s="330">
        <f>COUNTIFS(РД[Дом],N$166,РД[МОП],$A172,РД[Дата подачи на регистрацию],"&lt;="&amp;$A$1,РД[Дата подачи на регистрацию],"&gt;="&amp;DATE(YEAR($A$1),MONTH($A$1),1),РД[Состояние],"Коммерция")</f>
        <v>0</v>
      </c>
      <c r="O172" s="331">
        <f>COUNTIFS(РД[Дом],O$166,РД[МОП],$A172,РД[Дата подачи на регистрацию],"&lt;="&amp;$A$1,РД[Дата подачи на регистрацию],"&gt;="&amp;DATE(YEAR($A$1),MONTH($A$1),1),РД[Состояние],"Коммерция")</f>
        <v>0</v>
      </c>
      <c r="P172" s="339"/>
      <c r="T172" s="66"/>
      <c r="U172" s="66"/>
    </row>
    <row r="173" spans="1:21" s="65" customFormat="1">
      <c r="A173" s="154" t="s">
        <v>29</v>
      </c>
      <c r="B173" s="274"/>
      <c r="C173" s="277"/>
      <c r="D173" s="718"/>
      <c r="E173" s="423">
        <f>SUMIFS(sept20[м2],sept20[МОП],A173,sept20[Комнатность],"Офис")</f>
        <v>0</v>
      </c>
      <c r="F173" s="277">
        <f>SUMIFS(sept20[Сумма без отделки],sept20[МОП],$A173,sept20[Комнатность],"оФИС")</f>
        <v>0</v>
      </c>
      <c r="G173" s="405">
        <f>COUNTIFS(sept20[МОП],$A173,sept20[Комнатность],"Офис")</f>
        <v>0</v>
      </c>
      <c r="H173" s="274">
        <f>SUMIFS(РД[S],РД[МОП],A173,РД[Дата подачи на регистрацию],"&lt;="&amp;$A$1,РД[Дата подачи на регистрацию],"&gt;="&amp;DATE(YEAR($A$1),MONTH($A$1),1),РД[Состояние],"Коммерция")</f>
        <v>0</v>
      </c>
      <c r="I173" s="277">
        <f>SUMIFS(РД[Стоимость без отделки итог],РД[МОП],A173,РД[Дата подачи на регистрацию],"&lt;="&amp;$A$1,РД[Дата подачи на регистрацию],"&gt;="&amp;DATE(YEAR($A$1),MONTH($A$1),1),РД[Состояние],"Коммерция")</f>
        <v>0</v>
      </c>
      <c r="J173" s="228">
        <f>COUNTIFS(РД[МОП],A173,РД[Дата подачи на регистрацию],"&lt;="&amp;$A$1,РД[Дата подачи на регистрацию],"&gt;="&amp;DATE(YEAR($A$1),MONTH($A$1),1),РД[Состояние],"Коммерция")</f>
        <v>0</v>
      </c>
      <c r="K173" s="229" t="str">
        <f t="shared" si="24"/>
        <v/>
      </c>
      <c r="L173" s="335" t="str">
        <f t="shared" si="24"/>
        <v/>
      </c>
      <c r="M173" s="159">
        <f>COUNTIFS(РД[Дом],M$166,РД[МОП],$A173,РД[Дата подачи на регистрацию],"&lt;="&amp;$A$1,РД[Дата подачи на регистрацию],"&gt;="&amp;DATE(YEAR($A$1),MONTH($A$1),1),РД[Состояние],"Коммерция")</f>
        <v>0</v>
      </c>
      <c r="N173" s="228">
        <f>COUNTIFS(РД[Дом],N$166,РД[МОП],$A173,РД[Дата подачи на регистрацию],"&lt;="&amp;$A$1,РД[Дата подачи на регистрацию],"&gt;="&amp;DATE(YEAR($A$1),MONTH($A$1),1),РД[Состояние],"Коммерция")</f>
        <v>0</v>
      </c>
      <c r="O173" s="231">
        <f>COUNTIFS(РД[Дом],O$166,РД[МОП],$A173,РД[Дата подачи на регистрацию],"&lt;="&amp;$A$1,РД[Дата подачи на регистрацию],"&gt;="&amp;DATE(YEAR($A$1),MONTH($A$1),1),РД[Состояние],"Коммерция")</f>
        <v>0</v>
      </c>
      <c r="P173" s="339"/>
      <c r="T173" s="66"/>
      <c r="U173" s="66"/>
    </row>
    <row r="174" spans="1:21" s="65" customFormat="1">
      <c r="A174" s="161" t="s">
        <v>1207</v>
      </c>
      <c r="B174" s="278"/>
      <c r="C174" s="281"/>
      <c r="D174" s="719"/>
      <c r="E174" s="424">
        <f>SUMIFS(sept20[м2],sept20[МОП],A174,sept20[Комнатность],"Офис")</f>
        <v>0</v>
      </c>
      <c r="F174" s="281">
        <f>SUMIFS(sept20[Сумма без отделки],sept20[МОП],$A174,sept20[Комнатность],"оФИС")</f>
        <v>0</v>
      </c>
      <c r="G174" s="407">
        <f>COUNTIFS(sept20[МОП],$A174,sept20[Комнатность],"Офис")</f>
        <v>0</v>
      </c>
      <c r="H174" s="278">
        <f>SUMIFS(РД[S],РД[МОП],A174,РД[Дата подачи на регистрацию],"&lt;="&amp;$A$1,РД[Дата подачи на регистрацию],"&gt;="&amp;DATE(YEAR($A$1),MONTH($A$1),1),РД[Состояние],"Коммерция")</f>
        <v>0</v>
      </c>
      <c r="I174" s="281">
        <f>SUMIFS(РД[Стоимость без отделки итог],РД[МОП],A174,РД[Дата подачи на регистрацию],"&lt;="&amp;$A$1,РД[Дата подачи на регистрацию],"&gt;="&amp;DATE(YEAR($A$1),MONTH($A$1),1),РД[Состояние],"Коммерция")</f>
        <v>0</v>
      </c>
      <c r="J174" s="232">
        <f>COUNTIFS(РД[МОП],A174,РД[Дата подачи на регистрацию],"&lt;="&amp;$A$1,РД[Дата подачи на регистрацию],"&gt;="&amp;DATE(YEAR($A$1),MONTH($A$1),1),РД[Состояние],"Коммерция")</f>
        <v>0</v>
      </c>
      <c r="K174" s="233" t="str">
        <f t="shared" si="24"/>
        <v/>
      </c>
      <c r="L174" s="336" t="str">
        <f t="shared" si="24"/>
        <v/>
      </c>
      <c r="M174" s="166">
        <f>COUNTIFS(РД[Дом],M$166,РД[МОП],$A174,РД[Дата подачи на регистрацию],"&lt;="&amp;$A$1,РД[Дата подачи на регистрацию],"&gt;="&amp;DATE(YEAR($A$1),MONTH($A$1),1),РД[Состояние],"Коммерция")</f>
        <v>0</v>
      </c>
      <c r="N174" s="232">
        <f>COUNTIFS(РД[Дом],N$166,РД[МОП],$A174,РД[Дата подачи на регистрацию],"&lt;="&amp;$A$1,РД[Дата подачи на регистрацию],"&gt;="&amp;DATE(YEAR($A$1),MONTH($A$1),1),РД[Состояние],"Коммерция")</f>
        <v>0</v>
      </c>
      <c r="O174" s="337">
        <f>COUNTIFS(РД[Дом],O$166,РД[МОП],$A174,РД[Дата подачи на регистрацию],"&lt;="&amp;$A$1,РД[Дата подачи на регистрацию],"&gt;="&amp;DATE(YEAR($A$1),MONTH($A$1),1),РД[Состояние],"Коммерция")</f>
        <v>0</v>
      </c>
      <c r="P174" s="339"/>
      <c r="T174" s="66"/>
      <c r="U174" s="66"/>
    </row>
    <row r="175" spans="1:21" s="65" customFormat="1">
      <c r="A175" s="513" t="s">
        <v>114</v>
      </c>
      <c r="B175" s="282">
        <f t="shared" ref="B175:H175" si="27">SUM(B167:B174)</f>
        <v>0</v>
      </c>
      <c r="C175" s="287">
        <f t="shared" si="27"/>
        <v>0</v>
      </c>
      <c r="D175" s="305">
        <f t="shared" si="27"/>
        <v>0</v>
      </c>
      <c r="E175" s="425">
        <f t="shared" si="27"/>
        <v>614.70000000000005</v>
      </c>
      <c r="F175" s="287">
        <f t="shared" si="27"/>
        <v>74113127</v>
      </c>
      <c r="G175" s="286">
        <f t="shared" si="27"/>
        <v>6</v>
      </c>
      <c r="H175" s="282">
        <f t="shared" si="27"/>
        <v>615.17000000000007</v>
      </c>
      <c r="I175" s="287">
        <f t="shared" ref="I175:J175" si="28">SUM(I167:I174)</f>
        <v>74169879</v>
      </c>
      <c r="J175" s="287">
        <f t="shared" si="28"/>
        <v>6</v>
      </c>
      <c r="K175" s="238" t="str">
        <f t="shared" si="24"/>
        <v/>
      </c>
      <c r="L175" s="338" t="str">
        <f t="shared" si="24"/>
        <v/>
      </c>
      <c r="M175" s="282">
        <f>SUM(M167:M174)</f>
        <v>0</v>
      </c>
      <c r="N175" s="287">
        <f t="shared" ref="N175" si="29">SUM(N167:N174)</f>
        <v>1</v>
      </c>
      <c r="O175" s="287">
        <f t="shared" ref="O175" si="30">SUM(O167:O174)</f>
        <v>5</v>
      </c>
      <c r="P175" s="339"/>
      <c r="T175" s="66"/>
      <c r="U175" s="66"/>
    </row>
    <row r="176" spans="1:21" s="65" customFormat="1">
      <c r="A176" s="685" t="s">
        <v>115</v>
      </c>
      <c r="B176" s="713" t="s">
        <v>100</v>
      </c>
      <c r="C176" s="714" t="s">
        <v>97</v>
      </c>
      <c r="D176" s="715" t="s">
        <v>95</v>
      </c>
      <c r="E176" s="716" t="s">
        <v>494</v>
      </c>
      <c r="F176" s="265" t="s">
        <v>495</v>
      </c>
      <c r="G176" s="266" t="s">
        <v>496</v>
      </c>
      <c r="H176" s="140" t="s">
        <v>101</v>
      </c>
      <c r="I176" s="141" t="s">
        <v>98</v>
      </c>
      <c r="J176" s="141" t="s">
        <v>96</v>
      </c>
      <c r="K176" s="141" t="s">
        <v>715</v>
      </c>
      <c r="L176" s="526" t="s">
        <v>716</v>
      </c>
      <c r="M176" s="332" t="s">
        <v>121</v>
      </c>
      <c r="N176" s="218" t="s">
        <v>27</v>
      </c>
      <c r="O176" s="219" t="s">
        <v>7</v>
      </c>
      <c r="P176" s="339"/>
      <c r="U176" s="66"/>
    </row>
    <row r="177" spans="1:21" s="65" customFormat="1">
      <c r="A177" s="177" t="s">
        <v>16</v>
      </c>
      <c r="B177" s="291"/>
      <c r="C177" s="292"/>
      <c r="D177" s="720"/>
      <c r="E177" s="267">
        <f>SUMIFS(sept20[м2],sept20[ИМ],A177,sept20[Комнатность],"Офис")</f>
        <v>0</v>
      </c>
      <c r="F177" s="146">
        <f>SUMIFS(sept20[Сумма без отделки],sept20[ИМ],$A177,sept20[Комнатность],"оФИС")</f>
        <v>0</v>
      </c>
      <c r="G177" s="417">
        <f>COUNTIFS(sept20[ИМ],$A177,sept20[Комнатность],"Офис")</f>
        <v>0</v>
      </c>
      <c r="H177" s="267">
        <f>SUMIFS(РД[S],РД[ИМ],A177,РД[Дата подачи на регистрацию],"&lt;="&amp;$A$1,РД[Дата подачи на регистрацию],"&gt;="&amp;DATE(YEAR($A$1),MONTH($A$1),1),РД[Состояние],"Коммерция")</f>
        <v>0</v>
      </c>
      <c r="I177" s="146">
        <f>SUMIFS(РД[Стоимость без отделки итог],РД[ИМ],A177,РД[Дата подачи на регистрацию],"&lt;="&amp;$A$1,РД[Дата подачи на регистрацию],"&gt;="&amp;DATE(YEAR($A$1),MONTH($A$1),1),РД[Состояние],"Коммерция")</f>
        <v>0</v>
      </c>
      <c r="J177" s="220">
        <f>COUNTIFS(РД[ИМ],A177,РД[Дата подачи на регистрацию],"&lt;="&amp;$A$1,РД[Дата подачи на регистрацию],"&gt;="&amp;DATE(YEAR($A$1),MONTH($A$1),1),РД[Состояние],"Коммерция")</f>
        <v>0</v>
      </c>
      <c r="K177" s="224" t="str">
        <f t="shared" ref="K177:L179" si="31">IFERROR(H177/B177,"")</f>
        <v/>
      </c>
      <c r="L177" s="334" t="str">
        <f t="shared" si="31"/>
        <v/>
      </c>
      <c r="M177" s="148">
        <f>COUNTIFS(РД[Дом],M$166,РД[ИМ],$A177,РД[Дата подачи на регистрацию],"&lt;="&amp;$A$1,РД[Дата подачи на регистрацию],"&gt;="&amp;DATE(YEAR($A$1),MONTH($A$1),1),РД[Состояние],"Коммерция")</f>
        <v>0</v>
      </c>
      <c r="N177" s="220">
        <f>COUNTIFS(РД[Дом],N$166,РД[ИМ],$A177,РД[Дата подачи на регистрацию],"&lt;="&amp;$A$1,РД[Дата подачи на регистрацию],"&gt;="&amp;DATE(YEAR($A$1),MONTH($A$1),1),РД[Состояние],"Коммерция")</f>
        <v>0</v>
      </c>
      <c r="O177" s="223">
        <f>COUNTIFS(РД[Дом],O$166,РД[ИМ],$A177,РД[Дата подачи на регистрацию],"&lt;="&amp;$A$1,РД[Дата подачи на регистрацию],"&gt;="&amp;DATE(YEAR($A$1),MONTH($A$1),1),РД[Состояние],"Коммерция")</f>
        <v>0</v>
      </c>
      <c r="P177" s="339"/>
      <c r="U177" s="66"/>
    </row>
    <row r="178" spans="1:21" s="65" customFormat="1">
      <c r="A178" s="189" t="s">
        <v>22</v>
      </c>
      <c r="B178" s="516"/>
      <c r="C178" s="554"/>
      <c r="D178" s="721"/>
      <c r="E178" s="315">
        <f>SUMIFS(sept20[м2],sept20[ИМ],A178,sept20[Комнатность],"Офис")</f>
        <v>0</v>
      </c>
      <c r="F178" s="363">
        <f>SUMIFS(sept20[Сумма без отделки],sept20[ИМ],$A178,sept20[Комнатность],"оФИС")</f>
        <v>0</v>
      </c>
      <c r="G178" s="518">
        <f>COUNTIFS(sept20[ИМ],$A178,sept20[Комнатность],"Офис")</f>
        <v>0</v>
      </c>
      <c r="H178" s="315">
        <f>SUMIFS(РД[S],РД[ИМ],A178,РД[Дата подачи на регистрацию],"&lt;="&amp;$A$1,РД[Дата подачи на регистрацию],"&gt;="&amp;DATE(YEAR($A$1),MONTH($A$1),1),РД[Состояние],"Коммерция")</f>
        <v>0</v>
      </c>
      <c r="I178" s="363">
        <f>SUMIFS(РД[Стоимость без отделки итог],РД[ИМ],A178,РД[Дата подачи на регистрацию],"&lt;="&amp;$A$1,РД[Дата подачи на регистрацию],"&gt;="&amp;DATE(YEAR($A$1),MONTH($A$1),1),РД[Состояние],"Коммерция")</f>
        <v>0</v>
      </c>
      <c r="J178" s="220">
        <f>COUNTIFS(РД[ИМ],A178,РД[Дата подачи на регистрацию],"&lt;="&amp;$A$1,РД[Дата подачи на регистрацию],"&gt;="&amp;DATE(YEAR($A$1),MONTH($A$1),1),РД[Состояние],"Коммерция")</f>
        <v>0</v>
      </c>
      <c r="K178" s="252" t="str">
        <f t="shared" si="31"/>
        <v/>
      </c>
      <c r="L178" s="253" t="str">
        <f t="shared" si="31"/>
        <v/>
      </c>
      <c r="M178" s="202">
        <f>COUNTIFS(РД[Дом],M$166,РД[ИМ],$A178,РД[Дата подачи на регистрацию],"&lt;="&amp;$A$1,РД[Дата подачи на регистрацию],"&gt;="&amp;DATE(YEAR($A$1),MONTH($A$1),1),РД[Состояние],"Коммерция")</f>
        <v>0</v>
      </c>
      <c r="N178" s="226">
        <f>COUNTIFS(РД[Дом],N$166,РД[ИМ],$A178,РД[Дата подачи на регистрацию],"&lt;="&amp;$A$1,РД[Дата подачи на регистрацию],"&gt;="&amp;DATE(YEAR($A$1),MONTH($A$1),1),РД[Состояние],"Коммерция")</f>
        <v>0</v>
      </c>
      <c r="O178" s="227">
        <f>COUNTIFS(РД[Дом],O$166,РД[ИМ],$A178,РД[Дата подачи на регистрацию],"&lt;="&amp;$A$1,РД[Дата подачи на регистрацию],"&gt;="&amp;DATE(YEAR($A$1),MONTH($A$1),1),РД[Состояние],"Коммерция")</f>
        <v>0</v>
      </c>
      <c r="P178" s="339"/>
      <c r="U178" s="66"/>
    </row>
    <row r="179" spans="1:21" s="65" customFormat="1">
      <c r="A179" s="513" t="s">
        <v>114</v>
      </c>
      <c r="B179" s="282">
        <f>SUM(B177:B178)</f>
        <v>0</v>
      </c>
      <c r="C179" s="287">
        <f>SUM(C177:C178)</f>
        <v>0</v>
      </c>
      <c r="D179" s="472">
        <f>SUM(D177:D178)</f>
        <v>0</v>
      </c>
      <c r="E179" s="323">
        <f t="shared" ref="E179:J179" si="32">SUM(E177:E178)</f>
        <v>0</v>
      </c>
      <c r="F179" s="429">
        <f t="shared" si="32"/>
        <v>0</v>
      </c>
      <c r="G179" s="322">
        <f t="shared" si="32"/>
        <v>0</v>
      </c>
      <c r="H179" s="323">
        <f t="shared" si="32"/>
        <v>0</v>
      </c>
      <c r="I179" s="429">
        <f t="shared" si="32"/>
        <v>0</v>
      </c>
      <c r="J179" s="429">
        <f t="shared" si="32"/>
        <v>0</v>
      </c>
      <c r="K179" s="419" t="str">
        <f t="shared" si="31"/>
        <v/>
      </c>
      <c r="L179" s="527" t="str">
        <f t="shared" si="31"/>
        <v/>
      </c>
      <c r="M179" s="318">
        <f>SUM(M177:M178)</f>
        <v>0</v>
      </c>
      <c r="N179" s="321">
        <f>SUM(N177:N178)</f>
        <v>0</v>
      </c>
      <c r="O179" s="319">
        <f>SUM(O177:O178)</f>
        <v>0</v>
      </c>
      <c r="P179" s="339"/>
      <c r="U179" s="66"/>
    </row>
    <row r="180" spans="1:21" s="65" customFormat="1">
      <c r="A180" s="134"/>
      <c r="B180" s="44"/>
      <c r="C180" s="44"/>
      <c r="D180" s="134"/>
      <c r="E180" s="134"/>
      <c r="F180" s="44"/>
      <c r="G180" s="134"/>
      <c r="H180" s="134"/>
      <c r="I180" s="134"/>
      <c r="J180" s="134"/>
      <c r="K180" s="255"/>
      <c r="L180" s="256"/>
      <c r="M180" s="134"/>
      <c r="N180" s="134"/>
      <c r="O180" s="134"/>
      <c r="P180" s="134"/>
      <c r="Q180" s="72"/>
      <c r="U180" s="66"/>
    </row>
    <row r="181" spans="1:21" s="65" customFormat="1" ht="15">
      <c r="A181" s="2321" t="s">
        <v>945</v>
      </c>
      <c r="B181" s="2322"/>
      <c r="C181" s="2322"/>
      <c r="D181" s="2322"/>
      <c r="E181" s="2322"/>
      <c r="F181" s="2322"/>
      <c r="G181" s="2322"/>
      <c r="H181" s="2323"/>
      <c r="I181" s="2323"/>
      <c r="J181" s="2323"/>
      <c r="K181" s="2323"/>
      <c r="L181" s="2323"/>
      <c r="M181" s="2323"/>
      <c r="N181" s="2324"/>
      <c r="O181" s="339"/>
      <c r="P181" s="339"/>
      <c r="Q181" s="86"/>
      <c r="U181" s="66"/>
    </row>
    <row r="182" spans="1:21" s="65" customFormat="1" ht="15">
      <c r="A182" s="519"/>
      <c r="B182" s="520"/>
      <c r="C182" s="520"/>
      <c r="D182" s="520"/>
      <c r="E182" s="520"/>
      <c r="F182" s="520"/>
      <c r="G182" s="520"/>
      <c r="H182" s="722"/>
      <c r="I182" s="722"/>
      <c r="J182" s="722"/>
      <c r="K182" s="722"/>
      <c r="L182" s="722"/>
      <c r="M182" s="722"/>
      <c r="N182" s="727"/>
      <c r="O182" s="339"/>
      <c r="P182" s="339"/>
      <c r="Q182" s="86"/>
      <c r="U182" s="66"/>
    </row>
    <row r="183" spans="1:21" s="65" customFormat="1">
      <c r="A183" s="685" t="s">
        <v>1</v>
      </c>
      <c r="B183" s="723" t="s">
        <v>101</v>
      </c>
      <c r="C183" s="724" t="s">
        <v>98</v>
      </c>
      <c r="D183" s="688" t="s">
        <v>96</v>
      </c>
      <c r="E183" s="137" t="s">
        <v>494</v>
      </c>
      <c r="F183" s="138" t="s">
        <v>495</v>
      </c>
      <c r="G183" s="296" t="s">
        <v>496</v>
      </c>
      <c r="H183" s="140" t="s">
        <v>946</v>
      </c>
      <c r="I183" s="141" t="s">
        <v>947</v>
      </c>
      <c r="J183" s="217">
        <v>0</v>
      </c>
      <c r="K183" s="218">
        <v>1</v>
      </c>
      <c r="L183" s="340">
        <v>2</v>
      </c>
      <c r="M183" s="218">
        <v>3</v>
      </c>
      <c r="N183" s="219" t="s">
        <v>1367</v>
      </c>
      <c r="O183" s="339"/>
      <c r="P183" s="339"/>
      <c r="Q183" s="86"/>
      <c r="U183" s="66"/>
    </row>
    <row r="184" spans="1:21" s="65" customFormat="1">
      <c r="A184" s="142" t="s">
        <v>73</v>
      </c>
      <c r="B184" s="291">
        <f>SUMIFS(РД[S],РД[МОП],A184,РД[Дата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4" s="292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4" s="694">
        <f>COUNTIFS(РД[МОП],A184,РД[Дата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4" s="329">
        <f>SUMIFS(sept20[м2],sept20[МОП],$A184,sept20[№ дома],#REF!)</f>
        <v>0</v>
      </c>
      <c r="F184" s="363">
        <f>SUMIFS(sept20[Сумма без отделки],sept20[МОП],$A184,sept20[№ дома],#REF!)</f>
        <v>0</v>
      </c>
      <c r="G184" s="414">
        <f>COUNTIFS(sept20[МОП],$A184,sept20[№ дома],#REF!)</f>
        <v>0</v>
      </c>
      <c r="H184" s="291">
        <f>SUMIFS(РД[S],РД[МОП],A184,РД[Дата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4" s="879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4" s="183">
        <f>COUNTIFS(РД[Тип кв],J$183,РД[МОП],$A184,РД[Дата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4" s="243">
        <f>COUNTIFS(РД[Тип кв],K$183,РД[МОП],$A184,РД[Дата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4" s="243">
        <f>COUNTIFS(РД[Тип кв],L$183,РД[МОП],$A184,РД[Дата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4" s="243">
        <f>COUNTIFS(РД[Тип кв],M$183,РД[МОП],$A184,РД[Дата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246">
        <f>COUNTIFS(РД[Тип кв],T$179,РД[МОП],$A184,РД[Дата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142" t="s">
        <v>8</v>
      </c>
      <c r="B185" s="267">
        <f>SUMIFS(РД[S],РД[МОП],A185,РД[Дата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5" s="146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5" s="702">
        <f>COUNTIFS(РД[МОП],A185,РД[Дата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5" s="329">
        <f>SUMIFS(sept20[м2],sept20[МОП],$A185,sept20[№ дома],#REF!)</f>
        <v>0</v>
      </c>
      <c r="F185" s="363">
        <f>SUMIFS(sept20[Сумма без отделки],sept20[МОП],$A185,sept20[№ дома],#REF!)</f>
        <v>0</v>
      </c>
      <c r="G185" s="414">
        <f>COUNTIFS(sept20[МОП],$A185,sept20[№ дома],#REF!)</f>
        <v>0</v>
      </c>
      <c r="H185" s="267">
        <f>SUMIFS(РД[S],РД[МОП],A185,РД[Дата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5" s="549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5" s="148">
        <f>COUNTIFS(РД[Тип кв],J$183,РД[МОП],$A185,РД[Дата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5" s="220">
        <f>COUNTIFS(РД[Тип кв],K$183,РД[МОП],$A185,РД[Дата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5" s="220">
        <f>COUNTIFS(РД[Тип кв],L$183,РД[МОП],$A185,РД[Дата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5" s="220">
        <f>COUNTIFS(РД[Тип кв],M$183,РД[МОП],$A185,РД[Дата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5" s="223">
        <f>COUNTIFS(РД[Тип кв],T$179,РД[МОП],$A185,РД[Дата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5" s="339"/>
      <c r="P185" s="339"/>
      <c r="Q185" s="86"/>
      <c r="U185" s="66"/>
    </row>
    <row r="186" spans="1:21" s="65" customFormat="1">
      <c r="A186" s="398" t="s">
        <v>77</v>
      </c>
      <c r="B186" s="271">
        <f>SUMIFS(РД[S],РД[МОП],A186,РД[Дата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6" s="52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6" s="717">
        <f>COUNTIFS(РД[МОП],A186,РД[Дата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6" s="329">
        <f>SUMIFS(sept20[м2],sept20[МОП],$A186,sept20[№ дома],#REF!)</f>
        <v>0</v>
      </c>
      <c r="F186" s="363">
        <f>SUMIFS(sept20[Сумма без отделки],sept20[МОП],$A186,sept20[№ дома],#REF!)</f>
        <v>0</v>
      </c>
      <c r="G186" s="414">
        <f>COUNTIFS(sept20[МОП],$A186,sept20[№ дома],#REF!)</f>
        <v>0</v>
      </c>
      <c r="H186" s="271">
        <f>SUMIFS(РД[S],РД[МОП],A186,РД[Дата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6" s="546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6" s="202">
        <f>COUNTIFS(РД[Тип кв],J$183,РД[МОП],$A186,РД[Дата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6" s="226">
        <f>COUNTIFS(РД[Тип кв],K$183,РД[МОП],$A186,РД[Дата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6" s="226">
        <f>COUNTIFS(РД[Тип кв],L$183,РД[МОП],$A186,РД[Дата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6" s="226">
        <f>COUNTIFS(РД[Тип кв],M$183,РД[МОП],$A186,РД[Дата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6" s="227">
        <f>COUNTIFS(РД[Тип кв],T$179,РД[МОП],$A186,РД[Дата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6" s="339"/>
      <c r="P186" s="339"/>
      <c r="Q186" s="86"/>
      <c r="U186" s="66"/>
    </row>
    <row r="187" spans="1:21" s="65" customFormat="1">
      <c r="A187" s="398" t="s">
        <v>1233</v>
      </c>
      <c r="B187" s="271">
        <f>SUMIFS(РД[S],РД[МОП],A187,РД[Дата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7" s="52">
        <f>SUMIFS(РД[Стоимость без отделки итог],РД[МОП],A187,РД[Дата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7" s="717">
        <f>COUNTIFS(РД[МОП],A187,РД[Дата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7" s="329">
        <f>SUMIFS(sept20[м2],sept20[МОП],$A187,sept20[№ дома],#REF!)</f>
        <v>0</v>
      </c>
      <c r="F187" s="363">
        <f>SUMIFS(sept20[Сумма без отделки],sept20[МОП],$A187,sept20[№ дома],#REF!)</f>
        <v>0</v>
      </c>
      <c r="G187" s="414">
        <f>COUNTIFS(sept20[МОП],$A187,sept20[№ дома],#REF!)</f>
        <v>0</v>
      </c>
      <c r="H187" s="271">
        <f>SUMIFS(РД[S],РД[МОП],A187,РД[Дата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7" s="546">
        <f>SUMIFS(РД[Стоимость без отделки итог],РД[МОП],A187,РД[Дата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7" s="202">
        <f>COUNTIFS(РД[Тип кв],J$183,РД[МОП],$A187,РД[Дата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7" s="226">
        <f>COUNTIFS(РД[Тип кв],K$183,РД[МОП],$A187,РД[Дата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7" s="226">
        <f>COUNTIFS(РД[Тип кв],L$183,РД[МОП],$A187,РД[Дата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7" s="226">
        <f>COUNTIFS(РД[Тип кв],M$183,РД[МОП],$A187,РД[Дата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7" s="227">
        <f>COUNTIFS(РД[Тип кв],T$179,РД[МОП],$A187,РД[Дата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7" s="339"/>
      <c r="P187" s="339"/>
      <c r="Q187" s="86"/>
      <c r="U187" s="66"/>
    </row>
    <row r="188" spans="1:21" s="65" customFormat="1">
      <c r="A188" s="153" t="s">
        <v>20</v>
      </c>
      <c r="B188" s="271">
        <f>SUMIFS(РД[S],РД[МОП],A188,РД[Дата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8" s="52">
        <f>SUMIFS(РД[Стоимость без отделки итог],РД[МОП],A188,РД[Дата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8" s="717">
        <f>COUNTIFS(РД[МОП],A188,РД[Дата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8" s="329">
        <f>SUMIFS(sept20[м2],sept20[МОП],$A188,sept20[№ дома],#REF!)</f>
        <v>0</v>
      </c>
      <c r="F188" s="363">
        <f>SUMIFS(sept20[Сумма без отделки],sept20[МОП],$A188,sept20[№ дома],#REF!)</f>
        <v>0</v>
      </c>
      <c r="G188" s="414">
        <f>COUNTIFS(sept20[МОП],$A188,sept20[№ дома],#REF!)</f>
        <v>0</v>
      </c>
      <c r="H188" s="271">
        <f>SUMIFS(РД[S],РД[МОП],A188,РД[Дата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8" s="546">
        <f>SUMIFS(РД[Стоимость без отделки итог],РД[МОП],A188,РД[Дата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8" s="202">
        <f>COUNTIFS(РД[Тип кв],J$183,РД[МОП],$A188,РД[Дата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8" s="226">
        <f>COUNTIFS(РД[Тип кв],K$183,РД[МОП],$A188,РД[Дата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8" s="226">
        <f>COUNTIFS(РД[Тип кв],L$183,РД[МОП],$A188,РД[Дата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8" s="226">
        <f>COUNTIFS(РД[Тип кв],M$183,РД[МОП],$A188,РД[Дата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8" s="227">
        <f>COUNTIFS(РД[Тип кв],T$179,РД[МОП],$A188,РД[Дата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8" s="339"/>
      <c r="P188" s="339"/>
      <c r="Q188" s="86"/>
      <c r="U188" s="66"/>
    </row>
    <row r="189" spans="1:21" s="65" customFormat="1">
      <c r="A189" s="153" t="s">
        <v>14</v>
      </c>
      <c r="B189" s="315">
        <f>SUMIFS(РД[S],РД[МОП],A189,РД[Дата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9" s="363">
        <f>SUMIFS(РД[Стоимость без отделки итог],РД[МОП],A189,РД[Дата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9" s="703">
        <f>COUNTIFS(РД[МОП],A189,РД[Дата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9" s="329">
        <f>SUMIFS(sept20[м2],sept20[МОП],$A189,sept20[№ дома],#REF!)</f>
        <v>0</v>
      </c>
      <c r="F189" s="363">
        <f>SUMIFS(sept20[Сумма без отделки],sept20[МОП],$A189,sept20[№ дома],#REF!)</f>
        <v>0</v>
      </c>
      <c r="G189" s="414">
        <f>COUNTIFS(sept20[МОП],$A189,sept20[№ дома],#REF!)</f>
        <v>0</v>
      </c>
      <c r="H189" s="315">
        <f>SUMIFS(РД[S],РД[МОП],A189,РД[Дата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9" s="550">
        <f>SUMIFS(РД[Стоимость без отделки итог],РД[МОП],A189,РД[Дата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9" s="358">
        <f>COUNTIFS(РД[Тип кв],J$183,РД[МОП],$A189,РД[Дата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9" s="330">
        <f>COUNTIFS(РД[Тип кв],K$183,РД[МОП],$A189,РД[Дата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9" s="330">
        <f>COUNTIFS(РД[Тип кв],L$183,РД[МОП],$A189,РД[Дата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9" s="330">
        <f>COUNTIFS(РД[Тип кв],M$183,РД[МОП],$A189,РД[Дата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9" s="331">
        <f>COUNTIFS(РД[Тип кв],T$179,РД[МОП],$A189,РД[Дата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9" s="339"/>
      <c r="P189" s="339"/>
      <c r="Q189" s="86"/>
      <c r="U189" s="66"/>
    </row>
    <row r="190" spans="1:21" s="65" customFormat="1">
      <c r="A190" s="154" t="s">
        <v>29</v>
      </c>
      <c r="B190" s="274">
        <f>SUMIFS(РД[S],РД[МОП],A190,РД[Дата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90" s="277">
        <f>SUMIFS(РД[Стоимость без отделки итог],РД[МОП],A190,РД[Дата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90" s="718">
        <f>COUNTIFS(РД[МОП],A190,РД[Дата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90" s="341">
        <f>SUMIFS(sept20[м2],sept20[МОП],$A190,sept20[№ дома],#REF!)</f>
        <v>0</v>
      </c>
      <c r="F190" s="277">
        <f>SUMIFS(sept20[Сумма без отделки],sept20[МОП],$A190,sept20[№ дома],#REF!)</f>
        <v>0</v>
      </c>
      <c r="G190" s="405">
        <f>COUNTIFS(sept20[МОП],$A190,sept20[№ дома],#REF!)</f>
        <v>0</v>
      </c>
      <c r="H190" s="274">
        <f>SUMIFS(РД[S],РД[МОП],A190,РД[Дата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90" s="277">
        <f>SUMIFS(РД[Стоимость без отделки итог],РД[МОП],A190,РД[Дата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90" s="228">
        <f>COUNTIFS(РД[Тип кв],J$183,РД[МОП],$A190,РД[Дата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90" s="228">
        <f>COUNTIFS(РД[Тип кв],K$183,РД[МОП],$A190,РД[Дата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90" s="228">
        <f>COUNTIFS(РД[Тип кв],L$183,РД[МОП],$A190,РД[Дата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90" s="228">
        <f>COUNTIFS(РД[Тип кв],M$183,РД[МОП],$A190,РД[Дата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90" s="231">
        <f>COUNTIFS(РД[Тип кв],T$179,РД[МОП],$A190,РД[Дата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90" s="339"/>
      <c r="P190" s="339"/>
      <c r="Q190" s="86"/>
      <c r="U190" s="66"/>
    </row>
    <row r="191" spans="1:21" s="65" customFormat="1">
      <c r="A191" s="161" t="s">
        <v>1207</v>
      </c>
      <c r="B191" s="278">
        <f>SUMIFS(РД[S],РД[МОП],A191,РД[Дата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91" s="281">
        <f>SUMIFS(РД[Стоимость без отделки итог],РД[МОП],A191,РД[Дата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91" s="719">
        <f>COUNTIFS(РД[МОП],A191,РД[Дата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91" s="406">
        <f>SUMIFS(sept20[м2],sept20[МОП],$A191,sept20[№ дома],#REF!)</f>
        <v>0</v>
      </c>
      <c r="F191" s="281">
        <f>SUMIFS(sept20[Сумма без отделки],sept20[МОП],$A191,sept20[№ дома],#REF!)</f>
        <v>0</v>
      </c>
      <c r="G191" s="407">
        <f>COUNTIFS(sept20[МОП],$A191,sept20[№ дома],#REF!)</f>
        <v>0</v>
      </c>
      <c r="H191" s="278">
        <f>SUMIFS(РД[S],РД[МОП],A191,РД[Дата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91" s="281">
        <f>SUMIFS(РД[Стоимость без отделки итог],РД[МОП],A191,РД[Дата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91" s="232">
        <f>COUNTIFS(РД[Тип кв],J$183,РД[МОП],$A191,РД[Дата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91" s="232">
        <f>COUNTIFS(РД[Тип кв],K$183,РД[МОП],$A191,РД[Дата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91" s="232">
        <f>COUNTIFS(РД[Тип кв],L$183,РД[МОП],$A191,РД[Дата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91" s="232">
        <f>COUNTIFS(РД[Тип кв],M$183,РД[МОП],$A191,РД[Дата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91" s="337">
        <f>COUNTIFS(РД[Тип кв],T$179,РД[МОП],$A191,РД[Дата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91" s="339"/>
      <c r="P191" s="339"/>
      <c r="Q191" s="86"/>
      <c r="U191" s="66"/>
    </row>
    <row r="192" spans="1:21" s="65" customFormat="1">
      <c r="A192" s="513" t="s">
        <v>114</v>
      </c>
      <c r="B192" s="282">
        <f t="shared" ref="B192:M192" si="33">SUM(B185:B189)</f>
        <v>0</v>
      </c>
      <c r="C192" s="287">
        <f t="shared" si="33"/>
        <v>0</v>
      </c>
      <c r="D192" s="305">
        <f t="shared" si="33"/>
        <v>0</v>
      </c>
      <c r="E192" s="425">
        <f t="shared" si="33"/>
        <v>0</v>
      </c>
      <c r="F192" s="287">
        <f t="shared" si="33"/>
        <v>0</v>
      </c>
      <c r="G192" s="286">
        <f t="shared" si="33"/>
        <v>0</v>
      </c>
      <c r="H192" s="282">
        <f t="shared" si="33"/>
        <v>0</v>
      </c>
      <c r="I192" s="283">
        <f t="shared" si="33"/>
        <v>0</v>
      </c>
      <c r="J192" s="284">
        <f t="shared" si="33"/>
        <v>0</v>
      </c>
      <c r="K192" s="285">
        <f t="shared" si="33"/>
        <v>0</v>
      </c>
      <c r="L192" s="285">
        <f t="shared" si="33"/>
        <v>0</v>
      </c>
      <c r="M192" s="285">
        <f t="shared" si="33"/>
        <v>0</v>
      </c>
      <c r="N192" s="305">
        <f>SUM(T181:T184)</f>
        <v>0</v>
      </c>
      <c r="O192" s="339"/>
      <c r="P192" s="339"/>
      <c r="Q192" s="86"/>
      <c r="U192" s="66"/>
    </row>
    <row r="193" spans="1:21" s="65" customFormat="1">
      <c r="A193" s="725" t="s">
        <v>115</v>
      </c>
      <c r="B193" s="706" t="s">
        <v>101</v>
      </c>
      <c r="C193" s="726" t="s">
        <v>98</v>
      </c>
      <c r="D193" s="708" t="s">
        <v>96</v>
      </c>
      <c r="E193" s="486" t="s">
        <v>494</v>
      </c>
      <c r="F193" s="487" t="s">
        <v>495</v>
      </c>
      <c r="G193" s="524" t="s">
        <v>496</v>
      </c>
      <c r="H193" s="489" t="s">
        <v>946</v>
      </c>
      <c r="I193" s="525" t="s">
        <v>947</v>
      </c>
      <c r="J193" s="217">
        <v>0</v>
      </c>
      <c r="K193" s="218">
        <v>1</v>
      </c>
      <c r="L193" s="340">
        <v>2</v>
      </c>
      <c r="M193" s="218">
        <v>3</v>
      </c>
      <c r="N193" s="219" t="s">
        <v>1367</v>
      </c>
      <c r="O193" s="339"/>
      <c r="P193" s="339"/>
      <c r="Q193" s="86"/>
      <c r="U193" s="66"/>
    </row>
    <row r="194" spans="1:21" s="65" customFormat="1">
      <c r="A194" s="177" t="s">
        <v>16</v>
      </c>
      <c r="B194" s="291">
        <f>SUMIFS(РД[S],РД[ИМ],A194,РД[Дата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94" s="292">
        <f>SUMIFS(РД[Стоимость без отделки итог],РД[ИМ],A194,РД[Дата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94" s="694">
        <f>COUNTIFS(РД[ИМ],A194,РД[Дата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94" s="551"/>
      <c r="F194" s="292"/>
      <c r="G194" s="552"/>
      <c r="H194" s="291">
        <f>SUMIFS(РД[S],РД[ИМ],A194,РД[Дата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94" s="312">
        <f>SUMIFS(РД[Стоимость без отделки итог],РД[ИМ],A194,РД[Дата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94" s="346">
        <f>COUNTIFS(РД[Тип кв],J$183,РД[ИМ],$A194,РД[Дата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94" s="243">
        <f>COUNTIFS(РД[Тип кв],K$183,РД[ИМ],$A194,РД[Дата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94" s="243">
        <f>COUNTIFS(РД[Тип кв],L$183,РД[ИМ],$A194,РД[Дата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94" s="243">
        <f>COUNTIFS(РД[Тип кв],M$183,РД[ИМ],$A194,РД[Дата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94" s="246">
        <f>COUNTIFS(РД[Тип кв],T$179,РД[ИМ],$A194,РД[Дата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94" s="339"/>
      <c r="P194" s="339"/>
      <c r="Q194" s="86"/>
      <c r="U194" s="66"/>
    </row>
    <row r="195" spans="1:21" s="65" customFormat="1">
      <c r="A195" s="189" t="s">
        <v>22</v>
      </c>
      <c r="B195" s="516">
        <f>SUMIFS(РД[S],РД[ИМ],A195,РД[Дата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95" s="554">
        <f>SUMIFS(РД[Стоимость без отделки итог],РД[ИМ],A195,РД[Дата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95" s="695">
        <f>COUNTIFS(РД[ИМ],A195,РД[Дата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95" s="553"/>
      <c r="F195" s="554"/>
      <c r="G195" s="555"/>
      <c r="H195" s="516">
        <f>SUMIFS(РД[S],РД[ИМ],A195,РД[Дата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95" s="517">
        <f>SUMIFS(РД[Стоимость без отделки итог],РД[ИМ],A195,РД[Дата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95" s="426">
        <f>COUNTIFS(РД[Тип кв],J$183,РД[ИМ],$A195,РД[Дата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95" s="251">
        <f>COUNTIFS(РД[Тип кв],K$183,РД[ИМ],$A195,РД[Дата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95" s="251">
        <f>COUNTIFS(РД[Тип кв],L$183,РД[ИМ],$A195,РД[Дата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95" s="251">
        <f>COUNTIFS(РД[Тип кв],M$183,РД[ИМ],$A195,РД[Дата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95" s="254">
        <f>COUNTIFS(РД[Тип кв],T$179,РД[ИМ],$A195,РД[Дата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95" s="339"/>
      <c r="P195" s="339"/>
      <c r="Q195" s="86"/>
      <c r="U195" s="66"/>
    </row>
    <row r="196" spans="1:21" s="65" customFormat="1">
      <c r="A196" s="513" t="s">
        <v>114</v>
      </c>
      <c r="B196" s="282">
        <f>SUM(B194:B195)</f>
        <v>0</v>
      </c>
      <c r="C196" s="287">
        <f>SUM(C194:C195)</f>
        <v>0</v>
      </c>
      <c r="D196" s="711">
        <f>SUM(D194:D195)</f>
        <v>0</v>
      </c>
      <c r="E196" s="425">
        <f t="shared" ref="E196:M196" si="34">SUM(E194:E195)</f>
        <v>0</v>
      </c>
      <c r="F196" s="287">
        <f t="shared" si="34"/>
        <v>0</v>
      </c>
      <c r="G196" s="286">
        <f t="shared" si="34"/>
        <v>0</v>
      </c>
      <c r="H196" s="282">
        <f t="shared" si="34"/>
        <v>0</v>
      </c>
      <c r="I196" s="283">
        <f t="shared" si="34"/>
        <v>0</v>
      </c>
      <c r="J196" s="284">
        <f t="shared" si="34"/>
        <v>0</v>
      </c>
      <c r="K196" s="285">
        <f t="shared" si="34"/>
        <v>0</v>
      </c>
      <c r="L196" s="285">
        <f t="shared" si="34"/>
        <v>0</v>
      </c>
      <c r="M196" s="285">
        <f t="shared" si="34"/>
        <v>0</v>
      </c>
      <c r="N196" s="305">
        <f>SUM(T190:T191)</f>
        <v>0</v>
      </c>
      <c r="O196" s="339"/>
      <c r="P196" s="339"/>
      <c r="Q196" s="86"/>
      <c r="U196" s="66"/>
    </row>
    <row r="197" spans="1:21" s="65" customFormat="1">
      <c r="Q197" s="86"/>
      <c r="U197" s="66"/>
    </row>
    <row r="198" spans="1:21" s="65" customFormat="1">
      <c r="Q198" s="86"/>
      <c r="U198" s="66"/>
    </row>
    <row r="199" spans="1:21" s="65" customFormat="1">
      <c r="Q199" s="86"/>
      <c r="U199" s="66"/>
    </row>
    <row r="200" spans="1:21" s="65" customFormat="1">
      <c r="Q200" s="86"/>
      <c r="U200" s="66"/>
    </row>
    <row r="201" spans="1:21" s="65" customFormat="1">
      <c r="Q201" s="86"/>
      <c r="U201" s="66"/>
    </row>
    <row r="202" spans="1:21" s="65" customFormat="1">
      <c r="Q202" s="86"/>
      <c r="U202" s="66"/>
    </row>
    <row r="203" spans="1:21" s="65" customFormat="1">
      <c r="Q203" s="86"/>
      <c r="U203" s="66"/>
    </row>
    <row r="204" spans="1:21" s="65" customFormat="1">
      <c r="Q204" s="86"/>
      <c r="U204" s="66"/>
    </row>
    <row r="205" spans="1:21" s="65" customFormat="1">
      <c r="Q205" s="86"/>
      <c r="U205" s="66"/>
    </row>
    <row r="206" spans="1:21" s="65" customFormat="1">
      <c r="Q206" s="86"/>
      <c r="U206" s="66"/>
    </row>
    <row r="207" spans="1:21" s="65" customFormat="1">
      <c r="Q207" s="86"/>
      <c r="U207" s="66"/>
    </row>
    <row r="208" spans="1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:21" s="65" customFormat="1">
      <c r="Q225" s="86"/>
      <c r="U225" s="66"/>
    </row>
    <row r="226" spans="1:21" s="65" customFormat="1">
      <c r="Q226" s="86"/>
      <c r="U226" s="66"/>
    </row>
    <row r="227" spans="1:21" s="65" customFormat="1">
      <c r="Q227" s="86"/>
      <c r="U227" s="66"/>
    </row>
    <row r="228" spans="1:21" s="65" customFormat="1">
      <c r="Q228" s="86"/>
      <c r="U228" s="66"/>
    </row>
    <row r="229" spans="1:21" s="65" customFormat="1">
      <c r="Q229" s="86"/>
      <c r="U229" s="66"/>
    </row>
    <row r="230" spans="1:21" s="65" customFormat="1">
      <c r="Q230" s="86"/>
      <c r="U230" s="66"/>
    </row>
    <row r="231" spans="1:21" s="65" customFormat="1">
      <c r="Q231" s="86"/>
      <c r="U231" s="66"/>
    </row>
    <row r="232" spans="1:21" s="65" customFormat="1">
      <c r="Q232" s="86"/>
      <c r="U232" s="66"/>
    </row>
    <row r="233" spans="1:2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86"/>
      <c r="R233" s="65"/>
      <c r="S233" s="65"/>
    </row>
    <row r="234" spans="1:2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86"/>
      <c r="R234" s="65"/>
      <c r="S234" s="65"/>
    </row>
    <row r="235" spans="1:2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86"/>
      <c r="R235" s="65"/>
      <c r="S235" s="65"/>
    </row>
    <row r="236" spans="1:2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86"/>
      <c r="R236" s="65"/>
      <c r="S236" s="65"/>
    </row>
    <row r="237" spans="1:2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86"/>
      <c r="R237" s="65"/>
      <c r="S237" s="65"/>
    </row>
    <row r="238" spans="1:2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86"/>
      <c r="R238" s="65"/>
      <c r="S238" s="65"/>
    </row>
    <row r="239" spans="1:2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86"/>
      <c r="R239" s="65"/>
      <c r="S239" s="65"/>
    </row>
    <row r="240" spans="1:2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86"/>
      <c r="R240" s="65"/>
      <c r="S240" s="65"/>
    </row>
    <row r="241" spans="1:19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86"/>
      <c r="R241" s="65"/>
      <c r="S241" s="65"/>
    </row>
    <row r="242" spans="1:19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86"/>
      <c r="R242" s="65"/>
      <c r="S242" s="65"/>
    </row>
    <row r="243" spans="1:19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86"/>
      <c r="R243" s="65"/>
      <c r="S243" s="65"/>
    </row>
    <row r="244" spans="1:19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86"/>
      <c r="R244" s="65"/>
      <c r="S244" s="65"/>
    </row>
    <row r="245" spans="1:19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86"/>
      <c r="R245" s="65"/>
      <c r="S245" s="65"/>
    </row>
    <row r="246" spans="1:19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86"/>
      <c r="R246" s="65"/>
      <c r="S246" s="65"/>
    </row>
    <row r="247" spans="1:19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86"/>
      <c r="R247" s="65"/>
      <c r="S247" s="65"/>
    </row>
    <row r="248" spans="1:19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86"/>
      <c r="R248" s="65"/>
      <c r="S248" s="65"/>
    </row>
    <row r="249" spans="1:1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86"/>
      <c r="R249" s="65"/>
      <c r="S249" s="65"/>
    </row>
    <row r="250" spans="1:19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86"/>
      <c r="R250" s="65"/>
      <c r="S250" s="65"/>
    </row>
    <row r="251" spans="1:19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86"/>
      <c r="R251" s="65"/>
      <c r="S251" s="65"/>
    </row>
    <row r="252" spans="1:19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86"/>
      <c r="R252" s="65"/>
      <c r="S252" s="65"/>
    </row>
    <row r="253" spans="1:19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86"/>
      <c r="R253" s="65"/>
      <c r="S253" s="65"/>
    </row>
    <row r="254" spans="1:19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86"/>
      <c r="R254" s="65"/>
      <c r="S254" s="65"/>
    </row>
    <row r="255" spans="1:19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86"/>
      <c r="R255" s="65"/>
      <c r="S255" s="65"/>
    </row>
    <row r="256" spans="1:19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86"/>
      <c r="R256" s="65"/>
      <c r="S256" s="65"/>
    </row>
    <row r="257" spans="1:19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86"/>
      <c r="R257" s="65"/>
      <c r="S257" s="65"/>
    </row>
    <row r="258" spans="1:19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86"/>
      <c r="R258" s="65"/>
      <c r="S258" s="65"/>
    </row>
    <row r="259" spans="1:1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86"/>
      <c r="R259" s="65"/>
      <c r="S259" s="65"/>
    </row>
    <row r="260" spans="1:19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86"/>
      <c r="R260" s="65"/>
      <c r="S260" s="65"/>
    </row>
    <row r="261" spans="1:19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86"/>
      <c r="R261" s="65"/>
      <c r="S261" s="65"/>
    </row>
    <row r="262" spans="1:19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86"/>
      <c r="R262" s="65"/>
      <c r="S262" s="65"/>
    </row>
    <row r="263" spans="1:19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86"/>
      <c r="R263" s="65"/>
      <c r="S263" s="65"/>
    </row>
    <row r="264" spans="1:19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86"/>
      <c r="R264" s="65"/>
      <c r="S264" s="65"/>
    </row>
    <row r="265" spans="1:19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86"/>
      <c r="R265" s="65"/>
      <c r="S265" s="65"/>
    </row>
    <row r="266" spans="1:19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86"/>
      <c r="R266" s="65"/>
      <c r="S266" s="65"/>
    </row>
    <row r="267" spans="1:19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86"/>
      <c r="R267" s="65"/>
      <c r="S267" s="65"/>
    </row>
    <row r="268" spans="1:19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86"/>
      <c r="R268" s="65"/>
      <c r="S268" s="65"/>
    </row>
    <row r="269" spans="1:1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86"/>
      <c r="R269" s="65"/>
      <c r="S269" s="65"/>
    </row>
    <row r="270" spans="1:19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86"/>
      <c r="R270" s="65"/>
      <c r="S270" s="65"/>
    </row>
    <row r="271" spans="1:19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86"/>
      <c r="R271" s="65"/>
      <c r="S271" s="65"/>
    </row>
    <row r="272" spans="1:19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86"/>
      <c r="R272" s="65"/>
      <c r="S272" s="65"/>
    </row>
    <row r="273" spans="1:19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86"/>
      <c r="R273" s="65"/>
      <c r="S273" s="65"/>
    </row>
    <row r="274" spans="1:19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86"/>
      <c r="R274" s="65"/>
      <c r="S274" s="65"/>
    </row>
    <row r="275" spans="1:19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86"/>
      <c r="R275" s="65"/>
      <c r="S275" s="65"/>
    </row>
    <row r="276" spans="1:19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86"/>
      <c r="R276" s="65"/>
      <c r="S276" s="65"/>
    </row>
    <row r="277" spans="1:19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86"/>
      <c r="R277" s="65"/>
      <c r="S277" s="65"/>
    </row>
    <row r="278" spans="1:19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86"/>
      <c r="R278" s="65"/>
      <c r="S278" s="65"/>
    </row>
    <row r="279" spans="1:1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86"/>
      <c r="R279" s="65"/>
      <c r="S279" s="65"/>
    </row>
    <row r="280" spans="1:19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86"/>
      <c r="R280" s="65"/>
      <c r="S280" s="65"/>
    </row>
    <row r="281" spans="1:19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86"/>
      <c r="R281" s="65"/>
      <c r="S281" s="65"/>
    </row>
    <row r="282" spans="1:19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86"/>
      <c r="R282" s="65"/>
      <c r="S282" s="65"/>
    </row>
    <row r="283" spans="1:19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86"/>
      <c r="R283" s="65"/>
      <c r="S283" s="65"/>
    </row>
    <row r="284" spans="1:19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86"/>
      <c r="R284" s="65"/>
      <c r="S284" s="65"/>
    </row>
    <row r="285" spans="1:19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86"/>
      <c r="R285" s="65"/>
      <c r="S285" s="65"/>
    </row>
    <row r="286" spans="1:19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86"/>
      <c r="R286" s="65"/>
      <c r="S286" s="65"/>
    </row>
    <row r="287" spans="1:19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86"/>
      <c r="R287" s="65"/>
      <c r="S287" s="65"/>
    </row>
    <row r="288" spans="1:19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86"/>
      <c r="R288" s="65"/>
      <c r="S288" s="65"/>
    </row>
    <row r="289" spans="1:1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86"/>
      <c r="R289" s="65"/>
      <c r="S289" s="65"/>
    </row>
    <row r="290" spans="1:19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86"/>
      <c r="R290" s="65"/>
      <c r="S290" s="65"/>
    </row>
    <row r="291" spans="1:19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86"/>
      <c r="R291" s="65"/>
      <c r="S291" s="65"/>
    </row>
    <row r="292" spans="1:19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86"/>
      <c r="R292" s="65"/>
      <c r="S292" s="65"/>
    </row>
    <row r="293" spans="1:19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86"/>
      <c r="R293" s="65"/>
      <c r="S293" s="65"/>
    </row>
    <row r="294" spans="1:19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86"/>
      <c r="R294" s="65"/>
      <c r="S294" s="65"/>
    </row>
    <row r="295" spans="1:19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86"/>
      <c r="R295" s="65"/>
      <c r="S295" s="65"/>
    </row>
    <row r="296" spans="1:19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86"/>
      <c r="R296" s="65"/>
      <c r="S296" s="65"/>
    </row>
    <row r="297" spans="1:19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86"/>
      <c r="R297" s="65"/>
      <c r="S297" s="65"/>
    </row>
    <row r="298" spans="1:19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86"/>
      <c r="R298" s="65"/>
      <c r="S298" s="65"/>
    </row>
    <row r="299" spans="1:1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86"/>
      <c r="R299" s="65"/>
      <c r="S299" s="65"/>
    </row>
    <row r="300" spans="1:19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86"/>
      <c r="R300" s="65"/>
      <c r="S300" s="65"/>
    </row>
    <row r="301" spans="1:19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86"/>
      <c r="R301" s="65"/>
      <c r="S301" s="65"/>
    </row>
    <row r="302" spans="1:19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86"/>
      <c r="R302" s="65"/>
      <c r="S302" s="65"/>
    </row>
    <row r="303" spans="1:19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86"/>
      <c r="R303" s="65"/>
      <c r="S303" s="65"/>
    </row>
    <row r="304" spans="1:19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86"/>
      <c r="R304" s="65"/>
      <c r="S304" s="65"/>
    </row>
    <row r="305" spans="1:19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86"/>
      <c r="R305" s="65"/>
      <c r="S305" s="65"/>
    </row>
    <row r="306" spans="1:19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86"/>
      <c r="R306" s="65"/>
      <c r="S306" s="65"/>
    </row>
    <row r="307" spans="1:19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86"/>
      <c r="R307" s="65"/>
      <c r="S307" s="65"/>
    </row>
    <row r="308" spans="1:19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86"/>
      <c r="R308" s="65"/>
      <c r="S308" s="65"/>
    </row>
    <row r="309" spans="1:1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86"/>
      <c r="R309" s="65"/>
      <c r="S309" s="65"/>
    </row>
    <row r="310" spans="1:19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86"/>
      <c r="R310" s="65"/>
      <c r="S310" s="65"/>
    </row>
    <row r="311" spans="1:19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86"/>
      <c r="R311" s="65"/>
      <c r="S311" s="65"/>
    </row>
    <row r="312" spans="1:19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86"/>
      <c r="R312" s="65"/>
      <c r="S312" s="65"/>
    </row>
    <row r="313" spans="1:19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86"/>
      <c r="R313" s="65"/>
      <c r="S313" s="65"/>
    </row>
    <row r="314" spans="1:19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86"/>
      <c r="R314" s="65"/>
      <c r="S314" s="65"/>
    </row>
    <row r="315" spans="1:19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86"/>
      <c r="R315" s="65"/>
      <c r="S315" s="65"/>
    </row>
    <row r="316" spans="1:19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86"/>
      <c r="R316" s="65"/>
      <c r="S316" s="65"/>
    </row>
    <row r="317" spans="1:19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86"/>
      <c r="R317" s="65"/>
      <c r="S317" s="65"/>
    </row>
    <row r="318" spans="1:19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86"/>
      <c r="R318" s="65"/>
      <c r="S318" s="65"/>
    </row>
    <row r="319" spans="1: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86"/>
      <c r="R319" s="65"/>
      <c r="S319" s="65"/>
    </row>
    <row r="320" spans="1:19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86"/>
      <c r="R320" s="65"/>
      <c r="S320" s="65"/>
    </row>
    <row r="321" spans="1:17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86"/>
    </row>
    <row r="322" spans="1:17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86"/>
    </row>
    <row r="323" spans="1:17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86"/>
    </row>
    <row r="324" spans="1:17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86"/>
    </row>
  </sheetData>
  <sheetProtection algorithmName="SHA-512" hashValue="aY9r69f/5wvJ+2moaTGYC+5yhlIHAvGcSSXaB/sDfGmAm5sbclwDH4bpcHJSEebErFmTL2YssWccuNQfhGlmqA==" saltValue="jRkkrBdPHZCkyGJgBxfrdw==" spinCount="100000" sheet="1" formatCells="0" formatColumns="0" formatRows="0" sort="0" autoFilter="0" pivotTables="0"/>
  <mergeCells count="6">
    <mergeCell ref="A181:N181"/>
    <mergeCell ref="A1:U1"/>
    <mergeCell ref="A117:B117"/>
    <mergeCell ref="A133:B133"/>
    <mergeCell ref="A149:B149"/>
    <mergeCell ref="A165:O165"/>
  </mergeCells>
  <pageMargins left="0.25" right="0.25" top="0.75" bottom="0.75" header="0.3" footer="0.3"/>
  <pageSetup paperSize="9" scale="3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300-000000000000}">
          <x14:formula1>
            <xm:f>Списки!$B$2:$B$5</xm:f>
          </x14:formula1>
          <xm:sqref>C3:C110 G114:G115</xm:sqref>
        </x14:dataValidation>
        <x14:dataValidation type="list" allowBlank="1" showInputMessage="1" showErrorMessage="1" xr:uid="{00000000-0002-0000-2300-000001000000}">
          <x14:formula1>
            <xm:f>Списки!$C$3:$C$4</xm:f>
          </x14:formula1>
          <xm:sqref>D114:D115</xm:sqref>
        </x14:dataValidation>
        <x14:dataValidation type="list" allowBlank="1" showInputMessage="1" showErrorMessage="1" xr:uid="{00000000-0002-0000-2300-000002000000}">
          <x14:formula1>
            <xm:f>Списки!$D$2:$D$7</xm:f>
          </x14:formula1>
          <xm:sqref>F114:F115 G3:G110</xm:sqref>
        </x14:dataValidation>
        <x14:dataValidation type="list" allowBlank="1" showInputMessage="1" showErrorMessage="1" xr:uid="{00000000-0002-0000-2300-000003000000}">
          <x14:formula1>
            <xm:f>Списки!$E$2:$E$7</xm:f>
          </x14:formula1>
          <xm:sqref>H114:H115 K3:K110</xm:sqref>
        </x14:dataValidation>
        <x14:dataValidation type="list" allowBlank="1" showInputMessage="1" showErrorMessage="1" xr:uid="{00000000-0002-0000-2300-000004000000}">
          <x14:formula1>
            <xm:f>Списки!$C$2:$C$9</xm:f>
          </x14:formula1>
          <xm:sqref>J3:J110 S3:T110</xm:sqref>
        </x14:dataValidation>
        <x14:dataValidation type="list" allowBlank="1" showInputMessage="1" showErrorMessage="1" xr:uid="{00000000-0002-0000-2300-000005000000}">
          <x14:formula1>
            <xm:f>Списки!$G$2:$G$3</xm:f>
          </x14:formula1>
          <xm:sqref>L114:L115 M3:M110</xm:sqref>
        </x14:dataValidation>
        <x14:dataValidation type="list" allowBlank="1" showInputMessage="1" showErrorMessage="1" xr:uid="{00000000-0002-0000-2300-000006000000}">
          <x14:formula1>
            <xm:f>Списки!$F$2:$F$3</xm:f>
          </x14:formula1>
          <xm:sqref>N114:N115 O3:O4 O6:O69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U314"/>
  <sheetViews>
    <sheetView view="pageBreakPreview" zoomScale="85" zoomScaleNormal="85" workbookViewId="0">
      <pane ySplit="2" topLeftCell="A126" activePane="bottomLeft" state="frozen"/>
      <selection pane="bottomLeft" activeCell="S38" sqref="S38"/>
    </sheetView>
  </sheetViews>
  <sheetFormatPr defaultColWidth="12.28515625" defaultRowHeight="12.75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29.425781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1">
      <c r="A1" s="2297">
        <v>45260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 s="61" customFormat="1">
      <c r="A3" s="62">
        <v>1</v>
      </c>
      <c r="B3" s="75">
        <v>24163</v>
      </c>
      <c r="C3" s="62" t="s">
        <v>13</v>
      </c>
      <c r="D3" s="75">
        <v>255</v>
      </c>
      <c r="E3" s="62">
        <v>3</v>
      </c>
      <c r="F3" s="62">
        <v>80.97</v>
      </c>
      <c r="G3" s="62" t="s">
        <v>25</v>
      </c>
      <c r="H3" s="62">
        <v>15500</v>
      </c>
      <c r="I3" s="95">
        <v>6850802.7000000002</v>
      </c>
      <c r="J3" s="117" t="s">
        <v>8</v>
      </c>
      <c r="K3" s="62" t="s">
        <v>16</v>
      </c>
      <c r="L3" s="62" t="s">
        <v>1542</v>
      </c>
      <c r="M3" s="62"/>
      <c r="N3" s="113">
        <v>45239</v>
      </c>
      <c r="O3" s="117" t="s">
        <v>11</v>
      </c>
      <c r="P3" s="76" t="s">
        <v>1753</v>
      </c>
      <c r="Q3" s="113" t="s">
        <v>67</v>
      </c>
      <c r="R3" s="76" t="s">
        <v>1754</v>
      </c>
      <c r="S3" s="117" t="s">
        <v>8</v>
      </c>
      <c r="T3" s="117" t="s">
        <v>8</v>
      </c>
      <c r="U3" s="114">
        <f>sept2021[[#This Row],[сумма]]-sept2021[[#This Row],[Цема м2 отделки]]*sept2021[[#This Row],[м2]]</f>
        <v>5595767.7000000002</v>
      </c>
    </row>
    <row r="4" spans="1:21" s="61" customFormat="1">
      <c r="A4" s="62">
        <v>2</v>
      </c>
      <c r="B4" s="75">
        <v>21008</v>
      </c>
      <c r="C4" s="62" t="s">
        <v>13</v>
      </c>
      <c r="D4" s="75">
        <v>484</v>
      </c>
      <c r="E4" s="62">
        <v>1</v>
      </c>
      <c r="F4" s="62">
        <v>39.69</v>
      </c>
      <c r="G4" s="62" t="s">
        <v>9</v>
      </c>
      <c r="H4" s="62">
        <v>0</v>
      </c>
      <c r="I4" s="95">
        <v>3874907.31</v>
      </c>
      <c r="J4" s="117" t="s">
        <v>8</v>
      </c>
      <c r="K4" s="62" t="s">
        <v>22</v>
      </c>
      <c r="L4" s="62" t="s">
        <v>583</v>
      </c>
      <c r="M4" s="62" t="s">
        <v>18</v>
      </c>
      <c r="N4" s="92">
        <v>45237</v>
      </c>
      <c r="O4" s="117" t="s">
        <v>17</v>
      </c>
      <c r="P4" s="62" t="s">
        <v>1755</v>
      </c>
      <c r="Q4" s="113" t="s">
        <v>67</v>
      </c>
      <c r="R4" s="113" t="s">
        <v>67</v>
      </c>
      <c r="S4" s="117" t="s">
        <v>8</v>
      </c>
      <c r="T4" s="117" t="s">
        <v>8</v>
      </c>
      <c r="U4" s="114">
        <f>sept2021[[#This Row],[сумма]]-sept2021[[#This Row],[Цема м2 отделки]]*sept2021[[#This Row],[м2]]</f>
        <v>3874907.31</v>
      </c>
    </row>
    <row r="5" spans="1:21" s="61" customFormat="1">
      <c r="A5" s="62">
        <v>3</v>
      </c>
      <c r="B5" s="75">
        <v>18251</v>
      </c>
      <c r="C5" s="62" t="s">
        <v>7</v>
      </c>
      <c r="D5" s="75">
        <v>74</v>
      </c>
      <c r="E5" s="62">
        <v>2</v>
      </c>
      <c r="F5" s="62">
        <v>61.76</v>
      </c>
      <c r="G5" s="117" t="s">
        <v>25</v>
      </c>
      <c r="H5" s="117">
        <v>22000</v>
      </c>
      <c r="I5" s="95">
        <v>6604641.5599999996</v>
      </c>
      <c r="J5" s="117" t="s">
        <v>8</v>
      </c>
      <c r="K5" s="62" t="s">
        <v>16</v>
      </c>
      <c r="L5" s="62" t="s">
        <v>1542</v>
      </c>
      <c r="M5" s="62" t="s">
        <v>12</v>
      </c>
      <c r="N5" s="92" t="s">
        <v>1756</v>
      </c>
      <c r="O5" s="117" t="s">
        <v>11</v>
      </c>
      <c r="P5" s="62" t="s">
        <v>1757</v>
      </c>
      <c r="Q5" s="113" t="s">
        <v>67</v>
      </c>
      <c r="R5" s="866" t="s">
        <v>1758</v>
      </c>
      <c r="S5" s="117" t="s">
        <v>8</v>
      </c>
      <c r="T5" s="117" t="s">
        <v>8</v>
      </c>
      <c r="U5" s="114">
        <f>sept2021[[#This Row],[сумма]]-sept2021[[#This Row],[Цема м2 отделки]]*sept2021[[#This Row],[м2]]</f>
        <v>5245921.5599999996</v>
      </c>
    </row>
    <row r="6" spans="1:21" s="438" customFormat="1">
      <c r="A6" s="65"/>
      <c r="B6" s="79"/>
      <c r="C6" s="65"/>
      <c r="D6" s="79"/>
      <c r="E6" s="65"/>
      <c r="F6" s="65"/>
      <c r="G6" s="80"/>
      <c r="H6" s="80"/>
      <c r="I6" s="93"/>
      <c r="J6" s="80"/>
      <c r="K6" s="65"/>
      <c r="L6" s="65"/>
      <c r="M6" s="65"/>
      <c r="N6" s="98"/>
      <c r="O6" s="80"/>
      <c r="P6" s="65"/>
      <c r="Q6" s="118"/>
      <c r="R6" s="86"/>
      <c r="S6" s="80"/>
      <c r="T6" s="80"/>
      <c r="U6" s="115">
        <f>sept2021[[#This Row],[сумма]]-sept2021[[#This Row],[Цема м2 отделки]]*sept2021[[#This Row],[м2]]</f>
        <v>0</v>
      </c>
    </row>
    <row r="7" spans="1:21" s="61" customFormat="1">
      <c r="A7" s="62">
        <v>5</v>
      </c>
      <c r="B7" s="74">
        <v>24672</v>
      </c>
      <c r="C7" s="62" t="s">
        <v>13</v>
      </c>
      <c r="D7" s="75">
        <v>497</v>
      </c>
      <c r="E7" s="62">
        <v>2</v>
      </c>
      <c r="F7" s="62">
        <v>57.8</v>
      </c>
      <c r="G7" s="117" t="s">
        <v>9</v>
      </c>
      <c r="H7" s="117">
        <v>0</v>
      </c>
      <c r="I7" s="95">
        <v>4848741.7</v>
      </c>
      <c r="J7" s="117" t="s">
        <v>8</v>
      </c>
      <c r="K7" s="62" t="s">
        <v>16</v>
      </c>
      <c r="L7" s="62" t="s">
        <v>583</v>
      </c>
      <c r="M7" s="62" t="s">
        <v>18</v>
      </c>
      <c r="N7" s="92">
        <v>45234</v>
      </c>
      <c r="O7" s="117" t="s">
        <v>17</v>
      </c>
      <c r="P7" s="62" t="s">
        <v>1759</v>
      </c>
      <c r="Q7" s="113" t="s">
        <v>67</v>
      </c>
      <c r="R7" s="113" t="s">
        <v>67</v>
      </c>
      <c r="S7" s="117" t="s">
        <v>8</v>
      </c>
      <c r="T7" s="117" t="s">
        <v>8</v>
      </c>
      <c r="U7" s="114">
        <f>sept2021[[#This Row],[сумма]]-sept2021[[#This Row],[Цема м2 отделки]]*sept2021[[#This Row],[м2]]</f>
        <v>4848741.7</v>
      </c>
    </row>
    <row r="8" spans="1:21">
      <c r="A8" s="65">
        <v>6</v>
      </c>
      <c r="B8" s="79">
        <v>27418</v>
      </c>
      <c r="C8" s="65" t="s">
        <v>74</v>
      </c>
      <c r="D8" s="79" t="s">
        <v>118</v>
      </c>
      <c r="E8" s="87" t="s">
        <v>118</v>
      </c>
      <c r="F8" s="65" t="s">
        <v>118</v>
      </c>
      <c r="G8" s="65" t="s">
        <v>9</v>
      </c>
      <c r="H8" s="72"/>
      <c r="I8" s="105" t="s">
        <v>118</v>
      </c>
      <c r="J8" s="72"/>
      <c r="K8" s="65"/>
      <c r="L8" s="80" t="s">
        <v>130</v>
      </c>
      <c r="M8" s="65" t="s">
        <v>18</v>
      </c>
      <c r="N8" s="98" t="s">
        <v>1756</v>
      </c>
      <c r="O8" s="65" t="s">
        <v>17</v>
      </c>
      <c r="P8" s="80" t="s">
        <v>1760</v>
      </c>
      <c r="Q8" s="131" t="s">
        <v>118</v>
      </c>
      <c r="R8" s="86"/>
      <c r="S8" s="65"/>
      <c r="U8" s="115" t="e">
        <f>sept2021[[#This Row],[сумма]]-sept2021[[#This Row],[Цема м2 отделки]]*sept2021[[#This Row],[м2]]</f>
        <v>#VALUE!</v>
      </c>
    </row>
    <row r="9" spans="1:21" ht="25.5">
      <c r="A9" s="62">
        <v>7</v>
      </c>
      <c r="B9" s="75">
        <v>27212</v>
      </c>
      <c r="C9" s="62" t="s">
        <v>13</v>
      </c>
      <c r="D9" s="75">
        <v>451</v>
      </c>
      <c r="E9" s="62">
        <v>3</v>
      </c>
      <c r="F9" s="62">
        <v>79.44</v>
      </c>
      <c r="G9" s="76" t="s">
        <v>9</v>
      </c>
      <c r="H9" s="76"/>
      <c r="I9" s="91">
        <v>6283339.8799999999</v>
      </c>
      <c r="J9" s="117" t="s">
        <v>14</v>
      </c>
      <c r="K9" s="62" t="s">
        <v>16</v>
      </c>
      <c r="L9" s="62" t="s">
        <v>1542</v>
      </c>
      <c r="M9" s="62" t="s">
        <v>18</v>
      </c>
      <c r="N9" s="92">
        <v>45238</v>
      </c>
      <c r="O9" s="117" t="s">
        <v>11</v>
      </c>
      <c r="P9" s="76" t="s">
        <v>1761</v>
      </c>
      <c r="Q9" s="113" t="s">
        <v>67</v>
      </c>
      <c r="R9" s="113" t="s">
        <v>67</v>
      </c>
      <c r="S9" s="117" t="s">
        <v>14</v>
      </c>
      <c r="T9" s="117" t="s">
        <v>14</v>
      </c>
      <c r="U9" s="114">
        <f>sept2021[[#This Row],[сумма]]-sept2021[[#This Row],[Цема м2 отделки]]*sept2021[[#This Row],[м2]]</f>
        <v>6283339.8799999999</v>
      </c>
    </row>
    <row r="10" spans="1:21" s="438" customFormat="1" ht="24.75" customHeight="1">
      <c r="A10" s="65">
        <v>8</v>
      </c>
      <c r="B10" s="79">
        <v>27228</v>
      </c>
      <c r="C10" s="65" t="s">
        <v>13</v>
      </c>
      <c r="D10" s="65"/>
      <c r="E10" s="65"/>
      <c r="F10" s="65"/>
      <c r="G10" s="65"/>
      <c r="H10" s="65"/>
      <c r="I10" s="93"/>
      <c r="J10" s="65"/>
      <c r="K10" s="65"/>
      <c r="L10" s="65"/>
      <c r="M10" s="65"/>
      <c r="N10" s="98"/>
      <c r="O10" s="80" t="s">
        <v>17</v>
      </c>
      <c r="P10" s="65"/>
      <c r="Q10" s="86"/>
      <c r="R10" s="86"/>
      <c r="S10" s="65"/>
      <c r="T10" s="65"/>
      <c r="U10" s="115">
        <f>sept2021[[#This Row],[сумма]]-sept2021[[#This Row],[Цема м2 отделки]]*sept2021[[#This Row],[м2]]</f>
        <v>0</v>
      </c>
    </row>
    <row r="11" spans="1:21" s="61" customFormat="1">
      <c r="A11" s="62">
        <v>9</v>
      </c>
      <c r="B11" s="75">
        <v>27288</v>
      </c>
      <c r="C11" s="62" t="s">
        <v>13</v>
      </c>
      <c r="D11" s="75">
        <v>86</v>
      </c>
      <c r="E11" s="62">
        <v>1</v>
      </c>
      <c r="F11" s="62">
        <v>37.729999999999997</v>
      </c>
      <c r="G11" s="62" t="s">
        <v>9</v>
      </c>
      <c r="H11" s="62"/>
      <c r="I11" s="95">
        <v>3824799.14</v>
      </c>
      <c r="J11" s="117" t="s">
        <v>14</v>
      </c>
      <c r="K11" s="62" t="s">
        <v>16</v>
      </c>
      <c r="L11" s="62" t="s">
        <v>583</v>
      </c>
      <c r="M11" s="62" t="s">
        <v>18</v>
      </c>
      <c r="N11" s="92">
        <v>45243</v>
      </c>
      <c r="O11" s="117" t="s">
        <v>17</v>
      </c>
      <c r="P11" s="76" t="s">
        <v>1762</v>
      </c>
      <c r="Q11" s="76" t="s">
        <v>67</v>
      </c>
      <c r="R11" s="76" t="s">
        <v>67</v>
      </c>
      <c r="S11" s="117" t="s">
        <v>14</v>
      </c>
      <c r="T11" s="117" t="s">
        <v>14</v>
      </c>
      <c r="U11" s="114">
        <f>sept2021[[#This Row],[сумма]]-sept2021[[#This Row],[Цема м2 отделки]]*sept2021[[#This Row],[м2]]</f>
        <v>3824799.14</v>
      </c>
    </row>
    <row r="12" spans="1:21" s="438" customFormat="1">
      <c r="A12" s="65"/>
      <c r="B12" s="79"/>
      <c r="C12" s="65"/>
      <c r="D12" s="79"/>
      <c r="E12" s="65"/>
      <c r="F12" s="65"/>
      <c r="G12" s="65"/>
      <c r="H12" s="65"/>
      <c r="I12" s="106"/>
      <c r="J12" s="80"/>
      <c r="K12" s="65"/>
      <c r="L12" s="65"/>
      <c r="M12" s="65"/>
      <c r="N12" s="98"/>
      <c r="O12" s="80"/>
      <c r="P12" s="65"/>
      <c r="Q12" s="118"/>
      <c r="R12" s="118"/>
      <c r="S12" s="80"/>
      <c r="T12" s="80"/>
      <c r="U12" s="115">
        <f>sept2021[[#This Row],[сумма]]-sept2021[[#This Row],[Цема м2 отделки]]*sept2021[[#This Row],[м2]]</f>
        <v>0</v>
      </c>
    </row>
    <row r="13" spans="1:21" s="368" customFormat="1">
      <c r="A13" s="369">
        <v>11</v>
      </c>
      <c r="B13" s="440">
        <v>27732</v>
      </c>
      <c r="C13" s="369" t="s">
        <v>7</v>
      </c>
      <c r="D13" s="440">
        <v>48</v>
      </c>
      <c r="E13" s="369">
        <v>0</v>
      </c>
      <c r="F13" s="369">
        <v>21.73</v>
      </c>
      <c r="G13" s="446" t="s">
        <v>15</v>
      </c>
      <c r="H13" s="446">
        <v>7500</v>
      </c>
      <c r="I13" s="457">
        <v>2970412.77</v>
      </c>
      <c r="J13" s="456" t="s">
        <v>20</v>
      </c>
      <c r="K13" s="369" t="s">
        <v>22</v>
      </c>
      <c r="L13" s="864" t="s">
        <v>583</v>
      </c>
      <c r="M13" s="369" t="s">
        <v>18</v>
      </c>
      <c r="N13" s="451">
        <v>45236</v>
      </c>
      <c r="O13" s="456" t="s">
        <v>17</v>
      </c>
      <c r="P13" s="446" t="s">
        <v>1763</v>
      </c>
      <c r="Q13" s="372" t="s">
        <v>67</v>
      </c>
      <c r="R13" s="372" t="s">
        <v>67</v>
      </c>
      <c r="S13" s="456" t="s">
        <v>20</v>
      </c>
      <c r="T13" s="456" t="s">
        <v>20</v>
      </c>
      <c r="U13" s="373">
        <f>sept2021[[#This Row],[сумма]]-sept2021[[#This Row],[Цема м2 отделки]]*sept2021[[#This Row],[м2]]</f>
        <v>2807437.77</v>
      </c>
    </row>
    <row r="14" spans="1:21" s="368" customFormat="1">
      <c r="A14" s="369">
        <v>12</v>
      </c>
      <c r="B14" s="440">
        <v>27685</v>
      </c>
      <c r="C14" s="369" t="s">
        <v>13</v>
      </c>
      <c r="D14" s="440">
        <v>295</v>
      </c>
      <c r="E14" s="369">
        <v>2</v>
      </c>
      <c r="F14" s="369">
        <v>60.24</v>
      </c>
      <c r="G14" s="369" t="s">
        <v>9</v>
      </c>
      <c r="H14" s="369">
        <v>0</v>
      </c>
      <c r="I14" s="450">
        <v>5089902.38</v>
      </c>
      <c r="J14" s="456" t="s">
        <v>20</v>
      </c>
      <c r="K14" s="369" t="s">
        <v>22</v>
      </c>
      <c r="L14" s="369" t="s">
        <v>583</v>
      </c>
      <c r="M14" s="369" t="s">
        <v>18</v>
      </c>
      <c r="N14" s="451">
        <v>45246</v>
      </c>
      <c r="O14" s="456" t="s">
        <v>17</v>
      </c>
      <c r="P14" s="369" t="s">
        <v>1764</v>
      </c>
      <c r="Q14" s="372" t="s">
        <v>67</v>
      </c>
      <c r="R14" s="372" t="s">
        <v>67</v>
      </c>
      <c r="S14" s="456" t="s">
        <v>20</v>
      </c>
      <c r="T14" s="456" t="s">
        <v>20</v>
      </c>
      <c r="U14" s="373">
        <f>sept2021[[#This Row],[сумма]]-sept2021[[#This Row],[Цема м2 отделки]]*sept2021[[#This Row],[м2]]</f>
        <v>5089902.38</v>
      </c>
    </row>
    <row r="15" spans="1:21" s="368" customFormat="1">
      <c r="A15" s="369">
        <v>13</v>
      </c>
      <c r="B15" s="440">
        <v>27643</v>
      </c>
      <c r="C15" s="369" t="s">
        <v>13</v>
      </c>
      <c r="D15" s="440">
        <v>254</v>
      </c>
      <c r="E15" s="369">
        <v>1</v>
      </c>
      <c r="F15" s="369">
        <v>37.81</v>
      </c>
      <c r="G15" s="369" t="s">
        <v>25</v>
      </c>
      <c r="H15" s="369">
        <v>22000</v>
      </c>
      <c r="I15" s="450">
        <v>4609836.03</v>
      </c>
      <c r="J15" s="456" t="s">
        <v>20</v>
      </c>
      <c r="K15" s="369" t="s">
        <v>16</v>
      </c>
      <c r="L15" s="369" t="s">
        <v>583</v>
      </c>
      <c r="M15" s="369" t="s">
        <v>18</v>
      </c>
      <c r="N15" s="451">
        <v>45243</v>
      </c>
      <c r="O15" s="456" t="s">
        <v>17</v>
      </c>
      <c r="P15" s="369" t="s">
        <v>1765</v>
      </c>
      <c r="Q15" s="372" t="s">
        <v>67</v>
      </c>
      <c r="R15" s="372" t="s">
        <v>67</v>
      </c>
      <c r="S15" s="456" t="s">
        <v>20</v>
      </c>
      <c r="T15" s="456" t="s">
        <v>8</v>
      </c>
      <c r="U15" s="373">
        <f>sept2021[[#This Row],[сумма]]-sept2021[[#This Row],[Цема м2 отделки]]*sept2021[[#This Row],[м2]]</f>
        <v>3778016.0300000003</v>
      </c>
    </row>
    <row r="16" spans="1:21">
      <c r="A16" s="65">
        <v>14</v>
      </c>
      <c r="B16" s="79"/>
      <c r="C16" s="65"/>
      <c r="D16" s="79"/>
      <c r="E16" s="65"/>
      <c r="F16" s="65"/>
      <c r="G16" s="65"/>
      <c r="H16" s="65"/>
      <c r="I16" s="93"/>
      <c r="J16" s="80"/>
      <c r="K16" s="65"/>
      <c r="L16" s="65"/>
      <c r="M16" s="65"/>
      <c r="N16" s="98"/>
      <c r="O16" s="80"/>
      <c r="P16" s="65"/>
      <c r="Q16" s="118"/>
      <c r="R16" s="118"/>
      <c r="S16" s="80"/>
      <c r="T16" s="80"/>
      <c r="U16" s="115">
        <f>sept2021[[#This Row],[сумма]]-sept2021[[#This Row],[Цема м2 отделки]]*sept2021[[#This Row],[м2]]</f>
        <v>0</v>
      </c>
    </row>
    <row r="17" spans="1:21">
      <c r="A17" s="65"/>
      <c r="B17" s="79"/>
      <c r="C17" s="65"/>
      <c r="D17" s="79"/>
      <c r="E17" s="65"/>
      <c r="F17" s="65"/>
      <c r="G17" s="65"/>
      <c r="H17" s="65"/>
      <c r="I17" s="93"/>
      <c r="J17" s="65"/>
      <c r="K17" s="65"/>
      <c r="L17" s="107">
        <v>1</v>
      </c>
      <c r="M17" s="65" t="s">
        <v>18</v>
      </c>
      <c r="N17" s="98"/>
      <c r="O17" s="80" t="s">
        <v>17</v>
      </c>
      <c r="P17" s="65"/>
      <c r="Q17" s="118"/>
      <c r="R17" s="86"/>
      <c r="S17" s="65"/>
      <c r="U17" s="115">
        <f>sept2021[[#This Row],[сумма]]-sept2021[[#This Row],[Цема м2 отделки]]*sept2021[[#This Row],[м2]]</f>
        <v>0</v>
      </c>
    </row>
    <row r="18" spans="1:21" s="61" customFormat="1">
      <c r="A18" s="62">
        <v>16</v>
      </c>
      <c r="B18" s="75">
        <v>27246</v>
      </c>
      <c r="C18" s="62" t="s">
        <v>7</v>
      </c>
      <c r="D18" s="75">
        <v>385</v>
      </c>
      <c r="E18" s="62">
        <v>2</v>
      </c>
      <c r="F18" s="62">
        <v>56.7</v>
      </c>
      <c r="G18" s="62" t="s">
        <v>15</v>
      </c>
      <c r="H18" s="62">
        <v>7500</v>
      </c>
      <c r="I18" s="95">
        <v>5889389.9000000004</v>
      </c>
      <c r="J18" s="117" t="s">
        <v>73</v>
      </c>
      <c r="K18" s="62" t="s">
        <v>22</v>
      </c>
      <c r="L18" s="62" t="s">
        <v>583</v>
      </c>
      <c r="M18" s="62" t="s">
        <v>18</v>
      </c>
      <c r="N18" s="92">
        <v>45236</v>
      </c>
      <c r="O18" s="117" t="s">
        <v>17</v>
      </c>
      <c r="P18" s="76" t="s">
        <v>1722</v>
      </c>
      <c r="Q18" s="113" t="s">
        <v>67</v>
      </c>
      <c r="R18" s="113"/>
      <c r="S18" s="117" t="s">
        <v>73</v>
      </c>
      <c r="T18" s="117" t="s">
        <v>73</v>
      </c>
      <c r="U18" s="114">
        <f>sept2021[[#This Row],[сумма]]-sept2021[[#This Row],[Цема м2 отделки]]*sept2021[[#This Row],[м2]]</f>
        <v>5464139.9000000004</v>
      </c>
    </row>
    <row r="19" spans="1:21">
      <c r="A19" s="65">
        <v>17</v>
      </c>
      <c r="B19" s="79"/>
      <c r="C19" s="65"/>
      <c r="D19" s="79"/>
      <c r="E19" s="65"/>
      <c r="F19" s="65"/>
      <c r="G19" s="65"/>
      <c r="H19" s="65"/>
      <c r="I19" s="93"/>
      <c r="J19" s="80"/>
      <c r="K19" s="65"/>
      <c r="L19" s="65"/>
      <c r="M19" s="65"/>
      <c r="N19" s="98"/>
      <c r="O19" s="80"/>
      <c r="P19" s="86"/>
      <c r="Q19" s="118"/>
      <c r="R19" s="118"/>
      <c r="S19" s="80"/>
      <c r="T19" s="80"/>
      <c r="U19" s="115">
        <f>sept2021[[#This Row],[сумма]]-sept2021[[#This Row],[Цема м2 отделки]]*sept2021[[#This Row],[м2]]</f>
        <v>0</v>
      </c>
    </row>
    <row r="20" spans="1:21" s="61" customFormat="1" ht="15">
      <c r="A20" s="62">
        <v>18</v>
      </c>
      <c r="B20" s="75">
        <v>27751</v>
      </c>
      <c r="C20" s="62" t="s">
        <v>13</v>
      </c>
      <c r="D20" s="75">
        <v>235</v>
      </c>
      <c r="E20" s="62">
        <v>1</v>
      </c>
      <c r="F20" s="62">
        <v>34.81</v>
      </c>
      <c r="G20" s="62" t="s">
        <v>9</v>
      </c>
      <c r="H20" s="62"/>
      <c r="I20" s="95">
        <v>3637805.47</v>
      </c>
      <c r="J20" s="117" t="s">
        <v>8</v>
      </c>
      <c r="K20" s="62" t="s">
        <v>22</v>
      </c>
      <c r="L20" s="62" t="s">
        <v>583</v>
      </c>
      <c r="M20" s="62" t="s">
        <v>18</v>
      </c>
      <c r="N20" s="92">
        <v>45233</v>
      </c>
      <c r="O20" s="117" t="s">
        <v>17</v>
      </c>
      <c r="P20" s="547" t="s">
        <v>1766</v>
      </c>
      <c r="Q20" s="113" t="s">
        <v>67</v>
      </c>
      <c r="R20" s="113" t="s">
        <v>67</v>
      </c>
      <c r="S20" s="117" t="s">
        <v>8</v>
      </c>
      <c r="T20" s="117" t="s">
        <v>8</v>
      </c>
      <c r="U20" s="114">
        <f>sept2021[[#This Row],[сумма]]-sept2021[[#This Row],[Цема м2 отделки]]*sept2021[[#This Row],[м2]]</f>
        <v>3637805.47</v>
      </c>
    </row>
    <row r="21" spans="1:21" s="61" customFormat="1">
      <c r="A21" s="62">
        <v>19</v>
      </c>
      <c r="B21" s="74">
        <v>27156</v>
      </c>
      <c r="C21" s="62" t="s">
        <v>7</v>
      </c>
      <c r="D21" s="75">
        <v>533</v>
      </c>
      <c r="E21" s="62">
        <v>2</v>
      </c>
      <c r="F21" s="62">
        <v>58.62</v>
      </c>
      <c r="G21" s="62" t="s">
        <v>9</v>
      </c>
      <c r="H21" s="62"/>
      <c r="I21" s="95">
        <v>5349001.7300000004</v>
      </c>
      <c r="J21" s="117" t="s">
        <v>8</v>
      </c>
      <c r="K21" s="62" t="s">
        <v>22</v>
      </c>
      <c r="L21" s="62" t="s">
        <v>583</v>
      </c>
      <c r="M21" s="62" t="s">
        <v>18</v>
      </c>
      <c r="N21" s="92">
        <v>45243</v>
      </c>
      <c r="O21" s="117" t="s">
        <v>17</v>
      </c>
      <c r="P21" s="62" t="s">
        <v>1767</v>
      </c>
      <c r="Q21" s="113" t="s">
        <v>67</v>
      </c>
      <c r="R21" s="113"/>
      <c r="S21" s="117" t="s">
        <v>8</v>
      </c>
      <c r="T21" s="117" t="s">
        <v>8</v>
      </c>
      <c r="U21" s="114">
        <f>sept2021[[#This Row],[сумма]]-sept2021[[#This Row],[Цема м2 отделки]]*sept2021[[#This Row],[м2]]</f>
        <v>5349001.7300000004</v>
      </c>
    </row>
    <row r="22" spans="1:21" s="61" customFormat="1">
      <c r="A22" s="62">
        <v>20</v>
      </c>
      <c r="B22" s="75">
        <v>12704</v>
      </c>
      <c r="C22" s="62" t="s">
        <v>7</v>
      </c>
      <c r="D22" s="75">
        <v>202</v>
      </c>
      <c r="E22" s="62">
        <v>2</v>
      </c>
      <c r="F22" s="62">
        <v>68.75</v>
      </c>
      <c r="G22" s="62" t="s">
        <v>15</v>
      </c>
      <c r="H22" s="62">
        <v>7500</v>
      </c>
      <c r="I22" s="95">
        <v>6293701.04</v>
      </c>
      <c r="J22" s="117" t="s">
        <v>8</v>
      </c>
      <c r="K22" s="62" t="s">
        <v>22</v>
      </c>
      <c r="L22" s="62" t="s">
        <v>583</v>
      </c>
      <c r="M22" s="62" t="s">
        <v>12</v>
      </c>
      <c r="N22" s="92">
        <v>45244</v>
      </c>
      <c r="O22" s="117" t="s">
        <v>17</v>
      </c>
      <c r="P22" s="62" t="s">
        <v>1768</v>
      </c>
      <c r="Q22" s="113" t="s">
        <v>67</v>
      </c>
      <c r="R22" s="113" t="s">
        <v>1769</v>
      </c>
      <c r="S22" s="117" t="s">
        <v>8</v>
      </c>
      <c r="T22" s="117" t="s">
        <v>8</v>
      </c>
      <c r="U22" s="114">
        <f>sept2021[[#This Row],[сумма]]-sept2021[[#This Row],[Цема м2 отделки]]*sept2021[[#This Row],[м2]]</f>
        <v>5778076.04</v>
      </c>
    </row>
    <row r="23" spans="1:21" s="61" customFormat="1">
      <c r="A23" s="62">
        <v>21</v>
      </c>
      <c r="B23" s="75">
        <v>24072</v>
      </c>
      <c r="C23" s="62" t="s">
        <v>7</v>
      </c>
      <c r="D23" s="75">
        <v>218</v>
      </c>
      <c r="E23" s="62">
        <v>2</v>
      </c>
      <c r="F23" s="62">
        <v>68.75</v>
      </c>
      <c r="G23" s="62" t="s">
        <v>9</v>
      </c>
      <c r="H23" s="62"/>
      <c r="I23" s="95">
        <v>6025868.75</v>
      </c>
      <c r="J23" s="117" t="s">
        <v>8</v>
      </c>
      <c r="K23" s="62" t="s">
        <v>16</v>
      </c>
      <c r="L23" s="62" t="s">
        <v>583</v>
      </c>
      <c r="M23" s="62" t="s">
        <v>12</v>
      </c>
      <c r="N23" s="92">
        <v>45257</v>
      </c>
      <c r="O23" s="117" t="s">
        <v>17</v>
      </c>
      <c r="P23" s="62" t="s">
        <v>1770</v>
      </c>
      <c r="Q23" s="76" t="s">
        <v>67</v>
      </c>
      <c r="R23" s="76" t="s">
        <v>1771</v>
      </c>
      <c r="S23" s="117" t="s">
        <v>8</v>
      </c>
      <c r="T23" s="117" t="s">
        <v>8</v>
      </c>
      <c r="U23" s="114">
        <f>sept2021[[#This Row],[сумма]]-sept2021[[#This Row],[Цема м2 отделки]]*sept2021[[#This Row],[м2]]</f>
        <v>6025868.75</v>
      </c>
    </row>
    <row r="24" spans="1:21" s="61" customFormat="1">
      <c r="A24" s="62">
        <v>22</v>
      </c>
      <c r="B24" s="75">
        <v>27414</v>
      </c>
      <c r="C24" s="62" t="s">
        <v>7</v>
      </c>
      <c r="D24" s="75">
        <v>343</v>
      </c>
      <c r="E24" s="62">
        <v>2</v>
      </c>
      <c r="F24" s="62">
        <v>56.7</v>
      </c>
      <c r="G24" s="62" t="s">
        <v>25</v>
      </c>
      <c r="H24" s="62">
        <v>22000</v>
      </c>
      <c r="I24" s="95">
        <v>6162513.9199999999</v>
      </c>
      <c r="J24" s="348" t="s">
        <v>14</v>
      </c>
      <c r="K24" s="62" t="s">
        <v>16</v>
      </c>
      <c r="L24" s="62" t="s">
        <v>583</v>
      </c>
      <c r="M24" s="62" t="s">
        <v>18</v>
      </c>
      <c r="N24" s="92">
        <v>45255</v>
      </c>
      <c r="O24" s="62" t="s">
        <v>1772</v>
      </c>
      <c r="P24" s="62" t="s">
        <v>1773</v>
      </c>
      <c r="Q24" s="76" t="s">
        <v>67</v>
      </c>
      <c r="R24" s="76"/>
      <c r="S24" s="62" t="s">
        <v>14</v>
      </c>
      <c r="T24" s="62" t="s">
        <v>14</v>
      </c>
      <c r="U24" s="114">
        <f>sept2021[[#This Row],[сумма]]-sept2021[[#This Row],[Цема м2 отделки]]*sept2021[[#This Row],[м2]]</f>
        <v>4915113.92</v>
      </c>
    </row>
    <row r="25" spans="1:21" s="438" customFormat="1">
      <c r="A25" s="65">
        <v>23</v>
      </c>
      <c r="B25" s="79">
        <v>27644</v>
      </c>
      <c r="C25" s="65" t="s">
        <v>7</v>
      </c>
      <c r="D25" s="79"/>
      <c r="E25" s="65"/>
      <c r="F25" s="65"/>
      <c r="G25" s="65"/>
      <c r="H25" s="65"/>
      <c r="I25" s="93"/>
      <c r="J25" s="80"/>
      <c r="K25" s="65"/>
      <c r="L25" s="65"/>
      <c r="M25" s="65"/>
      <c r="N25" s="98"/>
      <c r="O25" s="80" t="s">
        <v>17</v>
      </c>
      <c r="P25" s="65"/>
      <c r="Q25" s="86"/>
      <c r="R25" s="86"/>
      <c r="S25" s="80"/>
      <c r="T25" s="80"/>
      <c r="U25" s="115">
        <f>sept2021[[#This Row],[сумма]]-sept2021[[#This Row],[Цема м2 отделки]]*sept2021[[#This Row],[м2]]</f>
        <v>0</v>
      </c>
    </row>
    <row r="26" spans="1:21" s="61" customFormat="1">
      <c r="A26" s="62">
        <v>24</v>
      </c>
      <c r="B26" s="75">
        <v>27920</v>
      </c>
      <c r="C26" s="62" t="s">
        <v>7</v>
      </c>
      <c r="D26" s="75">
        <v>493</v>
      </c>
      <c r="E26" s="349">
        <v>1</v>
      </c>
      <c r="F26" s="62">
        <v>38.6</v>
      </c>
      <c r="G26" s="62" t="s">
        <v>15</v>
      </c>
      <c r="H26" s="348">
        <v>7500</v>
      </c>
      <c r="I26" s="352">
        <v>4291194.8099999996</v>
      </c>
      <c r="J26" s="348" t="s">
        <v>20</v>
      </c>
      <c r="K26" s="62" t="s">
        <v>16</v>
      </c>
      <c r="L26" s="62" t="s">
        <v>583</v>
      </c>
      <c r="M26" s="62" t="s">
        <v>18</v>
      </c>
      <c r="N26" s="92">
        <v>45243</v>
      </c>
      <c r="O26" s="62" t="s">
        <v>17</v>
      </c>
      <c r="P26" s="62" t="s">
        <v>1774</v>
      </c>
      <c r="Q26" s="76" t="s">
        <v>67</v>
      </c>
      <c r="R26" s="76"/>
      <c r="S26" s="62" t="s">
        <v>20</v>
      </c>
      <c r="T26" s="62" t="s">
        <v>20</v>
      </c>
      <c r="U26" s="114">
        <f>sept2021[[#This Row],[сумма]]-sept2021[[#This Row],[Цема м2 отделки]]*sept2021[[#This Row],[м2]]</f>
        <v>4001694.8099999996</v>
      </c>
    </row>
    <row r="27" spans="1:21" s="61" customFormat="1">
      <c r="A27" s="62">
        <v>25</v>
      </c>
      <c r="B27" s="75">
        <v>27730</v>
      </c>
      <c r="C27" s="62" t="s">
        <v>7</v>
      </c>
      <c r="D27" s="75">
        <v>110</v>
      </c>
      <c r="E27" s="349">
        <v>2</v>
      </c>
      <c r="F27" s="62">
        <v>59.87</v>
      </c>
      <c r="G27" s="62" t="s">
        <v>9</v>
      </c>
      <c r="H27" s="348"/>
      <c r="I27" s="352">
        <v>5497183.1600000001</v>
      </c>
      <c r="J27" s="348" t="s">
        <v>8</v>
      </c>
      <c r="K27" s="62" t="s">
        <v>16</v>
      </c>
      <c r="L27" s="117" t="s">
        <v>583</v>
      </c>
      <c r="M27" s="62" t="s">
        <v>18</v>
      </c>
      <c r="N27" s="92">
        <v>45257</v>
      </c>
      <c r="O27" s="62" t="s">
        <v>17</v>
      </c>
      <c r="P27" s="117" t="s">
        <v>1775</v>
      </c>
      <c r="Q27" s="377" t="s">
        <v>67</v>
      </c>
      <c r="R27" s="76"/>
      <c r="S27" s="62" t="s">
        <v>8</v>
      </c>
      <c r="T27" s="62" t="s">
        <v>8</v>
      </c>
      <c r="U27" s="114">
        <f>sept2021[[#This Row],[сумма]]-sept2021[[#This Row],[Цема м2 отделки]]*sept2021[[#This Row],[м2]]</f>
        <v>5497183.1600000001</v>
      </c>
    </row>
    <row r="28" spans="1:21" s="61" customFormat="1">
      <c r="A28" s="62">
        <v>26</v>
      </c>
      <c r="B28" s="75">
        <v>28223</v>
      </c>
      <c r="C28" s="62" t="s">
        <v>7</v>
      </c>
      <c r="D28" s="75">
        <v>243</v>
      </c>
      <c r="E28" s="62">
        <v>0</v>
      </c>
      <c r="F28" s="62">
        <v>36.450000000000003</v>
      </c>
      <c r="G28" s="62" t="s">
        <v>9</v>
      </c>
      <c r="H28" s="62"/>
      <c r="I28" s="95">
        <v>3697833.18</v>
      </c>
      <c r="J28" s="117" t="s">
        <v>8</v>
      </c>
      <c r="K28" s="62" t="s">
        <v>22</v>
      </c>
      <c r="L28" s="62" t="s">
        <v>583</v>
      </c>
      <c r="M28" s="62" t="s">
        <v>18</v>
      </c>
      <c r="N28" s="92">
        <v>45257</v>
      </c>
      <c r="O28" s="117" t="s">
        <v>17</v>
      </c>
      <c r="P28" s="62" t="s">
        <v>1776</v>
      </c>
      <c r="Q28" s="76" t="s">
        <v>67</v>
      </c>
      <c r="R28" s="76" t="s">
        <v>1777</v>
      </c>
      <c r="S28" s="117" t="s">
        <v>8</v>
      </c>
      <c r="T28" s="117" t="s">
        <v>8</v>
      </c>
      <c r="U28" s="114">
        <f>sept2021[[#This Row],[сумма]]-sept2021[[#This Row],[Цема м2 отделки]]*sept2021[[#This Row],[м2]]</f>
        <v>3697833.18</v>
      </c>
    </row>
    <row r="29" spans="1:21" s="61" customFormat="1">
      <c r="A29" s="62">
        <v>27</v>
      </c>
      <c r="B29" s="75">
        <v>11950</v>
      </c>
      <c r="C29" s="62" t="s">
        <v>7</v>
      </c>
      <c r="D29" s="75">
        <v>509</v>
      </c>
      <c r="E29" s="62">
        <v>1</v>
      </c>
      <c r="F29" s="62">
        <v>44.37</v>
      </c>
      <c r="G29" s="62" t="s">
        <v>15</v>
      </c>
      <c r="H29" s="62">
        <v>7500</v>
      </c>
      <c r="I29" s="95">
        <v>4626908.04</v>
      </c>
      <c r="J29" s="117" t="s">
        <v>8</v>
      </c>
      <c r="K29" s="62" t="s">
        <v>22</v>
      </c>
      <c r="L29" s="62" t="s">
        <v>583</v>
      </c>
      <c r="M29" s="62" t="s">
        <v>18</v>
      </c>
      <c r="N29" s="92">
        <v>45243</v>
      </c>
      <c r="O29" s="117" t="s">
        <v>17</v>
      </c>
      <c r="P29" s="62" t="s">
        <v>1778</v>
      </c>
      <c r="Q29" s="76" t="s">
        <v>67</v>
      </c>
      <c r="R29" s="76"/>
      <c r="S29" s="117" t="s">
        <v>8</v>
      </c>
      <c r="T29" s="117" t="s">
        <v>8</v>
      </c>
      <c r="U29" s="114">
        <f>sept2021[[#This Row],[сумма]]-sept2021[[#This Row],[Цема м2 отделки]]*sept2021[[#This Row],[м2]]</f>
        <v>4294133.04</v>
      </c>
    </row>
    <row r="30" spans="1:21">
      <c r="A30" s="62">
        <v>28</v>
      </c>
      <c r="B30" s="75">
        <v>27962</v>
      </c>
      <c r="C30" s="62" t="s">
        <v>13</v>
      </c>
      <c r="D30" s="75">
        <v>570</v>
      </c>
      <c r="E30" s="62">
        <v>1</v>
      </c>
      <c r="F30" s="62">
        <v>38.299999999999997</v>
      </c>
      <c r="G30" s="62" t="s">
        <v>15</v>
      </c>
      <c r="H30" s="62">
        <v>7500</v>
      </c>
      <c r="I30" s="95">
        <v>4144861.65</v>
      </c>
      <c r="J30" s="117" t="s">
        <v>8</v>
      </c>
      <c r="K30" s="62" t="s">
        <v>22</v>
      </c>
      <c r="L30" s="62" t="s">
        <v>583</v>
      </c>
      <c r="M30" s="62" t="s">
        <v>18</v>
      </c>
      <c r="N30" s="92">
        <v>45248</v>
      </c>
      <c r="O30" s="117" t="s">
        <v>17</v>
      </c>
      <c r="P30" s="62" t="s">
        <v>1779</v>
      </c>
      <c r="Q30" s="76" t="s">
        <v>67</v>
      </c>
      <c r="R30" s="76" t="s">
        <v>1780</v>
      </c>
      <c r="S30" s="117" t="s">
        <v>8</v>
      </c>
      <c r="T30" s="117" t="s">
        <v>8</v>
      </c>
      <c r="U30" s="114">
        <f>sept2021[[#This Row],[сумма]]-sept2021[[#This Row],[Цема м2 отделки]]*sept2021[[#This Row],[м2]]</f>
        <v>3857611.65</v>
      </c>
    </row>
    <row r="31" spans="1:21" s="368" customFormat="1">
      <c r="A31" s="369">
        <v>29</v>
      </c>
      <c r="B31" s="440">
        <v>27894</v>
      </c>
      <c r="C31" s="369" t="s">
        <v>7</v>
      </c>
      <c r="D31" s="440">
        <v>160</v>
      </c>
      <c r="E31" s="369">
        <v>1</v>
      </c>
      <c r="F31" s="369">
        <v>33.79</v>
      </c>
      <c r="G31" s="369" t="s">
        <v>15</v>
      </c>
      <c r="H31" s="369">
        <v>7500</v>
      </c>
      <c r="I31" s="450">
        <v>4075857.59</v>
      </c>
      <c r="J31" s="456" t="s">
        <v>8</v>
      </c>
      <c r="K31" s="369" t="s">
        <v>16</v>
      </c>
      <c r="L31" s="369" t="s">
        <v>583</v>
      </c>
      <c r="M31" s="369" t="s">
        <v>18</v>
      </c>
      <c r="N31" s="451">
        <v>45239</v>
      </c>
      <c r="O31" s="456" t="s">
        <v>17</v>
      </c>
      <c r="P31" s="369" t="s">
        <v>1781</v>
      </c>
      <c r="Q31" s="372" t="s">
        <v>67</v>
      </c>
      <c r="R31" s="372"/>
      <c r="S31" s="456" t="s">
        <v>8</v>
      </c>
      <c r="T31" s="456" t="s">
        <v>8</v>
      </c>
      <c r="U31" s="373">
        <f>sept2021[[#This Row],[сумма]]-sept2021[[#This Row],[Цема м2 отделки]]*sept2021[[#This Row],[м2]]</f>
        <v>3822432.59</v>
      </c>
    </row>
    <row r="32" spans="1:21" s="368" customFormat="1">
      <c r="A32" s="369">
        <v>30</v>
      </c>
      <c r="B32" s="440">
        <v>27416</v>
      </c>
      <c r="C32" s="369" t="s">
        <v>13</v>
      </c>
      <c r="D32" s="440">
        <v>82</v>
      </c>
      <c r="E32" s="449">
        <v>2</v>
      </c>
      <c r="F32" s="440">
        <v>58.16</v>
      </c>
      <c r="G32" s="369" t="s">
        <v>25</v>
      </c>
      <c r="H32" s="460">
        <v>22000</v>
      </c>
      <c r="I32" s="450">
        <v>6403744.0199999996</v>
      </c>
      <c r="J32" s="369" t="s">
        <v>14</v>
      </c>
      <c r="K32" s="369" t="s">
        <v>16</v>
      </c>
      <c r="L32" s="369" t="s">
        <v>583</v>
      </c>
      <c r="M32" s="369" t="s">
        <v>18</v>
      </c>
      <c r="N32" s="451">
        <v>45241</v>
      </c>
      <c r="O32" s="369" t="s">
        <v>17</v>
      </c>
      <c r="P32" s="369" t="s">
        <v>1782</v>
      </c>
      <c r="Q32" s="372" t="s">
        <v>67</v>
      </c>
      <c r="R32" s="372"/>
      <c r="S32" s="369" t="s">
        <v>14</v>
      </c>
      <c r="T32" s="369" t="s">
        <v>14</v>
      </c>
      <c r="U32" s="373">
        <f>sept2021[[#This Row],[сумма]]-sept2021[[#This Row],[Цема м2 отделки]]*sept2021[[#This Row],[м2]]</f>
        <v>5124224.0199999996</v>
      </c>
    </row>
    <row r="33" spans="1:21" s="368" customFormat="1">
      <c r="A33" s="369">
        <v>31</v>
      </c>
      <c r="B33" s="440">
        <v>27905</v>
      </c>
      <c r="C33" s="369" t="s">
        <v>7</v>
      </c>
      <c r="D33" s="440">
        <v>242</v>
      </c>
      <c r="E33" s="369">
        <v>2</v>
      </c>
      <c r="F33" s="369">
        <v>67.95</v>
      </c>
      <c r="G33" s="369" t="s">
        <v>9</v>
      </c>
      <c r="H33" s="369"/>
      <c r="I33" s="865">
        <v>5836634.5599999996</v>
      </c>
      <c r="J33" s="456" t="s">
        <v>14</v>
      </c>
      <c r="K33" s="369" t="s">
        <v>16</v>
      </c>
      <c r="L33" s="369" t="s">
        <v>583</v>
      </c>
      <c r="M33" s="369" t="s">
        <v>18</v>
      </c>
      <c r="N33" s="451">
        <v>45245</v>
      </c>
      <c r="O33" s="456" t="s">
        <v>17</v>
      </c>
      <c r="P33" s="369" t="s">
        <v>1783</v>
      </c>
      <c r="Q33" s="372" t="s">
        <v>67</v>
      </c>
      <c r="R33" s="372" t="s">
        <v>1784</v>
      </c>
      <c r="S33" s="456" t="s">
        <v>14</v>
      </c>
      <c r="T33" s="456" t="s">
        <v>14</v>
      </c>
      <c r="U33" s="373">
        <f>sept2021[[#This Row],[сумма]]-sept2021[[#This Row],[Цема м2 отделки]]*sept2021[[#This Row],[м2]]</f>
        <v>5836634.5599999996</v>
      </c>
    </row>
    <row r="34" spans="1:21" s="368" customFormat="1">
      <c r="A34" s="369">
        <v>32</v>
      </c>
      <c r="B34" s="440">
        <v>26952</v>
      </c>
      <c r="C34" s="369" t="s">
        <v>13</v>
      </c>
      <c r="D34" s="440">
        <v>76</v>
      </c>
      <c r="E34" s="369">
        <v>1</v>
      </c>
      <c r="F34" s="369">
        <v>42.75</v>
      </c>
      <c r="G34" s="369" t="s">
        <v>15</v>
      </c>
      <c r="H34" s="369">
        <v>7500</v>
      </c>
      <c r="I34" s="450">
        <v>4357303.16</v>
      </c>
      <c r="J34" s="456" t="s">
        <v>14</v>
      </c>
      <c r="K34" s="369" t="s">
        <v>10</v>
      </c>
      <c r="L34" s="864">
        <v>1</v>
      </c>
      <c r="M34" s="369" t="s">
        <v>18</v>
      </c>
      <c r="N34" s="451">
        <v>45251</v>
      </c>
      <c r="O34" s="456" t="s">
        <v>17</v>
      </c>
      <c r="P34" s="369" t="s">
        <v>1748</v>
      </c>
      <c r="Q34" s="446" t="s">
        <v>67</v>
      </c>
      <c r="R34" s="446"/>
      <c r="S34" s="456" t="s">
        <v>14</v>
      </c>
      <c r="T34" s="456" t="s">
        <v>14</v>
      </c>
      <c r="U34" s="373">
        <f>sept2021[[#This Row],[сумма]]-sept2021[[#This Row],[Цема м2 отделки]]*sept2021[[#This Row],[м2]]</f>
        <v>4036678.16</v>
      </c>
    </row>
    <row r="35" spans="1:21" s="438" customFormat="1">
      <c r="A35" s="65"/>
      <c r="B35" s="77"/>
      <c r="C35" s="65"/>
      <c r="D35" s="65"/>
      <c r="E35" s="65"/>
      <c r="F35" s="79"/>
      <c r="G35" s="65"/>
      <c r="H35" s="65"/>
      <c r="I35" s="93"/>
      <c r="J35" s="65"/>
      <c r="K35" s="65"/>
      <c r="L35" s="65"/>
      <c r="M35" s="65"/>
      <c r="N35" s="98"/>
      <c r="O35" s="80" t="s">
        <v>17</v>
      </c>
      <c r="P35" s="65"/>
      <c r="Q35" s="86"/>
      <c r="R35" s="86"/>
      <c r="S35" s="80"/>
      <c r="T35" s="80"/>
      <c r="U35" s="115">
        <f>sept2021[[#This Row],[сумма]]-sept2021[[#This Row],[Цема м2 отделки]]*sept2021[[#This Row],[м2]]</f>
        <v>0</v>
      </c>
    </row>
    <row r="36" spans="1:21">
      <c r="A36" s="65"/>
      <c r="B36" s="79"/>
      <c r="C36" s="65"/>
      <c r="D36" s="79"/>
      <c r="E36" s="65"/>
      <c r="F36" s="65"/>
      <c r="G36" s="65"/>
      <c r="H36" s="65"/>
      <c r="I36" s="93"/>
      <c r="J36" s="80"/>
      <c r="K36" s="65"/>
      <c r="L36" s="65"/>
      <c r="M36" s="65"/>
      <c r="N36" s="98"/>
      <c r="O36" s="80" t="s">
        <v>17</v>
      </c>
      <c r="P36" s="65"/>
      <c r="Q36" s="86" t="s">
        <v>491</v>
      </c>
      <c r="R36" s="86"/>
      <c r="S36" s="80"/>
      <c r="T36" s="80"/>
      <c r="U36" s="115">
        <f>sept2021[[#This Row],[сумма]]-sept2021[[#This Row],[Цема м2 отделки]]*sept2021[[#This Row],[м2]]</f>
        <v>0</v>
      </c>
    </row>
    <row r="37" spans="1:21" s="368" customFormat="1">
      <c r="A37" s="369">
        <v>35</v>
      </c>
      <c r="B37" s="440">
        <v>27744</v>
      </c>
      <c r="C37" s="369" t="s">
        <v>7</v>
      </c>
      <c r="D37" s="440">
        <v>162</v>
      </c>
      <c r="E37" s="369">
        <v>2</v>
      </c>
      <c r="F37" s="369">
        <v>57.6</v>
      </c>
      <c r="G37" s="369" t="s">
        <v>15</v>
      </c>
      <c r="H37" s="369">
        <v>7500</v>
      </c>
      <c r="I37" s="450">
        <v>5334674.42</v>
      </c>
      <c r="J37" s="456" t="s">
        <v>20</v>
      </c>
      <c r="K37" s="369" t="s">
        <v>22</v>
      </c>
      <c r="L37" s="369" t="s">
        <v>583</v>
      </c>
      <c r="M37" s="369" t="s">
        <v>18</v>
      </c>
      <c r="N37" s="451">
        <v>45254</v>
      </c>
      <c r="O37" s="456" t="s">
        <v>17</v>
      </c>
      <c r="P37" s="369" t="s">
        <v>1785</v>
      </c>
      <c r="Q37" s="446" t="s">
        <v>67</v>
      </c>
      <c r="R37" s="446" t="s">
        <v>1777</v>
      </c>
      <c r="S37" s="456" t="s">
        <v>20</v>
      </c>
      <c r="T37" s="456" t="s">
        <v>20</v>
      </c>
      <c r="U37" s="373">
        <f>sept2021[[#This Row],[сумма]]-sept2021[[#This Row],[Цема м2 отделки]]*sept2021[[#This Row],[м2]]</f>
        <v>4902674.42</v>
      </c>
    </row>
    <row r="38" spans="1:21">
      <c r="A38" s="65">
        <v>36</v>
      </c>
      <c r="B38" s="79"/>
      <c r="C38" s="65"/>
      <c r="D38" s="79"/>
      <c r="E38" s="65"/>
      <c r="F38" s="65"/>
      <c r="G38" s="65"/>
      <c r="H38" s="65"/>
      <c r="I38" s="93"/>
      <c r="J38" s="80"/>
      <c r="K38" s="65"/>
      <c r="L38" s="65"/>
      <c r="M38" s="65"/>
      <c r="N38" s="98"/>
      <c r="O38" s="80"/>
      <c r="P38" s="65"/>
      <c r="Q38" s="118"/>
      <c r="R38" s="86"/>
      <c r="S38" s="80"/>
      <c r="T38" s="80"/>
      <c r="U38" s="115">
        <f>sept2021[[#This Row],[сумма]]-sept2021[[#This Row],[Цема м2 отделки]]*sept2021[[#This Row],[м2]]</f>
        <v>0</v>
      </c>
    </row>
    <row r="39" spans="1:21" s="61" customFormat="1">
      <c r="A39" s="62">
        <v>37</v>
      </c>
      <c r="B39" s="75">
        <v>27189</v>
      </c>
      <c r="C39" s="62" t="s">
        <v>7</v>
      </c>
      <c r="D39" s="75">
        <v>234</v>
      </c>
      <c r="E39" s="62">
        <v>2</v>
      </c>
      <c r="F39" s="62">
        <v>68.75</v>
      </c>
      <c r="G39" s="62" t="s">
        <v>15</v>
      </c>
      <c r="H39" s="62">
        <v>7500</v>
      </c>
      <c r="I39" s="95">
        <v>6476166.5999999996</v>
      </c>
      <c r="J39" s="117" t="s">
        <v>14</v>
      </c>
      <c r="K39" s="62" t="s">
        <v>22</v>
      </c>
      <c r="L39" s="62" t="s">
        <v>583</v>
      </c>
      <c r="M39" s="431" t="s">
        <v>18</v>
      </c>
      <c r="N39" s="92">
        <v>45247</v>
      </c>
      <c r="O39" s="117" t="s">
        <v>17</v>
      </c>
      <c r="P39" s="62" t="s">
        <v>1786</v>
      </c>
      <c r="Q39" s="76" t="s">
        <v>67</v>
      </c>
      <c r="R39" s="76"/>
      <c r="S39" s="117" t="s">
        <v>14</v>
      </c>
      <c r="T39" s="117" t="s">
        <v>14</v>
      </c>
      <c r="U39" s="114">
        <f>sept2021[[#This Row],[сумма]]-sept2021[[#This Row],[Цема м2 отделки]]*sept2021[[#This Row],[м2]]</f>
        <v>5960541.5999999996</v>
      </c>
    </row>
    <row r="40" spans="1:21">
      <c r="A40" s="65">
        <v>38</v>
      </c>
      <c r="B40" s="78">
        <v>26983</v>
      </c>
      <c r="C40" s="65" t="s">
        <v>13</v>
      </c>
      <c r="D40" s="79">
        <v>165</v>
      </c>
      <c r="E40" s="65">
        <v>3</v>
      </c>
      <c r="F40" s="65">
        <v>84.99</v>
      </c>
      <c r="G40" s="65" t="s">
        <v>15</v>
      </c>
      <c r="H40" s="65">
        <v>7500</v>
      </c>
      <c r="I40" s="93">
        <v>7395173.6799999997</v>
      </c>
      <c r="J40" s="65" t="s">
        <v>1207</v>
      </c>
      <c r="K40" s="65" t="s">
        <v>16</v>
      </c>
      <c r="L40" s="65" t="s">
        <v>583</v>
      </c>
      <c r="M40" s="65" t="s">
        <v>12</v>
      </c>
      <c r="N40" s="98"/>
      <c r="O40" s="80" t="s">
        <v>17</v>
      </c>
      <c r="P40" s="65" t="s">
        <v>1787</v>
      </c>
      <c r="Q40" s="86" t="s">
        <v>491</v>
      </c>
      <c r="R40" s="86" t="s">
        <v>1788</v>
      </c>
      <c r="S40" s="65" t="s">
        <v>1207</v>
      </c>
      <c r="T40" s="65" t="s">
        <v>14</v>
      </c>
      <c r="U40" s="115">
        <f>sept2021[[#This Row],[сумма]]-sept2021[[#This Row],[Цема м2 отделки]]*sept2021[[#This Row],[м2]]</f>
        <v>6757748.6799999997</v>
      </c>
    </row>
    <row r="41" spans="1:21" s="61" customFormat="1">
      <c r="A41" s="62">
        <v>29</v>
      </c>
      <c r="B41" s="75">
        <v>23875</v>
      </c>
      <c r="C41" s="62" t="s">
        <v>7</v>
      </c>
      <c r="D41" s="75">
        <v>256</v>
      </c>
      <c r="E41" s="62">
        <v>2</v>
      </c>
      <c r="F41" s="62">
        <v>67.95</v>
      </c>
      <c r="G41" s="62" t="s">
        <v>15</v>
      </c>
      <c r="H41" s="62">
        <v>7500</v>
      </c>
      <c r="I41" s="95">
        <v>6346259.5599999996</v>
      </c>
      <c r="J41" s="62" t="s">
        <v>8</v>
      </c>
      <c r="K41" s="62" t="s">
        <v>16</v>
      </c>
      <c r="L41" s="62" t="s">
        <v>583</v>
      </c>
      <c r="M41" s="62" t="s">
        <v>18</v>
      </c>
      <c r="N41" s="92">
        <v>45244</v>
      </c>
      <c r="O41" s="117" t="s">
        <v>17</v>
      </c>
      <c r="P41" s="62" t="s">
        <v>1789</v>
      </c>
      <c r="Q41" s="76" t="s">
        <v>67</v>
      </c>
      <c r="R41" s="76"/>
      <c r="S41" s="62" t="s">
        <v>8</v>
      </c>
      <c r="T41" s="62" t="s">
        <v>8</v>
      </c>
      <c r="U41" s="114">
        <f>sept2021[[#This Row],[сумма]]-sept2021[[#This Row],[Цема м2 отделки]]*sept2021[[#This Row],[м2]]</f>
        <v>5836634.5599999996</v>
      </c>
    </row>
    <row r="42" spans="1:21">
      <c r="A42" s="62">
        <v>40</v>
      </c>
      <c r="B42" s="75">
        <v>28003</v>
      </c>
      <c r="C42" s="62" t="s">
        <v>13</v>
      </c>
      <c r="D42" s="75">
        <v>212</v>
      </c>
      <c r="E42" s="62">
        <v>2</v>
      </c>
      <c r="F42" s="62">
        <v>58.31</v>
      </c>
      <c r="G42" s="62" t="s">
        <v>9</v>
      </c>
      <c r="H42" s="62"/>
      <c r="I42" s="95">
        <v>4920047.59</v>
      </c>
      <c r="J42" s="117" t="s">
        <v>20</v>
      </c>
      <c r="K42" s="62" t="s">
        <v>16</v>
      </c>
      <c r="L42" s="62" t="s">
        <v>583</v>
      </c>
      <c r="M42" s="62" t="s">
        <v>18</v>
      </c>
      <c r="N42" s="92">
        <v>45247</v>
      </c>
      <c r="O42" s="117" t="s">
        <v>17</v>
      </c>
      <c r="P42" s="62" t="s">
        <v>1790</v>
      </c>
      <c r="Q42" s="113" t="s">
        <v>67</v>
      </c>
      <c r="R42" s="113" t="s">
        <v>67</v>
      </c>
      <c r="S42" s="117" t="s">
        <v>20</v>
      </c>
      <c r="T42" s="117" t="s">
        <v>20</v>
      </c>
      <c r="U42" s="114">
        <f>sept2021[[#This Row],[сумма]]-sept2021[[#This Row],[Цема м2 отделки]]*sept2021[[#This Row],[м2]]</f>
        <v>4920047.59</v>
      </c>
    </row>
    <row r="43" spans="1:21" s="61" customFormat="1">
      <c r="A43" s="62">
        <v>41</v>
      </c>
      <c r="B43" s="75">
        <v>9908</v>
      </c>
      <c r="C43" s="62" t="s">
        <v>7</v>
      </c>
      <c r="D43" s="75">
        <v>520</v>
      </c>
      <c r="E43" s="62">
        <v>1</v>
      </c>
      <c r="F43" s="62">
        <v>38.6</v>
      </c>
      <c r="G43" s="392" t="s">
        <v>15</v>
      </c>
      <c r="H43" s="392">
        <v>7500</v>
      </c>
      <c r="I43" s="95">
        <v>4291194.8099999996</v>
      </c>
      <c r="J43" s="117" t="s">
        <v>14</v>
      </c>
      <c r="K43" s="62" t="s">
        <v>16</v>
      </c>
      <c r="L43" s="62" t="s">
        <v>583</v>
      </c>
      <c r="M43" s="62" t="s">
        <v>18</v>
      </c>
      <c r="N43" s="92">
        <v>45252</v>
      </c>
      <c r="O43" s="117" t="s">
        <v>17</v>
      </c>
      <c r="P43" s="62" t="s">
        <v>1791</v>
      </c>
      <c r="Q43" s="76" t="s">
        <v>67</v>
      </c>
      <c r="R43" s="76" t="s">
        <v>1792</v>
      </c>
      <c r="S43" s="117" t="s">
        <v>14</v>
      </c>
      <c r="T43" s="117" t="s">
        <v>14</v>
      </c>
      <c r="U43" s="114">
        <f>sept2021[[#This Row],[сумма]]-sept2021[[#This Row],[Цема м2 отделки]]*sept2021[[#This Row],[м2]]</f>
        <v>4001694.8099999996</v>
      </c>
    </row>
    <row r="44" spans="1:21">
      <c r="A44" s="62">
        <v>42</v>
      </c>
      <c r="B44" s="75">
        <v>28098</v>
      </c>
      <c r="C44" s="62" t="s">
        <v>13</v>
      </c>
      <c r="D44" s="75">
        <v>170</v>
      </c>
      <c r="E44" s="62">
        <v>2</v>
      </c>
      <c r="F44" s="62">
        <v>58.31</v>
      </c>
      <c r="G44" s="62" t="s">
        <v>15</v>
      </c>
      <c r="H44" s="62">
        <v>7500</v>
      </c>
      <c r="I44" s="95">
        <v>5376571.6399999997</v>
      </c>
      <c r="J44" s="117" t="s">
        <v>20</v>
      </c>
      <c r="K44" s="62" t="s">
        <v>22</v>
      </c>
      <c r="L44" s="62" t="s">
        <v>583</v>
      </c>
      <c r="M44" s="62" t="s">
        <v>18</v>
      </c>
      <c r="N44" s="92">
        <v>45247</v>
      </c>
      <c r="O44" s="62" t="s">
        <v>17</v>
      </c>
      <c r="P44" s="62" t="s">
        <v>1793</v>
      </c>
      <c r="Q44" s="113" t="s">
        <v>67</v>
      </c>
      <c r="R44" s="113" t="s">
        <v>67</v>
      </c>
      <c r="S44" s="117" t="s">
        <v>20</v>
      </c>
      <c r="T44" s="117" t="s">
        <v>20</v>
      </c>
      <c r="U44" s="114">
        <f>sept2021[[#This Row],[сумма]]-sept2021[[#This Row],[Цема м2 отделки]]*sept2021[[#This Row],[м2]]</f>
        <v>4939246.6399999997</v>
      </c>
    </row>
    <row r="45" spans="1:21" s="61" customFormat="1">
      <c r="A45" s="62">
        <v>43</v>
      </c>
      <c r="B45" s="75">
        <v>24876</v>
      </c>
      <c r="C45" s="62" t="s">
        <v>13</v>
      </c>
      <c r="D45" s="75">
        <v>245</v>
      </c>
      <c r="E45" s="62">
        <v>2</v>
      </c>
      <c r="F45" s="62">
        <v>56.58</v>
      </c>
      <c r="G45" s="62" t="s">
        <v>25</v>
      </c>
      <c r="H45" s="62">
        <v>22000</v>
      </c>
      <c r="I45" s="95">
        <v>6060617.1100000003</v>
      </c>
      <c r="J45" s="117" t="s">
        <v>8</v>
      </c>
      <c r="K45" s="62" t="s">
        <v>22</v>
      </c>
      <c r="L45" s="62" t="s">
        <v>583</v>
      </c>
      <c r="M45" s="62" t="s">
        <v>18</v>
      </c>
      <c r="N45" s="92">
        <v>45254</v>
      </c>
      <c r="O45" s="62" t="s">
        <v>17</v>
      </c>
      <c r="P45" s="62" t="s">
        <v>220</v>
      </c>
      <c r="Q45" s="76" t="s">
        <v>67</v>
      </c>
      <c r="R45" s="76" t="s">
        <v>1792</v>
      </c>
      <c r="S45" s="117" t="s">
        <v>8</v>
      </c>
      <c r="T45" s="117" t="s">
        <v>8</v>
      </c>
      <c r="U45" s="114">
        <f>sept2021[[#This Row],[сумма]]-sept2021[[#This Row],[Цема м2 отделки]]*sept2021[[#This Row],[м2]]</f>
        <v>4815857.1100000003</v>
      </c>
    </row>
    <row r="46" spans="1:21" s="368" customFormat="1">
      <c r="A46" s="369">
        <v>44</v>
      </c>
      <c r="B46" s="445">
        <v>24783</v>
      </c>
      <c r="C46" s="369" t="s">
        <v>7</v>
      </c>
      <c r="D46" s="440">
        <v>94</v>
      </c>
      <c r="E46" s="369">
        <v>2</v>
      </c>
      <c r="F46" s="369">
        <v>59.87</v>
      </c>
      <c r="G46" s="369" t="s">
        <v>15</v>
      </c>
      <c r="H46" s="369">
        <v>7500</v>
      </c>
      <c r="I46" s="450">
        <v>6058395.5700000003</v>
      </c>
      <c r="J46" s="456" t="s">
        <v>8</v>
      </c>
      <c r="K46" s="369" t="s">
        <v>16</v>
      </c>
      <c r="L46" s="369" t="s">
        <v>583</v>
      </c>
      <c r="M46" s="369" t="s">
        <v>18</v>
      </c>
      <c r="N46" s="451">
        <v>45251</v>
      </c>
      <c r="O46" s="369" t="s">
        <v>17</v>
      </c>
      <c r="P46" s="369" t="s">
        <v>1794</v>
      </c>
      <c r="Q46" s="446" t="s">
        <v>67</v>
      </c>
      <c r="R46" s="446" t="s">
        <v>1777</v>
      </c>
      <c r="S46" s="456" t="s">
        <v>8</v>
      </c>
      <c r="T46" s="456" t="s">
        <v>8</v>
      </c>
      <c r="U46" s="373">
        <f>sept2021[[#This Row],[сумма]]-sept2021[[#This Row],[Цема м2 отделки]]*sept2021[[#This Row],[м2]]</f>
        <v>5609370.5700000003</v>
      </c>
    </row>
    <row r="47" spans="1:21" s="61" customFormat="1">
      <c r="A47" s="62">
        <v>45</v>
      </c>
      <c r="B47" s="75">
        <v>21458</v>
      </c>
      <c r="C47" s="62" t="s">
        <v>7</v>
      </c>
      <c r="D47" s="75">
        <v>42</v>
      </c>
      <c r="E47" s="62">
        <v>2</v>
      </c>
      <c r="F47" s="62">
        <v>61.76</v>
      </c>
      <c r="G47" s="62" t="s">
        <v>9</v>
      </c>
      <c r="H47" s="62"/>
      <c r="I47" s="95">
        <v>5469152.2675999999</v>
      </c>
      <c r="J47" s="117" t="s">
        <v>1795</v>
      </c>
      <c r="K47" s="62" t="s">
        <v>10</v>
      </c>
      <c r="L47" s="62" t="s">
        <v>583</v>
      </c>
      <c r="M47" s="62" t="s">
        <v>12</v>
      </c>
      <c r="N47" s="92">
        <v>45257</v>
      </c>
      <c r="O47" s="62" t="s">
        <v>17</v>
      </c>
      <c r="P47" s="62" t="s">
        <v>1796</v>
      </c>
      <c r="Q47" s="76" t="s">
        <v>67</v>
      </c>
      <c r="R47" s="76" t="s">
        <v>1777</v>
      </c>
      <c r="S47" s="117" t="s">
        <v>1795</v>
      </c>
      <c r="T47" s="117" t="s">
        <v>8</v>
      </c>
      <c r="U47" s="114">
        <f>sept2021[[#This Row],[сумма]]-sept2021[[#This Row],[Цема м2 отделки]]*sept2021[[#This Row],[м2]]</f>
        <v>5469152.2675999999</v>
      </c>
    </row>
    <row r="48" spans="1:21" s="368" customFormat="1">
      <c r="A48" s="369">
        <v>46</v>
      </c>
      <c r="B48" s="445">
        <v>27742</v>
      </c>
      <c r="C48" s="369" t="s">
        <v>7</v>
      </c>
      <c r="D48" s="440">
        <v>84</v>
      </c>
      <c r="E48" s="369">
        <v>2</v>
      </c>
      <c r="F48" s="369">
        <v>56.03</v>
      </c>
      <c r="G48" s="369" t="s">
        <v>25</v>
      </c>
      <c r="H48" s="369">
        <v>22000</v>
      </c>
      <c r="I48" s="450">
        <v>6194429.3300000001</v>
      </c>
      <c r="J48" s="456" t="s">
        <v>1207</v>
      </c>
      <c r="K48" s="369" t="s">
        <v>22</v>
      </c>
      <c r="L48" s="369" t="s">
        <v>583</v>
      </c>
      <c r="M48" s="369" t="s">
        <v>18</v>
      </c>
      <c r="N48" s="451">
        <v>45246</v>
      </c>
      <c r="O48" s="369" t="s">
        <v>17</v>
      </c>
      <c r="P48" s="369" t="s">
        <v>1797</v>
      </c>
      <c r="Q48" s="446" t="s">
        <v>67</v>
      </c>
      <c r="R48" s="446" t="s">
        <v>1798</v>
      </c>
      <c r="S48" s="456" t="s">
        <v>1207</v>
      </c>
      <c r="T48" s="456" t="s">
        <v>8</v>
      </c>
      <c r="U48" s="373">
        <f>sept2021[[#This Row],[сумма]]-sept2021[[#This Row],[Цема м2 отделки]]*sept2021[[#This Row],[м2]]</f>
        <v>4961769.33</v>
      </c>
    </row>
    <row r="49" spans="1:21">
      <c r="A49" s="62">
        <v>47</v>
      </c>
      <c r="B49" s="75">
        <v>27994</v>
      </c>
      <c r="C49" s="62" t="s">
        <v>13</v>
      </c>
      <c r="D49" s="75">
        <v>12</v>
      </c>
      <c r="E49" s="62">
        <v>2</v>
      </c>
      <c r="F49" s="62">
        <v>58.16</v>
      </c>
      <c r="G49" s="117" t="s">
        <v>15</v>
      </c>
      <c r="H49" s="117">
        <v>7500</v>
      </c>
      <c r="I49" s="95">
        <v>5608995.1799999997</v>
      </c>
      <c r="J49" s="117" t="s">
        <v>1207</v>
      </c>
      <c r="K49" s="62" t="s">
        <v>22</v>
      </c>
      <c r="L49" s="62" t="s">
        <v>583</v>
      </c>
      <c r="M49" s="62" t="s">
        <v>18</v>
      </c>
      <c r="N49" s="92">
        <v>45246</v>
      </c>
      <c r="O49" s="117" t="s">
        <v>17</v>
      </c>
      <c r="P49" s="62" t="s">
        <v>1799</v>
      </c>
      <c r="Q49" s="76" t="s">
        <v>67</v>
      </c>
      <c r="R49" s="76"/>
      <c r="S49" s="117" t="s">
        <v>1207</v>
      </c>
      <c r="T49" s="117" t="s">
        <v>8</v>
      </c>
      <c r="U49" s="114">
        <f>sept2021[[#This Row],[сумма]]-sept2021[[#This Row],[Цема м2 отделки]]*sept2021[[#This Row],[м2]]</f>
        <v>5172795.18</v>
      </c>
    </row>
    <row r="50" spans="1:21" s="368" customFormat="1">
      <c r="A50" s="369">
        <v>48</v>
      </c>
      <c r="B50" s="440">
        <v>28009</v>
      </c>
      <c r="C50" s="369" t="s">
        <v>7</v>
      </c>
      <c r="D50" s="440">
        <v>313</v>
      </c>
      <c r="E50" s="369">
        <v>0</v>
      </c>
      <c r="F50" s="369">
        <v>36.450000000000003</v>
      </c>
      <c r="G50" s="456" t="s">
        <v>15</v>
      </c>
      <c r="H50" s="456">
        <v>7500</v>
      </c>
      <c r="I50" s="450">
        <v>3971208.18</v>
      </c>
      <c r="J50" s="456" t="s">
        <v>20</v>
      </c>
      <c r="K50" s="369" t="s">
        <v>22</v>
      </c>
      <c r="L50" s="369" t="s">
        <v>583</v>
      </c>
      <c r="M50" s="369" t="s">
        <v>18</v>
      </c>
      <c r="N50" s="451">
        <v>45252</v>
      </c>
      <c r="O50" s="456" t="s">
        <v>17</v>
      </c>
      <c r="P50" s="369" t="s">
        <v>1800</v>
      </c>
      <c r="Q50" s="446" t="s">
        <v>67</v>
      </c>
      <c r="R50" s="446" t="s">
        <v>1777</v>
      </c>
      <c r="S50" s="456" t="s">
        <v>20</v>
      </c>
      <c r="T50" s="456" t="s">
        <v>8</v>
      </c>
      <c r="U50" s="373">
        <f>sept2021[[#This Row],[сумма]]-sept2021[[#This Row],[Цема м2 отделки]]*sept2021[[#This Row],[м2]]</f>
        <v>3697833.18</v>
      </c>
    </row>
    <row r="51" spans="1:21" s="61" customFormat="1">
      <c r="A51" s="62">
        <v>49</v>
      </c>
      <c r="B51" s="75">
        <v>28249</v>
      </c>
      <c r="C51" s="62" t="s">
        <v>13</v>
      </c>
      <c r="D51" s="75">
        <v>4</v>
      </c>
      <c r="E51" s="62">
        <v>2</v>
      </c>
      <c r="F51" s="62">
        <v>73.02</v>
      </c>
      <c r="G51" s="62" t="s">
        <v>9</v>
      </c>
      <c r="H51" s="62"/>
      <c r="I51" s="95">
        <v>6342002.4100000001</v>
      </c>
      <c r="J51" s="117" t="s">
        <v>20</v>
      </c>
      <c r="K51" s="62" t="s">
        <v>22</v>
      </c>
      <c r="L51" s="62" t="s">
        <v>583</v>
      </c>
      <c r="M51" s="62" t="s">
        <v>18</v>
      </c>
      <c r="N51" s="92">
        <v>45260</v>
      </c>
      <c r="O51" s="117" t="s">
        <v>17</v>
      </c>
      <c r="P51" s="62" t="s">
        <v>1801</v>
      </c>
      <c r="Q51" s="76" t="s">
        <v>67</v>
      </c>
      <c r="R51" s="76"/>
      <c r="S51" s="117" t="s">
        <v>20</v>
      </c>
      <c r="T51" s="117" t="s">
        <v>20</v>
      </c>
      <c r="U51" s="114">
        <f>sept2021[[#This Row],[сумма]]-sept2021[[#This Row],[Цема м2 отделки]]*sept2021[[#This Row],[м2]]</f>
        <v>6342002.4100000001</v>
      </c>
    </row>
    <row r="52" spans="1:21">
      <c r="A52" s="369">
        <v>50</v>
      </c>
      <c r="B52" s="440">
        <v>28018</v>
      </c>
      <c r="C52" s="369" t="s">
        <v>13</v>
      </c>
      <c r="D52" s="440">
        <v>280</v>
      </c>
      <c r="E52" s="369">
        <v>2</v>
      </c>
      <c r="F52" s="369">
        <v>57.9</v>
      </c>
      <c r="G52" s="369" t="s">
        <v>25</v>
      </c>
      <c r="H52" s="369">
        <v>22000</v>
      </c>
      <c r="I52" s="450">
        <v>6060617.1100000003</v>
      </c>
      <c r="J52" s="456" t="s">
        <v>1207</v>
      </c>
      <c r="K52" s="369" t="s">
        <v>22</v>
      </c>
      <c r="L52" s="369" t="s">
        <v>583</v>
      </c>
      <c r="M52" s="369" t="s">
        <v>18</v>
      </c>
      <c r="N52" s="451">
        <v>45254</v>
      </c>
      <c r="O52" s="456" t="s">
        <v>17</v>
      </c>
      <c r="P52" s="369" t="s">
        <v>1802</v>
      </c>
      <c r="Q52" s="446" t="s">
        <v>67</v>
      </c>
      <c r="R52" s="446"/>
      <c r="S52" s="456" t="s">
        <v>1207</v>
      </c>
      <c r="T52" s="456" t="s">
        <v>8</v>
      </c>
      <c r="U52" s="373">
        <f>sept2021[[#This Row],[сумма]]-sept2021[[#This Row],[Цема м2 отделки]]*sept2021[[#This Row],[м2]]</f>
        <v>4786817.1100000003</v>
      </c>
    </row>
    <row r="53" spans="1:21" s="61" customFormat="1">
      <c r="A53" s="62">
        <v>51</v>
      </c>
      <c r="B53" s="75">
        <v>28006</v>
      </c>
      <c r="C53" s="62" t="s">
        <v>7</v>
      </c>
      <c r="D53" s="75">
        <v>446</v>
      </c>
      <c r="E53" s="62">
        <v>1</v>
      </c>
      <c r="F53" s="62">
        <v>44.37</v>
      </c>
      <c r="G53" s="62" t="s">
        <v>9</v>
      </c>
      <c r="H53" s="62"/>
      <c r="I53" s="95">
        <v>4252843.6500000004</v>
      </c>
      <c r="J53" s="117" t="s">
        <v>20</v>
      </c>
      <c r="K53" s="62" t="s">
        <v>22</v>
      </c>
      <c r="L53" s="62" t="s">
        <v>583</v>
      </c>
      <c r="M53" s="431" t="s">
        <v>18</v>
      </c>
      <c r="N53" s="92">
        <v>45257</v>
      </c>
      <c r="O53" s="117" t="s">
        <v>17</v>
      </c>
      <c r="P53" s="62" t="s">
        <v>1803</v>
      </c>
      <c r="Q53" s="76" t="s">
        <v>67</v>
      </c>
      <c r="R53" s="76"/>
      <c r="S53" s="117" t="s">
        <v>20</v>
      </c>
      <c r="T53" s="117" t="s">
        <v>8</v>
      </c>
      <c r="U53" s="114">
        <f>sept2021[[#This Row],[сумма]]-sept2021[[#This Row],[Цема м2 отделки]]*sept2021[[#This Row],[м2]]</f>
        <v>4252843.6500000004</v>
      </c>
    </row>
    <row r="54" spans="1:21" s="368" customFormat="1">
      <c r="A54" s="369">
        <v>52</v>
      </c>
      <c r="B54" s="440">
        <v>28258</v>
      </c>
      <c r="C54" s="369" t="s">
        <v>13</v>
      </c>
      <c r="D54" s="440">
        <v>477</v>
      </c>
      <c r="E54" s="369">
        <v>0</v>
      </c>
      <c r="F54" s="369">
        <v>29.4</v>
      </c>
      <c r="G54" s="369" t="s">
        <v>9</v>
      </c>
      <c r="H54" s="369"/>
      <c r="I54" s="450">
        <v>3096792.26</v>
      </c>
      <c r="J54" s="456" t="s">
        <v>1795</v>
      </c>
      <c r="K54" s="369" t="s">
        <v>22</v>
      </c>
      <c r="L54" s="369" t="s">
        <v>583</v>
      </c>
      <c r="M54" s="369" t="s">
        <v>18</v>
      </c>
      <c r="N54" s="451">
        <v>45253</v>
      </c>
      <c r="O54" s="456" t="s">
        <v>17</v>
      </c>
      <c r="P54" s="446" t="s">
        <v>1804</v>
      </c>
      <c r="Q54" s="446" t="s">
        <v>67</v>
      </c>
      <c r="R54" s="446" t="s">
        <v>1777</v>
      </c>
      <c r="S54" s="456" t="s">
        <v>1795</v>
      </c>
      <c r="T54" s="456" t="s">
        <v>20</v>
      </c>
      <c r="U54" s="373">
        <f>sept2021[[#This Row],[сумма]]-sept2021[[#This Row],[Цема м2 отделки]]*sept2021[[#This Row],[м2]]</f>
        <v>3096792.26</v>
      </c>
    </row>
    <row r="55" spans="1:21" s="61" customFormat="1">
      <c r="A55" s="62">
        <v>53</v>
      </c>
      <c r="B55" s="75">
        <v>23816</v>
      </c>
      <c r="C55" s="62" t="s">
        <v>7</v>
      </c>
      <c r="D55" s="75">
        <v>428</v>
      </c>
      <c r="E55" s="62">
        <v>1</v>
      </c>
      <c r="F55" s="62">
        <v>44.37</v>
      </c>
      <c r="G55" s="62" t="s">
        <v>9</v>
      </c>
      <c r="H55" s="62"/>
      <c r="I55" s="95">
        <v>4252843.6500000004</v>
      </c>
      <c r="J55" s="117" t="s">
        <v>8</v>
      </c>
      <c r="K55" s="62" t="s">
        <v>22</v>
      </c>
      <c r="L55" s="62" t="s">
        <v>583</v>
      </c>
      <c r="M55" s="62" t="s">
        <v>18</v>
      </c>
      <c r="N55" s="537">
        <v>45257</v>
      </c>
      <c r="O55" s="117" t="s">
        <v>17</v>
      </c>
      <c r="P55" s="76" t="s">
        <v>1805</v>
      </c>
      <c r="Q55" s="76" t="s">
        <v>67</v>
      </c>
      <c r="R55" s="76"/>
      <c r="S55" s="117" t="s">
        <v>8</v>
      </c>
      <c r="T55" s="117" t="s">
        <v>8</v>
      </c>
      <c r="U55" s="114">
        <f>sept2021[[#This Row],[сумма]]-sept2021[[#This Row],[Цема м2 отделки]]*sept2021[[#This Row],[м2]]</f>
        <v>4252843.6500000004</v>
      </c>
    </row>
    <row r="56" spans="1:21" s="61" customFormat="1">
      <c r="A56" s="62">
        <v>54</v>
      </c>
      <c r="B56" s="75">
        <v>20248</v>
      </c>
      <c r="C56" s="117" t="s">
        <v>13</v>
      </c>
      <c r="D56" s="75">
        <v>116</v>
      </c>
      <c r="E56" s="62">
        <v>2</v>
      </c>
      <c r="F56" s="62">
        <v>65.05</v>
      </c>
      <c r="G56" s="76" t="s">
        <v>9</v>
      </c>
      <c r="H56" s="76"/>
      <c r="I56" s="91">
        <v>5403692.9100000001</v>
      </c>
      <c r="J56" s="117" t="s">
        <v>8</v>
      </c>
      <c r="K56" s="117" t="s">
        <v>16</v>
      </c>
      <c r="L56" s="117" t="s">
        <v>583</v>
      </c>
      <c r="M56" s="117" t="s">
        <v>18</v>
      </c>
      <c r="N56" s="537">
        <v>45258</v>
      </c>
      <c r="O56" s="117" t="s">
        <v>17</v>
      </c>
      <c r="P56" s="76" t="s">
        <v>1806</v>
      </c>
      <c r="Q56" s="76" t="s">
        <v>67</v>
      </c>
      <c r="R56" s="76" t="s">
        <v>1777</v>
      </c>
      <c r="S56" s="117" t="s">
        <v>8</v>
      </c>
      <c r="T56" s="117" t="s">
        <v>8</v>
      </c>
      <c r="U56" s="114">
        <f>sept2021[[#This Row],[сумма]]-sept2021[[#This Row],[Цема м2 отделки]]*sept2021[[#This Row],[м2]]</f>
        <v>5403692.9100000001</v>
      </c>
    </row>
    <row r="57" spans="1:21" s="368" customFormat="1">
      <c r="A57" s="369">
        <v>55</v>
      </c>
      <c r="B57" s="440">
        <v>21949</v>
      </c>
      <c r="C57" s="369" t="s">
        <v>13</v>
      </c>
      <c r="D57" s="440">
        <v>505</v>
      </c>
      <c r="E57" s="369">
        <v>2</v>
      </c>
      <c r="F57" s="369">
        <v>57.8</v>
      </c>
      <c r="G57" s="369" t="s">
        <v>9</v>
      </c>
      <c r="H57" s="369"/>
      <c r="I57" s="450">
        <v>4799264.74</v>
      </c>
      <c r="J57" s="456" t="s">
        <v>8</v>
      </c>
      <c r="K57" s="369" t="s">
        <v>22</v>
      </c>
      <c r="L57" s="369" t="s">
        <v>583</v>
      </c>
      <c r="M57" s="369" t="s">
        <v>18</v>
      </c>
      <c r="N57" s="538">
        <v>45253</v>
      </c>
      <c r="O57" s="456" t="s">
        <v>17</v>
      </c>
      <c r="P57" s="369" t="s">
        <v>1807</v>
      </c>
      <c r="Q57" s="372" t="s">
        <v>67</v>
      </c>
      <c r="R57" s="446"/>
      <c r="S57" s="456" t="s">
        <v>8</v>
      </c>
      <c r="T57" s="456" t="s">
        <v>8</v>
      </c>
      <c r="U57" s="373">
        <f>sept2021[[#This Row],[сумма]]-sept2021[[#This Row],[Цема м2 отделки]]*sept2021[[#This Row],[м2]]</f>
        <v>4799264.74</v>
      </c>
    </row>
    <row r="58" spans="1:21" s="61" customFormat="1">
      <c r="A58" s="62">
        <v>56</v>
      </c>
      <c r="B58" s="75">
        <v>28302</v>
      </c>
      <c r="C58" s="62" t="s">
        <v>7</v>
      </c>
      <c r="D58" s="75">
        <v>489</v>
      </c>
      <c r="E58" s="62">
        <v>2</v>
      </c>
      <c r="F58" s="62">
        <v>67.489999999999995</v>
      </c>
      <c r="G58" s="62" t="s">
        <v>9</v>
      </c>
      <c r="H58" s="62"/>
      <c r="I58" s="95">
        <v>6027836.6100000003</v>
      </c>
      <c r="J58" s="117" t="s">
        <v>14</v>
      </c>
      <c r="K58" s="62" t="s">
        <v>22</v>
      </c>
      <c r="L58" s="62" t="s">
        <v>583</v>
      </c>
      <c r="M58" s="62" t="s">
        <v>18</v>
      </c>
      <c r="N58" s="92">
        <v>45258</v>
      </c>
      <c r="O58" s="117" t="s">
        <v>17</v>
      </c>
      <c r="P58" s="62" t="s">
        <v>1808</v>
      </c>
      <c r="Q58" s="113" t="s">
        <v>67</v>
      </c>
      <c r="R58" s="113"/>
      <c r="S58" s="117" t="s">
        <v>14</v>
      </c>
      <c r="T58" s="117" t="s">
        <v>14</v>
      </c>
      <c r="U58" s="114">
        <f>sept2021[[#This Row],[сумма]]-sept2021[[#This Row],[Цема м2 отделки]]*sept2021[[#This Row],[м2]]</f>
        <v>6027836.6100000003</v>
      </c>
    </row>
    <row r="59" spans="1:21" s="61" customFormat="1">
      <c r="A59" s="62">
        <v>57</v>
      </c>
      <c r="B59" s="75">
        <v>3980</v>
      </c>
      <c r="C59" s="62" t="s">
        <v>7</v>
      </c>
      <c r="D59" s="75">
        <v>54</v>
      </c>
      <c r="E59" s="62">
        <v>2</v>
      </c>
      <c r="F59" s="62">
        <v>59.87</v>
      </c>
      <c r="G59" s="62" t="s">
        <v>15</v>
      </c>
      <c r="H59" s="62">
        <v>7500</v>
      </c>
      <c r="I59" s="95">
        <v>5946208.1600000001</v>
      </c>
      <c r="J59" s="117" t="s">
        <v>14</v>
      </c>
      <c r="K59" s="62" t="s">
        <v>16</v>
      </c>
      <c r="L59" s="62" t="s">
        <v>583</v>
      </c>
      <c r="M59" s="62" t="s">
        <v>18</v>
      </c>
      <c r="N59" s="92">
        <v>45258</v>
      </c>
      <c r="O59" s="117" t="s">
        <v>17</v>
      </c>
      <c r="P59" s="62" t="s">
        <v>1809</v>
      </c>
      <c r="Q59" s="113" t="s">
        <v>67</v>
      </c>
      <c r="R59" s="76"/>
      <c r="S59" s="117" t="s">
        <v>14</v>
      </c>
      <c r="T59" s="117" t="s">
        <v>14</v>
      </c>
      <c r="U59" s="114">
        <f>sept2021[[#This Row],[сумма]]-sept2021[[#This Row],[Цема м2 отделки]]*sept2021[[#This Row],[м2]]</f>
        <v>5497183.1600000001</v>
      </c>
    </row>
    <row r="60" spans="1:21" s="61" customFormat="1">
      <c r="A60" s="62">
        <v>58</v>
      </c>
      <c r="B60" s="75">
        <v>28406</v>
      </c>
      <c r="C60" s="62" t="s">
        <v>13</v>
      </c>
      <c r="D60" s="75">
        <v>433</v>
      </c>
      <c r="E60" s="62">
        <v>2</v>
      </c>
      <c r="F60" s="62">
        <v>57.8</v>
      </c>
      <c r="G60" s="62" t="s">
        <v>15</v>
      </c>
      <c r="H60" s="62">
        <v>7500</v>
      </c>
      <c r="I60" s="95">
        <v>5282246</v>
      </c>
      <c r="J60" s="62" t="s">
        <v>8</v>
      </c>
      <c r="K60" s="62" t="s">
        <v>22</v>
      </c>
      <c r="L60" s="62" t="s">
        <v>583</v>
      </c>
      <c r="M60" s="62" t="s">
        <v>18</v>
      </c>
      <c r="N60" s="92">
        <v>45259</v>
      </c>
      <c r="O60" s="62" t="s">
        <v>17</v>
      </c>
      <c r="P60" s="62" t="s">
        <v>1810</v>
      </c>
      <c r="Q60" s="113" t="s">
        <v>67</v>
      </c>
      <c r="R60" s="76"/>
      <c r="S60" s="62" t="s">
        <v>8</v>
      </c>
      <c r="T60" s="62" t="s">
        <v>8</v>
      </c>
      <c r="U60" s="114">
        <f>sept2021[[#This Row],[сумма]]-sept2021[[#This Row],[Цема м2 отделки]]*sept2021[[#This Row],[м2]]</f>
        <v>4848746</v>
      </c>
    </row>
    <row r="61" spans="1:21" s="61" customFormat="1" ht="12" customHeight="1">
      <c r="A61" s="62">
        <v>59</v>
      </c>
      <c r="B61" s="75">
        <v>27086</v>
      </c>
      <c r="C61" s="62" t="s">
        <v>7</v>
      </c>
      <c r="D61" s="75">
        <v>227</v>
      </c>
      <c r="E61" s="62">
        <v>1</v>
      </c>
      <c r="F61" s="62">
        <v>35.380000000000003</v>
      </c>
      <c r="G61" s="62" t="s">
        <v>25</v>
      </c>
      <c r="H61" s="348">
        <v>22000</v>
      </c>
      <c r="I61" s="95">
        <v>4683691.04</v>
      </c>
      <c r="J61" s="117" t="s">
        <v>14</v>
      </c>
      <c r="K61" s="62" t="s">
        <v>22</v>
      </c>
      <c r="L61" s="62" t="s">
        <v>583</v>
      </c>
      <c r="M61" s="62" t="s">
        <v>18</v>
      </c>
      <c r="N61" s="539">
        <v>45260</v>
      </c>
      <c r="O61" s="62" t="s">
        <v>1772</v>
      </c>
      <c r="P61" s="348" t="s">
        <v>1811</v>
      </c>
      <c r="Q61" s="113" t="s">
        <v>67</v>
      </c>
      <c r="R61" s="113" t="s">
        <v>1777</v>
      </c>
      <c r="S61" s="117" t="s">
        <v>14</v>
      </c>
      <c r="T61" s="117" t="s">
        <v>14</v>
      </c>
      <c r="U61" s="114">
        <f>sept2021[[#This Row],[сумма]]-sept2021[[#This Row],[Цема м2 отделки]]*sept2021[[#This Row],[м2]]</f>
        <v>3905331.04</v>
      </c>
    </row>
    <row r="62" spans="1:21" s="61" customFormat="1">
      <c r="A62" s="62">
        <v>60</v>
      </c>
      <c r="B62" s="75">
        <v>28318</v>
      </c>
      <c r="C62" s="62" t="s">
        <v>13</v>
      </c>
      <c r="D62" s="75">
        <v>438</v>
      </c>
      <c r="E62" s="62">
        <v>1</v>
      </c>
      <c r="F62" s="62">
        <v>43.21</v>
      </c>
      <c r="G62" s="62" t="s">
        <v>9</v>
      </c>
      <c r="H62" s="62"/>
      <c r="I62" s="95">
        <v>4220900</v>
      </c>
      <c r="J62" s="117" t="s">
        <v>8</v>
      </c>
      <c r="K62" s="62" t="s">
        <v>22</v>
      </c>
      <c r="L62" s="62" t="s">
        <v>583</v>
      </c>
      <c r="M62" s="62" t="s">
        <v>18</v>
      </c>
      <c r="N62" s="92">
        <v>45260</v>
      </c>
      <c r="O62" s="62" t="s">
        <v>17</v>
      </c>
      <c r="P62" s="62" t="s">
        <v>1812</v>
      </c>
      <c r="Q62" s="113" t="s">
        <v>67</v>
      </c>
      <c r="R62" s="113"/>
      <c r="S62" s="117" t="s">
        <v>8</v>
      </c>
      <c r="T62" s="117" t="s">
        <v>8</v>
      </c>
      <c r="U62" s="114">
        <f>sept2021[[#This Row],[сумма]]-sept2021[[#This Row],[Цема м2 отделки]]*sept2021[[#This Row],[м2]]</f>
        <v>4220900</v>
      </c>
    </row>
    <row r="63" spans="1:21" s="61" customFormat="1">
      <c r="A63" s="62">
        <v>61</v>
      </c>
      <c r="B63" s="75">
        <v>28253</v>
      </c>
      <c r="C63" s="62" t="s">
        <v>7</v>
      </c>
      <c r="D63" s="75">
        <v>196</v>
      </c>
      <c r="E63" s="62">
        <v>1</v>
      </c>
      <c r="F63" s="62">
        <v>37.81</v>
      </c>
      <c r="G63" s="62" t="s">
        <v>15</v>
      </c>
      <c r="H63" s="348">
        <v>7500</v>
      </c>
      <c r="I63" s="95">
        <v>4278775</v>
      </c>
      <c r="J63" s="117" t="s">
        <v>1207</v>
      </c>
      <c r="K63" s="62" t="s">
        <v>22</v>
      </c>
      <c r="L63" s="62" t="s">
        <v>583</v>
      </c>
      <c r="M63" s="62" t="s">
        <v>18</v>
      </c>
      <c r="N63" s="92">
        <v>45258</v>
      </c>
      <c r="O63" s="62" t="s">
        <v>17</v>
      </c>
      <c r="P63" s="62" t="s">
        <v>1813</v>
      </c>
      <c r="Q63" s="113" t="s">
        <v>67</v>
      </c>
      <c r="R63" s="76" t="s">
        <v>1777</v>
      </c>
      <c r="S63" s="117" t="s">
        <v>1207</v>
      </c>
      <c r="T63" s="117" t="s">
        <v>14</v>
      </c>
      <c r="U63" s="114">
        <f>sept2021[[#This Row],[сумма]]-sept2021[[#This Row],[Цема м2 отделки]]*sept2021[[#This Row],[м2]]</f>
        <v>3995200</v>
      </c>
    </row>
    <row r="64" spans="1:21">
      <c r="A64" s="65">
        <v>62</v>
      </c>
      <c r="B64" s="79">
        <v>28451</v>
      </c>
      <c r="C64" s="65" t="s">
        <v>13</v>
      </c>
      <c r="D64" s="79">
        <v>558</v>
      </c>
      <c r="E64" s="65">
        <v>1</v>
      </c>
      <c r="F64" s="65">
        <v>43.21</v>
      </c>
      <c r="G64" s="65" t="s">
        <v>25</v>
      </c>
      <c r="H64" s="72">
        <v>22000</v>
      </c>
      <c r="I64" s="93">
        <v>5175145</v>
      </c>
      <c r="J64" s="80" t="s">
        <v>20</v>
      </c>
      <c r="K64" s="65" t="s">
        <v>10</v>
      </c>
      <c r="L64" s="65" t="s">
        <v>130</v>
      </c>
      <c r="M64" s="65" t="s">
        <v>18</v>
      </c>
      <c r="N64" s="110">
        <v>45260</v>
      </c>
      <c r="O64" s="65" t="s">
        <v>17</v>
      </c>
      <c r="P64" s="65" t="s">
        <v>1814</v>
      </c>
      <c r="Q64" s="118"/>
      <c r="R64" s="118"/>
      <c r="S64" s="80" t="s">
        <v>20</v>
      </c>
      <c r="T64" s="80" t="s">
        <v>20</v>
      </c>
      <c r="U64" s="115">
        <f>sept2021[[#This Row],[сумма]]-sept2021[[#This Row],[Цема м2 отделки]]*sept2021[[#This Row],[м2]]</f>
        <v>4224525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sept2021[[#This Row],[сумма]]-sept2021[[#This Row],[Цема м2 отделки]]*sept2021[[#This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 t="s">
        <v>830</v>
      </c>
      <c r="O66" s="80"/>
      <c r="P66" s="86"/>
      <c r="Q66" s="118"/>
      <c r="R66" s="118"/>
      <c r="S66" s="80"/>
      <c r="T66" s="80"/>
      <c r="U66" s="115">
        <f>sept2021[[#This Row],[сумма]]-sept2021[[#This Row],[Цема м2 отделки]]*sept2021[[#This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sept2021[[#This Row],[сумма]]-sept2021[[#This Row],[Цема м2 отделки]]*sept2021[[#This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sept2021[[#This Row],[сумма]]-sept2021[[#This Row],[Цема м2 отделки]]*sept2021[[#This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sept2021[[#This Row],[сумма]]-sept2021[[#This Row],[Цема м2 отделки]]*sept2021[[#This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sept2021[[#This Row],[сумма]]-sept2021[[#This Row],[Цема м2 отделки]]*sept2021[[#This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sept2021[[#This Row],[сумма]]-sept2021[[#This Row],[Цема м2 отделки]]*sept2021[[#This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sept2021[[#This Row],[сумма]]-sept2021[[#This Row],[Цема м2 отделки]]*sept2021[[#This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sept2021[[#This Row],[сумма]]-sept2021[[#This Row],[Цема м2 отделки]]*sept2021[[#This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sept2021[[#This Row],[сумма]]-sept2021[[#This Row],[Цема м2 отделки]]*sept2021[[#This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sept2021[[#This Row],[сумма]]-sept2021[[#This Row],[Цема м2 отделки]]*sept2021[[#This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sept2021[[#This Row],[сумма]]-sept2021[[#This Row],[Цема м2 отделки]]*sept2021[[#This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sept2021[[#This Row],[сумма]]-sept2021[[#This Row],[Цема м2 отделки]]*sept2021[[#This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sept2021[[#This Row],[сумма]]-sept2021[[#This Row],[Цема м2 отделки]]*sept2021[[#This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sept2021[[#This Row],[сумма]]-sept2021[[#This Row],[Цема м2 отделки]]*sept2021[[#This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sept2021[[#This Row],[сумма]]-sept2021[[#This Row],[Цема м2 отделки]]*sept2021[[#This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sept2021[[#This Row],[сумма]]-sept2021[[#This Row],[Цема м2 отделки]]*sept2021[[#This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sept2021[[#This Row],[сумма]]-sept2021[[#This Row],[Цема м2 отделки]]*sept2021[[#This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sept2021[[#This Row],[сумма]]-sept2021[[#This Row],[Цема м2 отделки]]*sept2021[[#This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sept2021[[#This Row],[сумма]]-sept2021[[#This Row],[Цема м2 отделки]]*sept2021[[#This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sept2021[[#This Row],[сумма]]-sept2021[[#This Row],[Цема м2 отделки]]*sept2021[[#This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sept2021[[#This Row],[сумма]]-sept2021[[#This Row],[Цема м2 отделки]]*sept2021[[#This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sept2021[[#This Row],[сумма]]-sept2021[[#This Row],[Цема м2 отделки]]*sept2021[[#This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sept2021[[#This Row],[сумма]]-sept2021[[#This Row],[Цема м2 отделки]]*sept2021[[#This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sept2021[[#This Row],[сумма]]-sept2021[[#This Row],[Цема м2 отделки]]*sept2021[[#This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sept2021[[#This Row],[сумма]]-sept2021[[#This Row],[Цема м2 отделки]]*sept2021[[#This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sept2021[[#This Row],[сумма]]-sept2021[[#This Row],[Цема м2 отделки]]*sept2021[[#This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sept2021[[#This Row],[сумма]]-sept2021[[#This Row],[Цема м2 отделки]]*sept2021[[#This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sept2021[[#This Row],[сумма]]-sept2021[[#This Row],[Цема м2 отделки]]*sept2021[[#This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sept2021[[#This Row],[сумма]]-sept2021[[#This Row],[Цема м2 отделки]]*sept2021[[#This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sept2021[[#This Row],[сумма]]-sept2021[[#This Row],[Цема м2 отделки]]*sept2021[[#This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sept2021[[#This Row],[сумма]]-sept2021[[#This Row],[Цема м2 отделки]]*sept2021[[#This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sept2021[[#This Row],[сумма]]-sept2021[[#This Row],[Цема м2 отделки]]*sept2021[[#This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sept2021[[#This Row],[сумма]]-sept2021[[#This Row],[Цема м2 отделки]]*sept2021[[#This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sept2021[[#This Row],[сумма]]-sept2021[[#This Row],[Цема м2 отделки]]*sept2021[[#This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sept2021[[#This Row],[сумма]]-sept2021[[#This Row],[Цема м2 отделки]]*sept2021[[#This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sept2021[[#This Row],[сумма]]-sept2021[[#This Row],[Цема м2 отделки]]*sept2021[[#This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sept2021[[#This Row],[сумма]]-sept2021[[#This Row],[Цема м2 отделки]]*sept2021[[#This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sept2021[[#This Row],[сумма]]-sept2021[[#This Row],[Цема м2 отделки]]*sept2021[[#This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sept2021[[#This Row],[сумма]]-sept2021[[#This Row],[Цема м2 отделки]]*sept2021[[#This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sept2021[[#This Row],[сумма]]-sept2021[[#This Row],[Цема м2 отделки]]*sept2021[[#This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sept2021[[#This Row],[сумма]]-sept2021[[#This Row],[Цема м2 отделки]]*sept2021[[#This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sept2021[[#This Row],[сумма]]-sept2021[[#This Row],[Цема м2 отделки]]*sept2021[[#This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sept2021[[#This Row],[сумма]]-sept2021[[#This Row],[Цема м2 отделки]]*sept2021[[#This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sept2021[[#This Row],[сумма]]-sept2021[[#This Row],[Цема м2 отделки]]*sept2021[[#This Row],[м2]]</f>
        <v>0</v>
      </c>
    </row>
    <row r="110" spans="1:21" ht="1.5" customHeight="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sept2021[[#This Row],[сумма]]-sept2021[[#This Row],[Цема м2 отделки]]*sept2021[[#This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86"/>
      <c r="S111" s="65"/>
      <c r="U111" s="115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  <c r="T112" s="93"/>
    </row>
    <row r="113" spans="1:21">
      <c r="A113" s="65"/>
      <c r="B113" s="87"/>
      <c r="C113" s="65"/>
      <c r="D113" s="65"/>
      <c r="E113" s="87"/>
      <c r="F113" s="65"/>
      <c r="G113" s="65"/>
      <c r="H113" s="72"/>
      <c r="I113" s="105"/>
      <c r="J113" s="72"/>
      <c r="K113" s="65"/>
      <c r="L113" s="65"/>
      <c r="M113" s="65"/>
      <c r="N113" s="98"/>
      <c r="O113" s="65"/>
      <c r="P113" s="65"/>
      <c r="Q113" s="65"/>
      <c r="R113" s="65"/>
      <c r="S113" s="65"/>
    </row>
    <row r="114" spans="1:21" s="65" customFormat="1">
      <c r="B114" s="79"/>
      <c r="D114" s="79"/>
      <c r="I114" s="93"/>
      <c r="J114" s="80"/>
      <c r="N114" s="98"/>
      <c r="O114" s="80"/>
      <c r="Q114" s="86"/>
      <c r="U114" s="66"/>
    </row>
    <row r="115" spans="1:21" s="65" customFormat="1">
      <c r="B115" s="79"/>
      <c r="C115" s="79"/>
      <c r="D115" s="80"/>
      <c r="F115" s="72"/>
      <c r="I115" s="105"/>
      <c r="M115" s="110"/>
      <c r="O115" s="72"/>
      <c r="P115" s="86"/>
      <c r="Q115" s="86"/>
      <c r="U115" s="66"/>
    </row>
    <row r="116" spans="1:21" s="65" customFormat="1">
      <c r="U116" s="66"/>
    </row>
    <row r="117" spans="1:21" s="65" customFormat="1">
      <c r="A117" s="2325" t="s">
        <v>713</v>
      </c>
      <c r="B117" s="2326"/>
      <c r="C117" s="133" t="s">
        <v>7</v>
      </c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U117" s="66"/>
    </row>
    <row r="118" spans="1:21" s="65" customFormat="1">
      <c r="A118" s="685" t="s">
        <v>1</v>
      </c>
      <c r="B118" s="859" t="s">
        <v>100</v>
      </c>
      <c r="C118" s="707" t="s">
        <v>97</v>
      </c>
      <c r="D118" s="726" t="s">
        <v>95</v>
      </c>
      <c r="E118" s="137" t="s">
        <v>494</v>
      </c>
      <c r="F118" s="138" t="s">
        <v>495</v>
      </c>
      <c r="G118" s="139" t="s">
        <v>496</v>
      </c>
      <c r="H118" s="140" t="s">
        <v>101</v>
      </c>
      <c r="I118" s="141" t="s">
        <v>98</v>
      </c>
      <c r="J118" s="141" t="s">
        <v>96</v>
      </c>
      <c r="K118" s="141" t="s">
        <v>715</v>
      </c>
      <c r="L118" s="216" t="s">
        <v>716</v>
      </c>
      <c r="M118" s="217">
        <v>0</v>
      </c>
      <c r="N118" s="218">
        <v>1</v>
      </c>
      <c r="O118" s="218">
        <v>2</v>
      </c>
      <c r="P118" s="218">
        <v>3</v>
      </c>
      <c r="Q118" s="219" t="s">
        <v>1367</v>
      </c>
      <c r="U118" s="66"/>
    </row>
    <row r="119" spans="1:21" s="65" customFormat="1">
      <c r="A119" s="142" t="s">
        <v>8</v>
      </c>
      <c r="B119" s="271">
        <f>IFERROR(VLOOKUP(A119,'Индивидуальный план'!$AD$5:$AF$10,2,0),"")</f>
        <v>400</v>
      </c>
      <c r="C119" s="52">
        <f>IFERROR(VLOOKUP(A119,'Индивидуальный план'!$AD$5:$AF$10,3,0),"")</f>
        <v>37144884.240000002</v>
      </c>
      <c r="D119" s="327"/>
      <c r="E119" s="145">
        <f>SUMIFS(sept2021[м2],sept2021[МОП],$A119,sept2021[№ дома],$C$117,sept2021[Комнатность],"&lt;&gt;Офис")</f>
        <v>604.54999999999995</v>
      </c>
      <c r="F119" s="146">
        <f>SUMIFS(sept2021[Сумма без отделки],sept2021[МОП],$A119,sept2021[№ дома],$C$117,sept2021[Комнатность],"&lt;&gt;Офис")</f>
        <v>55409298.829999998</v>
      </c>
      <c r="G119" s="147">
        <f>COUNTIFS(sept2021[МОП],$A119,sept2021[№ дома],$C$117,sept2021[Комнатность],"&lt;&gt;Офис")</f>
        <v>11</v>
      </c>
      <c r="H119" s="148">
        <f>SUMIFS(РД[S],РД[Дом],$C$117,РД[МОП],A119,РД[Дата подачи на регистрацию],"&lt;="&amp;$A$1,РД[Дата подачи на регистрацию],"&gt;="&amp;DATE(YEAR($A$1),MONTH($A$1),1),РД[Состояние],"Продажа")</f>
        <v>722.34</v>
      </c>
      <c r="I119" s="149">
        <f>SUMIFS(РД[Стоимость без отделки итог],РД[Дом],$C$117,РД[МОП],A119,РД[Дата подачи на регистрацию],"&lt;="&amp;$A$1,РД[Дата подачи на регистрацию],"&gt;="&amp;DATE(YEAR($A$1),MONTH($A$1),1),РД[Состояние],"Продажа")</f>
        <v>65840220.42899999</v>
      </c>
      <c r="J119" s="220">
        <f>COUNTIFS(РД[Дом],$C$117,РД[МОП],A119,РД[Дата подачи на регистрацию],"&lt;="&amp;$A$1,РД[Дата подачи на регистрацию],"&gt;="&amp;DATE(YEAR($A$1),MONTH($A$1),1),РД[Состояние],"Продажа")</f>
        <v>13</v>
      </c>
      <c r="K119" s="221">
        <f t="shared" ref="K119:L124" si="0">IFERROR(H119/B119,"")</f>
        <v>1.8058500000000002</v>
      </c>
      <c r="L119" s="222">
        <f t="shared" si="0"/>
        <v>1.7725245824860858</v>
      </c>
      <c r="M119" s="148">
        <f>COUNTIFS(РД[Тип кв],M$118,РД[МОП],$A119,РД[Дом],$C$117,РД[Дата подачи на регистрацию],"&lt;="&amp;$A$1,РД[Дата подачи на регистрацию],"&gt;="&amp;DATE(YEAR($A$1),MONTH($A$1),1))</f>
        <v>1</v>
      </c>
      <c r="N119" s="220">
        <f>COUNTIFS(РД[Тип кв],N$118,РД[МОП],$A119,РД[Дом],$C$117,РД[Дата подачи на регистрацию],"&lt;="&amp;$A$1,РД[Дата подачи на регистрацию],"&gt;="&amp;DATE(YEAR($A$1),MONTH($A$1),1))</f>
        <v>3</v>
      </c>
      <c r="O119" s="220">
        <f>COUNTIFS(РД[Тип кв],O$118,РД[МОП],$A119,РД[Дом],$C$117,РД[Дата подачи на регистрацию],"&lt;="&amp;$A$1,РД[Дата подачи на регистрацию],"&gt;="&amp;DATE(YEAR($A$1),MONTH($A$1),1))</f>
        <v>9</v>
      </c>
      <c r="P119" s="220">
        <f>COUNTIFS(РД[Тип кв],P$118,РД[МОП],$A119,РД[Дом],$C$117,РД[Дата подачи на регистрацию],"&lt;="&amp;$A$1,РД[Дата подачи на регистрацию],"&gt;="&amp;DATE(YEAR($A$1),MONTH($A$1),1))</f>
        <v>0</v>
      </c>
      <c r="Q119" s="223">
        <f>COUNTIFS(РД[Тип кв],Q$118,РД[МОП],$A119,РД[Дом],$C$117,РД[Дата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398" t="s">
        <v>77</v>
      </c>
      <c r="B120" s="271">
        <f>IFERROR(VLOOKUP(A120,'Индивидуальный план'!$AD$5:$AF$10,2,0),"")</f>
        <v>0</v>
      </c>
      <c r="C120" s="52">
        <f>IFERROR(VLOOKUP(A120,'Индивидуальный план'!$AD$5:$AF$10,3,0),"")</f>
        <v>0</v>
      </c>
      <c r="D120" s="327"/>
      <c r="E120" s="145">
        <f>SUMIFS(sept2021[м2],sept2021[МОП],$A120,sept2021[№ дома],$C$117,sept2021[Комнатность],"&lt;&gt;Офис")</f>
        <v>0</v>
      </c>
      <c r="F120" s="146">
        <f>SUMIFS(sept2021[Сумма без отделки],sept2021[МОП],$A120,sept2021[№ дома],$C$117,sept2021[Комнатность],"&lt;&gt;Офис")</f>
        <v>0</v>
      </c>
      <c r="G120" s="147">
        <f>COUNTIFS(sept2021[МОП],$A120,sept2021[№ дома],$C$117,sept2021[Комнатность],"&lt;&gt;Офис")</f>
        <v>0</v>
      </c>
      <c r="H120" s="148">
        <f>SUMIFS(РД[S],РД[Дом],$C$117,РД[МОП],A120,РД[Дата подачи на регистрацию],"&lt;="&amp;$A$1,РД[Дата подачи на регистрацию],"&gt;="&amp;DATE(YEAR($A$1),MONTH($A$1),1),РД[Состояние],"Продажа")</f>
        <v>0</v>
      </c>
      <c r="I120" s="149">
        <f>SUMIFS(РД[Стоимость без отделки итог],РД[Дом],$C$117,РД[МОП],A120,РД[Дата подачи на регистрацию],"&lt;="&amp;$A$1,РД[Дата подачи на регистрацию],"&gt;="&amp;DATE(YEAR($A$1),MONTH($A$1),1),РД[Состояние],"Продажа")</f>
        <v>0</v>
      </c>
      <c r="J120" s="220">
        <f>COUNTIFS(РД[Дом],$C$117,РД[МОП],A120,РД[Дата подачи на регистрацию],"&lt;="&amp;$A$1,РД[Дата подачи на регистрацию],"&gt;="&amp;DATE(YEAR($A$1),MONTH($A$1),1),РД[Состояние],"Продажа")</f>
        <v>0</v>
      </c>
      <c r="K120" s="224" t="str">
        <f t="shared" si="0"/>
        <v/>
      </c>
      <c r="L120" s="225" t="str">
        <f t="shared" si="0"/>
        <v/>
      </c>
      <c r="M120" s="202">
        <f>COUNTIFS(РД[Тип кв],M$118,РД[МОП],$A120,РД[Дом],$C$117,РД[Дата подачи на регистрацию],"&lt;="&amp;$A$1,РД[Дата подачи на регистрацию],"&gt;="&amp;DATE(YEAR($A$1),MONTH($A$1),1))</f>
        <v>0</v>
      </c>
      <c r="N120" s="226">
        <f>COUNTIFS(РД[Тип кв],N$118,РД[МОП],$A120,РД[Дом],$C$117,РД[Дата подачи на регистрацию],"&lt;="&amp;$A$1,РД[Дата подачи на регистрацию],"&gt;="&amp;DATE(YEAR($A$1),MONTH($A$1),1))</f>
        <v>0</v>
      </c>
      <c r="O120" s="226">
        <f>COUNTIFS(РД[Тип кв],O$118,РД[МОП],$A120,РД[Дом],$C$117,РД[Дата подачи на регистрацию],"&lt;="&amp;$A$1,РД[Дата подачи на регистрацию],"&gt;="&amp;DATE(YEAR($A$1),MONTH($A$1),1))</f>
        <v>0</v>
      </c>
      <c r="P120" s="226">
        <f>COUNTIFS(РД[Тип кв],P$118,РД[МОП],$A120,РД[Дом],$C$117,РД[Дата подачи на регистрацию],"&lt;="&amp;$A$1,РД[Дата подачи на регистрацию],"&gt;="&amp;DATE(YEAR($A$1),MONTH($A$1),1))</f>
        <v>0</v>
      </c>
      <c r="Q120" s="227">
        <f>COUNTIFS(РД[Тип кв],Q$118,РД[МОП],$A120,РД[Дом],$C$117,РД[Дата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153" t="s">
        <v>20</v>
      </c>
      <c r="B121" s="271">
        <f>IFERROR(VLOOKUP(A121,'Индивидуальный план'!$AD$5:$AF$10,2,0),"")</f>
        <v>401</v>
      </c>
      <c r="C121" s="52">
        <f>IFERROR(VLOOKUP(A121,'Индивидуальный план'!$AD$5:$AF$10,3,0),"")</f>
        <v>37237746.450599998</v>
      </c>
      <c r="D121" s="327"/>
      <c r="E121" s="145">
        <f>SUMIFS(sept2021[м2],sept2021[МОП],$A121,sept2021[№ дома],$C$117,sept2021[Комнатность],"&lt;&gt;Офис")</f>
        <v>198.75</v>
      </c>
      <c r="F121" s="146">
        <f>SUMIFS(sept2021[Сумма без отделки],sept2021[МОП],$A121,sept2021[№ дома],$C$117,sept2021[Комнатность],"&lt;&gt;Офис")</f>
        <v>19662483.829999998</v>
      </c>
      <c r="G121" s="147">
        <f>COUNTIFS(sept2021[МОП],$A121,sept2021[№ дома],$C$117,sept2021[Комнатность],"&lt;&gt;Офис")</f>
        <v>5</v>
      </c>
      <c r="H121" s="148">
        <f>SUMIFS(РД[S],РД[Дом],$C$117,РД[МОП],A121,РД[Дата подачи на регистрацию],"&lt;="&amp;$A$1,РД[Дата подачи на регистрацию],"&gt;="&amp;DATE(YEAR($A$1),MONTH($A$1),1),РД[Состояние],"Продажа")</f>
        <v>141.15</v>
      </c>
      <c r="I121" s="149">
        <f>SUMIFS(РД[Стоимость без отделки итог],РД[Дом],$C$117,РД[МОП],A121,РД[Дата подачи на регистрацию],"&lt;="&amp;$A$1,РД[Дата подачи на регистрацию],"&gt;="&amp;DATE(YEAR($A$1),MONTH($A$1),1),РД[Состояние],"Продажа")</f>
        <v>14759809.41</v>
      </c>
      <c r="J121" s="220">
        <f>COUNTIFS(РД[Дом],$C$117,РД[МОП],A121,РД[Дата подачи на регистрацию],"&lt;="&amp;$A$1,РД[Дата подачи на регистрацию],"&gt;="&amp;DATE(YEAR($A$1),MONTH($A$1),1),РД[Состояние],"Продажа")</f>
        <v>4</v>
      </c>
      <c r="K121" s="224">
        <f t="shared" si="0"/>
        <v>0.35199501246882792</v>
      </c>
      <c r="L121" s="225">
        <f t="shared" si="0"/>
        <v>0.39636688083637189</v>
      </c>
      <c r="M121" s="202">
        <f>COUNTIFS(РД[Тип кв],M$118,РД[МОП],$A121,РД[Дом],$C$117,РД[Дата подачи на регистрацию],"&lt;="&amp;$A$1,РД[Дата подачи на регистрацию],"&gt;="&amp;DATE(YEAR($A$1),MONTH($A$1),1))</f>
        <v>2</v>
      </c>
      <c r="N121" s="226">
        <f>COUNTIFS(РД[Тип кв],N$118,РД[МОП],$A121,РД[Дом],$C$117,РД[Дата подачи на регистрацию],"&lt;="&amp;$A$1,РД[Дата подачи на регистрацию],"&gt;="&amp;DATE(YEAR($A$1),MONTH($A$1),1))</f>
        <v>2</v>
      </c>
      <c r="O121" s="226">
        <f>COUNTIFS(РД[Тип кв],O$118,РД[МОП],$A121,РД[Дом],$C$117,РД[Дата подачи на регистрацию],"&lt;="&amp;$A$1,РД[Дата подачи на регистрацию],"&gt;="&amp;DATE(YEAR($A$1),MONTH($A$1),1))</f>
        <v>0</v>
      </c>
      <c r="P121" s="226">
        <f>COUNTIFS(РД[Тип кв],P$118,РД[МОП],$A121,РД[Дом],$C$117,РД[Дата подачи на регистрацию],"&lt;="&amp;$A$1,РД[Дата подачи на регистрацию],"&gt;="&amp;DATE(YEAR($A$1),MONTH($A$1),1))</f>
        <v>0</v>
      </c>
      <c r="Q121" s="227">
        <f>COUNTIFS(РД[Тип кв],Q$118,РД[МОП],$A121,РД[Дом],$C$117,РД[Дата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3" t="s">
        <v>14</v>
      </c>
      <c r="B122" s="516">
        <f>IFERROR(VLOOKUP(A122,'Индивидуальный план'!$AD$5:$AF$10,2,0),"")</f>
        <v>400</v>
      </c>
      <c r="C122" s="554">
        <f>IFERROR(VLOOKUP(A122,'Индивидуальный план'!$AD$5:$AF$10,3,0),"")</f>
        <v>37144884.240000002</v>
      </c>
      <c r="D122" s="860"/>
      <c r="E122" s="328">
        <f>SUMIFS(sept2021[м2],sept2021[МОП],$A122,sept2021[№ дома],$C$117,sept2021[Комнатность],"&lt;&gt;Офис")</f>
        <v>394.74</v>
      </c>
      <c r="F122" s="403">
        <f>SUMIFS(sept2021[Сумма без отделки],sept2021[МОП],$A122,sept2021[№ дома],$C$117,sept2021[Комнатность],"&lt;&gt;Офис")</f>
        <v>36144335.700000003</v>
      </c>
      <c r="G122" s="404">
        <f>COUNTIFS(sept2021[МОП],$A122,sept2021[№ дома],$C$117,sept2021[Комнатность],"&lt;&gt;Офис")</f>
        <v>7</v>
      </c>
      <c r="H122" s="187">
        <f>SUMIFS(РД[S],РД[Дом],$C$117,РД[МОП],A122,РД[Дата подачи на регистрацию],"&lt;="&amp;$A$1,РД[Дата подачи на регистрацию],"&gt;="&amp;DATE(YEAR($A$1),MONTH($A$1),1),РД[Состояние],"Продажа")</f>
        <v>432.55</v>
      </c>
      <c r="I122" s="188">
        <f>SUMIFS(РД[Стоимость без отделки итог],РД[Дом],$C$117,РД[МОП],A122,РД[Дата подачи на регистрацию],"&lt;="&amp;$A$1,РД[Дата подачи на регистрацию],"&gt;="&amp;DATE(YEAR($A$1),MONTH($A$1),1),РД[Состояние],"Продажа")</f>
        <v>40139535.699999996</v>
      </c>
      <c r="J122" s="247">
        <f>COUNTIFS(РД[Дом],$C$117,РД[МОП],A122,РД[Дата подачи на регистрацию],"&lt;="&amp;$A$1,РД[Дата подачи на регистрацию],"&gt;="&amp;DATE(YEAR($A$1),MONTH($A$1),1),РД[Состояние],"Продажа")</f>
        <v>8</v>
      </c>
      <c r="K122" s="360">
        <f t="shared" si="0"/>
        <v>1.081375</v>
      </c>
      <c r="L122" s="361">
        <f t="shared" si="0"/>
        <v>1.0806208316776813</v>
      </c>
      <c r="M122" s="358">
        <f>COUNTIFS(РД[Тип кв],M$118,РД[МОП],$A122,РД[Дом],$C$117,РД[Дата подачи на регистрацию],"&lt;="&amp;$A$1,РД[Дата подачи на регистрацию],"&gt;="&amp;DATE(YEAR($A$1),MONTH($A$1),1))</f>
        <v>0</v>
      </c>
      <c r="N122" s="330">
        <f>COUNTIFS(РД[Тип кв],N$118,РД[МОП],$A122,РД[Дом],$C$117,РД[Дата подачи на регистрацию],"&lt;="&amp;$A$1,РД[Дата подачи на регистрацию],"&gt;="&amp;DATE(YEAR($A$1),MONTH($A$1),1))</f>
        <v>3</v>
      </c>
      <c r="O122" s="330">
        <f>COUNTIFS(РД[Тип кв],O$118,РД[МОП],$A122,РД[Дом],$C$117,РД[Дата подачи на регистрацию],"&lt;="&amp;$A$1,РД[Дата подачи на регистрацию],"&gt;="&amp;DATE(YEAR($A$1),MONTH($A$1),1))</f>
        <v>5</v>
      </c>
      <c r="P122" s="330">
        <f>COUNTIFS(РД[Тип кв],P$118,РД[МОП],$A122,РД[Дом],$C$117,РД[Дата подачи на регистрацию],"&lt;="&amp;$A$1,РД[Дата подачи на регистрацию],"&gt;="&amp;DATE(YEAR($A$1),MONTH($A$1),1))</f>
        <v>0</v>
      </c>
      <c r="Q122" s="331">
        <f>COUNTIFS(РД[Тип кв],Q$118,РД[МОП],$A122,РД[Дом],$C$117,РД[Дата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54" t="s">
        <v>29</v>
      </c>
      <c r="B123" s="861" t="str">
        <f>IFERROR(VLOOKUP(A123,'Индивидуальный план'!$R$3:$T$14,2,0),"")</f>
        <v/>
      </c>
      <c r="C123" s="862" t="str">
        <f>IFERROR(VLOOKUP(A123,'Индивидуальный план'!$R$3:$T$14,3,0),"")</f>
        <v/>
      </c>
      <c r="D123" s="863"/>
      <c r="E123" s="341">
        <f>SUMIFS(sept2021[м2],sept2021[МОП],$A123,sept2021[№ дома],$C$117,sept2021[Комнатность],"&lt;&gt;Офис")</f>
        <v>0</v>
      </c>
      <c r="F123" s="277">
        <f>SUMIFS(sept2021[Сумма без отделки],sept2021[МОП],$A123,sept2021[№ дома],$C$117,sept2021[Комнатность],"&lt;&gt;Офис")</f>
        <v>0</v>
      </c>
      <c r="G123" s="405">
        <f>COUNTIFS(sept2021[МОП],$A123,sept2021[№ дома],$C$117,sept2021[Комнатность],"&lt;&gt;Офис")</f>
        <v>0</v>
      </c>
      <c r="H123" s="159">
        <f>SUMIFS(РД[S],РД[Дом],$C$117,РД[МОП],A123,РД[Дата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160">
        <f>SUMIFS(РД[Стоимость без отделки итог],РД[Дом],$C$117,РД[МОП],A123,РД[Дата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28">
        <f>COUNTIFS(РД[Дом],$C$117,РД[МОП],A123,РД[Дата подачи на регистрацию],"&lt;="&amp;$A$1,РД[Дата подачи на регистрацию],"&gt;="&amp;DATE(YEAR($A$1),MONTH($A$1),1),РД[Состояние],"Продажа")</f>
        <v>0</v>
      </c>
      <c r="K123" s="229" t="str">
        <f t="shared" si="0"/>
        <v/>
      </c>
      <c r="L123" s="230" t="str">
        <f t="shared" si="0"/>
        <v/>
      </c>
      <c r="M123" s="159">
        <f>COUNTIFS(РД[Тип кв],M$118,РД[МОП],$A123,РД[Дом],$C$117,РД[Дата подачи на регистрацию],"&lt;="&amp;$A$1,РД[Дата подачи на регистрацию],"&gt;="&amp;DATE(YEAR($A$1),MONTH($A$1),1))</f>
        <v>0</v>
      </c>
      <c r="N123" s="228">
        <f>COUNTIFS(РД[Тип кв],N$118,РД[МОП],$A123,РД[Дом],$C$117,РД[Дата подачи на регистрацию],"&lt;="&amp;$A$1,РД[Дата подачи на регистрацию],"&gt;="&amp;DATE(YEAR($A$1),MONTH($A$1),1))</f>
        <v>0</v>
      </c>
      <c r="O123" s="228">
        <f>COUNTIFS(РД[Тип кв],O$118,РД[МОП],$A123,РД[Дом],$C$117,РД[Дата подачи на регистрацию],"&lt;="&amp;$A$1,РД[Дата подачи на регистрацию],"&gt;="&amp;DATE(YEAR($A$1),MONTH($A$1),1))</f>
        <v>0</v>
      </c>
      <c r="P123" s="228">
        <f>COUNTIFS(РД[Тип кв],P$118,РД[МОП],$A123,РД[Дом],$C$117,РД[Дата подачи на регистрацию],"&lt;="&amp;$A$1,РД[Дата подачи на регистрацию],"&gt;="&amp;DATE(YEAR($A$1),MONTH($A$1),1))</f>
        <v>0</v>
      </c>
      <c r="Q123" s="231">
        <f>COUNTIFS(РД[Тип кв],Q$118,РД[МОП],$A123,РД[Дом],$C$117,РД[Дата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61" t="s">
        <v>1207</v>
      </c>
      <c r="B124" s="278" t="str">
        <f>IFERROR(VLOOKUP(A124,'Индивидуальный план'!$R$3:$T$14,2,0),"")</f>
        <v/>
      </c>
      <c r="C124" s="281" t="str">
        <f>IFERROR(VLOOKUP(A124,'Индивидуальный план'!$R$3:$T$14,3,0),"")</f>
        <v/>
      </c>
      <c r="D124" s="511"/>
      <c r="E124" s="406">
        <f>SUMIFS(sept2021[м2],sept2021[МОП],$A124,sept2021[№ дома],$C$117,sept2021[Комнатность],"&lt;&gt;Офис")</f>
        <v>93.84</v>
      </c>
      <c r="F124" s="281">
        <f>SUMIFS(sept2021[Сумма без отделки],sept2021[МОП],$A124,sept2021[№ дома],$C$117,sept2021[Комнатность],"&lt;&gt;Офис")</f>
        <v>8956969.3300000001</v>
      </c>
      <c r="G124" s="407">
        <f>COUNTIFS(sept2021[МОП],$A124,sept2021[№ дома],$C$117,sept2021[Комнатность],"&lt;&gt;Офис")</f>
        <v>2</v>
      </c>
      <c r="H124" s="166">
        <f>SUMIFS(РД[S],РД[Дом],$C$117,РД[МОП],A124,РД[Дата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I124" s="167">
        <f>SUMIFS(РД[Стоимость без отделки итог],РД[Дом],$C$117,РД[МОП],A124,РД[Дата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J124" s="232">
        <f>COUNTIFS(РД[Дом],$C$117,РД[МОП],A124,РД[Дата подачи на регистрацию],"&lt;="&amp;$A$1,РД[Дата подачи на регистрацию],"&gt;="&amp;DATE(YEAR($A$1),MONTH($A$1),1),РД[Состояние],"Продажа")</f>
        <v>0</v>
      </c>
      <c r="K124" s="233" t="str">
        <f t="shared" si="0"/>
        <v/>
      </c>
      <c r="L124" s="234" t="str">
        <f t="shared" si="0"/>
        <v/>
      </c>
      <c r="M124" s="235">
        <f>COUNTIFS(РД[Тип кв],M$118,РД[МОП],$A124,РД[Дом],$C$117,РД[Дата подачи на регистрацию],"&lt;="&amp;$A$1,РД[Дата подачи на регистрацию],"&gt;="&amp;DATE(YEAR($A$1),MONTH($A$1),1))</f>
        <v>0</v>
      </c>
      <c r="N124" s="236">
        <f>COUNTIFS(РД[Тип кв],N$118,РД[МОП],$A124,РД[Дом],$C$117,РД[Дата подачи на регистрацию],"&lt;="&amp;$A$1,РД[Дата подачи на регистрацию],"&gt;="&amp;DATE(YEAR($A$1),MONTH($A$1),1))</f>
        <v>0</v>
      </c>
      <c r="O124" s="236">
        <f>COUNTIFS(РД[Тип кв],O$118,РД[МОП],$A124,РД[Дом],$C$117,РД[Дата подачи на регистрацию],"&lt;="&amp;$A$1,РД[Дата подачи на регистрацию],"&gt;="&amp;DATE(YEAR($A$1),MONTH($A$1),1))</f>
        <v>0</v>
      </c>
      <c r="P124" s="236">
        <f>COUNTIFS(РД[Тип кв],P$118,РД[МОП],$A124,РД[Дом],$C$117,РД[Дата подачи на регистрацию],"&lt;="&amp;$A$1,РД[Дата подачи на регистрацию],"&gt;="&amp;DATE(YEAR($A$1),MONTH($A$1),1))</f>
        <v>0</v>
      </c>
      <c r="Q124" s="237">
        <f>COUNTIFS(РД[Тип кв],Q$118,РД[МОП],$A124,РД[Дом],$C$117,РД[Дата подачи на регистрацию],"&lt;="&amp;$A$1,РД[Дата подачи на регистрацию],"&gt;="&amp;DATE(YEAR($A$1),MONTH($A$1),1))</f>
        <v>0</v>
      </c>
      <c r="U124" s="66"/>
    </row>
    <row r="125" spans="1:21" s="65" customFormat="1">
      <c r="A125" s="168" t="s">
        <v>114</v>
      </c>
      <c r="B125" s="172">
        <f t="shared" ref="B125:J125" si="1">SUM(B119:B124)</f>
        <v>1201</v>
      </c>
      <c r="C125" s="173">
        <f t="shared" si="1"/>
        <v>111527514.93060002</v>
      </c>
      <c r="D125" s="691">
        <f t="shared" si="1"/>
        <v>0</v>
      </c>
      <c r="E125" s="173">
        <f t="shared" si="1"/>
        <v>1291.8799999999999</v>
      </c>
      <c r="F125" s="173">
        <f t="shared" si="1"/>
        <v>120173087.69</v>
      </c>
      <c r="G125" s="171">
        <f t="shared" si="1"/>
        <v>25</v>
      </c>
      <c r="H125" s="172">
        <f t="shared" si="1"/>
        <v>1296.04</v>
      </c>
      <c r="I125" s="173">
        <f t="shared" si="1"/>
        <v>120739565.53899997</v>
      </c>
      <c r="J125" s="170">
        <f t="shared" si="1"/>
        <v>25</v>
      </c>
      <c r="K125" s="238">
        <f>IFERROR(H125/B125,"")</f>
        <v>1.0791340549542048</v>
      </c>
      <c r="L125" s="239">
        <f>IFERROR(I125/C125,"")</f>
        <v>1.0825989049799265</v>
      </c>
      <c r="M125" s="240">
        <f>SUM(M119:M124)</f>
        <v>3</v>
      </c>
      <c r="N125" s="241">
        <f>SUM(N119:N124)</f>
        <v>8</v>
      </c>
      <c r="O125" s="241">
        <f>SUM(O119:O124)</f>
        <v>14</v>
      </c>
      <c r="P125" s="241">
        <f>SUM(P119:P124)</f>
        <v>0</v>
      </c>
      <c r="Q125" s="242">
        <f>SUM(Q119:Q124)</f>
        <v>0</v>
      </c>
      <c r="U125" s="66"/>
    </row>
    <row r="126" spans="1:21" s="65" customFormat="1">
      <c r="A126" s="692" t="s">
        <v>115</v>
      </c>
      <c r="B126" s="706" t="s">
        <v>100</v>
      </c>
      <c r="C126" s="710" t="s">
        <v>97</v>
      </c>
      <c r="D126" s="708" t="s">
        <v>95</v>
      </c>
      <c r="E126" s="295" t="s">
        <v>494</v>
      </c>
      <c r="F126" s="138" t="s">
        <v>495</v>
      </c>
      <c r="G126" s="470" t="s">
        <v>496</v>
      </c>
      <c r="H126" s="140" t="s">
        <v>101</v>
      </c>
      <c r="I126" s="141" t="s">
        <v>98</v>
      </c>
      <c r="J126" s="141" t="s">
        <v>96</v>
      </c>
      <c r="K126" s="495" t="s">
        <v>715</v>
      </c>
      <c r="L126" s="496" t="s">
        <v>716</v>
      </c>
      <c r="M126" s="217">
        <v>0</v>
      </c>
      <c r="N126" s="218">
        <v>1</v>
      </c>
      <c r="O126" s="218">
        <v>2</v>
      </c>
      <c r="P126" s="218">
        <v>3</v>
      </c>
      <c r="Q126" s="219" t="s">
        <v>1367</v>
      </c>
      <c r="U126" s="66"/>
    </row>
    <row r="127" spans="1:21" s="65" customFormat="1">
      <c r="A127" s="142" t="s">
        <v>16</v>
      </c>
      <c r="B127" s="291">
        <f>IFERROR(VLOOKUP(A127,'Индивидуальный план'!$AD$13:$AF$14,2,0),"")</f>
        <v>240</v>
      </c>
      <c r="C127" s="292">
        <f>IFERROR(VLOOKUP(A127,'Индивидуальный план'!$AD$13:$AF$14,3,0),"")</f>
        <v>22286930.539999999</v>
      </c>
      <c r="D127" s="694"/>
      <c r="E127" s="145">
        <f>SUMIFS(sept2021[м2],sept2021[ИМ],A127,sept2021[№ дома],$C$117,sept2021[Комнатность],"&lt;&gt;Офис")</f>
        <v>613.70999999999992</v>
      </c>
      <c r="F127" s="149">
        <f>SUMIFS(sept2021[Сумма без отделки],sept2021[ИМ],$A127,sept2021[№ дома],$C$117,sept2021[Комнатность],"&lt;&gt;Офис")</f>
        <v>56289732.450000003</v>
      </c>
      <c r="G127" s="147">
        <f>COUNTIFS(sept2021[ИМ],$A127,sept2021[№ дома],$C$117,sept2021[Комнатность],"&lt;&gt;Офис")</f>
        <v>11</v>
      </c>
      <c r="H127" s="183">
        <f>SUMIFS(РД[S],РД[Дом],$C$117,РД[ИМ],A127,РД[Дата подачи на регистрацию],"&lt;="&amp;$A$1,РД[Дата подачи на регистрацию],"&gt;="&amp;DATE(YEAR($A$1),MONTH($A$1),1),РД[Состояние],"Продажа")</f>
        <v>613.71</v>
      </c>
      <c r="I127" s="184">
        <f>SUMIFS(РД[Стоимость без отделки итог],РД[Дом],$C$117,РД[ИМ],A127,РД[Дата подачи на регистрацию],"&lt;="&amp;$A$1,РД[Дата подачи на регистрацию],"&gt;="&amp;DATE(YEAR($A$1),MONTH($A$1),1),РД[Состояние],"Продажа")</f>
        <v>56289732.449000001</v>
      </c>
      <c r="J127" s="243">
        <f>COUNTIFS(РД[Дом],$C$117,РД[ИМ],A127,РД[Дата подачи на регистрацию],"&lt;="&amp;$A$1,РД[Дата подачи на регистрацию],"&gt;="&amp;DATE(YEAR($A$1),MONTH($A$1),1),РД[Состояние],"Продажа")</f>
        <v>11</v>
      </c>
      <c r="K127" s="244">
        <f t="shared" ref="K127:L129" si="2">IFERROR(H127/B127,"")</f>
        <v>2.5571250000000001</v>
      </c>
      <c r="L127" s="245">
        <f t="shared" si="2"/>
        <v>2.5256834873681981</v>
      </c>
      <c r="M127" s="183">
        <f>COUNTIFS(РД[Тип кв],M118,РД[ИМ],$A127,РД[Дом],$C$117,РД[Дата подачи на регистрацию],"&lt;="&amp;$A$1,РД[Дата подачи на регистрацию],"&gt;="&amp;DATE(YEAR($A$1),MONTH($A$1),1))</f>
        <v>0</v>
      </c>
      <c r="N127" s="243">
        <f>COUNTIFS(РД[Тип кв],N118,РД[ИМ],$A127,РД[Дом],$C$117,РД[Дата подачи на регистрацию],"&lt;="&amp;$A$1,РД[Дата подачи на регистрацию],"&gt;="&amp;DATE(YEAR($A$1),MONTH($A$1),1))</f>
        <v>3</v>
      </c>
      <c r="O127" s="243">
        <f>COUNTIFS(РД[Тип кв],O118,РД[ИМ],$A127,РД[Дом],$C$117,РД[Дата подачи на регистрацию],"&lt;="&amp;$A$1,РД[Дата подачи на регистрацию],"&gt;="&amp;DATE(YEAR($A$1),MONTH($A$1),1))</f>
        <v>8</v>
      </c>
      <c r="P127" s="243">
        <f>COUNTIFS(РД[Тип кв],P118,РД[ИМ],$A127,РД[Дом],$C$117,РД[Дата подачи на регистрацию],"&lt;="&amp;$A$1,РД[Дата подачи на регистрацию],"&gt;="&amp;DATE(YEAR($A$1),MONTH($A$1),1))</f>
        <v>0</v>
      </c>
      <c r="Q127" s="246">
        <f>COUNTIFS(РД[Тип кв],Q118,РД[ИМ],$A127,РД[Дом],$C$117,РД[Дата подачи на регистрацию],"&lt;="&amp;$A$1,РД[Дата подачи на регистрацию],"&gt;="&amp;DATE(YEAR($A$1),MONTH($A$1),1))</f>
        <v>0</v>
      </c>
      <c r="U127" s="66"/>
    </row>
    <row r="128" spans="1:21" s="65" customFormat="1">
      <c r="A128" s="153" t="s">
        <v>22</v>
      </c>
      <c r="B128" s="516">
        <f>IFERROR(VLOOKUP(A128,'Индивидуальный план'!$AD$13:$AF$14,2,0),"")</f>
        <v>600</v>
      </c>
      <c r="C128" s="554">
        <f>IFERROR(VLOOKUP(A128,'Индивидуальный план'!$AD$13:$AF$14,3,0),"")</f>
        <v>55717326.359999999</v>
      </c>
      <c r="D128" s="695"/>
      <c r="E128" s="145">
        <f>SUMIFS(sept2021[м2],sept2021[ИМ],A128,sept2021[№ дома],$C$117,sept2021[Комнатность],"&lt;&gt;Офис")</f>
        <v>734.86999999999989</v>
      </c>
      <c r="F128" s="149">
        <f>SUMIFS(sept2021[Сумма без отделки],sept2021[ИМ],$A128,sept2021[№ дома],$C$117,sept2021[Комнатность],"&lt;&gt;Офис")</f>
        <v>69347495.139999986</v>
      </c>
      <c r="G128" s="147">
        <f>COUNTIFS(sept2021[ИМ],$A128,sept2021[№ дома],$C$117,sept2021[Комнатность],"&lt;&gt;Офис")</f>
        <v>15</v>
      </c>
      <c r="H128" s="195">
        <f>SUMIFS(РД[S],РД[Дом],$C$117,РД[ИМ],A128,РД[Дата подачи на регистрацию],"&lt;="&amp;$A$1,РД[Дата подачи на регистрацию],"&gt;="&amp;DATE(YEAR($A$1),MONTH($A$1),1),РД[Состояние],"Продажа")</f>
        <v>677.2700000000001</v>
      </c>
      <c r="I128" s="196">
        <f>SUMIFS(РД[Стоимость без отделки итог],РД[Дом],$C$117,РД[ИМ],A128,РД[Дата подачи на регистрацию],"&lt;="&amp;$A$1,РД[Дата подачи на регистрацию],"&gt;="&amp;DATE(YEAR($A$1),MONTH($A$1),1),РД[Состояние],"Продажа")</f>
        <v>64444820.659999996</v>
      </c>
      <c r="J128" s="251">
        <f>COUNTIFS(РД[Дом],$C$117,РД[ИМ],A128,РД[Дата подачи на регистрацию],"&lt;="&amp;$A$1,РД[Дата подачи на регистрацию],"&gt;="&amp;DATE(YEAR($A$1),MONTH($A$1),1),РД[Состояние],"Продажа")</f>
        <v>14</v>
      </c>
      <c r="K128" s="252">
        <f t="shared" si="2"/>
        <v>1.1287833333333335</v>
      </c>
      <c r="L128" s="253">
        <f t="shared" si="2"/>
        <v>1.1566387849196142</v>
      </c>
      <c r="M128" s="195">
        <f>COUNTIFS(РД[Тип кв],M118,РД[ИМ],$A128,РД[Дом],$C$117,РД[Дата подачи на регистрацию],"&lt;="&amp;$A$1,РД[Дата подачи на регистрацию],"&gt;="&amp;DATE(YEAR($A$1),MONTH($A$1),1))</f>
        <v>3</v>
      </c>
      <c r="N128" s="251">
        <f>COUNTIFS(РД[Тип кв],N118,РД[ИМ],$A128,РД[Дом],$C$117,РД[Дата подачи на регистрацию],"&lt;="&amp;$A$1,РД[Дата подачи на регистрацию],"&gt;="&amp;DATE(YEAR($A$1),MONTH($A$1),1))</f>
        <v>5</v>
      </c>
      <c r="O128" s="251">
        <f>COUNTIFS(РД[Тип кв],O118,РД[ИМ],$A128,РД[Дом],$C$117,РД[Дата подачи на регистрацию],"&lt;="&amp;$A$1,РД[Дата подачи на регистрацию],"&gt;="&amp;DATE(YEAR($A$1),MONTH($A$1),1))</f>
        <v>6</v>
      </c>
      <c r="P128" s="251">
        <f>COUNTIFS(РД[Тип кв],P118,РД[ИМ],$A128,РД[Дом],$C$117,РД[Дата подачи на регистрацию],"&lt;="&amp;$A$1,РД[Дата подачи на регистрацию],"&gt;="&amp;DATE(YEAR($A$1),MONTH($A$1),1))</f>
        <v>0</v>
      </c>
      <c r="Q128" s="254">
        <f>COUNTIFS(РД[Тип кв],Q118,РД[ИМ],$A128,РД[Дом],$C$117,РД[Дата подачи на регистрацию],"&lt;="&amp;$A$1,РД[Дата подачи на регистрацию],"&gt;="&amp;DATE(YEAR($A$1),MONTH($A$1),1))</f>
        <v>0</v>
      </c>
      <c r="U128" s="66"/>
    </row>
    <row r="129" spans="1:21" s="65" customFormat="1">
      <c r="A129" s="317" t="s">
        <v>114</v>
      </c>
      <c r="B129" s="172">
        <f t="shared" ref="B129:Q129" si="3">SUM(B127:B128)</f>
        <v>840</v>
      </c>
      <c r="C129" s="173">
        <f t="shared" si="3"/>
        <v>78004256.900000006</v>
      </c>
      <c r="D129" s="696">
        <f t="shared" si="3"/>
        <v>0</v>
      </c>
      <c r="E129" s="484">
        <f t="shared" si="3"/>
        <v>1348.58</v>
      </c>
      <c r="F129" s="429">
        <f t="shared" si="3"/>
        <v>125637227.58999999</v>
      </c>
      <c r="G129" s="485">
        <f t="shared" si="3"/>
        <v>26</v>
      </c>
      <c r="H129" s="473">
        <f t="shared" si="3"/>
        <v>1290.98</v>
      </c>
      <c r="I129" s="429">
        <f t="shared" si="3"/>
        <v>120734553.109</v>
      </c>
      <c r="J129" s="494">
        <f t="shared" si="3"/>
        <v>25</v>
      </c>
      <c r="K129" s="419">
        <f t="shared" si="2"/>
        <v>1.5368809523809523</v>
      </c>
      <c r="L129" s="420">
        <f t="shared" si="2"/>
        <v>1.5477944141404927</v>
      </c>
      <c r="M129" s="473">
        <f t="shared" si="3"/>
        <v>3</v>
      </c>
      <c r="N129" s="494">
        <f t="shared" si="3"/>
        <v>8</v>
      </c>
      <c r="O129" s="494">
        <f t="shared" si="3"/>
        <v>14</v>
      </c>
      <c r="P129" s="494">
        <f t="shared" si="3"/>
        <v>0</v>
      </c>
      <c r="Q129" s="497">
        <f t="shared" si="3"/>
        <v>0</v>
      </c>
      <c r="U129" s="66"/>
    </row>
    <row r="130" spans="1:21" s="65" customFormat="1">
      <c r="A130" s="134"/>
      <c r="B130" s="197"/>
      <c r="C130" s="197"/>
      <c r="D130" s="198"/>
      <c r="E130" s="134"/>
      <c r="F130" s="44"/>
      <c r="G130" s="134"/>
      <c r="H130" s="134"/>
      <c r="I130" s="44"/>
      <c r="J130" s="134"/>
      <c r="K130" s="255"/>
      <c r="L130" s="256"/>
      <c r="M130" s="134"/>
      <c r="N130" s="134"/>
      <c r="O130" s="134"/>
      <c r="P130" s="134"/>
      <c r="Q130" s="134"/>
      <c r="U130" s="66"/>
    </row>
    <row r="131" spans="1:21" s="65" customFormat="1">
      <c r="A131" s="2327" t="s">
        <v>713</v>
      </c>
      <c r="B131" s="2328"/>
      <c r="C131" s="474" t="s">
        <v>13</v>
      </c>
      <c r="D131" s="697"/>
      <c r="E131" s="475"/>
      <c r="F131" s="475"/>
      <c r="G131" s="475"/>
      <c r="H131" s="476"/>
      <c r="I131" s="476"/>
      <c r="J131" s="476"/>
      <c r="K131" s="476"/>
      <c r="L131" s="476"/>
      <c r="M131" s="475"/>
      <c r="N131" s="475"/>
      <c r="O131" s="475"/>
      <c r="P131" s="475"/>
      <c r="Q131" s="498"/>
      <c r="U131" s="66"/>
    </row>
    <row r="132" spans="1:21" s="65" customFormat="1">
      <c r="A132" s="698" t="s">
        <v>1</v>
      </c>
      <c r="B132" s="699" t="s">
        <v>100</v>
      </c>
      <c r="C132" s="700" t="s">
        <v>97</v>
      </c>
      <c r="D132" s="701" t="s">
        <v>95</v>
      </c>
      <c r="E132" s="137" t="s">
        <v>494</v>
      </c>
      <c r="F132" s="477" t="s">
        <v>495</v>
      </c>
      <c r="G132" s="478" t="s">
        <v>496</v>
      </c>
      <c r="H132" s="479" t="s">
        <v>101</v>
      </c>
      <c r="I132" s="479" t="s">
        <v>98</v>
      </c>
      <c r="J132" s="479" t="s">
        <v>96</v>
      </c>
      <c r="K132" s="479" t="s">
        <v>715</v>
      </c>
      <c r="L132" s="479" t="s">
        <v>716</v>
      </c>
      <c r="M132" s="499">
        <v>0</v>
      </c>
      <c r="N132" s="340">
        <v>1</v>
      </c>
      <c r="O132" s="340">
        <v>2</v>
      </c>
      <c r="P132" s="340">
        <v>3</v>
      </c>
      <c r="Q132" s="500" t="s">
        <v>1367</v>
      </c>
      <c r="U132" s="66"/>
    </row>
    <row r="133" spans="1:21" s="65" customFormat="1">
      <c r="A133" s="398" t="s">
        <v>8</v>
      </c>
      <c r="B133" s="271">
        <f>IFERROR(VLOOKUP(A133,'Индивидуальный план'!$AD$20:$AF$25,2,0),"")</f>
        <v>505</v>
      </c>
      <c r="C133" s="52">
        <f>IFERROR(VLOOKUP(A133,'Индивидуальный план'!$AD$20:$AF$25,3,0),"")</f>
        <v>44186879.102499999</v>
      </c>
      <c r="D133" s="327"/>
      <c r="E133" s="257">
        <f>SUMIFS(sept2021[м2],sept2021[МОП],$A133,sept2021[№ дома],$C$131,sept2021[Комнатность],"&lt;&gt;Офис")</f>
        <v>532.01</v>
      </c>
      <c r="F133" s="52">
        <f>SUMIFS(sept2021[Сумма без отделки],sept2021[МОП],$A133,sept2021[№ дома],$C$131,sept2021[Комнатность],"&lt;&gt;Офис")</f>
        <v>45903294.589999996</v>
      </c>
      <c r="G133" s="413">
        <f>COUNTIFS(sept2021[МОП],$A133,sept2021[№ дома],$C$131,sept2021[Комнатность],"&lt;&gt;Офис")</f>
        <v>10</v>
      </c>
      <c r="H133" s="202">
        <f>SUMIFS(РД[S],РД[Дом],$C$131,РД[МОП],A133,РД[Дата подачи на регистрацию],"&lt;="&amp;$A$1,РД[Дата подачи на регистрацию],"&gt;="&amp;DATE(YEAR($A$1),MONTH($A$1),1),РД[Состояние],"Продажа")</f>
        <v>526.09</v>
      </c>
      <c r="I133" s="203">
        <f>SUMIFS(РД[Стоимость без отделки итог],РД[Дом],$C$131,РД[МОП],A133,РД[Дата подачи на регистрацию],"&lt;="&amp;$A$1,РД[Дата подачи на регистрацию],"&gt;="&amp;DATE(YEAR($A$1),MONTH($A$1),1),РД[Состояние],"Продажа")</f>
        <v>46421271.870000005</v>
      </c>
      <c r="J133" s="226">
        <f>COUNTIFS(РД[Дом],$C$131,РД[МОП],A133,РД[Дата подачи на регистрацию],"&lt;="&amp;$A$1,РД[Дата подачи на регистрацию],"&gt;="&amp;DATE(YEAR($A$1),MONTH($A$1),1),РД[Состояние],"Продажа")</f>
        <v>10</v>
      </c>
      <c r="K133" s="224">
        <f t="shared" ref="K133:L138" si="4">IFERROR(H133/B133,)</f>
        <v>1.0417623762376238</v>
      </c>
      <c r="L133" s="225">
        <f t="shared" si="4"/>
        <v>1.0505668834931043</v>
      </c>
      <c r="M133" s="257">
        <f>COUNTIFS(РД[Тип кв],M$132,РД[МОП],$A133,РД[Дом],$C$131,РД[Дата подачи на регистрацию],"&lt;="&amp;$A$1,РД[Дата подачи на регистрацию],"&gt;="&amp;DATE(YEAR($A$1),MONTH($A$1),1))</f>
        <v>0</v>
      </c>
      <c r="N133" s="226">
        <f>COUNTIFS(РД[Тип кв],N$132,РД[МОП],$A133,РД[Дом],$C$131,РД[Дата подачи на регистрацию],"&lt;="&amp;$A$1,РД[Дата подачи на регистрацию],"&gt;="&amp;DATE(YEAR($A$1),MONTH($A$1),1))</f>
        <v>3</v>
      </c>
      <c r="O133" s="226">
        <f>COUNTIFS(РД[Тип кв],O$132,РД[МОП],$A133,РД[Дом],$C$131,РД[Дата подачи на регистрацию],"&lt;="&amp;$A$1,РД[Дата подачи на регистрацию],"&gt;="&amp;DATE(YEAR($A$1),MONTH($A$1),1))</f>
        <v>7</v>
      </c>
      <c r="P133" s="226">
        <f>COUNTIFS(РД[Тип кв],P$132,РД[МОП],$A133,РД[Дом],$C$131,РД[Дата подачи на регистрацию],"&lt;="&amp;$A$1,РД[Дата подачи на регистрацию],"&gt;="&amp;DATE(YEAR($A$1),MONTH($A$1),1))</f>
        <v>0</v>
      </c>
      <c r="Q133" s="227">
        <f>COUNTIFS(РД[Тип кв],Q$132,РД[МОП],$A133,РД[Дом],$C$131,РД[Дата подачи на регистрацию],"&lt;="&amp;$A$1,РД[Дата подачи на регистрацию],"&gt;="&amp;DATE(YEAR($A$1),MONTH($A$1),1))</f>
        <v>0</v>
      </c>
      <c r="U133" s="66"/>
    </row>
    <row r="134" spans="1:21" s="65" customFormat="1">
      <c r="A134" s="398" t="s">
        <v>77</v>
      </c>
      <c r="B134" s="271">
        <f>IFERROR(VLOOKUP(A134,'Индивидуальный план'!$AD$20:$AF$25,2,0),"")</f>
        <v>0</v>
      </c>
      <c r="C134" s="52">
        <f>IFERROR(VLOOKUP(A134,'Индивидуальный план'!$AD$20:$AF$25,3,0),"")</f>
        <v>0</v>
      </c>
      <c r="D134" s="327"/>
      <c r="E134" s="257">
        <f>SUMIFS(sept2021[м2],sept2021[МОП],$A134,sept2021[№ дома],$C$131,sept2021[Комнатность],"&lt;&gt;Офис")</f>
        <v>0</v>
      </c>
      <c r="F134" s="52">
        <f>SUMIFS(sept2021[Сумма без отделки],sept2021[МОП],$A134,sept2021[№ дома],$C$131,sept2021[Комнатность],"&lt;&gt;Офис")</f>
        <v>0</v>
      </c>
      <c r="G134" s="413">
        <f>COUNTIFS(sept2021[МОП],$A134,sept2021[№ дома],$C$131,sept2021[Комнатность],"&lt;&gt;Офис")</f>
        <v>0</v>
      </c>
      <c r="H134" s="202">
        <f>SUMIFS(РД[S],РД[Дом],$C$131,РД[МОП],A134,РД[Дата подачи на регистрацию],"&lt;="&amp;$A$1,РД[Дата подачи на регистрацию],"&gt;="&amp;DATE(YEAR($A$1),MONTH($A$1),1),РД[Состояние],"Продажа")</f>
        <v>0</v>
      </c>
      <c r="I134" s="203">
        <f>SUMIFS(РД[Стоимость без отделки итог],РД[Дом],$C$131,РД[МОП],A134,РД[Дата подачи на регистрацию],"&lt;="&amp;$A$1,РД[Дата подачи на регистрацию],"&gt;="&amp;DATE(YEAR($A$1),MONTH($A$1),1),РД[Состояние],"Продажа")</f>
        <v>0</v>
      </c>
      <c r="J134" s="226">
        <f>COUNTIFS(РД[Дом],$C$131,РД[МОП],A134,РД[Дата подачи на регистрацию],"&lt;="&amp;$A$1,РД[Дата подачи на регистрацию],"&gt;="&amp;DATE(YEAR($A$1),MONTH($A$1),1),РД[Состояние],"Продажа")</f>
        <v>0</v>
      </c>
      <c r="K134" s="224">
        <f t="shared" si="4"/>
        <v>0</v>
      </c>
      <c r="L134" s="225">
        <f t="shared" si="4"/>
        <v>0</v>
      </c>
      <c r="M134" s="257">
        <f>COUNTIFS(РД[Тип кв],M$132,РД[МОП],$A134,РД[Дом],$C$131,РД[Дата подачи на регистрацию],"&lt;="&amp;$A$1,РД[Дата подачи на регистрацию],"&gt;="&amp;DATE(YEAR($A$1),MONTH($A$1),1))</f>
        <v>0</v>
      </c>
      <c r="N134" s="226">
        <f>COUNTIFS(РД[Тип кв],N$132,РД[МОП],$A134,РД[Дом],$C$131,РД[Дата подачи на регистрацию],"&lt;="&amp;$A$1,РД[Дата подачи на регистрацию],"&gt;="&amp;DATE(YEAR($A$1),MONTH($A$1),1))</f>
        <v>0</v>
      </c>
      <c r="O134" s="226">
        <f>COUNTIFS(РД[Тип кв],O$132,РД[МОП],$A134,РД[Дом],$C$131,РД[Дата подачи на регистрацию],"&lt;="&amp;$A$1,РД[Дата подачи на регистрацию],"&gt;="&amp;DATE(YEAR($A$1),MONTH($A$1),1))</f>
        <v>0</v>
      </c>
      <c r="P134" s="226">
        <f>COUNTIFS(РД[Тип кв],P$132,РД[МОП],$A134,РД[Дом],$C$131,РД[Дата подачи на регистрацию],"&lt;="&amp;$A$1,РД[Дата подачи на регистрацию],"&gt;="&amp;DATE(YEAR($A$1),MONTH($A$1),1))</f>
        <v>0</v>
      </c>
      <c r="Q134" s="227">
        <f>COUNTIFS(РД[Тип кв],Q$132,РД[МОП],$A134,РД[Дом],$C$131,РД[Дата подачи на регистрацию],"&lt;="&amp;$A$1,РД[Дата подачи на регистрацию],"&gt;="&amp;DATE(YEAR($A$1),MONTH($A$1),1))</f>
        <v>0</v>
      </c>
      <c r="U134" s="66"/>
    </row>
    <row r="135" spans="1:21" s="65" customFormat="1">
      <c r="A135" s="153" t="s">
        <v>20</v>
      </c>
      <c r="B135" s="271">
        <f>IFERROR(VLOOKUP(A135,'Индивидуальный план'!$AD$20:$AF$25,2,0),"")</f>
        <v>502</v>
      </c>
      <c r="C135" s="52">
        <f>IFERROR(VLOOKUP(A135,'Индивидуальный план'!$AD$20:$AF$25,3,0),"")</f>
        <v>43924382.791000001</v>
      </c>
      <c r="D135" s="327"/>
      <c r="E135" s="257">
        <f>SUMIFS(sept2021[м2],sept2021[МОП],$A135,sept2021[№ дома],$C$131,sept2021[Комнатность],"&lt;&gt;Офис")</f>
        <v>330.9</v>
      </c>
      <c r="F135" s="52">
        <f>SUMIFS(sept2021[Сумма без отделки],sept2021[МОП],$A135,sept2021[№ дома],$C$131,sept2021[Комнатность],"&lt;&gt;Офис")</f>
        <v>29293740.050000001</v>
      </c>
      <c r="G135" s="413">
        <f>COUNTIFS(sept2021[МОП],$A135,sept2021[№ дома],$C$131,sept2021[Комнатность],"&lt;&gt;Офис")</f>
        <v>6</v>
      </c>
      <c r="H135" s="202">
        <f>SUMIFS(РД[S],РД[Дом],$C$131,РД[МОП],A135,РД[Дата подачи на регистрацию],"&lt;="&amp;$A$1,РД[Дата подачи на регистрацию],"&gt;="&amp;DATE(YEAR($A$1),MONTH($A$1),1),РД[Состояние],"Продажа")</f>
        <v>417.9</v>
      </c>
      <c r="I135" s="203">
        <f>SUMIFS(РД[Стоимость без отделки итог],РД[Дом],$C$131,РД[МОП],A135,РД[Дата подачи на регистрацию],"&lt;="&amp;$A$1,РД[Дата подачи на регистрацию],"&gt;="&amp;DATE(YEAR($A$1),MONTH($A$1),1),РД[Состояние],"Продажа")</f>
        <v>37166367.579999998</v>
      </c>
      <c r="J135" s="226">
        <f>COUNTIFS(РД[Дом],$C$131,РД[МОП],A135,РД[Дата подачи на регистрацию],"&lt;="&amp;$A$1,РД[Дата подачи на регистрацию],"&gt;="&amp;DATE(YEAR($A$1),MONTH($A$1),1),РД[Состояние],"Продажа")</f>
        <v>8</v>
      </c>
      <c r="K135" s="224">
        <f t="shared" si="4"/>
        <v>0.8324701195219123</v>
      </c>
      <c r="L135" s="225">
        <f t="shared" si="4"/>
        <v>0.84614433301986647</v>
      </c>
      <c r="M135" s="257">
        <f>COUNTIFS(РД[Тип кв],M$132,РД[МОП],$A135,РД[Дом],$C$131,РД[Дата подачи на регистрацию],"&lt;="&amp;$A$1,РД[Дата подачи на регистрацию],"&gt;="&amp;DATE(YEAR($A$1),MONTH($A$1),1))</f>
        <v>1</v>
      </c>
      <c r="N135" s="226">
        <f>COUNTIFS(РД[Тип кв],N$132,РД[МОП],$A135,РД[Дом],$C$131,РД[Дата подачи на регистрацию],"&lt;="&amp;$A$1,РД[Дата подачи на регистрацию],"&gt;="&amp;DATE(YEAR($A$1),MONTH($A$1),1))</f>
        <v>2</v>
      </c>
      <c r="O135" s="226">
        <f>COUNTIFS(РД[Тип кв],O$132,РД[МОП],$A135,РД[Дом],$C$131,РД[Дата подачи на регистрацию],"&lt;="&amp;$A$1,РД[Дата подачи на регистрацию],"&gt;="&amp;DATE(YEAR($A$1),MONTH($A$1),1))</f>
        <v>5</v>
      </c>
      <c r="P135" s="226">
        <f>COUNTIFS(РД[Тип кв],P$132,РД[МОП],$A135,РД[Дом],$C$131,РД[Дата подачи на регистрацию],"&lt;="&amp;$A$1,РД[Дата подачи на регистрацию],"&gt;="&amp;DATE(YEAR($A$1),MONTH($A$1),1))</f>
        <v>0</v>
      </c>
      <c r="Q135" s="227">
        <f>COUNTIFS(РД[Тип кв],Q$132,РД[МОП],$A135,РД[Дом],$C$131,РД[Дата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153" t="s">
        <v>14</v>
      </c>
      <c r="B136" s="315">
        <f>IFERROR(VLOOKUP(A136,'Индивидуальный план'!$AD$20:$AF$25,2,0),"")</f>
        <v>505</v>
      </c>
      <c r="C136" s="363">
        <f>IFERROR(VLOOKUP(A136,'Индивидуальный план'!$AD$20:$AF$25,3,0),"")</f>
        <v>44186879.102499999</v>
      </c>
      <c r="D136" s="366"/>
      <c r="E136" s="329">
        <f>SUMIFS(sept2021[м2],sept2021[МОП],$A136,sept2021[№ дома],$C$131,sept2021[Комнатность],"&lt;&gt;Офис")</f>
        <v>218.07999999999998</v>
      </c>
      <c r="F136" s="363">
        <f>SUMIFS(sept2021[Сумма без отделки],sept2021[МОП],$A136,sept2021[№ дома],$C$131,sept2021[Комнатность],"&lt;&gt;Офис")</f>
        <v>19269041.199999999</v>
      </c>
      <c r="G136" s="414">
        <f>COUNTIFS(sept2021[МОП],$A136,sept2021[№ дома],$C$131,sept2021[Комнатность],"&lt;&gt;Офис")</f>
        <v>4</v>
      </c>
      <c r="H136" s="358">
        <f>SUMIFS(РД[S],РД[Дом],$C$131,РД[МОП],A136,РД[Дата подачи на регистрацию],"&lt;="&amp;$A$1,РД[Дата подачи на регистрацию],"&gt;="&amp;DATE(YEAR($A$1),MONTH($A$1),1),РД[Состояние],"Продажа")</f>
        <v>218.07999999999998</v>
      </c>
      <c r="I136" s="359">
        <f>SUMIFS(РД[Стоимость без отделки итог],РД[Дом],$C$131,РД[МОП],A136,РД[Дата подачи на регистрацию],"&lt;="&amp;$A$1,РД[Дата подачи на регистрацию],"&gt;="&amp;DATE(YEAR($A$1),MONTH($A$1),1),РД[Состояние],"Продажа")</f>
        <v>19188307.640000001</v>
      </c>
      <c r="J136" s="330">
        <f>COUNTIFS(РД[Дом],$C$131,РД[МОП],A136,РД[Дата подачи на регистрацию],"&lt;="&amp;$A$1,РД[Дата подачи на регистрацию],"&gt;="&amp;DATE(YEAR($A$1),MONTH($A$1),1),РД[Состояние],"Продажа")</f>
        <v>4</v>
      </c>
      <c r="K136" s="360">
        <f t="shared" si="4"/>
        <v>0.43184158415841584</v>
      </c>
      <c r="L136" s="361">
        <f t="shared" si="4"/>
        <v>0.43425351664889061</v>
      </c>
      <c r="M136" s="329">
        <f>COUNTIFS(РД[Тип кв],M$132,РД[МОП],$A136,РД[Дом],$C$131,РД[Дата подачи на регистрацию],"&lt;="&amp;$A$1,РД[Дата подачи на регистрацию],"&gt;="&amp;DATE(YEAR($A$1),MONTH($A$1),1))</f>
        <v>0</v>
      </c>
      <c r="N136" s="330">
        <f>COUNTIFS(РД[Тип кв],N$132,РД[МОП],$A136,РД[Дом],$C$131,РД[Дата подачи на регистрацию],"&lt;="&amp;$A$1,РД[Дата подачи на регистрацию],"&gt;="&amp;DATE(YEAR($A$1),MONTH($A$1),1))</f>
        <v>2</v>
      </c>
      <c r="O136" s="330">
        <f>COUNTIFS(РД[Тип кв],O$132,РД[МОП],$A136,РД[Дом],$C$131,РД[Дата подачи на регистрацию],"&lt;="&amp;$A$1,РД[Дата подачи на регистрацию],"&gt;="&amp;DATE(YEAR($A$1),MONTH($A$1),1))</f>
        <v>1</v>
      </c>
      <c r="P136" s="330">
        <f>COUNTIFS(РД[Тип кв],P$132,РД[МОП],$A136,РД[Дом],$C$131,РД[Дата подачи на регистрацию],"&lt;="&amp;$A$1,РД[Дата подачи на регистрацию],"&gt;="&amp;DATE(YEAR($A$1),MONTH($A$1),1))</f>
        <v>1</v>
      </c>
      <c r="Q136" s="331">
        <f>COUNTIFS(РД[Тип кв],Q$132,РД[МОП],$A136,РД[Дом],$C$131,РД[Дата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154" t="s">
        <v>29</v>
      </c>
      <c r="B137" s="274" t="str">
        <f>IFERROR(VLOOKUP(A137,'Индивидуальный план'!$R$3:$T$14,2,0),"")</f>
        <v/>
      </c>
      <c r="C137" s="277" t="str">
        <f>IFERROR(VLOOKUP(A137,'Индивидуальный план'!$R$3:$T$14,3,0),"")</f>
        <v/>
      </c>
      <c r="D137" s="690"/>
      <c r="E137" s="341">
        <f>SUMIFS(sept2021[м2],sept2021[МОП],$A137,sept2021[№ дома],$C$131,sept2021[Комнатность],"&lt;&gt;Офис")</f>
        <v>0</v>
      </c>
      <c r="F137" s="277">
        <f>SUMIFS(sept2021[Сумма без отделки],sept2021[МОП],$A137,sept2021[№ дома],$C$131,sept2021[Комнатность],"&lt;&gt;Офис")</f>
        <v>0</v>
      </c>
      <c r="G137" s="405">
        <f>COUNTIFS(sept2021[МОП],$A137,sept2021[№ дома],$C$131,sept2021[Комнатность],"&lt;&gt;Офис")</f>
        <v>0</v>
      </c>
      <c r="H137" s="159">
        <f>SUMIFS(РД[S],РД[Дом],$C$131,РД[МОП],A137,РД[Дата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160">
        <f>SUMIFS(РД[Стоимость без отделки итог],РД[Дом],$C$131,РД[МОП],A137,РД[Дата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28">
        <f>COUNTIFS(РД[Дом],$C$131,РД[МОП],A137,РД[Дата подачи на регистрацию],"&lt;="&amp;$A$1,РД[Дата подачи на регистрацию],"&gt;="&amp;DATE(YEAR($A$1),MONTH($A$1),1),РД[Состояние],"Продажа")</f>
        <v>0</v>
      </c>
      <c r="K137" s="229">
        <f t="shared" si="4"/>
        <v>0</v>
      </c>
      <c r="L137" s="230">
        <f t="shared" si="4"/>
        <v>0</v>
      </c>
      <c r="M137" s="341">
        <f>COUNTIFS(РД[Тип кв],M$132,РД[МОП],$A137,РД[Дом],$C$131,РД[Дата подачи на регистрацию],"&lt;="&amp;$A$1,РД[Дата подачи на регистрацию],"&gt;="&amp;DATE(YEAR($A$1),MONTH($A$1),1))</f>
        <v>0</v>
      </c>
      <c r="N137" s="228">
        <f>COUNTIFS(РД[Тип кв],N$132,РД[МОП],$A137,РД[Дом],$C$131,РД[Дата подачи на регистрацию],"&lt;="&amp;$A$1,РД[Дата подачи на регистрацию],"&gt;="&amp;DATE(YEAR($A$1),MONTH($A$1),1))</f>
        <v>0</v>
      </c>
      <c r="O137" s="228">
        <f>COUNTIFS(РД[Тип кв],O$132,РД[МОП],$A137,РД[Дом],$C$131,РД[Дата подачи на регистрацию],"&lt;="&amp;$A$1,РД[Дата подачи на регистрацию],"&gt;="&amp;DATE(YEAR($A$1),MONTH($A$1),1))</f>
        <v>0</v>
      </c>
      <c r="P137" s="228">
        <f>COUNTIFS(РД[Тип кв],P$132,РД[МОП],$A137,РД[Дом],$C$131,РД[Дата подачи на регистрацию],"&lt;="&amp;$A$1,РД[Дата подачи на регистрацию],"&gt;="&amp;DATE(YEAR($A$1),MONTH($A$1),1))</f>
        <v>0</v>
      </c>
      <c r="Q137" s="231">
        <f>COUNTIFS(РД[Тип кв],Q$132,РД[МОП],$A137,РД[Дом],$C$131,РД[Дата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161" t="s">
        <v>1207</v>
      </c>
      <c r="B138" s="278" t="str">
        <f>IFERROR(VLOOKUP(A138,'Индивидуальный план'!$R$3:$T$14,2,0),"")</f>
        <v/>
      </c>
      <c r="C138" s="281" t="str">
        <f>IFERROR(VLOOKUP(A138,'Индивидуальный план'!$R$3:$T$14,3,0),"")</f>
        <v/>
      </c>
      <c r="D138" s="511"/>
      <c r="E138" s="406">
        <f>SUMIFS(sept2021[м2],sept2021[МОП],$A138,sept2021[№ дома],$C$131,sept2021[Комнатность],"&lt;&gt;Офис")</f>
        <v>201.04999999999998</v>
      </c>
      <c r="F138" s="281">
        <f>SUMIFS(sept2021[Сумма без отделки],sept2021[МОП],$A138,sept2021[№ дома],$C$131,sept2021[Комнатность],"&lt;&gt;Офис")</f>
        <v>16717360.969999999</v>
      </c>
      <c r="G138" s="407">
        <f>COUNTIFS(sept2021[МОП],$A138,sept2021[№ дома],$C$131,sept2021[Комнатность],"&lt;&gt;Офис")</f>
        <v>3</v>
      </c>
      <c r="H138" s="166">
        <f>SUMIFS(РД[S],РД[Дом],$C$131,РД[МОП],A138,РД[Дата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I138" s="167">
        <f>SUMIFS(РД[Стоимость без отделки итог],РД[Дом],$C$131,РД[МОП],A138,РД[Дата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J138" s="232">
        <f>COUNTIFS(РД[Дом],$C$131,РД[МОП],A138,РД[Дата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K138" s="233">
        <f t="shared" si="4"/>
        <v>0</v>
      </c>
      <c r="L138" s="234">
        <f t="shared" si="4"/>
        <v>0</v>
      </c>
      <c r="M138" s="406">
        <f>COUNTIFS(РД[Тип кв],M$132,РД[МОП],$A138,РД[Дом],$C$131,РД[Дата подачи на регистрацию],"&lt;="&amp;$A$1,РД[Дата подачи на регистрацию],"&gt;="&amp;DATE(YEAR($A$1),MONTH($A$1),1))</f>
        <v>0</v>
      </c>
      <c r="N138" s="232">
        <f>COUNTIFS(РД[Тип кв],N$132,РД[МОП],$A138,РД[Дом],$C$131,РД[Дата подачи на регистрацию],"&lt;="&amp;$A$1,РД[Дата подачи на регистрацию],"&gt;="&amp;DATE(YEAR($A$1),MONTH($A$1),1))</f>
        <v>0</v>
      </c>
      <c r="O138" s="232">
        <f>COUNTIFS(РД[Тип кв],O$132,РД[МОП],$A138,РД[Дом],$C$131,РД[Дата подачи на регистрацию],"&lt;="&amp;$A$1,РД[Дата подачи на регистрацию],"&gt;="&amp;DATE(YEAR($A$1),MONTH($A$1),1))</f>
        <v>0</v>
      </c>
      <c r="P138" s="232">
        <f>COUNTIFS(РД[Тип кв],P$132,РД[МОП],$A138,РД[Дом],$C$131,РД[Дата подачи на регистрацию],"&lt;="&amp;$A$1,РД[Дата подачи на регистрацию],"&gt;="&amp;DATE(YEAR($A$1),MONTH($A$1),1))</f>
        <v>0</v>
      </c>
      <c r="Q138" s="337">
        <f>COUNTIFS(РД[Тип кв],Q$132,РД[МОП],$A138,РД[Дом],$C$131,РД[Дата подачи на регистрацию],"&lt;="&amp;$A$1,РД[Дата подачи на регистрацию],"&gt;="&amp;DATE(YEAR($A$1),MONTH($A$1),1))</f>
        <v>0</v>
      </c>
      <c r="U138" s="66"/>
    </row>
    <row r="139" spans="1:21" s="65" customFormat="1">
      <c r="A139" s="168" t="s">
        <v>114</v>
      </c>
      <c r="B139" s="172">
        <f t="shared" ref="B139:J139" si="5">SUM(B133:B138)</f>
        <v>1512</v>
      </c>
      <c r="C139" s="172">
        <f t="shared" si="5"/>
        <v>132298140.99599999</v>
      </c>
      <c r="D139" s="691">
        <f t="shared" si="5"/>
        <v>0</v>
      </c>
      <c r="E139" s="173">
        <f t="shared" si="5"/>
        <v>1282.04</v>
      </c>
      <c r="F139" s="173">
        <f t="shared" si="5"/>
        <v>111183436.81</v>
      </c>
      <c r="G139" s="171">
        <f t="shared" si="5"/>
        <v>23</v>
      </c>
      <c r="H139" s="172">
        <f t="shared" si="5"/>
        <v>1162.07</v>
      </c>
      <c r="I139" s="173">
        <f t="shared" si="5"/>
        <v>102775947.09</v>
      </c>
      <c r="J139" s="170">
        <f t="shared" si="5"/>
        <v>22</v>
      </c>
      <c r="K139" s="238">
        <f>IFERROR(H139/B139,"")</f>
        <v>0.76856481481481476</v>
      </c>
      <c r="L139" s="501">
        <f>IFERROR(I139/C139,"")</f>
        <v>0.77685102992571464</v>
      </c>
      <c r="M139" s="171">
        <f>SUM(M133:M138)</f>
        <v>1</v>
      </c>
      <c r="N139" s="171">
        <f>SUM(N133:N138)</f>
        <v>7</v>
      </c>
      <c r="O139" s="171">
        <f>SUM(O133:O138)</f>
        <v>13</v>
      </c>
      <c r="P139" s="171">
        <f>SUM(P133:P138)</f>
        <v>1</v>
      </c>
      <c r="Q139" s="171">
        <f>SUM(Q133:Q138)</f>
        <v>0</v>
      </c>
      <c r="U139" s="66"/>
    </row>
    <row r="140" spans="1:21" s="65" customFormat="1">
      <c r="A140" s="692" t="s">
        <v>115</v>
      </c>
      <c r="B140" s="686" t="s">
        <v>100</v>
      </c>
      <c r="C140" s="693" t="s">
        <v>97</v>
      </c>
      <c r="D140" s="688" t="s">
        <v>95</v>
      </c>
      <c r="E140" s="295" t="s">
        <v>494</v>
      </c>
      <c r="F140" s="138" t="s">
        <v>495</v>
      </c>
      <c r="G140" s="470" t="s">
        <v>496</v>
      </c>
      <c r="H140" s="481" t="s">
        <v>101</v>
      </c>
      <c r="I140" s="482" t="s">
        <v>98</v>
      </c>
      <c r="J140" s="482" t="s">
        <v>96</v>
      </c>
      <c r="K140" s="502" t="s">
        <v>715</v>
      </c>
      <c r="L140" s="503" t="s">
        <v>716</v>
      </c>
      <c r="M140" s="504">
        <v>0</v>
      </c>
      <c r="N140" s="505">
        <v>1</v>
      </c>
      <c r="O140" s="505">
        <v>2</v>
      </c>
      <c r="P140" s="505">
        <v>3</v>
      </c>
      <c r="Q140" s="506" t="s">
        <v>1367</v>
      </c>
      <c r="U140" s="66"/>
    </row>
    <row r="141" spans="1:21" s="65" customFormat="1">
      <c r="A141" s="142" t="s">
        <v>16</v>
      </c>
      <c r="B141" s="291">
        <f>IFERROR(VLOOKUP(A141,'Индивидуальный план'!$AD$28:$AF$29,2,0),"")</f>
        <v>330</v>
      </c>
      <c r="C141" s="292">
        <f>IFERROR(VLOOKUP(A141,'Индивидуальный план'!$AD$28:$AF$29,3,0),"")</f>
        <v>28874594.265000001</v>
      </c>
      <c r="D141" s="702"/>
      <c r="E141" s="145">
        <f>SUMIFS(sept2021[м2],sept2021[ИМ],A141,sept2021[№ дома],$C$131,sept2021[Комнатность],"&lt;&gt;Офис")</f>
        <v>560.26</v>
      </c>
      <c r="F141" s="149">
        <f>SUMIFS(sept2021[Сумма без отделки],sept2021[ИМ],$A141,sept2021[№ дома],$C$131,sept2021[Комнатность],"&lt;&gt;Офис")</f>
        <v>46536377.650000006</v>
      </c>
      <c r="G141" s="147">
        <f>COUNTIFS(sept2021[ИМ],$A141,sept2021[№ дома],$C$131,sept2021[Комнатность],"&lt;&gt;Офис")</f>
        <v>9</v>
      </c>
      <c r="H141" s="183">
        <f>SUMIFS(РД[S],РД[Дом],$C$131,РД[ИМ],A141,РД[Дата подачи на регистрацию],"&lt;="&amp;$A$1,РД[Дата подачи на регистрацию],"&gt;="&amp;DATE(YEAR($A$1),MONTH($A$1),1),РД[Состояние],"Продажа")</f>
        <v>475.27000000000004</v>
      </c>
      <c r="I141" s="184">
        <f>SUMIFS(РД[Стоимость без отделки итог],РД[Дом],$C$131,РД[ИМ],A141,РД[Дата подачи на регистрацию],"&lt;="&amp;$A$1,РД[Дата подачи на регистрацию],"&gt;="&amp;DATE(YEAR($A$1),MONTH($A$1),1),РД[Состояние],"Продажа")</f>
        <v>39778628.969999999</v>
      </c>
      <c r="J141" s="243">
        <f>COUNTIFS(РД[Дом],$C$131,РД[ИМ],A141,РД[Дата подачи на регистрацию],"&lt;="&amp;$A$1,РД[Дата подачи на регистрацию],"&gt;="&amp;DATE(YEAR($A$1),MONTH($A$1),1),РД[Состояние],"Продажа")</f>
        <v>8</v>
      </c>
      <c r="K141" s="244">
        <f>IFERROR(H141/B141,"")</f>
        <v>1.4402121212121213</v>
      </c>
      <c r="L141" s="245">
        <f>IFERROR(I141/C141,"")</f>
        <v>1.3776342138326492</v>
      </c>
      <c r="M141" s="183">
        <f>COUNTIFS(РД[Тип кв],M132,РД[ИМ],$A141,РД[Дом],$C$131,РД[Дата подачи на регистрацию],"&lt;="&amp;$A$1,РД[Дата подачи на регистрацию],"&gt;="&amp;DATE(YEAR($A$1),MONTH($A$1),1))</f>
        <v>0</v>
      </c>
      <c r="N141" s="243">
        <f>COUNTIFS(РД[Тип кв],N132,РД[ИМ],$A141,РД[Дом],$C$131,РД[Дата подачи на регистрацию],"&lt;="&amp;$A$1,РД[Дата подачи на регистрацию],"&gt;="&amp;DATE(YEAR($A$1),MONTH($A$1),1))</f>
        <v>2</v>
      </c>
      <c r="O141" s="243">
        <f>COUNTIFS(РД[Тип кв],O132,РД[ИМ],$A141,РД[Дом],$C$131,РД[Дата подачи на регистрацию],"&lt;="&amp;$A$1,РД[Дата подачи на регистрацию],"&gt;="&amp;DATE(YEAR($A$1),MONTH($A$1),1))</f>
        <v>4</v>
      </c>
      <c r="P141" s="243">
        <f>COUNTIFS(РД[Тип кв],P132,РД[ИМ],$A141,РД[Дом],$C$131,РД[Дата подачи на регистрацию],"&lt;="&amp;$A$1,РД[Дата подачи на регистрацию],"&gt;="&amp;DATE(YEAR($A$1),MONTH($A$1),1))</f>
        <v>2</v>
      </c>
      <c r="Q141" s="246">
        <f>COUNTIFS(РД[Тип кв],Q132,РД[ИМ],$A141,РД[Дом],$C$131,РД[Дата подачи на регистрацию],"&lt;="&amp;$A$1,РД[Дата подачи на регистрацию],"&gt;="&amp;DATE(YEAR($A$1),MONTH($A$1),1))</f>
        <v>0</v>
      </c>
      <c r="U141" s="66"/>
    </row>
    <row r="142" spans="1:21" s="65" customFormat="1">
      <c r="A142" s="153" t="s">
        <v>22</v>
      </c>
      <c r="B142" s="516">
        <f>IFERROR(VLOOKUP(A142,'Индивидуальный план'!$AD$28:$AF$29,2,0),"")</f>
        <v>728</v>
      </c>
      <c r="C142" s="554">
        <f>IFERROR(VLOOKUP(A142,'Индивидуальный план'!$AD$28:$AF$29,3,0),"")</f>
        <v>63699104.924000002</v>
      </c>
      <c r="D142" s="703"/>
      <c r="E142" s="329">
        <f>SUMIFS(sept2021[м2],sept2021[ИМ],A142,sept2021[№ дома],$C$131,sept2021[Комнатность],"&lt;&gt;Офис")</f>
        <v>665.21999999999991</v>
      </c>
      <c r="F142" s="359">
        <f>SUMIFS(sept2021[Сумма без отделки],sept2021[ИМ],$A142,sept2021[№ дома],$C$131,sept2021[Комнатность],"&lt;&gt;Офис")</f>
        <v>59482648.259999998</v>
      </c>
      <c r="G142" s="414">
        <f>COUNTIFS(sept2021[ИМ],$A142,sept2021[№ дома],$C$131,sept2021[Комнатность],"&lt;&gt;Офис")</f>
        <v>13</v>
      </c>
      <c r="H142" s="358">
        <f>SUMIFS(РД[S],РД[Дом],$C$131,РД[ИМ],A142,РД[Дата подачи на регистрацию],"&lt;="&amp;$A$1,РД[Дата подачи на регистрацию],"&gt;="&amp;DATE(YEAR($A$1),MONTH($A$1),1),РД[Состояние],"Продажа")</f>
        <v>681.81</v>
      </c>
      <c r="I142" s="359">
        <f>SUMIFS(РД[Стоимость без отделки итог],РД[Дом],$C$131,РД[ИМ],A142,РД[Дата подачи на регистрацию],"&lt;="&amp;$A$1,РД[Дата подачи на регистрацию],"&gt;="&amp;DATE(YEAR($A$1),MONTH($A$1),1),РД[Состояние],"Продажа")</f>
        <v>60412616.219999991</v>
      </c>
      <c r="J142" s="330">
        <f>COUNTIFS(РД[Дом],$C$131,РД[ИМ],A142,РД[Дата подачи на регистрацию],"&lt;="&amp;$A$1,РД[Дата подачи на регистрацию],"&gt;="&amp;DATE(YEAR($A$1),MONTH($A$1),1),РД[Состояние],"Продажа")</f>
        <v>13</v>
      </c>
      <c r="K142" s="360">
        <f>IFERROR(H142/B142,"")</f>
        <v>0.93655219780219767</v>
      </c>
      <c r="L142" s="367">
        <f>IFERROR(I142/C142,"")</f>
        <v>0.94840604576907084</v>
      </c>
      <c r="M142" s="195">
        <f>COUNTIFS(РД[Тип кв],M$132,РД[ИМ],$A142,РД[Дом],$C$131,РД[Дата подачи на регистрацию],"&lt;="&amp;$A$1,РД[Дата подачи на регистрацию],"&gt;="&amp;DATE(YEAR($A$1),MONTH($A$1),1))</f>
        <v>1</v>
      </c>
      <c r="N142" s="251">
        <f>COUNTIFS(РД[Тип кв],N$132,РД[ИМ],$A142,РД[Дом],$C$131,РД[Дата подачи на регистрацию],"&lt;="&amp;$A$1,РД[Дата подачи на регистрацию],"&gt;="&amp;DATE(YEAR($A$1),MONTH($A$1),1))</f>
        <v>3</v>
      </c>
      <c r="O142" s="251">
        <f>COUNTIFS(РД[Тип кв],O$132,РД[ИМ],$A142,РД[Дом],$C$131,РД[Дата подачи на регистрацию],"&lt;="&amp;$A$1,РД[Дата подачи на регистрацию],"&gt;="&amp;DATE(YEAR($A$1),MONTH($A$1),1))</f>
        <v>9</v>
      </c>
      <c r="P142" s="251">
        <f>COUNTIFS(РД[Тип кв],P$132,РД[ИМ],$A142,РД[Дом],$C$131,РД[Дата подачи на регистрацию],"&lt;="&amp;$A$1,РД[Дата подачи на регистрацию],"&gt;="&amp;DATE(YEAR($A$1),MONTH($A$1),1))</f>
        <v>0</v>
      </c>
      <c r="Q142" s="254">
        <f>COUNTIFS(РД[Тип кв],Q$132,РД[ИМ],$A142,РД[Дом],$C$131,РД[Дата подачи на регистрацию],"&lt;="&amp;$A$1,РД[Дата подачи на регистрацию],"&gt;="&amp;DATE(YEAR($A$1),MONTH($A$1),1))</f>
        <v>0</v>
      </c>
      <c r="R142" s="86"/>
      <c r="S142" s="86"/>
      <c r="T142" s="86"/>
      <c r="U142" s="66"/>
    </row>
    <row r="143" spans="1:21" s="65" customFormat="1">
      <c r="A143" s="317" t="s">
        <v>114</v>
      </c>
      <c r="B143" s="410">
        <f t="shared" ref="B143:J143" si="6">SUM(B141:B142)</f>
        <v>1058</v>
      </c>
      <c r="C143" s="411">
        <f t="shared" si="6"/>
        <v>92573699.18900001</v>
      </c>
      <c r="D143" s="497">
        <f t="shared" si="6"/>
        <v>0</v>
      </c>
      <c r="E143" s="484">
        <f t="shared" si="6"/>
        <v>1225.48</v>
      </c>
      <c r="F143" s="429">
        <f t="shared" si="6"/>
        <v>106019025.91</v>
      </c>
      <c r="G143" s="485">
        <f t="shared" si="6"/>
        <v>22</v>
      </c>
      <c r="H143" s="473">
        <f t="shared" si="6"/>
        <v>1157.08</v>
      </c>
      <c r="I143" s="429">
        <f t="shared" si="6"/>
        <v>100191245.19</v>
      </c>
      <c r="J143" s="494">
        <f t="shared" si="6"/>
        <v>21</v>
      </c>
      <c r="K143" s="419">
        <f>IFERROR(H143/B143,)</f>
        <v>1.093648393194707</v>
      </c>
      <c r="L143" s="507">
        <f>IFERROR(I143/C143,)</f>
        <v>1.0822862872255745</v>
      </c>
      <c r="M143" s="317">
        <f t="shared" ref="M143:Q143" si="7">SUM(M141:M142)</f>
        <v>1</v>
      </c>
      <c r="N143" s="485">
        <f t="shared" si="7"/>
        <v>5</v>
      </c>
      <c r="O143" s="485">
        <f t="shared" si="7"/>
        <v>13</v>
      </c>
      <c r="P143" s="485">
        <f t="shared" si="7"/>
        <v>2</v>
      </c>
      <c r="Q143" s="497">
        <f t="shared" si="7"/>
        <v>0</v>
      </c>
      <c r="R143" s="86"/>
      <c r="S143" s="86"/>
      <c r="T143" s="86"/>
      <c r="U143" s="66"/>
    </row>
    <row r="144" spans="1:21" s="65" customFormat="1">
      <c r="A144" s="134"/>
      <c r="B144" s="211"/>
      <c r="C144" s="211"/>
      <c r="D144" s="212"/>
      <c r="E144" s="134"/>
      <c r="F144" s="134"/>
      <c r="G144" s="134"/>
      <c r="H144" s="134"/>
      <c r="I144" s="134"/>
      <c r="J144" s="134"/>
      <c r="K144" s="134"/>
      <c r="L144" s="261"/>
      <c r="M144" s="134"/>
      <c r="N144" s="134"/>
      <c r="O144" s="134"/>
      <c r="P144" s="262"/>
      <c r="Q144" s="134"/>
      <c r="U144" s="66"/>
    </row>
    <row r="145" spans="1:21" s="65" customFormat="1">
      <c r="A145" s="2327" t="s">
        <v>713</v>
      </c>
      <c r="B145" s="2328"/>
      <c r="C145" s="474" t="s">
        <v>718</v>
      </c>
      <c r="D145" s="704"/>
      <c r="E145" s="476"/>
      <c r="F145" s="476"/>
      <c r="G145" s="476"/>
      <c r="H145" s="476"/>
      <c r="I145" s="476"/>
      <c r="J145" s="476"/>
      <c r="K145" s="476"/>
      <c r="L145" s="476"/>
      <c r="M145" s="476"/>
      <c r="N145" s="476"/>
      <c r="O145" s="476"/>
      <c r="P145" s="476"/>
      <c r="Q145" s="134"/>
      <c r="U145" s="66"/>
    </row>
    <row r="146" spans="1:21" s="65" customFormat="1">
      <c r="A146" s="705" t="s">
        <v>1</v>
      </c>
      <c r="B146" s="706" t="s">
        <v>100</v>
      </c>
      <c r="C146" s="707" t="s">
        <v>97</v>
      </c>
      <c r="D146" s="708" t="s">
        <v>95</v>
      </c>
      <c r="E146" s="486" t="s">
        <v>494</v>
      </c>
      <c r="F146" s="487" t="s">
        <v>495</v>
      </c>
      <c r="G146" s="488" t="s">
        <v>496</v>
      </c>
      <c r="H146" s="489" t="s">
        <v>101</v>
      </c>
      <c r="I146" s="490" t="s">
        <v>98</v>
      </c>
      <c r="J146" s="490" t="s">
        <v>96</v>
      </c>
      <c r="K146" s="490" t="s">
        <v>715</v>
      </c>
      <c r="L146" s="508" t="s">
        <v>716</v>
      </c>
      <c r="M146" s="217">
        <v>0</v>
      </c>
      <c r="N146" s="218">
        <v>1</v>
      </c>
      <c r="O146" s="218">
        <v>2</v>
      </c>
      <c r="P146" s="218">
        <v>3</v>
      </c>
      <c r="Q146" s="219" t="s">
        <v>1367</v>
      </c>
      <c r="U146" s="66"/>
    </row>
    <row r="147" spans="1:21" s="65" customFormat="1">
      <c r="A147" s="398" t="s">
        <v>8</v>
      </c>
      <c r="B147" s="271">
        <f>IFERROR(VLOOKUP(A147,'Индивидуальный план'!$AD$35:$AF$40,2,0),"")</f>
        <v>905</v>
      </c>
      <c r="C147" s="52">
        <f>IFERROR(VLOOKUP(A147,'Индивидуальный план'!$AD$35:$AF$40,3,0),"")</f>
        <v>81331763.342500001</v>
      </c>
      <c r="D147" s="327"/>
      <c r="E147" s="257">
        <f>SUMIFS(sept2021[м2],sept2021[МОП],$A147,sept2021[Комнатность],"&lt;&gt;Офис")</f>
        <v>1136.56</v>
      </c>
      <c r="F147" s="52">
        <f>SUMIFS(sept2021[Сумма без отделки],sept2021[МОП],$A147,sept2021[Комнатность],"&lt;&gt;Офис")</f>
        <v>101312593.42</v>
      </c>
      <c r="G147" s="413">
        <f>COUNTIFS(sept2021[МОП],$A147,sept2021[Комнатность],"&lt;&gt;Офис")</f>
        <v>21</v>
      </c>
      <c r="H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1248.4299999999998</v>
      </c>
      <c r="I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112261492.29900001</v>
      </c>
      <c r="J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23</v>
      </c>
      <c r="K147" s="224">
        <f t="shared" ref="K147:L152" si="8">IFERROR(H147/B147,"")</f>
        <v>1.3794806629834253</v>
      </c>
      <c r="L147" s="225">
        <f t="shared" si="8"/>
        <v>1.380290893562093</v>
      </c>
      <c r="M147" s="325">
        <f t="shared" ref="M147:Q148" si="9">M133+M119</f>
        <v>1</v>
      </c>
      <c r="N147" s="326">
        <f t="shared" si="9"/>
        <v>6</v>
      </c>
      <c r="O147" s="326">
        <f t="shared" si="9"/>
        <v>16</v>
      </c>
      <c r="P147" s="326">
        <f t="shared" si="9"/>
        <v>0</v>
      </c>
      <c r="Q147" s="327">
        <f t="shared" si="9"/>
        <v>0</v>
      </c>
      <c r="U147" s="66"/>
    </row>
    <row r="148" spans="1:21" s="65" customFormat="1">
      <c r="A148" s="398" t="s">
        <v>77</v>
      </c>
      <c r="B148" s="271">
        <f>IFERROR(VLOOKUP(A148,'Индивидуальный план'!$AD$35:$AF$40,2,0),"")</f>
        <v>0</v>
      </c>
      <c r="C148" s="52">
        <f>IFERROR(VLOOKUP(A148,'Индивидуальный план'!$AD$35:$AF$40,3,0),"")</f>
        <v>0</v>
      </c>
      <c r="D148" s="327"/>
      <c r="E148" s="257">
        <f>SUMIFS(sept2021[м2],sept2021[МОП],$A148,sept2021[Комнатность],"&lt;&gt;Офис")</f>
        <v>0</v>
      </c>
      <c r="F148" s="52">
        <f>SUMIFS(sept2021[Сумма без отделки],sept2021[МОП],$A148,sept2021[Комнатность],"&lt;&gt;Офис")</f>
        <v>0</v>
      </c>
      <c r="G148" s="413">
        <f>COUNTIFS(sept2021[МОП],$A148,sept2021[Комнатность],"&lt;&gt;Офис")</f>
        <v>0</v>
      </c>
      <c r="H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0</v>
      </c>
      <c r="I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0</v>
      </c>
      <c r="J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0</v>
      </c>
      <c r="K148" s="224" t="str">
        <f t="shared" si="8"/>
        <v/>
      </c>
      <c r="L148" s="225" t="str">
        <f t="shared" si="8"/>
        <v/>
      </c>
      <c r="M148" s="325">
        <f t="shared" si="9"/>
        <v>0</v>
      </c>
      <c r="N148" s="326">
        <f t="shared" si="9"/>
        <v>0</v>
      </c>
      <c r="O148" s="326">
        <f t="shared" si="9"/>
        <v>0</v>
      </c>
      <c r="P148" s="326">
        <f t="shared" si="9"/>
        <v>0</v>
      </c>
      <c r="Q148" s="327">
        <f t="shared" si="9"/>
        <v>0</v>
      </c>
      <c r="U148" s="66"/>
    </row>
    <row r="149" spans="1:21" s="65" customFormat="1">
      <c r="A149" s="153" t="s">
        <v>20</v>
      </c>
      <c r="B149" s="315">
        <f>IFERROR(VLOOKUP(A149,'Индивидуальный план'!$AD$35:$AF$40,2,0),"")</f>
        <v>903</v>
      </c>
      <c r="C149" s="363">
        <f>IFERROR(VLOOKUP(A149,'Индивидуальный план'!$AD$35:$AF$40,3,0),"")</f>
        <v>81162129.241600007</v>
      </c>
      <c r="D149" s="366"/>
      <c r="E149" s="257">
        <f>SUMIFS(sept2021[м2],sept2021[МОП],$A149,sept2021[Комнатность],"&lt;&gt;Офис")</f>
        <v>529.65</v>
      </c>
      <c r="F149" s="52">
        <f>SUMIFS(sept2021[Сумма без отделки],sept2021[МОП],$A149,sept2021[Комнатность],"&lt;&gt;Офис")</f>
        <v>48956223.880000003</v>
      </c>
      <c r="G149" s="413">
        <f>COUNTIFS(sept2021[МОП],$A149,sept2021[Комнатность],"&lt;&gt;Офис")</f>
        <v>11</v>
      </c>
      <c r="H149" s="202">
        <f>SUMIFS(РД[S],РД[МОП],A149,РД[Дата подачи на регистрацию],"&lt;="&amp;$A$1,РД[Дата подачи на регистрацию],"&gt;="&amp;DATE(YEAR($A$1),MONTH($A$1),1),РД[Состояние],"Продажа")</f>
        <v>559.05000000000007</v>
      </c>
      <c r="I149" s="203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51926176.989999995</v>
      </c>
      <c r="J149" s="226">
        <f>COUNTIFS(РД[МОП],A149,РД[Дата подачи на регистрацию],"&lt;="&amp;$A$1,РД[Дата подачи на регистрацию],"&gt;="&amp;DATE(YEAR($A$1),MONTH($A$1),1),РД[Состояние],"Продажа")</f>
        <v>12</v>
      </c>
      <c r="K149" s="224">
        <f t="shared" si="8"/>
        <v>0.61910299003322267</v>
      </c>
      <c r="L149" s="225">
        <f t="shared" si="8"/>
        <v>0.63978332598234744</v>
      </c>
      <c r="M149" s="325">
        <f>M136+M122</f>
        <v>0</v>
      </c>
      <c r="N149" s="326">
        <f>N136+N122</f>
        <v>5</v>
      </c>
      <c r="O149" s="326">
        <f>O136+O122</f>
        <v>6</v>
      </c>
      <c r="P149" s="326">
        <f>P136+P122</f>
        <v>1</v>
      </c>
      <c r="Q149" s="327">
        <f>Q136+Q122</f>
        <v>0</v>
      </c>
      <c r="U149" s="66"/>
    </row>
    <row r="150" spans="1:21" s="65" customFormat="1">
      <c r="A150" s="153" t="s">
        <v>14</v>
      </c>
      <c r="B150" s="315">
        <f>IFERROR(VLOOKUP(A150,'Индивидуальный план'!$AD$35:$AF$40,2,0),"")</f>
        <v>905</v>
      </c>
      <c r="C150" s="363">
        <f>IFERROR(VLOOKUP(A150,'Индивидуальный план'!$AD$35:$AF$40,3,0),"")</f>
        <v>81331763.342500001</v>
      </c>
      <c r="D150" s="366"/>
      <c r="E150" s="329">
        <f>SUMIFS(sept2021[м2],sept2021[МОП],$A150,sept2021[Комнатность],"&lt;&gt;Офис")</f>
        <v>612.82000000000005</v>
      </c>
      <c r="F150" s="363">
        <f>SUMIFS(sept2021[Сумма без отделки],sept2021[МОП],$A150,sept2021[Комнатность],"&lt;&gt;Офис")</f>
        <v>55413376.899999999</v>
      </c>
      <c r="G150" s="414">
        <f>COUNTIFS(sept2021[МОП],$A150,sept2021[Комнатность],"&lt;&gt;Офис")</f>
        <v>11</v>
      </c>
      <c r="H150" s="358">
        <f>SUMIFS(РД[S],РД[МОП],A150,РД[Дата подачи на регистрацию],"&lt;="&amp;$A$1,РД[Дата подачи на регистрацию],"&gt;="&amp;DATE(YEAR($A$1),MONTH($A$1),1),РД[Состояние],"Продажа")</f>
        <v>650.62999999999988</v>
      </c>
      <c r="I150" s="359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59327843.339999996</v>
      </c>
      <c r="J150" s="330">
        <f>COUNTIFS(РД[МОП],A150,РД[Дата подачи на регистрацию],"&lt;="&amp;$A$1,РД[Дата подачи на регистрацию],"&gt;="&amp;DATE(YEAR($A$1),MONTH($A$1),1),РД[Состояние],"Продажа")</f>
        <v>12</v>
      </c>
      <c r="K150" s="360">
        <f t="shared" si="8"/>
        <v>0.71892817679557997</v>
      </c>
      <c r="L150" s="361">
        <f t="shared" si="8"/>
        <v>0.72945477758992794</v>
      </c>
      <c r="M150" s="364">
        <f t="shared" ref="M150:Q152" si="10">M136+M122</f>
        <v>0</v>
      </c>
      <c r="N150" s="365">
        <f t="shared" si="10"/>
        <v>5</v>
      </c>
      <c r="O150" s="365">
        <f t="shared" si="10"/>
        <v>6</v>
      </c>
      <c r="P150" s="365">
        <f t="shared" si="10"/>
        <v>1</v>
      </c>
      <c r="Q150" s="366">
        <f t="shared" si="10"/>
        <v>0</v>
      </c>
      <c r="R150" s="86"/>
      <c r="S150" s="86"/>
      <c r="T150" s="86"/>
      <c r="U150" s="66"/>
    </row>
    <row r="151" spans="1:21" s="65" customFormat="1">
      <c r="A151" s="154" t="s">
        <v>29</v>
      </c>
      <c r="B151" s="274"/>
      <c r="C151" s="277"/>
      <c r="D151" s="690"/>
      <c r="E151" s="341">
        <f>SUMIFS(sept2021[м2],sept2021[МОП],$A151,sept2021[Комнатность],"&lt;&gt;Офис")</f>
        <v>0</v>
      </c>
      <c r="F151" s="277">
        <f>SUMIFS(sept2021[Сумма без отделки],sept2021[МОП],$A151,sept2021[Комнатность],"&lt;&gt;Офис")</f>
        <v>0</v>
      </c>
      <c r="G151" s="405">
        <f>COUNTIFS(sept2021[МОП],$A151,sept2021[Комнатность],"&lt;&gt;Офис")</f>
        <v>0</v>
      </c>
      <c r="H151" s="159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160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28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K151" s="229" t="str">
        <f t="shared" si="8"/>
        <v/>
      </c>
      <c r="L151" s="230" t="str">
        <f t="shared" si="8"/>
        <v/>
      </c>
      <c r="M151" s="159">
        <f t="shared" si="10"/>
        <v>0</v>
      </c>
      <c r="N151" s="228">
        <f t="shared" si="10"/>
        <v>0</v>
      </c>
      <c r="O151" s="228">
        <f t="shared" si="10"/>
        <v>0</v>
      </c>
      <c r="P151" s="228">
        <f t="shared" si="10"/>
        <v>0</v>
      </c>
      <c r="Q151" s="231">
        <f t="shared" si="10"/>
        <v>0</v>
      </c>
      <c r="U151" s="66"/>
    </row>
    <row r="152" spans="1:21" s="65" customFormat="1">
      <c r="A152" s="161" t="s">
        <v>1207</v>
      </c>
      <c r="B152" s="278"/>
      <c r="C152" s="281"/>
      <c r="D152" s="511"/>
      <c r="E152" s="406">
        <f>SUMIFS(sept2021[м2],sept2021[МОП],$A152,sept2021[Комнатность],"&lt;&gt;Офис")</f>
        <v>294.89</v>
      </c>
      <c r="F152" s="281">
        <f>SUMIFS(sept2021[Сумма без отделки],sept2021[МОП],$A152,sept2021[Комнатность],"&lt;&gt;Офис")</f>
        <v>25674330.299999997</v>
      </c>
      <c r="G152" s="407">
        <f>COUNTIFS(sept2021[МОП],$A152,sept2021[Комнатность],"&lt;&gt;Офис")</f>
        <v>5</v>
      </c>
      <c r="H152" s="166">
        <f>SUMIFS(РД[S],РД[МОП],A152,РД[Дата подачи на регистрацию],"&lt;="&amp;$A$1,РД[Дата подачи на регистрацию],"&gt;="&amp;DATE(YEAR($A$1),MONTH($A$1),1),РД[Состояние],"Продажа")</f>
        <v>0</v>
      </c>
      <c r="I152" s="167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регистрацию],"&gt;="&amp;DATE(YEAR($A$1),MONTH($A$1),1),РД[Состояние],"Продажа")</f>
        <v>0</v>
      </c>
      <c r="J152" s="232">
        <f>COUNTIFS(РД[МОП],A152,РД[Дата подачи на регистрацию],"&lt;="&amp;$A$1,РД[Дата подачи на регистрацию],"&gt;="&amp;DATE(YEAR($A$1),MONTH($A$1),1),РД[Состояние],"Продажа")</f>
        <v>0</v>
      </c>
      <c r="K152" s="233" t="str">
        <f t="shared" si="8"/>
        <v/>
      </c>
      <c r="L152" s="234" t="str">
        <f t="shared" si="8"/>
        <v/>
      </c>
      <c r="M152" s="509">
        <f t="shared" si="10"/>
        <v>0</v>
      </c>
      <c r="N152" s="510">
        <f t="shared" si="10"/>
        <v>0</v>
      </c>
      <c r="O152" s="510">
        <f t="shared" si="10"/>
        <v>0</v>
      </c>
      <c r="P152" s="510">
        <f t="shared" si="10"/>
        <v>0</v>
      </c>
      <c r="Q152" s="511">
        <f t="shared" si="10"/>
        <v>0</v>
      </c>
      <c r="U152" s="66"/>
    </row>
    <row r="153" spans="1:21" s="65" customFormat="1">
      <c r="A153" s="168" t="s">
        <v>114</v>
      </c>
      <c r="B153" s="172">
        <f t="shared" ref="B153:J153" si="11">SUM(B147:B152)</f>
        <v>2713</v>
      </c>
      <c r="C153" s="173">
        <f t="shared" si="11"/>
        <v>243825655.92660001</v>
      </c>
      <c r="D153" s="709">
        <f t="shared" si="11"/>
        <v>0</v>
      </c>
      <c r="E153" s="173">
        <f t="shared" si="11"/>
        <v>2573.92</v>
      </c>
      <c r="F153" s="492">
        <f t="shared" si="11"/>
        <v>231356524.5</v>
      </c>
      <c r="G153" s="493">
        <f t="shared" si="11"/>
        <v>48</v>
      </c>
      <c r="H153" s="172">
        <f t="shared" si="11"/>
        <v>2458.1099999999997</v>
      </c>
      <c r="I153" s="492">
        <f t="shared" si="11"/>
        <v>223515512.62900001</v>
      </c>
      <c r="J153" s="493">
        <f t="shared" si="11"/>
        <v>47</v>
      </c>
      <c r="K153" s="238">
        <f>IFERROR(H153/B153,)</f>
        <v>0.90604865462587525</v>
      </c>
      <c r="L153" s="501">
        <f>IFERROR(I153/C153,)</f>
        <v>0.91670218943771009</v>
      </c>
      <c r="M153" s="471">
        <f>SUM(M147:M152)</f>
        <v>1</v>
      </c>
      <c r="N153" s="471">
        <f>SUM(N147:N152)</f>
        <v>16</v>
      </c>
      <c r="O153" s="471">
        <f>SUM(O147:O152)</f>
        <v>28</v>
      </c>
      <c r="P153" s="471">
        <f>SUM(P147:P152)</f>
        <v>2</v>
      </c>
      <c r="Q153" s="471">
        <f>SUM(Q147:Q152)</f>
        <v>0</v>
      </c>
      <c r="U153" s="66"/>
    </row>
    <row r="154" spans="1:21" s="65" customFormat="1">
      <c r="A154" s="692" t="s">
        <v>115</v>
      </c>
      <c r="B154" s="706" t="s">
        <v>100</v>
      </c>
      <c r="C154" s="710" t="s">
        <v>97</v>
      </c>
      <c r="D154" s="708" t="s">
        <v>95</v>
      </c>
      <c r="E154" s="295" t="s">
        <v>494</v>
      </c>
      <c r="F154" s="138" t="s">
        <v>495</v>
      </c>
      <c r="G154" s="470" t="s">
        <v>496</v>
      </c>
      <c r="H154" s="140" t="s">
        <v>101</v>
      </c>
      <c r="I154" s="141" t="s">
        <v>98</v>
      </c>
      <c r="J154" s="141" t="s">
        <v>96</v>
      </c>
      <c r="K154" s="141" t="s">
        <v>715</v>
      </c>
      <c r="L154" s="216" t="s">
        <v>716</v>
      </c>
      <c r="M154" s="512">
        <v>0</v>
      </c>
      <c r="N154" s="218">
        <v>1</v>
      </c>
      <c r="O154" s="218">
        <v>2</v>
      </c>
      <c r="P154" s="218">
        <v>3</v>
      </c>
      <c r="Q154" s="219" t="s">
        <v>1367</v>
      </c>
      <c r="U154" s="66"/>
    </row>
    <row r="155" spans="1:21" s="65" customFormat="1">
      <c r="A155" s="142" t="s">
        <v>16</v>
      </c>
      <c r="B155" s="291" t="str">
        <f>IFERROR(VLOOKUP(A155,'Индивидуальный план'!$AD$43:$AF$43,2,0),"")</f>
        <v/>
      </c>
      <c r="C155" s="292" t="str">
        <f>IFERROR(VLOOKUP(A155,'Индивидуальный план'!$AD$43:$AF$43,3,0),"")</f>
        <v/>
      </c>
      <c r="D155" s="694"/>
      <c r="E155" s="145">
        <f>SUMIFS(sept2021[м2],sept2021[ИМ],A155,sept2021[Комнатность],"&lt;&gt;Офис")</f>
        <v>1173.9699999999998</v>
      </c>
      <c r="F155" s="149">
        <f>SUMIFS(sept2021[Сумма без отделки],sept2021[ИМ],$A155,sept2021[Комнатность],"&lt;&gt;Офис")</f>
        <v>102826110.09999999</v>
      </c>
      <c r="G155" s="147">
        <f>COUNTIFS(sept2021[ИМ],A155,sept2021[Комнатность],"&lt;&gt;Офис")</f>
        <v>20</v>
      </c>
      <c r="H155" s="183">
        <f>SUMIFS(РД[S],РД[ИМ],A155,РД[Дата подачи на регистрацию],"&lt;="&amp;$A$1,РД[Дата подачи на регистрацию],"&gt;="&amp;DATE(YEAR($A$1),MONTH($A$1),1),РД[Состояние],"Продажа")</f>
        <v>1088.98</v>
      </c>
      <c r="I155" s="184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96068361.418999985</v>
      </c>
      <c r="J155" s="243">
        <f>COUNTIFS(РД[ИМ],A155,РД[Дата подачи на регистрацию],"&lt;="&amp;$A$1,РД[Дата подачи на регистрацию],"&gt;="&amp;DATE(YEAR($A$1),MONTH($A$1),1),РД[Состояние],"Продажа")</f>
        <v>19</v>
      </c>
      <c r="K155" s="244" t="str">
        <f t="shared" ref="K155:L157" si="12">IFERROR(H155/B155,"")</f>
        <v/>
      </c>
      <c r="L155" s="258" t="str">
        <f t="shared" si="12"/>
        <v/>
      </c>
      <c r="M155" s="346">
        <f t="shared" ref="M155:Q156" si="13">M141+M127</f>
        <v>0</v>
      </c>
      <c r="N155" s="243">
        <f t="shared" si="13"/>
        <v>5</v>
      </c>
      <c r="O155" s="243">
        <f t="shared" si="13"/>
        <v>12</v>
      </c>
      <c r="P155" s="243">
        <f t="shared" si="13"/>
        <v>2</v>
      </c>
      <c r="Q155" s="246">
        <f t="shared" si="13"/>
        <v>0</v>
      </c>
      <c r="R155" s="66"/>
      <c r="S155" s="66"/>
      <c r="T155" s="66"/>
      <c r="U155" s="66"/>
    </row>
    <row r="156" spans="1:21" s="65" customFormat="1">
      <c r="A156" s="153" t="s">
        <v>22</v>
      </c>
      <c r="B156" s="516">
        <f>IFERROR(VLOOKUP(A156,'Индивидуальный план'!$AD$43:$AF$43,2,0),"")</f>
        <v>1328</v>
      </c>
      <c r="C156" s="554">
        <f>IFERROR(VLOOKUP(A156,'Индивидуальный план'!$AD$43:$AF$43,3,0),"")</f>
        <v>119416431.28400001</v>
      </c>
      <c r="D156" s="695"/>
      <c r="E156" s="145">
        <f>SUMIFS(sept2021[м2],sept2021[ИМ],A156,sept2021[Комнатность],"&lt;&gt;Офис")</f>
        <v>1400.09</v>
      </c>
      <c r="F156" s="149">
        <f>SUMIFS(sept2021[Сумма без отделки],sept2021[ИМ],$A156,sept2021[Комнатность],"&lt;&gt;Офис")</f>
        <v>128830143.40000002</v>
      </c>
      <c r="G156" s="147">
        <f>COUNTIFS(sept2021[ИМ],$A156,sept2021[Комнатность],"&lt;&gt;Офис")</f>
        <v>28</v>
      </c>
      <c r="H156" s="195">
        <f>SUMIFS(РД[S],РД[ИМ],A156,РД[Дата подачи на регистрацию],"&lt;="&amp;$A$1,РД[Дата подачи на регистрацию],"&gt;="&amp;DATE(YEAR($A$1),MONTH($A$1),1),РД[Состояние],"Продажа")</f>
        <v>1359.0800000000002</v>
      </c>
      <c r="I156" s="196">
        <f>SUMIFS(РД[Стоимость без отделки итог],РД[ИМ],A156,РД[Дата подачи на регистрацию],"&lt;="&amp;$A$1,РД[Дата подачи на регистрацию],"&gt;="&amp;DATE(YEAR($A$1),MONTH($A$1),1),РД[Состояние],"Продажа")</f>
        <v>124857436.88000003</v>
      </c>
      <c r="J156" s="251">
        <f>COUNTIFS(РД[ИМ],A156,РД[Дата подачи на регистрацию],"&lt;="&amp;$A$1,РД[Дата подачи на регистрацию],"&gt;="&amp;DATE(YEAR($A$1),MONTH($A$1),1),РД[Состояние],"Продажа")</f>
        <v>27</v>
      </c>
      <c r="K156" s="252">
        <f t="shared" si="12"/>
        <v>1.0234036144578313</v>
      </c>
      <c r="L156" s="260">
        <f t="shared" si="12"/>
        <v>1.0455632908930266</v>
      </c>
      <c r="M156" s="329">
        <f t="shared" si="13"/>
        <v>4</v>
      </c>
      <c r="N156" s="330">
        <f t="shared" si="13"/>
        <v>8</v>
      </c>
      <c r="O156" s="330">
        <f t="shared" si="13"/>
        <v>15</v>
      </c>
      <c r="P156" s="330">
        <f t="shared" si="13"/>
        <v>0</v>
      </c>
      <c r="Q156" s="331">
        <f t="shared" si="13"/>
        <v>0</v>
      </c>
      <c r="R156" s="66"/>
      <c r="S156" s="66"/>
      <c r="T156" s="66"/>
      <c r="U156" s="66"/>
    </row>
    <row r="157" spans="1:21" s="65" customFormat="1">
      <c r="A157" s="317" t="s">
        <v>114</v>
      </c>
      <c r="B157" s="172">
        <f>SUM(B155:B156)</f>
        <v>1328</v>
      </c>
      <c r="C157" s="173">
        <f>SUM(C155:C156)</f>
        <v>119416431.28400001</v>
      </c>
      <c r="D157" s="711">
        <f>SUM(D155:D156)</f>
        <v>0</v>
      </c>
      <c r="E157" s="484">
        <f t="shared" ref="E157:Q157" si="14">SUM(E155:E156)</f>
        <v>2574.0599999999995</v>
      </c>
      <c r="F157" s="429">
        <f t="shared" si="14"/>
        <v>231656253.5</v>
      </c>
      <c r="G157" s="485">
        <f t="shared" si="14"/>
        <v>48</v>
      </c>
      <c r="H157" s="473">
        <f t="shared" si="14"/>
        <v>2448.0600000000004</v>
      </c>
      <c r="I157" s="494">
        <f t="shared" si="14"/>
        <v>220925798.29900002</v>
      </c>
      <c r="J157" s="494">
        <f t="shared" si="14"/>
        <v>46</v>
      </c>
      <c r="K157" s="419">
        <f t="shared" si="12"/>
        <v>1.8434186746987955</v>
      </c>
      <c r="L157" s="420">
        <f t="shared" si="12"/>
        <v>1.8500452234549463</v>
      </c>
      <c r="M157" s="473">
        <f t="shared" si="14"/>
        <v>4</v>
      </c>
      <c r="N157" s="494">
        <f t="shared" si="14"/>
        <v>13</v>
      </c>
      <c r="O157" s="494">
        <f t="shared" si="14"/>
        <v>27</v>
      </c>
      <c r="P157" s="494">
        <f t="shared" si="14"/>
        <v>2</v>
      </c>
      <c r="Q157" s="497">
        <f t="shared" si="14"/>
        <v>0</v>
      </c>
      <c r="R157" s="66"/>
      <c r="S157" s="66"/>
      <c r="T157" s="66"/>
      <c r="U157" s="66"/>
    </row>
    <row r="158" spans="1:21" s="65" customFormat="1">
      <c r="A158" s="134"/>
      <c r="B158" s="44"/>
      <c r="C158" s="44"/>
      <c r="D158" s="134"/>
      <c r="E158" s="134"/>
      <c r="F158" s="44"/>
      <c r="G158" s="134"/>
      <c r="H158" s="134"/>
      <c r="I158" s="134"/>
      <c r="J158" s="134"/>
      <c r="K158" s="255"/>
      <c r="L158" s="256"/>
      <c r="M158" s="134"/>
      <c r="N158" s="134"/>
      <c r="O158" s="134"/>
      <c r="P158" s="134"/>
      <c r="Q158" s="134"/>
      <c r="T158" s="66"/>
      <c r="U158" s="66"/>
    </row>
    <row r="159" spans="1:21" s="65" customFormat="1" ht="15">
      <c r="A159" s="2314" t="s">
        <v>1368</v>
      </c>
      <c r="B159" s="2315"/>
      <c r="C159" s="2315"/>
      <c r="D159" s="2315"/>
      <c r="E159" s="2315"/>
      <c r="F159" s="2315"/>
      <c r="G159" s="2315"/>
      <c r="H159" s="2315"/>
      <c r="I159" s="2315"/>
      <c r="J159" s="2315"/>
      <c r="K159" s="2315"/>
      <c r="L159" s="2315"/>
      <c r="M159" s="2315"/>
      <c r="N159" s="2315"/>
      <c r="O159" s="2316"/>
      <c r="P159" s="339"/>
      <c r="Q159" s="66"/>
      <c r="T159" s="66"/>
      <c r="U159" s="66"/>
    </row>
    <row r="160" spans="1:21" s="65" customFormat="1">
      <c r="A160" s="712" t="s">
        <v>1</v>
      </c>
      <c r="B160" s="713" t="s">
        <v>100</v>
      </c>
      <c r="C160" s="714" t="s">
        <v>97</v>
      </c>
      <c r="D160" s="715" t="s">
        <v>95</v>
      </c>
      <c r="E160" s="716" t="s">
        <v>494</v>
      </c>
      <c r="F160" s="265" t="s">
        <v>495</v>
      </c>
      <c r="G160" s="266" t="s">
        <v>496</v>
      </c>
      <c r="H160" s="140" t="s">
        <v>101</v>
      </c>
      <c r="I160" s="141" t="s">
        <v>98</v>
      </c>
      <c r="J160" s="141" t="s">
        <v>96</v>
      </c>
      <c r="K160" s="141" t="s">
        <v>715</v>
      </c>
      <c r="L160" s="216" t="s">
        <v>716</v>
      </c>
      <c r="M160" s="332" t="s">
        <v>121</v>
      </c>
      <c r="N160" s="218" t="s">
        <v>27</v>
      </c>
      <c r="O160" s="219" t="s">
        <v>7</v>
      </c>
      <c r="P160" s="545"/>
      <c r="Q160" s="66"/>
      <c r="T160" s="66"/>
      <c r="U160" s="66"/>
    </row>
    <row r="161" spans="1:21" s="65" customFormat="1">
      <c r="A161" s="142" t="s">
        <v>8</v>
      </c>
      <c r="B161" s="267"/>
      <c r="C161" s="146"/>
      <c r="D161" s="702"/>
      <c r="E161" s="416">
        <f>SUMIFS(sept2021[м2],sept2021[МОП],A161,sept2021[Комнатность],"Офис")</f>
        <v>0</v>
      </c>
      <c r="F161" s="146">
        <f>SUMIFS(sept2021[Сумма без отделки],sept2021[МОП],$A161,sept2021[Комнатность],"оФИС")</f>
        <v>0</v>
      </c>
      <c r="G161" s="417">
        <f>COUNTIFS(sept2021[МОП],$A161,sept2021[Комнатность],"Офис")</f>
        <v>0</v>
      </c>
      <c r="H161" s="267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146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K161" s="221" t="str">
        <f t="shared" ref="K161:L167" si="15">IFERROR(H161/B161,"")</f>
        <v/>
      </c>
      <c r="L161" s="333" t="str">
        <f t="shared" si="15"/>
        <v/>
      </c>
      <c r="M161" s="148">
        <f>COUNTIFS(РД[Дом],M$160,РД[МОП],$A161,РД[Дата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0">
        <f>COUNTIFS(РД[Дом],N$160,РД[МОП],$A161,РД[Дата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3">
        <f>COUNTIFS(РД[Дом],O$160,РД[МОП],$A161,РД[Дата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P161" s="339"/>
      <c r="T161" s="66"/>
      <c r="U161" s="66"/>
    </row>
    <row r="162" spans="1:21" s="65" customFormat="1">
      <c r="A162" s="398" t="s">
        <v>77</v>
      </c>
      <c r="B162" s="271"/>
      <c r="C162" s="52"/>
      <c r="D162" s="717"/>
      <c r="E162" s="416">
        <f>SUMIFS(sept2021[м2],sept2021[МОП],A162,sept2021[Комнатность],"Офис")</f>
        <v>0</v>
      </c>
      <c r="F162" s="52">
        <f>SUMIFS(sept2021[Сумма без отделки],sept2021[МОП],$A162,sept2021[Комнатность],"оФИС")</f>
        <v>0</v>
      </c>
      <c r="G162" s="421">
        <f>COUNTIFS(sept2021[МОП],$A162,sept2021[Комнатность],"Офис")</f>
        <v>0</v>
      </c>
      <c r="H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K162" s="52" t="str">
        <f t="shared" si="15"/>
        <v/>
      </c>
      <c r="L162" s="546" t="str">
        <f t="shared" si="15"/>
        <v/>
      </c>
      <c r="M162" s="202">
        <f>COUNTIFS(РД[Дом],M$160,РД[МОП],$A162,РД[Дата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6">
        <f>COUNTIFS(РД[Дом],N$160,РД[МОП],$A162,РД[Дата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7">
        <f>COUNTIFS(РД[Дом],O$160,РД[МОП],$A162,РД[Дата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P162" s="339"/>
      <c r="T162" s="66"/>
      <c r="U162" s="66"/>
    </row>
    <row r="163" spans="1:21" s="65" customFormat="1">
      <c r="A163" s="153" t="s">
        <v>20</v>
      </c>
      <c r="B163" s="271"/>
      <c r="C163" s="52"/>
      <c r="D163" s="717"/>
      <c r="E163" s="416">
        <f>SUMIFS(sept2021[м2],sept2021[МОП],A163,sept2021[Комнатность],"Офис")</f>
        <v>0</v>
      </c>
      <c r="F163" s="52">
        <f>SUMIFS(sept2021[Сумма без отделки],sept2021[МОП],$A163,sept2021[Комнатность],"оФИС")</f>
        <v>0</v>
      </c>
      <c r="G163" s="421">
        <f>COUNTIFS(sept2021[МОП],$A163,sept2021[Комнатность],"Офис")</f>
        <v>0</v>
      </c>
      <c r="H163" s="271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52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20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K163" s="224" t="str">
        <f t="shared" si="15"/>
        <v/>
      </c>
      <c r="L163" s="334" t="str">
        <f t="shared" si="15"/>
        <v/>
      </c>
      <c r="M163" s="202">
        <f>COUNTIFS(РД[Дом],M$160,РД[МОП],$A163,РД[Дата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6">
        <f>COUNTIFS(РД[Дом],N$160,РД[МОП],$A163,РД[Дата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7">
        <f>COUNTIFS(РД[Дом],O$160,РД[МОП],$A163,РД[Дата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P163" s="339"/>
      <c r="T163" s="66"/>
      <c r="U163" s="66"/>
    </row>
    <row r="164" spans="1:21" s="65" customFormat="1">
      <c r="A164" s="153" t="s">
        <v>14</v>
      </c>
      <c r="B164" s="315"/>
      <c r="C164" s="363"/>
      <c r="D164" s="703"/>
      <c r="E164" s="422">
        <f>SUMIFS(sept2021[м2],sept2021[МОП],A164,sept2021[Комнатность],"Офис")</f>
        <v>0</v>
      </c>
      <c r="F164" s="363">
        <f>SUMIFS(sept2021[Сумма без отделки],sept2021[МОП],$A164,sept2021[Комнатность],"оФИС")</f>
        <v>0</v>
      </c>
      <c r="G164" s="414">
        <f>COUNTIFS(sept2021[МОП],$A164,sept2021[Комнатность],"Офис")</f>
        <v>0</v>
      </c>
      <c r="H164" s="315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363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47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K164" s="360" t="str">
        <f t="shared" si="15"/>
        <v/>
      </c>
      <c r="L164" s="367" t="str">
        <f t="shared" si="15"/>
        <v/>
      </c>
      <c r="M164" s="358">
        <f>COUNTIFS(РД[Дом],M$160,РД[МОП],$A164,РД[Дата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330">
        <f>COUNTIFS(РД[Дом],N$160,РД[МОП],$A164,РД[Дата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331">
        <f>COUNTIFS(РД[Дом],O$160,РД[МОП],$A164,РД[Дата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P164" s="339"/>
      <c r="T164" s="66"/>
      <c r="U164" s="66"/>
    </row>
    <row r="165" spans="1:21" s="65" customFormat="1">
      <c r="A165" s="154" t="s">
        <v>29</v>
      </c>
      <c r="B165" s="274"/>
      <c r="C165" s="277"/>
      <c r="D165" s="718"/>
      <c r="E165" s="423">
        <f>SUMIFS(sept2021[м2],sept2021[МОП],A165,sept2021[Комнатность],"Офис")</f>
        <v>0</v>
      </c>
      <c r="F165" s="277">
        <f>SUMIFS(sept2021[Сумма без отделки],sept2021[МОП],$A165,sept2021[Комнатность],"оФИС")</f>
        <v>0</v>
      </c>
      <c r="G165" s="405">
        <f>COUNTIFS(sept2021[МОП],$A165,sept2021[Комнатность],"Офис")</f>
        <v>0</v>
      </c>
      <c r="H165" s="274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77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28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K165" s="229" t="str">
        <f t="shared" si="15"/>
        <v/>
      </c>
      <c r="L165" s="335" t="str">
        <f t="shared" si="15"/>
        <v/>
      </c>
      <c r="M165" s="159">
        <f>COUNTIFS(РД[Дом],M$160,РД[МОП],$A165,РД[Дата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28">
        <f>COUNTIFS(РД[Дом],N$160,РД[МОП],$A165,РД[Дата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231">
        <f>COUNTIFS(РД[Дом],O$160,РД[МОП],$A165,РД[Дата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P165" s="339"/>
      <c r="T165" s="66"/>
      <c r="U165" s="66"/>
    </row>
    <row r="166" spans="1:21" s="65" customFormat="1">
      <c r="A166" s="161" t="s">
        <v>1207</v>
      </c>
      <c r="B166" s="278"/>
      <c r="C166" s="281"/>
      <c r="D166" s="719"/>
      <c r="E166" s="424">
        <f>SUMIFS(sept2021[м2],sept2021[МОП],A166,sept2021[Комнатность],"Офис")</f>
        <v>0</v>
      </c>
      <c r="F166" s="281">
        <f>SUMIFS(sept2021[Сумма без отделки],sept2021[МОП],$A166,sept2021[Комнатность],"оФИС")</f>
        <v>0</v>
      </c>
      <c r="G166" s="407">
        <f>COUNTIFS(sept2021[МОП],$A166,sept2021[Комнатность],"Офис")</f>
        <v>0</v>
      </c>
      <c r="H166" s="278">
        <f>SUMIFS(РД[S],РД[МОП],A166,РД[Дата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I166" s="281">
        <f>SUMIFS(РД[Стоимость без отделки итог],РД[МОП],A166,РД[Дата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J166" s="232">
        <f>COUNTIFS(РД[МОП],A166,РД[Дата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K166" s="233" t="str">
        <f t="shared" si="15"/>
        <v/>
      </c>
      <c r="L166" s="336" t="str">
        <f t="shared" si="15"/>
        <v/>
      </c>
      <c r="M166" s="166">
        <f>COUNTIFS(РД[Дом],M$160,РД[МОП],$A166,РД[Дата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N166" s="232">
        <f>COUNTIFS(РД[Дом],N$160,РД[МОП],$A166,РД[Дата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O166" s="337">
        <f>COUNTIFS(РД[Дом],O$160,РД[МОП],$A166,РД[Дата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P166" s="339"/>
      <c r="T166" s="66"/>
      <c r="U166" s="66"/>
    </row>
    <row r="167" spans="1:21" s="65" customFormat="1">
      <c r="A167" s="513" t="s">
        <v>114</v>
      </c>
      <c r="B167" s="282">
        <f t="shared" ref="B167:J167" si="16">SUM(B161:B166)</f>
        <v>0</v>
      </c>
      <c r="C167" s="287">
        <f t="shared" si="16"/>
        <v>0</v>
      </c>
      <c r="D167" s="305">
        <f t="shared" si="16"/>
        <v>0</v>
      </c>
      <c r="E167" s="425">
        <f t="shared" si="16"/>
        <v>0</v>
      </c>
      <c r="F167" s="287">
        <f t="shared" si="16"/>
        <v>0</v>
      </c>
      <c r="G167" s="286">
        <f t="shared" si="16"/>
        <v>0</v>
      </c>
      <c r="H167" s="282">
        <f t="shared" si="16"/>
        <v>0</v>
      </c>
      <c r="I167" s="287">
        <f t="shared" si="16"/>
        <v>0</v>
      </c>
      <c r="J167" s="287">
        <f t="shared" si="16"/>
        <v>0</v>
      </c>
      <c r="K167" s="238" t="str">
        <f t="shared" si="15"/>
        <v/>
      </c>
      <c r="L167" s="338" t="str">
        <f t="shared" si="15"/>
        <v/>
      </c>
      <c r="M167" s="282">
        <f>SUM(M161:M166)</f>
        <v>0</v>
      </c>
      <c r="N167" s="287">
        <f>SUM(N161:N166)</f>
        <v>0</v>
      </c>
      <c r="O167" s="287">
        <f>SUM(O161:O166)</f>
        <v>0</v>
      </c>
      <c r="P167" s="339"/>
      <c r="T167" s="66"/>
      <c r="U167" s="66"/>
    </row>
    <row r="168" spans="1:21" s="65" customFormat="1">
      <c r="A168" s="685" t="s">
        <v>115</v>
      </c>
      <c r="B168" s="713" t="s">
        <v>100</v>
      </c>
      <c r="C168" s="714" t="s">
        <v>97</v>
      </c>
      <c r="D168" s="715" t="s">
        <v>95</v>
      </c>
      <c r="E168" s="716" t="s">
        <v>494</v>
      </c>
      <c r="F168" s="265" t="s">
        <v>495</v>
      </c>
      <c r="G168" s="266" t="s">
        <v>496</v>
      </c>
      <c r="H168" s="140" t="s">
        <v>101</v>
      </c>
      <c r="I168" s="141" t="s">
        <v>98</v>
      </c>
      <c r="J168" s="141" t="s">
        <v>96</v>
      </c>
      <c r="K168" s="141" t="s">
        <v>715</v>
      </c>
      <c r="L168" s="526" t="s">
        <v>716</v>
      </c>
      <c r="M168" s="332" t="s">
        <v>121</v>
      </c>
      <c r="N168" s="218" t="s">
        <v>27</v>
      </c>
      <c r="O168" s="219" t="s">
        <v>7</v>
      </c>
      <c r="P168" s="339"/>
      <c r="U168" s="66"/>
    </row>
    <row r="169" spans="1:21" s="65" customFormat="1">
      <c r="A169" s="177" t="s">
        <v>16</v>
      </c>
      <c r="B169" s="291"/>
      <c r="C169" s="292"/>
      <c r="D169" s="720"/>
      <c r="E169" s="267">
        <f>SUMIFS(sept2021[м2],sept2021[ИМ],A169,sept2021[Комнатность],"Офис")</f>
        <v>0</v>
      </c>
      <c r="F169" s="146">
        <f>SUMIFS(sept2021[Сумма без отделки],sept2021[ИМ],$A169,sept2021[Комнатность],"оФИС")</f>
        <v>0</v>
      </c>
      <c r="G169" s="417">
        <f>COUNTIFS(sept2021[ИМ],$A169,sept2021[Комнатность],"Офис")</f>
        <v>0</v>
      </c>
      <c r="H169" s="267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146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K169" s="224" t="str">
        <f t="shared" ref="K169:L171" si="17">IFERROR(H169/B169,"")</f>
        <v/>
      </c>
      <c r="L169" s="334" t="str">
        <f t="shared" si="17"/>
        <v/>
      </c>
      <c r="M169" s="148">
        <f>COUNTIFS(РД[Дом],M$160,РД[ИМ],$A169,РД[Дата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0">
        <f>COUNTIFS(РД[Дом],N$160,РД[ИМ],$A169,РД[Дата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3">
        <f>COUNTIFS(РД[Дом],O$160,РД[ИМ],$A169,РД[Дата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U169" s="66"/>
    </row>
    <row r="170" spans="1:21" s="65" customFormat="1">
      <c r="A170" s="189" t="s">
        <v>22</v>
      </c>
      <c r="B170" s="516"/>
      <c r="C170" s="554"/>
      <c r="D170" s="721"/>
      <c r="E170" s="315">
        <f>SUMIFS(sept2021[м2],sept2021[ИМ],A170,sept2021[Комнатность],"Офис")</f>
        <v>0</v>
      </c>
      <c r="F170" s="363">
        <f>SUMIFS(sept2021[Сумма без отделки],sept2021[ИМ],$A170,sept2021[Комнатность],"оФИС")</f>
        <v>0</v>
      </c>
      <c r="G170" s="518">
        <f>COUNTIFS(sept2021[ИМ],$A170,sept2021[Комнатность],"Офис")</f>
        <v>0</v>
      </c>
      <c r="H170" s="315">
        <f>SUMIFS(РД[S],РД[ИМ],A170,РД[Дата подачи на регистрацию],"&lt;="&amp;$A$1,РД[Дата подачи на регистрацию],"&gt;="&amp;DATE(YEAR($A$1),MONTH($A$1),1),РД[Состояние],"Коммерция")</f>
        <v>0</v>
      </c>
      <c r="I170" s="363">
        <f>SUMIFS(РД[Стоимость без отделки итог],РД[ИМ],A170,РД[Дата подачи на регистрацию],"&lt;="&amp;$A$1,РД[Дата подачи на регистрацию],"&gt;="&amp;DATE(YEAR($A$1),MONTH($A$1),1),РД[Состояние],"Коммерция")</f>
        <v>0</v>
      </c>
      <c r="J170" s="220">
        <f>COUNTIFS(РД[ИМ],A170,РД[Дата подачи на регистрацию],"&lt;="&amp;$A$1,РД[Дата подачи на регистрацию],"&gt;="&amp;DATE(YEAR($A$1),MONTH($A$1),1),РД[Состояние],"Коммерция")</f>
        <v>0</v>
      </c>
      <c r="K170" s="252" t="str">
        <f t="shared" si="17"/>
        <v/>
      </c>
      <c r="L170" s="253" t="str">
        <f t="shared" si="17"/>
        <v/>
      </c>
      <c r="M170" s="202">
        <f>COUNTIFS(РД[Дом],M$160,РД[ИМ],$A170,РД[Дата подачи на регистрацию],"&lt;="&amp;$A$1,РД[Дата подачи на регистрацию],"&gt;="&amp;DATE(YEAR($A$1),MONTH($A$1),1),РД[Состояние],"Коммерция")</f>
        <v>0</v>
      </c>
      <c r="N170" s="226">
        <f>COUNTIFS(РД[Дом],N$160,РД[ИМ],$A170,РД[Дата подачи на регистрацию],"&lt;="&amp;$A$1,РД[Дата подачи на регистрацию],"&gt;="&amp;DATE(YEAR($A$1),MONTH($A$1),1),РД[Состояние],"Коммерция")</f>
        <v>0</v>
      </c>
      <c r="O170" s="227">
        <f>COUNTIFS(РД[Дом],O$160,РД[ИМ],$A170,РД[Дата подачи на регистрацию],"&lt;="&amp;$A$1,РД[Дата подачи на регистрацию],"&gt;="&amp;DATE(YEAR($A$1),MONTH($A$1),1),РД[Состояние],"Коммерция")</f>
        <v>0</v>
      </c>
      <c r="P170" s="339"/>
      <c r="U170" s="66"/>
    </row>
    <row r="171" spans="1:21" s="65" customFormat="1">
      <c r="A171" s="513" t="s">
        <v>114</v>
      </c>
      <c r="B171" s="282">
        <f>SUM(B169:B170)</f>
        <v>0</v>
      </c>
      <c r="C171" s="287">
        <f>SUM(C169:C170)</f>
        <v>0</v>
      </c>
      <c r="D171" s="472">
        <f>SUM(D169:D170)</f>
        <v>0</v>
      </c>
      <c r="E171" s="323">
        <f t="shared" ref="E171:J171" si="18">SUM(E169:E170)</f>
        <v>0</v>
      </c>
      <c r="F171" s="429">
        <f t="shared" si="18"/>
        <v>0</v>
      </c>
      <c r="G171" s="322">
        <f t="shared" si="18"/>
        <v>0</v>
      </c>
      <c r="H171" s="323">
        <f t="shared" si="18"/>
        <v>0</v>
      </c>
      <c r="I171" s="429">
        <f t="shared" si="18"/>
        <v>0</v>
      </c>
      <c r="J171" s="429">
        <f t="shared" si="18"/>
        <v>0</v>
      </c>
      <c r="K171" s="419" t="str">
        <f t="shared" si="17"/>
        <v/>
      </c>
      <c r="L171" s="527" t="str">
        <f t="shared" si="17"/>
        <v/>
      </c>
      <c r="M171" s="318">
        <f>SUM(M169:M170)</f>
        <v>0</v>
      </c>
      <c r="N171" s="321">
        <f>SUM(N169:N170)</f>
        <v>0</v>
      </c>
      <c r="O171" s="319">
        <f>SUM(O169:O170)</f>
        <v>0</v>
      </c>
      <c r="P171" s="339"/>
      <c r="U171" s="66"/>
    </row>
    <row r="172" spans="1:21" s="65" customFormat="1">
      <c r="A172" s="134"/>
      <c r="B172" s="44"/>
      <c r="C172" s="44"/>
      <c r="D172" s="134"/>
      <c r="E172" s="134"/>
      <c r="F172" s="44"/>
      <c r="G172" s="134"/>
      <c r="H172" s="134"/>
      <c r="I172" s="134"/>
      <c r="J172" s="134"/>
      <c r="K172" s="255"/>
      <c r="L172" s="256"/>
      <c r="M172" s="134"/>
      <c r="N172" s="134"/>
      <c r="O172" s="134"/>
      <c r="P172" s="134"/>
      <c r="Q172" s="72"/>
      <c r="U172" s="66"/>
    </row>
    <row r="173" spans="1:21" s="65" customFormat="1" ht="15">
      <c r="A173" s="2321" t="s">
        <v>945</v>
      </c>
      <c r="B173" s="2322"/>
      <c r="C173" s="2322"/>
      <c r="D173" s="2322"/>
      <c r="E173" s="2322"/>
      <c r="F173" s="2322"/>
      <c r="G173" s="2322"/>
      <c r="H173" s="2323"/>
      <c r="I173" s="2323"/>
      <c r="J173" s="2323"/>
      <c r="K173" s="2323"/>
      <c r="L173" s="2323"/>
      <c r="M173" s="2323"/>
      <c r="N173" s="2324"/>
      <c r="O173" s="339"/>
      <c r="P173" s="339"/>
      <c r="Q173" s="86"/>
      <c r="U173" s="66"/>
    </row>
    <row r="174" spans="1:21" s="65" customFormat="1" ht="15">
      <c r="A174" s="519"/>
      <c r="B174" s="520"/>
      <c r="C174" s="520"/>
      <c r="D174" s="520"/>
      <c r="E174" s="520"/>
      <c r="F174" s="520"/>
      <c r="G174" s="520"/>
      <c r="H174" s="722"/>
      <c r="I174" s="722"/>
      <c r="J174" s="722"/>
      <c r="K174" s="722"/>
      <c r="L174" s="722"/>
      <c r="M174" s="722"/>
      <c r="N174" s="727"/>
      <c r="O174" s="339"/>
      <c r="P174" s="339"/>
      <c r="Q174" s="86"/>
      <c r="U174" s="66"/>
    </row>
    <row r="175" spans="1:21" s="65" customFormat="1">
      <c r="A175" s="685" t="s">
        <v>1</v>
      </c>
      <c r="B175" s="723" t="s">
        <v>101</v>
      </c>
      <c r="C175" s="724" t="s">
        <v>98</v>
      </c>
      <c r="D175" s="688" t="s">
        <v>96</v>
      </c>
      <c r="E175" s="137" t="s">
        <v>494</v>
      </c>
      <c r="F175" s="138" t="s">
        <v>495</v>
      </c>
      <c r="G175" s="296" t="s">
        <v>496</v>
      </c>
      <c r="H175" s="140" t="s">
        <v>946</v>
      </c>
      <c r="I175" s="141" t="s">
        <v>947</v>
      </c>
      <c r="J175" s="217">
        <v>0</v>
      </c>
      <c r="K175" s="218">
        <v>1</v>
      </c>
      <c r="L175" s="340">
        <v>2</v>
      </c>
      <c r="M175" s="218">
        <v>3</v>
      </c>
      <c r="N175" s="219" t="s">
        <v>1367</v>
      </c>
      <c r="O175" s="339"/>
      <c r="P175" s="339"/>
      <c r="Q175" s="86"/>
      <c r="U175" s="66"/>
    </row>
    <row r="176" spans="1:21" s="65" customFormat="1">
      <c r="A176" s="142" t="s">
        <v>8</v>
      </c>
      <c r="B176" s="267">
        <f>SUMIFS(РД[S],РД[МОП],A176,РД[Дата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6" s="1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6" s="702">
        <f>COUNTIFS(РД[МОП],A176,РД[Дата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6" s="329">
        <f>SUMIFS(sept2021[м2],sept2021[МОП],$A176,sept2021[№ дома],#REF!)</f>
        <v>0</v>
      </c>
      <c r="F176" s="363">
        <f>SUMIFS(sept2021[Сумма без отделки],sept2021[МОП],$A176,sept2021[№ дома],#REF!)</f>
        <v>0</v>
      </c>
      <c r="G176" s="414">
        <f>COUNTIFS(sept2021[МОП],$A176,sept2021[№ дома],#REF!)</f>
        <v>0</v>
      </c>
      <c r="H176" s="267">
        <f>SUMIFS(РД[S],РД[МОП],A176,РД[Дата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6" s="549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6" s="148">
        <f>COUNTIFS(РД[Тип кв],J$175,РД[МОП],$A176,РД[Дата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6" s="220">
        <f>COUNTIFS(РД[Тип кв],K$175,РД[МОП],$A176,РД[Дата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6" s="220">
        <f>COUNTIFS(РД[Тип кв],L$175,РД[МОП],$A176,РД[Дата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6" s="220">
        <f>COUNTIFS(РД[Тип кв],M$175,РД[МОП],$A176,РД[Дата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223">
        <f>COUNTIFS(РД[Тип кв],T$171,РД[МОП],$A176,РД[Дата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6" s="339"/>
      <c r="P176" s="339"/>
      <c r="Q176" s="86"/>
      <c r="U176" s="66"/>
    </row>
    <row r="177" spans="1:21" s="65" customFormat="1">
      <c r="A177" s="398" t="s">
        <v>77</v>
      </c>
      <c r="B177" s="271">
        <f>SUMIFS(РД[S],РД[МОП],A177,РД[Дата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7" s="52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7" s="717">
        <f>COUNTIFS(РД[МОП],A177,РД[Дата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7" s="329">
        <f>SUMIFS(sept2021[м2],sept2021[МОП],$A177,sept2021[№ дома],#REF!)</f>
        <v>0</v>
      </c>
      <c r="F177" s="363">
        <f>SUMIFS(sept2021[Сумма без отделки],sept2021[МОП],$A177,sept2021[№ дома],#REF!)</f>
        <v>0</v>
      </c>
      <c r="G177" s="414">
        <f>COUNTIFS(sept2021[МОП],$A177,sept2021[№ дома],#REF!)</f>
        <v>0</v>
      </c>
      <c r="H177" s="271">
        <f>SUMIFS(РД[S],РД[МОП],A177,РД[Дата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7" s="54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7" s="202">
        <f>COUNTIFS(РД[Тип кв],J$175,РД[МОП],$A177,РД[Дата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7" s="226">
        <f>COUNTIFS(РД[Тип кв],K$175,РД[МОП],$A177,РД[Дата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7" s="226">
        <f>COUNTIFS(РД[Тип кв],L$175,РД[МОП],$A177,РД[Дата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7" s="226">
        <f>COUNTIFS(РД[Тип кв],M$175,РД[МОП],$A177,РД[Дата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227">
        <f>COUNTIFS(РД[Тип кв],T$171,РД[МОП],$A177,РД[Дата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7" s="339"/>
      <c r="P177" s="339"/>
      <c r="Q177" s="86"/>
      <c r="U177" s="66"/>
    </row>
    <row r="178" spans="1:21" s="65" customFormat="1">
      <c r="A178" s="153" t="s">
        <v>20</v>
      </c>
      <c r="B178" s="271">
        <f>SUMIFS(РД[S],РД[МОП],A178,РД[Дата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8" s="52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8" s="717">
        <f>COUNTIFS(РД[МОП],A178,РД[Дата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8" s="329">
        <f>SUMIFS(sept2021[м2],sept2021[МОП],$A178,sept2021[№ дома],#REF!)</f>
        <v>0</v>
      </c>
      <c r="F178" s="363">
        <f>SUMIFS(sept2021[Сумма без отделки],sept2021[МОП],$A178,sept2021[№ дома],#REF!)</f>
        <v>0</v>
      </c>
      <c r="G178" s="414">
        <f>COUNTIFS(sept2021[МОП],$A178,sept2021[№ дома],#REF!)</f>
        <v>0</v>
      </c>
      <c r="H178" s="271">
        <f>SUMIFS(РД[S],РД[МОП],A178,РД[Дата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8" s="546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8" s="202">
        <f>COUNTIFS(РД[Тип кв],J$175,РД[МОП],$A178,РД[Дата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8" s="226">
        <f>COUNTIFS(РД[Тип кв],K$175,РД[МОП],$A178,РД[Дата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8" s="226">
        <f>COUNTIFS(РД[Тип кв],L$175,РД[МОП],$A178,РД[Дата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8" s="226">
        <f>COUNTIFS(РД[Тип кв],M$175,РД[МОП],$A178,РД[Дата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227">
        <f>COUNTIFS(РД[Тип кв],T$171,РД[МОП],$A178,РД[Дата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8" s="339"/>
      <c r="P178" s="339"/>
      <c r="Q178" s="86"/>
      <c r="U178" s="66"/>
    </row>
    <row r="179" spans="1:21" s="65" customFormat="1">
      <c r="A179" s="153" t="s">
        <v>14</v>
      </c>
      <c r="B179" s="315">
        <f>SUMIFS(РД[S],РД[МОП],A179,РД[Дата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9" s="363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9" s="703">
        <f>COUNTIFS(РД[МОП],A179,РД[Дата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9" s="329">
        <f>SUMIFS(sept2021[м2],sept2021[МОП],$A179,sept2021[№ дома],#REF!)</f>
        <v>0</v>
      </c>
      <c r="F179" s="363">
        <f>SUMIFS(sept2021[Сумма без отделки],sept2021[МОП],$A179,sept2021[№ дома],#REF!)</f>
        <v>0</v>
      </c>
      <c r="G179" s="414">
        <f>COUNTIFS(sept2021[МОП],$A179,sept2021[№ дома],#REF!)</f>
        <v>0</v>
      </c>
      <c r="H179" s="315">
        <f>SUMIFS(РД[S],РД[МОП],A179,РД[Дата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9" s="550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9" s="358">
        <f>COUNTIFS(РД[Тип кв],J$175,РД[МОП],$A179,РД[Дата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9" s="330">
        <f>COUNTIFS(РД[Тип кв],K$175,РД[МОП],$A179,РД[Дата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9" s="330">
        <f>COUNTIFS(РД[Тип кв],L$175,РД[МОП],$A179,РД[Дата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9" s="330">
        <f>COUNTIFS(РД[Тип кв],M$175,РД[МОП],$A179,РД[Дата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331">
        <f>COUNTIFS(РД[Тип кв],T$171,РД[МОП],$A179,РД[Дата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9" s="339"/>
      <c r="P179" s="339"/>
      <c r="Q179" s="86"/>
      <c r="U179" s="66"/>
    </row>
    <row r="180" spans="1:21" s="65" customFormat="1">
      <c r="A180" s="154" t="s">
        <v>29</v>
      </c>
      <c r="B180" s="274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0" s="277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0" s="718">
        <f>COUNTIFS(РД[МОП],A180,РД[Дата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0" s="341">
        <f>SUMIFS(sept2021[м2],sept2021[МОП],$A180,sept2021[№ дома],#REF!)</f>
        <v>0</v>
      </c>
      <c r="F180" s="277">
        <f>SUMIFS(sept2021[Сумма без отделки],sept2021[МОП],$A180,sept2021[№ дома],#REF!)</f>
        <v>0</v>
      </c>
      <c r="G180" s="405">
        <f>COUNTIFS(sept2021[МОП],$A180,sept2021[№ дома],#REF!)</f>
        <v>0</v>
      </c>
      <c r="H180" s="274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0" s="277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0" s="228">
        <f>COUNTIFS(РД[Тип кв],J$175,РД[МОП],$A180,РД[Дата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0" s="228">
        <f>COUNTIFS(РД[Тип кв],K$175,РД[МОП],$A180,РД[Дата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0" s="228">
        <f>COUNTIFS(РД[Тип кв],L$175,РД[МОП],$A180,РД[Дата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0" s="228">
        <f>COUNTIFS(РД[Тип кв],M$175,РД[МОП],$A180,РД[Дата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231">
        <f>COUNTIFS(РД[Тип кв],T$171,РД[МОП],$A180,РД[Дата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0" s="339"/>
      <c r="P180" s="339"/>
      <c r="Q180" s="86"/>
      <c r="U180" s="66"/>
    </row>
    <row r="181" spans="1:21" s="65" customFormat="1">
      <c r="A181" s="161" t="s">
        <v>1207</v>
      </c>
      <c r="B181" s="278">
        <f>SUMIFS(РД[S],РД[МОП],A181,РД[Дата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1" s="281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1" s="719">
        <f>COUNTIFS(РД[МОП],A181,РД[Дата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1" s="406">
        <f>SUMIFS(sept2021[м2],sept2021[МОП],$A181,sept2021[№ дома],#REF!)</f>
        <v>0</v>
      </c>
      <c r="F181" s="281">
        <f>SUMIFS(sept2021[Сумма без отделки],sept2021[МОП],$A181,sept2021[№ дома],#REF!)</f>
        <v>0</v>
      </c>
      <c r="G181" s="407">
        <f>COUNTIFS(sept2021[МОП],$A181,sept2021[№ дома],#REF!)</f>
        <v>0</v>
      </c>
      <c r="H181" s="278">
        <f>SUMIFS(РД[S],РД[МОП],A181,РД[Дата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1" s="281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1" s="232">
        <f>COUNTIFS(РД[Тип кв],J$175,РД[МОП],$A181,РД[Дата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1" s="232">
        <f>COUNTIFS(РД[Тип кв],K$175,РД[МОП],$A181,РД[Дата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1" s="232">
        <f>COUNTIFS(РД[Тип кв],L$175,РД[МОП],$A181,РД[Дата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1" s="232">
        <f>COUNTIFS(РД[Тип кв],M$175,РД[МОП],$A181,РД[Дата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1" s="337">
        <f>COUNTIFS(РД[Тип кв],T$171,РД[МОП],$A181,РД[Дата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1" s="339"/>
      <c r="P181" s="339"/>
      <c r="Q181" s="86"/>
      <c r="U181" s="66"/>
    </row>
    <row r="182" spans="1:21" s="65" customFormat="1">
      <c r="A182" s="513" t="s">
        <v>114</v>
      </c>
      <c r="B182" s="282">
        <f t="shared" ref="B182:M182" si="19">SUM(B176:B179)</f>
        <v>0</v>
      </c>
      <c r="C182" s="287">
        <f t="shared" si="19"/>
        <v>0</v>
      </c>
      <c r="D182" s="305">
        <f t="shared" si="19"/>
        <v>0</v>
      </c>
      <c r="E182" s="425">
        <f t="shared" si="19"/>
        <v>0</v>
      </c>
      <c r="F182" s="287">
        <f t="shared" si="19"/>
        <v>0</v>
      </c>
      <c r="G182" s="286">
        <f t="shared" si="19"/>
        <v>0</v>
      </c>
      <c r="H182" s="282">
        <f t="shared" si="19"/>
        <v>0</v>
      </c>
      <c r="I182" s="283">
        <f t="shared" si="19"/>
        <v>0</v>
      </c>
      <c r="J182" s="284">
        <f t="shared" si="19"/>
        <v>0</v>
      </c>
      <c r="K182" s="285">
        <f t="shared" si="19"/>
        <v>0</v>
      </c>
      <c r="L182" s="285">
        <f t="shared" si="19"/>
        <v>0</v>
      </c>
      <c r="M182" s="285">
        <f t="shared" si="19"/>
        <v>0</v>
      </c>
      <c r="N182" s="305">
        <f>SUM(T173:T175)</f>
        <v>0</v>
      </c>
      <c r="O182" s="339"/>
      <c r="P182" s="339"/>
      <c r="Q182" s="86"/>
      <c r="U182" s="66"/>
    </row>
    <row r="183" spans="1:21" s="65" customFormat="1">
      <c r="A183" s="725" t="s">
        <v>115</v>
      </c>
      <c r="B183" s="706" t="s">
        <v>101</v>
      </c>
      <c r="C183" s="726" t="s">
        <v>98</v>
      </c>
      <c r="D183" s="708" t="s">
        <v>96</v>
      </c>
      <c r="E183" s="486" t="s">
        <v>494</v>
      </c>
      <c r="F183" s="487" t="s">
        <v>495</v>
      </c>
      <c r="G183" s="524" t="s">
        <v>496</v>
      </c>
      <c r="H183" s="489" t="s">
        <v>946</v>
      </c>
      <c r="I183" s="525" t="s">
        <v>947</v>
      </c>
      <c r="J183" s="217">
        <v>0</v>
      </c>
      <c r="K183" s="218">
        <v>1</v>
      </c>
      <c r="L183" s="340">
        <v>2</v>
      </c>
      <c r="M183" s="218">
        <v>3</v>
      </c>
      <c r="N183" s="219" t="s">
        <v>1367</v>
      </c>
      <c r="O183" s="339"/>
      <c r="P183" s="339"/>
      <c r="Q183" s="86"/>
      <c r="U183" s="66"/>
    </row>
    <row r="184" spans="1:21" s="65" customFormat="1">
      <c r="A184" s="177" t="s">
        <v>16</v>
      </c>
      <c r="B184" s="291">
        <f>SUMIFS(РД[S],РД[ИМ],A184,РД[Дата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4" s="292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4" s="694">
        <f>COUNTIFS(РД[ИМ],A184,РД[Дата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4" s="551"/>
      <c r="F184" s="292"/>
      <c r="G184" s="552"/>
      <c r="H184" s="291">
        <f>SUMIFS(РД[S],РД[ИМ],A184,РД[Дата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4" s="312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4" s="346">
        <f>COUNTIFS(РД[Тип кв],J$175,РД[ИМ],$A184,РД[Дата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4" s="243">
        <f>COUNTIFS(РД[Тип кв],K$175,РД[ИМ],$A184,РД[Дата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4" s="243">
        <f>COUNTIFS(РД[Тип кв],L$175,РД[ИМ],$A184,РД[Дата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4" s="243">
        <f>COUNTIFS(РД[Тип кв],M$175,РД[ИМ],$A184,РД[Дата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246">
        <f>COUNTIFS(РД[Тип кв],T$171,РД[ИМ],$A184,РД[Дата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189" t="s">
        <v>22</v>
      </c>
      <c r="B185" s="516">
        <f>SUMIFS(РД[S],РД[ИМ],A185,РД[Дата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5" s="554">
        <f>SUMIFS(РД[Стоимость без отделки итог],РД[ИМ],A185,РД[Дата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5" s="695">
        <f>COUNTIFS(РД[ИМ],A185,РД[Дата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5" s="553"/>
      <c r="F185" s="554"/>
      <c r="G185" s="555"/>
      <c r="H185" s="516">
        <f>SUMIFS(РД[S],РД[ИМ],A185,РД[Дата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5" s="517">
        <f>SUMIFS(РД[Стоимость без отделки итог],РД[ИМ],A185,РД[Дата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5" s="426">
        <f>COUNTIFS(РД[Тип кв],J$175,РД[ИМ],$A185,РД[Дата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5" s="251">
        <f>COUNTIFS(РД[Тип кв],K$175,РД[ИМ],$A185,РД[Дата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5" s="251">
        <f>COUNTIFS(РД[Тип кв],L$175,РД[ИМ],$A185,РД[Дата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5" s="251">
        <f>COUNTIFS(РД[Тип кв],M$175,РД[ИМ],$A185,РД[Дата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5" s="254">
        <f>COUNTIFS(РД[Тип кв],T$171,РД[ИМ],$A185,РД[Дата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5" s="339"/>
      <c r="P185" s="339"/>
      <c r="Q185" s="86"/>
      <c r="U185" s="66"/>
    </row>
    <row r="186" spans="1:21" s="65" customFormat="1">
      <c r="A186" s="513" t="s">
        <v>114</v>
      </c>
      <c r="B186" s="282">
        <f>SUM(B184:B185)</f>
        <v>0</v>
      </c>
      <c r="C186" s="287">
        <f>SUM(C184:C185)</f>
        <v>0</v>
      </c>
      <c r="D186" s="711">
        <f>SUM(D184:D185)</f>
        <v>0</v>
      </c>
      <c r="E186" s="425">
        <f t="shared" ref="E186:M186" si="20">SUM(E184:E185)</f>
        <v>0</v>
      </c>
      <c r="F186" s="287">
        <f t="shared" si="20"/>
        <v>0</v>
      </c>
      <c r="G186" s="286">
        <f t="shared" si="20"/>
        <v>0</v>
      </c>
      <c r="H186" s="282">
        <f t="shared" si="20"/>
        <v>0</v>
      </c>
      <c r="I186" s="283">
        <f t="shared" si="20"/>
        <v>0</v>
      </c>
      <c r="J186" s="284">
        <f t="shared" si="20"/>
        <v>0</v>
      </c>
      <c r="K186" s="285">
        <f t="shared" si="20"/>
        <v>0</v>
      </c>
      <c r="L186" s="285">
        <f t="shared" si="20"/>
        <v>0</v>
      </c>
      <c r="M186" s="285">
        <f t="shared" si="20"/>
        <v>0</v>
      </c>
      <c r="N186" s="305">
        <f>SUM(T180:T181)</f>
        <v>0</v>
      </c>
      <c r="O186" s="339"/>
      <c r="P186" s="339"/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86"/>
      <c r="R223" s="65"/>
      <c r="S223" s="65"/>
    </row>
    <row r="224" spans="1:2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86"/>
      <c r="R224" s="65"/>
      <c r="S224" s="65"/>
    </row>
    <row r="225" spans="1:19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86"/>
      <c r="R225" s="65"/>
      <c r="S225" s="65"/>
    </row>
    <row r="226" spans="1:19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86"/>
      <c r="R226" s="65"/>
      <c r="S226" s="65"/>
    </row>
    <row r="227" spans="1:19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86"/>
      <c r="R227" s="65"/>
      <c r="S227" s="65"/>
    </row>
    <row r="228" spans="1:19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86"/>
      <c r="R228" s="65"/>
      <c r="S228" s="65"/>
    </row>
    <row r="229" spans="1:1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86"/>
      <c r="R229" s="65"/>
      <c r="S229" s="65"/>
    </row>
    <row r="230" spans="1:19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86"/>
      <c r="R230" s="65"/>
      <c r="S230" s="65"/>
    </row>
    <row r="231" spans="1:19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86"/>
      <c r="R231" s="65"/>
      <c r="S231" s="65"/>
    </row>
    <row r="232" spans="1:19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86"/>
      <c r="R232" s="65"/>
      <c r="S232" s="65"/>
    </row>
    <row r="233" spans="1:19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86"/>
      <c r="R233" s="65"/>
      <c r="S233" s="65"/>
    </row>
    <row r="234" spans="1:19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86"/>
      <c r="R234" s="65"/>
      <c r="S234" s="65"/>
    </row>
    <row r="235" spans="1:19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86"/>
      <c r="R235" s="65"/>
      <c r="S235" s="65"/>
    </row>
    <row r="236" spans="1:19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86"/>
      <c r="R236" s="65"/>
      <c r="S236" s="65"/>
    </row>
    <row r="237" spans="1:19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86"/>
      <c r="R237" s="65"/>
      <c r="S237" s="65"/>
    </row>
    <row r="238" spans="1:19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86"/>
      <c r="R238" s="65"/>
      <c r="S238" s="65"/>
    </row>
    <row r="239" spans="1:1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86"/>
      <c r="R239" s="65"/>
      <c r="S239" s="65"/>
    </row>
    <row r="240" spans="1:19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86"/>
      <c r="R240" s="65"/>
      <c r="S240" s="65"/>
    </row>
    <row r="241" spans="1:19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86"/>
      <c r="R241" s="65"/>
      <c r="S241" s="65"/>
    </row>
    <row r="242" spans="1:19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86"/>
      <c r="R242" s="65"/>
      <c r="S242" s="65"/>
    </row>
    <row r="243" spans="1:19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86"/>
      <c r="R243" s="65"/>
      <c r="S243" s="65"/>
    </row>
    <row r="244" spans="1:19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86"/>
      <c r="R244" s="65"/>
      <c r="S244" s="65"/>
    </row>
    <row r="245" spans="1:19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86"/>
      <c r="R245" s="65"/>
      <c r="S245" s="65"/>
    </row>
    <row r="246" spans="1:19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86"/>
      <c r="R246" s="65"/>
      <c r="S246" s="65"/>
    </row>
    <row r="247" spans="1:19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86"/>
      <c r="R247" s="65"/>
      <c r="S247" s="65"/>
    </row>
    <row r="248" spans="1:19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86"/>
      <c r="R248" s="65"/>
      <c r="S248" s="65"/>
    </row>
    <row r="249" spans="1:1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86"/>
      <c r="R249" s="65"/>
      <c r="S249" s="65"/>
    </row>
    <row r="250" spans="1:19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86"/>
      <c r="R250" s="65"/>
      <c r="S250" s="65"/>
    </row>
    <row r="251" spans="1:19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86"/>
      <c r="R251" s="65"/>
      <c r="S251" s="65"/>
    </row>
    <row r="252" spans="1:19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86"/>
      <c r="R252" s="65"/>
      <c r="S252" s="65"/>
    </row>
    <row r="253" spans="1:19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86"/>
      <c r="R253" s="65"/>
      <c r="S253" s="65"/>
    </row>
    <row r="254" spans="1:19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86"/>
      <c r="R254" s="65"/>
      <c r="S254" s="65"/>
    </row>
    <row r="255" spans="1:19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86"/>
      <c r="R255" s="65"/>
      <c r="S255" s="65"/>
    </row>
    <row r="256" spans="1:19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86"/>
      <c r="R256" s="65"/>
      <c r="S256" s="65"/>
    </row>
    <row r="257" spans="1:19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86"/>
      <c r="R257" s="65"/>
      <c r="S257" s="65"/>
    </row>
    <row r="258" spans="1:19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86"/>
      <c r="R258" s="65"/>
      <c r="S258" s="65"/>
    </row>
    <row r="259" spans="1:1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86"/>
      <c r="R259" s="65"/>
      <c r="S259" s="65"/>
    </row>
    <row r="260" spans="1:19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86"/>
      <c r="R260" s="65"/>
      <c r="S260" s="65"/>
    </row>
    <row r="261" spans="1:19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86"/>
      <c r="R261" s="65"/>
      <c r="S261" s="65"/>
    </row>
    <row r="262" spans="1:19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86"/>
      <c r="R262" s="65"/>
      <c r="S262" s="65"/>
    </row>
    <row r="263" spans="1:19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86"/>
      <c r="R263" s="65"/>
      <c r="S263" s="65"/>
    </row>
    <row r="264" spans="1:19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86"/>
      <c r="R264" s="65"/>
      <c r="S264" s="65"/>
    </row>
    <row r="265" spans="1:19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86"/>
      <c r="R265" s="65"/>
      <c r="S265" s="65"/>
    </row>
    <row r="266" spans="1:19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86"/>
      <c r="R266" s="65"/>
      <c r="S266" s="65"/>
    </row>
    <row r="267" spans="1:19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86"/>
      <c r="R267" s="65"/>
      <c r="S267" s="65"/>
    </row>
    <row r="268" spans="1:19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86"/>
      <c r="R268" s="65"/>
      <c r="S268" s="65"/>
    </row>
    <row r="269" spans="1:1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86"/>
      <c r="R269" s="65"/>
      <c r="S269" s="65"/>
    </row>
    <row r="270" spans="1:19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86"/>
      <c r="R270" s="65"/>
      <c r="S270" s="65"/>
    </row>
    <row r="271" spans="1:19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86"/>
      <c r="R271" s="65"/>
      <c r="S271" s="65"/>
    </row>
    <row r="272" spans="1:19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86"/>
      <c r="R272" s="65"/>
      <c r="S272" s="65"/>
    </row>
    <row r="273" spans="1:19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86"/>
      <c r="R273" s="65"/>
      <c r="S273" s="65"/>
    </row>
    <row r="274" spans="1:19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86"/>
      <c r="R274" s="65"/>
      <c r="S274" s="65"/>
    </row>
    <row r="275" spans="1:19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86"/>
      <c r="R275" s="65"/>
      <c r="S275" s="65"/>
    </row>
    <row r="276" spans="1:19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86"/>
      <c r="R276" s="65"/>
      <c r="S276" s="65"/>
    </row>
    <row r="277" spans="1:19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86"/>
      <c r="R277" s="65"/>
      <c r="S277" s="65"/>
    </row>
    <row r="278" spans="1:19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86"/>
      <c r="R278" s="65"/>
      <c r="S278" s="65"/>
    </row>
    <row r="279" spans="1:1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86"/>
      <c r="R279" s="65"/>
      <c r="S279" s="65"/>
    </row>
    <row r="280" spans="1:19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86"/>
      <c r="R280" s="65"/>
      <c r="S280" s="65"/>
    </row>
    <row r="281" spans="1:19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86"/>
      <c r="R281" s="65"/>
      <c r="S281" s="65"/>
    </row>
    <row r="282" spans="1:19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86"/>
      <c r="R282" s="65"/>
      <c r="S282" s="65"/>
    </row>
    <row r="283" spans="1:19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86"/>
      <c r="R283" s="65"/>
      <c r="S283" s="65"/>
    </row>
    <row r="284" spans="1:19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86"/>
      <c r="R284" s="65"/>
      <c r="S284" s="65"/>
    </row>
    <row r="285" spans="1:19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86"/>
      <c r="R285" s="65"/>
      <c r="S285" s="65"/>
    </row>
    <row r="286" spans="1:19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86"/>
      <c r="R286" s="65"/>
      <c r="S286" s="65"/>
    </row>
    <row r="287" spans="1:19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86"/>
      <c r="R287" s="65"/>
      <c r="S287" s="65"/>
    </row>
    <row r="288" spans="1:19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86"/>
      <c r="R288" s="65"/>
      <c r="S288" s="65"/>
    </row>
    <row r="289" spans="1:1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86"/>
      <c r="R289" s="65"/>
      <c r="S289" s="65"/>
    </row>
    <row r="290" spans="1:19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86"/>
      <c r="R290" s="65"/>
      <c r="S290" s="65"/>
    </row>
    <row r="291" spans="1:19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86"/>
      <c r="R291" s="65"/>
      <c r="S291" s="65"/>
    </row>
    <row r="292" spans="1:19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86"/>
      <c r="R292" s="65"/>
      <c r="S292" s="65"/>
    </row>
    <row r="293" spans="1:19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86"/>
      <c r="R293" s="65"/>
      <c r="S293" s="65"/>
    </row>
    <row r="294" spans="1:19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86"/>
      <c r="R294" s="65"/>
      <c r="S294" s="65"/>
    </row>
    <row r="295" spans="1:19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86"/>
      <c r="R295" s="65"/>
      <c r="S295" s="65"/>
    </row>
    <row r="296" spans="1:19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86"/>
      <c r="R296" s="65"/>
      <c r="S296" s="65"/>
    </row>
    <row r="297" spans="1:19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86"/>
      <c r="R297" s="65"/>
      <c r="S297" s="65"/>
    </row>
    <row r="298" spans="1:19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86"/>
      <c r="R298" s="65"/>
      <c r="S298" s="65"/>
    </row>
    <row r="299" spans="1:1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86"/>
      <c r="R299" s="65"/>
      <c r="S299" s="65"/>
    </row>
    <row r="300" spans="1:19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86"/>
      <c r="R300" s="65"/>
      <c r="S300" s="65"/>
    </row>
    <row r="301" spans="1:19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86"/>
      <c r="R301" s="65"/>
      <c r="S301" s="65"/>
    </row>
    <row r="302" spans="1:19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86"/>
      <c r="R302" s="65"/>
      <c r="S302" s="65"/>
    </row>
    <row r="303" spans="1:19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86"/>
      <c r="R303" s="65"/>
      <c r="S303" s="65"/>
    </row>
    <row r="304" spans="1:19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86"/>
      <c r="R304" s="65"/>
      <c r="S304" s="65"/>
    </row>
    <row r="305" spans="1:19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86"/>
      <c r="R305" s="65"/>
      <c r="S305" s="65"/>
    </row>
    <row r="306" spans="1:19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86"/>
      <c r="R306" s="65"/>
      <c r="S306" s="65"/>
    </row>
    <row r="307" spans="1:19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86"/>
      <c r="R307" s="65"/>
      <c r="S307" s="65"/>
    </row>
    <row r="308" spans="1:19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86"/>
      <c r="R308" s="65"/>
      <c r="S308" s="65"/>
    </row>
    <row r="309" spans="1:1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86"/>
      <c r="R309" s="65"/>
      <c r="S309" s="65"/>
    </row>
    <row r="310" spans="1:19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86"/>
      <c r="R310" s="65"/>
      <c r="S310" s="65"/>
    </row>
    <row r="311" spans="1:19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86"/>
    </row>
    <row r="312" spans="1:19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86"/>
    </row>
    <row r="313" spans="1:19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86"/>
    </row>
    <row r="314" spans="1:19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86"/>
    </row>
  </sheetData>
  <sheetProtection algorithmName="SHA-512" hashValue="KEngP5BlmcR/gWJ3y5thN2XCQpYdobXAabjoon8VWerfay1vqRtBQh0ifpNp2mOdCAI6gd9VAv0KzQm5DukS2A==" saltValue="tGyikaWVANFcoKL2AqX+Mw==" spinCount="100000" sheet="1" formatCells="0" formatColumns="0" formatRows="0" sort="0" autoFilter="0" pivotTables="0"/>
  <mergeCells count="6">
    <mergeCell ref="A173:N173"/>
    <mergeCell ref="A1:U1"/>
    <mergeCell ref="A117:B117"/>
    <mergeCell ref="A131:B131"/>
    <mergeCell ref="A145:B145"/>
    <mergeCell ref="A159:O159"/>
  </mergeCells>
  <pageMargins left="0.25" right="0.25" top="0.75" bottom="0.75" header="0.3" footer="0.3"/>
  <pageSetup paperSize="9" scale="21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400-000000000000}">
          <x14:formula1>
            <xm:f>Списки!$B$2:$B$5</xm:f>
          </x14:formula1>
          <xm:sqref>C3:C110 G114:G115</xm:sqref>
        </x14:dataValidation>
        <x14:dataValidation type="list" allowBlank="1" showInputMessage="1" showErrorMessage="1" xr:uid="{00000000-0002-0000-2400-000001000000}">
          <x14:formula1>
            <xm:f>Списки!$C$3:$C$4</xm:f>
          </x14:formula1>
          <xm:sqref>D114:D115</xm:sqref>
        </x14:dataValidation>
        <x14:dataValidation type="list" allowBlank="1" showInputMessage="1" showErrorMessage="1" xr:uid="{00000000-0002-0000-2400-000002000000}">
          <x14:formula1>
            <xm:f>Списки!$D$2:$D$7</xm:f>
          </x14:formula1>
          <xm:sqref>F114:F115 G3:G110</xm:sqref>
        </x14:dataValidation>
        <x14:dataValidation type="list" allowBlank="1" showInputMessage="1" showErrorMessage="1" xr:uid="{00000000-0002-0000-2400-000003000000}">
          <x14:formula1>
            <xm:f>Списки!$E$2:$E$7</xm:f>
          </x14:formula1>
          <xm:sqref>H114:H115 K3:K110</xm:sqref>
        </x14:dataValidation>
        <x14:dataValidation type="list" allowBlank="1" showInputMessage="1" showErrorMessage="1" xr:uid="{00000000-0002-0000-2400-000004000000}">
          <x14:formula1>
            <xm:f>Списки!$C$2:$C$9</xm:f>
          </x14:formula1>
          <xm:sqref>J3:J110 S3:T110</xm:sqref>
        </x14:dataValidation>
        <x14:dataValidation type="list" allowBlank="1" showInputMessage="1" showErrorMessage="1" xr:uid="{00000000-0002-0000-2400-000005000000}">
          <x14:formula1>
            <xm:f>Списки!$G$2:$G$3</xm:f>
          </x14:formula1>
          <xm:sqref>L114:L115 M3:M110</xm:sqref>
        </x14:dataValidation>
        <x14:dataValidation type="list" allowBlank="1" showInputMessage="1" showErrorMessage="1" xr:uid="{00000000-0002-0000-2400-000006000000}">
          <x14:formula1>
            <xm:f>Списки!$F$2:$F$3</xm:f>
          </x14:formula1>
          <xm:sqref>N114:N115 O3:O4 O6:O69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V313"/>
  <sheetViews>
    <sheetView view="pageBreakPreview" zoomScale="85" zoomScaleNormal="85" workbookViewId="0">
      <pane ySplit="2" topLeftCell="A129" activePane="bottomLeft" state="frozen"/>
      <selection pane="bottomLeft" activeCell="S38" sqref="S38"/>
    </sheetView>
  </sheetViews>
  <sheetFormatPr defaultColWidth="12.28515625" defaultRowHeight="12.75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29.425781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2">
      <c r="A1" s="2297">
        <v>45291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2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2" s="61" customFormat="1">
      <c r="A3" s="65">
        <v>1</v>
      </c>
      <c r="B3" s="79"/>
      <c r="C3" s="65"/>
      <c r="D3" s="79"/>
      <c r="E3" s="65"/>
      <c r="F3" s="65"/>
      <c r="G3" s="65"/>
      <c r="H3" s="65"/>
      <c r="I3" s="93"/>
      <c r="J3" s="80"/>
      <c r="K3" s="65"/>
      <c r="L3" s="65"/>
      <c r="M3" s="65"/>
      <c r="N3" s="98"/>
      <c r="O3" s="80"/>
      <c r="P3" s="86"/>
      <c r="Q3" s="118"/>
      <c r="R3" s="118"/>
      <c r="S3" s="80"/>
      <c r="T3" s="80"/>
      <c r="U3" s="115">
        <f>sept202122[[#This Row],[сумма]]-sept202122[[#This Row],[Цема м2 отделки]]*sept202122[[#This Row],[м2]]</f>
        <v>0</v>
      </c>
      <c r="V3" s="66"/>
    </row>
    <row r="4" spans="1:22" s="61" customFormat="1">
      <c r="A4" s="62">
        <v>2</v>
      </c>
      <c r="B4" s="75">
        <v>28017</v>
      </c>
      <c r="C4" s="62" t="s">
        <v>7</v>
      </c>
      <c r="D4" s="75">
        <v>146</v>
      </c>
      <c r="E4" s="62">
        <v>2</v>
      </c>
      <c r="F4" s="62">
        <v>68.75</v>
      </c>
      <c r="G4" s="62" t="s">
        <v>9</v>
      </c>
      <c r="H4" s="62"/>
      <c r="I4" s="95">
        <v>6025868.75</v>
      </c>
      <c r="J4" s="117" t="s">
        <v>1795</v>
      </c>
      <c r="K4" s="62" t="s">
        <v>16</v>
      </c>
      <c r="L4" s="62" t="s">
        <v>583</v>
      </c>
      <c r="M4" s="62" t="s">
        <v>12</v>
      </c>
      <c r="N4" s="92">
        <v>45288</v>
      </c>
      <c r="O4" s="117" t="s">
        <v>17</v>
      </c>
      <c r="P4" s="62" t="s">
        <v>1815</v>
      </c>
      <c r="Q4" s="113" t="s">
        <v>655</v>
      </c>
      <c r="R4" s="113" t="s">
        <v>655</v>
      </c>
      <c r="S4" s="117" t="s">
        <v>1795</v>
      </c>
      <c r="T4" s="117" t="s">
        <v>20</v>
      </c>
      <c r="U4" s="114">
        <f>sept202122[[#This Row],[сумма]]-sept202122[[#This Row],[Цема м2 отделки]]*sept202122[[#This Row],[м2]]</f>
        <v>6025868.75</v>
      </c>
      <c r="V4" s="66"/>
    </row>
    <row r="5" spans="1:22" s="529" customFormat="1">
      <c r="A5" s="103"/>
      <c r="B5" s="676"/>
      <c r="C5" s="103"/>
      <c r="D5" s="676"/>
      <c r="E5" s="103"/>
      <c r="F5" s="103"/>
      <c r="G5" s="103"/>
      <c r="H5" s="103"/>
      <c r="I5" s="678"/>
      <c r="J5" s="679"/>
      <c r="K5" s="103"/>
      <c r="L5" s="103"/>
      <c r="M5" s="103"/>
      <c r="N5" s="680"/>
      <c r="O5" s="679"/>
      <c r="P5" s="103"/>
      <c r="Q5" s="683"/>
      <c r="R5" s="683"/>
      <c r="S5" s="679"/>
      <c r="T5" s="679"/>
      <c r="U5" s="684">
        <f>sept202122[[#This Row],[сумма]]-sept202122[[#This Row],[Цема м2 отделки]]*sept202122[[#This Row],[м2]]</f>
        <v>0</v>
      </c>
      <c r="V5" s="66"/>
    </row>
    <row r="6" spans="1:22" s="438" customFormat="1">
      <c r="A6" s="65"/>
      <c r="B6" s="79"/>
      <c r="C6" s="65"/>
      <c r="D6" s="79"/>
      <c r="E6" s="65"/>
      <c r="F6" s="65"/>
      <c r="G6" s="80"/>
      <c r="H6" s="80"/>
      <c r="I6" s="93"/>
      <c r="J6" s="80"/>
      <c r="K6" s="65"/>
      <c r="L6" s="65"/>
      <c r="M6" s="65"/>
      <c r="N6" s="98"/>
      <c r="O6" s="80"/>
      <c r="P6" s="65"/>
      <c r="Q6" s="118"/>
      <c r="R6" s="86"/>
      <c r="S6" s="80"/>
      <c r="T6" s="80"/>
      <c r="U6" s="115">
        <f>sept202122[[#This Row],[сумма]]-sept202122[[#This Row],[Цема м2 отделки]]*sept202122[[#This Row],[м2]]</f>
        <v>0</v>
      </c>
      <c r="V6" s="66"/>
    </row>
    <row r="7" spans="1:22" s="61" customFormat="1" ht="25.5" customHeight="1">
      <c r="A7" s="65"/>
      <c r="B7" s="79"/>
      <c r="C7" s="65"/>
      <c r="D7" s="79"/>
      <c r="E7" s="65"/>
      <c r="F7" s="65"/>
      <c r="G7" s="80"/>
      <c r="H7" s="80"/>
      <c r="I7" s="93"/>
      <c r="J7" s="80"/>
      <c r="K7" s="65"/>
      <c r="L7" s="65"/>
      <c r="M7" s="65"/>
      <c r="N7" s="98"/>
      <c r="O7" s="80"/>
      <c r="P7" s="65"/>
      <c r="Q7" s="86"/>
      <c r="R7" s="118"/>
      <c r="S7" s="80"/>
      <c r="T7" s="80"/>
      <c r="U7" s="115">
        <f>sept202122[[#This Row],[сумма]]-sept202122[[#This Row],[Цема м2 отделки]]*sept202122[[#This Row],[м2]]</f>
        <v>0</v>
      </c>
      <c r="V7" s="66"/>
    </row>
    <row r="8" spans="1:22" s="61" customFormat="1">
      <c r="A8" s="62">
        <v>6</v>
      </c>
      <c r="B8" s="81">
        <v>27421</v>
      </c>
      <c r="C8" s="62" t="s">
        <v>7</v>
      </c>
      <c r="D8" s="75">
        <v>326</v>
      </c>
      <c r="E8" s="349">
        <v>2</v>
      </c>
      <c r="F8" s="62">
        <v>67.95</v>
      </c>
      <c r="G8" s="62" t="s">
        <v>15</v>
      </c>
      <c r="H8" s="348">
        <v>7500</v>
      </c>
      <c r="I8" s="352">
        <v>6465374.5499999998</v>
      </c>
      <c r="J8" s="348" t="s">
        <v>14</v>
      </c>
      <c r="K8" s="62" t="s">
        <v>16</v>
      </c>
      <c r="L8" s="117" t="s">
        <v>583</v>
      </c>
      <c r="M8" s="62" t="s">
        <v>12</v>
      </c>
      <c r="N8" s="92">
        <v>45273</v>
      </c>
      <c r="O8" s="62" t="s">
        <v>17</v>
      </c>
      <c r="P8" s="377" t="s">
        <v>1816</v>
      </c>
      <c r="Q8" s="113" t="s">
        <v>655</v>
      </c>
      <c r="R8" s="113" t="s">
        <v>655</v>
      </c>
      <c r="S8" s="62" t="s">
        <v>14</v>
      </c>
      <c r="T8" s="62" t="s">
        <v>1233</v>
      </c>
      <c r="U8" s="114">
        <f>sept202122[[#This Row],[сумма]]-sept202122[[#This Row],[Цема м2 отделки]]*sept202122[[#This Row],[м2]]</f>
        <v>5955749.5499999998</v>
      </c>
      <c r="V8" s="66"/>
    </row>
    <row r="9" spans="1:22" s="61" customFormat="1">
      <c r="A9" s="62">
        <v>7</v>
      </c>
      <c r="B9" s="75">
        <v>27718</v>
      </c>
      <c r="C9" s="62" t="s">
        <v>13</v>
      </c>
      <c r="D9" s="75">
        <v>424</v>
      </c>
      <c r="E9" s="62">
        <v>2</v>
      </c>
      <c r="F9" s="62">
        <v>58.24</v>
      </c>
      <c r="G9" s="76" t="s">
        <v>15</v>
      </c>
      <c r="H9" s="76">
        <v>7500</v>
      </c>
      <c r="I9" s="91">
        <v>5346284.8499999996</v>
      </c>
      <c r="J9" s="117" t="s">
        <v>20</v>
      </c>
      <c r="K9" s="62" t="s">
        <v>16</v>
      </c>
      <c r="L9" s="62" t="s">
        <v>583</v>
      </c>
      <c r="M9" s="62" t="s">
        <v>18</v>
      </c>
      <c r="N9" s="92">
        <v>45261</v>
      </c>
      <c r="O9" s="117" t="s">
        <v>17</v>
      </c>
      <c r="P9" s="76" t="s">
        <v>1817</v>
      </c>
      <c r="Q9" s="113" t="s">
        <v>655</v>
      </c>
      <c r="R9" s="113" t="s">
        <v>655</v>
      </c>
      <c r="S9" s="117" t="s">
        <v>20</v>
      </c>
      <c r="T9" s="117" t="s">
        <v>20</v>
      </c>
      <c r="U9" s="114">
        <f>sept202122[[#This Row],[сумма]]-sept202122[[#This Row],[Цема м2 отделки]]*sept202122[[#This Row],[м2]]</f>
        <v>4909484.8499999996</v>
      </c>
      <c r="V9" s="66"/>
    </row>
    <row r="10" spans="1:22" s="438" customFormat="1">
      <c r="A10" s="65"/>
      <c r="B10" s="79"/>
      <c r="C10" s="65"/>
      <c r="D10" s="79"/>
      <c r="E10" s="65"/>
      <c r="F10" s="65"/>
      <c r="G10" s="65"/>
      <c r="H10" s="72"/>
      <c r="I10" s="93"/>
      <c r="J10" s="80"/>
      <c r="K10" s="65"/>
      <c r="L10" s="65"/>
      <c r="M10" s="65"/>
      <c r="N10" s="110"/>
      <c r="O10" s="65"/>
      <c r="P10" s="72"/>
      <c r="Q10" s="118"/>
      <c r="R10" s="86"/>
      <c r="S10" s="65"/>
      <c r="T10" s="65"/>
      <c r="U10" s="115">
        <f>sept202122[[#This Row],[сумма]]-sept202122[[#This Row],[Цема м2 отделки]]*sept202122[[#This Row],[м2]]</f>
        <v>0</v>
      </c>
      <c r="V10" s="66"/>
    </row>
    <row r="11" spans="1:22" s="61" customFormat="1">
      <c r="A11" s="65">
        <v>9</v>
      </c>
      <c r="B11" s="79">
        <v>28196</v>
      </c>
      <c r="C11" s="65" t="s">
        <v>7</v>
      </c>
      <c r="D11" s="79"/>
      <c r="E11" s="65"/>
      <c r="F11" s="65"/>
      <c r="G11" s="65"/>
      <c r="H11" s="65"/>
      <c r="I11" s="93"/>
      <c r="J11" s="80"/>
      <c r="K11" s="65"/>
      <c r="L11" s="65"/>
      <c r="M11" s="65"/>
      <c r="N11" s="98"/>
      <c r="O11" s="80"/>
      <c r="P11" s="86"/>
      <c r="Q11" s="86"/>
      <c r="R11" s="86"/>
      <c r="S11" s="80"/>
      <c r="T11" s="80"/>
      <c r="U11" s="115">
        <f>sept202122[[#This Row],[сумма]]-sept202122[[#This Row],[Цема м2 отделки]]*sept202122[[#This Row],[м2]]</f>
        <v>0</v>
      </c>
      <c r="V11" s="66"/>
    </row>
    <row r="12" spans="1:22" s="368" customFormat="1">
      <c r="A12" s="369">
        <v>10</v>
      </c>
      <c r="B12" s="440">
        <v>27644</v>
      </c>
      <c r="C12" s="369" t="s">
        <v>7</v>
      </c>
      <c r="D12" s="440">
        <v>348</v>
      </c>
      <c r="E12" s="369">
        <v>0</v>
      </c>
      <c r="F12" s="369">
        <v>36.450000000000003</v>
      </c>
      <c r="G12" s="369" t="s">
        <v>9</v>
      </c>
      <c r="H12" s="369"/>
      <c r="I12" s="450">
        <v>3642278.18</v>
      </c>
      <c r="J12" s="456" t="s">
        <v>20</v>
      </c>
      <c r="K12" s="369" t="s">
        <v>16</v>
      </c>
      <c r="L12" s="369" t="s">
        <v>583</v>
      </c>
      <c r="M12" s="369" t="s">
        <v>12</v>
      </c>
      <c r="N12" s="451">
        <v>45258</v>
      </c>
      <c r="O12" s="456" t="s">
        <v>17</v>
      </c>
      <c r="P12" s="369" t="s">
        <v>1818</v>
      </c>
      <c r="Q12" s="446" t="s">
        <v>655</v>
      </c>
      <c r="R12" s="446" t="s">
        <v>1819</v>
      </c>
      <c r="S12" s="456" t="s">
        <v>20</v>
      </c>
      <c r="T12" s="456" t="s">
        <v>20</v>
      </c>
      <c r="U12" s="373">
        <f>sept202122[[#This Row],[сумма]]-sept202122[[#This Row],[Цема м2 отделки]]*sept202122[[#This Row],[м2]]</f>
        <v>3642278.18</v>
      </c>
      <c r="V12" s="66"/>
    </row>
    <row r="13" spans="1:22" s="61" customFormat="1" ht="25.5" customHeight="1">
      <c r="A13" s="62">
        <v>11</v>
      </c>
      <c r="B13" s="75">
        <v>28300</v>
      </c>
      <c r="C13" s="62" t="s">
        <v>7</v>
      </c>
      <c r="D13" s="75">
        <v>194</v>
      </c>
      <c r="E13" s="62">
        <v>2</v>
      </c>
      <c r="F13" s="62">
        <v>68.75</v>
      </c>
      <c r="G13" s="76" t="s">
        <v>9</v>
      </c>
      <c r="H13" s="76"/>
      <c r="I13" s="91">
        <v>5905382</v>
      </c>
      <c r="J13" s="117" t="s">
        <v>20</v>
      </c>
      <c r="K13" s="62" t="s">
        <v>22</v>
      </c>
      <c r="L13" s="371" t="s">
        <v>583</v>
      </c>
      <c r="M13" s="62" t="s">
        <v>18</v>
      </c>
      <c r="N13" s="92">
        <v>45272</v>
      </c>
      <c r="O13" s="117" t="s">
        <v>17</v>
      </c>
      <c r="P13" s="76" t="s">
        <v>1820</v>
      </c>
      <c r="Q13" s="113" t="s">
        <v>655</v>
      </c>
      <c r="R13" s="113" t="s">
        <v>655</v>
      </c>
      <c r="S13" s="117" t="s">
        <v>20</v>
      </c>
      <c r="T13" s="117" t="s">
        <v>20</v>
      </c>
      <c r="U13" s="114">
        <f>sept202122[[#This Row],[сумма]]-sept202122[[#This Row],[Цема м2 отделки]]*sept202122[[#This Row],[м2]]</f>
        <v>5905382</v>
      </c>
      <c r="V13" s="66"/>
    </row>
    <row r="14" spans="1:22" s="61" customFormat="1" ht="24.75" customHeight="1">
      <c r="A14" s="62">
        <v>12</v>
      </c>
      <c r="B14" s="75">
        <v>22510</v>
      </c>
      <c r="C14" s="62" t="s">
        <v>13</v>
      </c>
      <c r="D14" s="75">
        <v>46</v>
      </c>
      <c r="E14" s="62">
        <v>2</v>
      </c>
      <c r="F14" s="62">
        <v>62.17</v>
      </c>
      <c r="G14" s="62" t="s">
        <v>25</v>
      </c>
      <c r="H14" s="62">
        <v>22000</v>
      </c>
      <c r="I14" s="95">
        <v>6767440</v>
      </c>
      <c r="J14" s="117" t="s">
        <v>20</v>
      </c>
      <c r="K14" s="62" t="s">
        <v>16</v>
      </c>
      <c r="L14" s="62" t="s">
        <v>583</v>
      </c>
      <c r="M14" s="62" t="s">
        <v>18</v>
      </c>
      <c r="N14" s="92">
        <v>45272</v>
      </c>
      <c r="O14" s="117"/>
      <c r="P14" s="76" t="s">
        <v>1821</v>
      </c>
      <c r="Q14" s="113" t="s">
        <v>655</v>
      </c>
      <c r="R14" s="113" t="s">
        <v>655</v>
      </c>
      <c r="S14" s="117" t="s">
        <v>20</v>
      </c>
      <c r="T14" s="117" t="s">
        <v>20</v>
      </c>
      <c r="U14" s="114">
        <f>sept202122[[#This Row],[сумма]]-sept202122[[#This Row],[Цема м2 отделки]]*sept202122[[#This Row],[м2]]</f>
        <v>5399700</v>
      </c>
      <c r="V14" s="66"/>
    </row>
    <row r="15" spans="1:22" s="61" customFormat="1">
      <c r="A15" s="62">
        <v>13</v>
      </c>
      <c r="B15" s="75">
        <v>28600</v>
      </c>
      <c r="C15" s="62" t="s">
        <v>7</v>
      </c>
      <c r="D15" s="75">
        <v>516</v>
      </c>
      <c r="E15" s="62">
        <v>2</v>
      </c>
      <c r="F15" s="62">
        <v>67.489999999999995</v>
      </c>
      <c r="G15" s="62" t="s">
        <v>15</v>
      </c>
      <c r="H15" s="62"/>
      <c r="I15" s="95">
        <v>6000900</v>
      </c>
      <c r="J15" s="117" t="s">
        <v>20</v>
      </c>
      <c r="K15" s="62" t="s">
        <v>22</v>
      </c>
      <c r="L15" s="62" t="s">
        <v>583</v>
      </c>
      <c r="M15" s="62" t="s">
        <v>18</v>
      </c>
      <c r="N15" s="92">
        <v>45278</v>
      </c>
      <c r="O15" s="117" t="s">
        <v>17</v>
      </c>
      <c r="P15" s="62" t="s">
        <v>1822</v>
      </c>
      <c r="Q15" s="113" t="s">
        <v>655</v>
      </c>
      <c r="R15" s="113" t="s">
        <v>655</v>
      </c>
      <c r="S15" s="117" t="s">
        <v>20</v>
      </c>
      <c r="T15" s="117" t="s">
        <v>8</v>
      </c>
      <c r="U15" s="114">
        <f>sept202122[[#This Row],[сумма]]-sept202122[[#This Row],[Цема м2 отделки]]*sept202122[[#This Row],[м2]]</f>
        <v>6000900</v>
      </c>
      <c r="V15" s="66"/>
    </row>
    <row r="16" spans="1:22" s="61" customFormat="1">
      <c r="A16" s="62">
        <v>14</v>
      </c>
      <c r="B16" s="75">
        <v>26783</v>
      </c>
      <c r="C16" s="62" t="s">
        <v>13</v>
      </c>
      <c r="D16" s="75">
        <v>299</v>
      </c>
      <c r="E16" s="62">
        <v>2</v>
      </c>
      <c r="F16" s="62">
        <v>73.7</v>
      </c>
      <c r="G16" s="62" t="s">
        <v>9</v>
      </c>
      <c r="H16" s="62"/>
      <c r="I16" s="95">
        <v>6273078</v>
      </c>
      <c r="J16" s="117" t="s">
        <v>8</v>
      </c>
      <c r="K16" s="62" t="s">
        <v>22</v>
      </c>
      <c r="L16" s="62" t="s">
        <v>583</v>
      </c>
      <c r="M16" s="62" t="s">
        <v>18</v>
      </c>
      <c r="N16" s="92">
        <v>45269</v>
      </c>
      <c r="O16" s="117"/>
      <c r="P16" s="62" t="s">
        <v>1823</v>
      </c>
      <c r="Q16" s="113" t="s">
        <v>655</v>
      </c>
      <c r="R16" s="113" t="s">
        <v>655</v>
      </c>
      <c r="S16" s="117" t="s">
        <v>8</v>
      </c>
      <c r="T16" s="117" t="s">
        <v>8</v>
      </c>
      <c r="U16" s="114">
        <f>sept202122[[#This Row],[сумма]]-sept202122[[#This Row],[Цема м2 отделки]]*sept202122[[#This Row],[м2]]</f>
        <v>6273078</v>
      </c>
      <c r="V16" s="66"/>
    </row>
    <row r="17" spans="1:22" s="61" customFormat="1">
      <c r="A17" s="62">
        <v>15</v>
      </c>
      <c r="B17" s="74">
        <v>26983</v>
      </c>
      <c r="C17" s="62" t="s">
        <v>13</v>
      </c>
      <c r="D17" s="75">
        <v>165</v>
      </c>
      <c r="E17" s="62">
        <v>3</v>
      </c>
      <c r="F17" s="62">
        <v>84.99</v>
      </c>
      <c r="G17" s="62" t="s">
        <v>15</v>
      </c>
      <c r="H17" s="62">
        <v>7500</v>
      </c>
      <c r="I17" s="95">
        <v>7395173.6799999997</v>
      </c>
      <c r="J17" s="62" t="s">
        <v>1207</v>
      </c>
      <c r="K17" s="62" t="s">
        <v>16</v>
      </c>
      <c r="L17" s="371" t="s">
        <v>583</v>
      </c>
      <c r="M17" s="62" t="s">
        <v>12</v>
      </c>
      <c r="N17" s="92">
        <v>45282</v>
      </c>
      <c r="O17" s="117" t="s">
        <v>1772</v>
      </c>
      <c r="P17" s="62" t="s">
        <v>1787</v>
      </c>
      <c r="Q17" s="113" t="s">
        <v>655</v>
      </c>
      <c r="R17" s="113" t="s">
        <v>655</v>
      </c>
      <c r="S17" s="62" t="s">
        <v>1207</v>
      </c>
      <c r="T17" s="62" t="s">
        <v>14</v>
      </c>
      <c r="U17" s="114">
        <f>sept202122[[#This Row],[сумма]]-sept202122[[#This Row],[Цема м2 отделки]]*sept202122[[#This Row],[м2]]</f>
        <v>6757748.6799999997</v>
      </c>
      <c r="V17" s="66"/>
    </row>
    <row r="18" spans="1:22" s="61" customFormat="1">
      <c r="A18" s="62">
        <v>16</v>
      </c>
      <c r="B18" s="75">
        <v>28312</v>
      </c>
      <c r="C18" s="62" t="s">
        <v>13</v>
      </c>
      <c r="D18" s="75">
        <v>307</v>
      </c>
      <c r="E18" s="62">
        <v>0</v>
      </c>
      <c r="F18" s="62">
        <v>24.53</v>
      </c>
      <c r="G18" s="62" t="s">
        <v>9</v>
      </c>
      <c r="H18" s="62"/>
      <c r="I18" s="95">
        <v>2783342.55</v>
      </c>
      <c r="J18" s="117" t="s">
        <v>14</v>
      </c>
      <c r="K18" s="62" t="s">
        <v>10</v>
      </c>
      <c r="L18" s="62" t="s">
        <v>286</v>
      </c>
      <c r="M18" s="62" t="s">
        <v>515</v>
      </c>
      <c r="N18" s="92">
        <v>45288</v>
      </c>
      <c r="O18" s="117" t="s">
        <v>1772</v>
      </c>
      <c r="P18" s="76" t="s">
        <v>1824</v>
      </c>
      <c r="Q18" s="113" t="s">
        <v>1825</v>
      </c>
      <c r="R18" s="113" t="s">
        <v>1826</v>
      </c>
      <c r="S18" s="117" t="s">
        <v>14</v>
      </c>
      <c r="T18" s="117" t="s">
        <v>14</v>
      </c>
      <c r="U18" s="114">
        <f>sept202122[[#This Row],[сумма]]-sept202122[[#This Row],[Цема м2 отделки]]*sept202122[[#This Row],[м2]]</f>
        <v>2783342.55</v>
      </c>
      <c r="V18" s="66"/>
    </row>
    <row r="19" spans="1:22" s="61" customFormat="1" ht="14.25" customHeight="1">
      <c r="A19" s="62">
        <v>17</v>
      </c>
      <c r="B19" s="75">
        <v>28512</v>
      </c>
      <c r="C19" s="62" t="s">
        <v>7</v>
      </c>
      <c r="D19" s="75">
        <v>337</v>
      </c>
      <c r="E19" s="62">
        <v>3</v>
      </c>
      <c r="F19" s="62">
        <v>72.510000000000005</v>
      </c>
      <c r="G19" s="62" t="s">
        <v>9</v>
      </c>
      <c r="H19" s="62"/>
      <c r="I19" s="95">
        <v>6480500</v>
      </c>
      <c r="J19" s="117" t="s">
        <v>14</v>
      </c>
      <c r="K19" s="62" t="s">
        <v>16</v>
      </c>
      <c r="L19" s="62" t="s">
        <v>583</v>
      </c>
      <c r="M19" s="62" t="s">
        <v>18</v>
      </c>
      <c r="N19" s="92" t="s">
        <v>1827</v>
      </c>
      <c r="O19" s="117" t="s">
        <v>17</v>
      </c>
      <c r="P19" s="76" t="s">
        <v>1828</v>
      </c>
      <c r="Q19" s="113" t="s">
        <v>655</v>
      </c>
      <c r="R19" s="113" t="s">
        <v>655</v>
      </c>
      <c r="S19" s="117" t="s">
        <v>14</v>
      </c>
      <c r="T19" s="117" t="s">
        <v>14</v>
      </c>
      <c r="U19" s="114">
        <f>sept202122[[#This Row],[сумма]]-sept202122[[#This Row],[Цема м2 отделки]]*sept202122[[#This Row],[м2]]</f>
        <v>6480500</v>
      </c>
      <c r="V19" s="66"/>
    </row>
    <row r="20" spans="1:22" s="61" customFormat="1" ht="15">
      <c r="A20" s="62">
        <v>18</v>
      </c>
      <c r="B20" s="75">
        <v>28505</v>
      </c>
      <c r="C20" s="62" t="s">
        <v>13</v>
      </c>
      <c r="D20" s="75">
        <v>80</v>
      </c>
      <c r="E20" s="62">
        <v>2</v>
      </c>
      <c r="F20" s="62">
        <v>59.09</v>
      </c>
      <c r="G20" s="62" t="s">
        <v>15</v>
      </c>
      <c r="H20" s="62">
        <v>7500</v>
      </c>
      <c r="I20" s="95">
        <v>5475375</v>
      </c>
      <c r="J20" s="117" t="s">
        <v>14</v>
      </c>
      <c r="K20" s="62" t="s">
        <v>22</v>
      </c>
      <c r="L20" s="62" t="s">
        <v>583</v>
      </c>
      <c r="M20" s="62" t="s">
        <v>18</v>
      </c>
      <c r="N20" s="92">
        <v>45273</v>
      </c>
      <c r="O20" s="117" t="s">
        <v>17</v>
      </c>
      <c r="P20" s="547" t="s">
        <v>1829</v>
      </c>
      <c r="Q20" s="113" t="s">
        <v>655</v>
      </c>
      <c r="R20" s="113" t="s">
        <v>1830</v>
      </c>
      <c r="S20" s="117" t="s">
        <v>14</v>
      </c>
      <c r="T20" s="117" t="s">
        <v>14</v>
      </c>
      <c r="U20" s="114">
        <f>sept202122[[#This Row],[сумма]]-sept202122[[#This Row],[Цема м2 отделки]]*sept202122[[#This Row],[м2]]</f>
        <v>5032200</v>
      </c>
      <c r="V20" s="66"/>
    </row>
    <row r="21" spans="1:22" s="61" customFormat="1" ht="24" customHeight="1">
      <c r="A21" s="62">
        <v>19</v>
      </c>
      <c r="B21" s="74">
        <v>28511</v>
      </c>
      <c r="C21" s="62" t="s">
        <v>13</v>
      </c>
      <c r="D21" s="75">
        <v>511</v>
      </c>
      <c r="E21" s="62">
        <v>0</v>
      </c>
      <c r="F21" s="62">
        <v>24.5</v>
      </c>
      <c r="G21" s="62" t="s">
        <v>15</v>
      </c>
      <c r="H21" s="62">
        <v>7500</v>
      </c>
      <c r="I21" s="95">
        <v>2815050</v>
      </c>
      <c r="J21" s="117" t="s">
        <v>1207</v>
      </c>
      <c r="K21" s="62" t="s">
        <v>16</v>
      </c>
      <c r="L21" s="62" t="s">
        <v>583</v>
      </c>
      <c r="M21" s="62" t="s">
        <v>18</v>
      </c>
      <c r="N21" s="92">
        <v>45268</v>
      </c>
      <c r="O21" s="117" t="s">
        <v>17</v>
      </c>
      <c r="P21" s="76" t="s">
        <v>1831</v>
      </c>
      <c r="Q21" s="76" t="s">
        <v>655</v>
      </c>
      <c r="R21" s="76" t="s">
        <v>655</v>
      </c>
      <c r="S21" s="117" t="s">
        <v>1207</v>
      </c>
      <c r="T21" s="117" t="s">
        <v>20</v>
      </c>
      <c r="U21" s="114">
        <f>sept202122[[#This Row],[сумма]]-sept202122[[#This Row],[Цема м2 отделки]]*sept202122[[#This Row],[м2]]</f>
        <v>2631300</v>
      </c>
      <c r="V21" s="66"/>
    </row>
    <row r="22" spans="1:22" s="61" customFormat="1">
      <c r="A22" s="62">
        <v>20</v>
      </c>
      <c r="B22" s="75">
        <v>26269</v>
      </c>
      <c r="C22" s="62" t="s">
        <v>13</v>
      </c>
      <c r="D22" s="75">
        <v>13</v>
      </c>
      <c r="E22" s="62">
        <v>1</v>
      </c>
      <c r="F22" s="62">
        <v>42.75</v>
      </c>
      <c r="G22" s="62" t="s">
        <v>15</v>
      </c>
      <c r="H22" s="62">
        <v>7500</v>
      </c>
      <c r="I22" s="95">
        <v>4396304.84</v>
      </c>
      <c r="J22" s="117" t="s">
        <v>8</v>
      </c>
      <c r="K22" s="62" t="s">
        <v>22</v>
      </c>
      <c r="L22" s="62" t="s">
        <v>583</v>
      </c>
      <c r="M22" s="62" t="s">
        <v>12</v>
      </c>
      <c r="N22" s="92">
        <v>45275</v>
      </c>
      <c r="O22" s="117" t="s">
        <v>17</v>
      </c>
      <c r="P22" s="62" t="s">
        <v>1832</v>
      </c>
      <c r="Q22" s="113" t="s">
        <v>655</v>
      </c>
      <c r="R22" s="113"/>
      <c r="S22" s="117" t="s">
        <v>8</v>
      </c>
      <c r="T22" s="117" t="s">
        <v>8</v>
      </c>
      <c r="U22" s="114">
        <f>sept202122[[#This Row],[сумма]]-sept202122[[#This Row],[Цема м2 отделки]]*sept202122[[#This Row],[м2]]</f>
        <v>4075679.84</v>
      </c>
      <c r="V22" s="66"/>
    </row>
    <row r="23" spans="1:22" s="61" customFormat="1">
      <c r="A23" s="62">
        <v>21</v>
      </c>
      <c r="B23" s="75">
        <v>28556</v>
      </c>
      <c r="C23" s="62" t="s">
        <v>7</v>
      </c>
      <c r="D23" s="75">
        <v>297</v>
      </c>
      <c r="E23" s="62">
        <v>0</v>
      </c>
      <c r="F23" s="62">
        <v>29.35</v>
      </c>
      <c r="G23" s="62" t="s">
        <v>15</v>
      </c>
      <c r="H23" s="62">
        <v>7500</v>
      </c>
      <c r="I23" s="95">
        <v>3438825</v>
      </c>
      <c r="J23" s="117" t="s">
        <v>33</v>
      </c>
      <c r="K23" s="62" t="s">
        <v>16</v>
      </c>
      <c r="L23" s="62" t="s">
        <v>583</v>
      </c>
      <c r="M23" s="62" t="s">
        <v>18</v>
      </c>
      <c r="N23" s="92">
        <v>45267</v>
      </c>
      <c r="O23" s="117" t="s">
        <v>17</v>
      </c>
      <c r="P23" s="62" t="s">
        <v>1833</v>
      </c>
      <c r="Q23" s="76" t="s">
        <v>655</v>
      </c>
      <c r="R23" s="76" t="s">
        <v>655</v>
      </c>
      <c r="S23" s="117" t="s">
        <v>33</v>
      </c>
      <c r="T23" s="117" t="s">
        <v>14</v>
      </c>
      <c r="U23" s="114">
        <f>sept202122[[#This Row],[сумма]]-sept202122[[#This Row],[Цема м2 отделки]]*sept202122[[#This Row],[м2]]</f>
        <v>3218700</v>
      </c>
      <c r="V23" s="66"/>
    </row>
    <row r="24" spans="1:22" s="61" customFormat="1">
      <c r="A24" s="62">
        <v>22</v>
      </c>
      <c r="B24" s="75">
        <v>27693</v>
      </c>
      <c r="C24" s="62" t="s">
        <v>13</v>
      </c>
      <c r="D24" s="75">
        <v>294</v>
      </c>
      <c r="E24" s="62">
        <v>2</v>
      </c>
      <c r="F24" s="62">
        <v>56.58</v>
      </c>
      <c r="G24" s="62" t="s">
        <v>15</v>
      </c>
      <c r="H24" s="62">
        <v>7500</v>
      </c>
      <c r="I24" s="95">
        <v>5240266</v>
      </c>
      <c r="J24" s="348" t="s">
        <v>14</v>
      </c>
      <c r="K24" s="62" t="s">
        <v>16</v>
      </c>
      <c r="L24" s="62" t="s">
        <v>583</v>
      </c>
      <c r="M24" s="62" t="s">
        <v>18</v>
      </c>
      <c r="N24" s="92">
        <v>45273</v>
      </c>
      <c r="O24" s="62" t="s">
        <v>1772</v>
      </c>
      <c r="P24" s="62" t="s">
        <v>1834</v>
      </c>
      <c r="Q24" s="113" t="s">
        <v>655</v>
      </c>
      <c r="R24" s="113" t="s">
        <v>1830</v>
      </c>
      <c r="S24" s="62" t="s">
        <v>14</v>
      </c>
      <c r="T24" s="62" t="s">
        <v>14</v>
      </c>
      <c r="U24" s="114">
        <f>sept202122[[#This Row],[сумма]]-sept202122[[#This Row],[Цема м2 отделки]]*sept202122[[#This Row],[м2]]</f>
        <v>4815916</v>
      </c>
      <c r="V24" s="66"/>
    </row>
    <row r="25" spans="1:22" s="61" customFormat="1">
      <c r="A25" s="62">
        <v>23</v>
      </c>
      <c r="B25" s="75">
        <v>28590</v>
      </c>
      <c r="C25" s="62" t="s">
        <v>7</v>
      </c>
      <c r="D25" s="75">
        <v>319</v>
      </c>
      <c r="E25" s="62">
        <v>2</v>
      </c>
      <c r="F25" s="62">
        <v>67.95</v>
      </c>
      <c r="G25" s="62" t="s">
        <v>25</v>
      </c>
      <c r="H25" s="62">
        <v>22000</v>
      </c>
      <c r="I25" s="95">
        <v>7450700</v>
      </c>
      <c r="J25" s="117" t="s">
        <v>20</v>
      </c>
      <c r="K25" s="62" t="s">
        <v>22</v>
      </c>
      <c r="L25" s="62" t="s">
        <v>583</v>
      </c>
      <c r="M25" s="62" t="s">
        <v>18</v>
      </c>
      <c r="N25" s="92">
        <v>45271</v>
      </c>
      <c r="O25" s="117" t="s">
        <v>17</v>
      </c>
      <c r="P25" s="62" t="s">
        <v>1419</v>
      </c>
      <c r="Q25" s="113" t="s">
        <v>655</v>
      </c>
      <c r="R25" s="113" t="s">
        <v>1830</v>
      </c>
      <c r="S25" s="117" t="s">
        <v>20</v>
      </c>
      <c r="T25" s="117" t="s">
        <v>20</v>
      </c>
      <c r="U25" s="114">
        <f>sept202122[[#This Row],[сумма]]-sept202122[[#This Row],[Цема м2 отделки]]*sept202122[[#This Row],[м2]]</f>
        <v>5955800</v>
      </c>
      <c r="V25" s="66"/>
    </row>
    <row r="26" spans="1:22" s="61" customFormat="1">
      <c r="A26" s="62">
        <v>24</v>
      </c>
      <c r="B26" s="75">
        <v>28527</v>
      </c>
      <c r="C26" s="62" t="s">
        <v>7</v>
      </c>
      <c r="D26" s="75">
        <v>419</v>
      </c>
      <c r="E26" s="349">
        <v>1</v>
      </c>
      <c r="F26" s="62">
        <v>44.37</v>
      </c>
      <c r="G26" s="62" t="s">
        <v>15</v>
      </c>
      <c r="H26" s="348">
        <v>7500</v>
      </c>
      <c r="I26" s="352">
        <v>4502775</v>
      </c>
      <c r="J26" s="348" t="s">
        <v>33</v>
      </c>
      <c r="K26" s="62" t="s">
        <v>16</v>
      </c>
      <c r="L26" s="62" t="s">
        <v>583</v>
      </c>
      <c r="M26" s="62" t="s">
        <v>18</v>
      </c>
      <c r="N26" s="92">
        <v>45268</v>
      </c>
      <c r="O26" s="62" t="s">
        <v>17</v>
      </c>
      <c r="P26" s="62" t="s">
        <v>1835</v>
      </c>
      <c r="Q26" s="113" t="s">
        <v>655</v>
      </c>
      <c r="R26" s="113" t="s">
        <v>1830</v>
      </c>
      <c r="S26" s="62" t="s">
        <v>33</v>
      </c>
      <c r="T26" s="62" t="s">
        <v>8</v>
      </c>
      <c r="U26" s="114">
        <f>sept202122[[#This Row],[сумма]]-sept202122[[#This Row],[Цема м2 отделки]]*sept202122[[#This Row],[м2]]</f>
        <v>4170000</v>
      </c>
      <c r="V26" s="66"/>
    </row>
    <row r="27" spans="1:22" s="771" customFormat="1">
      <c r="A27" s="849">
        <v>25</v>
      </c>
      <c r="B27" s="850">
        <v>28962</v>
      </c>
      <c r="C27" s="849" t="s">
        <v>7</v>
      </c>
      <c r="D27" s="850">
        <v>405</v>
      </c>
      <c r="E27" s="851">
        <v>1</v>
      </c>
      <c r="F27" s="849">
        <v>36.5</v>
      </c>
      <c r="G27" s="849" t="s">
        <v>25</v>
      </c>
      <c r="H27" s="852">
        <v>22000</v>
      </c>
      <c r="I27" s="853">
        <v>4813300</v>
      </c>
      <c r="J27" s="852" t="s">
        <v>8</v>
      </c>
      <c r="K27" s="849" t="s">
        <v>16</v>
      </c>
      <c r="L27" s="854" t="s">
        <v>583</v>
      </c>
      <c r="M27" s="849" t="s">
        <v>18</v>
      </c>
      <c r="N27" s="855">
        <v>45285</v>
      </c>
      <c r="O27" s="849" t="s">
        <v>17</v>
      </c>
      <c r="P27" s="854" t="s">
        <v>1836</v>
      </c>
      <c r="Q27" s="856" t="s">
        <v>1837</v>
      </c>
      <c r="R27" s="857"/>
      <c r="S27" s="849" t="s">
        <v>8</v>
      </c>
      <c r="T27" s="849" t="s">
        <v>8</v>
      </c>
      <c r="U27" s="858">
        <f>sept202122[[#This Row],[сумма]]-sept202122[[#This Row],[Цема м2 отделки]]*sept202122[[#This Row],[м2]]</f>
        <v>4010300</v>
      </c>
      <c r="V27" s="66"/>
    </row>
    <row r="28" spans="1:22" s="438" customFormat="1">
      <c r="A28" s="65"/>
      <c r="B28" s="78"/>
      <c r="C28" s="65"/>
      <c r="D28" s="79"/>
      <c r="E28" s="65"/>
      <c r="F28" s="65"/>
      <c r="G28" s="65"/>
      <c r="H28" s="65"/>
      <c r="I28" s="93"/>
      <c r="J28" s="80"/>
      <c r="K28" s="65"/>
      <c r="L28" s="65"/>
      <c r="M28" s="65"/>
      <c r="N28" s="98"/>
      <c r="O28" s="80"/>
      <c r="P28" s="65"/>
      <c r="Q28" s="86"/>
      <c r="R28" s="86"/>
      <c r="S28" s="80"/>
      <c r="T28" s="80"/>
      <c r="U28" s="115">
        <f>sept202122[[#This Row],[сумма]]-sept202122[[#This Row],[Цема м2 отделки]]*sept202122[[#This Row],[м2]]</f>
        <v>0</v>
      </c>
      <c r="V28" s="66"/>
    </row>
    <row r="29" spans="1:22" s="61" customFormat="1">
      <c r="A29" s="62">
        <v>27</v>
      </c>
      <c r="B29" s="74">
        <v>28566</v>
      </c>
      <c r="C29" s="62" t="s">
        <v>13</v>
      </c>
      <c r="D29" s="75">
        <v>522</v>
      </c>
      <c r="E29" s="62">
        <v>1</v>
      </c>
      <c r="F29" s="62">
        <v>38.299999999999997</v>
      </c>
      <c r="G29" s="62" t="s">
        <v>15</v>
      </c>
      <c r="H29" s="62">
        <v>7500</v>
      </c>
      <c r="I29" s="95">
        <v>4058486</v>
      </c>
      <c r="J29" s="117" t="s">
        <v>8</v>
      </c>
      <c r="K29" s="62" t="s">
        <v>16</v>
      </c>
      <c r="L29" s="62" t="s">
        <v>583</v>
      </c>
      <c r="M29" s="62" t="s">
        <v>18</v>
      </c>
      <c r="N29" s="92">
        <v>45274</v>
      </c>
      <c r="O29" s="117" t="s">
        <v>17</v>
      </c>
      <c r="P29" s="62" t="s">
        <v>1835</v>
      </c>
      <c r="Q29" s="113" t="s">
        <v>655</v>
      </c>
      <c r="R29" s="113" t="s">
        <v>1830</v>
      </c>
      <c r="S29" s="117" t="s">
        <v>8</v>
      </c>
      <c r="T29" s="117" t="s">
        <v>8</v>
      </c>
      <c r="U29" s="114">
        <f>sept202122[[#This Row],[сумма]]-sept202122[[#This Row],[Цема м2 отделки]]*sept202122[[#This Row],[м2]]</f>
        <v>3771236</v>
      </c>
      <c r="V29" s="66"/>
    </row>
    <row r="30" spans="1:22" s="61" customFormat="1">
      <c r="A30" s="62">
        <v>28</v>
      </c>
      <c r="B30" s="75">
        <v>28682</v>
      </c>
      <c r="C30" s="62" t="s">
        <v>7</v>
      </c>
      <c r="D30" s="75">
        <v>482</v>
      </c>
      <c r="E30" s="62">
        <v>1</v>
      </c>
      <c r="F30" s="62">
        <v>44.37</v>
      </c>
      <c r="G30" s="62" t="s">
        <v>25</v>
      </c>
      <c r="H30" s="62">
        <v>22000</v>
      </c>
      <c r="I30" s="95">
        <v>5246140</v>
      </c>
      <c r="J30" s="117" t="s">
        <v>1207</v>
      </c>
      <c r="K30" s="62" t="s">
        <v>16</v>
      </c>
      <c r="L30" s="62" t="s">
        <v>583</v>
      </c>
      <c r="M30" s="62" t="s">
        <v>18</v>
      </c>
      <c r="N30" s="92">
        <v>45275</v>
      </c>
      <c r="O30" s="117" t="s">
        <v>17</v>
      </c>
      <c r="P30" s="62" t="s">
        <v>1838</v>
      </c>
      <c r="Q30" s="76" t="s">
        <v>655</v>
      </c>
      <c r="R30" s="76"/>
      <c r="S30" s="117" t="s">
        <v>1207</v>
      </c>
      <c r="T30" s="117" t="s">
        <v>20</v>
      </c>
      <c r="U30" s="114">
        <f>sept202122[[#This Row],[сумма]]-sept202122[[#This Row],[Цема м2 отделки]]*sept202122[[#This Row],[м2]]</f>
        <v>4270000</v>
      </c>
      <c r="V30" s="66"/>
    </row>
    <row r="31" spans="1:22" s="368" customFormat="1">
      <c r="A31" s="65">
        <v>29</v>
      </c>
      <c r="B31" s="79"/>
      <c r="C31" s="65"/>
      <c r="D31" s="79"/>
      <c r="E31" s="65"/>
      <c r="F31" s="65"/>
      <c r="G31" s="65"/>
      <c r="H31" s="65"/>
      <c r="I31" s="93"/>
      <c r="J31" s="80"/>
      <c r="K31" s="65"/>
      <c r="L31" s="65"/>
      <c r="M31" s="65"/>
      <c r="N31" s="98"/>
      <c r="O31" s="80"/>
      <c r="P31" s="65"/>
      <c r="Q31" s="683"/>
      <c r="R31" s="118"/>
      <c r="S31" s="80"/>
      <c r="T31" s="80"/>
      <c r="U31" s="115">
        <f>sept202122[[#This Row],[сумма]]-sept202122[[#This Row],[Цема м2 отделки]]*sept202122[[#This Row],[м2]]</f>
        <v>0</v>
      </c>
      <c r="V31" s="66"/>
    </row>
    <row r="32" spans="1:22" s="61" customFormat="1">
      <c r="A32" s="62">
        <v>30</v>
      </c>
      <c r="B32" s="75">
        <v>28608</v>
      </c>
      <c r="C32" s="62" t="s">
        <v>13</v>
      </c>
      <c r="D32" s="75">
        <v>290</v>
      </c>
      <c r="E32" s="349">
        <v>3</v>
      </c>
      <c r="F32" s="75">
        <v>80.97</v>
      </c>
      <c r="G32" s="62" t="s">
        <v>15</v>
      </c>
      <c r="H32" s="348">
        <v>7500</v>
      </c>
      <c r="I32" s="95">
        <v>7091975</v>
      </c>
      <c r="J32" s="62" t="s">
        <v>20</v>
      </c>
      <c r="K32" s="62" t="s">
        <v>16</v>
      </c>
      <c r="L32" s="62" t="s">
        <v>583</v>
      </c>
      <c r="M32" s="62" t="s">
        <v>18</v>
      </c>
      <c r="N32" s="92">
        <v>45273</v>
      </c>
      <c r="O32" s="62" t="s">
        <v>17</v>
      </c>
      <c r="P32" s="62" t="s">
        <v>1839</v>
      </c>
      <c r="Q32" s="113" t="s">
        <v>655</v>
      </c>
      <c r="R32" s="113" t="s">
        <v>655</v>
      </c>
      <c r="S32" s="62" t="s">
        <v>20</v>
      </c>
      <c r="T32" s="62" t="s">
        <v>14</v>
      </c>
      <c r="U32" s="114">
        <f>sept202122[[#This Row],[сумма]]-sept202122[[#This Row],[Цема м2 отделки]]*sept202122[[#This Row],[м2]]</f>
        <v>6484700</v>
      </c>
      <c r="V32" s="66"/>
    </row>
    <row r="33" spans="1:22" s="368" customFormat="1">
      <c r="A33" s="62">
        <v>31</v>
      </c>
      <c r="B33" s="75">
        <v>17127</v>
      </c>
      <c r="C33" s="62" t="s">
        <v>13</v>
      </c>
      <c r="D33" s="75">
        <v>327</v>
      </c>
      <c r="E33" s="62">
        <v>2</v>
      </c>
      <c r="F33" s="62">
        <v>73.7</v>
      </c>
      <c r="G33" s="62" t="s">
        <v>9</v>
      </c>
      <c r="H33" s="62"/>
      <c r="I33" s="351">
        <v>6273078</v>
      </c>
      <c r="J33" s="117" t="s">
        <v>14</v>
      </c>
      <c r="K33" s="62" t="s">
        <v>22</v>
      </c>
      <c r="L33" s="62" t="s">
        <v>583</v>
      </c>
      <c r="M33" s="62" t="s">
        <v>18</v>
      </c>
      <c r="N33" s="92">
        <v>45275</v>
      </c>
      <c r="O33" s="117" t="s">
        <v>17</v>
      </c>
      <c r="P33" s="62" t="s">
        <v>1840</v>
      </c>
      <c r="Q33" s="113" t="s">
        <v>655</v>
      </c>
      <c r="R33" s="113" t="s">
        <v>655</v>
      </c>
      <c r="S33" s="117" t="s">
        <v>14</v>
      </c>
      <c r="T33" s="117" t="s">
        <v>8</v>
      </c>
      <c r="U33" s="114">
        <f>sept202122[[#This Row],[сумма]]-sept202122[[#This Row],[Цема м2 отделки]]*sept202122[[#This Row],[м2]]</f>
        <v>6273078</v>
      </c>
      <c r="V33" s="66"/>
    </row>
    <row r="34" spans="1:22" s="61" customFormat="1">
      <c r="A34" s="62">
        <v>32</v>
      </c>
      <c r="B34" s="75">
        <v>28236</v>
      </c>
      <c r="C34" s="62" t="s">
        <v>13</v>
      </c>
      <c r="D34" s="75">
        <v>59</v>
      </c>
      <c r="E34" s="62">
        <v>2</v>
      </c>
      <c r="F34" s="62">
        <v>59.09</v>
      </c>
      <c r="G34" s="62" t="s">
        <v>9</v>
      </c>
      <c r="H34" s="62"/>
      <c r="I34" s="95">
        <v>5132200</v>
      </c>
      <c r="J34" s="117" t="s">
        <v>14</v>
      </c>
      <c r="K34" s="62" t="s">
        <v>22</v>
      </c>
      <c r="L34" s="371" t="s">
        <v>583</v>
      </c>
      <c r="M34" s="62" t="s">
        <v>18</v>
      </c>
      <c r="N34" s="92">
        <v>45273</v>
      </c>
      <c r="O34" s="117" t="s">
        <v>17</v>
      </c>
      <c r="P34" s="62" t="s">
        <v>1841</v>
      </c>
      <c r="Q34" s="76" t="s">
        <v>655</v>
      </c>
      <c r="R34" s="76" t="s">
        <v>1777</v>
      </c>
      <c r="S34" s="117" t="s">
        <v>14</v>
      </c>
      <c r="T34" s="117" t="s">
        <v>14</v>
      </c>
      <c r="U34" s="114">
        <f>sept202122[[#This Row],[сумма]]-sept202122[[#This Row],[Цема м2 отделки]]*sept202122[[#This Row],[м2]]</f>
        <v>5132200</v>
      </c>
      <c r="V34" s="66"/>
    </row>
    <row r="35" spans="1:22" s="61" customFormat="1">
      <c r="A35" s="62">
        <v>33</v>
      </c>
      <c r="B35" s="81">
        <v>28573</v>
      </c>
      <c r="C35" s="62" t="s">
        <v>13</v>
      </c>
      <c r="D35" s="62">
        <v>205</v>
      </c>
      <c r="E35" s="62">
        <v>2</v>
      </c>
      <c r="F35" s="75">
        <v>58.31</v>
      </c>
      <c r="G35" s="62" t="s">
        <v>15</v>
      </c>
      <c r="H35" s="62">
        <v>7500</v>
      </c>
      <c r="I35" s="95">
        <v>5317950</v>
      </c>
      <c r="J35" s="62" t="s">
        <v>8</v>
      </c>
      <c r="K35" s="62" t="s">
        <v>16</v>
      </c>
      <c r="L35" s="62" t="s">
        <v>583</v>
      </c>
      <c r="M35" s="62" t="s">
        <v>18</v>
      </c>
      <c r="N35" s="92">
        <v>45275</v>
      </c>
      <c r="O35" s="117" t="s">
        <v>17</v>
      </c>
      <c r="P35" s="62" t="s">
        <v>1842</v>
      </c>
      <c r="Q35" s="76" t="s">
        <v>655</v>
      </c>
      <c r="R35" s="76"/>
      <c r="S35" s="117" t="s">
        <v>8</v>
      </c>
      <c r="T35" s="117" t="s">
        <v>8</v>
      </c>
      <c r="U35" s="114">
        <f>sept202122[[#This Row],[сумма]]-sept202122[[#This Row],[Цема м2 отделки]]*sept202122[[#This Row],[м2]]</f>
        <v>4880625</v>
      </c>
      <c r="V35" s="66"/>
    </row>
    <row r="36" spans="1:22" s="61" customFormat="1">
      <c r="A36" s="62">
        <v>34</v>
      </c>
      <c r="B36" s="75">
        <v>6405</v>
      </c>
      <c r="C36" s="62" t="s">
        <v>13</v>
      </c>
      <c r="D36" s="75">
        <v>103</v>
      </c>
      <c r="E36" s="62">
        <v>2</v>
      </c>
      <c r="F36" s="62">
        <v>58.16</v>
      </c>
      <c r="G36" s="62" t="s">
        <v>25</v>
      </c>
      <c r="H36" s="62">
        <v>22000</v>
      </c>
      <c r="I36" s="95">
        <v>6301334</v>
      </c>
      <c r="J36" s="117" t="s">
        <v>8</v>
      </c>
      <c r="K36" s="62" t="s">
        <v>16</v>
      </c>
      <c r="L36" s="62" t="s">
        <v>583</v>
      </c>
      <c r="M36" s="62" t="s">
        <v>18</v>
      </c>
      <c r="N36" s="92">
        <v>45273</v>
      </c>
      <c r="O36" s="117" t="s">
        <v>17</v>
      </c>
      <c r="P36" s="62" t="s">
        <v>1843</v>
      </c>
      <c r="Q36" s="113" t="s">
        <v>655</v>
      </c>
      <c r="R36" s="113" t="s">
        <v>655</v>
      </c>
      <c r="S36" s="117" t="s">
        <v>8</v>
      </c>
      <c r="T36" s="117" t="s">
        <v>20</v>
      </c>
      <c r="U36" s="114">
        <f>sept202122[[#This Row],[сумма]]-sept202122[[#This Row],[Цема м2 отделки]]*sept202122[[#This Row],[м2]]</f>
        <v>5021814</v>
      </c>
      <c r="V36" s="66"/>
    </row>
    <row r="37" spans="1:22" s="61" customFormat="1">
      <c r="A37" s="62">
        <v>35</v>
      </c>
      <c r="B37" s="75">
        <v>28708</v>
      </c>
      <c r="C37" s="62" t="s">
        <v>7</v>
      </c>
      <c r="D37" s="75">
        <v>471</v>
      </c>
      <c r="E37" s="62">
        <v>2</v>
      </c>
      <c r="F37" s="62">
        <v>67.489999999999995</v>
      </c>
      <c r="G37" s="62" t="s">
        <v>15</v>
      </c>
      <c r="H37" s="62">
        <v>7500</v>
      </c>
      <c r="I37" s="95">
        <v>6590407</v>
      </c>
      <c r="J37" s="117" t="s">
        <v>20</v>
      </c>
      <c r="K37" s="62" t="s">
        <v>22</v>
      </c>
      <c r="L37" s="62" t="s">
        <v>583</v>
      </c>
      <c r="M37" s="62" t="s">
        <v>18</v>
      </c>
      <c r="N37" s="92">
        <v>45280</v>
      </c>
      <c r="O37" s="117" t="s">
        <v>17</v>
      </c>
      <c r="P37" s="62" t="s">
        <v>1844</v>
      </c>
      <c r="Q37" s="113" t="s">
        <v>655</v>
      </c>
      <c r="R37" s="113" t="s">
        <v>655</v>
      </c>
      <c r="S37" s="117" t="s">
        <v>20</v>
      </c>
      <c r="T37" s="117" t="s">
        <v>20</v>
      </c>
      <c r="U37" s="114">
        <f>sept202122[[#This Row],[сумма]]-sept202122[[#This Row],[Цема м2 отделки]]*sept202122[[#This Row],[м2]]</f>
        <v>6084232</v>
      </c>
      <c r="V37" s="66"/>
    </row>
    <row r="38" spans="1:22" s="61" customFormat="1">
      <c r="A38" s="62">
        <v>36</v>
      </c>
      <c r="B38" s="75">
        <v>21195</v>
      </c>
      <c r="C38" s="62" t="s">
        <v>7</v>
      </c>
      <c r="D38" s="75">
        <v>361</v>
      </c>
      <c r="E38" s="62">
        <v>2</v>
      </c>
      <c r="F38" s="62">
        <v>67.95</v>
      </c>
      <c r="G38" s="62" t="s">
        <v>15</v>
      </c>
      <c r="H38" s="62">
        <v>7500</v>
      </c>
      <c r="I38" s="95">
        <v>6604950</v>
      </c>
      <c r="J38" s="117" t="s">
        <v>14</v>
      </c>
      <c r="K38" s="62" t="s">
        <v>22</v>
      </c>
      <c r="L38" s="62" t="s">
        <v>583</v>
      </c>
      <c r="M38" s="62" t="s">
        <v>91</v>
      </c>
      <c r="N38" s="92">
        <v>45278</v>
      </c>
      <c r="O38" s="117" t="s">
        <v>17</v>
      </c>
      <c r="P38" s="62" t="s">
        <v>1845</v>
      </c>
      <c r="Q38" s="113" t="s">
        <v>655</v>
      </c>
      <c r="R38" s="113" t="s">
        <v>655</v>
      </c>
      <c r="S38" s="117" t="s">
        <v>14</v>
      </c>
      <c r="T38" s="117" t="s">
        <v>14</v>
      </c>
      <c r="U38" s="114">
        <f>sept202122[[#This Row],[сумма]]-sept202122[[#This Row],[Цема м2 отделки]]*sept202122[[#This Row],[м2]]</f>
        <v>6095325</v>
      </c>
      <c r="V38" s="66"/>
    </row>
    <row r="39" spans="1:22" s="61" customFormat="1">
      <c r="A39" s="62">
        <v>37</v>
      </c>
      <c r="B39" s="75">
        <v>27880</v>
      </c>
      <c r="C39" s="62" t="s">
        <v>13</v>
      </c>
      <c r="D39" s="75">
        <v>54</v>
      </c>
      <c r="E39" s="62">
        <v>2</v>
      </c>
      <c r="F39" s="62">
        <v>58.16</v>
      </c>
      <c r="G39" s="62" t="s">
        <v>25</v>
      </c>
      <c r="H39" s="62">
        <v>22000</v>
      </c>
      <c r="I39" s="95">
        <v>6301334</v>
      </c>
      <c r="J39" s="117" t="s">
        <v>8</v>
      </c>
      <c r="K39" s="62" t="s">
        <v>22</v>
      </c>
      <c r="L39" s="62" t="s">
        <v>583</v>
      </c>
      <c r="M39" s="431" t="s">
        <v>18</v>
      </c>
      <c r="N39" s="92">
        <v>45285</v>
      </c>
      <c r="O39" s="117" t="s">
        <v>17</v>
      </c>
      <c r="P39" s="62" t="s">
        <v>1846</v>
      </c>
      <c r="Q39" s="76" t="s">
        <v>1830</v>
      </c>
      <c r="R39" s="113" t="s">
        <v>655</v>
      </c>
      <c r="S39" s="117" t="s">
        <v>8</v>
      </c>
      <c r="T39" s="117" t="s">
        <v>8</v>
      </c>
      <c r="U39" s="114">
        <f>sept202122[[#This Row],[сумма]]-sept202122[[#This Row],[Цема м2 отделки]]*sept202122[[#This Row],[м2]]</f>
        <v>5021814</v>
      </c>
      <c r="V39" s="66"/>
    </row>
    <row r="40" spans="1:22">
      <c r="A40" s="62">
        <v>38</v>
      </c>
      <c r="B40" s="74">
        <v>28813</v>
      </c>
      <c r="C40" s="62" t="s">
        <v>13</v>
      </c>
      <c r="D40" s="75">
        <v>159</v>
      </c>
      <c r="E40" s="62">
        <v>1</v>
      </c>
      <c r="F40" s="62">
        <v>42.28</v>
      </c>
      <c r="G40" s="62" t="s">
        <v>15</v>
      </c>
      <c r="H40" s="62">
        <v>7500</v>
      </c>
      <c r="I40" s="95">
        <v>4468800</v>
      </c>
      <c r="J40" s="62" t="s">
        <v>20</v>
      </c>
      <c r="K40" s="62" t="s">
        <v>22</v>
      </c>
      <c r="L40" s="62" t="s">
        <v>583</v>
      </c>
      <c r="M40" s="62" t="s">
        <v>18</v>
      </c>
      <c r="N40" s="92">
        <v>45279</v>
      </c>
      <c r="O40" s="117" t="s">
        <v>17</v>
      </c>
      <c r="P40" s="62" t="s">
        <v>1847</v>
      </c>
      <c r="Q40" s="113" t="s">
        <v>655</v>
      </c>
      <c r="R40" s="113" t="s">
        <v>655</v>
      </c>
      <c r="S40" s="62" t="s">
        <v>20</v>
      </c>
      <c r="T40" s="62" t="s">
        <v>8</v>
      </c>
      <c r="U40" s="114">
        <f>sept202122[[#This Row],[сумма]]-sept202122[[#This Row],[Цема м2 отделки]]*sept202122[[#This Row],[м2]]</f>
        <v>4151700</v>
      </c>
    </row>
    <row r="41" spans="1:22" s="61" customFormat="1" ht="25.5" customHeight="1">
      <c r="A41" s="62">
        <v>39</v>
      </c>
      <c r="B41" s="75">
        <v>28886</v>
      </c>
      <c r="C41" s="62" t="s">
        <v>13</v>
      </c>
      <c r="D41" s="75">
        <v>410</v>
      </c>
      <c r="E41" s="62">
        <v>1</v>
      </c>
      <c r="F41" s="62">
        <v>38.299999999999997</v>
      </c>
      <c r="G41" s="62" t="s">
        <v>15</v>
      </c>
      <c r="H41" s="62">
        <v>7500</v>
      </c>
      <c r="I41" s="95">
        <v>4121050.01</v>
      </c>
      <c r="J41" s="62" t="s">
        <v>20</v>
      </c>
      <c r="K41" s="62" t="s">
        <v>16</v>
      </c>
      <c r="L41" s="62" t="s">
        <v>583</v>
      </c>
      <c r="M41" s="62" t="s">
        <v>18</v>
      </c>
      <c r="N41" s="92">
        <v>45281</v>
      </c>
      <c r="O41" s="117" t="s">
        <v>17</v>
      </c>
      <c r="P41" s="76" t="s">
        <v>1848</v>
      </c>
      <c r="Q41" s="113" t="s">
        <v>655</v>
      </c>
      <c r="R41" s="113" t="s">
        <v>655</v>
      </c>
      <c r="S41" s="62" t="s">
        <v>20</v>
      </c>
      <c r="T41" s="62" t="s">
        <v>20</v>
      </c>
      <c r="U41" s="114">
        <f>sept202122[[#This Row],[сумма]]-sept202122[[#This Row],[Цема м2 отделки]]*sept202122[[#This Row],[м2]]</f>
        <v>3833800.01</v>
      </c>
      <c r="V41" s="66"/>
    </row>
    <row r="42" spans="1:22" s="61" customFormat="1">
      <c r="A42" s="62">
        <v>40</v>
      </c>
      <c r="B42" s="75">
        <v>28831</v>
      </c>
      <c r="C42" s="62" t="s">
        <v>13</v>
      </c>
      <c r="D42" s="75">
        <v>568</v>
      </c>
      <c r="E42" s="62">
        <v>2</v>
      </c>
      <c r="F42" s="62">
        <v>58.24</v>
      </c>
      <c r="G42" s="62" t="s">
        <v>25</v>
      </c>
      <c r="H42" s="62">
        <v>22000</v>
      </c>
      <c r="I42" s="95">
        <v>6572104</v>
      </c>
      <c r="J42" s="117" t="s">
        <v>34</v>
      </c>
      <c r="K42" s="62" t="s">
        <v>16</v>
      </c>
      <c r="L42" s="62" t="s">
        <v>583</v>
      </c>
      <c r="M42" s="62" t="s">
        <v>18</v>
      </c>
      <c r="N42" s="92">
        <v>45282</v>
      </c>
      <c r="O42" s="117" t="s">
        <v>17</v>
      </c>
      <c r="P42" s="62" t="s">
        <v>1849</v>
      </c>
      <c r="Q42" s="113" t="s">
        <v>655</v>
      </c>
      <c r="R42" s="113" t="s">
        <v>655</v>
      </c>
      <c r="S42" s="117" t="s">
        <v>34</v>
      </c>
      <c r="T42" s="117" t="s">
        <v>20</v>
      </c>
      <c r="U42" s="114">
        <f>sept202122[[#This Row],[сумма]]-sept202122[[#This Row],[Цема м2 отделки]]*sept202122[[#This Row],[м2]]</f>
        <v>5290824</v>
      </c>
      <c r="V42" s="66"/>
    </row>
    <row r="43" spans="1:22" s="61" customFormat="1" ht="17.25" customHeight="1">
      <c r="A43" s="62">
        <v>41</v>
      </c>
      <c r="B43" s="74">
        <v>28865</v>
      </c>
      <c r="C43" s="62" t="s">
        <v>13</v>
      </c>
      <c r="D43" s="75">
        <v>494</v>
      </c>
      <c r="E43" s="62">
        <v>1</v>
      </c>
      <c r="F43" s="62">
        <v>43.21</v>
      </c>
      <c r="G43" s="392" t="s">
        <v>9</v>
      </c>
      <c r="H43" s="392"/>
      <c r="I43" s="95">
        <v>4136482</v>
      </c>
      <c r="J43" s="117" t="s">
        <v>8</v>
      </c>
      <c r="K43" s="62" t="s">
        <v>10</v>
      </c>
      <c r="L43" s="62" t="s">
        <v>514</v>
      </c>
      <c r="M43" s="62" t="s">
        <v>18</v>
      </c>
      <c r="N43" s="92">
        <v>45281</v>
      </c>
      <c r="O43" s="117" t="s">
        <v>17</v>
      </c>
      <c r="P43" s="62" t="s">
        <v>1850</v>
      </c>
      <c r="Q43" s="113" t="s">
        <v>655</v>
      </c>
      <c r="R43" s="113" t="s">
        <v>655</v>
      </c>
      <c r="S43" s="117" t="s">
        <v>8</v>
      </c>
      <c r="T43" s="117" t="s">
        <v>8</v>
      </c>
      <c r="U43" s="114">
        <f>sept202122[[#This Row],[сумма]]-sept202122[[#This Row],[Цема м2 отделки]]*sept202122[[#This Row],[м2]]</f>
        <v>4136482</v>
      </c>
      <c r="V43" s="66"/>
    </row>
    <row r="44" spans="1:22" s="61" customFormat="1">
      <c r="A44" s="62">
        <v>42</v>
      </c>
      <c r="B44" s="75">
        <v>28444</v>
      </c>
      <c r="C44" s="62" t="s">
        <v>13</v>
      </c>
      <c r="D44" s="75">
        <v>284</v>
      </c>
      <c r="E44" s="62">
        <v>1</v>
      </c>
      <c r="F44" s="62">
        <v>34.81</v>
      </c>
      <c r="G44" s="62" t="s">
        <v>15</v>
      </c>
      <c r="H44" s="62">
        <v>7500</v>
      </c>
      <c r="I44" s="95">
        <v>4030775</v>
      </c>
      <c r="J44" s="117" t="s">
        <v>8</v>
      </c>
      <c r="K44" s="62" t="s">
        <v>16</v>
      </c>
      <c r="L44" s="62" t="s">
        <v>583</v>
      </c>
      <c r="M44" s="62" t="s">
        <v>18</v>
      </c>
      <c r="N44" s="92">
        <v>45282</v>
      </c>
      <c r="O44" s="62" t="s">
        <v>17</v>
      </c>
      <c r="P44" s="62" t="s">
        <v>1851</v>
      </c>
      <c r="Q44" s="113" t="s">
        <v>655</v>
      </c>
      <c r="R44" s="113" t="s">
        <v>655</v>
      </c>
      <c r="S44" s="117" t="s">
        <v>8</v>
      </c>
      <c r="T44" s="117" t="s">
        <v>8</v>
      </c>
      <c r="U44" s="114">
        <f>sept202122[[#This Row],[сумма]]-sept202122[[#This Row],[Цема м2 отделки]]*sept202122[[#This Row],[м2]]</f>
        <v>3769700</v>
      </c>
      <c r="V44" s="66"/>
    </row>
    <row r="45" spans="1:22" s="61" customFormat="1">
      <c r="A45" s="62">
        <v>43</v>
      </c>
      <c r="B45" s="75">
        <v>28731</v>
      </c>
      <c r="C45" s="62" t="s">
        <v>7</v>
      </c>
      <c r="D45" s="75">
        <v>497</v>
      </c>
      <c r="E45" s="62">
        <v>2</v>
      </c>
      <c r="F45" s="62">
        <v>58.62</v>
      </c>
      <c r="G45" s="62" t="s">
        <v>9</v>
      </c>
      <c r="H45" s="62"/>
      <c r="I45" s="95">
        <v>5329100</v>
      </c>
      <c r="J45" s="117" t="s">
        <v>8</v>
      </c>
      <c r="K45" s="62" t="s">
        <v>16</v>
      </c>
      <c r="L45" s="62" t="s">
        <v>583</v>
      </c>
      <c r="M45" s="62" t="s">
        <v>18</v>
      </c>
      <c r="N45" s="92">
        <v>45282</v>
      </c>
      <c r="O45" s="62" t="s">
        <v>17</v>
      </c>
      <c r="P45" s="62" t="s">
        <v>1852</v>
      </c>
      <c r="Q45" s="113" t="s">
        <v>655</v>
      </c>
      <c r="R45" s="113" t="s">
        <v>655</v>
      </c>
      <c r="S45" s="117" t="s">
        <v>8</v>
      </c>
      <c r="T45" s="117" t="s">
        <v>8</v>
      </c>
      <c r="U45" s="114">
        <f>sept202122[[#This Row],[сумма]]-sept202122[[#This Row],[Цема м2 отделки]]*sept202122[[#This Row],[м2]]</f>
        <v>5329100</v>
      </c>
      <c r="V45" s="66"/>
    </row>
    <row r="46" spans="1:22" s="61" customFormat="1">
      <c r="A46" s="62">
        <v>44</v>
      </c>
      <c r="B46" s="74">
        <v>28767</v>
      </c>
      <c r="C46" s="62" t="s">
        <v>13</v>
      </c>
      <c r="D46" s="75">
        <v>257</v>
      </c>
      <c r="E46" s="62">
        <v>2</v>
      </c>
      <c r="F46" s="62">
        <v>73.7</v>
      </c>
      <c r="G46" s="62" t="s">
        <v>25</v>
      </c>
      <c r="H46" s="81">
        <v>22000</v>
      </c>
      <c r="I46" s="95">
        <v>7894478</v>
      </c>
      <c r="J46" s="117" t="s">
        <v>8</v>
      </c>
      <c r="K46" s="62"/>
      <c r="L46" s="62" t="s">
        <v>514</v>
      </c>
      <c r="M46" s="62" t="s">
        <v>18</v>
      </c>
      <c r="N46" s="92">
        <v>45285</v>
      </c>
      <c r="O46" s="62" t="s">
        <v>17</v>
      </c>
      <c r="P46" s="62" t="s">
        <v>1853</v>
      </c>
      <c r="Q46" s="113" t="s">
        <v>655</v>
      </c>
      <c r="R46" s="113" t="s">
        <v>655</v>
      </c>
      <c r="S46" s="117" t="s">
        <v>8</v>
      </c>
      <c r="T46" s="117" t="s">
        <v>8</v>
      </c>
      <c r="U46" s="114">
        <f>sept202122[[#This Row],[сумма]]-sept202122[[#This Row],[Цема м2 отделки]]*sept202122[[#This Row],[м2]]</f>
        <v>6273078</v>
      </c>
      <c r="V46" s="66"/>
    </row>
    <row r="47" spans="1:22" s="61" customFormat="1">
      <c r="A47" s="62">
        <v>45</v>
      </c>
      <c r="B47" s="75">
        <v>28371</v>
      </c>
      <c r="C47" s="62" t="s">
        <v>13</v>
      </c>
      <c r="D47" s="75">
        <v>141</v>
      </c>
      <c r="E47" s="62">
        <v>2</v>
      </c>
      <c r="F47" s="62">
        <v>57.6</v>
      </c>
      <c r="G47" s="62" t="s">
        <v>9</v>
      </c>
      <c r="H47" s="62"/>
      <c r="I47" s="95">
        <v>4876600</v>
      </c>
      <c r="J47" s="117" t="s">
        <v>14</v>
      </c>
      <c r="K47" s="62" t="s">
        <v>16</v>
      </c>
      <c r="L47" s="62" t="s">
        <v>583</v>
      </c>
      <c r="M47" s="62" t="s">
        <v>18</v>
      </c>
      <c r="N47" s="92">
        <v>45281</v>
      </c>
      <c r="O47" s="62" t="s">
        <v>1772</v>
      </c>
      <c r="P47" s="62" t="s">
        <v>1854</v>
      </c>
      <c r="Q47" s="113" t="s">
        <v>655</v>
      </c>
      <c r="R47" s="113" t="s">
        <v>655</v>
      </c>
      <c r="S47" s="117" t="s">
        <v>14</v>
      </c>
      <c r="T47" s="117" t="s">
        <v>14</v>
      </c>
      <c r="U47" s="114">
        <f>sept202122[[#This Row],[сумма]]-sept202122[[#This Row],[Цема м2 отделки]]*sept202122[[#This Row],[м2]]</f>
        <v>4876600</v>
      </c>
      <c r="V47" s="66"/>
    </row>
    <row r="48" spans="1:22" s="61" customFormat="1">
      <c r="A48" s="62">
        <v>46</v>
      </c>
      <c r="B48" s="74">
        <v>28902</v>
      </c>
      <c r="C48" s="62" t="s">
        <v>7</v>
      </c>
      <c r="D48" s="75">
        <v>427</v>
      </c>
      <c r="E48" s="62">
        <v>2</v>
      </c>
      <c r="F48" s="62">
        <v>63.74</v>
      </c>
      <c r="G48" s="62" t="s">
        <v>15</v>
      </c>
      <c r="H48" s="62">
        <v>7500</v>
      </c>
      <c r="I48" s="95">
        <v>5825950</v>
      </c>
      <c r="J48" s="117" t="s">
        <v>14</v>
      </c>
      <c r="K48" s="62" t="s">
        <v>16</v>
      </c>
      <c r="L48" s="62" t="s">
        <v>583</v>
      </c>
      <c r="M48" s="62" t="s">
        <v>18</v>
      </c>
      <c r="N48" s="92">
        <v>45285</v>
      </c>
      <c r="O48" s="62" t="s">
        <v>1772</v>
      </c>
      <c r="P48" s="62" t="s">
        <v>1855</v>
      </c>
      <c r="Q48" s="113" t="s">
        <v>655</v>
      </c>
      <c r="R48" s="113" t="s">
        <v>655</v>
      </c>
      <c r="S48" s="117" t="s">
        <v>14</v>
      </c>
      <c r="T48" s="117" t="s">
        <v>14</v>
      </c>
      <c r="U48" s="114">
        <f>sept202122[[#This Row],[сумма]]-sept202122[[#This Row],[Цема м2 отделки]]*sept202122[[#This Row],[м2]]</f>
        <v>5347900</v>
      </c>
      <c r="V48" s="66"/>
    </row>
    <row r="49" spans="1:22" s="61" customFormat="1" ht="25.5">
      <c r="A49" s="62">
        <v>47</v>
      </c>
      <c r="B49" s="75">
        <v>27868</v>
      </c>
      <c r="C49" s="62" t="s">
        <v>13</v>
      </c>
      <c r="D49" s="75">
        <v>185</v>
      </c>
      <c r="E49" s="62">
        <v>1</v>
      </c>
      <c r="F49" s="62">
        <v>37.86</v>
      </c>
      <c r="G49" s="117" t="s">
        <v>25</v>
      </c>
      <c r="H49" s="117">
        <v>22000</v>
      </c>
      <c r="I49" s="95">
        <v>4768720</v>
      </c>
      <c r="J49" s="117" t="s">
        <v>20</v>
      </c>
      <c r="K49" s="62" t="s">
        <v>22</v>
      </c>
      <c r="L49" s="62" t="s">
        <v>583</v>
      </c>
      <c r="M49" s="62" t="s">
        <v>18</v>
      </c>
      <c r="N49" s="92">
        <v>45289</v>
      </c>
      <c r="O49" s="117" t="s">
        <v>17</v>
      </c>
      <c r="P49" s="76" t="s">
        <v>1856</v>
      </c>
      <c r="Q49" s="76" t="s">
        <v>655</v>
      </c>
      <c r="R49" s="76"/>
      <c r="S49" s="117" t="s">
        <v>20</v>
      </c>
      <c r="T49" s="117" t="s">
        <v>20</v>
      </c>
      <c r="U49" s="114">
        <f>sept202122[[#This Row],[сумма]]-sept202122[[#This Row],[Цема м2 отделки]]*sept202122[[#This Row],[м2]]</f>
        <v>3935800</v>
      </c>
      <c r="V49" s="66"/>
    </row>
    <row r="50" spans="1:22" s="368" customFormat="1">
      <c r="A50" s="65">
        <v>48</v>
      </c>
      <c r="B50" s="79">
        <v>28964</v>
      </c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 t="s">
        <v>17</v>
      </c>
      <c r="P50" s="65"/>
      <c r="Q50" s="86"/>
      <c r="R50" s="86"/>
      <c r="S50" s="80"/>
      <c r="T50" s="80"/>
      <c r="U50" s="115">
        <f>sept202122[[#This Row],[сумма]]-sept202122[[#This Row],[Цема м2 отделки]]*sept202122[[#This Row],[м2]]</f>
        <v>0</v>
      </c>
      <c r="V50" s="66"/>
    </row>
    <row r="51" spans="1:22" s="61" customFormat="1">
      <c r="A51" s="62">
        <v>49</v>
      </c>
      <c r="B51" s="75">
        <v>26195</v>
      </c>
      <c r="C51" s="62" t="s">
        <v>7</v>
      </c>
      <c r="D51" s="75">
        <v>109</v>
      </c>
      <c r="E51" s="62">
        <v>2</v>
      </c>
      <c r="F51" s="62">
        <v>54.66</v>
      </c>
      <c r="G51" s="62" t="s">
        <v>15</v>
      </c>
      <c r="H51" s="62">
        <v>7500</v>
      </c>
      <c r="I51" s="95">
        <v>5176724</v>
      </c>
      <c r="J51" s="117" t="s">
        <v>14</v>
      </c>
      <c r="K51" s="62" t="s">
        <v>22</v>
      </c>
      <c r="L51" s="62" t="s">
        <v>583</v>
      </c>
      <c r="M51" s="62" t="s">
        <v>18</v>
      </c>
      <c r="N51" s="92">
        <v>45288</v>
      </c>
      <c r="O51" s="117" t="s">
        <v>1772</v>
      </c>
      <c r="P51" s="62" t="s">
        <v>1857</v>
      </c>
      <c r="Q51" s="76" t="s">
        <v>655</v>
      </c>
      <c r="R51" s="76" t="s">
        <v>655</v>
      </c>
      <c r="S51" s="117" t="s">
        <v>14</v>
      </c>
      <c r="T51" s="117" t="s">
        <v>14</v>
      </c>
      <c r="U51" s="114">
        <f>sept202122[[#This Row],[сумма]]-sept202122[[#This Row],[Цема м2 отделки]]*sept202122[[#This Row],[м2]]</f>
        <v>4766774</v>
      </c>
      <c r="V51" s="66"/>
    </row>
    <row r="52" spans="1:22" s="61" customFormat="1">
      <c r="A52" s="62">
        <v>50</v>
      </c>
      <c r="B52" s="75">
        <v>29050</v>
      </c>
      <c r="C52" s="62" t="s">
        <v>13</v>
      </c>
      <c r="D52" s="75">
        <v>375</v>
      </c>
      <c r="E52" s="62">
        <v>1</v>
      </c>
      <c r="F52" s="62">
        <v>34.81</v>
      </c>
      <c r="G52" s="62" t="s">
        <v>25</v>
      </c>
      <c r="H52" s="62">
        <v>22000</v>
      </c>
      <c r="I52" s="95">
        <v>4707085</v>
      </c>
      <c r="J52" s="117" t="s">
        <v>14</v>
      </c>
      <c r="K52" s="62" t="s">
        <v>10</v>
      </c>
      <c r="L52" s="62" t="s">
        <v>286</v>
      </c>
      <c r="M52" s="62" t="s">
        <v>18</v>
      </c>
      <c r="N52" s="92">
        <v>45287</v>
      </c>
      <c r="O52" s="117" t="s">
        <v>1772</v>
      </c>
      <c r="P52" s="62" t="s">
        <v>1696</v>
      </c>
      <c r="Q52" s="113" t="s">
        <v>655</v>
      </c>
      <c r="R52" s="76" t="s">
        <v>655</v>
      </c>
      <c r="S52" s="117" t="s">
        <v>14</v>
      </c>
      <c r="T52" s="117" t="s">
        <v>14</v>
      </c>
      <c r="U52" s="114">
        <f>sept202122[[#This Row],[сумма]]-sept202122[[#This Row],[Цема м2 отделки]]*sept202122[[#This Row],[м2]]</f>
        <v>3941265</v>
      </c>
      <c r="V52" s="66"/>
    </row>
    <row r="53" spans="1:22" s="61" customFormat="1">
      <c r="A53" s="62">
        <v>51</v>
      </c>
      <c r="B53" s="75">
        <v>28275</v>
      </c>
      <c r="C53" s="62" t="s">
        <v>7</v>
      </c>
      <c r="D53" s="75">
        <v>477</v>
      </c>
      <c r="E53" s="62">
        <v>1</v>
      </c>
      <c r="F53" s="62">
        <v>36.5</v>
      </c>
      <c r="G53" s="62" t="s">
        <v>9</v>
      </c>
      <c r="H53" s="62"/>
      <c r="I53" s="95">
        <v>3847120</v>
      </c>
      <c r="J53" s="117" t="s">
        <v>77</v>
      </c>
      <c r="K53" s="62" t="s">
        <v>16</v>
      </c>
      <c r="L53" s="62" t="s">
        <v>583</v>
      </c>
      <c r="M53" s="431" t="s">
        <v>18</v>
      </c>
      <c r="N53" s="92">
        <v>45288</v>
      </c>
      <c r="O53" s="117" t="s">
        <v>17</v>
      </c>
      <c r="P53" s="62" t="s">
        <v>1858</v>
      </c>
      <c r="Q53" s="76" t="s">
        <v>655</v>
      </c>
      <c r="R53" s="76" t="s">
        <v>655</v>
      </c>
      <c r="S53" s="117" t="s">
        <v>77</v>
      </c>
      <c r="T53" s="117" t="s">
        <v>14</v>
      </c>
      <c r="U53" s="114">
        <f>sept202122[[#This Row],[сумма]]-sept202122[[#This Row],[Цема м2 отделки]]*sept202122[[#This Row],[м2]]</f>
        <v>3847120</v>
      </c>
      <c r="V53" s="66"/>
    </row>
    <row r="54" spans="1:22" s="61" customFormat="1">
      <c r="A54" s="62">
        <v>52</v>
      </c>
      <c r="B54" s="75">
        <v>26975</v>
      </c>
      <c r="C54" s="62" t="s">
        <v>13</v>
      </c>
      <c r="D54" s="75">
        <v>474</v>
      </c>
      <c r="E54" s="62">
        <v>1</v>
      </c>
      <c r="F54" s="62">
        <v>38.299999999999997</v>
      </c>
      <c r="G54" s="62" t="s">
        <v>25</v>
      </c>
      <c r="H54" s="62">
        <v>22000</v>
      </c>
      <c r="I54" s="95">
        <v>4498390</v>
      </c>
      <c r="J54" s="117" t="s">
        <v>14</v>
      </c>
      <c r="K54" s="62" t="s">
        <v>10</v>
      </c>
      <c r="L54" s="62" t="s">
        <v>1859</v>
      </c>
      <c r="M54" s="62" t="s">
        <v>91</v>
      </c>
      <c r="N54" s="92"/>
      <c r="O54" s="117" t="s">
        <v>1772</v>
      </c>
      <c r="P54" s="76" t="s">
        <v>1860</v>
      </c>
      <c r="Q54" s="113" t="s">
        <v>655</v>
      </c>
      <c r="R54" s="76" t="s">
        <v>655</v>
      </c>
      <c r="S54" s="117" t="s">
        <v>14</v>
      </c>
      <c r="T54" s="117" t="s">
        <v>20</v>
      </c>
      <c r="U54" s="114">
        <f>sept202122[[#This Row],[сумма]]-sept202122[[#This Row],[Цема м2 отделки]]*sept202122[[#This Row],[м2]]</f>
        <v>3655790</v>
      </c>
      <c r="V54" s="66"/>
    </row>
    <row r="55" spans="1:22" ht="25.5">
      <c r="A55" s="62">
        <v>53</v>
      </c>
      <c r="B55" s="75">
        <v>29022</v>
      </c>
      <c r="C55" s="62" t="s">
        <v>7</v>
      </c>
      <c r="D55" s="75">
        <v>498</v>
      </c>
      <c r="E55" s="62">
        <v>2</v>
      </c>
      <c r="F55" s="62">
        <v>67.489999999999995</v>
      </c>
      <c r="G55" s="62" t="s">
        <v>25</v>
      </c>
      <c r="H55" s="62">
        <v>22000</v>
      </c>
      <c r="I55" s="95">
        <v>7569012</v>
      </c>
      <c r="J55" s="117" t="s">
        <v>20</v>
      </c>
      <c r="K55" s="62" t="s">
        <v>16</v>
      </c>
      <c r="L55" s="62" t="s">
        <v>583</v>
      </c>
      <c r="M55" s="62" t="s">
        <v>18</v>
      </c>
      <c r="N55" s="537">
        <v>45290</v>
      </c>
      <c r="O55" s="117" t="s">
        <v>17</v>
      </c>
      <c r="P55" s="76" t="s">
        <v>1861</v>
      </c>
      <c r="Q55" s="113" t="s">
        <v>655</v>
      </c>
      <c r="R55" s="113" t="s">
        <v>655</v>
      </c>
      <c r="S55" s="117" t="s">
        <v>20</v>
      </c>
      <c r="T55" s="117" t="s">
        <v>20</v>
      </c>
      <c r="U55" s="114">
        <f>sept202122[[#This Row],[сумма]]-sept202122[[#This Row],[Цема м2 отделки]]*sept202122[[#This Row],[м2]]</f>
        <v>6084232</v>
      </c>
    </row>
    <row r="56" spans="1:22" s="61" customFormat="1">
      <c r="A56" s="62">
        <v>54</v>
      </c>
      <c r="B56" s="75">
        <v>29017</v>
      </c>
      <c r="C56" s="117" t="s">
        <v>13</v>
      </c>
      <c r="D56" s="75">
        <v>18</v>
      </c>
      <c r="E56" s="62">
        <v>2</v>
      </c>
      <c r="F56" s="62">
        <v>62.17</v>
      </c>
      <c r="G56" s="76" t="s">
        <v>15</v>
      </c>
      <c r="H56" s="76">
        <v>7500</v>
      </c>
      <c r="I56" s="91">
        <v>5887875</v>
      </c>
      <c r="J56" s="117" t="s">
        <v>1795</v>
      </c>
      <c r="K56" s="117" t="s">
        <v>16</v>
      </c>
      <c r="L56" s="117" t="s">
        <v>583</v>
      </c>
      <c r="M56" s="117" t="s">
        <v>18</v>
      </c>
      <c r="N56" s="537">
        <v>45289</v>
      </c>
      <c r="O56" s="117" t="s">
        <v>17</v>
      </c>
      <c r="P56" s="76" t="s">
        <v>1862</v>
      </c>
      <c r="Q56" s="76" t="s">
        <v>655</v>
      </c>
      <c r="R56" s="76"/>
      <c r="S56" s="117" t="s">
        <v>32</v>
      </c>
      <c r="T56" s="117" t="s">
        <v>8</v>
      </c>
      <c r="U56" s="114">
        <f>sept202122[[#This Row],[сумма]]-sept202122[[#This Row],[Цема м2 отделки]]*sept202122[[#This Row],[м2]]</f>
        <v>5421600</v>
      </c>
      <c r="V56" s="66"/>
    </row>
    <row r="57" spans="1:22" s="368" customFormat="1">
      <c r="A57" s="62">
        <v>55</v>
      </c>
      <c r="B57" s="75">
        <v>29060</v>
      </c>
      <c r="C57" s="62" t="s">
        <v>13</v>
      </c>
      <c r="D57" s="75">
        <v>460</v>
      </c>
      <c r="E57" s="62">
        <v>1</v>
      </c>
      <c r="F57" s="62">
        <v>39.69</v>
      </c>
      <c r="G57" s="62" t="s">
        <v>25</v>
      </c>
      <c r="H57" s="62">
        <v>22000</v>
      </c>
      <c r="I57" s="95">
        <v>4738445</v>
      </c>
      <c r="J57" s="117" t="s">
        <v>14</v>
      </c>
      <c r="K57" s="62" t="s">
        <v>16</v>
      </c>
      <c r="L57" s="62" t="s">
        <v>583</v>
      </c>
      <c r="M57" s="62" t="s">
        <v>18</v>
      </c>
      <c r="N57" s="537">
        <v>45290</v>
      </c>
      <c r="O57" s="117" t="s">
        <v>1772</v>
      </c>
      <c r="P57" s="62" t="s">
        <v>1863</v>
      </c>
      <c r="Q57" s="76" t="s">
        <v>655</v>
      </c>
      <c r="R57" s="76"/>
      <c r="S57" s="117" t="s">
        <v>14</v>
      </c>
      <c r="T57" s="117" t="s">
        <v>14</v>
      </c>
      <c r="U57" s="114">
        <f>sept202122[[#This Row],[сумма]]-sept202122[[#This Row],[Цема м2 отделки]]*sept202122[[#This Row],[м2]]</f>
        <v>3865265</v>
      </c>
      <c r="V57" s="66"/>
    </row>
    <row r="58" spans="1:22" s="61" customFormat="1">
      <c r="A58" s="62">
        <v>56</v>
      </c>
      <c r="B58" s="74">
        <v>29026</v>
      </c>
      <c r="C58" s="62" t="s">
        <v>13</v>
      </c>
      <c r="D58" s="75">
        <v>193</v>
      </c>
      <c r="E58" s="62">
        <v>3</v>
      </c>
      <c r="F58" s="62">
        <v>84.99</v>
      </c>
      <c r="G58" s="62" t="s">
        <v>9</v>
      </c>
      <c r="H58" s="62"/>
      <c r="I58" s="95">
        <v>6419910</v>
      </c>
      <c r="J58" s="117" t="s">
        <v>8</v>
      </c>
      <c r="K58" s="62" t="s">
        <v>16</v>
      </c>
      <c r="L58" s="62" t="s">
        <v>583</v>
      </c>
      <c r="M58" s="62" t="s">
        <v>18</v>
      </c>
      <c r="N58" s="92">
        <v>45289</v>
      </c>
      <c r="O58" s="117" t="s">
        <v>17</v>
      </c>
      <c r="P58" s="62" t="s">
        <v>1864</v>
      </c>
      <c r="Q58" s="113" t="s">
        <v>655</v>
      </c>
      <c r="R58" s="113"/>
      <c r="S58" s="117" t="s">
        <v>8</v>
      </c>
      <c r="T58" s="117" t="s">
        <v>8</v>
      </c>
      <c r="U58" s="114">
        <f>sept202122[[#This Row],[сумма]]-sept202122[[#This Row],[Цема м2 отделки]]*sept202122[[#This Row],[м2]]</f>
        <v>6419910</v>
      </c>
      <c r="V58" s="66"/>
    </row>
    <row r="59" spans="1:22">
      <c r="A59" s="62">
        <v>57</v>
      </c>
      <c r="B59" s="75">
        <v>28804</v>
      </c>
      <c r="C59" s="62" t="s">
        <v>7</v>
      </c>
      <c r="D59" s="75">
        <v>220</v>
      </c>
      <c r="E59" s="62">
        <v>1</v>
      </c>
      <c r="F59" s="62">
        <v>37.81</v>
      </c>
      <c r="G59" s="62" t="s">
        <v>15</v>
      </c>
      <c r="H59" s="62">
        <v>7500</v>
      </c>
      <c r="I59" s="95">
        <v>4344775</v>
      </c>
      <c r="J59" s="117" t="s">
        <v>8</v>
      </c>
      <c r="K59" s="62" t="s">
        <v>16</v>
      </c>
      <c r="L59" s="62" t="s">
        <v>583</v>
      </c>
      <c r="M59" s="62" t="s">
        <v>18</v>
      </c>
      <c r="N59" s="92">
        <v>45288</v>
      </c>
      <c r="O59" s="117" t="s">
        <v>17</v>
      </c>
      <c r="P59" s="62" t="s">
        <v>1865</v>
      </c>
      <c r="Q59" s="113" t="s">
        <v>655</v>
      </c>
      <c r="R59" s="76"/>
      <c r="S59" s="117" t="s">
        <v>8</v>
      </c>
      <c r="T59" s="117" t="s">
        <v>8</v>
      </c>
      <c r="U59" s="114">
        <f>sept202122[[#This Row],[сумма]]-sept202122[[#This Row],[Цема м2 отделки]]*sept202122[[#This Row],[м2]]</f>
        <v>4061200</v>
      </c>
    </row>
    <row r="60" spans="1:22">
      <c r="A60" s="62">
        <v>58</v>
      </c>
      <c r="B60" s="75">
        <v>29035</v>
      </c>
      <c r="C60" s="62" t="s">
        <v>7</v>
      </c>
      <c r="D60" s="75">
        <v>510</v>
      </c>
      <c r="E60" s="62">
        <v>1</v>
      </c>
      <c r="F60" s="62">
        <v>39.74</v>
      </c>
      <c r="G60" s="62" t="s">
        <v>9</v>
      </c>
      <c r="H60" s="62"/>
      <c r="I60" s="95">
        <v>4066665</v>
      </c>
      <c r="J60" s="62" t="s">
        <v>77</v>
      </c>
      <c r="K60" s="62" t="s">
        <v>16</v>
      </c>
      <c r="L60" s="62" t="s">
        <v>583</v>
      </c>
      <c r="M60" s="62" t="s">
        <v>18</v>
      </c>
      <c r="N60" s="92">
        <v>45289</v>
      </c>
      <c r="O60" s="62" t="s">
        <v>17</v>
      </c>
      <c r="P60" s="62" t="s">
        <v>1866</v>
      </c>
      <c r="Q60" s="76" t="s">
        <v>655</v>
      </c>
      <c r="R60" s="76"/>
      <c r="S60" s="62" t="s">
        <v>77</v>
      </c>
      <c r="T60" s="62" t="s">
        <v>77</v>
      </c>
      <c r="U60" s="114">
        <f>sept202122[[#This Row],[сумма]]-sept202122[[#This Row],[Цема м2 отделки]]*sept202122[[#This Row],[м2]]</f>
        <v>4066665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sept202122[[#This Row],[сумма]]-sept202122[[#This Row],[Цема м2 отделки]]*sept202122[[#This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sept202122[[#This Row],[сумма]]-sept202122[[#This Row],[Цема м2 отделки]]*sept202122[[#This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sept202122[[#This Row],[сумма]]-sept202122[[#This Row],[Цема м2 отделки]]*sept202122[[#This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sept202122[[#This Row],[сумма]]-sept202122[[#This Row],[Цема м2 отделки]]*sept202122[[#This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sept202122[[#This Row],[сумма]]-sept202122[[#This Row],[Цема м2 отделки]]*sept202122[[#This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sept202122[[#This Row],[сумма]]-sept202122[[#This Row],[Цема м2 отделки]]*sept202122[[#This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sept202122[[#This Row],[сумма]]-sept202122[[#This Row],[Цема м2 отделки]]*sept202122[[#This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sept202122[[#This Row],[сумма]]-sept202122[[#This Row],[Цема м2 отделки]]*sept202122[[#This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sept202122[[#This Row],[сумма]]-sept202122[[#This Row],[Цема м2 отделки]]*sept202122[[#This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sept202122[[#This Row],[сумма]]-sept202122[[#This Row],[Цема м2 отделки]]*sept202122[[#This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sept202122[[#This Row],[сумма]]-sept202122[[#This Row],[Цема м2 отделки]]*sept202122[[#This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sept202122[[#This Row],[сумма]]-sept202122[[#This Row],[Цема м2 отделки]]*sept202122[[#This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sept202122[[#This Row],[сумма]]-sept202122[[#This Row],[Цема м2 отделки]]*sept202122[[#This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sept202122[[#This Row],[сумма]]-sept202122[[#This Row],[Цема м2 отделки]]*sept202122[[#This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sept202122[[#This Row],[сумма]]-sept202122[[#This Row],[Цема м2 отделки]]*sept202122[[#This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sept202122[[#This Row],[сумма]]-sept202122[[#This Row],[Цема м2 отделки]]*sept202122[[#This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sept202122[[#This Row],[сумма]]-sept202122[[#This Row],[Цема м2 отделки]]*sept202122[[#This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sept202122[[#This Row],[сумма]]-sept202122[[#This Row],[Цема м2 отделки]]*sept202122[[#This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sept202122[[#This Row],[сумма]]-sept202122[[#This Row],[Цема м2 отделки]]*sept202122[[#This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sept202122[[#This Row],[сумма]]-sept202122[[#This Row],[Цема м2 отделки]]*sept202122[[#This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sept202122[[#This Row],[сумма]]-sept202122[[#This Row],[Цема м2 отделки]]*sept202122[[#This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sept202122[[#This Row],[сумма]]-sept202122[[#This Row],[Цема м2 отделки]]*sept202122[[#This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sept202122[[#This Row],[сумма]]-sept202122[[#This Row],[Цема м2 отделки]]*sept202122[[#This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sept202122[[#This Row],[сумма]]-sept202122[[#This Row],[Цема м2 отделки]]*sept202122[[#This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sept202122[[#This Row],[сумма]]-sept202122[[#This Row],[Цема м2 отделки]]*sept202122[[#This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sept202122[[#This Row],[сумма]]-sept202122[[#This Row],[Цема м2 отделки]]*sept202122[[#This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sept202122[[#This Row],[сумма]]-sept202122[[#This Row],[Цема м2 отделки]]*sept202122[[#This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sept202122[[#This Row],[сумма]]-sept202122[[#This Row],[Цема м2 отделки]]*sept202122[[#This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sept202122[[#This Row],[сумма]]-sept202122[[#This Row],[Цема м2 отделки]]*sept202122[[#This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sept202122[[#This Row],[сумма]]-sept202122[[#This Row],[Цема м2 отделки]]*sept202122[[#This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sept202122[[#This Row],[сумма]]-sept202122[[#This Row],[Цема м2 отделки]]*sept202122[[#This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sept202122[[#This Row],[сумма]]-sept202122[[#This Row],[Цема м2 отделки]]*sept202122[[#This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sept202122[[#This Row],[сумма]]-sept202122[[#This Row],[Цема м2 отделки]]*sept202122[[#This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sept202122[[#This Row],[сумма]]-sept202122[[#This Row],[Цема м2 отделки]]*sept202122[[#This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sept202122[[#This Row],[сумма]]-sept202122[[#This Row],[Цема м2 отделки]]*sept202122[[#This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sept202122[[#This Row],[сумма]]-sept202122[[#This Row],[Цема м2 отделки]]*sept202122[[#This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sept202122[[#This Row],[сумма]]-sept202122[[#This Row],[Цема м2 отделки]]*sept202122[[#This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sept202122[[#This Row],[сумма]]-sept202122[[#This Row],[Цема м2 отделки]]*sept202122[[#This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sept202122[[#This Row],[сумма]]-sept202122[[#This Row],[Цема м2 отделки]]*sept202122[[#This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sept202122[[#This Row],[сумма]]-sept202122[[#This Row],[Цема м2 отделки]]*sept202122[[#This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sept202122[[#This Row],[сумма]]-sept202122[[#This Row],[Цема м2 отделки]]*sept202122[[#This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sept202122[[#This Row],[сумма]]-sept202122[[#This Row],[Цема м2 отделки]]*sept202122[[#This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sept202122[[#This Row],[сумма]]-sept202122[[#This Row],[Цема м2 отделки]]*sept202122[[#This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sept202122[[#This Row],[сумма]]-sept202122[[#This Row],[Цема м2 отделки]]*sept202122[[#This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sept202122[[#This Row],[сумма]]-sept202122[[#This Row],[Цема м2 отделки]]*sept202122[[#This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sept202122[[#This Row],[сумма]]-sept202122[[#This Row],[Цема м2 отделки]]*sept202122[[#This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sept202122[[#This Row],[сумма]]-sept202122[[#This Row],[Цема м2 отделки]]*sept202122[[#This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sept202122[[#This Row],[сумма]]-sept202122[[#This Row],[Цема м2 отделки]]*sept202122[[#This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sept202122[[#This Row],[сумма]]-sept202122[[#This Row],[Цема м2 отделки]]*sept202122[[#This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sept202122[[#This Row],[сумма]]-sept202122[[#This Row],[Цема м2 отделки]]*sept202122[[#This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U116" s="66"/>
    </row>
    <row r="117" spans="1:21" s="65" customFormat="1">
      <c r="A117" s="685" t="s">
        <v>1</v>
      </c>
      <c r="B117" s="859" t="s">
        <v>100</v>
      </c>
      <c r="C117" s="707" t="s">
        <v>97</v>
      </c>
      <c r="D117" s="726" t="s">
        <v>95</v>
      </c>
      <c r="E117" s="137" t="s">
        <v>494</v>
      </c>
      <c r="F117" s="138" t="s">
        <v>495</v>
      </c>
      <c r="G117" s="139" t="s">
        <v>496</v>
      </c>
      <c r="H117" s="140" t="s">
        <v>101</v>
      </c>
      <c r="I117" s="141" t="s">
        <v>98</v>
      </c>
      <c r="J117" s="141" t="s">
        <v>96</v>
      </c>
      <c r="K117" s="141" t="s">
        <v>715</v>
      </c>
      <c r="L117" s="216" t="s">
        <v>716</v>
      </c>
      <c r="M117" s="217">
        <v>0</v>
      </c>
      <c r="N117" s="218">
        <v>1</v>
      </c>
      <c r="O117" s="218">
        <v>2</v>
      </c>
      <c r="P117" s="218">
        <v>3</v>
      </c>
      <c r="Q117" s="219" t="s">
        <v>1367</v>
      </c>
      <c r="U117" s="66"/>
    </row>
    <row r="118" spans="1:21" s="65" customFormat="1">
      <c r="A118" s="142" t="s">
        <v>8</v>
      </c>
      <c r="B118" s="271">
        <f>IFERROR(VLOOKUP(A118,'Индивидуальный план'!$AH$5:$AJ$15,2,0),"")</f>
        <v>520</v>
      </c>
      <c r="C118" s="52">
        <f>IFERROR(VLOOKUP(A118,'Индивидуальный план'!$AH$5:$AJ$15,3,0),"")</f>
        <v>48420103.68</v>
      </c>
      <c r="D118" s="327"/>
      <c r="E118" s="145">
        <f>SUMIFS(sept202122[м2],sept202122[МОП],$A118,sept202122[№ дома],$C$116,sept202122[Комнатность],"&lt;&gt;Офис")</f>
        <v>132.93</v>
      </c>
      <c r="F118" s="146">
        <f>SUMIFS(sept202122[Сумма без отделки],sept202122[МОП],$A118,sept202122[№ дома],$C$116,sept202122[Комнатность],"&lt;&gt;Офис")</f>
        <v>13400600</v>
      </c>
      <c r="G118" s="147">
        <f>COUNTIFS(sept202122[МОП],$A118,sept202122[№ дома],$C$116,sept202122[Комнатность],"&lt;&gt;Офис")</f>
        <v>3</v>
      </c>
      <c r="H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132.93</v>
      </c>
      <c r="I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13400600</v>
      </c>
      <c r="J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3</v>
      </c>
      <c r="K118" s="221">
        <f t="shared" ref="K118:L123" si="0">IFERROR(H118/B118,"")</f>
        <v>0.2556346153846154</v>
      </c>
      <c r="L118" s="222">
        <f t="shared" si="0"/>
        <v>0.27675694559768443</v>
      </c>
      <c r="M118" s="148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0">
        <f>COUNTIFS(РД[Тип кв],N$117,РД[МОП],$A118,РД[Дом],$C$116,РД[Дата подачи на регистрацию],"&lt;="&amp;$A$1,РД[Дата подачи на регистрацию],"&gt;="&amp;DATE(YEAR($A$1),MONTH($A$1),1))</f>
        <v>3</v>
      </c>
      <c r="O118" s="220">
        <f>COUNTIFS(РД[Тип кв],O$117,РД[МОП],$A118,РД[Дом],$C$116,РД[Дата подачи на регистрацию],"&lt;="&amp;$A$1,РД[Дата подачи на регистрацию],"&gt;="&amp;DATE(YEAR($A$1),MONTH($A$1),1))</f>
        <v>1</v>
      </c>
      <c r="P118" s="220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Q118" s="223">
        <f>COUNTIFS(РД[Тип кв],Q$117,РД[МОП],$A118,РД[Дом],$C$116,РД[Дата подачи на регистрацию],"&lt;="&amp;$A$1,РД[Дата подачи на регистрацию],"&gt;="&amp;DATE(YEAR($A$1),MONTH($A$1),1))</f>
        <v>0</v>
      </c>
      <c r="U118" s="66"/>
    </row>
    <row r="119" spans="1:21" s="65" customFormat="1">
      <c r="A119" s="398" t="s">
        <v>1867</v>
      </c>
      <c r="B119" s="271">
        <f>IFERROR(VLOOKUP(A119,'Индивидуальный план'!$AH$5:$AJ$15,2,0),"")</f>
        <v>157</v>
      </c>
      <c r="C119" s="52">
        <f>IFERROR(VLOOKUP(A119,'Индивидуальный план'!$AH$5:$AJ$15,3,0),"")</f>
        <v>14619146.688000001</v>
      </c>
      <c r="D119" s="327"/>
      <c r="E119" s="145">
        <f>SUMIFS(sept202122[м2],sept202122[МОП],$A119,sept202122[№ дома],$C$116,sept202122[Комнатность],"&lt;&gt;Офис")</f>
        <v>0</v>
      </c>
      <c r="F119" s="146">
        <f>SUMIFS(sept202122[Сумма без отделки],sept202122[МОП],$A119,sept202122[№ дома],$C$116,sept202122[Комнатность],"&lt;&gt;Офис")</f>
        <v>0</v>
      </c>
      <c r="G119" s="147">
        <f>COUNTIFS(sept202122[МОП],$A119,sept202122[№ дома],$C$116,sept202122[Комнатность],"&lt;&gt;Офис")</f>
        <v>0</v>
      </c>
      <c r="H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0</v>
      </c>
      <c r="I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0</v>
      </c>
      <c r="J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0</v>
      </c>
      <c r="K119" s="224">
        <f t="shared" si="0"/>
        <v>0</v>
      </c>
      <c r="L119" s="225">
        <f t="shared" si="0"/>
        <v>0</v>
      </c>
      <c r="M119" s="202">
        <f>COUNTIFS(РД[Тип кв],M$117,РД[МОП],$A119,РД[Дом],$C$116,РД[Дата подачи на регистрацию],"&lt;="&amp;$A$1,РД[Дата подачи на регистрацию],"&gt;="&amp;DATE(YEAR($A$1),MONTH($A$1),1))</f>
        <v>0</v>
      </c>
      <c r="N119" s="226">
        <f>COUNTIFS(РД[Тип кв],N$117,РД[МОП],$A119,РД[Дом],$C$116,РД[Дата подачи на регистрацию],"&lt;="&amp;$A$1,РД[Дата подачи на регистрацию],"&gt;="&amp;DATE(YEAR($A$1),MONTH($A$1),1))</f>
        <v>0</v>
      </c>
      <c r="O119" s="226">
        <f>COUNTIFS(РД[Тип кв],O$117,РД[МОП],$A119,РД[Дом],$C$116,РД[Дата подачи на регистрацию],"&lt;="&amp;$A$1,РД[Дата подачи на регистрацию],"&gt;="&amp;DATE(YEAR($A$1),MONTH($A$1),1))</f>
        <v>0</v>
      </c>
      <c r="P119" s="226">
        <f>COUNTIFS(РД[Тип кв],P$117,РД[МОП],$A119,РД[Дом],$C$116,РД[Дата подачи на регистрацию],"&lt;="&amp;$A$1,РД[Дата подачи на регистрацию],"&gt;="&amp;DATE(YEAR($A$1),MONTH($A$1),1))</f>
        <v>0</v>
      </c>
      <c r="Q119" s="227">
        <f>COUNTIFS(РД[Тип кв],Q$117,РД[МОП],$A119,РД[Дом],$C$116,РД[Дата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153" t="s">
        <v>20</v>
      </c>
      <c r="B120" s="271">
        <f>IFERROR(VLOOKUP(A120,'Индивидуальный план'!$AH$5:$AJ$15,2,0),"")</f>
        <v>520</v>
      </c>
      <c r="C120" s="52">
        <f>IFERROR(VLOOKUP(A120,'Индивидуальный план'!$AH$5:$AJ$15,3,0),"")</f>
        <v>48420103.68</v>
      </c>
      <c r="D120" s="327"/>
      <c r="E120" s="145">
        <f>SUMIFS(sept202122[м2],sept202122[МОП],$A120,sept202122[№ дома],$C$116,sept202122[Комнатность],"&lt;&gt;Офис")</f>
        <v>375.62</v>
      </c>
      <c r="F120" s="146">
        <f>SUMIFS(sept202122[Сумма без отделки],sept202122[МОП],$A120,sept202122[№ дома],$C$116,sept202122[Комнатность],"&lt;&gt;Офис")</f>
        <v>33672824.18</v>
      </c>
      <c r="G120" s="147">
        <f>COUNTIFS(sept202122[МОП],$A120,sept202122[№ дома],$C$116,sept202122[Комнатность],"&lt;&gt;Офис")</f>
        <v>6</v>
      </c>
      <c r="H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488.74</v>
      </c>
      <c r="I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43789155.93</v>
      </c>
      <c r="J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8</v>
      </c>
      <c r="K120" s="224">
        <f t="shared" si="0"/>
        <v>0.93988461538461543</v>
      </c>
      <c r="L120" s="225">
        <f t="shared" si="0"/>
        <v>0.90435898732053277</v>
      </c>
      <c r="M120" s="202">
        <f>COUNTIFS(РД[Тип кв],M$117,РД[МОП],$A120,РД[Дом],$C$116,РД[Дата подачи на регистрацию],"&lt;="&amp;$A$1,РД[Дата подачи на регистрацию],"&gt;="&amp;DATE(YEAR($A$1),MONTH($A$1),1))</f>
        <v>1</v>
      </c>
      <c r="N120" s="226">
        <f>COUNTIFS(РД[Тип кв],N$117,РД[МОП],$A120,РД[Дом],$C$116,РД[Дата подачи на регистрацию],"&lt;="&amp;$A$1,РД[Дата подачи на регистрацию],"&gt;="&amp;DATE(YEAR($A$1),MONTH($A$1),1))</f>
        <v>1</v>
      </c>
      <c r="O120" s="226">
        <f>COUNTIFS(РД[Тип кв],O$117,РД[МОП],$A120,РД[Дом],$C$116,РД[Дата подачи на регистрацию],"&lt;="&amp;$A$1,РД[Дата подачи на регистрацию],"&gt;="&amp;DATE(YEAR($A$1),MONTH($A$1),1))</f>
        <v>6</v>
      </c>
      <c r="P120" s="226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Q120" s="227">
        <f>COUNTIFS(РД[Тип кв],Q$117,РД[МОП],$A120,РД[Дом],$C$116,РД[Дата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153" t="s">
        <v>14</v>
      </c>
      <c r="B121" s="271">
        <f>IFERROR(VLOOKUP(A121,'Индивидуальный план'!$AH$5:$AJ$15,2,0),"")</f>
        <v>520</v>
      </c>
      <c r="C121" s="52">
        <f>IFERROR(VLOOKUP(A121,'Индивидуальный план'!$AH$5:$AJ$15,3,0),"")</f>
        <v>48420103.68</v>
      </c>
      <c r="D121" s="860"/>
      <c r="E121" s="328">
        <f>SUMIFS(sept202122[м2],sept202122[МОП],$A121,sept202122[№ дома],$C$116,sept202122[Комнатность],"&lt;&gt;Офис")</f>
        <v>326.81000000000006</v>
      </c>
      <c r="F121" s="403">
        <f>SUMIFS(sept202122[Сумма без отделки],sept202122[МОП],$A121,sept202122[№ дома],$C$116,sept202122[Комнатность],"&lt;&gt;Офис")</f>
        <v>28646248.550000001</v>
      </c>
      <c r="G121" s="404">
        <f>COUNTIFS(sept202122[МОП],$A121,sept202122[№ дома],$C$116,sept202122[Комнатность],"&lt;&gt;Офис")</f>
        <v>5</v>
      </c>
      <c r="H121" s="187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356.15999999999997</v>
      </c>
      <c r="I121" s="188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31864948.550000001</v>
      </c>
      <c r="J121" s="247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6</v>
      </c>
      <c r="K121" s="360">
        <f t="shared" si="0"/>
        <v>0.68492307692307686</v>
      </c>
      <c r="L121" s="361">
        <f t="shared" si="0"/>
        <v>0.65809335644115663</v>
      </c>
      <c r="M121" s="358">
        <f>COUNTIFS(РД[Тип кв],M$117,РД[МОП],$A121,РД[Дом],$C$116,РД[Дата подачи на регистрацию],"&lt;="&amp;$A$1,РД[Дата подачи на регистрацию],"&gt;="&amp;DATE(YEAR($A$1),MONTH($A$1),1))</f>
        <v>1</v>
      </c>
      <c r="N121" s="330">
        <f>COUNTIFS(РД[Тип кв],N$117,РД[МОП],$A121,РД[Дом],$C$116,РД[Дата подачи на регистрацию],"&lt;="&amp;$A$1,РД[Дата подачи на регистрацию],"&gt;="&amp;DATE(YEAR($A$1),MONTH($A$1),1))</f>
        <v>0</v>
      </c>
      <c r="O121" s="330">
        <f>COUNTIFS(РД[Тип кв],O$117,РД[МОП],$A121,РД[Дом],$C$116,РД[Дата подачи на регистрацию],"&lt;="&amp;$A$1,РД[Дата подачи на регистрацию],"&gt;="&amp;DATE(YEAR($A$1),MONTH($A$1),1))</f>
        <v>4</v>
      </c>
      <c r="P121" s="330">
        <f>COUNTIFS(РД[Тип кв],P$117,РД[МОП],$A121,РД[Дом],$C$116,РД[Дата подачи на регистрацию],"&lt;="&amp;$A$1,РД[Дата подачи на регистрацию],"&gt;="&amp;DATE(YEAR($A$1),MONTH($A$1),1))</f>
        <v>1</v>
      </c>
      <c r="Q121" s="331">
        <f>COUNTIFS(РД[Тип кв],Q$117,РД[МОП],$A121,РД[Дом],$C$116,РД[Дата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4" t="s">
        <v>29</v>
      </c>
      <c r="B122" s="861" t="str">
        <f>IFERROR(VLOOKUP(A122,'Индивидуальный план'!$R$3:$T$14,2,0),"")</f>
        <v/>
      </c>
      <c r="C122" s="862" t="str">
        <f>IFERROR(VLOOKUP(A122,'Индивидуальный план'!$R$3:$T$14,3,0),"")</f>
        <v/>
      </c>
      <c r="D122" s="863"/>
      <c r="E122" s="341">
        <f>SUMIFS(sept202122[м2],sept202122[МОП],$A122,sept202122[№ дома],$C$116,sept202122[Комнатность],"&lt;&gt;Офис")</f>
        <v>0</v>
      </c>
      <c r="F122" s="277">
        <f>SUMIFS(sept202122[Сумма без отделки],sept202122[МОП],$A122,sept202122[№ дома],$C$116,sept202122[Комнатность],"&lt;&gt;Офис")</f>
        <v>0</v>
      </c>
      <c r="G122" s="405">
        <f>COUNTIFS(sept202122[МОП],$A122,sept202122[№ дома],$C$116,sept202122[Комнатность],"&lt;&gt;Офис")</f>
        <v>0</v>
      </c>
      <c r="H122" s="159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160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8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K122" s="229" t="str">
        <f t="shared" si="0"/>
        <v/>
      </c>
      <c r="L122" s="230" t="str">
        <f t="shared" si="0"/>
        <v/>
      </c>
      <c r="M122" s="159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228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228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228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Q122" s="231">
        <f>COUNTIFS(РД[Тип кв],Q$117,РД[МОП],$A122,РД[Дом],$C$116,РД[Дата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61" t="s">
        <v>1207</v>
      </c>
      <c r="B123" s="278" t="str">
        <f>IFERROR(VLOOKUP(A123,'Индивидуальный план'!$R$3:$T$14,2,0),"")</f>
        <v/>
      </c>
      <c r="C123" s="281" t="str">
        <f>IFERROR(VLOOKUP(A123,'Индивидуальный план'!$R$3:$T$14,3,0),"")</f>
        <v/>
      </c>
      <c r="D123" s="511"/>
      <c r="E123" s="406">
        <f>SUMIFS(sept202122[м2],sept202122[МОП],$A123,sept202122[№ дома],$C$116,sept202122[Комнатность],"&lt;&gt;Офис")</f>
        <v>44.37</v>
      </c>
      <c r="F123" s="281">
        <f>SUMIFS(sept202122[Сумма без отделки],sept202122[МОП],$A123,sept202122[№ дома],$C$116,sept202122[Комнатность],"&lt;&gt;Офис")</f>
        <v>4270000</v>
      </c>
      <c r="G123" s="407">
        <f>COUNTIFS(sept202122[МОП],$A123,sept202122[№ дома],$C$116,sept202122[Комнатность],"&lt;&gt;Офис")</f>
        <v>1</v>
      </c>
      <c r="H123" s="166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167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2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K123" s="233" t="str">
        <f t="shared" si="0"/>
        <v/>
      </c>
      <c r="L123" s="234" t="str">
        <f t="shared" si="0"/>
        <v/>
      </c>
      <c r="M123" s="235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36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36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6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Q123" s="237">
        <f>COUNTIFS(РД[Тип кв],Q$117,РД[МОП],$A123,РД[Дом],$C$116,РД[Дата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68" t="s">
        <v>114</v>
      </c>
      <c r="B124" s="172">
        <f t="shared" ref="B124:J124" si="1">SUM(B118:B123)</f>
        <v>1717</v>
      </c>
      <c r="C124" s="173">
        <f t="shared" si="1"/>
        <v>159879457.72800002</v>
      </c>
      <c r="D124" s="691">
        <f t="shared" si="1"/>
        <v>0</v>
      </c>
      <c r="E124" s="173">
        <f t="shared" si="1"/>
        <v>879.73000000000013</v>
      </c>
      <c r="F124" s="173">
        <f t="shared" si="1"/>
        <v>79989672.730000004</v>
      </c>
      <c r="G124" s="171">
        <f t="shared" si="1"/>
        <v>15</v>
      </c>
      <c r="H124" s="172">
        <f t="shared" si="1"/>
        <v>977.83</v>
      </c>
      <c r="I124" s="173">
        <f t="shared" si="1"/>
        <v>89054704.480000004</v>
      </c>
      <c r="J124" s="170">
        <f t="shared" si="1"/>
        <v>17</v>
      </c>
      <c r="K124" s="238">
        <f>IFERROR(H124/B124,"")</f>
        <v>0.56949912638322653</v>
      </c>
      <c r="L124" s="239">
        <f>IFERROR(I124/C124,"")</f>
        <v>0.55701154948565779</v>
      </c>
      <c r="M124" s="240">
        <f>SUM(M118:M123)</f>
        <v>2</v>
      </c>
      <c r="N124" s="241">
        <f>SUM(N118:N123)</f>
        <v>4</v>
      </c>
      <c r="O124" s="241">
        <f>SUM(O118:O123)</f>
        <v>11</v>
      </c>
      <c r="P124" s="241">
        <f>SUM(P118:P123)</f>
        <v>1</v>
      </c>
      <c r="Q124" s="242">
        <f>SUM(Q118:Q123)</f>
        <v>0</v>
      </c>
      <c r="U124" s="66"/>
    </row>
    <row r="125" spans="1:21" s="65" customFormat="1">
      <c r="A125" s="692" t="s">
        <v>115</v>
      </c>
      <c r="B125" s="706" t="s">
        <v>100</v>
      </c>
      <c r="C125" s="710" t="s">
        <v>97</v>
      </c>
      <c r="D125" s="708" t="s">
        <v>95</v>
      </c>
      <c r="E125" s="295" t="s">
        <v>494</v>
      </c>
      <c r="F125" s="138" t="s">
        <v>495</v>
      </c>
      <c r="G125" s="470" t="s">
        <v>496</v>
      </c>
      <c r="H125" s="140" t="s">
        <v>101</v>
      </c>
      <c r="I125" s="141" t="s">
        <v>98</v>
      </c>
      <c r="J125" s="141" t="s">
        <v>96</v>
      </c>
      <c r="K125" s="495" t="s">
        <v>715</v>
      </c>
      <c r="L125" s="496" t="s">
        <v>716</v>
      </c>
      <c r="M125" s="217">
        <v>0</v>
      </c>
      <c r="N125" s="218">
        <v>1</v>
      </c>
      <c r="O125" s="218">
        <v>2</v>
      </c>
      <c r="P125" s="218">
        <v>3</v>
      </c>
      <c r="Q125" s="219" t="s">
        <v>1367</v>
      </c>
      <c r="U125" s="66"/>
    </row>
    <row r="126" spans="1:21" s="65" customFormat="1">
      <c r="A126" s="142" t="s">
        <v>16</v>
      </c>
      <c r="B126" s="271">
        <f>IFERROR(VLOOKUP(A126,'Индивидуальный план'!$AH$5:$AJ$15,2,0),"")</f>
        <v>800</v>
      </c>
      <c r="C126" s="52">
        <f>IFERROR(VLOOKUP(A126,'Индивидуальный план'!$AH$5:$AJ$15,3,0),"")</f>
        <v>74492467.200000003</v>
      </c>
      <c r="D126" s="694"/>
      <c r="E126" s="145">
        <f>SUMIFS(sept202122[м2],sept202122[ИМ],A126,sept202122[№ дома],$C$116,sept202122[Комнатность],"&lt;&gt;Офис")</f>
        <v>704.15000000000009</v>
      </c>
      <c r="F126" s="149">
        <f>SUMIFS(sept202122[Сумма без отделки],sept202122[ИМ],$A126,sept202122[№ дома],$C$116,sept202122[Комнатность],"&lt;&gt;Офис")</f>
        <v>66509613.480000004</v>
      </c>
      <c r="G126" s="147">
        <f>COUNTIFS(sept202122[ИМ],$A126,sept202122[№ дома],$C$116,sept202122[Комнатность],"&lt;&gt;Офис")</f>
        <v>14</v>
      </c>
      <c r="H126" s="183">
        <f>SUMIFS(РД[S],РД[Дом],$C$116,РД[ИМ],A126,РД[Дата подачи на регистрацию],"&lt;="&amp;$A$1,РД[Дата подачи на регистрацию],"&gt;="&amp;DATE(YEAR($A$1),MONTH($A$1),1),РД[Состояние],"Продажа")</f>
        <v>659.78</v>
      </c>
      <c r="I126" s="184">
        <f>SUMIFS(РД[Стоимость без отделки итог],РД[Дом],$C$116,РД[ИМ],A126,РД[Дата подачи на регистрацию],"&lt;="&amp;$A$1,РД[Дата подачи на регистрацию],"&gt;="&amp;DATE(YEAR($A$1),MONTH($A$1),1),РД[Состояние],"Продажа")</f>
        <v>62339613.480000004</v>
      </c>
      <c r="J126" s="243">
        <f>COUNTIFS(РД[Дом],$C$116,РД[ИМ],A126,РД[Дата подачи на регистрацию],"&lt;="&amp;$A$1,РД[Дата подачи на регистрацию],"&gt;="&amp;DATE(YEAR($A$1),MONTH($A$1),1),РД[Состояние],"Продажа")</f>
        <v>13</v>
      </c>
      <c r="K126" s="244">
        <f t="shared" ref="K126:L128" si="2">IFERROR(H126/B126,"")</f>
        <v>0.82472499999999993</v>
      </c>
      <c r="L126" s="245">
        <f t="shared" si="2"/>
        <v>0.83685795118892237</v>
      </c>
      <c r="M126" s="183">
        <f>COUNTIFS(РД[Тип кв],M117,РД[ИМ],$A126,РД[Дом],$C$116,РД[Дата подачи на регистрацию],"&lt;="&amp;$A$1,РД[Дата подачи на регистрацию],"&gt;="&amp;DATE(YEAR($A$1),MONTH($A$1),1))</f>
        <v>2</v>
      </c>
      <c r="N126" s="243">
        <f>COUNTIFS(РД[Тип кв],N117,РД[ИМ],$A126,РД[Дом],$C$116,РД[Дата подачи на регистрацию],"&lt;="&amp;$A$1,РД[Дата подачи на регистрацию],"&gt;="&amp;DATE(YEAR($A$1),MONTH($A$1),1))</f>
        <v>6</v>
      </c>
      <c r="O126" s="243">
        <f>COUNTIFS(РД[Тип кв],O117,РД[ИМ],$A126,РД[Дом],$C$116,РД[Дата подачи на регистрацию],"&lt;="&amp;$A$1,РД[Дата подачи на регистрацию],"&gt;="&amp;DATE(YEAR($A$1),MONTH($A$1),1))</f>
        <v>5</v>
      </c>
      <c r="P126" s="243">
        <f>COUNTIFS(РД[Тип кв],P117,РД[ИМ],$A126,РД[Дом],$C$116,РД[Дата подачи на регистрацию],"&lt;="&amp;$A$1,РД[Дата подачи на регистрацию],"&gt;="&amp;DATE(YEAR($A$1),MONTH($A$1),1))</f>
        <v>1</v>
      </c>
      <c r="Q126" s="246">
        <f>COUNTIFS(РД[Тип кв],Q117,РД[ИМ],$A126,РД[Дом],$C$116,РД[Дата подачи на регистрацию],"&lt;="&amp;$A$1,РД[Дата подачи на регистрацию],"&gt;="&amp;DATE(YEAR($A$1),MONTH($A$1),1))</f>
        <v>0</v>
      </c>
      <c r="U126" s="66"/>
    </row>
    <row r="127" spans="1:21" s="65" customFormat="1">
      <c r="A127" s="153" t="s">
        <v>22</v>
      </c>
      <c r="B127" s="271">
        <f>IFERROR(VLOOKUP(A127,'Индивидуальный план'!$AH$5:$AJ$15,2,0),"")</f>
        <v>400</v>
      </c>
      <c r="C127" s="52">
        <f>IFERROR(VLOOKUP(A127,'Индивидуальный план'!$AH$5:$AJ$15,3,0),"")</f>
        <v>37246233.600000001</v>
      </c>
      <c r="D127" s="695"/>
      <c r="E127" s="145">
        <f>SUMIFS(sept202122[м2],sept202122[ИМ],A127,sept202122[№ дома],$C$116,sept202122[Комнатность],"&lt;&gt;Офис")</f>
        <v>394.28999999999996</v>
      </c>
      <c r="F127" s="149">
        <f>SUMIFS(sept202122[Сумма без отделки],sept202122[ИМ],$A127,sept202122[№ дома],$C$116,sept202122[Комнатность],"&lt;&gt;Офис")</f>
        <v>34808413</v>
      </c>
      <c r="G127" s="147">
        <f>COUNTIFS(sept202122[ИМ],$A127,sept202122[№ дома],$C$116,sept202122[Комнатность],"&lt;&gt;Офис")</f>
        <v>6</v>
      </c>
      <c r="H127" s="195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394.28999999999996</v>
      </c>
      <c r="I127" s="196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34628876</v>
      </c>
      <c r="J127" s="251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6</v>
      </c>
      <c r="K127" s="252">
        <f t="shared" si="2"/>
        <v>0.98572499999999996</v>
      </c>
      <c r="L127" s="253">
        <f t="shared" si="2"/>
        <v>0.92972826116839902</v>
      </c>
      <c r="M127" s="195">
        <f>COUNTIFS(РД[Тип кв],M117,РД[ИМ],$A127,РД[Дом],$C$116,РД[Дата подачи на регистрацию],"&lt;="&amp;$A$1,РД[Дата подачи на регистрацию],"&gt;="&amp;DATE(YEAR($A$1),MONTH($A$1),1))</f>
        <v>0</v>
      </c>
      <c r="N127" s="251">
        <f>COUNTIFS(РД[Тип кв],N117,РД[ИМ],$A127,РД[Дом],$C$116,РД[Дата подачи на регистрацию],"&lt;="&amp;$A$1,РД[Дата подачи на регистрацию],"&gt;="&amp;DATE(YEAR($A$1),MONTH($A$1),1))</f>
        <v>0</v>
      </c>
      <c r="O127" s="251">
        <f>COUNTIFS(РД[Тип кв],O117,РД[ИМ],$A127,РД[Дом],$C$116,РД[Дата подачи на регистрацию],"&lt;="&amp;$A$1,РД[Дата подачи на регистрацию],"&gt;="&amp;DATE(YEAR($A$1),MONTH($A$1),1))</f>
        <v>6</v>
      </c>
      <c r="P127" s="251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Q127" s="254">
        <f>COUNTIFS(РД[Тип кв],Q117,РД[ИМ],$A127,РД[Дом],$C$116,РД[Дата подачи на регистрацию],"&lt;="&amp;$A$1,РД[Дата подачи на регистрацию],"&gt;="&amp;DATE(YEAR($A$1),MONTH($A$1),1))</f>
        <v>0</v>
      </c>
      <c r="U127" s="66"/>
    </row>
    <row r="128" spans="1:21" s="65" customFormat="1">
      <c r="A128" s="317" t="s">
        <v>114</v>
      </c>
      <c r="B128" s="172">
        <f t="shared" ref="B128:Q128" si="3">SUM(B126:B127)</f>
        <v>1200</v>
      </c>
      <c r="C128" s="173">
        <f t="shared" si="3"/>
        <v>111738700.80000001</v>
      </c>
      <c r="D128" s="696">
        <f t="shared" si="3"/>
        <v>0</v>
      </c>
      <c r="E128" s="484">
        <f t="shared" si="3"/>
        <v>1098.44</v>
      </c>
      <c r="F128" s="429">
        <f t="shared" si="3"/>
        <v>101318026.48</v>
      </c>
      <c r="G128" s="485">
        <f t="shared" si="3"/>
        <v>20</v>
      </c>
      <c r="H128" s="473">
        <f t="shared" si="3"/>
        <v>1054.07</v>
      </c>
      <c r="I128" s="429">
        <f t="shared" si="3"/>
        <v>96968489.480000004</v>
      </c>
      <c r="J128" s="494">
        <f t="shared" si="3"/>
        <v>19</v>
      </c>
      <c r="K128" s="419">
        <f t="shared" si="2"/>
        <v>0.87839166666666657</v>
      </c>
      <c r="L128" s="420">
        <f t="shared" si="2"/>
        <v>0.86781472118208125</v>
      </c>
      <c r="M128" s="473">
        <f t="shared" si="3"/>
        <v>2</v>
      </c>
      <c r="N128" s="494">
        <f t="shared" si="3"/>
        <v>6</v>
      </c>
      <c r="O128" s="494">
        <f t="shared" si="3"/>
        <v>11</v>
      </c>
      <c r="P128" s="494">
        <f t="shared" si="3"/>
        <v>1</v>
      </c>
      <c r="Q128" s="497">
        <f t="shared" si="3"/>
        <v>0</v>
      </c>
      <c r="U128" s="66"/>
    </row>
    <row r="129" spans="1:21" s="65" customFormat="1">
      <c r="A129" s="134"/>
      <c r="B129" s="197"/>
      <c r="C129" s="197"/>
      <c r="D129" s="198"/>
      <c r="E129" s="134"/>
      <c r="F129" s="44"/>
      <c r="G129" s="134"/>
      <c r="H129" s="134"/>
      <c r="I129" s="44"/>
      <c r="J129" s="134"/>
      <c r="K129" s="255"/>
      <c r="L129" s="256"/>
      <c r="M129" s="134"/>
      <c r="N129" s="134"/>
      <c r="O129" s="134"/>
      <c r="P129" s="134"/>
      <c r="Q129" s="134"/>
      <c r="U129" s="66"/>
    </row>
    <row r="130" spans="1:21" s="65" customFormat="1">
      <c r="A130" s="2327" t="s">
        <v>713</v>
      </c>
      <c r="B130" s="2328"/>
      <c r="C130" s="474" t="s">
        <v>13</v>
      </c>
      <c r="D130" s="697"/>
      <c r="E130" s="475"/>
      <c r="F130" s="475"/>
      <c r="G130" s="475"/>
      <c r="H130" s="476"/>
      <c r="I130" s="476"/>
      <c r="J130" s="476"/>
      <c r="K130" s="476"/>
      <c r="L130" s="476"/>
      <c r="M130" s="475"/>
      <c r="N130" s="475"/>
      <c r="O130" s="475"/>
      <c r="P130" s="475"/>
      <c r="Q130" s="498"/>
      <c r="U130" s="66"/>
    </row>
    <row r="131" spans="1:21" s="65" customFormat="1">
      <c r="A131" s="698" t="s">
        <v>1</v>
      </c>
      <c r="B131" s="699" t="s">
        <v>100</v>
      </c>
      <c r="C131" s="700" t="s">
        <v>97</v>
      </c>
      <c r="D131" s="701" t="s">
        <v>95</v>
      </c>
      <c r="E131" s="137" t="s">
        <v>494</v>
      </c>
      <c r="F131" s="477" t="s">
        <v>495</v>
      </c>
      <c r="G131" s="478" t="s">
        <v>496</v>
      </c>
      <c r="H131" s="479" t="s">
        <v>101</v>
      </c>
      <c r="I131" s="479" t="s">
        <v>98</v>
      </c>
      <c r="J131" s="479" t="s">
        <v>96</v>
      </c>
      <c r="K131" s="479" t="s">
        <v>715</v>
      </c>
      <c r="L131" s="479" t="s">
        <v>716</v>
      </c>
      <c r="M131" s="499">
        <v>0</v>
      </c>
      <c r="N131" s="340">
        <v>1</v>
      </c>
      <c r="O131" s="340">
        <v>2</v>
      </c>
      <c r="P131" s="340">
        <v>3</v>
      </c>
      <c r="Q131" s="500" t="s">
        <v>1367</v>
      </c>
      <c r="U131" s="66"/>
    </row>
    <row r="132" spans="1:21" s="65" customFormat="1">
      <c r="A132" s="398" t="s">
        <v>8</v>
      </c>
      <c r="B132" s="271">
        <f>IFERROR(VLOOKUP(A132,'Индивидуальный план'!$AH$20:$AJ$30,2,0),"")</f>
        <v>780</v>
      </c>
      <c r="C132" s="52">
        <f>IFERROR(VLOOKUP(A132,'Индивидуальный план'!$AH$20:$AJ$30,3,0),"")</f>
        <v>68199911.832000002</v>
      </c>
      <c r="D132" s="327"/>
      <c r="E132" s="257">
        <f>SUMIFS(sept202122[м2],sept202122[МОП],$A132,sept202122[№ дома],$C$130,sept202122[Комнатность],"&lt;&gt;Офис")</f>
        <v>566.08999999999992</v>
      </c>
      <c r="F132" s="52">
        <f>SUMIFS(sept202122[Сумма без отделки],sept202122[МОП],$A132,sept202122[№ дома],$C$130,sept202122[Комнатность],"&lt;&gt;Офис")</f>
        <v>49643416.840000004</v>
      </c>
      <c r="G132" s="413">
        <f>COUNTIFS(sept202122[МОП],$A132,sept202122[№ дома],$C$130,sept202122[Комнатность],"&lt;&gt;Офис")</f>
        <v>10</v>
      </c>
      <c r="H132" s="202">
        <f>SUMIFS(РД[S],РД[Дом],$C$130,РД[МОП],A132,РД[Дата подачи на регистрацию],"&lt;="&amp;$A$1,РД[Дата подачи на регистрацию],"&gt;="&amp;DATE(YEAR($A$1),MONTH($A$1),1),РД[Состояние],"Продажа")</f>
        <v>628.25999999999988</v>
      </c>
      <c r="I132" s="203">
        <f>SUMIFS(РД[Стоимость без отделки итог],РД[Дом],$C$130,РД[МОП],A132,РД[Дата подачи на регистрацию],"&lt;="&amp;$A$1,РД[Дата подачи на регистрацию],"&gt;="&amp;DATE(YEAR($A$1),MONTH($A$1),1),РД[Состояние],"Продажа")</f>
        <v>55065016.840000004</v>
      </c>
      <c r="J132" s="226">
        <f>COUNTIFS(РД[Дом],$C$130,РД[МОП],A132,РД[Дата подачи на регистрацию],"&lt;="&amp;$A$1,РД[Дата подачи на регистрацию],"&gt;="&amp;DATE(YEAR($A$1),MONTH($A$1),1),РД[Состояние],"Продажа")</f>
        <v>11</v>
      </c>
      <c r="K132" s="224">
        <f t="shared" ref="K132:L137" si="4">IFERROR(H132/B132,)</f>
        <v>0.80546153846153834</v>
      </c>
      <c r="L132" s="225">
        <f t="shared" si="4"/>
        <v>0.80740598280602194</v>
      </c>
      <c r="M132" s="257">
        <f>COUNTIFS(РД[Тип кв],M$131,РД[МОП],$A132,РД[Дом],$C$130,РД[Дата подачи на регистрацию],"&lt;="&amp;$A$1,РД[Дата подачи на регистрацию],"&gt;="&amp;DATE(YEAR($A$1),MONTH($A$1),1))</f>
        <v>0</v>
      </c>
      <c r="N132" s="226">
        <f>COUNTIFS(РД[Тип кв],N$131,РД[МОП],$A132,РД[Дом],$C$130,РД[Дата подачи на регистрацию],"&lt;="&amp;$A$1,РД[Дата подачи на регистрацию],"&gt;="&amp;DATE(YEAR($A$1),MONTH($A$1),1))</f>
        <v>4</v>
      </c>
      <c r="O132" s="226">
        <f>COUNTIFS(РД[Тип кв],O$131,РД[МОП],$A132,РД[Дом],$C$130,РД[Дата подачи на регистрацию],"&lt;="&amp;$A$1,РД[Дата подачи на регистрацию],"&gt;="&amp;DATE(YEAR($A$1),MONTH($A$1),1))</f>
        <v>6</v>
      </c>
      <c r="P132" s="226">
        <f>COUNTIFS(РД[Тип кв],P$131,РД[МОП],$A132,РД[Дом],$C$130,РД[Дата подачи на регистрацию],"&lt;="&amp;$A$1,РД[Дата подачи на регистрацию],"&gt;="&amp;DATE(YEAR($A$1),MONTH($A$1),1))</f>
        <v>1</v>
      </c>
      <c r="Q132" s="227">
        <f>COUNTIFS(РД[Тип кв],Q$131,РД[МОП],$A132,РД[Дом],$C$130,РД[Дата подачи на регистрацию],"&lt;="&amp;$A$1,РД[Дата подачи на регистрацию],"&gt;="&amp;DATE(YEAR($A$1),MONTH($A$1),1))</f>
        <v>0</v>
      </c>
      <c r="U132" s="66"/>
    </row>
    <row r="133" spans="1:21" s="65" customFormat="1">
      <c r="A133" s="398" t="s">
        <v>1867</v>
      </c>
      <c r="B133" s="271">
        <f>IFERROR(VLOOKUP(A133,'Индивидуальный план'!$AH$20:$AJ$30,2,0),"")</f>
        <v>253</v>
      </c>
      <c r="C133" s="52">
        <f>IFERROR(VLOOKUP(A133,'Индивидуальный план'!$AH$20:$AJ$30,3,0),"")</f>
        <v>22121253.453200001</v>
      </c>
      <c r="D133" s="327"/>
      <c r="E133" s="257">
        <f>SUMIFS(sept202122[м2],sept202122[МОП],$A133,sept202122[№ дома],$C$130,sept202122[Комнатность],"&lt;&gt;Офис")</f>
        <v>0</v>
      </c>
      <c r="F133" s="52">
        <f>SUMIFS(sept202122[Сумма без отделки],sept202122[МОП],$A133,sept202122[№ дома],$C$130,sept202122[Комнатность],"&lt;&gt;Офис")</f>
        <v>0</v>
      </c>
      <c r="G133" s="413">
        <f>COUNTIFS(sept202122[МОП],$A133,sept202122[№ дома],$C$130,sept202122[Комнатность],"&lt;&gt;Офис")</f>
        <v>0</v>
      </c>
      <c r="H133" s="202">
        <f>SUMIFS(РД[S],РД[Дом],$C$130,РД[МОП],A133,РД[Дата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I133" s="203">
        <f>SUMIFS(РД[Стоимость без отделки итог],РД[Дом],$C$130,РД[МОП],A133,РД[Дата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J133" s="226">
        <f>COUNTIFS(РД[Дом],$C$130,РД[МОП],A133,РД[Дата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K133" s="224">
        <f t="shared" si="4"/>
        <v>0</v>
      </c>
      <c r="L133" s="225">
        <f t="shared" si="4"/>
        <v>0</v>
      </c>
      <c r="M133" s="257">
        <f>COUNTIFS(РД[Тип кв],M$131,РД[МОП],$A133,РД[Дом],$C$130,РД[Дата подачи на регистрацию],"&lt;="&amp;$A$1,РД[Дата подачи на регистрацию],"&gt;="&amp;DATE(YEAR($A$1),MONTH($A$1),1))</f>
        <v>0</v>
      </c>
      <c r="N133" s="226">
        <f>COUNTIFS(РД[Тип кв],N$131,РД[МОП],$A133,РД[Дом],$C$130,РД[Дата подачи на регистрацию],"&lt;="&amp;$A$1,РД[Дата подачи на регистрацию],"&gt;="&amp;DATE(YEAR($A$1),MONTH($A$1),1))</f>
        <v>0</v>
      </c>
      <c r="O133" s="226">
        <f>COUNTIFS(РД[Тип кв],O$131,РД[МОП],$A133,РД[Дом],$C$130,РД[Дата подачи на регистрацию],"&lt;="&amp;$A$1,РД[Дата подачи на регистрацию],"&gt;="&amp;DATE(YEAR($A$1),MONTH($A$1),1))</f>
        <v>0</v>
      </c>
      <c r="P133" s="226">
        <f>COUNTIFS(РД[Тип кв],P$131,РД[МОП],$A133,РД[Дом],$C$130,РД[Дата подачи на регистрацию],"&lt;="&amp;$A$1,РД[Дата подачи на регистрацию],"&gt;="&amp;DATE(YEAR($A$1),MONTH($A$1),1))</f>
        <v>0</v>
      </c>
      <c r="Q133" s="227">
        <f>COUNTIFS(РД[Тип кв],Q$131,РД[МОП],$A133,РД[Дом],$C$130,РД[Дата подачи на регистрацию],"&lt;="&amp;$A$1,РД[Дата подачи на регистрацию],"&gt;="&amp;DATE(YEAR($A$1),MONTH($A$1),1))</f>
        <v>0</v>
      </c>
      <c r="U133" s="66"/>
    </row>
    <row r="134" spans="1:21" s="65" customFormat="1">
      <c r="A134" s="153" t="s">
        <v>20</v>
      </c>
      <c r="B134" s="271">
        <f>IFERROR(VLOOKUP(A134,'Индивидуальный план'!$AH$20:$AJ$30,2,0),"")</f>
        <v>780</v>
      </c>
      <c r="C134" s="52">
        <f>IFERROR(VLOOKUP(A134,'Индивидуальный план'!$AH$20:$AJ$30,3,0),"")</f>
        <v>68199911.832000002</v>
      </c>
      <c r="D134" s="327"/>
      <c r="E134" s="257">
        <f>SUMIFS(sept202122[м2],sept202122[МОП],$A134,sept202122[№ дома],$C$130,sept202122[Комнатность],"&lt;&gt;Офис")</f>
        <v>319.82</v>
      </c>
      <c r="F134" s="52">
        <f>SUMIFS(sept202122[Сумма без отделки],sept202122[МОП],$A134,sept202122[№ дома],$C$130,sept202122[Комнатность],"&lt;&gt;Офис")</f>
        <v>28715184.859999999</v>
      </c>
      <c r="G134" s="413">
        <f>COUNTIFS(sept202122[МОП],$A134,sept202122[№ дома],$C$130,sept202122[Комнатность],"&lt;&gt;Офис")</f>
        <v>6</v>
      </c>
      <c r="H134" s="202">
        <f>SUMIFS(РД[S],РД[Дом],$C$130,РД[МОП],A134,РД[Дата подачи на регистрацию],"&lt;="&amp;$A$1,РД[Дата подачи на регистрацию],"&gt;="&amp;DATE(YEAR($A$1),MONTH($A$1),1),РД[Состояние],"Продажа")</f>
        <v>402.56000000000006</v>
      </c>
      <c r="I134" s="203">
        <f>SUMIFS(РД[Стоимость без отделки итог],РД[Дом],$C$130,РД[МОП],A134,РД[Дата подачи на регистрацию],"&lt;="&amp;$A$1,РД[Дата подачи на регистрацию],"&gt;="&amp;DATE(YEAR($A$1),MONTH($A$1),1),РД[Состояние],"Продажа")</f>
        <v>36613308.850000001</v>
      </c>
      <c r="J134" s="226">
        <f>COUNTIFS(РД[Дом],$C$130,РД[МОП],A134,РД[Дата подачи на регистрацию],"&lt;="&amp;$A$1,РД[Дата подачи на регистрацию],"&gt;="&amp;DATE(YEAR($A$1),MONTH($A$1),1),РД[Состояние],"Продажа")</f>
        <v>8</v>
      </c>
      <c r="K134" s="224">
        <f t="shared" si="4"/>
        <v>0.51610256410256417</v>
      </c>
      <c r="L134" s="225">
        <f t="shared" si="4"/>
        <v>0.53685272995940614</v>
      </c>
      <c r="M134" s="257">
        <f>COUNTIFS(РД[Тип кв],M$131,РД[МОП],$A134,РД[Дом],$C$130,РД[Дата подачи на регистрацию],"&lt;="&amp;$A$1,РД[Дата подачи на регистрацию],"&gt;="&amp;DATE(YEAR($A$1),MONTH($A$1),1))</f>
        <v>1</v>
      </c>
      <c r="N134" s="226">
        <f>COUNTIFS(РД[Тип кв],N$131,РД[МОП],$A134,РД[Дом],$C$130,РД[Дата подачи на регистрацию],"&lt;="&amp;$A$1,РД[Дата подачи на регистрацию],"&gt;="&amp;DATE(YEAR($A$1),MONTH($A$1),1))</f>
        <v>3</v>
      </c>
      <c r="O134" s="226">
        <f>COUNTIFS(РД[Тип кв],O$131,РД[МОП],$A134,РД[Дом],$C$130,РД[Дата подачи на регистрацию],"&lt;="&amp;$A$1,РД[Дата подачи на регистрацию],"&gt;="&amp;DATE(YEAR($A$1),MONTH($A$1),1))</f>
        <v>3</v>
      </c>
      <c r="P134" s="226">
        <f>COUNTIFS(РД[Тип кв],P$131,РД[МОП],$A134,РД[Дом],$C$130,РД[Дата подачи на регистрацию],"&lt;="&amp;$A$1,РД[Дата подачи на регистрацию],"&gt;="&amp;DATE(YEAR($A$1),MONTH($A$1),1))</f>
        <v>1</v>
      </c>
      <c r="Q134" s="227">
        <f>COUNTIFS(РД[Тип кв],Q$131,РД[МОП],$A134,РД[Дом],$C$130,РД[Дата подачи на регистрацию],"&lt;="&amp;$A$1,РД[Дата подачи на регистрацию],"&gt;="&amp;DATE(YEAR($A$1),MONTH($A$1),1))</f>
        <v>0</v>
      </c>
      <c r="U134" s="66"/>
    </row>
    <row r="135" spans="1:21" s="65" customFormat="1">
      <c r="A135" s="153" t="s">
        <v>14</v>
      </c>
      <c r="B135" s="271">
        <f>IFERROR(VLOOKUP(A135,'Индивидуальный план'!$AH$20:$AJ$30,2,0),"")</f>
        <v>780</v>
      </c>
      <c r="C135" s="52">
        <f>IFERROR(VLOOKUP(A135,'Индивидуальный план'!$AH$20:$AJ$30,3,0),"")</f>
        <v>68199911.832000002</v>
      </c>
      <c r="D135" s="366"/>
      <c r="E135" s="329">
        <f>SUMIFS(sept202122[м2],sept202122[МОП],$A135,sept202122[№ дома],$C$130,sept202122[Комнатность],"&lt;&gt;Офис")</f>
        <v>443.39000000000004</v>
      </c>
      <c r="F135" s="363">
        <f>SUMIFS(sept202122[Сумма без отделки],sept202122[МОП],$A135,sept202122[№ дома],$C$130,sept202122[Комнатность],"&lt;&gt;Офис")</f>
        <v>40375656.549999997</v>
      </c>
      <c r="G135" s="414">
        <f>COUNTIFS(sept202122[МОП],$A135,sept202122[№ дома],$C$130,sept202122[Комнатность],"&lt;&gt;Офис")</f>
        <v>9</v>
      </c>
      <c r="H135" s="358">
        <f>SUMIFS(РД[S],РД[Дом],$C$130,РД[МОП],A135,РД[Дата подачи на регистрацию],"&lt;="&amp;$A$1,РД[Дата подачи на регистрацию],"&gt;="&amp;DATE(YEAR($A$1),MONTH($A$1),1),РД[Состояние],"Продажа")</f>
        <v>528.38</v>
      </c>
      <c r="I135" s="359">
        <f>SUMIFS(РД[Стоимость без отделки итог],РД[Дом],$C$130,РД[МОП],A135,РД[Дата подачи на регистрацию],"&lt;="&amp;$A$1,РД[Дата подачи на регистрацию],"&gt;="&amp;DATE(YEAR($A$1),MONTH($A$1),1),РД[Состояние],"Продажа")</f>
        <v>47133405.229999997</v>
      </c>
      <c r="J135" s="330">
        <f>COUNTIFS(РД[Дом],$C$130,РД[МОП],A135,РД[Дата подачи на регистрацию],"&lt;="&amp;$A$1,РД[Дата подачи на регистрацию],"&gt;="&amp;DATE(YEAR($A$1),MONTH($A$1),1),РД[Состояние],"Продажа")</f>
        <v>10</v>
      </c>
      <c r="K135" s="360">
        <f t="shared" si="4"/>
        <v>0.67741025641025643</v>
      </c>
      <c r="L135" s="361">
        <f t="shared" si="4"/>
        <v>0.69110654198653354</v>
      </c>
      <c r="M135" s="329">
        <f>COUNTIFS(РД[Тип кв],M$131,РД[МОП],$A135,РД[Дом],$C$130,РД[Дата подачи на регистрацию],"&lt;="&amp;$A$1,РД[Дата подачи на регистрацию],"&gt;="&amp;DATE(YEAR($A$1),MONTH($A$1),1))</f>
        <v>1</v>
      </c>
      <c r="N135" s="330">
        <f>COUNTIFS(РД[Тип кв],N$131,РД[МОП],$A135,РД[Дом],$C$130,РД[Дата подачи на регистрацию],"&lt;="&amp;$A$1,РД[Дата подачи на регистрацию],"&gt;="&amp;DATE(YEAR($A$1),MONTH($A$1),1))</f>
        <v>3</v>
      </c>
      <c r="O135" s="330">
        <f>COUNTIFS(РД[Тип кв],O$131,РД[МОП],$A135,РД[Дом],$C$130,РД[Дата подачи на регистрацию],"&lt;="&amp;$A$1,РД[Дата подачи на регистрацию],"&gt;="&amp;DATE(YEAR($A$1),MONTH($A$1),1))</f>
        <v>5</v>
      </c>
      <c r="P135" s="330">
        <f>COUNTIFS(РД[Тип кв],P$131,РД[МОП],$A135,РД[Дом],$C$130,РД[Дата подачи на регистрацию],"&lt;="&amp;$A$1,РД[Дата подачи на регистрацию],"&gt;="&amp;DATE(YEAR($A$1),MONTH($A$1),1))</f>
        <v>1</v>
      </c>
      <c r="Q135" s="331">
        <f>COUNTIFS(РД[Тип кв],Q$131,РД[МОП],$A135,РД[Дом],$C$130,РД[Дата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154" t="s">
        <v>29</v>
      </c>
      <c r="B136" s="274" t="str">
        <f>IFERROR(VLOOKUP(A136,'Индивидуальный план'!$R$3:$T$14,2,0),"")</f>
        <v/>
      </c>
      <c r="C136" s="277" t="str">
        <f>IFERROR(VLOOKUP(A136,'Индивидуальный план'!$R$3:$T$14,3,0),"")</f>
        <v/>
      </c>
      <c r="D136" s="690"/>
      <c r="E136" s="341">
        <f>SUMIFS(sept202122[м2],sept202122[МОП],$A136,sept202122[№ дома],$C$130,sept202122[Комнатность],"&lt;&gt;Офис")</f>
        <v>0</v>
      </c>
      <c r="F136" s="277">
        <f>SUMIFS(sept202122[Сумма без отделки],sept202122[МОП],$A136,sept202122[№ дома],$C$130,sept202122[Комнатность],"&lt;&gt;Офис")</f>
        <v>0</v>
      </c>
      <c r="G136" s="405">
        <f>COUNTIFS(sept202122[МОП],$A136,sept202122[№ дома],$C$130,sept202122[Комнатность],"&lt;&gt;Офис")</f>
        <v>0</v>
      </c>
      <c r="H136" s="159">
        <f>SUMIFS(РД[S],РД[Дом],$C$130,РД[МОП],A136,РД[Дата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160">
        <f>SUMIFS(РД[Стоимость без отделки итог],РД[Дом],$C$130,РД[МОП],A136,РД[Дата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8">
        <f>COUNTIFS(РД[Дом],$C$130,РД[МОП],A136,РД[Дата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K136" s="229">
        <f t="shared" si="4"/>
        <v>0</v>
      </c>
      <c r="L136" s="230">
        <f t="shared" si="4"/>
        <v>0</v>
      </c>
      <c r="M136" s="341">
        <f>COUNTIFS(РД[Тип кв],M$131,РД[МОП],$A136,РД[Дом],$C$130,РД[Дата подачи на регистрацию],"&lt;="&amp;$A$1,РД[Дата подачи на регистрацию],"&gt;="&amp;DATE(YEAR($A$1),MONTH($A$1),1))</f>
        <v>0</v>
      </c>
      <c r="N136" s="228">
        <f>COUNTIFS(РД[Тип кв],N$131,РД[МОП],$A136,РД[Дом],$C$130,РД[Дата подачи на регистрацию],"&lt;="&amp;$A$1,РД[Дата подачи на регистрацию],"&gt;="&amp;DATE(YEAR($A$1),MONTH($A$1),1))</f>
        <v>0</v>
      </c>
      <c r="O136" s="228">
        <f>COUNTIFS(РД[Тип кв],O$131,РД[МОП],$A136,РД[Дом],$C$130,РД[Дата подачи на регистрацию],"&lt;="&amp;$A$1,РД[Дата подачи на регистрацию],"&gt;="&amp;DATE(YEAR($A$1),MONTH($A$1),1))</f>
        <v>0</v>
      </c>
      <c r="P136" s="228">
        <f>COUNTIFS(РД[Тип кв],P$131,РД[МОП],$A136,РД[Дом],$C$130,РД[Дата подачи на регистрацию],"&lt;="&amp;$A$1,РД[Дата подачи на регистрацию],"&gt;="&amp;DATE(YEAR($A$1),MONTH($A$1),1))</f>
        <v>0</v>
      </c>
      <c r="Q136" s="231">
        <f>COUNTIFS(РД[Тип кв],Q$131,РД[МОП],$A136,РД[Дом],$C$130,РД[Дата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161" t="s">
        <v>1207</v>
      </c>
      <c r="B137" s="278" t="str">
        <f>IFERROR(VLOOKUP(A137,'Индивидуальный план'!$R$3:$T$14,2,0),"")</f>
        <v/>
      </c>
      <c r="C137" s="281" t="str">
        <f>IFERROR(VLOOKUP(A137,'Индивидуальный план'!$R$3:$T$14,3,0),"")</f>
        <v/>
      </c>
      <c r="D137" s="511"/>
      <c r="E137" s="406">
        <f>SUMIFS(sept202122[м2],sept202122[МОП],$A137,sept202122[№ дома],$C$130,sept202122[Комнатность],"&lt;&gt;Офис")</f>
        <v>109.49</v>
      </c>
      <c r="F137" s="281">
        <f>SUMIFS(sept202122[Сумма без отделки],sept202122[МОП],$A137,sept202122[№ дома],$C$130,sept202122[Комнатность],"&lt;&gt;Офис")</f>
        <v>9389048.6799999997</v>
      </c>
      <c r="G137" s="407">
        <f>COUNTIFS(sept202122[МОП],$A137,sept202122[№ дома],$C$130,sept202122[Комнатность],"&lt;&gt;Офис")</f>
        <v>2</v>
      </c>
      <c r="H137" s="166">
        <f>SUMIFS(РД[S],РД[Дом],$C$130,РД[МОП],A137,РД[Дата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167">
        <f>SUMIFS(РД[Стоимость без отделки итог],РД[Дом],$C$130,РД[МОП],A137,РД[Дата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2">
        <f>COUNTIFS(РД[Дом],$C$130,РД[МОП],A137,РД[Дата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K137" s="233">
        <f t="shared" si="4"/>
        <v>0</v>
      </c>
      <c r="L137" s="234">
        <f t="shared" si="4"/>
        <v>0</v>
      </c>
      <c r="M137" s="406">
        <f>COUNTIFS(РД[Тип кв],M$131,РД[МОП],$A137,РД[Дом],$C$130,РД[Дата подачи на регистрацию],"&lt;="&amp;$A$1,РД[Дата подачи на регистрацию],"&gt;="&amp;DATE(YEAR($A$1),MONTH($A$1),1))</f>
        <v>0</v>
      </c>
      <c r="N137" s="232">
        <f>COUNTIFS(РД[Тип кв],N$131,РД[МОП],$A137,РД[Дом],$C$130,РД[Дата подачи на регистрацию],"&lt;="&amp;$A$1,РД[Дата подачи на регистрацию],"&gt;="&amp;DATE(YEAR($A$1),MONTH($A$1),1))</f>
        <v>0</v>
      </c>
      <c r="O137" s="232">
        <f>COUNTIFS(РД[Тип кв],O$131,РД[МОП],$A137,РД[Дом],$C$130,РД[Дата подачи на регистрацию],"&lt;="&amp;$A$1,РД[Дата подачи на регистрацию],"&gt;="&amp;DATE(YEAR($A$1),MONTH($A$1),1))</f>
        <v>0</v>
      </c>
      <c r="P137" s="232">
        <f>COUNTIFS(РД[Тип кв],P$131,РД[МОП],$A137,РД[Дом],$C$130,РД[Дата подачи на регистрацию],"&lt;="&amp;$A$1,РД[Дата подачи на регистрацию],"&gt;="&amp;DATE(YEAR($A$1),MONTH($A$1),1))</f>
        <v>0</v>
      </c>
      <c r="Q137" s="337">
        <f>COUNTIFS(РД[Тип кв],Q$131,РД[МОП],$A137,РД[Дом],$C$130,РД[Дата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168" t="s">
        <v>114</v>
      </c>
      <c r="B138" s="172">
        <f t="shared" ref="B138:J138" si="5">SUM(B132:B137)</f>
        <v>2593</v>
      </c>
      <c r="C138" s="172">
        <f t="shared" si="5"/>
        <v>226720988.94920003</v>
      </c>
      <c r="D138" s="691">
        <f t="shared" si="5"/>
        <v>0</v>
      </c>
      <c r="E138" s="173">
        <f t="shared" si="5"/>
        <v>1438.79</v>
      </c>
      <c r="F138" s="173">
        <f t="shared" si="5"/>
        <v>128123306.93000001</v>
      </c>
      <c r="G138" s="171">
        <f t="shared" si="5"/>
        <v>27</v>
      </c>
      <c r="H138" s="172">
        <f t="shared" si="5"/>
        <v>1559.1999999999998</v>
      </c>
      <c r="I138" s="173">
        <f t="shared" si="5"/>
        <v>138811730.91999999</v>
      </c>
      <c r="J138" s="170">
        <f t="shared" si="5"/>
        <v>29</v>
      </c>
      <c r="K138" s="238">
        <f>IFERROR(H138/B138,"")</f>
        <v>0.60131122252217506</v>
      </c>
      <c r="L138" s="501">
        <f>IFERROR(I138/C138,"")</f>
        <v>0.61225796324972215</v>
      </c>
      <c r="M138" s="171">
        <f>SUM(M132:M137)</f>
        <v>2</v>
      </c>
      <c r="N138" s="171">
        <f>SUM(N132:N137)</f>
        <v>10</v>
      </c>
      <c r="O138" s="171">
        <f>SUM(O132:O137)</f>
        <v>14</v>
      </c>
      <c r="P138" s="171">
        <f>SUM(P132:P137)</f>
        <v>3</v>
      </c>
      <c r="Q138" s="171">
        <f>SUM(Q132:Q137)</f>
        <v>0</v>
      </c>
      <c r="U138" s="66"/>
    </row>
    <row r="139" spans="1:21" s="65" customFormat="1">
      <c r="A139" s="692" t="s">
        <v>115</v>
      </c>
      <c r="B139" s="686" t="s">
        <v>100</v>
      </c>
      <c r="C139" s="693" t="s">
        <v>97</v>
      </c>
      <c r="D139" s="688" t="s">
        <v>95</v>
      </c>
      <c r="E139" s="295" t="s">
        <v>494</v>
      </c>
      <c r="F139" s="138" t="s">
        <v>495</v>
      </c>
      <c r="G139" s="470" t="s">
        <v>496</v>
      </c>
      <c r="H139" s="481" t="s">
        <v>101</v>
      </c>
      <c r="I139" s="482" t="s">
        <v>98</v>
      </c>
      <c r="J139" s="482" t="s">
        <v>96</v>
      </c>
      <c r="K139" s="502" t="s">
        <v>715</v>
      </c>
      <c r="L139" s="503" t="s">
        <v>716</v>
      </c>
      <c r="M139" s="504">
        <v>0</v>
      </c>
      <c r="N139" s="505">
        <v>1</v>
      </c>
      <c r="O139" s="505">
        <v>2</v>
      </c>
      <c r="P139" s="505">
        <v>3</v>
      </c>
      <c r="Q139" s="506" t="s">
        <v>1367</v>
      </c>
      <c r="U139" s="66"/>
    </row>
    <row r="140" spans="1:21" s="65" customFormat="1">
      <c r="A140" s="142" t="s">
        <v>16</v>
      </c>
      <c r="B140" s="271">
        <f>IFERROR(VLOOKUP(A140,'Индивидуальный план'!$AH$20:$AJ$30,2,0),"")</f>
        <v>1100</v>
      </c>
      <c r="C140" s="52">
        <f>IFERROR(VLOOKUP(A140,'Индивидуальный план'!$AH$20:$AJ$30,3,0),"")</f>
        <v>96179362.840000004</v>
      </c>
      <c r="D140" s="702"/>
      <c r="E140" s="145">
        <f>SUMIFS(sept202122[м2],sept202122[ИМ],A140,sept202122[№ дома],$C$130,sept202122[Комнатность],"&lt;&gt;Офис")</f>
        <v>898.02</v>
      </c>
      <c r="F140" s="149">
        <f>SUMIFS(sept202122[Сумма без отделки],sept202122[ИМ],$A140,sept202122[№ дома],$C$130,sept202122[Комнатность],"&lt;&gt;Офис")</f>
        <v>78150223.539999992</v>
      </c>
      <c r="G140" s="147">
        <f>COUNTIFS(sept202122[ИМ],$A140,sept202122[№ дома],$C$130,sept202122[Комнатность],"&lt;&gt;Офис")</f>
        <v>16</v>
      </c>
      <c r="H140" s="183">
        <f>SUMIFS(РД[S],РД[Дом],$C$130,РД[ИМ],A140,РД[Дата подачи на регистрацию],"&lt;="&amp;$A$1,РД[Дата подачи на регистрацию],"&gt;="&amp;DATE(YEAR($A$1),MONTH($A$1),1),РД[Состояние],"Продажа")</f>
        <v>898.02</v>
      </c>
      <c r="I140" s="184">
        <f>SUMIFS(РД[Стоимость без отделки итог],РД[Дом],$C$130,РД[ИМ],A140,РД[Дата подачи на регистрацию],"&lt;="&amp;$A$1,РД[Дата подачи на регистрацию],"&gt;="&amp;DATE(YEAR($A$1),MONTH($A$1),1),РД[Состояние],"Продажа")</f>
        <v>78126223.530000001</v>
      </c>
      <c r="J140" s="243">
        <f>COUNTIFS(РД[Дом],$C$130,РД[ИМ],A140,РД[Дата подачи на регистрацию],"&lt;="&amp;$A$1,РД[Дата подачи на регистрацию],"&gt;="&amp;DATE(YEAR($A$1),MONTH($A$1),1),РД[Состояние],"Продажа")</f>
        <v>16</v>
      </c>
      <c r="K140" s="244">
        <f>IFERROR(H140/B140,"")</f>
        <v>0.81638181818181821</v>
      </c>
      <c r="L140" s="245">
        <f>IFERROR(I140/C140,"")</f>
        <v>0.81229716254169348</v>
      </c>
      <c r="M140" s="183">
        <f>COUNTIFS(РД[Тип кв],M131,РД[ИМ],$A140,РД[Дом],$C$130,РД[Дата подачи на регистрацию],"&lt;="&amp;$A$1,РД[Дата подачи на регистрацию],"&gt;="&amp;DATE(YEAR($A$1),MONTH($A$1),1))</f>
        <v>1</v>
      </c>
      <c r="N140" s="243">
        <f>COUNTIFS(РД[Тип кв],N131,РД[ИМ],$A140,РД[Дом],$C$130,РД[Дата подачи на регистрацию],"&lt;="&amp;$A$1,РД[Дата подачи на регистрацию],"&gt;="&amp;DATE(YEAR($A$1),MONTH($A$1),1))</f>
        <v>4</v>
      </c>
      <c r="O140" s="243">
        <f>COUNTIFS(РД[Тип кв],O131,РД[ИМ],$A140,РД[Дом],$C$130,РД[Дата подачи на регистрацию],"&lt;="&amp;$A$1,РД[Дата подачи на регистрацию],"&gt;="&amp;DATE(YEAR($A$1),MONTH($A$1),1))</f>
        <v>8</v>
      </c>
      <c r="P140" s="243">
        <f>COUNTIFS(РД[Тип кв],P131,РД[ИМ],$A140,РД[Дом],$C$130,РД[Дата подачи на регистрацию],"&lt;="&amp;$A$1,РД[Дата подачи на регистрацию],"&gt;="&amp;DATE(YEAR($A$1),MONTH($A$1),1))</f>
        <v>3</v>
      </c>
      <c r="Q140" s="246">
        <f>COUNTIFS(РД[Тип кв],Q131,РД[ИМ],$A140,РД[Дом],$C$130,РД[Дата подачи на регистрацию],"&lt;="&amp;$A$1,РД[Дата подачи на регистрацию],"&gt;="&amp;DATE(YEAR($A$1),MONTH($A$1),1))</f>
        <v>0</v>
      </c>
      <c r="U140" s="66"/>
    </row>
    <row r="141" spans="1:21" s="65" customFormat="1">
      <c r="A141" s="153" t="s">
        <v>22</v>
      </c>
      <c r="B141" s="271">
        <f>IFERROR(VLOOKUP(A141,'Индивидуальный план'!$AH$20:$AJ$30,2,0),"")</f>
        <v>715</v>
      </c>
      <c r="C141" s="52">
        <f>IFERROR(VLOOKUP(A141,'Индивидуальный план'!$AH$20:$AJ$30,3,0),"")</f>
        <v>62516585.846000001</v>
      </c>
      <c r="D141" s="703"/>
      <c r="E141" s="329">
        <f>SUMIFS(sept202122[м2],sept202122[ИМ],A141,sept202122[№ дома],$C$130,sept202122[Комнатность],"&lt;&gt;Офис")</f>
        <v>446.63</v>
      </c>
      <c r="F141" s="359">
        <f>SUMIFS(sept202122[Сумма без отделки],sept202122[ИМ],$A141,sept202122[№ дома],$C$130,sept202122[Комнатность],"&lt;&gt;Офис")</f>
        <v>39895549.840000004</v>
      </c>
      <c r="G141" s="414">
        <f>COUNTIFS(sept202122[ИМ],$A141,sept202122[№ дома],$C$130,sept202122[Комнатность],"&lt;&gt;Офис")</f>
        <v>8</v>
      </c>
      <c r="H141" s="358">
        <f>SUMIFS(РД[S],РД[Дом],$C$130,РД[ИМ],A141,РД[Дата подачи на регистрацию],"&lt;="&amp;$A$1,РД[Дата подачи на регистрацию],"&gt;="&amp;DATE(YEAR($A$1),MONTH($A$1),1),РД[Состояние],"Продажа")</f>
        <v>446.63</v>
      </c>
      <c r="I141" s="359">
        <f>SUMIFS(РД[Стоимость без отделки итог],РД[Дом],$C$130,РД[ИМ],A141,РД[Дата подачи на регистрацию],"&lt;="&amp;$A$1,РД[Дата подачи на регистрацию],"&gt;="&amp;DATE(YEAR($A$1),MONTH($A$1),1),РД[Состояние],"Продажа")</f>
        <v>39895549.840000004</v>
      </c>
      <c r="J141" s="330">
        <f>COUNTIFS(РД[Дом],$C$130,РД[ИМ],A141,РД[Дата подачи на регистрацию],"&lt;="&amp;$A$1,РД[Дата подачи на регистрацию],"&gt;="&amp;DATE(YEAR($A$1),MONTH($A$1),1),РД[Состояние],"Продажа")</f>
        <v>8</v>
      </c>
      <c r="K141" s="360">
        <f>IFERROR(H141/B141,"")</f>
        <v>0.62465734265734263</v>
      </c>
      <c r="L141" s="367">
        <f>IFERROR(I141/C141,"")</f>
        <v>0.63815944681106795</v>
      </c>
      <c r="M141" s="195">
        <f>COUNTIFS(РД[Тип кв],M$131,РД[ИМ],$A141,РД[Дом],$C$130,РД[Дата подачи на регистрацию],"&lt;="&amp;$A$1,РД[Дата подачи на регистрацию],"&gt;="&amp;DATE(YEAR($A$1),MONTH($A$1),1))</f>
        <v>0</v>
      </c>
      <c r="N141" s="251">
        <f>COUNTIFS(РД[Тип кв],N$131,РД[ИМ],$A141,РД[Дом],$C$130,РД[Дата подачи на регистрацию],"&lt;="&amp;$A$1,РД[Дата подачи на регистрацию],"&gt;="&amp;DATE(YEAR($A$1),MONTH($A$1),1))</f>
        <v>3</v>
      </c>
      <c r="O141" s="251">
        <f>COUNTIFS(РД[Тип кв],O$131,РД[ИМ],$A141,РД[Дом],$C$130,РД[Дата подачи на регистрацию],"&lt;="&amp;$A$1,РД[Дата подачи на регистрацию],"&gt;="&amp;DATE(YEAR($A$1),MONTH($A$1),1))</f>
        <v>5</v>
      </c>
      <c r="P141" s="251">
        <f>COUNTIFS(РД[Тип кв],P$131,РД[ИМ],$A141,РД[Дом],$C$130,РД[Дата подачи на регистрацию],"&lt;="&amp;$A$1,РД[Дата подачи на регистрацию],"&gt;="&amp;DATE(YEAR($A$1),MONTH($A$1),1))</f>
        <v>0</v>
      </c>
      <c r="Q141" s="254">
        <f>COUNTIFS(РД[Тип кв],Q$131,РД[ИМ],$A141,РД[Дом],$C$130,РД[Дата подачи на регистрацию],"&lt;="&amp;$A$1,РД[Дата подачи на регистрацию],"&gt;="&amp;DATE(YEAR($A$1),MONTH($A$1),1))</f>
        <v>0</v>
      </c>
      <c r="R141" s="86"/>
      <c r="S141" s="86"/>
      <c r="T141" s="86"/>
      <c r="U141" s="66"/>
    </row>
    <row r="142" spans="1:21" s="65" customFormat="1">
      <c r="A142" s="317" t="s">
        <v>114</v>
      </c>
      <c r="B142" s="410">
        <f t="shared" ref="B142:J142" si="6">SUM(B140:B141)</f>
        <v>1815</v>
      </c>
      <c r="C142" s="411">
        <f t="shared" si="6"/>
        <v>158695948.68599999</v>
      </c>
      <c r="D142" s="497">
        <f t="shared" si="6"/>
        <v>0</v>
      </c>
      <c r="E142" s="484">
        <f t="shared" si="6"/>
        <v>1344.65</v>
      </c>
      <c r="F142" s="429">
        <f t="shared" si="6"/>
        <v>118045773.38</v>
      </c>
      <c r="G142" s="485">
        <f t="shared" si="6"/>
        <v>24</v>
      </c>
      <c r="H142" s="473">
        <f t="shared" si="6"/>
        <v>1344.65</v>
      </c>
      <c r="I142" s="429">
        <f t="shared" si="6"/>
        <v>118021773.37</v>
      </c>
      <c r="J142" s="494">
        <f t="shared" si="6"/>
        <v>24</v>
      </c>
      <c r="K142" s="419">
        <f>IFERROR(H142/B142,)</f>
        <v>0.74085399449035816</v>
      </c>
      <c r="L142" s="507">
        <f>IFERROR(I142/C142,)</f>
        <v>0.74369745634478046</v>
      </c>
      <c r="M142" s="317">
        <f t="shared" ref="M142:Q142" si="7">SUM(M140:M141)</f>
        <v>1</v>
      </c>
      <c r="N142" s="485">
        <f t="shared" si="7"/>
        <v>7</v>
      </c>
      <c r="O142" s="485">
        <f t="shared" si="7"/>
        <v>13</v>
      </c>
      <c r="P142" s="485">
        <f t="shared" si="7"/>
        <v>3</v>
      </c>
      <c r="Q142" s="497">
        <f t="shared" si="7"/>
        <v>0</v>
      </c>
      <c r="R142" s="86"/>
      <c r="S142" s="86"/>
      <c r="T142" s="86"/>
      <c r="U142" s="66"/>
    </row>
    <row r="143" spans="1:21" s="65" customFormat="1">
      <c r="A143" s="134"/>
      <c r="B143" s="211"/>
      <c r="C143" s="211"/>
      <c r="D143" s="212"/>
      <c r="E143" s="134"/>
      <c r="F143" s="134"/>
      <c r="G143" s="134"/>
      <c r="H143" s="134"/>
      <c r="I143" s="134"/>
      <c r="J143" s="134"/>
      <c r="K143" s="134"/>
      <c r="L143" s="261"/>
      <c r="M143" s="134"/>
      <c r="N143" s="134"/>
      <c r="O143" s="134"/>
      <c r="P143" s="262"/>
      <c r="Q143" s="134"/>
      <c r="U143" s="66"/>
    </row>
    <row r="144" spans="1:21" s="65" customFormat="1">
      <c r="A144" s="2327" t="s">
        <v>713</v>
      </c>
      <c r="B144" s="2328"/>
      <c r="C144" s="474" t="s">
        <v>718</v>
      </c>
      <c r="D144" s="704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476"/>
      <c r="Q144" s="134"/>
      <c r="U144" s="66"/>
    </row>
    <row r="145" spans="1:21" s="65" customFormat="1">
      <c r="A145" s="705" t="s">
        <v>1</v>
      </c>
      <c r="B145" s="706" t="s">
        <v>100</v>
      </c>
      <c r="C145" s="707" t="s">
        <v>97</v>
      </c>
      <c r="D145" s="708" t="s">
        <v>95</v>
      </c>
      <c r="E145" s="486" t="s">
        <v>494</v>
      </c>
      <c r="F145" s="487" t="s">
        <v>495</v>
      </c>
      <c r="G145" s="488" t="s">
        <v>496</v>
      </c>
      <c r="H145" s="489" t="s">
        <v>101</v>
      </c>
      <c r="I145" s="490" t="s">
        <v>98</v>
      </c>
      <c r="J145" s="490" t="s">
        <v>96</v>
      </c>
      <c r="K145" s="490" t="s">
        <v>715</v>
      </c>
      <c r="L145" s="508" t="s">
        <v>716</v>
      </c>
      <c r="M145" s="217">
        <v>0</v>
      </c>
      <c r="N145" s="218">
        <v>1</v>
      </c>
      <c r="O145" s="218">
        <v>2</v>
      </c>
      <c r="P145" s="218">
        <v>3</v>
      </c>
      <c r="Q145" s="219" t="s">
        <v>1367</v>
      </c>
      <c r="U145" s="66"/>
    </row>
    <row r="146" spans="1:21" s="65" customFormat="1">
      <c r="A146" s="398" t="s">
        <v>8</v>
      </c>
      <c r="B146" s="271">
        <f>IFERROR(VLOOKUP(A146,'Индивидуальный план'!$AH$35:$AJ$44,2,0),"")</f>
        <v>1300</v>
      </c>
      <c r="C146" s="52">
        <f>IFERROR(VLOOKUP(A146,'Индивидуальный план'!$AH$35:$AJ$44,3,0),"")</f>
        <v>116620015.51199999</v>
      </c>
      <c r="D146" s="327"/>
      <c r="E146" s="257">
        <f>SUMIFS(sept202122[м2],sept202122[МОП],$A146,sept202122[Комнатность],"&lt;&gt;Офис")</f>
        <v>699.02</v>
      </c>
      <c r="F146" s="52">
        <f>SUMIFS(sept202122[Сумма без отделки],sept202122[МОП],$A146,sept202122[Комнатность],"&lt;&gt;Офис")</f>
        <v>63044016.840000004</v>
      </c>
      <c r="G146" s="413">
        <f>COUNTIFS(sept202122[МОП],$A146,sept202122[Комнатность],"&lt;&gt;Офис")</f>
        <v>13</v>
      </c>
      <c r="H146" s="202">
        <f>SUMIFS(РД[S],РД[МОП],A146,РД[Дата подачи на регистрацию],"&lt;="&amp;$A$1,РД[Дата подачи на регистрацию],"&gt;="&amp;DATE(YEAR($A$1),MONTH($A$1),1),РД[Состояние],"Продажа")</f>
        <v>761.19</v>
      </c>
      <c r="I146" s="203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68465616.840000004</v>
      </c>
      <c r="J146" s="226">
        <f>COUNTIFS(РД[МОП],A146,РД[Дата подачи на регистрацию],"&lt;="&amp;$A$1,РД[Дата подачи на регистрацию],"&gt;="&amp;DATE(YEAR($A$1),MONTH($A$1),1),РД[Состояние],"Продажа")</f>
        <v>14</v>
      </c>
      <c r="K146" s="224">
        <f t="shared" ref="K146:L151" si="8">IFERROR(H146/B146,"")</f>
        <v>0.5855307692307693</v>
      </c>
      <c r="L146" s="225">
        <f t="shared" si="8"/>
        <v>0.58708289944409253</v>
      </c>
      <c r="M146" s="325">
        <f t="shared" ref="M146:Q147" si="9">M132+M118</f>
        <v>0</v>
      </c>
      <c r="N146" s="326">
        <f t="shared" si="9"/>
        <v>7</v>
      </c>
      <c r="O146" s="326">
        <f t="shared" si="9"/>
        <v>7</v>
      </c>
      <c r="P146" s="326">
        <f t="shared" si="9"/>
        <v>1</v>
      </c>
      <c r="Q146" s="327">
        <f t="shared" si="9"/>
        <v>0</v>
      </c>
      <c r="U146" s="66"/>
    </row>
    <row r="147" spans="1:21" s="65" customFormat="1">
      <c r="A147" s="398" t="s">
        <v>1867</v>
      </c>
      <c r="B147" s="271">
        <f>IFERROR(VLOOKUP(A147,'Индивидуальный план'!$AH$35:$AJ$44,2,0),"")</f>
        <v>410</v>
      </c>
      <c r="C147" s="52">
        <f>IFERROR(VLOOKUP(A147,'Индивидуальный план'!$AH$35:$AJ$44,3,0),"")</f>
        <v>36740400.141200006</v>
      </c>
      <c r="D147" s="327"/>
      <c r="E147" s="257">
        <f>SUMIFS(sept202122[м2],sept202122[МОП],$A147,sept202122[Комнатность],"&lt;&gt;Офис")</f>
        <v>0</v>
      </c>
      <c r="F147" s="52">
        <f>SUMIFS(sept202122[Сумма без отделки],sept202122[МОП],$A147,sept202122[Комнатность],"&lt;&gt;Офис")</f>
        <v>0</v>
      </c>
      <c r="G147" s="413">
        <f>COUNTIFS(sept202122[МОП],$A147,sept202122[Комнатность],"&lt;&gt;Офис")</f>
        <v>0</v>
      </c>
      <c r="H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0</v>
      </c>
      <c r="I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0</v>
      </c>
      <c r="J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0</v>
      </c>
      <c r="K147" s="224">
        <f t="shared" si="8"/>
        <v>0</v>
      </c>
      <c r="L147" s="225">
        <f t="shared" si="8"/>
        <v>0</v>
      </c>
      <c r="M147" s="325">
        <f t="shared" si="9"/>
        <v>0</v>
      </c>
      <c r="N147" s="326">
        <f t="shared" si="9"/>
        <v>0</v>
      </c>
      <c r="O147" s="326">
        <f t="shared" si="9"/>
        <v>0</v>
      </c>
      <c r="P147" s="326">
        <f t="shared" si="9"/>
        <v>0</v>
      </c>
      <c r="Q147" s="327">
        <f t="shared" si="9"/>
        <v>0</v>
      </c>
      <c r="U147" s="66"/>
    </row>
    <row r="148" spans="1:21" s="65" customFormat="1">
      <c r="A148" s="153" t="s">
        <v>20</v>
      </c>
      <c r="B148" s="271">
        <f>IFERROR(VLOOKUP(A148,'Индивидуальный план'!$AH$35:$AJ$44,2,0),"")</f>
        <v>1300</v>
      </c>
      <c r="C148" s="52">
        <f>IFERROR(VLOOKUP(A148,'Индивидуальный план'!$AH$35:$AJ$44,3,0),"")</f>
        <v>116620015.51199999</v>
      </c>
      <c r="D148" s="366"/>
      <c r="E148" s="257">
        <f>SUMIFS(sept202122[м2],sept202122[МОП],$A148,sept202122[Комнатность],"&lt;&gt;Офис")</f>
        <v>695.43999999999994</v>
      </c>
      <c r="F148" s="52">
        <f>SUMIFS(sept202122[Сумма без отделки],sept202122[МОП],$A148,sept202122[Комнатность],"&lt;&gt;Офис")</f>
        <v>62388009.039999999</v>
      </c>
      <c r="G148" s="413">
        <f>COUNTIFS(sept202122[МОП],$A148,sept202122[Комнатность],"&lt;&gt;Офис")</f>
        <v>12</v>
      </c>
      <c r="H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891.3</v>
      </c>
      <c r="I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80402464.780000001</v>
      </c>
      <c r="J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16</v>
      </c>
      <c r="K148" s="224">
        <f t="shared" si="8"/>
        <v>0.68561538461538463</v>
      </c>
      <c r="L148" s="225">
        <f t="shared" si="8"/>
        <v>0.68943966802788437</v>
      </c>
      <c r="M148" s="325">
        <f>M135+M121</f>
        <v>2</v>
      </c>
      <c r="N148" s="326">
        <f>N135+N121</f>
        <v>3</v>
      </c>
      <c r="O148" s="326">
        <f>O135+O121</f>
        <v>9</v>
      </c>
      <c r="P148" s="326">
        <f>P135+P121</f>
        <v>2</v>
      </c>
      <c r="Q148" s="327">
        <f>Q135+Q121</f>
        <v>0</v>
      </c>
      <c r="U148" s="66"/>
    </row>
    <row r="149" spans="1:21" s="65" customFormat="1">
      <c r="A149" s="153" t="s">
        <v>14</v>
      </c>
      <c r="B149" s="271">
        <f>IFERROR(VLOOKUP(A149,'Индивидуальный план'!$AH$35:$AJ$44,2,0),"")</f>
        <v>1300</v>
      </c>
      <c r="C149" s="52">
        <f>IFERROR(VLOOKUP(A149,'Индивидуальный план'!$AH$35:$AJ$44,3,0),"")</f>
        <v>116620015.51199999</v>
      </c>
      <c r="D149" s="366"/>
      <c r="E149" s="329">
        <f>SUMIFS(sept202122[м2],sept202122[МОП],$A149,sept202122[Комнатность],"&lt;&gt;Офис")</f>
        <v>770.2</v>
      </c>
      <c r="F149" s="363">
        <f>SUMIFS(sept202122[Сумма без отделки],sept202122[МОП],$A149,sept202122[Комнатность],"&lt;&gt;Офис")</f>
        <v>69021905.099999994</v>
      </c>
      <c r="G149" s="414">
        <f>COUNTIFS(sept202122[МОП],$A149,sept202122[Комнатность],"&lt;&gt;Офис")</f>
        <v>14</v>
      </c>
      <c r="H149" s="358">
        <f>SUMIFS(РД[S],РД[МОП],A149,РД[Дата подачи на регистрацию],"&lt;="&amp;$A$1,РД[Дата подачи на регистрацию],"&gt;="&amp;DATE(YEAR($A$1),MONTH($A$1),1),РД[Состояние],"Продажа")</f>
        <v>884.53999999999974</v>
      </c>
      <c r="I149" s="359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78998353.780000001</v>
      </c>
      <c r="J149" s="330">
        <f>COUNTIFS(РД[МОП],A149,РД[Дата подачи на регистрацию],"&lt;="&amp;$A$1,РД[Дата подачи на регистрацию],"&gt;="&amp;DATE(YEAR($A$1),MONTH($A$1),1),РД[Состояние],"Продажа")</f>
        <v>16</v>
      </c>
      <c r="K149" s="360">
        <f t="shared" si="8"/>
        <v>0.68041538461538442</v>
      </c>
      <c r="L149" s="361">
        <f t="shared" si="8"/>
        <v>0.67739961646524738</v>
      </c>
      <c r="M149" s="364">
        <f t="shared" ref="M149:Q151" si="10">M135+M121</f>
        <v>2</v>
      </c>
      <c r="N149" s="365">
        <f t="shared" si="10"/>
        <v>3</v>
      </c>
      <c r="O149" s="365">
        <f t="shared" si="10"/>
        <v>9</v>
      </c>
      <c r="P149" s="365">
        <f t="shared" si="10"/>
        <v>2</v>
      </c>
      <c r="Q149" s="366">
        <f t="shared" si="10"/>
        <v>0</v>
      </c>
      <c r="R149" s="86"/>
      <c r="S149" s="86"/>
      <c r="T149" s="86"/>
      <c r="U149" s="66"/>
    </row>
    <row r="150" spans="1:21" s="65" customFormat="1">
      <c r="A150" s="154" t="s">
        <v>29</v>
      </c>
      <c r="B150" s="274"/>
      <c r="C150" s="277"/>
      <c r="D150" s="690"/>
      <c r="E150" s="341">
        <f>SUMIFS(sept202122[м2],sept202122[МОП],$A150,sept202122[Комнатность],"&lt;&gt;Офис")</f>
        <v>0</v>
      </c>
      <c r="F150" s="277">
        <f>SUMIFS(sept202122[Сумма без отделки],sept202122[МОП],$A150,sept202122[Комнатность],"&lt;&gt;Офис")</f>
        <v>0</v>
      </c>
      <c r="G150" s="405">
        <f>COUNTIFS(sept202122[МОП],$A150,sept202122[Комнатность],"&lt;&gt;Офис")</f>
        <v>0</v>
      </c>
      <c r="H150" s="159">
        <f>SUMIFS(РД[S],РД[МОП],A150,РД[Дата подачи на регистрацию],"&lt;="&amp;$A$1,РД[Дата подачи на регистрацию],"&gt;="&amp;DATE(YEAR($A$1),MONTH($A$1),1),РД[Состояние],"Продажа")</f>
        <v>0</v>
      </c>
      <c r="I150" s="160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0</v>
      </c>
      <c r="J150" s="228">
        <f>COUNTIFS(РД[МОП],A150,РД[Дата подачи на регистрацию],"&lt;="&amp;$A$1,РД[Дата подачи на регистрацию],"&gt;="&amp;DATE(YEAR($A$1),MONTH($A$1),1),РД[Состояние],"Продажа")</f>
        <v>0</v>
      </c>
      <c r="K150" s="229" t="str">
        <f t="shared" si="8"/>
        <v/>
      </c>
      <c r="L150" s="230" t="str">
        <f t="shared" si="8"/>
        <v/>
      </c>
      <c r="M150" s="159">
        <f t="shared" si="10"/>
        <v>0</v>
      </c>
      <c r="N150" s="228">
        <f t="shared" si="10"/>
        <v>0</v>
      </c>
      <c r="O150" s="228">
        <f t="shared" si="10"/>
        <v>0</v>
      </c>
      <c r="P150" s="228">
        <f t="shared" si="10"/>
        <v>0</v>
      </c>
      <c r="Q150" s="231">
        <f t="shared" si="10"/>
        <v>0</v>
      </c>
      <c r="U150" s="66"/>
    </row>
    <row r="151" spans="1:21" s="65" customFormat="1">
      <c r="A151" s="161" t="s">
        <v>1207</v>
      </c>
      <c r="B151" s="278"/>
      <c r="C151" s="281"/>
      <c r="D151" s="511"/>
      <c r="E151" s="406">
        <f>SUMIFS(sept202122[м2],sept202122[МОП],$A151,sept202122[Комнатность],"&lt;&gt;Офис")</f>
        <v>153.85999999999999</v>
      </c>
      <c r="F151" s="281">
        <f>SUMIFS(sept202122[Сумма без отделки],sept202122[МОП],$A151,sept202122[Комнатность],"&lt;&gt;Офис")</f>
        <v>13659048.68</v>
      </c>
      <c r="G151" s="407">
        <f>COUNTIFS(sept202122[МОП],$A151,sept202122[Комнатность],"&lt;&gt;Офис")</f>
        <v>3</v>
      </c>
      <c r="H151" s="166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16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32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K151" s="233" t="str">
        <f t="shared" si="8"/>
        <v/>
      </c>
      <c r="L151" s="234" t="str">
        <f t="shared" si="8"/>
        <v/>
      </c>
      <c r="M151" s="509">
        <f t="shared" si="10"/>
        <v>0</v>
      </c>
      <c r="N151" s="510">
        <f t="shared" si="10"/>
        <v>0</v>
      </c>
      <c r="O151" s="510">
        <f t="shared" si="10"/>
        <v>0</v>
      </c>
      <c r="P151" s="510">
        <f t="shared" si="10"/>
        <v>0</v>
      </c>
      <c r="Q151" s="511">
        <f t="shared" si="10"/>
        <v>0</v>
      </c>
      <c r="U151" s="66"/>
    </row>
    <row r="152" spans="1:21" s="65" customFormat="1">
      <c r="A152" s="168" t="s">
        <v>114</v>
      </c>
      <c r="B152" s="172">
        <f t="shared" ref="B152:J152" si="11">SUM(B146:B151)</f>
        <v>4310</v>
      </c>
      <c r="C152" s="173">
        <f t="shared" si="11"/>
        <v>386600446.67719996</v>
      </c>
      <c r="D152" s="709">
        <f t="shared" si="11"/>
        <v>0</v>
      </c>
      <c r="E152" s="173">
        <f t="shared" si="11"/>
        <v>2318.52</v>
      </c>
      <c r="F152" s="492">
        <f t="shared" si="11"/>
        <v>208112979.66</v>
      </c>
      <c r="G152" s="493">
        <f t="shared" si="11"/>
        <v>42</v>
      </c>
      <c r="H152" s="172">
        <f t="shared" si="11"/>
        <v>2537.0299999999997</v>
      </c>
      <c r="I152" s="492">
        <f t="shared" si="11"/>
        <v>227866435.40000001</v>
      </c>
      <c r="J152" s="493">
        <f t="shared" si="11"/>
        <v>46</v>
      </c>
      <c r="K152" s="238">
        <f>IFERROR(H152/B152,)</f>
        <v>0.58863805104408351</v>
      </c>
      <c r="L152" s="501">
        <f>IFERROR(I152/C152,)</f>
        <v>0.58941068836959154</v>
      </c>
      <c r="M152" s="471">
        <f>SUM(M146:M151)</f>
        <v>4</v>
      </c>
      <c r="N152" s="471">
        <f>SUM(N146:N151)</f>
        <v>13</v>
      </c>
      <c r="O152" s="471">
        <f>SUM(O146:O151)</f>
        <v>25</v>
      </c>
      <c r="P152" s="471">
        <f>SUM(P146:P151)</f>
        <v>5</v>
      </c>
      <c r="Q152" s="471">
        <f>SUM(Q146:Q151)</f>
        <v>0</v>
      </c>
      <c r="U152" s="66"/>
    </row>
    <row r="153" spans="1:21" s="65" customFormat="1">
      <c r="A153" s="692" t="s">
        <v>115</v>
      </c>
      <c r="B153" s="706" t="s">
        <v>100</v>
      </c>
      <c r="C153" s="710" t="s">
        <v>97</v>
      </c>
      <c r="D153" s="708" t="s">
        <v>95</v>
      </c>
      <c r="E153" s="295" t="s">
        <v>494</v>
      </c>
      <c r="F153" s="138" t="s">
        <v>495</v>
      </c>
      <c r="G153" s="470" t="s">
        <v>496</v>
      </c>
      <c r="H153" s="140" t="s">
        <v>101</v>
      </c>
      <c r="I153" s="141" t="s">
        <v>98</v>
      </c>
      <c r="J153" s="141" t="s">
        <v>96</v>
      </c>
      <c r="K153" s="141" t="s">
        <v>715</v>
      </c>
      <c r="L153" s="216" t="s">
        <v>716</v>
      </c>
      <c r="M153" s="512">
        <v>0</v>
      </c>
      <c r="N153" s="218">
        <v>1</v>
      </c>
      <c r="O153" s="218">
        <v>2</v>
      </c>
      <c r="P153" s="218">
        <v>3</v>
      </c>
      <c r="Q153" s="219" t="s">
        <v>1367</v>
      </c>
      <c r="U153" s="66"/>
    </row>
    <row r="154" spans="1:21" s="65" customFormat="1">
      <c r="A154" s="142" t="s">
        <v>16</v>
      </c>
      <c r="B154" s="271" t="str">
        <f>IFERROR(VLOOKUP(A154,'Индивидуальный план'!$AH$35:$AJ$44,2,0),"")</f>
        <v/>
      </c>
      <c r="C154" s="52" t="str">
        <f>IFERROR(VLOOKUP(A154,'Индивидуальный план'!$AH$35:$AJ$44,3,0),"")</f>
        <v/>
      </c>
      <c r="D154" s="694"/>
      <c r="E154" s="145">
        <f>SUMIFS(sept202122[м2],sept202122[ИМ],A154,sept202122[Комнатность],"&lt;&gt;Офис")</f>
        <v>1602.1699999999998</v>
      </c>
      <c r="F154" s="149">
        <f>SUMIFS(sept202122[Сумма без отделки],sept202122[ИМ],$A154,sept202122[Комнатность],"&lt;&gt;Офис")</f>
        <v>144659837.01999998</v>
      </c>
      <c r="G154" s="147">
        <f>COUNTIFS(sept202122[ИМ],A154,sept202122[Комнатность],"&lt;&gt;Офис")</f>
        <v>30</v>
      </c>
      <c r="H154" s="183">
        <f>SUMIFS(РД[S],РД[ИМ],A154,РД[Дата подачи на регистрацию],"&lt;="&amp;$A$1,РД[Дата подачи на регистрацию],"&gt;="&amp;DATE(YEAR($A$1),MONTH($A$1),1),РД[Состояние],"Продажа")</f>
        <v>1557.8000000000002</v>
      </c>
      <c r="I154" s="184">
        <f>SUMIFS(РД[Стоимость без отделки итог],РД[ИМ],A154,РД[Дата подачи на регистрацию],"&lt;="&amp;$A$1,РД[Дата подачи на регистрацию],"&gt;="&amp;DATE(YEAR($A$1),MONTH($A$1),1),РД[Состояние],"Продажа")</f>
        <v>140465837.00999999</v>
      </c>
      <c r="J154" s="243">
        <f>COUNTIFS(РД[ИМ],A154,РД[Дата подачи на регистрацию],"&lt;="&amp;$A$1,РД[Дата подачи на регистрацию],"&gt;="&amp;DATE(YEAR($A$1),MONTH($A$1),1),РД[Состояние],"Продажа")</f>
        <v>29</v>
      </c>
      <c r="K154" s="244" t="str">
        <f t="shared" ref="K154:L156" si="12">IFERROR(H154/B154,"")</f>
        <v/>
      </c>
      <c r="L154" s="258" t="str">
        <f t="shared" si="12"/>
        <v/>
      </c>
      <c r="M154" s="346">
        <f t="shared" ref="M154:Q155" si="13">M140+M126</f>
        <v>3</v>
      </c>
      <c r="N154" s="243">
        <f t="shared" si="13"/>
        <v>10</v>
      </c>
      <c r="O154" s="243">
        <f t="shared" si="13"/>
        <v>13</v>
      </c>
      <c r="P154" s="243">
        <f t="shared" si="13"/>
        <v>4</v>
      </c>
      <c r="Q154" s="246">
        <f t="shared" si="13"/>
        <v>0</v>
      </c>
      <c r="R154" s="66"/>
      <c r="S154" s="66"/>
      <c r="T154" s="66"/>
      <c r="U154" s="66"/>
    </row>
    <row r="155" spans="1:21" s="65" customFormat="1">
      <c r="A155" s="153" t="s">
        <v>22</v>
      </c>
      <c r="B155" s="271">
        <f>IFERROR(VLOOKUP(A155,'Индивидуальный план'!$AH$35:$AJ$44,2,0),"")</f>
        <v>1115</v>
      </c>
      <c r="C155" s="52">
        <f>IFERROR(VLOOKUP(A155,'Индивидуальный план'!$AH$35:$AJ$44,3,0),"")</f>
        <v>99762819.44600001</v>
      </c>
      <c r="D155" s="695"/>
      <c r="E155" s="145">
        <f>SUMIFS(sept202122[м2],sept202122[ИМ],A155,sept202122[Комнатность],"&lt;&gt;Офис")</f>
        <v>840.92</v>
      </c>
      <c r="F155" s="149">
        <f>SUMIFS(sept202122[Сумма без отделки],sept202122[ИМ],$A155,sept202122[Комнатность],"&lt;&gt;Офис")</f>
        <v>74703962.840000004</v>
      </c>
      <c r="G155" s="147">
        <f>COUNTIFS(sept202122[ИМ],$A155,sept202122[Комнатность],"&lt;&gt;Офис")</f>
        <v>14</v>
      </c>
      <c r="H155" s="195">
        <f>SUMIFS(РД[S],РД[ИМ],A155,РД[Дата подачи на регистрацию],"&lt;="&amp;$A$1,РД[Дата подачи на регистрацию],"&gt;="&amp;DATE(YEAR($A$1),MONTH($A$1),1),РД[Состояние],"Продажа")</f>
        <v>840.92</v>
      </c>
      <c r="I155" s="196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74524425.840000004</v>
      </c>
      <c r="J155" s="251">
        <f>COUNTIFS(РД[ИМ],A155,РД[Дата подачи на регистрацию],"&lt;="&amp;$A$1,РД[Дата подачи на регистрацию],"&gt;="&amp;DATE(YEAR($A$1),MONTH($A$1),1),РД[Состояние],"Продажа")</f>
        <v>14</v>
      </c>
      <c r="K155" s="252">
        <f t="shared" si="12"/>
        <v>0.7541883408071749</v>
      </c>
      <c r="L155" s="260">
        <f t="shared" si="12"/>
        <v>0.7470160351706866</v>
      </c>
      <c r="M155" s="329">
        <f t="shared" si="13"/>
        <v>0</v>
      </c>
      <c r="N155" s="330">
        <f t="shared" si="13"/>
        <v>3</v>
      </c>
      <c r="O155" s="330">
        <f t="shared" si="13"/>
        <v>11</v>
      </c>
      <c r="P155" s="330">
        <f t="shared" si="13"/>
        <v>0</v>
      </c>
      <c r="Q155" s="331">
        <f t="shared" si="13"/>
        <v>0</v>
      </c>
      <c r="R155" s="66"/>
      <c r="S155" s="66"/>
      <c r="T155" s="66"/>
      <c r="U155" s="66"/>
    </row>
    <row r="156" spans="1:21" s="65" customFormat="1">
      <c r="A156" s="317" t="s">
        <v>114</v>
      </c>
      <c r="B156" s="172">
        <f>SUM(B154:B155)</f>
        <v>1115</v>
      </c>
      <c r="C156" s="173">
        <f>SUM(C154:C155)</f>
        <v>99762819.44600001</v>
      </c>
      <c r="D156" s="711">
        <f>SUM(D154:D155)</f>
        <v>0</v>
      </c>
      <c r="E156" s="484">
        <f t="shared" ref="E156:Q156" si="14">SUM(E154:E155)</f>
        <v>2443.0899999999997</v>
      </c>
      <c r="F156" s="429">
        <f t="shared" si="14"/>
        <v>219363799.85999998</v>
      </c>
      <c r="G156" s="485">
        <f t="shared" si="14"/>
        <v>44</v>
      </c>
      <c r="H156" s="473">
        <f t="shared" si="14"/>
        <v>2398.7200000000003</v>
      </c>
      <c r="I156" s="494">
        <f t="shared" si="14"/>
        <v>214990262.84999999</v>
      </c>
      <c r="J156" s="494">
        <f t="shared" si="14"/>
        <v>43</v>
      </c>
      <c r="K156" s="419">
        <f t="shared" si="12"/>
        <v>2.1513183856502245</v>
      </c>
      <c r="L156" s="420">
        <f t="shared" si="12"/>
        <v>2.1550139024125188</v>
      </c>
      <c r="M156" s="473">
        <f t="shared" si="14"/>
        <v>3</v>
      </c>
      <c r="N156" s="494">
        <f t="shared" si="14"/>
        <v>13</v>
      </c>
      <c r="O156" s="494">
        <f t="shared" si="14"/>
        <v>24</v>
      </c>
      <c r="P156" s="494">
        <f t="shared" si="14"/>
        <v>4</v>
      </c>
      <c r="Q156" s="497">
        <f t="shared" si="14"/>
        <v>0</v>
      </c>
      <c r="R156" s="66"/>
      <c r="S156" s="66"/>
      <c r="T156" s="66"/>
      <c r="U156" s="66"/>
    </row>
    <row r="157" spans="1:21" s="65" customFormat="1">
      <c r="A157" s="134"/>
      <c r="B157" s="44"/>
      <c r="C157" s="44"/>
      <c r="D157" s="134"/>
      <c r="E157" s="134"/>
      <c r="F157" s="44"/>
      <c r="G157" s="134"/>
      <c r="H157" s="134"/>
      <c r="I157" s="134"/>
      <c r="J157" s="134"/>
      <c r="K157" s="255"/>
      <c r="L157" s="256"/>
      <c r="M157" s="134"/>
      <c r="N157" s="134"/>
      <c r="O157" s="134"/>
      <c r="P157" s="134"/>
      <c r="Q157" s="134"/>
      <c r="T157" s="66"/>
      <c r="U157" s="66"/>
    </row>
    <row r="158" spans="1:21" s="65" customFormat="1" ht="15">
      <c r="A158" s="2314" t="s">
        <v>1368</v>
      </c>
      <c r="B158" s="2315"/>
      <c r="C158" s="2315"/>
      <c r="D158" s="2315"/>
      <c r="E158" s="2315"/>
      <c r="F158" s="2315"/>
      <c r="G158" s="2315"/>
      <c r="H158" s="2315"/>
      <c r="I158" s="2315"/>
      <c r="J158" s="2315"/>
      <c r="K158" s="2315"/>
      <c r="L158" s="2315"/>
      <c r="M158" s="2315"/>
      <c r="N158" s="2315"/>
      <c r="O158" s="2316"/>
      <c r="P158" s="339"/>
      <c r="Q158" s="66"/>
      <c r="T158" s="66"/>
      <c r="U158" s="66"/>
    </row>
    <row r="159" spans="1:21" s="65" customFormat="1">
      <c r="A159" s="712" t="s">
        <v>1</v>
      </c>
      <c r="B159" s="713" t="s">
        <v>100</v>
      </c>
      <c r="C159" s="714" t="s">
        <v>97</v>
      </c>
      <c r="D159" s="715" t="s">
        <v>95</v>
      </c>
      <c r="E159" s="716" t="s">
        <v>494</v>
      </c>
      <c r="F159" s="265" t="s">
        <v>495</v>
      </c>
      <c r="G159" s="266" t="s">
        <v>496</v>
      </c>
      <c r="H159" s="140" t="s">
        <v>101</v>
      </c>
      <c r="I159" s="141" t="s">
        <v>98</v>
      </c>
      <c r="J159" s="141" t="s">
        <v>96</v>
      </c>
      <c r="K159" s="141" t="s">
        <v>715</v>
      </c>
      <c r="L159" s="216" t="s">
        <v>716</v>
      </c>
      <c r="M159" s="332" t="s">
        <v>121</v>
      </c>
      <c r="N159" s="218" t="s">
        <v>27</v>
      </c>
      <c r="O159" s="219" t="s">
        <v>7</v>
      </c>
      <c r="P159" s="545"/>
      <c r="Q159" s="66"/>
      <c r="T159" s="66"/>
      <c r="U159" s="66"/>
    </row>
    <row r="160" spans="1:21" s="65" customFormat="1">
      <c r="A160" s="142" t="s">
        <v>8</v>
      </c>
      <c r="B160" s="267"/>
      <c r="C160" s="146"/>
      <c r="D160" s="702"/>
      <c r="E160" s="416">
        <f>SUMIFS(sept202122[м2],sept202122[МОП],A160,sept202122[Комнатность],"Офис")</f>
        <v>0</v>
      </c>
      <c r="F160" s="146">
        <f>SUMIFS(sept202122[Сумма без отделки],sept202122[МОП],$A160,sept202122[Комнатность],"оФИС")</f>
        <v>0</v>
      </c>
      <c r="G160" s="417">
        <f>COUNTIFS(sept202122[МОП],$A160,sept202122[Комнатность],"Офис")</f>
        <v>0</v>
      </c>
      <c r="H160" s="267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146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K160" s="221" t="str">
        <f t="shared" ref="K160:L166" si="15">IFERROR(H160/B160,"")</f>
        <v/>
      </c>
      <c r="L160" s="333" t="str">
        <f t="shared" si="15"/>
        <v/>
      </c>
      <c r="M160" s="148">
        <f>COUNTIFS(РД[Дом],M$159,РД[МОП],$A160,РД[Дата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0">
        <f>COUNTIFS(РД[Дом],N$159,РД[МОП],$A160,РД[Дата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223">
        <f>COUNTIFS(РД[Дом],O$159,РД[МОП],$A160,РД[Дата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P160" s="339"/>
      <c r="T160" s="66"/>
      <c r="U160" s="66"/>
    </row>
    <row r="161" spans="1:21" s="65" customFormat="1">
      <c r="A161" s="398" t="s">
        <v>77</v>
      </c>
      <c r="B161" s="271"/>
      <c r="C161" s="52"/>
      <c r="D161" s="717"/>
      <c r="E161" s="416">
        <f>SUMIFS(sept202122[м2],sept202122[МОП],A161,sept202122[Комнатность],"Офис")</f>
        <v>0</v>
      </c>
      <c r="F161" s="52">
        <f>SUMIFS(sept202122[Сумма без отделки],sept202122[МОП],$A161,sept202122[Комнатность],"оФИС")</f>
        <v>0</v>
      </c>
      <c r="G161" s="421">
        <f>COUNTIFS(sept202122[МОП],$A161,sept202122[Комнатность],"Офис")</f>
        <v>0</v>
      </c>
      <c r="H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K161" s="52" t="str">
        <f t="shared" si="15"/>
        <v/>
      </c>
      <c r="L161" s="546" t="str">
        <f t="shared" si="15"/>
        <v/>
      </c>
      <c r="M161" s="202">
        <f>COUNTIFS(РД[Дом],M$159,РД[МОП],$A161,РД[Дата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6">
        <f>COUNTIFS(РД[Дом],N$159,РД[МОП],$A161,РД[Дата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7">
        <f>COUNTIFS(РД[Дом],O$159,РД[МОП],$A161,РД[Дата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P161" s="339"/>
      <c r="T161" s="66"/>
      <c r="U161" s="66"/>
    </row>
    <row r="162" spans="1:21" s="65" customFormat="1">
      <c r="A162" s="153" t="s">
        <v>20</v>
      </c>
      <c r="B162" s="271"/>
      <c r="C162" s="52"/>
      <c r="D162" s="717"/>
      <c r="E162" s="416">
        <f>SUMIFS(sept202122[м2],sept202122[МОП],A162,sept202122[Комнатность],"Офис")</f>
        <v>0</v>
      </c>
      <c r="F162" s="52">
        <f>SUMIFS(sept202122[Сумма без отделки],sept202122[МОП],$A162,sept202122[Комнатность],"оФИС")</f>
        <v>0</v>
      </c>
      <c r="G162" s="421">
        <f>COUNTIFS(sept202122[МОП],$A162,sept202122[Комнатность],"Офис")</f>
        <v>0</v>
      </c>
      <c r="H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K162" s="224" t="str">
        <f t="shared" si="15"/>
        <v/>
      </c>
      <c r="L162" s="334" t="str">
        <f t="shared" si="15"/>
        <v/>
      </c>
      <c r="M162" s="202">
        <f>COUNTIFS(РД[Дом],M$159,РД[МОП],$A162,РД[Дата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6">
        <f>COUNTIFS(РД[Дом],N$159,РД[МОП],$A162,РД[Дата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7">
        <f>COUNTIFS(РД[Дом],O$159,РД[МОП],$A162,РД[Дата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P162" s="339"/>
      <c r="T162" s="66"/>
      <c r="U162" s="66"/>
    </row>
    <row r="163" spans="1:21" s="65" customFormat="1">
      <c r="A163" s="153" t="s">
        <v>14</v>
      </c>
      <c r="B163" s="315"/>
      <c r="C163" s="363"/>
      <c r="D163" s="703"/>
      <c r="E163" s="422">
        <f>SUMIFS(sept202122[м2],sept202122[МОП],A163,sept202122[Комнатность],"Офис")</f>
        <v>0</v>
      </c>
      <c r="F163" s="363">
        <f>SUMIFS(sept202122[Сумма без отделки],sept202122[МОП],$A163,sept202122[Комнатность],"оФИС")</f>
        <v>0</v>
      </c>
      <c r="G163" s="414">
        <f>COUNTIFS(sept202122[МОП],$A163,sept202122[Комнатность],"Офис")</f>
        <v>0</v>
      </c>
      <c r="H163" s="315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363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47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K163" s="360" t="str">
        <f t="shared" si="15"/>
        <v/>
      </c>
      <c r="L163" s="367" t="str">
        <f t="shared" si="15"/>
        <v/>
      </c>
      <c r="M163" s="358">
        <f>COUNTIFS(РД[Дом],M$159,РД[МОП],$A163,РД[Дата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330">
        <f>COUNTIFS(РД[Дом],N$159,РД[МОП],$A163,РД[Дата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331">
        <f>COUNTIFS(РД[Дом],O$159,РД[МОП],$A163,РД[Дата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P163" s="339"/>
      <c r="T163" s="66"/>
      <c r="U163" s="66"/>
    </row>
    <row r="164" spans="1:21" s="65" customFormat="1">
      <c r="A164" s="154" t="s">
        <v>29</v>
      </c>
      <c r="B164" s="274"/>
      <c r="C164" s="277"/>
      <c r="D164" s="718"/>
      <c r="E164" s="423">
        <f>SUMIFS(sept202122[м2],sept202122[МОП],A164,sept202122[Комнатность],"Офис")</f>
        <v>0</v>
      </c>
      <c r="F164" s="277">
        <f>SUMIFS(sept202122[Сумма без отделки],sept202122[МОП],$A164,sept202122[Комнатность],"оФИС")</f>
        <v>0</v>
      </c>
      <c r="G164" s="405">
        <f>COUNTIFS(sept202122[МОП],$A164,sept202122[Комнатность],"Офис")</f>
        <v>0</v>
      </c>
      <c r="H164" s="274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77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28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K164" s="229" t="str">
        <f t="shared" si="15"/>
        <v/>
      </c>
      <c r="L164" s="335" t="str">
        <f t="shared" si="15"/>
        <v/>
      </c>
      <c r="M164" s="159">
        <f>COUNTIFS(РД[Дом],M$159,РД[МОП],$A164,РД[Дата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8">
        <f>COUNTIFS(РД[Дом],N$159,РД[МОП],$A164,РД[Дата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31">
        <f>COUNTIFS(РД[Дом],O$159,РД[МОП],$A164,РД[Дата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P164" s="339"/>
      <c r="T164" s="66"/>
      <c r="U164" s="66"/>
    </row>
    <row r="165" spans="1:21" s="65" customFormat="1">
      <c r="A165" s="161" t="s">
        <v>1207</v>
      </c>
      <c r="B165" s="278"/>
      <c r="C165" s="281"/>
      <c r="D165" s="719"/>
      <c r="E165" s="424">
        <f>SUMIFS(sept202122[м2],sept202122[МОП],A165,sept202122[Комнатность],"Офис")</f>
        <v>0</v>
      </c>
      <c r="F165" s="281">
        <f>SUMIFS(sept202122[Сумма без отделки],sept202122[МОП],$A165,sept202122[Комнатность],"оФИС")</f>
        <v>0</v>
      </c>
      <c r="G165" s="407">
        <f>COUNTIFS(sept202122[МОП],$A165,sept202122[Комнатность],"Офис")</f>
        <v>0</v>
      </c>
      <c r="H165" s="278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81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32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K165" s="233" t="str">
        <f t="shared" si="15"/>
        <v/>
      </c>
      <c r="L165" s="336" t="str">
        <f t="shared" si="15"/>
        <v/>
      </c>
      <c r="M165" s="166">
        <f>COUNTIFS(РД[Дом],M$159,РД[МОП],$A165,РД[Дата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32">
        <f>COUNTIFS(РД[Дом],N$159,РД[МОП],$A165,РД[Дата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7">
        <f>COUNTIFS(РД[Дом],O$159,РД[МОП],$A165,РД[Дата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P165" s="339"/>
      <c r="T165" s="66"/>
      <c r="U165" s="66"/>
    </row>
    <row r="166" spans="1:21" s="65" customFormat="1">
      <c r="A166" s="513" t="s">
        <v>114</v>
      </c>
      <c r="B166" s="282">
        <f t="shared" ref="B166:J166" si="16">SUM(B160:B165)</f>
        <v>0</v>
      </c>
      <c r="C166" s="287">
        <f t="shared" si="16"/>
        <v>0</v>
      </c>
      <c r="D166" s="305">
        <f t="shared" si="16"/>
        <v>0</v>
      </c>
      <c r="E166" s="425">
        <f t="shared" si="16"/>
        <v>0</v>
      </c>
      <c r="F166" s="287">
        <f t="shared" si="16"/>
        <v>0</v>
      </c>
      <c r="G166" s="286">
        <f t="shared" si="16"/>
        <v>0</v>
      </c>
      <c r="H166" s="282">
        <f t="shared" si="16"/>
        <v>0</v>
      </c>
      <c r="I166" s="287">
        <f t="shared" si="16"/>
        <v>0</v>
      </c>
      <c r="J166" s="287">
        <f t="shared" si="16"/>
        <v>0</v>
      </c>
      <c r="K166" s="238" t="str">
        <f t="shared" si="15"/>
        <v/>
      </c>
      <c r="L166" s="338" t="str">
        <f t="shared" si="15"/>
        <v/>
      </c>
      <c r="M166" s="282">
        <f>SUM(M160:M165)</f>
        <v>0</v>
      </c>
      <c r="N166" s="287">
        <f>SUM(N160:N165)</f>
        <v>0</v>
      </c>
      <c r="O166" s="287">
        <f>SUM(O160:O165)</f>
        <v>0</v>
      </c>
      <c r="P166" s="339"/>
      <c r="T166" s="66"/>
      <c r="U166" s="66"/>
    </row>
    <row r="167" spans="1:21" s="65" customFormat="1">
      <c r="A167" s="685" t="s">
        <v>115</v>
      </c>
      <c r="B167" s="713" t="s">
        <v>100</v>
      </c>
      <c r="C167" s="714" t="s">
        <v>97</v>
      </c>
      <c r="D167" s="715" t="s">
        <v>95</v>
      </c>
      <c r="E167" s="716" t="s">
        <v>494</v>
      </c>
      <c r="F167" s="265" t="s">
        <v>495</v>
      </c>
      <c r="G167" s="266" t="s">
        <v>496</v>
      </c>
      <c r="H167" s="140" t="s">
        <v>101</v>
      </c>
      <c r="I167" s="141" t="s">
        <v>98</v>
      </c>
      <c r="J167" s="141" t="s">
        <v>96</v>
      </c>
      <c r="K167" s="141" t="s">
        <v>715</v>
      </c>
      <c r="L167" s="526" t="s">
        <v>716</v>
      </c>
      <c r="M167" s="332" t="s">
        <v>121</v>
      </c>
      <c r="N167" s="218" t="s">
        <v>27</v>
      </c>
      <c r="O167" s="219" t="s">
        <v>7</v>
      </c>
      <c r="P167" s="339"/>
      <c r="U167" s="66"/>
    </row>
    <row r="168" spans="1:21" s="65" customFormat="1">
      <c r="A168" s="177" t="s">
        <v>16</v>
      </c>
      <c r="B168" s="291"/>
      <c r="C168" s="292"/>
      <c r="D168" s="720"/>
      <c r="E168" s="267">
        <f>SUMIFS(sept202122[м2],sept202122[ИМ],A168,sept202122[Комнатность],"Офис")</f>
        <v>0</v>
      </c>
      <c r="F168" s="146">
        <f>SUMIFS(sept202122[Сумма без отделки],sept202122[ИМ],$A168,sept202122[Комнатность],"оФИС")</f>
        <v>0</v>
      </c>
      <c r="G168" s="417">
        <f>COUNTIFS(sept202122[ИМ],$A168,sept202122[Комнатность],"Офис")</f>
        <v>0</v>
      </c>
      <c r="H168" s="26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I168" s="146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0">
        <f>COUNTIFS(РД[ИМ],A168,РД[Дата подачи на регистрацию],"&lt;="&amp;$A$1,РД[Дата подачи на регистрацию],"&gt;="&amp;DATE(YEAR($A$1),MONTH($A$1),1),РД[Состояние],"Коммерция")</f>
        <v>0</v>
      </c>
      <c r="K168" s="224" t="str">
        <f t="shared" ref="K168:L170" si="17">IFERROR(H168/B168,"")</f>
        <v/>
      </c>
      <c r="L168" s="334" t="str">
        <f t="shared" si="17"/>
        <v/>
      </c>
      <c r="M168" s="148">
        <f>COUNTIFS(РД[Дом],M$159,РД[ИМ],$A168,РД[Дата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0">
        <f>COUNTIFS(РД[Дом],N$159,РД[ИМ],$A168,РД[Дата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223">
        <f>COUNTIFS(РД[Дом],O$159,РД[ИМ],$A168,РД[Дата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P168" s="339"/>
      <c r="U168" s="66"/>
    </row>
    <row r="169" spans="1:21" s="65" customFormat="1">
      <c r="A169" s="189" t="s">
        <v>22</v>
      </c>
      <c r="B169" s="516"/>
      <c r="C169" s="554"/>
      <c r="D169" s="721"/>
      <c r="E169" s="315">
        <f>SUMIFS(sept202122[м2],sept202122[ИМ],A169,sept202122[Комнатность],"Офис")</f>
        <v>0</v>
      </c>
      <c r="F169" s="363">
        <f>SUMIFS(sept202122[Сумма без отделки],sept202122[ИМ],$A169,sept202122[Комнатность],"оФИС")</f>
        <v>0</v>
      </c>
      <c r="G169" s="518">
        <f>COUNTIFS(sept202122[ИМ],$A169,sept202122[Комнатность],"Офис")</f>
        <v>0</v>
      </c>
      <c r="H169" s="31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363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K169" s="252" t="str">
        <f t="shared" si="17"/>
        <v/>
      </c>
      <c r="L169" s="253" t="str">
        <f t="shared" si="17"/>
        <v/>
      </c>
      <c r="M169" s="202">
        <f>COUNTIFS(РД[Дом],M$159,РД[ИМ],$A169,РД[Дата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6">
        <f>COUNTIFS(РД[Дом],N$159,РД[ИМ],$A169,РД[Дата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7">
        <f>COUNTIFS(РД[Дом],O$159,РД[ИМ],$A169,РД[Дата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U169" s="66"/>
    </row>
    <row r="170" spans="1:21" s="65" customFormat="1">
      <c r="A170" s="513" t="s">
        <v>114</v>
      </c>
      <c r="B170" s="282">
        <f>SUM(B168:B169)</f>
        <v>0</v>
      </c>
      <c r="C170" s="287">
        <f>SUM(C168:C169)</f>
        <v>0</v>
      </c>
      <c r="D170" s="472">
        <f>SUM(D168:D169)</f>
        <v>0</v>
      </c>
      <c r="E170" s="323">
        <f t="shared" ref="E170:J170" si="18">SUM(E168:E169)</f>
        <v>0</v>
      </c>
      <c r="F170" s="429">
        <f t="shared" si="18"/>
        <v>0</v>
      </c>
      <c r="G170" s="322">
        <f t="shared" si="18"/>
        <v>0</v>
      </c>
      <c r="H170" s="323">
        <f t="shared" si="18"/>
        <v>0</v>
      </c>
      <c r="I170" s="429">
        <f t="shared" si="18"/>
        <v>0</v>
      </c>
      <c r="J170" s="429">
        <f t="shared" si="18"/>
        <v>0</v>
      </c>
      <c r="K170" s="419" t="str">
        <f t="shared" si="17"/>
        <v/>
      </c>
      <c r="L170" s="527" t="str">
        <f t="shared" si="17"/>
        <v/>
      </c>
      <c r="M170" s="318">
        <f>SUM(M168:M169)</f>
        <v>0</v>
      </c>
      <c r="N170" s="321">
        <f>SUM(N168:N169)</f>
        <v>0</v>
      </c>
      <c r="O170" s="319">
        <f>SUM(O168:O169)</f>
        <v>0</v>
      </c>
      <c r="P170" s="339"/>
      <c r="U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134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321" t="s">
        <v>945</v>
      </c>
      <c r="B172" s="2322"/>
      <c r="C172" s="2322"/>
      <c r="D172" s="2322"/>
      <c r="E172" s="2322"/>
      <c r="F172" s="2322"/>
      <c r="G172" s="2322"/>
      <c r="H172" s="2323"/>
      <c r="I172" s="2323"/>
      <c r="J172" s="2323"/>
      <c r="K172" s="2323"/>
      <c r="L172" s="2323"/>
      <c r="M172" s="2323"/>
      <c r="N172" s="2324"/>
      <c r="O172" s="339"/>
      <c r="P172" s="339"/>
      <c r="Q172" s="86"/>
      <c r="U172" s="66"/>
    </row>
    <row r="173" spans="1:21" s="65" customFormat="1" ht="15">
      <c r="A173" s="519"/>
      <c r="B173" s="520"/>
      <c r="C173" s="520"/>
      <c r="D173" s="520"/>
      <c r="E173" s="520"/>
      <c r="F173" s="520"/>
      <c r="G173" s="520"/>
      <c r="H173" s="722"/>
      <c r="I173" s="722"/>
      <c r="J173" s="722"/>
      <c r="K173" s="722"/>
      <c r="L173" s="722"/>
      <c r="M173" s="722"/>
      <c r="N173" s="727"/>
      <c r="O173" s="339"/>
      <c r="P173" s="339"/>
      <c r="Q173" s="86"/>
      <c r="U173" s="66"/>
    </row>
    <row r="174" spans="1:21" s="65" customFormat="1">
      <c r="A174" s="685" t="s">
        <v>1</v>
      </c>
      <c r="B174" s="723" t="s">
        <v>101</v>
      </c>
      <c r="C174" s="724" t="s">
        <v>98</v>
      </c>
      <c r="D174" s="688" t="s">
        <v>96</v>
      </c>
      <c r="E174" s="137" t="s">
        <v>494</v>
      </c>
      <c r="F174" s="138" t="s">
        <v>495</v>
      </c>
      <c r="G174" s="296" t="s">
        <v>496</v>
      </c>
      <c r="H174" s="140" t="s">
        <v>946</v>
      </c>
      <c r="I174" s="141" t="s">
        <v>947</v>
      </c>
      <c r="J174" s="217">
        <v>0</v>
      </c>
      <c r="K174" s="218">
        <v>1</v>
      </c>
      <c r="L174" s="340">
        <v>2</v>
      </c>
      <c r="M174" s="218">
        <v>3</v>
      </c>
      <c r="N174" s="219" t="s">
        <v>1367</v>
      </c>
      <c r="O174" s="339"/>
      <c r="P174" s="339"/>
      <c r="Q174" s="86"/>
      <c r="U174" s="66"/>
    </row>
    <row r="175" spans="1:21" s="65" customFormat="1">
      <c r="A175" s="142" t="s">
        <v>8</v>
      </c>
      <c r="B175" s="267">
        <f>SUMIFS(РД[S],РД[МОП],A175,РД[Дата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5" s="146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5" s="702">
        <f>COUNTIFS(РД[МОП],A175,РД[Дата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5" s="329">
        <f>SUMIFS(sept202122[м2],sept202122[МОП],$A175,sept202122[№ дома],#REF!)</f>
        <v>0</v>
      </c>
      <c r="F175" s="363">
        <f>SUMIFS(sept202122[Сумма без отделки],sept202122[МОП],$A175,sept202122[№ дома],#REF!)</f>
        <v>0</v>
      </c>
      <c r="G175" s="414">
        <f>COUNTIFS(sept202122[МОП],$A175,sept202122[№ дома],#REF!)</f>
        <v>0</v>
      </c>
      <c r="H175" s="267">
        <f>SUMIFS(РД[S],РД[МОП],A175,РД[Дата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5" s="549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5" s="148">
        <f>COUNTIFS(РД[Тип кв],J$174,РД[МОП],$A175,РД[Дата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5" s="220">
        <f>COUNTIFS(РД[Тип кв],K$174,РД[МОП],$A175,РД[Дата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5" s="220">
        <f>COUNTIFS(РД[Тип кв],L$174,РД[МОП],$A175,РД[Дата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5" s="220">
        <f>COUNTIFS(РД[Тип кв],M$174,РД[МОП],$A175,РД[Дата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5" s="223">
        <f>COUNTIFS(РД[Тип кв],T$170,РД[МОП],$A175,РД[Дата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5" s="339"/>
      <c r="P175" s="339"/>
      <c r="Q175" s="86"/>
      <c r="U175" s="66"/>
    </row>
    <row r="176" spans="1:21" s="65" customFormat="1">
      <c r="A176" s="398" t="s">
        <v>1867</v>
      </c>
      <c r="B176" s="271">
        <f>SUMIFS(РД[S],РД[МОП],A176,РД[Дата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6" s="5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6" s="717">
        <f>COUNTIFS(РД[МОП],A176,РД[Дата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6" s="329">
        <f>SUMIFS(sept202122[м2],sept202122[МОП],$A176,sept202122[№ дома],#REF!)</f>
        <v>0</v>
      </c>
      <c r="F176" s="363">
        <f>SUMIFS(sept202122[Сумма без отделки],sept202122[МОП],$A176,sept202122[№ дома],#REF!)</f>
        <v>0</v>
      </c>
      <c r="G176" s="414">
        <f>COUNTIFS(sept202122[МОП],$A176,sept202122[№ дома],#REF!)</f>
        <v>0</v>
      </c>
      <c r="H176" s="271">
        <f>SUMIFS(РД[S],РД[МОП],A176,РД[Дата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6" s="5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6" s="202">
        <f>COUNTIFS(РД[Тип кв],J$174,РД[МОП],$A176,РД[Дата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6" s="226">
        <f>COUNTIFS(РД[Тип кв],K$174,РД[МОП],$A176,РД[Дата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6" s="226">
        <f>COUNTIFS(РД[Тип кв],L$174,РД[МОП],$A176,РД[Дата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6" s="226">
        <f>COUNTIFS(РД[Тип кв],M$174,РД[МОП],$A176,РД[Дата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227">
        <f>COUNTIFS(РД[Тип кв],T$170,РД[МОП],$A176,РД[Дата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6" s="339"/>
      <c r="P176" s="339"/>
      <c r="Q176" s="86"/>
      <c r="U176" s="66"/>
    </row>
    <row r="177" spans="1:21" s="65" customFormat="1">
      <c r="A177" s="153" t="s">
        <v>20</v>
      </c>
      <c r="B177" s="271">
        <f>SUMIFS(РД[S],РД[МОП],A177,РД[Дата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7" s="52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7" s="717">
        <f>COUNTIFS(РД[МОП],A177,РД[Дата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7" s="329">
        <f>SUMIFS(sept202122[м2],sept202122[МОП],$A177,sept202122[№ дома],#REF!)</f>
        <v>0</v>
      </c>
      <c r="F177" s="363">
        <f>SUMIFS(sept202122[Сумма без отделки],sept202122[МОП],$A177,sept202122[№ дома],#REF!)</f>
        <v>0</v>
      </c>
      <c r="G177" s="414">
        <f>COUNTIFS(sept202122[МОП],$A177,sept202122[№ дома],#REF!)</f>
        <v>0</v>
      </c>
      <c r="H177" s="271">
        <f>SUMIFS(РД[S],РД[МОП],A177,РД[Дата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7" s="54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7" s="202">
        <f>COUNTIFS(РД[Тип кв],J$174,РД[МОП],$A177,РД[Дата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7" s="226">
        <f>COUNTIFS(РД[Тип кв],K$174,РД[МОП],$A177,РД[Дата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7" s="226">
        <f>COUNTIFS(РД[Тип кв],L$174,РД[МОП],$A177,РД[Дата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7" s="226">
        <f>COUNTIFS(РД[Тип кв],M$174,РД[МОП],$A177,РД[Дата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227">
        <f>COUNTIFS(РД[Тип кв],T$170,РД[МОП],$A177,РД[Дата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7" s="339"/>
      <c r="P177" s="339"/>
      <c r="Q177" s="86"/>
      <c r="U177" s="66"/>
    </row>
    <row r="178" spans="1:21" s="65" customFormat="1">
      <c r="A178" s="153" t="s">
        <v>14</v>
      </c>
      <c r="B178" s="315">
        <f>SUMIFS(РД[S],РД[МОП],A178,РД[Дата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8" s="363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8" s="703">
        <f>COUNTIFS(РД[МОП],A178,РД[Дата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8" s="329">
        <f>SUMIFS(sept202122[м2],sept202122[МОП],$A178,sept202122[№ дома],#REF!)</f>
        <v>0</v>
      </c>
      <c r="F178" s="363">
        <f>SUMIFS(sept202122[Сумма без отделки],sept202122[МОП],$A178,sept202122[№ дома],#REF!)</f>
        <v>0</v>
      </c>
      <c r="G178" s="414">
        <f>COUNTIFS(sept202122[МОП],$A178,sept202122[№ дома],#REF!)</f>
        <v>0</v>
      </c>
      <c r="H178" s="315">
        <f>SUMIFS(РД[S],РД[МОП],A178,РД[Дата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8" s="550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8" s="358">
        <f>COUNTIFS(РД[Тип кв],J$174,РД[МОП],$A178,РД[Дата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8" s="330">
        <f>COUNTIFS(РД[Тип кв],K$174,РД[МОП],$A178,РД[Дата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8" s="330">
        <f>COUNTIFS(РД[Тип кв],L$174,РД[МОП],$A178,РД[Дата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8" s="330">
        <f>COUNTIFS(РД[Тип кв],M$174,РД[МОП],$A178,РД[Дата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1">
        <f>COUNTIFS(РД[Тип кв],T$170,РД[МОП],$A178,РД[Дата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8" s="339"/>
      <c r="P178" s="339"/>
      <c r="Q178" s="86"/>
      <c r="U178" s="66"/>
    </row>
    <row r="179" spans="1:21" s="65" customFormat="1">
      <c r="A179" s="154" t="s">
        <v>29</v>
      </c>
      <c r="B179" s="274">
        <f>SUMIFS(РД[S],РД[МОП],A179,РД[Дата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79" s="718">
        <f>COUNTIFS(РД[МОП],A179,РД[Дата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79" s="341">
        <f>SUMIFS(sept202122[м2],sept202122[МОП],$A179,sept202122[№ дома],#REF!)</f>
        <v>0</v>
      </c>
      <c r="F179" s="277">
        <f>SUMIFS(sept202122[Сумма без отделки],sept202122[МОП],$A179,sept202122[№ дома],#REF!)</f>
        <v>0</v>
      </c>
      <c r="G179" s="405">
        <f>COUNTIFS(sept202122[МОП],$A179,sept202122[№ дома],#REF!)</f>
        <v>0</v>
      </c>
      <c r="H179" s="274">
        <f>SUMIFS(РД[S],РД[МОП],A179,РД[Дата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79" s="228">
        <f>COUNTIFS(РД[Тип кв],J$174,РД[МОП],$A179,РД[Дата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79" s="228">
        <f>COUNTIFS(РД[Тип кв],K$174,РД[МОП],$A179,РД[Дата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79" s="228">
        <f>COUNTIFS(РД[Тип кв],L$174,РД[МОП],$A179,РД[Дата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9" s="228">
        <f>COUNTIFS(РД[Тип кв],M$174,РД[МОП],$A179,РД[Дата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231">
        <f>COUNTIFS(РД[Тип кв],T$170,РД[МОП],$A179,РД[Дата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9" s="339"/>
      <c r="P179" s="339"/>
      <c r="Q179" s="86"/>
      <c r="U179" s="66"/>
    </row>
    <row r="180" spans="1:21" s="65" customFormat="1">
      <c r="A180" s="161" t="s">
        <v>1207</v>
      </c>
      <c r="B180" s="278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0" s="719">
        <f>COUNTIFS(РД[МОП],A180,РД[Дата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0" s="406">
        <f>SUMIFS(sept202122[м2],sept202122[МОП],$A180,sept202122[№ дома],#REF!)</f>
        <v>0</v>
      </c>
      <c r="F180" s="281">
        <f>SUMIFS(sept202122[Сумма без отделки],sept202122[МОП],$A180,sept202122[№ дома],#REF!)</f>
        <v>0</v>
      </c>
      <c r="G180" s="407">
        <f>COUNTIFS(sept202122[МОП],$A180,sept202122[№ дома],#REF!)</f>
        <v>0</v>
      </c>
      <c r="H180" s="278">
        <f>SUMIFS(РД[S],РД[МОП],A180,РД[Дата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0" s="232">
        <f>COUNTIFS(РД[Тип кв],J$174,РД[МОП],$A180,РД[Дата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0" s="232">
        <f>COUNTIFS(РД[Тип кв],K$174,РД[МОП],$A180,РД[Дата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0" s="232">
        <f>COUNTIFS(РД[Тип кв],L$174,РД[МОП],$A180,РД[Дата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0" s="232">
        <f>COUNTIFS(РД[Тип кв],M$174,РД[МОП],$A180,РД[Дата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337">
        <f>COUNTIFS(РД[Тип кв],T$170,РД[МОП],$A180,РД[Дата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0" s="339"/>
      <c r="P180" s="339"/>
      <c r="Q180" s="86"/>
      <c r="U180" s="66"/>
    </row>
    <row r="181" spans="1:21" s="65" customFormat="1">
      <c r="A181" s="513" t="s">
        <v>114</v>
      </c>
      <c r="B181" s="282">
        <f t="shared" ref="B181:M181" si="19">SUM(B175:B178)</f>
        <v>0</v>
      </c>
      <c r="C181" s="287">
        <f t="shared" si="19"/>
        <v>0</v>
      </c>
      <c r="D181" s="305">
        <f t="shared" si="19"/>
        <v>0</v>
      </c>
      <c r="E181" s="425">
        <f t="shared" si="19"/>
        <v>0</v>
      </c>
      <c r="F181" s="287">
        <f t="shared" si="19"/>
        <v>0</v>
      </c>
      <c r="G181" s="286">
        <f t="shared" si="19"/>
        <v>0</v>
      </c>
      <c r="H181" s="282">
        <f t="shared" si="19"/>
        <v>0</v>
      </c>
      <c r="I181" s="283">
        <f t="shared" si="19"/>
        <v>0</v>
      </c>
      <c r="J181" s="284">
        <f t="shared" si="19"/>
        <v>0</v>
      </c>
      <c r="K181" s="285">
        <f t="shared" si="19"/>
        <v>0</v>
      </c>
      <c r="L181" s="285">
        <f t="shared" si="19"/>
        <v>0</v>
      </c>
      <c r="M181" s="285">
        <f t="shared" si="19"/>
        <v>0</v>
      </c>
      <c r="N181" s="305">
        <f>SUM(T172:T174)</f>
        <v>0</v>
      </c>
      <c r="O181" s="339"/>
      <c r="P181" s="339"/>
      <c r="Q181" s="86"/>
      <c r="U181" s="66"/>
    </row>
    <row r="182" spans="1:21" s="65" customFormat="1">
      <c r="A182" s="725" t="s">
        <v>115</v>
      </c>
      <c r="B182" s="706" t="s">
        <v>101</v>
      </c>
      <c r="C182" s="726" t="s">
        <v>98</v>
      </c>
      <c r="D182" s="708" t="s">
        <v>96</v>
      </c>
      <c r="E182" s="486" t="s">
        <v>494</v>
      </c>
      <c r="F182" s="487" t="s">
        <v>495</v>
      </c>
      <c r="G182" s="524" t="s">
        <v>496</v>
      </c>
      <c r="H182" s="489" t="s">
        <v>946</v>
      </c>
      <c r="I182" s="525" t="s">
        <v>947</v>
      </c>
      <c r="J182" s="217">
        <v>0</v>
      </c>
      <c r="K182" s="218">
        <v>1</v>
      </c>
      <c r="L182" s="340">
        <v>2</v>
      </c>
      <c r="M182" s="218">
        <v>3</v>
      </c>
      <c r="N182" s="219" t="s">
        <v>1367</v>
      </c>
      <c r="O182" s="339"/>
      <c r="P182" s="339"/>
      <c r="Q182" s="86"/>
      <c r="U182" s="66"/>
    </row>
    <row r="183" spans="1:21" s="65" customFormat="1">
      <c r="A183" s="177" t="s">
        <v>16</v>
      </c>
      <c r="B183" s="291">
        <f>SUMIFS(РД[S],РД[ИМ],A183,РД[Дата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3" s="29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3" s="694">
        <f>COUNTIFS(РД[ИМ],A183,РД[Дата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3" s="551"/>
      <c r="F183" s="292"/>
      <c r="G183" s="552"/>
      <c r="H183" s="291">
        <f>SUMIFS(РД[S],РД[ИМ],A183,РД[Дата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3" s="31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3" s="346">
        <f>COUNTIFS(РД[Тип кв],J$174,РД[ИМ],$A183,РД[Дата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3" s="243">
        <f>COUNTIFS(РД[Тип кв],K$174,РД[ИМ],$A183,РД[Дата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3" s="243">
        <f>COUNTIFS(РД[Тип кв],L$174,РД[ИМ],$A183,РД[Дата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3" s="243">
        <f>COUNTIFS(РД[Тип кв],M$174,РД[ИМ],$A183,РД[Дата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246">
        <f>COUNTIFS(РД[Тип кв],T$170,РД[ИМ],$A183,РД[Дата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3" s="339"/>
      <c r="P183" s="339"/>
      <c r="Q183" s="86"/>
      <c r="U183" s="66"/>
    </row>
    <row r="184" spans="1:21" s="65" customFormat="1">
      <c r="A184" s="189" t="s">
        <v>22</v>
      </c>
      <c r="B184" s="516">
        <f>SUMIFS(РД[S],РД[ИМ],A184,РД[Дата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C184" s="554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D184" s="695">
        <f>COUNTIFS(РД[ИМ],A184,РД[Дата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E184" s="553"/>
      <c r="F184" s="554"/>
      <c r="G184" s="555"/>
      <c r="H184" s="516">
        <f>SUMIFS(РД[S],РД[ИМ],A184,РД[Дата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I184" s="517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рекламы],"Партнерство - Агентство Все метры")/2</f>
        <v>0</v>
      </c>
      <c r="J184" s="426">
        <f>COUNTIFS(РД[Тип кв],J$174,РД[ИМ],$A184,РД[Дата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K184" s="251">
        <f>COUNTIFS(РД[Тип кв],K$174,РД[ИМ],$A184,РД[Дата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L184" s="251">
        <f>COUNTIFS(РД[Тип кв],L$174,РД[ИМ],$A184,РД[Дата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4" s="251">
        <f>COUNTIFS(РД[Тип кв],M$174,РД[ИМ],$A184,РД[Дата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254">
        <f>COUNTIFS(РД[Тип кв],T$170,РД[ИМ],$A184,РД[Дата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513" t="s">
        <v>114</v>
      </c>
      <c r="B185" s="282">
        <f>SUM(B183:B184)</f>
        <v>0</v>
      </c>
      <c r="C185" s="287">
        <f>SUM(C183:C184)</f>
        <v>0</v>
      </c>
      <c r="D185" s="711">
        <f>SUM(D183:D184)</f>
        <v>0</v>
      </c>
      <c r="E185" s="425">
        <f t="shared" ref="E185:M185" si="20">SUM(E183:E184)</f>
        <v>0</v>
      </c>
      <c r="F185" s="287">
        <f t="shared" si="20"/>
        <v>0</v>
      </c>
      <c r="G185" s="286">
        <f t="shared" si="20"/>
        <v>0</v>
      </c>
      <c r="H185" s="282">
        <f t="shared" si="20"/>
        <v>0</v>
      </c>
      <c r="I185" s="283">
        <f t="shared" si="20"/>
        <v>0</v>
      </c>
      <c r="J185" s="284">
        <f t="shared" si="20"/>
        <v>0</v>
      </c>
      <c r="K185" s="285">
        <f t="shared" si="20"/>
        <v>0</v>
      </c>
      <c r="L185" s="285">
        <f t="shared" si="20"/>
        <v>0</v>
      </c>
      <c r="M185" s="285">
        <f t="shared" si="20"/>
        <v>0</v>
      </c>
      <c r="N185" s="305">
        <f>SUM(T179:T180)</f>
        <v>0</v>
      </c>
      <c r="O185" s="339"/>
      <c r="P185" s="339"/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</row>
    <row r="223" spans="1:2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86"/>
      <c r="R223" s="65"/>
      <c r="S223" s="65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U309" s="66"/>
    </row>
    <row r="310" spans="17:21" s="65" customFormat="1">
      <c r="Q310" s="86"/>
      <c r="R310" s="66"/>
      <c r="S310" s="66"/>
      <c r="U310" s="66"/>
    </row>
    <row r="311" spans="17:21" s="65" customFormat="1">
      <c r="Q311" s="86"/>
      <c r="R311" s="66"/>
      <c r="S311" s="66"/>
      <c r="U311" s="66"/>
    </row>
    <row r="312" spans="17:21" s="65" customFormat="1">
      <c r="Q312" s="86"/>
      <c r="R312" s="66"/>
      <c r="S312" s="66"/>
      <c r="U312" s="66"/>
    </row>
    <row r="313" spans="17:21" s="65" customFormat="1">
      <c r="Q313" s="86"/>
      <c r="R313" s="66"/>
      <c r="S313" s="66"/>
      <c r="U313" s="66"/>
    </row>
  </sheetData>
  <sheetProtection algorithmName="SHA-512" hashValue="IiTs+i5IeyEg6y0Lz/4zhRxZWb+2b62fOTjjl2j9tgtgI3wo3L4wXhTjfkkDYm3J9twbexwcup2WsSChEVWvNA==" saltValue="/VNNcdqqNbT85L4jxTTJkA==" spinCount="100000" sheet="1" formatCells="0" formatColumns="0" formatRows="0" sort="0" autoFilter="0" pivotTables="0"/>
  <mergeCells count="6">
    <mergeCell ref="A172:N172"/>
    <mergeCell ref="A1:U1"/>
    <mergeCell ref="A116:B116"/>
    <mergeCell ref="A130:B130"/>
    <mergeCell ref="A144:B144"/>
    <mergeCell ref="A158:O158"/>
  </mergeCells>
  <pageMargins left="0.25" right="0.25" top="0.75" bottom="0.75" header="0.3" footer="0.3"/>
  <pageSetup paperSize="9" scale="2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500-000000000000}">
          <x14:formula1>
            <xm:f>Списки!$B$2:$B$5</xm:f>
          </x14:formula1>
          <xm:sqref>C3:C110 G113:G114</xm:sqref>
        </x14:dataValidation>
        <x14:dataValidation type="list" allowBlank="1" showInputMessage="1" showErrorMessage="1" xr:uid="{00000000-0002-0000-2500-000001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2500-000002000000}">
          <x14:formula1>
            <xm:f>Списки!$D$2:$D$7</xm:f>
          </x14:formula1>
          <xm:sqref>F113:F114 G3:G110</xm:sqref>
        </x14:dataValidation>
        <x14:dataValidation type="list" allowBlank="1" showInputMessage="1" showErrorMessage="1" xr:uid="{00000000-0002-0000-2500-000003000000}">
          <x14:formula1>
            <xm:f>Списки!$E$2:$E$7</xm:f>
          </x14:formula1>
          <xm:sqref>H113:H114 K3:K110</xm:sqref>
        </x14:dataValidation>
        <x14:dataValidation type="list" allowBlank="1" showInputMessage="1" showErrorMessage="1" xr:uid="{00000000-0002-0000-2500-000004000000}">
          <x14:formula1>
            <xm:f>Списки!$C$2:$C$9</xm:f>
          </x14:formula1>
          <xm:sqref>J3:J110 S3:T110</xm:sqref>
        </x14:dataValidation>
        <x14:dataValidation type="list" allowBlank="1" showInputMessage="1" showErrorMessage="1" xr:uid="{00000000-0002-0000-2500-000005000000}">
          <x14:formula1>
            <xm:f>Списки!$G$2:$G$3</xm:f>
          </x14:formula1>
          <xm:sqref>L113:L114 M3:M110</xm:sqref>
        </x14:dataValidation>
        <x14:dataValidation type="list" allowBlank="1" showInputMessage="1" showErrorMessage="1" xr:uid="{00000000-0002-0000-2500-000006000000}">
          <x14:formula1>
            <xm:f>Списки!$F$2:$F$3</xm:f>
          </x14:formula1>
          <xm:sqref>N113:N114 O3:O4 O6:O69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  <pageSetUpPr fitToPage="1"/>
  </sheetPr>
  <dimension ref="B1:AD68"/>
  <sheetViews>
    <sheetView workbookViewId="0">
      <selection activeCell="AC11" sqref="AC11"/>
    </sheetView>
  </sheetViews>
  <sheetFormatPr defaultColWidth="9.140625" defaultRowHeight="15"/>
  <cols>
    <col min="1" max="1" width="1.7109375" style="557" customWidth="1"/>
    <col min="2" max="2" width="11.7109375" style="558" customWidth="1"/>
    <col min="3" max="3" width="7.42578125" style="558" customWidth="1"/>
    <col min="4" max="4" width="20.7109375" style="558" customWidth="1"/>
    <col min="5" max="5" width="10.7109375" style="558" customWidth="1"/>
    <col min="6" max="6" width="12.7109375" style="558" customWidth="1"/>
    <col min="7" max="7" width="10.7109375" style="558" customWidth="1"/>
    <col min="8" max="8" width="12.7109375" style="558" customWidth="1"/>
    <col min="9" max="9" width="10.7109375" style="558" customWidth="1"/>
    <col min="10" max="16" width="12.7109375" style="558" customWidth="1"/>
    <col min="17" max="17" width="10.7109375" style="558" customWidth="1"/>
    <col min="18" max="18" width="12.7109375" style="558" customWidth="1"/>
    <col min="19" max="19" width="8.7109375" style="558" customWidth="1"/>
    <col min="20" max="20" width="17" style="557" customWidth="1"/>
    <col min="21" max="21" width="12.42578125" style="557" customWidth="1"/>
    <col min="22" max="22" width="17.140625" style="557" customWidth="1"/>
    <col min="23" max="23" width="9.140625" style="557"/>
    <col min="24" max="24" width="14.140625" style="557" customWidth="1"/>
    <col min="25" max="25" width="11.5703125" style="557" customWidth="1"/>
    <col min="26" max="26" width="17.7109375" style="557" customWidth="1"/>
    <col min="27" max="27" width="9.140625" style="557"/>
    <col min="28" max="30" width="16.42578125" style="557" customWidth="1"/>
    <col min="31" max="16384" width="9.140625" style="557"/>
  </cols>
  <sheetData>
    <row r="1" spans="2:30">
      <c r="B1" s="2349" t="s">
        <v>713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M1" s="2349"/>
      <c r="N1" s="2349"/>
      <c r="O1" s="2349"/>
      <c r="P1" s="2349"/>
      <c r="Q1" s="2349"/>
      <c r="R1" s="2349"/>
      <c r="T1" s="2345" t="s">
        <v>1870</v>
      </c>
      <c r="U1" s="2345"/>
      <c r="V1" s="2345"/>
      <c r="AB1" s="2345" t="s">
        <v>1870</v>
      </c>
      <c r="AC1" s="2345"/>
      <c r="AD1" s="2345"/>
    </row>
    <row r="2" spans="2:30" ht="15.75" thickBot="1">
      <c r="T2" s="2346" t="s">
        <v>7</v>
      </c>
      <c r="U2" s="2346"/>
      <c r="V2" s="2346"/>
      <c r="X2" s="2346" t="s">
        <v>13</v>
      </c>
      <c r="Y2" s="2346"/>
      <c r="Z2" s="2346"/>
      <c r="AB2" s="2346" t="s">
        <v>718</v>
      </c>
      <c r="AC2" s="2346"/>
      <c r="AD2" s="2346"/>
    </row>
    <row r="3" spans="2:30" ht="16.5" thickBot="1">
      <c r="B3" s="2329">
        <v>45839</v>
      </c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1"/>
      <c r="S3" s="621"/>
      <c r="T3" s="650" t="s">
        <v>1871</v>
      </c>
      <c r="U3" s="663" t="s">
        <v>1872</v>
      </c>
      <c r="V3" s="664" t="s">
        <v>1873</v>
      </c>
      <c r="X3" s="650" t="s">
        <v>1871</v>
      </c>
      <c r="Y3" s="663" t="s">
        <v>1872</v>
      </c>
      <c r="Z3" s="664" t="s">
        <v>1873</v>
      </c>
      <c r="AB3" s="650" t="s">
        <v>1871</v>
      </c>
      <c r="AC3" s="663" t="s">
        <v>1872</v>
      </c>
      <c r="AD3" s="664" t="s">
        <v>1873</v>
      </c>
    </row>
    <row r="4" spans="2:30" ht="15.75" customHeight="1">
      <c r="B4" s="2335" t="s">
        <v>1874</v>
      </c>
      <c r="C4" s="2343"/>
      <c r="D4" s="2343"/>
      <c r="E4" s="2332" t="s">
        <v>7</v>
      </c>
      <c r="F4" s="2333"/>
      <c r="G4" s="2333" t="s">
        <v>13</v>
      </c>
      <c r="H4" s="2333"/>
      <c r="I4" s="2333" t="s">
        <v>1875</v>
      </c>
      <c r="J4" s="2333"/>
      <c r="K4" s="2333" t="s">
        <v>1876</v>
      </c>
      <c r="L4" s="2333"/>
      <c r="M4" s="2333" t="s">
        <v>11475</v>
      </c>
      <c r="N4" s="2333"/>
      <c r="O4" s="2333" t="s">
        <v>11476</v>
      </c>
      <c r="P4" s="2334"/>
      <c r="Q4" s="2343" t="s">
        <v>114</v>
      </c>
      <c r="R4" s="2336"/>
      <c r="S4" s="622"/>
      <c r="T4" s="651">
        <v>45658</v>
      </c>
      <c r="U4" s="667">
        <v>0</v>
      </c>
      <c r="V4" s="2106">
        <v>0</v>
      </c>
      <c r="X4" s="651">
        <v>45658</v>
      </c>
      <c r="Y4" s="667">
        <v>786.39225772005796</v>
      </c>
      <c r="Z4" s="2106">
        <v>101186893.363034</v>
      </c>
      <c r="AB4" s="651">
        <v>45658</v>
      </c>
      <c r="AC4" s="846">
        <f t="shared" ref="AC4:AC16" si="0">U4+Y4+U20+Y20+U36+Y36</f>
        <v>1232.2647023381339</v>
      </c>
      <c r="AD4" s="2106">
        <f t="shared" ref="AD4:AD16" si="1">V4+Z4+V20+Z20+V36+Z36</f>
        <v>156155034.04360771</v>
      </c>
    </row>
    <row r="5" spans="2:30" ht="16.5" thickBot="1">
      <c r="B5" s="559" t="s">
        <v>1878</v>
      </c>
      <c r="C5" s="560" t="s">
        <v>1879</v>
      </c>
      <c r="D5" s="2108" t="s">
        <v>1880</v>
      </c>
      <c r="E5" s="610" t="s">
        <v>1872</v>
      </c>
      <c r="F5" s="563" t="s">
        <v>1881</v>
      </c>
      <c r="G5" s="563" t="s">
        <v>1872</v>
      </c>
      <c r="H5" s="563" t="s">
        <v>1881</v>
      </c>
      <c r="I5" s="563" t="s">
        <v>1872</v>
      </c>
      <c r="J5" s="563" t="s">
        <v>1881</v>
      </c>
      <c r="K5" s="563" t="s">
        <v>1872</v>
      </c>
      <c r="L5" s="563" t="s">
        <v>1881</v>
      </c>
      <c r="M5" s="563" t="s">
        <v>1872</v>
      </c>
      <c r="N5" s="563" t="s">
        <v>1881</v>
      </c>
      <c r="O5" s="563" t="s">
        <v>1872</v>
      </c>
      <c r="P5" s="624" t="s">
        <v>1881</v>
      </c>
      <c r="Q5" s="562" t="s">
        <v>1872</v>
      </c>
      <c r="R5" s="624" t="s">
        <v>1881</v>
      </c>
      <c r="S5" s="622"/>
      <c r="T5" s="651">
        <v>45689</v>
      </c>
      <c r="U5" s="667">
        <v>74.280000000001607</v>
      </c>
      <c r="V5" s="2106">
        <v>8039520</v>
      </c>
      <c r="X5" s="651">
        <v>45689</v>
      </c>
      <c r="Y5" s="667">
        <v>1075.4326101010099</v>
      </c>
      <c r="Z5" s="2106">
        <v>138593052.08312199</v>
      </c>
      <c r="AB5" s="651">
        <v>45689</v>
      </c>
      <c r="AC5" s="846">
        <f t="shared" si="0"/>
        <v>1478.7619943516333</v>
      </c>
      <c r="AD5" s="2106">
        <f t="shared" si="1"/>
        <v>186989995.12530649</v>
      </c>
    </row>
    <row r="6" spans="2:30" ht="15.75">
      <c r="B6" s="564" t="s">
        <v>28</v>
      </c>
      <c r="C6" s="830">
        <v>180</v>
      </c>
      <c r="D6" s="566">
        <f t="shared" ref="D6:D11" si="2">C6/$C$12</f>
        <v>0.23407022106631989</v>
      </c>
      <c r="E6" s="2115">
        <f>ROUND($D6*VLOOKUP($B$3,'ИПП 3кв25'!$T$4:$V$16,2,0),0)</f>
        <v>10</v>
      </c>
      <c r="F6" s="2098">
        <f>ROUND($D6*VLOOKUP($B$3,'ИПП 3кв25'!$T$4:$V$16,3,0),0)</f>
        <v>1364138</v>
      </c>
      <c r="G6" s="2098">
        <f>ROUND($D6*VLOOKUP($B$3,'ИПП 3кв25'!$X$4:$Z$16,2,0),0)</f>
        <v>45</v>
      </c>
      <c r="H6" s="2098">
        <f>ROUND($D6*VLOOKUP($B$3,'ИПП 3кв25'!$X$4:$Z$16,3,0),0)</f>
        <v>5352121</v>
      </c>
      <c r="I6" s="2098">
        <f>ROUND($D6*VLOOKUP($B$3,'ИПП 3кв25'!$T$20:$V$32,2,0),0)</f>
        <v>163</v>
      </c>
      <c r="J6" s="2099">
        <f>ROUND($D6*VLOOKUP($B$3,'ИПП 3кв25'!$T$20:$V$32,3,0),0)</f>
        <v>20535768</v>
      </c>
      <c r="K6" s="2098">
        <f>ROUND($D6*VLOOKUP($B$3,'ИПП 3кв25'!$X$20:$Z$32,2,0),0)</f>
        <v>128</v>
      </c>
      <c r="L6" s="2099">
        <f>ROUND($D6*VLOOKUP($B$3,'ИПП 3кв25'!$X$20:$Z$32,3,0),0)</f>
        <v>15831439</v>
      </c>
      <c r="M6" s="2098">
        <f>ROUND($D6*VLOOKUP($B$3,'ИПП 3кв25'!$T$36:$V$48,2,0),0)</f>
        <v>0</v>
      </c>
      <c r="N6" s="2099">
        <f>ROUND($D6*VLOOKUP($B$3,'ИПП 3кв25'!$T$36:$V$48,3,0),0)</f>
        <v>0</v>
      </c>
      <c r="O6" s="2098">
        <f>ROUND($D6*VLOOKUP($B$3,'ИПП 3кв25'!$X$36:$Z$48,2,0),0)</f>
        <v>0</v>
      </c>
      <c r="P6" s="2099">
        <f>ROUND($D6*VLOOKUP($B$3,'ИПП 3кв25'!$X$36:$Z$48,3,0),0)</f>
        <v>0</v>
      </c>
      <c r="Q6" s="2116">
        <f>E6+G6+I6+K6+M6+O6</f>
        <v>346</v>
      </c>
      <c r="R6" s="2101">
        <f>F6+H6+J6+L6+N6+P6</f>
        <v>43083466</v>
      </c>
      <c r="S6" s="622"/>
      <c r="T6" s="651">
        <v>45717</v>
      </c>
      <c r="U6" s="667">
        <v>46.810000000001303</v>
      </c>
      <c r="V6" s="2106">
        <v>6419135.9999998901</v>
      </c>
      <c r="X6" s="651">
        <v>45717</v>
      </c>
      <c r="Y6" s="667">
        <v>1381.73087417027</v>
      </c>
      <c r="Z6" s="2106">
        <v>176300906.82381701</v>
      </c>
      <c r="AB6" s="651">
        <v>45717</v>
      </c>
      <c r="AC6" s="846">
        <f t="shared" si="0"/>
        <v>1961.0135371791523</v>
      </c>
      <c r="AD6" s="2106">
        <f t="shared" si="1"/>
        <v>247467271.1416471</v>
      </c>
    </row>
    <row r="7" spans="2:30" ht="14.25" customHeight="1">
      <c r="B7" s="569" t="s">
        <v>8</v>
      </c>
      <c r="C7" s="570">
        <v>129</v>
      </c>
      <c r="D7" s="571">
        <f t="shared" si="2"/>
        <v>0.16775032509752927</v>
      </c>
      <c r="E7" s="2115">
        <f>ROUND($D7*VLOOKUP($B$3,'ИПП 3кв25'!$T$4:$V$16,2,0),0)</f>
        <v>7</v>
      </c>
      <c r="F7" s="2098">
        <f>ROUND($D7*VLOOKUP($B$3,'ИПП 3кв25'!$T$4:$V$16,3,0),0)</f>
        <v>977632</v>
      </c>
      <c r="G7" s="2098">
        <f>ROUND($D7*VLOOKUP($B$3,'ИПП 3кв25'!$X$4:$Z$16,2,0),0)</f>
        <v>33</v>
      </c>
      <c r="H7" s="2098">
        <f>ROUND($D7*VLOOKUP($B$3,'ИПП 3кв25'!$X$4:$Z$16,3,0),0)</f>
        <v>3835687</v>
      </c>
      <c r="I7" s="2098">
        <f>ROUND($D7*VLOOKUP($B$3,'ИПП 3кв25'!$T$20:$V$32,2,0),0)</f>
        <v>117</v>
      </c>
      <c r="J7" s="2099">
        <f>ROUND($D7*VLOOKUP($B$3,'ИПП 3кв25'!$T$20:$V$32,3,0),0)</f>
        <v>14717300</v>
      </c>
      <c r="K7" s="2117">
        <f>ROUND($D7*VLOOKUP($B$3,'ИПП 3кв25'!$X$20:$Z$32,2,0),0)</f>
        <v>92</v>
      </c>
      <c r="L7" s="2100">
        <f>ROUND($D7*VLOOKUP($B$3,'ИПП 3кв25'!$X$20:$Z$32,3,0),0)</f>
        <v>11345865</v>
      </c>
      <c r="M7" s="2117">
        <f>ROUND($D7*VLOOKUP($B$3,'ИПП 3кв25'!$T$36:$V$48,2,0),0)</f>
        <v>0</v>
      </c>
      <c r="N7" s="2100">
        <f>ROUND($D7*VLOOKUP($B$3,'ИПП 3кв25'!$T$36:$V$48,3,0),0)</f>
        <v>0</v>
      </c>
      <c r="O7" s="2117">
        <f>ROUND($D7*VLOOKUP($B$3,'ИПП 3кв25'!$X$36:$Z$48,2,0),0)</f>
        <v>0</v>
      </c>
      <c r="P7" s="2100">
        <f>ROUND($D7*VLOOKUP($B$3,'ИПП 3кв25'!$X$36:$Z$48,3,0),0)</f>
        <v>0</v>
      </c>
      <c r="Q7" s="2116">
        <f t="shared" ref="Q7:Q11" si="3">E7+G7+I7+K7+M7+O7</f>
        <v>249</v>
      </c>
      <c r="R7" s="2101">
        <f t="shared" ref="R7:R11" si="4">F7+H7+J7+L7+N7+P7</f>
        <v>30876484</v>
      </c>
      <c r="S7" s="609"/>
      <c r="T7" s="651">
        <v>45748</v>
      </c>
      <c r="U7" s="667">
        <v>61.530000000003703</v>
      </c>
      <c r="V7" s="2106">
        <v>7579104.0003200201</v>
      </c>
      <c r="X7" s="651">
        <v>45748</v>
      </c>
      <c r="Y7" s="667">
        <v>1634.6030709956699</v>
      </c>
      <c r="Z7" s="2106">
        <v>209944415.214986</v>
      </c>
      <c r="AB7" s="651">
        <v>45748</v>
      </c>
      <c r="AC7" s="846">
        <f t="shared" si="0"/>
        <v>2257.8520673378875</v>
      </c>
      <c r="AD7" s="2106">
        <f t="shared" si="1"/>
        <v>286820003.80596751</v>
      </c>
    </row>
    <row r="8" spans="2:30" ht="15.75">
      <c r="B8" s="569" t="s">
        <v>20</v>
      </c>
      <c r="C8" s="574">
        <v>40</v>
      </c>
      <c r="D8" s="575">
        <f t="shared" si="2"/>
        <v>5.2015604681404419E-2</v>
      </c>
      <c r="E8" s="2115">
        <f>ROUND($D8*VLOOKUP($B$3,'ИПП 3кв25'!$T$4:$V$16,2,0),0)</f>
        <v>2</v>
      </c>
      <c r="F8" s="2098">
        <f>ROUND($D8*VLOOKUP($B$3,'ИПП 3кв25'!$T$4:$V$16,3,0),0)</f>
        <v>303142</v>
      </c>
      <c r="G8" s="2098">
        <f>ROUND($D8*VLOOKUP($B$3,'ИПП 3кв25'!$X$4:$Z$16,2,0),0)</f>
        <v>10</v>
      </c>
      <c r="H8" s="2098">
        <f>ROUND($D8*VLOOKUP($B$3,'ИПП 3кв25'!$X$4:$Z$16,3,0),0)</f>
        <v>1189360</v>
      </c>
      <c r="I8" s="2098">
        <f>ROUND($D8*VLOOKUP($B$3,'ИПП 3кв25'!$T$20:$V$32,2,0),0)</f>
        <v>36</v>
      </c>
      <c r="J8" s="2099">
        <f>ROUND($D8*VLOOKUP($B$3,'ИПП 3кв25'!$T$20:$V$32,3,0),0)</f>
        <v>4563504</v>
      </c>
      <c r="K8" s="2117">
        <f>ROUND($D8*VLOOKUP($B$3,'ИПП 3кв25'!$X$20:$Z$32,2,0),0)</f>
        <v>28</v>
      </c>
      <c r="L8" s="2100">
        <f>ROUND($D8*VLOOKUP($B$3,'ИПП 3кв25'!$X$20:$Z$32,3,0),0)</f>
        <v>3518098</v>
      </c>
      <c r="M8" s="2117">
        <f>ROUND($D8*VLOOKUP($B$3,'ИПП 3кв25'!$T$36:$V$48,2,0),0)</f>
        <v>0</v>
      </c>
      <c r="N8" s="2100">
        <f>ROUND($D8*VLOOKUP($B$3,'ИПП 3кв25'!$T$36:$V$48,3,0),0)</f>
        <v>0</v>
      </c>
      <c r="O8" s="2117">
        <f>ROUND($D8*VLOOKUP($B$3,'ИПП 3кв25'!$X$36:$Z$48,2,0),0)</f>
        <v>0</v>
      </c>
      <c r="P8" s="2100">
        <f>ROUND($D8*VLOOKUP($B$3,'ИПП 3кв25'!$X$36:$Z$48,3,0),0)</f>
        <v>0</v>
      </c>
      <c r="Q8" s="2116">
        <f t="shared" si="3"/>
        <v>76</v>
      </c>
      <c r="R8" s="2101">
        <f t="shared" si="4"/>
        <v>9574104</v>
      </c>
      <c r="S8" s="609"/>
      <c r="T8" s="651">
        <v>45778</v>
      </c>
      <c r="U8" s="667">
        <v>61.530000000003703</v>
      </c>
      <c r="V8" s="2106">
        <v>7579104.0003200201</v>
      </c>
      <c r="W8" s="609"/>
      <c r="X8" s="651">
        <v>45778</v>
      </c>
      <c r="Y8" s="667">
        <v>1650.7188011543999</v>
      </c>
      <c r="Z8" s="2106">
        <v>215436205.103273</v>
      </c>
      <c r="AB8" s="651">
        <v>45778</v>
      </c>
      <c r="AC8" s="846">
        <f t="shared" si="0"/>
        <v>2303.0518578640717</v>
      </c>
      <c r="AD8" s="2106">
        <f t="shared" si="1"/>
        <v>295360101.89798915</v>
      </c>
    </row>
    <row r="9" spans="2:30" ht="15.75">
      <c r="B9" s="569" t="s">
        <v>24</v>
      </c>
      <c r="C9" s="574">
        <v>180</v>
      </c>
      <c r="D9" s="575">
        <f t="shared" si="2"/>
        <v>0.23407022106631989</v>
      </c>
      <c r="E9" s="2115">
        <f>ROUND($D9*VLOOKUP($B$3,'ИПП 3кв25'!$T$4:$V$16,2,0),0)</f>
        <v>10</v>
      </c>
      <c r="F9" s="2098">
        <f>ROUND($D9*VLOOKUP($B$3,'ИПП 3кв25'!$T$4:$V$16,3,0),0)</f>
        <v>1364138</v>
      </c>
      <c r="G9" s="2098">
        <f>ROUND($D9*VLOOKUP($B$3,'ИПП 3кв25'!$X$4:$Z$16,2,0),0)</f>
        <v>45</v>
      </c>
      <c r="H9" s="2098">
        <f>ROUND($D9*VLOOKUP($B$3,'ИПП 3кв25'!$X$4:$Z$16,3,0),0)</f>
        <v>5352121</v>
      </c>
      <c r="I9" s="2098">
        <f>ROUND($D9*VLOOKUP($B$3,'ИПП 3кв25'!$T$20:$V$32,2,0),0)</f>
        <v>163</v>
      </c>
      <c r="J9" s="2099">
        <f>ROUND($D9*VLOOKUP($B$3,'ИПП 3кв25'!$T$20:$V$32,3,0),0)</f>
        <v>20535768</v>
      </c>
      <c r="K9" s="2117">
        <f>ROUND($D9*VLOOKUP($B$3,'ИПП 3кв25'!$X$20:$Z$32,2,0),0)</f>
        <v>128</v>
      </c>
      <c r="L9" s="2100">
        <f>ROUND($D9*VLOOKUP($B$3,'ИПП 3кв25'!$X$20:$Z$32,3,0),0)</f>
        <v>15831439</v>
      </c>
      <c r="M9" s="2117">
        <f>ROUND($D9*VLOOKUP($B$3,'ИПП 3кв25'!$T$36:$V$48,2,0),0)</f>
        <v>0</v>
      </c>
      <c r="N9" s="2100">
        <f>ROUND($D9*VLOOKUP($B$3,'ИПП 3кв25'!$T$36:$V$48,3,0),0)</f>
        <v>0</v>
      </c>
      <c r="O9" s="2117">
        <f>ROUND($D9*VLOOKUP($B$3,'ИПП 3кв25'!$X$36:$Z$48,2,0),0)</f>
        <v>0</v>
      </c>
      <c r="P9" s="2100">
        <f>ROUND($D9*VLOOKUP($B$3,'ИПП 3кв25'!$X$36:$Z$48,3,0),0)</f>
        <v>0</v>
      </c>
      <c r="Q9" s="2116">
        <f t="shared" si="3"/>
        <v>346</v>
      </c>
      <c r="R9" s="2101">
        <f t="shared" si="4"/>
        <v>43083466</v>
      </c>
      <c r="S9" s="609"/>
      <c r="T9" s="651">
        <v>45809</v>
      </c>
      <c r="U9" s="667">
        <v>46.810000000001303</v>
      </c>
      <c r="V9" s="2106">
        <v>6419135.9999998901</v>
      </c>
      <c r="X9" s="651">
        <v>45809</v>
      </c>
      <c r="Y9" s="667">
        <v>1451.27267157287</v>
      </c>
      <c r="Z9" s="2106">
        <v>185555214.877529</v>
      </c>
      <c r="AB9" s="651">
        <v>45809</v>
      </c>
      <c r="AC9" s="846">
        <f t="shared" si="0"/>
        <v>2105.9284380300282</v>
      </c>
      <c r="AD9" s="2106">
        <f t="shared" si="1"/>
        <v>268495693.69571948</v>
      </c>
    </row>
    <row r="10" spans="2:30" ht="15.75">
      <c r="B10" s="576" t="s">
        <v>14</v>
      </c>
      <c r="C10" s="577">
        <v>90</v>
      </c>
      <c r="D10" s="578">
        <f t="shared" si="2"/>
        <v>0.11703511053315994</v>
      </c>
      <c r="E10" s="2115">
        <f>ROUND($D10*VLOOKUP($B$3,'ИПП 3кв25'!$T$4:$V$16,2,0),0)</f>
        <v>5</v>
      </c>
      <c r="F10" s="2098">
        <f>ROUND($D10*VLOOKUP($B$3,'ИПП 3кв25'!$T$4:$V$16,3,0),0)</f>
        <v>682069</v>
      </c>
      <c r="G10" s="2098">
        <f>ROUND($D10*VLOOKUP($B$3,'ИПП 3кв25'!$X$4:$Z$16,2,0),0)</f>
        <v>23</v>
      </c>
      <c r="H10" s="2098">
        <f>ROUND($D10*VLOOKUP($B$3,'ИПП 3кв25'!$X$4:$Z$16,3,0),0)</f>
        <v>2676060</v>
      </c>
      <c r="I10" s="2098">
        <f>ROUND($D10*VLOOKUP($B$3,'ИПП 3кв25'!$T$20:$V$32,2,0),0)</f>
        <v>82</v>
      </c>
      <c r="J10" s="2099">
        <f>ROUND($D10*VLOOKUP($B$3,'ИПП 3кв25'!$T$20:$V$32,3,0),0)</f>
        <v>10267884</v>
      </c>
      <c r="K10" s="2117">
        <f>ROUND($D10*VLOOKUP($B$3,'ИПП 3кв25'!$X$20:$Z$32,2,0),0)</f>
        <v>64</v>
      </c>
      <c r="L10" s="2100">
        <f>ROUND($D10*VLOOKUP($B$3,'ИПП 3кв25'!$X$20:$Z$32,3,0),0)</f>
        <v>7915719</v>
      </c>
      <c r="M10" s="2117">
        <f>ROUND($D10*VLOOKUP($B$3,'ИПП 3кв25'!$T$36:$V$48,2,0),0)</f>
        <v>0</v>
      </c>
      <c r="N10" s="2100">
        <f>ROUND($D10*VLOOKUP($B$3,'ИПП 3кв25'!$T$36:$V$48,3,0),0)</f>
        <v>0</v>
      </c>
      <c r="O10" s="2117">
        <f>ROUND($D10*VLOOKUP($B$3,'ИПП 3кв25'!$X$36:$Z$48,2,0),0)</f>
        <v>0</v>
      </c>
      <c r="P10" s="2100">
        <f>ROUND($D10*VLOOKUP($B$3,'ИПП 3кв25'!$X$36:$Z$48,3,0),0)</f>
        <v>0</v>
      </c>
      <c r="Q10" s="2116">
        <f t="shared" si="3"/>
        <v>174</v>
      </c>
      <c r="R10" s="2101">
        <f t="shared" si="4"/>
        <v>21541732</v>
      </c>
      <c r="S10" s="609"/>
      <c r="T10" s="2238">
        <v>45839</v>
      </c>
      <c r="U10" s="2239">
        <v>40.9</v>
      </c>
      <c r="V10" s="2240">
        <v>5827900</v>
      </c>
      <c r="W10" s="2241"/>
      <c r="X10" s="2238">
        <v>45839</v>
      </c>
      <c r="Y10" s="2239">
        <v>193.85</v>
      </c>
      <c r="Z10" s="2240">
        <v>22865450</v>
      </c>
      <c r="AB10" s="651">
        <v>45839</v>
      </c>
      <c r="AC10" s="846">
        <f t="shared" si="0"/>
        <v>1479.2137292822551</v>
      </c>
      <c r="AD10" s="2106">
        <f t="shared" si="1"/>
        <v>184062138.06418353</v>
      </c>
    </row>
    <row r="11" spans="2:30" ht="16.5" thickBot="1">
      <c r="B11" s="618" t="s">
        <v>1884</v>
      </c>
      <c r="C11" s="577">
        <v>150</v>
      </c>
      <c r="D11" s="578">
        <f t="shared" si="2"/>
        <v>0.19505851755526657</v>
      </c>
      <c r="E11" s="2115">
        <f>ROUND($D11*VLOOKUP($B$3,'ИПП 3кв25'!$T$4:$V$16,2,0),0)</f>
        <v>8</v>
      </c>
      <c r="F11" s="2098">
        <f>ROUND($D11*VLOOKUP($B$3,'ИПП 3кв25'!$T$4:$V$16,3,0),0)</f>
        <v>1136782</v>
      </c>
      <c r="G11" s="2098">
        <f>ROUND($D11*VLOOKUP($B$3,'ИПП 3кв25'!$X$4:$Z$16,2,0),0)</f>
        <v>38</v>
      </c>
      <c r="H11" s="2098">
        <f>ROUND($D11*VLOOKUP($B$3,'ИПП 3кв25'!$X$4:$Z$16,3,0),0)</f>
        <v>4460101</v>
      </c>
      <c r="I11" s="2098">
        <f>ROUND($D11*VLOOKUP($B$3,'ИПП 3кв25'!$T$20:$V$32,2,0),0)</f>
        <v>136</v>
      </c>
      <c r="J11" s="2099">
        <f>ROUND($D11*VLOOKUP($B$3,'ИПП 3кв25'!$T$20:$V$32,3,0),0)</f>
        <v>17113140</v>
      </c>
      <c r="K11" s="2117">
        <f>ROUND($D11*VLOOKUP($B$3,'ИПП 3кв25'!$X$20:$Z$32,2,0),0)</f>
        <v>107</v>
      </c>
      <c r="L11" s="2100">
        <f>ROUND($D11*VLOOKUP($B$3,'ИПП 3кв25'!$X$20:$Z$32,3,0),0)</f>
        <v>13192866</v>
      </c>
      <c r="M11" s="2117">
        <f>ROUND($D11*VLOOKUP($B$3,'ИПП 3кв25'!$T$36:$V$48,2,0),0)</f>
        <v>0</v>
      </c>
      <c r="N11" s="2100">
        <f>ROUND($D11*VLOOKUP($B$3,'ИПП 3кв25'!$T$36:$V$48,3,0),0)</f>
        <v>0</v>
      </c>
      <c r="O11" s="2117">
        <f>ROUND($D11*VLOOKUP($B$3,'ИПП 3кв25'!$X$36:$Z$48,2,0),0)</f>
        <v>0</v>
      </c>
      <c r="P11" s="2100">
        <f>ROUND($D11*VLOOKUP($B$3,'ИПП 3кв25'!$X$36:$Z$48,3,0),0)</f>
        <v>0</v>
      </c>
      <c r="Q11" s="2118">
        <f t="shared" si="3"/>
        <v>289</v>
      </c>
      <c r="R11" s="2114">
        <f t="shared" si="4"/>
        <v>35902889</v>
      </c>
      <c r="S11" s="631"/>
      <c r="T11" s="2238">
        <v>45870</v>
      </c>
      <c r="U11" s="2239">
        <v>60.3</v>
      </c>
      <c r="V11" s="2240">
        <v>7703700</v>
      </c>
      <c r="W11" s="2241"/>
      <c r="X11" s="2238">
        <v>45870</v>
      </c>
      <c r="Y11" s="2239">
        <v>771.26043735676103</v>
      </c>
      <c r="Z11" s="2240">
        <v>98729864.112712145</v>
      </c>
      <c r="AB11" s="651">
        <v>45870</v>
      </c>
      <c r="AC11" s="846">
        <f t="shared" si="0"/>
        <v>923.34043735676096</v>
      </c>
      <c r="AD11" s="2106">
        <f t="shared" si="1"/>
        <v>118738346.11271214</v>
      </c>
    </row>
    <row r="12" spans="2:30" ht="16.5" customHeight="1" thickBot="1">
      <c r="B12" s="581" t="s">
        <v>114</v>
      </c>
      <c r="C12" s="582">
        <f t="shared" ref="C12:L12" si="5">SUM(C6:C11)</f>
        <v>769</v>
      </c>
      <c r="D12" s="583">
        <f t="shared" si="5"/>
        <v>1</v>
      </c>
      <c r="E12" s="2119">
        <f t="shared" si="5"/>
        <v>42</v>
      </c>
      <c r="F12" s="2110">
        <f t="shared" si="5"/>
        <v>5827901</v>
      </c>
      <c r="G12" s="2110">
        <f t="shared" si="5"/>
        <v>194</v>
      </c>
      <c r="H12" s="2110">
        <f t="shared" si="5"/>
        <v>22865450</v>
      </c>
      <c r="I12" s="2110">
        <f t="shared" si="5"/>
        <v>697</v>
      </c>
      <c r="J12" s="2111">
        <f t="shared" si="5"/>
        <v>87733364</v>
      </c>
      <c r="K12" s="2110">
        <f t="shared" si="5"/>
        <v>547</v>
      </c>
      <c r="L12" s="2111">
        <f t="shared" si="5"/>
        <v>67635426</v>
      </c>
      <c r="M12" s="2110">
        <f t="shared" ref="M12:P12" si="6">SUM(M6:M11)</f>
        <v>0</v>
      </c>
      <c r="N12" s="2111">
        <f t="shared" si="6"/>
        <v>0</v>
      </c>
      <c r="O12" s="2110">
        <f t="shared" si="6"/>
        <v>0</v>
      </c>
      <c r="P12" s="2111">
        <f t="shared" si="6"/>
        <v>0</v>
      </c>
      <c r="Q12" s="2113">
        <f>SUM(Q6:Q11)</f>
        <v>1480</v>
      </c>
      <c r="R12" s="2102">
        <f>SUM(R6:R11)</f>
        <v>184062141</v>
      </c>
      <c r="S12" s="622"/>
      <c r="T12" s="651">
        <v>45901</v>
      </c>
      <c r="U12" s="667">
        <v>60.5</v>
      </c>
      <c r="V12" s="2106">
        <v>7729200</v>
      </c>
      <c r="X12" s="651">
        <v>45901</v>
      </c>
      <c r="Y12" s="667">
        <v>1252.500262049062</v>
      </c>
      <c r="Z12" s="2106">
        <v>152830441.86619827</v>
      </c>
      <c r="AB12" s="651">
        <v>45901</v>
      </c>
      <c r="AC12" s="846">
        <f t="shared" si="0"/>
        <v>3501.4473140914315</v>
      </c>
      <c r="AD12" s="2106">
        <f t="shared" si="1"/>
        <v>430143197.25226676</v>
      </c>
    </row>
    <row r="13" spans="2:30" ht="16.5" thickBot="1">
      <c r="B13" s="2350" t="s">
        <v>1882</v>
      </c>
      <c r="C13" s="2351"/>
      <c r="D13" s="2351"/>
      <c r="E13" s="2332" t="s">
        <v>7</v>
      </c>
      <c r="F13" s="2333"/>
      <c r="G13" s="2333" t="s">
        <v>13</v>
      </c>
      <c r="H13" s="2333"/>
      <c r="I13" s="2333" t="s">
        <v>1875</v>
      </c>
      <c r="J13" s="2333"/>
      <c r="K13" s="2333" t="s">
        <v>1876</v>
      </c>
      <c r="L13" s="2333"/>
      <c r="M13" s="2333" t="s">
        <v>11475</v>
      </c>
      <c r="N13" s="2333"/>
      <c r="O13" s="2333" t="s">
        <v>11476</v>
      </c>
      <c r="P13" s="2334"/>
      <c r="Q13" s="2347" t="s">
        <v>114</v>
      </c>
      <c r="R13" s="2348"/>
      <c r="S13" s="622"/>
      <c r="T13" s="651">
        <v>45931</v>
      </c>
      <c r="U13" s="667">
        <v>69.100000000000009</v>
      </c>
      <c r="V13" s="2106">
        <v>8251800</v>
      </c>
      <c r="X13" s="651">
        <v>45931</v>
      </c>
      <c r="Y13" s="667">
        <v>1252.500262049062</v>
      </c>
      <c r="Z13" s="2106">
        <v>152830441.86619827</v>
      </c>
      <c r="AB13" s="651">
        <v>45931</v>
      </c>
      <c r="AC13" s="846">
        <f t="shared" si="0"/>
        <v>3449.1490123672934</v>
      </c>
      <c r="AD13" s="2106">
        <f t="shared" si="1"/>
        <v>425505519.79717129</v>
      </c>
    </row>
    <row r="14" spans="2:30" ht="16.5" thickBot="1">
      <c r="B14" s="585" t="s">
        <v>1878</v>
      </c>
      <c r="C14" s="586" t="s">
        <v>1879</v>
      </c>
      <c r="D14" s="2109" t="s">
        <v>1880</v>
      </c>
      <c r="E14" s="610" t="s">
        <v>1872</v>
      </c>
      <c r="F14" s="563" t="s">
        <v>1881</v>
      </c>
      <c r="G14" s="563" t="s">
        <v>1872</v>
      </c>
      <c r="H14" s="563" t="s">
        <v>1881</v>
      </c>
      <c r="I14" s="563" t="s">
        <v>1872</v>
      </c>
      <c r="J14" s="563" t="s">
        <v>1881</v>
      </c>
      <c r="K14" s="563" t="s">
        <v>1872</v>
      </c>
      <c r="L14" s="563" t="s">
        <v>1881</v>
      </c>
      <c r="M14" s="563" t="s">
        <v>1872</v>
      </c>
      <c r="N14" s="563" t="s">
        <v>1881</v>
      </c>
      <c r="O14" s="563" t="s">
        <v>1872</v>
      </c>
      <c r="P14" s="624" t="s">
        <v>1881</v>
      </c>
      <c r="Q14" s="562" t="s">
        <v>1872</v>
      </c>
      <c r="R14" s="624" t="s">
        <v>1881</v>
      </c>
      <c r="S14" s="609"/>
      <c r="T14" s="651">
        <v>45962</v>
      </c>
      <c r="U14" s="667">
        <v>68.8</v>
      </c>
      <c r="V14" s="2106">
        <v>8731000</v>
      </c>
      <c r="X14" s="651">
        <v>45962</v>
      </c>
      <c r="Y14" s="667">
        <v>1474.1240842712841</v>
      </c>
      <c r="Z14" s="2106">
        <v>178224384.36408886</v>
      </c>
      <c r="AB14" s="651">
        <v>45962</v>
      </c>
      <c r="AC14" s="846">
        <f t="shared" si="0"/>
        <v>3771.5676280677762</v>
      </c>
      <c r="AD14" s="2106">
        <f t="shared" si="1"/>
        <v>465117728.97245479</v>
      </c>
    </row>
    <row r="15" spans="2:30" ht="15.75">
      <c r="B15" s="569" t="s">
        <v>22</v>
      </c>
      <c r="C15" s="570">
        <v>114</v>
      </c>
      <c r="D15" s="588">
        <f>C15/$C$17</f>
        <v>0.42222222222222222</v>
      </c>
      <c r="E15" s="572">
        <f>$D15*($E$12*$B$18)</f>
        <v>11.526666666666667</v>
      </c>
      <c r="F15" s="2098">
        <f>$D15*($F$12*$B$18)</f>
        <v>1599435.0522222221</v>
      </c>
      <c r="G15" s="573">
        <f>$D15*($G$12*$B$18)</f>
        <v>53.242222222222225</v>
      </c>
      <c r="H15" s="2098">
        <f>$D15*($H$12*$B$18)</f>
        <v>6275295.722222222</v>
      </c>
      <c r="I15" s="573">
        <f>$D15*($I$12*$B$18)</f>
        <v>191.28777777777779</v>
      </c>
      <c r="J15" s="2099">
        <f>$D15*($J$12*$B$18)</f>
        <v>24077934.342222221</v>
      </c>
      <c r="K15" s="573">
        <f>$D15*($K$12*$B$18)</f>
        <v>150.12111111111111</v>
      </c>
      <c r="L15" s="2099">
        <f>$D15*($L$12*$B$18)</f>
        <v>18562166.913333334</v>
      </c>
      <c r="M15" s="573">
        <f>$D15*($M$12*$B$18)</f>
        <v>0</v>
      </c>
      <c r="N15" s="2099">
        <f>$D15*($N$12*$B$18)</f>
        <v>0</v>
      </c>
      <c r="O15" s="573">
        <f>$D15*($O$12*$B$18)</f>
        <v>0</v>
      </c>
      <c r="P15" s="2099">
        <f>$D15*($P$12*$B$18)</f>
        <v>0</v>
      </c>
      <c r="Q15" s="596">
        <f>E15+G15+I15+K15+M15+O15</f>
        <v>406.17777777777781</v>
      </c>
      <c r="R15" s="2101">
        <f>F15+H15+J15+L15+N15+P15</f>
        <v>50514832.030000001</v>
      </c>
      <c r="S15" s="609"/>
      <c r="T15" s="651">
        <v>45992</v>
      </c>
      <c r="U15" s="667">
        <v>0</v>
      </c>
      <c r="V15" s="2106">
        <v>0</v>
      </c>
      <c r="X15" s="651">
        <v>45992</v>
      </c>
      <c r="Y15" s="667">
        <v>1431.2157725829727</v>
      </c>
      <c r="Z15" s="2106">
        <v>174282451.98677284</v>
      </c>
      <c r="AB15" s="651">
        <v>45992</v>
      </c>
      <c r="AC15" s="846">
        <f t="shared" si="0"/>
        <v>3558.7645229012041</v>
      </c>
      <c r="AD15" s="2106">
        <f t="shared" si="1"/>
        <v>441878878.21464562</v>
      </c>
    </row>
    <row r="16" spans="2:30" ht="16.5" thickBot="1">
      <c r="B16" s="569" t="s">
        <v>26</v>
      </c>
      <c r="C16" s="570">
        <v>156</v>
      </c>
      <c r="D16" s="588">
        <f>C16/$C$17</f>
        <v>0.57777777777777772</v>
      </c>
      <c r="E16" s="572">
        <f>$D16*($E$12*$B$18)</f>
        <v>15.773333333333332</v>
      </c>
      <c r="F16" s="2098">
        <f>$D16*($F$12*$B$18)</f>
        <v>2188700.5977777774</v>
      </c>
      <c r="G16" s="573">
        <f>$D16*($G$12*$B$18)</f>
        <v>72.85777777777777</v>
      </c>
      <c r="H16" s="2098">
        <f>$D16*($H$12*$B$18)</f>
        <v>8587246.7777777761</v>
      </c>
      <c r="I16" s="573">
        <f>$D16*($I$12*$B$18)</f>
        <v>261.76222222222219</v>
      </c>
      <c r="J16" s="2099">
        <f>$D16*($J$12*$B$18)</f>
        <v>32948752.257777777</v>
      </c>
      <c r="K16" s="573">
        <f>$D16*($K$12*$B$18)</f>
        <v>205.42888888888888</v>
      </c>
      <c r="L16" s="2099">
        <f>$D16*($L$12*$B$18)</f>
        <v>25400859.986666664</v>
      </c>
      <c r="M16" s="573">
        <f>$D16*($M$12*$B$18)</f>
        <v>0</v>
      </c>
      <c r="N16" s="2099">
        <f>$D16*($N$12*$B$18)</f>
        <v>0</v>
      </c>
      <c r="O16" s="573">
        <f>$D16*($O$12*$B$18)</f>
        <v>0</v>
      </c>
      <c r="P16" s="2099">
        <f>$D16*($P$12*$B$18)</f>
        <v>0</v>
      </c>
      <c r="Q16" s="596">
        <f t="shared" ref="Q16" si="7">E16+G16+I16+K16+M16+O16</f>
        <v>555.82222222222219</v>
      </c>
      <c r="R16" s="2101">
        <f t="shared" ref="R16" si="8">F16+H16+J16+L16+N16+P16</f>
        <v>69125559.61999999</v>
      </c>
      <c r="S16" s="609"/>
      <c r="T16" s="660" t="s">
        <v>1883</v>
      </c>
      <c r="U16" s="671">
        <f>SUM(U4:U15)</f>
        <v>590.56000000001154</v>
      </c>
      <c r="V16" s="2107">
        <f>SUM(V4:V15)</f>
        <v>74279600.000639826</v>
      </c>
      <c r="X16" s="660" t="s">
        <v>1883</v>
      </c>
      <c r="Y16" s="671">
        <f>SUM(Y4:Y15)</f>
        <v>14355.601104023417</v>
      </c>
      <c r="Z16" s="2107">
        <f>SUM(Z4:Z15)</f>
        <v>1806779721.6617312</v>
      </c>
      <c r="AB16" s="660" t="s">
        <v>1883</v>
      </c>
      <c r="AC16" s="671">
        <f t="shared" si="0"/>
        <v>28022.355241167625</v>
      </c>
      <c r="AD16" s="2107">
        <f t="shared" si="1"/>
        <v>3506733908.123672</v>
      </c>
    </row>
    <row r="17" spans="2:26" ht="15.75" thickBot="1">
      <c r="B17" s="581" t="s">
        <v>114</v>
      </c>
      <c r="C17" s="582">
        <f t="shared" ref="C17:R17" si="9">SUM(C15:C16)</f>
        <v>270</v>
      </c>
      <c r="D17" s="583">
        <f t="shared" si="9"/>
        <v>1</v>
      </c>
      <c r="E17" s="582">
        <f t="shared" si="9"/>
        <v>27.299999999999997</v>
      </c>
      <c r="F17" s="2104">
        <f t="shared" si="9"/>
        <v>3788135.6499999994</v>
      </c>
      <c r="G17" s="582">
        <f t="shared" si="9"/>
        <v>126.1</v>
      </c>
      <c r="H17" s="2104">
        <f t="shared" si="9"/>
        <v>14862542.499999998</v>
      </c>
      <c r="I17" s="582">
        <f t="shared" si="9"/>
        <v>453.04999999999995</v>
      </c>
      <c r="J17" s="2104">
        <f t="shared" si="9"/>
        <v>57026686.599999994</v>
      </c>
      <c r="K17" s="582">
        <f t="shared" si="9"/>
        <v>355.54999999999995</v>
      </c>
      <c r="L17" s="2104">
        <f t="shared" si="9"/>
        <v>43963026.899999999</v>
      </c>
      <c r="M17" s="582">
        <f t="shared" si="9"/>
        <v>0</v>
      </c>
      <c r="N17" s="2104">
        <f t="shared" si="9"/>
        <v>0</v>
      </c>
      <c r="O17" s="582">
        <f t="shared" si="9"/>
        <v>0</v>
      </c>
      <c r="P17" s="2104">
        <f t="shared" si="9"/>
        <v>0</v>
      </c>
      <c r="Q17" s="612">
        <f t="shared" si="9"/>
        <v>962</v>
      </c>
      <c r="R17" s="2102">
        <f t="shared" si="9"/>
        <v>119640391.64999999</v>
      </c>
      <c r="S17" s="631"/>
    </row>
    <row r="18" spans="2:26">
      <c r="B18" s="831">
        <v>0.65</v>
      </c>
      <c r="P18" s="2105"/>
      <c r="T18" s="2337" t="s">
        <v>1875</v>
      </c>
      <c r="U18" s="2337"/>
      <c r="V18" s="2337"/>
      <c r="X18" s="2337" t="s">
        <v>1876</v>
      </c>
      <c r="Y18" s="2337"/>
      <c r="Z18" s="2337"/>
    </row>
    <row r="19" spans="2:26" ht="16.5" thickBot="1">
      <c r="T19" s="650" t="s">
        <v>1871</v>
      </c>
      <c r="U19" s="663" t="s">
        <v>1872</v>
      </c>
      <c r="V19" s="664" t="s">
        <v>1873</v>
      </c>
      <c r="X19" s="650" t="s">
        <v>1871</v>
      </c>
      <c r="Y19" s="663" t="s">
        <v>1872</v>
      </c>
      <c r="Z19" s="664" t="s">
        <v>1873</v>
      </c>
    </row>
    <row r="20" spans="2:26" ht="15.75" thickBot="1">
      <c r="B20" s="2329">
        <v>45870</v>
      </c>
      <c r="C20" s="2330"/>
      <c r="D20" s="2330"/>
      <c r="E20" s="2330"/>
      <c r="F20" s="2330"/>
      <c r="G20" s="2330"/>
      <c r="H20" s="2330"/>
      <c r="I20" s="2330"/>
      <c r="J20" s="2330"/>
      <c r="K20" s="2330"/>
      <c r="L20" s="2330"/>
      <c r="M20" s="2330"/>
      <c r="N20" s="2330"/>
      <c r="O20" s="2330"/>
      <c r="P20" s="2330"/>
      <c r="Q20" s="2330"/>
      <c r="R20" s="2331"/>
      <c r="S20" s="621"/>
      <c r="T20" s="651">
        <v>45658</v>
      </c>
      <c r="U20" s="667">
        <v>132.83129347826099</v>
      </c>
      <c r="V20" s="2106">
        <v>16778936.9576087</v>
      </c>
      <c r="X20" s="651">
        <v>45658</v>
      </c>
      <c r="Y20" s="667">
        <v>313.04115113981499</v>
      </c>
      <c r="Z20" s="2106">
        <v>38189203.722965002</v>
      </c>
    </row>
    <row r="21" spans="2:26" ht="15.75" customHeight="1">
      <c r="B21" s="2335" t="s">
        <v>1874</v>
      </c>
      <c r="C21" s="2343"/>
      <c r="D21" s="2343"/>
      <c r="E21" s="2332" t="s">
        <v>7</v>
      </c>
      <c r="F21" s="2333"/>
      <c r="G21" s="2333" t="s">
        <v>13</v>
      </c>
      <c r="H21" s="2333"/>
      <c r="I21" s="2333" t="s">
        <v>1875</v>
      </c>
      <c r="J21" s="2333"/>
      <c r="K21" s="2333" t="s">
        <v>1876</v>
      </c>
      <c r="L21" s="2333"/>
      <c r="M21" s="2333" t="s">
        <v>11475</v>
      </c>
      <c r="N21" s="2333"/>
      <c r="O21" s="2333" t="s">
        <v>11476</v>
      </c>
      <c r="P21" s="2334"/>
      <c r="Q21" s="2343" t="s">
        <v>114</v>
      </c>
      <c r="R21" s="2336"/>
      <c r="S21" s="622"/>
      <c r="T21" s="651">
        <v>45689</v>
      </c>
      <c r="U21" s="667">
        <v>132.83129347826099</v>
      </c>
      <c r="V21" s="2106">
        <v>16778936.9576087</v>
      </c>
      <c r="X21" s="651">
        <v>45689</v>
      </c>
      <c r="Y21" s="667">
        <v>196.21809077236099</v>
      </c>
      <c r="Z21" s="2106">
        <v>23578486.084575798</v>
      </c>
    </row>
    <row r="22" spans="2:26" ht="16.5" thickBot="1">
      <c r="B22" s="559" t="s">
        <v>1878</v>
      </c>
      <c r="C22" s="591" t="s">
        <v>1879</v>
      </c>
      <c r="D22" s="2112" t="s">
        <v>1880</v>
      </c>
      <c r="E22" s="610" t="s">
        <v>1872</v>
      </c>
      <c r="F22" s="563" t="s">
        <v>1881</v>
      </c>
      <c r="G22" s="563" t="s">
        <v>1872</v>
      </c>
      <c r="H22" s="563" t="s">
        <v>1881</v>
      </c>
      <c r="I22" s="563" t="s">
        <v>1872</v>
      </c>
      <c r="J22" s="563" t="s">
        <v>1881</v>
      </c>
      <c r="K22" s="563" t="s">
        <v>1872</v>
      </c>
      <c r="L22" s="563" t="s">
        <v>1881</v>
      </c>
      <c r="M22" s="563" t="s">
        <v>1872</v>
      </c>
      <c r="N22" s="563" t="s">
        <v>1881</v>
      </c>
      <c r="O22" s="563" t="s">
        <v>1872</v>
      </c>
      <c r="P22" s="624" t="s">
        <v>1881</v>
      </c>
      <c r="Q22" s="562" t="s">
        <v>1872</v>
      </c>
      <c r="R22" s="624" t="s">
        <v>1881</v>
      </c>
      <c r="S22" s="622"/>
      <c r="T22" s="651">
        <v>45717</v>
      </c>
      <c r="U22" s="667">
        <v>170.517845202399</v>
      </c>
      <c r="V22" s="2106">
        <v>21844496.980367299</v>
      </c>
      <c r="X22" s="651">
        <v>45717</v>
      </c>
      <c r="Y22" s="667">
        <v>361.95481780648203</v>
      </c>
      <c r="Z22" s="2106">
        <v>42902731.337462902</v>
      </c>
    </row>
    <row r="23" spans="2:26" ht="15.75">
      <c r="B23" s="564" t="s">
        <v>28</v>
      </c>
      <c r="C23" s="830">
        <v>174</v>
      </c>
      <c r="D23" s="566">
        <f t="shared" ref="D23:D28" si="10">C23/$C$29</f>
        <v>0.20398593200468934</v>
      </c>
      <c r="E23" s="2115">
        <f>ROUND($D23*VLOOKUP($B$20,'ИПП 3кв25'!$T$4:$V$16,2,0),0)</f>
        <v>12</v>
      </c>
      <c r="F23" s="2098">
        <f>ROUND($D23*VLOOKUP($B$20,'ИПП 3кв25'!$T$4:$V$16,3,0),0)</f>
        <v>1571446</v>
      </c>
      <c r="G23" s="2098">
        <f>ROUND($D23*VLOOKUP($B$20,'ИПП 3кв25'!$X$4:$Z$16,2,0),0)</f>
        <v>157</v>
      </c>
      <c r="H23" s="2098">
        <f>ROUND($D23*VLOOKUP($B$20,'ИПП 3кв25'!$X$4:$Z$16,3,0),0)</f>
        <v>20139503</v>
      </c>
      <c r="I23" s="2098">
        <f>ROUND($D23*VLOOKUP($B$20,'ИПП 3кв25'!$T$20:$V$32,2,0),0)</f>
        <v>19</v>
      </c>
      <c r="J23" s="2099">
        <f>ROUND($D23*VLOOKUP($B$20,'ИПП 3кв25'!$T$20:$V$32,3,0),0)</f>
        <v>2510002</v>
      </c>
      <c r="K23" s="2098">
        <f>ROUND($D23*VLOOKUP($B$20,'ИПП 3кв25'!$X$20:$Z$32,2,0),0)</f>
        <v>0</v>
      </c>
      <c r="L23" s="2099">
        <f>ROUND($D23*VLOOKUP($B$20,'ИПП 3кв25'!$X$20:$Z$32,3,0),0)</f>
        <v>0</v>
      </c>
      <c r="M23" s="2098">
        <f>ROUND($D23*VLOOKUP($B$20,'ИПП 3кв25'!$T$36:$V$48,2,0),0)</f>
        <v>0</v>
      </c>
      <c r="N23" s="2099">
        <f>ROUND($D23*VLOOKUP($B$20,'ИПП 3кв25'!$T$36:$V$48,3,0),0)</f>
        <v>0</v>
      </c>
      <c r="O23" s="2098">
        <f>ROUND($D23*VLOOKUP($B$20,'ИПП 3кв25'!$X$36:$Z$48,2,0),0)</f>
        <v>0</v>
      </c>
      <c r="P23" s="2099">
        <f>ROUND($D23*VLOOKUP($B$20,'ИПП 3кв25'!$X$36:$Z$48,3,0),0)</f>
        <v>0</v>
      </c>
      <c r="Q23" s="2116">
        <f>E23+G23+I23+K23+M23+O23</f>
        <v>188</v>
      </c>
      <c r="R23" s="2101">
        <f>F23+H23+J23+L23+N23+P23</f>
        <v>24220951</v>
      </c>
      <c r="S23" s="622"/>
      <c r="T23" s="651">
        <v>45748</v>
      </c>
      <c r="U23" s="667">
        <v>170.517845202399</v>
      </c>
      <c r="V23" s="2106">
        <v>21844496.980367299</v>
      </c>
      <c r="X23" s="651">
        <v>45748</v>
      </c>
      <c r="Y23" s="667">
        <v>391.20115113981501</v>
      </c>
      <c r="Z23" s="2106">
        <v>47451987.6102942</v>
      </c>
    </row>
    <row r="24" spans="2:26" ht="15.75">
      <c r="B24" s="569" t="s">
        <v>8</v>
      </c>
      <c r="C24" s="570">
        <v>165</v>
      </c>
      <c r="D24" s="575">
        <f t="shared" si="10"/>
        <v>0.19343493552168817</v>
      </c>
      <c r="E24" s="2115">
        <f>ROUND($D24*VLOOKUP($B$20,'ИПП 3кв25'!$T$4:$V$16,2,0),0)</f>
        <v>12</v>
      </c>
      <c r="F24" s="2098">
        <f>ROUND($D24*VLOOKUP($B$20,'ИПП 3кв25'!$T$4:$V$16,3,0),0)</f>
        <v>1490165</v>
      </c>
      <c r="G24" s="2098">
        <f>ROUND($D24*VLOOKUP($B$20,'ИПП 3кв25'!$X$4:$Z$16,2,0),0)</f>
        <v>149</v>
      </c>
      <c r="H24" s="2098">
        <f>ROUND($D24*VLOOKUP($B$20,'ИПП 3кв25'!$X$4:$Z$16,3,0),0)</f>
        <v>19097805</v>
      </c>
      <c r="I24" s="2098">
        <f>ROUND($D24*VLOOKUP($B$20,'ИПП 3кв25'!$T$20:$V$32,2,0),0)</f>
        <v>18</v>
      </c>
      <c r="J24" s="2099">
        <f>ROUND($D24*VLOOKUP($B$20,'ИПП 3кв25'!$T$20:$V$32,3,0),0)</f>
        <v>2380175</v>
      </c>
      <c r="K24" s="2117">
        <f>ROUND($D24*VLOOKUP($B$20,'ИПП 3кв25'!$X$20:$Z$32,2,0),0)</f>
        <v>0</v>
      </c>
      <c r="L24" s="2100">
        <f>ROUND($D24*VLOOKUP($B$20,'ИПП 3кв25'!$X$20:$Z$32,3,0),0)</f>
        <v>0</v>
      </c>
      <c r="M24" s="2117">
        <f>ROUND($D24*VLOOKUP($B$20,'ИПП 3кв25'!$T$36:$V$48,2,0),0)</f>
        <v>0</v>
      </c>
      <c r="N24" s="2100">
        <f>ROUND($D24*VLOOKUP($B$20,'ИПП 3кв25'!$T$36:$V$48,3,0),0)</f>
        <v>0</v>
      </c>
      <c r="O24" s="2117">
        <f>ROUND($D24*VLOOKUP($B$20,'ИПП 3кв25'!$X$36:$Z$48,2,0),0)</f>
        <v>0</v>
      </c>
      <c r="P24" s="2100">
        <f>ROUND($D24*VLOOKUP($B$20,'ИПП 3кв25'!$X$36:$Z$48,3,0),0)</f>
        <v>0</v>
      </c>
      <c r="Q24" s="2116">
        <f t="shared" ref="Q24:Q28" si="11">E24+G24+I24+K24+M24+O24</f>
        <v>179</v>
      </c>
      <c r="R24" s="2101">
        <f t="shared" ref="R24:R28" si="12">F24+H24+J24+L24+N24+P24</f>
        <v>22968145</v>
      </c>
      <c r="S24" s="609"/>
      <c r="T24" s="651">
        <v>45778</v>
      </c>
      <c r="U24" s="667">
        <v>170.517845202399</v>
      </c>
      <c r="V24" s="2106">
        <v>22069697.9801649</v>
      </c>
      <c r="X24" s="651">
        <v>45778</v>
      </c>
      <c r="Y24" s="667">
        <v>420.28521150726903</v>
      </c>
      <c r="Z24" s="2106">
        <v>50275094.814231202</v>
      </c>
    </row>
    <row r="25" spans="2:26" ht="15.75">
      <c r="B25" s="569" t="s">
        <v>20</v>
      </c>
      <c r="C25" s="574">
        <v>40</v>
      </c>
      <c r="D25" s="575">
        <f t="shared" si="10"/>
        <v>4.6893317702227433E-2</v>
      </c>
      <c r="E25" s="2115">
        <f>ROUND($D25*VLOOKUP($B$20,'ИПП 3кв25'!$T$4:$V$16,2,0),0)</f>
        <v>3</v>
      </c>
      <c r="F25" s="2098">
        <f>ROUND($D25*VLOOKUP($B$20,'ИПП 3кв25'!$T$4:$V$16,3,0),0)</f>
        <v>361252</v>
      </c>
      <c r="G25" s="2098">
        <f>ROUND($D25*VLOOKUP($B$20,'ИПП 3кв25'!$X$4:$Z$16,2,0),0)</f>
        <v>36</v>
      </c>
      <c r="H25" s="2098">
        <f>ROUND($D25*VLOOKUP($B$20,'ИПП 3кв25'!$X$4:$Z$16,3,0),0)</f>
        <v>4629771</v>
      </c>
      <c r="I25" s="2098">
        <f>ROUND($D25*VLOOKUP($B$20,'ИПП 3кв25'!$T$20:$V$32,2,0),0)</f>
        <v>4</v>
      </c>
      <c r="J25" s="2099">
        <f>ROUND($D25*VLOOKUP($B$20,'ИПП 3кв25'!$T$20:$V$32,3,0),0)</f>
        <v>577012</v>
      </c>
      <c r="K25" s="2117">
        <f>ROUND($D25*VLOOKUP($B$20,'ИПП 3кв25'!$X$20:$Z$32,2,0),0)</f>
        <v>0</v>
      </c>
      <c r="L25" s="2100">
        <f>ROUND($D25*VLOOKUP($B$20,'ИПП 3кв25'!$X$20:$Z$32,3,0),0)</f>
        <v>0</v>
      </c>
      <c r="M25" s="2117">
        <f>ROUND($D25*VLOOKUP($B$20,'ИПП 3кв25'!$T$36:$V$48,2,0),0)</f>
        <v>0</v>
      </c>
      <c r="N25" s="2100">
        <f>ROUND($D25*VLOOKUP($B$20,'ИПП 3кв25'!$T$36:$V$48,3,0),0)</f>
        <v>0</v>
      </c>
      <c r="O25" s="2117">
        <f>ROUND($D25*VLOOKUP($B$20,'ИПП 3кв25'!$X$36:$Z$48,2,0),0)</f>
        <v>0</v>
      </c>
      <c r="P25" s="2100">
        <f>ROUND($D25*VLOOKUP($B$20,'ИПП 3кв25'!$X$36:$Z$48,3,0),0)</f>
        <v>0</v>
      </c>
      <c r="Q25" s="2116">
        <f t="shared" si="11"/>
        <v>43</v>
      </c>
      <c r="R25" s="2101">
        <f t="shared" si="12"/>
        <v>5568035</v>
      </c>
      <c r="S25" s="609"/>
      <c r="T25" s="651">
        <v>45809</v>
      </c>
      <c r="U25" s="667">
        <v>245.890948650675</v>
      </c>
      <c r="V25" s="2106">
        <v>32305262.562233899</v>
      </c>
      <c r="X25" s="651">
        <v>45809</v>
      </c>
      <c r="Y25" s="667">
        <v>361.95481780648203</v>
      </c>
      <c r="Z25" s="2106">
        <v>44216080.255956702</v>
      </c>
    </row>
    <row r="26" spans="2:26" ht="15.75">
      <c r="B26" s="569" t="s">
        <v>24</v>
      </c>
      <c r="C26" s="574">
        <v>132</v>
      </c>
      <c r="D26" s="575">
        <f t="shared" si="10"/>
        <v>0.15474794841735054</v>
      </c>
      <c r="E26" s="2115">
        <f>ROUND($D26*VLOOKUP($B$20,'ИПП 3кв25'!$T$4:$V$16,2,0),0)</f>
        <v>9</v>
      </c>
      <c r="F26" s="2098">
        <f>ROUND($D26*VLOOKUP($B$20,'ИПП 3кв25'!$T$4:$V$16,3,0),0)</f>
        <v>1192132</v>
      </c>
      <c r="G26" s="2098">
        <f>ROUND($D26*VLOOKUP($B$20,'ИПП 3кв25'!$X$4:$Z$16,2,0),0)</f>
        <v>119</v>
      </c>
      <c r="H26" s="2098">
        <f>ROUND($D26*VLOOKUP($B$20,'ИПП 3кв25'!$X$4:$Z$16,3,0),0)</f>
        <v>15278244</v>
      </c>
      <c r="I26" s="2098">
        <f>ROUND($D26*VLOOKUP($B$20,'ИПП 3кв25'!$T$20:$V$32,2,0),0)</f>
        <v>14</v>
      </c>
      <c r="J26" s="2099">
        <f>ROUND($D26*VLOOKUP($B$20,'ИПП 3кв25'!$T$20:$V$32,3,0),0)</f>
        <v>1904140</v>
      </c>
      <c r="K26" s="2117">
        <f>ROUND($D26*VLOOKUP($B$20,'ИПП 3кв25'!$X$20:$Z$32,2,0),0)</f>
        <v>0</v>
      </c>
      <c r="L26" s="2100">
        <f>ROUND($D26*VLOOKUP($B$20,'ИПП 3кв25'!$X$20:$Z$32,3,0),0)</f>
        <v>0</v>
      </c>
      <c r="M26" s="2117">
        <f>ROUND($D26*VLOOKUP($B$20,'ИПП 3кв25'!$T$36:$V$48,2,0),0)</f>
        <v>0</v>
      </c>
      <c r="N26" s="2100">
        <f>ROUND($D26*VLOOKUP($B$20,'ИПП 3кв25'!$T$36:$V$48,3,0),0)</f>
        <v>0</v>
      </c>
      <c r="O26" s="2117">
        <f>ROUND($D26*VLOOKUP($B$20,'ИПП 3кв25'!$X$36:$Z$48,2,0),0)</f>
        <v>0</v>
      </c>
      <c r="P26" s="2100">
        <f>ROUND($D26*VLOOKUP($B$20,'ИПП 3кв25'!$X$36:$Z$48,3,0),0)</f>
        <v>0</v>
      </c>
      <c r="Q26" s="2116">
        <f t="shared" si="11"/>
        <v>142</v>
      </c>
      <c r="R26" s="2101">
        <f t="shared" si="12"/>
        <v>18374516</v>
      </c>
      <c r="S26" s="609"/>
      <c r="T26" s="2238">
        <v>45839</v>
      </c>
      <c r="U26" s="2239">
        <v>696.8231390554721</v>
      </c>
      <c r="V26" s="2240">
        <v>87733363.164730132</v>
      </c>
      <c r="W26" s="2241"/>
      <c r="X26" s="2238">
        <v>45839</v>
      </c>
      <c r="Y26" s="2239">
        <v>547.64059022678305</v>
      </c>
      <c r="Z26" s="2240">
        <v>67635424.899453387</v>
      </c>
    </row>
    <row r="27" spans="2:26" ht="15.75">
      <c r="B27" s="576" t="s">
        <v>14</v>
      </c>
      <c r="C27" s="577">
        <v>174</v>
      </c>
      <c r="D27" s="578">
        <f t="shared" si="10"/>
        <v>0.20398593200468934</v>
      </c>
      <c r="E27" s="2115">
        <f>ROUND($D27*VLOOKUP($B$20,'ИПП 3кв25'!$T$4:$V$16,2,0),0)</f>
        <v>12</v>
      </c>
      <c r="F27" s="2098">
        <f>ROUND($D27*VLOOKUP($B$20,'ИПП 3кв25'!$T$4:$V$16,3,0),0)</f>
        <v>1571446</v>
      </c>
      <c r="G27" s="2098">
        <f>ROUND($D27*VLOOKUP($B$20,'ИПП 3кв25'!$X$4:$Z$16,2,0),0)</f>
        <v>157</v>
      </c>
      <c r="H27" s="2098">
        <f>ROUND($D27*VLOOKUP($B$20,'ИПП 3кв25'!$X$4:$Z$16,3,0),0)</f>
        <v>20139503</v>
      </c>
      <c r="I27" s="2098">
        <f>ROUND($D27*VLOOKUP($B$20,'ИПП 3кв25'!$T$20:$V$32,2,0),0)</f>
        <v>19</v>
      </c>
      <c r="J27" s="2099">
        <f>ROUND($D27*VLOOKUP($B$20,'ИПП 3кв25'!$T$20:$V$32,3,0),0)</f>
        <v>2510002</v>
      </c>
      <c r="K27" s="2117">
        <f>ROUND($D27*VLOOKUP($B$20,'ИПП 3кв25'!$X$20:$Z$32,2,0),0)</f>
        <v>0</v>
      </c>
      <c r="L27" s="2100">
        <f>ROUND($D27*VLOOKUP($B$20,'ИПП 3кв25'!$X$20:$Z$32,3,0),0)</f>
        <v>0</v>
      </c>
      <c r="M27" s="2117">
        <f>ROUND($D27*VLOOKUP($B$20,'ИПП 3кв25'!$T$36:$V$48,2,0),0)</f>
        <v>0</v>
      </c>
      <c r="N27" s="2100">
        <f>ROUND($D27*VLOOKUP($B$20,'ИПП 3кв25'!$T$36:$V$48,3,0),0)</f>
        <v>0</v>
      </c>
      <c r="O27" s="2117">
        <f>ROUND($D27*VLOOKUP($B$20,'ИПП 3кв25'!$X$36:$Z$48,2,0),0)</f>
        <v>0</v>
      </c>
      <c r="P27" s="2100">
        <f>ROUND($D27*VLOOKUP($B$20,'ИПП 3кв25'!$X$36:$Z$48,3,0),0)</f>
        <v>0</v>
      </c>
      <c r="Q27" s="2116">
        <f t="shared" si="11"/>
        <v>188</v>
      </c>
      <c r="R27" s="2101">
        <f t="shared" si="12"/>
        <v>24220951</v>
      </c>
      <c r="S27" s="609"/>
      <c r="T27" s="2238">
        <v>45870</v>
      </c>
      <c r="U27" s="2239">
        <v>91.78</v>
      </c>
      <c r="V27" s="2240">
        <v>12304782</v>
      </c>
      <c r="W27" s="2241"/>
      <c r="X27" s="2238">
        <v>45870</v>
      </c>
      <c r="Y27" s="2239">
        <v>0</v>
      </c>
      <c r="Z27" s="2240">
        <v>0</v>
      </c>
    </row>
    <row r="28" spans="2:26" ht="16.5" thickBot="1">
      <c r="B28" s="618" t="s">
        <v>1884</v>
      </c>
      <c r="C28" s="577">
        <v>168</v>
      </c>
      <c r="D28" s="600">
        <f t="shared" si="10"/>
        <v>0.19695193434935521</v>
      </c>
      <c r="E28" s="2115">
        <f>ROUND($D28*VLOOKUP($B$20,'ИПП 3кв25'!$T$4:$V$16,2,0),0)</f>
        <v>12</v>
      </c>
      <c r="F28" s="2098">
        <f>ROUND($D28*VLOOKUP($B$20,'ИПП 3кв25'!$T$4:$V$16,3,0),0)</f>
        <v>1517259</v>
      </c>
      <c r="G28" s="2098">
        <f>ROUND($D28*VLOOKUP($B$20,'ИПП 3кв25'!$X$4:$Z$16,2,0),0)</f>
        <v>152</v>
      </c>
      <c r="H28" s="2098">
        <f>ROUND($D28*VLOOKUP($B$20,'ИПП 3кв25'!$X$4:$Z$16,3,0),0)</f>
        <v>19445038</v>
      </c>
      <c r="I28" s="2098">
        <f>ROUND($D28*VLOOKUP($B$20,'ИПП 3кв25'!$T$20:$V$32,2,0),0)</f>
        <v>18</v>
      </c>
      <c r="J28" s="2099">
        <f>ROUND($D28*VLOOKUP($B$20,'ИПП 3кв25'!$T$20:$V$32,3,0),0)</f>
        <v>2423451</v>
      </c>
      <c r="K28" s="2117">
        <f>ROUND($D28*VLOOKUP($B$20,'ИПП 3кв25'!$X$20:$Z$32,2,0),0)</f>
        <v>0</v>
      </c>
      <c r="L28" s="2100">
        <f>ROUND($D28*VLOOKUP($B$20,'ИПП 3кв25'!$X$20:$Z$32,3,0),0)</f>
        <v>0</v>
      </c>
      <c r="M28" s="2117">
        <f>ROUND($D28*VLOOKUP($B$20,'ИПП 3кв25'!$T$36:$V$48,2,0),0)</f>
        <v>0</v>
      </c>
      <c r="N28" s="2100">
        <f>ROUND($D28*VLOOKUP($B$20,'ИПП 3кв25'!$T$36:$V$48,3,0),0)</f>
        <v>0</v>
      </c>
      <c r="O28" s="2117">
        <f>ROUND($D28*VLOOKUP($B$20,'ИПП 3кв25'!$X$36:$Z$48,2,0),0)</f>
        <v>0</v>
      </c>
      <c r="P28" s="2100">
        <f>ROUND($D28*VLOOKUP($B$20,'ИПП 3кв25'!$X$36:$Z$48,3,0),0)</f>
        <v>0</v>
      </c>
      <c r="Q28" s="2118">
        <f t="shared" si="11"/>
        <v>182</v>
      </c>
      <c r="R28" s="2114">
        <f t="shared" si="12"/>
        <v>23385748</v>
      </c>
      <c r="S28" s="631"/>
      <c r="T28" s="651">
        <v>45901</v>
      </c>
      <c r="U28" s="667">
        <v>696.8231390554721</v>
      </c>
      <c r="V28" s="2106">
        <v>88656872.250674665</v>
      </c>
      <c r="X28" s="651">
        <v>45901</v>
      </c>
      <c r="Y28" s="667">
        <v>547.64059022678305</v>
      </c>
      <c r="Z28" s="2106">
        <v>68305082.571725205</v>
      </c>
    </row>
    <row r="29" spans="2:26" ht="16.5" customHeight="1" thickBot="1">
      <c r="B29" s="581" t="s">
        <v>114</v>
      </c>
      <c r="C29" s="582">
        <f t="shared" ref="C29:L29" si="13">SUM(C23:C28)</f>
        <v>853</v>
      </c>
      <c r="D29" s="583">
        <f t="shared" si="13"/>
        <v>1</v>
      </c>
      <c r="E29" s="2119">
        <f t="shared" si="13"/>
        <v>60</v>
      </c>
      <c r="F29" s="2110">
        <f t="shared" si="13"/>
        <v>7703700</v>
      </c>
      <c r="G29" s="2110">
        <f t="shared" si="13"/>
        <v>770</v>
      </c>
      <c r="H29" s="2110">
        <f t="shared" si="13"/>
        <v>98729864</v>
      </c>
      <c r="I29" s="2110">
        <f t="shared" si="13"/>
        <v>92</v>
      </c>
      <c r="J29" s="2111">
        <f t="shared" si="13"/>
        <v>12304782</v>
      </c>
      <c r="K29" s="2110">
        <f t="shared" si="13"/>
        <v>0</v>
      </c>
      <c r="L29" s="2111">
        <f t="shared" si="13"/>
        <v>0</v>
      </c>
      <c r="M29" s="2110">
        <f t="shared" ref="M29:P29" si="14">SUM(M23:M28)</f>
        <v>0</v>
      </c>
      <c r="N29" s="2111">
        <f t="shared" si="14"/>
        <v>0</v>
      </c>
      <c r="O29" s="2110">
        <f t="shared" si="14"/>
        <v>0</v>
      </c>
      <c r="P29" s="2111">
        <f t="shared" si="14"/>
        <v>0</v>
      </c>
      <c r="Q29" s="2113">
        <f>SUM(Q23:Q28)</f>
        <v>922</v>
      </c>
      <c r="R29" s="2102">
        <f>SUM(R23:R28)</f>
        <v>118738346</v>
      </c>
      <c r="S29" s="622"/>
      <c r="T29" s="651">
        <v>45931</v>
      </c>
      <c r="U29" s="667">
        <v>714.08483733133414</v>
      </c>
      <c r="V29" s="2106">
        <v>90529688.896191895</v>
      </c>
      <c r="X29" s="651">
        <v>45931</v>
      </c>
      <c r="Y29" s="667">
        <v>469.48059022678308</v>
      </c>
      <c r="Z29" s="2106">
        <v>60156923.118997023</v>
      </c>
    </row>
    <row r="30" spans="2:26" ht="15.75">
      <c r="B30" s="2344" t="s">
        <v>1882</v>
      </c>
      <c r="C30" s="2343"/>
      <c r="D30" s="2336"/>
      <c r="E30" s="2340" t="s">
        <v>7</v>
      </c>
      <c r="F30" s="2338"/>
      <c r="G30" s="2338" t="s">
        <v>13</v>
      </c>
      <c r="H30" s="2338"/>
      <c r="I30" s="2338" t="s">
        <v>1875</v>
      </c>
      <c r="J30" s="2338"/>
      <c r="K30" s="2338" t="s">
        <v>1876</v>
      </c>
      <c r="L30" s="2338"/>
      <c r="M30" s="2338" t="s">
        <v>11475</v>
      </c>
      <c r="N30" s="2338"/>
      <c r="O30" s="2338" t="s">
        <v>11476</v>
      </c>
      <c r="P30" s="2339"/>
      <c r="Q30" s="2341" t="s">
        <v>114</v>
      </c>
      <c r="R30" s="2342"/>
      <c r="S30" s="622"/>
      <c r="T30" s="651">
        <v>45962</v>
      </c>
      <c r="U30" s="667">
        <v>737.01963080959513</v>
      </c>
      <c r="V30" s="2106">
        <v>94335873.096469253</v>
      </c>
      <c r="X30" s="651">
        <v>45962</v>
      </c>
      <c r="Y30" s="667">
        <v>547.64059022678305</v>
      </c>
      <c r="Z30" s="2106">
        <v>68974740.243997023</v>
      </c>
    </row>
    <row r="31" spans="2:26" ht="16.5" thickBot="1">
      <c r="B31" s="559" t="s">
        <v>1878</v>
      </c>
      <c r="C31" s="560" t="s">
        <v>1879</v>
      </c>
      <c r="D31" s="561" t="s">
        <v>1880</v>
      </c>
      <c r="E31" s="2120" t="s">
        <v>1872</v>
      </c>
      <c r="F31" s="2121" t="s">
        <v>1881</v>
      </c>
      <c r="G31" s="2121" t="s">
        <v>1872</v>
      </c>
      <c r="H31" s="2121" t="s">
        <v>1881</v>
      </c>
      <c r="I31" s="2121" t="s">
        <v>1872</v>
      </c>
      <c r="J31" s="2121" t="s">
        <v>1881</v>
      </c>
      <c r="K31" s="2121" t="s">
        <v>1872</v>
      </c>
      <c r="L31" s="2121" t="s">
        <v>1881</v>
      </c>
      <c r="M31" s="2121" t="s">
        <v>1872</v>
      </c>
      <c r="N31" s="2121" t="s">
        <v>1881</v>
      </c>
      <c r="O31" s="2121" t="s">
        <v>1872</v>
      </c>
      <c r="P31" s="2122" t="s">
        <v>1881</v>
      </c>
      <c r="Q31" s="2120" t="s">
        <v>1872</v>
      </c>
      <c r="R31" s="2122" t="s">
        <v>1881</v>
      </c>
      <c r="S31" s="609"/>
      <c r="T31" s="651">
        <v>45992</v>
      </c>
      <c r="U31" s="667">
        <v>714.08483733133414</v>
      </c>
      <c r="V31" s="2106">
        <v>91472706.488860562</v>
      </c>
      <c r="X31" s="651">
        <v>45992</v>
      </c>
      <c r="Y31" s="667">
        <v>469.48059022678308</v>
      </c>
      <c r="Z31" s="2106">
        <v>60156923.118997023</v>
      </c>
    </row>
    <row r="32" spans="2:26" ht="15.75">
      <c r="B32" s="569" t="s">
        <v>22</v>
      </c>
      <c r="C32" s="570">
        <v>180</v>
      </c>
      <c r="D32" s="588">
        <f>C32/$C$34</f>
        <v>0.5</v>
      </c>
      <c r="E32" s="2115">
        <f>$D32*($E$29*$B$35)</f>
        <v>19.5</v>
      </c>
      <c r="F32" s="2098">
        <f>$D32*($F$29*$B$35)</f>
        <v>2503702.5</v>
      </c>
      <c r="G32" s="2098">
        <f>$D32*($G$29*$B$35)</f>
        <v>250.25</v>
      </c>
      <c r="H32" s="2098">
        <f>$D32*($H$29*$B$35)</f>
        <v>32087205.800000001</v>
      </c>
      <c r="I32" s="2098">
        <f>$D32*($I$29*$B$35)</f>
        <v>29.900000000000002</v>
      </c>
      <c r="J32" s="2099">
        <f>$D32*($J$29*$B$35)</f>
        <v>3999054.15</v>
      </c>
      <c r="K32" s="2098">
        <f>$D32*($K$29*$B$35)</f>
        <v>0</v>
      </c>
      <c r="L32" s="2099">
        <f>$D32*($L$29*$B$35)</f>
        <v>0</v>
      </c>
      <c r="M32" s="2098">
        <f>$D32*($M$29*$B$35)</f>
        <v>0</v>
      </c>
      <c r="N32" s="2099">
        <f>$D32*($N$29*$B$35)</f>
        <v>0</v>
      </c>
      <c r="O32" s="2098">
        <f>$D32*($O$29*$B$35)</f>
        <v>0</v>
      </c>
      <c r="P32" s="2099">
        <f>$D32*($P$29*$B$35)</f>
        <v>0</v>
      </c>
      <c r="Q32" s="2116">
        <f>E32+G32+I32+K32+M32+O32</f>
        <v>299.64999999999998</v>
      </c>
      <c r="R32" s="2101">
        <f>F32+H32+J32+L32+N32+P32</f>
        <v>38589962.449999996</v>
      </c>
      <c r="S32" s="609"/>
      <c r="T32" s="660" t="s">
        <v>1883</v>
      </c>
      <c r="U32" s="671">
        <f>SUM(U20:U31)</f>
        <v>4673.7226547976015</v>
      </c>
      <c r="V32" s="2107">
        <f>SUM(V20:V31)</f>
        <v>596655114.31527734</v>
      </c>
      <c r="X32" s="660" t="s">
        <v>1883</v>
      </c>
      <c r="Y32" s="671">
        <f>SUM(Y20:Y31)</f>
        <v>4626.5381913061392</v>
      </c>
      <c r="Z32" s="2107">
        <f>SUM(Z20:Z31)</f>
        <v>571842677.77865553</v>
      </c>
    </row>
    <row r="33" spans="2:26" ht="16.5" thickBot="1">
      <c r="B33" s="569" t="s">
        <v>26</v>
      </c>
      <c r="C33" s="570">
        <v>180</v>
      </c>
      <c r="D33" s="588">
        <f>C33/$C$34</f>
        <v>0.5</v>
      </c>
      <c r="E33" s="2115">
        <f>$D33*($E$29*$B$35)</f>
        <v>19.5</v>
      </c>
      <c r="F33" s="2098">
        <f>$D33*($F$29*$B$35)</f>
        <v>2503702.5</v>
      </c>
      <c r="G33" s="2098">
        <f>$D33*($G$29*$B$35)</f>
        <v>250.25</v>
      </c>
      <c r="H33" s="2098">
        <f>$D33*($H$29*$B$35)</f>
        <v>32087205.800000001</v>
      </c>
      <c r="I33" s="2098">
        <f>$D33*($I$29*$B$35)</f>
        <v>29.900000000000002</v>
      </c>
      <c r="J33" s="2099">
        <f>$D33*($J$29*$B$35)</f>
        <v>3999054.15</v>
      </c>
      <c r="K33" s="2098">
        <f>$D33*($K$29*$B$35)</f>
        <v>0</v>
      </c>
      <c r="L33" s="2099">
        <f>$D33*($L$29*$B$35)</f>
        <v>0</v>
      </c>
      <c r="M33" s="2098">
        <f>$D33*($M$29*$B$35)</f>
        <v>0</v>
      </c>
      <c r="N33" s="2099">
        <f>$D33*($N$29*$B$35)</f>
        <v>0</v>
      </c>
      <c r="O33" s="2098">
        <f>$D33*($O$12*$B$18)</f>
        <v>0</v>
      </c>
      <c r="P33" s="2099">
        <f>$D33*($P$12*$B$18)</f>
        <v>0</v>
      </c>
      <c r="Q33" s="2116">
        <f t="shared" ref="Q33" si="15">E33+G33+I33+K33+M33+O33</f>
        <v>299.64999999999998</v>
      </c>
      <c r="R33" s="2101">
        <f t="shared" ref="R33" si="16">F33+H33+J33+L33+N33+P33</f>
        <v>38589962.449999996</v>
      </c>
      <c r="S33" s="609"/>
    </row>
    <row r="34" spans="2:26" ht="15.75" thickBot="1">
      <c r="B34" s="581" t="s">
        <v>114</v>
      </c>
      <c r="C34" s="582">
        <f t="shared" ref="C34:R34" si="17">SUM(C32:C33)</f>
        <v>360</v>
      </c>
      <c r="D34" s="583">
        <f t="shared" si="17"/>
        <v>1</v>
      </c>
      <c r="E34" s="2123">
        <f t="shared" si="17"/>
        <v>39</v>
      </c>
      <c r="F34" s="2104">
        <f t="shared" si="17"/>
        <v>5007405</v>
      </c>
      <c r="G34" s="2123">
        <f t="shared" si="17"/>
        <v>500.5</v>
      </c>
      <c r="H34" s="2104">
        <f t="shared" si="17"/>
        <v>64174411.600000001</v>
      </c>
      <c r="I34" s="2123">
        <f t="shared" si="17"/>
        <v>59.800000000000004</v>
      </c>
      <c r="J34" s="2104">
        <f t="shared" si="17"/>
        <v>7998108.2999999998</v>
      </c>
      <c r="K34" s="2123">
        <f t="shared" si="17"/>
        <v>0</v>
      </c>
      <c r="L34" s="2104">
        <f t="shared" si="17"/>
        <v>0</v>
      </c>
      <c r="M34" s="2123">
        <f t="shared" si="17"/>
        <v>0</v>
      </c>
      <c r="N34" s="2104">
        <f t="shared" si="17"/>
        <v>0</v>
      </c>
      <c r="O34" s="2123">
        <f t="shared" si="17"/>
        <v>0</v>
      </c>
      <c r="P34" s="2104">
        <f t="shared" si="17"/>
        <v>0</v>
      </c>
      <c r="Q34" s="2113">
        <f t="shared" si="17"/>
        <v>599.29999999999995</v>
      </c>
      <c r="R34" s="2102">
        <f t="shared" si="17"/>
        <v>77179924.899999991</v>
      </c>
      <c r="S34" s="631"/>
      <c r="T34" s="2337" t="s">
        <v>11475</v>
      </c>
      <c r="U34" s="2337"/>
      <c r="V34" s="2337"/>
      <c r="X34" s="2337" t="s">
        <v>11476</v>
      </c>
      <c r="Y34" s="2337"/>
      <c r="Z34" s="2337"/>
    </row>
    <row r="35" spans="2:26" ht="15.75">
      <c r="B35" s="831">
        <v>0.65</v>
      </c>
      <c r="E35" s="2105"/>
      <c r="F35" s="2105"/>
      <c r="G35" s="2105"/>
      <c r="H35" s="2105"/>
      <c r="I35" s="2105"/>
      <c r="J35" s="2105"/>
      <c r="K35" s="2105"/>
      <c r="L35" s="2105"/>
      <c r="M35" s="2105"/>
      <c r="N35" s="2105"/>
      <c r="O35" s="2105"/>
      <c r="P35" s="2105"/>
      <c r="Q35" s="2105"/>
      <c r="R35" s="2105"/>
      <c r="T35" s="650" t="s">
        <v>1871</v>
      </c>
      <c r="U35" s="663" t="s">
        <v>1872</v>
      </c>
      <c r="V35" s="664" t="s">
        <v>1873</v>
      </c>
      <c r="X35" s="650" t="s">
        <v>1871</v>
      </c>
      <c r="Y35" s="663" t="s">
        <v>1872</v>
      </c>
      <c r="Z35" s="664" t="s">
        <v>1873</v>
      </c>
    </row>
    <row r="36" spans="2:26" ht="15.75" thickBot="1">
      <c r="T36" s="651">
        <v>45658</v>
      </c>
      <c r="U36" s="667">
        <v>0</v>
      </c>
      <c r="V36" s="2106">
        <v>0</v>
      </c>
      <c r="X36" s="651">
        <v>45658</v>
      </c>
      <c r="Y36" s="667">
        <v>0</v>
      </c>
      <c r="Z36" s="2106">
        <v>0</v>
      </c>
    </row>
    <row r="37" spans="2:26" ht="15.75" thickBot="1">
      <c r="B37" s="2329">
        <v>45901</v>
      </c>
      <c r="C37" s="2330"/>
      <c r="D37" s="2330"/>
      <c r="E37" s="2330"/>
      <c r="F37" s="2330"/>
      <c r="G37" s="2330"/>
      <c r="H37" s="2330"/>
      <c r="I37" s="2330"/>
      <c r="J37" s="2330"/>
      <c r="K37" s="2330"/>
      <c r="L37" s="2330"/>
      <c r="M37" s="2330"/>
      <c r="N37" s="2330"/>
      <c r="O37" s="2330"/>
      <c r="P37" s="2330"/>
      <c r="Q37" s="2330"/>
      <c r="R37" s="2331"/>
      <c r="S37" s="621"/>
      <c r="T37" s="651">
        <v>45689</v>
      </c>
      <c r="U37" s="667">
        <v>0</v>
      </c>
      <c r="V37" s="2106">
        <v>0</v>
      </c>
      <c r="X37" s="651">
        <v>45689</v>
      </c>
      <c r="Y37" s="667">
        <v>0</v>
      </c>
      <c r="Z37" s="2106">
        <v>0</v>
      </c>
    </row>
    <row r="38" spans="2:26" ht="16.5" customHeight="1">
      <c r="B38" s="2335" t="s">
        <v>1874</v>
      </c>
      <c r="C38" s="2343"/>
      <c r="D38" s="2336"/>
      <c r="E38" s="2332" t="s">
        <v>7</v>
      </c>
      <c r="F38" s="2333"/>
      <c r="G38" s="2333" t="s">
        <v>13</v>
      </c>
      <c r="H38" s="2333"/>
      <c r="I38" s="2333" t="s">
        <v>1875</v>
      </c>
      <c r="J38" s="2333"/>
      <c r="K38" s="2333" t="s">
        <v>1876</v>
      </c>
      <c r="L38" s="2333"/>
      <c r="M38" s="2333" t="s">
        <v>11475</v>
      </c>
      <c r="N38" s="2333"/>
      <c r="O38" s="2333" t="s">
        <v>11476</v>
      </c>
      <c r="P38" s="2334"/>
      <c r="Q38" s="2335" t="s">
        <v>114</v>
      </c>
      <c r="R38" s="2336"/>
      <c r="S38" s="622"/>
      <c r="T38" s="651">
        <v>45717</v>
      </c>
      <c r="U38" s="667">
        <v>0</v>
      </c>
      <c r="V38" s="2106">
        <v>0</v>
      </c>
      <c r="X38" s="651">
        <v>45717</v>
      </c>
      <c r="Y38" s="667">
        <v>0</v>
      </c>
      <c r="Z38" s="2106">
        <v>0</v>
      </c>
    </row>
    <row r="39" spans="2:26" ht="16.5" thickBot="1">
      <c r="B39" s="559" t="s">
        <v>1878</v>
      </c>
      <c r="C39" s="591" t="s">
        <v>1879</v>
      </c>
      <c r="D39" s="592" t="s">
        <v>1880</v>
      </c>
      <c r="E39" s="610" t="s">
        <v>1872</v>
      </c>
      <c r="F39" s="563" t="s">
        <v>1881</v>
      </c>
      <c r="G39" s="563" t="s">
        <v>1872</v>
      </c>
      <c r="H39" s="563" t="s">
        <v>1881</v>
      </c>
      <c r="I39" s="563" t="s">
        <v>1872</v>
      </c>
      <c r="J39" s="563" t="s">
        <v>1881</v>
      </c>
      <c r="K39" s="563" t="s">
        <v>1872</v>
      </c>
      <c r="L39" s="563" t="s">
        <v>1881</v>
      </c>
      <c r="M39" s="563" t="s">
        <v>1872</v>
      </c>
      <c r="N39" s="563" t="s">
        <v>1881</v>
      </c>
      <c r="O39" s="563" t="s">
        <v>1872</v>
      </c>
      <c r="P39" s="624" t="s">
        <v>1881</v>
      </c>
      <c r="Q39" s="610" t="s">
        <v>1872</v>
      </c>
      <c r="R39" s="624" t="s">
        <v>1881</v>
      </c>
      <c r="S39" s="622"/>
      <c r="T39" s="651">
        <v>45748</v>
      </c>
      <c r="U39" s="667">
        <v>0</v>
      </c>
      <c r="V39" s="2106">
        <v>0</v>
      </c>
      <c r="X39" s="651">
        <v>45748</v>
      </c>
      <c r="Y39" s="667">
        <v>0</v>
      </c>
      <c r="Z39" s="2106">
        <v>0</v>
      </c>
    </row>
    <row r="40" spans="2:26" ht="15.75">
      <c r="B40" s="564" t="s">
        <v>28</v>
      </c>
      <c r="C40" s="565">
        <v>165</v>
      </c>
      <c r="D40" s="566">
        <f t="shared" ref="D40:D45" si="18">C40/$C$46</f>
        <v>0.16666666666666666</v>
      </c>
      <c r="E40" s="2115">
        <f>ROUND($D40*VLOOKUP($B$37,'ИПП 3кв25'!$T$4:$V$16,2,0),0)</f>
        <v>10</v>
      </c>
      <c r="F40" s="2098">
        <f>ROUND($D40*VLOOKUP($B$37,'ИПП 3кв25'!$T$4:$V$16,3,0),0)</f>
        <v>1288200</v>
      </c>
      <c r="G40" s="2098">
        <f>ROUND($D40*VLOOKUP($B$37,'ИПП 3кв25'!$X$4:$Z$16,2,0),0)</f>
        <v>209</v>
      </c>
      <c r="H40" s="2098">
        <f>ROUND($D40*VLOOKUP($B$37,'ИПП 3кв25'!$X$4:$Z$16,3,0),0)</f>
        <v>25471740</v>
      </c>
      <c r="I40" s="2098">
        <f>ROUND($D40*VLOOKUP($B$37,'ИПП 3кв25'!$T$20:$V$32,2,0),0)</f>
        <v>116</v>
      </c>
      <c r="J40" s="2099">
        <f>ROUND($D40*VLOOKUP($B$37,'ИПП 3кв25'!$T$20:$V$32,3,0),0)</f>
        <v>14776145</v>
      </c>
      <c r="K40" s="2098">
        <f>ROUND($D40*VLOOKUP($B$37,'ИПП 3кв25'!$X$20:$Z$32,2,0),0)</f>
        <v>91</v>
      </c>
      <c r="L40" s="2099">
        <f>ROUND($D40*VLOOKUP($B$37,'ИПП 3кв25'!$X$20:$Z$32,3,0),0)</f>
        <v>11384180</v>
      </c>
      <c r="M40" s="2098">
        <f>ROUND($D40*VLOOKUP($B$37,'ИПП 3кв25'!$T$36:$V$48,2,0),0)</f>
        <v>76</v>
      </c>
      <c r="N40" s="2099">
        <f>ROUND($D40*VLOOKUP($B$37,'ИПП 3кв25'!$T$36:$V$48,3,0),0)</f>
        <v>9141587</v>
      </c>
      <c r="O40" s="2098">
        <f>ROUND($D40*VLOOKUP($B$37,'ИПП 3кв25'!$X$36:$Z$48,2,0),0)</f>
        <v>82</v>
      </c>
      <c r="P40" s="2099">
        <f>ROUND($D40*VLOOKUP($B$37,'ИПП 3кв25'!$X$36:$Z$48,3,0),0)</f>
        <v>9628679</v>
      </c>
      <c r="Q40" s="2116">
        <f>E40+G40+I40+K40+M40+O40</f>
        <v>584</v>
      </c>
      <c r="R40" s="2101">
        <f>F40+H40+J40+L40+N40+P40</f>
        <v>71690531</v>
      </c>
      <c r="S40" s="622"/>
      <c r="T40" s="651">
        <v>45778</v>
      </c>
      <c r="U40" s="667">
        <v>0</v>
      </c>
      <c r="V40" s="2106">
        <v>0</v>
      </c>
      <c r="X40" s="651">
        <v>45778</v>
      </c>
      <c r="Y40" s="667">
        <v>0</v>
      </c>
      <c r="Z40" s="2106">
        <v>0</v>
      </c>
    </row>
    <row r="41" spans="2:26" ht="15.75">
      <c r="B41" s="569" t="s">
        <v>8</v>
      </c>
      <c r="C41" s="832">
        <v>165</v>
      </c>
      <c r="D41" s="575">
        <f t="shared" si="18"/>
        <v>0.16666666666666666</v>
      </c>
      <c r="E41" s="2115">
        <f>ROUND($D41*VLOOKUP($B$37,'ИПП 3кв25'!$T$4:$V$16,2,0),0)</f>
        <v>10</v>
      </c>
      <c r="F41" s="2098">
        <f>ROUND($D41*VLOOKUP($B$37,'ИПП 3кв25'!$T$4:$V$16,3,0),0)</f>
        <v>1288200</v>
      </c>
      <c r="G41" s="2098">
        <f>ROUND($D41*VLOOKUP($B$37,'ИПП 3кв25'!$X$4:$Z$16,2,0),0)</f>
        <v>209</v>
      </c>
      <c r="H41" s="2098">
        <f>ROUND($D41*VLOOKUP($B$37,'ИПП 3кв25'!$X$4:$Z$16,3,0),0)</f>
        <v>25471740</v>
      </c>
      <c r="I41" s="2098">
        <f>ROUND($D41*VLOOKUP($B$37,'ИПП 3кв25'!$T$20:$V$32,2,0),0)</f>
        <v>116</v>
      </c>
      <c r="J41" s="2099">
        <f>ROUND($D41*VLOOKUP($B$37,'ИПП 3кв25'!$T$20:$V$32,3,0),0)</f>
        <v>14776145</v>
      </c>
      <c r="K41" s="2117">
        <f>ROUND($D41*VLOOKUP($B$37,'ИПП 3кв25'!$X$20:$Z$32,2,0),0)</f>
        <v>91</v>
      </c>
      <c r="L41" s="2100">
        <f>ROUND($D41*VLOOKUP($B$37,'ИПП 3кв25'!$X$20:$Z$32,3,0),0)</f>
        <v>11384180</v>
      </c>
      <c r="M41" s="2098">
        <f>ROUND($D41*VLOOKUP($B$37,'ИПП 3кв25'!$T$36:$V$48,2,0),0)</f>
        <v>76</v>
      </c>
      <c r="N41" s="2099">
        <f>ROUND($D41*VLOOKUP($B$37,'ИПП 3кв25'!$T$36:$V$48,3,0),0)</f>
        <v>9141587</v>
      </c>
      <c r="O41" s="2098">
        <f>ROUND($D41*VLOOKUP($B$37,'ИПП 3кв25'!$X$36:$Z$48,2,0),0)</f>
        <v>82</v>
      </c>
      <c r="P41" s="2099">
        <f>ROUND($D41*VLOOKUP($B$37,'ИПП 3кв25'!$X$36:$Z$48,3,0),0)</f>
        <v>9628679</v>
      </c>
      <c r="Q41" s="2116">
        <f t="shared" ref="Q41:Q45" si="19">E41+G41+I41+K41+M41+O41</f>
        <v>584</v>
      </c>
      <c r="R41" s="2101">
        <f t="shared" ref="R41:R45" si="20">F41+H41+J41+L41+N41+P41</f>
        <v>71690531</v>
      </c>
      <c r="S41" s="609"/>
      <c r="T41" s="651">
        <v>45809</v>
      </c>
      <c r="U41" s="667">
        <v>0</v>
      </c>
      <c r="V41" s="2106">
        <v>0</v>
      </c>
      <c r="X41" s="651">
        <v>45809</v>
      </c>
      <c r="Y41" s="667">
        <v>0</v>
      </c>
      <c r="Z41" s="2106">
        <v>0</v>
      </c>
    </row>
    <row r="42" spans="2:26" ht="15.75">
      <c r="B42" s="569" t="s">
        <v>20</v>
      </c>
      <c r="C42" s="595">
        <v>165</v>
      </c>
      <c r="D42" s="575">
        <f t="shared" si="18"/>
        <v>0.16666666666666666</v>
      </c>
      <c r="E42" s="2115">
        <f>ROUND($D42*VLOOKUP($B$37,'ИПП 3кв25'!$T$4:$V$16,2,0),0)</f>
        <v>10</v>
      </c>
      <c r="F42" s="2098">
        <f>ROUND($D42*VLOOKUP($B$37,'ИПП 3кв25'!$T$4:$V$16,3,0),0)</f>
        <v>1288200</v>
      </c>
      <c r="G42" s="2098">
        <f>ROUND($D42*VLOOKUP($B$37,'ИПП 3кв25'!$X$4:$Z$16,2,0),0)</f>
        <v>209</v>
      </c>
      <c r="H42" s="2098">
        <f>ROUND($D42*VLOOKUP($B$37,'ИПП 3кв25'!$X$4:$Z$16,3,0),0)</f>
        <v>25471740</v>
      </c>
      <c r="I42" s="2098">
        <f>ROUND($D42*VLOOKUP($B$37,'ИПП 3кв25'!$T$20:$V$32,2,0),0)</f>
        <v>116</v>
      </c>
      <c r="J42" s="2099">
        <f>ROUND($D42*VLOOKUP($B$37,'ИПП 3кв25'!$T$20:$V$32,3,0),0)</f>
        <v>14776145</v>
      </c>
      <c r="K42" s="2117">
        <f>ROUND($D42*VLOOKUP($B$37,'ИПП 3кв25'!$X$20:$Z$32,2,0),0)</f>
        <v>91</v>
      </c>
      <c r="L42" s="2100">
        <f>ROUND($D42*VLOOKUP($B$37,'ИПП 3кв25'!$X$20:$Z$32,3,0),0)</f>
        <v>11384180</v>
      </c>
      <c r="M42" s="2098">
        <f>ROUND($D42*VLOOKUP($B$37,'ИПП 3кв25'!$T$36:$V$48,2,0),0)</f>
        <v>76</v>
      </c>
      <c r="N42" s="2099">
        <f>ROUND($D42*VLOOKUP($B$37,'ИПП 3кв25'!$T$36:$V$48,3,0),0)</f>
        <v>9141587</v>
      </c>
      <c r="O42" s="2098">
        <f>ROUND($D42*VLOOKUP($B$37,'ИПП 3кв25'!$X$36:$Z$48,2,0),0)</f>
        <v>82</v>
      </c>
      <c r="P42" s="2099">
        <f>ROUND($D42*VLOOKUP($B$37,'ИПП 3кв25'!$X$36:$Z$48,3,0),0)</f>
        <v>9628679</v>
      </c>
      <c r="Q42" s="2116">
        <f t="shared" si="19"/>
        <v>584</v>
      </c>
      <c r="R42" s="2101">
        <f t="shared" si="20"/>
        <v>71690531</v>
      </c>
      <c r="S42" s="609"/>
      <c r="T42" s="2238">
        <v>45839</v>
      </c>
      <c r="U42" s="2239">
        <v>0</v>
      </c>
      <c r="V42" s="2240">
        <v>0</v>
      </c>
      <c r="W42" s="2241"/>
      <c r="X42" s="2238">
        <v>45839</v>
      </c>
      <c r="Y42" s="2239">
        <v>0</v>
      </c>
      <c r="Z42" s="2240">
        <v>0</v>
      </c>
    </row>
    <row r="43" spans="2:26" ht="15.75">
      <c r="B43" s="569" t="s">
        <v>24</v>
      </c>
      <c r="C43" s="595">
        <v>165</v>
      </c>
      <c r="D43" s="575">
        <f t="shared" si="18"/>
        <v>0.16666666666666666</v>
      </c>
      <c r="E43" s="2115">
        <f>ROUND($D43*VLOOKUP($B$37,'ИПП 3кв25'!$T$4:$V$16,2,0),0)</f>
        <v>10</v>
      </c>
      <c r="F43" s="2098">
        <f>ROUND($D43*VLOOKUP($B$37,'ИПП 3кв25'!$T$4:$V$16,3,0),0)</f>
        <v>1288200</v>
      </c>
      <c r="G43" s="2098">
        <f>ROUND($D43*VLOOKUP($B$37,'ИПП 3кв25'!$X$4:$Z$16,2,0),0)</f>
        <v>209</v>
      </c>
      <c r="H43" s="2098">
        <f>ROUND($D43*VLOOKUP($B$37,'ИПП 3кв25'!$X$4:$Z$16,3,0),0)</f>
        <v>25471740</v>
      </c>
      <c r="I43" s="2098">
        <f>ROUND($D43*VLOOKUP($B$37,'ИПП 3кв25'!$T$20:$V$32,2,0),0)</f>
        <v>116</v>
      </c>
      <c r="J43" s="2099">
        <f>ROUND($D43*VLOOKUP($B$37,'ИПП 3кв25'!$T$20:$V$32,3,0),0)</f>
        <v>14776145</v>
      </c>
      <c r="K43" s="2117">
        <f>ROUND($D43*VLOOKUP($B$37,'ИПП 3кв25'!$X$20:$Z$32,2,0),0)</f>
        <v>91</v>
      </c>
      <c r="L43" s="2100">
        <f>ROUND($D43*VLOOKUP($B$37,'ИПП 3кв25'!$X$20:$Z$32,3,0),0)</f>
        <v>11384180</v>
      </c>
      <c r="M43" s="2098">
        <f>ROUND($D43*VLOOKUP($B$37,'ИПП 3кв25'!$T$36:$V$48,2,0),0)</f>
        <v>76</v>
      </c>
      <c r="N43" s="2099">
        <f>ROUND($D43*VLOOKUP($B$37,'ИПП 3кв25'!$T$36:$V$48,3,0),0)</f>
        <v>9141587</v>
      </c>
      <c r="O43" s="2098">
        <f>ROUND($D43*VLOOKUP($B$37,'ИПП 3кв25'!$X$36:$Z$48,2,0),0)</f>
        <v>82</v>
      </c>
      <c r="P43" s="2099">
        <f>ROUND($D43*VLOOKUP($B$37,'ИПП 3кв25'!$X$36:$Z$48,3,0),0)</f>
        <v>9628679</v>
      </c>
      <c r="Q43" s="2116">
        <f t="shared" si="19"/>
        <v>584</v>
      </c>
      <c r="R43" s="2101">
        <f t="shared" si="20"/>
        <v>71690531</v>
      </c>
      <c r="S43" s="609"/>
      <c r="T43" s="2238">
        <v>45870</v>
      </c>
      <c r="U43" s="2239">
        <v>0</v>
      </c>
      <c r="V43" s="2240">
        <v>0</v>
      </c>
      <c r="W43" s="2241"/>
      <c r="X43" s="2238">
        <v>45870</v>
      </c>
      <c r="Y43" s="2239">
        <v>0</v>
      </c>
      <c r="Z43" s="2240">
        <v>0</v>
      </c>
    </row>
    <row r="44" spans="2:26" ht="15.75">
      <c r="B44" s="576" t="s">
        <v>14</v>
      </c>
      <c r="C44" s="611">
        <v>165</v>
      </c>
      <c r="D44" s="578">
        <f t="shared" si="18"/>
        <v>0.16666666666666666</v>
      </c>
      <c r="E44" s="2115">
        <f>ROUND($D44*VLOOKUP($B$37,'ИПП 3кв25'!$T$4:$V$16,2,0),0)</f>
        <v>10</v>
      </c>
      <c r="F44" s="2098">
        <f>ROUND($D44*VLOOKUP($B$37,'ИПП 3кв25'!$T$4:$V$16,3,0),0)</f>
        <v>1288200</v>
      </c>
      <c r="G44" s="2098">
        <f>ROUND($D44*VLOOKUP($B$37,'ИПП 3кв25'!$X$4:$Z$16,2,0),0)</f>
        <v>209</v>
      </c>
      <c r="H44" s="2098">
        <f>ROUND($D44*VLOOKUP($B$37,'ИПП 3кв25'!$X$4:$Z$16,3,0),0)</f>
        <v>25471740</v>
      </c>
      <c r="I44" s="2098">
        <f>ROUND($D44*VLOOKUP($B$37,'ИПП 3кв25'!$T$20:$V$32,2,0),0)</f>
        <v>116</v>
      </c>
      <c r="J44" s="2099">
        <f>ROUND($D44*VLOOKUP($B$37,'ИПП 3кв25'!$T$20:$V$32,3,0),0)</f>
        <v>14776145</v>
      </c>
      <c r="K44" s="2117">
        <f>ROUND($D44*VLOOKUP($B$37,'ИПП 3кв25'!$X$20:$Z$32,2,0),0)</f>
        <v>91</v>
      </c>
      <c r="L44" s="2100">
        <f>ROUND($D44*VLOOKUP($B$37,'ИПП 3кв25'!$X$20:$Z$32,3,0),0)</f>
        <v>11384180</v>
      </c>
      <c r="M44" s="2098">
        <f>ROUND($D44*VLOOKUP($B$37,'ИПП 3кв25'!$T$36:$V$48,2,0),0)</f>
        <v>76</v>
      </c>
      <c r="N44" s="2099">
        <f>ROUND($D44*VLOOKUP($B$37,'ИПП 3кв25'!$T$36:$V$48,3,0),0)</f>
        <v>9141587</v>
      </c>
      <c r="O44" s="2098">
        <f>ROUND($D44*VLOOKUP($B$37,'ИПП 3кв25'!$X$36:$Z$48,2,0),0)</f>
        <v>82</v>
      </c>
      <c r="P44" s="2099">
        <f>ROUND($D44*VLOOKUP($B$37,'ИПП 3кв25'!$X$36:$Z$48,3,0),0)</f>
        <v>9628679</v>
      </c>
      <c r="Q44" s="2116">
        <f t="shared" si="19"/>
        <v>584</v>
      </c>
      <c r="R44" s="2101">
        <f t="shared" si="20"/>
        <v>71690531</v>
      </c>
      <c r="S44" s="609"/>
      <c r="T44" s="651">
        <v>45901</v>
      </c>
      <c r="U44" s="667">
        <v>453.32643870214304</v>
      </c>
      <c r="V44" s="2106">
        <v>54849524.980005905</v>
      </c>
      <c r="X44" s="651">
        <v>45901</v>
      </c>
      <c r="Y44" s="667">
        <v>490.65688405797113</v>
      </c>
      <c r="Z44" s="2106">
        <v>57772075.583662711</v>
      </c>
    </row>
    <row r="45" spans="2:26" ht="16.5" thickBot="1">
      <c r="B45" s="618" t="s">
        <v>1884</v>
      </c>
      <c r="C45" s="599">
        <v>165</v>
      </c>
      <c r="D45" s="600">
        <f t="shared" si="18"/>
        <v>0.16666666666666666</v>
      </c>
      <c r="E45" s="2115">
        <f>ROUND($D45*VLOOKUP($B$37,'ИПП 3кв25'!$T$4:$V$16,2,0),0)</f>
        <v>10</v>
      </c>
      <c r="F45" s="2098">
        <f>ROUND($D45*VLOOKUP($B$37,'ИПП 3кв25'!$T$4:$V$16,3,0),0)</f>
        <v>1288200</v>
      </c>
      <c r="G45" s="2098">
        <f>ROUND($D45*VLOOKUP($B$37,'ИПП 3кв25'!$X$4:$Z$16,2,0),0)</f>
        <v>209</v>
      </c>
      <c r="H45" s="2098">
        <f>ROUND($D45*VLOOKUP($B$37,'ИПП 3кв25'!$X$4:$Z$16,3,0),0)</f>
        <v>25471740</v>
      </c>
      <c r="I45" s="2098">
        <f>ROUND($D45*VLOOKUP($B$37,'ИПП 3кв25'!$T$20:$V$32,2,0),0)</f>
        <v>116</v>
      </c>
      <c r="J45" s="2099">
        <f>ROUND($D45*VLOOKUP($B$37,'ИПП 3кв25'!$T$20:$V$32,3,0),0)</f>
        <v>14776145</v>
      </c>
      <c r="K45" s="2117">
        <f>ROUND($D45*VLOOKUP($B$37,'ИПП 3кв25'!$X$20:$Z$32,2,0),0)</f>
        <v>91</v>
      </c>
      <c r="L45" s="2100">
        <f>ROUND($D45*VLOOKUP($B$37,'ИПП 3кв25'!$X$20:$Z$32,3,0),0)</f>
        <v>11384180</v>
      </c>
      <c r="M45" s="2098">
        <f>ROUND($D45*VLOOKUP($B$37,'ИПП 3кв25'!$T$36:$V$48,2,0),0)</f>
        <v>76</v>
      </c>
      <c r="N45" s="2099">
        <f>ROUND($D45*VLOOKUP($B$37,'ИПП 3кв25'!$T$36:$V$48,3,0),0)</f>
        <v>9141587</v>
      </c>
      <c r="O45" s="2098">
        <f>ROUND($D45*VLOOKUP($B$37,'ИПП 3кв25'!$X$36:$Z$48,2,0),0)</f>
        <v>82</v>
      </c>
      <c r="P45" s="2099">
        <f>ROUND($D45*VLOOKUP($B$37,'ИПП 3кв25'!$X$36:$Z$48,3,0),0)</f>
        <v>9628679</v>
      </c>
      <c r="Q45" s="2118">
        <f t="shared" si="19"/>
        <v>584</v>
      </c>
      <c r="R45" s="2114">
        <f t="shared" si="20"/>
        <v>71690531</v>
      </c>
      <c r="S45" s="631"/>
      <c r="T45" s="651">
        <v>45931</v>
      </c>
      <c r="U45" s="667">
        <v>453.32643870214304</v>
      </c>
      <c r="V45" s="2106">
        <v>55392589.583768338</v>
      </c>
      <c r="X45" s="651">
        <v>45931</v>
      </c>
      <c r="Y45" s="667">
        <v>490.65688405797113</v>
      </c>
      <c r="Z45" s="2106">
        <v>58344076.332015812</v>
      </c>
    </row>
    <row r="46" spans="2:26" ht="16.5" customHeight="1" thickBot="1">
      <c r="B46" s="581" t="s">
        <v>114</v>
      </c>
      <c r="C46" s="582">
        <f t="shared" ref="C46:L46" si="21">SUM(C40:C45)</f>
        <v>990</v>
      </c>
      <c r="D46" s="583">
        <f t="shared" si="21"/>
        <v>0.99999999999999989</v>
      </c>
      <c r="E46" s="2119">
        <f t="shared" si="21"/>
        <v>60</v>
      </c>
      <c r="F46" s="2110">
        <f t="shared" si="21"/>
        <v>7729200</v>
      </c>
      <c r="G46" s="2110">
        <f t="shared" si="21"/>
        <v>1254</v>
      </c>
      <c r="H46" s="2110">
        <f t="shared" si="21"/>
        <v>152830440</v>
      </c>
      <c r="I46" s="2110">
        <f t="shared" si="21"/>
        <v>696</v>
      </c>
      <c r="J46" s="2111">
        <f t="shared" si="21"/>
        <v>88656870</v>
      </c>
      <c r="K46" s="2110">
        <f t="shared" si="21"/>
        <v>546</v>
      </c>
      <c r="L46" s="2111">
        <f t="shared" si="21"/>
        <v>68305080</v>
      </c>
      <c r="M46" s="2110">
        <f t="shared" ref="M46:P46" si="22">SUM(M40:M45)</f>
        <v>456</v>
      </c>
      <c r="N46" s="2111">
        <f t="shared" si="22"/>
        <v>54849522</v>
      </c>
      <c r="O46" s="2110">
        <f t="shared" si="22"/>
        <v>492</v>
      </c>
      <c r="P46" s="2111">
        <f t="shared" si="22"/>
        <v>57772074</v>
      </c>
      <c r="Q46" s="2113">
        <f>SUM(Q40:Q45)</f>
        <v>3504</v>
      </c>
      <c r="R46" s="2102">
        <f>SUM(R40:R45)</f>
        <v>430143186</v>
      </c>
      <c r="S46" s="622"/>
      <c r="T46" s="651">
        <v>45962</v>
      </c>
      <c r="U46" s="667">
        <v>453.32643870214304</v>
      </c>
      <c r="V46" s="2106">
        <v>55935654.187530778</v>
      </c>
      <c r="X46" s="651">
        <v>45962</v>
      </c>
      <c r="Y46" s="667">
        <v>490.65688405797113</v>
      </c>
      <c r="Z46" s="2106">
        <v>58916077.080368906</v>
      </c>
    </row>
    <row r="47" spans="2:26" ht="15.75">
      <c r="B47" s="2335" t="s">
        <v>1882</v>
      </c>
      <c r="C47" s="2343"/>
      <c r="D47" s="2336"/>
      <c r="E47" s="2340" t="s">
        <v>7</v>
      </c>
      <c r="F47" s="2338"/>
      <c r="G47" s="2338" t="s">
        <v>13</v>
      </c>
      <c r="H47" s="2338"/>
      <c r="I47" s="2338" t="s">
        <v>1875</v>
      </c>
      <c r="J47" s="2338"/>
      <c r="K47" s="2338" t="s">
        <v>1876</v>
      </c>
      <c r="L47" s="2338"/>
      <c r="M47" s="2338" t="s">
        <v>11475</v>
      </c>
      <c r="N47" s="2338"/>
      <c r="O47" s="2338" t="s">
        <v>11476</v>
      </c>
      <c r="P47" s="2339"/>
      <c r="Q47" s="2341" t="s">
        <v>114</v>
      </c>
      <c r="R47" s="2342"/>
      <c r="S47" s="622"/>
      <c r="T47" s="651">
        <v>45992</v>
      </c>
      <c r="U47" s="667">
        <v>453.32643870214304</v>
      </c>
      <c r="V47" s="2106">
        <v>56478718.791293211</v>
      </c>
      <c r="X47" s="651">
        <v>45992</v>
      </c>
      <c r="Y47" s="667">
        <v>490.65688405797113</v>
      </c>
      <c r="Z47" s="2106">
        <v>59488077.828722</v>
      </c>
    </row>
    <row r="48" spans="2:26" ht="16.5" thickBot="1">
      <c r="B48" s="559" t="s">
        <v>1878</v>
      </c>
      <c r="C48" s="560" t="s">
        <v>1879</v>
      </c>
      <c r="D48" s="561" t="s">
        <v>1880</v>
      </c>
      <c r="E48" s="2120" t="s">
        <v>1872</v>
      </c>
      <c r="F48" s="2121" t="s">
        <v>1881</v>
      </c>
      <c r="G48" s="2121" t="s">
        <v>1872</v>
      </c>
      <c r="H48" s="2121" t="s">
        <v>1881</v>
      </c>
      <c r="I48" s="2121" t="s">
        <v>1872</v>
      </c>
      <c r="J48" s="2121" t="s">
        <v>1881</v>
      </c>
      <c r="K48" s="2121" t="s">
        <v>1872</v>
      </c>
      <c r="L48" s="2121" t="s">
        <v>1881</v>
      </c>
      <c r="M48" s="2121" t="s">
        <v>1872</v>
      </c>
      <c r="N48" s="2121" t="s">
        <v>1881</v>
      </c>
      <c r="O48" s="2121" t="s">
        <v>1872</v>
      </c>
      <c r="P48" s="2122" t="s">
        <v>1881</v>
      </c>
      <c r="Q48" s="2120" t="s">
        <v>1872</v>
      </c>
      <c r="R48" s="2122" t="s">
        <v>1881</v>
      </c>
      <c r="S48" s="609"/>
      <c r="T48" s="660" t="s">
        <v>1883</v>
      </c>
      <c r="U48" s="671">
        <f>SUM(U36:U47)</f>
        <v>1813.3057548085721</v>
      </c>
      <c r="V48" s="2107">
        <f>SUM(V36:V47)</f>
        <v>222656487.54259822</v>
      </c>
      <c r="X48" s="660" t="s">
        <v>1883</v>
      </c>
      <c r="Y48" s="671">
        <f>SUM(Y36:Y47)</f>
        <v>1962.6275362318845</v>
      </c>
      <c r="Z48" s="2107">
        <f>SUM(Z36:Z47)</f>
        <v>234520306.82476944</v>
      </c>
    </row>
    <row r="49" spans="2:19" ht="15.75">
      <c r="B49" s="569" t="s">
        <v>22</v>
      </c>
      <c r="C49" s="570">
        <v>180</v>
      </c>
      <c r="D49" s="588">
        <f>C49/$C$51</f>
        <v>0.5</v>
      </c>
      <c r="E49" s="2115">
        <f>$D49*($E$46*$B$52)</f>
        <v>19.5</v>
      </c>
      <c r="F49" s="2098">
        <f>$D49*($F$46*$B$52)</f>
        <v>2511990</v>
      </c>
      <c r="G49" s="2098">
        <f>$D49*($G$46*$B$52)</f>
        <v>407.55</v>
      </c>
      <c r="H49" s="2098">
        <f>$D49*($H$46*$B$52)</f>
        <v>49669893</v>
      </c>
      <c r="I49" s="2098">
        <f>$D49*($I$46*$B$52)</f>
        <v>226.20000000000002</v>
      </c>
      <c r="J49" s="2099">
        <f>$D49*($J$46*$B$52)</f>
        <v>28813482.75</v>
      </c>
      <c r="K49" s="2098">
        <f>$D49*($K$46*$B$52)</f>
        <v>177.45000000000002</v>
      </c>
      <c r="L49" s="2099">
        <f>$D49*($L$46*$B$52)</f>
        <v>22199151</v>
      </c>
      <c r="M49" s="2098">
        <f>$D49*($M$46*$B$52)</f>
        <v>148.20000000000002</v>
      </c>
      <c r="N49" s="2099">
        <f>$D49*($N$46*$B$35)</f>
        <v>17826094.650000002</v>
      </c>
      <c r="O49" s="2098">
        <f>$D49*($O$46*$B$35)</f>
        <v>159.9</v>
      </c>
      <c r="P49" s="2099">
        <f>$D49*($P$46*$B$35)</f>
        <v>18775924.050000001</v>
      </c>
      <c r="Q49" s="2116">
        <f>E49+G49+I49+K49+M49+O49</f>
        <v>1138.8000000000002</v>
      </c>
      <c r="R49" s="2101">
        <f>F49+H49+J49+L49+N49+P49</f>
        <v>139796535.45000002</v>
      </c>
      <c r="S49" s="609"/>
    </row>
    <row r="50" spans="2:19" ht="16.5" thickBot="1">
      <c r="B50" s="569" t="s">
        <v>26</v>
      </c>
      <c r="C50" s="570">
        <v>180</v>
      </c>
      <c r="D50" s="588">
        <f>C50/$C$51</f>
        <v>0.5</v>
      </c>
      <c r="E50" s="2115">
        <f>$D50*($E$46*$B$52)</f>
        <v>19.5</v>
      </c>
      <c r="F50" s="2098">
        <f>$D50*($F$46*$B$52)</f>
        <v>2511990</v>
      </c>
      <c r="G50" s="2098">
        <f>$D50*($G$46*$B$52)</f>
        <v>407.55</v>
      </c>
      <c r="H50" s="2098">
        <f>$D50*($H$46*$B$52)</f>
        <v>49669893</v>
      </c>
      <c r="I50" s="2098">
        <f>$D50*($I$46*$B$52)</f>
        <v>226.20000000000002</v>
      </c>
      <c r="J50" s="2099">
        <f>$D50*($J$46*$B$52)</f>
        <v>28813482.75</v>
      </c>
      <c r="K50" s="2098">
        <f>$D50*($K$46*$B$52)</f>
        <v>177.45000000000002</v>
      </c>
      <c r="L50" s="2099">
        <f>$D50*($L$46*$B$52)</f>
        <v>22199151</v>
      </c>
      <c r="M50" s="2098">
        <f>$D50*($M$46*$B$52)</f>
        <v>148.20000000000002</v>
      </c>
      <c r="N50" s="2099">
        <f>$D50*($N$46*$B$35)</f>
        <v>17826094.650000002</v>
      </c>
      <c r="O50" s="2098">
        <f>$D50*($O$46*$B$35)</f>
        <v>159.9</v>
      </c>
      <c r="P50" s="2099">
        <f>$D50*($P$46*$B$35)</f>
        <v>18775924.050000001</v>
      </c>
      <c r="Q50" s="2116">
        <f t="shared" ref="Q50" si="23">E50+G50+I50+K50+M50+O50</f>
        <v>1138.8000000000002</v>
      </c>
      <c r="R50" s="2101">
        <f t="shared" ref="R50" si="24">F50+H50+J50+L50+N50+P50</f>
        <v>139796535.45000002</v>
      </c>
      <c r="S50" s="609"/>
    </row>
    <row r="51" spans="2:19" ht="15.75" thickBot="1">
      <c r="B51" s="581" t="s">
        <v>114</v>
      </c>
      <c r="C51" s="582">
        <f t="shared" ref="C51:R51" si="25">SUM(C49:C50)</f>
        <v>360</v>
      </c>
      <c r="D51" s="583">
        <f t="shared" si="25"/>
        <v>1</v>
      </c>
      <c r="E51" s="2123">
        <f t="shared" si="25"/>
        <v>39</v>
      </c>
      <c r="F51" s="2104">
        <f t="shared" si="25"/>
        <v>5023980</v>
      </c>
      <c r="G51" s="2104">
        <f t="shared" si="25"/>
        <v>815.1</v>
      </c>
      <c r="H51" s="2104">
        <f t="shared" si="25"/>
        <v>99339786</v>
      </c>
      <c r="I51" s="2104">
        <f t="shared" si="25"/>
        <v>452.40000000000003</v>
      </c>
      <c r="J51" s="2103">
        <f t="shared" si="25"/>
        <v>57626965.5</v>
      </c>
      <c r="K51" s="2104">
        <f t="shared" si="25"/>
        <v>354.90000000000003</v>
      </c>
      <c r="L51" s="2103">
        <f t="shared" si="25"/>
        <v>44398302</v>
      </c>
      <c r="M51" s="2123">
        <f t="shared" si="25"/>
        <v>296.40000000000003</v>
      </c>
      <c r="N51" s="2104">
        <f t="shared" si="25"/>
        <v>35652189.300000004</v>
      </c>
      <c r="O51" s="2123">
        <f t="shared" si="25"/>
        <v>319.8</v>
      </c>
      <c r="P51" s="2104">
        <f t="shared" si="25"/>
        <v>37551848.100000001</v>
      </c>
      <c r="Q51" s="2113">
        <f t="shared" si="25"/>
        <v>2277.6000000000004</v>
      </c>
      <c r="R51" s="2102">
        <f t="shared" si="25"/>
        <v>279593070.90000004</v>
      </c>
    </row>
    <row r="52" spans="2:19">
      <c r="B52" s="831">
        <v>0.65</v>
      </c>
    </row>
    <row r="53" spans="2:19" ht="15.75" thickBot="1">
      <c r="C53" s="609"/>
      <c r="D53" s="609"/>
      <c r="E53" s="609"/>
      <c r="F53" s="609"/>
      <c r="G53" s="609"/>
      <c r="H53" s="609"/>
      <c r="I53" s="609"/>
      <c r="J53" s="609"/>
      <c r="K53" s="609"/>
      <c r="L53" s="609"/>
      <c r="M53" s="609"/>
      <c r="N53" s="609"/>
      <c r="O53" s="609"/>
      <c r="P53" s="609"/>
      <c r="Q53" s="609"/>
      <c r="S53" s="621"/>
    </row>
    <row r="54" spans="2:19" ht="16.5" customHeight="1" thickBot="1">
      <c r="B54" s="2329" t="s">
        <v>1899</v>
      </c>
      <c r="C54" s="2330"/>
      <c r="D54" s="2330"/>
      <c r="E54" s="2330"/>
      <c r="F54" s="2330"/>
      <c r="G54" s="2330"/>
      <c r="H54" s="2330"/>
      <c r="I54" s="2330"/>
      <c r="J54" s="2330"/>
      <c r="K54" s="2330"/>
      <c r="L54" s="2330"/>
      <c r="M54" s="2330"/>
      <c r="N54" s="2330"/>
      <c r="O54" s="2330"/>
      <c r="P54" s="2330"/>
      <c r="Q54" s="2330"/>
      <c r="R54" s="2331"/>
      <c r="S54" s="622"/>
    </row>
    <row r="55" spans="2:19" ht="15.75">
      <c r="B55" s="2332" t="s">
        <v>1874</v>
      </c>
      <c r="C55" s="2333"/>
      <c r="D55" s="2334"/>
      <c r="E55" s="2332" t="s">
        <v>7</v>
      </c>
      <c r="F55" s="2333"/>
      <c r="G55" s="2333" t="s">
        <v>13</v>
      </c>
      <c r="H55" s="2333"/>
      <c r="I55" s="2333" t="s">
        <v>1875</v>
      </c>
      <c r="J55" s="2333"/>
      <c r="K55" s="2333" t="s">
        <v>1876</v>
      </c>
      <c r="L55" s="2333"/>
      <c r="M55" s="2333" t="s">
        <v>11475</v>
      </c>
      <c r="N55" s="2333"/>
      <c r="O55" s="2333" t="s">
        <v>11476</v>
      </c>
      <c r="P55" s="2334"/>
      <c r="Q55" s="2335" t="s">
        <v>114</v>
      </c>
      <c r="R55" s="2336"/>
      <c r="S55" s="622"/>
    </row>
    <row r="56" spans="2:19" ht="16.5" thickBot="1">
      <c r="B56" s="559" t="s">
        <v>1878</v>
      </c>
      <c r="C56" s="560" t="s">
        <v>1879</v>
      </c>
      <c r="D56" s="561" t="s">
        <v>1880</v>
      </c>
      <c r="E56" s="610" t="s">
        <v>1872</v>
      </c>
      <c r="F56" s="563" t="s">
        <v>1881</v>
      </c>
      <c r="G56" s="563" t="s">
        <v>1872</v>
      </c>
      <c r="H56" s="563" t="s">
        <v>1881</v>
      </c>
      <c r="I56" s="563" t="s">
        <v>1872</v>
      </c>
      <c r="J56" s="563" t="s">
        <v>1881</v>
      </c>
      <c r="K56" s="563" t="s">
        <v>1872</v>
      </c>
      <c r="L56" s="563" t="s">
        <v>1881</v>
      </c>
      <c r="M56" s="563" t="s">
        <v>1872</v>
      </c>
      <c r="N56" s="563" t="s">
        <v>1881</v>
      </c>
      <c r="O56" s="563" t="s">
        <v>1872</v>
      </c>
      <c r="P56" s="624" t="s">
        <v>1881</v>
      </c>
      <c r="Q56" s="610" t="s">
        <v>1872</v>
      </c>
      <c r="R56" s="624" t="s">
        <v>1881</v>
      </c>
      <c r="S56" s="622"/>
    </row>
    <row r="57" spans="2:19" ht="15.75">
      <c r="B57" s="564" t="s">
        <v>28</v>
      </c>
      <c r="C57" s="595">
        <f>C40+C23+C6</f>
        <v>519</v>
      </c>
      <c r="D57" s="575">
        <f t="shared" ref="D57:D62" si="26">C57/$C$63</f>
        <v>0.19869831546707503</v>
      </c>
      <c r="E57" s="2115">
        <f t="shared" ref="E57:P57" si="27">E6+E23+E40</f>
        <v>32</v>
      </c>
      <c r="F57" s="2098">
        <f t="shared" si="27"/>
        <v>4223784</v>
      </c>
      <c r="G57" s="2098">
        <f t="shared" si="27"/>
        <v>411</v>
      </c>
      <c r="H57" s="2098">
        <f t="shared" si="27"/>
        <v>50963364</v>
      </c>
      <c r="I57" s="2098">
        <f t="shared" si="27"/>
        <v>298</v>
      </c>
      <c r="J57" s="2099">
        <f t="shared" si="27"/>
        <v>37821915</v>
      </c>
      <c r="K57" s="2098">
        <f t="shared" si="27"/>
        <v>219</v>
      </c>
      <c r="L57" s="2099">
        <f t="shared" si="27"/>
        <v>27215619</v>
      </c>
      <c r="M57" s="2098">
        <f t="shared" si="27"/>
        <v>76</v>
      </c>
      <c r="N57" s="2099">
        <f t="shared" si="27"/>
        <v>9141587</v>
      </c>
      <c r="O57" s="2098">
        <f t="shared" si="27"/>
        <v>82</v>
      </c>
      <c r="P57" s="2099">
        <f t="shared" si="27"/>
        <v>9628679</v>
      </c>
      <c r="Q57" s="2116">
        <f>E57+G57+I57+K57+M57+O57</f>
        <v>1118</v>
      </c>
      <c r="R57" s="2101">
        <f>F57+H57+J57+L57+N57+P57</f>
        <v>138994948</v>
      </c>
      <c r="S57" s="609"/>
    </row>
    <row r="58" spans="2:19" ht="15.75">
      <c r="B58" s="569" t="s">
        <v>8</v>
      </c>
      <c r="C58" s="595">
        <f t="shared" ref="C58:C62" si="28">C41+C24+C7</f>
        <v>459</v>
      </c>
      <c r="D58" s="575">
        <f t="shared" si="26"/>
        <v>0.17572741194486982</v>
      </c>
      <c r="E58" s="2115">
        <f t="shared" ref="E58:P58" si="29">E7+E24+E41</f>
        <v>29</v>
      </c>
      <c r="F58" s="2098">
        <f t="shared" si="29"/>
        <v>3755997</v>
      </c>
      <c r="G58" s="2098">
        <f t="shared" si="29"/>
        <v>391</v>
      </c>
      <c r="H58" s="2098">
        <f t="shared" si="29"/>
        <v>48405232</v>
      </c>
      <c r="I58" s="2098">
        <f t="shared" si="29"/>
        <v>251</v>
      </c>
      <c r="J58" s="2099">
        <f t="shared" si="29"/>
        <v>31873620</v>
      </c>
      <c r="K58" s="2117">
        <f t="shared" si="29"/>
        <v>183</v>
      </c>
      <c r="L58" s="2100">
        <f t="shared" si="29"/>
        <v>22730045</v>
      </c>
      <c r="M58" s="2098">
        <f t="shared" si="29"/>
        <v>76</v>
      </c>
      <c r="N58" s="2099">
        <f t="shared" si="29"/>
        <v>9141587</v>
      </c>
      <c r="O58" s="2098">
        <f t="shared" si="29"/>
        <v>82</v>
      </c>
      <c r="P58" s="2099">
        <f t="shared" si="29"/>
        <v>9628679</v>
      </c>
      <c r="Q58" s="2116">
        <f t="shared" ref="Q58:Q62" si="30">E58+G58+I58+K58+M58+O58</f>
        <v>1012</v>
      </c>
      <c r="R58" s="2101">
        <f t="shared" ref="R58:R62" si="31">F58+H58+J58+L58+N58+P58</f>
        <v>125535160</v>
      </c>
      <c r="S58" s="609"/>
    </row>
    <row r="59" spans="2:19" ht="15.75">
      <c r="B59" s="569" t="s">
        <v>20</v>
      </c>
      <c r="C59" s="595">
        <f t="shared" si="28"/>
        <v>245</v>
      </c>
      <c r="D59" s="575">
        <f t="shared" si="26"/>
        <v>9.3797856049004591E-2</v>
      </c>
      <c r="E59" s="2115">
        <f t="shared" ref="E59:P59" si="32">E8+E25+E42</f>
        <v>15</v>
      </c>
      <c r="F59" s="2098">
        <f t="shared" si="32"/>
        <v>1952594</v>
      </c>
      <c r="G59" s="2098">
        <f t="shared" si="32"/>
        <v>255</v>
      </c>
      <c r="H59" s="2098">
        <f t="shared" si="32"/>
        <v>31290871</v>
      </c>
      <c r="I59" s="2098">
        <f t="shared" si="32"/>
        <v>156</v>
      </c>
      <c r="J59" s="2099">
        <f t="shared" si="32"/>
        <v>19916661</v>
      </c>
      <c r="K59" s="2117">
        <f t="shared" si="32"/>
        <v>119</v>
      </c>
      <c r="L59" s="2100">
        <f t="shared" si="32"/>
        <v>14902278</v>
      </c>
      <c r="M59" s="2098">
        <f t="shared" si="32"/>
        <v>76</v>
      </c>
      <c r="N59" s="2099">
        <f t="shared" si="32"/>
        <v>9141587</v>
      </c>
      <c r="O59" s="2098">
        <f t="shared" si="32"/>
        <v>82</v>
      </c>
      <c r="P59" s="2099">
        <f t="shared" si="32"/>
        <v>9628679</v>
      </c>
      <c r="Q59" s="2116">
        <f t="shared" si="30"/>
        <v>703</v>
      </c>
      <c r="R59" s="2101">
        <f t="shared" si="31"/>
        <v>86832670</v>
      </c>
      <c r="S59" s="609"/>
    </row>
    <row r="60" spans="2:19" ht="15.75">
      <c r="B60" s="569" t="s">
        <v>24</v>
      </c>
      <c r="C60" s="595">
        <f t="shared" si="28"/>
        <v>477</v>
      </c>
      <c r="D60" s="575">
        <f t="shared" si="26"/>
        <v>0.18261868300153139</v>
      </c>
      <c r="E60" s="2115">
        <f t="shared" ref="E60:P60" si="33">E9+E26+E43</f>
        <v>29</v>
      </c>
      <c r="F60" s="2098">
        <f t="shared" si="33"/>
        <v>3844470</v>
      </c>
      <c r="G60" s="2098">
        <f t="shared" si="33"/>
        <v>373</v>
      </c>
      <c r="H60" s="2098">
        <f t="shared" si="33"/>
        <v>46102105</v>
      </c>
      <c r="I60" s="2098">
        <f t="shared" si="33"/>
        <v>293</v>
      </c>
      <c r="J60" s="2099">
        <f t="shared" si="33"/>
        <v>37216053</v>
      </c>
      <c r="K60" s="2117">
        <f t="shared" si="33"/>
        <v>219</v>
      </c>
      <c r="L60" s="2100">
        <f t="shared" si="33"/>
        <v>27215619</v>
      </c>
      <c r="M60" s="2098">
        <f t="shared" si="33"/>
        <v>76</v>
      </c>
      <c r="N60" s="2099">
        <f t="shared" si="33"/>
        <v>9141587</v>
      </c>
      <c r="O60" s="2098">
        <f t="shared" si="33"/>
        <v>82</v>
      </c>
      <c r="P60" s="2099">
        <f t="shared" si="33"/>
        <v>9628679</v>
      </c>
      <c r="Q60" s="2116">
        <f t="shared" si="30"/>
        <v>1072</v>
      </c>
      <c r="R60" s="2101">
        <f t="shared" si="31"/>
        <v>133148513</v>
      </c>
      <c r="S60" s="609"/>
    </row>
    <row r="61" spans="2:19" ht="15.75">
      <c r="B61" s="576" t="s">
        <v>14</v>
      </c>
      <c r="C61" s="595">
        <f t="shared" si="28"/>
        <v>429</v>
      </c>
      <c r="D61" s="575">
        <f t="shared" si="26"/>
        <v>0.16424196018376722</v>
      </c>
      <c r="E61" s="2115">
        <f t="shared" ref="E61:P61" si="34">E10+E27+E44</f>
        <v>27</v>
      </c>
      <c r="F61" s="2098">
        <f t="shared" si="34"/>
        <v>3541715</v>
      </c>
      <c r="G61" s="2098">
        <f t="shared" si="34"/>
        <v>389</v>
      </c>
      <c r="H61" s="2098">
        <f t="shared" si="34"/>
        <v>48287303</v>
      </c>
      <c r="I61" s="2098">
        <f t="shared" si="34"/>
        <v>217</v>
      </c>
      <c r="J61" s="2099">
        <f t="shared" si="34"/>
        <v>27554031</v>
      </c>
      <c r="K61" s="2117">
        <f t="shared" si="34"/>
        <v>155</v>
      </c>
      <c r="L61" s="2100">
        <f t="shared" si="34"/>
        <v>19299899</v>
      </c>
      <c r="M61" s="2098">
        <f t="shared" si="34"/>
        <v>76</v>
      </c>
      <c r="N61" s="2099">
        <f t="shared" si="34"/>
        <v>9141587</v>
      </c>
      <c r="O61" s="2098">
        <f t="shared" si="34"/>
        <v>82</v>
      </c>
      <c r="P61" s="2099">
        <f t="shared" si="34"/>
        <v>9628679</v>
      </c>
      <c r="Q61" s="2116">
        <f t="shared" si="30"/>
        <v>946</v>
      </c>
      <c r="R61" s="2101">
        <f t="shared" si="31"/>
        <v>117453214</v>
      </c>
      <c r="S61" s="631"/>
    </row>
    <row r="62" spans="2:19" ht="16.5" customHeight="1" thickBot="1">
      <c r="B62" s="618" t="s">
        <v>1884</v>
      </c>
      <c r="C62" s="595">
        <f t="shared" si="28"/>
        <v>483</v>
      </c>
      <c r="D62" s="578">
        <f t="shared" si="26"/>
        <v>0.18491577335375192</v>
      </c>
      <c r="E62" s="2115">
        <f t="shared" ref="E62:P62" si="35">E11+E28+E45</f>
        <v>30</v>
      </c>
      <c r="F62" s="2098">
        <f t="shared" si="35"/>
        <v>3942241</v>
      </c>
      <c r="G62" s="2098">
        <f t="shared" si="35"/>
        <v>399</v>
      </c>
      <c r="H62" s="2098">
        <f t="shared" si="35"/>
        <v>49376879</v>
      </c>
      <c r="I62" s="2098">
        <f t="shared" si="35"/>
        <v>270</v>
      </c>
      <c r="J62" s="2099">
        <f t="shared" si="35"/>
        <v>34312736</v>
      </c>
      <c r="K62" s="2117">
        <f t="shared" si="35"/>
        <v>198</v>
      </c>
      <c r="L62" s="2100">
        <f t="shared" si="35"/>
        <v>24577046</v>
      </c>
      <c r="M62" s="2098">
        <f t="shared" si="35"/>
        <v>76</v>
      </c>
      <c r="N62" s="2099">
        <f t="shared" si="35"/>
        <v>9141587</v>
      </c>
      <c r="O62" s="2098">
        <f t="shared" si="35"/>
        <v>82</v>
      </c>
      <c r="P62" s="2099">
        <f t="shared" si="35"/>
        <v>9628679</v>
      </c>
      <c r="Q62" s="2118">
        <f t="shared" si="30"/>
        <v>1055</v>
      </c>
      <c r="R62" s="2114">
        <f t="shared" si="31"/>
        <v>130979168</v>
      </c>
      <c r="S62" s="622"/>
    </row>
    <row r="63" spans="2:19" ht="15.75" thickBot="1">
      <c r="B63" s="581" t="s">
        <v>114</v>
      </c>
      <c r="C63" s="582">
        <f t="shared" ref="C63:L63" si="36">SUM(C57:C62)</f>
        <v>2612</v>
      </c>
      <c r="D63" s="583">
        <f t="shared" si="36"/>
        <v>1</v>
      </c>
      <c r="E63" s="2119">
        <f t="shared" si="36"/>
        <v>162</v>
      </c>
      <c r="F63" s="2110">
        <f t="shared" si="36"/>
        <v>21260801</v>
      </c>
      <c r="G63" s="2110">
        <f t="shared" si="36"/>
        <v>2218</v>
      </c>
      <c r="H63" s="2110">
        <f t="shared" si="36"/>
        <v>274425754</v>
      </c>
      <c r="I63" s="2110">
        <f t="shared" si="36"/>
        <v>1485</v>
      </c>
      <c r="J63" s="2111">
        <f t="shared" si="36"/>
        <v>188695016</v>
      </c>
      <c r="K63" s="2110">
        <f t="shared" si="36"/>
        <v>1093</v>
      </c>
      <c r="L63" s="2111">
        <f t="shared" si="36"/>
        <v>135940506</v>
      </c>
      <c r="M63" s="2110">
        <f t="shared" ref="M63:P63" si="37">SUM(M57:M62)</f>
        <v>456</v>
      </c>
      <c r="N63" s="2111">
        <f t="shared" si="37"/>
        <v>54849522</v>
      </c>
      <c r="O63" s="2110">
        <f t="shared" si="37"/>
        <v>492</v>
      </c>
      <c r="P63" s="2111">
        <f t="shared" si="37"/>
        <v>57772074</v>
      </c>
      <c r="Q63" s="2113">
        <f>SUM(Q57:Q62)</f>
        <v>5906</v>
      </c>
      <c r="R63" s="2102">
        <f>SUM(R57:R62)</f>
        <v>732943673</v>
      </c>
      <c r="S63" s="622"/>
    </row>
    <row r="64" spans="2:19" ht="15.75">
      <c r="B64" s="2332" t="s">
        <v>1882</v>
      </c>
      <c r="C64" s="2333"/>
      <c r="D64" s="2334"/>
      <c r="E64" s="2340" t="s">
        <v>7</v>
      </c>
      <c r="F64" s="2338"/>
      <c r="G64" s="2338" t="s">
        <v>13</v>
      </c>
      <c r="H64" s="2338"/>
      <c r="I64" s="2338" t="s">
        <v>1875</v>
      </c>
      <c r="J64" s="2338"/>
      <c r="K64" s="2338" t="s">
        <v>1876</v>
      </c>
      <c r="L64" s="2338"/>
      <c r="M64" s="2338" t="s">
        <v>11475</v>
      </c>
      <c r="N64" s="2338"/>
      <c r="O64" s="2338" t="s">
        <v>11476</v>
      </c>
      <c r="P64" s="2339"/>
      <c r="Q64" s="2341" t="s">
        <v>114</v>
      </c>
      <c r="R64" s="2342"/>
      <c r="S64" s="609"/>
    </row>
    <row r="65" spans="2:19" ht="16.5" thickBot="1">
      <c r="B65" s="613" t="s">
        <v>1878</v>
      </c>
      <c r="C65" s="614" t="s">
        <v>1879</v>
      </c>
      <c r="D65" s="615" t="s">
        <v>1880</v>
      </c>
      <c r="E65" s="2120" t="s">
        <v>1872</v>
      </c>
      <c r="F65" s="2121" t="s">
        <v>1881</v>
      </c>
      <c r="G65" s="2121" t="s">
        <v>1872</v>
      </c>
      <c r="H65" s="2121" t="s">
        <v>1881</v>
      </c>
      <c r="I65" s="2121" t="s">
        <v>1872</v>
      </c>
      <c r="J65" s="2121" t="s">
        <v>1881</v>
      </c>
      <c r="K65" s="2121" t="s">
        <v>1872</v>
      </c>
      <c r="L65" s="2121" t="s">
        <v>1881</v>
      </c>
      <c r="M65" s="2121" t="s">
        <v>1872</v>
      </c>
      <c r="N65" s="2121" t="s">
        <v>1881</v>
      </c>
      <c r="O65" s="2121" t="s">
        <v>1872</v>
      </c>
      <c r="P65" s="2122" t="s">
        <v>1881</v>
      </c>
      <c r="Q65" s="2120" t="s">
        <v>1872</v>
      </c>
      <c r="R65" s="2122" t="s">
        <v>1881</v>
      </c>
      <c r="S65" s="609"/>
    </row>
    <row r="66" spans="2:19" ht="15.75">
      <c r="B66" s="569" t="s">
        <v>22</v>
      </c>
      <c r="C66" s="565">
        <f>C15+C32+C49</f>
        <v>474</v>
      </c>
      <c r="D66" s="616">
        <f>C66/$C$68</f>
        <v>0.47878787878787876</v>
      </c>
      <c r="E66" s="2115">
        <f t="shared" ref="E66:P66" si="38">E15+E32+E49</f>
        <v>50.526666666666671</v>
      </c>
      <c r="F66" s="2115">
        <f t="shared" si="38"/>
        <v>6615127.5522222221</v>
      </c>
      <c r="G66" s="2115">
        <f t="shared" si="38"/>
        <v>711.04222222222222</v>
      </c>
      <c r="H66" s="2115">
        <f t="shared" si="38"/>
        <v>88032394.522222221</v>
      </c>
      <c r="I66" s="2115">
        <f t="shared" si="38"/>
        <v>447.38777777777784</v>
      </c>
      <c r="J66" s="2115">
        <f t="shared" si="38"/>
        <v>56890471.24222222</v>
      </c>
      <c r="K66" s="2115">
        <f t="shared" si="38"/>
        <v>327.57111111111112</v>
      </c>
      <c r="L66" s="2115">
        <f t="shared" si="38"/>
        <v>40761317.913333334</v>
      </c>
      <c r="M66" s="2115">
        <f t="shared" si="38"/>
        <v>148.20000000000002</v>
      </c>
      <c r="N66" s="2115">
        <f t="shared" si="38"/>
        <v>17826094.650000002</v>
      </c>
      <c r="O66" s="2115">
        <f t="shared" si="38"/>
        <v>159.9</v>
      </c>
      <c r="P66" s="2115">
        <f t="shared" si="38"/>
        <v>18775924.050000001</v>
      </c>
      <c r="Q66" s="2116">
        <f>E66+G66+I66+K66+M66+O66</f>
        <v>1844.627777777778</v>
      </c>
      <c r="R66" s="2101">
        <f>F66+H66+J66+L66+N66+P66</f>
        <v>228901329.93000001</v>
      </c>
      <c r="S66" s="609"/>
    </row>
    <row r="67" spans="2:19" ht="16.5" thickBot="1">
      <c r="B67" s="569" t="s">
        <v>26</v>
      </c>
      <c r="C67" s="595">
        <f>C16+C33+C50</f>
        <v>516</v>
      </c>
      <c r="D67" s="617">
        <f>C67/$C$68</f>
        <v>0.52121212121212124</v>
      </c>
      <c r="E67" s="2115">
        <f t="shared" ref="E67:P67" si="39">E16+E33+E50</f>
        <v>54.773333333333333</v>
      </c>
      <c r="F67" s="2115">
        <f t="shared" si="39"/>
        <v>7204393.0977777774</v>
      </c>
      <c r="G67" s="2115">
        <f t="shared" si="39"/>
        <v>730.65777777777771</v>
      </c>
      <c r="H67" s="2115">
        <f t="shared" si="39"/>
        <v>90344345.577777773</v>
      </c>
      <c r="I67" s="2115">
        <f t="shared" si="39"/>
        <v>517.86222222222216</v>
      </c>
      <c r="J67" s="2115">
        <f t="shared" si="39"/>
        <v>65761289.157777779</v>
      </c>
      <c r="K67" s="2115">
        <f t="shared" si="39"/>
        <v>382.87888888888892</v>
      </c>
      <c r="L67" s="2115">
        <f t="shared" si="39"/>
        <v>47600010.986666664</v>
      </c>
      <c r="M67" s="2115">
        <f t="shared" si="39"/>
        <v>148.20000000000002</v>
      </c>
      <c r="N67" s="2115">
        <f t="shared" si="39"/>
        <v>17826094.650000002</v>
      </c>
      <c r="O67" s="2115">
        <f t="shared" si="39"/>
        <v>159.9</v>
      </c>
      <c r="P67" s="2115">
        <f t="shared" si="39"/>
        <v>18775924.050000001</v>
      </c>
      <c r="Q67" s="2116">
        <f t="shared" ref="Q67" si="40">E67+G67+I67+K67+M67+O67</f>
        <v>1994.2722222222221</v>
      </c>
      <c r="R67" s="2101">
        <f t="shared" ref="R67" si="41">F67+H67+J67+L67+N67+P67</f>
        <v>247512057.52000001</v>
      </c>
      <c r="S67" s="631"/>
    </row>
    <row r="68" spans="2:19" ht="15.75" thickBot="1">
      <c r="B68" s="620" t="s">
        <v>114</v>
      </c>
      <c r="C68" s="603">
        <f>SUM(C66:C67)</f>
        <v>990</v>
      </c>
      <c r="D68" s="604">
        <f>SUM(D66:D67)</f>
        <v>1</v>
      </c>
      <c r="E68" s="2123">
        <f t="shared" ref="E68:P68" si="42">E17+E34+E51</f>
        <v>105.3</v>
      </c>
      <c r="F68" s="2104">
        <f t="shared" si="42"/>
        <v>13819520.649999999</v>
      </c>
      <c r="G68" s="2104">
        <f t="shared" si="42"/>
        <v>1441.7</v>
      </c>
      <c r="H68" s="2104">
        <f t="shared" si="42"/>
        <v>178376740.09999999</v>
      </c>
      <c r="I68" s="2104">
        <f t="shared" si="42"/>
        <v>965.25</v>
      </c>
      <c r="J68" s="2103">
        <f t="shared" si="42"/>
        <v>122651760.39999999</v>
      </c>
      <c r="K68" s="2104">
        <f t="shared" si="42"/>
        <v>710.45</v>
      </c>
      <c r="L68" s="2103">
        <f t="shared" si="42"/>
        <v>88361328.900000006</v>
      </c>
      <c r="M68" s="2104">
        <f t="shared" si="42"/>
        <v>296.40000000000003</v>
      </c>
      <c r="N68" s="2103">
        <f t="shared" si="42"/>
        <v>35652189.300000004</v>
      </c>
      <c r="O68" s="2104">
        <f t="shared" si="42"/>
        <v>319.8</v>
      </c>
      <c r="P68" s="2103">
        <f t="shared" si="42"/>
        <v>37551848.100000001</v>
      </c>
      <c r="Q68" s="2113">
        <f>SUM(Q66:Q67)</f>
        <v>3838.9</v>
      </c>
      <c r="R68" s="2102">
        <f>SUM(R66:R67)</f>
        <v>476413387.45000005</v>
      </c>
    </row>
  </sheetData>
  <sheetProtection algorithmName="SHA-512" hashValue="x6Bs7WovcQ/p48RYc/5OrCkTuymGpHpS7/LLzxWzg9MSrWfO19sN08uPtUGrDX9PldKJCQB586Fq2+mYMj9jWg==" saltValue="2c/RkHtL0NmRlRSADQP1TA==" spinCount="100000" sheet="1" objects="1" scenarios="1"/>
  <mergeCells count="78">
    <mergeCell ref="AB1:AD1"/>
    <mergeCell ref="T2:V2"/>
    <mergeCell ref="AB2:AD2"/>
    <mergeCell ref="X2:Z2"/>
    <mergeCell ref="Q13:R13"/>
    <mergeCell ref="B1:R1"/>
    <mergeCell ref="T1:V1"/>
    <mergeCell ref="B13:D13"/>
    <mergeCell ref="E13:F13"/>
    <mergeCell ref="G13:H13"/>
    <mergeCell ref="I13:J13"/>
    <mergeCell ref="K13:L13"/>
    <mergeCell ref="B3:R3"/>
    <mergeCell ref="B4:D4"/>
    <mergeCell ref="E4:F4"/>
    <mergeCell ref="G4:H4"/>
    <mergeCell ref="I4:J4"/>
    <mergeCell ref="K4:L4"/>
    <mergeCell ref="Q4:R4"/>
    <mergeCell ref="M4:N4"/>
    <mergeCell ref="O4:P4"/>
    <mergeCell ref="T18:V18"/>
    <mergeCell ref="Q30:R30"/>
    <mergeCell ref="Q21:R21"/>
    <mergeCell ref="B20:R20"/>
    <mergeCell ref="B21:D21"/>
    <mergeCell ref="E21:F21"/>
    <mergeCell ref="G21:H21"/>
    <mergeCell ref="B30:D30"/>
    <mergeCell ref="E30:F30"/>
    <mergeCell ref="G30:H30"/>
    <mergeCell ref="M13:N13"/>
    <mergeCell ref="O13:P13"/>
    <mergeCell ref="I38:J38"/>
    <mergeCell ref="K38:L38"/>
    <mergeCell ref="Q38:R38"/>
    <mergeCell ref="I21:J21"/>
    <mergeCell ref="K21:L21"/>
    <mergeCell ref="I30:J30"/>
    <mergeCell ref="K30:L30"/>
    <mergeCell ref="M38:N38"/>
    <mergeCell ref="O38:P38"/>
    <mergeCell ref="Q64:R64"/>
    <mergeCell ref="M64:N64"/>
    <mergeCell ref="O64:P64"/>
    <mergeCell ref="X18:Z18"/>
    <mergeCell ref="B47:D47"/>
    <mergeCell ref="E47:F47"/>
    <mergeCell ref="G47:H47"/>
    <mergeCell ref="I47:J47"/>
    <mergeCell ref="K47:L47"/>
    <mergeCell ref="Q47:R47"/>
    <mergeCell ref="M47:N47"/>
    <mergeCell ref="O47:P47"/>
    <mergeCell ref="B37:R37"/>
    <mergeCell ref="B38:D38"/>
    <mergeCell ref="E38:F38"/>
    <mergeCell ref="G38:H38"/>
    <mergeCell ref="B64:D64"/>
    <mergeCell ref="E64:F64"/>
    <mergeCell ref="G64:H64"/>
    <mergeCell ref="I64:J64"/>
    <mergeCell ref="K64:L64"/>
    <mergeCell ref="X34:Z34"/>
    <mergeCell ref="M21:N21"/>
    <mergeCell ref="O21:P21"/>
    <mergeCell ref="M30:N30"/>
    <mergeCell ref="O30:P30"/>
    <mergeCell ref="T34:V34"/>
    <mergeCell ref="B54:R54"/>
    <mergeCell ref="B55:D55"/>
    <mergeCell ref="E55:F55"/>
    <mergeCell ref="G55:H55"/>
    <mergeCell ref="I55:J55"/>
    <mergeCell ref="K55:L55"/>
    <mergeCell ref="Q55:R55"/>
    <mergeCell ref="M55:N55"/>
    <mergeCell ref="O55:P55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20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  <pageSetUpPr fitToPage="1"/>
  </sheetPr>
  <dimension ref="B1:AV72"/>
  <sheetViews>
    <sheetView topLeftCell="A19" workbookViewId="0">
      <selection activeCell="B58" sqref="B58:D58"/>
    </sheetView>
  </sheetViews>
  <sheetFormatPr defaultColWidth="9.140625" defaultRowHeight="15"/>
  <cols>
    <col min="1" max="1" width="1.7109375" style="557" customWidth="1"/>
    <col min="2" max="2" width="11.7109375" style="558" customWidth="1"/>
    <col min="3" max="3" width="7.42578125" style="558" customWidth="1"/>
    <col min="4" max="4" width="20.7109375" style="558" customWidth="1"/>
    <col min="5" max="5" width="10.7109375" style="558" customWidth="1"/>
    <col min="6" max="6" width="12.7109375" style="558" customWidth="1"/>
    <col min="7" max="7" width="10.7109375" style="558" customWidth="1"/>
    <col min="8" max="8" width="12.7109375" style="558" customWidth="1"/>
    <col min="9" max="9" width="10.7109375" style="558" customWidth="1"/>
    <col min="10" max="12" width="12.7109375" style="558" customWidth="1"/>
    <col min="13" max="13" width="10.7109375" style="558" customWidth="1"/>
    <col min="14" max="14" width="12.7109375" style="558" customWidth="1"/>
    <col min="15" max="15" width="8.7109375" style="558" customWidth="1"/>
    <col min="16" max="16" width="11.5703125" style="558" hidden="1" customWidth="1"/>
    <col min="17" max="17" width="10.7109375" style="558" hidden="1" customWidth="1"/>
    <col min="18" max="18" width="12.7109375" style="558" hidden="1" customWidth="1"/>
    <col min="19" max="19" width="10.7109375" style="558" hidden="1" customWidth="1"/>
    <col min="20" max="20" width="12.7109375" style="558" hidden="1" customWidth="1"/>
    <col min="21" max="21" width="10.7109375" style="558" hidden="1" customWidth="1"/>
    <col min="22" max="24" width="12.7109375" style="558" hidden="1" customWidth="1"/>
    <col min="25" max="25" width="10.7109375" style="558" hidden="1" customWidth="1"/>
    <col min="26" max="26" width="12.7109375" style="558" hidden="1" customWidth="1"/>
    <col min="27" max="27" width="10.7109375" style="558" hidden="1" customWidth="1"/>
    <col min="28" max="28" width="12.7109375" style="558" hidden="1" customWidth="1"/>
    <col min="29" max="29" width="10.7109375" style="558" hidden="1" customWidth="1"/>
    <col min="30" max="30" width="11.7109375" style="558" hidden="1" customWidth="1"/>
    <col min="31" max="31" width="9.7109375" style="558" hidden="1" customWidth="1"/>
    <col min="32" max="32" width="11.7109375" style="558" hidden="1" customWidth="1"/>
    <col min="33" max="33" width="9.7109375" style="558" hidden="1" customWidth="1"/>
    <col min="34" max="34" width="11.7109375" style="558" hidden="1" customWidth="1"/>
    <col min="35" max="35" width="9.7109375" style="558" hidden="1" customWidth="1"/>
    <col min="36" max="38" width="11.7109375" style="558" hidden="1" customWidth="1"/>
    <col min="39" max="39" width="9.7109375" style="558" hidden="1" customWidth="1"/>
    <col min="40" max="40" width="11.7109375" style="558" hidden="1" customWidth="1"/>
    <col min="41" max="41" width="5.7109375" style="557" hidden="1" customWidth="1"/>
    <col min="42" max="42" width="17" style="557" customWidth="1"/>
    <col min="43" max="43" width="12.42578125" style="557" customWidth="1"/>
    <col min="44" max="44" width="17.140625" style="557" customWidth="1"/>
    <col min="45" max="45" width="9.140625" style="557"/>
    <col min="46" max="46" width="14.140625" style="557" customWidth="1"/>
    <col min="47" max="47" width="11.5703125" style="557" customWidth="1"/>
    <col min="48" max="48" width="17.7109375" style="557" customWidth="1"/>
    <col min="49" max="16384" width="9.140625" style="557"/>
  </cols>
  <sheetData>
    <row r="1" spans="2:48">
      <c r="B1" s="2349" t="s">
        <v>713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M1" s="2349"/>
      <c r="N1" s="2349"/>
      <c r="P1" s="2367" t="s">
        <v>1868</v>
      </c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D1" s="2368" t="s">
        <v>1869</v>
      </c>
      <c r="AE1" s="2368"/>
      <c r="AF1" s="2368"/>
      <c r="AG1" s="2368"/>
      <c r="AH1" s="2368"/>
      <c r="AI1" s="2368"/>
      <c r="AJ1" s="2368"/>
      <c r="AK1" s="2368"/>
      <c r="AL1" s="2368"/>
      <c r="AM1" s="2368"/>
      <c r="AN1" s="2368"/>
      <c r="AP1" s="2345" t="s">
        <v>1870</v>
      </c>
      <c r="AQ1" s="2345"/>
      <c r="AR1" s="2345"/>
      <c r="AT1" s="2345" t="s">
        <v>1870</v>
      </c>
      <c r="AU1" s="2345"/>
      <c r="AV1" s="2345"/>
    </row>
    <row r="2" spans="2:48">
      <c r="AP2" s="2346" t="s">
        <v>7</v>
      </c>
      <c r="AQ2" s="2346"/>
      <c r="AR2" s="2346"/>
      <c r="AT2" s="2346" t="s">
        <v>718</v>
      </c>
      <c r="AU2" s="2346"/>
      <c r="AV2" s="2346"/>
    </row>
    <row r="3" spans="2:48" ht="15.75">
      <c r="B3" s="2329">
        <v>45748</v>
      </c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1"/>
      <c r="O3" s="621"/>
      <c r="P3" s="2369">
        <f>B3</f>
        <v>45748</v>
      </c>
      <c r="Q3" s="2370"/>
      <c r="R3" s="2370"/>
      <c r="S3" s="2370"/>
      <c r="T3" s="2370"/>
      <c r="U3" s="2370"/>
      <c r="V3" s="2370"/>
      <c r="W3" s="2370"/>
      <c r="X3" s="2370"/>
      <c r="Y3" s="2370"/>
      <c r="Z3" s="2370"/>
      <c r="AA3" s="2370"/>
      <c r="AB3" s="2371"/>
      <c r="AC3" s="621"/>
      <c r="AD3" s="2329">
        <f>B3</f>
        <v>45748</v>
      </c>
      <c r="AE3" s="2330"/>
      <c r="AF3" s="2330"/>
      <c r="AG3" s="2330"/>
      <c r="AH3" s="2330"/>
      <c r="AI3" s="2330"/>
      <c r="AJ3" s="2330"/>
      <c r="AK3" s="2330"/>
      <c r="AL3" s="2330"/>
      <c r="AM3" s="2330"/>
      <c r="AN3" s="2331"/>
      <c r="AP3" s="650" t="s">
        <v>1871</v>
      </c>
      <c r="AQ3" s="663" t="s">
        <v>1872</v>
      </c>
      <c r="AR3" s="664" t="s">
        <v>1873</v>
      </c>
      <c r="AT3" s="650" t="s">
        <v>1871</v>
      </c>
      <c r="AU3" s="663" t="s">
        <v>1872</v>
      </c>
      <c r="AV3" s="664" t="s">
        <v>1873</v>
      </c>
    </row>
    <row r="4" spans="2:48" ht="15.75" customHeight="1">
      <c r="B4" s="2335" t="s">
        <v>1874</v>
      </c>
      <c r="C4" s="2343"/>
      <c r="D4" s="2336"/>
      <c r="E4" s="2343" t="s">
        <v>7</v>
      </c>
      <c r="F4" s="2360"/>
      <c r="G4" s="2352" t="s">
        <v>13</v>
      </c>
      <c r="H4" s="2360"/>
      <c r="I4" s="2352" t="s">
        <v>1875</v>
      </c>
      <c r="J4" s="2343"/>
      <c r="K4" s="2352" t="s">
        <v>1876</v>
      </c>
      <c r="L4" s="2343"/>
      <c r="M4" s="2335" t="s">
        <v>114</v>
      </c>
      <c r="N4" s="2336"/>
      <c r="O4" s="622"/>
      <c r="P4" s="2353" t="s">
        <v>1</v>
      </c>
      <c r="Q4" s="2360" t="s">
        <v>7</v>
      </c>
      <c r="R4" s="2333"/>
      <c r="S4" s="2333" t="s">
        <v>13</v>
      </c>
      <c r="T4" s="2333"/>
      <c r="U4" s="2333" t="s">
        <v>1875</v>
      </c>
      <c r="V4" s="2352"/>
      <c r="W4" s="2333" t="s">
        <v>1876</v>
      </c>
      <c r="X4" s="2352"/>
      <c r="Y4" s="2332" t="s">
        <v>114</v>
      </c>
      <c r="Z4" s="2333"/>
      <c r="AA4" s="2333" t="s">
        <v>1877</v>
      </c>
      <c r="AB4" s="2334"/>
      <c r="AC4" s="622"/>
      <c r="AD4" s="2356" t="s">
        <v>1</v>
      </c>
      <c r="AE4" s="2360" t="s">
        <v>7</v>
      </c>
      <c r="AF4" s="2333"/>
      <c r="AG4" s="2333" t="s">
        <v>13</v>
      </c>
      <c r="AH4" s="2333"/>
      <c r="AI4" s="2333" t="s">
        <v>1875</v>
      </c>
      <c r="AJ4" s="2352"/>
      <c r="AK4" s="2333" t="s">
        <v>1876</v>
      </c>
      <c r="AL4" s="2352"/>
      <c r="AM4" s="2332" t="s">
        <v>114</v>
      </c>
      <c r="AN4" s="2334"/>
      <c r="AP4" s="651">
        <v>45658</v>
      </c>
      <c r="AQ4" s="667">
        <v>0</v>
      </c>
      <c r="AR4" s="668">
        <v>0</v>
      </c>
      <c r="AT4" s="651">
        <v>45658</v>
      </c>
      <c r="AU4" s="846">
        <f t="shared" ref="AU4:AU16" si="0">AQ4+AQ20+AQ36+AQ53</f>
        <v>1232.2647023381339</v>
      </c>
      <c r="AV4" s="846">
        <f t="shared" ref="AV4:AV16" si="1">AR4+AR20+AR36+AR53</f>
        <v>156155034.04360771</v>
      </c>
    </row>
    <row r="5" spans="2:48" ht="15.75">
      <c r="B5" s="559" t="s">
        <v>1878</v>
      </c>
      <c r="C5" s="560" t="s">
        <v>1879</v>
      </c>
      <c r="D5" s="561" t="s">
        <v>1880</v>
      </c>
      <c r="E5" s="562" t="s">
        <v>1872</v>
      </c>
      <c r="F5" s="563" t="s">
        <v>1881</v>
      </c>
      <c r="G5" s="562" t="s">
        <v>1872</v>
      </c>
      <c r="H5" s="563" t="s">
        <v>1881</v>
      </c>
      <c r="I5" s="562" t="s">
        <v>1872</v>
      </c>
      <c r="J5" s="623" t="s">
        <v>1881</v>
      </c>
      <c r="K5" s="563" t="s">
        <v>1872</v>
      </c>
      <c r="L5" s="624" t="s">
        <v>1881</v>
      </c>
      <c r="M5" s="610" t="s">
        <v>1872</v>
      </c>
      <c r="N5" s="624" t="s">
        <v>1881</v>
      </c>
      <c r="O5" s="622"/>
      <c r="P5" s="2354"/>
      <c r="Q5" s="562" t="s">
        <v>1872</v>
      </c>
      <c r="R5" s="563" t="s">
        <v>1881</v>
      </c>
      <c r="S5" s="562" t="s">
        <v>1872</v>
      </c>
      <c r="T5" s="563" t="s">
        <v>1881</v>
      </c>
      <c r="U5" s="562" t="s">
        <v>1872</v>
      </c>
      <c r="V5" s="563" t="s">
        <v>1881</v>
      </c>
      <c r="W5" s="562" t="s">
        <v>1872</v>
      </c>
      <c r="X5" s="563" t="s">
        <v>1881</v>
      </c>
      <c r="Y5" s="610" t="s">
        <v>1872</v>
      </c>
      <c r="Z5" s="563" t="s">
        <v>1881</v>
      </c>
      <c r="AA5" s="563" t="s">
        <v>1872</v>
      </c>
      <c r="AB5" s="624" t="s">
        <v>1881</v>
      </c>
      <c r="AC5" s="622"/>
      <c r="AD5" s="2357"/>
      <c r="AE5" s="562" t="s">
        <v>1872</v>
      </c>
      <c r="AF5" s="563" t="s">
        <v>1881</v>
      </c>
      <c r="AG5" s="563" t="s">
        <v>1872</v>
      </c>
      <c r="AH5" s="563" t="s">
        <v>1881</v>
      </c>
      <c r="AI5" s="563" t="s">
        <v>1872</v>
      </c>
      <c r="AJ5" s="623" t="s">
        <v>1881</v>
      </c>
      <c r="AK5" s="563" t="s">
        <v>1872</v>
      </c>
      <c r="AL5" s="623" t="s">
        <v>1881</v>
      </c>
      <c r="AM5" s="610" t="s">
        <v>1872</v>
      </c>
      <c r="AN5" s="624" t="s">
        <v>1881</v>
      </c>
      <c r="AP5" s="651">
        <v>45689</v>
      </c>
      <c r="AQ5" s="667">
        <v>74.280000000001607</v>
      </c>
      <c r="AR5" s="668">
        <v>8039520</v>
      </c>
      <c r="AT5" s="651">
        <v>45689</v>
      </c>
      <c r="AU5" s="846">
        <f t="shared" si="0"/>
        <v>1478.7619943516333</v>
      </c>
      <c r="AV5" s="846">
        <f t="shared" si="1"/>
        <v>186989995.12530649</v>
      </c>
    </row>
    <row r="6" spans="2:48" ht="15.75">
      <c r="B6" s="564" t="s">
        <v>28</v>
      </c>
      <c r="C6" s="830">
        <v>180</v>
      </c>
      <c r="D6" s="566">
        <f t="shared" ref="D6:D11" si="2">C6/$C$12</f>
        <v>0.21126760563380281</v>
      </c>
      <c r="E6" s="567">
        <f>ROUND($D6*VLOOKUP($B$3,'ИПП 2кв25'!$AP$4:$AR$16,2,0),0)</f>
        <v>13</v>
      </c>
      <c r="F6" s="568">
        <f>ROUND($D6*VLOOKUP($B$3,'ИПП 2кв25'!$AP$4:$AR$16,3,0),0)</f>
        <v>1601219</v>
      </c>
      <c r="G6" s="568">
        <f>ROUND($D6*VLOOKUP($B$3,'ИПП 2кв25'!$AP$20:$AR$32,2,0),0)</f>
        <v>345</v>
      </c>
      <c r="H6" s="568">
        <f>ROUND($D6*VLOOKUP($B$3,'ИПП 2кв25'!$AP$20:$AR$32,3,0),0)</f>
        <v>44354454</v>
      </c>
      <c r="I6" s="568">
        <f>ROUND($D6*VLOOKUP($B$3,'ИПП 2кв25'!$AP$36:$AR$48,2,0),0)</f>
        <v>36</v>
      </c>
      <c r="J6" s="625">
        <f>ROUND($D6*VLOOKUP($B$3,'ИПП 2кв25'!$AP$36:$AR$48,3,0),0)</f>
        <v>4615035</v>
      </c>
      <c r="K6" s="568">
        <f>ROUND($D6*VLOOKUP($B$3,'ИПП 2кв25'!$AP$53:$AR$65,2,0),0)</f>
        <v>83</v>
      </c>
      <c r="L6" s="625">
        <f>ROUND($D6*VLOOKUP($B$3,'ИПП 2кв25'!$AP$53:$AR$65,3,0),0)</f>
        <v>10025068</v>
      </c>
      <c r="M6" s="596">
        <f>E6+G6+I6+K6</f>
        <v>477</v>
      </c>
      <c r="N6" s="626">
        <f>F6+H6+J6+L6</f>
        <v>60595776</v>
      </c>
      <c r="O6" s="622"/>
      <c r="P6" s="564" t="s">
        <v>28</v>
      </c>
      <c r="Q6" s="567">
        <f>SUMIFS(РД[S],РД[Дом],$Q$4,РД[МОП],$P6,РД[Дата подачи на регистрацию],"&gt;="&amp;$P$3,РД[Дата подачи на регистрацию],"&lt;"&amp;DATE(YEAR($B$3),MONTH($B$3)+1,1),РД[Состояние],"Продажа")-AE6/2</f>
        <v>0</v>
      </c>
      <c r="R6" s="568">
        <f>SUMIFS(РД[Стоимость без отделки итог],РД[Дом],$Q$4,РД[МОП],$P6,РД[Дата подачи на регистрацию],"&gt;="&amp;$P$3,РД[Дата подачи на регистрацию],"&lt;"&amp;DATE(YEAR($B$3),MONTH($B$3)+1,1),РД[Состояние],"Продажа")-AF6/2</f>
        <v>0</v>
      </c>
      <c r="S6" s="568">
        <f>SUMIFS(РД[S],РД[Дом],$S$4,РД[МОП],$P6,РД[Дата подачи на регистрацию],"&gt;="&amp;$P$3,РД[Дата подачи на регистрацию],"&lt;"&amp;DATE(YEAR($B$3),MONTH($B$3)+1,1),РД[Состояние],"Продажа")-AG6/2</f>
        <v>0</v>
      </c>
      <c r="T6" s="568">
        <f>SUMIFS(РД[Стоимость без отделки итог],РД[Дом],$S$4,РД[МОП],$P6,РД[Дата подачи на регистрацию],"&gt;="&amp;$P$3,РД[Дата подачи на регистрацию],"&lt;"&amp;DATE(YEAR($B$3),MONTH($B$3)+1,1),РД[Состояние],"Продажа")-AH6/2</f>
        <v>0</v>
      </c>
      <c r="U6" s="568">
        <f>SUMIFS(РД[S],РД[Дом],$U$4,РД[МОП],$P6,РД[Дата подачи на регистрацию],"&gt;="&amp;$P$3,РД[Дата подачи на регистрацию],"&lt;"&amp;DATE(YEAR($B$3),MONTH($B$3)+1,1),РД[Состояние],"Продажа")-AI6/2</f>
        <v>0</v>
      </c>
      <c r="V6" s="625">
        <f>SUMIFS(РД[Стоимость без отделки итог],РД[Дом],$U$4,РД[МОП],$P6,РД[Дата подачи на регистрацию],"&gt;="&amp;$P$3,РД[Дата подачи на регистрацию],"&lt;"&amp;DATE(YEAR($B$3),MONTH($B$3)+1,1),РД[Состояние],"Продажа")-AJ6/2</f>
        <v>0</v>
      </c>
      <c r="W6" s="568">
        <f>SUMIFS(РД[S],РД[Дом],$W$4,РД[МОП],$P6,РД[Дата подачи на регистрацию],"&gt;="&amp;$P$3,РД[Дата подачи на регистрацию],"&lt;"&amp;DATE(YEAR($B$3),MONTH($B$3)+1,1),РД[Состояние],"Продажа")-AK6/2</f>
        <v>18.504999999999999</v>
      </c>
      <c r="X6" s="625">
        <f>SUMIFS(РД[Стоимость без отделки итог],РД[Дом],$W$4,РД[МОП],$P6,РД[Дата подачи на регистрацию],"&gt;="&amp;$P$3,РД[Дата подачи на регистрацию],"&lt;"&amp;DATE(YEAR($B$3),MONTH($B$3)+1,1),РД[Состояние],"Продажа")-AL6/2</f>
        <v>2336681.5</v>
      </c>
      <c r="Y6" s="636">
        <f>Q6+S6+U6+W6</f>
        <v>18.504999999999999</v>
      </c>
      <c r="Z6" s="573">
        <f>R6+T6+V6+X6</f>
        <v>2336681.5</v>
      </c>
      <c r="AA6" s="637">
        <f t="shared" ref="AA6:AB9" si="3">IFERROR(Y6/M6,"")</f>
        <v>3.8794549266247376E-2</v>
      </c>
      <c r="AB6" s="616">
        <f t="shared" si="3"/>
        <v>3.85617885312666E-2</v>
      </c>
      <c r="AC6" s="622"/>
      <c r="AD6" s="564" t="s">
        <v>28</v>
      </c>
      <c r="AE6" s="572">
        <f>SUMIFS(РД[S],РД[Дом],$AE$4,РД[МОП],$AD6,РД[Источник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6" s="573">
        <f>SUMIFS(РД[Стоимость без отделки итог],РД[Дом],$AE$4,РД[МОП],$AD6,РД[Источник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6" s="573">
        <f>SUMIFS(РД[S],РД[Дом],$AG$4,РД[МОП],$AD6,РД[Источник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6" s="573">
        <f>SUMIFS(РД[Стоимость без отделки итог],РД[Дом],$AG$4,РД[МОП],$AD6,РД[Источник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6" s="573">
        <f>SUMIFS(РД[S],РД[Дом],$AI$4,РД[МОП],$AD6,РД[Источник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6" s="628">
        <f>SUMIFS(РД[Стоимость без отделки итог],РД[Дом],$AI$4,РД[МОП],$AD6,РД[Источник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6" s="573">
        <f>SUMIFS(РД[S],РД[Дом],$AK$4,РД[МОП],$AD6,РД[Источник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37.01</v>
      </c>
      <c r="AL6" s="628">
        <f>SUMIFS(РД[Стоимость без отделки итог],РД[Дом],$AK$4,РД[МОП],$AD6,РД[Источник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4673363</v>
      </c>
      <c r="AM6" s="636">
        <f>AE6+AG6+AI6+AK6</f>
        <v>37.01</v>
      </c>
      <c r="AN6" s="652">
        <f>AF6+AH6+AJ6+AL6</f>
        <v>4673363</v>
      </c>
      <c r="AP6" s="651">
        <v>45717</v>
      </c>
      <c r="AQ6" s="667">
        <v>46.810000000001303</v>
      </c>
      <c r="AR6" s="668">
        <v>6419135.9999998901</v>
      </c>
      <c r="AT6" s="651">
        <v>45717</v>
      </c>
      <c r="AU6" s="846">
        <f t="shared" si="0"/>
        <v>1961.0135371791523</v>
      </c>
      <c r="AV6" s="846">
        <f t="shared" si="1"/>
        <v>247467271.1416471</v>
      </c>
    </row>
    <row r="7" spans="2:48" ht="14.25" customHeight="1">
      <c r="B7" s="569" t="s">
        <v>8</v>
      </c>
      <c r="C7" s="570">
        <v>180</v>
      </c>
      <c r="D7" s="571">
        <f t="shared" si="2"/>
        <v>0.21126760563380281</v>
      </c>
      <c r="E7" s="572">
        <f>ROUND($D7*VLOOKUP($B$3,'ИПП 2кв25'!$AP$4:$AR$16,2,0),0)</f>
        <v>13</v>
      </c>
      <c r="F7" s="573">
        <f>ROUND($D7*VLOOKUP($B$3,'ИПП 2кв25'!$AP$4:$AR$16,3,0),0)</f>
        <v>1601219</v>
      </c>
      <c r="G7" s="573">
        <f>ROUND($D7*VLOOKUP($B$3,'ИПП 2кв25'!$AP$20:$AR$32,2,0),0)</f>
        <v>345</v>
      </c>
      <c r="H7" s="573">
        <f>ROUND($D7*VLOOKUP($B$3,'ИПП 2кв25'!$AP$20:$AR$32,3,0),0)</f>
        <v>44354454</v>
      </c>
      <c r="I7" s="573">
        <f>ROUND($D7*VLOOKUP($B$3,'ИПП 2кв25'!$AP$36:$AR$48,2,0),0)</f>
        <v>36</v>
      </c>
      <c r="J7" s="628">
        <f>ROUND($D7*VLOOKUP($B$3,'ИПП 2кв25'!$AP$36:$AR$48,3,0),0)</f>
        <v>4615035</v>
      </c>
      <c r="K7" s="597">
        <f>ROUND($D7*VLOOKUP($B$3,'ИПП 2кв25'!$AP$53:$AR$65,2,0),0)</f>
        <v>83</v>
      </c>
      <c r="L7" s="632">
        <f>ROUND($D7*VLOOKUP($B$3,'ИПП 2кв25'!$AP$53:$AR$65,3,0),0)</f>
        <v>10025068</v>
      </c>
      <c r="M7" s="596">
        <f>E7+G7+I7+K7</f>
        <v>477</v>
      </c>
      <c r="N7" s="626">
        <f>F7+H7+J7+L7</f>
        <v>60595776</v>
      </c>
      <c r="O7" s="609"/>
      <c r="P7" s="569" t="s">
        <v>8</v>
      </c>
      <c r="Q7" s="606">
        <f>SUMIFS(РД[S],РД[Дом],$Q$4,РД[МОП],$P7,РД[Дата подачи на регистрацию],"&gt;="&amp;$P$3,РД[Дата подачи на регистрацию],"&lt;"&amp;DATE(YEAR($B$3),MONTH($B$3)+1,1),РД[Состояние],"Продажа")-AE7/2</f>
        <v>0</v>
      </c>
      <c r="R7" s="597">
        <f>SUMIFS(РД[Стоимость без отделки итог],РД[Дом],$Q$4,РД[МОП],$P7,РД[Дата подачи на регистрацию],"&gt;="&amp;$P$3,РД[Дата подачи на регистрацию],"&lt;"&amp;DATE(YEAR($B$3),MONTH($B$3)+1,1),РД[Состояние],"Продажа")-AF7/2</f>
        <v>0</v>
      </c>
      <c r="S7" s="597">
        <f>SUMIFS(РД[S],РД[Дом],$S$4,РД[МОП],$P7,РД[Дата подачи на регистрацию],"&gt;="&amp;$P$3,РД[Дата подачи на регистрацию],"&lt;"&amp;DATE(YEAR($B$3),MONTH($B$3)+1,1),РД[Состояние],"Продажа")-AG7/2</f>
        <v>194.75</v>
      </c>
      <c r="T7" s="597">
        <f>SUMIFS(РД[Стоимость без отделки итог],РД[Дом],$S$4,РД[МОП],$P7,РД[Дата подачи на регистрацию],"&gt;="&amp;$P$3,РД[Дата подачи на регистрацию],"&lt;"&amp;DATE(YEAR($B$3),MONTH($B$3)+1,1),РД[Состояние],"Продажа")-AH7/2</f>
        <v>23595098</v>
      </c>
      <c r="U7" s="597">
        <f>SUMIFS(РД[S],РД[Дом],$U$4,РД[МОП],$P7,РД[Дата подачи на регистрацию],"&gt;="&amp;$P$3,РД[Дата подачи на регистрацию],"&lt;"&amp;DATE(YEAR($B$3),MONTH($B$3)+1,1),РД[Состояние],"Продажа")-AI7/2</f>
        <v>35.53</v>
      </c>
      <c r="V7" s="632">
        <f>SUMIFS(РД[Стоимость без отделки итог],РД[Дом],$U$4,РД[МОП],$P7,РД[Дата подачи на регистрацию],"&gt;="&amp;$P$3,РД[Дата подачи на регистрацию],"&lt;"&amp;DATE(YEAR($B$3),MONTH($B$3)+1,1),РД[Состояние],"Продажа")-AJ7/2</f>
        <v>4798178</v>
      </c>
      <c r="W7" s="597">
        <f>SUMIFS(РД[S],РД[Дом],$W$4,РД[МОП],$P7,РД[Дата подачи на регистрацию],"&gt;="&amp;$P$3,РД[Дата подачи на регистрацию],"&lt;"&amp;DATE(YEAR($B$3),MONTH($B$3)+1,1),РД[Состояние],"Продажа")-AK7/2</f>
        <v>117.44</v>
      </c>
      <c r="X7" s="632">
        <f>SUMIFS(РД[Стоимость без отделки итог],РД[Дом],$W$4,РД[МОП],$P7,РД[Дата подачи на регистрацию],"&gt;="&amp;$P$3,РД[Дата подачи на регистрацию],"&lt;"&amp;DATE(YEAR($B$3),MONTH($B$3)+1,1),РД[Состояние],"Продажа")-AL7/2</f>
        <v>15323074</v>
      </c>
      <c r="Y7" s="636">
        <f>Q7+S7+U7+W7</f>
        <v>347.72</v>
      </c>
      <c r="Z7" s="573">
        <f>R7+T7+V7+X7</f>
        <v>43716350</v>
      </c>
      <c r="AA7" s="638">
        <f t="shared" si="3"/>
        <v>0.72897274633123699</v>
      </c>
      <c r="AB7" s="617">
        <f t="shared" si="3"/>
        <v>0.72144220085571642</v>
      </c>
      <c r="AC7" s="609"/>
      <c r="AD7" s="569" t="s">
        <v>8</v>
      </c>
      <c r="AE7" s="572">
        <f>SUMIFS(РД[S],РД[Дом],$AE$4,РД[МОП],$AD7,РД[Источник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7" s="573">
        <f>SUMIFS(РД[Стоимость без отделки итог],РД[Дом],$AE$4,РД[МОП],$AD7,РД[Источник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7" s="573">
        <f>SUMIFS(РД[S],РД[Дом],$AG$4,РД[МОП],$AD7,РД[Источник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7" s="573">
        <f>SUMIFS(РД[Стоимость без отделки итог],РД[Дом],$AG$4,РД[МОП],$AD7,РД[Источник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7" s="573">
        <f>SUMIFS(РД[S],РД[Дом],$AI$4,РД[МОП],$AD7,РД[Источник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7" s="628">
        <f>SUMIFS(РД[Стоимость без отделки итог],РД[Дом],$AI$4,РД[МОП],$AD7,РД[Источник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7" s="573">
        <f>SUMIFS(РД[S],РД[Дом],$AK$4,РД[МОП],$AD7,РД[Источник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7" s="628">
        <f>SUMIFS(РД[Стоимость без отделки итог],РД[Дом],$AK$4,РД[МОП],$AD7,РД[Источник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7" s="636">
        <f t="shared" ref="AM7:AN10" si="4">AE7+AG7+AI7+AK7</f>
        <v>0</v>
      </c>
      <c r="AN7" s="652">
        <f t="shared" si="4"/>
        <v>0</v>
      </c>
      <c r="AP7" s="651">
        <v>45748</v>
      </c>
      <c r="AQ7" s="667">
        <v>61.530000000003703</v>
      </c>
      <c r="AR7" s="668">
        <v>7579104.0003200201</v>
      </c>
      <c r="AT7" s="651">
        <v>45748</v>
      </c>
      <c r="AU7" s="846">
        <f t="shared" si="0"/>
        <v>2257.8520673378875</v>
      </c>
      <c r="AV7" s="846">
        <f t="shared" si="1"/>
        <v>286820003.80596751</v>
      </c>
    </row>
    <row r="8" spans="2:48" ht="15.75">
      <c r="B8" s="569" t="s">
        <v>20</v>
      </c>
      <c r="C8" s="574">
        <v>168</v>
      </c>
      <c r="D8" s="575">
        <f t="shared" si="2"/>
        <v>0.19718309859154928</v>
      </c>
      <c r="E8" s="572">
        <f>ROUND($D8*VLOOKUP($B$3,'ИПП 2кв25'!$AP$4:$AR$16,2,0),0)</f>
        <v>12</v>
      </c>
      <c r="F8" s="573">
        <f>ROUND($D8*VLOOKUP($B$3,'ИПП 2кв25'!$AP$4:$AR$16,3,0),0)</f>
        <v>1494471</v>
      </c>
      <c r="G8" s="573">
        <f>ROUND($D8*VLOOKUP($B$3,'ИПП 2кв25'!$AP$20:$AR$32,2,0),0)</f>
        <v>322</v>
      </c>
      <c r="H8" s="573">
        <f>ROUND($D8*VLOOKUP($B$3,'ИПП 2кв25'!$AP$20:$AR$32,3,0),0)</f>
        <v>41397490</v>
      </c>
      <c r="I8" s="573">
        <f>ROUND($D8*VLOOKUP($B$3,'ИПП 2кв25'!$AP$36:$AR$48,2,0),0)</f>
        <v>34</v>
      </c>
      <c r="J8" s="628">
        <f>ROUND($D8*VLOOKUP($B$3,'ИПП 2кв25'!$AP$36:$AR$48,3,0),0)</f>
        <v>4307366</v>
      </c>
      <c r="K8" s="597">
        <f>ROUND($D8*VLOOKUP($B$3,'ИПП 2кв25'!$AP$53:$AR$65,2,0),0)</f>
        <v>77</v>
      </c>
      <c r="L8" s="632">
        <f>ROUND($D8*VLOOKUP($B$3,'ИПП 2кв25'!$AP$53:$AR$65,3,0),0)</f>
        <v>9356730</v>
      </c>
      <c r="M8" s="596">
        <f t="shared" ref="M8:N12" si="5">E8+G8+I8+K8</f>
        <v>445</v>
      </c>
      <c r="N8" s="626">
        <f t="shared" si="5"/>
        <v>56556057</v>
      </c>
      <c r="O8" s="609"/>
      <c r="P8" s="569" t="s">
        <v>20</v>
      </c>
      <c r="Q8" s="606">
        <f>SUMIFS(РД[S],РД[Дом],$Q$4,РД[МОП],$P8,РД[Дата подачи на регистрацию],"&gt;="&amp;$P$3,РД[Дата подачи на регистрацию],"&lt;"&amp;DATE(YEAR($B$3),MONTH($B$3)+1,1),РД[Состояние],"Продажа")-AE8/2</f>
        <v>0</v>
      </c>
      <c r="R8" s="597">
        <f>SUMIFS(РД[Стоимость без отделки итог],РД[Дом],$Q$4,РД[МОП],$P8,РД[Дата подачи на регистрацию],"&gt;="&amp;$P$3,РД[Дата подачи на регистрацию],"&lt;"&amp;DATE(YEAR($B$3),MONTH($B$3)+1,1),РД[Состояние],"Продажа")-AF8/2</f>
        <v>0</v>
      </c>
      <c r="S8" s="597">
        <f>SUMIFS(РД[S],РД[Дом],$S$4,РД[МОП],$P8,РД[Дата подачи на регистрацию],"&gt;="&amp;$P$3,РД[Дата подачи на регистрацию],"&lt;"&amp;DATE(YEAR($B$3),MONTH($B$3)+1,1),РД[Состояние],"Продажа")-AG8/2</f>
        <v>79.44</v>
      </c>
      <c r="T8" s="597">
        <f>SUMIFS(РД[Стоимость без отделки итог],РД[Дом],$S$4,РД[МОП],$P8,РД[Дата подачи на регистрацию],"&gt;="&amp;$P$3,РД[Дата подачи на регистрацию],"&lt;"&amp;DATE(YEAR($B$3),MONTH($B$3)+1,1),РД[Состояние],"Продажа")-AH8/2</f>
        <v>9234400</v>
      </c>
      <c r="U8" s="597">
        <f>SUMIFS(РД[S],РД[Дом],$U$4,РД[МОП],$P8,РД[Дата подачи на регистрацию],"&gt;="&amp;$P$3,РД[Дата подачи на регистрацию],"&lt;"&amp;DATE(YEAR($B$3),MONTH($B$3)+1,1),РД[Состояние],"Продажа")-AI8/2</f>
        <v>0</v>
      </c>
      <c r="V8" s="632">
        <f>SUMIFS(РД[Стоимость без отделки итог],РД[Дом],$U$4,РД[МОП],$P8,РД[Дата подачи на регистрацию],"&gt;="&amp;$P$3,РД[Дата подачи на регистрацию],"&lt;"&amp;DATE(YEAR($B$3),MONTH($B$3)+1,1),РД[Состояние],"Продажа")-AJ8/2</f>
        <v>0</v>
      </c>
      <c r="W8" s="597">
        <f>SUMIFS(РД[S],РД[Дом],$W$4,РД[МОП],$P8,РД[Дата подачи на регистрацию],"&gt;="&amp;$P$3,РД[Дата подачи на регистрацию],"&lt;"&amp;DATE(YEAR($B$3),MONTH($B$3)+1,1),РД[Состояние],"Продажа")-AK8/2</f>
        <v>0</v>
      </c>
      <c r="X8" s="632">
        <f>SUMIFS(РД[Стоимость без отделки итог],РД[Дом],$W$4,РД[МОП],$P8,РД[Дата подачи на регистрацию],"&gt;="&amp;$P$3,РД[Дата подачи на регистрацию],"&lt;"&amp;DATE(YEAR($B$3),MONTH($B$3)+1,1),РД[Состояние],"Продажа")-AL8/2</f>
        <v>0</v>
      </c>
      <c r="Y8" s="636">
        <f t="shared" ref="Y8:Z10" si="6">Q8+S8+U8+W8</f>
        <v>79.44</v>
      </c>
      <c r="Z8" s="573">
        <f t="shared" si="6"/>
        <v>9234400</v>
      </c>
      <c r="AA8" s="638">
        <f t="shared" si="3"/>
        <v>0.17851685393258426</v>
      </c>
      <c r="AB8" s="617">
        <f t="shared" si="3"/>
        <v>0.16327870947580381</v>
      </c>
      <c r="AC8" s="609"/>
      <c r="AD8" s="569" t="s">
        <v>20</v>
      </c>
      <c r="AE8" s="606">
        <f>SUMIFS(РД[S],РД[Дом],$AE$4,РД[МОП],$AD8,РД[Источник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8" s="597">
        <f>SUMIFS(РД[Стоимость без отделки итог],РД[Дом],$AE$4,РД[МОП],$AD8,РД[Источник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8" s="597">
        <f>SUMIFS(РД[S],РД[Дом],$AG$4,РД[МОП],$AD8,РД[Источник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8" s="597">
        <f>SUMIFS(РД[Стоимость без отделки итог],РД[Дом],$AG$4,РД[МОП],$AD8,РД[Источник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8" s="597">
        <f>SUMIFS(РД[S],РД[Дом],$AI$4,РД[МОП],$AD8,РД[Источник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8" s="632">
        <f>SUMIFS(РД[Стоимость без отделки итог],РД[Дом],$AI$4,РД[МОП],$AD8,РД[Источник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8" s="573">
        <f>SUMIFS(РД[S],РД[Дом],$AK$4,РД[МОП],$AD8,РД[Источник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8" s="628">
        <f>SUMIFS(РД[Стоимость без отделки итог],РД[Дом],$AK$4,РД[МОП],$AD8,РД[Источник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8" s="636">
        <f t="shared" si="4"/>
        <v>0</v>
      </c>
      <c r="AN8" s="652">
        <f t="shared" si="4"/>
        <v>0</v>
      </c>
      <c r="AP8" s="651">
        <v>45778</v>
      </c>
      <c r="AQ8" s="667">
        <v>61.530000000003703</v>
      </c>
      <c r="AR8" s="597">
        <v>7579104.0003200201</v>
      </c>
      <c r="AS8" s="609"/>
      <c r="AT8" s="651">
        <v>45778</v>
      </c>
      <c r="AU8" s="846">
        <f t="shared" si="0"/>
        <v>2303.0518578640717</v>
      </c>
      <c r="AV8" s="846">
        <f t="shared" si="1"/>
        <v>295360101.89798915</v>
      </c>
    </row>
    <row r="9" spans="2:48" ht="15.75">
      <c r="B9" s="569" t="s">
        <v>24</v>
      </c>
      <c r="C9" s="574">
        <v>144</v>
      </c>
      <c r="D9" s="575">
        <f t="shared" si="2"/>
        <v>0.16901408450704225</v>
      </c>
      <c r="E9" s="572">
        <f>ROUND($D9*VLOOKUP($B$3,'ИПП 2кв25'!$AP$4:$AR$16,2,0),0)</f>
        <v>10</v>
      </c>
      <c r="F9" s="573">
        <f>ROUND($D9*VLOOKUP($B$3,'ИПП 2кв25'!$AP$4:$AR$16,3,0),0)</f>
        <v>1280975</v>
      </c>
      <c r="G9" s="573">
        <f>ROUND($D9*VLOOKUP($B$3,'ИПП 2кв25'!$AP$20:$AR$32,2,0),0)</f>
        <v>276</v>
      </c>
      <c r="H9" s="573">
        <f>ROUND($D9*VLOOKUP($B$3,'ИПП 2кв25'!$AP$20:$AR$32,3,0),0)</f>
        <v>35483563</v>
      </c>
      <c r="I9" s="573">
        <f>ROUND($D9*VLOOKUP($B$3,'ИПП 2кв25'!$AP$36:$AR$48,2,0),0)</f>
        <v>29</v>
      </c>
      <c r="J9" s="628">
        <f>ROUND($D9*VLOOKUP($B$3,'ИПП 2кв25'!$AP$36:$AR$48,3,0),0)</f>
        <v>3692028</v>
      </c>
      <c r="K9" s="597">
        <f>ROUND($D9*VLOOKUP($B$3,'ИПП 2кв25'!$AP$53:$AR$65,2,0),0)</f>
        <v>66</v>
      </c>
      <c r="L9" s="632">
        <f>ROUND($D9*VLOOKUP($B$3,'ИПП 2кв25'!$AP$53:$AR$65,3,0),0)</f>
        <v>8020054</v>
      </c>
      <c r="M9" s="596">
        <f t="shared" si="5"/>
        <v>381</v>
      </c>
      <c r="N9" s="626">
        <f t="shared" si="5"/>
        <v>48476620</v>
      </c>
      <c r="O9" s="609"/>
      <c r="P9" s="569" t="s">
        <v>24</v>
      </c>
      <c r="Q9" s="606">
        <f>SUMIFS(РД[S],РД[Дом],$Q$4,РД[МОП],$P9,РД[Дата подачи на регистрацию],"&gt;="&amp;$P$3,РД[Дата подачи на регистрацию],"&lt;"&amp;DATE(YEAR($B$3),MONTH($B$3)+1,1),РД[Состояние],"Продажа")-AE9/2</f>
        <v>0</v>
      </c>
      <c r="R9" s="597">
        <f>SUMIFS(РД[Стоимость без отделки итог],РД[Дом],$Q$4,РД[МОП],$P9,РД[Дата подачи на регистрацию],"&gt;="&amp;$P$3,РД[Дата подачи на регистрацию],"&lt;"&amp;DATE(YEAR($B$3),MONTH($B$3)+1,1),РД[Состояние],"Продажа")-AF9/2</f>
        <v>0</v>
      </c>
      <c r="S9" s="597">
        <f>SUMIFS(РД[S],РД[Дом],$S$4,РД[МОП],$P9,РД[Дата подачи на регистрацию],"&gt;="&amp;$P$3,РД[Дата подачи на регистрацию],"&lt;"&amp;DATE(YEAR($B$3),MONTH($B$3)+1,1),РД[Состояние],"Продажа")-AG9/2</f>
        <v>147.19</v>
      </c>
      <c r="T9" s="597">
        <f>SUMIFS(РД[Стоимость без отделки итог],РД[Дом],$S$4,РД[МОП],$P9,РД[Дата подачи на регистрацию],"&gt;="&amp;$P$3,РД[Дата подачи на регистрацию],"&lt;"&amp;DATE(YEAR($B$3),MONTH($B$3)+1,1),РД[Состояние],"Продажа")-AH9/2</f>
        <v>17351950</v>
      </c>
      <c r="U9" s="597">
        <f>SUMIFS(РД[S],РД[Дом],$U$4,РД[МОП],$P9,РД[Дата подачи на регистрацию],"&gt;="&amp;$P$3,РД[Дата подачи на регистрацию],"&lt;"&amp;DATE(YEAR($B$3),MONTH($B$3)+1,1),РД[Состояние],"Продажа")-AI9/2</f>
        <v>61.41</v>
      </c>
      <c r="V9" s="632">
        <f>SUMIFS(РД[Стоимость без отделки итог],РД[Дом],$U$4,РД[МОП],$P9,РД[Дата подачи на регистрацию],"&gt;="&amp;$P$3,РД[Дата подачи на регистрацию],"&lt;"&amp;DATE(YEAR($B$3),MONTH($B$3)+1,1),РД[Состояние],"Продажа")-AJ9/2</f>
        <v>7823634</v>
      </c>
      <c r="W9" s="597">
        <f>SUMIFS(РД[S],РД[Дом],$W$4,РД[МОП],$P9,РД[Дата подачи на регистрацию],"&gt;="&amp;$P$3,РД[Дата подачи на регистрацию],"&lt;"&amp;DATE(YEAR($B$3),MONTH($B$3)+1,1),РД[Состояние],"Продажа")-AK9/2</f>
        <v>36.64</v>
      </c>
      <c r="X9" s="632">
        <f>SUMIFS(РД[Стоимость без отделки итог],РД[Дом],$W$4,РД[МОП],$P9,РД[Дата подачи на регистрацию],"&gt;="&amp;$P$3,РД[Дата подачи на регистрацию],"&lt;"&amp;DATE(YEAR($B$3),MONTH($B$3)+1,1),РД[Состояние],"Продажа")-AL9/2</f>
        <v>4749374</v>
      </c>
      <c r="Y9" s="636">
        <f t="shared" si="6"/>
        <v>245.24</v>
      </c>
      <c r="Z9" s="573">
        <f t="shared" si="6"/>
        <v>29924958</v>
      </c>
      <c r="AA9" s="638">
        <f t="shared" si="3"/>
        <v>0.6436745406824147</v>
      </c>
      <c r="AB9" s="617">
        <f t="shared" si="3"/>
        <v>0.61730702346822031</v>
      </c>
      <c r="AC9" s="609"/>
      <c r="AD9" s="569" t="s">
        <v>24</v>
      </c>
      <c r="AE9" s="606">
        <f>SUMIFS(РД[S],РД[Дом],$AE$4,РД[МОП],$AD9,РД[Источник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9" s="597">
        <f>SUMIFS(РД[Стоимость без отделки итог],РД[Дом],$AE$4,РД[МОП],$AD9,РД[Источник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9" s="597">
        <f>SUMIFS(РД[S],РД[Дом],$AG$4,РД[МОП],$AD9,РД[Источник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48.78</v>
      </c>
      <c r="AH9" s="597">
        <f>SUMIFS(РД[Стоимость без отделки итог],РД[Дом],$AG$4,РД[МОП],$AD9,РД[Источник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6761260</v>
      </c>
      <c r="AI9" s="597">
        <f>SUMIFS(РД[S],РД[Дом],$AI$4,РД[МОП],$AD9,РД[Источник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9" s="632">
        <f>SUMIFS(РД[Стоимость без отделки итог],РД[Дом],$AI$4,РД[МОП],$AD9,РД[Источник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9" s="573">
        <f>SUMIFS(РД[S],РД[Дом],$AK$4,РД[МОП],$AD9,РД[Источник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9" s="628">
        <f>SUMIFS(РД[Стоимость без отделки итог],РД[Дом],$AK$4,РД[МОП],$AD9,РД[Источник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9" s="636">
        <f t="shared" si="4"/>
        <v>48.78</v>
      </c>
      <c r="AN9" s="652">
        <f t="shared" si="4"/>
        <v>6761260</v>
      </c>
      <c r="AP9" s="651">
        <v>45809</v>
      </c>
      <c r="AQ9" s="667">
        <v>46.810000000001303</v>
      </c>
      <c r="AR9" s="668">
        <v>6419135.9999998901</v>
      </c>
      <c r="AT9" s="651">
        <v>45809</v>
      </c>
      <c r="AU9" s="846">
        <f t="shared" si="0"/>
        <v>2105.9284380300282</v>
      </c>
      <c r="AV9" s="846">
        <f t="shared" si="1"/>
        <v>268495693.69571948</v>
      </c>
    </row>
    <row r="10" spans="2:48" ht="15.75">
      <c r="B10" s="576" t="s">
        <v>14</v>
      </c>
      <c r="C10" s="577">
        <v>180</v>
      </c>
      <c r="D10" s="578">
        <f t="shared" si="2"/>
        <v>0.21126760563380281</v>
      </c>
      <c r="E10" s="572">
        <f>ROUND($D10*VLOOKUP($B$3,'ИПП 2кв25'!$AP$4:$AR$16,2,0),0)</f>
        <v>13</v>
      </c>
      <c r="F10" s="573">
        <f>ROUND($D10*VLOOKUP($B$3,'ИПП 2кв25'!$AP$4:$AR$16,3,0),0)</f>
        <v>1601219</v>
      </c>
      <c r="G10" s="573">
        <f>ROUND($D10*VLOOKUP($B$3,'ИПП 2кв25'!$AP$20:$AR$32,2,0),0)</f>
        <v>345</v>
      </c>
      <c r="H10" s="573">
        <f>ROUND($D10*VLOOKUP($B$3,'ИПП 2кв25'!$AP$20:$AR$32,3,0),0)</f>
        <v>44354454</v>
      </c>
      <c r="I10" s="573">
        <f>ROUND($D10*VLOOKUP($B$3,'ИПП 2кв25'!$AP$36:$AR$48,2,0),0)</f>
        <v>36</v>
      </c>
      <c r="J10" s="628">
        <f>ROUND($D10*VLOOKUP($B$3,'ИПП 2кв25'!$AP$36:$AR$48,3,0),0)</f>
        <v>4615035</v>
      </c>
      <c r="K10" s="597">
        <f>ROUND($D10*VLOOKUP($B$3,'ИПП 2кв25'!$AP$53:$AR$65,2,0),0)</f>
        <v>83</v>
      </c>
      <c r="L10" s="632">
        <f>ROUND($D10*VLOOKUP($B$3,'ИПП 2кв25'!$AP$53:$AR$65,3,0),0)</f>
        <v>10025068</v>
      </c>
      <c r="M10" s="596">
        <f t="shared" ref="M10:M11" si="7">E10+G10+I10+K10</f>
        <v>477</v>
      </c>
      <c r="N10" s="626">
        <f t="shared" ref="N10:N11" si="8">F10+H10+J10+L10</f>
        <v>60595776</v>
      </c>
      <c r="O10" s="609"/>
      <c r="P10" s="618" t="s">
        <v>14</v>
      </c>
      <c r="Q10" s="589">
        <f>SUMIFS(РД[S],РД[Дом],$Q$4,РД[МОП],$P10,РД[Дата подачи на регистрацию],"&gt;="&amp;$P$3,РД[Дата подачи на регистрацию],"&lt;"&amp;DATE(YEAR($B$3),MONTH($B$3)+1,1),РД[Состояние],"Продажа")-AE10/2</f>
        <v>0</v>
      </c>
      <c r="R10" s="590">
        <f>SUMIFS(РД[Стоимость без отделки итог],РД[Дом],$Q$4,РД[МОП],$P10,РД[Дата подачи на регистрацию],"&gt;="&amp;$P$3,РД[Дата подачи на регистрацию],"&lt;"&amp;DATE(YEAR($B$3),MONTH($B$3)+1,1),РД[Состояние],"Продажа")-AF10/2</f>
        <v>0</v>
      </c>
      <c r="S10" s="590">
        <f>SUMIFS(РД[S],РД[Дом],$S$4,РД[МОП],$P10,РД[Дата подачи на регистрацию],"&gt;="&amp;$P$3,РД[Дата подачи на регистрацию],"&lt;"&amp;DATE(YEAR($B$3),MONTH($B$3)+1,1),РД[Состояние],"Продажа")-AG10/2</f>
        <v>239.23000000000002</v>
      </c>
      <c r="T10" s="590">
        <f>SUMIFS(РД[Стоимость без отделки итог],РД[Дом],$S$4,РД[МОП],$P10,РД[Дата подачи на регистрацию],"&gt;="&amp;$P$3,РД[Дата подачи на регистрацию],"&lt;"&amp;DATE(YEAR($B$3),MONTH($B$3)+1,1),РД[Состояние],"Продажа")-AH10/2</f>
        <v>28062007</v>
      </c>
      <c r="U10" s="590">
        <f>SUMIFS(РД[S],РД[Дом],$U$4,РД[МОП],$P10,РД[Дата подачи на регистрацию],"&gt;="&amp;$P$3,РД[Дата подачи на регистрацию],"&lt;"&amp;DATE(YEAR($B$3),MONTH($B$3)+1,1),РД[Состояние],"Продажа")-AI10/2</f>
        <v>0</v>
      </c>
      <c r="V10" s="635">
        <f>SUMIFS(РД[Стоимость без отделки итог],РД[Дом],$U$4,РД[МОП],$P10,РД[Дата подачи на регистрацию],"&gt;="&amp;$P$3,РД[Дата подачи на регистрацию],"&lt;"&amp;DATE(YEAR($B$3),MONTH($B$3)+1,1),РД[Состояние],"Продажа")-AJ10/2</f>
        <v>0</v>
      </c>
      <c r="W10" s="590">
        <f>SUMIFS(РД[S],РД[Дом],$W$4,РД[МОП],$P10,РД[Дата подачи на регистрацию],"&gt;="&amp;$P$3,РД[Дата подачи на регистрацию],"&lt;"&amp;DATE(YEAR($B$3),MONTH($B$3)+1,1),РД[Состояние],"Продажа")-AK10/2</f>
        <v>43.88</v>
      </c>
      <c r="X10" s="635">
        <f>SUMIFS(РД[Стоимость без отделки итог],РД[Дом],$W$4,РД[МОП],$P10,РД[Дата подачи на регистрацию],"&gt;="&amp;$P$3,РД[Дата подачи на регистрацию],"&lt;"&amp;DATE(YEAR($B$3),MONTH($B$3)+1,1),РД[Состояние],"Продажа")-AL10/2</f>
        <v>5578160</v>
      </c>
      <c r="Y10" s="636">
        <f t="shared" si="6"/>
        <v>283.11</v>
      </c>
      <c r="Z10" s="573">
        <f t="shared" si="6"/>
        <v>33640167</v>
      </c>
      <c r="AA10" s="639" t="str">
        <f>IFERROR(Y10/M11,"")</f>
        <v/>
      </c>
      <c r="AB10" s="640" t="str">
        <f>IFERROR(Z10/N11,"")</f>
        <v/>
      </c>
      <c r="AC10" s="609"/>
      <c r="AD10" s="618" t="s">
        <v>14</v>
      </c>
      <c r="AE10" s="589">
        <f>SUMIFS(РД[S],РД[Дом],$AE$4,РД[МОП],$AD10,РД[Источник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0" s="590">
        <f>SUMIFS(РД[Стоимость без отделки итог],РД[Дом],$AE$4,РД[МОП],$AD10,РД[Источник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0" s="590">
        <f>SUMIFS(РД[S],РД[Дом],$AG$4,РД[МОП],$AD10,РД[Источник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0" s="590">
        <f>SUMIFS(РД[Стоимость без отделки итог],РД[Дом],$AG$4,РД[МОП],$AD10,РД[Источник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0" s="590">
        <f>SUMIFS(РД[S],РД[Дом],$AI$4,РД[МОП],$AD10,РД[Источник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0" s="635">
        <f>SUMIFS(РД[Стоимость без отделки итог],РД[Дом],$AI$4,РД[МОП],$AD10,РД[Источник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0" s="573">
        <f>SUMIFS(РД[S],РД[Дом],$AK$4,РД[МОП],$AD10,РД[Источник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0" s="628">
        <f>SUMIFS(РД[Стоимость без отделки итог],РД[Дом],$AK$4,РД[МОП],$AD10,РД[Источник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0" s="636">
        <f t="shared" si="4"/>
        <v>0</v>
      </c>
      <c r="AN10" s="652">
        <f t="shared" si="4"/>
        <v>0</v>
      </c>
      <c r="AP10" s="651">
        <v>45839</v>
      </c>
      <c r="AQ10" s="667">
        <v>46.810000000001303</v>
      </c>
      <c r="AR10" s="668">
        <v>6419135.9999998901</v>
      </c>
      <c r="AT10" s="651">
        <v>45839</v>
      </c>
      <c r="AU10" s="846">
        <f t="shared" si="0"/>
        <v>1902.4100475311034</v>
      </c>
      <c r="AV10" s="846">
        <f t="shared" si="1"/>
        <v>241563699.93470389</v>
      </c>
    </row>
    <row r="11" spans="2:48" ht="15.75">
      <c r="B11" s="618"/>
      <c r="C11" s="577"/>
      <c r="D11" s="578">
        <f t="shared" si="2"/>
        <v>0</v>
      </c>
      <c r="E11" s="572">
        <f>ROUND($D11*VLOOKUP($B$3,'ИПП 2кв25'!$AP$4:$AR$16,2,0),0)</f>
        <v>0</v>
      </c>
      <c r="F11" s="573">
        <f>ROUND($D11*VLOOKUP($B$3,'ИПП 2кв25'!$AP$4:$AR$16,3,0),0)</f>
        <v>0</v>
      </c>
      <c r="G11" s="573">
        <f>ROUND($D11*VLOOKUP($B$3,'ИПП 2кв25'!$AP$20:$AR$32,2,0),0)</f>
        <v>0</v>
      </c>
      <c r="H11" s="573">
        <f>ROUND($D11*VLOOKUP($B$3,'ИПП 2кв25'!$AP$20:$AR$32,3,0),0)</f>
        <v>0</v>
      </c>
      <c r="I11" s="573">
        <f>ROUND($D11*VLOOKUP($B$3,'ИПП 2кв25'!$AP$36:$AR$48,2,0),0)</f>
        <v>0</v>
      </c>
      <c r="J11" s="628">
        <f>ROUND($D11*VLOOKUP($B$3,'ИПП 2кв25'!$AP$36:$AR$48,3,0),0)</f>
        <v>0</v>
      </c>
      <c r="K11" s="597">
        <f>ROUND($D11*VLOOKUP($B$3,'ИПП 2кв25'!$AP$53:$AR$65,2,0),0)</f>
        <v>0</v>
      </c>
      <c r="L11" s="632">
        <f>ROUND($D11*VLOOKUP($B$3,'ИПП 2кв25'!$AP$53:$AR$65,3,0),0)</f>
        <v>0</v>
      </c>
      <c r="M11" s="596">
        <f t="shared" si="7"/>
        <v>0</v>
      </c>
      <c r="N11" s="626">
        <f t="shared" si="8"/>
        <v>0</v>
      </c>
      <c r="O11" s="631"/>
      <c r="P11" s="581" t="s">
        <v>114</v>
      </c>
      <c r="Q11" s="582">
        <f t="shared" ref="Q11:Z11" si="9">SUM(Q6:Q10)</f>
        <v>0</v>
      </c>
      <c r="R11" s="584">
        <f t="shared" si="9"/>
        <v>0</v>
      </c>
      <c r="S11" s="584">
        <f t="shared" si="9"/>
        <v>660.61</v>
      </c>
      <c r="T11" s="584">
        <f t="shared" si="9"/>
        <v>78243455</v>
      </c>
      <c r="U11" s="584">
        <f t="shared" si="9"/>
        <v>96.94</v>
      </c>
      <c r="V11" s="629">
        <f t="shared" si="9"/>
        <v>12621812</v>
      </c>
      <c r="W11" s="584">
        <f t="shared" si="9"/>
        <v>216.46499999999997</v>
      </c>
      <c r="X11" s="629">
        <f t="shared" si="9"/>
        <v>27987289.5</v>
      </c>
      <c r="Y11" s="612">
        <f t="shared" si="9"/>
        <v>974.01499999999999</v>
      </c>
      <c r="Z11" s="584">
        <f t="shared" si="9"/>
        <v>118852556.5</v>
      </c>
      <c r="AA11" s="641">
        <f>IFERROR(Y11/M12,"")</f>
        <v>0.43155294638901198</v>
      </c>
      <c r="AB11" s="583">
        <f>IFERROR(Z11/N12,"")</f>
        <v>0.41438028878076338</v>
      </c>
      <c r="AC11" s="631"/>
      <c r="AD11" s="642" t="s">
        <v>114</v>
      </c>
      <c r="AE11" s="643">
        <f t="shared" ref="AE11:AL11" si="10">SUM(AE6:AE10)</f>
        <v>0</v>
      </c>
      <c r="AF11" s="644">
        <f t="shared" si="10"/>
        <v>0</v>
      </c>
      <c r="AG11" s="644">
        <f t="shared" si="10"/>
        <v>48.78</v>
      </c>
      <c r="AH11" s="644">
        <f t="shared" si="10"/>
        <v>6761260</v>
      </c>
      <c r="AI11" s="644">
        <f t="shared" si="10"/>
        <v>0</v>
      </c>
      <c r="AJ11" s="654">
        <f t="shared" si="10"/>
        <v>0</v>
      </c>
      <c r="AK11" s="644">
        <f t="shared" si="10"/>
        <v>37.01</v>
      </c>
      <c r="AL11" s="654">
        <f t="shared" si="10"/>
        <v>4673363</v>
      </c>
      <c r="AM11" s="655">
        <f>AE11+AG11+AI11+AK11</f>
        <v>85.789999999999992</v>
      </c>
      <c r="AN11" s="656">
        <f>AF11+AH11+AJ11+AL11</f>
        <v>11434623</v>
      </c>
      <c r="AP11" s="651">
        <v>45870</v>
      </c>
      <c r="AQ11" s="667">
        <v>61.530000000003703</v>
      </c>
      <c r="AR11" s="668">
        <v>7579104.0003200201</v>
      </c>
      <c r="AT11" s="651">
        <v>45870</v>
      </c>
      <c r="AU11" s="846">
        <f t="shared" si="0"/>
        <v>1956.2263581092238</v>
      </c>
      <c r="AV11" s="846">
        <f t="shared" si="1"/>
        <v>248968519.7944566</v>
      </c>
    </row>
    <row r="12" spans="2:48" ht="16.5" customHeight="1">
      <c r="B12" s="581" t="s">
        <v>114</v>
      </c>
      <c r="C12" s="582">
        <f t="shared" ref="C12:L12" si="11">SUM(C6:C11)</f>
        <v>852</v>
      </c>
      <c r="D12" s="583">
        <f t="shared" si="11"/>
        <v>1</v>
      </c>
      <c r="E12" s="582">
        <f t="shared" si="11"/>
        <v>61</v>
      </c>
      <c r="F12" s="584">
        <f t="shared" si="11"/>
        <v>7579103</v>
      </c>
      <c r="G12" s="584">
        <f t="shared" si="11"/>
        <v>1633</v>
      </c>
      <c r="H12" s="584">
        <f t="shared" si="11"/>
        <v>209944415</v>
      </c>
      <c r="I12" s="584">
        <f t="shared" si="11"/>
        <v>171</v>
      </c>
      <c r="J12" s="629">
        <f t="shared" si="11"/>
        <v>21844499</v>
      </c>
      <c r="K12" s="584">
        <f t="shared" si="11"/>
        <v>392</v>
      </c>
      <c r="L12" s="629">
        <f t="shared" si="11"/>
        <v>47451988</v>
      </c>
      <c r="M12" s="612">
        <f t="shared" si="5"/>
        <v>2257</v>
      </c>
      <c r="N12" s="630">
        <f t="shared" si="5"/>
        <v>286820005</v>
      </c>
      <c r="O12" s="622"/>
      <c r="P12" s="2353" t="s">
        <v>3</v>
      </c>
      <c r="Q12" s="2360" t="s">
        <v>7</v>
      </c>
      <c r="R12" s="2333"/>
      <c r="S12" s="2333" t="s">
        <v>13</v>
      </c>
      <c r="T12" s="2333"/>
      <c r="U12" s="2333" t="s">
        <v>1875</v>
      </c>
      <c r="V12" s="2352"/>
      <c r="W12" s="2333" t="s">
        <v>1876</v>
      </c>
      <c r="X12" s="2352"/>
      <c r="Y12" s="2332" t="s">
        <v>114</v>
      </c>
      <c r="Z12" s="2333"/>
      <c r="AA12" s="2333" t="s">
        <v>1877</v>
      </c>
      <c r="AB12" s="2334"/>
      <c r="AC12" s="622"/>
      <c r="AD12" s="2356" t="s">
        <v>3</v>
      </c>
      <c r="AE12" s="2360" t="s">
        <v>7</v>
      </c>
      <c r="AF12" s="2333"/>
      <c r="AG12" s="2333" t="s">
        <v>13</v>
      </c>
      <c r="AH12" s="2333"/>
      <c r="AI12" s="2333" t="s">
        <v>1875</v>
      </c>
      <c r="AJ12" s="2352"/>
      <c r="AK12" s="2333" t="s">
        <v>1876</v>
      </c>
      <c r="AL12" s="2352"/>
      <c r="AM12" s="2332" t="s">
        <v>114</v>
      </c>
      <c r="AN12" s="2334"/>
      <c r="AP12" s="651">
        <v>45901</v>
      </c>
      <c r="AQ12" s="667">
        <v>0</v>
      </c>
      <c r="AR12" s="668">
        <v>0</v>
      </c>
      <c r="AT12" s="651">
        <v>45901</v>
      </c>
      <c r="AU12" s="846">
        <f t="shared" si="0"/>
        <v>1989.585532760492</v>
      </c>
      <c r="AV12" s="846">
        <f t="shared" si="1"/>
        <v>254872156.56581399</v>
      </c>
    </row>
    <row r="13" spans="2:48" ht="15.75">
      <c r="B13" s="2350" t="s">
        <v>1882</v>
      </c>
      <c r="C13" s="2351"/>
      <c r="D13" s="2364"/>
      <c r="E13" s="2351" t="s">
        <v>7</v>
      </c>
      <c r="F13" s="2365"/>
      <c r="G13" s="2366" t="s">
        <v>13</v>
      </c>
      <c r="H13" s="2365"/>
      <c r="I13" s="2366" t="s">
        <v>1875</v>
      </c>
      <c r="J13" s="2351"/>
      <c r="K13" s="2352" t="s">
        <v>1876</v>
      </c>
      <c r="L13" s="2343"/>
      <c r="M13" s="2335" t="s">
        <v>114</v>
      </c>
      <c r="N13" s="2336"/>
      <c r="O13" s="622"/>
      <c r="P13" s="2354"/>
      <c r="Q13" s="562" t="s">
        <v>1872</v>
      </c>
      <c r="R13" s="563" t="s">
        <v>1881</v>
      </c>
      <c r="S13" s="562" t="s">
        <v>1872</v>
      </c>
      <c r="T13" s="563" t="s">
        <v>1881</v>
      </c>
      <c r="U13" s="562" t="s">
        <v>1872</v>
      </c>
      <c r="V13" s="563" t="s">
        <v>1881</v>
      </c>
      <c r="W13" s="562" t="s">
        <v>1872</v>
      </c>
      <c r="X13" s="563" t="s">
        <v>1881</v>
      </c>
      <c r="Y13" s="610" t="s">
        <v>1872</v>
      </c>
      <c r="Z13" s="563" t="s">
        <v>1881</v>
      </c>
      <c r="AA13" s="563" t="s">
        <v>1872</v>
      </c>
      <c r="AB13" s="624" t="s">
        <v>1881</v>
      </c>
      <c r="AC13" s="622"/>
      <c r="AD13" s="2357"/>
      <c r="AE13" s="562" t="s">
        <v>1872</v>
      </c>
      <c r="AF13" s="563" t="s">
        <v>1881</v>
      </c>
      <c r="AG13" s="563" t="s">
        <v>1872</v>
      </c>
      <c r="AH13" s="563" t="s">
        <v>1881</v>
      </c>
      <c r="AI13" s="563" t="s">
        <v>1872</v>
      </c>
      <c r="AJ13" s="623" t="s">
        <v>1881</v>
      </c>
      <c r="AK13" s="563" t="s">
        <v>1872</v>
      </c>
      <c r="AL13" s="623" t="s">
        <v>1881</v>
      </c>
      <c r="AM13" s="610" t="s">
        <v>1872</v>
      </c>
      <c r="AN13" s="624" t="s">
        <v>1881</v>
      </c>
      <c r="AP13" s="651">
        <v>45931</v>
      </c>
      <c r="AQ13" s="667">
        <v>0</v>
      </c>
      <c r="AR13" s="668">
        <v>0</v>
      </c>
      <c r="AT13" s="651">
        <v>45931</v>
      </c>
      <c r="AU13" s="846">
        <f t="shared" si="0"/>
        <v>1976.1492686912279</v>
      </c>
      <c r="AV13" s="846">
        <f t="shared" si="1"/>
        <v>253799207.49944279</v>
      </c>
    </row>
    <row r="14" spans="2:48" ht="15.75">
      <c r="B14" s="585" t="s">
        <v>1878</v>
      </c>
      <c r="C14" s="586" t="s">
        <v>1879</v>
      </c>
      <c r="D14" s="587" t="s">
        <v>1880</v>
      </c>
      <c r="E14" s="562" t="s">
        <v>1872</v>
      </c>
      <c r="F14" s="563" t="s">
        <v>1881</v>
      </c>
      <c r="G14" s="562" t="s">
        <v>1872</v>
      </c>
      <c r="H14" s="563" t="s">
        <v>1881</v>
      </c>
      <c r="I14" s="562" t="s">
        <v>1872</v>
      </c>
      <c r="J14" s="623" t="s">
        <v>1881</v>
      </c>
      <c r="K14" s="563" t="s">
        <v>1872</v>
      </c>
      <c r="L14" s="624" t="s">
        <v>1881</v>
      </c>
      <c r="M14" s="610" t="s">
        <v>1872</v>
      </c>
      <c r="N14" s="624" t="s">
        <v>1881</v>
      </c>
      <c r="O14" s="609"/>
      <c r="P14" s="569" t="s">
        <v>22</v>
      </c>
      <c r="Q14" s="572">
        <f>SUMIFS(РД[S],РД[Дом],$Q$4,РД[ИМ],$P14,РД[Дата подачи на регистрацию],"&gt;="&amp;$P$3,РД[Дата подачи на регистрацию],"&lt;"&amp;DATE(YEAR($B$3),MONTH($B$3)+1,1),РД[Состояние],"Продажа")-AE14/2</f>
        <v>0</v>
      </c>
      <c r="R14" s="573">
        <f>SUMIFS(РД[Стоимость без отделки итог],РД[Дом],$Q$4,РД[ИМ],$P14,РД[Дата подачи на регистрацию],"&gt;="&amp;$P$3,РД[Дата подачи на регистрацию],"&lt;"&amp;DATE(YEAR($B$3),MONTH($B$3)+1,1),РД[Состояние],"Продажа")-AF14/2</f>
        <v>0</v>
      </c>
      <c r="S14" s="573">
        <f>SUMIFS(РД[S],РД[Дом],$S$4,РД[ИМ],$P14,РД[Дата подачи на регистрацию],"&gt;="&amp;$P$3,РД[Дата подачи на регистрацию],"&lt;"&amp;DATE(YEAR($B$3),MONTH($B$3)+1,1),РД[Состояние],"Продажа")-AG14/2</f>
        <v>426.89000000000004</v>
      </c>
      <c r="T14" s="573">
        <f>SUMIFS(РД[Стоимость без отделки итог],РД[Дом],$S$4,РД[ИМ],$P14,РД[Дата подачи на регистрацию],"&gt;="&amp;$P$3,РД[Дата подачи на регистрацию],"&lt;"&amp;DATE(YEAR($B$3),MONTH($B$3)+1,1),РД[Состояние],"Продажа")-AH14/2</f>
        <v>50896827</v>
      </c>
      <c r="U14" s="573">
        <f>SUMIFS(РД[S],РД[Дом],$U$4,РД[ИМ],$P14,РД[Дата подачи на регистрацию],"&gt;="&amp;$P$3,РД[Дата подачи на регистрацию],"&lt;"&amp;DATE(YEAR($B$3),MONTH($B$3)+1,1),РД[Состояние],"Продажа")-AI14/2</f>
        <v>61.41</v>
      </c>
      <c r="V14" s="628">
        <f>SUMIFS(РД[Стоимость без отделки итог],РД[Дом],$U$4,РД[ИМ],$P14,РД[Дата подачи на регистрацию],"&gt;="&amp;$P$3,РД[Дата подачи на регистрацию],"&lt;"&amp;DATE(YEAR($B$3),MONTH($B$3)+1,1),РД[Состояние],"Продажа")-AJ14/2</f>
        <v>7823634</v>
      </c>
      <c r="W14" s="573">
        <f>SUMIFS(РД[S],РД[Дом],$W$4,РД[ИМ],$P14,РД[Дата подачи на регистрацию],"&gt;="&amp;$P$3,РД[Дата подачи на регистрацию],"&lt;"&amp;DATE(YEAR($B$3),MONTH($B$3)+1,1),РД[Состояние],"Продажа")-AK14/2</f>
        <v>0</v>
      </c>
      <c r="X14" s="628">
        <f>SUMIFS(РД[Стоимость без отделки итог],РД[Дом],$W$4,РД[ИМ],$P14,РД[Дата подачи на регистрацию],"&gt;="&amp;$P$3,РД[Дата подачи на регистрацию],"&lt;"&amp;DATE(YEAR($B$3),MONTH($B$3)+1,1),РД[Состояние],"Продажа")-AL14/2</f>
        <v>0</v>
      </c>
      <c r="Y14" s="636">
        <f>Q14+S14+U14+W14</f>
        <v>488.30000000000007</v>
      </c>
      <c r="Z14" s="573">
        <f>R14+T14+V14+X14</f>
        <v>58720461</v>
      </c>
      <c r="AA14" s="645">
        <f t="shared" ref="AA14:AB17" si="12">IFERROR(Y14/M15,"")</f>
        <v>0.66568964929620666</v>
      </c>
      <c r="AB14" s="588">
        <f t="shared" si="12"/>
        <v>0.62993633076068589</v>
      </c>
      <c r="AC14" s="609"/>
      <c r="AD14" s="569" t="s">
        <v>22</v>
      </c>
      <c r="AE14" s="594">
        <f>SUMIFS(РД[S],РД[Дом],$AE$4,РД[ИМ],$AD14,РД[Источник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4" s="568">
        <f>SUMIFS(РД[Стоимость без отделки итог],РД[Дом],$AE$4,РД[ИМ],$AD14,РД[Источник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4" s="568">
        <f>SUMIFS(РД[S],РД[Дом],$AG$4,РД[ИМ],$AD14,РД[Источник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24.5</v>
      </c>
      <c r="AH14" s="568">
        <f>SUMIFS(РД[Стоимость без отделки итог],РД[Дом],$AG$4,РД[ИМ],$AD14,РД[Источник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3319200</v>
      </c>
      <c r="AI14" s="568">
        <f>SUMIFS(РД[S],РД[Дом],$AI$4,РД[ИМ],$AD14,РД[Источник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4" s="625">
        <f>SUMIFS(РД[Стоимость без отделки итог],РД[Дом],$AI$4,РД[ИМ],$AD14,РД[Источник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4" s="568">
        <f>SUMIFS(РД[S],РД[Дом],$AK$12,РД[ИМ],$AD14,РД[Источник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4" s="625">
        <f>SUMIFS(РД[Стоимость без отделки итог],РД[Дом],$AK$12,РД[ИМ],$AD14,РД[Источник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4" s="594">
        <f>AE14+AG14+AI14+AK14</f>
        <v>24.5</v>
      </c>
      <c r="AN14" s="808">
        <f>AF14+AH14+AJ14+AL14</f>
        <v>3319200</v>
      </c>
      <c r="AP14" s="651">
        <v>45962</v>
      </c>
      <c r="AQ14" s="667">
        <v>0</v>
      </c>
      <c r="AR14" s="668">
        <v>0</v>
      </c>
      <c r="AT14" s="651">
        <v>45962</v>
      </c>
      <c r="AU14" s="846">
        <f t="shared" si="0"/>
        <v>1796.1000128988489</v>
      </c>
      <c r="AV14" s="846">
        <f t="shared" si="1"/>
        <v>231499871.54213542</v>
      </c>
    </row>
    <row r="15" spans="2:48" ht="15.75">
      <c r="B15" s="569" t="s">
        <v>22</v>
      </c>
      <c r="C15" s="570">
        <v>180</v>
      </c>
      <c r="D15" s="588">
        <f>C15/$C$18</f>
        <v>0.5</v>
      </c>
      <c r="E15" s="572">
        <f>$D15*($E$12*$B$19)</f>
        <v>19.824999999999999</v>
      </c>
      <c r="F15" s="573">
        <f>$D15*($F$12*$B$19)</f>
        <v>2463208.4750000001</v>
      </c>
      <c r="G15" s="573">
        <f>$D15*($G$12*$B$19)</f>
        <v>530.72500000000002</v>
      </c>
      <c r="H15" s="573">
        <f>$D15*($H$12*$B$19)</f>
        <v>68231934.875</v>
      </c>
      <c r="I15" s="573">
        <f>$D15*($I$12*$B$19)</f>
        <v>55.575000000000003</v>
      </c>
      <c r="J15" s="628">
        <f>$D15*($J$12*$B$19)</f>
        <v>7099462.1749999998</v>
      </c>
      <c r="K15" s="573">
        <f>$D15*($K$12*$B$19)</f>
        <v>127.4</v>
      </c>
      <c r="L15" s="628">
        <f>$D15*($L$12*$B$19)</f>
        <v>15421896.1</v>
      </c>
      <c r="M15" s="596">
        <f t="shared" ref="M15:N18" si="13">E15+G15+I15+K15</f>
        <v>733.52500000000009</v>
      </c>
      <c r="N15" s="626">
        <f t="shared" si="13"/>
        <v>93216501.624999985</v>
      </c>
      <c r="O15" s="609"/>
      <c r="P15" s="569" t="s">
        <v>26</v>
      </c>
      <c r="Q15" s="606">
        <f>SUMIFS(РД[S],РД[Дом],$Q$4,РД[ИМ],$P15,РД[Дата подачи на регистрацию],"&gt;="&amp;$P$3,РД[Дата подачи на регистрацию],"&lt;"&amp;DATE(YEAR($B$3),MONTH($B$3)+1,1),РД[Состояние],"Продажа")-AE15/2</f>
        <v>0</v>
      </c>
      <c r="R15" s="597">
        <f>SUMIFS(РД[Стоимость без отделки итог],РД[Дом],$Q$4,РД[ИМ],$P15,РД[Дата подачи на регистрацию],"&gt;="&amp;$P$3,РД[Дата подачи на регистрацию],"&lt;"&amp;DATE(YEAR($B$3),MONTH($B$3)+1,1),РД[Состояние],"Продажа")-AF15/2</f>
        <v>0</v>
      </c>
      <c r="S15" s="597">
        <f>SUMIFS(РД[S],РД[Дом],$S$4,РД[ИМ],$P15,РД[Дата подачи на регистрацию],"&gt;="&amp;$P$3,РД[Дата подачи на регистрацию],"&lt;"&amp;DATE(YEAR($B$3),MONTH($B$3)+1,1),РД[Состояние],"Продажа")-AG15/2</f>
        <v>233.72000000000003</v>
      </c>
      <c r="T15" s="597">
        <f>SUMIFS(РД[Стоимость без отделки итог],РД[Дом],$S$4,РД[ИМ],$P15,РД[Дата подачи на регистрацию],"&gt;="&amp;$P$3,РД[Дата подачи на регистрацию],"&lt;"&amp;DATE(YEAR($B$3),MONTH($B$3)+1,1),РД[Состояние],"Продажа")-AH15/2</f>
        <v>27346628</v>
      </c>
      <c r="U15" s="597">
        <f>SUMIFS(РД[S],РД[Дом],$U$4,РД[ИМ],$P15,РД[Дата подачи на регистрацию],"&gt;="&amp;$P$3,РД[Дата подачи на регистрацию],"&lt;"&amp;DATE(YEAR($B$3),MONTH($B$3)+1,1),РД[Состояние],"Продажа")-AI15/2</f>
        <v>0</v>
      </c>
      <c r="V15" s="632">
        <f>SUMIFS(РД[Стоимость без отделки итог],РД[Дом],$U$4,РД[ИМ],$P15,РД[Дата подачи на регистрацию],"&gt;="&amp;$P$3,РД[Дата подачи на регистрацию],"&lt;"&amp;DATE(YEAR($B$3),MONTH($B$3)+1,1),РД[Состояние],"Продажа")-AJ15/2</f>
        <v>0</v>
      </c>
      <c r="W15" s="573">
        <f>SUMIFS(РД[S],РД[Дом],$W$4,РД[ИМ],$P15,РД[Дата подачи на регистрацию],"&gt;="&amp;$P$3,РД[Дата подачи на регистрацию],"&lt;"&amp;DATE(YEAR($B$3),MONTH($B$3)+1,1),РД[Состояние],"Продажа")-AK15/2</f>
        <v>0</v>
      </c>
      <c r="X15" s="628">
        <f>SUMIFS(РД[Стоимость без отделки итог],РД[Дом],$W$4,РД[ИМ],$P15,РД[Дата подачи на регистрацию],"&gt;="&amp;$P$3,РД[Дата подачи на регистрацию],"&lt;"&amp;DATE(YEAR($B$3),MONTH($B$3)+1,1),РД[Состояние],"Продажа")-AL15/2</f>
        <v>0</v>
      </c>
      <c r="Y15" s="636">
        <f t="shared" ref="Y15:Z16" si="14">Q15+S15+U15+W15</f>
        <v>233.72000000000003</v>
      </c>
      <c r="Z15" s="573">
        <f t="shared" si="14"/>
        <v>27346628</v>
      </c>
      <c r="AA15" s="638">
        <f t="shared" si="12"/>
        <v>0.31862581370778092</v>
      </c>
      <c r="AB15" s="617">
        <f t="shared" si="12"/>
        <v>0.29336681299210904</v>
      </c>
      <c r="AC15" s="609"/>
      <c r="AD15" s="569" t="s">
        <v>26</v>
      </c>
      <c r="AE15" s="596">
        <f>SUMIFS(РД[S],РД[Дом],$AE$4,РД[ИМ],$AD15,РД[Источник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5" s="597">
        <f>SUMIFS(РД[Стоимость без отделки итог],РД[Дом],$AE$4,РД[ИМ],$AD15,РД[Источник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5" s="597">
        <f>SUMIFS(РД[S],РД[Дом],$AG$4,РД[ИМ],$AD15,РД[Источник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24.28</v>
      </c>
      <c r="AH15" s="597">
        <f>SUMIFS(РД[Стоимость без отделки итог],РД[Дом],$AG$4,РД[ИМ],$AD15,РД[Источник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3442060</v>
      </c>
      <c r="AI15" s="597">
        <f>SUMIFS(РД[S],РД[Дом],$AI$4,РД[ИМ],$AD15,РД[Источник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5" s="632">
        <f>SUMIFS(РД[Стоимость без отделки итог],РД[Дом],$AI$4,РД[ИМ],$AD15,РД[Источник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5" s="573">
        <f>SUMIFS(РД[S],РД[Дом],$AK$12,РД[ИМ],$AD15,РД[Источник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5" s="628">
        <f>SUMIFS(РД[Стоимость без отделки итог],РД[Дом],$AK$12,РД[ИМ],$AD15,РД[Источник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5" s="636">
        <f t="shared" ref="AM15:AN16" si="15">AE15+AG15+AI15+AK15</f>
        <v>24.28</v>
      </c>
      <c r="AN15" s="652">
        <f t="shared" si="15"/>
        <v>3442060</v>
      </c>
      <c r="AP15" s="651">
        <v>45992</v>
      </c>
      <c r="AQ15" s="667">
        <v>0</v>
      </c>
      <c r="AR15" s="668">
        <v>0</v>
      </c>
      <c r="AT15" s="651">
        <v>45992</v>
      </c>
      <c r="AU15" s="846">
        <f t="shared" si="0"/>
        <v>1533.9313134340218</v>
      </c>
      <c r="AV15" s="846">
        <f t="shared" si="1"/>
        <v>199644444.46113688</v>
      </c>
    </row>
    <row r="16" spans="2:48" ht="15.75">
      <c r="B16" s="569" t="s">
        <v>26</v>
      </c>
      <c r="C16" s="570">
        <v>180</v>
      </c>
      <c r="D16" s="588">
        <f>C16/$C$18</f>
        <v>0.5</v>
      </c>
      <c r="E16" s="572">
        <f>$D16*($E$12*$B$19)</f>
        <v>19.824999999999999</v>
      </c>
      <c r="F16" s="573">
        <f>$D16*($F$12*$B$19)</f>
        <v>2463208.4750000001</v>
      </c>
      <c r="G16" s="573">
        <f>$D16*($G$12*$B$19)</f>
        <v>530.72500000000002</v>
      </c>
      <c r="H16" s="573">
        <f>$D16*($H$12*$B$19)</f>
        <v>68231934.875</v>
      </c>
      <c r="I16" s="573">
        <f>$D16*($I$12*$B$19)</f>
        <v>55.575000000000003</v>
      </c>
      <c r="J16" s="628">
        <f>$D16*($J$12*$B$19)</f>
        <v>7099462.1749999998</v>
      </c>
      <c r="K16" s="573">
        <f>$D16*($K$12*$B$19)</f>
        <v>127.4</v>
      </c>
      <c r="L16" s="628">
        <f>$D16*($L$12*$B$19)</f>
        <v>15421896.1</v>
      </c>
      <c r="M16" s="596">
        <f t="shared" si="13"/>
        <v>733.52500000000009</v>
      </c>
      <c r="N16" s="626">
        <f t="shared" si="13"/>
        <v>93216501.624999985</v>
      </c>
      <c r="O16" s="609"/>
      <c r="P16" s="627" t="s">
        <v>3</v>
      </c>
      <c r="Q16" s="589">
        <f>SUMIFS(РД[S],РД[Дом],$Q$4,РД[ИМ],$P16,РД[Дата подачи на регистрацию],"&gt;="&amp;$P$3,РД[Дата подачи на регистрацию],"&lt;"&amp;DATE(YEAR($B$3),MONTH($B$3)+1,1),РД[Состояние],"Продажа")-AE16/2</f>
        <v>0</v>
      </c>
      <c r="R16" s="590">
        <f>SUMIFS(РД[Стоимость без отделки итог],РД[Дом],$Q$4,РД[ИМ],$P16,РД[Дата подачи на регистрацию],"&gt;="&amp;$P$3,РД[Дата подачи на регистрацию],"&lt;"&amp;DATE(YEAR($B$3),MONTH($B$3)+1,1),РД[Состояние],"Продажа")-AF16/2</f>
        <v>0</v>
      </c>
      <c r="S16" s="590">
        <f>SUMIFS(РД[S],РД[Дом],$S$4,РД[ИМ],$P16,РД[Дата подачи на регистрацию],"&gt;="&amp;$P$3,РД[Дата подачи на регистрацию],"&lt;"&amp;DATE(YEAR($B$3),MONTH($B$3)+1,1),РД[Состояние],"Продажа")-AG16/2</f>
        <v>0</v>
      </c>
      <c r="T16" s="590">
        <f>SUMIFS(РД[Стоимость без отделки итог],РД[Дом],$S$4,РД[ИМ],$P16,РД[Дата подачи на регистрацию],"&gt;="&amp;$P$3,РД[Дата подачи на регистрацию],"&lt;"&amp;DATE(YEAR($B$3),MONTH($B$3)+1,1),РД[Состояние],"Продажа")-AH16/2</f>
        <v>0</v>
      </c>
      <c r="U16" s="590">
        <f>SUMIFS(РД[S],РД[Дом],$U$4,РД[ИМ],$P16,РД[Дата подачи на регистрацию],"&gt;="&amp;$P$3,РД[Дата подачи на регистрацию],"&lt;"&amp;DATE(YEAR($B$3),MONTH($B$3)+1,1),РД[Состояние],"Продажа")-AI16/2</f>
        <v>0</v>
      </c>
      <c r="V16" s="635">
        <f>SUMIFS(РД[Стоимость без отделки итог],РД[Дом],$U$4,РД[ИМ],$P16,РД[Дата подачи на регистрацию],"&gt;="&amp;$P$3,РД[Дата подачи на регистрацию],"&lt;"&amp;DATE(YEAR($B$3),MONTH($B$3)+1,1),РД[Состояние],"Продажа")-AJ16/2</f>
        <v>0</v>
      </c>
      <c r="W16" s="573">
        <f>SUMIFS(РД[S],РД[Дом],$W$4,РД[ИМ],$P16,РД[Дата подачи на регистрацию],"&gt;="&amp;$P$3,РД[Дата подачи на регистрацию],"&lt;"&amp;DATE(YEAR($B$3),MONTH($B$3)+1,1),РД[Состояние],"Продажа")-AK16/2</f>
        <v>0</v>
      </c>
      <c r="X16" s="628">
        <f>SUMIFS(РД[Стоимость без отделки итог],РД[Дом],$W$4,РД[ИМ],$P16,РД[Дата подачи на регистрацию],"&gt;="&amp;$P$3,РД[Дата подачи на регистрацию],"&lt;"&amp;DATE(YEAR($B$3),MONTH($B$3)+1,1),РД[Состояние],"Продажа")-AL16/2</f>
        <v>0</v>
      </c>
      <c r="Y16" s="636">
        <f t="shared" si="14"/>
        <v>0</v>
      </c>
      <c r="Z16" s="573">
        <f t="shared" si="14"/>
        <v>0</v>
      </c>
      <c r="AA16" s="639" t="str">
        <f t="shared" si="12"/>
        <v/>
      </c>
      <c r="AB16" s="640" t="str">
        <f t="shared" si="12"/>
        <v/>
      </c>
      <c r="AC16" s="609"/>
      <c r="AD16" s="627" t="s">
        <v>3</v>
      </c>
      <c r="AE16" s="601">
        <f>SUMIFS(РД[S],РД[Дом],$AE$4,РД[ИМ],$AD16,РД[Источник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6" s="602">
        <f>SUMIFS(РД[Стоимость без отделки итог],РД[Дом],$AE$4,РД[ИМ],$AD16,РД[Источник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6" s="602">
        <f>SUMIFS(РД[S],РД[Дом],$AG$4,РД[ИМ],$AD16,РД[Источник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6" s="602">
        <f>SUMIFS(РД[Стоимость без отделки итог],РД[Дом],$AG$4,РД[ИМ],$AD16,РД[Источник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6" s="602">
        <f>SUMIFS(РД[S],РД[Дом],$AI$4,РД[ИМ],$AD16,РД[Источник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6" s="633">
        <f>SUMIFS(РД[Стоимость без отделки итог],РД[Дом],$AI$4,РД[ИМ],$AD16,РД[Источник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6" s="835">
        <f>SUMIFS(РД[S],РД[Дом],$AK$12,РД[ИМ],$AD16,РД[Источник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6" s="839">
        <f>SUMIFS(РД[Стоимость без отделки итог],РД[Дом],$AK$12,РД[ИМ],$AD16,РД[Источник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6" s="834">
        <f t="shared" si="15"/>
        <v>0</v>
      </c>
      <c r="AN16" s="840">
        <f t="shared" si="15"/>
        <v>0</v>
      </c>
      <c r="AP16" s="660" t="s">
        <v>1883</v>
      </c>
      <c r="AQ16" s="671">
        <f>SUM(AQ4:AQ15)</f>
        <v>399.30000000001661</v>
      </c>
      <c r="AR16" s="671">
        <f>SUM(AR4:AR15)</f>
        <v>50034240.000959724</v>
      </c>
      <c r="AT16" s="660" t="s">
        <v>1883</v>
      </c>
      <c r="AU16" s="671">
        <f t="shared" si="0"/>
        <v>22493.275130525824</v>
      </c>
      <c r="AV16" s="671">
        <f t="shared" si="1"/>
        <v>2871635999.5079269</v>
      </c>
    </row>
    <row r="17" spans="2:44" ht="15.75">
      <c r="B17" s="627" t="s">
        <v>3</v>
      </c>
      <c r="C17" s="577">
        <v>0</v>
      </c>
      <c r="D17" s="588">
        <f>C17/$C$18</f>
        <v>0</v>
      </c>
      <c r="E17" s="589">
        <f>$D17*($E$12*$B$19)</f>
        <v>0</v>
      </c>
      <c r="F17" s="590">
        <f>$D17*($F$12*$B$19)</f>
        <v>0</v>
      </c>
      <c r="G17" s="590">
        <f>$D17*($G$12*$B$19)</f>
        <v>0</v>
      </c>
      <c r="H17" s="590">
        <f>$D17*($H$12*$B$19)</f>
        <v>0</v>
      </c>
      <c r="I17" s="573">
        <f>$D17*($I$12*$B$19)</f>
        <v>0</v>
      </c>
      <c r="J17" s="628">
        <f>$D17*($J$12*$B$19)</f>
        <v>0</v>
      </c>
      <c r="K17" s="573">
        <f>$D17*($K$12*$B$19)</f>
        <v>0</v>
      </c>
      <c r="L17" s="628">
        <f>$D17*($L$12*$B$19)</f>
        <v>0</v>
      </c>
      <c r="M17" s="596">
        <f t="shared" si="13"/>
        <v>0</v>
      </c>
      <c r="N17" s="626">
        <f t="shared" si="13"/>
        <v>0</v>
      </c>
      <c r="O17" s="631"/>
      <c r="P17" s="581" t="s">
        <v>114</v>
      </c>
      <c r="Q17" s="582">
        <f>SUM(Q14:Q16)</f>
        <v>0</v>
      </c>
      <c r="R17" s="584">
        <f t="shared" ref="R17:Z17" si="16">SUM(R14:R16)</f>
        <v>0</v>
      </c>
      <c r="S17" s="584">
        <f t="shared" si="16"/>
        <v>660.61000000000013</v>
      </c>
      <c r="T17" s="584">
        <f t="shared" si="16"/>
        <v>78243455</v>
      </c>
      <c r="U17" s="584">
        <f t="shared" si="16"/>
        <v>61.41</v>
      </c>
      <c r="V17" s="629">
        <f t="shared" si="16"/>
        <v>7823634</v>
      </c>
      <c r="W17" s="584">
        <f t="shared" si="16"/>
        <v>0</v>
      </c>
      <c r="X17" s="629">
        <f t="shared" si="16"/>
        <v>0</v>
      </c>
      <c r="Y17" s="612">
        <f t="shared" si="16"/>
        <v>722.0200000000001</v>
      </c>
      <c r="Z17" s="584">
        <f t="shared" si="16"/>
        <v>86067089</v>
      </c>
      <c r="AA17" s="641">
        <f t="shared" si="12"/>
        <v>0.49215773150199382</v>
      </c>
      <c r="AB17" s="583">
        <f t="shared" si="12"/>
        <v>0.46165157187639744</v>
      </c>
      <c r="AC17" s="631"/>
      <c r="AD17" s="620" t="s">
        <v>114</v>
      </c>
      <c r="AE17" s="603">
        <f t="shared" ref="AE17:AN17" si="17">SUM(AE14:AE16)</f>
        <v>0</v>
      </c>
      <c r="AF17" s="605">
        <f t="shared" si="17"/>
        <v>0</v>
      </c>
      <c r="AG17" s="605">
        <f t="shared" si="17"/>
        <v>48.78</v>
      </c>
      <c r="AH17" s="605">
        <f t="shared" si="17"/>
        <v>6761260</v>
      </c>
      <c r="AI17" s="605">
        <f t="shared" si="17"/>
        <v>0</v>
      </c>
      <c r="AJ17" s="634">
        <f t="shared" si="17"/>
        <v>0</v>
      </c>
      <c r="AK17" s="605">
        <f t="shared" si="17"/>
        <v>0</v>
      </c>
      <c r="AL17" s="634">
        <f t="shared" si="17"/>
        <v>0</v>
      </c>
      <c r="AM17" s="648">
        <f t="shared" si="17"/>
        <v>48.78</v>
      </c>
      <c r="AN17" s="659">
        <f t="shared" si="17"/>
        <v>6761260</v>
      </c>
    </row>
    <row r="18" spans="2:44">
      <c r="B18" s="581" t="s">
        <v>114</v>
      </c>
      <c r="C18" s="582">
        <f>SUM(C15:C17)</f>
        <v>360</v>
      </c>
      <c r="D18" s="583">
        <f t="shared" ref="D18:L18" si="18">SUM(D15:D17)</f>
        <v>1</v>
      </c>
      <c r="E18" s="582">
        <f t="shared" si="18"/>
        <v>39.65</v>
      </c>
      <c r="F18" s="584">
        <f t="shared" si="18"/>
        <v>4926416.95</v>
      </c>
      <c r="G18" s="582">
        <f t="shared" si="18"/>
        <v>1061.45</v>
      </c>
      <c r="H18" s="584">
        <f t="shared" si="18"/>
        <v>136463869.75</v>
      </c>
      <c r="I18" s="582">
        <f t="shared" si="18"/>
        <v>111.15</v>
      </c>
      <c r="J18" s="584">
        <f t="shared" si="18"/>
        <v>14198924.35</v>
      </c>
      <c r="K18" s="582">
        <f t="shared" si="18"/>
        <v>254.8</v>
      </c>
      <c r="L18" s="584">
        <f t="shared" si="18"/>
        <v>30843792.199999999</v>
      </c>
      <c r="M18" s="612">
        <f t="shared" si="13"/>
        <v>1467.0500000000002</v>
      </c>
      <c r="N18" s="630">
        <f t="shared" si="13"/>
        <v>186433003.24999997</v>
      </c>
      <c r="AP18" s="2346" t="s">
        <v>13</v>
      </c>
      <c r="AQ18" s="2346"/>
      <c r="AR18" s="2346"/>
    </row>
    <row r="19" spans="2:44" ht="15.75">
      <c r="B19" s="831">
        <v>0.65</v>
      </c>
      <c r="AP19" s="650" t="s">
        <v>1871</v>
      </c>
      <c r="AQ19" s="663" t="s">
        <v>1872</v>
      </c>
      <c r="AR19" s="664" t="s">
        <v>1873</v>
      </c>
    </row>
    <row r="20" spans="2:44">
      <c r="O20" s="621"/>
      <c r="P20" s="2361">
        <f>B21</f>
        <v>45778</v>
      </c>
      <c r="Q20" s="2362"/>
      <c r="R20" s="2362"/>
      <c r="S20" s="2362"/>
      <c r="T20" s="2362"/>
      <c r="U20" s="2362"/>
      <c r="V20" s="2362"/>
      <c r="W20" s="2362"/>
      <c r="X20" s="2362"/>
      <c r="Y20" s="2362"/>
      <c r="Z20" s="2362"/>
      <c r="AA20" s="2362"/>
      <c r="AB20" s="2363"/>
      <c r="AC20" s="621"/>
      <c r="AD20" s="2329">
        <f>B21</f>
        <v>45778</v>
      </c>
      <c r="AE20" s="2330"/>
      <c r="AF20" s="2330"/>
      <c r="AG20" s="2330"/>
      <c r="AH20" s="2330"/>
      <c r="AI20" s="2330"/>
      <c r="AJ20" s="2330"/>
      <c r="AK20" s="2330"/>
      <c r="AL20" s="2330"/>
      <c r="AM20" s="2330"/>
      <c r="AN20" s="2331"/>
      <c r="AP20" s="651">
        <v>45658</v>
      </c>
      <c r="AQ20" s="667">
        <v>786.39225772005796</v>
      </c>
      <c r="AR20" s="668">
        <v>101186893.363034</v>
      </c>
    </row>
    <row r="21" spans="2:44" ht="15.75" customHeight="1">
      <c r="B21" s="2329">
        <v>45778</v>
      </c>
      <c r="C21" s="2330"/>
      <c r="D21" s="2330"/>
      <c r="E21" s="2330"/>
      <c r="F21" s="2330"/>
      <c r="G21" s="2330"/>
      <c r="H21" s="2330"/>
      <c r="I21" s="2330"/>
      <c r="J21" s="2330"/>
      <c r="K21" s="2330"/>
      <c r="L21" s="2330"/>
      <c r="M21" s="2330"/>
      <c r="N21" s="2331"/>
      <c r="O21" s="622"/>
      <c r="P21" s="2353" t="s">
        <v>1</v>
      </c>
      <c r="Q21" s="2360" t="s">
        <v>7</v>
      </c>
      <c r="R21" s="2333"/>
      <c r="S21" s="2333" t="s">
        <v>13</v>
      </c>
      <c r="T21" s="2333"/>
      <c r="U21" s="2333" t="s">
        <v>1875</v>
      </c>
      <c r="V21" s="2352"/>
      <c r="W21" s="2333" t="s">
        <v>1876</v>
      </c>
      <c r="X21" s="2352"/>
      <c r="Y21" s="2332" t="s">
        <v>114</v>
      </c>
      <c r="Z21" s="2333"/>
      <c r="AA21" s="2333" t="s">
        <v>1877</v>
      </c>
      <c r="AB21" s="2334"/>
      <c r="AC21" s="622"/>
      <c r="AD21" s="2350" t="s">
        <v>1</v>
      </c>
      <c r="AE21" s="2332" t="s">
        <v>7</v>
      </c>
      <c r="AF21" s="2333"/>
      <c r="AG21" s="2333" t="s">
        <v>13</v>
      </c>
      <c r="AH21" s="2333"/>
      <c r="AI21" s="2333" t="s">
        <v>1875</v>
      </c>
      <c r="AJ21" s="2333"/>
      <c r="AK21" s="2343" t="s">
        <v>1876</v>
      </c>
      <c r="AL21" s="2336"/>
      <c r="AM21" s="2335" t="s">
        <v>114</v>
      </c>
      <c r="AN21" s="2336"/>
      <c r="AP21" s="651">
        <v>45689</v>
      </c>
      <c r="AQ21" s="667">
        <v>1075.4326101010099</v>
      </c>
      <c r="AR21" s="668">
        <v>138593052.08312199</v>
      </c>
    </row>
    <row r="22" spans="2:44" ht="15.75">
      <c r="B22" s="2335" t="s">
        <v>1874</v>
      </c>
      <c r="C22" s="2343"/>
      <c r="D22" s="2336"/>
      <c r="E22" s="2343" t="s">
        <v>7</v>
      </c>
      <c r="F22" s="2360"/>
      <c r="G22" s="2352" t="s">
        <v>13</v>
      </c>
      <c r="H22" s="2360"/>
      <c r="I22" s="2352" t="s">
        <v>1875</v>
      </c>
      <c r="J22" s="2343"/>
      <c r="K22" s="2352" t="s">
        <v>1876</v>
      </c>
      <c r="L22" s="2343"/>
      <c r="M22" s="2335" t="s">
        <v>114</v>
      </c>
      <c r="N22" s="2336"/>
      <c r="O22" s="622"/>
      <c r="P22" s="2354"/>
      <c r="Q22" s="562" t="s">
        <v>1872</v>
      </c>
      <c r="R22" s="563" t="s">
        <v>1881</v>
      </c>
      <c r="S22" s="562" t="s">
        <v>1872</v>
      </c>
      <c r="T22" s="563" t="s">
        <v>1881</v>
      </c>
      <c r="U22" s="562" t="s">
        <v>1872</v>
      </c>
      <c r="V22" s="563" t="s">
        <v>1881</v>
      </c>
      <c r="W22" s="562" t="s">
        <v>1872</v>
      </c>
      <c r="X22" s="563" t="s">
        <v>1881</v>
      </c>
      <c r="Y22" s="610" t="s">
        <v>1872</v>
      </c>
      <c r="Z22" s="563" t="s">
        <v>1881</v>
      </c>
      <c r="AA22" s="563" t="s">
        <v>1872</v>
      </c>
      <c r="AB22" s="624" t="s">
        <v>1881</v>
      </c>
      <c r="AC22" s="622"/>
      <c r="AD22" s="2358"/>
      <c r="AE22" s="833" t="s">
        <v>1872</v>
      </c>
      <c r="AF22" s="825" t="s">
        <v>1881</v>
      </c>
      <c r="AG22" s="825" t="s">
        <v>1872</v>
      </c>
      <c r="AH22" s="825" t="s">
        <v>1881</v>
      </c>
      <c r="AI22" s="825" t="s">
        <v>1872</v>
      </c>
      <c r="AJ22" s="825" t="s">
        <v>1881</v>
      </c>
      <c r="AK22" s="838" t="s">
        <v>1872</v>
      </c>
      <c r="AL22" s="826" t="s">
        <v>1881</v>
      </c>
      <c r="AM22" s="610" t="s">
        <v>1872</v>
      </c>
      <c r="AN22" s="624" t="s">
        <v>1881</v>
      </c>
      <c r="AP22" s="651">
        <v>45717</v>
      </c>
      <c r="AQ22" s="667">
        <v>1381.73087417027</v>
      </c>
      <c r="AR22" s="668">
        <v>176300906.82381701</v>
      </c>
    </row>
    <row r="23" spans="2:44" ht="15.75">
      <c r="B23" s="559" t="s">
        <v>1878</v>
      </c>
      <c r="C23" s="591" t="s">
        <v>1879</v>
      </c>
      <c r="D23" s="592" t="s">
        <v>1880</v>
      </c>
      <c r="E23" s="562" t="s">
        <v>1872</v>
      </c>
      <c r="F23" s="563" t="s">
        <v>1881</v>
      </c>
      <c r="G23" s="562" t="s">
        <v>1872</v>
      </c>
      <c r="H23" s="563" t="s">
        <v>1881</v>
      </c>
      <c r="I23" s="562" t="s">
        <v>1872</v>
      </c>
      <c r="J23" s="623" t="s">
        <v>1881</v>
      </c>
      <c r="K23" s="563" t="s">
        <v>1872</v>
      </c>
      <c r="L23" s="624" t="s">
        <v>1881</v>
      </c>
      <c r="M23" s="610" t="s">
        <v>1872</v>
      </c>
      <c r="N23" s="624" t="s">
        <v>1881</v>
      </c>
      <c r="O23" s="622"/>
      <c r="P23" s="564" t="s">
        <v>28</v>
      </c>
      <c r="Q23" s="606">
        <f>SUMIFS(РД[S],РД[Дом],$Q$21,РД[МОП],$P23,РД[Дата подачи на регистрацию],"&gt;="&amp;$P$20,РД[Дата подачи на регистрацию],"&lt;"&amp;DATE(YEAR($B$21),MONTH($B$21)+1,1),РД[Состояние],"Продажа")-AE23/2</f>
        <v>0</v>
      </c>
      <c r="R23" s="597">
        <f>SUMIFS(РД[Стоимость без отделки итог],РД[Дом],$Q$21,РД[МОП],$P23,РД[Дата подачи на регистрацию],"&gt;="&amp;$P$20,РД[Дата подачи на регистрацию],"&lt;"&amp;DATE(YEAR($B$21),MONTH($B$21)+1,1),РД[Состояние],"Продажа")-AF23/2</f>
        <v>0</v>
      </c>
      <c r="S23" s="597">
        <f>SUMIFS(РД[S],РД[Дом],$S$21,РД[МОП],$P23,РД[Дата подачи на регистрацию],"&gt;="&amp;$P$20,РД[Дата подачи на регистрацию],"&lt;"&amp;DATE(YEAR($B$21),MONTH($B$21)+1,1),РД[Состояние],"Продажа")-AG23/2</f>
        <v>62.17</v>
      </c>
      <c r="T23" s="597">
        <f>SUMIFS(РД[Стоимость без отделки итог],РД[Дом],$S$21,РД[МОП],$P23,РД[Дата подачи на регистрацию],"&gt;="&amp;$P$20,РД[Дата подачи на регистрацию],"&lt;"&amp;DATE(YEAR($B$21),MONTH($B$21)+1,1),РД[Состояние],"Продажа")-AH23/2</f>
        <v>7114777</v>
      </c>
      <c r="U23" s="597">
        <f>SUMIFS(РД[S],РД[Дом],$U$21,РД[МОП],$P23,РД[Дата подачи на регистрацию],"&gt;="&amp;$P$20,РД[Дата подачи на регистрацию],"&lt;"&amp;DATE(YEAR($B$21),MONTH($B$21)+1,1),РД[Состояние],"Продажа")-AI23/2</f>
        <v>0</v>
      </c>
      <c r="V23" s="632">
        <f>SUMIFS(РД[Стоимость без отделки итог],РД[Дом],$U$21,РД[МОП],$P23,РД[Дата подачи на регистрацию],"&gt;="&amp;$P$20,РД[Дата подачи на регистрацию],"&lt;"&amp;DATE(YEAR($B$21),MONTH($B$21)+1,1),РД[Состояние],"Продажа")-AJ23/2</f>
        <v>0</v>
      </c>
      <c r="W23" s="573">
        <f>SUMIFS(РД[S],РД[Дом],$W$21,РД[МОП],$P23,РД[Дата подачи на регистрацию],"&gt;="&amp;$P$20,РД[Дата подачи на регистрацию],"&lt;"&amp;DATE(YEAR($B$21),MONTH($B$21)+1,1),РД[Состояние],"Продажа")-AK23/2</f>
        <v>36.64</v>
      </c>
      <c r="X23" s="628">
        <f>SUMIFS(РД[Стоимость без отделки итог],РД[Дом],$W$21,РД[МОП],$P23,РД[Дата подачи на регистрацию],"&gt;="&amp;$P$20,РД[Дата подачи на регистрацию],"&lt;"&amp;DATE(YEAR($B$21),MONTH($B$21)+1,1),РД[Состояние],"Продажа")-AL23/2</f>
        <v>4839828</v>
      </c>
      <c r="Y23" s="636">
        <f t="shared" ref="Y23:Z27" si="19">Q23+S23+U23+W23</f>
        <v>98.81</v>
      </c>
      <c r="Z23" s="573">
        <f t="shared" si="19"/>
        <v>11954605</v>
      </c>
      <c r="AA23" s="645">
        <f t="shared" ref="AA23:AB26" si="20">IFERROR(Y23/M24,"")</f>
        <v>0.21480434782608696</v>
      </c>
      <c r="AB23" s="588">
        <f t="shared" si="20"/>
        <v>0.20237338756363185</v>
      </c>
      <c r="AC23" s="622"/>
      <c r="AD23" s="564" t="s">
        <v>28</v>
      </c>
      <c r="AE23" s="594">
        <f>SUMIFS(РД[S],РД[Дом],$AE$21,РД[МОП],$AD23,РД[Источник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23" s="568">
        <f>SUMIFS(РД[Стоимость без отделки итог],РД[Дом],$AE$21,РД[МОП],$AD23,РД[Источник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23" s="568">
        <f>SUMIFS(РД[S],РД[Дом],$AG$21,РД[МОП],$AD23,РД[Источник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H23" s="568">
        <f>SUMIFS(РД[Стоимость без отделки итог],РД[Дом],$AG$21,РД[МОП],$AD23,РД[Источник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I23" s="568">
        <f>SUMIFS(РД[S],РД[Дом],$AI$21,РД[МОП],$AD23,РД[Источник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23" s="568">
        <f>SUMIFS(РД[Стоимость без отделки итог],РД[Дом],$AI$21,РД[МОП],$AD23,РД[Источник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23" s="568">
        <f>SUMIFS(РД[S],РД[Дом],$AK$21,РД[МОП],$AD23,РД[Источник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23" s="808">
        <f>SUMIFS(РД[Стоимость без отделки итог],РД[Дом],$AK$21,РД[МОП],$AD23,РД[Источник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23" s="572">
        <f>AE23+AG23+AI23+AK23</f>
        <v>0</v>
      </c>
      <c r="AN23" s="652">
        <f>AF23+AH23+AJ23+AL23</f>
        <v>0</v>
      </c>
      <c r="AP23" s="651">
        <v>45748</v>
      </c>
      <c r="AQ23" s="667">
        <v>1634.6030709956699</v>
      </c>
      <c r="AR23" s="668">
        <v>209944415.214986</v>
      </c>
    </row>
    <row r="24" spans="2:44" ht="15.75">
      <c r="B24" s="564" t="s">
        <v>28</v>
      </c>
      <c r="C24" s="830">
        <v>180</v>
      </c>
      <c r="D24" s="566">
        <f t="shared" ref="D24:D29" si="21">C24/$C$30</f>
        <v>0.2</v>
      </c>
      <c r="E24" s="596">
        <f>ROUND($D24*VLOOKUP($B$21,'ИПП 2кв25'!$AP$4:$AR$16,2,0),0)</f>
        <v>12</v>
      </c>
      <c r="F24" s="597">
        <f>ROUND($D24*VLOOKUP($B$21,'ИПП 2кв25'!$AP$4:$AR$16,3,0),0)</f>
        <v>1515821</v>
      </c>
      <c r="G24" s="597">
        <f>ROUND($D24*VLOOKUP($B$21,'ИПП 2кв25'!$AP$20:$AR$32,2,0),0)</f>
        <v>330</v>
      </c>
      <c r="H24" s="597">
        <f>ROUND($D24*VLOOKUP($B$21,'ИПП 2кв25'!$AP$20:$AR$32,3,0),0)</f>
        <v>43087241</v>
      </c>
      <c r="I24" s="597">
        <f>ROUND($D24*VLOOKUP($B$21,'ИПП 2кв25'!$AP$36:$AR$48,2,0),0)</f>
        <v>34</v>
      </c>
      <c r="J24" s="632">
        <f>ROUND($D24*VLOOKUP($B$21,'ИПП 2кв25'!$AP$36:$AR$48,3,0),0)</f>
        <v>4413940</v>
      </c>
      <c r="K24" s="568">
        <f>ROUND($D24*VLOOKUP($B$21,'ИПП 2кв25'!$AP$53:$AR$65,2,0),0)</f>
        <v>84</v>
      </c>
      <c r="L24" s="625">
        <f>ROUND($D24*VLOOKUP($B$21,'ИПП 2кв25'!$AP$53:$AR$65,3,0),0)</f>
        <v>10055019</v>
      </c>
      <c r="M24" s="596">
        <f t="shared" ref="M24:N30" si="22">E24+G24+I24+K24</f>
        <v>460</v>
      </c>
      <c r="N24" s="626">
        <f t="shared" si="22"/>
        <v>59072021</v>
      </c>
      <c r="O24" s="609"/>
      <c r="P24" s="569" t="s">
        <v>8</v>
      </c>
      <c r="Q24" s="606">
        <f>SUMIFS(РД[S],РД[Дом],$Q$21,РД[МОП],$P24,РД[Дата подачи на регистрацию],"&gt;="&amp;$P$20,РД[Дата подачи на регистрацию],"&lt;"&amp;DATE(YEAR($B$21),MONTH($B$21)+1,1),РД[Состояние],"Продажа")-AE24/2</f>
        <v>0</v>
      </c>
      <c r="R24" s="597">
        <f>SUMIFS(РД[Стоимость без отделки итог],РД[Дом],$Q$21,РД[МОП],$P24,РД[Дата подачи на регистрацию],"&gt;="&amp;$P$20,РД[Дата подачи на регистрацию],"&lt;"&amp;DATE(YEAR($B$21),MONTH($B$21)+1,1),РД[Состояние],"Продажа")-AF24/2</f>
        <v>0</v>
      </c>
      <c r="S24" s="597">
        <f>SUMIFS(РД[S],РД[Дом],$S$21,РД[МОП],$P24,РД[Дата подачи на регистрацию],"&gt;="&amp;$P$20,РД[Дата подачи на регистрацию],"&lt;"&amp;DATE(YEAR($B$21),MONTH($B$21)+1,1),РД[Состояние],"Продажа")-AG24/2</f>
        <v>0</v>
      </c>
      <c r="T24" s="597">
        <f>SUMIFS(РД[Стоимость без отделки итог],РД[Дом],$S$21,РД[МОП],$P24,РД[Дата подачи на регистрацию],"&gt;="&amp;$P$20,РД[Дата подачи на регистрацию],"&lt;"&amp;DATE(YEAR($B$21),MONTH($B$21)+1,1),РД[Состояние],"Продажа")-AH24/2</f>
        <v>0</v>
      </c>
      <c r="U24" s="597">
        <f>SUMIFS(РД[S],РД[Дом],$U$21,РД[МОП],$P24,РД[Дата подачи на регистрацию],"&gt;="&amp;$P$20,РД[Дата подачи на регистрацию],"&lt;"&amp;DATE(YEAR($B$21),MONTH($B$21)+1,1),РД[Состояние],"Продажа")-AI24/2</f>
        <v>61.41</v>
      </c>
      <c r="V24" s="632">
        <f>SUMIFS(РД[Стоимость без отделки итог],РД[Дом],$U$21,РД[МОП],$P24,РД[Дата подачи на регистрацию],"&gt;="&amp;$P$20,РД[Дата подачи на регистрацию],"&lt;"&amp;DATE(YEAR($B$21),MONTH($B$21)+1,1),РД[Состояние],"Продажа")-AJ24/2</f>
        <v>7584135</v>
      </c>
      <c r="W24" s="573">
        <f>SUMIFS(РД[S],РД[Дом],$W$21,РД[МОП],$P24,РД[Дата подачи на регистрацию],"&gt;="&amp;$P$20,РД[Дата подачи на регистрацию],"&lt;"&amp;DATE(YEAR($B$21),MONTH($B$21)+1,1),РД[Состояние],"Продажа")-AK24/2</f>
        <v>0</v>
      </c>
      <c r="X24" s="628">
        <f>SUMIFS(РД[Стоимость без отделки итог],РД[Дом],$W$21,РД[МОП],$P24,РД[Дата подачи на регистрацию],"&gt;="&amp;$P$20,РД[Дата подачи на регистрацию],"&lt;"&amp;DATE(YEAR($B$21),MONTH($B$21)+1,1),РД[Состояние],"Продажа")-AL24/2</f>
        <v>0</v>
      </c>
      <c r="Y24" s="636">
        <f t="shared" si="19"/>
        <v>61.41</v>
      </c>
      <c r="Z24" s="573">
        <f t="shared" si="19"/>
        <v>7584135</v>
      </c>
      <c r="AA24" s="645">
        <f t="shared" si="20"/>
        <v>0.13349999999999998</v>
      </c>
      <c r="AB24" s="588">
        <f t="shared" si="20"/>
        <v>0.12838793851322608</v>
      </c>
      <c r="AC24" s="609"/>
      <c r="AD24" s="569" t="s">
        <v>8</v>
      </c>
      <c r="AE24" s="636">
        <f>SUMIFS(РД[S],РД[Дом],$AE$21,РД[МОП],$AD24,РД[Источник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24" s="573">
        <f>SUMIFS(РД[Стоимость без отделки итог],РД[Дом],$AE$21,РД[МОП],$AD24,РД[Источник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24" s="573">
        <f>SUMIFS(РД[S],РД[Дом],$AG$21,РД[МОП],$AD24,РД[Источник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H24" s="573">
        <f>SUMIFS(РД[Стоимость без отделки итог],РД[Дом],$AG$21,РД[МОП],$AD24,РД[Источник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I24" s="573">
        <f>SUMIFS(РД[S],РД[Дом],$AI$21,РД[МОП],$AD24,РД[Источник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24" s="597">
        <f>SUMIFS(РД[Стоимость без отделки итог],РД[Дом],$AI$21,РД[МОП],$AD24,РД[Источник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24" s="597">
        <f>SUMIFS(РД[S],РД[Дом],$AK$21,РД[МОП],$AD24,РД[Источник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24" s="626">
        <f>SUMIFS(РД[Стоимость без отделки итог],РД[Дом],$AK$21,РД[МОП],$AD24,РД[Источник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24" s="572">
        <f t="shared" ref="AM24:AN27" si="23">AE24+AG24+AI24+AK24</f>
        <v>0</v>
      </c>
      <c r="AN24" s="652">
        <f t="shared" si="23"/>
        <v>0</v>
      </c>
      <c r="AP24" s="651">
        <v>45778</v>
      </c>
      <c r="AQ24" s="667">
        <v>1650.7188011543999</v>
      </c>
      <c r="AR24" s="597">
        <v>215436205.103273</v>
      </c>
    </row>
    <row r="25" spans="2:44" ht="15.75">
      <c r="B25" s="569" t="s">
        <v>8</v>
      </c>
      <c r="C25" s="570">
        <v>180</v>
      </c>
      <c r="D25" s="575">
        <f t="shared" si="21"/>
        <v>0.2</v>
      </c>
      <c r="E25" s="596">
        <f>ROUND($D25*VLOOKUP($B$21,'ИПП 2кв25'!$AP$4:$AR$16,2,0),0)</f>
        <v>12</v>
      </c>
      <c r="F25" s="597">
        <f>ROUND($D25*VLOOKUP($B$21,'ИПП 2кв25'!$AP$4:$AR$16,3,0),0)</f>
        <v>1515821</v>
      </c>
      <c r="G25" s="597">
        <f>ROUND($D25*VLOOKUP($B$21,'ИПП 2кв25'!$AP$20:$AR$32,2,0),0)</f>
        <v>330</v>
      </c>
      <c r="H25" s="597">
        <f>ROUND($D25*VLOOKUP($B$21,'ИПП 2кв25'!$AP$20:$AR$32,3,0),0)</f>
        <v>43087241</v>
      </c>
      <c r="I25" s="597">
        <f>ROUND($D25*VLOOKUP($B$21,'ИПП 2кв25'!$AP$36:$AR$48,2,0),0)</f>
        <v>34</v>
      </c>
      <c r="J25" s="632">
        <f>ROUND($D25*VLOOKUP($B$21,'ИПП 2кв25'!$AP$36:$AR$48,3,0),0)</f>
        <v>4413940</v>
      </c>
      <c r="K25" s="597">
        <f>ROUND($D25*VLOOKUP($B$21,'ИПП 2кв25'!$AP$53:$AR$65,2,0),0)</f>
        <v>84</v>
      </c>
      <c r="L25" s="632">
        <f>ROUND($D25*VLOOKUP($B$21,'ИПП 2кв25'!$AP$53:$AR$65,3,0),0)</f>
        <v>10055019</v>
      </c>
      <c r="M25" s="596">
        <f t="shared" si="22"/>
        <v>460</v>
      </c>
      <c r="N25" s="626">
        <f t="shared" si="22"/>
        <v>59072021</v>
      </c>
      <c r="O25" s="609"/>
      <c r="P25" s="569" t="s">
        <v>20</v>
      </c>
      <c r="Q25" s="606">
        <f>SUMIFS(РД[S],РД[Дом],$Q$21,РД[МОП],$P25,РД[Дата подачи на регистрацию],"&gt;="&amp;$P$20,РД[Дата подачи на регистрацию],"&lt;"&amp;DATE(YEAR($B$21),MONTH($B$21)+1,1),РД[Состояние],"Продажа")-AE25/2</f>
        <v>0</v>
      </c>
      <c r="R25" s="597">
        <f>SUMIFS(РД[Стоимость без отделки итог],РД[Дом],$Q$21,РД[МОП],$P25,РД[Дата подачи на регистрацию],"&gt;="&amp;$P$20,РД[Дата подачи на регистрацию],"&lt;"&amp;DATE(YEAR($B$21),MONTH($B$21)+1,1),РД[Состояние],"Продажа")-AF25/2</f>
        <v>0</v>
      </c>
      <c r="S25" s="597">
        <f>SUMIFS(РД[S],РД[Дом],$S$21,РД[МОП],$P25,РД[Дата подачи на регистрацию],"&gt;="&amp;$P$20,РД[Дата подачи на регистрацию],"&lt;"&amp;DATE(YEAR($B$21),MONTH($B$21)+1,1),РД[Состояние],"Продажа")-AG25/2</f>
        <v>29.195</v>
      </c>
      <c r="T25" s="597">
        <f>SUMIFS(РД[Стоимость без отделки итог],РД[Дом],$S$21,РД[МОП],$P25,РД[Дата подачи на регистрацию],"&gt;="&amp;$P$20,РД[Дата подачи на регистрацию],"&lt;"&amp;DATE(YEAR($B$21),MONTH($B$21)+1,1),РД[Состояние],"Продажа")-AH25/2</f>
        <v>3101290</v>
      </c>
      <c r="U25" s="597">
        <f>SUMIFS(РД[S],РД[Дом],$U$21,РД[МОП],$P25,РД[Дата подачи на регистрацию],"&gt;="&amp;$P$20,РД[Дата подачи на регистрацию],"&lt;"&amp;DATE(YEAR($B$21),MONTH($B$21)+1,1),РД[Состояние],"Продажа")-AI25/2</f>
        <v>0</v>
      </c>
      <c r="V25" s="632">
        <f>SUMIFS(РД[Стоимость без отделки итог],РД[Дом],$U$21,РД[МОП],$P25,РД[Дата подачи на регистрацию],"&gt;="&amp;$P$20,РД[Дата подачи на регистрацию],"&lt;"&amp;DATE(YEAR($B$21),MONTH($B$21)+1,1),РД[Состояние],"Продажа")-AJ25/2</f>
        <v>0</v>
      </c>
      <c r="W25" s="573">
        <f>SUMIFS(РД[S],РД[Дом],$W$21,РД[МОП],$P25,РД[Дата подачи на регистрацию],"&gt;="&amp;$P$20,РД[Дата подачи на регистрацию],"&lt;"&amp;DATE(YEAR($B$21),MONTH($B$21)+1,1),РД[Состояние],"Продажа")-AK25/2</f>
        <v>0</v>
      </c>
      <c r="X25" s="628">
        <f>SUMIFS(РД[Стоимость без отделки итог],РД[Дом],$W$21,РД[МОП],$P25,РД[Дата подачи на регистрацию],"&gt;="&amp;$P$20,РД[Дата подачи на регистрацию],"&lt;"&amp;DATE(YEAR($B$21),MONTH($B$21)+1,1),РД[Состояние],"Продажа")-AL25/2</f>
        <v>0</v>
      </c>
      <c r="Y25" s="636">
        <f t="shared" si="19"/>
        <v>29.195</v>
      </c>
      <c r="Z25" s="573">
        <f t="shared" si="19"/>
        <v>3101290</v>
      </c>
      <c r="AA25" s="638">
        <f t="shared" si="20"/>
        <v>6.3467391304347823E-2</v>
      </c>
      <c r="AB25" s="617">
        <f t="shared" si="20"/>
        <v>5.2500150621222187E-2</v>
      </c>
      <c r="AC25" s="609"/>
      <c r="AD25" s="569" t="s">
        <v>20</v>
      </c>
      <c r="AE25" s="636">
        <f>SUMIFS(РД[S],РД[Дом],$AE$21,РД[МОП],$AD25,РД[Источник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25" s="573">
        <f>SUMIFS(РД[Стоимость без отделки итог],РД[Дом],$AE$21,РД[МОП],$AD25,РД[Источник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25" s="573">
        <f>SUMIFS(РД[S],РД[Дом],$AG$21,РД[МОП],$AD25,РД[Источник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58.39</v>
      </c>
      <c r="AH25" s="573">
        <f>SUMIFS(РД[Стоимость без отделки итог],РД[Дом],$AG$21,РД[МОП],$AD25,РД[Источник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6202580</v>
      </c>
      <c r="AI25" s="573">
        <f>SUMIFS(РД[S],РД[Дом],$AI$21,РД[МОП],$AD25,РД[Источник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25" s="597">
        <f>SUMIFS(РД[Стоимость без отделки итог],РД[Дом],$AI$21,РД[МОП],$AD25,РД[Источник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25" s="597">
        <f>SUMIFS(РД[S],РД[Дом],$AK$21,РД[МОП],$AD25,РД[Источник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25" s="626">
        <f>SUMIFS(РД[Стоимость без отделки итог],РД[Дом],$AK$21,РД[МОП],$AD25,РД[Источник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25" s="572">
        <f t="shared" si="23"/>
        <v>58.39</v>
      </c>
      <c r="AN25" s="652">
        <f t="shared" si="23"/>
        <v>6202580</v>
      </c>
      <c r="AP25" s="651">
        <v>45809</v>
      </c>
      <c r="AQ25" s="667">
        <v>1451.27267157287</v>
      </c>
      <c r="AR25" s="668">
        <v>185555214.877529</v>
      </c>
    </row>
    <row r="26" spans="2:44" ht="15.75">
      <c r="B26" s="569" t="s">
        <v>20</v>
      </c>
      <c r="C26" s="574">
        <v>180</v>
      </c>
      <c r="D26" s="575">
        <f t="shared" si="21"/>
        <v>0.2</v>
      </c>
      <c r="E26" s="596">
        <f>ROUND($D26*VLOOKUP($B$21,'ИПП 2кв25'!$AP$4:$AR$16,2,0),0)</f>
        <v>12</v>
      </c>
      <c r="F26" s="597">
        <f>ROUND($D26*VLOOKUP($B$21,'ИПП 2кв25'!$AP$4:$AR$16,3,0),0)</f>
        <v>1515821</v>
      </c>
      <c r="G26" s="597">
        <f>ROUND($D26*VLOOKUP($B$21,'ИПП 2кв25'!$AP$20:$AR$32,2,0),0)</f>
        <v>330</v>
      </c>
      <c r="H26" s="597">
        <f>ROUND($D26*VLOOKUP($B$21,'ИПП 2кв25'!$AP$20:$AR$32,3,0),0)</f>
        <v>43087241</v>
      </c>
      <c r="I26" s="597">
        <f>ROUND($D26*VLOOKUP($B$21,'ИПП 2кв25'!$AP$36:$AR$48,2,0),0)</f>
        <v>34</v>
      </c>
      <c r="J26" s="632">
        <f>ROUND($D26*VLOOKUP($B$21,'ИПП 2кв25'!$AP$36:$AR$48,3,0),0)</f>
        <v>4413940</v>
      </c>
      <c r="K26" s="597">
        <f>ROUND($D26*VLOOKUP($B$21,'ИПП 2кв25'!$AP$53:$AR$65,2,0),0)</f>
        <v>84</v>
      </c>
      <c r="L26" s="632">
        <f>ROUND($D26*VLOOKUP($B$21,'ИПП 2кв25'!$AP$53:$AR$65,3,0),0)</f>
        <v>10055019</v>
      </c>
      <c r="M26" s="596">
        <f t="shared" si="22"/>
        <v>460</v>
      </c>
      <c r="N26" s="626">
        <f t="shared" si="22"/>
        <v>59072021</v>
      </c>
      <c r="O26" s="609"/>
      <c r="P26" s="569" t="s">
        <v>24</v>
      </c>
      <c r="Q26" s="606">
        <f>SUMIFS(РД[S],РД[Дом],$Q$21,РД[МОП],$P26,РД[Дата подачи на регистрацию],"&gt;="&amp;$P$20,РД[Дата подачи на регистрацию],"&lt;"&amp;DATE(YEAR($B$21),MONTH($B$21)+1,1),РД[Состояние],"Продажа")-AE26/2</f>
        <v>0</v>
      </c>
      <c r="R26" s="597">
        <f>SUMIFS(РД[Стоимость без отделки итог],РД[Дом],$Q$21,РД[МОП],$P26,РД[Дата подачи на регистрацию],"&gt;="&amp;$P$20,РД[Дата подачи на регистрацию],"&lt;"&amp;DATE(YEAR($B$21),MONTH($B$21)+1,1),РД[Состояние],"Продажа")-AF26/2</f>
        <v>0</v>
      </c>
      <c r="S26" s="597">
        <f>SUMIFS(РД[S],РД[Дом],$S$21,РД[МОП],$P26,РД[Дата подачи на регистрацию],"&gt;="&amp;$P$20,РД[Дата подачи на регистрацию],"&lt;"&amp;DATE(YEAR($B$21),MONTH($B$21)+1,1),РД[Состояние],"Продажа")-AG26/2</f>
        <v>149.80500000000001</v>
      </c>
      <c r="T26" s="597">
        <f>SUMIFS(РД[Стоимость без отделки итог],РД[Дом],$S$21,РД[МОП],$P26,РД[Дата подачи на регистрацию],"&gt;="&amp;$P$20,РД[Дата подачи на регистрацию],"&lt;"&amp;DATE(YEAR($B$21),MONTH($B$21)+1,1),РД[Состояние],"Продажа")-AH26/2</f>
        <v>17345944</v>
      </c>
      <c r="U26" s="597">
        <f>SUMIFS(РД[S],РД[Дом],$U$21,РД[МОП],$P26,РД[Дата подачи на регистрацию],"&gt;="&amp;$P$20,РД[Дата подачи на регистрацию],"&lt;"&amp;DATE(YEAR($B$21),MONTH($B$21)+1,1),РД[Состояние],"Продажа")-AI26/2</f>
        <v>0</v>
      </c>
      <c r="V26" s="632">
        <f>SUMIFS(РД[Стоимость без отделки итог],РД[Дом],$U$21,РД[МОП],$P26,РД[Дата подачи на регистрацию],"&gt;="&amp;$P$20,РД[Дата подачи на регистрацию],"&lt;"&amp;DATE(YEAR($B$21),MONTH($B$21)+1,1),РД[Состояние],"Продажа")-AJ26/2</f>
        <v>0</v>
      </c>
      <c r="W26" s="573">
        <f>SUMIFS(РД[S],РД[Дом],$W$21,РД[МОП],$P26,РД[Дата подачи на регистрацию],"&gt;="&amp;$P$20,РД[Дата подачи на регистрацию],"&lt;"&amp;DATE(YEAR($B$21),MONTH($B$21)+1,1),РД[Состояние],"Продажа")-AK26/2</f>
        <v>136.84</v>
      </c>
      <c r="X26" s="628">
        <f>SUMIFS(РД[Стоимость без отделки итог],РД[Дом],$W$21,РД[МОП],$P26,РД[Дата подачи на регистрацию],"&gt;="&amp;$P$20,РД[Дата подачи на регистрацию],"&lt;"&amp;DATE(YEAR($B$21),MONTH($B$21)+1,1),РД[Состояние],"Продажа")-AL26/2</f>
        <v>16179848</v>
      </c>
      <c r="Y26" s="636">
        <f t="shared" si="19"/>
        <v>286.64499999999998</v>
      </c>
      <c r="Z26" s="573">
        <f t="shared" si="19"/>
        <v>33525792</v>
      </c>
      <c r="AA26" s="638">
        <f t="shared" si="20"/>
        <v>0.623141304347826</v>
      </c>
      <c r="AB26" s="617">
        <f t="shared" si="20"/>
        <v>0.56754096833761625</v>
      </c>
      <c r="AC26" s="609"/>
      <c r="AD26" s="569" t="s">
        <v>24</v>
      </c>
      <c r="AE26" s="636">
        <f>SUMIFS(РД[S],РД[Дом],$AE$21,РД[МОП],$AD26,РД[Источник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26" s="573">
        <f>SUMIFS(РД[Стоимость без отделки итог],РД[Дом],$AE$21,РД[МОП],$AD26,РД[Источник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26" s="573">
        <f>SUMIFS(РД[S],РД[Дом],$AG$21,РД[МОП],$AD26,РД[Источник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43.21</v>
      </c>
      <c r="AH26" s="573">
        <f>SUMIFS(РД[Стоимость без отделки итог],РД[Дом],$AG$21,РД[МОП],$AD26,РД[Источник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5459300</v>
      </c>
      <c r="AI26" s="573">
        <f>SUMIFS(РД[S],РД[Дом],$AI$21,РД[МОП],$AD26,РД[Источник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26" s="597">
        <f>SUMIFS(РД[Стоимость без отделки итог],РД[Дом],$AI$21,РД[МОП],$AD26,РД[Источник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26" s="597">
        <f>SUMIFS(РД[S],РД[Дом],$AK$21,РД[МОП],$AD26,РД[Источник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63.44</v>
      </c>
      <c r="AL26" s="626">
        <f>SUMIFS(РД[Стоимость без отделки итог],РД[Дом],$AK$21,РД[МОП],$AD26,РД[Источник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7125776</v>
      </c>
      <c r="AM26" s="572">
        <f t="shared" si="23"/>
        <v>106.65</v>
      </c>
      <c r="AN26" s="652">
        <f t="shared" si="23"/>
        <v>12585076</v>
      </c>
      <c r="AP26" s="651">
        <v>45839</v>
      </c>
      <c r="AQ26" s="667">
        <v>0</v>
      </c>
      <c r="AR26" s="668">
        <v>0</v>
      </c>
    </row>
    <row r="27" spans="2:44" ht="15.75">
      <c r="B27" s="569" t="s">
        <v>24</v>
      </c>
      <c r="C27" s="574">
        <v>180</v>
      </c>
      <c r="D27" s="575">
        <f t="shared" si="21"/>
        <v>0.2</v>
      </c>
      <c r="E27" s="596">
        <f>ROUND($D27*VLOOKUP($B$21,'ИПП 2кв25'!$AP$4:$AR$16,2,0),0)</f>
        <v>12</v>
      </c>
      <c r="F27" s="597">
        <f>ROUND($D27*VLOOKUP($B$21,'ИПП 2кв25'!$AP$4:$AR$16,3,0),0)</f>
        <v>1515821</v>
      </c>
      <c r="G27" s="597">
        <f>ROUND($D27*VLOOKUP($B$21,'ИПП 2кв25'!$AP$20:$AR$32,2,0),0)</f>
        <v>330</v>
      </c>
      <c r="H27" s="597">
        <f>ROUND($D27*VLOOKUP($B$21,'ИПП 2кв25'!$AP$20:$AR$32,3,0),0)</f>
        <v>43087241</v>
      </c>
      <c r="I27" s="597">
        <f>ROUND($D27*VLOOKUP($B$21,'ИПП 2кв25'!$AP$36:$AR$48,2,0),0)</f>
        <v>34</v>
      </c>
      <c r="J27" s="632">
        <f>ROUND($D27*VLOOKUP($B$21,'ИПП 2кв25'!$AP$36:$AR$48,3,0),0)</f>
        <v>4413940</v>
      </c>
      <c r="K27" s="597">
        <f>ROUND($D27*VLOOKUP($B$21,'ИПП 2кв25'!$AP$53:$AR$65,2,0),0)</f>
        <v>84</v>
      </c>
      <c r="L27" s="632">
        <f>ROUND($D27*VLOOKUP($B$21,'ИПП 2кв25'!$AP$53:$AR$65,3,0),0)</f>
        <v>10055019</v>
      </c>
      <c r="M27" s="596">
        <f t="shared" si="22"/>
        <v>460</v>
      </c>
      <c r="N27" s="626">
        <f t="shared" si="22"/>
        <v>59072021</v>
      </c>
      <c r="O27" s="609"/>
      <c r="P27" s="618" t="s">
        <v>14</v>
      </c>
      <c r="Q27" s="589">
        <f>SUMIFS(РД[S],РД[Дом],$Q$21,РД[МОП],$P27,РД[Дата подачи на регистрацию],"&gt;="&amp;$P$20,РД[Дата подачи на регистрацию],"&lt;"&amp;DATE(YEAR($B$21),MONTH($B$21)+1,1),РД[Состояние],"Продажа")-AE27/2</f>
        <v>0</v>
      </c>
      <c r="R27" s="590">
        <f>SUMIFS(РД[Стоимость без отделки итог],РД[Дом],$Q$21,РД[МОП],$P27,РД[Дата подачи на регистрацию],"&gt;="&amp;$P$20,РД[Дата подачи на регистрацию],"&lt;"&amp;DATE(YEAR($B$21),MONTH($B$21)+1,1),РД[Состояние],"Продажа")-AF27/2</f>
        <v>0</v>
      </c>
      <c r="S27" s="590">
        <f>SUMIFS(РД[S],РД[Дом],$S$21,РД[МОП],$P27,РД[Дата подачи на регистрацию],"&gt;="&amp;$P$20,РД[Дата подачи на регистрацию],"&lt;"&amp;DATE(YEAR($B$21),MONTH($B$21)+1,1),РД[Состояние],"Продажа")-AG27/2</f>
        <v>253.86</v>
      </c>
      <c r="T27" s="590">
        <f>SUMIFS(РД[Стоимость без отделки итог],РД[Дом],$S$21,РД[МОП],$P27,РД[Дата подачи на регистрацию],"&gt;="&amp;$P$20,РД[Дата подачи на регистрацию],"&lt;"&amp;DATE(YEAR($B$21),MONTH($B$21)+1,1),РД[Состояние],"Продажа")-AH27/2</f>
        <v>29069483</v>
      </c>
      <c r="U27" s="590">
        <f>SUMIFS(РД[S],РД[Дом],$U$21,РД[МОП],$P27,РД[Дата подачи на регистрацию],"&gt;="&amp;$P$20,РД[Дата подачи на регистрацию],"&lt;"&amp;DATE(YEAR($B$21),MONTH($B$21)+1,1),РД[Состояние],"Продажа")-AI27/2</f>
        <v>0</v>
      </c>
      <c r="V27" s="635">
        <f>SUMIFS(РД[Стоимость без отделки итог],РД[Дом],$U$21,РД[МОП],$P27,РД[Дата подачи на регистрацию],"&gt;="&amp;$P$20,РД[Дата подачи на регистрацию],"&lt;"&amp;DATE(YEAR($B$21),MONTH($B$21)+1,1),РД[Состояние],"Продажа")-AJ27/2</f>
        <v>0</v>
      </c>
      <c r="W27" s="573">
        <f>SUMIFS(РД[S],РД[Дом],$W$21,РД[МОП],$P27,РД[Дата подачи на регистрацию],"&gt;="&amp;$P$20,РД[Дата подачи на регистрацию],"&lt;"&amp;DATE(YEAR($B$21),MONTH($B$21)+1,1),РД[Состояние],"Продажа")-AK27/2</f>
        <v>22.125</v>
      </c>
      <c r="X27" s="628">
        <f>SUMIFS(РД[Стоимость без отделки итог],РД[Дом],$W$21,РД[МОП],$P27,РД[Дата подачи на регистрацию],"&gt;="&amp;$P$20,РД[Дата подачи на регистрацию],"&lt;"&amp;DATE(YEAR($B$21),MONTH($B$21)+1,1),РД[Состояние],"Продажа")-AL27/2</f>
        <v>2812600</v>
      </c>
      <c r="Y27" s="636">
        <f t="shared" si="19"/>
        <v>275.98500000000001</v>
      </c>
      <c r="Z27" s="573">
        <f t="shared" si="19"/>
        <v>31882083</v>
      </c>
      <c r="AA27" s="639" t="str">
        <f>IFERROR(Y27/M29,"")</f>
        <v/>
      </c>
      <c r="AB27" s="640" t="str">
        <f>IFERROR(Z27/N29,"")</f>
        <v/>
      </c>
      <c r="AC27" s="609"/>
      <c r="AD27" s="618" t="s">
        <v>14</v>
      </c>
      <c r="AE27" s="834">
        <f>SUMIFS(РД[S],РД[Дом],$AE$21,РД[МОП],$AD27,РД[Источник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27" s="835">
        <f>SUMIFS(РД[Стоимость без отделки итог],РД[Дом],$AE$21,РД[МОП],$AD27,РД[Источник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27" s="835">
        <f>SUMIFS(РД[S],РД[Дом],$AG$21,РД[МОП],$AD27,РД[Источник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118.03999999999999</v>
      </c>
      <c r="AH27" s="835">
        <f>SUMIFS(РД[Стоимость без отделки итог],РД[Дом],$AG$21,РД[МОП],$AD27,РД[Источник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13743000</v>
      </c>
      <c r="AI27" s="835">
        <f>SUMIFS(РД[S],РД[Дом],$AI$21,РД[МОП],$AD27,РД[Источник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27" s="602">
        <f>SUMIFS(РД[Стоимость без отделки итог],РД[Дом],$AI$21,РД[МОП],$AD27,РД[Источник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27" s="602">
        <f>SUMIFS(РД[S],РД[Дом],$AK$21,РД[МОП],$AD27,РД[Источник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44.25</v>
      </c>
      <c r="AL27" s="658">
        <f>SUMIFS(РД[Стоимость без отделки итог],РД[Дом],$AK$21,РД[МОП],$AD27,РД[Источник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5625200</v>
      </c>
      <c r="AM27" s="572">
        <f t="shared" si="23"/>
        <v>162.29</v>
      </c>
      <c r="AN27" s="652">
        <f t="shared" si="23"/>
        <v>19368200</v>
      </c>
      <c r="AP27" s="651">
        <v>45870</v>
      </c>
      <c r="AQ27" s="667">
        <v>609.80201443001397</v>
      </c>
      <c r="AR27" s="668">
        <v>78342683.890858293</v>
      </c>
    </row>
    <row r="28" spans="2:44" ht="15.75">
      <c r="B28" s="576" t="s">
        <v>14</v>
      </c>
      <c r="C28" s="577">
        <v>180</v>
      </c>
      <c r="D28" s="578">
        <f t="shared" si="21"/>
        <v>0.2</v>
      </c>
      <c r="E28" s="596">
        <f>ROUND($D28*VLOOKUP($B$21,'ИПП 2кв25'!$AP$4:$AR$16,2,0),0)</f>
        <v>12</v>
      </c>
      <c r="F28" s="597">
        <f>ROUND($D28*VLOOKUP($B$21,'ИПП 2кв25'!$AP$4:$AR$16,3,0),0)</f>
        <v>1515821</v>
      </c>
      <c r="G28" s="597">
        <f>ROUND($D28*VLOOKUP($B$21,'ИПП 2кв25'!$AP$20:$AR$32,2,0),0)</f>
        <v>330</v>
      </c>
      <c r="H28" s="597">
        <f>ROUND($D28*VLOOKUP($B$21,'ИПП 2кв25'!$AP$20:$AR$32,3,0),0)</f>
        <v>43087241</v>
      </c>
      <c r="I28" s="597">
        <f>ROUND($D28*VLOOKUP($B$21,'ИПП 2кв25'!$AP$36:$AR$48,2,0),0)</f>
        <v>34</v>
      </c>
      <c r="J28" s="632">
        <f>ROUND($D28*VLOOKUP($B$21,'ИПП 2кв25'!$AP$36:$AR$48,3,0),0)</f>
        <v>4413940</v>
      </c>
      <c r="K28" s="597">
        <f>ROUND($D28*VLOOKUP($B$21,'ИПП 2кв25'!$AP$53:$AR$65,2,0),0)</f>
        <v>84</v>
      </c>
      <c r="L28" s="632">
        <f>ROUND($D28*VLOOKUP($B$21,'ИПП 2кв25'!$AP$53:$AR$65,3,0),0)</f>
        <v>10055019</v>
      </c>
      <c r="M28" s="596">
        <f t="shared" ref="M28" si="24">E28+G28+I28+K28</f>
        <v>460</v>
      </c>
      <c r="N28" s="626">
        <f t="shared" ref="N28" si="25">F28+H28+J28+L28</f>
        <v>59072021</v>
      </c>
      <c r="O28" s="631"/>
      <c r="P28" s="581" t="s">
        <v>114</v>
      </c>
      <c r="Q28" s="582">
        <f t="shared" ref="Q28:Z28" si="26">SUM(Q23:Q27)</f>
        <v>0</v>
      </c>
      <c r="R28" s="584">
        <f t="shared" si="26"/>
        <v>0</v>
      </c>
      <c r="S28" s="584">
        <f t="shared" si="26"/>
        <v>495.03000000000003</v>
      </c>
      <c r="T28" s="584">
        <f t="shared" si="26"/>
        <v>56631494</v>
      </c>
      <c r="U28" s="584">
        <f t="shared" si="26"/>
        <v>61.41</v>
      </c>
      <c r="V28" s="629">
        <f t="shared" si="26"/>
        <v>7584135</v>
      </c>
      <c r="W28" s="584">
        <f t="shared" si="26"/>
        <v>195.60500000000002</v>
      </c>
      <c r="X28" s="629">
        <f t="shared" si="26"/>
        <v>23832276</v>
      </c>
      <c r="Y28" s="612">
        <f t="shared" si="26"/>
        <v>752.04499999999996</v>
      </c>
      <c r="Z28" s="584">
        <f t="shared" si="26"/>
        <v>88047905</v>
      </c>
      <c r="AA28" s="641">
        <f>IFERROR(Y28/M30,"")</f>
        <v>0.32697608695652169</v>
      </c>
      <c r="AB28" s="583">
        <f>IFERROR(Z28/N30,"")</f>
        <v>0.29810358105066354</v>
      </c>
      <c r="AC28" s="631"/>
      <c r="AD28" s="642" t="s">
        <v>114</v>
      </c>
      <c r="AE28" s="836">
        <f t="shared" ref="AE28:AL28" si="27">SUM(AE23:AE27)</f>
        <v>0</v>
      </c>
      <c r="AF28" s="837">
        <f t="shared" si="27"/>
        <v>0</v>
      </c>
      <c r="AG28" s="837">
        <f t="shared" si="27"/>
        <v>219.64</v>
      </c>
      <c r="AH28" s="837">
        <f t="shared" si="27"/>
        <v>25404880</v>
      </c>
      <c r="AI28" s="837">
        <f t="shared" si="27"/>
        <v>0</v>
      </c>
      <c r="AJ28" s="841">
        <f t="shared" si="27"/>
        <v>0</v>
      </c>
      <c r="AK28" s="837">
        <f t="shared" si="27"/>
        <v>107.69</v>
      </c>
      <c r="AL28" s="841">
        <f t="shared" si="27"/>
        <v>12750976</v>
      </c>
      <c r="AM28" s="655">
        <f>AE28+AG28+AI28+AK28</f>
        <v>327.33</v>
      </c>
      <c r="AN28" s="656">
        <f>AF28+AH28+AJ28+AL28</f>
        <v>38155856</v>
      </c>
      <c r="AP28" s="651">
        <v>45901</v>
      </c>
      <c r="AQ28" s="667">
        <v>609.80201443001397</v>
      </c>
      <c r="AR28" s="668">
        <v>78342683.890858293</v>
      </c>
    </row>
    <row r="29" spans="2:44" ht="16.5" customHeight="1">
      <c r="B29" s="618"/>
      <c r="C29" s="577"/>
      <c r="D29" s="600">
        <f t="shared" si="21"/>
        <v>0</v>
      </c>
      <c r="E29" s="601">
        <f>ROUND($D29*VLOOKUP($B$21,'ИПП 2кв25'!$AP$4:$AR$16,2,0),0)</f>
        <v>0</v>
      </c>
      <c r="F29" s="602">
        <f>ROUND($D29*VLOOKUP($B$21,'ИПП 2кв25'!$AP$4:$AR$16,3,0),0)</f>
        <v>0</v>
      </c>
      <c r="G29" s="602">
        <f>ROUND($D29*VLOOKUP($B$21,'ИПП 2кв25'!$AP$20:$AR$32,2,0),0)</f>
        <v>0</v>
      </c>
      <c r="H29" s="602">
        <f>ROUND($D29*VLOOKUP($B$21,'ИПП 2кв25'!$AP$20:$AR$32,3,0),0)</f>
        <v>0</v>
      </c>
      <c r="I29" s="602">
        <f>ROUND($D29*VLOOKUP($B$21,'ИПП 2кв25'!$AP$36:$AR$48,2,0),0)</f>
        <v>0</v>
      </c>
      <c r="J29" s="633">
        <f>ROUND($D29*VLOOKUP($B$21,'ИПП 2кв25'!$AP$36:$AR$48,3,0),0)</f>
        <v>0</v>
      </c>
      <c r="K29" s="602">
        <f>ROUND($D29*VLOOKUP($B$21,'ИПП 2кв25'!$AP$53:$AR$65,2,0),0)</f>
        <v>0</v>
      </c>
      <c r="L29" s="633">
        <f>ROUND($D29*VLOOKUP($B$21,'ИПП 2кв25'!$AP$53:$AR$65,3,0),0)</f>
        <v>0</v>
      </c>
      <c r="M29" s="596">
        <f t="shared" si="22"/>
        <v>0</v>
      </c>
      <c r="N29" s="626">
        <f t="shared" si="22"/>
        <v>0</v>
      </c>
      <c r="O29" s="622"/>
      <c r="P29" s="2353" t="s">
        <v>3</v>
      </c>
      <c r="Q29" s="2360" t="s">
        <v>7</v>
      </c>
      <c r="R29" s="2333"/>
      <c r="S29" s="2333" t="s">
        <v>13</v>
      </c>
      <c r="T29" s="2333"/>
      <c r="U29" s="2333" t="s">
        <v>1875</v>
      </c>
      <c r="V29" s="2352"/>
      <c r="W29" s="2333" t="s">
        <v>1876</v>
      </c>
      <c r="X29" s="2352"/>
      <c r="Y29" s="2332" t="s">
        <v>114</v>
      </c>
      <c r="Z29" s="2333"/>
      <c r="AA29" s="2333" t="s">
        <v>1877</v>
      </c>
      <c r="AB29" s="2334"/>
      <c r="AC29" s="622"/>
      <c r="AD29" s="2350" t="s">
        <v>3</v>
      </c>
      <c r="AE29" s="2332" t="s">
        <v>7</v>
      </c>
      <c r="AF29" s="2333"/>
      <c r="AG29" s="2333" t="s">
        <v>13</v>
      </c>
      <c r="AH29" s="2333"/>
      <c r="AI29" s="2333" t="s">
        <v>1875</v>
      </c>
      <c r="AJ29" s="2333"/>
      <c r="AK29" s="2343" t="s">
        <v>1876</v>
      </c>
      <c r="AL29" s="2336"/>
      <c r="AM29" s="2343" t="s">
        <v>114</v>
      </c>
      <c r="AN29" s="2336"/>
      <c r="AP29" s="651">
        <v>45931</v>
      </c>
      <c r="AQ29" s="667">
        <v>488.95941702741698</v>
      </c>
      <c r="AR29" s="668">
        <v>63349679.672100499</v>
      </c>
    </row>
    <row r="30" spans="2:44">
      <c r="B30" s="581" t="s">
        <v>114</v>
      </c>
      <c r="C30" s="582">
        <f t="shared" ref="C30:L30" si="28">SUM(C24:C29)</f>
        <v>900</v>
      </c>
      <c r="D30" s="583">
        <f t="shared" si="28"/>
        <v>1</v>
      </c>
      <c r="E30" s="582">
        <f t="shared" si="28"/>
        <v>60</v>
      </c>
      <c r="F30" s="584">
        <f t="shared" si="28"/>
        <v>7579105</v>
      </c>
      <c r="G30" s="584">
        <f t="shared" si="28"/>
        <v>1650</v>
      </c>
      <c r="H30" s="584">
        <f t="shared" si="28"/>
        <v>215436205</v>
      </c>
      <c r="I30" s="584">
        <f t="shared" si="28"/>
        <v>170</v>
      </c>
      <c r="J30" s="629">
        <f t="shared" si="28"/>
        <v>22069700</v>
      </c>
      <c r="K30" s="584">
        <f t="shared" si="28"/>
        <v>420</v>
      </c>
      <c r="L30" s="629">
        <f t="shared" si="28"/>
        <v>50275095</v>
      </c>
      <c r="M30" s="612">
        <f t="shared" si="22"/>
        <v>2300</v>
      </c>
      <c r="N30" s="630">
        <f t="shared" si="22"/>
        <v>295360105</v>
      </c>
      <c r="O30" s="622"/>
      <c r="P30" s="2354"/>
      <c r="Q30" s="562" t="s">
        <v>1872</v>
      </c>
      <c r="R30" s="563" t="s">
        <v>1881</v>
      </c>
      <c r="S30" s="562" t="s">
        <v>1872</v>
      </c>
      <c r="T30" s="563" t="s">
        <v>1881</v>
      </c>
      <c r="U30" s="562" t="s">
        <v>1872</v>
      </c>
      <c r="V30" s="563" t="s">
        <v>1881</v>
      </c>
      <c r="W30" s="562" t="s">
        <v>1872</v>
      </c>
      <c r="X30" s="563" t="s">
        <v>1881</v>
      </c>
      <c r="Y30" s="610" t="s">
        <v>1872</v>
      </c>
      <c r="Z30" s="563" t="s">
        <v>1881</v>
      </c>
      <c r="AA30" s="563" t="s">
        <v>1872</v>
      </c>
      <c r="AB30" s="624" t="s">
        <v>1881</v>
      </c>
      <c r="AC30" s="622"/>
      <c r="AD30" s="2359"/>
      <c r="AE30" s="610" t="s">
        <v>1872</v>
      </c>
      <c r="AF30" s="563" t="s">
        <v>1881</v>
      </c>
      <c r="AG30" s="563" t="s">
        <v>1872</v>
      </c>
      <c r="AH30" s="563" t="s">
        <v>1881</v>
      </c>
      <c r="AI30" s="563" t="s">
        <v>1872</v>
      </c>
      <c r="AJ30" s="825" t="s">
        <v>1881</v>
      </c>
      <c r="AK30" s="562" t="s">
        <v>1872</v>
      </c>
      <c r="AL30" s="624" t="s">
        <v>1881</v>
      </c>
      <c r="AM30" s="562" t="s">
        <v>1872</v>
      </c>
      <c r="AN30" s="624" t="s">
        <v>1881</v>
      </c>
      <c r="AP30" s="651">
        <v>45962</v>
      </c>
      <c r="AQ30" s="667">
        <v>488.95941702741698</v>
      </c>
      <c r="AR30" s="668">
        <v>63349679.672100499</v>
      </c>
    </row>
    <row r="31" spans="2:44" ht="15.75">
      <c r="B31" s="2344" t="s">
        <v>1882</v>
      </c>
      <c r="C31" s="2343"/>
      <c r="D31" s="2336"/>
      <c r="E31" s="2343" t="s">
        <v>7</v>
      </c>
      <c r="F31" s="2360"/>
      <c r="G31" s="2352" t="s">
        <v>13</v>
      </c>
      <c r="H31" s="2360"/>
      <c r="I31" s="2352" t="s">
        <v>1875</v>
      </c>
      <c r="J31" s="2343"/>
      <c r="K31" s="2352" t="s">
        <v>1876</v>
      </c>
      <c r="L31" s="2343"/>
      <c r="M31" s="2335" t="s">
        <v>114</v>
      </c>
      <c r="N31" s="2336"/>
      <c r="O31" s="609"/>
      <c r="P31" s="569" t="s">
        <v>22</v>
      </c>
      <c r="Q31" s="572">
        <f>SUMIFS(РД[S],РД[Дом],$Q$21,РД[ИМ],$P31,РД[Дата подачи на регистрацию],"&gt;="&amp;$P$20,РД[Дата подачи на регистрацию],"&lt;"&amp;DATE(YEAR($B$21),MONTH($B$21)+1,1),РД[Состояние],"Продажа")-AE31/2</f>
        <v>0</v>
      </c>
      <c r="R31" s="573">
        <f>SUMIFS(РД[Стоимость без отделки итог],РД[Дом],$Q$21,РД[ИМ],$P31,РД[Дата подачи на регистрацию],"&gt;="&amp;$P$20,РД[Дата подачи на регистрацию],"&lt;"&amp;DATE(YEAR($B$21),MONTH($B$21)+1,1),РД[Состояние],"Продажа")-AF31/2</f>
        <v>0</v>
      </c>
      <c r="S31" s="573">
        <f>SUMIFS(РД[S],РД[Дом],$S$21,РД[ИМ],$P31,РД[Дата подачи на регистрацию],"&gt;="&amp;$P$20,РД[Дата подачи на регистрацию],"&lt;"&amp;DATE(YEAR($B$21),MONTH($B$21)+1,1),РД[Состояние],"Продажа")-AG31/2</f>
        <v>184.78500000000003</v>
      </c>
      <c r="T31" s="573">
        <f>SUMIFS(РД[Стоимость без отделки итог],РД[Дом],$S$21,РД[ИМ],$P31,РД[Дата подачи на регистрацию],"&gt;="&amp;$P$20,РД[Дата подачи на регистрацию],"&lt;"&amp;DATE(YEAR($B$21),MONTH($B$21)+1,1),РД[Состояние],"Продажа")-AH31/2</f>
        <v>22115642</v>
      </c>
      <c r="U31" s="573">
        <f>SUMIFS(РД[S],РД[Дом],$U$21,РД[ИМ],$P31,РД[Дата подачи на регистрацию],"&gt;="&amp;$P$20,РД[Дата подачи на регистрацию],"&lt;"&amp;DATE(YEAR($B$21),MONTH($B$21)+1,1),РД[Состояние],"Продажа")-AI31/2</f>
        <v>0</v>
      </c>
      <c r="V31" s="628">
        <f>SUMIFS(РД[Стоимость без отделки итог],РД[Дом],$U$21,РД[ИМ],$P31,РД[Дата подачи на регистрацию],"&gt;="&amp;$P$20,РД[Дата подачи на регистрацию],"&lt;"&amp;DATE(YEAR($B$21),MONTH($B$21)+1,1),РД[Состояние],"Продажа")-AJ31/2</f>
        <v>0</v>
      </c>
      <c r="W31" s="597">
        <f>SUMIFS(РД[S],РД[Дом],$W$21,РД[ИМ],$P14,РД[Дата подачи на регистрацию],"&gt;="&amp;$P$20,РД[Дата подачи на регистрацию],"&lt;"&amp;DATE(YEAR($B$21),MONTH($B$21)+1,1),РД[Состояние],"Продажа")-AK31/2</f>
        <v>0</v>
      </c>
      <c r="X31" s="632">
        <f>SUMIFS(РД[Стоимость без отделки итог],РД[Дом],$W$21,РД[ИМ],$P14,РД[Дата подачи на регистрацию],"&gt;="&amp;$P$20,РД[Дата подачи на регистрацию],"&lt;"&amp;DATE(YEAR($B$21),MONTH($B$21)+1,1),РД[Состояние],"Продажа")-AL31/2</f>
        <v>0</v>
      </c>
      <c r="Y31" s="636">
        <f>Q31+S31+U31+W31</f>
        <v>184.78500000000003</v>
      </c>
      <c r="Z31" s="573">
        <f>R31+T31+V31+X31</f>
        <v>22115642</v>
      </c>
      <c r="AA31" s="645">
        <f t="shared" ref="AA31:AB34" si="29">IFERROR(Y31/M33,"")</f>
        <v>0.27529537853450903</v>
      </c>
      <c r="AB31" s="588">
        <f t="shared" si="29"/>
        <v>0.25657111406027971</v>
      </c>
      <c r="AC31" s="609"/>
      <c r="AD31" s="569" t="s">
        <v>22</v>
      </c>
      <c r="AE31" s="594">
        <f>SUMIFS(РД[S],РД[Дом],$AE$21,РД[ИМ],$AD31,РД[Источник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31" s="568">
        <f>SUMIFS(РД[Стоимость без отделки итог],РД[Дом],$AE$21,РД[ИМ],$AD31,РД[Источник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31" s="568">
        <f>SUMIFS(РД[S],РД[Дом],$AG$21,РД[ИМ],$AD31,РД[Источник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43.21</v>
      </c>
      <c r="AH31" s="568">
        <f>SUMIFS(РД[Стоимость без отделки итог],РД[Дом],$AG$21,РД[ИМ],$AD31,РД[Источник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5459300</v>
      </c>
      <c r="AI31" s="568">
        <f>SUMIFS(РД[S],РД[Дом],$AI$21,РД[ИМ],$AD31,РД[Источник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31" s="625">
        <f>SUMIFS(РД[Стоимость без отделки итог],РД[Дом],$AI$21,РД[ИМ],$AD31,РД[Источник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31" s="568">
        <f>SUMIFS(РД[S],РД[Дом],$AK$29,РД[ИМ],$AD31,РД[Источник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31" s="808">
        <f>SUMIFS(РД[Стоимость без отделки итог],РД[Дом],$AK$29,РД[ИМ],$AD31,РД[Источник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31" s="594">
        <f t="shared" ref="AM31:AN33" si="30">AE31+AG31+AI31+AK31</f>
        <v>43.21</v>
      </c>
      <c r="AN31" s="808">
        <f t="shared" si="30"/>
        <v>5459300</v>
      </c>
      <c r="AP31" s="651">
        <v>45992</v>
      </c>
      <c r="AQ31" s="667">
        <v>283.44685137085099</v>
      </c>
      <c r="AR31" s="668">
        <v>37395698.992240697</v>
      </c>
    </row>
    <row r="32" spans="2:44" ht="15.75">
      <c r="B32" s="559" t="s">
        <v>1878</v>
      </c>
      <c r="C32" s="560" t="s">
        <v>1879</v>
      </c>
      <c r="D32" s="561" t="s">
        <v>1880</v>
      </c>
      <c r="E32" s="562" t="s">
        <v>1872</v>
      </c>
      <c r="F32" s="563" t="s">
        <v>1881</v>
      </c>
      <c r="G32" s="562" t="s">
        <v>1872</v>
      </c>
      <c r="H32" s="563" t="s">
        <v>1881</v>
      </c>
      <c r="I32" s="562" t="s">
        <v>1872</v>
      </c>
      <c r="J32" s="623" t="s">
        <v>1881</v>
      </c>
      <c r="K32" s="563" t="s">
        <v>1872</v>
      </c>
      <c r="L32" s="624" t="s">
        <v>1881</v>
      </c>
      <c r="M32" s="610" t="s">
        <v>1872</v>
      </c>
      <c r="N32" s="624" t="s">
        <v>1881</v>
      </c>
      <c r="O32" s="609"/>
      <c r="P32" s="569" t="s">
        <v>26</v>
      </c>
      <c r="Q32" s="606">
        <f>SUMIFS(РД[S],РД[Дом],$Q$21,РД[ИМ],$P32,РД[Дата подачи на регистрацию],"&gt;="&amp;$P$20,РД[Дата подачи на регистрацию],"&lt;"&amp;DATE(YEAR($B$21),MONTH($B$21)+1,1),РД[Состояние],"Продажа")</f>
        <v>0</v>
      </c>
      <c r="R32" s="597">
        <f>SUMIFS(РД[Стоимость без отделки итог],РД[Дом],$Q$21,РД[ИМ],$P32,РД[Дата подачи на регистрацию],"&gt;="&amp;$P$20,РД[Дата подачи на регистрацию],"&lt;"&amp;DATE(YEAR($B$21),MONTH($B$21)+1,1),РД[Состояние],"Продажа")</f>
        <v>0</v>
      </c>
      <c r="S32" s="597">
        <f>SUMIFS(РД[S],РД[Дом],$S$21,РД[ИМ],$P32,РД[Дата подачи на регистрацию],"&gt;="&amp;$P$20,РД[Дата подачи на регистрацию],"&lt;"&amp;DATE(YEAR($B$21),MONTH($B$21)+1,1),РД[Состояние],"Продажа")</f>
        <v>319.02000000000004</v>
      </c>
      <c r="T32" s="597">
        <f>SUMIFS(РД[Стоимость без отделки итог],РД[Дом],$S$21,РД[ИМ],$P32,РД[Дата подачи на регистрацию],"&gt;="&amp;$P$20,РД[Дата подачи на регистрацию],"&lt;"&amp;DATE(YEAR($B$21),MONTH($B$21)+1,1),РД[Состояние],"Продажа")</f>
        <v>35543274</v>
      </c>
      <c r="U32" s="597">
        <f>SUMIFS(РД[S],РД[Дом],$U$21,РД[ИМ],$P32,РД[Дата подачи на регистрацию],"&gt;="&amp;$P$20,РД[Дата подачи на регистрацию],"&lt;"&amp;DATE(YEAR($B$21),MONTH($B$21)+1,1),РД[Состояние],"Продажа")</f>
        <v>0</v>
      </c>
      <c r="V32" s="632">
        <f>SUMIFS(РД[Стоимость без отделки итог],РД[Дом],$U$21,РД[ИМ],$P32,РД[Дата подачи на регистрацию],"&gt;="&amp;$P$20,РД[Дата подачи на регистрацию],"&lt;"&amp;DATE(YEAR($B$21),MONTH($B$21)+1,1),РД[Состояние],"Продажа")</f>
        <v>0</v>
      </c>
      <c r="W32" s="597">
        <f>SUMIFS(РД[S],РД[Дом],$W$21,РД[ИМ],$P15,РД[Дата подачи на регистрацию],"&gt;="&amp;$P$20,РД[Дата подачи на регистрацию],"&lt;"&amp;DATE(YEAR($B$21),MONTH($B$21)+1,1),РД[Состояние],"Продажа")-AK32/2</f>
        <v>0</v>
      </c>
      <c r="X32" s="632">
        <f>SUMIFS(РД[Стоимость без отделки итог],РД[Дом],$W$21,РД[ИМ],$P15,РД[Дата подачи на регистрацию],"&gt;="&amp;$P$20,РД[Дата подачи на регистрацию],"&lt;"&amp;DATE(YEAR($B$21),MONTH($B$21)+1,1),РД[Состояние],"Продажа")-AL32/2</f>
        <v>0</v>
      </c>
      <c r="Y32" s="636">
        <f t="shared" ref="Y32:Z33" si="31">Q32+S32+U32+W32</f>
        <v>319.02000000000004</v>
      </c>
      <c r="Z32" s="573">
        <f t="shared" si="31"/>
        <v>35543274</v>
      </c>
      <c r="AA32" s="638">
        <f t="shared" si="29"/>
        <v>0.38726570048309189</v>
      </c>
      <c r="AB32" s="617">
        <f t="shared" si="29"/>
        <v>0.33598860994145135</v>
      </c>
      <c r="AC32" s="609"/>
      <c r="AD32" s="569" t="s">
        <v>26</v>
      </c>
      <c r="AE32" s="636">
        <f>SUMIFS(РД[S],РД[Дом],$AE$21,РД[ИМ],$AD32,РД[Источник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32" s="573">
        <f>SUMIFS(РД[Стоимость без отделки итог],РД[Дом],$AE$21,РД[ИМ],$AD32,РД[Источник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32" s="573">
        <f>SUMIFS(РД[S],РД[Дом],$AG$21,РД[ИМ],$AD32,РД[Источник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176.43</v>
      </c>
      <c r="AH32" s="573">
        <f>SUMIFS(РД[Стоимость без отделки итог],РД[Дом],$AG$21,РД[ИМ],$AD32,РД[Источник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19945580</v>
      </c>
      <c r="AI32" s="573">
        <f>SUMIFS(РД[S],РД[Дом],$AI$21,РД[ИМ],$AD32,РД[Источник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32" s="628">
        <f>SUMIFS(РД[Стоимость без отделки итог],РД[Дом],$AI$21,РД[ИМ],$AD32,РД[Источник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32" s="573">
        <f>SUMIFS(РД[S],РД[Дом],$AK$29,РД[ИМ],$AD32,РД[Источник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32" s="652">
        <f>SUMIFS(РД[Стоимость без отделки итог],РД[Дом],$AK$29,РД[ИМ],$AD32,РД[Источник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32" s="636">
        <f t="shared" si="30"/>
        <v>176.43</v>
      </c>
      <c r="AN32" s="652">
        <f t="shared" si="30"/>
        <v>19945580</v>
      </c>
      <c r="AP32" s="660" t="s">
        <v>1883</v>
      </c>
      <c r="AQ32" s="671">
        <f>SUM(AQ20:AQ31)</f>
        <v>10461.11999999999</v>
      </c>
      <c r="AR32" s="671">
        <f>SUM(AR20:AR31)</f>
        <v>1347797113.5839193</v>
      </c>
    </row>
    <row r="33" spans="2:44" ht="15.75">
      <c r="B33" s="569" t="s">
        <v>22</v>
      </c>
      <c r="C33" s="570">
        <v>132</v>
      </c>
      <c r="D33" s="588">
        <f>C33/$C$36</f>
        <v>0.44897959183673469</v>
      </c>
      <c r="E33" s="572">
        <f>$D33*($E$30*$B$37)</f>
        <v>17.510204081632654</v>
      </c>
      <c r="F33" s="573">
        <f>$D33*($F$30*$B$37)</f>
        <v>2211861.2551020407</v>
      </c>
      <c r="G33" s="573">
        <f>$D33*($G$30*$B$37)</f>
        <v>481.53061224489795</v>
      </c>
      <c r="H33" s="573">
        <f>$D33*($H$30*$B$37)</f>
        <v>62872198.60204082</v>
      </c>
      <c r="I33" s="573">
        <f>$D33*($I$30*$B$37)</f>
        <v>49.612244897959187</v>
      </c>
      <c r="J33" s="628">
        <f>$D33*($J$30*$B$37)</f>
        <v>6440749.1836734693</v>
      </c>
      <c r="K33" s="573">
        <f>$D33*($K$30*$B$37)</f>
        <v>122.57142857142857</v>
      </c>
      <c r="L33" s="628">
        <f>$D33*($L$30*$B$37)</f>
        <v>14672119.56122449</v>
      </c>
      <c r="M33" s="596">
        <f t="shared" ref="M33:N36" si="32">E33+G33+I33+K33</f>
        <v>671.22448979591832</v>
      </c>
      <c r="N33" s="626">
        <f t="shared" si="32"/>
        <v>86196928.602040812</v>
      </c>
      <c r="O33" s="609"/>
      <c r="P33" s="627" t="s">
        <v>3</v>
      </c>
      <c r="Q33" s="589">
        <f>SUMIFS(РД[S],РД[Дом],$Q$21,РД[ИМ],$P33,РД[Дата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R33" s="590">
        <f>SUMIFS(РД[Стоимость без отделки итог],РД[Дом],$Q$21,РД[ИМ],$P33,РД[Дата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S33" s="590">
        <f>SUMIFS(РД[S],РД[Дом],$S$21,РД[ИМ],$P33,РД[Дата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T33" s="590">
        <f>SUMIFS(РД[Стоимость без отделки итог],РД[Дом],$S$21,РД[ИМ],$P33,РД[Дата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U33" s="590">
        <f>SUMIFS(РД[S],РД[Дом],$U$21,РД[ИМ],$P33,РД[Дата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V33" s="635">
        <f>SUMIFS(РД[Стоимость без отделки итог],РД[Дом],$U$21,РД[ИМ],$P33,РД[Дата подачи на регистрацию],"&gt;="&amp;$P$20,РД[Дата подачи на регистрацию],"&lt;"&amp;DATE(YEAR($B$21),MONTH($B$21)+1,1),РД[Состояние],"Продажа")</f>
        <v>0</v>
      </c>
      <c r="W33" s="597">
        <f>SUMIFS(РД[S],РД[Дом],$W$21,РД[ИМ],$P16,РД[Дата подачи на регистрацию],"&gt;="&amp;$P$20,РД[Дата подачи на регистрацию],"&lt;"&amp;DATE(YEAR($B$21),MONTH($B$21)+1,1),РД[Состояние],"Продажа")-AK33/2</f>
        <v>0</v>
      </c>
      <c r="X33" s="632">
        <f>SUMIFS(РД[Стоимость без отделки итог],РД[Дом],$W$21,РД[ИМ],$P16,РД[Дата подачи на регистрацию],"&gt;="&amp;$P$20,РД[Дата подачи на регистрацию],"&lt;"&amp;DATE(YEAR($B$21),MONTH($B$21)+1,1),РД[Состояние],"Продажа")-AL33/2</f>
        <v>0</v>
      </c>
      <c r="Y33" s="636">
        <f t="shared" si="31"/>
        <v>0</v>
      </c>
      <c r="Z33" s="573">
        <f t="shared" si="31"/>
        <v>0</v>
      </c>
      <c r="AA33" s="639" t="str">
        <f t="shared" si="29"/>
        <v/>
      </c>
      <c r="AB33" s="640" t="str">
        <f t="shared" si="29"/>
        <v/>
      </c>
      <c r="AC33" s="609"/>
      <c r="AD33" s="627" t="s">
        <v>3</v>
      </c>
      <c r="AE33" s="834">
        <f>SUMIFS(РД[S],РД[Дом],$AE$21,РД[ИМ],$AD33,РД[Источник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F33" s="835">
        <f>SUMIFS(РД[Стоимость без отделки итог],РД[Дом],$AE$21,РД[ИМ],$AD33,РД[Источник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G33" s="835">
        <f>SUMIFS(РД[S],РД[Дом],$AG$21,РД[ИМ],$AD33,РД[Источник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H33" s="835">
        <f>SUMIFS(РД[Стоимость без отделки итог],РД[Дом],$AG$21,РД[ИМ],$AD33,РД[Источник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I33" s="835">
        <f>SUMIFS(РД[S],РД[Дом],$AI$21,РД[ИМ],$AD33,РД[Источник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J33" s="839">
        <f>SUMIFS(РД[Стоимость без отделки итог],РД[Дом],$AI$21,РД[ИМ],$AD33,РД[Источник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K33" s="835">
        <f>SUMIFS(РД[S],РД[Дом],$AK$29,РД[ИМ],$AD33,РД[Источник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L33" s="840">
        <f>SUMIFS(РД[Стоимость без отделки итог],РД[Дом],$AK$29,РД[ИМ],$AD33,РД[Источник обращения],"Агент*",РД[Дата подачи на регистрацию],"&gt;="&amp;$AD$20,РД[Дата подачи на регистрацию],"&lt;"&amp;DATE(YEAR($B$21),MONTH($B$21)+1,1),РД[Состояние],"Продажа")</f>
        <v>0</v>
      </c>
      <c r="AM33" s="636">
        <f t="shared" si="30"/>
        <v>0</v>
      </c>
      <c r="AN33" s="652">
        <f t="shared" si="30"/>
        <v>0</v>
      </c>
    </row>
    <row r="34" spans="2:44" ht="15.75">
      <c r="B34" s="569" t="s">
        <v>26</v>
      </c>
      <c r="C34" s="570">
        <v>162</v>
      </c>
      <c r="D34" s="588">
        <f>C34/$C$36</f>
        <v>0.55102040816326525</v>
      </c>
      <c r="E34" s="572">
        <f>$D34*($E$30*$B$37)</f>
        <v>21.489795918367346</v>
      </c>
      <c r="F34" s="573">
        <f>$D34*($F$30*$B$37)</f>
        <v>2714556.9948979588</v>
      </c>
      <c r="G34" s="573">
        <f>$D34*($G$30*$B$37)</f>
        <v>590.96938775510193</v>
      </c>
      <c r="H34" s="573">
        <f>$D34*($H$30*$B$37)</f>
        <v>77161334.647959173</v>
      </c>
      <c r="I34" s="573">
        <f>$D34*($I$30*$B$37)</f>
        <v>60.887755102040813</v>
      </c>
      <c r="J34" s="628">
        <f>$D34*($J$30*$B$37)</f>
        <v>7904555.8163265297</v>
      </c>
      <c r="K34" s="573">
        <f>$D34*($K$30*$B$37)</f>
        <v>150.42857142857142</v>
      </c>
      <c r="L34" s="628">
        <f>$D34*($L$30*$B$37)</f>
        <v>18006692.18877551</v>
      </c>
      <c r="M34" s="596">
        <f t="shared" si="32"/>
        <v>823.77551020408157</v>
      </c>
      <c r="N34" s="626">
        <f t="shared" si="32"/>
        <v>105787139.64795917</v>
      </c>
      <c r="O34" s="631"/>
      <c r="P34" s="581" t="s">
        <v>114</v>
      </c>
      <c r="Q34" s="582">
        <f>SUM(Q31:Q33)</f>
        <v>0</v>
      </c>
      <c r="R34" s="584">
        <f t="shared" ref="R34:Z34" si="33">SUM(R31:R33)</f>
        <v>0</v>
      </c>
      <c r="S34" s="584">
        <f t="shared" si="33"/>
        <v>503.80500000000006</v>
      </c>
      <c r="T34" s="584">
        <f t="shared" si="33"/>
        <v>57658916</v>
      </c>
      <c r="U34" s="584">
        <f t="shared" si="33"/>
        <v>0</v>
      </c>
      <c r="V34" s="629">
        <f t="shared" si="33"/>
        <v>0</v>
      </c>
      <c r="W34" s="584">
        <f t="shared" si="33"/>
        <v>0</v>
      </c>
      <c r="X34" s="629">
        <f t="shared" si="33"/>
        <v>0</v>
      </c>
      <c r="Y34" s="612">
        <f t="shared" si="33"/>
        <v>503.80500000000006</v>
      </c>
      <c r="Z34" s="584">
        <f t="shared" si="33"/>
        <v>57658916</v>
      </c>
      <c r="AA34" s="641">
        <f t="shared" si="29"/>
        <v>0.33699331103678937</v>
      </c>
      <c r="AB34" s="583">
        <f t="shared" si="29"/>
        <v>0.30033177505602732</v>
      </c>
      <c r="AC34" s="631"/>
      <c r="AD34" s="581" t="s">
        <v>114</v>
      </c>
      <c r="AE34" s="584">
        <f t="shared" ref="AE34:AL34" si="34">SUM(AE31:AE33)</f>
        <v>0</v>
      </c>
      <c r="AF34" s="584">
        <f t="shared" si="34"/>
        <v>0</v>
      </c>
      <c r="AG34" s="584">
        <f t="shared" si="34"/>
        <v>219.64000000000001</v>
      </c>
      <c r="AH34" s="584">
        <f t="shared" si="34"/>
        <v>25404880</v>
      </c>
      <c r="AI34" s="584">
        <f t="shared" si="34"/>
        <v>0</v>
      </c>
      <c r="AJ34" s="629">
        <f t="shared" si="34"/>
        <v>0</v>
      </c>
      <c r="AK34" s="584">
        <f t="shared" si="34"/>
        <v>0</v>
      </c>
      <c r="AL34" s="629">
        <f t="shared" si="34"/>
        <v>0</v>
      </c>
      <c r="AM34" s="612">
        <f>AE34+AG34+AI34+AK34</f>
        <v>219.64000000000001</v>
      </c>
      <c r="AN34" s="630">
        <f>AF34+AH34+AJ34+AL34</f>
        <v>25404880</v>
      </c>
      <c r="AP34" s="2337" t="s">
        <v>1875</v>
      </c>
      <c r="AQ34" s="2337"/>
      <c r="AR34" s="2337"/>
    </row>
    <row r="35" spans="2:44" ht="15.75">
      <c r="B35" s="627" t="s">
        <v>3</v>
      </c>
      <c r="C35" s="577">
        <v>0</v>
      </c>
      <c r="D35" s="588">
        <f>C35/$C$36</f>
        <v>0</v>
      </c>
      <c r="E35" s="572">
        <f>$D35*($E$30*$B$37)</f>
        <v>0</v>
      </c>
      <c r="F35" s="573">
        <f>$D35*($F$30*$B$37)</f>
        <v>0</v>
      </c>
      <c r="G35" s="573">
        <f>$D35*($G$30*$B$37)</f>
        <v>0</v>
      </c>
      <c r="H35" s="573">
        <f>$D35*($H$30*$B$37)</f>
        <v>0</v>
      </c>
      <c r="I35" s="573">
        <f>$D35*($I$30*$B$37)</f>
        <v>0</v>
      </c>
      <c r="J35" s="628">
        <f>$D35*($J$30*$B$37)</f>
        <v>0</v>
      </c>
      <c r="K35" s="573">
        <f>$D35*($K$30*$B$37)</f>
        <v>0</v>
      </c>
      <c r="L35" s="628">
        <f>$D35*($L$30*$B$37)</f>
        <v>0</v>
      </c>
      <c r="M35" s="596">
        <f t="shared" si="32"/>
        <v>0</v>
      </c>
      <c r="N35" s="626">
        <f t="shared" si="32"/>
        <v>0</v>
      </c>
      <c r="AP35" s="650" t="s">
        <v>1871</v>
      </c>
      <c r="AQ35" s="663" t="s">
        <v>1872</v>
      </c>
      <c r="AR35" s="664" t="s">
        <v>1873</v>
      </c>
    </row>
    <row r="36" spans="2:44">
      <c r="B36" s="581" t="s">
        <v>114</v>
      </c>
      <c r="C36" s="582">
        <f>SUM(C33:C35)</f>
        <v>294</v>
      </c>
      <c r="D36" s="583">
        <f t="shared" ref="D36:L36" si="35">SUM(D33:D35)</f>
        <v>1</v>
      </c>
      <c r="E36" s="582">
        <f t="shared" si="35"/>
        <v>39</v>
      </c>
      <c r="F36" s="584">
        <f t="shared" si="35"/>
        <v>4926418.25</v>
      </c>
      <c r="G36" s="582">
        <f t="shared" si="35"/>
        <v>1072.5</v>
      </c>
      <c r="H36" s="584">
        <f t="shared" si="35"/>
        <v>140033533.25</v>
      </c>
      <c r="I36" s="582">
        <f t="shared" si="35"/>
        <v>110.5</v>
      </c>
      <c r="J36" s="584">
        <f t="shared" si="35"/>
        <v>14345305</v>
      </c>
      <c r="K36" s="582">
        <f t="shared" si="35"/>
        <v>273</v>
      </c>
      <c r="L36" s="584">
        <f t="shared" si="35"/>
        <v>32678811.75</v>
      </c>
      <c r="M36" s="612">
        <f t="shared" si="32"/>
        <v>1495</v>
      </c>
      <c r="N36" s="630">
        <f t="shared" si="32"/>
        <v>191984068.25</v>
      </c>
      <c r="AP36" s="651">
        <v>45658</v>
      </c>
      <c r="AQ36" s="667">
        <v>132.83129347826099</v>
      </c>
      <c r="AR36" s="668">
        <v>16778936.9576087</v>
      </c>
    </row>
    <row r="37" spans="2:44">
      <c r="B37" s="831">
        <v>0.65</v>
      </c>
      <c r="O37" s="621"/>
      <c r="P37" s="2361">
        <f>B39</f>
        <v>45809</v>
      </c>
      <c r="Q37" s="2362"/>
      <c r="R37" s="2362"/>
      <c r="S37" s="2362"/>
      <c r="T37" s="2362"/>
      <c r="U37" s="2362"/>
      <c r="V37" s="2362"/>
      <c r="W37" s="2362"/>
      <c r="X37" s="2362"/>
      <c r="Y37" s="2362"/>
      <c r="Z37" s="2362"/>
      <c r="AA37" s="2362"/>
      <c r="AB37" s="2363"/>
      <c r="AC37" s="621"/>
      <c r="AD37" s="2329">
        <f>P37</f>
        <v>45809</v>
      </c>
      <c r="AE37" s="2330"/>
      <c r="AF37" s="2330"/>
      <c r="AG37" s="2330"/>
      <c r="AH37" s="2330"/>
      <c r="AI37" s="2330"/>
      <c r="AJ37" s="2330"/>
      <c r="AK37" s="2330"/>
      <c r="AL37" s="2330"/>
      <c r="AM37" s="2330"/>
      <c r="AN37" s="2331"/>
      <c r="AP37" s="651">
        <v>45689</v>
      </c>
      <c r="AQ37" s="667">
        <v>132.83129347826099</v>
      </c>
      <c r="AR37" s="668">
        <v>16778936.9576087</v>
      </c>
    </row>
    <row r="38" spans="2:44" ht="16.5" customHeight="1">
      <c r="O38" s="622"/>
      <c r="P38" s="2353" t="s">
        <v>1</v>
      </c>
      <c r="Q38" s="2360" t="s">
        <v>7</v>
      </c>
      <c r="R38" s="2333"/>
      <c r="S38" s="2333" t="s">
        <v>13</v>
      </c>
      <c r="T38" s="2333"/>
      <c r="U38" s="2333" t="s">
        <v>1875</v>
      </c>
      <c r="V38" s="2352"/>
      <c r="W38" s="2333" t="s">
        <v>1876</v>
      </c>
      <c r="X38" s="2352"/>
      <c r="Y38" s="2332" t="s">
        <v>114</v>
      </c>
      <c r="Z38" s="2333"/>
      <c r="AA38" s="2333" t="s">
        <v>1877</v>
      </c>
      <c r="AB38" s="2334"/>
      <c r="AC38" s="622"/>
      <c r="AD38" s="2353" t="s">
        <v>1</v>
      </c>
      <c r="AE38" s="2352" t="s">
        <v>7</v>
      </c>
      <c r="AF38" s="2360"/>
      <c r="AG38" s="2352" t="s">
        <v>13</v>
      </c>
      <c r="AH38" s="2360"/>
      <c r="AI38" s="2352" t="s">
        <v>1875</v>
      </c>
      <c r="AJ38" s="2336"/>
      <c r="AK38" s="2343" t="s">
        <v>1876</v>
      </c>
      <c r="AL38" s="2336"/>
      <c r="AM38" s="2335" t="s">
        <v>114</v>
      </c>
      <c r="AN38" s="2336"/>
      <c r="AP38" s="651">
        <v>45717</v>
      </c>
      <c r="AQ38" s="667">
        <v>170.517845202399</v>
      </c>
      <c r="AR38" s="668">
        <v>21844496.980367299</v>
      </c>
    </row>
    <row r="39" spans="2:44">
      <c r="B39" s="2329">
        <v>45809</v>
      </c>
      <c r="C39" s="2330"/>
      <c r="D39" s="2330"/>
      <c r="E39" s="2330"/>
      <c r="F39" s="2330"/>
      <c r="G39" s="2330"/>
      <c r="H39" s="2330"/>
      <c r="I39" s="2330"/>
      <c r="J39" s="2330"/>
      <c r="K39" s="2330"/>
      <c r="L39" s="2330"/>
      <c r="M39" s="2330"/>
      <c r="N39" s="2331"/>
      <c r="O39" s="622"/>
      <c r="P39" s="2354"/>
      <c r="Q39" s="562" t="s">
        <v>1872</v>
      </c>
      <c r="R39" s="563" t="s">
        <v>1881</v>
      </c>
      <c r="S39" s="562" t="s">
        <v>1872</v>
      </c>
      <c r="T39" s="563" t="s">
        <v>1881</v>
      </c>
      <c r="U39" s="562" t="s">
        <v>1872</v>
      </c>
      <c r="V39" s="563" t="s">
        <v>1881</v>
      </c>
      <c r="W39" s="562" t="s">
        <v>1872</v>
      </c>
      <c r="X39" s="563" t="s">
        <v>1881</v>
      </c>
      <c r="Y39" s="610" t="s">
        <v>1872</v>
      </c>
      <c r="Z39" s="563" t="s">
        <v>1881</v>
      </c>
      <c r="AA39" s="563" t="s">
        <v>1872</v>
      </c>
      <c r="AB39" s="624" t="s">
        <v>1881</v>
      </c>
      <c r="AC39" s="622"/>
      <c r="AD39" s="2355"/>
      <c r="AE39" s="825" t="s">
        <v>1872</v>
      </c>
      <c r="AF39" s="825" t="s">
        <v>1881</v>
      </c>
      <c r="AG39" s="825" t="s">
        <v>1872</v>
      </c>
      <c r="AH39" s="825" t="s">
        <v>1881</v>
      </c>
      <c r="AI39" s="825" t="s">
        <v>1872</v>
      </c>
      <c r="AJ39" s="826" t="s">
        <v>1881</v>
      </c>
      <c r="AK39" s="838" t="s">
        <v>1872</v>
      </c>
      <c r="AL39" s="826" t="s">
        <v>1881</v>
      </c>
      <c r="AM39" s="563" t="s">
        <v>1872</v>
      </c>
      <c r="AN39" s="624" t="s">
        <v>1881</v>
      </c>
      <c r="AP39" s="651">
        <v>45748</v>
      </c>
      <c r="AQ39" s="667">
        <v>170.517845202399</v>
      </c>
      <c r="AR39" s="668">
        <v>21844496.980367299</v>
      </c>
    </row>
    <row r="40" spans="2:44" ht="15.75">
      <c r="B40" s="2335" t="s">
        <v>1874</v>
      </c>
      <c r="C40" s="2343"/>
      <c r="D40" s="2336"/>
      <c r="E40" s="2343" t="s">
        <v>7</v>
      </c>
      <c r="F40" s="2360"/>
      <c r="G40" s="2352" t="s">
        <v>13</v>
      </c>
      <c r="H40" s="2360"/>
      <c r="I40" s="2352" t="s">
        <v>1875</v>
      </c>
      <c r="J40" s="2343"/>
      <c r="K40" s="2352" t="s">
        <v>1876</v>
      </c>
      <c r="L40" s="2343"/>
      <c r="M40" s="2335" t="s">
        <v>114</v>
      </c>
      <c r="N40" s="2336"/>
      <c r="O40" s="622"/>
      <c r="P40" s="564" t="s">
        <v>28</v>
      </c>
      <c r="Q40" s="572">
        <f>SUMIFS(РД[S],РД[Дом],$Q$38,РД[МОП],$P40,РД[Дата подачи на регистрацию],"&gt;="&amp;$P$37,РД[Дата подачи на регистрацию],"&lt;"&amp;DATE(YEAR($B$39),MONTH($B$39)+1,1),РД[Состояние],"Продажа")-AE40/2</f>
        <v>0</v>
      </c>
      <c r="R40" s="573">
        <f>SUMIFS(РД[Стоимость без отделки итог],РД[Дом],$Q$38,РД[МОП],$P40,РД[Дата подачи на регистрацию],"&gt;="&amp;$P$37,РД[Дата подачи на регистрацию],"&lt;"&amp;DATE(YEAR($B$39),MONTH($B$39)+1,1),РД[Состояние],"Продажа")-AF40/2</f>
        <v>0</v>
      </c>
      <c r="S40" s="573">
        <f>SUMIFS(РД[S],РД[Дом],$S$38,РД[МОП],$P40,РД[Дата подачи на регистрацию],"&gt;="&amp;$P$37,РД[Дата подачи на регистрацию],"&lt;"&amp;DATE(YEAR($B$39),MONTH($B$39)+1,1),РД[Состояние],"Продажа")-AG40/2</f>
        <v>59.09</v>
      </c>
      <c r="T40" s="573">
        <f>SUMIFS(РД[Стоимость без отделки итог],РД[Дом],$S$38,РД[МОП],$P40,РД[Дата подачи на регистрацию],"&gt;="&amp;$P$37,РД[Дата подачи на регистрацию],"&lt;"&amp;DATE(YEAR($B$39),MONTH($B$39)+1,1),РД[Состояние],"Продажа")-AH40/2</f>
        <v>6795350</v>
      </c>
      <c r="U40" s="573">
        <f>SUMIFS(РД[S],РД[Дом],$U$38,РД[МОП],$P40,РД[Дата подачи на регистрацию],"&gt;="&amp;$P$37,РД[Дата подачи на регистрацию],"&lt;"&amp;DATE(YEAR($B$39),MONTH($B$39)+1,1),РД[Состояние],"Продажа")-AI40/2</f>
        <v>0</v>
      </c>
      <c r="V40" s="628">
        <f>SUMIFS(РД[Стоимость без отделки итог],РД[Дом],$U$38,РД[МОП],$P40,РД[Дата подачи на регистрацию],"&gt;="&amp;$P$37,РД[Дата подачи на регистрацию],"&lt;"&amp;DATE(YEAR($B$39),MONTH($B$39)+1,1),РД[Состояние],"Продажа")-AJ40/2</f>
        <v>0</v>
      </c>
      <c r="W40" s="573">
        <f>SUMIFS(РД[S],РД[Дом],$W$38,РД[МОП],$P40,РД[Дата подачи на регистрацию],"&gt;="&amp;$P$37,РД[Дата подачи на регистрацию],"&lt;"&amp;DATE(YEAR($B$39),MONTH($B$39)+1,1),РД[Состояние],"Продажа")-AK40/2</f>
        <v>36.92</v>
      </c>
      <c r="X40" s="628">
        <f>SUMIFS(РД[Стоимость без отделки итог],РД[Дом],$W$38,РД[МОП],$P40,РД[Дата подачи на регистрацию],"&gt;="&amp;$P$37,РД[Дата подачи на регистрацию],"&lt;"&amp;DATE(YEAR($B$39),MONTH($B$39)+1,1),РД[Состояние],"Продажа")-AL40/2</f>
        <v>4876774</v>
      </c>
      <c r="Y40" s="636">
        <f>Q40+S40+U40+W40</f>
        <v>96.01</v>
      </c>
      <c r="Z40" s="573">
        <f>R40+T40+V40+X40</f>
        <v>11672124</v>
      </c>
      <c r="AA40" s="645">
        <f t="shared" ref="AA40:AB43" si="36">IFERROR(Y40/M42,"")</f>
        <v>0.41925764192139742</v>
      </c>
      <c r="AB40" s="588">
        <f t="shared" si="36"/>
        <v>0.3987643901443107</v>
      </c>
      <c r="AC40" s="622"/>
      <c r="AD40" s="564" t="s">
        <v>28</v>
      </c>
      <c r="AE40" s="594">
        <f>SUMIFS(РД[S],РД[Дом],$AE$38,РД[МОП],$AD40,РД[Источник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0" s="568">
        <f>SUMIFS(РД[Стоимость без отделки итог],РД[Дом],$AE$38,РД[МОП],$AD40,РД[Источник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0" s="568">
        <f>SUMIFS(РД[S],РД[Дом],$AG$38,РД[МОП],$AD40,РД[Источник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H40" s="568">
        <f>SUMIFS(РД[Стоимость без отделки итог],РД[Дом],$AG$38,РД[МОП],$AD40,РД[Источник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I40" s="568">
        <f>SUMIFS(РД[S],РД[Дом],$AI$38,РД[МОП],$AD40,РД[Источник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0" s="568">
        <f>SUMIFS(РД[Стоимость без отделки итог],РД[Дом],$AI$38,РД[МОП],$AD40,РД[Источник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0" s="568">
        <f>SUMIFS(РД[S],РД[Дом],$AK$38,РД[МОП],$AD40,РД[Источник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0" s="808">
        <f>SUMIFS(РД[Стоимость без отделки итог],РД[Дом],$AK$38,РД[МОП],$AD40,РД[Источник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0" s="572">
        <f>AE40+AG40+AI40+AK40</f>
        <v>0</v>
      </c>
      <c r="AN40" s="652">
        <f>AF40+AH40+AJ40+AL40</f>
        <v>0</v>
      </c>
      <c r="AP40" s="651">
        <v>45778</v>
      </c>
      <c r="AQ40" s="667">
        <v>170.517845202399</v>
      </c>
      <c r="AR40" s="597">
        <v>22069697.9801649</v>
      </c>
    </row>
    <row r="41" spans="2:44" ht="15.75">
      <c r="B41" s="559" t="s">
        <v>1878</v>
      </c>
      <c r="C41" s="591" t="s">
        <v>1879</v>
      </c>
      <c r="D41" s="592" t="s">
        <v>1880</v>
      </c>
      <c r="E41" s="562" t="s">
        <v>1872</v>
      </c>
      <c r="F41" s="563" t="s">
        <v>1881</v>
      </c>
      <c r="G41" s="562" t="s">
        <v>1872</v>
      </c>
      <c r="H41" s="563" t="s">
        <v>1881</v>
      </c>
      <c r="I41" s="562" t="s">
        <v>1872</v>
      </c>
      <c r="J41" s="623" t="s">
        <v>1881</v>
      </c>
      <c r="K41" s="563" t="s">
        <v>1872</v>
      </c>
      <c r="L41" s="624" t="s">
        <v>1881</v>
      </c>
      <c r="M41" s="610" t="s">
        <v>1872</v>
      </c>
      <c r="N41" s="624" t="s">
        <v>1881</v>
      </c>
      <c r="O41" s="609"/>
      <c r="P41" s="569" t="s">
        <v>8</v>
      </c>
      <c r="Q41" s="572">
        <f>SUMIFS(РД[S],РД[Дом],$Q$38,РД[МОП],$P41,РД[Дата подачи на регистрацию],"&gt;="&amp;$P$37,РД[Дата подачи на регистрацию],"&lt;"&amp;DATE(YEAR($B$39),MONTH($B$39)+1,1),РД[Состояние],"Продажа")-AE41/2</f>
        <v>34.6</v>
      </c>
      <c r="R41" s="573">
        <f>SUMIFS(РД[Стоимость без отделки итог],РД[Дом],$Q$38,РД[МОП],$P41,РД[Дата подачи на регистрацию],"&gt;="&amp;$P$37,РД[Дата подачи на регистрацию],"&lt;"&amp;DATE(YEAR($B$39),MONTH($B$39)+1,1),РД[Состояние],"Продажа")-AF41/2</f>
        <v>4255800</v>
      </c>
      <c r="S41" s="573">
        <f>SUMIFS(РД[S],РД[Дом],$S$38,РД[МОП],$P41,РД[Дата подачи на регистрацию],"&gt;="&amp;$P$37,РД[Дата подачи на регистрацию],"&lt;"&amp;DATE(YEAR($B$39),MONTH($B$39)+1,1),РД[Состояние],"Продажа")-AG41/2</f>
        <v>240.755</v>
      </c>
      <c r="T41" s="573">
        <f>SUMIFS(РД[Стоимость без отделки итог],РД[Дом],$S$38,РД[МОП],$P41,РД[Дата подачи на регистрацию],"&gt;="&amp;$P$37,РД[Дата подачи на регистрацию],"&lt;"&amp;DATE(YEAR($B$39),MONTH($B$39)+1,1),РД[Состояние],"Продажа")-AH41/2</f>
        <v>29853538</v>
      </c>
      <c r="U41" s="573">
        <f>SUMIFS(РД[S],РД[Дом],$U$38,РД[МОП],$P41,РД[Дата подачи на регистрацию],"&gt;="&amp;$P$37,РД[Дата подачи на регистрацию],"&lt;"&amp;DATE(YEAR($B$39),MONTH($B$39)+1,1),РД[Состояние],"Продажа")-AI41/2</f>
        <v>0</v>
      </c>
      <c r="V41" s="628">
        <f>SUMIFS(РД[Стоимость без отделки итог],РД[Дом],$U$38,РД[МОП],$P41,РД[Дата подачи на регистрацию],"&gt;="&amp;$P$37,РД[Дата подачи на регистрацию],"&lt;"&amp;DATE(YEAR($B$39),MONTH($B$39)+1,1),РД[Состояние],"Продажа")-AJ41/2</f>
        <v>0</v>
      </c>
      <c r="W41" s="573">
        <f>SUMIFS(РД[S],РД[Дом],$W$38,РД[МОП],$P41,РД[Дата подачи на регистрацию],"&gt;="&amp;$P$37,РД[Дата подачи на регистрацию],"&lt;"&amp;DATE(YEAR($B$39),MONTH($B$39)+1,1),РД[Состояние],"Продажа")-AK41/2</f>
        <v>121.81</v>
      </c>
      <c r="X41" s="628">
        <f>SUMIFS(РД[Стоимость без отделки итог],РД[Дом],$W$38,РД[МОП],$P41,РД[Дата подачи на регистрацию],"&gt;="&amp;$P$37,РД[Дата подачи на регистрацию],"&lt;"&amp;DATE(YEAR($B$39),MONTH($B$39)+1,1),РД[Состояние],"Продажа")-AL41/2</f>
        <v>14135814</v>
      </c>
      <c r="Y41" s="636">
        <f>Q41+S41+U41+W41</f>
        <v>397.16500000000002</v>
      </c>
      <c r="Z41" s="573">
        <f>R41+T41+V41+X41</f>
        <v>48245152</v>
      </c>
      <c r="AA41" s="645">
        <f t="shared" si="36"/>
        <v>0.85046038543897218</v>
      </c>
      <c r="AB41" s="588">
        <f t="shared" si="36"/>
        <v>0.80913543819581524</v>
      </c>
      <c r="AC41" s="609"/>
      <c r="AD41" s="569" t="s">
        <v>8</v>
      </c>
      <c r="AE41" s="636">
        <f>SUMIFS(РД[S],РД[Дом],$AE$38,РД[МОП],$AD41,РД[Источник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1" s="573">
        <f>SUMIFS(РД[Стоимость без отделки итог],РД[Дом],$AE$38,РД[МОП],$AD41,РД[Источник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1" s="573">
        <f>SUMIFS(РД[S],РД[Дом],$AG$38,РД[МОП],$AD41,РД[Источник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126.35</v>
      </c>
      <c r="AH41" s="573">
        <f>SUMIFS(РД[Стоимость без отделки итог],РД[Дом],$AG$38,РД[МОП],$AD41,РД[Источник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15642070</v>
      </c>
      <c r="AI41" s="573">
        <f>SUMIFS(РД[S],РД[Дом],$AI$38,РД[МОП],$AD41,РД[Источник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1" s="573">
        <f>SUMIFS(РД[Стоимость без отделки итог],РД[Дом],$AI$38,РД[МОП],$AD41,РД[Источник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1" s="573">
        <f>SUMIFS(РД[S],РД[Дом],$AK$38,РД[МОП],$AD41,РД[Источник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1" s="652">
        <f>SUMIFS(РД[Стоимость без отделки итог],РД[Дом],$AK$38,РД[МОП],$AD41,РД[Источник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1" s="572">
        <f t="shared" ref="AM41:AN44" si="37">AE41+AG41+AI41+AK41</f>
        <v>126.35</v>
      </c>
      <c r="AN41" s="652">
        <f t="shared" si="37"/>
        <v>15642070</v>
      </c>
      <c r="AP41" s="651">
        <v>45809</v>
      </c>
      <c r="AQ41" s="667">
        <v>245.890948650675</v>
      </c>
      <c r="AR41" s="668">
        <v>32305262.562233899</v>
      </c>
    </row>
    <row r="42" spans="2:44" ht="15.75">
      <c r="B42" s="564" t="s">
        <v>28</v>
      </c>
      <c r="C42" s="565">
        <v>81</v>
      </c>
      <c r="D42" s="566">
        <f t="shared" ref="D42:D47" si="38">C42/$C$48</f>
        <v>0.10901749663526245</v>
      </c>
      <c r="E42" s="567">
        <f>ROUND($D42*VLOOKUP($B$39,'ИПП 2кв25'!$AP$4:$AR$16,2,0),0)</f>
        <v>5</v>
      </c>
      <c r="F42" s="568">
        <f>ROUND($D42*VLOOKUP($B$39,'ИПП 2кв25'!$AP$4:$AR$16,3,0),0)</f>
        <v>699798</v>
      </c>
      <c r="G42" s="568">
        <f>ROUND($D42*VLOOKUP($B$39,'ИПП 2кв25'!$AP$20:$AR$32,2,0),0)</f>
        <v>158</v>
      </c>
      <c r="H42" s="568">
        <f>ROUND($D42*VLOOKUP($B$39,'ИПП 2кв25'!$AP$20:$AR$32,3,0),0)</f>
        <v>20228765</v>
      </c>
      <c r="I42" s="568">
        <f>ROUND($D42*VLOOKUP($B$39,'ИПП 2кв25'!$AP$36:$AR$48,2,0),0)</f>
        <v>27</v>
      </c>
      <c r="J42" s="625">
        <f>ROUND($D42*VLOOKUP($B$39,'ИПП 2кв25'!$AP$36:$AR$48,3,0),0)</f>
        <v>3521839</v>
      </c>
      <c r="K42" s="568">
        <f>ROUND($D42*VLOOKUP($B$39,'ИПП 2кв25'!$AP$53:$AR$65,2,0),0)</f>
        <v>39</v>
      </c>
      <c r="L42" s="625">
        <f>ROUND($D42*VLOOKUP($B$39,'ИПП 2кв25'!$AP$53:$AR$65,3,0),0)</f>
        <v>4820326</v>
      </c>
      <c r="M42" s="596">
        <f>E42+G42+I42+K42</f>
        <v>229</v>
      </c>
      <c r="N42" s="626">
        <f>F42+H42+J42+L42</f>
        <v>29270728</v>
      </c>
      <c r="O42" s="609"/>
      <c r="P42" s="569" t="s">
        <v>20</v>
      </c>
      <c r="Q42" s="606">
        <f>SUMIFS(РД[S],РД[Дом],$Q$38,РД[МОП],$P42,РД[Дата подачи на регистрацию],"&gt;="&amp;$P$37,РД[Дата подачи на регистрацию],"&lt;"&amp;DATE(YEAR($B$39),MONTH($B$39)+1,1),РД[Состояние],"Продажа")-AE42/2</f>
        <v>0</v>
      </c>
      <c r="R42" s="597">
        <f>SUMIFS(РД[Стоимость без отделки итог],РД[Дом],$Q$38,РД[МОП],$P42,РД[Дата подачи на регистрацию],"&gt;="&amp;$P$37,РД[Дата подачи на регистрацию],"&lt;"&amp;DATE(YEAR($B$39),MONTH($B$39)+1,1),РД[Состояние],"Продажа")-AF42/2</f>
        <v>0</v>
      </c>
      <c r="S42" s="597">
        <f>SUMIFS(РД[S],РД[Дом],$S$38,РД[МОП],$P42,РД[Дата подачи на регистрацию],"&gt;="&amp;$P$37,РД[Дата подачи на регистрацию],"&lt;"&amp;DATE(YEAR($B$39),MONTH($B$39)+1,1),РД[Состояние],"Продажа")-AG42/2</f>
        <v>84.695000000000022</v>
      </c>
      <c r="T42" s="597">
        <f>SUMIFS(РД[Стоимость без отделки итог],РД[Дом],$S$38,РД[МОП],$P42,РД[Дата подачи на регистрацию],"&gt;="&amp;$P$37,РД[Дата подачи на регистрацию],"&lt;"&amp;DATE(YEAR($B$39),MONTH($B$39)+1,1),РД[Состояние],"Продажа")-AH42/2</f>
        <v>10421804</v>
      </c>
      <c r="U42" s="597">
        <f>SUMIFS(РД[S],РД[Дом],$U$38,РД[МОП],$P42,РД[Дата подачи на регистрацию],"&gt;="&amp;$P$37,РД[Дата подачи на регистрацию],"&lt;"&amp;DATE(YEAR($B$39),MONTH($B$39)+1,1),РД[Состояние],"Продажа")-AI42/2</f>
        <v>0</v>
      </c>
      <c r="V42" s="632">
        <f>SUMIFS(РД[Стоимость без отделки итог],РД[Дом],$U$38,РД[МОП],$P42,РД[Дата подачи на регистрацию],"&gt;="&amp;$P$37,РД[Дата подачи на регистрацию],"&lt;"&amp;DATE(YEAR($B$39),MONTH($B$39)+1,1),РД[Состояние],"Продажа")-AJ42/2</f>
        <v>0</v>
      </c>
      <c r="W42" s="573">
        <f>SUMIFS(РД[S],РД[Дом],$W$38,РД[МОП],$P42,РД[Дата подачи на регистрацию],"&gt;="&amp;$P$37,РД[Дата подачи на регистрацию],"&lt;"&amp;DATE(YEAR($B$39),MONTH($B$39)+1,1),РД[Состояние],"Продажа")-AK42/2</f>
        <v>0</v>
      </c>
      <c r="X42" s="628">
        <f>SUMIFS(РД[Стоимость без отделки итог],РД[Дом],$W$38,РД[МОП],$P42,РД[Дата подачи на регистрацию],"&gt;="&amp;$P$37,РД[Дата подачи на регистрацию],"&lt;"&amp;DATE(YEAR($B$39),MONTH($B$39)+1,1),РД[Состояние],"Продажа")-AL42/2</f>
        <v>0</v>
      </c>
      <c r="Y42" s="636">
        <f t="shared" ref="Y42:Z44" si="39">Q42+S42+U42+W42</f>
        <v>84.695000000000022</v>
      </c>
      <c r="Z42" s="573">
        <f t="shared" si="39"/>
        <v>10421804</v>
      </c>
      <c r="AA42" s="638">
        <f t="shared" si="36"/>
        <v>0.18135974304068528</v>
      </c>
      <c r="AB42" s="617">
        <f t="shared" si="36"/>
        <v>0.17478752987099927</v>
      </c>
      <c r="AC42" s="609"/>
      <c r="AD42" s="569" t="s">
        <v>20</v>
      </c>
      <c r="AE42" s="636">
        <f>SUMIFS(РД[S],РД[Дом],$AE$38,РД[МОП],$AD42,РД[Источник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2" s="573">
        <f>SUMIFS(РД[Стоимость без отделки итог],РД[Дом],$AE$38,РД[МОП],$AD42,РД[Источник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2" s="573">
        <f>SUMIFS(РД[S],РД[Дом],$AG$38,РД[МОП],$AD42,РД[Источник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120.33</v>
      </c>
      <c r="AH42" s="573">
        <f>SUMIFS(РД[Стоимость без отделки итог],РД[Дом],$AG$38,РД[МОП],$AD42,РД[Источник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13828028</v>
      </c>
      <c r="AI42" s="573">
        <f>SUMIFS(РД[S],РД[Дом],$AI$38,РД[МОП],$AD42,РД[Источник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2" s="573">
        <f>SUMIFS(РД[Стоимость без отделки итог],РД[Дом],$AI$38,РД[МОП],$AD42,РД[Источник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2" s="573">
        <f>SUMIFS(РД[S],РД[Дом],$AK$38,РД[МОП],$AD42,РД[Источник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2" s="652">
        <f>SUMIFS(РД[Стоимость без отделки итог],РД[Дом],$AK$38,РД[МОП],$AD42,РД[Источник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2" s="572">
        <f t="shared" si="37"/>
        <v>120.33</v>
      </c>
      <c r="AN42" s="652">
        <f t="shared" si="37"/>
        <v>13828028</v>
      </c>
      <c r="AP42" s="651">
        <v>45839</v>
      </c>
      <c r="AQ42" s="667">
        <v>806.71963905547204</v>
      </c>
      <c r="AR42" s="668">
        <v>104563122.32256401</v>
      </c>
    </row>
    <row r="43" spans="2:44" ht="15.75">
      <c r="B43" s="569" t="s">
        <v>8</v>
      </c>
      <c r="C43" s="832">
        <v>165</v>
      </c>
      <c r="D43" s="575">
        <f t="shared" si="38"/>
        <v>0.22207267833109018</v>
      </c>
      <c r="E43" s="606">
        <f>ROUND($D43*VLOOKUP($B$39,'ИПП 2кв25'!$AP$4:$AR$16,2,0),0)</f>
        <v>10</v>
      </c>
      <c r="F43" s="597">
        <f>ROUND($D43*VLOOKUP($B$39,'ИПП 2кв25'!$AP$4:$AR$16,3,0),0)</f>
        <v>1425515</v>
      </c>
      <c r="G43" s="597">
        <f>ROUND($D43*VLOOKUP($B$39,'ИПП 2кв25'!$AP$20:$AR$32,2,0),0)</f>
        <v>322</v>
      </c>
      <c r="H43" s="597">
        <f>ROUND($D43*VLOOKUP($B$39,'ИПП 2кв25'!$AP$20:$AR$32,3,0),0)</f>
        <v>41206744</v>
      </c>
      <c r="I43" s="597">
        <f>ROUND($D43*VLOOKUP($B$39,'ИПП 2кв25'!$AP$36:$AR$48,2,0),0)</f>
        <v>55</v>
      </c>
      <c r="J43" s="632">
        <f>ROUND($D43*VLOOKUP($B$39,'ИПП 2кв25'!$AP$36:$AR$48,3,0),0)</f>
        <v>7174116</v>
      </c>
      <c r="K43" s="597">
        <f>ROUND($D43*VLOOKUP($B$39,'ИПП 2кв25'!$AP$53:$AR$65,2,0),0)</f>
        <v>80</v>
      </c>
      <c r="L43" s="632">
        <f>ROUND($D43*VLOOKUP($B$39,'ИПП 2кв25'!$AP$53:$AR$65,3,0),0)</f>
        <v>9819183</v>
      </c>
      <c r="M43" s="596">
        <f>E43+G43+I43+K43</f>
        <v>467</v>
      </c>
      <c r="N43" s="626">
        <f>F43+H43+J43+L43</f>
        <v>59625558</v>
      </c>
      <c r="O43" s="609"/>
      <c r="P43" s="569" t="s">
        <v>24</v>
      </c>
      <c r="Q43" s="606">
        <f>SUMIFS(РД[S],РД[Дом],$Q$38,РД[МОП],$P43,РД[Дата подачи на регистрацию],"&gt;="&amp;$P$37,РД[Дата подачи на регистрацию],"&lt;"&amp;DATE(YEAR($B$39),MONTH($B$39)+1,1),РД[Состояние],"Продажа")-AE43/2</f>
        <v>0</v>
      </c>
      <c r="R43" s="597">
        <f>SUMIFS(РД[Стоимость без отделки итог],РД[Дом],$Q$38,РД[МОП],$P43,РД[Дата подачи на регистрацию],"&gt;="&amp;$P$37,РД[Дата подачи на регистрацию],"&lt;"&amp;DATE(YEAR($B$39),MONTH($B$39)+1,1),РД[Состояние],"Продажа")-AF43/2</f>
        <v>0</v>
      </c>
      <c r="S43" s="597">
        <f>SUMIFS(РД[S],РД[Дом],$S$38,РД[МОП],$P43,РД[Дата подачи на регистрацию],"&gt;="&amp;$P$37,РД[Дата подачи на регистрацию],"&lt;"&amp;DATE(YEAR($B$39),MONTH($B$39)+1,1),РД[Состояние],"Продажа")-AG43/2</f>
        <v>309.20500000000004</v>
      </c>
      <c r="T43" s="597">
        <f>SUMIFS(РД[Стоимость без отделки итог],РД[Дом],$S$38,РД[МОП],$P43,РД[Дата подачи на регистрацию],"&gt;="&amp;$P$37,РД[Дата подачи на регистрацию],"&lt;"&amp;DATE(YEAR($B$39),MONTH($B$39)+1,1),РД[Состояние],"Продажа")-AH43/2</f>
        <v>34340108</v>
      </c>
      <c r="U43" s="597">
        <f>SUMIFS(РД[S],РД[Дом],$U$38,РД[МОП],$P43,РД[Дата подачи на регистрацию],"&gt;="&amp;$P$37,РД[Дата подачи на регистрацию],"&lt;"&amp;DATE(YEAR($B$39),MONTH($B$39)+1,1),РД[Состояние],"Продажа")-AI43/2</f>
        <v>0</v>
      </c>
      <c r="V43" s="632">
        <f>SUMIFS(РД[Стоимость без отделки итог],РД[Дом],$U$38,РД[МОП],$P43,РД[Дата подачи на регистрацию],"&gt;="&amp;$P$37,РД[Дата подачи на регистрацию],"&lt;"&amp;DATE(YEAR($B$39),MONTH($B$39)+1,1),РД[Состояние],"Продажа")-AJ43/2</f>
        <v>0</v>
      </c>
      <c r="W43" s="573">
        <f>SUMIFS(РД[S],РД[Дом],$W$38,РД[МОП],$P43,РД[Дата подачи на регистрацию],"&gt;="&amp;$P$37,РД[Дата подачи на регистрацию],"&lt;"&amp;DATE(YEAR($B$39),MONTH($B$39)+1,1),РД[Состояние],"Продажа")-AK43/2</f>
        <v>0</v>
      </c>
      <c r="X43" s="628">
        <f>SUMIFS(РД[Стоимость без отделки итог],РД[Дом],$W$38,РД[МОП],$P43,РД[Дата подачи на регистрацию],"&gt;="&amp;$P$37,РД[Дата подачи на регистрацию],"&lt;"&amp;DATE(YEAR($B$39),MONTH($B$39)+1,1),РД[Состояние],"Продажа")-AL43/2</f>
        <v>0</v>
      </c>
      <c r="Y43" s="636">
        <f t="shared" si="39"/>
        <v>309.20500000000004</v>
      </c>
      <c r="Z43" s="573">
        <f t="shared" si="39"/>
        <v>34340108</v>
      </c>
      <c r="AA43" s="638">
        <f t="shared" si="36"/>
        <v>0.82675133689839586</v>
      </c>
      <c r="AB43" s="617">
        <f t="shared" si="36"/>
        <v>0.71991166036662091</v>
      </c>
      <c r="AC43" s="609"/>
      <c r="AD43" s="569" t="s">
        <v>24</v>
      </c>
      <c r="AE43" s="636">
        <f>SUMIFS(РД[S],РД[Дом],$AE$38,РД[МОП],$AD43,РД[Источник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3" s="573">
        <f>SUMIFS(РД[Стоимость без отделки итог],РД[Дом],$AE$38,РД[МОП],$AD43,РД[Источник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3" s="573">
        <f>SUMIFS(РД[S],РД[Дом],$AG$38,РД[МОП],$AD43,РД[Источник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82.81</v>
      </c>
      <c r="AH43" s="573">
        <f>SUMIFS(РД[Стоимость без отделки итог],РД[Дом],$AG$38,РД[МОП],$AD43,РД[Источник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9911500</v>
      </c>
      <c r="AI43" s="573">
        <f>SUMIFS(РД[S],РД[Дом],$AI$38,РД[МОП],$AD43,РД[Источник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3" s="573">
        <f>SUMIFS(РД[Стоимость без отделки итог],РД[Дом],$AI$38,РД[МОП],$AD43,РД[Источник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3" s="573">
        <f>SUMIFS(РД[S],РД[Дом],$AK$38,РД[МОП],$AD43,РД[Источник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3" s="652">
        <f>SUMIFS(РД[Стоимость без отделки итог],РД[Дом],$AK$38,РД[МОП],$AD43,РД[Источник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3" s="572">
        <f t="shared" si="37"/>
        <v>82.81</v>
      </c>
      <c r="AN43" s="652">
        <f t="shared" si="37"/>
        <v>9911500</v>
      </c>
      <c r="AP43" s="651">
        <v>45870</v>
      </c>
      <c r="AQ43" s="667">
        <v>659.136587331334</v>
      </c>
      <c r="AR43" s="668">
        <v>85386108.131529197</v>
      </c>
    </row>
    <row r="44" spans="2:44" ht="15.75">
      <c r="B44" s="569" t="s">
        <v>20</v>
      </c>
      <c r="C44" s="595">
        <v>165</v>
      </c>
      <c r="D44" s="575">
        <f t="shared" si="38"/>
        <v>0.22207267833109018</v>
      </c>
      <c r="E44" s="606">
        <f>ROUND($D44*VLOOKUP($B$39,'ИПП 2кв25'!$AP$4:$AR$16,2,0),0)</f>
        <v>10</v>
      </c>
      <c r="F44" s="597">
        <f>ROUND($D44*VLOOKUP($B$39,'ИПП 2кв25'!$AP$4:$AR$16,3,0),0)</f>
        <v>1425515</v>
      </c>
      <c r="G44" s="597">
        <f>ROUND($D44*VLOOKUP($B$39,'ИПП 2кв25'!$AP$20:$AR$32,2,0),0)</f>
        <v>322</v>
      </c>
      <c r="H44" s="597">
        <f>ROUND($D44*VLOOKUP($B$39,'ИПП 2кв25'!$AP$20:$AR$32,3,0),0)</f>
        <v>41206744</v>
      </c>
      <c r="I44" s="597">
        <f>ROUND($D44*VLOOKUP($B$39,'ИПП 2кв25'!$AP$36:$AR$48,2,0),0)</f>
        <v>55</v>
      </c>
      <c r="J44" s="632">
        <f>ROUND($D44*VLOOKUP($B$39,'ИПП 2кв25'!$AP$36:$AR$48,3,0),0)</f>
        <v>7174116</v>
      </c>
      <c r="K44" s="597">
        <f>ROUND($D44*VLOOKUP($B$39,'ИПП 2кв25'!$AP$53:$AR$65,2,0),0)</f>
        <v>80</v>
      </c>
      <c r="L44" s="632">
        <f>ROUND($D44*VLOOKUP($B$39,'ИПП 2кв25'!$AP$53:$AR$65,3,0),0)</f>
        <v>9819183</v>
      </c>
      <c r="M44" s="596">
        <f t="shared" ref="M44:N48" si="40">E44+G44+I44+K44</f>
        <v>467</v>
      </c>
      <c r="N44" s="626">
        <f t="shared" si="40"/>
        <v>59625558</v>
      </c>
      <c r="O44" s="609"/>
      <c r="P44" s="618" t="s">
        <v>14</v>
      </c>
      <c r="Q44" s="589">
        <f>SUMIFS(РД[S],РД[Дом],$Q$38,РД[МОП],$P44,РД[Дата подачи на регистрацию],"&gt;="&amp;$P$37,РД[Дата подачи на регистрацию],"&lt;"&amp;DATE(YEAR($B$39),MONTH($B$39)+1,1),РД[Состояние],"Продажа")-AE44/2</f>
        <v>0</v>
      </c>
      <c r="R44" s="590">
        <f>SUMIFS(РД[Стоимость без отделки итог],РД[Дом],$Q$38,РД[МОП],$P44,РД[Дата подачи на регистрацию],"&gt;="&amp;$P$37,РД[Дата подачи на регистрацию],"&lt;"&amp;DATE(YEAR($B$39),MONTH($B$39)+1,1),РД[Состояние],"Продажа")-AF44/2</f>
        <v>0</v>
      </c>
      <c r="S44" s="590">
        <f>SUMIFS(РД[S],РД[Дом],$S$38,РД[МОП],$P44,РД[Дата подачи на регистрацию],"&gt;="&amp;$P$37,РД[Дата подачи на регистрацию],"&lt;"&amp;DATE(YEAR($B$39),MONTH($B$39)+1,1),РД[Состояние],"Продажа")-AG44/2</f>
        <v>64.355000000000004</v>
      </c>
      <c r="T44" s="590">
        <f>SUMIFS(РД[Стоимость без отделки итог],РД[Дом],$S$38,РД[МОП],$P44,РД[Дата подачи на регистрацию],"&gt;="&amp;$P$37,РД[Дата подачи на регистрацию],"&lt;"&amp;DATE(YEAR($B$39),MONTH($B$39)+1,1),РД[Состояние],"Продажа")-AH44/2</f>
        <v>8195195</v>
      </c>
      <c r="U44" s="590">
        <f>SUMIFS(РД[S],РД[Дом],$U$38,РД[МОП],$P44,РД[Дата подачи на регистрацию],"&gt;="&amp;$P$37,РД[Дата подачи на регистрацию],"&lt;"&amp;DATE(YEAR($B$39),MONTH($B$39)+1,1),РД[Состояние],"Продажа")-AI44/2</f>
        <v>0</v>
      </c>
      <c r="V44" s="635">
        <f>SUMIFS(РД[Стоимость без отделки итог],РД[Дом],$U$38,РД[МОП],$P44,РД[Дата подачи на регистрацию],"&gt;="&amp;$P$37,РД[Дата подачи на регистрацию],"&lt;"&amp;DATE(YEAR($B$39),MONTH($B$39)+1,1),РД[Состояние],"Продажа")-AJ44/2</f>
        <v>0</v>
      </c>
      <c r="W44" s="573">
        <f>SUMIFS(РД[S],РД[Дом],$W$38,РД[МОП],$P44,РД[Дата подачи на регистрацию],"&gt;="&amp;$P$37,РД[Дата подачи на регистрацию],"&lt;"&amp;DATE(YEAR($B$39),MONTH($B$39)+1,1),РД[Состояние],"Продажа")-AK44/2</f>
        <v>0</v>
      </c>
      <c r="X44" s="628">
        <f>SUMIFS(РД[Стоимость без отделки итог],РД[Дом],$W$38,РД[МОП],$P44,РД[Дата подачи на регистрацию],"&gt;="&amp;$P$37,РД[Дата подачи на регистрацию],"&lt;"&amp;DATE(YEAR($B$39),MONTH($B$39)+1,1),РД[Состояние],"Продажа")-AL44/2</f>
        <v>0</v>
      </c>
      <c r="Y44" s="636">
        <f t="shared" si="39"/>
        <v>64.355000000000004</v>
      </c>
      <c r="Z44" s="573">
        <f t="shared" si="39"/>
        <v>8195195</v>
      </c>
      <c r="AA44" s="639">
        <f>IFERROR(Y44/M47,"")</f>
        <v>0.6500505050505051</v>
      </c>
      <c r="AB44" s="640">
        <f>IFERROR(Z44/N47,"")</f>
        <v>0.64795188429333217</v>
      </c>
      <c r="AC44" s="609"/>
      <c r="AD44" s="618" t="s">
        <v>14</v>
      </c>
      <c r="AE44" s="834">
        <f>SUMIFS(РД[S],РД[Дом],$AE$38,РД[МОП],$AD44,РД[Источник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4" s="835">
        <f>SUMIFS(РД[Стоимость без отделки итог],РД[Дом],$AE$38,РД[МОП],$AD44,РД[Источник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4" s="835">
        <f>SUMIFS(РД[S],РД[Дом],$AG$38,РД[МОП],$AD44,РД[Источник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59.09</v>
      </c>
      <c r="AH44" s="835">
        <f>SUMIFS(РД[Стоимость без отделки итог],РД[Дом],$AG$38,РД[МОП],$AD44,РД[Источник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6795350</v>
      </c>
      <c r="AI44" s="835">
        <f>SUMIFS(РД[S],РД[Дом],$AI$38,РД[МОП],$AD44,РД[Источник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4" s="835">
        <f>SUMIFS(РД[Стоимость без отделки итог],РД[Дом],$AI$38,РД[МОП],$AD44,РД[Источник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4" s="835">
        <f>SUMIFS(РД[S],РД[Дом],$AK$38,РД[МОП],$AD44,РД[Источник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4" s="840">
        <f>SUMIFS(РД[Стоимость без отделки итог],РД[Дом],$AK$38,РД[МОП],$AD44,РД[Источник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4" s="572">
        <f t="shared" si="37"/>
        <v>59.09</v>
      </c>
      <c r="AN44" s="652">
        <f t="shared" si="37"/>
        <v>6795350</v>
      </c>
      <c r="AP44" s="651">
        <v>45901</v>
      </c>
      <c r="AQ44" s="667">
        <v>714.08483733133403</v>
      </c>
      <c r="AR44" s="668">
        <v>92415724.0815292</v>
      </c>
    </row>
    <row r="45" spans="2:44" ht="15.75">
      <c r="B45" s="569" t="s">
        <v>24</v>
      </c>
      <c r="C45" s="595">
        <v>132</v>
      </c>
      <c r="D45" s="575">
        <f t="shared" si="38"/>
        <v>0.17765814266487215</v>
      </c>
      <c r="E45" s="606">
        <f>ROUND($D45*VLOOKUP($B$39,'ИПП 2кв25'!$AP$4:$AR$16,2,0),0)</f>
        <v>8</v>
      </c>
      <c r="F45" s="597">
        <f>ROUND($D45*VLOOKUP($B$39,'ИПП 2кв25'!$AP$4:$AR$16,3,0),0)</f>
        <v>1140412</v>
      </c>
      <c r="G45" s="597">
        <f>ROUND($D45*VLOOKUP($B$39,'ИПП 2кв25'!$AP$20:$AR$32,2,0),0)</f>
        <v>258</v>
      </c>
      <c r="H45" s="597">
        <f>ROUND($D45*VLOOKUP($B$39,'ИПП 2кв25'!$AP$20:$AR$32,3,0),0)</f>
        <v>32965395</v>
      </c>
      <c r="I45" s="597">
        <f>ROUND($D45*VLOOKUP($B$39,'ИПП 2кв25'!$AP$36:$AR$48,2,0),0)</f>
        <v>44</v>
      </c>
      <c r="J45" s="632">
        <f>ROUND($D45*VLOOKUP($B$39,'ИПП 2кв25'!$AP$36:$AR$48,3,0),0)</f>
        <v>5739293</v>
      </c>
      <c r="K45" s="597">
        <f>ROUND($D45*VLOOKUP($B$39,'ИПП 2кв25'!$AP$53:$AR$65,2,0),0)</f>
        <v>64</v>
      </c>
      <c r="L45" s="632">
        <f>ROUND($D45*VLOOKUP($B$39,'ИПП 2кв25'!$AP$53:$AR$65,3,0),0)</f>
        <v>7855347</v>
      </c>
      <c r="M45" s="596">
        <f t="shared" si="40"/>
        <v>374</v>
      </c>
      <c r="N45" s="626">
        <f t="shared" si="40"/>
        <v>47700447</v>
      </c>
      <c r="O45" s="631"/>
      <c r="P45" s="581" t="s">
        <v>114</v>
      </c>
      <c r="Q45" s="582">
        <f t="shared" ref="Q45:Z45" si="41">SUM(Q40:Q44)</f>
        <v>34.6</v>
      </c>
      <c r="R45" s="584">
        <f t="shared" si="41"/>
        <v>4255800</v>
      </c>
      <c r="S45" s="584">
        <f t="shared" si="41"/>
        <v>758.10000000000014</v>
      </c>
      <c r="T45" s="584">
        <f t="shared" si="41"/>
        <v>89605995</v>
      </c>
      <c r="U45" s="584">
        <f t="shared" si="41"/>
        <v>0</v>
      </c>
      <c r="V45" s="629">
        <f t="shared" si="41"/>
        <v>0</v>
      </c>
      <c r="W45" s="584">
        <f t="shared" si="41"/>
        <v>158.73000000000002</v>
      </c>
      <c r="X45" s="629">
        <f t="shared" si="41"/>
        <v>19012588</v>
      </c>
      <c r="Y45" s="612">
        <f t="shared" si="41"/>
        <v>951.43000000000006</v>
      </c>
      <c r="Z45" s="584">
        <f t="shared" si="41"/>
        <v>112874383</v>
      </c>
      <c r="AA45" s="641">
        <f>IFERROR(Y45/M48,"")</f>
        <v>0.45241559676652404</v>
      </c>
      <c r="AB45" s="583">
        <f>IFERROR(Z45/N48,"")</f>
        <v>0.42039550548620719</v>
      </c>
      <c r="AC45" s="631"/>
      <c r="AD45" s="581" t="s">
        <v>114</v>
      </c>
      <c r="AE45" s="836">
        <f t="shared" ref="AE45:AL45" si="42">SUM(AE40:AE44)</f>
        <v>0</v>
      </c>
      <c r="AF45" s="837">
        <f t="shared" si="42"/>
        <v>0</v>
      </c>
      <c r="AG45" s="837">
        <f t="shared" si="42"/>
        <v>388.58000000000004</v>
      </c>
      <c r="AH45" s="837">
        <f t="shared" si="42"/>
        <v>46176948</v>
      </c>
      <c r="AI45" s="837">
        <f t="shared" si="42"/>
        <v>0</v>
      </c>
      <c r="AJ45" s="841">
        <f t="shared" si="42"/>
        <v>0</v>
      </c>
      <c r="AK45" s="837">
        <f t="shared" si="42"/>
        <v>0</v>
      </c>
      <c r="AL45" s="841">
        <f t="shared" si="42"/>
        <v>0</v>
      </c>
      <c r="AM45" s="655">
        <f>AE45+AG45+AI45+AK45</f>
        <v>388.58000000000004</v>
      </c>
      <c r="AN45" s="656">
        <f>AF45+AH45+AJ45+AL45</f>
        <v>46176948</v>
      </c>
      <c r="AP45" s="651">
        <v>45931</v>
      </c>
      <c r="AQ45" s="667">
        <v>714.08483733133403</v>
      </c>
      <c r="AR45" s="668">
        <v>92415724.0815292</v>
      </c>
    </row>
    <row r="46" spans="2:44" ht="16.5" customHeight="1">
      <c r="B46" s="576" t="s">
        <v>14</v>
      </c>
      <c r="C46" s="611">
        <v>165</v>
      </c>
      <c r="D46" s="578">
        <f t="shared" si="38"/>
        <v>0.22207267833109018</v>
      </c>
      <c r="E46" s="606">
        <f>ROUND($D46*VLOOKUP($B$39,'ИПП 2кв25'!$AP$4:$AR$16,2,0),0)</f>
        <v>10</v>
      </c>
      <c r="F46" s="597">
        <f>ROUND($D46*VLOOKUP($B$39,'ИПП 2кв25'!$AP$4:$AR$16,3,0),0)</f>
        <v>1425515</v>
      </c>
      <c r="G46" s="597">
        <f>ROUND($D46*VLOOKUP($B$39,'ИПП 2кв25'!$AP$20:$AR$32,2,0),0)</f>
        <v>322</v>
      </c>
      <c r="H46" s="597">
        <f>ROUND($D46*VLOOKUP($B$39,'ИПП 2кв25'!$AP$20:$AR$32,3,0),0)</f>
        <v>41206744</v>
      </c>
      <c r="I46" s="597">
        <f>ROUND($D46*VLOOKUP($B$39,'ИПП 2кв25'!$AP$36:$AR$48,2,0),0)</f>
        <v>55</v>
      </c>
      <c r="J46" s="632">
        <f>ROUND($D46*VLOOKUP($B$39,'ИПП 2кв25'!$AP$36:$AR$48,3,0),0)</f>
        <v>7174116</v>
      </c>
      <c r="K46" s="597">
        <f>ROUND($D46*VLOOKUP($B$39,'ИПП 2кв25'!$AP$53:$AR$65,2,0),0)</f>
        <v>80</v>
      </c>
      <c r="L46" s="632">
        <f>ROUND($D46*VLOOKUP($B$39,'ИПП 2кв25'!$AP$53:$AR$65,3,0),0)</f>
        <v>9819183</v>
      </c>
      <c r="M46" s="596">
        <f t="shared" ref="M46" si="43">E46+G46+I46+K46</f>
        <v>467</v>
      </c>
      <c r="N46" s="626">
        <f t="shared" ref="N46" si="44">F46+H46+J46+L46</f>
        <v>59625558</v>
      </c>
      <c r="O46" s="622"/>
      <c r="P46" s="2353" t="s">
        <v>3</v>
      </c>
      <c r="Q46" s="2360" t="s">
        <v>7</v>
      </c>
      <c r="R46" s="2333"/>
      <c r="S46" s="2333" t="s">
        <v>13</v>
      </c>
      <c r="T46" s="2333"/>
      <c r="U46" s="2333" t="s">
        <v>1875</v>
      </c>
      <c r="V46" s="2352"/>
      <c r="W46" s="2333" t="s">
        <v>1876</v>
      </c>
      <c r="X46" s="2352"/>
      <c r="Y46" s="2332" t="s">
        <v>114</v>
      </c>
      <c r="Z46" s="2333"/>
      <c r="AA46" s="2333" t="s">
        <v>1877</v>
      </c>
      <c r="AB46" s="2334"/>
      <c r="AC46" s="622"/>
      <c r="AD46" s="2358" t="s">
        <v>3</v>
      </c>
      <c r="AE46" s="2332" t="s">
        <v>7</v>
      </c>
      <c r="AF46" s="2333"/>
      <c r="AG46" s="2333" t="s">
        <v>13</v>
      </c>
      <c r="AH46" s="2333"/>
      <c r="AI46" s="2333" t="s">
        <v>1875</v>
      </c>
      <c r="AJ46" s="2334"/>
      <c r="AK46" s="2343" t="s">
        <v>1876</v>
      </c>
      <c r="AL46" s="2336"/>
      <c r="AM46" s="2343" t="s">
        <v>114</v>
      </c>
      <c r="AN46" s="2336"/>
      <c r="AP46" s="651">
        <v>45962</v>
      </c>
      <c r="AQ46" s="667">
        <v>621.45003560719601</v>
      </c>
      <c r="AR46" s="668">
        <v>80268325.840494797</v>
      </c>
    </row>
    <row r="47" spans="2:44" ht="15.75">
      <c r="B47" s="618" t="s">
        <v>1884</v>
      </c>
      <c r="C47" s="599">
        <v>35</v>
      </c>
      <c r="D47" s="600">
        <f t="shared" si="38"/>
        <v>4.7106325706594884E-2</v>
      </c>
      <c r="E47" s="607">
        <f>ROUND($D47*VLOOKUP($B$39,'ИПП 2кв25'!$AP$4:$AR$16,2,0),0)</f>
        <v>2</v>
      </c>
      <c r="F47" s="602">
        <f>ROUND($D47*VLOOKUP($B$39,'ИПП 2кв25'!$AP$4:$AR$16,3,0),0)</f>
        <v>302382</v>
      </c>
      <c r="G47" s="602">
        <f>ROUND($D47*VLOOKUP($B$39,'ИПП 2кв25'!$AP$20:$AR$32,2,0),0)</f>
        <v>68</v>
      </c>
      <c r="H47" s="602">
        <f>ROUND($D47*VLOOKUP($B$39,'ИПП 2кв25'!$AP$20:$AR$32,3,0),0)</f>
        <v>8740824</v>
      </c>
      <c r="I47" s="602">
        <f>ROUND($D47*VLOOKUP($B$39,'ИПП 2кв25'!$AP$36:$AR$48,2,0),0)</f>
        <v>12</v>
      </c>
      <c r="J47" s="633">
        <f>ROUND($D47*VLOOKUP($B$39,'ИПП 2кв25'!$AP$36:$AR$48,3,0),0)</f>
        <v>1521782</v>
      </c>
      <c r="K47" s="602">
        <f>ROUND($D47*VLOOKUP($B$39,'ИПП 2кв25'!$AP$53:$AR$65,2,0),0)</f>
        <v>17</v>
      </c>
      <c r="L47" s="633">
        <f>ROUND($D47*VLOOKUP($B$39,'ИПП 2кв25'!$AP$53:$AR$65,3,0),0)</f>
        <v>2082857</v>
      </c>
      <c r="M47" s="596">
        <f t="shared" si="40"/>
        <v>99</v>
      </c>
      <c r="N47" s="626">
        <f t="shared" si="40"/>
        <v>12647845</v>
      </c>
      <c r="O47" s="622"/>
      <c r="P47" s="2354"/>
      <c r="Q47" s="562" t="s">
        <v>1872</v>
      </c>
      <c r="R47" s="563" t="s">
        <v>1881</v>
      </c>
      <c r="S47" s="562" t="s">
        <v>1872</v>
      </c>
      <c r="T47" s="563" t="s">
        <v>1881</v>
      </c>
      <c r="U47" s="562" t="s">
        <v>1872</v>
      </c>
      <c r="V47" s="563" t="s">
        <v>1881</v>
      </c>
      <c r="W47" s="562" t="s">
        <v>1872</v>
      </c>
      <c r="X47" s="563" t="s">
        <v>1881</v>
      </c>
      <c r="Y47" s="610" t="s">
        <v>1872</v>
      </c>
      <c r="Z47" s="563" t="s">
        <v>1881</v>
      </c>
      <c r="AA47" s="563" t="s">
        <v>1872</v>
      </c>
      <c r="AB47" s="624" t="s">
        <v>1881</v>
      </c>
      <c r="AC47" s="622"/>
      <c r="AD47" s="2359"/>
      <c r="AE47" s="833" t="s">
        <v>1872</v>
      </c>
      <c r="AF47" s="825" t="s">
        <v>1881</v>
      </c>
      <c r="AG47" s="825" t="s">
        <v>1872</v>
      </c>
      <c r="AH47" s="825" t="s">
        <v>1881</v>
      </c>
      <c r="AI47" s="825" t="s">
        <v>1872</v>
      </c>
      <c r="AJ47" s="826" t="s">
        <v>1881</v>
      </c>
      <c r="AK47" s="838" t="s">
        <v>1872</v>
      </c>
      <c r="AL47" s="826" t="s">
        <v>1881</v>
      </c>
      <c r="AM47" s="562" t="s">
        <v>1872</v>
      </c>
      <c r="AN47" s="624" t="s">
        <v>1881</v>
      </c>
      <c r="AP47" s="651">
        <v>45992</v>
      </c>
      <c r="AQ47" s="667">
        <v>543.566992128935</v>
      </c>
      <c r="AR47" s="668">
        <v>70346026.1013643</v>
      </c>
    </row>
    <row r="48" spans="2:44" ht="15.75">
      <c r="B48" s="581" t="s">
        <v>114</v>
      </c>
      <c r="C48" s="582">
        <f t="shared" ref="C48:L48" si="45">SUM(C42:C47)</f>
        <v>743</v>
      </c>
      <c r="D48" s="583">
        <f t="shared" si="45"/>
        <v>1</v>
      </c>
      <c r="E48" s="582">
        <f t="shared" si="45"/>
        <v>45</v>
      </c>
      <c r="F48" s="584">
        <f t="shared" si="45"/>
        <v>6419137</v>
      </c>
      <c r="G48" s="584">
        <f t="shared" si="45"/>
        <v>1450</v>
      </c>
      <c r="H48" s="584">
        <f t="shared" si="45"/>
        <v>185555216</v>
      </c>
      <c r="I48" s="584">
        <f t="shared" si="45"/>
        <v>248</v>
      </c>
      <c r="J48" s="629">
        <f t="shared" si="45"/>
        <v>32305262</v>
      </c>
      <c r="K48" s="584">
        <f t="shared" si="45"/>
        <v>360</v>
      </c>
      <c r="L48" s="629">
        <f t="shared" si="45"/>
        <v>44216079</v>
      </c>
      <c r="M48" s="612">
        <f t="shared" si="40"/>
        <v>2103</v>
      </c>
      <c r="N48" s="630">
        <f t="shared" si="40"/>
        <v>268495694</v>
      </c>
      <c r="O48" s="609"/>
      <c r="P48" s="569" t="s">
        <v>22</v>
      </c>
      <c r="Q48" s="572">
        <f>SUMIFS(РД[S],РД[Дом],$Q$38,РД[ИМ],$P48,РД[Дата подачи на регистрацию],"&gt;="&amp;$P$37,РД[Дата подачи на регистрацию],"&lt;"&amp;DATE(YEAR($B$39),MONTH($B$39)+1,1),РД[Состояние],"Продажа")-AE48/2</f>
        <v>0</v>
      </c>
      <c r="R48" s="573">
        <f>SUMIFS(РД[Стоимость без отделки итог],РД[Дом],$Q$38,РД[ИМ],$P48,РД[Дата подачи на регистрацию],"&gt;="&amp;$P$37,РД[Дата подачи на регистрацию],"&lt;"&amp;DATE(YEAR($B$39),MONTH($B$39)+1,1),РД[Состояние],"Продажа")-AF48/2</f>
        <v>0</v>
      </c>
      <c r="S48" s="573">
        <f>SUMIFS(РД[S],РД[Дом],$S$38,РД[ИМ],$P48,РД[Дата подачи на регистрацию],"&gt;="&amp;$P$37,РД[Дата подачи на регистрацию],"&lt;"&amp;DATE(YEAR($B$39),MONTH($B$39)+1,1),РД[Состояние],"Продажа")-AG48/2</f>
        <v>380.13499999999993</v>
      </c>
      <c r="T48" s="573">
        <f>SUMIFS(РД[Стоимость без отделки итог],РД[Дом],$S$38,РД[ИМ],$P48,РД[Дата подачи на регистрацию],"&gt;="&amp;$P$37,РД[Дата подачи на регистрацию],"&lt;"&amp;DATE(YEAR($B$39),MONTH($B$39)+1,1),РД[Состояние],"Продажа")-AH48/2</f>
        <v>47053020</v>
      </c>
      <c r="U48" s="573">
        <f>SUMIFS(РД[S],РД[Дом],$U$38,РД[ИМ],$P48,РД[Дата подачи на регистрацию],"&gt;="&amp;$P$37,РД[Дата подачи на регистрацию],"&lt;"&amp;DATE(YEAR($B$39),MONTH($B$39)+1,1),РД[Состояние],"Продажа")-AI48/2</f>
        <v>0</v>
      </c>
      <c r="V48" s="628">
        <f>SUMIFS(РД[Стоимость без отделки итог],РД[Дом],$U$38,РД[ИМ],$P48,РД[Дата подачи на регистрацию],"&gt;="&amp;$P$37,РД[Дата подачи на регистрацию],"&lt;"&amp;DATE(YEAR($B$39),MONTH($B$39)+1,1),РД[Состояние],"Продажа")-AJ48/2</f>
        <v>0</v>
      </c>
      <c r="W48" s="573">
        <f>SUMIFS(РД[S],РД[Дом],$W$38,РД[ИМ],$P48,РД[Дата подачи на регистрацию],"&gt;="&amp;$P$37,РД[Дата подачи на регистрацию],"&lt;"&amp;DATE(YEAR($B$39),MONTH($B$39)+1,1),РД[Состояние],"Продажа")-AK48/2</f>
        <v>0</v>
      </c>
      <c r="X48" s="628">
        <f>SUMIFS(РД[Стоимость без отделки итог],РД[Дом],$W$38,РД[ИМ],$P48,РД[Дата подачи на регистрацию],"&gt;="&amp;$P$37,РД[Дата подачи на регистрацию],"&lt;"&amp;DATE(YEAR($B$39),MONTH($B$39)+1,1),РД[Состояние],"Продажа")-AL48/2</f>
        <v>0</v>
      </c>
      <c r="Y48" s="636">
        <f>Q48+S48+U48+W48</f>
        <v>380.13499999999993</v>
      </c>
      <c r="Z48" s="573">
        <f>R48+T48+V48+X48</f>
        <v>47053020</v>
      </c>
      <c r="AA48" s="645">
        <f t="shared" ref="AA48:AB51" si="46">IFERROR(Y48/M51,"")</f>
        <v>0.52261724125317988</v>
      </c>
      <c r="AB48" s="588">
        <f t="shared" si="46"/>
        <v>0.50668182434113995</v>
      </c>
      <c r="AC48" s="609"/>
      <c r="AD48" s="569" t="s">
        <v>22</v>
      </c>
      <c r="AE48" s="594">
        <f>SUMIFS(РД[S],РД[Дом],$AE$38,РД[ИМ],$AD48,РД[Источник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8" s="568">
        <f>SUMIFS(РД[Стоимость без отделки итог],РД[Дом],$AE$38,РД[ИМ],$AD48,РД[Источник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8" s="568">
        <f>SUMIFS(РД[S],РД[Дом],$AG$38,РД[ИМ],$AD48,РД[Источник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171.15</v>
      </c>
      <c r="AH48" s="568">
        <f>SUMIFS(РД[Стоимость без отделки итог],РД[Дом],$AG$38,РД[ИМ],$AD48,РД[Источник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20488698</v>
      </c>
      <c r="AI48" s="568">
        <f>SUMIFS(РД[S],РД[Дом],$AI$38,РД[ИМ],$AD48,РД[Источник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8" s="568">
        <f>SUMIFS(РД[Стоимость без отделки итог],РД[Дом],$AI$38,РД[ИМ],$AD48,РД[Источник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8" s="568">
        <f>SUMIFS(РД[S],РД[Дом],$AK$46,РД[ИМ],$AD48,РД[Источник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8" s="808">
        <f>SUMIFS(РД[Стоимость без отделки итог],РД[Дом],$AK$46,РД[ИМ],$AD48,РД[Источник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8" s="594">
        <f t="shared" ref="AM48:AN50" si="47">AE48+AG48+AI48+AK48</f>
        <v>171.15</v>
      </c>
      <c r="AN48" s="808">
        <f t="shared" si="47"/>
        <v>20488698</v>
      </c>
      <c r="AP48" s="660" t="s">
        <v>1883</v>
      </c>
      <c r="AQ48" s="671">
        <f>SUM(AQ36:AQ47)</f>
        <v>5082.1499999999978</v>
      </c>
      <c r="AR48" s="671">
        <f>SUM(AR36:AR47)</f>
        <v>657016858.97736144</v>
      </c>
    </row>
    <row r="49" spans="2:44" ht="15.75">
      <c r="B49" s="2335" t="s">
        <v>1882</v>
      </c>
      <c r="C49" s="2343"/>
      <c r="D49" s="2336"/>
      <c r="E49" s="2343" t="s">
        <v>7</v>
      </c>
      <c r="F49" s="2360"/>
      <c r="G49" s="2352" t="s">
        <v>13</v>
      </c>
      <c r="H49" s="2360"/>
      <c r="I49" s="2352" t="s">
        <v>1875</v>
      </c>
      <c r="J49" s="2343"/>
      <c r="K49" s="2352" t="s">
        <v>1876</v>
      </c>
      <c r="L49" s="2343"/>
      <c r="M49" s="2335" t="s">
        <v>114</v>
      </c>
      <c r="N49" s="2336"/>
      <c r="O49" s="609"/>
      <c r="P49" s="569" t="s">
        <v>26</v>
      </c>
      <c r="Q49" s="606">
        <f>SUMIFS(РД[S],РД[Дом],$Q$38,РД[ИМ],$P49,РД[Дата подачи на регистрацию],"&gt;="&amp;$P$37,РД[Дата подачи на регистрацию],"&lt;"&amp;DATE(YEAR($B$39),MONTH($B$39)+1,1),РД[Состояние],"Продажа")</f>
        <v>0</v>
      </c>
      <c r="R49" s="597">
        <f>SUMIFS(РД[Стоимость без отделки итог],РД[Дом],$Q$38,РД[ИМ],$P49,РД[Дата подачи на регистрацию],"&gt;="&amp;$P$37,РД[Дата подачи на регистрацию],"&lt;"&amp;DATE(YEAR($B$39),MONTH($B$39)+1,1),РД[Состояние],"Продажа")</f>
        <v>0</v>
      </c>
      <c r="S49" s="597">
        <f>SUMIFS(РД[S],РД[Дом],$S$38,РД[ИМ],$P49,РД[Дата подачи на регистрацию],"&gt;="&amp;$P$37,РД[Дата подачи на регистрацию],"&lt;"&amp;DATE(YEAR($B$39),MONTH($B$39)+1,1),РД[Состояние],"Продажа")</f>
        <v>351.73</v>
      </c>
      <c r="T49" s="597">
        <f>SUMIFS(РД[Стоимость без отделки итог],РД[Дом],$S$38,РД[ИМ],$P49,РД[Дата подачи на регистрацию],"&gt;="&amp;$P$37,РД[Дата подачи на регистрацию],"&lt;"&amp;DATE(YEAR($B$39),MONTH($B$39)+1,1),РД[Состояние],"Продажа")</f>
        <v>41700600</v>
      </c>
      <c r="U49" s="597">
        <f>SUMIFS(РД[S],РД[Дом],$U$38,РД[ИМ],$P49,РД[Дата подачи на регистрацию],"&gt;="&amp;$P$37,РД[Дата подачи на регистрацию],"&lt;"&amp;DATE(YEAR($B$39),MONTH($B$39)+1,1),РД[Состояние],"Продажа")</f>
        <v>0</v>
      </c>
      <c r="V49" s="632">
        <f>SUMIFS(РД[Стоимость без отделки итог],РД[Дом],$U$38,РД[ИМ],$P49,РД[Дата подачи на регистрацию],"&gt;="&amp;$P$37,РД[Дата подачи на регистрацию],"&lt;"&amp;DATE(YEAR($B$39),MONTH($B$39)+1,1),РД[Состояние],"Продажа")</f>
        <v>0</v>
      </c>
      <c r="W49" s="573">
        <f>SUMIFS(РД[S],РД[Дом],$W$38,РД[ИМ],$P49,РД[Дата подачи на регистрацию],"&gt;="&amp;$P$37,РД[Дата подачи на регистрацию],"&lt;"&amp;DATE(YEAR($B$39),MONTH($B$39)+1,1),РД[Состояние],"Продажа")-AK49/2</f>
        <v>0</v>
      </c>
      <c r="X49" s="628">
        <f>SUMIFS(РД[Стоимость без отделки итог],РД[Дом],$W$38,РД[ИМ],$P49,РД[Дата подачи на регистрацию],"&gt;="&amp;$P$37,РД[Дата подачи на регистрацию],"&lt;"&amp;DATE(YEAR($B$39),MONTH($B$39)+1,1),РД[Состояние],"Продажа")-AL49/2</f>
        <v>0</v>
      </c>
      <c r="Y49" s="636">
        <f t="shared" ref="Y49:Z50" si="48">Q49+S49+U49+W49</f>
        <v>351.73</v>
      </c>
      <c r="Z49" s="573">
        <f t="shared" si="48"/>
        <v>41700600</v>
      </c>
      <c r="AA49" s="638">
        <f t="shared" si="46"/>
        <v>0.54993720813977587</v>
      </c>
      <c r="AB49" s="617">
        <f t="shared" si="46"/>
        <v>0.51067893484587656</v>
      </c>
      <c r="AC49" s="609"/>
      <c r="AD49" s="569" t="s">
        <v>26</v>
      </c>
      <c r="AE49" s="636">
        <f>SUMIFS(РД[S],РД[Дом],$AE$38,РД[ИМ],$AD49,РД[Источник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49" s="573">
        <f>SUMIFS(РД[Стоимость без отделки итог],РД[Дом],$AE$38,РД[ИМ],$AD49,РД[Источник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49" s="573">
        <f>SUMIFS(РД[S],РД[Дом],$AG$38,РД[ИМ],$AD49,РД[Источник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155.26</v>
      </c>
      <c r="AH49" s="573">
        <f>SUMIFS(РД[Стоимость без отделки итог],РД[Дом],$AG$38,РД[ИМ],$AD49,РД[Источник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18600870</v>
      </c>
      <c r="AI49" s="573">
        <f>SUMIFS(РД[S],РД[Дом],$AI$38,РД[ИМ],$AD49,РД[Источник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49" s="573">
        <f>SUMIFS(РД[Стоимость без отделки итог],РД[Дом],$AI$38,РД[ИМ],$AD49,РД[Источник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49" s="573">
        <f>SUMIFS(РД[S],РД[Дом],$AK$46,РД[ИМ],$AD49,РД[Источник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49" s="652">
        <f>SUMIFS(РД[Стоимость без отделки итог],РД[Дом],$AK$46,РД[ИМ],$AD49,РД[Источник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49" s="636">
        <f t="shared" si="47"/>
        <v>155.26</v>
      </c>
      <c r="AN49" s="652">
        <f t="shared" si="47"/>
        <v>18600870</v>
      </c>
    </row>
    <row r="50" spans="2:44" ht="15.75">
      <c r="B50" s="559" t="s">
        <v>1878</v>
      </c>
      <c r="C50" s="560" t="s">
        <v>1879</v>
      </c>
      <c r="D50" s="561" t="s">
        <v>1880</v>
      </c>
      <c r="E50" s="562" t="s">
        <v>1872</v>
      </c>
      <c r="F50" s="563" t="s">
        <v>1881</v>
      </c>
      <c r="G50" s="562" t="s">
        <v>1872</v>
      </c>
      <c r="H50" s="563" t="s">
        <v>1881</v>
      </c>
      <c r="I50" s="562" t="s">
        <v>1872</v>
      </c>
      <c r="J50" s="623" t="s">
        <v>1881</v>
      </c>
      <c r="K50" s="563" t="s">
        <v>1872</v>
      </c>
      <c r="L50" s="624" t="s">
        <v>1881</v>
      </c>
      <c r="M50" s="610" t="s">
        <v>1872</v>
      </c>
      <c r="N50" s="624" t="s">
        <v>1881</v>
      </c>
      <c r="O50" s="609"/>
      <c r="P50" s="627" t="s">
        <v>3</v>
      </c>
      <c r="Q50" s="589">
        <f>SUMIFS(РД[S],РД[Дом],$Q$38,РД[ИМ],$P50,РД[Дата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R50" s="590">
        <f>SUMIFS(РД[Стоимость без отделки итог],РД[Дом],$Q$38,РД[ИМ],$P50,РД[Дата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S50" s="590">
        <f>SUMIFS(РД[S],РД[Дом],$S$38,РД[ИМ],$P50,РД[Дата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T50" s="590">
        <f>SUMIFS(РД[Стоимость без отделки итог],РД[Дом],$S$38,РД[ИМ],$P50,РД[Дата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U50" s="590">
        <f>SUMIFS(РД[S],РД[Дом],$U$38,РД[ИМ],$P50,РД[Дата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V50" s="635">
        <f>SUMIFS(РД[Стоимость без отделки итог],РД[Дом],$U$38,РД[ИМ],$P50,РД[Дата подачи на регистрацию],"&gt;="&amp;$P$37,РД[Дата подачи на регистрацию],"&lt;"&amp;DATE(YEAR($B$39),MONTH($B$39)+1,1),РД[Состояние],"Продажа")</f>
        <v>0</v>
      </c>
      <c r="W50" s="573">
        <f>SUMIFS(РД[S],РД[Дом],$W$38,РД[ИМ],$P50,РД[Дата подачи на регистрацию],"&gt;="&amp;$P$37,РД[Дата подачи на регистрацию],"&lt;"&amp;DATE(YEAR($B$39),MONTH($B$39)+1,1),РД[Состояние],"Продажа")-AK50/2</f>
        <v>0</v>
      </c>
      <c r="X50" s="628">
        <f>SUMIFS(РД[Стоимость без отделки итог],РД[Дом],$W$38,РД[ИМ],$P50,РД[Дата подачи на регистрацию],"&gt;="&amp;$P$37,РД[Дата подачи на регистрацию],"&lt;"&amp;DATE(YEAR($B$39),MONTH($B$39)+1,1),РД[Состояние],"Продажа")-AL50/2</f>
        <v>0</v>
      </c>
      <c r="Y50" s="636">
        <f t="shared" si="48"/>
        <v>0</v>
      </c>
      <c r="Z50" s="573">
        <f t="shared" si="48"/>
        <v>0</v>
      </c>
      <c r="AA50" s="639" t="str">
        <f t="shared" si="46"/>
        <v/>
      </c>
      <c r="AB50" s="640" t="str">
        <f t="shared" si="46"/>
        <v/>
      </c>
      <c r="AC50" s="609"/>
      <c r="AD50" s="627" t="s">
        <v>3</v>
      </c>
      <c r="AE50" s="834">
        <f>SUMIFS(РД[S],РД[Дом],$AE$38,РД[ИМ],$AD50,РД[Источник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F50" s="835">
        <f>SUMIFS(РД[Стоимость без отделки итог],РД[Дом],$AE$38,РД[ИМ],$AD50,РД[Источник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G50" s="835">
        <f>SUMIFS(РД[S],РД[Дом],$AG$38,РД[ИМ],$AD50,РД[Источник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H50" s="835">
        <f>SUMIFS(РД[Стоимость без отделки итог],РД[Дом],$AG$38,РД[ИМ],$AD50,РД[Источник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I50" s="835">
        <f>SUMIFS(РД[S],РД[Дом],$AI$38,РД[ИМ],$AD50,РД[Источник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J50" s="835">
        <f>SUMIFS(РД[Стоимость без отделки итог],РД[Дом],$AI$38,РД[ИМ],$AD50,РД[Источник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K50" s="835">
        <f>SUMIFS(РД[S],РД[Дом],$AK$46,РД[ИМ],$AD50,РД[Источник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L50" s="840">
        <f>SUMIFS(РД[Стоимость без отделки итог],РД[Дом],$AK$46,РД[ИМ],$AD50,РД[Источник обращения],"Агент*",РД[Дата подачи на регистрацию],"&gt;="&amp;$AD$37,РД[Дата подачи на регистрацию],"&lt;"&amp;DATE(YEAR($B$39),MONTH($B$39)+1,1),РД[Состояние],"Продажа")</f>
        <v>0</v>
      </c>
      <c r="AM50" s="636">
        <f t="shared" si="47"/>
        <v>0</v>
      </c>
      <c r="AN50" s="652">
        <f t="shared" si="47"/>
        <v>0</v>
      </c>
    </row>
    <row r="51" spans="2:44" ht="15.75">
      <c r="B51" s="569" t="s">
        <v>22</v>
      </c>
      <c r="C51" s="570">
        <v>174</v>
      </c>
      <c r="D51" s="588">
        <f>C51/$C$54</f>
        <v>0.5321100917431193</v>
      </c>
      <c r="E51" s="572">
        <f>$D51*($E$48*$B$55)</f>
        <v>15.56422018348624</v>
      </c>
      <c r="F51" s="573">
        <f>$D51*($F$48*$B$55)</f>
        <v>2220196.9256880735</v>
      </c>
      <c r="G51" s="573">
        <f>$D51*($G$48*$B$55)</f>
        <v>501.51376146788994</v>
      </c>
      <c r="H51" s="573">
        <f>$D51*($H$48*$B$55)</f>
        <v>64178271.955963306</v>
      </c>
      <c r="I51" s="573">
        <f>$D51*($I$48*$B$55)</f>
        <v>85.776146788990843</v>
      </c>
      <c r="J51" s="628">
        <f>$D51*($J$48*$B$55)</f>
        <v>11173471.352293579</v>
      </c>
      <c r="K51" s="573">
        <f>$D51*($K$48*$B$55)</f>
        <v>124.51376146788992</v>
      </c>
      <c r="L51" s="628">
        <f>$D51*($L$48*$B$55)</f>
        <v>15293084.204587158</v>
      </c>
      <c r="M51" s="596">
        <f t="shared" ref="M51:N54" si="49">E51+G51+I51+K51</f>
        <v>727.36788990825698</v>
      </c>
      <c r="N51" s="626">
        <f t="shared" si="49"/>
        <v>92865024.438532114</v>
      </c>
      <c r="O51" s="631"/>
      <c r="P51" s="581" t="s">
        <v>114</v>
      </c>
      <c r="Q51" s="582">
        <f>SUM(Q48:Q50)</f>
        <v>0</v>
      </c>
      <c r="R51" s="584">
        <f t="shared" ref="R51:Z51" si="50">SUM(R48:R50)</f>
        <v>0</v>
      </c>
      <c r="S51" s="584">
        <f t="shared" si="50"/>
        <v>731.86500000000001</v>
      </c>
      <c r="T51" s="584">
        <f t="shared" si="50"/>
        <v>88753620</v>
      </c>
      <c r="U51" s="584">
        <f t="shared" si="50"/>
        <v>0</v>
      </c>
      <c r="V51" s="629">
        <f t="shared" si="50"/>
        <v>0</v>
      </c>
      <c r="W51" s="584">
        <f t="shared" si="50"/>
        <v>0</v>
      </c>
      <c r="X51" s="629">
        <f t="shared" si="50"/>
        <v>0</v>
      </c>
      <c r="Y51" s="612">
        <f t="shared" si="50"/>
        <v>731.86500000000001</v>
      </c>
      <c r="Z51" s="584">
        <f t="shared" si="50"/>
        <v>88753620</v>
      </c>
      <c r="AA51" s="641">
        <f t="shared" si="46"/>
        <v>0.53539997805333039</v>
      </c>
      <c r="AB51" s="583">
        <f t="shared" si="46"/>
        <v>0.50855203200849386</v>
      </c>
      <c r="AC51" s="631"/>
      <c r="AD51" s="581" t="s">
        <v>114</v>
      </c>
      <c r="AE51" s="584">
        <f t="shared" ref="AE51:AL51" si="51">SUM(AE48:AE50)</f>
        <v>0</v>
      </c>
      <c r="AF51" s="584">
        <f t="shared" si="51"/>
        <v>0</v>
      </c>
      <c r="AG51" s="584">
        <f t="shared" si="51"/>
        <v>326.40999999999997</v>
      </c>
      <c r="AH51" s="584">
        <f t="shared" si="51"/>
        <v>39089568</v>
      </c>
      <c r="AI51" s="584">
        <f t="shared" si="51"/>
        <v>0</v>
      </c>
      <c r="AJ51" s="629">
        <f t="shared" si="51"/>
        <v>0</v>
      </c>
      <c r="AK51" s="584">
        <f t="shared" si="51"/>
        <v>0</v>
      </c>
      <c r="AL51" s="629">
        <f t="shared" si="51"/>
        <v>0</v>
      </c>
      <c r="AM51" s="612">
        <f>AE51+AG51+AI51+AK51</f>
        <v>326.40999999999997</v>
      </c>
      <c r="AN51" s="630">
        <f>AF51+AH51+AJ51+AL51</f>
        <v>39089568</v>
      </c>
      <c r="AP51" s="2337" t="s">
        <v>1876</v>
      </c>
      <c r="AQ51" s="2337"/>
      <c r="AR51" s="2337"/>
    </row>
    <row r="52" spans="2:44" ht="15.75">
      <c r="B52" s="569" t="s">
        <v>26</v>
      </c>
      <c r="C52" s="570">
        <v>153</v>
      </c>
      <c r="D52" s="588">
        <f>C52/$C$54</f>
        <v>0.46788990825688076</v>
      </c>
      <c r="E52" s="572">
        <f>$D52*($E$48*$B$55)</f>
        <v>13.685779816513762</v>
      </c>
      <c r="F52" s="573">
        <f>$D52*($F$48*$B$55)</f>
        <v>1952242.1243119268</v>
      </c>
      <c r="G52" s="573">
        <f>$D52*($G$48*$B$55)</f>
        <v>440.98623853211012</v>
      </c>
      <c r="H52" s="573">
        <f>$D52*($H$48*$B$55)</f>
        <v>56432618.4440367</v>
      </c>
      <c r="I52" s="573">
        <f>$D52*($I$48*$B$55)</f>
        <v>75.423853211009188</v>
      </c>
      <c r="J52" s="628">
        <f>$D52*($J$48*$B$55)</f>
        <v>9824948.9477064237</v>
      </c>
      <c r="K52" s="573">
        <f>$D52*($K$48*$B$55)</f>
        <v>109.48623853211009</v>
      </c>
      <c r="L52" s="628">
        <f>$D52*($L$48*$B$55)</f>
        <v>13447367.145412846</v>
      </c>
      <c r="M52" s="596">
        <f t="shared" si="49"/>
        <v>639.58211009174317</v>
      </c>
      <c r="N52" s="626">
        <f t="shared" si="49"/>
        <v>81657176.661467895</v>
      </c>
      <c r="AP52" s="650" t="s">
        <v>1871</v>
      </c>
      <c r="AQ52" s="663" t="s">
        <v>1872</v>
      </c>
      <c r="AR52" s="664" t="s">
        <v>1873</v>
      </c>
    </row>
    <row r="53" spans="2:44" ht="15.75">
      <c r="B53" s="627" t="s">
        <v>3</v>
      </c>
      <c r="C53" s="574">
        <v>0</v>
      </c>
      <c r="D53" s="608">
        <f>C53/$C$54</f>
        <v>0</v>
      </c>
      <c r="E53" s="572">
        <f>$D53*($E$48*$B$55)</f>
        <v>0</v>
      </c>
      <c r="F53" s="573">
        <f>$D53*($F$48*$B$55)</f>
        <v>0</v>
      </c>
      <c r="G53" s="573">
        <f>$D53*($G$48*$B$55)</f>
        <v>0</v>
      </c>
      <c r="H53" s="573">
        <f>$D53*($H$48*$B$55)</f>
        <v>0</v>
      </c>
      <c r="I53" s="573">
        <f>$D53*($I$48*$B$55)</f>
        <v>0</v>
      </c>
      <c r="J53" s="628">
        <f>$D53*($J$48*$B$55)</f>
        <v>0</v>
      </c>
      <c r="K53" s="573">
        <f>$D53*($K$48*$B$55)</f>
        <v>0</v>
      </c>
      <c r="L53" s="628">
        <f>$D53*($L$48*$B$55)</f>
        <v>0</v>
      </c>
      <c r="M53" s="596">
        <f t="shared" si="49"/>
        <v>0</v>
      </c>
      <c r="N53" s="626">
        <f t="shared" si="49"/>
        <v>0</v>
      </c>
      <c r="AP53" s="651">
        <v>45658</v>
      </c>
      <c r="AQ53" s="667">
        <v>313.04115113981499</v>
      </c>
      <c r="AR53" s="667">
        <v>38189203.722965002</v>
      </c>
    </row>
    <row r="54" spans="2:44">
      <c r="B54" s="581" t="s">
        <v>114</v>
      </c>
      <c r="C54" s="582">
        <f>SUM(C51:C53)</f>
        <v>327</v>
      </c>
      <c r="D54" s="583">
        <f t="shared" ref="D54:L54" si="52">SUM(D51:D53)</f>
        <v>1</v>
      </c>
      <c r="E54" s="582">
        <f t="shared" si="52"/>
        <v>29.25</v>
      </c>
      <c r="F54" s="584">
        <f t="shared" si="52"/>
        <v>4172439.0500000003</v>
      </c>
      <c r="G54" s="584">
        <f t="shared" si="52"/>
        <v>942.5</v>
      </c>
      <c r="H54" s="584">
        <f t="shared" si="52"/>
        <v>120610890.40000001</v>
      </c>
      <c r="I54" s="584">
        <f t="shared" si="52"/>
        <v>161.20000000000005</v>
      </c>
      <c r="J54" s="629">
        <f t="shared" si="52"/>
        <v>20998420.300000004</v>
      </c>
      <c r="K54" s="584">
        <f t="shared" si="52"/>
        <v>234</v>
      </c>
      <c r="L54" s="629">
        <f t="shared" si="52"/>
        <v>28740451.350000001</v>
      </c>
      <c r="M54" s="612">
        <f t="shared" si="49"/>
        <v>1366.95</v>
      </c>
      <c r="N54" s="630">
        <f t="shared" si="49"/>
        <v>174522201.09999999</v>
      </c>
      <c r="O54" s="621"/>
      <c r="P54" s="2361" t="str">
        <f>B57</f>
        <v>2 квартал 2024</v>
      </c>
      <c r="Q54" s="2362"/>
      <c r="R54" s="2362"/>
      <c r="S54" s="2362"/>
      <c r="T54" s="2362"/>
      <c r="U54" s="2362"/>
      <c r="V54" s="2362"/>
      <c r="W54" s="2362"/>
      <c r="X54" s="2362"/>
      <c r="Y54" s="2362"/>
      <c r="Z54" s="2362"/>
      <c r="AA54" s="2362"/>
      <c r="AB54" s="2363"/>
      <c r="AC54" s="621"/>
      <c r="AD54" s="2329" t="str">
        <f>P54</f>
        <v>2 квартал 2024</v>
      </c>
      <c r="AE54" s="2330"/>
      <c r="AF54" s="2330"/>
      <c r="AG54" s="2330"/>
      <c r="AH54" s="2330"/>
      <c r="AI54" s="2330"/>
      <c r="AJ54" s="2330"/>
      <c r="AK54" s="2330"/>
      <c r="AL54" s="2330"/>
      <c r="AM54" s="2330"/>
      <c r="AN54" s="2331"/>
      <c r="AP54" s="651">
        <v>45689</v>
      </c>
      <c r="AQ54" s="667">
        <v>196.21809077236099</v>
      </c>
      <c r="AR54" s="667">
        <v>23578486.084575798</v>
      </c>
    </row>
    <row r="55" spans="2:44" ht="16.5" customHeight="1">
      <c r="B55" s="831">
        <v>0.65</v>
      </c>
      <c r="O55" s="622"/>
      <c r="P55" s="2353" t="s">
        <v>1</v>
      </c>
      <c r="Q55" s="2333" t="s">
        <v>7</v>
      </c>
      <c r="R55" s="2333"/>
      <c r="S55" s="2333" t="s">
        <v>13</v>
      </c>
      <c r="T55" s="2333"/>
      <c r="U55" s="2333" t="s">
        <v>1875</v>
      </c>
      <c r="V55" s="2352"/>
      <c r="W55" s="2333" t="s">
        <v>1876</v>
      </c>
      <c r="X55" s="2352"/>
      <c r="Y55" s="2332" t="s">
        <v>114</v>
      </c>
      <c r="Z55" s="2333"/>
      <c r="AA55" s="2333" t="s">
        <v>1877</v>
      </c>
      <c r="AB55" s="2334"/>
      <c r="AC55" s="622"/>
      <c r="AD55" s="2353" t="s">
        <v>1</v>
      </c>
      <c r="AE55" s="2360" t="s">
        <v>7</v>
      </c>
      <c r="AF55" s="2333"/>
      <c r="AG55" s="2333" t="s">
        <v>13</v>
      </c>
      <c r="AH55" s="2333"/>
      <c r="AI55" s="2333" t="s">
        <v>1875</v>
      </c>
      <c r="AJ55" s="2352"/>
      <c r="AK55" s="2343" t="s">
        <v>1876</v>
      </c>
      <c r="AL55" s="2336"/>
      <c r="AM55" s="2332" t="s">
        <v>114</v>
      </c>
      <c r="AN55" s="2334"/>
      <c r="AP55" s="651">
        <v>45717</v>
      </c>
      <c r="AQ55" s="667">
        <v>361.95481780648203</v>
      </c>
      <c r="AR55" s="667">
        <v>42902731.337462902</v>
      </c>
    </row>
    <row r="56" spans="2:44">
      <c r="C56" s="609"/>
      <c r="D56" s="609"/>
      <c r="E56" s="609"/>
      <c r="F56" s="609"/>
      <c r="G56" s="609"/>
      <c r="H56" s="609"/>
      <c r="I56" s="609"/>
      <c r="J56" s="609"/>
      <c r="K56" s="609"/>
      <c r="L56" s="609"/>
      <c r="M56" s="609"/>
      <c r="O56" s="622"/>
      <c r="P56" s="2355"/>
      <c r="Q56" s="562" t="s">
        <v>1872</v>
      </c>
      <c r="R56" s="563" t="s">
        <v>1881</v>
      </c>
      <c r="S56" s="562" t="s">
        <v>1872</v>
      </c>
      <c r="T56" s="563" t="s">
        <v>1881</v>
      </c>
      <c r="U56" s="562" t="s">
        <v>1872</v>
      </c>
      <c r="V56" s="563" t="s">
        <v>1881</v>
      </c>
      <c r="W56" s="562" t="s">
        <v>1872</v>
      </c>
      <c r="X56" s="563" t="s">
        <v>1881</v>
      </c>
      <c r="Y56" s="610" t="s">
        <v>1872</v>
      </c>
      <c r="Z56" s="563" t="s">
        <v>1881</v>
      </c>
      <c r="AA56" s="563" t="s">
        <v>1872</v>
      </c>
      <c r="AB56" s="624" t="s">
        <v>1881</v>
      </c>
      <c r="AC56" s="622"/>
      <c r="AD56" s="2354"/>
      <c r="AE56" s="838" t="s">
        <v>1872</v>
      </c>
      <c r="AF56" s="825" t="s">
        <v>1881</v>
      </c>
      <c r="AG56" s="825" t="s">
        <v>1872</v>
      </c>
      <c r="AH56" s="825" t="s">
        <v>1881</v>
      </c>
      <c r="AI56" s="825" t="s">
        <v>1872</v>
      </c>
      <c r="AJ56" s="842" t="s">
        <v>1881</v>
      </c>
      <c r="AK56" s="838" t="s">
        <v>1872</v>
      </c>
      <c r="AL56" s="826" t="s">
        <v>1881</v>
      </c>
      <c r="AM56" s="610" t="s">
        <v>1872</v>
      </c>
      <c r="AN56" s="624" t="s">
        <v>1881</v>
      </c>
      <c r="AP56" s="651">
        <v>45748</v>
      </c>
      <c r="AQ56" s="667">
        <v>391.20115113981501</v>
      </c>
      <c r="AR56" s="667">
        <v>47451987.6102942</v>
      </c>
    </row>
    <row r="57" spans="2:44" ht="15.75">
      <c r="B57" s="2329" t="s">
        <v>11477</v>
      </c>
      <c r="C57" s="2330"/>
      <c r="D57" s="2330"/>
      <c r="E57" s="2330"/>
      <c r="F57" s="2330"/>
      <c r="G57" s="2330"/>
      <c r="H57" s="2330"/>
      <c r="I57" s="2330"/>
      <c r="J57" s="2330"/>
      <c r="K57" s="2330"/>
      <c r="L57" s="2330"/>
      <c r="M57" s="2330"/>
      <c r="N57" s="2331"/>
      <c r="O57" s="622"/>
      <c r="P57" s="564" t="s">
        <v>28</v>
      </c>
      <c r="Q57" s="606">
        <f t="shared" ref="Q57:X61" si="53">Q6+Q23+Q40</f>
        <v>0</v>
      </c>
      <c r="R57" s="597">
        <f t="shared" si="53"/>
        <v>0</v>
      </c>
      <c r="S57" s="597">
        <f t="shared" si="53"/>
        <v>121.26</v>
      </c>
      <c r="T57" s="597">
        <f t="shared" si="53"/>
        <v>13910127</v>
      </c>
      <c r="U57" s="597">
        <f t="shared" si="53"/>
        <v>0</v>
      </c>
      <c r="V57" s="632">
        <f t="shared" si="53"/>
        <v>0</v>
      </c>
      <c r="W57" s="597">
        <f t="shared" si="53"/>
        <v>92.064999999999998</v>
      </c>
      <c r="X57" s="632">
        <f t="shared" si="53"/>
        <v>12053283.5</v>
      </c>
      <c r="Y57" s="636">
        <f>Q57+S57+U57+W57</f>
        <v>213.32499999999999</v>
      </c>
      <c r="Z57" s="573">
        <f>R57+T57+V57+X57</f>
        <v>25963410.5</v>
      </c>
      <c r="AA57" s="638">
        <f t="shared" ref="AA57:AB60" si="54">IFERROR(Y57/M60,"")</f>
        <v>0.18295454545454545</v>
      </c>
      <c r="AB57" s="617">
        <f t="shared" si="54"/>
        <v>0.17432300004313861</v>
      </c>
      <c r="AC57" s="622"/>
      <c r="AD57" s="564" t="s">
        <v>28</v>
      </c>
      <c r="AE57" s="594">
        <f t="shared" ref="AE57:AN57" si="55">AE40+AE23+AE6</f>
        <v>0</v>
      </c>
      <c r="AF57" s="567">
        <f t="shared" si="55"/>
        <v>0</v>
      </c>
      <c r="AG57" s="567">
        <f t="shared" si="55"/>
        <v>0</v>
      </c>
      <c r="AH57" s="567">
        <f t="shared" si="55"/>
        <v>0</v>
      </c>
      <c r="AI57" s="567">
        <f t="shared" si="55"/>
        <v>0</v>
      </c>
      <c r="AJ57" s="567">
        <f t="shared" si="55"/>
        <v>0</v>
      </c>
      <c r="AK57" s="567">
        <f t="shared" si="55"/>
        <v>37.01</v>
      </c>
      <c r="AL57" s="843">
        <f t="shared" si="55"/>
        <v>4673363</v>
      </c>
      <c r="AM57" s="606">
        <f t="shared" si="55"/>
        <v>37.01</v>
      </c>
      <c r="AN57" s="844">
        <f t="shared" si="55"/>
        <v>4673363</v>
      </c>
      <c r="AP57" s="651">
        <v>45778</v>
      </c>
      <c r="AQ57" s="667">
        <v>420.28521150726903</v>
      </c>
      <c r="AR57" s="667">
        <v>50275094.814231202</v>
      </c>
    </row>
    <row r="58" spans="2:44" ht="15.75">
      <c r="B58" s="2332" t="s">
        <v>1874</v>
      </c>
      <c r="C58" s="2333"/>
      <c r="D58" s="2334"/>
      <c r="E58" s="2332" t="s">
        <v>7</v>
      </c>
      <c r="F58" s="2333"/>
      <c r="G58" s="2333" t="s">
        <v>13</v>
      </c>
      <c r="H58" s="2333"/>
      <c r="I58" s="2352" t="s">
        <v>1875</v>
      </c>
      <c r="J58" s="2343"/>
      <c r="K58" s="2352" t="s">
        <v>1876</v>
      </c>
      <c r="L58" s="2336"/>
      <c r="M58" s="2343" t="s">
        <v>114</v>
      </c>
      <c r="N58" s="2336"/>
      <c r="O58" s="609"/>
      <c r="P58" s="569" t="s">
        <v>8</v>
      </c>
      <c r="Q58" s="606">
        <f t="shared" si="53"/>
        <v>34.6</v>
      </c>
      <c r="R58" s="597">
        <f t="shared" si="53"/>
        <v>4255800</v>
      </c>
      <c r="S58" s="597">
        <f t="shared" si="53"/>
        <v>435.505</v>
      </c>
      <c r="T58" s="597">
        <f t="shared" si="53"/>
        <v>53448636</v>
      </c>
      <c r="U58" s="597">
        <f t="shared" si="53"/>
        <v>96.94</v>
      </c>
      <c r="V58" s="632">
        <f t="shared" si="53"/>
        <v>12382313</v>
      </c>
      <c r="W58" s="597">
        <f t="shared" si="53"/>
        <v>239.25</v>
      </c>
      <c r="X58" s="632">
        <f t="shared" si="53"/>
        <v>29458888</v>
      </c>
      <c r="Y58" s="636">
        <f>Q58+S58+U58+W58</f>
        <v>806.29500000000007</v>
      </c>
      <c r="Z58" s="573">
        <f>R58+T58+V58+X58</f>
        <v>99545637</v>
      </c>
      <c r="AA58" s="638">
        <f t="shared" si="54"/>
        <v>0.57428418803418813</v>
      </c>
      <c r="AB58" s="617">
        <f t="shared" si="54"/>
        <v>0.55521096696528438</v>
      </c>
      <c r="AC58" s="609"/>
      <c r="AD58" s="569" t="s">
        <v>8</v>
      </c>
      <c r="AE58" s="596">
        <f t="shared" ref="AE58:AN58" si="56">AE41+AE24+AE7</f>
        <v>0</v>
      </c>
      <c r="AF58" s="606">
        <f t="shared" si="56"/>
        <v>0</v>
      </c>
      <c r="AG58" s="606">
        <f t="shared" si="56"/>
        <v>126.35</v>
      </c>
      <c r="AH58" s="606">
        <f t="shared" si="56"/>
        <v>15642070</v>
      </c>
      <c r="AI58" s="606">
        <f t="shared" si="56"/>
        <v>0</v>
      </c>
      <c r="AJ58" s="606">
        <f t="shared" si="56"/>
        <v>0</v>
      </c>
      <c r="AK58" s="606">
        <f t="shared" si="56"/>
        <v>0</v>
      </c>
      <c r="AL58" s="844">
        <f t="shared" si="56"/>
        <v>0</v>
      </c>
      <c r="AM58" s="606">
        <f t="shared" si="56"/>
        <v>126.35</v>
      </c>
      <c r="AN58" s="844">
        <f t="shared" si="56"/>
        <v>15642070</v>
      </c>
      <c r="AP58" s="651">
        <v>45809</v>
      </c>
      <c r="AQ58" s="667">
        <v>361.95481780648203</v>
      </c>
      <c r="AR58" s="667">
        <v>44216080.255956702</v>
      </c>
    </row>
    <row r="59" spans="2:44" ht="15.75">
      <c r="B59" s="559" t="s">
        <v>1878</v>
      </c>
      <c r="C59" s="560" t="s">
        <v>1879</v>
      </c>
      <c r="D59" s="561" t="s">
        <v>1880</v>
      </c>
      <c r="E59" s="610" t="s">
        <v>1872</v>
      </c>
      <c r="F59" s="563" t="s">
        <v>1881</v>
      </c>
      <c r="G59" s="562" t="s">
        <v>1872</v>
      </c>
      <c r="H59" s="563" t="s">
        <v>1881</v>
      </c>
      <c r="I59" s="562" t="s">
        <v>1872</v>
      </c>
      <c r="J59" s="623" t="s">
        <v>1881</v>
      </c>
      <c r="K59" s="563" t="s">
        <v>1872</v>
      </c>
      <c r="L59" s="624" t="s">
        <v>1881</v>
      </c>
      <c r="M59" s="562" t="s">
        <v>1872</v>
      </c>
      <c r="N59" s="624" t="s">
        <v>1881</v>
      </c>
      <c r="O59" s="609"/>
      <c r="P59" s="569" t="s">
        <v>20</v>
      </c>
      <c r="Q59" s="606">
        <f t="shared" si="53"/>
        <v>0</v>
      </c>
      <c r="R59" s="597">
        <f t="shared" si="53"/>
        <v>0</v>
      </c>
      <c r="S59" s="597">
        <f t="shared" si="53"/>
        <v>193.33</v>
      </c>
      <c r="T59" s="597">
        <f t="shared" si="53"/>
        <v>22757494</v>
      </c>
      <c r="U59" s="597">
        <f t="shared" si="53"/>
        <v>0</v>
      </c>
      <c r="V59" s="632">
        <f t="shared" si="53"/>
        <v>0</v>
      </c>
      <c r="W59" s="597">
        <f t="shared" si="53"/>
        <v>0</v>
      </c>
      <c r="X59" s="632">
        <f t="shared" si="53"/>
        <v>0</v>
      </c>
      <c r="Y59" s="636">
        <f t="shared" ref="Y59:Z61" si="57">Q59+S59+U59+W59</f>
        <v>193.33</v>
      </c>
      <c r="Z59" s="573">
        <f t="shared" si="57"/>
        <v>22757494</v>
      </c>
      <c r="AA59" s="638">
        <f t="shared" si="54"/>
        <v>0.14091107871720118</v>
      </c>
      <c r="AB59" s="617">
        <f t="shared" si="54"/>
        <v>0.12985461825168637</v>
      </c>
      <c r="AC59" s="609"/>
      <c r="AD59" s="569" t="s">
        <v>20</v>
      </c>
      <c r="AE59" s="596">
        <f t="shared" ref="AE59:AN59" si="58">AE42+AE25+AE8</f>
        <v>0</v>
      </c>
      <c r="AF59" s="606">
        <f t="shared" si="58"/>
        <v>0</v>
      </c>
      <c r="AG59" s="606">
        <f t="shared" si="58"/>
        <v>178.72</v>
      </c>
      <c r="AH59" s="606">
        <f t="shared" si="58"/>
        <v>20030608</v>
      </c>
      <c r="AI59" s="606">
        <f t="shared" si="58"/>
        <v>0</v>
      </c>
      <c r="AJ59" s="606">
        <f t="shared" si="58"/>
        <v>0</v>
      </c>
      <c r="AK59" s="606">
        <f t="shared" si="58"/>
        <v>0</v>
      </c>
      <c r="AL59" s="844">
        <f t="shared" si="58"/>
        <v>0</v>
      </c>
      <c r="AM59" s="606">
        <f t="shared" si="58"/>
        <v>178.72</v>
      </c>
      <c r="AN59" s="844">
        <f t="shared" si="58"/>
        <v>20030608</v>
      </c>
      <c r="AP59" s="651">
        <v>45839</v>
      </c>
      <c r="AQ59" s="667">
        <v>1048.88040847563</v>
      </c>
      <c r="AR59" s="667">
        <v>130581441.61214</v>
      </c>
    </row>
    <row r="60" spans="2:44" ht="15.75">
      <c r="B60" s="564" t="s">
        <v>28</v>
      </c>
      <c r="C60" s="595">
        <f>C42+C24+C6</f>
        <v>441</v>
      </c>
      <c r="D60" s="575">
        <f>C60/$C$66</f>
        <v>0.19025021570319239</v>
      </c>
      <c r="E60" s="572">
        <f t="shared" ref="E60:L63" si="59">E6+E24+E42</f>
        <v>30</v>
      </c>
      <c r="F60" s="572">
        <f t="shared" si="59"/>
        <v>3816838</v>
      </c>
      <c r="G60" s="572">
        <f t="shared" si="59"/>
        <v>833</v>
      </c>
      <c r="H60" s="572">
        <f t="shared" si="59"/>
        <v>107670460</v>
      </c>
      <c r="I60" s="572">
        <f t="shared" si="59"/>
        <v>97</v>
      </c>
      <c r="J60" s="572">
        <f t="shared" si="59"/>
        <v>12550814</v>
      </c>
      <c r="K60" s="572">
        <f t="shared" si="59"/>
        <v>206</v>
      </c>
      <c r="L60" s="572">
        <f t="shared" si="59"/>
        <v>24900413</v>
      </c>
      <c r="M60" s="596">
        <f>E60+G60+I60+K60</f>
        <v>1166</v>
      </c>
      <c r="N60" s="626">
        <f>F60+H60+J60+L60</f>
        <v>148938525</v>
      </c>
      <c r="O60" s="609"/>
      <c r="P60" s="569" t="s">
        <v>24</v>
      </c>
      <c r="Q60" s="606">
        <f t="shared" si="53"/>
        <v>0</v>
      </c>
      <c r="R60" s="597">
        <f t="shared" si="53"/>
        <v>0</v>
      </c>
      <c r="S60" s="597">
        <f t="shared" si="53"/>
        <v>606.20000000000005</v>
      </c>
      <c r="T60" s="597">
        <f t="shared" si="53"/>
        <v>69038002</v>
      </c>
      <c r="U60" s="597">
        <f t="shared" si="53"/>
        <v>61.41</v>
      </c>
      <c r="V60" s="632">
        <f t="shared" si="53"/>
        <v>7823634</v>
      </c>
      <c r="W60" s="597">
        <f t="shared" si="53"/>
        <v>173.48000000000002</v>
      </c>
      <c r="X60" s="632">
        <f t="shared" si="53"/>
        <v>20929222</v>
      </c>
      <c r="Y60" s="636">
        <f t="shared" si="57"/>
        <v>841.09</v>
      </c>
      <c r="Z60" s="573">
        <f t="shared" si="57"/>
        <v>97790858</v>
      </c>
      <c r="AA60" s="638">
        <f t="shared" si="54"/>
        <v>0.69225514403292188</v>
      </c>
      <c r="AB60" s="617">
        <f t="shared" si="54"/>
        <v>0.62989650541457609</v>
      </c>
      <c r="AC60" s="609"/>
      <c r="AD60" s="569" t="s">
        <v>24</v>
      </c>
      <c r="AE60" s="596">
        <f t="shared" ref="AE60:AN60" si="60">AE43+AE26+AE9</f>
        <v>0</v>
      </c>
      <c r="AF60" s="606">
        <f t="shared" si="60"/>
        <v>0</v>
      </c>
      <c r="AG60" s="606">
        <f t="shared" si="60"/>
        <v>174.8</v>
      </c>
      <c r="AH60" s="606">
        <f t="shared" si="60"/>
        <v>22132060</v>
      </c>
      <c r="AI60" s="606">
        <f t="shared" si="60"/>
        <v>0</v>
      </c>
      <c r="AJ60" s="606">
        <f t="shared" si="60"/>
        <v>0</v>
      </c>
      <c r="AK60" s="606">
        <f t="shared" si="60"/>
        <v>63.44</v>
      </c>
      <c r="AL60" s="844">
        <f t="shared" si="60"/>
        <v>7125776</v>
      </c>
      <c r="AM60" s="606">
        <f t="shared" si="60"/>
        <v>238.24</v>
      </c>
      <c r="AN60" s="844">
        <f t="shared" si="60"/>
        <v>29257836</v>
      </c>
      <c r="AP60" s="651">
        <v>45870</v>
      </c>
      <c r="AQ60" s="667">
        <v>625.75775634787203</v>
      </c>
      <c r="AR60" s="667">
        <v>77660623.771749094</v>
      </c>
    </row>
    <row r="61" spans="2:44" ht="15.75">
      <c r="B61" s="569" t="s">
        <v>8</v>
      </c>
      <c r="C61" s="595">
        <f>C43+C25+C7</f>
        <v>525</v>
      </c>
      <c r="D61" s="575">
        <f>C61/$C$66</f>
        <v>0.22648835202761</v>
      </c>
      <c r="E61" s="572">
        <f t="shared" si="59"/>
        <v>35</v>
      </c>
      <c r="F61" s="572">
        <f t="shared" si="59"/>
        <v>4542555</v>
      </c>
      <c r="G61" s="572">
        <f t="shared" si="59"/>
        <v>997</v>
      </c>
      <c r="H61" s="572">
        <f t="shared" si="59"/>
        <v>128648439</v>
      </c>
      <c r="I61" s="572">
        <f t="shared" si="59"/>
        <v>125</v>
      </c>
      <c r="J61" s="572">
        <f t="shared" si="59"/>
        <v>16203091</v>
      </c>
      <c r="K61" s="572">
        <f t="shared" si="59"/>
        <v>247</v>
      </c>
      <c r="L61" s="572">
        <f t="shared" si="59"/>
        <v>29899270</v>
      </c>
      <c r="M61" s="596">
        <f>E61+G61+I61+K61</f>
        <v>1404</v>
      </c>
      <c r="N61" s="626">
        <f>F61+H61+J61+L61</f>
        <v>179293355</v>
      </c>
      <c r="O61" s="609"/>
      <c r="P61" s="618" t="s">
        <v>14</v>
      </c>
      <c r="Q61" s="589">
        <f t="shared" si="53"/>
        <v>0</v>
      </c>
      <c r="R61" s="590">
        <f t="shared" si="53"/>
        <v>0</v>
      </c>
      <c r="S61" s="590">
        <f t="shared" si="53"/>
        <v>557.44500000000005</v>
      </c>
      <c r="T61" s="590">
        <f t="shared" si="53"/>
        <v>65326685</v>
      </c>
      <c r="U61" s="590">
        <f t="shared" si="53"/>
        <v>0</v>
      </c>
      <c r="V61" s="635">
        <f t="shared" si="53"/>
        <v>0</v>
      </c>
      <c r="W61" s="590">
        <f t="shared" si="53"/>
        <v>66.004999999999995</v>
      </c>
      <c r="X61" s="635">
        <f t="shared" si="53"/>
        <v>8390760</v>
      </c>
      <c r="Y61" s="636">
        <f t="shared" si="57"/>
        <v>623.45000000000005</v>
      </c>
      <c r="Z61" s="573">
        <f t="shared" si="57"/>
        <v>73717445</v>
      </c>
      <c r="AA61" s="639">
        <f>IFERROR(Y61/M65,"")</f>
        <v>6.2974747474747481</v>
      </c>
      <c r="AB61" s="640">
        <f>IFERROR(Z61/N65,"")</f>
        <v>5.8284589192862502</v>
      </c>
      <c r="AC61" s="609"/>
      <c r="AD61" s="618" t="s">
        <v>14</v>
      </c>
      <c r="AE61" s="601">
        <f t="shared" ref="AE61:AN61" si="61">AE44+AE27+AE10</f>
        <v>0</v>
      </c>
      <c r="AF61" s="607">
        <f t="shared" si="61"/>
        <v>0</v>
      </c>
      <c r="AG61" s="607">
        <f t="shared" si="61"/>
        <v>177.13</v>
      </c>
      <c r="AH61" s="607">
        <f t="shared" si="61"/>
        <v>20538350</v>
      </c>
      <c r="AI61" s="607">
        <f t="shared" si="61"/>
        <v>0</v>
      </c>
      <c r="AJ61" s="607">
        <f t="shared" si="61"/>
        <v>0</v>
      </c>
      <c r="AK61" s="607">
        <f t="shared" si="61"/>
        <v>44.25</v>
      </c>
      <c r="AL61" s="845">
        <f t="shared" si="61"/>
        <v>5625200</v>
      </c>
      <c r="AM61" s="606">
        <f t="shared" si="61"/>
        <v>221.38</v>
      </c>
      <c r="AN61" s="844">
        <f t="shared" si="61"/>
        <v>26163550</v>
      </c>
      <c r="AP61" s="651">
        <v>45901</v>
      </c>
      <c r="AQ61" s="667">
        <v>665.69868099914402</v>
      </c>
      <c r="AR61" s="667">
        <v>84113748.593426496</v>
      </c>
    </row>
    <row r="62" spans="2:44" ht="15.75">
      <c r="B62" s="569" t="s">
        <v>20</v>
      </c>
      <c r="C62" s="595">
        <v>336</v>
      </c>
      <c r="D62" s="575">
        <f>C62/$C$66</f>
        <v>0.1449525452976704</v>
      </c>
      <c r="E62" s="572">
        <f t="shared" si="59"/>
        <v>34</v>
      </c>
      <c r="F62" s="572">
        <f t="shared" si="59"/>
        <v>4435807</v>
      </c>
      <c r="G62" s="572">
        <f t="shared" si="59"/>
        <v>974</v>
      </c>
      <c r="H62" s="572">
        <f t="shared" si="59"/>
        <v>125691475</v>
      </c>
      <c r="I62" s="572">
        <f t="shared" si="59"/>
        <v>123</v>
      </c>
      <c r="J62" s="572">
        <f t="shared" si="59"/>
        <v>15895422</v>
      </c>
      <c r="K62" s="572">
        <f t="shared" si="59"/>
        <v>241</v>
      </c>
      <c r="L62" s="572">
        <f t="shared" si="59"/>
        <v>29230932</v>
      </c>
      <c r="M62" s="596">
        <f t="shared" ref="M62:N66" si="62">E62+G62+I62+K62</f>
        <v>1372</v>
      </c>
      <c r="N62" s="626">
        <f t="shared" si="62"/>
        <v>175253636</v>
      </c>
      <c r="O62" s="631"/>
      <c r="P62" s="581" t="s">
        <v>114</v>
      </c>
      <c r="Q62" s="582">
        <f t="shared" ref="Q62:Z62" si="63">SUM(Q57:Q61)</f>
        <v>34.6</v>
      </c>
      <c r="R62" s="584">
        <f t="shared" si="63"/>
        <v>4255800</v>
      </c>
      <c r="S62" s="584">
        <f t="shared" si="63"/>
        <v>1913.7400000000002</v>
      </c>
      <c r="T62" s="584">
        <f t="shared" si="63"/>
        <v>224480944</v>
      </c>
      <c r="U62" s="584">
        <f t="shared" si="63"/>
        <v>158.35</v>
      </c>
      <c r="V62" s="629">
        <f t="shared" si="63"/>
        <v>20205947</v>
      </c>
      <c r="W62" s="584">
        <f t="shared" si="63"/>
        <v>570.79999999999995</v>
      </c>
      <c r="X62" s="629">
        <f t="shared" si="63"/>
        <v>70832153.5</v>
      </c>
      <c r="Y62" s="612">
        <f t="shared" si="63"/>
        <v>2677.49</v>
      </c>
      <c r="Z62" s="584">
        <f t="shared" si="63"/>
        <v>319774844.5</v>
      </c>
      <c r="AA62" s="641">
        <f>IFERROR(Y62/M66,"")</f>
        <v>0.40202552552552551</v>
      </c>
      <c r="AB62" s="583">
        <f>IFERROR(Z62/N66,"")</f>
        <v>0.37590682960109206</v>
      </c>
      <c r="AC62" s="631"/>
      <c r="AD62" s="581" t="s">
        <v>114</v>
      </c>
      <c r="AE62" s="836">
        <f t="shared" ref="AE62:AL62" si="64">SUM(AE57:AE61)</f>
        <v>0</v>
      </c>
      <c r="AF62" s="837">
        <f t="shared" si="64"/>
        <v>0</v>
      </c>
      <c r="AG62" s="837">
        <f t="shared" si="64"/>
        <v>657</v>
      </c>
      <c r="AH62" s="837">
        <f t="shared" si="64"/>
        <v>78343088</v>
      </c>
      <c r="AI62" s="837">
        <f t="shared" si="64"/>
        <v>0</v>
      </c>
      <c r="AJ62" s="841">
        <f t="shared" si="64"/>
        <v>0</v>
      </c>
      <c r="AK62" s="837">
        <f t="shared" si="64"/>
        <v>144.69999999999999</v>
      </c>
      <c r="AL62" s="841">
        <f t="shared" si="64"/>
        <v>17424339</v>
      </c>
      <c r="AM62" s="655">
        <f>AE62+AG62+AI62+AK62</f>
        <v>801.7</v>
      </c>
      <c r="AN62" s="656">
        <f>AF62+AH62+AJ62+AL62</f>
        <v>95767427</v>
      </c>
      <c r="AP62" s="651">
        <v>45931</v>
      </c>
      <c r="AQ62" s="667">
        <v>773.10501433247703</v>
      </c>
      <c r="AR62" s="667">
        <v>98033803.745813102</v>
      </c>
    </row>
    <row r="63" spans="2:44" ht="16.5" customHeight="1">
      <c r="B63" s="569" t="s">
        <v>24</v>
      </c>
      <c r="C63" s="595">
        <f>C45+C27+C9</f>
        <v>456</v>
      </c>
      <c r="D63" s="575">
        <f>C63/$C$66</f>
        <v>0.19672131147540983</v>
      </c>
      <c r="E63" s="572">
        <f t="shared" si="59"/>
        <v>30</v>
      </c>
      <c r="F63" s="572">
        <f t="shared" si="59"/>
        <v>3937208</v>
      </c>
      <c r="G63" s="572">
        <f t="shared" si="59"/>
        <v>864</v>
      </c>
      <c r="H63" s="572">
        <f t="shared" si="59"/>
        <v>111536199</v>
      </c>
      <c r="I63" s="572">
        <f t="shared" si="59"/>
        <v>107</v>
      </c>
      <c r="J63" s="572">
        <f t="shared" si="59"/>
        <v>13845261</v>
      </c>
      <c r="K63" s="572">
        <f t="shared" si="59"/>
        <v>214</v>
      </c>
      <c r="L63" s="572">
        <f t="shared" si="59"/>
        <v>25930420</v>
      </c>
      <c r="M63" s="596">
        <f t="shared" si="62"/>
        <v>1215</v>
      </c>
      <c r="N63" s="626">
        <f t="shared" si="62"/>
        <v>155249088</v>
      </c>
      <c r="O63" s="622"/>
      <c r="P63" s="2355" t="s">
        <v>3</v>
      </c>
      <c r="Q63" s="2332" t="s">
        <v>7</v>
      </c>
      <c r="R63" s="2333"/>
      <c r="S63" s="2333" t="s">
        <v>13</v>
      </c>
      <c r="T63" s="2333"/>
      <c r="U63" s="2333" t="s">
        <v>1875</v>
      </c>
      <c r="V63" s="2352"/>
      <c r="W63" s="2333" t="s">
        <v>1876</v>
      </c>
      <c r="X63" s="2352"/>
      <c r="Y63" s="2332" t="s">
        <v>114</v>
      </c>
      <c r="Z63" s="2333"/>
      <c r="AA63" s="2333" t="s">
        <v>1877</v>
      </c>
      <c r="AB63" s="2334"/>
      <c r="AC63" s="622"/>
      <c r="AD63" s="2353" t="s">
        <v>3</v>
      </c>
      <c r="AE63" s="2360" t="s">
        <v>7</v>
      </c>
      <c r="AF63" s="2333"/>
      <c r="AG63" s="2333" t="s">
        <v>13</v>
      </c>
      <c r="AH63" s="2333"/>
      <c r="AI63" s="2333" t="s">
        <v>1875</v>
      </c>
      <c r="AJ63" s="2352"/>
      <c r="AK63" s="2343" t="s">
        <v>1876</v>
      </c>
      <c r="AL63" s="2336"/>
      <c r="AM63" s="2332" t="s">
        <v>114</v>
      </c>
      <c r="AN63" s="2334"/>
      <c r="AP63" s="651">
        <v>45962</v>
      </c>
      <c r="AQ63" s="667">
        <v>685.69056026423596</v>
      </c>
      <c r="AR63" s="667">
        <v>87881866.029540107</v>
      </c>
    </row>
    <row r="64" spans="2:44" ht="15.75">
      <c r="B64" s="576" t="s">
        <v>14</v>
      </c>
      <c r="C64" s="595">
        <f t="shared" ref="C64:C65" si="65">C46+C28+C10</f>
        <v>525</v>
      </c>
      <c r="D64" s="578"/>
      <c r="E64" s="572">
        <f t="shared" ref="E64:L64" si="66">E10+E28+E46</f>
        <v>35</v>
      </c>
      <c r="F64" s="572">
        <f t="shared" si="66"/>
        <v>4542555</v>
      </c>
      <c r="G64" s="572">
        <f t="shared" si="66"/>
        <v>997</v>
      </c>
      <c r="H64" s="572">
        <f t="shared" si="66"/>
        <v>128648439</v>
      </c>
      <c r="I64" s="572">
        <f t="shared" si="66"/>
        <v>125</v>
      </c>
      <c r="J64" s="572">
        <f t="shared" si="66"/>
        <v>16203091</v>
      </c>
      <c r="K64" s="572">
        <f t="shared" si="66"/>
        <v>247</v>
      </c>
      <c r="L64" s="572">
        <f t="shared" si="66"/>
        <v>29899270</v>
      </c>
      <c r="M64" s="596">
        <f t="shared" ref="M64:M65" si="67">E64+G64+I64+K64</f>
        <v>1404</v>
      </c>
      <c r="N64" s="626">
        <f t="shared" ref="N64:N65" si="68">F64+H64+J64+L64</f>
        <v>179293355</v>
      </c>
      <c r="O64" s="622"/>
      <c r="P64" s="2354"/>
      <c r="Q64" s="562" t="s">
        <v>1872</v>
      </c>
      <c r="R64" s="563" t="s">
        <v>1881</v>
      </c>
      <c r="S64" s="562" t="s">
        <v>1872</v>
      </c>
      <c r="T64" s="563" t="s">
        <v>1881</v>
      </c>
      <c r="U64" s="562" t="s">
        <v>1872</v>
      </c>
      <c r="V64" s="563" t="s">
        <v>1881</v>
      </c>
      <c r="W64" s="562" t="s">
        <v>1872</v>
      </c>
      <c r="X64" s="563" t="s">
        <v>1881</v>
      </c>
      <c r="Y64" s="610" t="s">
        <v>1872</v>
      </c>
      <c r="Z64" s="563" t="s">
        <v>1881</v>
      </c>
      <c r="AA64" s="563" t="s">
        <v>1872</v>
      </c>
      <c r="AB64" s="624" t="s">
        <v>1881</v>
      </c>
      <c r="AC64" s="622"/>
      <c r="AD64" s="2354"/>
      <c r="AE64" s="838" t="s">
        <v>1872</v>
      </c>
      <c r="AF64" s="825" t="s">
        <v>1881</v>
      </c>
      <c r="AG64" s="825" t="s">
        <v>1872</v>
      </c>
      <c r="AH64" s="825" t="s">
        <v>1881</v>
      </c>
      <c r="AI64" s="825" t="s">
        <v>1872</v>
      </c>
      <c r="AJ64" s="842" t="s">
        <v>1881</v>
      </c>
      <c r="AK64" s="838" t="s">
        <v>1872</v>
      </c>
      <c r="AL64" s="826" t="s">
        <v>1881</v>
      </c>
      <c r="AM64" s="610" t="s">
        <v>1872</v>
      </c>
      <c r="AN64" s="624" t="s">
        <v>1881</v>
      </c>
      <c r="AP64" s="651">
        <v>45992</v>
      </c>
      <c r="AQ64" s="667">
        <v>706.91746993423601</v>
      </c>
      <c r="AR64" s="668">
        <v>91902719.367531896</v>
      </c>
    </row>
    <row r="65" spans="2:44" ht="15.75">
      <c r="B65" s="618" t="s">
        <v>1884</v>
      </c>
      <c r="C65" s="595">
        <f t="shared" si="65"/>
        <v>35</v>
      </c>
      <c r="D65" s="578">
        <f>C65/$C$66</f>
        <v>1.5099223468507334E-2</v>
      </c>
      <c r="E65" s="572">
        <f t="shared" ref="E65:L65" si="69">E11+E29+E47</f>
        <v>2</v>
      </c>
      <c r="F65" s="572">
        <f t="shared" si="69"/>
        <v>302382</v>
      </c>
      <c r="G65" s="572">
        <f t="shared" si="69"/>
        <v>68</v>
      </c>
      <c r="H65" s="572">
        <f t="shared" si="69"/>
        <v>8740824</v>
      </c>
      <c r="I65" s="572">
        <f t="shared" si="69"/>
        <v>12</v>
      </c>
      <c r="J65" s="572">
        <f t="shared" si="69"/>
        <v>1521782</v>
      </c>
      <c r="K65" s="572">
        <f t="shared" si="69"/>
        <v>17</v>
      </c>
      <c r="L65" s="572">
        <f t="shared" si="69"/>
        <v>2082857</v>
      </c>
      <c r="M65" s="596">
        <f t="shared" si="67"/>
        <v>99</v>
      </c>
      <c r="N65" s="626">
        <f t="shared" si="68"/>
        <v>12647845</v>
      </c>
      <c r="O65" s="609"/>
      <c r="P65" s="569" t="s">
        <v>22</v>
      </c>
      <c r="Q65" s="572">
        <f t="shared" ref="Q65:X67" si="70">Q14+Q31+Q48</f>
        <v>0</v>
      </c>
      <c r="R65" s="573">
        <f t="shared" si="70"/>
        <v>0</v>
      </c>
      <c r="S65" s="573">
        <f t="shared" si="70"/>
        <v>991.81</v>
      </c>
      <c r="T65" s="573">
        <f t="shared" si="70"/>
        <v>120065489</v>
      </c>
      <c r="U65" s="573">
        <f t="shared" si="70"/>
        <v>61.41</v>
      </c>
      <c r="V65" s="628">
        <f t="shared" si="70"/>
        <v>7823634</v>
      </c>
      <c r="W65" s="573">
        <f t="shared" si="70"/>
        <v>0</v>
      </c>
      <c r="X65" s="628">
        <f t="shared" si="70"/>
        <v>0</v>
      </c>
      <c r="Y65" s="636">
        <f>Q65+S65+U65+W65</f>
        <v>1053.22</v>
      </c>
      <c r="Z65" s="573">
        <f>R65+T65+V65+X65</f>
        <v>127889123</v>
      </c>
      <c r="AA65" s="645">
        <f t="shared" ref="AA65:AB68" si="71">IFERROR(Y65/M69,"")</f>
        <v>0.49397843196894303</v>
      </c>
      <c r="AB65" s="588">
        <f t="shared" si="71"/>
        <v>0.46969975335389758</v>
      </c>
      <c r="AC65" s="609"/>
      <c r="AD65" s="569" t="s">
        <v>22</v>
      </c>
      <c r="AE65" s="594">
        <f t="shared" ref="AE65:AN65" si="72">AE48+AE31+AE14</f>
        <v>0</v>
      </c>
      <c r="AF65" s="567">
        <f t="shared" si="72"/>
        <v>0</v>
      </c>
      <c r="AG65" s="567">
        <f t="shared" si="72"/>
        <v>238.86</v>
      </c>
      <c r="AH65" s="567">
        <f t="shared" si="72"/>
        <v>29267198</v>
      </c>
      <c r="AI65" s="567">
        <f t="shared" si="72"/>
        <v>0</v>
      </c>
      <c r="AJ65" s="567">
        <f t="shared" si="72"/>
        <v>0</v>
      </c>
      <c r="AK65" s="567">
        <f t="shared" si="72"/>
        <v>0</v>
      </c>
      <c r="AL65" s="843">
        <f t="shared" si="72"/>
        <v>0</v>
      </c>
      <c r="AM65" s="572">
        <f t="shared" si="72"/>
        <v>238.86</v>
      </c>
      <c r="AN65" s="661">
        <f t="shared" si="72"/>
        <v>29267198</v>
      </c>
      <c r="AP65" s="660" t="s">
        <v>1883</v>
      </c>
      <c r="AQ65" s="671">
        <f>SUM(AQ53:AQ64)</f>
        <v>6550.7051305258201</v>
      </c>
      <c r="AR65" s="671">
        <f>SUM(AR53:AR64)</f>
        <v>816787786.94568646</v>
      </c>
    </row>
    <row r="66" spans="2:44" ht="15.75">
      <c r="B66" s="581" t="s">
        <v>114</v>
      </c>
      <c r="C66" s="582">
        <f t="shared" ref="C66:L66" si="73">SUM(C60:C65)</f>
        <v>2318</v>
      </c>
      <c r="D66" s="583">
        <f t="shared" si="73"/>
        <v>0.77351164797239003</v>
      </c>
      <c r="E66" s="582">
        <f t="shared" si="73"/>
        <v>166</v>
      </c>
      <c r="F66" s="584">
        <f t="shared" si="73"/>
        <v>21577345</v>
      </c>
      <c r="G66" s="584">
        <f t="shared" si="73"/>
        <v>4733</v>
      </c>
      <c r="H66" s="584">
        <f t="shared" si="73"/>
        <v>610935836</v>
      </c>
      <c r="I66" s="584">
        <f t="shared" si="73"/>
        <v>589</v>
      </c>
      <c r="J66" s="629">
        <f t="shared" si="73"/>
        <v>76219461</v>
      </c>
      <c r="K66" s="584">
        <f t="shared" si="73"/>
        <v>1172</v>
      </c>
      <c r="L66" s="629">
        <f t="shared" si="73"/>
        <v>141943162</v>
      </c>
      <c r="M66" s="612">
        <f t="shared" si="62"/>
        <v>6660</v>
      </c>
      <c r="N66" s="630">
        <f t="shared" si="62"/>
        <v>850675804</v>
      </c>
      <c r="O66" s="609"/>
      <c r="P66" s="569" t="s">
        <v>26</v>
      </c>
      <c r="Q66" s="606">
        <f t="shared" si="70"/>
        <v>0</v>
      </c>
      <c r="R66" s="597">
        <f t="shared" si="70"/>
        <v>0</v>
      </c>
      <c r="S66" s="597">
        <f t="shared" si="70"/>
        <v>904.47</v>
      </c>
      <c r="T66" s="597">
        <f t="shared" si="70"/>
        <v>104590502</v>
      </c>
      <c r="U66" s="597">
        <f t="shared" si="70"/>
        <v>0</v>
      </c>
      <c r="V66" s="632">
        <f t="shared" si="70"/>
        <v>0</v>
      </c>
      <c r="W66" s="597">
        <f t="shared" si="70"/>
        <v>0</v>
      </c>
      <c r="X66" s="632">
        <f t="shared" si="70"/>
        <v>0</v>
      </c>
      <c r="Y66" s="636">
        <f t="shared" ref="Y66:Z67" si="74">Q66+S66+U66+W66</f>
        <v>904.47</v>
      </c>
      <c r="Z66" s="573">
        <f t="shared" si="74"/>
        <v>104590502</v>
      </c>
      <c r="AA66" s="638">
        <f t="shared" si="71"/>
        <v>0.41170611103391919</v>
      </c>
      <c r="AB66" s="617">
        <f t="shared" si="71"/>
        <v>0.37265801036907226</v>
      </c>
      <c r="AC66" s="609"/>
      <c r="AD66" s="569" t="s">
        <v>26</v>
      </c>
      <c r="AE66" s="636">
        <f t="shared" ref="AE66:AN66" si="75">AE49+AE32+AE15</f>
        <v>0</v>
      </c>
      <c r="AF66" s="572">
        <f t="shared" si="75"/>
        <v>0</v>
      </c>
      <c r="AG66" s="572">
        <f t="shared" si="75"/>
        <v>355.97</v>
      </c>
      <c r="AH66" s="572">
        <f t="shared" si="75"/>
        <v>41988510</v>
      </c>
      <c r="AI66" s="572">
        <f t="shared" si="75"/>
        <v>0</v>
      </c>
      <c r="AJ66" s="572">
        <f t="shared" si="75"/>
        <v>0</v>
      </c>
      <c r="AK66" s="572">
        <f t="shared" si="75"/>
        <v>0</v>
      </c>
      <c r="AL66" s="661">
        <f t="shared" si="75"/>
        <v>0</v>
      </c>
      <c r="AM66" s="572">
        <f t="shared" si="75"/>
        <v>355.97</v>
      </c>
      <c r="AN66" s="661">
        <f t="shared" si="75"/>
        <v>41988510</v>
      </c>
    </row>
    <row r="67" spans="2:44" ht="15.75">
      <c r="B67" s="2332" t="s">
        <v>1882</v>
      </c>
      <c r="C67" s="2333"/>
      <c r="D67" s="2334"/>
      <c r="E67" s="2332" t="s">
        <v>7</v>
      </c>
      <c r="F67" s="2333"/>
      <c r="G67" s="2333" t="s">
        <v>13</v>
      </c>
      <c r="H67" s="2333"/>
      <c r="I67" s="2352" t="s">
        <v>1875</v>
      </c>
      <c r="J67" s="2343"/>
      <c r="K67" s="2352" t="s">
        <v>1876</v>
      </c>
      <c r="L67" s="2336"/>
      <c r="M67" s="2335" t="s">
        <v>114</v>
      </c>
      <c r="N67" s="2336"/>
      <c r="O67" s="609"/>
      <c r="P67" s="627" t="s">
        <v>3</v>
      </c>
      <c r="Q67" s="607">
        <f t="shared" si="70"/>
        <v>0</v>
      </c>
      <c r="R67" s="602">
        <f t="shared" si="70"/>
        <v>0</v>
      </c>
      <c r="S67" s="602">
        <f t="shared" si="70"/>
        <v>0</v>
      </c>
      <c r="T67" s="602">
        <f t="shared" si="70"/>
        <v>0</v>
      </c>
      <c r="U67" s="602">
        <f t="shared" si="70"/>
        <v>0</v>
      </c>
      <c r="V67" s="633">
        <f t="shared" si="70"/>
        <v>0</v>
      </c>
      <c r="W67" s="602">
        <f t="shared" si="70"/>
        <v>0</v>
      </c>
      <c r="X67" s="633">
        <f t="shared" si="70"/>
        <v>0</v>
      </c>
      <c r="Y67" s="636">
        <f t="shared" si="74"/>
        <v>0</v>
      </c>
      <c r="Z67" s="573">
        <f t="shared" si="74"/>
        <v>0</v>
      </c>
      <c r="AA67" s="647" t="str">
        <f t="shared" si="71"/>
        <v/>
      </c>
      <c r="AB67" s="619" t="str">
        <f t="shared" si="71"/>
        <v/>
      </c>
      <c r="AC67" s="609"/>
      <c r="AD67" s="627" t="s">
        <v>3</v>
      </c>
      <c r="AE67" s="834">
        <f t="shared" ref="AE67:AN67" si="76">AE50+AE33+AE16</f>
        <v>0</v>
      </c>
      <c r="AF67" s="847">
        <f t="shared" si="76"/>
        <v>0</v>
      </c>
      <c r="AG67" s="847">
        <f t="shared" si="76"/>
        <v>0</v>
      </c>
      <c r="AH67" s="847">
        <f t="shared" si="76"/>
        <v>0</v>
      </c>
      <c r="AI67" s="847">
        <f t="shared" si="76"/>
        <v>0</v>
      </c>
      <c r="AJ67" s="847">
        <f t="shared" si="76"/>
        <v>0</v>
      </c>
      <c r="AK67" s="847">
        <f t="shared" si="76"/>
        <v>0</v>
      </c>
      <c r="AL67" s="848">
        <f t="shared" si="76"/>
        <v>0</v>
      </c>
      <c r="AM67" s="572">
        <f t="shared" si="76"/>
        <v>0</v>
      </c>
      <c r="AN67" s="661">
        <f t="shared" si="76"/>
        <v>0</v>
      </c>
    </row>
    <row r="68" spans="2:44" ht="15.75">
      <c r="B68" s="613" t="s">
        <v>1878</v>
      </c>
      <c r="C68" s="614" t="s">
        <v>1879</v>
      </c>
      <c r="D68" s="615" t="s">
        <v>1880</v>
      </c>
      <c r="E68" s="610" t="s">
        <v>1872</v>
      </c>
      <c r="F68" s="563" t="s">
        <v>1881</v>
      </c>
      <c r="G68" s="562" t="s">
        <v>1872</v>
      </c>
      <c r="H68" s="563" t="s">
        <v>1881</v>
      </c>
      <c r="I68" s="562" t="s">
        <v>1872</v>
      </c>
      <c r="J68" s="623" t="s">
        <v>1881</v>
      </c>
      <c r="K68" s="563" t="s">
        <v>1872</v>
      </c>
      <c r="L68" s="624" t="s">
        <v>1881</v>
      </c>
      <c r="M68" s="610" t="s">
        <v>1872</v>
      </c>
      <c r="N68" s="624" t="s">
        <v>1881</v>
      </c>
      <c r="O68" s="631"/>
      <c r="P68" s="620" t="s">
        <v>114</v>
      </c>
      <c r="Q68" s="603">
        <f>SUM(Q65:Q67)</f>
        <v>0</v>
      </c>
      <c r="R68" s="605">
        <f t="shared" ref="R68:Z68" si="77">SUM(R65:R67)</f>
        <v>0</v>
      </c>
      <c r="S68" s="605">
        <f t="shared" si="77"/>
        <v>1896.28</v>
      </c>
      <c r="T68" s="605">
        <f t="shared" si="77"/>
        <v>224655991</v>
      </c>
      <c r="U68" s="605">
        <f t="shared" si="77"/>
        <v>61.41</v>
      </c>
      <c r="V68" s="634">
        <f t="shared" si="77"/>
        <v>7823634</v>
      </c>
      <c r="W68" s="605">
        <f t="shared" si="77"/>
        <v>0</v>
      </c>
      <c r="X68" s="634">
        <f t="shared" si="77"/>
        <v>0</v>
      </c>
      <c r="Y68" s="648">
        <f t="shared" si="77"/>
        <v>1957.69</v>
      </c>
      <c r="Z68" s="605">
        <f t="shared" si="77"/>
        <v>232479625</v>
      </c>
      <c r="AA68" s="649">
        <f t="shared" si="71"/>
        <v>0.45222684222684223</v>
      </c>
      <c r="AB68" s="604">
        <f t="shared" si="71"/>
        <v>0.42044332265792478</v>
      </c>
      <c r="AC68" s="631"/>
      <c r="AD68" s="581" t="s">
        <v>114</v>
      </c>
      <c r="AE68" s="582">
        <f t="shared" ref="AE68:AN68" si="78">SUM(AE65:AE67)</f>
        <v>0</v>
      </c>
      <c r="AF68" s="584">
        <f t="shared" si="78"/>
        <v>0</v>
      </c>
      <c r="AG68" s="584">
        <f t="shared" si="78"/>
        <v>594.83000000000004</v>
      </c>
      <c r="AH68" s="584">
        <f t="shared" si="78"/>
        <v>71255708</v>
      </c>
      <c r="AI68" s="584">
        <f t="shared" si="78"/>
        <v>0</v>
      </c>
      <c r="AJ68" s="629">
        <f t="shared" si="78"/>
        <v>0</v>
      </c>
      <c r="AK68" s="584">
        <f t="shared" si="78"/>
        <v>0</v>
      </c>
      <c r="AL68" s="629">
        <f t="shared" si="78"/>
        <v>0</v>
      </c>
      <c r="AM68" s="612">
        <f t="shared" si="78"/>
        <v>594.83000000000004</v>
      </c>
      <c r="AN68" s="630">
        <f t="shared" si="78"/>
        <v>71255708</v>
      </c>
    </row>
    <row r="69" spans="2:44" ht="15.75">
      <c r="B69" s="569" t="s">
        <v>22</v>
      </c>
      <c r="C69" s="565">
        <f>C15+C33+C51</f>
        <v>486</v>
      </c>
      <c r="D69" s="616">
        <f>C69/$C$72</f>
        <v>0.49541284403669728</v>
      </c>
      <c r="E69" s="572">
        <f t="shared" ref="E69:L72" si="79">E15+E33+E51</f>
        <v>52.899424265118896</v>
      </c>
      <c r="F69" s="572">
        <f t="shared" si="79"/>
        <v>6895266.6557901148</v>
      </c>
      <c r="G69" s="572">
        <f t="shared" si="79"/>
        <v>1513.7693737127879</v>
      </c>
      <c r="H69" s="572">
        <f t="shared" si="79"/>
        <v>195282405.43300414</v>
      </c>
      <c r="I69" s="572">
        <f t="shared" si="79"/>
        <v>190.96339168695005</v>
      </c>
      <c r="J69" s="572">
        <f t="shared" si="79"/>
        <v>24713682.710967049</v>
      </c>
      <c r="K69" s="572">
        <f t="shared" si="79"/>
        <v>374.48519003931852</v>
      </c>
      <c r="L69" s="572">
        <f t="shared" si="79"/>
        <v>45387099.865811646</v>
      </c>
      <c r="M69" s="596">
        <f t="shared" ref="M69:N72" si="80">E69+G69+I69+K69</f>
        <v>2132.1173797041752</v>
      </c>
      <c r="N69" s="626">
        <f t="shared" si="80"/>
        <v>272278454.66557294</v>
      </c>
    </row>
    <row r="70" spans="2:44" ht="15.75">
      <c r="B70" s="569" t="s">
        <v>26</v>
      </c>
      <c r="C70" s="595">
        <f>C16+C34+C52</f>
        <v>495</v>
      </c>
      <c r="D70" s="617">
        <f>C70/$C$72</f>
        <v>0.50458715596330272</v>
      </c>
      <c r="E70" s="572">
        <f t="shared" si="79"/>
        <v>55.00057573488111</v>
      </c>
      <c r="F70" s="572">
        <f t="shared" si="79"/>
        <v>7130007.5942098862</v>
      </c>
      <c r="G70" s="572">
        <f t="shared" si="79"/>
        <v>1562.6806262872121</v>
      </c>
      <c r="H70" s="572">
        <f t="shared" si="79"/>
        <v>201825887.96699587</v>
      </c>
      <c r="I70" s="572">
        <f t="shared" si="79"/>
        <v>191.88660831305</v>
      </c>
      <c r="J70" s="572">
        <f t="shared" si="79"/>
        <v>24828966.939032953</v>
      </c>
      <c r="K70" s="572">
        <f t="shared" si="79"/>
        <v>387.31480996068149</v>
      </c>
      <c r="L70" s="572">
        <f t="shared" si="79"/>
        <v>46875955.434188358</v>
      </c>
      <c r="M70" s="596">
        <f t="shared" si="80"/>
        <v>2196.8826202958244</v>
      </c>
      <c r="N70" s="626">
        <f t="shared" si="80"/>
        <v>280660817.93442702</v>
      </c>
      <c r="AQ70" s="673"/>
      <c r="AR70" s="673"/>
    </row>
    <row r="71" spans="2:44" ht="15.75">
      <c r="B71" s="627" t="s">
        <v>3</v>
      </c>
      <c r="C71" s="599">
        <f>C17+C35+C53</f>
        <v>0</v>
      </c>
      <c r="D71" s="619">
        <f>C71/$C$72</f>
        <v>0</v>
      </c>
      <c r="E71" s="572">
        <f t="shared" si="79"/>
        <v>0</v>
      </c>
      <c r="F71" s="572">
        <f t="shared" si="79"/>
        <v>0</v>
      </c>
      <c r="G71" s="572">
        <f t="shared" si="79"/>
        <v>0</v>
      </c>
      <c r="H71" s="572">
        <f t="shared" si="79"/>
        <v>0</v>
      </c>
      <c r="I71" s="572">
        <f t="shared" si="79"/>
        <v>0</v>
      </c>
      <c r="J71" s="572">
        <f t="shared" si="79"/>
        <v>0</v>
      </c>
      <c r="K71" s="572">
        <f t="shared" si="79"/>
        <v>0</v>
      </c>
      <c r="L71" s="572">
        <f t="shared" si="79"/>
        <v>0</v>
      </c>
      <c r="M71" s="596">
        <f t="shared" si="80"/>
        <v>0</v>
      </c>
      <c r="N71" s="626">
        <f t="shared" si="80"/>
        <v>0</v>
      </c>
    </row>
    <row r="72" spans="2:44">
      <c r="B72" s="620" t="s">
        <v>114</v>
      </c>
      <c r="C72" s="603">
        <f>SUM(C69:C71)</f>
        <v>981</v>
      </c>
      <c r="D72" s="604">
        <f t="shared" ref="D72" si="81">SUM(D69:D71)</f>
        <v>1</v>
      </c>
      <c r="E72" s="582">
        <f t="shared" si="79"/>
        <v>107.9</v>
      </c>
      <c r="F72" s="584">
        <f t="shared" si="79"/>
        <v>14025274.25</v>
      </c>
      <c r="G72" s="584">
        <f t="shared" si="79"/>
        <v>3076.45</v>
      </c>
      <c r="H72" s="584">
        <f t="shared" si="79"/>
        <v>397108293.39999998</v>
      </c>
      <c r="I72" s="584">
        <f t="shared" si="79"/>
        <v>382.85</v>
      </c>
      <c r="J72" s="629">
        <f t="shared" si="79"/>
        <v>49542649.650000006</v>
      </c>
      <c r="K72" s="584">
        <f t="shared" si="79"/>
        <v>761.8</v>
      </c>
      <c r="L72" s="629">
        <f t="shared" si="79"/>
        <v>92263055.300000012</v>
      </c>
      <c r="M72" s="612">
        <f t="shared" si="80"/>
        <v>4329</v>
      </c>
      <c r="N72" s="630">
        <f t="shared" si="80"/>
        <v>552939272.5999999</v>
      </c>
    </row>
  </sheetData>
  <sheetProtection algorithmName="SHA-512" hashValue="NCabKUIRFViRTg/Kt1lpgfZxYFd0jhLBOuG1gDrQGJi9Ut5M9zulBA3d0sTIv9tEcWIms0B14TU6ldA0gJ3lEg==" saltValue="ufVBjmdrKKRN/m5fuzIW1w==" spinCount="100000" sheet="1" objects="1" scenarios="1"/>
  <mergeCells count="174">
    <mergeCell ref="B1:N1"/>
    <mergeCell ref="P1:AB1"/>
    <mergeCell ref="AD1:AN1"/>
    <mergeCell ref="AP1:AR1"/>
    <mergeCell ref="AT1:AV1"/>
    <mergeCell ref="AP2:AR2"/>
    <mergeCell ref="AT2:AV2"/>
    <mergeCell ref="B3:N3"/>
    <mergeCell ref="P3:AB3"/>
    <mergeCell ref="AD3:AN3"/>
    <mergeCell ref="B4:D4"/>
    <mergeCell ref="E4:F4"/>
    <mergeCell ref="G4:H4"/>
    <mergeCell ref="I4:J4"/>
    <mergeCell ref="K4:L4"/>
    <mergeCell ref="M4:N4"/>
    <mergeCell ref="Q4:R4"/>
    <mergeCell ref="S4:T4"/>
    <mergeCell ref="U4:V4"/>
    <mergeCell ref="W4:X4"/>
    <mergeCell ref="Y4:Z4"/>
    <mergeCell ref="AA4:AB4"/>
    <mergeCell ref="AE4:AF4"/>
    <mergeCell ref="AG4:AH4"/>
    <mergeCell ref="AI4:AJ4"/>
    <mergeCell ref="AK4:AL4"/>
    <mergeCell ref="AM4:AN4"/>
    <mergeCell ref="Q12:R12"/>
    <mergeCell ref="S12:T12"/>
    <mergeCell ref="U12:V12"/>
    <mergeCell ref="W12:X12"/>
    <mergeCell ref="Y12:Z12"/>
    <mergeCell ref="AA12:AB12"/>
    <mergeCell ref="AE12:AF12"/>
    <mergeCell ref="AG12:AH12"/>
    <mergeCell ref="AI12:AJ12"/>
    <mergeCell ref="AK12:AL12"/>
    <mergeCell ref="AM12:AN12"/>
    <mergeCell ref="B13:D13"/>
    <mergeCell ref="E13:F13"/>
    <mergeCell ref="G13:H13"/>
    <mergeCell ref="I13:J13"/>
    <mergeCell ref="K13:L13"/>
    <mergeCell ref="M13:N13"/>
    <mergeCell ref="AP18:AR18"/>
    <mergeCell ref="P20:AB20"/>
    <mergeCell ref="AD20:AN20"/>
    <mergeCell ref="AI21:AJ21"/>
    <mergeCell ref="AK21:AL21"/>
    <mergeCell ref="AM21:AN21"/>
    <mergeCell ref="B22:D22"/>
    <mergeCell ref="E22:F22"/>
    <mergeCell ref="G22:H22"/>
    <mergeCell ref="I22:J22"/>
    <mergeCell ref="K22:L22"/>
    <mergeCell ref="M22:N22"/>
    <mergeCell ref="B21:N21"/>
    <mergeCell ref="Q21:R21"/>
    <mergeCell ref="S21:T21"/>
    <mergeCell ref="U21:V21"/>
    <mergeCell ref="W21:X21"/>
    <mergeCell ref="Y21:Z21"/>
    <mergeCell ref="AA21:AB21"/>
    <mergeCell ref="AE21:AF21"/>
    <mergeCell ref="AG21:AH21"/>
    <mergeCell ref="AK29:AL29"/>
    <mergeCell ref="AM29:AN29"/>
    <mergeCell ref="B31:D31"/>
    <mergeCell ref="E31:F31"/>
    <mergeCell ref="G31:H31"/>
    <mergeCell ref="I31:J31"/>
    <mergeCell ref="K31:L31"/>
    <mergeCell ref="M31:N31"/>
    <mergeCell ref="AP34:AR34"/>
    <mergeCell ref="Q29:R29"/>
    <mergeCell ref="S29:T29"/>
    <mergeCell ref="U29:V29"/>
    <mergeCell ref="W29:X29"/>
    <mergeCell ref="Y29:Z29"/>
    <mergeCell ref="AA29:AB29"/>
    <mergeCell ref="AE29:AF29"/>
    <mergeCell ref="AG29:AH29"/>
    <mergeCell ref="AI29:AJ29"/>
    <mergeCell ref="P37:AB37"/>
    <mergeCell ref="AD37:AN37"/>
    <mergeCell ref="Q38:R38"/>
    <mergeCell ref="S38:T38"/>
    <mergeCell ref="U38:V38"/>
    <mergeCell ref="W38:X38"/>
    <mergeCell ref="Y38:Z38"/>
    <mergeCell ref="AA38:AB38"/>
    <mergeCell ref="AE38:AF38"/>
    <mergeCell ref="AG38:AH38"/>
    <mergeCell ref="AI38:AJ38"/>
    <mergeCell ref="AK38:AL38"/>
    <mergeCell ref="AM38:AN38"/>
    <mergeCell ref="B39:N39"/>
    <mergeCell ref="B40:D40"/>
    <mergeCell ref="E40:F40"/>
    <mergeCell ref="G40:H40"/>
    <mergeCell ref="I40:J40"/>
    <mergeCell ref="K40:L40"/>
    <mergeCell ref="M40:N40"/>
    <mergeCell ref="Q46:R46"/>
    <mergeCell ref="S46:T46"/>
    <mergeCell ref="U46:V46"/>
    <mergeCell ref="W46:X46"/>
    <mergeCell ref="Y46:Z46"/>
    <mergeCell ref="AA46:AB46"/>
    <mergeCell ref="AE46:AF46"/>
    <mergeCell ref="AG46:AH46"/>
    <mergeCell ref="AI46:AJ46"/>
    <mergeCell ref="AK46:AL46"/>
    <mergeCell ref="AM46:AN46"/>
    <mergeCell ref="B49:D49"/>
    <mergeCell ref="E49:F49"/>
    <mergeCell ref="G49:H49"/>
    <mergeCell ref="I49:J49"/>
    <mergeCell ref="K49:L49"/>
    <mergeCell ref="M49:N49"/>
    <mergeCell ref="AP51:AR51"/>
    <mergeCell ref="P54:AB54"/>
    <mergeCell ref="AD54:AN54"/>
    <mergeCell ref="AK55:AL55"/>
    <mergeCell ref="AM55:AN55"/>
    <mergeCell ref="B57:N57"/>
    <mergeCell ref="B58:D58"/>
    <mergeCell ref="E58:F58"/>
    <mergeCell ref="G58:H58"/>
    <mergeCell ref="I58:J58"/>
    <mergeCell ref="K58:L58"/>
    <mergeCell ref="M58:N58"/>
    <mergeCell ref="Q55:R55"/>
    <mergeCell ref="S55:T55"/>
    <mergeCell ref="U55:V55"/>
    <mergeCell ref="W55:X55"/>
    <mergeCell ref="Y55:Z55"/>
    <mergeCell ref="AA55:AB55"/>
    <mergeCell ref="AE55:AF55"/>
    <mergeCell ref="AG55:AH55"/>
    <mergeCell ref="AI55:AJ55"/>
    <mergeCell ref="Q63:R63"/>
    <mergeCell ref="S63:T63"/>
    <mergeCell ref="U63:V63"/>
    <mergeCell ref="W63:X63"/>
    <mergeCell ref="Y63:Z63"/>
    <mergeCell ref="AA63:AB63"/>
    <mergeCell ref="AE63:AF63"/>
    <mergeCell ref="AG63:AH63"/>
    <mergeCell ref="AI63:AJ63"/>
    <mergeCell ref="AK63:AL63"/>
    <mergeCell ref="AM63:AN63"/>
    <mergeCell ref="B67:D67"/>
    <mergeCell ref="E67:F67"/>
    <mergeCell ref="G67:H67"/>
    <mergeCell ref="I67:J67"/>
    <mergeCell ref="K67:L67"/>
    <mergeCell ref="M67:N67"/>
    <mergeCell ref="P4:P5"/>
    <mergeCell ref="P12:P13"/>
    <mergeCell ref="P21:P22"/>
    <mergeCell ref="P29:P30"/>
    <mergeCell ref="P38:P39"/>
    <mergeCell ref="P46:P47"/>
    <mergeCell ref="P55:P56"/>
    <mergeCell ref="P63:P64"/>
    <mergeCell ref="AD4:AD5"/>
    <mergeCell ref="AD12:AD13"/>
    <mergeCell ref="AD21:AD22"/>
    <mergeCell ref="AD29:AD30"/>
    <mergeCell ref="AD38:AD39"/>
    <mergeCell ref="AD46:AD47"/>
    <mergeCell ref="AD55:AD56"/>
    <mergeCell ref="AD63:AD64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20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  <pageSetUpPr fitToPage="1"/>
  </sheetPr>
  <dimension ref="B1:AV70"/>
  <sheetViews>
    <sheetView topLeftCell="B1" workbookViewId="0">
      <selection activeCell="D24" sqref="D24"/>
    </sheetView>
  </sheetViews>
  <sheetFormatPr defaultColWidth="9.140625" defaultRowHeight="15"/>
  <cols>
    <col min="1" max="1" width="1.7109375" style="557" customWidth="1"/>
    <col min="2" max="2" width="11.7109375" style="558" customWidth="1"/>
    <col min="3" max="3" width="7.42578125" style="558" customWidth="1"/>
    <col min="4" max="4" width="20.7109375" style="558" customWidth="1"/>
    <col min="5" max="5" width="10.7109375" style="558" hidden="1" customWidth="1"/>
    <col min="6" max="6" width="12.7109375" style="558" hidden="1" customWidth="1"/>
    <col min="7" max="7" width="10.7109375" style="558" customWidth="1"/>
    <col min="8" max="8" width="12.7109375" style="558" customWidth="1"/>
    <col min="9" max="9" width="10.7109375" style="558" customWidth="1"/>
    <col min="10" max="12" width="12.7109375" style="558" customWidth="1"/>
    <col min="13" max="13" width="10.7109375" style="558" customWidth="1"/>
    <col min="14" max="14" width="12.7109375" style="558" customWidth="1"/>
    <col min="15" max="15" width="8.7109375" style="558" hidden="1" customWidth="1"/>
    <col min="16" max="16" width="11.5703125" style="558" hidden="1" customWidth="1"/>
    <col min="17" max="17" width="10.7109375" style="558" hidden="1" customWidth="1"/>
    <col min="18" max="18" width="12.7109375" style="558" hidden="1" customWidth="1"/>
    <col min="19" max="19" width="10.7109375" style="558" hidden="1" customWidth="1"/>
    <col min="20" max="20" width="12.7109375" style="558" hidden="1" customWidth="1"/>
    <col min="21" max="21" width="10.7109375" style="558" hidden="1" customWidth="1"/>
    <col min="22" max="24" width="12.7109375" style="558" hidden="1" customWidth="1"/>
    <col min="25" max="25" width="10.7109375" style="558" hidden="1" customWidth="1"/>
    <col min="26" max="26" width="12.7109375" style="558" hidden="1" customWidth="1"/>
    <col min="27" max="27" width="10.7109375" style="558" hidden="1" customWidth="1"/>
    <col min="28" max="28" width="12.7109375" style="558" hidden="1" customWidth="1"/>
    <col min="29" max="29" width="10.7109375" style="558" hidden="1" customWidth="1"/>
    <col min="30" max="30" width="11.7109375" style="558" hidden="1" customWidth="1"/>
    <col min="31" max="31" width="9.7109375" style="558" hidden="1" customWidth="1"/>
    <col min="32" max="32" width="11.7109375" style="558" hidden="1" customWidth="1"/>
    <col min="33" max="33" width="9.7109375" style="558" hidden="1" customWidth="1"/>
    <col min="34" max="34" width="11.7109375" style="558" hidden="1" customWidth="1"/>
    <col min="35" max="35" width="9.7109375" style="558" hidden="1" customWidth="1"/>
    <col min="36" max="38" width="11.7109375" style="558" hidden="1" customWidth="1"/>
    <col min="39" max="39" width="9.7109375" style="558" hidden="1" customWidth="1"/>
    <col min="40" max="40" width="11.7109375" style="558" hidden="1" customWidth="1"/>
    <col min="41" max="41" width="5.7109375" style="557" customWidth="1"/>
    <col min="42" max="42" width="17" style="557" customWidth="1"/>
    <col min="43" max="43" width="12.42578125" style="557" customWidth="1"/>
    <col min="44" max="44" width="17.140625" style="557" customWidth="1"/>
    <col min="45" max="45" width="9.140625" style="557"/>
    <col min="46" max="46" width="14.140625" style="557" customWidth="1"/>
    <col min="47" max="47" width="11.5703125" style="557" customWidth="1"/>
    <col min="48" max="48" width="17.7109375" style="557" customWidth="1"/>
    <col min="49" max="16384" width="9.140625" style="557"/>
  </cols>
  <sheetData>
    <row r="1" spans="2:48">
      <c r="B1" s="2349" t="s">
        <v>713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M1" s="2349"/>
      <c r="N1" s="2349"/>
      <c r="P1" s="2367" t="s">
        <v>1868</v>
      </c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D1" s="2368" t="s">
        <v>1869</v>
      </c>
      <c r="AE1" s="2368"/>
      <c r="AF1" s="2368"/>
      <c r="AG1" s="2368"/>
      <c r="AH1" s="2368"/>
      <c r="AI1" s="2368"/>
      <c r="AJ1" s="2368"/>
      <c r="AK1" s="2368"/>
      <c r="AL1" s="2368"/>
      <c r="AM1" s="2368"/>
      <c r="AN1" s="2368"/>
      <c r="AP1" s="2345" t="s">
        <v>1870</v>
      </c>
      <c r="AQ1" s="2345"/>
      <c r="AR1" s="2345"/>
      <c r="AT1" s="2345" t="s">
        <v>1870</v>
      </c>
      <c r="AU1" s="2345"/>
      <c r="AV1" s="2345"/>
    </row>
    <row r="2" spans="2:48">
      <c r="AP2" s="2346" t="s">
        <v>7</v>
      </c>
      <c r="AQ2" s="2346"/>
      <c r="AR2" s="2346"/>
      <c r="AT2" s="2346" t="s">
        <v>718</v>
      </c>
      <c r="AU2" s="2346"/>
      <c r="AV2" s="2346"/>
    </row>
    <row r="3" spans="2:48" ht="15.75">
      <c r="B3" s="2329">
        <v>45658</v>
      </c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1"/>
      <c r="O3" s="621"/>
      <c r="P3" s="2369">
        <f>B3</f>
        <v>45658</v>
      </c>
      <c r="Q3" s="2370"/>
      <c r="R3" s="2370"/>
      <c r="S3" s="2370"/>
      <c r="T3" s="2370"/>
      <c r="U3" s="2370"/>
      <c r="V3" s="2370"/>
      <c r="W3" s="2370"/>
      <c r="X3" s="2370"/>
      <c r="Y3" s="2370"/>
      <c r="Z3" s="2370"/>
      <c r="AA3" s="2370"/>
      <c r="AB3" s="2371"/>
      <c r="AC3" s="621"/>
      <c r="AD3" s="2329">
        <f>B3</f>
        <v>45658</v>
      </c>
      <c r="AE3" s="2330"/>
      <c r="AF3" s="2330"/>
      <c r="AG3" s="2330"/>
      <c r="AH3" s="2330"/>
      <c r="AI3" s="2330"/>
      <c r="AJ3" s="2330"/>
      <c r="AK3" s="2330"/>
      <c r="AL3" s="2330"/>
      <c r="AM3" s="2330"/>
      <c r="AN3" s="2331"/>
      <c r="AP3" s="650" t="s">
        <v>1871</v>
      </c>
      <c r="AQ3" s="663" t="s">
        <v>1872</v>
      </c>
      <c r="AR3" s="664" t="s">
        <v>1873</v>
      </c>
      <c r="AT3" s="650" t="s">
        <v>1871</v>
      </c>
      <c r="AU3" s="663" t="s">
        <v>1872</v>
      </c>
      <c r="AV3" s="664" t="s">
        <v>1873</v>
      </c>
    </row>
    <row r="4" spans="2:48" ht="15.75" customHeight="1">
      <c r="B4" s="2335" t="s">
        <v>1874</v>
      </c>
      <c r="C4" s="2343"/>
      <c r="D4" s="2336"/>
      <c r="E4" s="2343" t="s">
        <v>7</v>
      </c>
      <c r="F4" s="2360"/>
      <c r="G4" s="2352" t="s">
        <v>13</v>
      </c>
      <c r="H4" s="2360"/>
      <c r="I4" s="2352" t="s">
        <v>1875</v>
      </c>
      <c r="J4" s="2343"/>
      <c r="K4" s="2352" t="s">
        <v>1876</v>
      </c>
      <c r="L4" s="2343"/>
      <c r="M4" s="2335" t="s">
        <v>114</v>
      </c>
      <c r="N4" s="2336"/>
      <c r="O4" s="622"/>
      <c r="P4" s="2353" t="s">
        <v>1</v>
      </c>
      <c r="Q4" s="2360" t="s">
        <v>7</v>
      </c>
      <c r="R4" s="2333"/>
      <c r="S4" s="2333" t="s">
        <v>13</v>
      </c>
      <c r="T4" s="2333"/>
      <c r="U4" s="2333" t="s">
        <v>1875</v>
      </c>
      <c r="V4" s="2352"/>
      <c r="W4" s="2333" t="s">
        <v>1876</v>
      </c>
      <c r="X4" s="2352"/>
      <c r="Y4" s="2332" t="s">
        <v>114</v>
      </c>
      <c r="Z4" s="2333"/>
      <c r="AA4" s="2333" t="s">
        <v>1877</v>
      </c>
      <c r="AB4" s="2334"/>
      <c r="AC4" s="622"/>
      <c r="AD4" s="2356" t="s">
        <v>1</v>
      </c>
      <c r="AE4" s="2360" t="s">
        <v>7</v>
      </c>
      <c r="AF4" s="2333"/>
      <c r="AG4" s="2333" t="s">
        <v>13</v>
      </c>
      <c r="AH4" s="2333"/>
      <c r="AI4" s="2333" t="s">
        <v>1875</v>
      </c>
      <c r="AJ4" s="2352"/>
      <c r="AK4" s="2333" t="s">
        <v>1876</v>
      </c>
      <c r="AL4" s="2352"/>
      <c r="AM4" s="2332" t="s">
        <v>114</v>
      </c>
      <c r="AN4" s="2334"/>
      <c r="AP4" s="651">
        <v>45658</v>
      </c>
      <c r="AQ4" s="667">
        <v>0</v>
      </c>
      <c r="AR4" s="668">
        <v>0</v>
      </c>
      <c r="AT4" s="651">
        <v>45658</v>
      </c>
      <c r="AU4" s="846">
        <f t="shared" ref="AU4:AU16" si="0">AQ4+AQ20+AQ36+AQ53</f>
        <v>1232.2647023381339</v>
      </c>
      <c r="AV4" s="846">
        <f t="shared" ref="AV4:AV16" si="1">AR4+AR20+AR36+AR53</f>
        <v>156155034.04360771</v>
      </c>
    </row>
    <row r="5" spans="2:48" ht="15.75">
      <c r="B5" s="559" t="s">
        <v>1878</v>
      </c>
      <c r="C5" s="560" t="s">
        <v>1879</v>
      </c>
      <c r="D5" s="561" t="s">
        <v>1880</v>
      </c>
      <c r="E5" s="562" t="s">
        <v>1872</v>
      </c>
      <c r="F5" s="563" t="s">
        <v>1881</v>
      </c>
      <c r="G5" s="562" t="s">
        <v>1872</v>
      </c>
      <c r="H5" s="563" t="s">
        <v>1881</v>
      </c>
      <c r="I5" s="562" t="s">
        <v>1872</v>
      </c>
      <c r="J5" s="623" t="s">
        <v>1881</v>
      </c>
      <c r="K5" s="563" t="s">
        <v>1872</v>
      </c>
      <c r="L5" s="624" t="s">
        <v>1881</v>
      </c>
      <c r="M5" s="610" t="s">
        <v>1872</v>
      </c>
      <c r="N5" s="624" t="s">
        <v>1881</v>
      </c>
      <c r="O5" s="622"/>
      <c r="P5" s="2354"/>
      <c r="Q5" s="562" t="s">
        <v>1872</v>
      </c>
      <c r="R5" s="563" t="s">
        <v>1881</v>
      </c>
      <c r="S5" s="562" t="s">
        <v>1872</v>
      </c>
      <c r="T5" s="563" t="s">
        <v>1881</v>
      </c>
      <c r="U5" s="562" t="s">
        <v>1872</v>
      </c>
      <c r="V5" s="563" t="s">
        <v>1881</v>
      </c>
      <c r="W5" s="562" t="s">
        <v>1872</v>
      </c>
      <c r="X5" s="563" t="s">
        <v>1881</v>
      </c>
      <c r="Y5" s="610" t="s">
        <v>1872</v>
      </c>
      <c r="Z5" s="563" t="s">
        <v>1881</v>
      </c>
      <c r="AA5" s="563" t="s">
        <v>1872</v>
      </c>
      <c r="AB5" s="624" t="s">
        <v>1881</v>
      </c>
      <c r="AC5" s="622"/>
      <c r="AD5" s="2357"/>
      <c r="AE5" s="562" t="s">
        <v>1872</v>
      </c>
      <c r="AF5" s="563" t="s">
        <v>1881</v>
      </c>
      <c r="AG5" s="563" t="s">
        <v>1872</v>
      </c>
      <c r="AH5" s="563" t="s">
        <v>1881</v>
      </c>
      <c r="AI5" s="563" t="s">
        <v>1872</v>
      </c>
      <c r="AJ5" s="623" t="s">
        <v>1881</v>
      </c>
      <c r="AK5" s="563" t="s">
        <v>1872</v>
      </c>
      <c r="AL5" s="623" t="s">
        <v>1881</v>
      </c>
      <c r="AM5" s="610" t="s">
        <v>1872</v>
      </c>
      <c r="AN5" s="624" t="s">
        <v>1881</v>
      </c>
      <c r="AP5" s="651">
        <v>45689</v>
      </c>
      <c r="AQ5" s="667">
        <v>74.280000000001607</v>
      </c>
      <c r="AR5" s="668">
        <v>8039520</v>
      </c>
      <c r="AT5" s="651">
        <v>45689</v>
      </c>
      <c r="AU5" s="846">
        <f t="shared" si="0"/>
        <v>1478.7619943516333</v>
      </c>
      <c r="AV5" s="846">
        <f t="shared" si="1"/>
        <v>186989995.12530649</v>
      </c>
    </row>
    <row r="6" spans="2:48" ht="15.75">
      <c r="B6" s="564" t="s">
        <v>28</v>
      </c>
      <c r="C6" s="830">
        <v>55</v>
      </c>
      <c r="D6" s="566">
        <f>C6/$C$11</f>
        <v>8.1240768094534718E-2</v>
      </c>
      <c r="E6" s="567">
        <f>ROUND($D6*VLOOKUP($B$3,'ИПП 1кв25'!$AP$4:$AR$16,2,0),0)</f>
        <v>0</v>
      </c>
      <c r="F6" s="568">
        <f>ROUND($D6*VLOOKUP($B$3,'ИПП 1кв25'!$AP$4:$AR$16,3,0),0)</f>
        <v>0</v>
      </c>
      <c r="G6" s="568">
        <f>ROUND($D6*VLOOKUP($B$3,'ИПП 1кв25'!$AP$20:$AR$32,2,0),0)</f>
        <v>64</v>
      </c>
      <c r="H6" s="568">
        <f>ROUND($D6*VLOOKUP($B$3,'ИПП 1кв25'!$AP$20:$AR$32,3,0),0)</f>
        <v>8220501</v>
      </c>
      <c r="I6" s="568">
        <f>ROUND($D6*VLOOKUP($B$3,'ИПП 1кв25'!$AP$36:$AR$48,2,0),0)</f>
        <v>11</v>
      </c>
      <c r="J6" s="625">
        <f>ROUND($D6*VLOOKUP($B$3,'ИПП 1кв25'!$AP$36:$AR$48,3,0),0)</f>
        <v>1363134</v>
      </c>
      <c r="K6" s="568">
        <f>ROUND($D6*VLOOKUP($B$3,'ИПП 1кв25'!$AP$53:$AR$65,2,0),0)</f>
        <v>25</v>
      </c>
      <c r="L6" s="625">
        <f>ROUND($D6*VLOOKUP($B$3,'ИПП 1кв25'!$AP$53:$AR$65,3,0),0)</f>
        <v>3102520</v>
      </c>
      <c r="M6" s="596">
        <f>E6+G6+I6+K6</f>
        <v>100</v>
      </c>
      <c r="N6" s="626">
        <f>F6+H6+J6+L6</f>
        <v>12686155</v>
      </c>
      <c r="O6" s="622"/>
      <c r="P6" s="564" t="s">
        <v>28</v>
      </c>
      <c r="Q6" s="567">
        <f>SUMIFS(РД[S],РД[Дом],$Q$4,РД[МОП],$P6,РД[Дата подачи на регистрацию],"&gt;="&amp;$P$3,РД[Дата подачи на регистрацию],"&lt;"&amp;DATE(YEAR($B$3),MONTH($B$3)+1,1),РД[Состояние],"Продажа")-AE6/2</f>
        <v>0</v>
      </c>
      <c r="R6" s="568">
        <f>SUMIFS(РД[Стоимость без отделки итог],РД[Дом],$Q$4,РД[МОП],$P6,РД[Дата подачи на регистрацию],"&gt;="&amp;$P$3,РД[Дата подачи на регистрацию],"&lt;"&amp;DATE(YEAR($B$3),MONTH($B$3)+1,1),РД[Состояние],"Продажа")-AF6/2</f>
        <v>0</v>
      </c>
      <c r="S6" s="568">
        <f>SUMIFS(РД[S],РД[Дом],$S$4,РД[МОП],$P6,РД[Дата подачи на регистрацию],"&gt;="&amp;$P$3,РД[Дата подачи на регистрацию],"&lt;"&amp;DATE(YEAR($B$3),MONTH($B$3)+1,1),РД[Состояние],"Продажа")-AG6/2</f>
        <v>0</v>
      </c>
      <c r="T6" s="568">
        <f>SUMIFS(РД[Стоимость без отделки итог],РД[Дом],$S$4,РД[МОП],$P6,РД[Дата подачи на регистрацию],"&gt;="&amp;$P$3,РД[Дата подачи на регистрацию],"&lt;"&amp;DATE(YEAR($B$3),MONTH($B$3)+1,1),РД[Состояние],"Продажа")-AH6/2</f>
        <v>0</v>
      </c>
      <c r="U6" s="568">
        <f>SUMIFS(РД[S],РД[Дом],$U$4,РД[МОП],$P6,РД[Дата подачи на регистрацию],"&gt;="&amp;$P$3,РД[Дата подачи на регистрацию],"&lt;"&amp;DATE(YEAR($B$3),MONTH($B$3)+1,1),РД[Состояние],"Продажа")-AI6/2</f>
        <v>0</v>
      </c>
      <c r="V6" s="625">
        <f>SUMIFS(РД[Стоимость без отделки итог],РД[Дом],$U$4,РД[МОП],$P6,РД[Дата подачи на регистрацию],"&gt;="&amp;$P$3,РД[Дата подачи на регистрацию],"&lt;"&amp;DATE(YEAR($B$3),MONTH($B$3)+1,1),РД[Состояние],"Продажа")-AJ6/2</f>
        <v>0</v>
      </c>
      <c r="W6" s="568">
        <f>SUMIFS(РД[S],РД[Дом],$W$4,РД[МОП],$P6,РД[Дата подачи на регистрацию],"&gt;="&amp;$P$3,РД[Дата подачи на регистрацию],"&lt;"&amp;DATE(YEAR($B$3),MONTH($B$3)+1,1),РД[Состояние],"Продажа")-AK6/2</f>
        <v>0</v>
      </c>
      <c r="X6" s="625">
        <f>SUMIFS(РД[Стоимость без отделки итог],РД[Дом],$W$4,РД[МОП],$P6,РД[Дата подачи на регистрацию],"&gt;="&amp;$P$3,РД[Дата подачи на регистрацию],"&lt;"&amp;DATE(YEAR($B$3),MONTH($B$3)+1,1),РД[Состояние],"Продажа")-AL6/2</f>
        <v>0</v>
      </c>
      <c r="Y6" s="636">
        <f>Q6+S6+U6+W6</f>
        <v>0</v>
      </c>
      <c r="Z6" s="573">
        <f>R6+T6+V6+X6</f>
        <v>0</v>
      </c>
      <c r="AA6" s="637">
        <f t="shared" ref="AA6" si="2">IFERROR(Y6/M6,"")</f>
        <v>0</v>
      </c>
      <c r="AB6" s="616">
        <f t="shared" ref="AB6" si="3">IFERROR(Z6/N6,"")</f>
        <v>0</v>
      </c>
      <c r="AC6" s="622"/>
      <c r="AD6" s="564" t="s">
        <v>28</v>
      </c>
      <c r="AE6" s="572">
        <f>SUMIFS(РД[S],РД[Дом],$AE$4,РД[МОП],$AD6,РД[Источник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6" s="573">
        <f>SUMIFS(РД[Стоимость без отделки итог],РД[Дом],$AE$4,РД[МОП],$AD6,РД[Источник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6" s="573">
        <f>SUMIFS(РД[S],РД[Дом],$AG$4,РД[МОП],$AD6,РД[Источник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6" s="573">
        <f>SUMIFS(РД[Стоимость без отделки итог],РД[Дом],$AG$4,РД[МОП],$AD6,РД[Источник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6" s="573">
        <f>SUMIFS(РД[S],РД[Дом],$AI$4,РД[МОП],$AD6,РД[Источник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6" s="628">
        <f>SUMIFS(РД[Стоимость без отделки итог],РД[Дом],$AI$4,РД[МОП],$AD6,РД[Источник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6" s="573">
        <f>SUMIFS(РД[S],РД[Дом],$AK$4,РД[МОП],$AD6,РД[Источник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6" s="628">
        <f>SUMIFS(РД[Стоимость без отделки итог],РД[Дом],$AK$4,РД[МОП],$AD6,РД[Источник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6" s="636">
        <f>AE6+AG6+AI6+AK6</f>
        <v>0</v>
      </c>
      <c r="AN6" s="652">
        <f>AF6+AH6+AJ6+AL6</f>
        <v>0</v>
      </c>
      <c r="AP6" s="651">
        <v>45717</v>
      </c>
      <c r="AQ6" s="667">
        <v>46.810000000001303</v>
      </c>
      <c r="AR6" s="668">
        <v>6419135.9999998901</v>
      </c>
      <c r="AT6" s="651">
        <v>45717</v>
      </c>
      <c r="AU6" s="846">
        <f t="shared" si="0"/>
        <v>1961.0135371791523</v>
      </c>
      <c r="AV6" s="846">
        <f t="shared" si="1"/>
        <v>247467271.1416471</v>
      </c>
    </row>
    <row r="7" spans="2:48" ht="14.25" customHeight="1">
      <c r="B7" s="569" t="s">
        <v>8</v>
      </c>
      <c r="C7" s="570">
        <v>162</v>
      </c>
      <c r="D7" s="571">
        <f t="shared" ref="D7:D10" si="4">C7/$C$11</f>
        <v>0.23929098966026588</v>
      </c>
      <c r="E7" s="572">
        <f>ROUND($D7*VLOOKUP($B$3,'ИПП 1кв25'!$AP$4:$AR$16,2,0),0)</f>
        <v>0</v>
      </c>
      <c r="F7" s="573">
        <f>ROUND($D7*VLOOKUP($B$3,'ИПП 1кв25'!$AP$4:$AR$16,3,0),0)</f>
        <v>0</v>
      </c>
      <c r="G7" s="573">
        <f>ROUND($D7*VLOOKUP($B$3,'ИПП 1кв25'!$AP$20:$AR$32,2,0),0)</f>
        <v>188</v>
      </c>
      <c r="H7" s="573">
        <f>ROUND($D7*VLOOKUP($B$3,'ИПП 1кв25'!$AP$20:$AR$32,3,0),0)</f>
        <v>24213112</v>
      </c>
      <c r="I7" s="573">
        <f>ROUND($D7*VLOOKUP($B$3,'ИПП 1кв25'!$AP$36:$AR$48,2,0),0)</f>
        <v>32</v>
      </c>
      <c r="J7" s="628">
        <f>ROUND($D7*VLOOKUP($B$3,'ИПП 1кв25'!$AP$36:$AR$48,3,0),0)</f>
        <v>4015048</v>
      </c>
      <c r="K7" s="597">
        <f>ROUND($D7*VLOOKUP($B$3,'ИПП 1кв25'!$AP$53:$AR$65,2,0),0)</f>
        <v>75</v>
      </c>
      <c r="L7" s="632">
        <f>ROUND($D7*VLOOKUP($B$3,'ИПП 1кв25'!$AP$53:$AR$65,3,0),0)</f>
        <v>9138332</v>
      </c>
      <c r="M7" s="596">
        <f>E7+G7+I7+K7</f>
        <v>295</v>
      </c>
      <c r="N7" s="626">
        <f>F7+H7+J7+L7</f>
        <v>37366492</v>
      </c>
      <c r="O7" s="609"/>
      <c r="P7" s="569" t="s">
        <v>8</v>
      </c>
      <c r="Q7" s="606">
        <f>SUMIFS(РД[S],РД[Дом],$Q$4,РД[МОП],$P7,РД[Дата подачи на регистрацию],"&gt;="&amp;$P$3,РД[Дата подачи на регистрацию],"&lt;"&amp;DATE(YEAR($B$3),MONTH($B$3)+1,1),РД[Состояние],"Продажа")-AE7/2</f>
        <v>0</v>
      </c>
      <c r="R7" s="597">
        <f>SUMIFS(РД[Стоимость без отделки итог],РД[Дом],$Q$4,РД[МОП],$P7,РД[Дата подачи на регистрацию],"&gt;="&amp;$P$3,РД[Дата подачи на регистрацию],"&lt;"&amp;DATE(YEAR($B$3),MONTH($B$3)+1,1),РД[Состояние],"Продажа")-AF7/2</f>
        <v>0</v>
      </c>
      <c r="S7" s="597">
        <f>SUMIFS(РД[S],РД[Дом],$S$4,РД[МОП],$P7,РД[Дата подачи на регистрацию],"&gt;="&amp;$P$3,РД[Дата подачи на регистрацию],"&lt;"&amp;DATE(YEAR($B$3),MONTH($B$3)+1,1),РД[Состояние],"Продажа")-AG7/2</f>
        <v>0</v>
      </c>
      <c r="T7" s="597">
        <f>SUMIFS(РД[Стоимость без отделки итог],РД[Дом],$S$4,РД[МОП],$P7,РД[Дата подачи на регистрацию],"&gt;="&amp;$P$3,РД[Дата подачи на регистрацию],"&lt;"&amp;DATE(YEAR($B$3),MONTH($B$3)+1,1),РД[Состояние],"Продажа")-AH7/2</f>
        <v>0</v>
      </c>
      <c r="U7" s="597">
        <f>SUMIFS(РД[S],РД[Дом],$U$4,РД[МОП],$P7,РД[Дата подачи на регистрацию],"&gt;="&amp;$P$3,РД[Дата подачи на регистрацию],"&lt;"&amp;DATE(YEAR($B$3),MONTH($B$3)+1,1),РД[Состояние],"Продажа")-AI7/2</f>
        <v>0</v>
      </c>
      <c r="V7" s="632">
        <f>SUMIFS(РД[Стоимость без отделки итог],РД[Дом],$U$4,РД[МОП],$P7,РД[Дата подачи на регистрацию],"&gt;="&amp;$P$3,РД[Дата подачи на регистрацию],"&lt;"&amp;DATE(YEAR($B$3),MONTH($B$3)+1,1),РД[Состояние],"Продажа")-AJ7/2</f>
        <v>0</v>
      </c>
      <c r="W7" s="597">
        <f>SUMIFS(РД[S],РД[Дом],$W$4,РД[МОП],$P7,РД[Дата подачи на регистрацию],"&gt;="&amp;$P$3,РД[Дата подачи на регистрацию],"&lt;"&amp;DATE(YEAR($B$3),MONTH($B$3)+1,1),РД[Состояние],"Продажа")-AK7/2</f>
        <v>51.45</v>
      </c>
      <c r="X7" s="632">
        <f>SUMIFS(РД[Стоимость без отделки итог],РД[Дом],$W$4,РД[МОП],$P7,РД[Дата подачи на регистрацию],"&gt;="&amp;$P$3,РД[Дата подачи на регистрацию],"&lt;"&amp;DATE(YEAR($B$3),MONTH($B$3)+1,1),РД[Состояние],"Продажа")-AL7/2</f>
        <v>6709468</v>
      </c>
      <c r="Y7" s="636">
        <f>Q7+S7+U7+W7</f>
        <v>51.45</v>
      </c>
      <c r="Z7" s="573">
        <f>R7+T7+V7+X7</f>
        <v>6709468</v>
      </c>
      <c r="AA7" s="638">
        <f t="shared" ref="AA7:AB11" si="5">IFERROR(Y7/M7,"")</f>
        <v>0.17440677966101695</v>
      </c>
      <c r="AB7" s="617">
        <f t="shared" si="5"/>
        <v>0.17955841292246541</v>
      </c>
      <c r="AC7" s="609"/>
      <c r="AD7" s="569" t="s">
        <v>8</v>
      </c>
      <c r="AE7" s="572">
        <f>SUMIFS(РД[S],РД[Дом],$AE$4,РД[МОП],$AD7,РД[Источник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7" s="573">
        <f>SUMIFS(РД[Стоимость без отделки итог],РД[Дом],$AE$4,РД[МОП],$AD7,РД[Источник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7" s="573">
        <f>SUMIFS(РД[S],РД[Дом],$AG$4,РД[МОП],$AD7,РД[Источник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7" s="573">
        <f>SUMIFS(РД[Стоимость без отделки итог],РД[Дом],$AG$4,РД[МОП],$AD7,РД[Источник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7" s="573">
        <f>SUMIFS(РД[S],РД[Дом],$AI$4,РД[МОП],$AD7,РД[Источник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7" s="628">
        <f>SUMIFS(РД[Стоимость без отделки итог],РД[Дом],$AI$4,РД[МОП],$AD7,РД[Источник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7" s="573">
        <f>SUMIFS(РД[S],РД[Дом],$AK$4,РД[МОП],$AD7,РД[Источник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29.62</v>
      </c>
      <c r="AL7" s="628">
        <f>SUMIFS(РД[Стоимость без отделки итог],РД[Дом],$AK$4,РД[МОП],$AD7,РД[Источник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4174400</v>
      </c>
      <c r="AM7" s="636">
        <f t="shared" ref="AM7:AM11" si="6">AE7+AG7+AI7+AK7</f>
        <v>29.62</v>
      </c>
      <c r="AN7" s="652">
        <f t="shared" ref="AN7:AN11" si="7">AF7+AH7+AJ7+AL7</f>
        <v>4174400</v>
      </c>
      <c r="AP7" s="651">
        <v>45748</v>
      </c>
      <c r="AQ7" s="667">
        <v>61.530000000003703</v>
      </c>
      <c r="AR7" s="668">
        <v>7579104.0003200201</v>
      </c>
      <c r="AT7" s="651">
        <v>45748</v>
      </c>
      <c r="AU7" s="846">
        <f t="shared" si="0"/>
        <v>2257.8520673378875</v>
      </c>
      <c r="AV7" s="846">
        <f t="shared" si="1"/>
        <v>286820003.80596751</v>
      </c>
    </row>
    <row r="8" spans="2:48" ht="15.75">
      <c r="B8" s="569" t="s">
        <v>20</v>
      </c>
      <c r="C8" s="574">
        <v>130</v>
      </c>
      <c r="D8" s="575">
        <f t="shared" si="4"/>
        <v>0.19202363367799113</v>
      </c>
      <c r="E8" s="572">
        <f>ROUND($D8*VLOOKUP($B$3,'ИПП 1кв25'!$AP$4:$AR$16,2,0),0)</f>
        <v>0</v>
      </c>
      <c r="F8" s="573">
        <f>ROUND($D8*VLOOKUP($B$3,'ИПП 1кв25'!$AP$4:$AR$16,3,0),0)</f>
        <v>0</v>
      </c>
      <c r="G8" s="573">
        <f>ROUND($D8*VLOOKUP($B$3,'ИПП 1кв25'!$AP$20:$AR$32,2,0),0)</f>
        <v>151</v>
      </c>
      <c r="H8" s="573">
        <f>ROUND($D8*VLOOKUP($B$3,'ИПП 1кв25'!$AP$20:$AR$32,3,0),0)</f>
        <v>19430275</v>
      </c>
      <c r="I8" s="573">
        <f>ROUND($D8*VLOOKUP($B$3,'ИПП 1кв25'!$AP$36:$AR$48,2,0),0)</f>
        <v>26</v>
      </c>
      <c r="J8" s="628">
        <f>ROUND($D8*VLOOKUP($B$3,'ИПП 1кв25'!$AP$36:$AR$48,3,0),0)</f>
        <v>3221952</v>
      </c>
      <c r="K8" s="597">
        <f>ROUND($D8*VLOOKUP($B$3,'ИПП 1кв25'!$AP$53:$AR$65,2,0),0)</f>
        <v>60</v>
      </c>
      <c r="L8" s="632">
        <f>ROUND($D8*VLOOKUP($B$3,'ИПП 1кв25'!$AP$53:$AR$65,3,0),0)</f>
        <v>7333230</v>
      </c>
      <c r="M8" s="596">
        <f t="shared" ref="M8:N11" si="8">E8+G8+I8+K8</f>
        <v>237</v>
      </c>
      <c r="N8" s="626">
        <f t="shared" si="8"/>
        <v>29985457</v>
      </c>
      <c r="O8" s="609"/>
      <c r="P8" s="569" t="s">
        <v>20</v>
      </c>
      <c r="Q8" s="606">
        <f>SUMIFS(РД[S],РД[Дом],$Q$4,РД[МОП],$P8,РД[Дата подачи на регистрацию],"&gt;="&amp;$P$3,РД[Дата подачи на регистрацию],"&lt;"&amp;DATE(YEAR($B$3),MONTH($B$3)+1,1),РД[Состояние],"Продажа")-AE8/2</f>
        <v>0</v>
      </c>
      <c r="R8" s="597">
        <f>SUMIFS(РД[Стоимость без отделки итог],РД[Дом],$Q$4,РД[МОП],$P8,РД[Дата подачи на регистрацию],"&gt;="&amp;$P$3,РД[Дата подачи на регистрацию],"&lt;"&amp;DATE(YEAR($B$3),MONTH($B$3)+1,1),РД[Состояние],"Продажа")-AF8/2</f>
        <v>0</v>
      </c>
      <c r="S8" s="597">
        <f>SUMIFS(РД[S],РД[Дом],$S$4,РД[МОП],$P8,РД[Дата подачи на регистрацию],"&gt;="&amp;$P$3,РД[Дата подачи на регистрацию],"&lt;"&amp;DATE(YEAR($B$3),MONTH($B$3)+1,1),РД[Состояние],"Продажа")-AG8/2</f>
        <v>0</v>
      </c>
      <c r="T8" s="597">
        <f>SUMIFS(РД[Стоимость без отделки итог],РД[Дом],$S$4,РД[МОП],$P8,РД[Дата подачи на регистрацию],"&gt;="&amp;$P$3,РД[Дата подачи на регистрацию],"&lt;"&amp;DATE(YEAR($B$3),MONTH($B$3)+1,1),РД[Состояние],"Продажа")-AH8/2</f>
        <v>0</v>
      </c>
      <c r="U8" s="597">
        <f>SUMIFS(РД[S],РД[Дом],$U$4,РД[МОП],$P8,РД[Дата подачи на регистрацию],"&gt;="&amp;$P$3,РД[Дата подачи на регистрацию],"&lt;"&amp;DATE(YEAR($B$3),MONTH($B$3)+1,1),РД[Состояние],"Продажа")-AI8/2</f>
        <v>0</v>
      </c>
      <c r="V8" s="632">
        <f>SUMIFS(РД[Стоимость без отделки итог],РД[Дом],$U$4,РД[МОП],$P8,РД[Дата подачи на регистрацию],"&gt;="&amp;$P$3,РД[Дата подачи на регистрацию],"&lt;"&amp;DATE(YEAR($B$3),MONTH($B$3)+1,1),РД[Состояние],"Продажа")-AJ8/2</f>
        <v>0</v>
      </c>
      <c r="W8" s="597">
        <f>SUMIFS(РД[S],РД[Дом],$W$4,РД[МОП],$P8,РД[Дата подачи на регистрацию],"&gt;="&amp;$P$3,РД[Дата подачи на регистрацию],"&lt;"&amp;DATE(YEAR($B$3),MONTH($B$3)+1,1),РД[Состояние],"Продажа")-AK8/2</f>
        <v>0</v>
      </c>
      <c r="X8" s="632">
        <f>SUMIFS(РД[Стоимость без отделки итог],РД[Дом],$W$4,РД[МОП],$P8,РД[Дата подачи на регистрацию],"&gt;="&amp;$P$3,РД[Дата подачи на регистрацию],"&lt;"&amp;DATE(YEAR($B$3),MONTH($B$3)+1,1),РД[Состояние],"Продажа")-AL8/2</f>
        <v>0</v>
      </c>
      <c r="Y8" s="636">
        <f t="shared" ref="Y8:Z10" si="9">Q8+S8+U8+W8</f>
        <v>0</v>
      </c>
      <c r="Z8" s="573">
        <f t="shared" si="9"/>
        <v>0</v>
      </c>
      <c r="AA8" s="638">
        <f t="shared" si="5"/>
        <v>0</v>
      </c>
      <c r="AB8" s="617">
        <f t="shared" si="5"/>
        <v>0</v>
      </c>
      <c r="AC8" s="609"/>
      <c r="AD8" s="569" t="s">
        <v>20</v>
      </c>
      <c r="AE8" s="606">
        <f>SUMIFS(РД[S],РД[Дом],$AE$4,РД[МОП],$AD8,РД[Источник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8" s="597">
        <f>SUMIFS(РД[Стоимость без отделки итог],РД[Дом],$AE$4,РД[МОП],$AD8,РД[Источник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8" s="597">
        <f>SUMIFS(РД[S],РД[Дом],$AG$4,РД[МОП],$AD8,РД[Источник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8" s="597">
        <f>SUMIFS(РД[Стоимость без отделки итог],РД[Дом],$AG$4,РД[МОП],$AD8,РД[Источник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8" s="597">
        <f>SUMIFS(РД[S],РД[Дом],$AI$4,РД[МОП],$AD8,РД[Источник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8" s="632">
        <f>SUMIFS(РД[Стоимость без отделки итог],РД[Дом],$AI$4,РД[МОП],$AD8,РД[Источник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8" s="573">
        <f>SUMIFS(РД[S],РД[Дом],$AK$4,РД[МОП],$AD8,РД[Источник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8" s="628">
        <f>SUMIFS(РД[Стоимость без отделки итог],РД[Дом],$AK$4,РД[МОП],$AD8,РД[Источник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8" s="636">
        <f t="shared" si="6"/>
        <v>0</v>
      </c>
      <c r="AN8" s="652">
        <f t="shared" si="7"/>
        <v>0</v>
      </c>
      <c r="AP8" s="651">
        <v>45778</v>
      </c>
      <c r="AQ8" s="667">
        <v>61.530000000003703</v>
      </c>
      <c r="AR8" s="597">
        <v>7579104.0003200201</v>
      </c>
      <c r="AS8" s="609"/>
      <c r="AT8" s="651">
        <v>45778</v>
      </c>
      <c r="AU8" s="846">
        <f t="shared" si="0"/>
        <v>2303.0518578640717</v>
      </c>
      <c r="AV8" s="846">
        <f t="shared" si="1"/>
        <v>295360101.89798915</v>
      </c>
    </row>
    <row r="9" spans="2:48" ht="15.75">
      <c r="B9" s="569" t="s">
        <v>24</v>
      </c>
      <c r="C9" s="574">
        <v>159</v>
      </c>
      <c r="D9" s="575">
        <f t="shared" si="4"/>
        <v>0.23485967503692762</v>
      </c>
      <c r="E9" s="572">
        <f>ROUND($D9*VLOOKUP($B$3,'ИПП 1кв25'!$AP$4:$AR$16,2,0),0)</f>
        <v>0</v>
      </c>
      <c r="F9" s="573">
        <f>ROUND($D9*VLOOKUP($B$3,'ИПП 1кв25'!$AP$4:$AR$16,3,0),0)</f>
        <v>0</v>
      </c>
      <c r="G9" s="573">
        <f>ROUND($D9*VLOOKUP($B$3,'ИПП 1кв25'!$AP$20:$AR$32,2,0),0)</f>
        <v>185</v>
      </c>
      <c r="H9" s="573">
        <f>ROUND($D9*VLOOKUP($B$3,'ИПП 1кв25'!$AP$20:$AR$32,3,0),0)</f>
        <v>23764721</v>
      </c>
      <c r="I9" s="573">
        <f>ROUND($D9*VLOOKUP($B$3,'ИПП 1кв25'!$AP$36:$AR$48,2,0),0)</f>
        <v>31</v>
      </c>
      <c r="J9" s="628">
        <f>ROUND($D9*VLOOKUP($B$3,'ИПП 1кв25'!$AP$36:$AR$48,3,0),0)</f>
        <v>3940696</v>
      </c>
      <c r="K9" s="597">
        <f>ROUND($D9*VLOOKUP($B$3,'ИПП 1кв25'!$AP$53:$AR$65,2,0),0)</f>
        <v>74</v>
      </c>
      <c r="L9" s="632">
        <f>ROUND($D9*VLOOKUP($B$3,'ИПП 1кв25'!$AP$53:$AR$65,3,0),0)</f>
        <v>8969104</v>
      </c>
      <c r="M9" s="596">
        <f t="shared" si="8"/>
        <v>290</v>
      </c>
      <c r="N9" s="626">
        <f t="shared" si="8"/>
        <v>36674521</v>
      </c>
      <c r="O9" s="609"/>
      <c r="P9" s="569" t="s">
        <v>24</v>
      </c>
      <c r="Q9" s="606">
        <f>SUMIFS(РД[S],РД[Дом],$Q$4,РД[МОП],$P9,РД[Дата подачи на регистрацию],"&gt;="&amp;$P$3,РД[Дата подачи на регистрацию],"&lt;"&amp;DATE(YEAR($B$3),MONTH($B$3)+1,1),РД[Состояние],"Продажа")-AE9/2</f>
        <v>0</v>
      </c>
      <c r="R9" s="597">
        <f>SUMIFS(РД[Стоимость без отделки итог],РД[Дом],$Q$4,РД[МОП],$P9,РД[Дата подачи на регистрацию],"&gt;="&amp;$P$3,РД[Дата подачи на регистрацию],"&lt;"&amp;DATE(YEAR($B$3),MONTH($B$3)+1,1),РД[Состояние],"Продажа")-AF9/2</f>
        <v>0</v>
      </c>
      <c r="S9" s="597">
        <f>SUMIFS(РД[S],РД[Дом],$S$4,РД[МОП],$P9,РД[Дата подачи на регистрацию],"&gt;="&amp;$P$3,РД[Дата подачи на регистрацию],"&lt;"&amp;DATE(YEAR($B$3),MONTH($B$3)+1,1),РД[Состояние],"Продажа")-AG9/2</f>
        <v>37.81</v>
      </c>
      <c r="T9" s="597">
        <f>SUMIFS(РД[Стоимость без отделки итог],РД[Дом],$S$4,РД[МОП],$P9,РД[Дата подачи на регистрацию],"&gt;="&amp;$P$3,РД[Дата подачи на регистрацию],"&lt;"&amp;DATE(YEAR($B$3),MONTH($B$3)+1,1),РД[Состояние],"Продажа")-AH9/2</f>
        <v>5137000</v>
      </c>
      <c r="U9" s="597">
        <f>SUMIFS(РД[S],РД[Дом],$U$4,РД[МОП],$P9,РД[Дата подачи на регистрацию],"&gt;="&amp;$P$3,РД[Дата подачи на регистрацию],"&lt;"&amp;DATE(YEAR($B$3),MONTH($B$3)+1,1),РД[Состояние],"Продажа")-AI9/2</f>
        <v>0</v>
      </c>
      <c r="V9" s="632">
        <f>SUMIFS(РД[Стоимость без отделки итог],РД[Дом],$U$4,РД[МОП],$P9,РД[Дата подачи на регистрацию],"&gt;="&amp;$P$3,РД[Дата подачи на регистрацию],"&lt;"&amp;DATE(YEAR($B$3),MONTH($B$3)+1,1),РД[Состояние],"Продажа")-AJ9/2</f>
        <v>0</v>
      </c>
      <c r="W9" s="597">
        <f>SUMIFS(РД[S],РД[Дом],$W$4,РД[МОП],$P9,РД[Дата подачи на регистрацию],"&gt;="&amp;$P$3,РД[Дата подачи на регистрацию],"&lt;"&amp;DATE(YEAR($B$3),MONTH($B$3)+1,1),РД[Состояние],"Продажа")-AK9/2</f>
        <v>73.56</v>
      </c>
      <c r="X9" s="632">
        <f>SUMIFS(РД[Стоимость без отделки итог],РД[Дом],$W$4,РД[МОП],$P9,РД[Дата подачи на регистрацию],"&gt;="&amp;$P$3,РД[Дата подачи на регистрацию],"&lt;"&amp;DATE(YEAR($B$3),MONTH($B$3)+1,1),РД[Состояние],"Продажа")-AL9/2</f>
        <v>9156336</v>
      </c>
      <c r="Y9" s="636">
        <f t="shared" si="9"/>
        <v>111.37</v>
      </c>
      <c r="Z9" s="573">
        <f t="shared" si="9"/>
        <v>14293336</v>
      </c>
      <c r="AA9" s="638">
        <f t="shared" si="5"/>
        <v>0.38403448275862073</v>
      </c>
      <c r="AB9" s="617">
        <f t="shared" si="5"/>
        <v>0.38973476981471689</v>
      </c>
      <c r="AC9" s="609"/>
      <c r="AD9" s="569" t="s">
        <v>24</v>
      </c>
      <c r="AE9" s="606">
        <f>SUMIFS(РД[S],РД[Дом],$AE$4,РД[МОП],$AD9,РД[Источник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9" s="597">
        <f>SUMIFS(РД[Стоимость без отделки итог],РД[Дом],$AE$4,РД[МОП],$AD9,РД[Источник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9" s="597">
        <f>SUMIFS(РД[S],РД[Дом],$AG$4,РД[МОП],$AD9,РД[Источник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9" s="597">
        <f>SUMIFS(РД[Стоимость без отделки итог],РД[Дом],$AG$4,РД[МОП],$AD9,РД[Источник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9" s="597">
        <f>SUMIFS(РД[S],РД[Дом],$AI$4,РД[МОП],$AD9,РД[Источник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9" s="632">
        <f>SUMIFS(РД[Стоимость без отделки итог],РД[Дом],$AI$4,РД[МОП],$AD9,РД[Источник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9" s="573">
        <f>SUMIFS(РД[S],РД[Дом],$AK$4,РД[МОП],$AD9,РД[Источник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9" s="628">
        <f>SUMIFS(РД[Стоимость без отделки итог],РД[Дом],$AK$4,РД[МОП],$AD9,РД[Источник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9" s="636">
        <f t="shared" si="6"/>
        <v>0</v>
      </c>
      <c r="AN9" s="652">
        <f t="shared" si="7"/>
        <v>0</v>
      </c>
      <c r="AP9" s="651">
        <v>45809</v>
      </c>
      <c r="AQ9" s="667">
        <v>46.810000000001303</v>
      </c>
      <c r="AR9" s="668">
        <v>6419135.9999998901</v>
      </c>
      <c r="AT9" s="651">
        <v>45809</v>
      </c>
      <c r="AU9" s="846">
        <f t="shared" si="0"/>
        <v>2105.9284380300282</v>
      </c>
      <c r="AV9" s="846">
        <f t="shared" si="1"/>
        <v>268495693.69571948</v>
      </c>
    </row>
    <row r="10" spans="2:48" ht="15.75">
      <c r="B10" s="618" t="s">
        <v>14</v>
      </c>
      <c r="C10" s="577">
        <v>171</v>
      </c>
      <c r="D10" s="578">
        <f t="shared" si="4"/>
        <v>0.25258493353028066</v>
      </c>
      <c r="E10" s="579">
        <f>ROUND($D10*VLOOKUP($B$3,'ИПП 1кв25'!$AP$4:$AR$16,2,0),0)</f>
        <v>0</v>
      </c>
      <c r="F10" s="580">
        <f>ROUND($D10*VLOOKUP($B$3,'ИПП 1кв25'!$AP$4:$AR$16,3,0),0)</f>
        <v>0</v>
      </c>
      <c r="G10" s="580">
        <f>ROUND($D10*VLOOKUP($B$3,'ИПП 1кв25'!$AP$20:$AR$32,2,0),0)</f>
        <v>199</v>
      </c>
      <c r="H10" s="580">
        <f>ROUND($D10*VLOOKUP($B$3,'ИПП 1кв25'!$AP$20:$AR$32,3,0),0)</f>
        <v>25558285</v>
      </c>
      <c r="I10" s="573">
        <f>ROUND($D10*VLOOKUP($B$3,'ИПП 1кв25'!$AP$36:$AR$48,2,0),0)</f>
        <v>34</v>
      </c>
      <c r="J10" s="628">
        <f>ROUND($D10*VLOOKUP($B$3,'ИПП 1кв25'!$AP$36:$AR$48,3,0),0)</f>
        <v>4238107</v>
      </c>
      <c r="K10" s="602">
        <f>ROUND($D10*VLOOKUP($B$3,'ИПП 1кв25'!$AP$53:$AR$65,2,0),0)</f>
        <v>79</v>
      </c>
      <c r="L10" s="633">
        <f>ROUND($D10*VLOOKUP($B$3,'ИПП 1кв25'!$AP$53:$AR$65,3,0),0)</f>
        <v>9646017</v>
      </c>
      <c r="M10" s="596">
        <f t="shared" si="8"/>
        <v>312</v>
      </c>
      <c r="N10" s="626">
        <f t="shared" si="8"/>
        <v>39442409</v>
      </c>
      <c r="O10" s="609"/>
      <c r="P10" s="618" t="s">
        <v>14</v>
      </c>
      <c r="Q10" s="589">
        <f>SUMIFS(РД[S],РД[Дом],$Q$4,РД[МОП],$P10,РД[Дата подачи на регистрацию],"&gt;="&amp;$P$3,РД[Дата подачи на регистрацию],"&lt;"&amp;DATE(YEAR($B$3),MONTH($B$3)+1,1),РД[Состояние],"Продажа")-AE10/2</f>
        <v>0</v>
      </c>
      <c r="R10" s="590">
        <f>SUMIFS(РД[Стоимость без отделки итог],РД[Дом],$Q$4,РД[МОП],$P10,РД[Дата подачи на регистрацию],"&gt;="&amp;$P$3,РД[Дата подачи на регистрацию],"&lt;"&amp;DATE(YEAR($B$3),MONTH($B$3)+1,1),РД[Состояние],"Продажа")-AF10/2</f>
        <v>0</v>
      </c>
      <c r="S10" s="590">
        <f>SUMIFS(РД[S],РД[Дом],$S$4,РД[МОП],$P10,РД[Дата подачи на регистрацию],"&gt;="&amp;$P$3,РД[Дата подачи на регистрацию],"&lt;"&amp;DATE(YEAR($B$3),MONTH($B$3)+1,1),РД[Состояние],"Продажа")-AG10/2</f>
        <v>56.58</v>
      </c>
      <c r="T10" s="590">
        <f>SUMIFS(РД[Стоимость без отделки итог],РД[Дом],$S$4,РД[МОП],$P10,РД[Дата подачи на регистрацию],"&gt;="&amp;$P$3,РД[Дата подачи на регистрацию],"&lt;"&amp;DATE(YEAR($B$3),MONTH($B$3)+1,1),РД[Состояние],"Продажа")-AH10/2</f>
        <v>7351048</v>
      </c>
      <c r="U10" s="590">
        <f>SUMIFS(РД[S],РД[Дом],$U$4,РД[МОП],$P10,РД[Дата подачи на регистрацию],"&gt;="&amp;$P$3,РД[Дата подачи на регистрацию],"&lt;"&amp;DATE(YEAR($B$3),MONTH($B$3)+1,1),РД[Состояние],"Продажа")-AI10/2</f>
        <v>0</v>
      </c>
      <c r="V10" s="635">
        <f>SUMIFS(РД[Стоимость без отделки итог],РД[Дом],$U$4,РД[МОП],$P10,РД[Дата подачи на регистрацию],"&gt;="&amp;$P$3,РД[Дата подачи на регистрацию],"&lt;"&amp;DATE(YEAR($B$3),MONTH($B$3)+1,1),РД[Состояние],"Продажа")-AJ10/2</f>
        <v>0</v>
      </c>
      <c r="W10" s="590">
        <f>SUMIFS(РД[S],РД[Дом],$W$4,РД[МОП],$P10,РД[Дата подачи на регистрацию],"&gt;="&amp;$P$3,РД[Дата подачи на регистрацию],"&lt;"&amp;DATE(YEAR($B$3),MONTH($B$3)+1,1),РД[Состояние],"Продажа")-AK10/2</f>
        <v>0</v>
      </c>
      <c r="X10" s="635">
        <f>SUMIFS(РД[Стоимость без отделки итог],РД[Дом],$W$4,РД[МОП],$P10,РД[Дата подачи на регистрацию],"&gt;="&amp;$P$3,РД[Дата подачи на регистрацию],"&lt;"&amp;DATE(YEAR($B$3),MONTH($B$3)+1,1),РД[Состояние],"Продажа")-AL10/2</f>
        <v>0</v>
      </c>
      <c r="Y10" s="636">
        <f t="shared" si="9"/>
        <v>56.58</v>
      </c>
      <c r="Z10" s="573">
        <f t="shared" si="9"/>
        <v>7351048</v>
      </c>
      <c r="AA10" s="639">
        <f t="shared" si="5"/>
        <v>0.18134615384615385</v>
      </c>
      <c r="AB10" s="640">
        <f t="shared" si="5"/>
        <v>0.18637421461757064</v>
      </c>
      <c r="AC10" s="609"/>
      <c r="AD10" s="618" t="s">
        <v>14</v>
      </c>
      <c r="AE10" s="589">
        <f>SUMIFS(РД[S],РД[Дом],$AE$4,РД[МОП],$AD10,РД[Источник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0" s="590">
        <f>SUMIFS(РД[Стоимость без отделки итог],РД[Дом],$AE$4,РД[МОП],$AD10,РД[Источник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0" s="590">
        <f>SUMIFS(РД[S],РД[Дом],$AG$4,РД[МОП],$AD10,РД[Источник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0" s="590">
        <f>SUMIFS(РД[Стоимость без отделки итог],РД[Дом],$AG$4,РД[МОП],$AD10,РД[Источник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0" s="590">
        <f>SUMIFS(РД[S],РД[Дом],$AI$4,РД[МОП],$AD10,РД[Источник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0" s="635">
        <f>SUMIFS(РД[Стоимость без отделки итог],РД[Дом],$AI$4,РД[МОП],$AD10,РД[Источник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0" s="573">
        <f>SUMIFS(РД[S],РД[Дом],$AK$4,РД[МОП],$AD10,РД[Источник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0" s="628">
        <f>SUMIFS(РД[Стоимость без отделки итог],РД[Дом],$AK$4,РД[МОП],$AD10,РД[Источник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0" s="636">
        <f t="shared" si="6"/>
        <v>0</v>
      </c>
      <c r="AN10" s="652">
        <f t="shared" si="7"/>
        <v>0</v>
      </c>
      <c r="AP10" s="651">
        <v>45839</v>
      </c>
      <c r="AQ10" s="667">
        <v>46.810000000001303</v>
      </c>
      <c r="AR10" s="668">
        <v>6419135.9999998901</v>
      </c>
      <c r="AT10" s="651">
        <v>45839</v>
      </c>
      <c r="AU10" s="846">
        <f t="shared" si="0"/>
        <v>1902.4100475311034</v>
      </c>
      <c r="AV10" s="846">
        <f t="shared" si="1"/>
        <v>241563699.93470389</v>
      </c>
    </row>
    <row r="11" spans="2:48">
      <c r="B11" s="581" t="s">
        <v>114</v>
      </c>
      <c r="C11" s="582">
        <f t="shared" ref="C11:L11" si="10">SUM(C6:C10)</f>
        <v>677</v>
      </c>
      <c r="D11" s="583">
        <f t="shared" si="10"/>
        <v>1</v>
      </c>
      <c r="E11" s="582">
        <f t="shared" si="10"/>
        <v>0</v>
      </c>
      <c r="F11" s="584">
        <f t="shared" si="10"/>
        <v>0</v>
      </c>
      <c r="G11" s="584">
        <f t="shared" si="10"/>
        <v>787</v>
      </c>
      <c r="H11" s="584">
        <f t="shared" si="10"/>
        <v>101186894</v>
      </c>
      <c r="I11" s="584">
        <f t="shared" si="10"/>
        <v>134</v>
      </c>
      <c r="J11" s="629">
        <f t="shared" si="10"/>
        <v>16778937</v>
      </c>
      <c r="K11" s="584">
        <f t="shared" si="10"/>
        <v>313</v>
      </c>
      <c r="L11" s="629">
        <f t="shared" si="10"/>
        <v>38189203</v>
      </c>
      <c r="M11" s="612">
        <f t="shared" si="8"/>
        <v>1234</v>
      </c>
      <c r="N11" s="630">
        <f t="shared" si="8"/>
        <v>156155034</v>
      </c>
      <c r="O11" s="631"/>
      <c r="P11" s="581" t="s">
        <v>114</v>
      </c>
      <c r="Q11" s="582">
        <f t="shared" ref="Q11:Z11" si="11">SUM(Q6:Q10)</f>
        <v>0</v>
      </c>
      <c r="R11" s="584">
        <f t="shared" si="11"/>
        <v>0</v>
      </c>
      <c r="S11" s="584">
        <f t="shared" si="11"/>
        <v>94.39</v>
      </c>
      <c r="T11" s="584">
        <f t="shared" si="11"/>
        <v>12488048</v>
      </c>
      <c r="U11" s="584">
        <f t="shared" si="11"/>
        <v>0</v>
      </c>
      <c r="V11" s="629">
        <f t="shared" si="11"/>
        <v>0</v>
      </c>
      <c r="W11" s="584">
        <f t="shared" si="11"/>
        <v>125.01</v>
      </c>
      <c r="X11" s="629">
        <f t="shared" si="11"/>
        <v>15865804</v>
      </c>
      <c r="Y11" s="612">
        <f t="shared" si="11"/>
        <v>219.39999999999998</v>
      </c>
      <c r="Z11" s="584">
        <f t="shared" si="11"/>
        <v>28353852</v>
      </c>
      <c r="AA11" s="641">
        <f t="shared" si="5"/>
        <v>0.1777957860615883</v>
      </c>
      <c r="AB11" s="583">
        <f t="shared" si="5"/>
        <v>0.18157501089590233</v>
      </c>
      <c r="AC11" s="631"/>
      <c r="AD11" s="642" t="s">
        <v>114</v>
      </c>
      <c r="AE11" s="643">
        <f t="shared" ref="AE11:AL11" si="12">SUM(AE6:AE10)</f>
        <v>0</v>
      </c>
      <c r="AF11" s="644">
        <f t="shared" si="12"/>
        <v>0</v>
      </c>
      <c r="AG11" s="644">
        <f t="shared" si="12"/>
        <v>0</v>
      </c>
      <c r="AH11" s="644">
        <f t="shared" si="12"/>
        <v>0</v>
      </c>
      <c r="AI11" s="644">
        <f t="shared" si="12"/>
        <v>0</v>
      </c>
      <c r="AJ11" s="654">
        <f t="shared" si="12"/>
        <v>0</v>
      </c>
      <c r="AK11" s="644">
        <f t="shared" si="12"/>
        <v>29.62</v>
      </c>
      <c r="AL11" s="654">
        <f t="shared" si="12"/>
        <v>4174400</v>
      </c>
      <c r="AM11" s="655">
        <f t="shared" si="6"/>
        <v>29.62</v>
      </c>
      <c r="AN11" s="656">
        <f t="shared" si="7"/>
        <v>4174400</v>
      </c>
      <c r="AP11" s="651">
        <v>45870</v>
      </c>
      <c r="AQ11" s="667">
        <v>61.530000000003703</v>
      </c>
      <c r="AR11" s="668">
        <v>7579104.0003200201</v>
      </c>
      <c r="AT11" s="651">
        <v>45870</v>
      </c>
      <c r="AU11" s="846">
        <f t="shared" si="0"/>
        <v>1956.2263581092238</v>
      </c>
      <c r="AV11" s="846">
        <f t="shared" si="1"/>
        <v>248968519.7944566</v>
      </c>
    </row>
    <row r="12" spans="2:48" ht="16.5" customHeight="1">
      <c r="B12" s="2350" t="s">
        <v>1882</v>
      </c>
      <c r="C12" s="2351"/>
      <c r="D12" s="2364"/>
      <c r="E12" s="2351" t="s">
        <v>7</v>
      </c>
      <c r="F12" s="2365"/>
      <c r="G12" s="2366" t="s">
        <v>13</v>
      </c>
      <c r="H12" s="2365"/>
      <c r="I12" s="2366" t="s">
        <v>1875</v>
      </c>
      <c r="J12" s="2351"/>
      <c r="K12" s="2352" t="s">
        <v>1876</v>
      </c>
      <c r="L12" s="2343"/>
      <c r="M12" s="2335" t="s">
        <v>114</v>
      </c>
      <c r="N12" s="2336"/>
      <c r="O12" s="622"/>
      <c r="P12" s="2353" t="s">
        <v>3</v>
      </c>
      <c r="Q12" s="2360" t="s">
        <v>7</v>
      </c>
      <c r="R12" s="2333"/>
      <c r="S12" s="2333" t="s">
        <v>13</v>
      </c>
      <c r="T12" s="2333"/>
      <c r="U12" s="2333" t="s">
        <v>1875</v>
      </c>
      <c r="V12" s="2352"/>
      <c r="W12" s="2333" t="s">
        <v>1876</v>
      </c>
      <c r="X12" s="2352"/>
      <c r="Y12" s="2332" t="s">
        <v>114</v>
      </c>
      <c r="Z12" s="2333"/>
      <c r="AA12" s="2333" t="s">
        <v>1877</v>
      </c>
      <c r="AB12" s="2334"/>
      <c r="AC12" s="622"/>
      <c r="AD12" s="2356" t="s">
        <v>3</v>
      </c>
      <c r="AE12" s="2360" t="s">
        <v>7</v>
      </c>
      <c r="AF12" s="2333"/>
      <c r="AG12" s="2333" t="s">
        <v>13</v>
      </c>
      <c r="AH12" s="2333"/>
      <c r="AI12" s="2333" t="s">
        <v>1875</v>
      </c>
      <c r="AJ12" s="2352"/>
      <c r="AK12" s="2333" t="s">
        <v>1876</v>
      </c>
      <c r="AL12" s="2352"/>
      <c r="AM12" s="2332" t="s">
        <v>114</v>
      </c>
      <c r="AN12" s="2334"/>
      <c r="AP12" s="651">
        <v>45901</v>
      </c>
      <c r="AQ12" s="667">
        <v>0</v>
      </c>
      <c r="AR12" s="668">
        <v>0</v>
      </c>
      <c r="AT12" s="651">
        <v>45901</v>
      </c>
      <c r="AU12" s="846">
        <f t="shared" si="0"/>
        <v>1989.585532760492</v>
      </c>
      <c r="AV12" s="846">
        <f t="shared" si="1"/>
        <v>254872156.56581399</v>
      </c>
    </row>
    <row r="13" spans="2:48" ht="15.75">
      <c r="B13" s="585" t="s">
        <v>1878</v>
      </c>
      <c r="C13" s="586" t="s">
        <v>1879</v>
      </c>
      <c r="D13" s="587" t="s">
        <v>1880</v>
      </c>
      <c r="E13" s="562" t="s">
        <v>1872</v>
      </c>
      <c r="F13" s="563" t="s">
        <v>1881</v>
      </c>
      <c r="G13" s="562" t="s">
        <v>1872</v>
      </c>
      <c r="H13" s="563" t="s">
        <v>1881</v>
      </c>
      <c r="I13" s="562" t="s">
        <v>1872</v>
      </c>
      <c r="J13" s="623" t="s">
        <v>1881</v>
      </c>
      <c r="K13" s="563" t="s">
        <v>1872</v>
      </c>
      <c r="L13" s="624" t="s">
        <v>1881</v>
      </c>
      <c r="M13" s="610" t="s">
        <v>1872</v>
      </c>
      <c r="N13" s="624" t="s">
        <v>1881</v>
      </c>
      <c r="O13" s="622"/>
      <c r="P13" s="2354"/>
      <c r="Q13" s="562" t="s">
        <v>1872</v>
      </c>
      <c r="R13" s="563" t="s">
        <v>1881</v>
      </c>
      <c r="S13" s="562" t="s">
        <v>1872</v>
      </c>
      <c r="T13" s="563" t="s">
        <v>1881</v>
      </c>
      <c r="U13" s="562" t="s">
        <v>1872</v>
      </c>
      <c r="V13" s="563" t="s">
        <v>1881</v>
      </c>
      <c r="W13" s="562" t="s">
        <v>1872</v>
      </c>
      <c r="X13" s="563" t="s">
        <v>1881</v>
      </c>
      <c r="Y13" s="610" t="s">
        <v>1872</v>
      </c>
      <c r="Z13" s="563" t="s">
        <v>1881</v>
      </c>
      <c r="AA13" s="563" t="s">
        <v>1872</v>
      </c>
      <c r="AB13" s="624" t="s">
        <v>1881</v>
      </c>
      <c r="AC13" s="622"/>
      <c r="AD13" s="2357"/>
      <c r="AE13" s="562" t="s">
        <v>1872</v>
      </c>
      <c r="AF13" s="563" t="s">
        <v>1881</v>
      </c>
      <c r="AG13" s="563" t="s">
        <v>1872</v>
      </c>
      <c r="AH13" s="563" t="s">
        <v>1881</v>
      </c>
      <c r="AI13" s="563" t="s">
        <v>1872</v>
      </c>
      <c r="AJ13" s="623" t="s">
        <v>1881</v>
      </c>
      <c r="AK13" s="563" t="s">
        <v>1872</v>
      </c>
      <c r="AL13" s="623" t="s">
        <v>1881</v>
      </c>
      <c r="AM13" s="610" t="s">
        <v>1872</v>
      </c>
      <c r="AN13" s="624" t="s">
        <v>1881</v>
      </c>
      <c r="AP13" s="651">
        <v>45931</v>
      </c>
      <c r="AQ13" s="667">
        <v>0</v>
      </c>
      <c r="AR13" s="668">
        <v>0</v>
      </c>
      <c r="AT13" s="651">
        <v>45931</v>
      </c>
      <c r="AU13" s="846">
        <f t="shared" si="0"/>
        <v>1976.1492686912279</v>
      </c>
      <c r="AV13" s="846">
        <f t="shared" si="1"/>
        <v>253799207.49944279</v>
      </c>
    </row>
    <row r="14" spans="2:48" ht="15.75">
      <c r="B14" s="569" t="s">
        <v>22</v>
      </c>
      <c r="C14" s="570">
        <v>141</v>
      </c>
      <c r="D14" s="588">
        <f>C14/$C$17</f>
        <v>0.60515021459227469</v>
      </c>
      <c r="E14" s="572">
        <f>$D14*($E$11*$B$18)</f>
        <v>0</v>
      </c>
      <c r="F14" s="573">
        <f>$D14*($F$11*$B$18)</f>
        <v>0</v>
      </c>
      <c r="G14" s="573">
        <f>$D14*($G$11*$B$18)</f>
        <v>309.56459227467815</v>
      </c>
      <c r="H14" s="573">
        <f>$D14*($H$11*$B$18)</f>
        <v>39801625.901716739</v>
      </c>
      <c r="I14" s="573">
        <f>$D14*($I$11*$B$18)</f>
        <v>52.708583690987133</v>
      </c>
      <c r="J14" s="628">
        <f>$D14*($J$11*$B$18)</f>
        <v>6599955.2620171681</v>
      </c>
      <c r="K14" s="573">
        <f>$D14*($K$11*$B$18)</f>
        <v>123.11781115879829</v>
      </c>
      <c r="L14" s="628">
        <f>$D14*($L$11*$B$18)</f>
        <v>15021632.85386266</v>
      </c>
      <c r="M14" s="596">
        <f t="shared" ref="M14:N17" si="13">E14+G14+I14+K14</f>
        <v>485.39098712446361</v>
      </c>
      <c r="N14" s="626">
        <f t="shared" si="13"/>
        <v>61423214.017596565</v>
      </c>
      <c r="O14" s="609"/>
      <c r="P14" s="569" t="s">
        <v>22</v>
      </c>
      <c r="Q14" s="572">
        <f>SUMIFS(РД[S],РД[Дом],$Q$4,РД[ИМ],$P14,РД[Дата подачи на регистрацию],"&gt;="&amp;$P$3,РД[Дата подачи на регистрацию],"&lt;"&amp;DATE(YEAR($B$3),MONTH($B$3)+1,1),РД[Состояние],"Продажа")-AE14/2</f>
        <v>0</v>
      </c>
      <c r="R14" s="573">
        <f>SUMIFS(РД[Стоимость без отделки итог],РД[Дом],$Q$4,РД[ИМ],$P14,РД[Дата подачи на регистрацию],"&gt;="&amp;$P$3,РД[Дата подачи на регистрацию],"&lt;"&amp;DATE(YEAR($B$3),MONTH($B$3)+1,1),РД[Состояние],"Продажа")-AF14/2</f>
        <v>0</v>
      </c>
      <c r="S14" s="573">
        <f>SUMIFS(РД[S],РД[Дом],$S$4,РД[ИМ],$P14,РД[Дата подачи на регистрацию],"&gt;="&amp;$P$3,РД[Дата подачи на регистрацию],"&lt;"&amp;DATE(YEAR($B$3),MONTH($B$3)+1,1),РД[Состояние],"Продажа")-AG14/2</f>
        <v>56.58</v>
      </c>
      <c r="T14" s="573">
        <f>SUMIFS(РД[Стоимость без отделки итог],РД[Дом],$S$4,РД[ИМ],$P14,РД[Дата подачи на регистрацию],"&gt;="&amp;$P$3,РД[Дата подачи на регистрацию],"&lt;"&amp;DATE(YEAR($B$3),MONTH($B$3)+1,1),РД[Состояние],"Продажа")-AH14/2</f>
        <v>7351048</v>
      </c>
      <c r="U14" s="573">
        <f>SUMIFS(РД[S],РД[Дом],$U$4,РД[ИМ],$P14,РД[Дата подачи на регистрацию],"&gt;="&amp;$P$3,РД[Дата подачи на регистрацию],"&lt;"&amp;DATE(YEAR($B$3),MONTH($B$3)+1,1),РД[Состояние],"Продажа")-AI14/2</f>
        <v>0</v>
      </c>
      <c r="V14" s="628">
        <f>SUMIFS(РД[Стоимость без отделки итог],РД[Дом],$U$4,РД[ИМ],$P14,РД[Дата подачи на регистрацию],"&gt;="&amp;$P$3,РД[Дата подачи на регистрацию],"&lt;"&amp;DATE(YEAR($B$3),MONTH($B$3)+1,1),РД[Состояние],"Продажа")-AJ14/2</f>
        <v>0</v>
      </c>
      <c r="W14" s="573">
        <f>SUMIFS(РД[S],РД[Дом],$W$4,РД[ИМ],$P14,РД[Дата подачи на регистрацию],"&gt;="&amp;$P$3,РД[Дата подачи на регистрацию],"&lt;"&amp;DATE(YEAR($B$3),MONTH($B$3)+1,1),РД[Состояние],"Продажа")-AK14/2</f>
        <v>0</v>
      </c>
      <c r="X14" s="628">
        <f>SUMIFS(РД[Стоимость без отделки итог],РД[Дом],$W$4,РД[ИМ],$P14,РД[Дата подачи на регистрацию],"&gt;="&amp;$P$3,РД[Дата подачи на регистрацию],"&lt;"&amp;DATE(YEAR($B$3),MONTH($B$3)+1,1),РД[Состояние],"Продажа")-AL14/2</f>
        <v>0</v>
      </c>
      <c r="Y14" s="636">
        <f>Q14+S14+U14+W14</f>
        <v>56.58</v>
      </c>
      <c r="Z14" s="573">
        <f>R14+T14+V14+X14</f>
        <v>7351048</v>
      </c>
      <c r="AA14" s="645">
        <f t="shared" ref="AA14:AB17" si="14">IFERROR(Y14/M14,"")</f>
        <v>0.1165658232246735</v>
      </c>
      <c r="AB14" s="588">
        <f t="shared" si="14"/>
        <v>0.11967866087069405</v>
      </c>
      <c r="AC14" s="609"/>
      <c r="AD14" s="569" t="s">
        <v>22</v>
      </c>
      <c r="AE14" s="594">
        <f>SUMIFS(РД[S],РД[Дом],$AE$4,РД[ИМ],$AD14,РД[Источник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4" s="568">
        <f>SUMIFS(РД[Стоимость без отделки итог],РД[Дом],$AE$4,РД[ИМ],$AD14,РД[Источник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4" s="568">
        <f>SUMIFS(РД[S],РД[Дом],$AG$4,РД[ИМ],$AD14,РД[Источник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4" s="568">
        <f>SUMIFS(РД[Стоимость без отделки итог],РД[Дом],$AG$4,РД[ИМ],$AD14,РД[Источник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4" s="568">
        <f>SUMIFS(РД[S],РД[Дом],$AI$4,РД[ИМ],$AD14,РД[Источник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4" s="625">
        <f>SUMIFS(РД[Стоимость без отделки итог],РД[Дом],$AI$4,РД[ИМ],$AD14,РД[Источник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4" s="568">
        <f>SUMIFS(РД[S],РД[Дом],$AK$12,РД[ИМ],$AD14,РД[Источник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4" s="625">
        <f>SUMIFS(РД[Стоимость без отделки итог],РД[Дом],$AK$12,РД[ИМ],$AD14,РД[Источник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4" s="594">
        <f>AE14+AG14+AI14+AK14</f>
        <v>0</v>
      </c>
      <c r="AN14" s="808">
        <f>AF14+AH14+AJ14+AL14</f>
        <v>0</v>
      </c>
      <c r="AP14" s="651">
        <v>45962</v>
      </c>
      <c r="AQ14" s="667">
        <v>0</v>
      </c>
      <c r="AR14" s="668">
        <v>0</v>
      </c>
      <c r="AT14" s="651">
        <v>45962</v>
      </c>
      <c r="AU14" s="846">
        <f t="shared" si="0"/>
        <v>1796.1000128988489</v>
      </c>
      <c r="AV14" s="846">
        <f t="shared" si="1"/>
        <v>231499871.54213542</v>
      </c>
    </row>
    <row r="15" spans="2:48" ht="15.75">
      <c r="B15" s="569" t="s">
        <v>26</v>
      </c>
      <c r="C15" s="570">
        <v>92</v>
      </c>
      <c r="D15" s="588">
        <f t="shared" ref="D15:D16" si="15">C15/$C$17</f>
        <v>0.39484978540772531</v>
      </c>
      <c r="E15" s="572">
        <f>$D15*($E$11*$B$18)</f>
        <v>0</v>
      </c>
      <c r="F15" s="573">
        <f>$D15*($F$11*$B$18)</f>
        <v>0</v>
      </c>
      <c r="G15" s="573">
        <f>$D15*($G$11*$B$18)</f>
        <v>201.98540772532189</v>
      </c>
      <c r="H15" s="573">
        <f>$D15*($H$11*$B$18)</f>
        <v>25969855.198283263</v>
      </c>
      <c r="I15" s="573">
        <f>$D15*($I$11*$B$18)</f>
        <v>34.391416309012875</v>
      </c>
      <c r="J15" s="628">
        <f>$D15*($J$11*$B$18)</f>
        <v>4306353.7879828326</v>
      </c>
      <c r="K15" s="573">
        <f t="shared" ref="K15:K16" si="16">$D15*($K$11*$B$18)</f>
        <v>80.332188841201727</v>
      </c>
      <c r="L15" s="628">
        <f t="shared" ref="L15:L16" si="17">$D15*($L$11*$B$18)</f>
        <v>9801349.0961373392</v>
      </c>
      <c r="M15" s="596">
        <f t="shared" si="13"/>
        <v>316.70901287553647</v>
      </c>
      <c r="N15" s="626">
        <f t="shared" si="13"/>
        <v>40077558.082403436</v>
      </c>
      <c r="O15" s="609"/>
      <c r="P15" s="569" t="s">
        <v>26</v>
      </c>
      <c r="Q15" s="606">
        <f>SUMIFS(РД[S],РД[Дом],$Q$4,РД[ИМ],$P15,РД[Дата подачи на регистрацию],"&gt;="&amp;$P$3,РД[Дата подачи на регистрацию],"&lt;"&amp;DATE(YEAR($B$3),MONTH($B$3)+1,1),РД[Состояние],"Продажа")-AE15/2</f>
        <v>0</v>
      </c>
      <c r="R15" s="597">
        <f>SUMIFS(РД[Стоимость без отделки итог],РД[Дом],$Q$4,РД[ИМ],$P15,РД[Дата подачи на регистрацию],"&gt;="&amp;$P$3,РД[Дата подачи на регистрацию],"&lt;"&amp;DATE(YEAR($B$3),MONTH($B$3)+1,1),РД[Состояние],"Продажа")-AF15/2</f>
        <v>0</v>
      </c>
      <c r="S15" s="597">
        <f>SUMIFS(РД[S],РД[Дом],$S$4,РД[ИМ],$P15,РД[Дата подачи на регистрацию],"&gt;="&amp;$P$3,РД[Дата подачи на регистрацию],"&lt;"&amp;DATE(YEAR($B$3),MONTH($B$3)+1,1),РД[Состояние],"Продажа")-AG15/2</f>
        <v>37.81</v>
      </c>
      <c r="T15" s="597">
        <f>SUMIFS(РД[Стоимость без отделки итог],РД[Дом],$S$4,РД[ИМ],$P15,РД[Дата подачи на регистрацию],"&gt;="&amp;$P$3,РД[Дата подачи на регистрацию],"&lt;"&amp;DATE(YEAR($B$3),MONTH($B$3)+1,1),РД[Состояние],"Продажа")-AH15/2</f>
        <v>5137000</v>
      </c>
      <c r="U15" s="597">
        <f>SUMIFS(РД[S],РД[Дом],$U$4,РД[ИМ],$P15,РД[Дата подачи на регистрацию],"&gt;="&amp;$P$3,РД[Дата подачи на регистрацию],"&lt;"&amp;DATE(YEAR($B$3),MONTH($B$3)+1,1),РД[Состояние],"Продажа")-AI15/2</f>
        <v>0</v>
      </c>
      <c r="V15" s="632">
        <f>SUMIFS(РД[Стоимость без отделки итог],РД[Дом],$U$4,РД[ИМ],$P15,РД[Дата подачи на регистрацию],"&gt;="&amp;$P$3,РД[Дата подачи на регистрацию],"&lt;"&amp;DATE(YEAR($B$3),MONTH($B$3)+1,1),РД[Состояние],"Продажа")-AJ15/2</f>
        <v>0</v>
      </c>
      <c r="W15" s="573">
        <f>SUMIFS(РД[S],РД[Дом],$W$4,РД[ИМ],$P15,РД[Дата подачи на регистрацию],"&gt;="&amp;$P$3,РД[Дата подачи на регистрацию],"&lt;"&amp;DATE(YEAR($B$3),MONTH($B$3)+1,1),РД[Состояние],"Продажа")-AK15/2</f>
        <v>0</v>
      </c>
      <c r="X15" s="628">
        <f>SUMIFS(РД[Стоимость без отделки итог],РД[Дом],$W$4,РД[ИМ],$P15,РД[Дата подачи на регистрацию],"&gt;="&amp;$P$3,РД[Дата подачи на регистрацию],"&lt;"&amp;DATE(YEAR($B$3),MONTH($B$3)+1,1),РД[Состояние],"Продажа")-AL15/2</f>
        <v>0</v>
      </c>
      <c r="Y15" s="636">
        <f t="shared" ref="Y15:Z16" si="18">Q15+S15+U15+W15</f>
        <v>37.81</v>
      </c>
      <c r="Z15" s="573">
        <f t="shared" si="18"/>
        <v>5137000</v>
      </c>
      <c r="AA15" s="638">
        <f t="shared" si="14"/>
        <v>0.11938403538537427</v>
      </c>
      <c r="AB15" s="617">
        <f t="shared" si="14"/>
        <v>0.1281764719656277</v>
      </c>
      <c r="AC15" s="609"/>
      <c r="AD15" s="569" t="s">
        <v>26</v>
      </c>
      <c r="AE15" s="596">
        <f>SUMIFS(РД[S],РД[Дом],$AE$4,РД[ИМ],$AD15,РД[Источник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5" s="597">
        <f>SUMIFS(РД[Стоимость без отделки итог],РД[Дом],$AE$4,РД[ИМ],$AD15,РД[Источник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5" s="597">
        <f>SUMIFS(РД[S],РД[Дом],$AG$4,РД[ИМ],$AD15,РД[Источник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5" s="597">
        <f>SUMIFS(РД[Стоимость без отделки итог],РД[Дом],$AG$4,РД[ИМ],$AD15,РД[Источник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5" s="597">
        <f>SUMIFS(РД[S],РД[Дом],$AI$4,РД[ИМ],$AD15,РД[Источник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5" s="632">
        <f>SUMIFS(РД[Стоимость без отделки итог],РД[Дом],$AI$4,РД[ИМ],$AD15,РД[Источник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5" s="573">
        <f>SUMIFS(РД[S],РД[Дом],$AK$12,РД[ИМ],$AD15,РД[Источник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5" s="628">
        <f>SUMIFS(РД[Стоимость без отделки итог],РД[Дом],$AK$12,РД[ИМ],$AD15,РД[Источник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5" s="636">
        <f t="shared" ref="AM15:AM16" si="19">AE15+AG15+AI15+AK15</f>
        <v>0</v>
      </c>
      <c r="AN15" s="652">
        <f t="shared" ref="AN15:AN16" si="20">AF15+AH15+AJ15+AL15</f>
        <v>0</v>
      </c>
      <c r="AP15" s="651">
        <v>45992</v>
      </c>
      <c r="AQ15" s="667">
        <v>0</v>
      </c>
      <c r="AR15" s="668">
        <v>0</v>
      </c>
      <c r="AT15" s="651">
        <v>45992</v>
      </c>
      <c r="AU15" s="846">
        <f t="shared" si="0"/>
        <v>1533.9313134340218</v>
      </c>
      <c r="AV15" s="846">
        <f t="shared" si="1"/>
        <v>199644444.46113688</v>
      </c>
    </row>
    <row r="16" spans="2:48" ht="15.75">
      <c r="B16" s="627" t="s">
        <v>3</v>
      </c>
      <c r="C16" s="577">
        <v>0</v>
      </c>
      <c r="D16" s="588">
        <f t="shared" si="15"/>
        <v>0</v>
      </c>
      <c r="E16" s="589">
        <f>$D16*($E$11*$B$18)</f>
        <v>0</v>
      </c>
      <c r="F16" s="590">
        <f>$D16*($F$11*$B$18)</f>
        <v>0</v>
      </c>
      <c r="G16" s="590">
        <f>$D16*($G$11*$B$18)</f>
        <v>0</v>
      </c>
      <c r="H16" s="590">
        <f>$D16*($H$11*$B$18)</f>
        <v>0</v>
      </c>
      <c r="I16" s="573">
        <f>$D16*($I$11*$B$18)</f>
        <v>0</v>
      </c>
      <c r="J16" s="628">
        <f>$D16*($J$11*$B$18)</f>
        <v>0</v>
      </c>
      <c r="K16" s="573">
        <f t="shared" si="16"/>
        <v>0</v>
      </c>
      <c r="L16" s="628">
        <f t="shared" si="17"/>
        <v>0</v>
      </c>
      <c r="M16" s="596">
        <f t="shared" si="13"/>
        <v>0</v>
      </c>
      <c r="N16" s="626">
        <f t="shared" si="13"/>
        <v>0</v>
      </c>
      <c r="O16" s="609"/>
      <c r="P16" s="627" t="s">
        <v>3</v>
      </c>
      <c r="Q16" s="589">
        <f>SUMIFS(РД[S],РД[Дом],$Q$4,РД[ИМ],$P16,РД[Дата подачи на регистрацию],"&gt;="&amp;$P$3,РД[Дата подачи на регистрацию],"&lt;"&amp;DATE(YEAR($B$3),MONTH($B$3)+1,1),РД[Состояние],"Продажа")-AE16/2</f>
        <v>0</v>
      </c>
      <c r="R16" s="590">
        <f>SUMIFS(РД[Стоимость без отделки итог],РД[Дом],$Q$4,РД[ИМ],$P16,РД[Дата подачи на регистрацию],"&gt;="&amp;$P$3,РД[Дата подачи на регистрацию],"&lt;"&amp;DATE(YEAR($B$3),MONTH($B$3)+1,1),РД[Состояние],"Продажа")-AF16/2</f>
        <v>0</v>
      </c>
      <c r="S16" s="590">
        <f>SUMIFS(РД[S],РД[Дом],$S$4,РД[ИМ],$P16,РД[Дата подачи на регистрацию],"&gt;="&amp;$P$3,РД[Дата подачи на регистрацию],"&lt;"&amp;DATE(YEAR($B$3),MONTH($B$3)+1,1),РД[Состояние],"Продажа")-AG16/2</f>
        <v>0</v>
      </c>
      <c r="T16" s="590">
        <f>SUMIFS(РД[Стоимость без отделки итог],РД[Дом],$S$4,РД[ИМ],$P16,РД[Дата подачи на регистрацию],"&gt;="&amp;$P$3,РД[Дата подачи на регистрацию],"&lt;"&amp;DATE(YEAR($B$3),MONTH($B$3)+1,1),РД[Состояние],"Продажа")-AH16/2</f>
        <v>0</v>
      </c>
      <c r="U16" s="590">
        <f>SUMIFS(РД[S],РД[Дом],$U$4,РД[ИМ],$P16,РД[Дата подачи на регистрацию],"&gt;="&amp;$P$3,РД[Дата подачи на регистрацию],"&lt;"&amp;DATE(YEAR($B$3),MONTH($B$3)+1,1),РД[Состояние],"Продажа")-AI16/2</f>
        <v>0</v>
      </c>
      <c r="V16" s="635">
        <f>SUMIFS(РД[Стоимость без отделки итог],РД[Дом],$U$4,РД[ИМ],$P16,РД[Дата подачи на регистрацию],"&gt;="&amp;$P$3,РД[Дата подачи на регистрацию],"&lt;"&amp;DATE(YEAR($B$3),MONTH($B$3)+1,1),РД[Состояние],"Продажа")-AJ16/2</f>
        <v>0</v>
      </c>
      <c r="W16" s="573">
        <f>SUMIFS(РД[S],РД[Дом],$W$4,РД[ИМ],$P16,РД[Дата подачи на регистрацию],"&gt;="&amp;$P$3,РД[Дата подачи на регистрацию],"&lt;"&amp;DATE(YEAR($B$3),MONTH($B$3)+1,1),РД[Состояние],"Продажа")-AK16/2</f>
        <v>0</v>
      </c>
      <c r="X16" s="628">
        <f>SUMIFS(РД[Стоимость без отделки итог],РД[Дом],$W$4,РД[ИМ],$P16,РД[Дата подачи на регистрацию],"&gt;="&amp;$P$3,РД[Дата подачи на регистрацию],"&lt;"&amp;DATE(YEAR($B$3),MONTH($B$3)+1,1),РД[Состояние],"Продажа")-AL16/2</f>
        <v>0</v>
      </c>
      <c r="Y16" s="636">
        <f t="shared" si="18"/>
        <v>0</v>
      </c>
      <c r="Z16" s="573">
        <f t="shared" si="18"/>
        <v>0</v>
      </c>
      <c r="AA16" s="639" t="str">
        <f t="shared" si="14"/>
        <v/>
      </c>
      <c r="AB16" s="640" t="str">
        <f t="shared" si="14"/>
        <v/>
      </c>
      <c r="AC16" s="609"/>
      <c r="AD16" s="627" t="s">
        <v>3</v>
      </c>
      <c r="AE16" s="601">
        <f>SUMIFS(РД[S],РД[Дом],$AE$4,РД[ИМ],$AD16,РД[Источник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6" s="602">
        <f>SUMIFS(РД[Стоимость без отделки итог],РД[Дом],$AE$4,РД[ИМ],$AD16,РД[Источник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6" s="602">
        <f>SUMIFS(РД[S],РД[Дом],$AG$4,РД[ИМ],$AD16,РД[Источник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6" s="602">
        <f>SUMIFS(РД[Стоимость без отделки итог],РД[Дом],$AG$4,РД[ИМ],$AD16,РД[Источник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6" s="602">
        <f>SUMIFS(РД[S],РД[Дом],$AI$4,РД[ИМ],$AD16,РД[Источник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6" s="633">
        <f>SUMIFS(РД[Стоимость без отделки итог],РД[Дом],$AI$4,РД[ИМ],$AD16,РД[Источник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6" s="835">
        <f>SUMIFS(РД[S],РД[Дом],$AK$12,РД[ИМ],$AD16,РД[Источник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L16" s="839">
        <f>SUMIFS(РД[Стоимость без отделки итог],РД[Дом],$AK$12,РД[ИМ],$AD16,РД[Источник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M16" s="834">
        <f t="shared" si="19"/>
        <v>0</v>
      </c>
      <c r="AN16" s="840">
        <f t="shared" si="20"/>
        <v>0</v>
      </c>
      <c r="AP16" s="660" t="s">
        <v>1883</v>
      </c>
      <c r="AQ16" s="671">
        <f>SUM(AQ4:AQ15)</f>
        <v>399.30000000001661</v>
      </c>
      <c r="AR16" s="671">
        <f>SUM(AR4:AR15)</f>
        <v>50034240.000959724</v>
      </c>
      <c r="AT16" s="660" t="s">
        <v>1883</v>
      </c>
      <c r="AU16" s="671">
        <f t="shared" si="0"/>
        <v>22493.275130525824</v>
      </c>
      <c r="AV16" s="671">
        <f t="shared" si="1"/>
        <v>2871635999.5079269</v>
      </c>
    </row>
    <row r="17" spans="2:44">
      <c r="B17" s="581" t="s">
        <v>114</v>
      </c>
      <c r="C17" s="582">
        <f>SUM(C14:C16)</f>
        <v>233</v>
      </c>
      <c r="D17" s="583">
        <f t="shared" ref="D17:L17" si="21">SUM(D14:D16)</f>
        <v>1</v>
      </c>
      <c r="E17" s="582">
        <f t="shared" si="21"/>
        <v>0</v>
      </c>
      <c r="F17" s="584">
        <f t="shared" si="21"/>
        <v>0</v>
      </c>
      <c r="G17" s="582">
        <f t="shared" si="21"/>
        <v>511.55000000000007</v>
      </c>
      <c r="H17" s="584">
        <f t="shared" si="21"/>
        <v>65771481.100000001</v>
      </c>
      <c r="I17" s="582">
        <f t="shared" si="21"/>
        <v>87.100000000000009</v>
      </c>
      <c r="J17" s="584">
        <f t="shared" si="21"/>
        <v>10906309.050000001</v>
      </c>
      <c r="K17" s="582">
        <f t="shared" si="21"/>
        <v>203.45000000000002</v>
      </c>
      <c r="L17" s="584">
        <f t="shared" si="21"/>
        <v>24822981.949999999</v>
      </c>
      <c r="M17" s="612">
        <f t="shared" si="13"/>
        <v>802.10000000000014</v>
      </c>
      <c r="N17" s="630">
        <f t="shared" si="13"/>
        <v>101500772.10000001</v>
      </c>
      <c r="O17" s="631"/>
      <c r="P17" s="581" t="s">
        <v>114</v>
      </c>
      <c r="Q17" s="582">
        <f>SUM(Q14:Q16)</f>
        <v>0</v>
      </c>
      <c r="R17" s="584">
        <f t="shared" ref="R17:Z17" si="22">SUM(R14:R16)</f>
        <v>0</v>
      </c>
      <c r="S17" s="584">
        <f t="shared" si="22"/>
        <v>94.39</v>
      </c>
      <c r="T17" s="584">
        <f t="shared" si="22"/>
        <v>12488048</v>
      </c>
      <c r="U17" s="584">
        <f t="shared" si="22"/>
        <v>0</v>
      </c>
      <c r="V17" s="629">
        <f t="shared" si="22"/>
        <v>0</v>
      </c>
      <c r="W17" s="584">
        <f t="shared" si="22"/>
        <v>0</v>
      </c>
      <c r="X17" s="629">
        <f t="shared" si="22"/>
        <v>0</v>
      </c>
      <c r="Y17" s="612">
        <f t="shared" si="22"/>
        <v>94.39</v>
      </c>
      <c r="Z17" s="584">
        <f t="shared" si="22"/>
        <v>12488048</v>
      </c>
      <c r="AA17" s="641">
        <f t="shared" si="14"/>
        <v>0.11767859369155964</v>
      </c>
      <c r="AB17" s="583">
        <f t="shared" si="14"/>
        <v>0.12303401975796398</v>
      </c>
      <c r="AC17" s="631"/>
      <c r="AD17" s="620" t="s">
        <v>114</v>
      </c>
      <c r="AE17" s="603">
        <f t="shared" ref="AE17:AN17" si="23">SUM(AE14:AE16)</f>
        <v>0</v>
      </c>
      <c r="AF17" s="605">
        <f t="shared" si="23"/>
        <v>0</v>
      </c>
      <c r="AG17" s="605">
        <f t="shared" si="23"/>
        <v>0</v>
      </c>
      <c r="AH17" s="605">
        <f t="shared" si="23"/>
        <v>0</v>
      </c>
      <c r="AI17" s="605">
        <f t="shared" si="23"/>
        <v>0</v>
      </c>
      <c r="AJ17" s="634">
        <f t="shared" si="23"/>
        <v>0</v>
      </c>
      <c r="AK17" s="605">
        <f t="shared" si="23"/>
        <v>0</v>
      </c>
      <c r="AL17" s="634">
        <f t="shared" si="23"/>
        <v>0</v>
      </c>
      <c r="AM17" s="648">
        <f t="shared" si="23"/>
        <v>0</v>
      </c>
      <c r="AN17" s="659">
        <f t="shared" si="23"/>
        <v>0</v>
      </c>
    </row>
    <row r="18" spans="2:44">
      <c r="B18" s="831">
        <v>0.65</v>
      </c>
      <c r="AP18" s="2346" t="s">
        <v>13</v>
      </c>
      <c r="AQ18" s="2346"/>
      <c r="AR18" s="2346"/>
    </row>
    <row r="19" spans="2:44" ht="15.75">
      <c r="AP19" s="650" t="s">
        <v>1871</v>
      </c>
      <c r="AQ19" s="663" t="s">
        <v>1872</v>
      </c>
      <c r="AR19" s="664" t="s">
        <v>1873</v>
      </c>
    </row>
    <row r="20" spans="2:44">
      <c r="B20" s="2329">
        <v>45689</v>
      </c>
      <c r="C20" s="2330"/>
      <c r="D20" s="2330"/>
      <c r="E20" s="2330"/>
      <c r="F20" s="2330"/>
      <c r="G20" s="2330"/>
      <c r="H20" s="2330"/>
      <c r="I20" s="2330"/>
      <c r="J20" s="2330"/>
      <c r="K20" s="2330"/>
      <c r="L20" s="2330"/>
      <c r="M20" s="2330"/>
      <c r="N20" s="2331"/>
      <c r="O20" s="621"/>
      <c r="P20" s="2361">
        <f>B20</f>
        <v>45689</v>
      </c>
      <c r="Q20" s="2362"/>
      <c r="R20" s="2362"/>
      <c r="S20" s="2362"/>
      <c r="T20" s="2362"/>
      <c r="U20" s="2362"/>
      <c r="V20" s="2362"/>
      <c r="W20" s="2362"/>
      <c r="X20" s="2362"/>
      <c r="Y20" s="2362"/>
      <c r="Z20" s="2362"/>
      <c r="AA20" s="2362"/>
      <c r="AB20" s="2363"/>
      <c r="AC20" s="621"/>
      <c r="AD20" s="2329">
        <f>B20</f>
        <v>45689</v>
      </c>
      <c r="AE20" s="2330"/>
      <c r="AF20" s="2330"/>
      <c r="AG20" s="2330"/>
      <c r="AH20" s="2330"/>
      <c r="AI20" s="2330"/>
      <c r="AJ20" s="2330"/>
      <c r="AK20" s="2330"/>
      <c r="AL20" s="2330"/>
      <c r="AM20" s="2330"/>
      <c r="AN20" s="2331"/>
      <c r="AP20" s="651">
        <v>45658</v>
      </c>
      <c r="AQ20" s="667">
        <v>786.39225772005796</v>
      </c>
      <c r="AR20" s="668">
        <v>101186893.363034</v>
      </c>
    </row>
    <row r="21" spans="2:44" ht="15.75" customHeight="1">
      <c r="B21" s="2335" t="s">
        <v>1874</v>
      </c>
      <c r="C21" s="2343"/>
      <c r="D21" s="2336"/>
      <c r="E21" s="2343" t="s">
        <v>7</v>
      </c>
      <c r="F21" s="2360"/>
      <c r="G21" s="2352" t="s">
        <v>13</v>
      </c>
      <c r="H21" s="2360"/>
      <c r="I21" s="2352" t="s">
        <v>1875</v>
      </c>
      <c r="J21" s="2343"/>
      <c r="K21" s="2352" t="s">
        <v>1876</v>
      </c>
      <c r="L21" s="2343"/>
      <c r="M21" s="2335" t="s">
        <v>114</v>
      </c>
      <c r="N21" s="2336"/>
      <c r="O21" s="622"/>
      <c r="P21" s="2353" t="s">
        <v>1</v>
      </c>
      <c r="Q21" s="2360" t="s">
        <v>7</v>
      </c>
      <c r="R21" s="2333"/>
      <c r="S21" s="2333" t="s">
        <v>13</v>
      </c>
      <c r="T21" s="2333"/>
      <c r="U21" s="2333" t="s">
        <v>1875</v>
      </c>
      <c r="V21" s="2352"/>
      <c r="W21" s="2333" t="s">
        <v>1876</v>
      </c>
      <c r="X21" s="2352"/>
      <c r="Y21" s="2332" t="s">
        <v>114</v>
      </c>
      <c r="Z21" s="2333"/>
      <c r="AA21" s="2333" t="s">
        <v>1877</v>
      </c>
      <c r="AB21" s="2334"/>
      <c r="AC21" s="622"/>
      <c r="AD21" s="2350" t="s">
        <v>1</v>
      </c>
      <c r="AE21" s="2332" t="s">
        <v>7</v>
      </c>
      <c r="AF21" s="2333"/>
      <c r="AG21" s="2333" t="s">
        <v>13</v>
      </c>
      <c r="AH21" s="2333"/>
      <c r="AI21" s="2333" t="s">
        <v>1875</v>
      </c>
      <c r="AJ21" s="2333"/>
      <c r="AK21" s="2343" t="s">
        <v>1876</v>
      </c>
      <c r="AL21" s="2336"/>
      <c r="AM21" s="2335" t="s">
        <v>114</v>
      </c>
      <c r="AN21" s="2336"/>
      <c r="AP21" s="651">
        <v>45689</v>
      </c>
      <c r="AQ21" s="667">
        <v>1075.4326101010099</v>
      </c>
      <c r="AR21" s="668">
        <v>138593052.08312199</v>
      </c>
    </row>
    <row r="22" spans="2:44" ht="15.75">
      <c r="B22" s="559" t="s">
        <v>1878</v>
      </c>
      <c r="C22" s="591" t="s">
        <v>1879</v>
      </c>
      <c r="D22" s="592" t="s">
        <v>1880</v>
      </c>
      <c r="E22" s="562" t="s">
        <v>1872</v>
      </c>
      <c r="F22" s="563" t="s">
        <v>1881</v>
      </c>
      <c r="G22" s="562" t="s">
        <v>1872</v>
      </c>
      <c r="H22" s="563" t="s">
        <v>1881</v>
      </c>
      <c r="I22" s="562" t="s">
        <v>1872</v>
      </c>
      <c r="J22" s="623" t="s">
        <v>1881</v>
      </c>
      <c r="K22" s="563" t="s">
        <v>1872</v>
      </c>
      <c r="L22" s="624" t="s">
        <v>1881</v>
      </c>
      <c r="M22" s="610" t="s">
        <v>1872</v>
      </c>
      <c r="N22" s="624" t="s">
        <v>1881</v>
      </c>
      <c r="O22" s="622"/>
      <c r="P22" s="2354"/>
      <c r="Q22" s="562" t="s">
        <v>1872</v>
      </c>
      <c r="R22" s="563" t="s">
        <v>1881</v>
      </c>
      <c r="S22" s="562" t="s">
        <v>1872</v>
      </c>
      <c r="T22" s="563" t="s">
        <v>1881</v>
      </c>
      <c r="U22" s="562" t="s">
        <v>1872</v>
      </c>
      <c r="V22" s="563" t="s">
        <v>1881</v>
      </c>
      <c r="W22" s="562" t="s">
        <v>1872</v>
      </c>
      <c r="X22" s="563" t="s">
        <v>1881</v>
      </c>
      <c r="Y22" s="610" t="s">
        <v>1872</v>
      </c>
      <c r="Z22" s="563" t="s">
        <v>1881</v>
      </c>
      <c r="AA22" s="563" t="s">
        <v>1872</v>
      </c>
      <c r="AB22" s="624" t="s">
        <v>1881</v>
      </c>
      <c r="AC22" s="622"/>
      <c r="AD22" s="2358"/>
      <c r="AE22" s="833" t="s">
        <v>1872</v>
      </c>
      <c r="AF22" s="825" t="s">
        <v>1881</v>
      </c>
      <c r="AG22" s="825" t="s">
        <v>1872</v>
      </c>
      <c r="AH22" s="825" t="s">
        <v>1881</v>
      </c>
      <c r="AI22" s="825" t="s">
        <v>1872</v>
      </c>
      <c r="AJ22" s="825" t="s">
        <v>1881</v>
      </c>
      <c r="AK22" s="838" t="s">
        <v>1872</v>
      </c>
      <c r="AL22" s="826" t="s">
        <v>1881</v>
      </c>
      <c r="AM22" s="610" t="s">
        <v>1872</v>
      </c>
      <c r="AN22" s="624" t="s">
        <v>1881</v>
      </c>
      <c r="AP22" s="651">
        <v>45717</v>
      </c>
      <c r="AQ22" s="667">
        <v>1381.73087417027</v>
      </c>
      <c r="AR22" s="668">
        <v>176300906.82381701</v>
      </c>
    </row>
    <row r="23" spans="2:44" ht="15.75">
      <c r="B23" s="564" t="s">
        <v>28</v>
      </c>
      <c r="C23" s="830">
        <v>92</v>
      </c>
      <c r="D23" s="566">
        <f>C23/$C$28</f>
        <v>0.13960546282245828</v>
      </c>
      <c r="E23" s="596">
        <f>ROUND($D23*VLOOKUP($B$20,'ИПП 1кв25'!$AP$4:$AR$16,2,0),0)</f>
        <v>10</v>
      </c>
      <c r="F23" s="597">
        <f>ROUND($D23*VLOOKUP($B$20,'ИПП 1кв25'!$AP$4:$AR$16,3,0),0)</f>
        <v>1122361</v>
      </c>
      <c r="G23" s="597">
        <f>ROUND($D23*VLOOKUP($B$20,'ИПП 1кв25'!$AP$20:$AR$32,2,0),0)</f>
        <v>150</v>
      </c>
      <c r="H23" s="597">
        <f>ROUND($D23*VLOOKUP($B$20,'ИПП 1кв25'!$AP$20:$AR$32,3,0),0)</f>
        <v>19348347</v>
      </c>
      <c r="I23" s="597">
        <f>ROUND($D23*VLOOKUP($B$20,'ИПП 1кв25'!$AP$36:$AR$48,2,0),0)</f>
        <v>19</v>
      </c>
      <c r="J23" s="632">
        <f>ROUND($D23*VLOOKUP($B$20,'ИПП 1кв25'!$AP$36:$AR$48,3,0),0)</f>
        <v>2342431</v>
      </c>
      <c r="K23" s="568">
        <f>ROUND($D23*VLOOKUP($B$20,'ИПП 1кв25'!$AP$53:$AR$65,2,0),0)</f>
        <v>27</v>
      </c>
      <c r="L23" s="625">
        <f>ROUND($D23*VLOOKUP($B$20,'ИПП 1кв25'!$AP$53:$AR$65,3,0),0)</f>
        <v>3291685</v>
      </c>
      <c r="M23" s="596">
        <f t="shared" ref="M23:M24" si="24">E23+G23+I23+K23</f>
        <v>206</v>
      </c>
      <c r="N23" s="626">
        <f t="shared" ref="N23:N24" si="25">F23+H23+J23+L23</f>
        <v>26104824</v>
      </c>
      <c r="O23" s="622"/>
      <c r="P23" s="564" t="s">
        <v>28</v>
      </c>
      <c r="Q23" s="606">
        <f>SUMIFS(РД[S],РД[Дом],$Q$21,РД[МОП],$P23,РД[Дата подачи на регистрацию],"&gt;="&amp;$P$20,РД[Дата подачи на регистрацию],"&lt;"&amp;DATE(YEAR($B$20),MONTH($B$20)+1,1),РД[Состояние],"Продажа")-AE23/2</f>
        <v>0</v>
      </c>
      <c r="R23" s="597">
        <f>SUMIFS(РД[Стоимость без отделки итог],РД[Дом],$Q$21,РД[МОП],$P23,РД[Дата подачи на регистрацию],"&gt;="&amp;$P$20,РД[Дата подачи на регистрацию],"&lt;"&amp;DATE(YEAR($B$20),MONTH($B$20)+1,1),РД[Состояние],"Продажа")-AF23/2</f>
        <v>0</v>
      </c>
      <c r="S23" s="597">
        <f>SUMIFS(РД[S],РД[Дом],$S$21,РД[МОП],$P23,РД[Дата подачи на регистрацию],"&gt;="&amp;$P$20,РД[Дата подачи на регистрацию],"&lt;"&amp;DATE(YEAR($B$20),MONTH($B$20)+1,1),РД[Состояние],"Продажа")-AG23/2</f>
        <v>58.24</v>
      </c>
      <c r="T23" s="597">
        <f>SUMIFS(РД[Стоимость без отделки итог],РД[Дом],$S$21,РД[МОП],$P23,РД[Дата подачи на регистрацию],"&gt;="&amp;$P$20,РД[Дата подачи на регистрацию],"&lt;"&amp;DATE(YEAR($B$20),MONTH($B$20)+1,1),РД[Состояние],"Продажа")-AH23/2</f>
        <v>7129300</v>
      </c>
      <c r="U23" s="597">
        <f>SUMIFS(РД[S],РД[Дом],$U$21,РД[МОП],$P23,РД[Дата подачи на регистрацию],"&gt;="&amp;$P$20,РД[Дата подачи на регистрацию],"&lt;"&amp;DATE(YEAR($B$20),MONTH($B$20)+1,1),РД[Состояние],"Продажа")-AI23/2</f>
        <v>0</v>
      </c>
      <c r="V23" s="632">
        <f>SUMIFS(РД[Стоимость без отделки итог],РД[Дом],$U$21,РД[МОП],$P23,РД[Дата подачи на регистрацию],"&gt;="&amp;$P$20,РД[Дата подачи на регистрацию],"&lt;"&amp;DATE(YEAR($B$20),MONTH($B$20)+1,1),РД[Состояние],"Продажа")-AJ23/2</f>
        <v>0</v>
      </c>
      <c r="W23" s="573">
        <f>SUMIFS(РД[S],РД[Дом],$W$21,РД[МОП],$P23,РД[Дата подачи на регистрацию],"&gt;="&amp;$P$20,РД[Дата подачи на регистрацию],"&lt;"&amp;DATE(YEAR($B$20),MONTH($B$20)+1,1),РД[Состояние],"Продажа")-AK23/2</f>
        <v>51.05</v>
      </c>
      <c r="X23" s="628">
        <f>SUMIFS(РД[Стоимость без отделки итог],РД[Дом],$W$21,РД[МОП],$P23,РД[Дата подачи на регистрацию],"&gt;="&amp;$P$20,РД[Дата подачи на регистрацию],"&lt;"&amp;DATE(YEAR($B$20),MONTH($B$20)+1,1),РД[Состояние],"Продажа")-AL23/2</f>
        <v>6620306</v>
      </c>
      <c r="Y23" s="636">
        <f t="shared" ref="Y23:Y25" si="26">Q23+S23+U23+W23</f>
        <v>109.28999999999999</v>
      </c>
      <c r="Z23" s="573">
        <f t="shared" ref="Z23:Z25" si="27">R23+T23+V23+X23</f>
        <v>13749606</v>
      </c>
      <c r="AA23" s="645">
        <f t="shared" ref="AA23" si="28">IFERROR(Y23/M23,"")</f>
        <v>0.53053398058252421</v>
      </c>
      <c r="AB23" s="588">
        <f t="shared" ref="AB23" si="29">IFERROR(Z23/N23,"")</f>
        <v>0.52670747751450075</v>
      </c>
      <c r="AC23" s="622"/>
      <c r="AD23" s="564" t="s">
        <v>28</v>
      </c>
      <c r="AE23" s="594">
        <f>SUMIFS(РД[S],РД[Дом],$AE$21,РД[МОП],$AD23,РД[Источник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23" s="568">
        <f>SUMIFS(РД[Стоимость без отделки итог],РД[Дом],$AE$21,РД[МОП],$AD23,РД[Источник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23" s="568">
        <f>SUMIFS(РД[S],РД[Дом],$AG$21,РД[МОП],$AD23,РД[Источник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H23" s="568">
        <f>SUMIFS(РД[Стоимость без отделки итог],РД[Дом],$AG$21,РД[МОП],$AD23,РД[Источник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I23" s="568">
        <f>SUMIFS(РД[S],РД[Дом],$AI$21,РД[МОП],$AD23,РД[Источник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23" s="568">
        <f>SUMIFS(РД[Стоимость без отделки итог],РД[Дом],$AI$21,РД[МОП],$AD23,РД[Источник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23" s="568">
        <f>SUMIFS(РД[S],РД[Дом],$AK$21,РД[МОП],$AD23,РД[Источник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29.4</v>
      </c>
      <c r="AL23" s="808">
        <f>SUMIFS(РД[Стоимость без отделки итог],РД[Дом],$AK$21,РД[МОП],$AD23,РД[Источник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4060532</v>
      </c>
      <c r="AM23" s="572">
        <f>AE23+AG23+AI23+AK23</f>
        <v>29.4</v>
      </c>
      <c r="AN23" s="652">
        <f>AF23+AH23+AJ23+AL23</f>
        <v>4060532</v>
      </c>
      <c r="AP23" s="651">
        <v>45748</v>
      </c>
      <c r="AQ23" s="667">
        <v>1634.6030709956699</v>
      </c>
      <c r="AR23" s="668">
        <v>209944415.214986</v>
      </c>
    </row>
    <row r="24" spans="2:44" ht="15.75">
      <c r="B24" s="569" t="s">
        <v>8</v>
      </c>
      <c r="C24" s="570">
        <v>72</v>
      </c>
      <c r="D24" s="575">
        <f t="shared" ref="D24:D27" si="30">C24/$C$28</f>
        <v>0.10925644916540213</v>
      </c>
      <c r="E24" s="596">
        <f>ROUND($D24*VLOOKUP($B$20,'ИПП 1кв25'!$AP$4:$AR$16,2,0),0)</f>
        <v>8</v>
      </c>
      <c r="F24" s="597">
        <f>ROUND($D24*VLOOKUP($B$20,'ИПП 1кв25'!$AP$4:$AR$16,3,0),0)</f>
        <v>878369</v>
      </c>
      <c r="G24" s="597">
        <f>ROUND($D24*VLOOKUP($B$20,'ИПП 1кв25'!$AP$20:$AR$32,2,0),0)</f>
        <v>117</v>
      </c>
      <c r="H24" s="597">
        <f>ROUND($D24*VLOOKUP($B$20,'ИПП 1кв25'!$AP$20:$AR$32,3,0),0)</f>
        <v>15142185</v>
      </c>
      <c r="I24" s="597">
        <f>ROUND($D24*VLOOKUP($B$20,'ИПП 1кв25'!$AP$36:$AR$48,2,0),0)</f>
        <v>15</v>
      </c>
      <c r="J24" s="632">
        <f>ROUND($D24*VLOOKUP($B$20,'ИПП 1кв25'!$AP$36:$AR$48,3,0),0)</f>
        <v>1833207</v>
      </c>
      <c r="K24" s="597">
        <f>ROUND($D24*VLOOKUP($B$20,'ИПП 1кв25'!$AP$53:$AR$65,2,0),0)</f>
        <v>21</v>
      </c>
      <c r="L24" s="632">
        <f>ROUND($D24*VLOOKUP($B$20,'ИПП 1кв25'!$AP$53:$AR$65,3,0),0)</f>
        <v>2576102</v>
      </c>
      <c r="M24" s="596">
        <f t="shared" si="24"/>
        <v>161</v>
      </c>
      <c r="N24" s="626">
        <f t="shared" si="25"/>
        <v>20429863</v>
      </c>
      <c r="O24" s="609"/>
      <c r="P24" s="569" t="s">
        <v>8</v>
      </c>
      <c r="Q24" s="606">
        <f>SUMIFS(РД[S],РД[Дом],$Q$21,РД[МОП],$P24,РД[Дата подачи на регистрацию],"&gt;="&amp;$P$20,РД[Дата подачи на регистрацию],"&lt;"&amp;DATE(YEAR($B$20),MONTH($B$20)+1,1),РД[Состояние],"Продажа")-AE24/2</f>
        <v>0</v>
      </c>
      <c r="R24" s="597">
        <f>SUMIFS(РД[Стоимость без отделки итог],РД[Дом],$Q$21,РД[МОП],$P24,РД[Дата подачи на регистрацию],"&gt;="&amp;$P$20,РД[Дата подачи на регистрацию],"&lt;"&amp;DATE(YEAR($B$20),MONTH($B$20)+1,1),РД[Состояние],"Продажа")-AF24/2</f>
        <v>0</v>
      </c>
      <c r="S24" s="597">
        <f>SUMIFS(РД[S],РД[Дом],$S$21,РД[МОП],$P24,РД[Дата подачи на регистрацию],"&gt;="&amp;$P$20,РД[Дата подачи на регистрацию],"&lt;"&amp;DATE(YEAR($B$20),MONTH($B$20)+1,1),РД[Состояние],"Продажа")-AG24/2</f>
        <v>146.19999999999999</v>
      </c>
      <c r="T24" s="597">
        <f>SUMIFS(РД[Стоимость без отделки итог],РД[Дом],$S$21,РД[МОП],$P24,РД[Дата подачи на регистрацию],"&gt;="&amp;$P$20,РД[Дата подачи на регистрацию],"&lt;"&amp;DATE(YEAR($B$20),MONTH($B$20)+1,1),РД[Состояние],"Продажа")-AH24/2</f>
        <v>18258338</v>
      </c>
      <c r="U24" s="597">
        <f>SUMIFS(РД[S],РД[Дом],$U$21,РД[МОП],$P24,РД[Дата подачи на регистрацию],"&gt;="&amp;$P$20,РД[Дата подачи на регистрацию],"&lt;"&amp;DATE(YEAR($B$20),MONTH($B$20)+1,1),РД[Состояние],"Продажа")-AI24/2</f>
        <v>61.41</v>
      </c>
      <c r="V24" s="632">
        <f>SUMIFS(РД[Стоимость без отделки итог],РД[Дом],$U$21,РД[МОП],$P24,РД[Дата подачи на регистрацию],"&gt;="&amp;$P$20,РД[Дата подачи на регистрацию],"&lt;"&amp;DATE(YEAR($B$20),MONTH($B$20)+1,1),РД[Состояние],"Продажа")-AJ24/2</f>
        <v>7983300</v>
      </c>
      <c r="W24" s="573">
        <f>SUMIFS(РД[S],РД[Дом],$W$21,РД[МОП],$P24,РД[Дата подачи на регистрацию],"&gt;="&amp;$P$20,РД[Дата подачи на регистрацию],"&lt;"&amp;DATE(YEAR($B$20),MONTH($B$20)+1,1),РД[Состояние],"Продажа")-AK24/2</f>
        <v>199.98500000000001</v>
      </c>
      <c r="X24" s="628">
        <f>SUMIFS(РД[Стоимость без отделки итог],РД[Дом],$W$21,РД[МОП],$P24,РД[Дата подачи на регистрацию],"&gt;="&amp;$P$20,РД[Дата подачи на регистрацию],"&lt;"&amp;DATE(YEAR($B$20),MONTH($B$20)+1,1),РД[Состояние],"Продажа")-AL24/2</f>
        <v>23853102</v>
      </c>
      <c r="Y24" s="636">
        <f t="shared" si="26"/>
        <v>407.59500000000003</v>
      </c>
      <c r="Z24" s="573">
        <f t="shared" si="27"/>
        <v>50094740</v>
      </c>
      <c r="AA24" s="645">
        <f t="shared" ref="AA24:AB28" si="31">IFERROR(Y24/M24,"")</f>
        <v>2.5316459627329193</v>
      </c>
      <c r="AB24" s="588">
        <f t="shared" si="31"/>
        <v>2.4520350430152176</v>
      </c>
      <c r="AC24" s="609"/>
      <c r="AD24" s="569" t="s">
        <v>8</v>
      </c>
      <c r="AE24" s="636">
        <f>SUMIFS(РД[S],РД[Дом],$AE$21,РД[МОП],$AD24,РД[Источник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24" s="573">
        <f>SUMIFS(РД[Стоимость без отделки итог],РД[Дом],$AE$21,РД[МОП],$AD24,РД[Источник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24" s="573">
        <f>SUMIFS(РД[S],РД[Дом],$AG$21,РД[МОП],$AD24,РД[Источник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H24" s="573">
        <f>SUMIFS(РД[Стоимость без отделки итог],РД[Дом],$AG$21,РД[МОП],$AD24,РД[Источник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I24" s="573">
        <f>SUMIFS(РД[S],РД[Дом],$AI$21,РД[МОП],$AD24,РД[Источник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24" s="597">
        <f>SUMIFS(РД[Стоимость без отделки итог],РД[Дом],$AI$21,РД[МОП],$AD24,РД[Источник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24" s="597">
        <f>SUMIFS(РД[S],РД[Дом],$AK$21,РД[МОП],$AD24,РД[Источник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80.89</v>
      </c>
      <c r="AL24" s="626">
        <f>SUMIFS(РД[Стоимость без отделки итог],РД[Дом],$AK$21,РД[МОП],$AD24,РД[Источник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10358300</v>
      </c>
      <c r="AM24" s="572">
        <f t="shared" ref="AM24:AM28" si="32">AE24+AG24+AI24+AK24</f>
        <v>80.89</v>
      </c>
      <c r="AN24" s="652">
        <f t="shared" ref="AN24:AN28" si="33">AF24+AH24+AJ24+AL24</f>
        <v>10358300</v>
      </c>
      <c r="AP24" s="651">
        <v>45778</v>
      </c>
      <c r="AQ24" s="667">
        <v>1650.7188011543999</v>
      </c>
      <c r="AR24" s="597">
        <v>215436205.103273</v>
      </c>
    </row>
    <row r="25" spans="2:44" ht="15.75">
      <c r="B25" s="569" t="s">
        <v>20</v>
      </c>
      <c r="C25" s="574">
        <v>165</v>
      </c>
      <c r="D25" s="575">
        <f t="shared" si="30"/>
        <v>0.2503793626707132</v>
      </c>
      <c r="E25" s="596">
        <f>ROUND($D25*VLOOKUP($B$20,'ИПП 1кв25'!$AP$4:$AR$16,2,0),0)</f>
        <v>19</v>
      </c>
      <c r="F25" s="597">
        <f>ROUND($D25*VLOOKUP($B$20,'ИПП 1кв25'!$AP$4:$AR$16,3,0),0)</f>
        <v>2012930</v>
      </c>
      <c r="G25" s="597">
        <f>ROUND($D25*VLOOKUP($B$20,'ИПП 1кв25'!$AP$20:$AR$32,2,0),0)</f>
        <v>269</v>
      </c>
      <c r="H25" s="597">
        <f>ROUND($D25*VLOOKUP($B$20,'ИПП 1кв25'!$AP$20:$AR$32,3,0),0)</f>
        <v>34700840</v>
      </c>
      <c r="I25" s="597">
        <f>ROUND($D25*VLOOKUP($B$20,'ИПП 1кв25'!$AP$36:$AR$48,2,0),0)</f>
        <v>33</v>
      </c>
      <c r="J25" s="632">
        <f>ROUND($D25*VLOOKUP($B$20,'ИПП 1кв25'!$AP$36:$AR$48,3,0),0)</f>
        <v>4201100</v>
      </c>
      <c r="K25" s="597">
        <f>ROUND($D25*VLOOKUP($B$20,'ИПП 1кв25'!$AP$53:$AR$65,2,0),0)</f>
        <v>49</v>
      </c>
      <c r="L25" s="632">
        <f>ROUND($D25*VLOOKUP($B$20,'ИПП 1кв25'!$AP$53:$AR$65,3,0),0)</f>
        <v>5903566</v>
      </c>
      <c r="M25" s="596">
        <f t="shared" ref="M25:N28" si="34">E25+G25+I25+K25</f>
        <v>370</v>
      </c>
      <c r="N25" s="626">
        <f t="shared" si="34"/>
        <v>46818436</v>
      </c>
      <c r="O25" s="609"/>
      <c r="P25" s="569" t="s">
        <v>20</v>
      </c>
      <c r="Q25" s="606">
        <f>SUMIFS(РД[S],РД[Дом],$Q$21,РД[МОП],$P25,РД[Дата подачи на регистрацию],"&gt;="&amp;$P$20,РД[Дата подачи на регистрацию],"&lt;"&amp;DATE(YEAR($B$20),MONTH($B$20)+1,1),РД[Состояние],"Продажа")-AE25/2</f>
        <v>0</v>
      </c>
      <c r="R25" s="597">
        <f>SUMIFS(РД[Стоимость без отделки итог],РД[Дом],$Q$21,РД[МОП],$P25,РД[Дата подачи на регистрацию],"&gt;="&amp;$P$20,РД[Дата подачи на регистрацию],"&lt;"&amp;DATE(YEAR($B$20),MONTH($B$20)+1,1),РД[Состояние],"Продажа")-AF25/2</f>
        <v>0</v>
      </c>
      <c r="S25" s="597">
        <f>SUMIFS(РД[S],РД[Дом],$S$21,РД[МОП],$P25,РД[Дата подачи на регистрацию],"&gt;="&amp;$P$20,РД[Дата подачи на регистрацию],"&lt;"&amp;DATE(YEAR($B$20),MONTH($B$20)+1,1),РД[Состояние],"Продажа")-AG25/2</f>
        <v>0</v>
      </c>
      <c r="T25" s="597">
        <f>SUMIFS(РД[Стоимость без отделки итог],РД[Дом],$S$21,РД[МОП],$P25,РД[Дата подачи на регистрацию],"&gt;="&amp;$P$20,РД[Дата подачи на регистрацию],"&lt;"&amp;DATE(YEAR($B$20),MONTH($B$20)+1,1),РД[Состояние],"Продажа")-AH25/2</f>
        <v>0</v>
      </c>
      <c r="U25" s="597">
        <f>SUMIFS(РД[S],РД[Дом],$U$21,РД[МОП],$P25,РД[Дата подачи на регистрацию],"&gt;="&amp;$P$20,РД[Дата подачи на регистрацию],"&lt;"&amp;DATE(YEAR($B$20),MONTH($B$20)+1,1),РД[Состояние],"Продажа")-AI25/2</f>
        <v>35.53</v>
      </c>
      <c r="V25" s="632">
        <f>SUMIFS(РД[Стоимость без отделки итог],РД[Дом],$U$21,РД[МОП],$P25,РД[Дата подачи на регистрацию],"&gt;="&amp;$P$20,РД[Дата подачи на регистрацию],"&lt;"&amp;DATE(YEAR($B$20),MONTH($B$20)+1,1),РД[Состояние],"Продажа")-AJ25/2</f>
        <v>4798178</v>
      </c>
      <c r="W25" s="573">
        <f>SUMIFS(РД[S],РД[Дом],$W$21,РД[МОП],$P25,РД[Дата подачи на регистрацию],"&gt;="&amp;$P$20,РД[Дата подачи на регистрацию],"&lt;"&amp;DATE(YEAR($B$20),MONTH($B$20)+1,1),РД[Состояние],"Продажа")-AK25/2</f>
        <v>145.59000000000003</v>
      </c>
      <c r="X25" s="628">
        <f>SUMIFS(РД[Стоимость без отделки итог],РД[Дом],$W$21,РД[МОП],$P25,РД[Дата подачи на регистрацию],"&gt;="&amp;$P$20,РД[Дата подачи на регистрацию],"&lt;"&amp;DATE(YEAR($B$20),MONTH($B$20)+1,1),РД[Состояние],"Продажа")-AL25/2</f>
        <v>17376440.5</v>
      </c>
      <c r="Y25" s="636">
        <f t="shared" si="26"/>
        <v>181.12000000000003</v>
      </c>
      <c r="Z25" s="573">
        <f t="shared" si="27"/>
        <v>22174618.5</v>
      </c>
      <c r="AA25" s="638">
        <f t="shared" si="31"/>
        <v>0.48951351351351358</v>
      </c>
      <c r="AB25" s="617">
        <f t="shared" si="31"/>
        <v>0.47363005675798314</v>
      </c>
      <c r="AC25" s="609"/>
      <c r="AD25" s="569" t="s">
        <v>20</v>
      </c>
      <c r="AE25" s="636">
        <f>SUMIFS(РД[S],РД[Дом],$AE$21,РД[МОП],$AD25,РД[Источник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25" s="573">
        <f>SUMIFS(РД[Стоимость без отделки итог],РД[Дом],$AE$21,РД[МОП],$AD25,РД[Источник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25" s="573">
        <f>SUMIFS(РД[S],РД[Дом],$AG$21,РД[МОП],$AD25,РД[Источник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H25" s="573">
        <f>SUMIFS(РД[Стоимость без отделки итог],РД[Дом],$AG$21,РД[МОП],$AD25,РД[Источник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I25" s="573">
        <f>SUMIFS(РД[S],РД[Дом],$AI$21,РД[МОП],$AD25,РД[Источник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25" s="597">
        <f>SUMIFS(РД[Стоимость без отделки итог],РД[Дом],$AI$21,РД[МОП],$AD25,РД[Источник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25" s="597">
        <f>SUMIFS(РД[S],РД[Дом],$AK$21,РД[МОП],$AD25,РД[Источник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109.9</v>
      </c>
      <c r="AL25" s="626">
        <f>SUMIFS(РД[Стоимость без отделки итог],РД[Дом],$AK$21,РД[МОП],$AD25,РД[Источник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13030313</v>
      </c>
      <c r="AM25" s="572">
        <f t="shared" si="32"/>
        <v>109.9</v>
      </c>
      <c r="AN25" s="652">
        <f t="shared" si="33"/>
        <v>13030313</v>
      </c>
      <c r="AP25" s="651">
        <v>45809</v>
      </c>
      <c r="AQ25" s="667">
        <v>1451.27267157287</v>
      </c>
      <c r="AR25" s="668">
        <v>185555214.877529</v>
      </c>
    </row>
    <row r="26" spans="2:44" ht="15.75">
      <c r="B26" s="569" t="s">
        <v>24</v>
      </c>
      <c r="C26" s="574">
        <v>165</v>
      </c>
      <c r="D26" s="575">
        <f t="shared" si="30"/>
        <v>0.2503793626707132</v>
      </c>
      <c r="E26" s="596">
        <f>ROUND($D26*VLOOKUP($B$20,'ИПП 1кв25'!$AP$4:$AR$16,2,0),0)</f>
        <v>19</v>
      </c>
      <c r="F26" s="597">
        <f>ROUND($D26*VLOOKUP($B$20,'ИПП 1кв25'!$AP$4:$AR$16,3,0),0)</f>
        <v>2012930</v>
      </c>
      <c r="G26" s="597">
        <f>ROUND($D26*VLOOKUP($B$20,'ИПП 1кв25'!$AP$20:$AR$32,2,0),0)</f>
        <v>269</v>
      </c>
      <c r="H26" s="597">
        <f>ROUND($D26*VLOOKUP($B$20,'ИПП 1кв25'!$AP$20:$AR$32,3,0),0)</f>
        <v>34700840</v>
      </c>
      <c r="I26" s="597">
        <f>ROUND($D26*VLOOKUP($B$20,'ИПП 1кв25'!$AP$36:$AR$48,2,0),0)</f>
        <v>33</v>
      </c>
      <c r="J26" s="632">
        <f>ROUND($D26*VLOOKUP($B$20,'ИПП 1кв25'!$AP$36:$AR$48,3,0),0)</f>
        <v>4201100</v>
      </c>
      <c r="K26" s="597">
        <f>ROUND($D26*VLOOKUP($B$20,'ИПП 1кв25'!$AP$53:$AR$65,2,0),0)</f>
        <v>49</v>
      </c>
      <c r="L26" s="632">
        <f>ROUND($D26*VLOOKUP($B$20,'ИПП 1кв25'!$AP$53:$AR$65,3,0),0)</f>
        <v>5903566</v>
      </c>
      <c r="M26" s="596">
        <f t="shared" si="34"/>
        <v>370</v>
      </c>
      <c r="N26" s="626">
        <f t="shared" si="34"/>
        <v>46818436</v>
      </c>
      <c r="O26" s="609"/>
      <c r="P26" s="569" t="s">
        <v>24</v>
      </c>
      <c r="Q26" s="606">
        <f>SUMIFS(РД[S],РД[Дом],$Q$21,РД[МОП],$P26,РД[Дата подачи на регистрацию],"&gt;="&amp;$P$20,РД[Дата подачи на регистрацию],"&lt;"&amp;DATE(YEAR($B$20),MONTH($B$20)+1,1),РД[Состояние],"Продажа")-AE26/2</f>
        <v>0</v>
      </c>
      <c r="R26" s="597">
        <f>SUMIFS(РД[Стоимость без отделки итог],РД[Дом],$Q$21,РД[МОП],$P26,РД[Дата подачи на регистрацию],"&gt;="&amp;$P$20,РД[Дата подачи на регистрацию],"&lt;"&amp;DATE(YEAR($B$20),MONTH($B$20)+1,1),РД[Состояние],"Продажа")-AF26/2</f>
        <v>0</v>
      </c>
      <c r="S26" s="597">
        <f>SUMIFS(РД[S],РД[Дом],$S$21,РД[МОП],$P26,РД[Дата подачи на регистрацию],"&gt;="&amp;$P$20,РД[Дата подачи на регистрацию],"&lt;"&amp;DATE(YEAR($B$20),MONTH($B$20)+1,1),РД[Состояние],"Продажа")-AG26/2</f>
        <v>66.02000000000001</v>
      </c>
      <c r="T26" s="597">
        <f>SUMIFS(РД[Стоимость без отделки итог],РД[Дом],$S$21,РД[МОП],$P26,РД[Дата подачи на регистрацию],"&gt;="&amp;$P$20,РД[Дата подачи на регистрацию],"&lt;"&amp;DATE(YEAR($B$20),MONTH($B$20)+1,1),РД[Состояние],"Продажа")-AH26/2</f>
        <v>8891050</v>
      </c>
      <c r="U26" s="597">
        <f>SUMIFS(РД[S],РД[Дом],$U$21,РД[МОП],$P26,РД[Дата подачи на регистрацию],"&gt;="&amp;$P$20,РД[Дата подачи на регистрацию],"&lt;"&amp;DATE(YEAR($B$20),MONTH($B$20)+1,1),РД[Состояние],"Продажа")-AI26/2</f>
        <v>21.195</v>
      </c>
      <c r="V26" s="632">
        <f>SUMIFS(РД[Стоимость без отделки итог],РД[Дом],$U$21,РД[МОП],$P26,РД[Дата подачи на регистрацию],"&gt;="&amp;$P$20,РД[Дата подачи на регистрацию],"&lt;"&amp;DATE(YEAR($B$20),MONTH($B$20)+1,1),РД[Состояние],"Продажа")-AJ26/2</f>
        <v>2889285</v>
      </c>
      <c r="W26" s="573">
        <f>SUMIFS(РД[S],РД[Дом],$W$21,РД[МОП],$P26,РД[Дата подачи на регистрацию],"&gt;="&amp;$P$20,РД[Дата подачи на регистрацию],"&lt;"&amp;DATE(YEAR($B$20),MONTH($B$20)+1,1),РД[Состояние],"Продажа")-AK26/2</f>
        <v>129.39999999999998</v>
      </c>
      <c r="X26" s="628">
        <f>SUMIFS(РД[Стоимость без отделки итог],РД[Дом],$W$21,РД[МОП],$P26,РД[Дата подачи на регистрацию],"&gt;="&amp;$P$20,РД[Дата подачи на регистрацию],"&lt;"&amp;DATE(YEAR($B$20),MONTH($B$20)+1,1),РД[Состояние],"Продажа")-AL26/2</f>
        <v>16310140</v>
      </c>
      <c r="Y26" s="636">
        <f t="shared" ref="Y26:Z27" si="35">Q26+S26+U26+W26</f>
        <v>216.61499999999998</v>
      </c>
      <c r="Z26" s="573">
        <f t="shared" si="35"/>
        <v>28090475</v>
      </c>
      <c r="AA26" s="638">
        <f t="shared" si="31"/>
        <v>0.5854459459459459</v>
      </c>
      <c r="AB26" s="617">
        <f t="shared" si="31"/>
        <v>0.59998747074763459</v>
      </c>
      <c r="AC26" s="609"/>
      <c r="AD26" s="569" t="s">
        <v>24</v>
      </c>
      <c r="AE26" s="636">
        <f>SUMIFS(РД[S],РД[Дом],$AE$21,РД[МОП],$AD26,РД[Источник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26" s="573">
        <f>SUMIFS(РД[Стоимость без отделки итог],РД[Дом],$AE$21,РД[МОП],$AD26,РД[Источник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26" s="573">
        <f>SUMIFS(РД[S],РД[Дом],$AG$21,РД[МОП],$AD26,РД[Источник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56.58</v>
      </c>
      <c r="AH26" s="573">
        <f>SUMIFS(РД[Стоимость без отделки итог],РД[Дом],$AG$21,РД[МОП],$AD26,РД[Источник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6965644</v>
      </c>
      <c r="AI26" s="573">
        <f>SUMIFS(РД[S],РД[Дом],$AI$21,РД[МОП],$AD26,РД[Источник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42.39</v>
      </c>
      <c r="AJ26" s="597">
        <f>SUMIFS(РД[Стоимость без отделки итог],РД[Дом],$AI$21,РД[МОП],$AD26,РД[Источник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5778570</v>
      </c>
      <c r="AK26" s="597">
        <f>SUMIFS(РД[S],РД[Дом],$AK$21,РД[МОП],$AD26,РД[Источник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36.92</v>
      </c>
      <c r="AL26" s="626">
        <f>SUMIFS(РД[Стоимость без отделки итог],РД[Дом],$AK$21,РД[МОП],$AD26,РД[Источник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4613644</v>
      </c>
      <c r="AM26" s="572">
        <f t="shared" si="32"/>
        <v>135.88999999999999</v>
      </c>
      <c r="AN26" s="652">
        <f t="shared" si="33"/>
        <v>17357858</v>
      </c>
      <c r="AP26" s="651">
        <v>45839</v>
      </c>
      <c r="AQ26" s="667">
        <v>0</v>
      </c>
      <c r="AR26" s="668">
        <v>0</v>
      </c>
    </row>
    <row r="27" spans="2:44" ht="15.75">
      <c r="B27" s="618" t="s">
        <v>14</v>
      </c>
      <c r="C27" s="577">
        <v>165</v>
      </c>
      <c r="D27" s="600">
        <f t="shared" si="30"/>
        <v>0.2503793626707132</v>
      </c>
      <c r="E27" s="601">
        <f>ROUND($D27*VLOOKUP($B$20,'ИПП 1кв25'!$AP$4:$AR$16,2,0),0)</f>
        <v>19</v>
      </c>
      <c r="F27" s="602">
        <f>ROUND($D27*VLOOKUP($B$20,'ИПП 1кв25'!$AP$4:$AR$16,3,0),0)</f>
        <v>2012930</v>
      </c>
      <c r="G27" s="602">
        <f>ROUND($D27*VLOOKUP($B$20,'ИПП 1кв25'!$AP$20:$AR$32,2,0),0)</f>
        <v>269</v>
      </c>
      <c r="H27" s="602">
        <f>ROUND($D27*VLOOKUP($B$20,'ИПП 1кв25'!$AP$20:$AR$32,3,0),0)</f>
        <v>34700840</v>
      </c>
      <c r="I27" s="602">
        <f>ROUND($D27*VLOOKUP($B$20,'ИПП 1кв25'!$AP$36:$AR$48,2,0),0)</f>
        <v>33</v>
      </c>
      <c r="J27" s="633">
        <f>ROUND($D27*VLOOKUP($B$20,'ИПП 1кв25'!$AP$36:$AR$48,3,0),0)</f>
        <v>4201100</v>
      </c>
      <c r="K27" s="602">
        <f>ROUND($D27*VLOOKUP($B$20,'ИПП 1кв25'!$AP$53:$AR$65,2,0),0)</f>
        <v>49</v>
      </c>
      <c r="L27" s="633">
        <f>ROUND($D27*VLOOKUP($B$20,'ИПП 1кв25'!$AP$53:$AR$65,3,0),0)</f>
        <v>5903566</v>
      </c>
      <c r="M27" s="596">
        <f t="shared" si="34"/>
        <v>370</v>
      </c>
      <c r="N27" s="626">
        <f t="shared" si="34"/>
        <v>46818436</v>
      </c>
      <c r="O27" s="609"/>
      <c r="P27" s="618" t="s">
        <v>14</v>
      </c>
      <c r="Q27" s="589">
        <f>SUMIFS(РД[S],РД[Дом],$Q$21,РД[МОП],$P27,РД[Дата подачи на регистрацию],"&gt;="&amp;$P$20,РД[Дата подачи на регистрацию],"&lt;"&amp;DATE(YEAR($B$20),MONTH($B$20)+1,1),РД[Состояние],"Продажа")-AE27/2</f>
        <v>0</v>
      </c>
      <c r="R27" s="590">
        <f>SUMIFS(РД[Стоимость без отделки итог],РД[Дом],$Q$21,РД[МОП],$P27,РД[Дата подачи на регистрацию],"&gt;="&amp;$P$20,РД[Дата подачи на регистрацию],"&lt;"&amp;DATE(YEAR($B$20),MONTH($B$20)+1,1),РД[Состояние],"Продажа")-AF27/2</f>
        <v>0</v>
      </c>
      <c r="S27" s="590">
        <f>SUMIFS(РД[S],РД[Дом],$S$21,РД[МОП],$P27,РД[Дата подачи на регистрацию],"&gt;="&amp;$P$20,РД[Дата подачи на регистрацию],"&lt;"&amp;DATE(YEAR($B$20),MONTH($B$20)+1,1),РД[Состояние],"Продажа")-AG27/2</f>
        <v>84.685000000000002</v>
      </c>
      <c r="T27" s="590">
        <f>SUMIFS(РД[Стоимость без отделки итог],РД[Дом],$S$21,РД[МОП],$P27,РД[Дата подачи на регистрацию],"&gt;="&amp;$P$20,РД[Дата подачи на регистрацию],"&lt;"&amp;DATE(YEAR($B$20),MONTH($B$20)+1,1),РД[Состояние],"Продажа")-AH27/2</f>
        <v>11879866</v>
      </c>
      <c r="U27" s="590">
        <f>SUMIFS(РД[S],РД[Дом],$U$21,РД[МОП],$P27,РД[Дата подачи на регистрацию],"&gt;="&amp;$P$20,РД[Дата подачи на регистрацию],"&lt;"&amp;DATE(YEAR($B$20),MONTH($B$20)+1,1),РД[Состояние],"Продажа")-AI27/2</f>
        <v>0</v>
      </c>
      <c r="V27" s="635">
        <f>SUMIFS(РД[Стоимость без отделки итог],РД[Дом],$U$21,РД[МОП],$P27,РД[Дата подачи на регистрацию],"&gt;="&amp;$P$20,РД[Дата подачи на регистрацию],"&lt;"&amp;DATE(YEAR($B$20),MONTH($B$20)+1,1),РД[Состояние],"Продажа")-AJ27/2</f>
        <v>0</v>
      </c>
      <c r="W27" s="573">
        <f>SUMIFS(РД[S],РД[Дом],$W$21,РД[МОП],$P27,РД[Дата подачи на регистрацию],"&gt;="&amp;$P$20,РД[Дата подачи на регистрацию],"&lt;"&amp;DATE(YEAR($B$20),MONTH($B$20)+1,1),РД[Состояние],"Продажа")-AK27/2</f>
        <v>145.72999999999999</v>
      </c>
      <c r="X27" s="628">
        <f>SUMIFS(РД[Стоимость без отделки итог],РД[Дом],$W$21,РД[МОП],$P27,РД[Дата подачи на регистрацию],"&gt;="&amp;$P$20,РД[Дата подачи на регистрацию],"&lt;"&amp;DATE(YEAR($B$20),MONTH($B$20)+1,1),РД[Состояние],"Продажа")-AL27/2</f>
        <v>18228180</v>
      </c>
      <c r="Y27" s="636">
        <f t="shared" si="35"/>
        <v>230.41499999999999</v>
      </c>
      <c r="Z27" s="573">
        <f t="shared" si="35"/>
        <v>30108046</v>
      </c>
      <c r="AA27" s="639">
        <f t="shared" si="31"/>
        <v>0.62274324324324326</v>
      </c>
      <c r="AB27" s="640">
        <f t="shared" si="31"/>
        <v>0.64308098630206267</v>
      </c>
      <c r="AC27" s="609"/>
      <c r="AD27" s="618" t="s">
        <v>14</v>
      </c>
      <c r="AE27" s="834">
        <f>SUMIFS(РД[S],РД[Дом],$AE$21,РД[МОП],$AD27,РД[Источник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27" s="835">
        <f>SUMIFS(РД[Стоимость без отделки итог],РД[Дом],$AE$21,РД[МОП],$AD27,РД[Источник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27" s="835">
        <f>SUMIFS(РД[S],РД[Дом],$AG$21,РД[МОП],$AD27,РД[Источник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34.39</v>
      </c>
      <c r="AH27" s="835">
        <f>SUMIFS(РД[Стоимость без отделки итог],РД[Дом],$AG$21,РД[МОП],$AD27,РД[Источник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4990160</v>
      </c>
      <c r="AI27" s="835">
        <f>SUMIFS(РД[S],РД[Дом],$AI$21,РД[МОП],$AD27,РД[Источник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27" s="602">
        <f>SUMIFS(РД[Стоимость без отделки итог],РД[Дом],$AI$21,РД[МОП],$AD27,РД[Источник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27" s="602">
        <f>SUMIFS(РД[S],РД[Дом],$AK$21,РД[МОП],$AD27,РД[Источник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36.92</v>
      </c>
      <c r="AL27" s="658">
        <f>SUMIFS(РД[Стоимость без отделки итог],РД[Дом],$AK$21,РД[МОП],$AD27,РД[Источник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4797600</v>
      </c>
      <c r="AM27" s="572">
        <f t="shared" si="32"/>
        <v>71.31</v>
      </c>
      <c r="AN27" s="652">
        <f t="shared" si="33"/>
        <v>9787760</v>
      </c>
      <c r="AP27" s="651">
        <v>45870</v>
      </c>
      <c r="AQ27" s="667">
        <v>609.80201443001397</v>
      </c>
      <c r="AR27" s="668">
        <v>78342683.890858293</v>
      </c>
    </row>
    <row r="28" spans="2:44">
      <c r="B28" s="581" t="s">
        <v>114</v>
      </c>
      <c r="C28" s="582">
        <f t="shared" ref="C28:L28" si="36">SUM(C23:C27)</f>
        <v>659</v>
      </c>
      <c r="D28" s="583">
        <f t="shared" si="36"/>
        <v>1</v>
      </c>
      <c r="E28" s="582">
        <f t="shared" si="36"/>
        <v>75</v>
      </c>
      <c r="F28" s="584">
        <f t="shared" si="36"/>
        <v>8039520</v>
      </c>
      <c r="G28" s="584">
        <f t="shared" si="36"/>
        <v>1074</v>
      </c>
      <c r="H28" s="584">
        <f t="shared" si="36"/>
        <v>138593052</v>
      </c>
      <c r="I28" s="584">
        <f t="shared" si="36"/>
        <v>133</v>
      </c>
      <c r="J28" s="629">
        <f t="shared" si="36"/>
        <v>16778938</v>
      </c>
      <c r="K28" s="584">
        <f t="shared" si="36"/>
        <v>195</v>
      </c>
      <c r="L28" s="629">
        <f t="shared" si="36"/>
        <v>23578485</v>
      </c>
      <c r="M28" s="612">
        <f t="shared" si="34"/>
        <v>1477</v>
      </c>
      <c r="N28" s="630">
        <f t="shared" si="34"/>
        <v>186989995</v>
      </c>
      <c r="O28" s="631"/>
      <c r="P28" s="581" t="s">
        <v>114</v>
      </c>
      <c r="Q28" s="582">
        <f t="shared" ref="Q28:Z28" si="37">SUM(Q23:Q27)</f>
        <v>0</v>
      </c>
      <c r="R28" s="584">
        <f t="shared" si="37"/>
        <v>0</v>
      </c>
      <c r="S28" s="584">
        <f t="shared" si="37"/>
        <v>355.14500000000004</v>
      </c>
      <c r="T28" s="584">
        <f t="shared" si="37"/>
        <v>46158554</v>
      </c>
      <c r="U28" s="584">
        <f t="shared" si="37"/>
        <v>118.13499999999999</v>
      </c>
      <c r="V28" s="629">
        <f t="shared" si="37"/>
        <v>15670763</v>
      </c>
      <c r="W28" s="584">
        <f t="shared" si="37"/>
        <v>671.75500000000011</v>
      </c>
      <c r="X28" s="629">
        <f t="shared" si="37"/>
        <v>82388168.5</v>
      </c>
      <c r="Y28" s="612">
        <f t="shared" si="37"/>
        <v>1145.0350000000001</v>
      </c>
      <c r="Z28" s="584">
        <f t="shared" si="37"/>
        <v>144217485.5</v>
      </c>
      <c r="AA28" s="641">
        <f t="shared" si="31"/>
        <v>0.77524373730534879</v>
      </c>
      <c r="AB28" s="583">
        <f t="shared" si="31"/>
        <v>0.77125776435257942</v>
      </c>
      <c r="AC28" s="631"/>
      <c r="AD28" s="642" t="s">
        <v>114</v>
      </c>
      <c r="AE28" s="836">
        <f t="shared" ref="AE28:AL28" si="38">SUM(AE23:AE27)</f>
        <v>0</v>
      </c>
      <c r="AF28" s="837">
        <f t="shared" si="38"/>
        <v>0</v>
      </c>
      <c r="AG28" s="837">
        <f t="shared" si="38"/>
        <v>90.97</v>
      </c>
      <c r="AH28" s="837">
        <f t="shared" si="38"/>
        <v>11955804</v>
      </c>
      <c r="AI28" s="837">
        <f t="shared" si="38"/>
        <v>42.39</v>
      </c>
      <c r="AJ28" s="841">
        <f t="shared" si="38"/>
        <v>5778570</v>
      </c>
      <c r="AK28" s="837">
        <f t="shared" si="38"/>
        <v>294.03000000000003</v>
      </c>
      <c r="AL28" s="841">
        <f t="shared" si="38"/>
        <v>36860389</v>
      </c>
      <c r="AM28" s="655">
        <f t="shared" si="32"/>
        <v>427.39000000000004</v>
      </c>
      <c r="AN28" s="656">
        <f t="shared" si="33"/>
        <v>54594763</v>
      </c>
      <c r="AP28" s="651">
        <v>45901</v>
      </c>
      <c r="AQ28" s="667">
        <v>609.80201443001397</v>
      </c>
      <c r="AR28" s="668">
        <v>78342683.890858293</v>
      </c>
    </row>
    <row r="29" spans="2:44" ht="16.5" customHeight="1">
      <c r="B29" s="2344" t="s">
        <v>1882</v>
      </c>
      <c r="C29" s="2343"/>
      <c r="D29" s="2336"/>
      <c r="E29" s="2343" t="s">
        <v>7</v>
      </c>
      <c r="F29" s="2360"/>
      <c r="G29" s="2352" t="s">
        <v>13</v>
      </c>
      <c r="H29" s="2360"/>
      <c r="I29" s="2352" t="s">
        <v>1875</v>
      </c>
      <c r="J29" s="2343"/>
      <c r="K29" s="2352" t="s">
        <v>1876</v>
      </c>
      <c r="L29" s="2343"/>
      <c r="M29" s="2335" t="s">
        <v>114</v>
      </c>
      <c r="N29" s="2336"/>
      <c r="O29" s="622"/>
      <c r="P29" s="2353" t="s">
        <v>3</v>
      </c>
      <c r="Q29" s="2360" t="s">
        <v>7</v>
      </c>
      <c r="R29" s="2333"/>
      <c r="S29" s="2333" t="s">
        <v>13</v>
      </c>
      <c r="T29" s="2333"/>
      <c r="U29" s="2333" t="s">
        <v>1875</v>
      </c>
      <c r="V29" s="2352"/>
      <c r="W29" s="2333" t="s">
        <v>1876</v>
      </c>
      <c r="X29" s="2352"/>
      <c r="Y29" s="2332" t="s">
        <v>114</v>
      </c>
      <c r="Z29" s="2333"/>
      <c r="AA29" s="2333" t="s">
        <v>1877</v>
      </c>
      <c r="AB29" s="2334"/>
      <c r="AC29" s="622"/>
      <c r="AD29" s="2350" t="s">
        <v>3</v>
      </c>
      <c r="AE29" s="2332" t="s">
        <v>7</v>
      </c>
      <c r="AF29" s="2333"/>
      <c r="AG29" s="2333" t="s">
        <v>13</v>
      </c>
      <c r="AH29" s="2333"/>
      <c r="AI29" s="2333" t="s">
        <v>1875</v>
      </c>
      <c r="AJ29" s="2333"/>
      <c r="AK29" s="2343" t="s">
        <v>1876</v>
      </c>
      <c r="AL29" s="2336"/>
      <c r="AM29" s="2343" t="s">
        <v>114</v>
      </c>
      <c r="AN29" s="2336"/>
      <c r="AP29" s="651">
        <v>45931</v>
      </c>
      <c r="AQ29" s="667">
        <v>488.95941702741698</v>
      </c>
      <c r="AR29" s="668">
        <v>63349679.672100499</v>
      </c>
    </row>
    <row r="30" spans="2:44" ht="15.75">
      <c r="B30" s="559" t="s">
        <v>1878</v>
      </c>
      <c r="C30" s="560" t="s">
        <v>1879</v>
      </c>
      <c r="D30" s="561" t="s">
        <v>1880</v>
      </c>
      <c r="E30" s="562" t="s">
        <v>1872</v>
      </c>
      <c r="F30" s="563" t="s">
        <v>1881</v>
      </c>
      <c r="G30" s="562" t="s">
        <v>1872</v>
      </c>
      <c r="H30" s="563" t="s">
        <v>1881</v>
      </c>
      <c r="I30" s="562" t="s">
        <v>1872</v>
      </c>
      <c r="J30" s="623" t="s">
        <v>1881</v>
      </c>
      <c r="K30" s="563" t="s">
        <v>1872</v>
      </c>
      <c r="L30" s="624" t="s">
        <v>1881</v>
      </c>
      <c r="M30" s="610" t="s">
        <v>1872</v>
      </c>
      <c r="N30" s="624" t="s">
        <v>1881</v>
      </c>
      <c r="O30" s="622"/>
      <c r="P30" s="2354"/>
      <c r="Q30" s="562" t="s">
        <v>1872</v>
      </c>
      <c r="R30" s="563" t="s">
        <v>1881</v>
      </c>
      <c r="S30" s="562" t="s">
        <v>1872</v>
      </c>
      <c r="T30" s="563" t="s">
        <v>1881</v>
      </c>
      <c r="U30" s="562" t="s">
        <v>1872</v>
      </c>
      <c r="V30" s="563" t="s">
        <v>1881</v>
      </c>
      <c r="W30" s="562" t="s">
        <v>1872</v>
      </c>
      <c r="X30" s="563" t="s">
        <v>1881</v>
      </c>
      <c r="Y30" s="610" t="s">
        <v>1872</v>
      </c>
      <c r="Z30" s="563" t="s">
        <v>1881</v>
      </c>
      <c r="AA30" s="563" t="s">
        <v>1872</v>
      </c>
      <c r="AB30" s="624" t="s">
        <v>1881</v>
      </c>
      <c r="AC30" s="622"/>
      <c r="AD30" s="2359"/>
      <c r="AE30" s="610" t="s">
        <v>1872</v>
      </c>
      <c r="AF30" s="563" t="s">
        <v>1881</v>
      </c>
      <c r="AG30" s="563" t="s">
        <v>1872</v>
      </c>
      <c r="AH30" s="563" t="s">
        <v>1881</v>
      </c>
      <c r="AI30" s="563" t="s">
        <v>1872</v>
      </c>
      <c r="AJ30" s="825" t="s">
        <v>1881</v>
      </c>
      <c r="AK30" s="562" t="s">
        <v>1872</v>
      </c>
      <c r="AL30" s="624" t="s">
        <v>1881</v>
      </c>
      <c r="AM30" s="562" t="s">
        <v>1872</v>
      </c>
      <c r="AN30" s="624" t="s">
        <v>1881</v>
      </c>
      <c r="AP30" s="651">
        <v>45962</v>
      </c>
      <c r="AQ30" s="667">
        <v>488.95941702741698</v>
      </c>
      <c r="AR30" s="668">
        <v>63349679.672100499</v>
      </c>
    </row>
    <row r="31" spans="2:44" ht="15.75">
      <c r="B31" s="569" t="s">
        <v>22</v>
      </c>
      <c r="C31" s="570">
        <v>132</v>
      </c>
      <c r="D31" s="588">
        <f>C31/$C$34</f>
        <v>0.44897959183673469</v>
      </c>
      <c r="E31" s="572">
        <f>$D31*($E$28*$B$35)</f>
        <v>21.887755102040817</v>
      </c>
      <c r="F31" s="573">
        <f>$D31*($F$28*$B$35)</f>
        <v>2346227.2653061226</v>
      </c>
      <c r="G31" s="573">
        <f>$D31*($G$28*$B$35)</f>
        <v>313.43265306122447</v>
      </c>
      <c r="H31" s="573">
        <f>$D31*($H$28*$B$35)</f>
        <v>40446543.746938772</v>
      </c>
      <c r="I31" s="573">
        <f>$D31*($I$28*$B$35)</f>
        <v>38.814285714285717</v>
      </c>
      <c r="J31" s="628">
        <f>$D31*($J$28*$B$35)</f>
        <v>4896710.4775510207</v>
      </c>
      <c r="K31" s="573">
        <f>$D31*($K$28*$B$35)</f>
        <v>56.908163265306122</v>
      </c>
      <c r="L31" s="628">
        <f>$D31*($L$28*$B$35)</f>
        <v>6881068.0714285718</v>
      </c>
      <c r="M31" s="596">
        <f t="shared" ref="M31:N34" si="39">E31+G31+I31+K31</f>
        <v>431.0428571428572</v>
      </c>
      <c r="N31" s="626">
        <f t="shared" si="39"/>
        <v>54570549.56122449</v>
      </c>
      <c r="O31" s="609"/>
      <c r="P31" s="569" t="s">
        <v>22</v>
      </c>
      <c r="Q31" s="572">
        <f>SUMIFS(РД[S],РД[Дом],$Q$21,РД[ИМ],$P31,РД[Дата подачи на регистрацию],"&gt;="&amp;$P$20,РД[Дата подачи на регистрацию],"&lt;"&amp;DATE(YEAR($B$20),MONTH($B$20)+1,1),РД[Состояние],"Продажа")-AE31/2</f>
        <v>0</v>
      </c>
      <c r="R31" s="573">
        <f>SUMIFS(РД[Стоимость без отделки итог],РД[Дом],$Q$21,РД[ИМ],$P31,РД[Дата подачи на регистрацию],"&gt;="&amp;$P$20,РД[Дата подачи на регистрацию],"&lt;"&amp;DATE(YEAR($B$20),MONTH($B$20)+1,1),РД[Состояние],"Продажа")-AF31/2</f>
        <v>0</v>
      </c>
      <c r="S31" s="573">
        <f>SUMIFS(РД[S],РД[Дом],$S$21,РД[ИМ],$P31,РД[Дата подачи на регистрацию],"&gt;="&amp;$P$20,РД[Дата подачи на регистрацию],"&lt;"&amp;DATE(YEAR($B$20),MONTH($B$20)+1,1),РД[Состояние],"Продажа")-AG31/2</f>
        <v>251.42000000000002</v>
      </c>
      <c r="T31" s="573">
        <f>SUMIFS(РД[Стоимость без отделки итог],РД[Дом],$S$21,РД[ИМ],$P31,РД[Дата подачи на регистрацию],"&gt;="&amp;$P$20,РД[Дата подачи на регистрацию],"&lt;"&amp;DATE(YEAR($B$20),MONTH($B$20)+1,1),РД[Состояние],"Продажа")-AH31/2</f>
        <v>33051352</v>
      </c>
      <c r="U31" s="573">
        <f>SUMIFS(РД[S],РД[Дом],$U$21,РД[ИМ],$P31,РД[Дата подачи на регистрацию],"&gt;="&amp;$P$20,РД[Дата подачи на регистрацию],"&lt;"&amp;DATE(YEAR($B$20),MONTH($B$20)+1,1),РД[Состояние],"Продажа")-AI31/2</f>
        <v>0</v>
      </c>
      <c r="V31" s="628">
        <f>SUMIFS(РД[Стоимость без отделки итог],РД[Дом],$U$21,РД[ИМ],$P31,РД[Дата подачи на регистрацию],"&gt;="&amp;$P$20,РД[Дата подачи на регистрацию],"&lt;"&amp;DATE(YEAR($B$20),MONTH($B$20)+1,1),РД[Состояние],"Продажа")-AJ31/2</f>
        <v>0</v>
      </c>
      <c r="W31" s="597">
        <f>SUMIFS(РД[S],РД[Дом],$W$21,РД[ИМ],$P14,РД[Дата подачи на регистрацию],"&gt;="&amp;$P$20,РД[Дата подачи на регистрацию],"&lt;"&amp;DATE(YEAR($B$20),MONTH($B$20)+1,1),РД[Состояние],"Продажа")-AK31/2</f>
        <v>0</v>
      </c>
      <c r="X31" s="632">
        <f>SUMIFS(РД[Стоимость без отделки итог],РД[Дом],$W$21,РД[ИМ],$P14,РД[Дата подачи на регистрацию],"&gt;="&amp;$P$20,РД[Дата подачи на регистрацию],"&lt;"&amp;DATE(YEAR($B$20),MONTH($B$20)+1,1),РД[Состояние],"Продажа")-AL31/2</f>
        <v>0</v>
      </c>
      <c r="Y31" s="636">
        <f>Q31+S31+U31+W31</f>
        <v>251.42000000000002</v>
      </c>
      <c r="Z31" s="573">
        <f>R31+T31+V31+X31</f>
        <v>33051352</v>
      </c>
      <c r="AA31" s="645">
        <f t="shared" ref="AA31:AB34" si="40">IFERROR(Y31/M31,"")</f>
        <v>0.58328306764325721</v>
      </c>
      <c r="AB31" s="588">
        <f t="shared" si="40"/>
        <v>0.60566280284420815</v>
      </c>
      <c r="AC31" s="609"/>
      <c r="AD31" s="569" t="s">
        <v>22</v>
      </c>
      <c r="AE31" s="594">
        <f>SUMIFS(РД[S],РД[Дом],$AE$21,РД[ИМ],$AD31,РД[Источник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31" s="568">
        <f>SUMIFS(РД[Стоимость без отделки итог],РД[Дом],$AE$21,РД[ИМ],$AD31,РД[Источник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31" s="568">
        <f>SUMIFS(РД[S],РД[Дом],$AG$21,РД[ИМ],$AD31,РД[Источник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H31" s="568">
        <f>SUMIFS(РД[Стоимость без отделки итог],РД[Дом],$AG$21,РД[ИМ],$AD31,РД[Источник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I31" s="568">
        <f>SUMIFS(РД[S],РД[Дом],$AI$21,РД[ИМ],$AD31,РД[Источник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31" s="625">
        <f>SUMIFS(РД[Стоимость без отделки итог],РД[Дом],$AI$21,РД[ИМ],$AD31,РД[Источник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31" s="568">
        <f>SUMIFS(РД[S],РД[Дом],$AK$29,РД[ИМ],$AD31,РД[Источник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L31" s="808">
        <f>SUMIFS(РД[Стоимость без отделки итог],РД[Дом],$AK$29,РД[ИМ],$AD31,РД[Источник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M31" s="594">
        <f t="shared" ref="AM31:AM34" si="41">AE31+AG31+AI31+AK31</f>
        <v>0</v>
      </c>
      <c r="AN31" s="808">
        <f t="shared" ref="AN31:AN34" si="42">AF31+AH31+AJ31+AL31</f>
        <v>0</v>
      </c>
      <c r="AP31" s="651">
        <v>45992</v>
      </c>
      <c r="AQ31" s="667">
        <v>283.44685137085099</v>
      </c>
      <c r="AR31" s="668">
        <v>37395698.992240697</v>
      </c>
    </row>
    <row r="32" spans="2:44" ht="15.75">
      <c r="B32" s="569" t="s">
        <v>26</v>
      </c>
      <c r="C32" s="570">
        <v>162</v>
      </c>
      <c r="D32" s="588">
        <f>C32/$C$34</f>
        <v>0.55102040816326525</v>
      </c>
      <c r="E32" s="572">
        <f>$D32*($E$28*$B$35)</f>
        <v>26.862244897959179</v>
      </c>
      <c r="F32" s="573">
        <f>$D32*($F$28*$B$35)</f>
        <v>2879460.7346938774</v>
      </c>
      <c r="G32" s="573">
        <f>$D32*($G$28*$B$35)</f>
        <v>384.66734693877549</v>
      </c>
      <c r="H32" s="573">
        <f>$D32*($H$28*$B$35)</f>
        <v>49638940.053061217</v>
      </c>
      <c r="I32" s="573">
        <f>$D32*($I$28*$B$35)</f>
        <v>47.635714285714286</v>
      </c>
      <c r="J32" s="628">
        <f>$D32*($J$28*$B$35)</f>
        <v>6009599.2224489795</v>
      </c>
      <c r="K32" s="573">
        <f t="shared" ref="K32:K33" si="43">$D32*($K$28*$B$35)</f>
        <v>69.841836734693871</v>
      </c>
      <c r="L32" s="628">
        <f t="shared" ref="L32:L33" si="44">$D32*($L$28*$B$35)</f>
        <v>8444947.1785714272</v>
      </c>
      <c r="M32" s="596">
        <f t="shared" si="39"/>
        <v>529.00714285714287</v>
      </c>
      <c r="N32" s="626">
        <f t="shared" si="39"/>
        <v>66972947.188775502</v>
      </c>
      <c r="O32" s="609"/>
      <c r="P32" s="569" t="s">
        <v>26</v>
      </c>
      <c r="Q32" s="606">
        <f>SUMIFS(РД[S],РД[Дом],$Q$21,РД[ИМ],$P32,РД[Дата подачи на регистрацию],"&gt;="&amp;$P$20,РД[Дата подачи на регистрацию],"&lt;"&amp;DATE(YEAR($B$20),MONTH($B$20)+1,1),РД[Состояние],"Продажа")</f>
        <v>0</v>
      </c>
      <c r="R32" s="597">
        <f>SUMIFS(РД[Стоимость без отделки итог],РД[Дом],$Q$21,РД[ИМ],$P32,РД[Дата подачи на регистрацию],"&gt;="&amp;$P$20,РД[Дата подачи на регистрацию],"&lt;"&amp;DATE(YEAR($B$20),MONTH($B$20)+1,1),РД[Состояние],"Продажа")</f>
        <v>0</v>
      </c>
      <c r="S32" s="597">
        <f>SUMIFS(РД[S],РД[Дом],$S$21,РД[ИМ],$P32,РД[Дата подачи на регистрацию],"&gt;="&amp;$P$20,РД[Дата подачи на регистрацию],"&lt;"&amp;DATE(YEAR($B$20),MONTH($B$20)+1,1),РД[Состояние],"Продажа")</f>
        <v>149.21</v>
      </c>
      <c r="T32" s="597">
        <f>SUMIFS(РД[Стоимость без отделки итог],РД[Дом],$S$21,РД[ИМ],$P32,РД[Дата подачи на регистрацию],"&gt;="&amp;$P$20,РД[Дата подачи на регистрацию],"&lt;"&amp;DATE(YEAR($B$20),MONTH($B$20)+1,1),РД[Состояние],"Продажа")</f>
        <v>19085104</v>
      </c>
      <c r="U32" s="597">
        <f>SUMIFS(РД[S],РД[Дом],$U$21,РД[ИМ],$P32,РД[Дата подачи на регистрацию],"&gt;="&amp;$P$20,РД[Дата подачи на регистрацию],"&lt;"&amp;DATE(YEAR($B$20),MONTH($B$20)+1,1),РД[Состояние],"Продажа")</f>
        <v>103.8</v>
      </c>
      <c r="V32" s="632">
        <f>SUMIFS(РД[Стоимость без отделки итог],РД[Дом],$U$21,РД[ИМ],$P32,РД[Дата подачи на регистрацию],"&gt;="&amp;$P$20,РД[Дата подачи на регистрацию],"&lt;"&amp;DATE(YEAR($B$20),MONTH($B$20)+1,1),РД[Состояние],"Продажа")</f>
        <v>13761870</v>
      </c>
      <c r="W32" s="597">
        <f>SUMIFS(РД[S],РД[Дом],$W$21,РД[ИМ],$P15,РД[Дата подачи на регистрацию],"&gt;="&amp;$P$20,РД[Дата подачи на регистрацию],"&lt;"&amp;DATE(YEAR($B$20),MONTH($B$20)+1,1),РД[Состояние],"Продажа")-AK32/2</f>
        <v>0</v>
      </c>
      <c r="X32" s="632">
        <f>SUMIFS(РД[Стоимость без отделки итог],РД[Дом],$W$21,РД[ИМ],$P15,РД[Дата подачи на регистрацию],"&gt;="&amp;$P$20,РД[Дата подачи на регистрацию],"&lt;"&amp;DATE(YEAR($B$20),MONTH($B$20)+1,1),РД[Состояние],"Продажа")-AL32/2</f>
        <v>0</v>
      </c>
      <c r="Y32" s="636">
        <f t="shared" ref="Y32:Z33" si="45">Q32+S32+U32+W32</f>
        <v>253.01</v>
      </c>
      <c r="Z32" s="573">
        <f t="shared" si="45"/>
        <v>32846974</v>
      </c>
      <c r="AA32" s="638">
        <f t="shared" si="40"/>
        <v>0.47827331524013988</v>
      </c>
      <c r="AB32" s="617">
        <f t="shared" si="40"/>
        <v>0.49045137445444642</v>
      </c>
      <c r="AC32" s="609"/>
      <c r="AD32" s="569" t="s">
        <v>26</v>
      </c>
      <c r="AE32" s="636">
        <f>SUMIFS(РД[S],РД[Дом],$AE$21,РД[ИМ],$AD32,РД[Источник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32" s="573">
        <f>SUMIFS(РД[Стоимость без отделки итог],РД[Дом],$AE$21,РД[ИМ],$AD32,РД[Источник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32" s="573">
        <f>SUMIFS(РД[S],РД[Дом],$AG$21,РД[ИМ],$AD32,РД[Источник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90.97</v>
      </c>
      <c r="AH32" s="573">
        <f>SUMIFS(РД[Стоимость без отделки итог],РД[Дом],$AG$21,РД[ИМ],$AD32,РД[Источник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11955804</v>
      </c>
      <c r="AI32" s="573">
        <f>SUMIFS(РД[S],РД[Дом],$AI$21,РД[ИМ],$AD32,РД[Источник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42.39</v>
      </c>
      <c r="AJ32" s="628">
        <f>SUMIFS(РД[Стоимость без отделки итог],РД[Дом],$AI$21,РД[ИМ],$AD32,РД[Источник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5778570</v>
      </c>
      <c r="AK32" s="573">
        <f>SUMIFS(РД[S],РД[Дом],$AK$29,РД[ИМ],$AD32,РД[Источник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L32" s="652">
        <f>SUMIFS(РД[Стоимость без отделки итог],РД[Дом],$AK$29,РД[ИМ],$AD32,РД[Источник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M32" s="636">
        <f t="shared" si="41"/>
        <v>133.36000000000001</v>
      </c>
      <c r="AN32" s="652">
        <f t="shared" si="42"/>
        <v>17734374</v>
      </c>
      <c r="AP32" s="660" t="s">
        <v>1883</v>
      </c>
      <c r="AQ32" s="671">
        <f>SUM(AQ20:AQ31)</f>
        <v>10461.11999999999</v>
      </c>
      <c r="AR32" s="671">
        <f>SUM(AR20:AR31)</f>
        <v>1347797113.5839193</v>
      </c>
    </row>
    <row r="33" spans="2:44" ht="15.75">
      <c r="B33" s="627" t="s">
        <v>3</v>
      </c>
      <c r="C33" s="577">
        <v>0</v>
      </c>
      <c r="D33" s="588">
        <f>C33/$C$34</f>
        <v>0</v>
      </c>
      <c r="E33" s="572">
        <f>$D33*($E$28*$B$35)</f>
        <v>0</v>
      </c>
      <c r="F33" s="573">
        <f>$D33*($F$28*$B$35)</f>
        <v>0</v>
      </c>
      <c r="G33" s="573">
        <f>$D33*($G$28*$B$35)</f>
        <v>0</v>
      </c>
      <c r="H33" s="573">
        <f>$D33*($H$28*$B$35)</f>
        <v>0</v>
      </c>
      <c r="I33" s="573">
        <f>$D33*($I$28*$B$35)</f>
        <v>0</v>
      </c>
      <c r="J33" s="628">
        <f>$D33*($J$28*$B$35)</f>
        <v>0</v>
      </c>
      <c r="K33" s="573">
        <f t="shared" si="43"/>
        <v>0</v>
      </c>
      <c r="L33" s="628">
        <f t="shared" si="44"/>
        <v>0</v>
      </c>
      <c r="M33" s="596">
        <f t="shared" si="39"/>
        <v>0</v>
      </c>
      <c r="N33" s="626">
        <f t="shared" si="39"/>
        <v>0</v>
      </c>
      <c r="O33" s="609"/>
      <c r="P33" s="627" t="s">
        <v>3</v>
      </c>
      <c r="Q33" s="589">
        <f>SUMIFS(РД[S],РД[Дом],$Q$21,РД[ИМ],$P33,РД[Дата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R33" s="590">
        <f>SUMIFS(РД[Стоимость без отделки итог],РД[Дом],$Q$21,РД[ИМ],$P33,РД[Дата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S33" s="590">
        <f>SUMIFS(РД[S],РД[Дом],$S$21,РД[ИМ],$P33,РД[Дата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T33" s="590">
        <f>SUMIFS(РД[Стоимость без отделки итог],РД[Дом],$S$21,РД[ИМ],$P33,РД[Дата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U33" s="590">
        <f>SUMIFS(РД[S],РД[Дом],$U$21,РД[ИМ],$P33,РД[Дата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V33" s="635">
        <f>SUMIFS(РД[Стоимость без отделки итог],РД[Дом],$U$21,РД[ИМ],$P33,РД[Дата подачи на регистрацию],"&gt;="&amp;$P$20,РД[Дата подачи на регистрацию],"&lt;"&amp;DATE(YEAR($B$20),MONTH($B$20)+1,1),РД[Состояние],"Продажа")</f>
        <v>0</v>
      </c>
      <c r="W33" s="597">
        <f>SUMIFS(РД[S],РД[Дом],$W$21,РД[ИМ],$P16,РД[Дата подачи на регистрацию],"&gt;="&amp;$P$20,РД[Дата подачи на регистрацию],"&lt;"&amp;DATE(YEAR($B$20),MONTH($B$20)+1,1),РД[Состояние],"Продажа")-AK33/2</f>
        <v>0</v>
      </c>
      <c r="X33" s="632">
        <f>SUMIFS(РД[Стоимость без отделки итог],РД[Дом],$W$21,РД[ИМ],$P16,РД[Дата подачи на регистрацию],"&gt;="&amp;$P$20,РД[Дата подачи на регистрацию],"&lt;"&amp;DATE(YEAR($B$20),MONTH($B$20)+1,1),РД[Состояние],"Продажа")-AL33/2</f>
        <v>0</v>
      </c>
      <c r="Y33" s="636">
        <f t="shared" si="45"/>
        <v>0</v>
      </c>
      <c r="Z33" s="573">
        <f t="shared" si="45"/>
        <v>0</v>
      </c>
      <c r="AA33" s="639" t="str">
        <f t="shared" si="40"/>
        <v/>
      </c>
      <c r="AB33" s="640" t="str">
        <f t="shared" si="40"/>
        <v/>
      </c>
      <c r="AC33" s="609"/>
      <c r="AD33" s="627" t="s">
        <v>3</v>
      </c>
      <c r="AE33" s="834">
        <f>SUMIFS(РД[S],РД[Дом],$AE$21,РД[ИМ],$AD33,РД[Источник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F33" s="835">
        <f>SUMIFS(РД[Стоимость без отделки итог],РД[Дом],$AE$21,РД[ИМ],$AD33,РД[Источник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G33" s="835">
        <f>SUMIFS(РД[S],РД[Дом],$AG$21,РД[ИМ],$AD33,РД[Источник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H33" s="835">
        <f>SUMIFS(РД[Стоимость без отделки итог],РД[Дом],$AG$21,РД[ИМ],$AD33,РД[Источник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I33" s="835">
        <f>SUMIFS(РД[S],РД[Дом],$AI$21,РД[ИМ],$AD33,РД[Источник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J33" s="839">
        <f>SUMIFS(РД[Стоимость без отделки итог],РД[Дом],$AI$21,РД[ИМ],$AD33,РД[Источник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K33" s="835">
        <f>SUMIFS(РД[S],РД[Дом],$AK$29,РД[ИМ],$AD33,РД[Источник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L33" s="840">
        <f>SUMIFS(РД[Стоимость без отделки итог],РД[Дом],$AK$29,РД[ИМ],$AD33,РД[Источник обращения],"Агент*",РД[Дата подачи на регистрацию],"&gt;="&amp;$AD$20,РД[Дата подачи на регистрацию],"&lt;"&amp;DATE(YEAR($B$20),MONTH($B$20)+1,1),РД[Состояние],"Продажа")</f>
        <v>0</v>
      </c>
      <c r="AM33" s="636">
        <f t="shared" si="41"/>
        <v>0</v>
      </c>
      <c r="AN33" s="652">
        <f t="shared" si="42"/>
        <v>0</v>
      </c>
    </row>
    <row r="34" spans="2:44">
      <c r="B34" s="581" t="s">
        <v>114</v>
      </c>
      <c r="C34" s="582">
        <f>SUM(C31:C33)</f>
        <v>294</v>
      </c>
      <c r="D34" s="583">
        <f t="shared" ref="D34:L34" si="46">SUM(D31:D33)</f>
        <v>1</v>
      </c>
      <c r="E34" s="582">
        <f t="shared" si="46"/>
        <v>48.75</v>
      </c>
      <c r="F34" s="584">
        <f t="shared" si="46"/>
        <v>5225688</v>
      </c>
      <c r="G34" s="582">
        <f t="shared" si="46"/>
        <v>698.09999999999991</v>
      </c>
      <c r="H34" s="584">
        <f t="shared" si="46"/>
        <v>90085483.799999982</v>
      </c>
      <c r="I34" s="582">
        <f t="shared" si="46"/>
        <v>86.45</v>
      </c>
      <c r="J34" s="584">
        <f t="shared" si="46"/>
        <v>10906309.699999999</v>
      </c>
      <c r="K34" s="582">
        <f t="shared" si="46"/>
        <v>126.75</v>
      </c>
      <c r="L34" s="584">
        <f t="shared" si="46"/>
        <v>15326015.25</v>
      </c>
      <c r="M34" s="612">
        <f t="shared" si="39"/>
        <v>960.05</v>
      </c>
      <c r="N34" s="630">
        <f t="shared" si="39"/>
        <v>121543496.74999999</v>
      </c>
      <c r="O34" s="631"/>
      <c r="P34" s="581" t="s">
        <v>114</v>
      </c>
      <c r="Q34" s="582">
        <f>SUM(Q31:Q33)</f>
        <v>0</v>
      </c>
      <c r="R34" s="584">
        <f t="shared" ref="R34:Z34" si="47">SUM(R31:R33)</f>
        <v>0</v>
      </c>
      <c r="S34" s="584">
        <f t="shared" si="47"/>
        <v>400.63</v>
      </c>
      <c r="T34" s="584">
        <f t="shared" si="47"/>
        <v>52136456</v>
      </c>
      <c r="U34" s="584">
        <f t="shared" si="47"/>
        <v>103.8</v>
      </c>
      <c r="V34" s="629">
        <f t="shared" si="47"/>
        <v>13761870</v>
      </c>
      <c r="W34" s="584">
        <f t="shared" si="47"/>
        <v>0</v>
      </c>
      <c r="X34" s="629">
        <f t="shared" si="47"/>
        <v>0</v>
      </c>
      <c r="Y34" s="612">
        <f t="shared" si="47"/>
        <v>504.43</v>
      </c>
      <c r="Z34" s="584">
        <f t="shared" si="47"/>
        <v>65898326</v>
      </c>
      <c r="AA34" s="641">
        <f t="shared" si="40"/>
        <v>0.52542055101296814</v>
      </c>
      <c r="AB34" s="583">
        <f t="shared" si="40"/>
        <v>0.54217895454780884</v>
      </c>
      <c r="AC34" s="631"/>
      <c r="AD34" s="581" t="s">
        <v>114</v>
      </c>
      <c r="AE34" s="584">
        <f t="shared" ref="AE34:AL34" si="48">SUM(AE31:AE33)</f>
        <v>0</v>
      </c>
      <c r="AF34" s="584">
        <f t="shared" si="48"/>
        <v>0</v>
      </c>
      <c r="AG34" s="584">
        <f t="shared" si="48"/>
        <v>90.97</v>
      </c>
      <c r="AH34" s="584">
        <f t="shared" si="48"/>
        <v>11955804</v>
      </c>
      <c r="AI34" s="584">
        <f t="shared" si="48"/>
        <v>42.39</v>
      </c>
      <c r="AJ34" s="629">
        <f t="shared" si="48"/>
        <v>5778570</v>
      </c>
      <c r="AK34" s="584">
        <f t="shared" si="48"/>
        <v>0</v>
      </c>
      <c r="AL34" s="629">
        <f t="shared" si="48"/>
        <v>0</v>
      </c>
      <c r="AM34" s="612">
        <f t="shared" si="41"/>
        <v>133.36000000000001</v>
      </c>
      <c r="AN34" s="630">
        <f t="shared" si="42"/>
        <v>17734374</v>
      </c>
      <c r="AP34" s="2337" t="s">
        <v>1875</v>
      </c>
      <c r="AQ34" s="2337"/>
      <c r="AR34" s="2337"/>
    </row>
    <row r="35" spans="2:44" ht="15.75">
      <c r="B35" s="831">
        <v>0.65</v>
      </c>
      <c r="AP35" s="650" t="s">
        <v>1871</v>
      </c>
      <c r="AQ35" s="663" t="s">
        <v>1872</v>
      </c>
      <c r="AR35" s="664" t="s">
        <v>1873</v>
      </c>
    </row>
    <row r="36" spans="2:44">
      <c r="AP36" s="651">
        <v>45658</v>
      </c>
      <c r="AQ36" s="667">
        <v>132.83129347826099</v>
      </c>
      <c r="AR36" s="668">
        <v>16778936.9576087</v>
      </c>
    </row>
    <row r="37" spans="2:44">
      <c r="B37" s="2329">
        <v>45717</v>
      </c>
      <c r="C37" s="2330"/>
      <c r="D37" s="2330"/>
      <c r="E37" s="2330"/>
      <c r="F37" s="2330"/>
      <c r="G37" s="2330"/>
      <c r="H37" s="2330"/>
      <c r="I37" s="2330"/>
      <c r="J37" s="2330"/>
      <c r="K37" s="2330"/>
      <c r="L37" s="2330"/>
      <c r="M37" s="2330"/>
      <c r="N37" s="2331"/>
      <c r="O37" s="621"/>
      <c r="P37" s="2361">
        <f>B37</f>
        <v>45717</v>
      </c>
      <c r="Q37" s="2362"/>
      <c r="R37" s="2362"/>
      <c r="S37" s="2362"/>
      <c r="T37" s="2362"/>
      <c r="U37" s="2362"/>
      <c r="V37" s="2362"/>
      <c r="W37" s="2362"/>
      <c r="X37" s="2362"/>
      <c r="Y37" s="2362"/>
      <c r="Z37" s="2362"/>
      <c r="AA37" s="2362"/>
      <c r="AB37" s="2363"/>
      <c r="AC37" s="621"/>
      <c r="AD37" s="2329">
        <f>P37</f>
        <v>45717</v>
      </c>
      <c r="AE37" s="2330"/>
      <c r="AF37" s="2330"/>
      <c r="AG37" s="2330"/>
      <c r="AH37" s="2330"/>
      <c r="AI37" s="2330"/>
      <c r="AJ37" s="2330"/>
      <c r="AK37" s="2330"/>
      <c r="AL37" s="2330"/>
      <c r="AM37" s="2330"/>
      <c r="AN37" s="2331"/>
      <c r="AP37" s="651">
        <v>45689</v>
      </c>
      <c r="AQ37" s="667">
        <v>132.83129347826099</v>
      </c>
      <c r="AR37" s="668">
        <v>16778936.9576087</v>
      </c>
    </row>
    <row r="38" spans="2:44" ht="16.5" customHeight="1">
      <c r="B38" s="2335" t="s">
        <v>1874</v>
      </c>
      <c r="C38" s="2343"/>
      <c r="D38" s="2336"/>
      <c r="E38" s="2343" t="s">
        <v>7</v>
      </c>
      <c r="F38" s="2360"/>
      <c r="G38" s="2352" t="s">
        <v>13</v>
      </c>
      <c r="H38" s="2360"/>
      <c r="I38" s="2352" t="s">
        <v>1875</v>
      </c>
      <c r="J38" s="2343"/>
      <c r="K38" s="2352" t="s">
        <v>1876</v>
      </c>
      <c r="L38" s="2343"/>
      <c r="M38" s="2335" t="s">
        <v>114</v>
      </c>
      <c r="N38" s="2336"/>
      <c r="O38" s="622"/>
      <c r="P38" s="2353" t="s">
        <v>1</v>
      </c>
      <c r="Q38" s="2360" t="s">
        <v>7</v>
      </c>
      <c r="R38" s="2333"/>
      <c r="S38" s="2333" t="s">
        <v>13</v>
      </c>
      <c r="T38" s="2333"/>
      <c r="U38" s="2333" t="s">
        <v>1875</v>
      </c>
      <c r="V38" s="2352"/>
      <c r="W38" s="2333" t="s">
        <v>1876</v>
      </c>
      <c r="X38" s="2352"/>
      <c r="Y38" s="2332" t="s">
        <v>114</v>
      </c>
      <c r="Z38" s="2333"/>
      <c r="AA38" s="2333" t="s">
        <v>1877</v>
      </c>
      <c r="AB38" s="2334"/>
      <c r="AC38" s="622"/>
      <c r="AD38" s="2353" t="s">
        <v>1</v>
      </c>
      <c r="AE38" s="2352" t="s">
        <v>7</v>
      </c>
      <c r="AF38" s="2360"/>
      <c r="AG38" s="2352" t="s">
        <v>13</v>
      </c>
      <c r="AH38" s="2360"/>
      <c r="AI38" s="2352" t="s">
        <v>1875</v>
      </c>
      <c r="AJ38" s="2336"/>
      <c r="AK38" s="2343" t="s">
        <v>1876</v>
      </c>
      <c r="AL38" s="2336"/>
      <c r="AM38" s="2335" t="s">
        <v>114</v>
      </c>
      <c r="AN38" s="2336"/>
      <c r="AP38" s="651">
        <v>45717</v>
      </c>
      <c r="AQ38" s="667">
        <v>170.517845202399</v>
      </c>
      <c r="AR38" s="668">
        <v>21844496.980367299</v>
      </c>
    </row>
    <row r="39" spans="2:44" ht="15.75">
      <c r="B39" s="559" t="s">
        <v>1878</v>
      </c>
      <c r="C39" s="591" t="s">
        <v>1879</v>
      </c>
      <c r="D39" s="592" t="s">
        <v>1880</v>
      </c>
      <c r="E39" s="562" t="s">
        <v>1872</v>
      </c>
      <c r="F39" s="563" t="s">
        <v>1881</v>
      </c>
      <c r="G39" s="562" t="s">
        <v>1872</v>
      </c>
      <c r="H39" s="563" t="s">
        <v>1881</v>
      </c>
      <c r="I39" s="562" t="s">
        <v>1872</v>
      </c>
      <c r="J39" s="623" t="s">
        <v>1881</v>
      </c>
      <c r="K39" s="563" t="s">
        <v>1872</v>
      </c>
      <c r="L39" s="624" t="s">
        <v>1881</v>
      </c>
      <c r="M39" s="610" t="s">
        <v>1872</v>
      </c>
      <c r="N39" s="624" t="s">
        <v>1881</v>
      </c>
      <c r="O39" s="622"/>
      <c r="P39" s="2354"/>
      <c r="Q39" s="562" t="s">
        <v>1872</v>
      </c>
      <c r="R39" s="563" t="s">
        <v>1881</v>
      </c>
      <c r="S39" s="562" t="s">
        <v>1872</v>
      </c>
      <c r="T39" s="563" t="s">
        <v>1881</v>
      </c>
      <c r="U39" s="562" t="s">
        <v>1872</v>
      </c>
      <c r="V39" s="563" t="s">
        <v>1881</v>
      </c>
      <c r="W39" s="562" t="s">
        <v>1872</v>
      </c>
      <c r="X39" s="563" t="s">
        <v>1881</v>
      </c>
      <c r="Y39" s="610" t="s">
        <v>1872</v>
      </c>
      <c r="Z39" s="563" t="s">
        <v>1881</v>
      </c>
      <c r="AA39" s="563" t="s">
        <v>1872</v>
      </c>
      <c r="AB39" s="624" t="s">
        <v>1881</v>
      </c>
      <c r="AC39" s="622"/>
      <c r="AD39" s="2355"/>
      <c r="AE39" s="825" t="s">
        <v>1872</v>
      </c>
      <c r="AF39" s="825" t="s">
        <v>1881</v>
      </c>
      <c r="AG39" s="825" t="s">
        <v>1872</v>
      </c>
      <c r="AH39" s="825" t="s">
        <v>1881</v>
      </c>
      <c r="AI39" s="825" t="s">
        <v>1872</v>
      </c>
      <c r="AJ39" s="826" t="s">
        <v>1881</v>
      </c>
      <c r="AK39" s="838" t="s">
        <v>1872</v>
      </c>
      <c r="AL39" s="826" t="s">
        <v>1881</v>
      </c>
      <c r="AM39" s="563" t="s">
        <v>1872</v>
      </c>
      <c r="AN39" s="624" t="s">
        <v>1881</v>
      </c>
      <c r="AP39" s="651">
        <v>45748</v>
      </c>
      <c r="AQ39" s="667">
        <v>170.517845202399</v>
      </c>
      <c r="AR39" s="668">
        <v>21844496.980367299</v>
      </c>
    </row>
    <row r="40" spans="2:44" ht="15.75">
      <c r="B40" s="564" t="s">
        <v>28</v>
      </c>
      <c r="C40" s="565">
        <v>140</v>
      </c>
      <c r="D40" s="566">
        <f>C40/$C$45</f>
        <v>0.16867469879518071</v>
      </c>
      <c r="E40" s="567">
        <f>ROUND($D40*VLOOKUP($B$37,'ИПП 1кв25'!$AP$4:$AR$16,2,0),0)</f>
        <v>8</v>
      </c>
      <c r="F40" s="568">
        <f>ROUND($D40*VLOOKUP($B$37,'ИПП 1кв25'!$AP$4:$AR$16,3,0),0)</f>
        <v>1082746</v>
      </c>
      <c r="G40" s="568">
        <f>ROUND($D40*VLOOKUP($B$37,'ИПП 1кв25'!$AP$20:$AR$32,2,0),0)</f>
        <v>233</v>
      </c>
      <c r="H40" s="568">
        <f>ROUND($D40*VLOOKUP($B$37,'ИПП 1кв25'!$AP$20:$AR$32,3,0),0)</f>
        <v>29737502</v>
      </c>
      <c r="I40" s="568">
        <f>ROUND($D40*VLOOKUP($B$37,'ИПП 1кв25'!$AP$36:$AR$48,2,0),0)</f>
        <v>29</v>
      </c>
      <c r="J40" s="625">
        <f>ROUND($D40*VLOOKUP($B$37,'ИПП 1кв25'!$AP$36:$AR$48,3,0),0)</f>
        <v>3684614</v>
      </c>
      <c r="K40" s="568">
        <f>ROUND($D40*VLOOKUP($B$37,'ИПП 1кв25'!$AP$53:$AR$65,2,0),0)</f>
        <v>61</v>
      </c>
      <c r="L40" s="625">
        <f>ROUND($D40*VLOOKUP($B$37,'ИПП 1кв25'!$AP$53:$AR$65,3,0),0)</f>
        <v>7236605</v>
      </c>
      <c r="M40" s="596">
        <f>E40+G40+I40+K40</f>
        <v>331</v>
      </c>
      <c r="N40" s="626">
        <f>F40+H40+J40+L40</f>
        <v>41741467</v>
      </c>
      <c r="O40" s="622"/>
      <c r="P40" s="564" t="s">
        <v>28</v>
      </c>
      <c r="Q40" s="572">
        <f>SUMIFS(РД[S],РД[Дом],$Q$38,РД[МОП],$P40,РД[Дата подачи на регистрацию],"&gt;="&amp;$P$37,РД[Дата подачи на регистрацию],"&lt;"&amp;DATE(YEAR($B$37),MONTH($B$37)+1,1),РД[Состояние],"Продажа")-AE40/2</f>
        <v>0</v>
      </c>
      <c r="R40" s="573">
        <f>SUMIFS(РД[Стоимость без отделки итог],РД[Дом],$Q$38,РД[МОП],$P40,РД[Дата подачи на регистрацию],"&gt;="&amp;$P$37,РД[Дата подачи на регистрацию],"&lt;"&amp;DATE(YEAR($B$37),MONTH($B$37)+1,1),РД[Состояние],"Продажа")-AF40/2</f>
        <v>0</v>
      </c>
      <c r="S40" s="573">
        <f>SUMIFS(РД[S],РД[Дом],$S$38,РД[МОП],$P40,РД[Дата подачи на регистрацию],"&gt;="&amp;$P$37,РД[Дата подачи на регистрацию],"&lt;"&amp;DATE(YEAR($B$37),MONTH($B$37)+1,1),РД[Состояние],"Продажа")-AG40/2</f>
        <v>38.299999999999997</v>
      </c>
      <c r="T40" s="573">
        <f>SUMIFS(РД[Стоимость без отделки итог],РД[Дом],$S$38,РД[МОП],$P40,РД[Дата подачи на регистрацию],"&gt;="&amp;$P$37,РД[Дата подачи на регистрацию],"&lt;"&amp;DATE(YEAR($B$37),MONTH($B$37)+1,1),РД[Состояние],"Продажа")-AH40/2</f>
        <v>5188218</v>
      </c>
      <c r="U40" s="573">
        <f>SUMIFS(РД[S],РД[Дом],$U$38,РД[МОП],$P40,РД[Дата подачи на регистрацию],"&gt;="&amp;$P$37,РД[Дата подачи на регистрацию],"&lt;"&amp;DATE(YEAR($B$37),MONTH($B$37)+1,1),РД[Состояние],"Продажа")-AI40/2</f>
        <v>49.2</v>
      </c>
      <c r="V40" s="628">
        <f>SUMIFS(РД[Стоимость без отделки итог],РД[Дом],$U$38,РД[МОП],$P40,РД[Дата подачи на регистрацию],"&gt;="&amp;$P$37,РД[Дата подачи на регистрацию],"&lt;"&amp;DATE(YEAR($B$37),MONTH($B$37)+1,1),РД[Состояние],"Продажа")-AJ40/2</f>
        <v>6268080</v>
      </c>
      <c r="W40" s="573">
        <f>SUMIFS(РД[S],РД[Дом],$W$38,РД[МОП],$P40,РД[Дата подачи на регистрацию],"&gt;="&amp;$P$37,РД[Дата подачи на регистрацию],"&lt;"&amp;DATE(YEAR($B$37),MONTH($B$37)+1,1),РД[Состояние],"Продажа")-AK40/2</f>
        <v>90.7</v>
      </c>
      <c r="X40" s="628">
        <f>SUMIFS(РД[Стоимость без отделки итог],РД[Дом],$W$38,РД[МОП],$P40,РД[Дата подачи на регистрацию],"&gt;="&amp;$P$37,РД[Дата подачи на регистрацию],"&lt;"&amp;DATE(YEAR($B$37),MONTH($B$37)+1,1),РД[Состояние],"Продажа")-AL40/2</f>
        <v>11432288</v>
      </c>
      <c r="Y40" s="636">
        <f>Q40+S40+U40+W40</f>
        <v>178.2</v>
      </c>
      <c r="Z40" s="573">
        <f>R40+T40+V40+X40</f>
        <v>22888586</v>
      </c>
      <c r="AA40" s="645">
        <f t="shared" ref="AA40" si="49">IFERROR(Y40/M40,"")</f>
        <v>0.53836858006042287</v>
      </c>
      <c r="AB40" s="588">
        <f t="shared" ref="AB40" si="50">IFERROR(Z40/N40,"")</f>
        <v>0.54834167663537081</v>
      </c>
      <c r="AC40" s="622"/>
      <c r="AD40" s="564" t="s">
        <v>28</v>
      </c>
      <c r="AE40" s="594">
        <f>SUMIFS(РД[S],РД[Дом],$AE$38,РД[МОП],$AD40,РД[Источник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0" s="568">
        <f>SUMIFS(РД[Стоимость без отделки итог],РД[Дом],$AE$38,РД[МОП],$AD40,РД[Источник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0" s="568">
        <f>SUMIFS(РД[S],РД[Дом],$AG$38,РД[МОП],$AD40,РД[Источник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0" s="568">
        <f>SUMIFS(РД[Стоимость без отделки итог],РД[Дом],$AG$38,РД[МОП],$AD40,РД[Источник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0" s="568">
        <f>SUMIFS(РД[S],РД[Дом],$AI$38,РД[МОП],$AD40,РД[Источник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40" s="568">
        <f>SUMIFS(РД[Стоимость без отделки итог],РД[Дом],$AI$38,РД[МОП],$AD40,РД[Источник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40" s="568">
        <f>SUMIFS(РД[S],РД[Дом],$AK$38,РД[МОП],$AD40,РД[Источник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L40" s="808">
        <f>SUMIFS(РД[Стоимость без отделки итог],РД[Дом],$AK$38,РД[МОП],$AD40,РД[Источник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M40" s="572">
        <f>AE40+AG40+AI40+AK40</f>
        <v>0</v>
      </c>
      <c r="AN40" s="652">
        <f>AF40+AH40+AJ40+AL40</f>
        <v>0</v>
      </c>
      <c r="AP40" s="651">
        <v>45778</v>
      </c>
      <c r="AQ40" s="667">
        <v>170.517845202399</v>
      </c>
      <c r="AR40" s="597">
        <v>22069697.9801649</v>
      </c>
    </row>
    <row r="41" spans="2:44" ht="15.75">
      <c r="B41" s="569" t="s">
        <v>8</v>
      </c>
      <c r="C41" s="832">
        <v>192</v>
      </c>
      <c r="D41" s="575">
        <f t="shared" ref="D41:D44" si="51">C41/$C$45</f>
        <v>0.23132530120481928</v>
      </c>
      <c r="E41" s="606">
        <f>ROUND($D41*VLOOKUP($B$37,'ИПП 1кв25'!$AP$4:$AR$16,2,0),0)</f>
        <v>11</v>
      </c>
      <c r="F41" s="597">
        <f>ROUND($D41*VLOOKUP($B$37,'ИПП 1кв25'!$AP$4:$AR$16,3,0),0)</f>
        <v>1484909</v>
      </c>
      <c r="G41" s="597">
        <f>ROUND($D41*VLOOKUP($B$37,'ИПП 1кв25'!$AP$20:$AR$32,2,0),0)</f>
        <v>320</v>
      </c>
      <c r="H41" s="597">
        <f>ROUND($D41*VLOOKUP($B$37,'ИПП 1кв25'!$AP$20:$AR$32,3,0),0)</f>
        <v>40782860</v>
      </c>
      <c r="I41" s="597">
        <f>ROUND($D41*VLOOKUP($B$37,'ИПП 1кв25'!$AP$36:$AR$48,2,0),0)</f>
        <v>39</v>
      </c>
      <c r="J41" s="632">
        <f>ROUND($D41*VLOOKUP($B$37,'ИПП 1кв25'!$AP$36:$AR$48,3,0),0)</f>
        <v>5053185</v>
      </c>
      <c r="K41" s="597">
        <f>ROUND($D41*VLOOKUP($B$37,'ИПП 1кв25'!$AP$53:$AR$65,2,0),0)</f>
        <v>84</v>
      </c>
      <c r="L41" s="632">
        <f>ROUND($D41*VLOOKUP($B$37,'ИПП 1кв25'!$AP$53:$AR$65,3,0),0)</f>
        <v>9924487</v>
      </c>
      <c r="M41" s="596">
        <f>E41+G41+I41+K41</f>
        <v>454</v>
      </c>
      <c r="N41" s="626">
        <f>F41+H41+J41+L41</f>
        <v>57245441</v>
      </c>
      <c r="O41" s="609"/>
      <c r="P41" s="569" t="s">
        <v>8</v>
      </c>
      <c r="Q41" s="572">
        <f>SUMIFS(РД[S],РД[Дом],$Q$38,РД[МОП],$P41,РД[Дата подачи на регистрацию],"&gt;="&amp;$P$37,РД[Дата подачи на регистрацию],"&lt;"&amp;DATE(YEAR($B$37),MONTH($B$37)+1,1),РД[Состояние],"Продажа")-AE41/2</f>
        <v>0</v>
      </c>
      <c r="R41" s="573">
        <f>SUMIFS(РД[Стоимость без отделки итог],РД[Дом],$Q$38,РД[МОП],$P41,РД[Дата подачи на регистрацию],"&gt;="&amp;$P$37,РД[Дата подачи на регистрацию],"&lt;"&amp;DATE(YEAR($B$37),MONTH($B$37)+1,1),РД[Состояние],"Продажа")-AF41/2</f>
        <v>0</v>
      </c>
      <c r="S41" s="573">
        <f>SUMIFS(РД[S],РД[Дом],$S$38,РД[МОП],$P41,РД[Дата подачи на регистрацию],"&gt;="&amp;$P$37,РД[Дата подачи на регистрацию],"&lt;"&amp;DATE(YEAR($B$37),MONTH($B$37)+1,1),РД[Состояние],"Продажа")-AG41/2</f>
        <v>0</v>
      </c>
      <c r="T41" s="573">
        <f>SUMIFS(РД[Стоимость без отделки итог],РД[Дом],$S$38,РД[МОП],$P41,РД[Дата подачи на регистрацию],"&gt;="&amp;$P$37,РД[Дата подачи на регистрацию],"&lt;"&amp;DATE(YEAR($B$37),MONTH($B$37)+1,1),РД[Состояние],"Продажа")-AH41/2</f>
        <v>0</v>
      </c>
      <c r="U41" s="573">
        <f>SUMIFS(РД[S],РД[Дом],$U$38,РД[МОП],$P41,РД[Дата подачи на регистрацию],"&gt;="&amp;$P$37,РД[Дата подачи на регистрацию],"&lt;"&amp;DATE(YEAR($B$37),MONTH($B$37)+1,1),РД[Состояние],"Продажа")-AI41/2</f>
        <v>24.6</v>
      </c>
      <c r="V41" s="628">
        <f>SUMIFS(РД[Стоимость без отделки итог],РД[Дом],$U$38,РД[МОП],$P41,РД[Дата подачи на регистрацию],"&gt;="&amp;$P$37,РД[Дата подачи на регистрацию],"&lt;"&amp;DATE(YEAR($B$37),MONTH($B$37)+1,1),РД[Состояние],"Продажа")-AJ41/2</f>
        <v>3102060</v>
      </c>
      <c r="W41" s="573">
        <f>SUMIFS(РД[S],РД[Дом],$W$38,РД[МОП],$P41,РД[Дата подачи на регистрацию],"&gt;="&amp;$P$37,РД[Дата подачи на регистрацию],"&lt;"&amp;DATE(YEAR($B$37),MONTH($B$37)+1,1),РД[Состояние],"Продажа")-AK41/2</f>
        <v>120.16</v>
      </c>
      <c r="X41" s="628">
        <f>SUMIFS(РД[Стоимость без отделки итог],РД[Дом],$W$38,РД[МОП],$P41,РД[Дата подачи на регистрацию],"&gt;="&amp;$P$37,РД[Дата подачи на регистрацию],"&lt;"&amp;DATE(YEAR($B$37),MONTH($B$37)+1,1),РД[Состояние],"Продажа")-AL41/2</f>
        <v>14410670</v>
      </c>
      <c r="Y41" s="636">
        <f>Q41+S41+U41+W41</f>
        <v>144.76</v>
      </c>
      <c r="Z41" s="573">
        <f>R41+T41+V41+X41</f>
        <v>17512730</v>
      </c>
      <c r="AA41" s="645">
        <f t="shared" ref="AA41:AB45" si="52">IFERROR(Y41/M41,"")</f>
        <v>0.3188546255506608</v>
      </c>
      <c r="AB41" s="588">
        <f t="shared" si="52"/>
        <v>0.30592357564334249</v>
      </c>
      <c r="AC41" s="609"/>
      <c r="AD41" s="569" t="s">
        <v>8</v>
      </c>
      <c r="AE41" s="636">
        <f>SUMIFS(РД[S],РД[Дом],$AE$38,РД[МОП],$AD41,РД[Источник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1" s="573">
        <f>SUMIFS(РД[Стоимость без отделки итог],РД[Дом],$AE$38,РД[МОП],$AD41,РД[Источник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1" s="573">
        <f>SUMIFS(РД[S],РД[Дом],$AG$38,РД[МОП],$AD41,РД[Источник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1" s="573">
        <f>SUMIFS(РД[Стоимость без отделки итог],РД[Дом],$AG$38,РД[МОП],$AD41,РД[Источник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1" s="573">
        <f>SUMIFS(РД[S],РД[Дом],$AI$38,РД[МОП],$AD41,РД[Источник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49.2</v>
      </c>
      <c r="AJ41" s="573">
        <f>SUMIFS(РД[Стоимость без отделки итог],РД[Дом],$AI$38,РД[МОП],$AD41,РД[Источник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6204120</v>
      </c>
      <c r="AK41" s="573">
        <f>SUMIFS(РД[S],РД[Дом],$AK$38,РД[МОП],$AD41,РД[Источник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L41" s="652">
        <f>SUMIFS(РД[Стоимость без отделки итог],РД[Дом],$AK$38,РД[МОП],$AD41,РД[Источник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M41" s="572">
        <f t="shared" ref="AM41:AM45" si="53">AE41+AG41+AI41+AK41</f>
        <v>49.2</v>
      </c>
      <c r="AN41" s="652">
        <f t="shared" ref="AN41:AN45" si="54">AF41+AH41+AJ41+AL41</f>
        <v>6204120</v>
      </c>
      <c r="AP41" s="651">
        <v>45809</v>
      </c>
      <c r="AQ41" s="667">
        <v>245.890948650675</v>
      </c>
      <c r="AR41" s="668">
        <v>32305262.562233899</v>
      </c>
    </row>
    <row r="42" spans="2:44" ht="15.75">
      <c r="B42" s="569" t="s">
        <v>20</v>
      </c>
      <c r="C42" s="595">
        <v>189</v>
      </c>
      <c r="D42" s="575">
        <f t="shared" si="51"/>
        <v>0.22771084337349398</v>
      </c>
      <c r="E42" s="606">
        <f>ROUND($D42*VLOOKUP($B$37,'ИПП 1кв25'!$AP$4:$AR$16,2,0),0)</f>
        <v>11</v>
      </c>
      <c r="F42" s="597">
        <f>ROUND($D42*VLOOKUP($B$37,'ИПП 1кв25'!$AP$4:$AR$16,3,0),0)</f>
        <v>1461707</v>
      </c>
      <c r="G42" s="597">
        <f>ROUND($D42*VLOOKUP($B$37,'ИПП 1кв25'!$AP$20:$AR$32,2,0),0)</f>
        <v>315</v>
      </c>
      <c r="H42" s="597">
        <f>ROUND($D42*VLOOKUP($B$37,'ИПП 1кв25'!$AP$20:$AR$32,3,0),0)</f>
        <v>40145628</v>
      </c>
      <c r="I42" s="597">
        <f>ROUND($D42*VLOOKUP($B$37,'ИПП 1кв25'!$AP$36:$AR$48,2,0),0)</f>
        <v>39</v>
      </c>
      <c r="J42" s="632">
        <f>ROUND($D42*VLOOKUP($B$37,'ИПП 1кв25'!$AP$36:$AR$48,3,0),0)</f>
        <v>4974229</v>
      </c>
      <c r="K42" s="597">
        <f>ROUND($D42*VLOOKUP($B$37,'ИПП 1кв25'!$AP$53:$AR$65,2,0),0)</f>
        <v>82</v>
      </c>
      <c r="L42" s="632">
        <f>ROUND($D42*VLOOKUP($B$37,'ИПП 1кв25'!$AP$53:$AR$65,3,0),0)</f>
        <v>9769417</v>
      </c>
      <c r="M42" s="596">
        <f t="shared" ref="M42:N45" si="55">E42+G42+I42+K42</f>
        <v>447</v>
      </c>
      <c r="N42" s="626">
        <f t="shared" si="55"/>
        <v>56350981</v>
      </c>
      <c r="O42" s="609"/>
      <c r="P42" s="569" t="s">
        <v>20</v>
      </c>
      <c r="Q42" s="606">
        <f>SUMIFS(РД[S],РД[Дом],$Q$38,РД[МОП],$P42,РД[Дата подачи на регистрацию],"&gt;="&amp;$P$37,РД[Дата подачи на регистрацию],"&lt;"&amp;DATE(YEAR($B$37),MONTH($B$37)+1,1),РД[Состояние],"Продажа")-AE42/2</f>
        <v>0</v>
      </c>
      <c r="R42" s="597">
        <f>SUMIFS(РД[Стоимость без отделки итог],РД[Дом],$Q$38,РД[МОП],$P42,РД[Дата подачи на регистрацию],"&gt;="&amp;$P$37,РД[Дата подачи на регистрацию],"&lt;"&amp;DATE(YEAR($B$37),MONTH($B$37)+1,1),РД[Состояние],"Продажа")-AF42/2</f>
        <v>0</v>
      </c>
      <c r="S42" s="597">
        <f>SUMIFS(РД[S],РД[Дом],$S$38,РД[МОП],$P42,РД[Дата подачи на регистрацию],"&gt;="&amp;$P$37,РД[Дата подачи на регистрацию],"&lt;"&amp;DATE(YEAR($B$37),MONTH($B$37)+1,1),РД[Состояние],"Продажа")-AG42/2</f>
        <v>118.48</v>
      </c>
      <c r="T42" s="597">
        <f>SUMIFS(РД[Стоимость без отделки итог],РД[Дом],$S$38,РД[МОП],$P42,РД[Дата подачи на регистрацию],"&gt;="&amp;$P$37,РД[Дата подачи на регистрацию],"&lt;"&amp;DATE(YEAR($B$37),MONTH($B$37)+1,1),РД[Состояние],"Продажа")-AH42/2</f>
        <v>13729886</v>
      </c>
      <c r="U42" s="597">
        <f>SUMIFS(РД[S],РД[Дом],$U$38,РД[МОП],$P42,РД[Дата подачи на регистрацию],"&gt;="&amp;$P$37,РД[Дата подачи на регистрацию],"&lt;"&amp;DATE(YEAR($B$37),MONTH($B$37)+1,1),РД[Состояние],"Продажа")-AI42/2</f>
        <v>0</v>
      </c>
      <c r="V42" s="632">
        <f>SUMIFS(РД[Стоимость без отделки итог],РД[Дом],$U$38,РД[МОП],$P42,РД[Дата подачи на регистрацию],"&gt;="&amp;$P$37,РД[Дата подачи на регистрацию],"&lt;"&amp;DATE(YEAR($B$37),MONTH($B$37)+1,1),РД[Состояние],"Продажа")-AJ42/2</f>
        <v>0</v>
      </c>
      <c r="W42" s="573">
        <f>SUMIFS(РД[S],РД[Дом],$W$38,РД[МОП],$P42,РД[Дата подачи на регистрацию],"&gt;="&amp;$P$37,РД[Дата подачи на регистрацию],"&lt;"&amp;DATE(YEAR($B$37),MONTH($B$37)+1,1),РД[Состояние],"Продажа")-AK42/2</f>
        <v>144.095</v>
      </c>
      <c r="X42" s="628">
        <f>SUMIFS(РД[Стоимость без отделки итог],РД[Дом],$W$38,РД[МОП],$P42,РД[Дата подачи на регистрацию],"&gt;="&amp;$P$37,РД[Дата подачи на регистрацию],"&lt;"&amp;DATE(YEAR($B$37),MONTH($B$37)+1,1),РД[Состояние],"Продажа")-AL42/2</f>
        <v>17896765</v>
      </c>
      <c r="Y42" s="636">
        <f t="shared" ref="Y42:Z44" si="56">Q42+S42+U42+W42</f>
        <v>262.57499999999999</v>
      </c>
      <c r="Z42" s="573">
        <f t="shared" si="56"/>
        <v>31626651</v>
      </c>
      <c r="AA42" s="638">
        <f t="shared" si="52"/>
        <v>0.58741610738255035</v>
      </c>
      <c r="AB42" s="617">
        <f t="shared" si="52"/>
        <v>0.56124401809437885</v>
      </c>
      <c r="AC42" s="609"/>
      <c r="AD42" s="569" t="s">
        <v>20</v>
      </c>
      <c r="AE42" s="636">
        <f>SUMIFS(РД[S],РД[Дом],$AE$38,РД[МОП],$AD42,РД[Источник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2" s="573">
        <f>SUMIFS(РД[Стоимость без отделки итог],РД[Дом],$AE$38,РД[МОП],$AD42,РД[Источник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2" s="573">
        <f>SUMIFS(РД[S],РД[Дом],$AG$38,РД[МОП],$AD42,РД[Источник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2" s="573">
        <f>SUMIFS(РД[Стоимость без отделки итог],РД[Дом],$AG$38,РД[МОП],$AD42,РД[Источник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2" s="573">
        <f>SUMIFS(РД[S],РД[Дом],$AI$38,РД[МОП],$AD42,РД[Источник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42" s="573">
        <f>SUMIFS(РД[Стоимость без отделки итог],РД[Дом],$AI$38,РД[МОП],$AD42,РД[Источник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42" s="573">
        <f>SUMIFS(РД[S],РД[Дом],$AK$38,РД[МОП],$AD42,РД[Источник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179.49</v>
      </c>
      <c r="AL42" s="652">
        <f>SUMIFS(РД[Стоимость без отделки итог],РД[Дом],$AK$38,РД[МОП],$AD42,РД[Источник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22295330</v>
      </c>
      <c r="AM42" s="572">
        <f t="shared" si="53"/>
        <v>179.49</v>
      </c>
      <c r="AN42" s="652">
        <f t="shared" si="54"/>
        <v>22295330</v>
      </c>
      <c r="AP42" s="651">
        <v>45839</v>
      </c>
      <c r="AQ42" s="667">
        <v>806.71963905547204</v>
      </c>
      <c r="AR42" s="668">
        <v>104563122.32256401</v>
      </c>
    </row>
    <row r="43" spans="2:44" ht="15.75">
      <c r="B43" s="569" t="s">
        <v>24</v>
      </c>
      <c r="C43" s="595">
        <v>177</v>
      </c>
      <c r="D43" s="575">
        <f t="shared" si="51"/>
        <v>0.21325301204819277</v>
      </c>
      <c r="E43" s="606">
        <f>ROUND($D43*VLOOKUP($B$37,'ИПП 1кв25'!$AP$4:$AR$16,2,0),0)</f>
        <v>10</v>
      </c>
      <c r="F43" s="597">
        <f>ROUND($D43*VLOOKUP($B$37,'ИПП 1кв25'!$AP$4:$AR$16,3,0),0)</f>
        <v>1368900</v>
      </c>
      <c r="G43" s="597">
        <f>ROUND($D43*VLOOKUP($B$37,'ИПП 1кв25'!$AP$20:$AR$32,2,0),0)</f>
        <v>295</v>
      </c>
      <c r="H43" s="597">
        <f>ROUND($D43*VLOOKUP($B$37,'ИПП 1кв25'!$AP$20:$AR$32,3,0),0)</f>
        <v>37596699</v>
      </c>
      <c r="I43" s="597">
        <f>ROUND($D43*VLOOKUP($B$37,'ИПП 1кв25'!$AP$36:$AR$48,2,0),0)</f>
        <v>36</v>
      </c>
      <c r="J43" s="632">
        <f>ROUND($D43*VLOOKUP($B$37,'ИПП 1кв25'!$AP$36:$AR$48,3,0),0)</f>
        <v>4658405</v>
      </c>
      <c r="K43" s="597">
        <f>ROUND($D43*VLOOKUP($B$37,'ИПП 1кв25'!$AP$53:$AR$65,2,0),0)</f>
        <v>77</v>
      </c>
      <c r="L43" s="632">
        <f>ROUND($D43*VLOOKUP($B$37,'ИПП 1кв25'!$AP$53:$AR$65,3,0),0)</f>
        <v>9149137</v>
      </c>
      <c r="M43" s="596">
        <f t="shared" si="55"/>
        <v>418</v>
      </c>
      <c r="N43" s="626">
        <f t="shared" si="55"/>
        <v>52773141</v>
      </c>
      <c r="O43" s="609"/>
      <c r="P43" s="569" t="s">
        <v>24</v>
      </c>
      <c r="Q43" s="606">
        <f>SUMIFS(РД[S],РД[Дом],$Q$38,РД[МОП],$P43,РД[Дата подачи на регистрацию],"&gt;="&amp;$P$37,РД[Дата подачи на регистрацию],"&lt;"&amp;DATE(YEAR($B$37),MONTH($B$37)+1,1),РД[Состояние],"Продажа")-AE43/2</f>
        <v>75.7</v>
      </c>
      <c r="R43" s="597">
        <f>SUMIFS(РД[Стоимость без отделки итог],РД[Дом],$Q$38,РД[МОП],$P43,РД[Дата подачи на регистрацию],"&gt;="&amp;$P$37,РД[Дата подачи на регистрацию],"&lt;"&amp;DATE(YEAR($B$37),MONTH($B$37)+1,1),РД[Состояние],"Продажа")-AF43/2</f>
        <v>8374500</v>
      </c>
      <c r="S43" s="597">
        <f>SUMIFS(РД[S],РД[Дом],$S$38,РД[МОП],$P43,РД[Дата подачи на регистрацию],"&gt;="&amp;$P$37,РД[Дата подачи на регистрацию],"&lt;"&amp;DATE(YEAR($B$37),MONTH($B$37)+1,1),РД[Состояние],"Продажа")-AG43/2</f>
        <v>59.31</v>
      </c>
      <c r="T43" s="597">
        <f>SUMIFS(РД[Стоимость без отделки итог],РД[Дом],$S$38,РД[МОП],$P43,РД[Дата подачи на регистрацию],"&gt;="&amp;$P$37,РД[Дата подачи на регистрацию],"&lt;"&amp;DATE(YEAR($B$37),MONTH($B$37)+1,1),РД[Состояние],"Продажа")-AH43/2</f>
        <v>8489680</v>
      </c>
      <c r="U43" s="597">
        <f>SUMIFS(РД[S],РД[Дом],$U$38,РД[МОП],$P43,РД[Дата подачи на регистрацию],"&gt;="&amp;$P$37,РД[Дата подачи на регистрацию],"&lt;"&amp;DATE(YEAR($B$37),MONTH($B$37)+1,1),РД[Состояние],"Продажа")-AI43/2</f>
        <v>0</v>
      </c>
      <c r="V43" s="632">
        <f>SUMIFS(РД[Стоимость без отделки итог],РД[Дом],$U$38,РД[МОП],$P43,РД[Дата подачи на регистрацию],"&gt;="&amp;$P$37,РД[Дата подачи на регистрацию],"&lt;"&amp;DATE(YEAR($B$37),MONTH($B$37)+1,1),РД[Состояние],"Продажа")-AJ43/2</f>
        <v>0</v>
      </c>
      <c r="W43" s="573">
        <f>SUMIFS(РД[S],РД[Дом],$W$38,РД[МОП],$P43,РД[Дата подачи на регистрацию],"&gt;="&amp;$P$37,РД[Дата подачи на регистрацию],"&lt;"&amp;DATE(YEAR($B$37),MONTH($B$37)+1,1),РД[Состояние],"Продажа")-AK43/2</f>
        <v>258.96500000000003</v>
      </c>
      <c r="X43" s="628">
        <f>SUMIFS(РД[Стоимость без отделки итог],РД[Дом],$W$38,РД[МОП],$P43,РД[Дата подачи на регистрацию],"&gt;="&amp;$P$37,РД[Дата подачи на регистрацию],"&lt;"&amp;DATE(YEAR($B$37),MONTH($B$37)+1,1),РД[Состояние],"Продажа")-AL43/2</f>
        <v>32687023</v>
      </c>
      <c r="Y43" s="636">
        <f t="shared" si="56"/>
        <v>393.97500000000002</v>
      </c>
      <c r="Z43" s="573">
        <f t="shared" si="56"/>
        <v>49551203</v>
      </c>
      <c r="AA43" s="638">
        <f t="shared" si="52"/>
        <v>0.94252392344497615</v>
      </c>
      <c r="AB43" s="617">
        <f t="shared" si="52"/>
        <v>0.93894738992321869</v>
      </c>
      <c r="AC43" s="609"/>
      <c r="AD43" s="569" t="s">
        <v>24</v>
      </c>
      <c r="AE43" s="636">
        <f>SUMIFS(РД[S],РД[Дом],$AE$38,РД[МОП],$AD43,РД[Источник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3" s="573">
        <f>SUMIFS(РД[Стоимость без отделки итог],РД[Дом],$AE$38,РД[МОП],$AD43,РД[Источник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3" s="573">
        <f>SUMIFS(РД[S],РД[Дом],$AG$38,РД[МОП],$AD43,РД[Источник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3" s="573">
        <f>SUMIFS(РД[Стоимость без отделки итог],РД[Дом],$AG$38,РД[МОП],$AD43,РД[Источник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3" s="573">
        <f>SUMIFS(РД[S],РД[Дом],$AI$38,РД[МОП],$AD43,РД[Источник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43" s="573">
        <f>SUMIFS(РД[Стоимость без отделки итог],РД[Дом],$AI$38,РД[МОП],$AD43,РД[Источник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43" s="573">
        <f>SUMIFS(РД[S],РД[Дом],$AK$38,РД[МОП],$AD43,РД[Источник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190.68999999999997</v>
      </c>
      <c r="AL43" s="652">
        <f>SUMIFS(РД[Стоимость без отделки итог],РД[Дом],$AK$38,РД[МОП],$AD43,РД[Источник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23727428</v>
      </c>
      <c r="AM43" s="572">
        <f t="shared" si="53"/>
        <v>190.68999999999997</v>
      </c>
      <c r="AN43" s="652">
        <f t="shared" si="54"/>
        <v>23727428</v>
      </c>
      <c r="AP43" s="651">
        <v>45870</v>
      </c>
      <c r="AQ43" s="667">
        <v>659.136587331334</v>
      </c>
      <c r="AR43" s="668">
        <v>85386108.131529197</v>
      </c>
    </row>
    <row r="44" spans="2:44" ht="15.75">
      <c r="B44" s="618" t="s">
        <v>14</v>
      </c>
      <c r="C44" s="599">
        <v>132</v>
      </c>
      <c r="D44" s="600">
        <f t="shared" si="51"/>
        <v>0.15903614457831325</v>
      </c>
      <c r="E44" s="607">
        <f>ROUND($D44*VLOOKUP($B$37,'ИПП 1кв25'!$AP$4:$AR$16,2,0),0)</f>
        <v>7</v>
      </c>
      <c r="F44" s="602">
        <f>ROUND($D44*VLOOKUP($B$37,'ИПП 1кв25'!$AP$4:$AR$16,3,0),0)</f>
        <v>1020875</v>
      </c>
      <c r="G44" s="602">
        <f>ROUND($D44*VLOOKUP($B$37,'ИПП 1кв25'!$AP$20:$AR$32,2,0),0)</f>
        <v>220</v>
      </c>
      <c r="H44" s="602">
        <f>ROUND($D44*VLOOKUP($B$37,'ИПП 1кв25'!$AP$20:$AR$32,3,0),0)</f>
        <v>28038217</v>
      </c>
      <c r="I44" s="602">
        <f>ROUND($D44*VLOOKUP($B$37,'ИПП 1кв25'!$AP$36:$AR$48,2,0),0)</f>
        <v>27</v>
      </c>
      <c r="J44" s="633">
        <f>ROUND($D44*VLOOKUP($B$37,'ИПП 1кв25'!$AP$36:$AR$48,3,0),0)</f>
        <v>3474065</v>
      </c>
      <c r="K44" s="602">
        <f>ROUND($D44*VLOOKUP($B$37,'ИПП 1кв25'!$AP$53:$AR$65,2,0),0)</f>
        <v>58</v>
      </c>
      <c r="L44" s="633">
        <f>ROUND($D44*VLOOKUP($B$37,'ИПП 1кв25'!$AP$53:$AR$65,3,0),0)</f>
        <v>6823085</v>
      </c>
      <c r="M44" s="596">
        <f t="shared" si="55"/>
        <v>312</v>
      </c>
      <c r="N44" s="626">
        <f t="shared" si="55"/>
        <v>39356242</v>
      </c>
      <c r="O44" s="609"/>
      <c r="P44" s="618" t="s">
        <v>14</v>
      </c>
      <c r="Q44" s="589">
        <f>SUMIFS(РД[S],РД[Дом],$Q$38,РД[МОП],$P44,РД[Дата подачи на регистрацию],"&gt;="&amp;$P$37,РД[Дата подачи на регистрацию],"&lt;"&amp;DATE(YEAR($B$37),MONTH($B$37)+1,1),РД[Состояние],"Продажа")-AE44/2</f>
        <v>0</v>
      </c>
      <c r="R44" s="590">
        <f>SUMIFS(РД[Стоимость без отделки итог],РД[Дом],$Q$38,РД[МОП],$P44,РД[Дата подачи на регистрацию],"&gt;="&amp;$P$37,РД[Дата подачи на регистрацию],"&lt;"&amp;DATE(YEAR($B$37),MONTH($B$37)+1,1),РД[Состояние],"Продажа")-AF44/2</f>
        <v>0</v>
      </c>
      <c r="S44" s="590">
        <f>SUMIFS(РД[S],РД[Дом],$S$38,РД[МОП],$P44,РД[Дата подачи на регистрацию],"&gt;="&amp;$P$37,РД[Дата подачи на регистрацию],"&lt;"&amp;DATE(YEAR($B$37),MONTH($B$37)+1,1),РД[Состояние],"Продажа")-AG44/2</f>
        <v>165.95999999999998</v>
      </c>
      <c r="T44" s="590">
        <f>SUMIFS(РД[Стоимость без отделки итог],РД[Дом],$S$38,РД[МОП],$P44,РД[Дата подачи на регистрацию],"&gt;="&amp;$P$37,РД[Дата подачи на регистрацию],"&lt;"&amp;DATE(YEAR($B$37),MONTH($B$37)+1,1),РД[Состояние],"Продажа")-AH44/2</f>
        <v>14753696</v>
      </c>
      <c r="U44" s="590">
        <f>SUMIFS(РД[S],РД[Дом],$U$38,РД[МОП],$P44,РД[Дата подачи на регистрацию],"&gt;="&amp;$P$37,РД[Дата подачи на регистрацию],"&lt;"&amp;DATE(YEAR($B$37),MONTH($B$37)+1,1),РД[Состояние],"Продажа")-AI44/2</f>
        <v>0</v>
      </c>
      <c r="V44" s="635">
        <f>SUMIFS(РД[Стоимость без отделки итог],РД[Дом],$U$38,РД[МОП],$P44,РД[Дата подачи на регистрацию],"&gt;="&amp;$P$37,РД[Дата подачи на регистрацию],"&lt;"&amp;DATE(YEAR($B$37),MONTH($B$37)+1,1),РД[Состояние],"Продажа")-AJ44/2</f>
        <v>0</v>
      </c>
      <c r="W44" s="573">
        <f>SUMIFS(РД[S],РД[Дом],$W$38,РД[МОП],$P44,РД[Дата подачи на регистрацию],"&gt;="&amp;$P$37,РД[Дата подачи на регистрацию],"&lt;"&amp;DATE(YEAR($B$37),MONTH($B$37)+1,1),РД[Состояние],"Продажа")-AK44/2</f>
        <v>200.86999999999998</v>
      </c>
      <c r="X44" s="628">
        <f>SUMIFS(РД[Стоимость без отделки итог],РД[Дом],$W$38,РД[МОП],$P44,РД[Дата подачи на регистрацию],"&gt;="&amp;$P$37,РД[Дата подачи на регистрацию],"&lt;"&amp;DATE(YEAR($B$37),MONTH($B$37)+1,1),РД[Состояние],"Продажа")-AL44/2</f>
        <v>24940315</v>
      </c>
      <c r="Y44" s="636">
        <f t="shared" si="56"/>
        <v>366.82999999999993</v>
      </c>
      <c r="Z44" s="573">
        <f t="shared" si="56"/>
        <v>39694011</v>
      </c>
      <c r="AA44" s="639">
        <f t="shared" si="52"/>
        <v>1.1757371794871792</v>
      </c>
      <c r="AB44" s="640">
        <f t="shared" si="52"/>
        <v>1.0085823488939822</v>
      </c>
      <c r="AC44" s="609"/>
      <c r="AD44" s="618" t="s">
        <v>14</v>
      </c>
      <c r="AE44" s="834">
        <f>SUMIFS(РД[S],РД[Дом],$AE$38,РД[МОП],$AD44,РД[Источник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4" s="835">
        <f>SUMIFS(РД[Стоимость без отделки итог],РД[Дом],$AE$38,РД[МОП],$AD44,РД[Источник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4" s="835">
        <f>SUMIFS(РД[S],РД[Дом],$AG$38,РД[МОП],$AD44,РД[Источник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4" s="835">
        <f>SUMIFS(РД[Стоимость без отделки итог],РД[Дом],$AG$38,РД[МОП],$AD44,РД[Источник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4" s="835">
        <f>SUMIFS(РД[S],РД[Дом],$AI$38,РД[МОП],$AD44,РД[Источник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44" s="835">
        <f>SUMIFS(РД[Стоимость без отделки итог],РД[Дом],$AI$38,РД[МОП],$AD44,РД[Источник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44" s="835">
        <f>SUMIFS(РД[S],РД[Дом],$AK$38,РД[МОП],$AD44,РД[Источник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43.88</v>
      </c>
      <c r="AL44" s="840">
        <f>SUMIFS(РД[Стоимость без отделки итог],РД[Дом],$AK$38,РД[МОП],$AD44,РД[Источник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5468204</v>
      </c>
      <c r="AM44" s="572">
        <f t="shared" si="53"/>
        <v>43.88</v>
      </c>
      <c r="AN44" s="652">
        <f t="shared" si="54"/>
        <v>5468204</v>
      </c>
      <c r="AP44" s="651">
        <v>45901</v>
      </c>
      <c r="AQ44" s="667">
        <v>714.08483733133403</v>
      </c>
      <c r="AR44" s="668">
        <v>92415724.0815292</v>
      </c>
    </row>
    <row r="45" spans="2:44">
      <c r="B45" s="581" t="s">
        <v>114</v>
      </c>
      <c r="C45" s="582">
        <f t="shared" ref="C45:L45" si="57">SUM(C40:C44)</f>
        <v>830</v>
      </c>
      <c r="D45" s="583">
        <f t="shared" si="57"/>
        <v>1</v>
      </c>
      <c r="E45" s="582">
        <f t="shared" si="57"/>
        <v>47</v>
      </c>
      <c r="F45" s="584">
        <f t="shared" si="57"/>
        <v>6419137</v>
      </c>
      <c r="G45" s="584">
        <f t="shared" si="57"/>
        <v>1383</v>
      </c>
      <c r="H45" s="584">
        <f t="shared" si="57"/>
        <v>176300906</v>
      </c>
      <c r="I45" s="584">
        <f t="shared" si="57"/>
        <v>170</v>
      </c>
      <c r="J45" s="629">
        <f t="shared" si="57"/>
        <v>21844498</v>
      </c>
      <c r="K45" s="584">
        <f t="shared" si="57"/>
        <v>362</v>
      </c>
      <c r="L45" s="629">
        <f t="shared" si="57"/>
        <v>42902731</v>
      </c>
      <c r="M45" s="612">
        <f t="shared" si="55"/>
        <v>1962</v>
      </c>
      <c r="N45" s="630">
        <f t="shared" si="55"/>
        <v>247467272</v>
      </c>
      <c r="O45" s="631"/>
      <c r="P45" s="581" t="s">
        <v>114</v>
      </c>
      <c r="Q45" s="582">
        <f t="shared" ref="Q45:Z45" si="58">SUM(Q40:Q44)</f>
        <v>75.7</v>
      </c>
      <c r="R45" s="584">
        <f t="shared" si="58"/>
        <v>8374500</v>
      </c>
      <c r="S45" s="584">
        <f t="shared" si="58"/>
        <v>382.04999999999995</v>
      </c>
      <c r="T45" s="584">
        <f t="shared" si="58"/>
        <v>42161480</v>
      </c>
      <c r="U45" s="584">
        <f t="shared" si="58"/>
        <v>73.800000000000011</v>
      </c>
      <c r="V45" s="629">
        <f t="shared" si="58"/>
        <v>9370140</v>
      </c>
      <c r="W45" s="584">
        <f t="shared" si="58"/>
        <v>814.79000000000008</v>
      </c>
      <c r="X45" s="629">
        <f t="shared" si="58"/>
        <v>101367061</v>
      </c>
      <c r="Y45" s="612">
        <f t="shared" si="58"/>
        <v>1346.34</v>
      </c>
      <c r="Z45" s="584">
        <f t="shared" si="58"/>
        <v>161273181</v>
      </c>
      <c r="AA45" s="641">
        <f t="shared" si="52"/>
        <v>0.68620795107033639</v>
      </c>
      <c r="AB45" s="583">
        <f t="shared" si="52"/>
        <v>0.65169498858014652</v>
      </c>
      <c r="AC45" s="631"/>
      <c r="AD45" s="581" t="s">
        <v>114</v>
      </c>
      <c r="AE45" s="836">
        <f t="shared" ref="AE45:AL45" si="59">SUM(AE40:AE44)</f>
        <v>0</v>
      </c>
      <c r="AF45" s="837">
        <f t="shared" si="59"/>
        <v>0</v>
      </c>
      <c r="AG45" s="837">
        <f t="shared" si="59"/>
        <v>0</v>
      </c>
      <c r="AH45" s="837">
        <f t="shared" si="59"/>
        <v>0</v>
      </c>
      <c r="AI45" s="837">
        <f t="shared" si="59"/>
        <v>49.2</v>
      </c>
      <c r="AJ45" s="841">
        <f t="shared" si="59"/>
        <v>6204120</v>
      </c>
      <c r="AK45" s="837">
        <f t="shared" si="59"/>
        <v>414.05999999999995</v>
      </c>
      <c r="AL45" s="841">
        <f t="shared" si="59"/>
        <v>51490962</v>
      </c>
      <c r="AM45" s="655">
        <f t="shared" si="53"/>
        <v>463.25999999999993</v>
      </c>
      <c r="AN45" s="656">
        <f t="shared" si="54"/>
        <v>57695082</v>
      </c>
      <c r="AP45" s="651">
        <v>45931</v>
      </c>
      <c r="AQ45" s="667">
        <v>714.08483733133403</v>
      </c>
      <c r="AR45" s="668">
        <v>92415724.0815292</v>
      </c>
    </row>
    <row r="46" spans="2:44" ht="16.5" customHeight="1">
      <c r="B46" s="2335" t="s">
        <v>1882</v>
      </c>
      <c r="C46" s="2343"/>
      <c r="D46" s="2336"/>
      <c r="E46" s="2343" t="s">
        <v>7</v>
      </c>
      <c r="F46" s="2360"/>
      <c r="G46" s="2352" t="s">
        <v>13</v>
      </c>
      <c r="H46" s="2360"/>
      <c r="I46" s="2352" t="s">
        <v>1875</v>
      </c>
      <c r="J46" s="2343"/>
      <c r="K46" s="2352" t="s">
        <v>1876</v>
      </c>
      <c r="L46" s="2343"/>
      <c r="M46" s="2335" t="s">
        <v>114</v>
      </c>
      <c r="N46" s="2336"/>
      <c r="O46" s="622"/>
      <c r="P46" s="2353" t="s">
        <v>3</v>
      </c>
      <c r="Q46" s="2360" t="s">
        <v>7</v>
      </c>
      <c r="R46" s="2333"/>
      <c r="S46" s="2333" t="s">
        <v>13</v>
      </c>
      <c r="T46" s="2333"/>
      <c r="U46" s="2333" t="s">
        <v>1875</v>
      </c>
      <c r="V46" s="2352"/>
      <c r="W46" s="2333" t="s">
        <v>1876</v>
      </c>
      <c r="X46" s="2352"/>
      <c r="Y46" s="2332" t="s">
        <v>114</v>
      </c>
      <c r="Z46" s="2333"/>
      <c r="AA46" s="2333" t="s">
        <v>1877</v>
      </c>
      <c r="AB46" s="2334"/>
      <c r="AC46" s="622"/>
      <c r="AD46" s="2358" t="s">
        <v>3</v>
      </c>
      <c r="AE46" s="2332" t="s">
        <v>7</v>
      </c>
      <c r="AF46" s="2333"/>
      <c r="AG46" s="2333" t="s">
        <v>13</v>
      </c>
      <c r="AH46" s="2333"/>
      <c r="AI46" s="2333" t="s">
        <v>1875</v>
      </c>
      <c r="AJ46" s="2334"/>
      <c r="AK46" s="2343" t="s">
        <v>1876</v>
      </c>
      <c r="AL46" s="2336"/>
      <c r="AM46" s="2343" t="s">
        <v>114</v>
      </c>
      <c r="AN46" s="2336"/>
      <c r="AP46" s="651">
        <v>45962</v>
      </c>
      <c r="AQ46" s="667">
        <v>621.45003560719601</v>
      </c>
      <c r="AR46" s="668">
        <v>80268325.840494797</v>
      </c>
    </row>
    <row r="47" spans="2:44" ht="15.75">
      <c r="B47" s="559" t="s">
        <v>1878</v>
      </c>
      <c r="C47" s="560" t="s">
        <v>1879</v>
      </c>
      <c r="D47" s="561" t="s">
        <v>1880</v>
      </c>
      <c r="E47" s="562" t="s">
        <v>1872</v>
      </c>
      <c r="F47" s="563" t="s">
        <v>1881</v>
      </c>
      <c r="G47" s="562" t="s">
        <v>1872</v>
      </c>
      <c r="H47" s="563" t="s">
        <v>1881</v>
      </c>
      <c r="I47" s="562" t="s">
        <v>1872</v>
      </c>
      <c r="J47" s="623" t="s">
        <v>1881</v>
      </c>
      <c r="K47" s="563" t="s">
        <v>1872</v>
      </c>
      <c r="L47" s="624" t="s">
        <v>1881</v>
      </c>
      <c r="M47" s="610" t="s">
        <v>1872</v>
      </c>
      <c r="N47" s="624" t="s">
        <v>1881</v>
      </c>
      <c r="O47" s="622"/>
      <c r="P47" s="2354"/>
      <c r="Q47" s="562" t="s">
        <v>1872</v>
      </c>
      <c r="R47" s="563" t="s">
        <v>1881</v>
      </c>
      <c r="S47" s="562" t="s">
        <v>1872</v>
      </c>
      <c r="T47" s="563" t="s">
        <v>1881</v>
      </c>
      <c r="U47" s="562" t="s">
        <v>1872</v>
      </c>
      <c r="V47" s="563" t="s">
        <v>1881</v>
      </c>
      <c r="W47" s="562" t="s">
        <v>1872</v>
      </c>
      <c r="X47" s="563" t="s">
        <v>1881</v>
      </c>
      <c r="Y47" s="610" t="s">
        <v>1872</v>
      </c>
      <c r="Z47" s="563" t="s">
        <v>1881</v>
      </c>
      <c r="AA47" s="563" t="s">
        <v>1872</v>
      </c>
      <c r="AB47" s="624" t="s">
        <v>1881</v>
      </c>
      <c r="AC47" s="622"/>
      <c r="AD47" s="2359"/>
      <c r="AE47" s="833" t="s">
        <v>1872</v>
      </c>
      <c r="AF47" s="825" t="s">
        <v>1881</v>
      </c>
      <c r="AG47" s="825" t="s">
        <v>1872</v>
      </c>
      <c r="AH47" s="825" t="s">
        <v>1881</v>
      </c>
      <c r="AI47" s="825" t="s">
        <v>1872</v>
      </c>
      <c r="AJ47" s="826" t="s">
        <v>1881</v>
      </c>
      <c r="AK47" s="838" t="s">
        <v>1872</v>
      </c>
      <c r="AL47" s="826" t="s">
        <v>1881</v>
      </c>
      <c r="AM47" s="562" t="s">
        <v>1872</v>
      </c>
      <c r="AN47" s="624" t="s">
        <v>1881</v>
      </c>
      <c r="AP47" s="651">
        <v>45992</v>
      </c>
      <c r="AQ47" s="667">
        <v>543.566992128935</v>
      </c>
      <c r="AR47" s="668">
        <v>70346026.1013643</v>
      </c>
    </row>
    <row r="48" spans="2:44" ht="15.75">
      <c r="B48" s="569" t="s">
        <v>22</v>
      </c>
      <c r="C48" s="570">
        <v>165</v>
      </c>
      <c r="D48" s="588">
        <f>C48/$C$51</f>
        <v>0.56122448979591832</v>
      </c>
      <c r="E48" s="572">
        <f>$D48*($E$45*$B$52)</f>
        <v>15.826530612244897</v>
      </c>
      <c r="F48" s="573">
        <f>$D48*($F$45*$B$52)</f>
        <v>2161546.1326530608</v>
      </c>
      <c r="G48" s="573">
        <f>$D48*($G$45*$B$52)</f>
        <v>465.70408163265301</v>
      </c>
      <c r="H48" s="573">
        <f>$D48*($H$45*$B$52)</f>
        <v>59366631.612244889</v>
      </c>
      <c r="I48" s="573">
        <f>$D48*($I$45*$B$52)</f>
        <v>57.244897959183668</v>
      </c>
      <c r="J48" s="628">
        <f>$D48*($J$45*$B$52)</f>
        <v>7355800.346938774</v>
      </c>
      <c r="K48" s="573">
        <f>$D48*($K$45*$B$52)</f>
        <v>121.89795918367345</v>
      </c>
      <c r="L48" s="628">
        <f>$D48*($L$45*$B$52)</f>
        <v>14446837.989795916</v>
      </c>
      <c r="M48" s="596">
        <f t="shared" ref="M48:N51" si="60">E48+G48+I48+K48</f>
        <v>660.67346938775506</v>
      </c>
      <c r="N48" s="626">
        <f t="shared" si="60"/>
        <v>83330816.081632644</v>
      </c>
      <c r="O48" s="609"/>
      <c r="P48" s="569" t="s">
        <v>22</v>
      </c>
      <c r="Q48" s="572">
        <f>SUMIFS(РД[S],РД[Дом],$Q$38,РД[ИМ],$P48,РД[Дата подачи на регистрацию],"&gt;="&amp;$P$37,РД[Дата подачи на регистрацию],"&lt;"&amp;DATE(YEAR($B$37),MONTH($B$37)+1,1),РД[Состояние],"Продажа")-AE48/2</f>
        <v>75.7</v>
      </c>
      <c r="R48" s="573">
        <f>SUMIFS(РД[Стоимость без отделки итог],РД[Дом],$Q$38,РД[ИМ],$P48,РД[Дата подачи на регистрацию],"&gt;="&amp;$P$37,РД[Дата подачи на регистрацию],"&lt;"&amp;DATE(YEAR($B$37),MONTH($B$37)+1,1),РД[Состояние],"Продажа")-AF48/2</f>
        <v>8374500</v>
      </c>
      <c r="S48" s="573">
        <f>SUMIFS(РД[S],РД[Дом],$S$38,РД[ИМ],$P48,РД[Дата подачи на регистрацию],"&gt;="&amp;$P$37,РД[Дата подачи на регистрацию],"&lt;"&amp;DATE(YEAR($B$37),MONTH($B$37)+1,1),РД[Состояние],"Продажа")-AG48/2</f>
        <v>204.54000000000002</v>
      </c>
      <c r="T48" s="573">
        <f>SUMIFS(РД[Стоимость без отделки итог],РД[Дом],$S$38,РД[ИМ],$P48,РД[Дата подачи на регистрацию],"&gt;="&amp;$P$37,РД[Дата подачи на регистрацию],"&lt;"&amp;DATE(YEAR($B$37),MONTH($B$37)+1,1),РД[Состояние],"Продажа")-AH48/2</f>
        <v>24424286</v>
      </c>
      <c r="U48" s="573">
        <f>SUMIFS(РД[S],РД[Дом],$U$38,РД[ИМ],$P48,РД[Дата подачи на регистрацию],"&gt;="&amp;$P$37,РД[Дата подачи на регистрацию],"&lt;"&amp;DATE(YEAR($B$37),MONTH($B$37)+1,1),РД[Состояние],"Продажа")-AI48/2</f>
        <v>24.6</v>
      </c>
      <c r="V48" s="628">
        <f>SUMIFS(РД[Стоимость без отделки итог],РД[Дом],$U$38,РД[ИМ],$P48,РД[Дата подачи на регистрацию],"&gt;="&amp;$P$37,РД[Дата подачи на регистрацию],"&lt;"&amp;DATE(YEAR($B$37),MONTH($B$37)+1,1),РД[Состояние],"Продажа")-AJ48/2</f>
        <v>3102060</v>
      </c>
      <c r="W48" s="573">
        <f>SUMIFS(РД[S],РД[Дом],$W$38,РД[ИМ],$P48,РД[Дата подачи на регистрацию],"&gt;="&amp;$P$37,РД[Дата подачи на регистрацию],"&lt;"&amp;DATE(YEAR($B$37),MONTH($B$37)+1,1),РД[Состояние],"Продажа")-AK48/2</f>
        <v>44.25</v>
      </c>
      <c r="X48" s="628">
        <f>SUMIFS(РД[Стоимость без отделки итог],РД[Дом],$W$38,РД[ИМ],$P48,РД[Дата подачи на регистрацию],"&gt;="&amp;$P$37,РД[Дата подачи на регистрацию],"&lt;"&amp;DATE(YEAR($B$37),MONTH($B$37)+1,1),РД[Состояние],"Продажа")-AL48/2</f>
        <v>5486138</v>
      </c>
      <c r="Y48" s="636">
        <f>Q48+S48+U48+W48</f>
        <v>349.09000000000003</v>
      </c>
      <c r="Z48" s="573">
        <f>R48+T48+V48+X48</f>
        <v>41386984</v>
      </c>
      <c r="AA48" s="645">
        <f t="shared" ref="AA48:AB51" si="61">IFERROR(Y48/M48,"")</f>
        <v>0.52838507398140433</v>
      </c>
      <c r="AB48" s="588">
        <f t="shared" si="61"/>
        <v>0.49665881058282724</v>
      </c>
      <c r="AC48" s="609"/>
      <c r="AD48" s="569" t="s">
        <v>22</v>
      </c>
      <c r="AE48" s="594">
        <f>SUMIFS(РД[S],РД[Дом],$AE$38,РД[ИМ],$AD48,РД[Источник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8" s="568">
        <f>SUMIFS(РД[Стоимость без отделки итог],РД[Дом],$AE$38,РД[ИМ],$AD48,РД[Источник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8" s="568">
        <f>SUMIFS(РД[S],РД[Дом],$AG$38,РД[ИМ],$AD48,РД[Источник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8" s="568">
        <f>SUMIFS(РД[Стоимость без отделки итог],РД[Дом],$AG$38,РД[ИМ],$AD48,РД[Источник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8" s="568">
        <f>SUMIFS(РД[S],РД[Дом],$AI$38,РД[ИМ],$AD48,РД[Источник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49.2</v>
      </c>
      <c r="AJ48" s="568">
        <f>SUMIFS(РД[Стоимость без отделки итог],РД[Дом],$AI$38,РД[ИМ],$AD48,РД[Источник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6204120</v>
      </c>
      <c r="AK48" s="568">
        <f>SUMIFS(РД[S],РД[Дом],$AK$46,РД[ИМ],$AD48,РД[Источник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L48" s="808">
        <f>SUMIFS(РД[Стоимость без отделки итог],РД[Дом],$AK$46,РД[ИМ],$AD48,РД[Источник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M48" s="594">
        <f t="shared" ref="AM48:AM51" si="62">AE48+AG48+AI48+AK48</f>
        <v>49.2</v>
      </c>
      <c r="AN48" s="808">
        <f t="shared" ref="AN48:AN51" si="63">AF48+AH48+AJ48+AL48</f>
        <v>6204120</v>
      </c>
      <c r="AP48" s="660" t="s">
        <v>1883</v>
      </c>
      <c r="AQ48" s="671">
        <f>SUM(AQ36:AQ47)</f>
        <v>5082.1499999999978</v>
      </c>
      <c r="AR48" s="671">
        <f>SUM(AR36:AR47)</f>
        <v>657016858.97736144</v>
      </c>
    </row>
    <row r="49" spans="2:44" ht="15.75">
      <c r="B49" s="569" t="s">
        <v>26</v>
      </c>
      <c r="C49" s="570">
        <v>129</v>
      </c>
      <c r="D49" s="588">
        <f>C49/$C$51</f>
        <v>0.43877551020408162</v>
      </c>
      <c r="E49" s="572">
        <f>$D49*($E$45*$B$52)</f>
        <v>12.373469387755101</v>
      </c>
      <c r="F49" s="573">
        <f>$D49*($F$45*$B$52)</f>
        <v>1689936.0673469387</v>
      </c>
      <c r="G49" s="573">
        <f>$D49*($G$45*$B$52)</f>
        <v>364.09591836734688</v>
      </c>
      <c r="H49" s="573">
        <f>$D49*($H$45*$B$52)</f>
        <v>46413911.987755097</v>
      </c>
      <c r="I49" s="573">
        <f>$D49*($I$45*$B$52)</f>
        <v>44.755102040816325</v>
      </c>
      <c r="J49" s="628">
        <f>$D49*($J$45*$B$52)</f>
        <v>5750898.453061224</v>
      </c>
      <c r="K49" s="573">
        <f>$D49*($K$45*$B$52)</f>
        <v>95.302040816326524</v>
      </c>
      <c r="L49" s="628">
        <f>$D49*($L$45*$B$52)</f>
        <v>11294800.61020408</v>
      </c>
      <c r="M49" s="596">
        <f t="shared" si="60"/>
        <v>516.52653061224487</v>
      </c>
      <c r="N49" s="626">
        <f t="shared" si="60"/>
        <v>65149547.118367337</v>
      </c>
      <c r="O49" s="609"/>
      <c r="P49" s="569" t="s">
        <v>26</v>
      </c>
      <c r="Q49" s="606">
        <f>SUMIFS(РД[S],РД[Дом],$Q$38,РД[ИМ],$P49,РД[Дата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R49" s="597">
        <f>SUMIFS(РД[Стоимость без отделки итог],РД[Дом],$Q$38,РД[ИМ],$P49,РД[Дата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S49" s="597">
        <f>SUMIFS(РД[S],РД[Дом],$S$38,РД[ИМ],$P49,РД[Дата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T49" s="597">
        <f>SUMIFS(РД[Стоимость без отделки итог],РД[Дом],$S$38,РД[ИМ],$P49,РД[Дата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U49" s="597">
        <f>SUMIFS(РД[S],РД[Дом],$U$38,РД[ИМ],$P49,РД[Дата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V49" s="632">
        <f>SUMIFS(РД[Стоимость без отделки итог],РД[Дом],$U$38,РД[ИМ],$P49,РД[Дата подачи на регистрацию],"&gt;="&amp;$P$37,РД[Дата подачи на регистрацию],"&lt;"&amp;DATE(YEAR($B$37),MONTH($B$37)+1,1),РД[Состояние],"Продажа")</f>
        <v>0</v>
      </c>
      <c r="W49" s="573">
        <f>SUMIFS(РД[S],РД[Дом],$W$38,РД[ИМ],$P49,РД[Дата подачи на регистрацию],"&gt;="&amp;$P$37,РД[Дата подачи на регистрацию],"&lt;"&amp;DATE(YEAR($B$37),MONTH($B$37)+1,1),РД[Состояние],"Продажа")-AK49/2</f>
        <v>0</v>
      </c>
      <c r="X49" s="628">
        <f>SUMIFS(РД[Стоимость без отделки итог],РД[Дом],$W$38,РД[ИМ],$P49,РД[Дата подачи на регистрацию],"&gt;="&amp;$P$37,РД[Дата подачи на регистрацию],"&lt;"&amp;DATE(YEAR($B$37),MONTH($B$37)+1,1),РД[Состояние],"Продажа")-AL49/2</f>
        <v>0</v>
      </c>
      <c r="Y49" s="636">
        <f t="shared" ref="Y49:Z50" si="64">Q49+S49+U49+W49</f>
        <v>0</v>
      </c>
      <c r="Z49" s="573">
        <f t="shared" si="64"/>
        <v>0</v>
      </c>
      <c r="AA49" s="638">
        <f t="shared" si="61"/>
        <v>0</v>
      </c>
      <c r="AB49" s="617">
        <f t="shared" si="61"/>
        <v>0</v>
      </c>
      <c r="AC49" s="609"/>
      <c r="AD49" s="569" t="s">
        <v>26</v>
      </c>
      <c r="AE49" s="636">
        <f>SUMIFS(РД[S],РД[Дом],$AE$38,РД[ИМ],$AD49,РД[Источник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49" s="573">
        <f>SUMIFS(РД[Стоимость без отделки итог],РД[Дом],$AE$38,РД[ИМ],$AD49,РД[Источник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49" s="573">
        <f>SUMIFS(РД[S],РД[Дом],$AG$38,РД[ИМ],$AD49,РД[Источник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49" s="573">
        <f>SUMIFS(РД[Стоимость без отделки итог],РД[Дом],$AG$38,РД[ИМ],$AD49,РД[Источник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49" s="573">
        <f>SUMIFS(РД[S],РД[Дом],$AI$38,РД[ИМ],$AD49,РД[Источник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49" s="573">
        <f>SUMIFS(РД[Стоимость без отделки итог],РД[Дом],$AI$38,РД[ИМ],$AD49,РД[Источник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49" s="573">
        <f>SUMIFS(РД[S],РД[Дом],$AK$46,РД[ИМ],$AD49,РД[Источник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L49" s="652">
        <f>SUMIFS(РД[Стоимость без отделки итог],РД[Дом],$AK$46,РД[ИМ],$AD49,РД[Источник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M49" s="636">
        <f t="shared" si="62"/>
        <v>0</v>
      </c>
      <c r="AN49" s="652">
        <f t="shared" si="63"/>
        <v>0</v>
      </c>
    </row>
    <row r="50" spans="2:44" ht="15.75">
      <c r="B50" s="627" t="s">
        <v>3</v>
      </c>
      <c r="C50" s="574">
        <v>0</v>
      </c>
      <c r="D50" s="608">
        <f>C50/$C$51</f>
        <v>0</v>
      </c>
      <c r="E50" s="572">
        <f>$D50*($E$45*$B$52)</f>
        <v>0</v>
      </c>
      <c r="F50" s="573">
        <f>$D50*($F$45*$B$52)</f>
        <v>0</v>
      </c>
      <c r="G50" s="573">
        <f>$D50*($G$45*$B$52)</f>
        <v>0</v>
      </c>
      <c r="H50" s="573">
        <f>$D50*($H$45*$B$52)</f>
        <v>0</v>
      </c>
      <c r="I50" s="573">
        <f>$D50*($I$45*$B$52)</f>
        <v>0</v>
      </c>
      <c r="J50" s="628">
        <f>$D50*($J$45*$B$52)</f>
        <v>0</v>
      </c>
      <c r="K50" s="573">
        <f>$D50*($K$45*$B$52)</f>
        <v>0</v>
      </c>
      <c r="L50" s="628">
        <f>$D50*($L$45*$B$52)</f>
        <v>0</v>
      </c>
      <c r="M50" s="596">
        <f t="shared" si="60"/>
        <v>0</v>
      </c>
      <c r="N50" s="626">
        <f t="shared" si="60"/>
        <v>0</v>
      </c>
      <c r="O50" s="609"/>
      <c r="P50" s="627" t="s">
        <v>3</v>
      </c>
      <c r="Q50" s="589">
        <f>SUMIFS(РД[S],РД[Дом],$Q$38,РД[ИМ],$P50,РД[Дата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R50" s="590">
        <f>SUMIFS(РД[Стоимость без отделки итог],РД[Дом],$Q$38,РД[ИМ],$P50,РД[Дата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S50" s="590">
        <f>SUMIFS(РД[S],РД[Дом],$S$38,РД[ИМ],$P50,РД[Дата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T50" s="590">
        <f>SUMIFS(РД[Стоимость без отделки итог],РД[Дом],$S$38,РД[ИМ],$P50,РД[Дата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U50" s="590">
        <f>SUMIFS(РД[S],РД[Дом],$U$38,РД[ИМ],$P50,РД[Дата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V50" s="635">
        <f>SUMIFS(РД[Стоимость без отделки итог],РД[Дом],$U$38,РД[ИМ],$P50,РД[Дата подачи на регистрацию],"&gt;="&amp;$P$37,РД[Дата подачи на регистрацию],"&lt;"&amp;DATE(YEAR($B$37),MONTH($B$37)+1,1),РД[Состояние],"Продажа")</f>
        <v>0</v>
      </c>
      <c r="W50" s="573">
        <f>SUMIFS(РД[S],РД[Дом],$W$38,РД[ИМ],$P50,РД[Дата подачи на регистрацию],"&gt;="&amp;$P$37,РД[Дата подачи на регистрацию],"&lt;"&amp;DATE(YEAR($B$37),MONTH($B$37)+1,1),РД[Состояние],"Продажа")-AK50/2</f>
        <v>0</v>
      </c>
      <c r="X50" s="628">
        <f>SUMIFS(РД[Стоимость без отделки итог],РД[Дом],$W$38,РД[ИМ],$P50,РД[Дата подачи на регистрацию],"&gt;="&amp;$P$37,РД[Дата подачи на регистрацию],"&lt;"&amp;DATE(YEAR($B$37),MONTH($B$37)+1,1),РД[Состояние],"Продажа")-AL50/2</f>
        <v>0</v>
      </c>
      <c r="Y50" s="636">
        <f t="shared" si="64"/>
        <v>0</v>
      </c>
      <c r="Z50" s="573">
        <f t="shared" si="64"/>
        <v>0</v>
      </c>
      <c r="AA50" s="639" t="str">
        <f t="shared" si="61"/>
        <v/>
      </c>
      <c r="AB50" s="640" t="str">
        <f t="shared" si="61"/>
        <v/>
      </c>
      <c r="AC50" s="609"/>
      <c r="AD50" s="627" t="s">
        <v>3</v>
      </c>
      <c r="AE50" s="834">
        <f>SUMIFS(РД[S],РД[Дом],$AE$38,РД[ИМ],$AD50,РД[Источник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F50" s="835">
        <f>SUMIFS(РД[Стоимость без отделки итог],РД[Дом],$AE$38,РД[ИМ],$AD50,РД[Источник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G50" s="835">
        <f>SUMIFS(РД[S],РД[Дом],$AG$38,РД[ИМ],$AD50,РД[Источник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H50" s="835">
        <f>SUMIFS(РД[Стоимость без отделки итог],РД[Дом],$AG$38,РД[ИМ],$AD50,РД[Источник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I50" s="835">
        <f>SUMIFS(РД[S],РД[Дом],$AI$38,РД[ИМ],$AD50,РД[Источник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J50" s="835">
        <f>SUMIFS(РД[Стоимость без отделки итог],РД[Дом],$AI$38,РД[ИМ],$AD50,РД[Источник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K50" s="835">
        <f>SUMIFS(РД[S],РД[Дом],$AK$46,РД[ИМ],$AD50,РД[Источник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L50" s="840">
        <f>SUMIFS(РД[Стоимость без отделки итог],РД[Дом],$AK$46,РД[ИМ],$AD50,РД[Источник обращения],"Агент*",РД[Дата подачи на регистрацию],"&gt;="&amp;$AD$37,РД[Дата подачи на регистрацию],"&lt;"&amp;DATE(YEAR($B$37),MONTH($B$37)+1,1),РД[Состояние],"Продажа")</f>
        <v>0</v>
      </c>
      <c r="AM50" s="636">
        <f t="shared" si="62"/>
        <v>0</v>
      </c>
      <c r="AN50" s="652">
        <f t="shared" si="63"/>
        <v>0</v>
      </c>
    </row>
    <row r="51" spans="2:44">
      <c r="B51" s="581" t="s">
        <v>114</v>
      </c>
      <c r="C51" s="582">
        <f>SUM(C48:C50)</f>
        <v>294</v>
      </c>
      <c r="D51" s="583">
        <f t="shared" ref="D51:L51" si="65">SUM(D48:D50)</f>
        <v>1</v>
      </c>
      <c r="E51" s="582">
        <f t="shared" si="65"/>
        <v>28.199999999999996</v>
      </c>
      <c r="F51" s="584">
        <f t="shared" si="65"/>
        <v>3851482.1999999993</v>
      </c>
      <c r="G51" s="584">
        <f t="shared" si="65"/>
        <v>829.8</v>
      </c>
      <c r="H51" s="584">
        <f t="shared" si="65"/>
        <v>105780543.59999999</v>
      </c>
      <c r="I51" s="584">
        <f t="shared" si="65"/>
        <v>102</v>
      </c>
      <c r="J51" s="629">
        <f t="shared" si="65"/>
        <v>13106698.799999997</v>
      </c>
      <c r="K51" s="584">
        <f t="shared" si="65"/>
        <v>217.2</v>
      </c>
      <c r="L51" s="629">
        <f t="shared" si="65"/>
        <v>25741638.599999994</v>
      </c>
      <c r="M51" s="612">
        <f t="shared" si="60"/>
        <v>1177.2</v>
      </c>
      <c r="N51" s="630">
        <f t="shared" si="60"/>
        <v>148480363.19999999</v>
      </c>
      <c r="O51" s="631"/>
      <c r="P51" s="581" t="s">
        <v>114</v>
      </c>
      <c r="Q51" s="582">
        <f>SUM(Q48:Q50)</f>
        <v>75.7</v>
      </c>
      <c r="R51" s="584">
        <f t="shared" ref="R51:Z51" si="66">SUM(R48:R50)</f>
        <v>8374500</v>
      </c>
      <c r="S51" s="584">
        <f t="shared" si="66"/>
        <v>204.54000000000002</v>
      </c>
      <c r="T51" s="584">
        <f t="shared" si="66"/>
        <v>24424286</v>
      </c>
      <c r="U51" s="584">
        <f t="shared" si="66"/>
        <v>24.6</v>
      </c>
      <c r="V51" s="629">
        <f t="shared" si="66"/>
        <v>3102060</v>
      </c>
      <c r="W51" s="584">
        <f t="shared" si="66"/>
        <v>44.25</v>
      </c>
      <c r="X51" s="629">
        <f t="shared" si="66"/>
        <v>5486138</v>
      </c>
      <c r="Y51" s="612">
        <f t="shared" si="66"/>
        <v>349.09000000000003</v>
      </c>
      <c r="Z51" s="584">
        <f t="shared" si="66"/>
        <v>41386984</v>
      </c>
      <c r="AA51" s="641">
        <f t="shared" si="61"/>
        <v>0.29654264356099219</v>
      </c>
      <c r="AB51" s="583">
        <f t="shared" si="61"/>
        <v>0.27873708757199483</v>
      </c>
      <c r="AC51" s="631"/>
      <c r="AD51" s="581" t="s">
        <v>114</v>
      </c>
      <c r="AE51" s="584">
        <f t="shared" ref="AE51:AL51" si="67">SUM(AE48:AE50)</f>
        <v>0</v>
      </c>
      <c r="AF51" s="584">
        <f t="shared" si="67"/>
        <v>0</v>
      </c>
      <c r="AG51" s="584">
        <f t="shared" si="67"/>
        <v>0</v>
      </c>
      <c r="AH51" s="584">
        <f t="shared" si="67"/>
        <v>0</v>
      </c>
      <c r="AI51" s="584">
        <f t="shared" si="67"/>
        <v>49.2</v>
      </c>
      <c r="AJ51" s="629">
        <f t="shared" si="67"/>
        <v>6204120</v>
      </c>
      <c r="AK51" s="584">
        <f t="shared" si="67"/>
        <v>0</v>
      </c>
      <c r="AL51" s="629">
        <f t="shared" si="67"/>
        <v>0</v>
      </c>
      <c r="AM51" s="612">
        <f t="shared" si="62"/>
        <v>49.2</v>
      </c>
      <c r="AN51" s="630">
        <f t="shared" si="63"/>
        <v>6204120</v>
      </c>
      <c r="AP51" s="2337" t="s">
        <v>1876</v>
      </c>
      <c r="AQ51" s="2337"/>
      <c r="AR51" s="2337"/>
    </row>
    <row r="52" spans="2:44" ht="15.75">
      <c r="B52" s="831">
        <v>0.6</v>
      </c>
      <c r="AP52" s="650" t="s">
        <v>1871</v>
      </c>
      <c r="AQ52" s="663" t="s">
        <v>1872</v>
      </c>
      <c r="AR52" s="664" t="s">
        <v>1873</v>
      </c>
    </row>
    <row r="53" spans="2:44">
      <c r="C53" s="609"/>
      <c r="D53" s="609"/>
      <c r="E53" s="609"/>
      <c r="F53" s="609"/>
      <c r="G53" s="609"/>
      <c r="H53" s="609"/>
      <c r="I53" s="609"/>
      <c r="J53" s="609"/>
      <c r="K53" s="609"/>
      <c r="L53" s="609"/>
      <c r="M53" s="609"/>
      <c r="AP53" s="651">
        <v>45658</v>
      </c>
      <c r="AQ53" s="667">
        <v>313.04115113981499</v>
      </c>
      <c r="AR53" s="667">
        <v>38189203.722965002</v>
      </c>
    </row>
    <row r="54" spans="2:44">
      <c r="B54" s="2329" t="s">
        <v>1885</v>
      </c>
      <c r="C54" s="2330"/>
      <c r="D54" s="2330"/>
      <c r="E54" s="2330"/>
      <c r="F54" s="2330"/>
      <c r="G54" s="2330"/>
      <c r="H54" s="2330"/>
      <c r="I54" s="2330"/>
      <c r="J54" s="2330"/>
      <c r="K54" s="2330"/>
      <c r="L54" s="2330"/>
      <c r="M54" s="2330"/>
      <c r="N54" s="2331"/>
      <c r="O54" s="621"/>
      <c r="P54" s="2361" t="str">
        <f>B54</f>
        <v>1 квартал 2024</v>
      </c>
      <c r="Q54" s="2362"/>
      <c r="R54" s="2362"/>
      <c r="S54" s="2362"/>
      <c r="T54" s="2362"/>
      <c r="U54" s="2362"/>
      <c r="V54" s="2362"/>
      <c r="W54" s="2362"/>
      <c r="X54" s="2362"/>
      <c r="Y54" s="2362"/>
      <c r="Z54" s="2362"/>
      <c r="AA54" s="2362"/>
      <c r="AB54" s="2363"/>
      <c r="AC54" s="621"/>
      <c r="AD54" s="2329" t="str">
        <f>P54</f>
        <v>1 квартал 2024</v>
      </c>
      <c r="AE54" s="2330"/>
      <c r="AF54" s="2330"/>
      <c r="AG54" s="2330"/>
      <c r="AH54" s="2330"/>
      <c r="AI54" s="2330"/>
      <c r="AJ54" s="2330"/>
      <c r="AK54" s="2330"/>
      <c r="AL54" s="2330"/>
      <c r="AM54" s="2330"/>
      <c r="AN54" s="2331"/>
      <c r="AP54" s="651">
        <v>45689</v>
      </c>
      <c r="AQ54" s="667">
        <v>196.21809077236099</v>
      </c>
      <c r="AR54" s="667">
        <v>23578486.084575798</v>
      </c>
    </row>
    <row r="55" spans="2:44" ht="16.5" customHeight="1">
      <c r="B55" s="2332" t="s">
        <v>1874</v>
      </c>
      <c r="C55" s="2333"/>
      <c r="D55" s="2334"/>
      <c r="E55" s="2332" t="s">
        <v>7</v>
      </c>
      <c r="F55" s="2333"/>
      <c r="G55" s="2333" t="s">
        <v>13</v>
      </c>
      <c r="H55" s="2333"/>
      <c r="I55" s="2352" t="s">
        <v>1875</v>
      </c>
      <c r="J55" s="2343"/>
      <c r="K55" s="2352" t="s">
        <v>1876</v>
      </c>
      <c r="L55" s="2336"/>
      <c r="M55" s="2343" t="s">
        <v>114</v>
      </c>
      <c r="N55" s="2336"/>
      <c r="O55" s="622"/>
      <c r="P55" s="2353" t="s">
        <v>1</v>
      </c>
      <c r="Q55" s="2333" t="s">
        <v>7</v>
      </c>
      <c r="R55" s="2333"/>
      <c r="S55" s="2333" t="s">
        <v>13</v>
      </c>
      <c r="T55" s="2333"/>
      <c r="U55" s="2333" t="s">
        <v>1875</v>
      </c>
      <c r="V55" s="2352"/>
      <c r="W55" s="2333" t="s">
        <v>1876</v>
      </c>
      <c r="X55" s="2352"/>
      <c r="Y55" s="2332" t="s">
        <v>114</v>
      </c>
      <c r="Z55" s="2333"/>
      <c r="AA55" s="2333" t="s">
        <v>1877</v>
      </c>
      <c r="AB55" s="2334"/>
      <c r="AC55" s="622"/>
      <c r="AD55" s="2353" t="s">
        <v>1</v>
      </c>
      <c r="AE55" s="2360" t="s">
        <v>7</v>
      </c>
      <c r="AF55" s="2333"/>
      <c r="AG55" s="2333" t="s">
        <v>13</v>
      </c>
      <c r="AH55" s="2333"/>
      <c r="AI55" s="2333" t="s">
        <v>1875</v>
      </c>
      <c r="AJ55" s="2352"/>
      <c r="AK55" s="2343" t="s">
        <v>1876</v>
      </c>
      <c r="AL55" s="2336"/>
      <c r="AM55" s="2332" t="s">
        <v>114</v>
      </c>
      <c r="AN55" s="2334"/>
      <c r="AP55" s="651">
        <v>45717</v>
      </c>
      <c r="AQ55" s="667">
        <v>361.95481780648203</v>
      </c>
      <c r="AR55" s="667">
        <v>42902731.337462902</v>
      </c>
    </row>
    <row r="56" spans="2:44" ht="15.75">
      <c r="B56" s="559" t="s">
        <v>1878</v>
      </c>
      <c r="C56" s="560" t="s">
        <v>1879</v>
      </c>
      <c r="D56" s="561" t="s">
        <v>1880</v>
      </c>
      <c r="E56" s="610" t="s">
        <v>1872</v>
      </c>
      <c r="F56" s="563" t="s">
        <v>1881</v>
      </c>
      <c r="G56" s="562" t="s">
        <v>1872</v>
      </c>
      <c r="H56" s="563" t="s">
        <v>1881</v>
      </c>
      <c r="I56" s="562" t="s">
        <v>1872</v>
      </c>
      <c r="J56" s="623" t="s">
        <v>1881</v>
      </c>
      <c r="K56" s="563" t="s">
        <v>1872</v>
      </c>
      <c r="L56" s="624" t="s">
        <v>1881</v>
      </c>
      <c r="M56" s="562" t="s">
        <v>1872</v>
      </c>
      <c r="N56" s="624" t="s">
        <v>1881</v>
      </c>
      <c r="O56" s="622"/>
      <c r="P56" s="2355"/>
      <c r="Q56" s="562" t="s">
        <v>1872</v>
      </c>
      <c r="R56" s="563" t="s">
        <v>1881</v>
      </c>
      <c r="S56" s="562" t="s">
        <v>1872</v>
      </c>
      <c r="T56" s="563" t="s">
        <v>1881</v>
      </c>
      <c r="U56" s="562" t="s">
        <v>1872</v>
      </c>
      <c r="V56" s="563" t="s">
        <v>1881</v>
      </c>
      <c r="W56" s="562" t="s">
        <v>1872</v>
      </c>
      <c r="X56" s="563" t="s">
        <v>1881</v>
      </c>
      <c r="Y56" s="610" t="s">
        <v>1872</v>
      </c>
      <c r="Z56" s="563" t="s">
        <v>1881</v>
      </c>
      <c r="AA56" s="563" t="s">
        <v>1872</v>
      </c>
      <c r="AB56" s="624" t="s">
        <v>1881</v>
      </c>
      <c r="AC56" s="622"/>
      <c r="AD56" s="2354"/>
      <c r="AE56" s="838" t="s">
        <v>1872</v>
      </c>
      <c r="AF56" s="825" t="s">
        <v>1881</v>
      </c>
      <c r="AG56" s="825" t="s">
        <v>1872</v>
      </c>
      <c r="AH56" s="825" t="s">
        <v>1881</v>
      </c>
      <c r="AI56" s="825" t="s">
        <v>1872</v>
      </c>
      <c r="AJ56" s="842" t="s">
        <v>1881</v>
      </c>
      <c r="AK56" s="838" t="s">
        <v>1872</v>
      </c>
      <c r="AL56" s="826" t="s">
        <v>1881</v>
      </c>
      <c r="AM56" s="610" t="s">
        <v>1872</v>
      </c>
      <c r="AN56" s="624" t="s">
        <v>1881</v>
      </c>
      <c r="AP56" s="651">
        <v>45748</v>
      </c>
      <c r="AQ56" s="667">
        <v>391.20115113981501</v>
      </c>
      <c r="AR56" s="667">
        <v>47451987.6102942</v>
      </c>
    </row>
    <row r="57" spans="2:44" ht="15.75">
      <c r="B57" s="564" t="s">
        <v>28</v>
      </c>
      <c r="C57" s="595">
        <f>C40+C23+C6</f>
        <v>287</v>
      </c>
      <c r="D57" s="575">
        <f>C57/$C$62</f>
        <v>0.14222001982160554</v>
      </c>
      <c r="E57" s="572">
        <f t="shared" ref="E57:L61" si="68">E6+E23+E40</f>
        <v>18</v>
      </c>
      <c r="F57" s="572">
        <f t="shared" si="68"/>
        <v>2205107</v>
      </c>
      <c r="G57" s="572">
        <f t="shared" si="68"/>
        <v>447</v>
      </c>
      <c r="H57" s="572">
        <f t="shared" si="68"/>
        <v>57306350</v>
      </c>
      <c r="I57" s="572">
        <f t="shared" si="68"/>
        <v>59</v>
      </c>
      <c r="J57" s="572">
        <f t="shared" si="68"/>
        <v>7390179</v>
      </c>
      <c r="K57" s="572">
        <f t="shared" si="68"/>
        <v>113</v>
      </c>
      <c r="L57" s="572">
        <f t="shared" si="68"/>
        <v>13630810</v>
      </c>
      <c r="M57" s="596">
        <f>E57+G57+I57+K57</f>
        <v>637</v>
      </c>
      <c r="N57" s="626">
        <f>F57+H57+J57+L57</f>
        <v>80532446</v>
      </c>
      <c r="O57" s="622"/>
      <c r="P57" s="564" t="s">
        <v>28</v>
      </c>
      <c r="Q57" s="606">
        <f t="shared" ref="Q57:X57" si="69">Q6+Q23+Q40</f>
        <v>0</v>
      </c>
      <c r="R57" s="597">
        <f t="shared" si="69"/>
        <v>0</v>
      </c>
      <c r="S57" s="597">
        <f t="shared" si="69"/>
        <v>96.539999999999992</v>
      </c>
      <c r="T57" s="597">
        <f t="shared" si="69"/>
        <v>12317518</v>
      </c>
      <c r="U57" s="597">
        <f t="shared" si="69"/>
        <v>49.2</v>
      </c>
      <c r="V57" s="632">
        <f t="shared" si="69"/>
        <v>6268080</v>
      </c>
      <c r="W57" s="597">
        <f t="shared" si="69"/>
        <v>141.75</v>
      </c>
      <c r="X57" s="632">
        <f t="shared" si="69"/>
        <v>18052594</v>
      </c>
      <c r="Y57" s="636">
        <f>Q57+S57+U57+W57</f>
        <v>287.49</v>
      </c>
      <c r="Z57" s="573">
        <f>R57+T57+V57+X57</f>
        <v>36638192</v>
      </c>
      <c r="AA57" s="638">
        <f t="shared" ref="AA57:AA58" si="70">IFERROR(Y57/M57,"")</f>
        <v>0.45131868131868136</v>
      </c>
      <c r="AB57" s="617">
        <f t="shared" ref="AB57:AB58" si="71">IFERROR(Z57/N57,"")</f>
        <v>0.45494944981554392</v>
      </c>
      <c r="AC57" s="622"/>
      <c r="AD57" s="564" t="s">
        <v>28</v>
      </c>
      <c r="AE57" s="594">
        <f>AE40+AE23+AE6</f>
        <v>0</v>
      </c>
      <c r="AF57" s="567">
        <f t="shared" ref="AF57:AN57" si="72">AF40+AF23+AF6</f>
        <v>0</v>
      </c>
      <c r="AG57" s="567">
        <f t="shared" si="72"/>
        <v>0</v>
      </c>
      <c r="AH57" s="567">
        <f t="shared" si="72"/>
        <v>0</v>
      </c>
      <c r="AI57" s="567">
        <f t="shared" si="72"/>
        <v>0</v>
      </c>
      <c r="AJ57" s="567">
        <f t="shared" si="72"/>
        <v>0</v>
      </c>
      <c r="AK57" s="567">
        <f t="shared" si="72"/>
        <v>29.4</v>
      </c>
      <c r="AL57" s="843">
        <f t="shared" si="72"/>
        <v>4060532</v>
      </c>
      <c r="AM57" s="606">
        <f t="shared" si="72"/>
        <v>29.4</v>
      </c>
      <c r="AN57" s="844">
        <f t="shared" si="72"/>
        <v>4060532</v>
      </c>
      <c r="AP57" s="651">
        <v>45778</v>
      </c>
      <c r="AQ57" s="667">
        <v>420.28521150726903</v>
      </c>
      <c r="AR57" s="667">
        <v>50275094.814231202</v>
      </c>
    </row>
    <row r="58" spans="2:44" ht="15.75">
      <c r="B58" s="569" t="s">
        <v>8</v>
      </c>
      <c r="C58" s="595">
        <f>C41+C24+C7</f>
        <v>426</v>
      </c>
      <c r="D58" s="575">
        <f>C58/$C$62</f>
        <v>0.21110009910802774</v>
      </c>
      <c r="E58" s="572">
        <f t="shared" si="68"/>
        <v>19</v>
      </c>
      <c r="F58" s="572">
        <f t="shared" si="68"/>
        <v>2363278</v>
      </c>
      <c r="G58" s="572">
        <f t="shared" si="68"/>
        <v>625</v>
      </c>
      <c r="H58" s="572">
        <f t="shared" si="68"/>
        <v>80138157</v>
      </c>
      <c r="I58" s="572">
        <f t="shared" si="68"/>
        <v>86</v>
      </c>
      <c r="J58" s="572">
        <f t="shared" si="68"/>
        <v>10901440</v>
      </c>
      <c r="K58" s="572">
        <f t="shared" si="68"/>
        <v>180</v>
      </c>
      <c r="L58" s="572">
        <f t="shared" si="68"/>
        <v>21638921</v>
      </c>
      <c r="M58" s="596">
        <f>E58+G58+I58+K58</f>
        <v>910</v>
      </c>
      <c r="N58" s="626">
        <f>F58+H58+J58+L58</f>
        <v>115041796</v>
      </c>
      <c r="O58" s="609"/>
      <c r="P58" s="569" t="s">
        <v>8</v>
      </c>
      <c r="Q58" s="606">
        <f t="shared" ref="Q58:X58" si="73">Q7+Q24+Q41</f>
        <v>0</v>
      </c>
      <c r="R58" s="597">
        <f t="shared" si="73"/>
        <v>0</v>
      </c>
      <c r="S58" s="597">
        <f t="shared" si="73"/>
        <v>146.19999999999999</v>
      </c>
      <c r="T58" s="597">
        <f t="shared" si="73"/>
        <v>18258338</v>
      </c>
      <c r="U58" s="597">
        <f t="shared" si="73"/>
        <v>86.009999999999991</v>
      </c>
      <c r="V58" s="632">
        <f t="shared" si="73"/>
        <v>11085360</v>
      </c>
      <c r="W58" s="597">
        <f t="shared" si="73"/>
        <v>371.59500000000003</v>
      </c>
      <c r="X58" s="632">
        <f t="shared" si="73"/>
        <v>44973240</v>
      </c>
      <c r="Y58" s="636">
        <f>Q58+S58+U58+W58</f>
        <v>603.80500000000006</v>
      </c>
      <c r="Z58" s="573">
        <f>R58+T58+V58+X58</f>
        <v>74316938</v>
      </c>
      <c r="AA58" s="638">
        <f t="shared" si="70"/>
        <v>0.6635219780219781</v>
      </c>
      <c r="AB58" s="617">
        <f t="shared" si="71"/>
        <v>0.64599945918785895</v>
      </c>
      <c r="AC58" s="609"/>
      <c r="AD58" s="569" t="s">
        <v>8</v>
      </c>
      <c r="AE58" s="596">
        <f t="shared" ref="AE58:AN58" si="74">AE41+AE24+AE7</f>
        <v>0</v>
      </c>
      <c r="AF58" s="606">
        <f t="shared" si="74"/>
        <v>0</v>
      </c>
      <c r="AG58" s="606">
        <f t="shared" si="74"/>
        <v>0</v>
      </c>
      <c r="AH58" s="606">
        <f t="shared" si="74"/>
        <v>0</v>
      </c>
      <c r="AI58" s="606">
        <f t="shared" si="74"/>
        <v>49.2</v>
      </c>
      <c r="AJ58" s="606">
        <f t="shared" si="74"/>
        <v>6204120</v>
      </c>
      <c r="AK58" s="606">
        <f t="shared" si="74"/>
        <v>110.51</v>
      </c>
      <c r="AL58" s="844">
        <f t="shared" si="74"/>
        <v>14532700</v>
      </c>
      <c r="AM58" s="606">
        <f t="shared" si="74"/>
        <v>159.71</v>
      </c>
      <c r="AN58" s="844">
        <f t="shared" si="74"/>
        <v>20736820</v>
      </c>
      <c r="AP58" s="651">
        <v>45809</v>
      </c>
      <c r="AQ58" s="667">
        <v>361.95481780648203</v>
      </c>
      <c r="AR58" s="667">
        <v>44216080.255956702</v>
      </c>
    </row>
    <row r="59" spans="2:44" ht="15.75">
      <c r="B59" s="569" t="s">
        <v>20</v>
      </c>
      <c r="C59" s="595">
        <v>336</v>
      </c>
      <c r="D59" s="575">
        <f>C59/$C$62</f>
        <v>0.16650148662041625</v>
      </c>
      <c r="E59" s="572">
        <f t="shared" si="68"/>
        <v>30</v>
      </c>
      <c r="F59" s="572">
        <f t="shared" si="68"/>
        <v>3474637</v>
      </c>
      <c r="G59" s="572">
        <f t="shared" si="68"/>
        <v>735</v>
      </c>
      <c r="H59" s="572">
        <f t="shared" si="68"/>
        <v>94276743</v>
      </c>
      <c r="I59" s="572">
        <f t="shared" si="68"/>
        <v>98</v>
      </c>
      <c r="J59" s="572">
        <f t="shared" si="68"/>
        <v>12397281</v>
      </c>
      <c r="K59" s="572">
        <f t="shared" si="68"/>
        <v>191</v>
      </c>
      <c r="L59" s="572">
        <f t="shared" si="68"/>
        <v>23006213</v>
      </c>
      <c r="M59" s="596">
        <f t="shared" ref="M59:N62" si="75">E59+G59+I59+K59</f>
        <v>1054</v>
      </c>
      <c r="N59" s="626">
        <f t="shared" si="75"/>
        <v>133154874</v>
      </c>
      <c r="O59" s="609"/>
      <c r="P59" s="569" t="s">
        <v>20</v>
      </c>
      <c r="Q59" s="606">
        <f t="shared" ref="Q59:X61" si="76">Q8+Q25+Q42</f>
        <v>0</v>
      </c>
      <c r="R59" s="597">
        <f t="shared" si="76"/>
        <v>0</v>
      </c>
      <c r="S59" s="597">
        <f t="shared" si="76"/>
        <v>118.48</v>
      </c>
      <c r="T59" s="597">
        <f t="shared" si="76"/>
        <v>13729886</v>
      </c>
      <c r="U59" s="597">
        <f t="shared" si="76"/>
        <v>35.53</v>
      </c>
      <c r="V59" s="632">
        <f t="shared" si="76"/>
        <v>4798178</v>
      </c>
      <c r="W59" s="597">
        <f t="shared" si="76"/>
        <v>289.68500000000006</v>
      </c>
      <c r="X59" s="632">
        <f t="shared" si="76"/>
        <v>35273205.5</v>
      </c>
      <c r="Y59" s="636">
        <f t="shared" ref="Y59:Y61" si="77">Q59+S59+U59+W59</f>
        <v>443.69500000000005</v>
      </c>
      <c r="Z59" s="573">
        <f t="shared" ref="Z59:Z61" si="78">R59+T59+V59+X59</f>
        <v>53801269.5</v>
      </c>
      <c r="AA59" s="638">
        <f t="shared" ref="AA59:AB62" si="79">IFERROR(Y59/M59,"")</f>
        <v>0.42096299810246685</v>
      </c>
      <c r="AB59" s="617">
        <f t="shared" si="79"/>
        <v>0.40405032038106242</v>
      </c>
      <c r="AC59" s="609"/>
      <c r="AD59" s="569" t="s">
        <v>20</v>
      </c>
      <c r="AE59" s="596">
        <f t="shared" ref="AE59:AN59" si="80">AE42+AE25+AE8</f>
        <v>0</v>
      </c>
      <c r="AF59" s="606">
        <f t="shared" si="80"/>
        <v>0</v>
      </c>
      <c r="AG59" s="606">
        <f t="shared" si="80"/>
        <v>0</v>
      </c>
      <c r="AH59" s="606">
        <f t="shared" si="80"/>
        <v>0</v>
      </c>
      <c r="AI59" s="606">
        <f t="shared" si="80"/>
        <v>0</v>
      </c>
      <c r="AJ59" s="606">
        <f t="shared" si="80"/>
        <v>0</v>
      </c>
      <c r="AK59" s="606">
        <f t="shared" si="80"/>
        <v>289.39</v>
      </c>
      <c r="AL59" s="844">
        <f t="shared" si="80"/>
        <v>35325643</v>
      </c>
      <c r="AM59" s="606">
        <f t="shared" si="80"/>
        <v>289.39</v>
      </c>
      <c r="AN59" s="844">
        <f t="shared" si="80"/>
        <v>35325643</v>
      </c>
      <c r="AP59" s="651">
        <v>45839</v>
      </c>
      <c r="AQ59" s="667">
        <v>1048.88040847563</v>
      </c>
      <c r="AR59" s="667">
        <v>130581441.61214</v>
      </c>
    </row>
    <row r="60" spans="2:44" ht="15.75">
      <c r="B60" s="569" t="s">
        <v>24</v>
      </c>
      <c r="C60" s="595">
        <f>C43+C26+C9</f>
        <v>501</v>
      </c>
      <c r="D60" s="575">
        <f>C60/$C$62</f>
        <v>0.24826560951437066</v>
      </c>
      <c r="E60" s="572">
        <f t="shared" si="68"/>
        <v>29</v>
      </c>
      <c r="F60" s="572">
        <f t="shared" si="68"/>
        <v>3381830</v>
      </c>
      <c r="G60" s="572">
        <f t="shared" si="68"/>
        <v>749</v>
      </c>
      <c r="H60" s="572">
        <f t="shared" si="68"/>
        <v>96062260</v>
      </c>
      <c r="I60" s="572">
        <f t="shared" si="68"/>
        <v>100</v>
      </c>
      <c r="J60" s="572">
        <f t="shared" si="68"/>
        <v>12800201</v>
      </c>
      <c r="K60" s="572">
        <f t="shared" si="68"/>
        <v>200</v>
      </c>
      <c r="L60" s="572">
        <f t="shared" si="68"/>
        <v>24021807</v>
      </c>
      <c r="M60" s="596">
        <f t="shared" si="75"/>
        <v>1078</v>
      </c>
      <c r="N60" s="626">
        <f t="shared" si="75"/>
        <v>136266098</v>
      </c>
      <c r="O60" s="609"/>
      <c r="P60" s="569" t="s">
        <v>24</v>
      </c>
      <c r="Q60" s="606">
        <f t="shared" si="76"/>
        <v>75.7</v>
      </c>
      <c r="R60" s="597">
        <f t="shared" si="76"/>
        <v>8374500</v>
      </c>
      <c r="S60" s="597">
        <f t="shared" si="76"/>
        <v>163.14000000000001</v>
      </c>
      <c r="T60" s="597">
        <f t="shared" si="76"/>
        <v>22517730</v>
      </c>
      <c r="U60" s="597">
        <f t="shared" si="76"/>
        <v>21.195</v>
      </c>
      <c r="V60" s="632">
        <f t="shared" si="76"/>
        <v>2889285</v>
      </c>
      <c r="W60" s="597">
        <f t="shared" si="76"/>
        <v>461.92500000000001</v>
      </c>
      <c r="X60" s="632">
        <f t="shared" si="76"/>
        <v>58153499</v>
      </c>
      <c r="Y60" s="636">
        <f t="shared" si="77"/>
        <v>721.96</v>
      </c>
      <c r="Z60" s="573">
        <f t="shared" si="78"/>
        <v>91935014</v>
      </c>
      <c r="AA60" s="638">
        <f t="shared" si="79"/>
        <v>0.669721706864564</v>
      </c>
      <c r="AB60" s="617">
        <f t="shared" si="79"/>
        <v>0.67467268344324349</v>
      </c>
      <c r="AC60" s="609"/>
      <c r="AD60" s="569" t="s">
        <v>24</v>
      </c>
      <c r="AE60" s="596">
        <f t="shared" ref="AE60:AN60" si="81">AE43+AE26+AE9</f>
        <v>0</v>
      </c>
      <c r="AF60" s="606">
        <f t="shared" si="81"/>
        <v>0</v>
      </c>
      <c r="AG60" s="606">
        <f t="shared" si="81"/>
        <v>56.58</v>
      </c>
      <c r="AH60" s="606">
        <f t="shared" si="81"/>
        <v>6965644</v>
      </c>
      <c r="AI60" s="606">
        <f t="shared" si="81"/>
        <v>42.39</v>
      </c>
      <c r="AJ60" s="606">
        <f t="shared" si="81"/>
        <v>5778570</v>
      </c>
      <c r="AK60" s="606">
        <f t="shared" si="81"/>
        <v>227.60999999999996</v>
      </c>
      <c r="AL60" s="844">
        <f t="shared" si="81"/>
        <v>28341072</v>
      </c>
      <c r="AM60" s="606">
        <f t="shared" si="81"/>
        <v>326.57999999999993</v>
      </c>
      <c r="AN60" s="844">
        <f t="shared" si="81"/>
        <v>41085286</v>
      </c>
      <c r="AP60" s="651">
        <v>45870</v>
      </c>
      <c r="AQ60" s="667">
        <v>625.75775634787203</v>
      </c>
      <c r="AR60" s="667">
        <v>77660623.771749094</v>
      </c>
    </row>
    <row r="61" spans="2:44" ht="15.75">
      <c r="B61" s="618" t="s">
        <v>14</v>
      </c>
      <c r="C61" s="611">
        <f>C44+C27+C10</f>
        <v>468</v>
      </c>
      <c r="D61" s="578">
        <f>C61/$C$62</f>
        <v>0.23191278493557979</v>
      </c>
      <c r="E61" s="572">
        <f t="shared" si="68"/>
        <v>26</v>
      </c>
      <c r="F61" s="572">
        <f t="shared" si="68"/>
        <v>3033805</v>
      </c>
      <c r="G61" s="572">
        <f t="shared" si="68"/>
        <v>688</v>
      </c>
      <c r="H61" s="572">
        <f t="shared" si="68"/>
        <v>88297342</v>
      </c>
      <c r="I61" s="572">
        <f t="shared" si="68"/>
        <v>94</v>
      </c>
      <c r="J61" s="572">
        <f t="shared" si="68"/>
        <v>11913272</v>
      </c>
      <c r="K61" s="572">
        <f t="shared" si="68"/>
        <v>186</v>
      </c>
      <c r="L61" s="572">
        <f t="shared" si="68"/>
        <v>22372668</v>
      </c>
      <c r="M61" s="596">
        <f t="shared" si="75"/>
        <v>994</v>
      </c>
      <c r="N61" s="626">
        <f t="shared" si="75"/>
        <v>125617087</v>
      </c>
      <c r="O61" s="609"/>
      <c r="P61" s="618" t="s">
        <v>14</v>
      </c>
      <c r="Q61" s="589">
        <f t="shared" si="76"/>
        <v>0</v>
      </c>
      <c r="R61" s="590">
        <f t="shared" si="76"/>
        <v>0</v>
      </c>
      <c r="S61" s="590">
        <f t="shared" si="76"/>
        <v>307.22499999999997</v>
      </c>
      <c r="T61" s="590">
        <f t="shared" si="76"/>
        <v>33984610</v>
      </c>
      <c r="U61" s="590">
        <f t="shared" si="76"/>
        <v>0</v>
      </c>
      <c r="V61" s="635">
        <f t="shared" si="76"/>
        <v>0</v>
      </c>
      <c r="W61" s="590">
        <f t="shared" si="76"/>
        <v>346.59999999999997</v>
      </c>
      <c r="X61" s="635">
        <f t="shared" si="76"/>
        <v>43168495</v>
      </c>
      <c r="Y61" s="636">
        <f t="shared" si="77"/>
        <v>653.82499999999993</v>
      </c>
      <c r="Z61" s="573">
        <f t="shared" si="78"/>
        <v>77153105</v>
      </c>
      <c r="AA61" s="639">
        <f t="shared" si="79"/>
        <v>0.65777162977867198</v>
      </c>
      <c r="AB61" s="640">
        <f t="shared" si="79"/>
        <v>0.61419275707292909</v>
      </c>
      <c r="AC61" s="609"/>
      <c r="AD61" s="618" t="s">
        <v>14</v>
      </c>
      <c r="AE61" s="601">
        <f t="shared" ref="AE61:AN61" si="82">AE44+AE27+AE10</f>
        <v>0</v>
      </c>
      <c r="AF61" s="607">
        <f t="shared" si="82"/>
        <v>0</v>
      </c>
      <c r="AG61" s="607">
        <f t="shared" si="82"/>
        <v>34.39</v>
      </c>
      <c r="AH61" s="607">
        <f t="shared" si="82"/>
        <v>4990160</v>
      </c>
      <c r="AI61" s="607">
        <f t="shared" si="82"/>
        <v>0</v>
      </c>
      <c r="AJ61" s="607">
        <f t="shared" si="82"/>
        <v>0</v>
      </c>
      <c r="AK61" s="607">
        <f t="shared" si="82"/>
        <v>80.800000000000011</v>
      </c>
      <c r="AL61" s="845">
        <f t="shared" si="82"/>
        <v>10265804</v>
      </c>
      <c r="AM61" s="606">
        <f t="shared" si="82"/>
        <v>115.19</v>
      </c>
      <c r="AN61" s="844">
        <f t="shared" si="82"/>
        <v>15255964</v>
      </c>
      <c r="AP61" s="651">
        <v>45901</v>
      </c>
      <c r="AQ61" s="667">
        <v>665.69868099914402</v>
      </c>
      <c r="AR61" s="667">
        <v>84113748.593426496</v>
      </c>
    </row>
    <row r="62" spans="2:44">
      <c r="B62" s="581" t="s">
        <v>114</v>
      </c>
      <c r="C62" s="582">
        <f t="shared" ref="C62:L62" si="83">SUM(C57:C61)</f>
        <v>2018</v>
      </c>
      <c r="D62" s="583">
        <f t="shared" si="83"/>
        <v>1</v>
      </c>
      <c r="E62" s="582">
        <f t="shared" si="83"/>
        <v>122</v>
      </c>
      <c r="F62" s="584">
        <f t="shared" si="83"/>
        <v>14458657</v>
      </c>
      <c r="G62" s="584">
        <f t="shared" si="83"/>
        <v>3244</v>
      </c>
      <c r="H62" s="584">
        <f t="shared" si="83"/>
        <v>416080852</v>
      </c>
      <c r="I62" s="584">
        <f t="shared" si="83"/>
        <v>437</v>
      </c>
      <c r="J62" s="629">
        <f t="shared" si="83"/>
        <v>55402373</v>
      </c>
      <c r="K62" s="584">
        <f t="shared" si="83"/>
        <v>870</v>
      </c>
      <c r="L62" s="629">
        <f t="shared" si="83"/>
        <v>104670419</v>
      </c>
      <c r="M62" s="612">
        <f t="shared" si="75"/>
        <v>4673</v>
      </c>
      <c r="N62" s="630">
        <f t="shared" si="75"/>
        <v>590612301</v>
      </c>
      <c r="O62" s="631"/>
      <c r="P62" s="581" t="s">
        <v>114</v>
      </c>
      <c r="Q62" s="582">
        <f t="shared" ref="Q62:Z62" si="84">SUM(Q57:Q61)</f>
        <v>75.7</v>
      </c>
      <c r="R62" s="584">
        <f t="shared" si="84"/>
        <v>8374500</v>
      </c>
      <c r="S62" s="584">
        <f t="shared" si="84"/>
        <v>831.58500000000004</v>
      </c>
      <c r="T62" s="584">
        <f t="shared" si="84"/>
        <v>100808082</v>
      </c>
      <c r="U62" s="584">
        <f t="shared" si="84"/>
        <v>191.93499999999997</v>
      </c>
      <c r="V62" s="629">
        <f t="shared" si="84"/>
        <v>25040903</v>
      </c>
      <c r="W62" s="584">
        <f t="shared" si="84"/>
        <v>1611.5550000000001</v>
      </c>
      <c r="X62" s="629">
        <f t="shared" si="84"/>
        <v>199621033.5</v>
      </c>
      <c r="Y62" s="612">
        <f t="shared" si="84"/>
        <v>2710.7750000000001</v>
      </c>
      <c r="Z62" s="584">
        <f t="shared" si="84"/>
        <v>333844518.5</v>
      </c>
      <c r="AA62" s="641">
        <f t="shared" si="79"/>
        <v>0.58009308795206505</v>
      </c>
      <c r="AB62" s="583">
        <f t="shared" si="79"/>
        <v>0.56525154984877291</v>
      </c>
      <c r="AC62" s="631"/>
      <c r="AD62" s="581" t="s">
        <v>114</v>
      </c>
      <c r="AE62" s="836">
        <f t="shared" ref="AE62:AL62" si="85">SUM(AE57:AE61)</f>
        <v>0</v>
      </c>
      <c r="AF62" s="837">
        <f t="shared" si="85"/>
        <v>0</v>
      </c>
      <c r="AG62" s="837">
        <f t="shared" si="85"/>
        <v>90.97</v>
      </c>
      <c r="AH62" s="837">
        <f t="shared" si="85"/>
        <v>11955804</v>
      </c>
      <c r="AI62" s="837">
        <f t="shared" si="85"/>
        <v>91.59</v>
      </c>
      <c r="AJ62" s="841">
        <f t="shared" si="85"/>
        <v>11982690</v>
      </c>
      <c r="AK62" s="837">
        <f t="shared" si="85"/>
        <v>737.70999999999981</v>
      </c>
      <c r="AL62" s="841">
        <f t="shared" si="85"/>
        <v>92525751</v>
      </c>
      <c r="AM62" s="655">
        <f>AE62+AG62+AI62+AK62</f>
        <v>920.26999999999975</v>
      </c>
      <c r="AN62" s="656">
        <f>AF62+AH62+AJ62+AL62</f>
        <v>116464245</v>
      </c>
      <c r="AP62" s="651">
        <v>45931</v>
      </c>
      <c r="AQ62" s="667">
        <v>773.10501433247703</v>
      </c>
      <c r="AR62" s="667">
        <v>98033803.745813102</v>
      </c>
    </row>
    <row r="63" spans="2:44" ht="16.5" customHeight="1">
      <c r="B63" s="2332" t="s">
        <v>1882</v>
      </c>
      <c r="C63" s="2333"/>
      <c r="D63" s="2334"/>
      <c r="E63" s="2332" t="s">
        <v>7</v>
      </c>
      <c r="F63" s="2333"/>
      <c r="G63" s="2333" t="s">
        <v>13</v>
      </c>
      <c r="H63" s="2333"/>
      <c r="I63" s="2352" t="s">
        <v>1875</v>
      </c>
      <c r="J63" s="2343"/>
      <c r="K63" s="2352" t="s">
        <v>1876</v>
      </c>
      <c r="L63" s="2336"/>
      <c r="M63" s="2335" t="s">
        <v>114</v>
      </c>
      <c r="N63" s="2336"/>
      <c r="O63" s="622"/>
      <c r="P63" s="2355" t="s">
        <v>3</v>
      </c>
      <c r="Q63" s="2332" t="s">
        <v>7</v>
      </c>
      <c r="R63" s="2333"/>
      <c r="S63" s="2333" t="s">
        <v>13</v>
      </c>
      <c r="T63" s="2333"/>
      <c r="U63" s="2333" t="s">
        <v>1875</v>
      </c>
      <c r="V63" s="2352"/>
      <c r="W63" s="2333" t="s">
        <v>1876</v>
      </c>
      <c r="X63" s="2352"/>
      <c r="Y63" s="2332" t="s">
        <v>114</v>
      </c>
      <c r="Z63" s="2333"/>
      <c r="AA63" s="2333" t="s">
        <v>1877</v>
      </c>
      <c r="AB63" s="2334"/>
      <c r="AC63" s="622"/>
      <c r="AD63" s="2353" t="s">
        <v>3</v>
      </c>
      <c r="AE63" s="2360" t="s">
        <v>7</v>
      </c>
      <c r="AF63" s="2333"/>
      <c r="AG63" s="2333" t="s">
        <v>13</v>
      </c>
      <c r="AH63" s="2333"/>
      <c r="AI63" s="2333" t="s">
        <v>1875</v>
      </c>
      <c r="AJ63" s="2352"/>
      <c r="AK63" s="2343" t="s">
        <v>1876</v>
      </c>
      <c r="AL63" s="2336"/>
      <c r="AM63" s="2332" t="s">
        <v>114</v>
      </c>
      <c r="AN63" s="2334"/>
      <c r="AP63" s="651">
        <v>45962</v>
      </c>
      <c r="AQ63" s="667">
        <v>685.69056026423596</v>
      </c>
      <c r="AR63" s="667">
        <v>87881866.029540107</v>
      </c>
    </row>
    <row r="64" spans="2:44" ht="15.75">
      <c r="B64" s="613" t="s">
        <v>1878</v>
      </c>
      <c r="C64" s="614" t="s">
        <v>1879</v>
      </c>
      <c r="D64" s="615" t="s">
        <v>1880</v>
      </c>
      <c r="E64" s="610" t="s">
        <v>1872</v>
      </c>
      <c r="F64" s="563" t="s">
        <v>1881</v>
      </c>
      <c r="G64" s="562" t="s">
        <v>1872</v>
      </c>
      <c r="H64" s="563" t="s">
        <v>1881</v>
      </c>
      <c r="I64" s="562" t="s">
        <v>1872</v>
      </c>
      <c r="J64" s="623" t="s">
        <v>1881</v>
      </c>
      <c r="K64" s="563" t="s">
        <v>1872</v>
      </c>
      <c r="L64" s="624" t="s">
        <v>1881</v>
      </c>
      <c r="M64" s="610" t="s">
        <v>1872</v>
      </c>
      <c r="N64" s="624" t="s">
        <v>1881</v>
      </c>
      <c r="O64" s="622"/>
      <c r="P64" s="2354"/>
      <c r="Q64" s="562" t="s">
        <v>1872</v>
      </c>
      <c r="R64" s="563" t="s">
        <v>1881</v>
      </c>
      <c r="S64" s="562" t="s">
        <v>1872</v>
      </c>
      <c r="T64" s="563" t="s">
        <v>1881</v>
      </c>
      <c r="U64" s="562" t="s">
        <v>1872</v>
      </c>
      <c r="V64" s="563" t="s">
        <v>1881</v>
      </c>
      <c r="W64" s="562" t="s">
        <v>1872</v>
      </c>
      <c r="X64" s="563" t="s">
        <v>1881</v>
      </c>
      <c r="Y64" s="610" t="s">
        <v>1872</v>
      </c>
      <c r="Z64" s="563" t="s">
        <v>1881</v>
      </c>
      <c r="AA64" s="563" t="s">
        <v>1872</v>
      </c>
      <c r="AB64" s="624" t="s">
        <v>1881</v>
      </c>
      <c r="AC64" s="622"/>
      <c r="AD64" s="2354"/>
      <c r="AE64" s="838" t="s">
        <v>1872</v>
      </c>
      <c r="AF64" s="825" t="s">
        <v>1881</v>
      </c>
      <c r="AG64" s="825" t="s">
        <v>1872</v>
      </c>
      <c r="AH64" s="825" t="s">
        <v>1881</v>
      </c>
      <c r="AI64" s="825" t="s">
        <v>1872</v>
      </c>
      <c r="AJ64" s="842" t="s">
        <v>1881</v>
      </c>
      <c r="AK64" s="838" t="s">
        <v>1872</v>
      </c>
      <c r="AL64" s="826" t="s">
        <v>1881</v>
      </c>
      <c r="AM64" s="610" t="s">
        <v>1872</v>
      </c>
      <c r="AN64" s="624" t="s">
        <v>1881</v>
      </c>
      <c r="AP64" s="651">
        <v>45992</v>
      </c>
      <c r="AQ64" s="667">
        <v>706.91746993423601</v>
      </c>
      <c r="AR64" s="668">
        <v>91902719.367531896</v>
      </c>
    </row>
    <row r="65" spans="2:44" ht="15.75">
      <c r="B65" s="569" t="s">
        <v>22</v>
      </c>
      <c r="C65" s="565">
        <f>C14+C31+C48</f>
        <v>438</v>
      </c>
      <c r="D65" s="616">
        <f>C65/$C$68</f>
        <v>0.53349573690621188</v>
      </c>
      <c r="E65" s="572">
        <f t="shared" ref="E65:L68" si="86">E14+E31+E48</f>
        <v>37.714285714285715</v>
      </c>
      <c r="F65" s="572">
        <f t="shared" si="86"/>
        <v>4507773.3979591839</v>
      </c>
      <c r="G65" s="572">
        <f t="shared" si="86"/>
        <v>1088.7013269685556</v>
      </c>
      <c r="H65" s="572">
        <f t="shared" si="86"/>
        <v>139614801.26090038</v>
      </c>
      <c r="I65" s="572">
        <f t="shared" si="86"/>
        <v>148.76776736445652</v>
      </c>
      <c r="J65" s="572">
        <f t="shared" si="86"/>
        <v>18852466.086506963</v>
      </c>
      <c r="K65" s="572">
        <f t="shared" si="86"/>
        <v>301.92393360777788</v>
      </c>
      <c r="L65" s="572">
        <f t="shared" si="86"/>
        <v>36349538.915087149</v>
      </c>
      <c r="M65" s="596">
        <f t="shared" ref="M65:N68" si="87">E65+G65+I65+K65</f>
        <v>1577.1073136550756</v>
      </c>
      <c r="N65" s="626">
        <f t="shared" si="87"/>
        <v>199324579.66045368</v>
      </c>
      <c r="O65" s="609"/>
      <c r="P65" s="569" t="s">
        <v>22</v>
      </c>
      <c r="Q65" s="572">
        <f t="shared" ref="Q65:X67" si="88">Q14+Q31+Q48</f>
        <v>75.7</v>
      </c>
      <c r="R65" s="573">
        <f t="shared" si="88"/>
        <v>8374500</v>
      </c>
      <c r="S65" s="573">
        <f t="shared" si="88"/>
        <v>512.54</v>
      </c>
      <c r="T65" s="573">
        <f t="shared" si="88"/>
        <v>64826686</v>
      </c>
      <c r="U65" s="573">
        <f t="shared" si="88"/>
        <v>24.6</v>
      </c>
      <c r="V65" s="628">
        <f t="shared" si="88"/>
        <v>3102060</v>
      </c>
      <c r="W65" s="573">
        <f t="shared" si="88"/>
        <v>44.25</v>
      </c>
      <c r="X65" s="628">
        <f t="shared" si="88"/>
        <v>5486138</v>
      </c>
      <c r="Y65" s="636">
        <f>Q65+S65+U65+W65</f>
        <v>657.09</v>
      </c>
      <c r="Z65" s="573">
        <f>R65+T65+V65+X65</f>
        <v>81789384</v>
      </c>
      <c r="AA65" s="645">
        <f t="shared" ref="AA65:AB68" si="89">IFERROR(Y65/M65,"")</f>
        <v>0.41664254189344924</v>
      </c>
      <c r="AB65" s="588">
        <f t="shared" si="89"/>
        <v>0.41033265510619382</v>
      </c>
      <c r="AC65" s="609"/>
      <c r="AD65" s="569" t="s">
        <v>22</v>
      </c>
      <c r="AE65" s="594">
        <f>AE48+AE31+AE14</f>
        <v>0</v>
      </c>
      <c r="AF65" s="567">
        <f t="shared" ref="AF65:AN65" si="90">AF48+AF31+AF14</f>
        <v>0</v>
      </c>
      <c r="AG65" s="567">
        <f t="shared" si="90"/>
        <v>0</v>
      </c>
      <c r="AH65" s="567">
        <f t="shared" si="90"/>
        <v>0</v>
      </c>
      <c r="AI65" s="567">
        <f t="shared" si="90"/>
        <v>49.2</v>
      </c>
      <c r="AJ65" s="567">
        <f t="shared" si="90"/>
        <v>6204120</v>
      </c>
      <c r="AK65" s="567">
        <f t="shared" si="90"/>
        <v>0</v>
      </c>
      <c r="AL65" s="843">
        <f t="shared" si="90"/>
        <v>0</v>
      </c>
      <c r="AM65" s="572">
        <f t="shared" si="90"/>
        <v>49.2</v>
      </c>
      <c r="AN65" s="661">
        <f t="shared" si="90"/>
        <v>6204120</v>
      </c>
      <c r="AP65" s="660" t="s">
        <v>1883</v>
      </c>
      <c r="AQ65" s="671">
        <f>SUM(AQ53:AQ64)</f>
        <v>6550.7051305258201</v>
      </c>
      <c r="AR65" s="671">
        <f>SUM(AR53:AR64)</f>
        <v>816787786.94568646</v>
      </c>
    </row>
    <row r="66" spans="2:44" ht="15.75">
      <c r="B66" s="569" t="s">
        <v>26</v>
      </c>
      <c r="C66" s="595">
        <f>C15+C32+C49</f>
        <v>383</v>
      </c>
      <c r="D66" s="617">
        <f t="shared" ref="D66:D67" si="91">C66/$C$68</f>
        <v>0.46650426309378806</v>
      </c>
      <c r="E66" s="572">
        <f t="shared" si="86"/>
        <v>39.23571428571428</v>
      </c>
      <c r="F66" s="572">
        <f t="shared" si="86"/>
        <v>4569396.8020408163</v>
      </c>
      <c r="G66" s="572">
        <f t="shared" si="86"/>
        <v>950.74867303144424</v>
      </c>
      <c r="H66" s="572">
        <f t="shared" si="86"/>
        <v>122022707.23909956</v>
      </c>
      <c r="I66" s="572">
        <f t="shared" si="86"/>
        <v>126.78223263554349</v>
      </c>
      <c r="J66" s="572">
        <f t="shared" si="86"/>
        <v>16066851.463493034</v>
      </c>
      <c r="K66" s="572">
        <f t="shared" si="86"/>
        <v>245.47606639222212</v>
      </c>
      <c r="L66" s="572">
        <f t="shared" si="86"/>
        <v>29541096.884912848</v>
      </c>
      <c r="M66" s="596">
        <f t="shared" si="87"/>
        <v>1362.2426863449241</v>
      </c>
      <c r="N66" s="626">
        <f t="shared" si="87"/>
        <v>172200052.38954628</v>
      </c>
      <c r="O66" s="609"/>
      <c r="P66" s="569" t="s">
        <v>26</v>
      </c>
      <c r="Q66" s="606">
        <f t="shared" si="88"/>
        <v>0</v>
      </c>
      <c r="R66" s="597">
        <f t="shared" si="88"/>
        <v>0</v>
      </c>
      <c r="S66" s="597">
        <f t="shared" si="88"/>
        <v>187.02</v>
      </c>
      <c r="T66" s="597">
        <f t="shared" si="88"/>
        <v>24222104</v>
      </c>
      <c r="U66" s="597">
        <f t="shared" si="88"/>
        <v>103.8</v>
      </c>
      <c r="V66" s="632">
        <f t="shared" si="88"/>
        <v>13761870</v>
      </c>
      <c r="W66" s="597">
        <f t="shared" si="88"/>
        <v>0</v>
      </c>
      <c r="X66" s="632">
        <f t="shared" si="88"/>
        <v>0</v>
      </c>
      <c r="Y66" s="636">
        <f t="shared" ref="Y66:Y67" si="92">Q66+S66+U66+W66</f>
        <v>290.82</v>
      </c>
      <c r="Z66" s="573">
        <f t="shared" ref="Z66:Z67" si="93">R66+T66+V66+X66</f>
        <v>37983974</v>
      </c>
      <c r="AA66" s="638">
        <f t="shared" si="89"/>
        <v>0.21348618929297261</v>
      </c>
      <c r="AB66" s="617">
        <f t="shared" si="89"/>
        <v>0.22058050199702428</v>
      </c>
      <c r="AC66" s="609"/>
      <c r="AD66" s="569" t="s">
        <v>26</v>
      </c>
      <c r="AE66" s="636">
        <f t="shared" ref="AE66:AN66" si="94">AE49+AE32+AE15</f>
        <v>0</v>
      </c>
      <c r="AF66" s="572">
        <f t="shared" si="94"/>
        <v>0</v>
      </c>
      <c r="AG66" s="572">
        <f t="shared" si="94"/>
        <v>90.97</v>
      </c>
      <c r="AH66" s="572">
        <f t="shared" si="94"/>
        <v>11955804</v>
      </c>
      <c r="AI66" s="572">
        <f t="shared" si="94"/>
        <v>42.39</v>
      </c>
      <c r="AJ66" s="572">
        <f t="shared" si="94"/>
        <v>5778570</v>
      </c>
      <c r="AK66" s="572">
        <f t="shared" si="94"/>
        <v>0</v>
      </c>
      <c r="AL66" s="661">
        <f t="shared" si="94"/>
        <v>0</v>
      </c>
      <c r="AM66" s="572">
        <f t="shared" si="94"/>
        <v>133.36000000000001</v>
      </c>
      <c r="AN66" s="661">
        <f t="shared" si="94"/>
        <v>17734374</v>
      </c>
    </row>
    <row r="67" spans="2:44" ht="15.75">
      <c r="B67" s="627" t="s">
        <v>3</v>
      </c>
      <c r="C67" s="599">
        <f>C16+C33+C50</f>
        <v>0</v>
      </c>
      <c r="D67" s="619">
        <f t="shared" si="91"/>
        <v>0</v>
      </c>
      <c r="E67" s="572">
        <f t="shared" si="86"/>
        <v>0</v>
      </c>
      <c r="F67" s="572">
        <f t="shared" si="86"/>
        <v>0</v>
      </c>
      <c r="G67" s="572">
        <f t="shared" si="86"/>
        <v>0</v>
      </c>
      <c r="H67" s="572">
        <f t="shared" si="86"/>
        <v>0</v>
      </c>
      <c r="I67" s="572">
        <f t="shared" si="86"/>
        <v>0</v>
      </c>
      <c r="J67" s="572">
        <f t="shared" si="86"/>
        <v>0</v>
      </c>
      <c r="K67" s="572">
        <f t="shared" si="86"/>
        <v>0</v>
      </c>
      <c r="L67" s="572">
        <f t="shared" si="86"/>
        <v>0</v>
      </c>
      <c r="M67" s="596">
        <f t="shared" si="87"/>
        <v>0</v>
      </c>
      <c r="N67" s="626">
        <f t="shared" si="87"/>
        <v>0</v>
      </c>
      <c r="O67" s="609"/>
      <c r="P67" s="627" t="s">
        <v>3</v>
      </c>
      <c r="Q67" s="607">
        <f t="shared" si="88"/>
        <v>0</v>
      </c>
      <c r="R67" s="602">
        <f t="shared" si="88"/>
        <v>0</v>
      </c>
      <c r="S67" s="602">
        <f t="shared" si="88"/>
        <v>0</v>
      </c>
      <c r="T67" s="602">
        <f t="shared" si="88"/>
        <v>0</v>
      </c>
      <c r="U67" s="602">
        <f t="shared" si="88"/>
        <v>0</v>
      </c>
      <c r="V67" s="633">
        <f t="shared" si="88"/>
        <v>0</v>
      </c>
      <c r="W67" s="602">
        <f t="shared" si="88"/>
        <v>0</v>
      </c>
      <c r="X67" s="633">
        <f t="shared" si="88"/>
        <v>0</v>
      </c>
      <c r="Y67" s="636">
        <f t="shared" si="92"/>
        <v>0</v>
      </c>
      <c r="Z67" s="573">
        <f t="shared" si="93"/>
        <v>0</v>
      </c>
      <c r="AA67" s="647" t="str">
        <f t="shared" si="89"/>
        <v/>
      </c>
      <c r="AB67" s="619" t="str">
        <f t="shared" si="89"/>
        <v/>
      </c>
      <c r="AC67" s="609"/>
      <c r="AD67" s="627" t="s">
        <v>3</v>
      </c>
      <c r="AE67" s="834">
        <f t="shared" ref="AE67:AN67" si="95">AE50+AE33+AE16</f>
        <v>0</v>
      </c>
      <c r="AF67" s="847">
        <f t="shared" si="95"/>
        <v>0</v>
      </c>
      <c r="AG67" s="847">
        <f t="shared" si="95"/>
        <v>0</v>
      </c>
      <c r="AH67" s="847">
        <f t="shared" si="95"/>
        <v>0</v>
      </c>
      <c r="AI67" s="847">
        <f t="shared" si="95"/>
        <v>0</v>
      </c>
      <c r="AJ67" s="847">
        <f t="shared" si="95"/>
        <v>0</v>
      </c>
      <c r="AK67" s="847">
        <f t="shared" si="95"/>
        <v>0</v>
      </c>
      <c r="AL67" s="848">
        <f t="shared" si="95"/>
        <v>0</v>
      </c>
      <c r="AM67" s="572">
        <f t="shared" si="95"/>
        <v>0</v>
      </c>
      <c r="AN67" s="661">
        <f t="shared" si="95"/>
        <v>0</v>
      </c>
    </row>
    <row r="68" spans="2:44">
      <c r="B68" s="620" t="s">
        <v>114</v>
      </c>
      <c r="C68" s="603">
        <f>SUM(C65:C67)</f>
        <v>821</v>
      </c>
      <c r="D68" s="604">
        <f t="shared" ref="D68" si="96">SUM(D65:D67)</f>
        <v>1</v>
      </c>
      <c r="E68" s="582">
        <f t="shared" si="86"/>
        <v>76.949999999999989</v>
      </c>
      <c r="F68" s="584">
        <f t="shared" si="86"/>
        <v>9077170.1999999993</v>
      </c>
      <c r="G68" s="584">
        <f t="shared" si="86"/>
        <v>2039.45</v>
      </c>
      <c r="H68" s="584">
        <f t="shared" si="86"/>
        <v>261637508.49999997</v>
      </c>
      <c r="I68" s="584">
        <f t="shared" si="86"/>
        <v>275.55</v>
      </c>
      <c r="J68" s="629">
        <f t="shared" si="86"/>
        <v>34919317.549999997</v>
      </c>
      <c r="K68" s="584">
        <f t="shared" si="86"/>
        <v>547.40000000000009</v>
      </c>
      <c r="L68" s="629">
        <f t="shared" si="86"/>
        <v>65890635.799999997</v>
      </c>
      <c r="M68" s="612">
        <f t="shared" si="87"/>
        <v>2939.3500000000004</v>
      </c>
      <c r="N68" s="630">
        <f t="shared" si="87"/>
        <v>371524632.05000001</v>
      </c>
      <c r="O68" s="631"/>
      <c r="P68" s="620" t="s">
        <v>114</v>
      </c>
      <c r="Q68" s="603">
        <f>SUM(Q65:Q67)</f>
        <v>75.7</v>
      </c>
      <c r="R68" s="605">
        <f t="shared" ref="R68:Z68" si="97">SUM(R65:R67)</f>
        <v>8374500</v>
      </c>
      <c r="S68" s="605">
        <f t="shared" si="97"/>
        <v>699.56</v>
      </c>
      <c r="T68" s="605">
        <f t="shared" si="97"/>
        <v>89048790</v>
      </c>
      <c r="U68" s="605">
        <f t="shared" si="97"/>
        <v>128.4</v>
      </c>
      <c r="V68" s="634">
        <f t="shared" si="97"/>
        <v>16863930</v>
      </c>
      <c r="W68" s="605">
        <f t="shared" si="97"/>
        <v>44.25</v>
      </c>
      <c r="X68" s="634">
        <f t="shared" si="97"/>
        <v>5486138</v>
      </c>
      <c r="Y68" s="648">
        <f t="shared" si="97"/>
        <v>947.91000000000008</v>
      </c>
      <c r="Z68" s="605">
        <f t="shared" si="97"/>
        <v>119773358</v>
      </c>
      <c r="AA68" s="649">
        <f t="shared" si="89"/>
        <v>0.32248966608263729</v>
      </c>
      <c r="AB68" s="604">
        <f t="shared" si="89"/>
        <v>0.32238335676187635</v>
      </c>
      <c r="AC68" s="631"/>
      <c r="AD68" s="581" t="s">
        <v>114</v>
      </c>
      <c r="AE68" s="582">
        <f t="shared" ref="AE68:AN68" si="98">SUM(AE65:AE67)</f>
        <v>0</v>
      </c>
      <c r="AF68" s="584">
        <f t="shared" si="98"/>
        <v>0</v>
      </c>
      <c r="AG68" s="584">
        <f t="shared" si="98"/>
        <v>90.97</v>
      </c>
      <c r="AH68" s="584">
        <f t="shared" si="98"/>
        <v>11955804</v>
      </c>
      <c r="AI68" s="584">
        <f t="shared" si="98"/>
        <v>91.59</v>
      </c>
      <c r="AJ68" s="629">
        <f t="shared" si="98"/>
        <v>11982690</v>
      </c>
      <c r="AK68" s="584">
        <f t="shared" ref="AK68:AL68" si="99">SUM(AK65:AK67)</f>
        <v>0</v>
      </c>
      <c r="AL68" s="629">
        <f t="shared" si="99"/>
        <v>0</v>
      </c>
      <c r="AM68" s="612">
        <f t="shared" si="98"/>
        <v>182.56</v>
      </c>
      <c r="AN68" s="630">
        <f t="shared" si="98"/>
        <v>23938494</v>
      </c>
    </row>
    <row r="70" spans="2:44">
      <c r="AQ70" s="673"/>
      <c r="AR70" s="673"/>
    </row>
  </sheetData>
  <mergeCells count="174">
    <mergeCell ref="B1:N1"/>
    <mergeCell ref="P1:AB1"/>
    <mergeCell ref="AD1:AN1"/>
    <mergeCell ref="AP1:AR1"/>
    <mergeCell ref="AT1:AV1"/>
    <mergeCell ref="AP2:AR2"/>
    <mergeCell ref="AT2:AV2"/>
    <mergeCell ref="B3:N3"/>
    <mergeCell ref="P3:AB3"/>
    <mergeCell ref="AD3:AN3"/>
    <mergeCell ref="B4:D4"/>
    <mergeCell ref="E4:F4"/>
    <mergeCell ref="G4:H4"/>
    <mergeCell ref="I4:J4"/>
    <mergeCell ref="K4:L4"/>
    <mergeCell ref="M4:N4"/>
    <mergeCell ref="Q4:R4"/>
    <mergeCell ref="S4:T4"/>
    <mergeCell ref="U4:V4"/>
    <mergeCell ref="W4:X4"/>
    <mergeCell ref="Y4:Z4"/>
    <mergeCell ref="AA4:AB4"/>
    <mergeCell ref="AE4:AF4"/>
    <mergeCell ref="AG4:AH4"/>
    <mergeCell ref="AI4:AJ4"/>
    <mergeCell ref="AK4:AL4"/>
    <mergeCell ref="AM4:AN4"/>
    <mergeCell ref="B12:D12"/>
    <mergeCell ref="E12:F12"/>
    <mergeCell ref="G12:H12"/>
    <mergeCell ref="I12:J12"/>
    <mergeCell ref="K12:L12"/>
    <mergeCell ref="M12:N12"/>
    <mergeCell ref="Q12:R12"/>
    <mergeCell ref="S12:T12"/>
    <mergeCell ref="U12:V12"/>
    <mergeCell ref="W12:X12"/>
    <mergeCell ref="Y12:Z12"/>
    <mergeCell ref="AA12:AB12"/>
    <mergeCell ref="AE12:AF12"/>
    <mergeCell ref="AG12:AH12"/>
    <mergeCell ref="AI12:AJ12"/>
    <mergeCell ref="AK12:AL12"/>
    <mergeCell ref="AM12:AN12"/>
    <mergeCell ref="AP18:AR18"/>
    <mergeCell ref="B20:N20"/>
    <mergeCell ref="P20:AB20"/>
    <mergeCell ref="AD20:AN20"/>
    <mergeCell ref="B21:D21"/>
    <mergeCell ref="E21:F21"/>
    <mergeCell ref="G21:H21"/>
    <mergeCell ref="I21:J21"/>
    <mergeCell ref="K21:L21"/>
    <mergeCell ref="M21:N21"/>
    <mergeCell ref="Q21:R21"/>
    <mergeCell ref="S21:T21"/>
    <mergeCell ref="U21:V21"/>
    <mergeCell ref="W21:X21"/>
    <mergeCell ref="Y21:Z21"/>
    <mergeCell ref="AA21:AB21"/>
    <mergeCell ref="AE21:AF21"/>
    <mergeCell ref="AG21:AH21"/>
    <mergeCell ref="AI21:AJ21"/>
    <mergeCell ref="AK21:AL21"/>
    <mergeCell ref="AM21:AN21"/>
    <mergeCell ref="B29:D29"/>
    <mergeCell ref="E29:F29"/>
    <mergeCell ref="G29:H29"/>
    <mergeCell ref="I29:J29"/>
    <mergeCell ref="K29:L29"/>
    <mergeCell ref="M29:N29"/>
    <mergeCell ref="Q29:R29"/>
    <mergeCell ref="S29:T29"/>
    <mergeCell ref="U29:V29"/>
    <mergeCell ref="W29:X29"/>
    <mergeCell ref="Y29:Z29"/>
    <mergeCell ref="AA29:AB29"/>
    <mergeCell ref="AE29:AF29"/>
    <mergeCell ref="AG29:AH29"/>
    <mergeCell ref="AI29:AJ29"/>
    <mergeCell ref="AK29:AL29"/>
    <mergeCell ref="AM29:AN29"/>
    <mergeCell ref="AP34:AR34"/>
    <mergeCell ref="B37:N37"/>
    <mergeCell ref="P37:AB37"/>
    <mergeCell ref="AD37:AN37"/>
    <mergeCell ref="B38:D38"/>
    <mergeCell ref="E38:F38"/>
    <mergeCell ref="G38:H38"/>
    <mergeCell ref="I38:J38"/>
    <mergeCell ref="K38:L38"/>
    <mergeCell ref="M38:N38"/>
    <mergeCell ref="Q38:R38"/>
    <mergeCell ref="S38:T38"/>
    <mergeCell ref="U38:V38"/>
    <mergeCell ref="W38:X38"/>
    <mergeCell ref="Y38:Z38"/>
    <mergeCell ref="AA38:AB38"/>
    <mergeCell ref="AE38:AF38"/>
    <mergeCell ref="AG38:AH38"/>
    <mergeCell ref="AI38:AJ38"/>
    <mergeCell ref="AK38:AL38"/>
    <mergeCell ref="AM38:AN38"/>
    <mergeCell ref="B46:D46"/>
    <mergeCell ref="E46:F46"/>
    <mergeCell ref="G46:H46"/>
    <mergeCell ref="I46:J46"/>
    <mergeCell ref="K46:L46"/>
    <mergeCell ref="M46:N46"/>
    <mergeCell ref="Q46:R46"/>
    <mergeCell ref="S46:T46"/>
    <mergeCell ref="U46:V46"/>
    <mergeCell ref="W46:X46"/>
    <mergeCell ref="Y46:Z46"/>
    <mergeCell ref="AA46:AB46"/>
    <mergeCell ref="AE46:AF46"/>
    <mergeCell ref="AG46:AH46"/>
    <mergeCell ref="AI46:AJ46"/>
    <mergeCell ref="AK46:AL46"/>
    <mergeCell ref="AM46:AN46"/>
    <mergeCell ref="AP51:AR51"/>
    <mergeCell ref="B54:N54"/>
    <mergeCell ref="P54:AB54"/>
    <mergeCell ref="AD54:AN54"/>
    <mergeCell ref="B55:D55"/>
    <mergeCell ref="E55:F55"/>
    <mergeCell ref="G55:H55"/>
    <mergeCell ref="I55:J55"/>
    <mergeCell ref="K55:L55"/>
    <mergeCell ref="M55:N55"/>
    <mergeCell ref="Q55:R55"/>
    <mergeCell ref="S55:T55"/>
    <mergeCell ref="U55:V55"/>
    <mergeCell ref="W55:X55"/>
    <mergeCell ref="Y55:Z55"/>
    <mergeCell ref="AA55:AB55"/>
    <mergeCell ref="AE55:AF55"/>
    <mergeCell ref="AG55:AH55"/>
    <mergeCell ref="AI55:AJ55"/>
    <mergeCell ref="AK55:AL55"/>
    <mergeCell ref="AM55:AN55"/>
    <mergeCell ref="B63:D63"/>
    <mergeCell ref="E63:F63"/>
    <mergeCell ref="G63:H63"/>
    <mergeCell ref="I63:J63"/>
    <mergeCell ref="K63:L63"/>
    <mergeCell ref="M63:N63"/>
    <mergeCell ref="Q63:R63"/>
    <mergeCell ref="S63:T63"/>
    <mergeCell ref="U63:V63"/>
    <mergeCell ref="W63:X63"/>
    <mergeCell ref="Y63:Z63"/>
    <mergeCell ref="AA63:AB63"/>
    <mergeCell ref="AE63:AF63"/>
    <mergeCell ref="AG63:AH63"/>
    <mergeCell ref="AI63:AJ63"/>
    <mergeCell ref="AK63:AL63"/>
    <mergeCell ref="AM63:AN63"/>
    <mergeCell ref="P4:P5"/>
    <mergeCell ref="P12:P13"/>
    <mergeCell ref="P21:P22"/>
    <mergeCell ref="P29:P30"/>
    <mergeCell ref="P38:P39"/>
    <mergeCell ref="P46:P47"/>
    <mergeCell ref="P55:P56"/>
    <mergeCell ref="P63:P64"/>
    <mergeCell ref="AD4:AD5"/>
    <mergeCell ref="AD12:AD13"/>
    <mergeCell ref="AD21:AD22"/>
    <mergeCell ref="AD29:AD30"/>
    <mergeCell ref="AD38:AD39"/>
    <mergeCell ref="AD46:AD47"/>
    <mergeCell ref="AD55:AD56"/>
    <mergeCell ref="AD63:AD64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20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  <pageSetUpPr fitToPage="1"/>
  </sheetPr>
  <dimension ref="B2:AC70"/>
  <sheetViews>
    <sheetView zoomScale="90" zoomScaleNormal="90" workbookViewId="0">
      <selection activeCell="B23" sqref="B23"/>
    </sheetView>
  </sheetViews>
  <sheetFormatPr defaultColWidth="9.140625" defaultRowHeight="15"/>
  <cols>
    <col min="1" max="1" width="1.7109375" style="557" customWidth="1"/>
    <col min="2" max="2" width="19.7109375" style="558" customWidth="1"/>
    <col min="3" max="3" width="7.42578125" style="558" customWidth="1"/>
    <col min="4" max="4" width="20.7109375" style="558" customWidth="1"/>
    <col min="5" max="5" width="12.42578125" style="558" customWidth="1"/>
    <col min="6" max="6" width="13.7109375" style="558" customWidth="1"/>
    <col min="7" max="7" width="12.42578125" style="558" customWidth="1"/>
    <col min="8" max="8" width="13.7109375" style="558" customWidth="1"/>
    <col min="9" max="9" width="9.28515625" style="558" customWidth="1"/>
    <col min="10" max="10" width="20.28515625" style="558" customWidth="1"/>
    <col min="11" max="11" width="5.7109375" style="557" customWidth="1"/>
    <col min="12" max="12" width="11.7109375" style="558" customWidth="1"/>
    <col min="13" max="13" width="9.7109375" style="558" customWidth="1"/>
    <col min="14" max="14" width="12.42578125" style="558" customWidth="1"/>
    <col min="15" max="15" width="9.7109375" style="558" customWidth="1"/>
    <col min="16" max="16" width="12.42578125" style="558" customWidth="1"/>
    <col min="17" max="17" width="9.85546875" style="558" customWidth="1"/>
    <col min="18" max="18" width="12.42578125" style="558" customWidth="1"/>
    <col min="19" max="19" width="9.85546875" style="558" customWidth="1"/>
    <col min="20" max="20" width="12.7109375" style="558" customWidth="1"/>
    <col min="21" max="21" width="9.7109375" style="558" customWidth="1"/>
    <col min="22" max="22" width="13.28515625" style="558" customWidth="1"/>
    <col min="23" max="23" width="5.7109375" style="557" customWidth="1"/>
    <col min="24" max="24" width="17" style="557" customWidth="1"/>
    <col min="25" max="25" width="12.42578125" style="557" customWidth="1"/>
    <col min="26" max="26" width="17.140625" style="557" customWidth="1"/>
    <col min="27" max="28" width="12" style="558" customWidth="1"/>
    <col min="29" max="16384" width="9.140625" style="557"/>
  </cols>
  <sheetData>
    <row r="2" spans="2:29" ht="15.75">
      <c r="B2" s="2329">
        <v>45383</v>
      </c>
      <c r="C2" s="2330"/>
      <c r="D2" s="2330"/>
      <c r="E2" s="2330"/>
      <c r="F2" s="2330"/>
      <c r="G2" s="2330"/>
      <c r="H2" s="2330"/>
      <c r="I2" s="2330"/>
      <c r="J2" s="2331"/>
      <c r="K2" s="622"/>
      <c r="L2" s="2390">
        <f>B2</f>
        <v>45383</v>
      </c>
      <c r="M2" s="2391"/>
      <c r="N2" s="2391"/>
      <c r="O2" s="2391"/>
      <c r="P2" s="2391"/>
      <c r="Q2" s="2391"/>
      <c r="R2" s="2391"/>
      <c r="S2" s="2391"/>
      <c r="T2" s="2391"/>
      <c r="U2" s="2391"/>
      <c r="V2" s="2392"/>
      <c r="X2" s="2396" t="s">
        <v>1886</v>
      </c>
      <c r="Y2" s="2396"/>
      <c r="Z2" s="2396"/>
    </row>
    <row r="3" spans="2:29" ht="15.75">
      <c r="B3" s="2335" t="s">
        <v>1874</v>
      </c>
      <c r="C3" s="2343"/>
      <c r="D3" s="2360"/>
      <c r="E3" s="2352" t="s">
        <v>7</v>
      </c>
      <c r="F3" s="2360"/>
      <c r="G3" s="2352" t="s">
        <v>13</v>
      </c>
      <c r="H3" s="2360"/>
      <c r="I3" s="2386" t="s">
        <v>1887</v>
      </c>
      <c r="J3" s="2372" t="s">
        <v>1888</v>
      </c>
      <c r="K3" s="790"/>
      <c r="L3" s="2388" t="s">
        <v>1878</v>
      </c>
      <c r="M3" s="2393" t="s">
        <v>1889</v>
      </c>
      <c r="N3" s="2393"/>
      <c r="O3" s="2393"/>
      <c r="P3" s="2393"/>
      <c r="Q3" s="2394" t="s">
        <v>1890</v>
      </c>
      <c r="R3" s="2394"/>
      <c r="S3" s="2394"/>
      <c r="T3" s="2394"/>
      <c r="U3" s="2394"/>
      <c r="V3" s="2395"/>
      <c r="X3" s="650" t="s">
        <v>1871</v>
      </c>
      <c r="Y3" s="663" t="s">
        <v>1872</v>
      </c>
      <c r="Z3" s="664" t="s">
        <v>1873</v>
      </c>
    </row>
    <row r="4" spans="2:29" ht="15.75">
      <c r="B4" s="559" t="s">
        <v>1878</v>
      </c>
      <c r="C4" s="560" t="s">
        <v>1879</v>
      </c>
      <c r="D4" s="560" t="s">
        <v>1880</v>
      </c>
      <c r="E4" s="563" t="s">
        <v>1872</v>
      </c>
      <c r="F4" s="563" t="s">
        <v>1891</v>
      </c>
      <c r="G4" s="563" t="s">
        <v>1872</v>
      </c>
      <c r="H4" s="563" t="s">
        <v>1891</v>
      </c>
      <c r="I4" s="2387"/>
      <c r="J4" s="2373"/>
      <c r="K4" s="790"/>
      <c r="L4" s="2383"/>
      <c r="M4" s="2384" t="s">
        <v>7</v>
      </c>
      <c r="N4" s="2384"/>
      <c r="O4" s="2384" t="s">
        <v>13</v>
      </c>
      <c r="P4" s="2384"/>
      <c r="Q4" s="2384" t="s">
        <v>7</v>
      </c>
      <c r="R4" s="2384"/>
      <c r="S4" s="2384" t="s">
        <v>13</v>
      </c>
      <c r="T4" s="2384"/>
      <c r="U4" s="2384" t="s">
        <v>114</v>
      </c>
      <c r="V4" s="2385"/>
      <c r="X4" s="651">
        <v>45292</v>
      </c>
      <c r="Y4" s="665">
        <v>583</v>
      </c>
      <c r="Z4" s="666">
        <v>55882395</v>
      </c>
      <c r="AA4" s="557"/>
      <c r="AB4" s="557"/>
    </row>
    <row r="5" spans="2:29" ht="15.75">
      <c r="B5" s="564" t="s">
        <v>1892</v>
      </c>
      <c r="C5" s="570">
        <v>144</v>
      </c>
      <c r="D5" s="785">
        <f>C5/SUM($C$5:$C$9)</f>
        <v>0.2</v>
      </c>
      <c r="E5" s="573">
        <f>ROUND($D5*VLOOKUP($B$2,'ИПП 2кв24'!$X$4:$Z$16,2,0),0)+ROUND($D5*$Q$16,0)</f>
        <v>167</v>
      </c>
      <c r="F5" s="573">
        <f>ROUND($D5*VLOOKUP($B$2,'ИПП 2кв24'!$X$4:$Z$16,3,0),0)+ROUND($D5*$R$16,0)</f>
        <v>17264526</v>
      </c>
      <c r="G5" s="573">
        <f>ROUND($D5*VLOOKUP($B$2,'ИПП 2кв24'!$X$21:$Z$33,2,0),0)+ROUND($D5*$S$16,0)</f>
        <v>218</v>
      </c>
      <c r="H5" s="573">
        <f>ROUND($D5*VLOOKUP($B$2,'ИПП 2кв24'!$X$21:$Z$33,3,0),0)+ROUND($D5*$T$16,0)</f>
        <v>21551278</v>
      </c>
      <c r="I5" s="573">
        <f t="shared" ref="I5:J9" si="0">E5+G5</f>
        <v>385</v>
      </c>
      <c r="J5" s="652">
        <f t="shared" si="0"/>
        <v>38815804</v>
      </c>
      <c r="K5" s="622"/>
      <c r="L5" s="2389"/>
      <c r="M5" s="791" t="s">
        <v>1872</v>
      </c>
      <c r="N5" s="791" t="s">
        <v>1881</v>
      </c>
      <c r="O5" s="791" t="s">
        <v>1872</v>
      </c>
      <c r="P5" s="791" t="s">
        <v>1881</v>
      </c>
      <c r="Q5" s="812" t="s">
        <v>1872</v>
      </c>
      <c r="R5" s="812" t="s">
        <v>1881</v>
      </c>
      <c r="S5" s="812" t="s">
        <v>1872</v>
      </c>
      <c r="T5" s="812" t="s">
        <v>1881</v>
      </c>
      <c r="U5" s="812" t="s">
        <v>1872</v>
      </c>
      <c r="V5" s="813" t="s">
        <v>1881</v>
      </c>
      <c r="X5" s="651">
        <v>45323</v>
      </c>
      <c r="Y5" s="665">
        <v>566</v>
      </c>
      <c r="Z5" s="666">
        <v>55567108</v>
      </c>
      <c r="AA5" s="557"/>
      <c r="AB5" s="557"/>
    </row>
    <row r="6" spans="2:29" ht="15.75">
      <c r="B6" s="569" t="s">
        <v>8</v>
      </c>
      <c r="C6" s="574">
        <v>120</v>
      </c>
      <c r="D6" s="786">
        <f>C6/SUM($C$5:$C$9)</f>
        <v>0.16666666666666666</v>
      </c>
      <c r="E6" s="573">
        <f>ROUND($D6*VLOOKUP($B$2,'ИПП 2кв24'!$X$4:$Z$16,2,0),0)+ROUND($D6*$Q$16,0)</f>
        <v>139</v>
      </c>
      <c r="F6" s="573">
        <f>ROUND($D6*VLOOKUP($B$2,'ИПП 2кв24'!$X$4:$Z$16,3,0),0)+ROUND($D6*$R$16,0)</f>
        <v>14387105</v>
      </c>
      <c r="G6" s="573">
        <f>ROUND($D6*VLOOKUP($B$2,'ИПП 2кв24'!$X$21:$Z$33,2,0),0)+ROUND($D6*$S$16,0)</f>
        <v>181</v>
      </c>
      <c r="H6" s="573">
        <f>ROUND($D6*VLOOKUP($B$2,'ИПП 2кв24'!$X$21:$Z$33,3,0),0)+ROUND($D6*$T$16,0)</f>
        <v>17959399</v>
      </c>
      <c r="I6" s="597">
        <f t="shared" si="0"/>
        <v>320</v>
      </c>
      <c r="J6" s="626">
        <f t="shared" si="0"/>
        <v>32346504</v>
      </c>
      <c r="K6" s="609"/>
      <c r="L6" s="792" t="s">
        <v>1892</v>
      </c>
      <c r="M6" s="573">
        <f>SUMIFS(РД[S],РД[Дом],$M$4,РД[МОП],L6,РД[Дата подачи на регистрацию],"&gt;="&amp;$L$2,РД[Дата подачи на регистрацию],"&lt;"&amp;DATE(YEAR($B$2),MONTH($B$2)+1,1),РД[Состояние],"Продажа")</f>
        <v>0</v>
      </c>
      <c r="N6" s="573">
        <f>SUMIFS(РД[Стоимость без отделки итог],РД[Дом],$M$4,РД[МОП],L6,РД[Дата подачи на регистрацию],"&gt;="&amp;$L$2,РД[Дата подачи на регистрацию],"&lt;"&amp;DATE(YEAR($B$2),MONTH($B$2)+1,1),РД[Состояние],"Продажа")</f>
        <v>0</v>
      </c>
      <c r="O6" s="573">
        <f>SUMIFS(РД[S],РД[Дом],$O$4,РД[МОП],L6,РД[Дата подачи на регистрацию],"&gt;="&amp;$L$2,РД[Дата подачи на регистрацию],"&lt;"&amp;DATE(YEAR($B$2),MONTH($B$2)+1,1),РД[Состояние],"Продажа")</f>
        <v>130.48000000000002</v>
      </c>
      <c r="P6" s="652">
        <f>SUMIFS(РД[Стоимость без отделки итог],РД[Дом],$O$4,РД[МОП],L6,РД[Дата подачи на регистрацию],"&gt;="&amp;$L$2,РД[Дата подачи на регистрацию],"&lt;"&amp;DATE(YEAR($B$2),MONTH($B$2)+1,1),РД[Состояние],"Продажа")</f>
        <v>13611292</v>
      </c>
      <c r="Q6" s="636">
        <f t="shared" ref="Q6:T11" si="1">M6-E5</f>
        <v>-167</v>
      </c>
      <c r="R6" s="573">
        <f t="shared" si="1"/>
        <v>-17264526</v>
      </c>
      <c r="S6" s="573">
        <f t="shared" si="1"/>
        <v>-87.519999999999982</v>
      </c>
      <c r="T6" s="573">
        <f t="shared" si="1"/>
        <v>-7939986</v>
      </c>
      <c r="U6" s="573">
        <f>Q6+S6</f>
        <v>-254.51999999999998</v>
      </c>
      <c r="V6" s="652">
        <f>R6+T6</f>
        <v>-25204512</v>
      </c>
      <c r="X6" s="651">
        <v>45352</v>
      </c>
      <c r="Y6" s="665">
        <v>684</v>
      </c>
      <c r="Z6" s="666">
        <v>64010263</v>
      </c>
      <c r="AA6" s="557"/>
      <c r="AB6" s="557"/>
    </row>
    <row r="7" spans="2:29" ht="15.75">
      <c r="B7" s="569" t="s">
        <v>77</v>
      </c>
      <c r="C7" s="574">
        <v>96</v>
      </c>
      <c r="D7" s="786">
        <f>C7/SUM($C$5:$C$9)</f>
        <v>0.13333333333333333</v>
      </c>
      <c r="E7" s="573">
        <f>ROUND($D7*VLOOKUP($B$2,'ИПП 2кв24'!$X$4:$Z$16,2,0),0)+ROUND($D7*$Q$16,0)</f>
        <v>111</v>
      </c>
      <c r="F7" s="573">
        <f>ROUND($D7*VLOOKUP($B$2,'ИПП 2кв24'!$X$4:$Z$16,3,0),0)+ROUND($D7*$R$16,0)</f>
        <v>11509684</v>
      </c>
      <c r="G7" s="573">
        <f>ROUND($D7*VLOOKUP($B$2,'ИПП 2кв24'!$X$21:$Z$33,2,0),0)+ROUND($D7*$S$16,0)</f>
        <v>145</v>
      </c>
      <c r="H7" s="573">
        <f>ROUND($D7*VLOOKUP($B$2,'ИПП 2кв24'!$X$21:$Z$33,3,0),0)+ROUND($D7*$T$16,0)</f>
        <v>14367519</v>
      </c>
      <c r="I7" s="597">
        <f t="shared" si="0"/>
        <v>256</v>
      </c>
      <c r="J7" s="626">
        <f t="shared" si="0"/>
        <v>25877203</v>
      </c>
      <c r="K7" s="609"/>
      <c r="L7" s="793" t="s">
        <v>8</v>
      </c>
      <c r="M7" s="573">
        <f>SUMIFS(РД[S],РД[Дом],$M$4,РД[МОП],L7,РД[Дата подачи на регистрацию],"&gt;="&amp;$L$2,РД[Дата подачи на регистрацию],"&lt;"&amp;DATE(YEAR($B$2),MONTH($B$2)+1,1),РД[Состояние],"Продажа")</f>
        <v>39.74</v>
      </c>
      <c r="N7" s="573">
        <f>SUMIFS(РД[Стоимость без отделки итог],РД[Дом],$M$4,РД[МОП],L7,РД[Дата подачи на регистрацию],"&gt;="&amp;$L$2,РД[Дата подачи на регистрацию],"&lt;"&amp;DATE(YEAR($B$2),MONTH($B$2)+1,1),РД[Состояние],"Продажа")</f>
        <v>4604900</v>
      </c>
      <c r="O7" s="573">
        <f>SUMIFS(РД[S],РД[Дом],$O$4,РД[МОП],L7,РД[Дата подачи на регистрацию],"&gt;="&amp;$L$2,РД[Дата подачи на регистрацию],"&lt;"&amp;DATE(YEAR($B$2),MONTH($B$2)+1,1),РД[Состояние],"Продажа")</f>
        <v>185.99</v>
      </c>
      <c r="P7" s="652">
        <f>SUMIFS(РД[Стоимость без отделки итог],РД[Дом],$O$4,РД[МОП],L7,РД[Дата подачи на регистрацию],"&gt;="&amp;$L$2,РД[Дата подачи на регистрацию],"&lt;"&amp;DATE(YEAR($B$2),MONTH($B$2)+1,1),РД[Состояние],"Продажа")</f>
        <v>19192742</v>
      </c>
      <c r="Q7" s="596">
        <f t="shared" si="1"/>
        <v>-99.259999999999991</v>
      </c>
      <c r="R7" s="597">
        <f t="shared" si="1"/>
        <v>-9782205</v>
      </c>
      <c r="S7" s="597">
        <f t="shared" si="1"/>
        <v>4.9900000000000091</v>
      </c>
      <c r="T7" s="597">
        <f t="shared" si="1"/>
        <v>1233343</v>
      </c>
      <c r="U7" s="597">
        <f t="shared" ref="U7:U11" si="2">Q7+S7</f>
        <v>-94.269999999999982</v>
      </c>
      <c r="V7" s="626">
        <f t="shared" ref="V7:V11" si="3">R7+T7</f>
        <v>-8548862</v>
      </c>
      <c r="X7" s="651">
        <v>45383</v>
      </c>
      <c r="Y7" s="822">
        <v>835.048478260877</v>
      </c>
      <c r="Z7" s="823">
        <v>86322632.2177286</v>
      </c>
      <c r="AA7" s="557"/>
      <c r="AB7" s="557"/>
      <c r="AC7" s="609"/>
    </row>
    <row r="8" spans="2:29" ht="15.75">
      <c r="B8" s="569" t="s">
        <v>20</v>
      </c>
      <c r="C8" s="574">
        <v>180</v>
      </c>
      <c r="D8" s="786">
        <f>C8/SUM($C$5:$C$9)</f>
        <v>0.25</v>
      </c>
      <c r="E8" s="573">
        <f>ROUND($D8*VLOOKUP($B$2,'ИПП 2кв24'!$X$4:$Z$16,2,0),0)+ROUND($D8*$Q$16,0)</f>
        <v>209</v>
      </c>
      <c r="F8" s="573">
        <f>ROUND($D8*VLOOKUP($B$2,'ИПП 2кв24'!$X$4:$Z$16,3,0),0)+ROUND($D8*$R$16,0)</f>
        <v>21580658</v>
      </c>
      <c r="G8" s="573">
        <f>ROUND($D8*VLOOKUP($B$2,'ИПП 2кв24'!$X$21:$Z$33,2,0),0)+ROUND($D8*$S$16,0)</f>
        <v>272</v>
      </c>
      <c r="H8" s="573">
        <f>ROUND($D8*VLOOKUP($B$2,'ИПП 2кв24'!$X$21:$Z$33,3,0),0)+ROUND($D8*$T$16,0)</f>
        <v>26939098</v>
      </c>
      <c r="I8" s="597">
        <f t="shared" si="0"/>
        <v>481</v>
      </c>
      <c r="J8" s="626">
        <f t="shared" si="0"/>
        <v>48519756</v>
      </c>
      <c r="K8" s="609"/>
      <c r="L8" s="793" t="s">
        <v>77</v>
      </c>
      <c r="M8" s="573">
        <f>SUMIFS(РД[S],РД[Дом],$M$4,РД[МОП],L8,РД[Дата подачи на регистрацию],"&gt;="&amp;$L$2,РД[Дата подачи на регистрацию],"&lt;"&amp;DATE(YEAR($B$2),MONTH($B$2)+1,1),РД[Состояние],"Продажа")</f>
        <v>0</v>
      </c>
      <c r="N8" s="573">
        <f>SUMIFS(РД[Стоимость без отделки итог],РД[Дом],$M$4,РД[МОП],L8,РД[Дата подачи на регистрацию],"&gt;="&amp;$L$2,РД[Дата подачи на регистрацию],"&lt;"&amp;DATE(YEAR($B$2),MONTH($B$2)+1,1),РД[Состояние],"Продажа")</f>
        <v>0</v>
      </c>
      <c r="O8" s="573">
        <f>SUMIFS(РД[S],РД[Дом],$O$4,РД[МОП],L8,РД[Дата подачи на регистрацию],"&gt;="&amp;$L$2,РД[Дата подачи на регистрацию],"&lt;"&amp;DATE(YEAR($B$2),MONTH($B$2)+1,1),РД[Состояние],"Продажа")</f>
        <v>0</v>
      </c>
      <c r="P8" s="652">
        <f>SUMIFS(РД[Стоимость без отделки итог],РД[Дом],$O$4,РД[МОП],L8,РД[Дата подачи на регистрацию],"&gt;="&amp;$L$2,РД[Дата подачи на регистрацию],"&lt;"&amp;DATE(YEAR($B$2),MONTH($B$2)+1,1),РД[Состояние],"Продажа")</f>
        <v>0</v>
      </c>
      <c r="Q8" s="596">
        <f t="shared" si="1"/>
        <v>-111</v>
      </c>
      <c r="R8" s="597">
        <f t="shared" si="1"/>
        <v>-11509684</v>
      </c>
      <c r="S8" s="597">
        <f t="shared" si="1"/>
        <v>-145</v>
      </c>
      <c r="T8" s="597">
        <f t="shared" si="1"/>
        <v>-14367519</v>
      </c>
      <c r="U8" s="597">
        <f t="shared" si="2"/>
        <v>-256</v>
      </c>
      <c r="V8" s="626">
        <f t="shared" si="3"/>
        <v>-25877203</v>
      </c>
      <c r="X8" s="651">
        <v>45413</v>
      </c>
      <c r="Y8" s="665">
        <v>565.73116666667295</v>
      </c>
      <c r="Z8" s="609">
        <v>58371863</v>
      </c>
      <c r="AA8" s="609" t="s">
        <v>118</v>
      </c>
      <c r="AB8" s="609">
        <v>46885486</v>
      </c>
    </row>
    <row r="9" spans="2:29" ht="15.75">
      <c r="B9" s="576" t="s">
        <v>14</v>
      </c>
      <c r="C9" s="577">
        <v>180</v>
      </c>
      <c r="D9" s="787">
        <f>C9/SUM($C$5:$C$9)</f>
        <v>0.25</v>
      </c>
      <c r="E9" s="580">
        <f>ROUND($D9*VLOOKUP($B$2,'ИПП 2кв24'!$X$4:$Z$16,2,0),0)+ROUND($D9*$Q$16,0)</f>
        <v>209</v>
      </c>
      <c r="F9" s="580">
        <f>ROUND($D9*VLOOKUP($B$2,'ИПП 2кв24'!$X$4:$Z$16,3,0),0)+ROUND($D9*$R$16,0)</f>
        <v>21580658</v>
      </c>
      <c r="G9" s="580">
        <f>ROUND($D9*VLOOKUP($B$2,'ИПП 2кв24'!$X$21:$Z$33,2,0),0)+ROUND($D9*$S$16,0)</f>
        <v>272</v>
      </c>
      <c r="H9" s="580">
        <f>ROUND($D9*VLOOKUP($B$2,'ИПП 2кв24'!$X$21:$Z$33,3,0),0)+ROUND($D9*$T$16,0)</f>
        <v>26939098</v>
      </c>
      <c r="I9" s="590">
        <f t="shared" si="0"/>
        <v>481</v>
      </c>
      <c r="J9" s="653">
        <f t="shared" si="0"/>
        <v>48519756</v>
      </c>
      <c r="K9" s="609"/>
      <c r="L9" s="793" t="s">
        <v>20</v>
      </c>
      <c r="M9" s="573">
        <f>SUMIFS(РД[S],РД[Дом],$M$4,РД[МОП],L9,РД[Дата подачи на регистрацию],"&gt;="&amp;$L$2,РД[Дата подачи на регистрацию],"&lt;"&amp;DATE(YEAR($B$2),MONTH($B$2)+1,1),РД[Состояние],"Продажа")</f>
        <v>67.95</v>
      </c>
      <c r="N9" s="573">
        <f>SUMIFS(РД[Стоимость без отделки итог],РД[Дом],$M$4,РД[МОП],L9,РД[Дата подачи на регистрацию],"&gt;="&amp;$L$2,РД[Дата подачи на регистрацию],"&lt;"&amp;DATE(YEAR($B$2),MONTH($B$2)+1,1),РД[Состояние],"Продажа")</f>
        <v>6448000</v>
      </c>
      <c r="O9" s="573">
        <f>SUMIFS(РД[S],РД[Дом],$O$4,РД[МОП],L9,РД[Дата подачи на регистрацию],"&gt;="&amp;$L$2,РД[Дата подачи на регистрацию],"&lt;"&amp;DATE(YEAR($B$2),MONTH($B$2)+1,1),РД[Состояние],"Продажа")</f>
        <v>370.18</v>
      </c>
      <c r="P9" s="652">
        <f>SUMIFS(РД[Стоимость без отделки итог],РД[Дом],$O$4,РД[МОП],L9,РД[Дата подачи на регистрацию],"&gt;="&amp;$L$2,РД[Дата подачи на регистрацию],"&lt;"&amp;DATE(YEAR($B$2),MONTH($B$2)+1,1),РД[Состояние],"Продажа")</f>
        <v>34922224</v>
      </c>
      <c r="Q9" s="596">
        <f t="shared" si="1"/>
        <v>-141.05000000000001</v>
      </c>
      <c r="R9" s="597">
        <f t="shared" si="1"/>
        <v>-15132658</v>
      </c>
      <c r="S9" s="597">
        <f t="shared" si="1"/>
        <v>98.18</v>
      </c>
      <c r="T9" s="597">
        <f t="shared" si="1"/>
        <v>7983126</v>
      </c>
      <c r="U9" s="597">
        <f t="shared" si="2"/>
        <v>-42.870000000000005</v>
      </c>
      <c r="V9" s="626">
        <f t="shared" si="3"/>
        <v>-7149532</v>
      </c>
      <c r="X9" s="651">
        <v>45444</v>
      </c>
      <c r="Y9" s="665">
        <v>509.95600000000502</v>
      </c>
      <c r="Z9" s="666">
        <v>51651922.850242503</v>
      </c>
      <c r="AA9" s="666" t="s">
        <v>118</v>
      </c>
      <c r="AB9" s="609">
        <v>37834287.149999999</v>
      </c>
    </row>
    <row r="10" spans="2:29" ht="15.75">
      <c r="B10" s="581" t="s">
        <v>114</v>
      </c>
      <c r="C10" s="582">
        <f t="shared" ref="C10:H10" si="4">SUM(C5:C9)</f>
        <v>720</v>
      </c>
      <c r="D10" s="641">
        <f t="shared" si="4"/>
        <v>1</v>
      </c>
      <c r="E10" s="584">
        <f t="shared" si="4"/>
        <v>835</v>
      </c>
      <c r="F10" s="584">
        <f t="shared" si="4"/>
        <v>86322631</v>
      </c>
      <c r="G10" s="584">
        <f t="shared" si="4"/>
        <v>1088</v>
      </c>
      <c r="H10" s="584">
        <f t="shared" si="4"/>
        <v>107756392</v>
      </c>
      <c r="I10" s="584">
        <f t="shared" ref="I10" si="5">E10+G10</f>
        <v>1923</v>
      </c>
      <c r="J10" s="630">
        <f t="shared" ref="J10" si="6">F10+H10</f>
        <v>194079023</v>
      </c>
      <c r="K10" s="609"/>
      <c r="L10" s="793" t="s">
        <v>14</v>
      </c>
      <c r="M10" s="573">
        <f>SUMIFS(РД[S],РД[Дом],$M$4,РД[МОП],L10,РД[Дата подачи на регистрацию],"&gt;="&amp;$L$2,РД[Дата подачи на регистрацию],"&lt;"&amp;DATE(YEAR($B$2),MONTH($B$2)+1,1),РД[Состояние],"Продажа")</f>
        <v>279.99</v>
      </c>
      <c r="N10" s="573">
        <f>SUMIFS(РД[Стоимость без отделки итог],РД[Дом],$M$4,РД[МОП],L10,РД[Дата подачи на регистрацию],"&gt;="&amp;$L$2,РД[Дата подачи на регистрацию],"&lt;"&amp;DATE(YEAR($B$2),MONTH($B$2)+1,1),РД[Состояние],"Продажа")</f>
        <v>30595200</v>
      </c>
      <c r="O10" s="573">
        <f>SUMIFS(РД[S],РД[Дом],$O$4,РД[МОП],L10,РД[Дата подачи на регистрацию],"&gt;="&amp;$L$2,РД[Дата подачи на регистрацию],"&lt;"&amp;DATE(YEAR($B$2),MONTH($B$2)+1,1),РД[Состояние],"Продажа")</f>
        <v>415.34000000000003</v>
      </c>
      <c r="P10" s="652">
        <f>SUMIFS(РД[Стоимость без отделки итог],РД[Дом],$O$4,РД[МОП],L10,РД[Дата подачи на регистрацию],"&gt;="&amp;$L$2,РД[Дата подачи на регистрацию],"&lt;"&amp;DATE(YEAR($B$2),MONTH($B$2)+1,1),РД[Состояние],"Продажа")</f>
        <v>38590512</v>
      </c>
      <c r="Q10" s="596">
        <f t="shared" si="1"/>
        <v>70.990000000000009</v>
      </c>
      <c r="R10" s="597">
        <f t="shared" si="1"/>
        <v>9014542</v>
      </c>
      <c r="S10" s="597">
        <f t="shared" si="1"/>
        <v>143.34000000000003</v>
      </c>
      <c r="T10" s="597">
        <f t="shared" si="1"/>
        <v>11651414</v>
      </c>
      <c r="U10" s="597">
        <f t="shared" si="2"/>
        <v>214.33000000000004</v>
      </c>
      <c r="V10" s="626">
        <f t="shared" si="3"/>
        <v>20665956</v>
      </c>
      <c r="X10" s="651">
        <v>45474</v>
      </c>
      <c r="Y10" s="665">
        <v>458.74016666667097</v>
      </c>
      <c r="Z10" s="666">
        <v>47491467.558575802</v>
      </c>
      <c r="AA10" s="609"/>
    </row>
    <row r="11" spans="2:29" ht="15.75">
      <c r="B11" s="2335" t="s">
        <v>1882</v>
      </c>
      <c r="C11" s="2343"/>
      <c r="D11" s="2360"/>
      <c r="E11" s="2352" t="s">
        <v>7</v>
      </c>
      <c r="F11" s="2360"/>
      <c r="G11" s="2352" t="s">
        <v>13</v>
      </c>
      <c r="H11" s="2360"/>
      <c r="I11" s="2386" t="s">
        <v>1887</v>
      </c>
      <c r="J11" s="2372" t="s">
        <v>1888</v>
      </c>
      <c r="K11" s="631"/>
      <c r="L11" s="794" t="s">
        <v>114</v>
      </c>
      <c r="M11" s="795">
        <f>SUM(M6:M10)</f>
        <v>387.68</v>
      </c>
      <c r="N11" s="795">
        <f>SUM(N6:N10)</f>
        <v>41648100</v>
      </c>
      <c r="O11" s="795">
        <f>SUM(O6:O10)</f>
        <v>1101.9900000000002</v>
      </c>
      <c r="P11" s="796">
        <f>SUM(P6:P10)</f>
        <v>106316770</v>
      </c>
      <c r="Q11" s="814">
        <f t="shared" si="1"/>
        <v>-447.32</v>
      </c>
      <c r="R11" s="795">
        <f t="shared" si="1"/>
        <v>-44674531</v>
      </c>
      <c r="S11" s="795">
        <f t="shared" si="1"/>
        <v>13.990000000000236</v>
      </c>
      <c r="T11" s="795">
        <f t="shared" si="1"/>
        <v>-1439622</v>
      </c>
      <c r="U11" s="795">
        <f t="shared" si="2"/>
        <v>-433.32999999999976</v>
      </c>
      <c r="V11" s="796">
        <f t="shared" si="3"/>
        <v>-46114153</v>
      </c>
      <c r="X11" s="651">
        <v>45505</v>
      </c>
      <c r="Y11" s="665">
        <v>0</v>
      </c>
      <c r="Z11" s="666">
        <v>0</v>
      </c>
    </row>
    <row r="12" spans="2:29" ht="15.75">
      <c r="B12" s="559" t="s">
        <v>1878</v>
      </c>
      <c r="C12" s="560" t="s">
        <v>1879</v>
      </c>
      <c r="D12" s="560" t="s">
        <v>1880</v>
      </c>
      <c r="E12" s="563" t="s">
        <v>1872</v>
      </c>
      <c r="F12" s="563" t="s">
        <v>1891</v>
      </c>
      <c r="G12" s="563" t="s">
        <v>1872</v>
      </c>
      <c r="H12" s="563" t="s">
        <v>1891</v>
      </c>
      <c r="I12" s="2387"/>
      <c r="J12" s="2373"/>
      <c r="K12" s="790"/>
      <c r="L12" s="797" t="s">
        <v>1893</v>
      </c>
      <c r="M12" s="798">
        <f>M11-M13/2</f>
        <v>369.45499999999998</v>
      </c>
      <c r="N12" s="798">
        <f>N11-N13/2</f>
        <v>39437150</v>
      </c>
      <c r="O12" s="798">
        <f>O11-O13/2</f>
        <v>1039.9000000000003</v>
      </c>
      <c r="P12" s="799">
        <f>P11-P13/2</f>
        <v>100299264</v>
      </c>
      <c r="Q12" s="815">
        <f>Q11-M13/2</f>
        <v>-465.54500000000002</v>
      </c>
      <c r="R12" s="798">
        <f t="shared" ref="R12:T12" si="7">R11-N13/2</f>
        <v>-46885481</v>
      </c>
      <c r="S12" s="798">
        <f t="shared" si="7"/>
        <v>-48.099999999999767</v>
      </c>
      <c r="T12" s="798">
        <f t="shared" si="7"/>
        <v>-7457128</v>
      </c>
      <c r="U12" s="798">
        <f t="shared" ref="U12" si="8">Q12+S12</f>
        <v>-513.64499999999975</v>
      </c>
      <c r="V12" s="799">
        <f t="shared" ref="V12" si="9">R12+T12</f>
        <v>-54342609</v>
      </c>
      <c r="X12" s="651">
        <v>45536</v>
      </c>
      <c r="Y12" s="665">
        <v>179.94350000000199</v>
      </c>
      <c r="Z12" s="666">
        <v>18697935.825048398</v>
      </c>
    </row>
    <row r="13" spans="2:29" ht="15.75">
      <c r="B13" s="564" t="s">
        <v>1892</v>
      </c>
      <c r="C13" s="570">
        <v>0</v>
      </c>
      <c r="D13" s="645">
        <f>C13/SUM($C$14:$C$15)</f>
        <v>0</v>
      </c>
      <c r="E13" s="573">
        <f>$D13*($E$10*85%)</f>
        <v>0</v>
      </c>
      <c r="F13" s="573">
        <f>$D13*($F$10*85%)</f>
        <v>0</v>
      </c>
      <c r="G13" s="573">
        <f>$D13*($G$10*85%)</f>
        <v>0</v>
      </c>
      <c r="H13" s="573">
        <f>$D13*($H$10*85%)</f>
        <v>0</v>
      </c>
      <c r="I13" s="573">
        <f t="shared" ref="I13:J15" si="10">E13+G13</f>
        <v>0</v>
      </c>
      <c r="J13" s="652">
        <f t="shared" si="10"/>
        <v>0</v>
      </c>
      <c r="K13" s="622"/>
      <c r="L13" s="800" t="s">
        <v>1894</v>
      </c>
      <c r="M13" s="801">
        <f>SUMIFS(РД[S],РД[Дом],$M$4,РД[Источник обращения],"Агент*",РД[Дата подачи на регистрацию],"&gt;="&amp;$L$2,РД[Дата подачи на регистрацию],"&lt;"&amp;DATE(YEAR($B$2),MONTH($B$2)+1,1),РД[Состояние],"Продажа")</f>
        <v>36.450000000000003</v>
      </c>
      <c r="N13" s="801">
        <f>SUMIFS(РД[Стоимость без отделки итог],РД[Дом],$M$4,РД[Источник обращения],"Агент*",РД[Дата подачи на регистрацию],"&gt;="&amp;$L$2,РД[Дата подачи на регистрацию],"&lt;"&amp;DATE(YEAR($B$2),MONTH($B$2)+1,1),РД[Состояние],"Продажа")</f>
        <v>4421900</v>
      </c>
      <c r="O13" s="801">
        <f>SUMIFS(РД[S],РД[Дом],$O$4,РД[Источник обращения],"Агент*",РД[Дата подачи на регистрацию],"&gt;="&amp;$L$2,РД[Дата подачи на регистрацию],"&lt;"&amp;DATE(YEAR($B$2),MONTH($B$2)+1,1),РД[Состояние],"Продажа")</f>
        <v>124.18</v>
      </c>
      <c r="P13" s="802">
        <f>SUMIFS(РД[Стоимость без отделки итог],РД[Дом],$O$4,РД[Источник обращения],"Агент*",РД[Дата подачи на регистрацию],"&gt;="&amp;$L$2,РД[Дата подачи на регистрацию],"&lt;"&amp;DATE(YEAR($B$2),MONTH($B$2)+1,1),РД[Состояние],"Продажа")</f>
        <v>12035012</v>
      </c>
      <c r="Q13" s="2380" t="s">
        <v>1895</v>
      </c>
      <c r="R13" s="2381"/>
      <c r="S13" s="2381"/>
      <c r="T13" s="2381"/>
      <c r="U13" s="2381"/>
      <c r="V13" s="2382"/>
      <c r="X13" s="651">
        <v>45566</v>
      </c>
      <c r="Y13" s="665">
        <v>158.95416666666799</v>
      </c>
      <c r="Z13" s="666">
        <v>16545945.5583818</v>
      </c>
    </row>
    <row r="14" spans="2:29" ht="15.75">
      <c r="B14" s="569" t="s">
        <v>22</v>
      </c>
      <c r="C14" s="570">
        <v>168</v>
      </c>
      <c r="D14" s="645">
        <f>C14/SUM($C$14:$C$15)</f>
        <v>0.48275862068965519</v>
      </c>
      <c r="E14" s="573">
        <f>$D14*($E$10*85%)</f>
        <v>342.63793103448279</v>
      </c>
      <c r="F14" s="573">
        <f>$D14*($F$10*85%)</f>
        <v>35422045.134482756</v>
      </c>
      <c r="G14" s="573">
        <f>$D14*($G$10*85%)</f>
        <v>446.45517241379309</v>
      </c>
      <c r="H14" s="573">
        <f>$D14*($H$10*85%)</f>
        <v>44217278.096551731</v>
      </c>
      <c r="I14" s="573">
        <f t="shared" si="10"/>
        <v>789.09310344827588</v>
      </c>
      <c r="J14" s="652">
        <f t="shared" si="10"/>
        <v>79639323.231034487</v>
      </c>
      <c r="K14" s="609"/>
      <c r="Q14" s="2383" t="s">
        <v>7</v>
      </c>
      <c r="R14" s="2384"/>
      <c r="S14" s="2384" t="s">
        <v>13</v>
      </c>
      <c r="T14" s="2384"/>
      <c r="U14" s="2384" t="s">
        <v>114</v>
      </c>
      <c r="V14" s="2385"/>
      <c r="X14" s="651">
        <v>45597</v>
      </c>
      <c r="Y14" s="665">
        <v>137.217500000001</v>
      </c>
      <c r="Z14" s="666">
        <v>13581884.225048499</v>
      </c>
    </row>
    <row r="15" spans="2:29" ht="15.75">
      <c r="B15" s="576" t="s">
        <v>16</v>
      </c>
      <c r="C15" s="577">
        <v>180</v>
      </c>
      <c r="D15" s="639">
        <f>C15/SUM($C$14:$C$15)</f>
        <v>0.51724137931034486</v>
      </c>
      <c r="E15" s="590">
        <f>$D15*($E$10*85%)</f>
        <v>367.11206896551727</v>
      </c>
      <c r="F15" s="590">
        <f>$D15*($F$10*85%)</f>
        <v>37952191.215517238</v>
      </c>
      <c r="G15" s="590">
        <f>$D15*($G$10*85%)</f>
        <v>478.34482758620692</v>
      </c>
      <c r="H15" s="590">
        <f>$D15*($H$10*85%)</f>
        <v>47375655.103448279</v>
      </c>
      <c r="I15" s="590">
        <f t="shared" si="10"/>
        <v>845.45689655172418</v>
      </c>
      <c r="J15" s="653">
        <f t="shared" si="10"/>
        <v>85327846.318965524</v>
      </c>
      <c r="K15" s="609"/>
      <c r="M15" s="609"/>
      <c r="Q15" s="816" t="s">
        <v>1872</v>
      </c>
      <c r="R15" s="817" t="s">
        <v>1881</v>
      </c>
      <c r="S15" s="817" t="s">
        <v>1872</v>
      </c>
      <c r="T15" s="817" t="s">
        <v>1881</v>
      </c>
      <c r="U15" s="817" t="s">
        <v>1872</v>
      </c>
      <c r="V15" s="818" t="s">
        <v>1881</v>
      </c>
      <c r="X15" s="651">
        <v>45627</v>
      </c>
      <c r="Y15" s="665">
        <v>137.217500000001</v>
      </c>
      <c r="Z15" s="666">
        <v>13581884.225048499</v>
      </c>
    </row>
    <row r="16" spans="2:29">
      <c r="B16" s="581" t="s">
        <v>114</v>
      </c>
      <c r="C16" s="582">
        <f>SUM(C13:C15)</f>
        <v>348</v>
      </c>
      <c r="D16" s="641">
        <f t="shared" ref="D16:J16" si="11">SUM(D13:D15)</f>
        <v>1</v>
      </c>
      <c r="E16" s="584">
        <f t="shared" si="11"/>
        <v>709.75</v>
      </c>
      <c r="F16" s="584">
        <f t="shared" si="11"/>
        <v>73374236.349999994</v>
      </c>
      <c r="G16" s="584">
        <f t="shared" si="11"/>
        <v>924.8</v>
      </c>
      <c r="H16" s="584">
        <f t="shared" si="11"/>
        <v>91592933.200000018</v>
      </c>
      <c r="I16" s="584">
        <f t="shared" si="11"/>
        <v>1634.5500000000002</v>
      </c>
      <c r="J16" s="630">
        <f t="shared" si="11"/>
        <v>164967169.55000001</v>
      </c>
      <c r="K16" s="631"/>
      <c r="Q16" s="601"/>
      <c r="R16" s="602"/>
      <c r="S16" s="602"/>
      <c r="T16" s="602"/>
      <c r="U16" s="602"/>
      <c r="V16" s="658"/>
      <c r="X16" s="660" t="s">
        <v>1896</v>
      </c>
      <c r="Y16" s="671">
        <v>4325.8800000000201</v>
      </c>
      <c r="Z16" s="671">
        <v>440075932.72096997</v>
      </c>
    </row>
    <row r="18" spans="2:28">
      <c r="K18" s="622"/>
      <c r="X18" s="558"/>
      <c r="Y18" s="558"/>
      <c r="Z18" s="558"/>
    </row>
    <row r="19" spans="2:28" ht="15.75">
      <c r="K19" s="790"/>
      <c r="L19" s="2390">
        <f>B20</f>
        <v>45413</v>
      </c>
      <c r="M19" s="2391"/>
      <c r="N19" s="2391"/>
      <c r="O19" s="2391"/>
      <c r="P19" s="2391"/>
      <c r="Q19" s="2391"/>
      <c r="R19" s="2391"/>
      <c r="S19" s="2391"/>
      <c r="T19" s="2391"/>
      <c r="U19" s="2391"/>
      <c r="V19" s="2392"/>
      <c r="X19" s="2396" t="s">
        <v>1897</v>
      </c>
      <c r="Y19" s="2396"/>
      <c r="Z19" s="2396"/>
    </row>
    <row r="20" spans="2:28" ht="15.75">
      <c r="B20" s="2329">
        <v>45413</v>
      </c>
      <c r="C20" s="2330"/>
      <c r="D20" s="2330"/>
      <c r="E20" s="2330"/>
      <c r="F20" s="2330"/>
      <c r="G20" s="2330"/>
      <c r="H20" s="2330"/>
      <c r="I20" s="2330"/>
      <c r="J20" s="2331"/>
      <c r="K20" s="622"/>
      <c r="L20" s="2388" t="s">
        <v>1878</v>
      </c>
      <c r="M20" s="2393" t="s">
        <v>1889</v>
      </c>
      <c r="N20" s="2393"/>
      <c r="O20" s="2393"/>
      <c r="P20" s="2393"/>
      <c r="Q20" s="2394" t="s">
        <v>1890</v>
      </c>
      <c r="R20" s="2394"/>
      <c r="S20" s="2394"/>
      <c r="T20" s="2394"/>
      <c r="U20" s="2394"/>
      <c r="V20" s="2395"/>
      <c r="X20" s="650" t="s">
        <v>1871</v>
      </c>
      <c r="Y20" s="663" t="s">
        <v>1872</v>
      </c>
      <c r="Z20" s="664" t="s">
        <v>1873</v>
      </c>
    </row>
    <row r="21" spans="2:28" ht="15.75">
      <c r="B21" s="2335" t="s">
        <v>1874</v>
      </c>
      <c r="C21" s="2343"/>
      <c r="D21" s="2360"/>
      <c r="E21" s="2352" t="s">
        <v>7</v>
      </c>
      <c r="F21" s="2360"/>
      <c r="G21" s="2352" t="s">
        <v>13</v>
      </c>
      <c r="H21" s="2360"/>
      <c r="I21" s="2386" t="s">
        <v>1887</v>
      </c>
      <c r="J21" s="2372" t="s">
        <v>1888</v>
      </c>
      <c r="K21" s="609"/>
      <c r="L21" s="2383"/>
      <c r="M21" s="2384" t="s">
        <v>7</v>
      </c>
      <c r="N21" s="2384"/>
      <c r="O21" s="2384" t="s">
        <v>13</v>
      </c>
      <c r="P21" s="2384"/>
      <c r="Q21" s="2384" t="s">
        <v>7</v>
      </c>
      <c r="R21" s="2384"/>
      <c r="S21" s="2384" t="s">
        <v>13</v>
      </c>
      <c r="T21" s="2384"/>
      <c r="U21" s="2384" t="s">
        <v>114</v>
      </c>
      <c r="V21" s="2385"/>
      <c r="X21" s="651">
        <v>45292</v>
      </c>
      <c r="Y21" s="672">
        <v>739</v>
      </c>
      <c r="Z21" s="666">
        <v>69416934</v>
      </c>
      <c r="AA21" s="557"/>
      <c r="AB21" s="557"/>
    </row>
    <row r="22" spans="2:28" ht="15.75">
      <c r="B22" s="559" t="s">
        <v>1878</v>
      </c>
      <c r="C22" s="560" t="s">
        <v>1879</v>
      </c>
      <c r="D22" s="560" t="s">
        <v>1880</v>
      </c>
      <c r="E22" s="563" t="s">
        <v>1872</v>
      </c>
      <c r="F22" s="563" t="s">
        <v>1891</v>
      </c>
      <c r="G22" s="563" t="s">
        <v>1872</v>
      </c>
      <c r="H22" s="563" t="s">
        <v>1891</v>
      </c>
      <c r="I22" s="2387"/>
      <c r="J22" s="2373"/>
      <c r="K22" s="609"/>
      <c r="L22" s="2389"/>
      <c r="M22" s="791" t="s">
        <v>1872</v>
      </c>
      <c r="N22" s="791" t="s">
        <v>1881</v>
      </c>
      <c r="O22" s="791" t="s">
        <v>1872</v>
      </c>
      <c r="P22" s="791" t="s">
        <v>1881</v>
      </c>
      <c r="Q22" s="812" t="s">
        <v>1872</v>
      </c>
      <c r="R22" s="812" t="s">
        <v>1881</v>
      </c>
      <c r="S22" s="812" t="s">
        <v>1872</v>
      </c>
      <c r="T22" s="812" t="s">
        <v>1881</v>
      </c>
      <c r="U22" s="812" t="s">
        <v>1872</v>
      </c>
      <c r="V22" s="813" t="s">
        <v>1881</v>
      </c>
      <c r="X22" s="651">
        <v>45323</v>
      </c>
      <c r="Y22" s="672">
        <v>978</v>
      </c>
      <c r="Z22" s="666">
        <v>91953699</v>
      </c>
      <c r="AA22" s="557"/>
      <c r="AB22" s="557"/>
    </row>
    <row r="23" spans="2:28" ht="15.75">
      <c r="B23" s="564" t="s">
        <v>1892</v>
      </c>
      <c r="C23" s="570">
        <v>162</v>
      </c>
      <c r="D23" s="785">
        <f>C23/SUM($C$23:$C$27)</f>
        <v>0.20610687022900764</v>
      </c>
      <c r="E23" s="573">
        <f>ROUND($D23*VLOOKUP($B$20,'ИПП 2кв24'!$X$4:$Z$16,2,0),0)+ROUND($D23*$Q$33,0)</f>
        <v>117</v>
      </c>
      <c r="F23" s="573">
        <f>ROUND($D23*VLOOKUP($B$20,'ИПП 2кв24'!$X$4:$Z$16,3,0),0)+ROUND($D23*$R$33,0)</f>
        <v>12030842</v>
      </c>
      <c r="G23" s="573">
        <f>ROUND($D23*VLOOKUP($B$20,'ИПП 2кв24'!$X$21:$Z$33,2,0),0)+ROUND($D23*$S$33,0)</f>
        <v>225</v>
      </c>
      <c r="H23" s="573">
        <f>ROUND($D23*VLOOKUP($B$20,'ИПП 2кв24'!$X$21:$Z$33,3,0),0)+ROUND($D23*$T$33,0)</f>
        <v>22539038</v>
      </c>
      <c r="I23" s="573">
        <f t="shared" ref="I23:J27" si="12">E23+G23</f>
        <v>342</v>
      </c>
      <c r="J23" s="652">
        <f t="shared" si="12"/>
        <v>34569880</v>
      </c>
      <c r="K23" s="609"/>
      <c r="L23" s="792" t="s">
        <v>1892</v>
      </c>
      <c r="M23" s="573">
        <f>SUMIFS(РД[S],РД[Дом],$M$21,РД[МОП],L23,РД[Дата подачи на регистрацию],"&gt;="&amp;$L$19,РД[Дата подачи на регистрацию],"&lt;"&amp;DATE(YEAR($B$20),MONTH($B$20)+1,1),РД[Состояние],"Продажа")</f>
        <v>90.48</v>
      </c>
      <c r="N23" s="573">
        <f>SUMIFS(РД[Стоимость без отделки итог],РД[Дом],$M$21,РД[МОП],L23,РД[Дата подачи на регистрацию],"&gt;="&amp;$L$19,РД[Дата подачи на регистрацию],"&lt;"&amp;DATE(YEAR($B$20),MONTH($B$20)+1,1),РД[Состояние],"Продажа")</f>
        <v>10002600</v>
      </c>
      <c r="O23" s="573">
        <f>SUMIFS(РД[S],РД[Дом],$O$21,РД[МОП],L23,РД[Дата подачи на регистрацию],"&gt;="&amp;$L$19,РД[Дата подачи на регистрацию],"&lt;"&amp;DATE(YEAR($B$20),MONTH($B$20)+1,1),РД[Состояние],"Продажа")</f>
        <v>80.47999999999999</v>
      </c>
      <c r="P23" s="652">
        <f>SUMIFS(РД[Стоимость без отделки итог],РД[Дом],$O$21,РД[МОП],L23,РД[Дата подачи на регистрацию],"&gt;="&amp;$L$19,РД[Дата подачи на регистрацию],"&lt;"&amp;DATE(YEAR($B$20),MONTH($B$20)+1,1),РД[Состояние],"Продажа")</f>
        <v>9016600</v>
      </c>
      <c r="Q23" s="636">
        <f t="shared" ref="Q23:V27" si="13">M23-E23</f>
        <v>-26.519999999999996</v>
      </c>
      <c r="R23" s="573">
        <f t="shared" si="13"/>
        <v>-2028242</v>
      </c>
      <c r="S23" s="573">
        <f t="shared" si="13"/>
        <v>-144.52000000000001</v>
      </c>
      <c r="T23" s="573">
        <f t="shared" si="13"/>
        <v>-13522438</v>
      </c>
      <c r="U23" s="573">
        <f t="shared" si="13"/>
        <v>-368.52</v>
      </c>
      <c r="V23" s="652">
        <f t="shared" si="13"/>
        <v>-36598122</v>
      </c>
      <c r="X23" s="651">
        <v>45352</v>
      </c>
      <c r="Y23" s="665">
        <v>1234</v>
      </c>
      <c r="Z23" s="666">
        <v>118652812</v>
      </c>
      <c r="AA23" s="557"/>
      <c r="AB23" s="557"/>
    </row>
    <row r="24" spans="2:28" ht="15.75">
      <c r="B24" s="569" t="s">
        <v>8</v>
      </c>
      <c r="C24" s="574">
        <v>162</v>
      </c>
      <c r="D24" s="786">
        <f>C24/SUM($C$23:$C$27)</f>
        <v>0.20610687022900764</v>
      </c>
      <c r="E24" s="573">
        <f>ROUND($D24*VLOOKUP($B$20,'ИПП 2кв24'!$X$4:$Z$16,2,0),0)+ROUND($D24*$Q$33,0)</f>
        <v>117</v>
      </c>
      <c r="F24" s="573">
        <f>ROUND($D24*VLOOKUP($B$20,'ИПП 2кв24'!$X$4:$Z$16,3,0),0)+ROUND($D24*$R$33,0)</f>
        <v>12030842</v>
      </c>
      <c r="G24" s="573">
        <f>ROUND($D24*VLOOKUP($B$20,'ИПП 2кв24'!$X$21:$Z$33,2,0),0)+ROUND($D24*$S$33,0)</f>
        <v>225</v>
      </c>
      <c r="H24" s="573">
        <f>ROUND($D24*VLOOKUP($B$20,'ИПП 2кв24'!$X$21:$Z$33,3,0),0)+ROUND($D24*$T$33,0)</f>
        <v>22539038</v>
      </c>
      <c r="I24" s="597">
        <f t="shared" si="12"/>
        <v>342</v>
      </c>
      <c r="J24" s="626">
        <f t="shared" si="12"/>
        <v>34569880</v>
      </c>
      <c r="K24" s="609"/>
      <c r="L24" s="793" t="s">
        <v>8</v>
      </c>
      <c r="M24" s="573">
        <f>SUMIFS(РД[S],РД[Дом],$M$21,РД[МОП],L24,РД[Дата подачи на регистрацию],"&gt;="&amp;$L$19,РД[Дата подачи на регистрацию],"&lt;"&amp;DATE(YEAR($B$20),MONTH($B$20)+1,1),РД[Состояние],"Продажа")</f>
        <v>162.21</v>
      </c>
      <c r="N24" s="573">
        <f>SUMIFS(РД[Стоимость без отделки итог],РД[Дом],$M$21,РД[МОП],L24,РД[Дата подачи на регистрацию],"&gt;="&amp;$L$19,РД[Дата подачи на регистрацию],"&lt;"&amp;DATE(YEAR($B$20),MONTH($B$20)+1,1),РД[Состояние],"Продажа")</f>
        <v>16325066</v>
      </c>
      <c r="O24" s="573">
        <f>SUMIFS(РД[S],РД[Дом],$O$21,РД[МОП],L24,РД[Дата подачи на регистрацию],"&gt;="&amp;$L$19,РД[Дата подачи на регистрацию],"&lt;"&amp;DATE(YEAR($B$20),MONTH($B$20)+1,1),РД[Состояние],"Продажа")</f>
        <v>513.91</v>
      </c>
      <c r="P24" s="652">
        <f>SUMIFS(РД[Стоимость без отделки итог],РД[Дом],$O$21,РД[МОП],L24,РД[Дата подачи на регистрацию],"&gt;="&amp;$L$19,РД[Дата подачи на регистрацию],"&lt;"&amp;DATE(YEAR($B$20),MONTH($B$20)+1,1),РД[Состояние],"Продажа")</f>
        <v>49812165</v>
      </c>
      <c r="Q24" s="596">
        <f t="shared" si="13"/>
        <v>45.210000000000008</v>
      </c>
      <c r="R24" s="597">
        <f t="shared" si="13"/>
        <v>4294224</v>
      </c>
      <c r="S24" s="597">
        <f t="shared" si="13"/>
        <v>288.90999999999997</v>
      </c>
      <c r="T24" s="597">
        <f t="shared" si="13"/>
        <v>27273127</v>
      </c>
      <c r="U24" s="597">
        <f t="shared" si="13"/>
        <v>-296.78999999999996</v>
      </c>
      <c r="V24" s="626">
        <f t="shared" si="13"/>
        <v>-30275656</v>
      </c>
      <c r="X24" s="651">
        <v>45383</v>
      </c>
      <c r="Y24" s="665">
        <v>1087.5308175412499</v>
      </c>
      <c r="Z24" s="666">
        <v>107756392.314731</v>
      </c>
      <c r="AA24" s="557"/>
      <c r="AB24" s="557"/>
    </row>
    <row r="25" spans="2:28" ht="15.75">
      <c r="B25" s="569" t="s">
        <v>77</v>
      </c>
      <c r="C25" s="574">
        <v>165</v>
      </c>
      <c r="D25" s="786">
        <f>C25/SUM($C$23:$C$27)</f>
        <v>0.20992366412213739</v>
      </c>
      <c r="E25" s="573">
        <f>ROUND($D25*VLOOKUP($B$20,'ИПП 2кв24'!$X$4:$Z$16,2,0),0)+ROUND($D25*$Q$33,0)</f>
        <v>119</v>
      </c>
      <c r="F25" s="573">
        <f>ROUND($D25*VLOOKUP($B$20,'ИПП 2кв24'!$X$4:$Z$16,3,0),0)+ROUND($D25*$R$33,0)</f>
        <v>12253635</v>
      </c>
      <c r="G25" s="573">
        <f>ROUND($D25*VLOOKUP($B$20,'ИПП 2кв24'!$X$21:$Z$33,2,0),0)+ROUND($D25*$S$33,0)</f>
        <v>229</v>
      </c>
      <c r="H25" s="573">
        <f>ROUND($D25*VLOOKUP($B$20,'ИПП 2кв24'!$X$21:$Z$33,3,0),0)+ROUND($D25*$T$33,0)</f>
        <v>22956428</v>
      </c>
      <c r="I25" s="597">
        <f t="shared" si="12"/>
        <v>348</v>
      </c>
      <c r="J25" s="626">
        <f t="shared" si="12"/>
        <v>35210063</v>
      </c>
      <c r="K25" s="609"/>
      <c r="L25" s="793" t="s">
        <v>77</v>
      </c>
      <c r="M25" s="573">
        <f>SUMIFS(РД[S],РД[Дом],$M$21,РД[МОП],L25,РД[Дата подачи на регистрацию],"&gt;="&amp;$L$19,РД[Дата подачи на регистрацию],"&lt;"&amp;DATE(YEAR($B$20),MONTH($B$20)+1,1),РД[Состояние],"Продажа")</f>
        <v>59.87</v>
      </c>
      <c r="N25" s="573">
        <f>SUMIFS(РД[Стоимость без отделки итог],РД[Дом],$M$21,РД[МОП],L25,РД[Дата подачи на регистрацию],"&gt;="&amp;$L$19,РД[Дата подачи на регистрацию],"&lt;"&amp;DATE(YEAR($B$20),MONTH($B$20)+1,1),РД[Состояние],"Продажа")</f>
        <v>6040093</v>
      </c>
      <c r="O25" s="573">
        <f>SUMIFS(РД[S],РД[Дом],$O$21,РД[МОП],L25,РД[Дата подачи на регистрацию],"&gt;="&amp;$L$19,РД[Дата подачи на регистрацию],"&lt;"&amp;DATE(YEAR($B$20),MONTH($B$20)+1,1),РД[Состояние],"Продажа")</f>
        <v>205.77999999999997</v>
      </c>
      <c r="P25" s="652">
        <f>SUMIFS(РД[Стоимость без отделки итог],РД[Дом],$O$21,РД[МОП],L25,РД[Дата подачи на регистрацию],"&gt;="&amp;$L$19,РД[Дата подачи на регистрацию],"&lt;"&amp;DATE(YEAR($B$20),MONTH($B$20)+1,1),РД[Состояние],"Продажа")</f>
        <v>22423600</v>
      </c>
      <c r="Q25" s="596">
        <f t="shared" si="13"/>
        <v>-59.13</v>
      </c>
      <c r="R25" s="597">
        <f t="shared" si="13"/>
        <v>-6213542</v>
      </c>
      <c r="S25" s="597">
        <f t="shared" si="13"/>
        <v>-23.220000000000027</v>
      </c>
      <c r="T25" s="597">
        <f t="shared" si="13"/>
        <v>-532828</v>
      </c>
      <c r="U25" s="597">
        <f t="shared" si="13"/>
        <v>-407.13</v>
      </c>
      <c r="V25" s="626">
        <f t="shared" si="13"/>
        <v>-41423605</v>
      </c>
      <c r="X25" s="651">
        <v>45413</v>
      </c>
      <c r="Y25" s="665">
        <v>1089.8903664095401</v>
      </c>
      <c r="Z25" s="609">
        <v>109356075</v>
      </c>
      <c r="AA25" s="609" t="s">
        <v>118</v>
      </c>
      <c r="AB25" s="609">
        <v>7457128</v>
      </c>
    </row>
    <row r="26" spans="2:28" ht="15.75">
      <c r="B26" s="569" t="s">
        <v>20</v>
      </c>
      <c r="C26" s="574">
        <v>171</v>
      </c>
      <c r="D26" s="786">
        <f>C26/SUM($C$23:$C$27)</f>
        <v>0.21755725190839695</v>
      </c>
      <c r="E26" s="573">
        <f>ROUND($D26*VLOOKUP($B$20,'ИПП 2кв24'!$X$4:$Z$16,2,0),0)+ROUND($D26*$Q$33,0)</f>
        <v>123</v>
      </c>
      <c r="F26" s="573">
        <f>ROUND($D26*VLOOKUP($B$20,'ИПП 2кв24'!$X$4:$Z$16,3,0),0)+ROUND($D26*$R$33,0)</f>
        <v>12699222</v>
      </c>
      <c r="G26" s="573">
        <f>ROUND($D26*VLOOKUP($B$20,'ИПП 2кв24'!$X$21:$Z$33,2,0),0)+ROUND($D26*$S$33,0)</f>
        <v>237</v>
      </c>
      <c r="H26" s="573">
        <f>ROUND($D26*VLOOKUP($B$20,'ИПП 2кв24'!$X$21:$Z$33,3,0),0)+ROUND($D26*$T$33,0)</f>
        <v>23791207</v>
      </c>
      <c r="I26" s="597">
        <f t="shared" si="12"/>
        <v>360</v>
      </c>
      <c r="J26" s="626">
        <f t="shared" si="12"/>
        <v>36490429</v>
      </c>
      <c r="K26" s="631"/>
      <c r="L26" s="793" t="s">
        <v>20</v>
      </c>
      <c r="M26" s="573">
        <f>SUMIFS(РД[S],РД[Дом],$M$21,РД[МОП],L26,РД[Дата подачи на регистрацию],"&gt;="&amp;$L$19,РД[Дата подачи на регистрацию],"&lt;"&amp;DATE(YEAR($B$20),MONTH($B$20)+1,1),РД[Состояние],"Продажа")</f>
        <v>343.65999999999997</v>
      </c>
      <c r="N26" s="573">
        <f>SUMIFS(РД[Стоимость без отделки итог],РД[Дом],$M$21,РД[МОП],L26,РД[Дата подачи на регистрацию],"&gt;="&amp;$L$19,РД[Дата подачи на регистрацию],"&lt;"&amp;DATE(YEAR($B$20),MONTH($B$20)+1,1),РД[Состояние],"Продажа")</f>
        <v>34878622</v>
      </c>
      <c r="O26" s="573">
        <f>SUMIFS(РД[S],РД[Дом],$O$21,РД[МОП],L26,РД[Дата подачи на регистрацию],"&gt;="&amp;$L$19,РД[Дата подачи на регистрацию],"&lt;"&amp;DATE(YEAR($B$20),MONTH($B$20)+1,1),РД[Состояние],"Продажа")</f>
        <v>279.29000000000002</v>
      </c>
      <c r="P26" s="652">
        <f>SUMIFS(РД[Стоимость без отделки итог],РД[Дом],$O$21,РД[МОП],L26,РД[Дата подачи на регистрацию],"&gt;="&amp;$L$19,РД[Дата подачи на регистрацию],"&lt;"&amp;DATE(YEAR($B$20),MONTH($B$20)+1,1),РД[Состояние],"Продажа")</f>
        <v>30551800</v>
      </c>
      <c r="Q26" s="596">
        <f t="shared" si="13"/>
        <v>220.65999999999997</v>
      </c>
      <c r="R26" s="597">
        <f t="shared" si="13"/>
        <v>22179400</v>
      </c>
      <c r="S26" s="597">
        <f t="shared" si="13"/>
        <v>42.29000000000002</v>
      </c>
      <c r="T26" s="597">
        <f t="shared" si="13"/>
        <v>6760593</v>
      </c>
      <c r="U26" s="597">
        <f t="shared" si="13"/>
        <v>-139.34000000000003</v>
      </c>
      <c r="V26" s="626">
        <f t="shared" si="13"/>
        <v>-14311029</v>
      </c>
      <c r="X26" s="651">
        <v>45444</v>
      </c>
      <c r="Y26" s="665">
        <v>846.43618137647798</v>
      </c>
      <c r="Z26" s="666">
        <v>87101094</v>
      </c>
      <c r="AA26" s="666" t="s">
        <v>118</v>
      </c>
      <c r="AB26" s="609">
        <v>14740875</v>
      </c>
    </row>
    <row r="27" spans="2:28" ht="15.75">
      <c r="B27" s="576" t="s">
        <v>14</v>
      </c>
      <c r="C27" s="577">
        <v>126</v>
      </c>
      <c r="D27" s="787">
        <f>C27/SUM($C$23:$C$27)</f>
        <v>0.16030534351145037</v>
      </c>
      <c r="E27" s="580">
        <f>ROUND($D27*VLOOKUP($B$20,'ИПП 2кв24'!$X$4:$Z$16,2,0),0)+ROUND($D27*$Q$33,0)</f>
        <v>91</v>
      </c>
      <c r="F27" s="580">
        <f>ROUND($D27*VLOOKUP($B$20,'ИПП 2кв24'!$X$4:$Z$16,3,0),0)+ROUND($D27*$R$33,0)</f>
        <v>9357322</v>
      </c>
      <c r="G27" s="580">
        <f>ROUND($D27*VLOOKUP($B$20,'ИПП 2кв24'!$X$21:$Z$33,2,0),0)+ROUND($D27*$S$33,0)</f>
        <v>175</v>
      </c>
      <c r="H27" s="580">
        <f>ROUND($D27*VLOOKUP($B$20,'ИПП 2кв24'!$X$21:$Z$33,3,0),0)+ROUND($D27*$T$33,0)</f>
        <v>17530363</v>
      </c>
      <c r="I27" s="590">
        <f t="shared" si="12"/>
        <v>266</v>
      </c>
      <c r="J27" s="653">
        <f t="shared" si="12"/>
        <v>26887685</v>
      </c>
      <c r="K27" s="790"/>
      <c r="L27" s="803" t="s">
        <v>14</v>
      </c>
      <c r="M27" s="573">
        <f>SUMIFS(РД[S],РД[Дом],$M$21,РД[МОП],L27,РД[Дата подачи на регистрацию],"&gt;="&amp;$L$19,РД[Дата подачи на регистрацию],"&lt;"&amp;DATE(YEAR($B$20),MONTH($B$20)+1,1),РД[Состояние],"Продажа")</f>
        <v>0</v>
      </c>
      <c r="N27" s="573">
        <f>SUMIFS(РД[Стоимость без отделки итог],РД[Дом],$M$21,РД[МОП],L27,РД[Дата подачи на регистрацию],"&gt;="&amp;$L$19,РД[Дата подачи на регистрацию],"&lt;"&amp;DATE(YEAR($B$20),MONTH($B$20)+1,1),РД[Состояние],"Продажа")</f>
        <v>0</v>
      </c>
      <c r="O27" s="573">
        <f>SUMIFS(РД[S],РД[Дом],$O$21,РД[МОП],L27,РД[Дата подачи на регистрацию],"&gt;="&amp;$L$19,РД[Дата подачи на регистрацию],"&lt;"&amp;DATE(YEAR($B$20),MONTH($B$20)+1,1),РД[Состояние],"Продажа")</f>
        <v>123.71000000000001</v>
      </c>
      <c r="P27" s="652">
        <f>SUMIFS(РД[Стоимость без отделки итог],РД[Дом],$O$21,РД[МОП],L27,РД[Дата подачи на регистрацию],"&gt;="&amp;$L$19,РД[Дата подачи на регистрацию],"&lt;"&amp;DATE(YEAR($B$20),MONTH($B$20)+1,1),РД[Состояние],"Продажа")</f>
        <v>13229500</v>
      </c>
      <c r="Q27" s="601">
        <f t="shared" si="13"/>
        <v>-91</v>
      </c>
      <c r="R27" s="602">
        <f t="shared" si="13"/>
        <v>-9357322</v>
      </c>
      <c r="S27" s="602">
        <f t="shared" si="13"/>
        <v>-51.289999999999992</v>
      </c>
      <c r="T27" s="602">
        <f t="shared" si="13"/>
        <v>-4300863</v>
      </c>
      <c r="U27" s="602">
        <f t="shared" si="13"/>
        <v>-357</v>
      </c>
      <c r="V27" s="658">
        <f t="shared" si="13"/>
        <v>-36245007</v>
      </c>
      <c r="X27" s="651">
        <v>45474</v>
      </c>
      <c r="Y27" s="665">
        <v>846.43618137647798</v>
      </c>
      <c r="Z27" s="666">
        <v>86954621.059997797</v>
      </c>
    </row>
    <row r="28" spans="2:28">
      <c r="B28" s="581" t="s">
        <v>114</v>
      </c>
      <c r="C28" s="582">
        <f t="shared" ref="C28:H28" si="14">SUM(C23:C27)</f>
        <v>786</v>
      </c>
      <c r="D28" s="641">
        <f t="shared" si="14"/>
        <v>1</v>
      </c>
      <c r="E28" s="584">
        <f t="shared" si="14"/>
        <v>567</v>
      </c>
      <c r="F28" s="584">
        <f t="shared" si="14"/>
        <v>58371863</v>
      </c>
      <c r="G28" s="584">
        <f t="shared" si="14"/>
        <v>1091</v>
      </c>
      <c r="H28" s="584">
        <f t="shared" si="14"/>
        <v>109356074</v>
      </c>
      <c r="I28" s="584">
        <f t="shared" ref="I28" si="15">E28+G28</f>
        <v>1658</v>
      </c>
      <c r="J28" s="630">
        <f t="shared" ref="J28" si="16">F28+H28</f>
        <v>167727937</v>
      </c>
      <c r="K28" s="622"/>
      <c r="L28" s="804" t="s">
        <v>114</v>
      </c>
      <c r="M28" s="805">
        <f>SUM(M23:M27)</f>
        <v>656.22</v>
      </c>
      <c r="N28" s="805">
        <f>SUM(N23:N27)</f>
        <v>67246381</v>
      </c>
      <c r="O28" s="805">
        <f>SUM(O23:O27)</f>
        <v>1203.17</v>
      </c>
      <c r="P28" s="806">
        <f>SUM(P23:P27)</f>
        <v>125033665</v>
      </c>
      <c r="Q28" s="819">
        <f>M28-E28</f>
        <v>89.220000000000027</v>
      </c>
      <c r="R28" s="805">
        <f>N28-F28</f>
        <v>8874518</v>
      </c>
      <c r="S28" s="805">
        <f>O28-G28</f>
        <v>112.17000000000007</v>
      </c>
      <c r="T28" s="805">
        <f>P28-H28</f>
        <v>15677591</v>
      </c>
      <c r="U28" s="805">
        <f>Q28+S28</f>
        <v>201.3900000000001</v>
      </c>
      <c r="V28" s="806">
        <f>R28+T28</f>
        <v>24552109</v>
      </c>
      <c r="X28" s="651">
        <v>45505</v>
      </c>
      <c r="Y28" s="665">
        <v>846.43618137647798</v>
      </c>
      <c r="Z28" s="666">
        <v>87829416.040480599</v>
      </c>
    </row>
    <row r="29" spans="2:28" ht="15.75">
      <c r="B29" s="2344" t="s">
        <v>1882</v>
      </c>
      <c r="C29" s="2343"/>
      <c r="D29" s="2360"/>
      <c r="E29" s="2352" t="s">
        <v>7</v>
      </c>
      <c r="F29" s="2360"/>
      <c r="G29" s="2352" t="s">
        <v>13</v>
      </c>
      <c r="H29" s="2360"/>
      <c r="I29" s="2386" t="s">
        <v>1887</v>
      </c>
      <c r="J29" s="2372" t="s">
        <v>1888</v>
      </c>
      <c r="K29" s="609"/>
      <c r="L29" s="797" t="s">
        <v>1893</v>
      </c>
      <c r="M29" s="798">
        <f>M28-M30/2</f>
        <v>604.54500000000007</v>
      </c>
      <c r="N29" s="798">
        <f>N28-N30/2</f>
        <v>61170134.5</v>
      </c>
      <c r="O29" s="798">
        <f>O28-O30/2</f>
        <v>985.21500000000015</v>
      </c>
      <c r="P29" s="799">
        <f>P28-P30/2</f>
        <v>100783965</v>
      </c>
      <c r="Q29" s="815">
        <f>Q28-M30/2</f>
        <v>37.54500000000003</v>
      </c>
      <c r="R29" s="798">
        <f>R28-N30/2</f>
        <v>2798271.5</v>
      </c>
      <c r="S29" s="798">
        <f>S28-O30/2</f>
        <v>-105.78499999999991</v>
      </c>
      <c r="T29" s="798">
        <f>T28-P30/2</f>
        <v>-8572109</v>
      </c>
      <c r="U29" s="798">
        <f>Q29+S29</f>
        <v>-68.239999999999881</v>
      </c>
      <c r="V29" s="799">
        <f>R29+T29</f>
        <v>-5773837.5</v>
      </c>
      <c r="X29" s="651">
        <v>45536</v>
      </c>
      <c r="Y29" s="665">
        <v>1067.1752036165101</v>
      </c>
      <c r="Z29" s="666">
        <v>112461228.935652</v>
      </c>
    </row>
    <row r="30" spans="2:28" ht="15.75">
      <c r="B30" s="559" t="s">
        <v>1878</v>
      </c>
      <c r="C30" s="560" t="s">
        <v>1879</v>
      </c>
      <c r="D30" s="560" t="s">
        <v>1880</v>
      </c>
      <c r="E30" s="563" t="s">
        <v>1872</v>
      </c>
      <c r="F30" s="563" t="s">
        <v>1891</v>
      </c>
      <c r="G30" s="563" t="s">
        <v>1872</v>
      </c>
      <c r="H30" s="563" t="s">
        <v>1891</v>
      </c>
      <c r="I30" s="2387"/>
      <c r="J30" s="2373"/>
      <c r="K30" s="609"/>
      <c r="L30" s="800" t="s">
        <v>1894</v>
      </c>
      <c r="M30" s="801">
        <f>SUMIFS(РД[S],РД[Дом],$M$21,РД[Источник обращения],"Агент*",РД[Дата подачи на регистрацию],"&gt;="&amp;$L$19,РД[Дата подачи на регистрацию],"&lt;"&amp;DATE(YEAR($B$20),MONTH($B$20)+1,1),РД[Состояние],"Продажа")</f>
        <v>103.35</v>
      </c>
      <c r="N30" s="801">
        <f>SUMIFS(РД[Стоимость без отделки итог],РД[Дом],$M$21,РД[Источник обращения],"Агент*",РД[Дата подачи на регистрацию],"&gt;="&amp;$L$19,РД[Дата подачи на регистрацию],"&lt;"&amp;DATE(YEAR($B$20),MONTH($B$20)+1,1),РД[Состояние],"Продажа")</f>
        <v>12152493</v>
      </c>
      <c r="O30" s="801">
        <f>SUMIFS(РД[S],РД[Дом],$O$21,РД[Источник обращения],"Агент*",РД[Дата подачи на регистрацию],"&gt;="&amp;$L$19,РД[Дата подачи на регистрацию],"&lt;"&amp;DATE(YEAR($B$20),MONTH($B$20)+1,1),РД[Состояние],"Продажа")</f>
        <v>435.90999999999997</v>
      </c>
      <c r="P30" s="802">
        <f>SUMIFS(РД[Стоимость без отделки итог],РД[Дом],$O$21,РД[Источник обращения],"Агент*",РД[Дата подачи на регистрацию],"&gt;="&amp;$L$19,РД[Дата подачи на регистрацию],"&lt;"&amp;DATE(YEAR($B$20),MONTH($B$20)+1,1),РД[Состояние],"Продажа")</f>
        <v>48499400</v>
      </c>
      <c r="Q30" s="2380" t="s">
        <v>1895</v>
      </c>
      <c r="R30" s="2381"/>
      <c r="S30" s="2381"/>
      <c r="T30" s="2381"/>
      <c r="U30" s="2381"/>
      <c r="V30" s="2382"/>
      <c r="X30" s="651">
        <v>45566</v>
      </c>
      <c r="Y30" s="665">
        <v>1106.0562520036101</v>
      </c>
      <c r="Z30" s="666">
        <v>118157911.272864</v>
      </c>
    </row>
    <row r="31" spans="2:28" ht="15.75">
      <c r="B31" s="564" t="s">
        <v>1892</v>
      </c>
      <c r="C31" s="574">
        <v>0</v>
      </c>
      <c r="D31" s="645">
        <f>C31/SUM($C$32:$C$33)</f>
        <v>0</v>
      </c>
      <c r="E31" s="573">
        <f>$D31*($E$28*85%)</f>
        <v>0</v>
      </c>
      <c r="F31" s="573">
        <f>$D31*($F$28*85%)</f>
        <v>0</v>
      </c>
      <c r="G31" s="573">
        <f>$D31*($G$28*85%)</f>
        <v>0</v>
      </c>
      <c r="H31" s="573">
        <f>$D31*($H$28*85%)</f>
        <v>0</v>
      </c>
      <c r="I31" s="573">
        <f t="shared" ref="I31:J33" si="17">E31+G31</f>
        <v>0</v>
      </c>
      <c r="J31" s="652">
        <f t="shared" si="17"/>
        <v>0</v>
      </c>
      <c r="K31" s="631"/>
      <c r="Q31" s="2383" t="s">
        <v>7</v>
      </c>
      <c r="R31" s="2384"/>
      <c r="S31" s="2384" t="s">
        <v>13</v>
      </c>
      <c r="T31" s="2384"/>
      <c r="U31" s="2384" t="s">
        <v>114</v>
      </c>
      <c r="V31" s="2385"/>
      <c r="X31" s="651">
        <v>45597</v>
      </c>
      <c r="Y31" s="665">
        <v>1106.0562520036101</v>
      </c>
      <c r="Z31" s="666">
        <v>119300637.68749499</v>
      </c>
    </row>
    <row r="32" spans="2:28" ht="15.75">
      <c r="B32" s="569" t="s">
        <v>22</v>
      </c>
      <c r="C32" s="570">
        <v>108</v>
      </c>
      <c r="D32" s="645">
        <f>C32/SUM($C$32:$C$33)</f>
        <v>0.4044943820224719</v>
      </c>
      <c r="E32" s="573">
        <f>$D32*($E$28*85%)</f>
        <v>194.94606741573034</v>
      </c>
      <c r="F32" s="573">
        <f>$D32*($F$28*85%)</f>
        <v>20069427.053932581</v>
      </c>
      <c r="G32" s="573">
        <f>$D32*($G$28*85%)</f>
        <v>375.10786516853932</v>
      </c>
      <c r="H32" s="573">
        <f>$D32*($H$28*85%)</f>
        <v>37598829.937078647</v>
      </c>
      <c r="I32" s="573">
        <f t="shared" si="17"/>
        <v>570.05393258426966</v>
      </c>
      <c r="J32" s="652">
        <f t="shared" si="17"/>
        <v>57668256.991011232</v>
      </c>
      <c r="Q32" s="816" t="s">
        <v>1872</v>
      </c>
      <c r="R32" s="817" t="s">
        <v>1881</v>
      </c>
      <c r="S32" s="817" t="s">
        <v>1872</v>
      </c>
      <c r="T32" s="817" t="s">
        <v>1881</v>
      </c>
      <c r="U32" s="817" t="s">
        <v>1872</v>
      </c>
      <c r="V32" s="818" t="s">
        <v>1881</v>
      </c>
      <c r="X32" s="651">
        <v>45627</v>
      </c>
      <c r="Y32" s="665">
        <v>1067.1752036165101</v>
      </c>
      <c r="Z32" s="666">
        <v>115755991.50212599</v>
      </c>
    </row>
    <row r="33" spans="2:26" ht="15.75">
      <c r="B33" s="576" t="s">
        <v>16</v>
      </c>
      <c r="C33" s="788">
        <v>159</v>
      </c>
      <c r="D33" s="639">
        <f>C33/SUM($C$32:$C$33)</f>
        <v>0.5955056179775281</v>
      </c>
      <c r="E33" s="590">
        <f>$D33*($E$28*85%)</f>
        <v>287.00393258426965</v>
      </c>
      <c r="F33" s="590">
        <f>$D33*($F$28*85%)</f>
        <v>29546656.496067416</v>
      </c>
      <c r="G33" s="590">
        <f>$D33*($G$28*85%)</f>
        <v>552.2421348314607</v>
      </c>
      <c r="H33" s="590">
        <f>$D33*($H$28*85%)</f>
        <v>55353832.962921344</v>
      </c>
      <c r="I33" s="590">
        <f t="shared" si="17"/>
        <v>839.24606741573029</v>
      </c>
      <c r="J33" s="653">
        <f t="shared" si="17"/>
        <v>84900489.458988756</v>
      </c>
      <c r="K33" s="622"/>
      <c r="Q33" s="601"/>
      <c r="R33" s="602"/>
      <c r="S33" s="602"/>
      <c r="T33" s="602"/>
      <c r="U33" s="602"/>
      <c r="V33" s="658"/>
      <c r="X33" s="660" t="s">
        <v>1896</v>
      </c>
      <c r="Y33" s="671">
        <v>10897.2218217792</v>
      </c>
      <c r="Z33" s="671">
        <v>1115645462.3828101</v>
      </c>
    </row>
    <row r="34" spans="2:26" ht="15.75">
      <c r="B34" s="581" t="s">
        <v>114</v>
      </c>
      <c r="C34" s="582">
        <f>SUM(C31:C33)</f>
        <v>267</v>
      </c>
      <c r="D34" s="641">
        <f t="shared" ref="D34:J34" si="18">SUM(D31:D33)</f>
        <v>1</v>
      </c>
      <c r="E34" s="584">
        <f t="shared" si="18"/>
        <v>481.95</v>
      </c>
      <c r="F34" s="584">
        <f t="shared" si="18"/>
        <v>49616083.549999997</v>
      </c>
      <c r="G34" s="584">
        <f t="shared" si="18"/>
        <v>927.35</v>
      </c>
      <c r="H34" s="584">
        <f t="shared" si="18"/>
        <v>92952662.899999991</v>
      </c>
      <c r="I34" s="584">
        <f t="shared" si="18"/>
        <v>1409.3</v>
      </c>
      <c r="J34" s="630">
        <f t="shared" si="18"/>
        <v>142568746.44999999</v>
      </c>
      <c r="K34" s="790"/>
    </row>
    <row r="35" spans="2:26">
      <c r="K35" s="622"/>
      <c r="Y35" s="609"/>
      <c r="Z35" s="609"/>
    </row>
    <row r="36" spans="2:26" ht="15.75">
      <c r="K36" s="609"/>
      <c r="L36" s="2390">
        <f>B38</f>
        <v>45444</v>
      </c>
      <c r="M36" s="2391"/>
      <c r="N36" s="2391"/>
      <c r="O36" s="2391"/>
      <c r="P36" s="2391"/>
      <c r="Q36" s="2391"/>
      <c r="R36" s="2391"/>
      <c r="S36" s="2391"/>
      <c r="T36" s="2391"/>
      <c r="U36" s="2391"/>
      <c r="V36" s="2392"/>
      <c r="Y36" s="609"/>
      <c r="Z36" s="609"/>
    </row>
    <row r="37" spans="2:26">
      <c r="K37" s="609"/>
      <c r="L37" s="2388" t="s">
        <v>1878</v>
      </c>
      <c r="M37" s="2393" t="s">
        <v>1889</v>
      </c>
      <c r="N37" s="2393"/>
      <c r="O37" s="2393"/>
      <c r="P37" s="2393"/>
      <c r="Q37" s="2394" t="s">
        <v>1890</v>
      </c>
      <c r="R37" s="2394"/>
      <c r="S37" s="2394"/>
      <c r="T37" s="2394"/>
      <c r="U37" s="2394"/>
      <c r="V37" s="2395"/>
      <c r="Y37" s="609"/>
      <c r="Z37" s="609"/>
    </row>
    <row r="38" spans="2:26" ht="15.75">
      <c r="B38" s="2329">
        <v>45444</v>
      </c>
      <c r="C38" s="2330"/>
      <c r="D38" s="2330"/>
      <c r="E38" s="2330"/>
      <c r="F38" s="2330"/>
      <c r="G38" s="2330"/>
      <c r="H38" s="2330"/>
      <c r="I38" s="2330"/>
      <c r="J38" s="2331"/>
      <c r="K38" s="609"/>
      <c r="L38" s="2383"/>
      <c r="M38" s="2384" t="s">
        <v>7</v>
      </c>
      <c r="N38" s="2384"/>
      <c r="O38" s="2384" t="s">
        <v>13</v>
      </c>
      <c r="P38" s="2384"/>
      <c r="Q38" s="2384" t="s">
        <v>7</v>
      </c>
      <c r="R38" s="2384"/>
      <c r="S38" s="2384" t="s">
        <v>13</v>
      </c>
      <c r="T38" s="2384"/>
      <c r="U38" s="2384" t="s">
        <v>114</v>
      </c>
      <c r="V38" s="2385"/>
      <c r="Y38" s="609"/>
      <c r="Z38" s="609"/>
    </row>
    <row r="39" spans="2:26" ht="15.75">
      <c r="B39" s="2335" t="s">
        <v>1874</v>
      </c>
      <c r="C39" s="2343"/>
      <c r="D39" s="2360"/>
      <c r="E39" s="2352" t="s">
        <v>7</v>
      </c>
      <c r="F39" s="2360"/>
      <c r="G39" s="2352" t="s">
        <v>13</v>
      </c>
      <c r="H39" s="2360"/>
      <c r="I39" s="2386" t="s">
        <v>1887</v>
      </c>
      <c r="J39" s="2372" t="s">
        <v>1888</v>
      </c>
      <c r="K39" s="609"/>
      <c r="L39" s="2389"/>
      <c r="M39" s="791" t="s">
        <v>1872</v>
      </c>
      <c r="N39" s="791" t="s">
        <v>1881</v>
      </c>
      <c r="O39" s="791" t="s">
        <v>1872</v>
      </c>
      <c r="P39" s="791" t="s">
        <v>1881</v>
      </c>
      <c r="Q39" s="812" t="s">
        <v>1872</v>
      </c>
      <c r="R39" s="812" t="s">
        <v>1881</v>
      </c>
      <c r="S39" s="812" t="s">
        <v>1872</v>
      </c>
      <c r="T39" s="812" t="s">
        <v>1881</v>
      </c>
      <c r="U39" s="812" t="s">
        <v>1872</v>
      </c>
      <c r="V39" s="813" t="s">
        <v>1881</v>
      </c>
    </row>
    <row r="40" spans="2:26" ht="15.75">
      <c r="B40" s="559" t="s">
        <v>1878</v>
      </c>
      <c r="C40" s="560" t="s">
        <v>1879</v>
      </c>
      <c r="D40" s="560" t="s">
        <v>1880</v>
      </c>
      <c r="E40" s="563" t="s">
        <v>1872</v>
      </c>
      <c r="F40" s="563" t="s">
        <v>1891</v>
      </c>
      <c r="G40" s="563" t="s">
        <v>1872</v>
      </c>
      <c r="H40" s="563" t="s">
        <v>1891</v>
      </c>
      <c r="I40" s="2387"/>
      <c r="J40" s="2373"/>
      <c r="K40" s="609"/>
      <c r="L40" s="807" t="s">
        <v>1892</v>
      </c>
      <c r="M40" s="568">
        <f>SUMIFS(РД[S],РД[Дом],$M$38,РД[МОП],L40,РД[Дата подачи на регистрацию],"&gt;="&amp;$L$36,РД[Дата подачи на регистрацию],"&lt;"&amp;DATE(YEAR($B$38),MONTH($B$38)+1,1),РД[Состояние],"Продажа")</f>
        <v>72.510000000000005</v>
      </c>
      <c r="N40" s="568">
        <f>SUMIFS(РД[Стоимость без отделки итог],РД[Дом],$M$38,РД[МОП],L40,РД[Дата подачи на регистрацию],"&gt;="&amp;$L$36,РД[Дата подачи на регистрацию],"&lt;"&amp;DATE(YEAR($B$38),MONTH($B$38)+1,1),РД[Состояние],"Продажа")</f>
        <v>7051982</v>
      </c>
      <c r="O40" s="568">
        <f>SUMIFS(РД[S],РД[Дом],$O$38,РД[МОП],L40,РД[Дата подачи на регистрацию],"&gt;="&amp;$L$36,РД[Дата подачи на регистрацию],"&lt;"&amp;DATE(YEAR($B$38),MONTH($B$38)+1,1),РД[Состояние],"Продажа")</f>
        <v>100.47</v>
      </c>
      <c r="P40" s="808">
        <f>SUMIFS(РД[Стоимость без отделки итог],РД[Дом],$O$38,РД[МОП],L40,РД[Дата подачи на регистрацию],"&gt;="&amp;$L$36,РД[Дата подачи на регистрацию],"&lt;"&amp;DATE(YEAR($B$38),MONTH($B$38)+1,1),РД[Состояние],"Продажа")</f>
        <v>10591700</v>
      </c>
      <c r="Q40" s="567">
        <f t="shared" ref="Q40:V44" si="19">M40-E41</f>
        <v>35.510000000000005</v>
      </c>
      <c r="R40" s="568">
        <f t="shared" si="19"/>
        <v>3336016</v>
      </c>
      <c r="S40" s="568">
        <f t="shared" si="19"/>
        <v>39.47</v>
      </c>
      <c r="T40" s="568">
        <f t="shared" si="19"/>
        <v>4325434</v>
      </c>
      <c r="U40" s="568">
        <f t="shared" si="19"/>
        <v>-62.489999999999995</v>
      </c>
      <c r="V40" s="808">
        <f t="shared" si="19"/>
        <v>-6646216</v>
      </c>
      <c r="Y40" s="609"/>
      <c r="Z40" s="609"/>
    </row>
    <row r="41" spans="2:26" ht="15.75">
      <c r="B41" s="564" t="s">
        <v>1892</v>
      </c>
      <c r="C41" s="570">
        <v>40</v>
      </c>
      <c r="D41" s="785">
        <f>C41/SUM($C$41:$C$45)</f>
        <v>7.1942446043165464E-2</v>
      </c>
      <c r="E41" s="573">
        <f>ROUND($D41*VLOOKUP($B$38,'ИПП 2кв24'!$X$4:$Z$16,2,0),0)+ROUND($D41*$Q$50,0)</f>
        <v>37</v>
      </c>
      <c r="F41" s="573">
        <f>ROUND($D41*VLOOKUP($B$38,'ИПП 2кв24'!$X$4:$Z$16,3,0),0)+ROUND($D41*$R$50,0)</f>
        <v>3715966</v>
      </c>
      <c r="G41" s="573">
        <f>ROUND($D41*VLOOKUP($B$38,'ИПП 2кв24'!$X$21:$Z$33,2,0),0)+ROUND($D41*$S$50,0)</f>
        <v>61</v>
      </c>
      <c r="H41" s="573">
        <f>ROUND($D41*VLOOKUP($B$38,'ИПП 2кв24'!$X$21:$Z$33,3,0),0)++ROUND($D41*$T$50,0)</f>
        <v>6266266</v>
      </c>
      <c r="I41" s="573">
        <f>E41+G41</f>
        <v>98</v>
      </c>
      <c r="J41" s="652">
        <f>F41+H41</f>
        <v>9982232</v>
      </c>
      <c r="K41" s="631"/>
      <c r="L41" s="793" t="s">
        <v>8</v>
      </c>
      <c r="M41" s="597">
        <f>SUMIFS(РД[S],РД[Дом],$M$38,РД[МОП],L41,РД[Дата подачи на регистрацию],"&gt;="&amp;$L$36,РД[Дата подачи на регистрацию],"&lt;"&amp;DATE(YEAR($B$38),MONTH($B$38)+1,1),РД[Состояние],"Продажа")</f>
        <v>127.35999999999999</v>
      </c>
      <c r="N41" s="597">
        <f>SUMIFS(РД[Стоимость без отделки итог],РД[Дом],$M$38,РД[МОП],L41,РД[Дата подачи на регистрацию],"&gt;="&amp;$L$36,РД[Дата подачи на регистрацию],"&lt;"&amp;DATE(YEAR($B$38),MONTH($B$38)+1,1),РД[Состояние],"Продажа")</f>
        <v>13108746</v>
      </c>
      <c r="O41" s="597">
        <f>SUMIFS(РД[S],РД[Дом],$O$38,РД[МОП],L41,РД[Дата подачи на регистрацию],"&gt;="&amp;$L$36,РД[Дата подачи на регистрацию],"&lt;"&amp;DATE(YEAR($B$38),MONTH($B$38)+1,1),РД[Состояние],"Продажа")</f>
        <v>1038.43</v>
      </c>
      <c r="P41" s="626">
        <f>SUMIFS(РД[Стоимость без отделки итог],РД[Дом],$O$38,РД[МОП],L41,РД[Дата подачи на регистрацию],"&gt;="&amp;$L$36,РД[Дата подачи на регистрацию],"&lt;"&amp;DATE(YEAR($B$38),MONTH($B$38)+1,1),РД[Состояние],"Продажа")</f>
        <v>111280015</v>
      </c>
      <c r="Q41" s="606">
        <f t="shared" si="19"/>
        <v>-37.640000000000015</v>
      </c>
      <c r="R41" s="597">
        <f t="shared" si="19"/>
        <v>-3613100</v>
      </c>
      <c r="S41" s="597">
        <f t="shared" si="19"/>
        <v>764.43000000000006</v>
      </c>
      <c r="T41" s="597">
        <f t="shared" si="19"/>
        <v>83081819</v>
      </c>
      <c r="U41" s="597">
        <f t="shared" si="19"/>
        <v>-476.64</v>
      </c>
      <c r="V41" s="626">
        <f t="shared" si="19"/>
        <v>-48533142</v>
      </c>
      <c r="Y41" s="609"/>
      <c r="Z41" s="609"/>
    </row>
    <row r="42" spans="2:26" ht="15.75">
      <c r="B42" s="569" t="s">
        <v>8</v>
      </c>
      <c r="C42" s="574">
        <v>180</v>
      </c>
      <c r="D42" s="786">
        <f>C42/SUM($C$41:$C$45)</f>
        <v>0.32374100719424459</v>
      </c>
      <c r="E42" s="597">
        <f>ROUND($D42*VLOOKUP($B$38,'ИПП 2кв24'!$X$4:$Z$16,2,0),0)+ROUND($D42*$Q$50,0)</f>
        <v>165</v>
      </c>
      <c r="F42" s="597">
        <f>ROUND($D42*VLOOKUP($B$38,'ИПП 2кв24'!$X$4:$Z$16,3,0),0)+ROUND($D42*$R$50,0)</f>
        <v>16721846</v>
      </c>
      <c r="G42" s="597">
        <f>ROUND($D42*VLOOKUP($B$38,'ИПП 2кв24'!$X$21:$Z$33,2,0),0)+ROUND($D42*$S$50,0)</f>
        <v>274</v>
      </c>
      <c r="H42" s="597">
        <f>ROUND($D42*VLOOKUP($B$38,'ИПП 2кв24'!$X$21:$Z$33,3,0),0)++ROUND($D42*$T$50,0)</f>
        <v>28198196</v>
      </c>
      <c r="I42" s="597">
        <f t="shared" ref="I42:I46" si="20">E42+G42</f>
        <v>439</v>
      </c>
      <c r="J42" s="626">
        <f t="shared" ref="J42:J46" si="21">F42+H42</f>
        <v>44920042</v>
      </c>
      <c r="K42" s="790"/>
      <c r="L42" s="793" t="s">
        <v>77</v>
      </c>
      <c r="M42" s="597">
        <f>SUMIFS(РД[S],РД[Дом],$M$38,РД[МОП],L42,РД[Дата подачи на регистрацию],"&gt;="&amp;$L$36,РД[Дата подачи на регистрацию],"&lt;"&amp;DATE(YEAR($B$38),MONTH($B$38)+1,1),РД[Состояние],"Продажа")</f>
        <v>0</v>
      </c>
      <c r="N42" s="597">
        <f>SUMIFS(РД[Стоимость без отделки итог],РД[Дом],$M$38,РД[МОП],L42,РД[Дата подачи на регистрацию],"&gt;="&amp;$L$36,РД[Дата подачи на регистрацию],"&lt;"&amp;DATE(YEAR($B$38),MONTH($B$38)+1,1),РД[Состояние],"Продажа")</f>
        <v>0</v>
      </c>
      <c r="O42" s="597">
        <f>SUMIFS(РД[S],РД[Дом],$O$38,РД[МОП],L42,РД[Дата подачи на регистрацию],"&gt;="&amp;$L$36,РД[Дата подачи на регистрацию],"&lt;"&amp;DATE(YEAR($B$38),MONTH($B$38)+1,1),РД[Состояние],"Продажа")</f>
        <v>0</v>
      </c>
      <c r="P42" s="626">
        <f>SUMIFS(РД[Стоимость без отделки итог],РД[Дом],$O$38,РД[МОП],L42,РД[Дата подачи на регистрацию],"&gt;="&amp;$L$36,РД[Дата подачи на регистрацию],"&lt;"&amp;DATE(YEAR($B$38),MONTH($B$38)+1,1),РД[Состояние],"Продажа")</f>
        <v>0</v>
      </c>
      <c r="Q42" s="606">
        <f t="shared" si="19"/>
        <v>0</v>
      </c>
      <c r="R42" s="597">
        <f t="shared" si="19"/>
        <v>0</v>
      </c>
      <c r="S42" s="597">
        <f t="shared" si="19"/>
        <v>0</v>
      </c>
      <c r="T42" s="597">
        <f t="shared" si="19"/>
        <v>0</v>
      </c>
      <c r="U42" s="597">
        <f t="shared" si="19"/>
        <v>0</v>
      </c>
      <c r="V42" s="626">
        <f t="shared" si="19"/>
        <v>0</v>
      </c>
      <c r="Y42" s="609"/>
      <c r="Z42" s="609"/>
    </row>
    <row r="43" spans="2:26" ht="15.75">
      <c r="B43" s="569" t="s">
        <v>77</v>
      </c>
      <c r="C43" s="574">
        <v>0</v>
      </c>
      <c r="D43" s="786">
        <f>C43/SUM($C$41:$C$45)</f>
        <v>0</v>
      </c>
      <c r="E43" s="597">
        <f>ROUND($D43*VLOOKUP($B$38,'ИПП 2кв24'!$X$4:$Z$16,2,0),0)+ROUND($D43*$Q$50,0)</f>
        <v>0</v>
      </c>
      <c r="F43" s="597">
        <f>ROUND($D43*VLOOKUP($B$38,'ИПП 2кв24'!$X$4:$Z$16,3,0),0)+ROUND($D43*$R$50,0)</f>
        <v>0</v>
      </c>
      <c r="G43" s="597">
        <f>ROUND($D43*VLOOKUP($B$38,'ИПП 2кв24'!$X$21:$Z$33,2,0),0)+ROUND($D43*$S$50,0)</f>
        <v>0</v>
      </c>
      <c r="H43" s="597">
        <f>ROUND($D43*VLOOKUP($B$38,'ИПП 2кв24'!$X$21:$Z$33,3,0),0)++ROUND($D43*$T$50,0)</f>
        <v>0</v>
      </c>
      <c r="I43" s="597">
        <f t="shared" si="20"/>
        <v>0</v>
      </c>
      <c r="J43" s="626">
        <f t="shared" si="21"/>
        <v>0</v>
      </c>
      <c r="K43" s="622"/>
      <c r="L43" s="793" t="s">
        <v>20</v>
      </c>
      <c r="M43" s="597">
        <f>SUMIFS(РД[S],РД[Дом],$M$38,РД[МОП],L43,РД[Дата подачи на регистрацию],"&gt;="&amp;$L$36,РД[Дата подачи на регистрацию],"&lt;"&amp;DATE(YEAR($B$38),MONTH($B$38)+1,1),РД[Состояние],"Продажа")</f>
        <v>165.12</v>
      </c>
      <c r="N43" s="597">
        <f>SUMIFS(РД[Стоимость без отделки итог],РД[Дом],$M$38,РД[МОП],L43,РД[Дата подачи на регистрацию],"&gt;="&amp;$L$36,РД[Дата подачи на регистрацию],"&lt;"&amp;DATE(YEAR($B$38),MONTH($B$38)+1,1),РД[Состояние],"Продажа")</f>
        <v>17658200</v>
      </c>
      <c r="O43" s="597">
        <f>SUMIFS(РД[S],РД[Дом],$O$38,РД[МОП],L43,РД[Дата подачи на регистрацию],"&gt;="&amp;$L$36,РД[Дата подачи на регистрацию],"&lt;"&amp;DATE(YEAR($B$38),MONTH($B$38)+1,1),РД[Состояние],"Продажа")</f>
        <v>471.28999999999996</v>
      </c>
      <c r="P43" s="626">
        <f>SUMIFS(РД[Стоимость без отделки итог],РД[Дом],$O$38,РД[МОП],L43,РД[Дата подачи на регистрацию],"&gt;="&amp;$L$36,РД[Дата подачи на регистрацию],"&lt;"&amp;DATE(YEAR($B$38),MONTH($B$38)+1,1),РД[Состояние],"Продажа")</f>
        <v>46673980</v>
      </c>
      <c r="Q43" s="606">
        <f t="shared" si="19"/>
        <v>22.120000000000005</v>
      </c>
      <c r="R43" s="597">
        <f t="shared" si="19"/>
        <v>3165934</v>
      </c>
      <c r="S43" s="597">
        <f t="shared" si="19"/>
        <v>234.28999999999996</v>
      </c>
      <c r="T43" s="597">
        <f t="shared" si="19"/>
        <v>22235544</v>
      </c>
      <c r="U43" s="597">
        <f t="shared" si="19"/>
        <v>-357.88</v>
      </c>
      <c r="V43" s="626">
        <f t="shared" si="19"/>
        <v>-35764768</v>
      </c>
      <c r="Y43" s="609"/>
      <c r="Z43" s="609"/>
    </row>
    <row r="44" spans="2:26" ht="15.75">
      <c r="B44" s="569" t="s">
        <v>20</v>
      </c>
      <c r="C44" s="574">
        <v>156</v>
      </c>
      <c r="D44" s="786">
        <f>C44/SUM($C$41:$C$45)</f>
        <v>0.2805755395683453</v>
      </c>
      <c r="E44" s="597">
        <f>ROUND($D44*VLOOKUP($B$38,'ИПП 2кв24'!$X$4:$Z$16,2,0),0)+ROUND($D44*$Q$50,0)</f>
        <v>143</v>
      </c>
      <c r="F44" s="597">
        <f>ROUND($D44*VLOOKUP($B$38,'ИПП 2кв24'!$X$4:$Z$16,3,0),0)+ROUND($D44*$R$50,0)</f>
        <v>14492266</v>
      </c>
      <c r="G44" s="597">
        <f>ROUND($D44*VLOOKUP($B$38,'ИПП 2кв24'!$X$21:$Z$33,2,0),0)+ROUND($D44*$S$50,0)</f>
        <v>237</v>
      </c>
      <c r="H44" s="597">
        <f>ROUND($D44*VLOOKUP($B$38,'ИПП 2кв24'!$X$21:$Z$33,3,0),0)++ROUND($D44*$T$50,0)</f>
        <v>24438436</v>
      </c>
      <c r="I44" s="597">
        <f t="shared" si="20"/>
        <v>380</v>
      </c>
      <c r="J44" s="626">
        <f t="shared" si="21"/>
        <v>38930702</v>
      </c>
      <c r="K44" s="609"/>
      <c r="L44" s="809" t="s">
        <v>14</v>
      </c>
      <c r="M44" s="590">
        <f>SUMIFS(РД[S],РД[Дом],$M$38,РД[МОП],L44,РД[Дата подачи на регистрацию],"&gt;="&amp;$L$36,РД[Дата подачи на регистрацию],"&lt;"&amp;DATE(YEAR($B$38),MONTH($B$38)+1,1),РД[Состояние],"Продажа")</f>
        <v>123.61</v>
      </c>
      <c r="N44" s="590">
        <f>SUMIFS(РД[Стоимость без отделки итог],РД[Дом],$M$38,РД[МОП],L44,РД[Дата подачи на регистрацию],"&gt;="&amp;$L$36,РД[Дата подачи на регистрацию],"&lt;"&amp;DATE(YEAR($B$38),MONTH($B$38)+1,1),РД[Состояние],"Продажа")</f>
        <v>12589800</v>
      </c>
      <c r="O44" s="590">
        <f>SUMIFS(РД[S],РД[Дом],$O$38,РД[МОП],L44,РД[Дата подачи на регистрацию],"&gt;="&amp;$L$36,РД[Дата подачи на регистрацию],"&lt;"&amp;DATE(YEAR($B$38),MONTH($B$38)+1,1),РД[Состояние],"Продажа")</f>
        <v>744.85000000000014</v>
      </c>
      <c r="P44" s="653">
        <f>SUMIFS(РД[Стоимость без отделки итог],РД[Дом],$O$38,РД[МОП],L44,РД[Дата подачи на регистрацию],"&gt;="&amp;$L$36,РД[Дата подачи на регистрацию],"&lt;"&amp;DATE(YEAR($B$38),MONTH($B$38)+1,1),РД[Состояние],"Продажа")</f>
        <v>72451852</v>
      </c>
      <c r="Q44" s="589">
        <f t="shared" si="19"/>
        <v>-41.39</v>
      </c>
      <c r="R44" s="590">
        <f t="shared" si="19"/>
        <v>-4132046</v>
      </c>
      <c r="S44" s="590">
        <f t="shared" si="19"/>
        <v>470.85000000000014</v>
      </c>
      <c r="T44" s="590">
        <f t="shared" si="19"/>
        <v>44253656</v>
      </c>
      <c r="U44" s="590">
        <f t="shared" si="19"/>
        <v>-480.39</v>
      </c>
      <c r="V44" s="653">
        <f t="shared" si="19"/>
        <v>-49052088</v>
      </c>
    </row>
    <row r="45" spans="2:26" ht="15.75">
      <c r="B45" s="576" t="s">
        <v>14</v>
      </c>
      <c r="C45" s="577">
        <v>180</v>
      </c>
      <c r="D45" s="787">
        <f>C45/SUM($C$41:$C$45)</f>
        <v>0.32374100719424459</v>
      </c>
      <c r="E45" s="590">
        <f>ROUND($D45*VLOOKUP($B$38,'ИПП 2кв24'!$X$4:$Z$16,2,0),0)+ROUND($D45*$Q$50,0)</f>
        <v>165</v>
      </c>
      <c r="F45" s="590">
        <f>ROUND($D45*VLOOKUP($B$38,'ИПП 2кв24'!$X$4:$Z$16,3,0),0)+ROUND($D45*$R$50,0)</f>
        <v>16721846</v>
      </c>
      <c r="G45" s="590">
        <f>ROUND($D45*VLOOKUP($B$38,'ИПП 2кв24'!$X$21:$Z$33,2,0),0)+ROUND($D45*$S$50,0)</f>
        <v>274</v>
      </c>
      <c r="H45" s="590">
        <f>ROUND($D45*VLOOKUP($B$38,'ИПП 2кв24'!$X$21:$Z$33,3,0),0)++ROUND($D45*$T$50,0)</f>
        <v>28198196</v>
      </c>
      <c r="I45" s="590">
        <f t="shared" si="20"/>
        <v>439</v>
      </c>
      <c r="J45" s="653">
        <f t="shared" si="21"/>
        <v>44920042</v>
      </c>
      <c r="K45" s="609"/>
      <c r="L45" s="804" t="s">
        <v>114</v>
      </c>
      <c r="M45" s="805">
        <f>SUM(M40:M44)</f>
        <v>488.6</v>
      </c>
      <c r="N45" s="805">
        <f>SUM(N40:N44)</f>
        <v>50408728</v>
      </c>
      <c r="O45" s="805">
        <f>SUM(O40:O44)</f>
        <v>2355.04</v>
      </c>
      <c r="P45" s="806">
        <f>SUM(P40:P44)</f>
        <v>240997547</v>
      </c>
      <c r="Q45" s="820">
        <f>M45-E46</f>
        <v>-21.399999999999977</v>
      </c>
      <c r="R45" s="805">
        <f>N45-F46</f>
        <v>-1243196</v>
      </c>
      <c r="S45" s="805">
        <f>O45-G46</f>
        <v>1509.04</v>
      </c>
      <c r="T45" s="805">
        <f>P45-H46</f>
        <v>153896453</v>
      </c>
      <c r="U45" s="805">
        <f>Q45+S45</f>
        <v>1487.6399999999999</v>
      </c>
      <c r="V45" s="806">
        <f>R45+T45</f>
        <v>152653257</v>
      </c>
    </row>
    <row r="46" spans="2:26">
      <c r="B46" s="581" t="s">
        <v>114</v>
      </c>
      <c r="C46" s="582">
        <f t="shared" ref="C46:H46" si="22">SUM(C41:C45)</f>
        <v>556</v>
      </c>
      <c r="D46" s="641">
        <f t="shared" si="22"/>
        <v>1</v>
      </c>
      <c r="E46" s="584">
        <f t="shared" si="22"/>
        <v>510</v>
      </c>
      <c r="F46" s="584">
        <f t="shared" si="22"/>
        <v>51651924</v>
      </c>
      <c r="G46" s="584">
        <f t="shared" si="22"/>
        <v>846</v>
      </c>
      <c r="H46" s="584">
        <f t="shared" si="22"/>
        <v>87101094</v>
      </c>
      <c r="I46" s="584">
        <f t="shared" si="20"/>
        <v>1356</v>
      </c>
      <c r="J46" s="630">
        <f t="shared" si="21"/>
        <v>138753018</v>
      </c>
      <c r="K46" s="631"/>
      <c r="L46" s="797" t="s">
        <v>1898</v>
      </c>
      <c r="M46" s="798">
        <f>M45-M47/2</f>
        <v>454.22500000000002</v>
      </c>
      <c r="N46" s="798">
        <f>N45-N47/2</f>
        <v>46934828</v>
      </c>
      <c r="O46" s="798">
        <f>O45-O47/2</f>
        <v>2175.3249999999998</v>
      </c>
      <c r="P46" s="799">
        <f>P45-P47/2</f>
        <v>223046888.5</v>
      </c>
      <c r="Q46" s="821">
        <f>Q45-M47/2</f>
        <v>-55.774999999999977</v>
      </c>
      <c r="R46" s="798">
        <f t="shared" ref="R46:T46" si="23">R45-N47/2</f>
        <v>-4717096</v>
      </c>
      <c r="S46" s="798">
        <f t="shared" si="23"/>
        <v>1329.325</v>
      </c>
      <c r="T46" s="798">
        <f t="shared" si="23"/>
        <v>135945794.5</v>
      </c>
      <c r="U46" s="798">
        <f>Q46+S46</f>
        <v>1273.5500000000002</v>
      </c>
      <c r="V46" s="799">
        <f>R46+T46</f>
        <v>131228698.5</v>
      </c>
    </row>
    <row r="47" spans="2:26" ht="15.75">
      <c r="B47" s="2335" t="s">
        <v>1882</v>
      </c>
      <c r="C47" s="2343"/>
      <c r="D47" s="2360"/>
      <c r="E47" s="2352" t="s">
        <v>7</v>
      </c>
      <c r="F47" s="2360"/>
      <c r="G47" s="2352" t="s">
        <v>13</v>
      </c>
      <c r="H47" s="2360"/>
      <c r="I47" s="2386" t="s">
        <v>1887</v>
      </c>
      <c r="J47" s="2372" t="s">
        <v>1888</v>
      </c>
      <c r="L47" s="800" t="s">
        <v>1894</v>
      </c>
      <c r="M47" s="801">
        <f>SUMIFS(РД[S],РД[Дом],$M$38,РД[Источник обращения],"Агент*",РД[Дата подачи на регистрацию],"&gt;="&amp;$L$36,РД[Дата подачи на регистрацию],"&lt;"&amp;DATE(YEAR($B$38),MONTH($B$38)+1,1),РД[Состояние],"Продажа")</f>
        <v>68.75</v>
      </c>
      <c r="N47" s="801">
        <f>SUMIFS(РД[Стоимость без отделки итог],РД[Дом],$M$38,РД[Источник обращения],"Агент*",РД[Дата подачи на регистрацию],"&gt;="&amp;$L$36,РД[Дата подачи на регистрацию],"&lt;"&amp;DATE(YEAR($B$38),MONTH($B$38)+1,1),РД[Состояние],"Продажа")</f>
        <v>6947800</v>
      </c>
      <c r="O47" s="801">
        <f>SUMIFS(РД[S],РД[Дом],$O$38,РД[Источник обращения],"Агент*",РД[Дата подачи на регистрацию],"&gt;="&amp;$L$36,РД[Дата подачи на регистрацию],"&lt;"&amp;DATE(YEAR($B$38),MONTH($B$38)+1,1),РД[Состояние],"Продажа")</f>
        <v>359.43</v>
      </c>
      <c r="P47" s="802">
        <f>SUMIFS(РД[Стоимость без отделки итог],РД[Дом],$O$38,РД[Источник обращения],"Агент*",РД[Дата подачи на регистрацию],"&gt;="&amp;$L$36,РД[Дата подачи на регистрацию],"&lt;"&amp;DATE(YEAR($B$38),MONTH($B$38)+1,1),РД[Состояние],"Продажа")</f>
        <v>35901317</v>
      </c>
      <c r="Q47" s="2380" t="s">
        <v>1895</v>
      </c>
      <c r="R47" s="2381"/>
      <c r="S47" s="2381"/>
      <c r="T47" s="2381"/>
      <c r="U47" s="2381"/>
      <c r="V47" s="2382"/>
    </row>
    <row r="48" spans="2:26" ht="15.75">
      <c r="B48" s="559" t="s">
        <v>1878</v>
      </c>
      <c r="C48" s="560" t="s">
        <v>1879</v>
      </c>
      <c r="D48" s="560" t="s">
        <v>1880</v>
      </c>
      <c r="E48" s="563" t="s">
        <v>1872</v>
      </c>
      <c r="F48" s="563" t="s">
        <v>1891</v>
      </c>
      <c r="G48" s="563" t="s">
        <v>1872</v>
      </c>
      <c r="H48" s="563" t="s">
        <v>1891</v>
      </c>
      <c r="I48" s="2387"/>
      <c r="J48" s="2373"/>
      <c r="K48" s="622"/>
      <c r="Q48" s="2383" t="s">
        <v>7</v>
      </c>
      <c r="R48" s="2384"/>
      <c r="S48" s="2384" t="s">
        <v>13</v>
      </c>
      <c r="T48" s="2384"/>
      <c r="U48" s="2384" t="s">
        <v>114</v>
      </c>
      <c r="V48" s="2385"/>
    </row>
    <row r="49" spans="2:22" ht="15.75">
      <c r="B49" s="564" t="s">
        <v>1892</v>
      </c>
      <c r="C49" s="574">
        <v>168</v>
      </c>
      <c r="D49" s="645">
        <f>C49/$C$52</f>
        <v>0.35897435897435898</v>
      </c>
      <c r="E49" s="573">
        <f>$D49*($E$46*85%)</f>
        <v>155.61538461538461</v>
      </c>
      <c r="F49" s="573">
        <f>$D49*($F$46*85%)</f>
        <v>15760458.86153846</v>
      </c>
      <c r="G49" s="573">
        <f>$D49*($G$46*85%)</f>
        <v>258.13846153846157</v>
      </c>
      <c r="H49" s="573">
        <f>$D49*($H$46*85%)</f>
        <v>26577000.476923075</v>
      </c>
      <c r="I49" s="573">
        <f>E49+G49</f>
        <v>413.75384615384621</v>
      </c>
      <c r="J49" s="652">
        <f>F49+H49</f>
        <v>42337459.338461533</v>
      </c>
      <c r="K49" s="790"/>
      <c r="Q49" s="816" t="s">
        <v>1872</v>
      </c>
      <c r="R49" s="817" t="s">
        <v>1881</v>
      </c>
      <c r="S49" s="817" t="s">
        <v>1872</v>
      </c>
      <c r="T49" s="817" t="s">
        <v>1881</v>
      </c>
      <c r="U49" s="817" t="s">
        <v>1872</v>
      </c>
      <c r="V49" s="818" t="s">
        <v>1881</v>
      </c>
    </row>
    <row r="50" spans="2:22" ht="15.75">
      <c r="B50" s="569" t="s">
        <v>22</v>
      </c>
      <c r="C50" s="574">
        <v>168</v>
      </c>
      <c r="D50" s="645">
        <f>C50/$C$52</f>
        <v>0.35897435897435898</v>
      </c>
      <c r="E50" s="573">
        <f>$D50*($E$46*85%)</f>
        <v>155.61538461538461</v>
      </c>
      <c r="F50" s="573">
        <f>$D50*($F$46*85%)</f>
        <v>15760458.86153846</v>
      </c>
      <c r="G50" s="573">
        <f>$D50*($G$46*85%)</f>
        <v>258.13846153846157</v>
      </c>
      <c r="H50" s="573">
        <f>$D50*($H$46*85%)</f>
        <v>26577000.476923075</v>
      </c>
      <c r="I50" s="573">
        <f>E50+G50</f>
        <v>413.75384615384621</v>
      </c>
      <c r="J50" s="652">
        <f>F50+H50</f>
        <v>42337459.338461533</v>
      </c>
      <c r="K50" s="622"/>
      <c r="Q50" s="601"/>
      <c r="R50" s="602"/>
      <c r="S50" s="602"/>
      <c r="T50" s="602"/>
      <c r="U50" s="602"/>
      <c r="V50" s="658"/>
    </row>
    <row r="51" spans="2:22" ht="15.75">
      <c r="B51" s="576" t="s">
        <v>16</v>
      </c>
      <c r="C51" s="577">
        <v>132</v>
      </c>
      <c r="D51" s="789">
        <f>C51/$C$52</f>
        <v>0.28205128205128205</v>
      </c>
      <c r="E51" s="590">
        <f>$D51*($E$46*85%)</f>
        <v>122.26923076923077</v>
      </c>
      <c r="F51" s="590">
        <f>$D51*($F$46*85%)</f>
        <v>12383217.676923076</v>
      </c>
      <c r="G51" s="590">
        <f>$D51*($G$46*85%)</f>
        <v>202.82307692307694</v>
      </c>
      <c r="H51" s="590">
        <f>$D51*($H$46*85%)</f>
        <v>20881928.946153842</v>
      </c>
      <c r="I51" s="590">
        <f t="shared" ref="I51" si="24">E51+G51</f>
        <v>325.09230769230771</v>
      </c>
      <c r="J51" s="653">
        <f t="shared" ref="J51" si="25">F51+H51</f>
        <v>33265146.623076916</v>
      </c>
      <c r="K51" s="609"/>
    </row>
    <row r="52" spans="2:22">
      <c r="B52" s="581" t="s">
        <v>114</v>
      </c>
      <c r="C52" s="582">
        <f>SUM(C49:C51)</f>
        <v>468</v>
      </c>
      <c r="D52" s="641">
        <f t="shared" ref="D52:J52" si="26">SUM(D49:D51)</f>
        <v>1</v>
      </c>
      <c r="E52" s="584">
        <f t="shared" si="26"/>
        <v>433.5</v>
      </c>
      <c r="F52" s="584">
        <f t="shared" si="26"/>
        <v>43904135.399999999</v>
      </c>
      <c r="G52" s="584">
        <f t="shared" si="26"/>
        <v>719.10000000000014</v>
      </c>
      <c r="H52" s="584">
        <f t="shared" si="26"/>
        <v>74035929.899999991</v>
      </c>
      <c r="I52" s="584">
        <f t="shared" si="26"/>
        <v>1152.6000000000001</v>
      </c>
      <c r="J52" s="630">
        <f t="shared" si="26"/>
        <v>117940065.29999998</v>
      </c>
      <c r="K52" s="609"/>
      <c r="N52" s="810"/>
    </row>
    <row r="53" spans="2:22">
      <c r="K53" s="609"/>
    </row>
    <row r="54" spans="2:22">
      <c r="C54" s="609"/>
      <c r="D54" s="609"/>
      <c r="E54" s="609"/>
      <c r="F54" s="609"/>
      <c r="G54" s="609"/>
      <c r="H54" s="609"/>
      <c r="I54" s="609"/>
      <c r="K54" s="609"/>
    </row>
    <row r="55" spans="2:22">
      <c r="K55" s="609"/>
    </row>
    <row r="56" spans="2:22">
      <c r="B56" s="2329" t="s">
        <v>1885</v>
      </c>
      <c r="C56" s="2330"/>
      <c r="D56" s="2330"/>
      <c r="E56" s="2330"/>
      <c r="F56" s="2330"/>
      <c r="G56" s="2330"/>
      <c r="H56" s="2330"/>
      <c r="I56" s="2330"/>
      <c r="J56" s="2331"/>
      <c r="K56" s="631"/>
    </row>
    <row r="57" spans="2:22" ht="15.75">
      <c r="B57" s="2332" t="s">
        <v>1874</v>
      </c>
      <c r="C57" s="2333"/>
      <c r="D57" s="2333"/>
      <c r="E57" s="2333" t="s">
        <v>7</v>
      </c>
      <c r="F57" s="2333"/>
      <c r="G57" s="2333" t="s">
        <v>13</v>
      </c>
      <c r="H57" s="2333"/>
      <c r="I57" s="2377" t="s">
        <v>1887</v>
      </c>
      <c r="J57" s="2374" t="s">
        <v>1888</v>
      </c>
      <c r="K57" s="790"/>
    </row>
    <row r="58" spans="2:22" ht="15.75">
      <c r="B58" s="559" t="s">
        <v>1878</v>
      </c>
      <c r="C58" s="560" t="s">
        <v>1879</v>
      </c>
      <c r="D58" s="560" t="s">
        <v>1880</v>
      </c>
      <c r="E58" s="563" t="s">
        <v>1872</v>
      </c>
      <c r="F58" s="563" t="s">
        <v>1891</v>
      </c>
      <c r="G58" s="563" t="s">
        <v>1872</v>
      </c>
      <c r="H58" s="563" t="s">
        <v>1891</v>
      </c>
      <c r="I58" s="2378"/>
      <c r="J58" s="2375"/>
      <c r="K58" s="622"/>
      <c r="N58" s="609"/>
    </row>
    <row r="59" spans="2:22" ht="15.75">
      <c r="B59" s="569" t="s">
        <v>1892</v>
      </c>
      <c r="C59" s="595">
        <f>C41+C23+C5</f>
        <v>346</v>
      </c>
      <c r="D59" s="786">
        <f>C59/$C$64</f>
        <v>0.16779825412221144</v>
      </c>
      <c r="E59" s="573">
        <f t="shared" ref="E59:H61" si="27">$D59*E$64</f>
        <v>320.61810530792144</v>
      </c>
      <c r="F59" s="772">
        <f t="shared" si="27"/>
        <v>32946586.154955383</v>
      </c>
      <c r="G59" s="772">
        <f t="shared" si="27"/>
        <v>507.39798661650565</v>
      </c>
      <c r="H59" s="772">
        <f t="shared" si="27"/>
        <v>51046504.468912184</v>
      </c>
      <c r="I59" s="597">
        <f t="shared" ref="I59:I61" si="28">G59+E59</f>
        <v>828.01609192442709</v>
      </c>
      <c r="J59" s="626">
        <f t="shared" ref="J59:J61" si="29">H59+F59</f>
        <v>83993090.623867571</v>
      </c>
      <c r="K59" s="811"/>
    </row>
    <row r="60" spans="2:22" ht="15.75">
      <c r="B60" s="569" t="s">
        <v>8</v>
      </c>
      <c r="C60" s="595">
        <f>C42+C24+C6</f>
        <v>462</v>
      </c>
      <c r="D60" s="786">
        <f t="shared" ref="D60:D63" si="30">C60/$C$64</f>
        <v>0.22405431619786614</v>
      </c>
      <c r="E60" s="573">
        <f t="shared" si="27"/>
        <v>428.10856835913205</v>
      </c>
      <c r="F60" s="772">
        <f t="shared" si="27"/>
        <v>43992262.43811962</v>
      </c>
      <c r="G60" s="772">
        <f t="shared" si="27"/>
        <v>677.50829426828216</v>
      </c>
      <c r="H60" s="772">
        <f t="shared" si="27"/>
        <v>68160361.458489686</v>
      </c>
      <c r="I60" s="597">
        <f t="shared" si="28"/>
        <v>1105.6168626274143</v>
      </c>
      <c r="J60" s="626">
        <f t="shared" si="29"/>
        <v>112152623.89660931</v>
      </c>
      <c r="K60" s="811"/>
    </row>
    <row r="61" spans="2:22" ht="15.75">
      <c r="B61" s="569" t="s">
        <v>77</v>
      </c>
      <c r="C61" s="595">
        <f>C43+C25+C7</f>
        <v>261</v>
      </c>
      <c r="D61" s="786">
        <f t="shared" si="30"/>
        <v>0.12657613967022308</v>
      </c>
      <c r="E61" s="573">
        <f t="shared" si="27"/>
        <v>241.85354186522395</v>
      </c>
      <c r="F61" s="772">
        <f t="shared" si="27"/>
        <v>24852771.637119524</v>
      </c>
      <c r="G61" s="772">
        <f t="shared" si="27"/>
        <v>382.74819221649705</v>
      </c>
      <c r="H61" s="772">
        <f t="shared" si="27"/>
        <v>38506178.226549365</v>
      </c>
      <c r="I61" s="597">
        <f t="shared" si="28"/>
        <v>624.60173408172102</v>
      </c>
      <c r="J61" s="626">
        <f t="shared" si="29"/>
        <v>63358949.863668889</v>
      </c>
      <c r="K61" s="631"/>
    </row>
    <row r="62" spans="2:22" ht="15.75">
      <c r="B62" s="569" t="s">
        <v>20</v>
      </c>
      <c r="C62" s="595">
        <f>C44+C26+C8</f>
        <v>507</v>
      </c>
      <c r="D62" s="786">
        <f t="shared" si="30"/>
        <v>0.24587778855480116</v>
      </c>
      <c r="E62" s="573">
        <f t="shared" ref="E62:H63" si="31">$D62*E$64</f>
        <v>469.80745488761897</v>
      </c>
      <c r="F62" s="772">
        <f t="shared" si="31"/>
        <v>48277223.065209195</v>
      </c>
      <c r="G62" s="772">
        <f t="shared" si="31"/>
        <v>743.49936189181608</v>
      </c>
      <c r="H62" s="772">
        <f t="shared" si="31"/>
        <v>74799357.704446465</v>
      </c>
      <c r="I62" s="597">
        <f t="shared" ref="I62:I63" si="32">G62+E62</f>
        <v>1213.3068167794349</v>
      </c>
      <c r="J62" s="626">
        <f t="shared" ref="J62:J63" si="33">H62+F62</f>
        <v>123076580.76965566</v>
      </c>
    </row>
    <row r="63" spans="2:22" ht="15.75">
      <c r="B63" s="576" t="s">
        <v>14</v>
      </c>
      <c r="C63" s="611">
        <f>C45+C27+C9</f>
        <v>486</v>
      </c>
      <c r="D63" s="787">
        <f t="shared" si="30"/>
        <v>0.23569350145489815</v>
      </c>
      <c r="E63" s="580">
        <f t="shared" si="31"/>
        <v>450.34797450765842</v>
      </c>
      <c r="F63" s="773">
        <f t="shared" si="31"/>
        <v>46277574.772567391</v>
      </c>
      <c r="G63" s="773">
        <f t="shared" si="31"/>
        <v>712.70353033416689</v>
      </c>
      <c r="H63" s="773">
        <f t="shared" si="31"/>
        <v>71701159.456333295</v>
      </c>
      <c r="I63" s="590">
        <f t="shared" si="32"/>
        <v>1163.0515048418254</v>
      </c>
      <c r="J63" s="653">
        <f t="shared" si="33"/>
        <v>117978734.22890069</v>
      </c>
    </row>
    <row r="64" spans="2:22">
      <c r="B64" s="581" t="s">
        <v>114</v>
      </c>
      <c r="C64" s="612">
        <f>SUM(C59:C63)</f>
        <v>2062</v>
      </c>
      <c r="D64" s="641">
        <f>SUM(D59:D63)</f>
        <v>1</v>
      </c>
      <c r="E64" s="584">
        <f>SUM(Y7:Y9)</f>
        <v>1910.7356449275549</v>
      </c>
      <c r="F64" s="584">
        <f>SUM(Z7:Z9)</f>
        <v>196346418.06797111</v>
      </c>
      <c r="G64" s="584">
        <f>SUM(Y24:Y26)</f>
        <v>3023.8573653272679</v>
      </c>
      <c r="H64" s="584">
        <f>SUM(Z24:Z26)</f>
        <v>304213561.314731</v>
      </c>
      <c r="I64" s="584">
        <f t="shared" ref="I64" si="34">E64+G64</f>
        <v>4934.5930102548227</v>
      </c>
      <c r="J64" s="630">
        <f t="shared" ref="J64" si="35">F64+H64</f>
        <v>500559979.38270211</v>
      </c>
    </row>
    <row r="65" spans="2:10" ht="15.75">
      <c r="B65" s="2332" t="s">
        <v>1882</v>
      </c>
      <c r="C65" s="2333"/>
      <c r="D65" s="2333"/>
      <c r="E65" s="2333" t="s">
        <v>7</v>
      </c>
      <c r="F65" s="2333"/>
      <c r="G65" s="2333" t="s">
        <v>13</v>
      </c>
      <c r="H65" s="2333"/>
      <c r="I65" s="2377" t="s">
        <v>1887</v>
      </c>
      <c r="J65" s="2374" t="s">
        <v>1888</v>
      </c>
    </row>
    <row r="66" spans="2:10" ht="15.75">
      <c r="B66" s="613" t="s">
        <v>1878</v>
      </c>
      <c r="C66" s="614" t="s">
        <v>1879</v>
      </c>
      <c r="D66" s="614" t="s">
        <v>1880</v>
      </c>
      <c r="E66" s="824" t="s">
        <v>1872</v>
      </c>
      <c r="F66" s="824" t="s">
        <v>1891</v>
      </c>
      <c r="G66" s="824" t="s">
        <v>1872</v>
      </c>
      <c r="H66" s="824" t="s">
        <v>1891</v>
      </c>
      <c r="I66" s="2379"/>
      <c r="J66" s="2376"/>
    </row>
    <row r="67" spans="2:10" ht="15.75">
      <c r="B67" s="564" t="s">
        <v>1892</v>
      </c>
      <c r="C67" s="565">
        <f>C13+C31+C49</f>
        <v>168</v>
      </c>
      <c r="D67" s="637">
        <f>C67/$C$70</f>
        <v>0.15512465373961218</v>
      </c>
      <c r="E67" s="775">
        <f t="shared" ref="E67:J69" si="36">E13+E31+E49</f>
        <v>155.61538461538461</v>
      </c>
      <c r="F67" s="775">
        <f t="shared" si="36"/>
        <v>15760458.86153846</v>
      </c>
      <c r="G67" s="775">
        <f t="shared" si="36"/>
        <v>258.13846153846157</v>
      </c>
      <c r="H67" s="775">
        <f t="shared" si="36"/>
        <v>26577000.476923075</v>
      </c>
      <c r="I67" s="775">
        <f t="shared" si="36"/>
        <v>413.75384615384621</v>
      </c>
      <c r="J67" s="827">
        <f t="shared" si="36"/>
        <v>42337459.338461533</v>
      </c>
    </row>
    <row r="68" spans="2:10" ht="15.75">
      <c r="B68" s="569" t="s">
        <v>22</v>
      </c>
      <c r="C68" s="595">
        <f>C14+C32+C50</f>
        <v>444</v>
      </c>
      <c r="D68" s="638">
        <f t="shared" ref="D68:D69" si="37">C68/$C$70</f>
        <v>0.4099722991689751</v>
      </c>
      <c r="E68" s="772">
        <f t="shared" si="36"/>
        <v>693.19938306559777</v>
      </c>
      <c r="F68" s="772">
        <f t="shared" si="36"/>
        <v>71251931.049953789</v>
      </c>
      <c r="G68" s="772">
        <f t="shared" si="36"/>
        <v>1079.7014991207939</v>
      </c>
      <c r="H68" s="772">
        <f t="shared" si="36"/>
        <v>108393108.51055345</v>
      </c>
      <c r="I68" s="772">
        <f t="shared" si="36"/>
        <v>1772.9008821863918</v>
      </c>
      <c r="J68" s="828">
        <f t="shared" si="36"/>
        <v>179645039.56050724</v>
      </c>
    </row>
    <row r="69" spans="2:10" ht="15.75">
      <c r="B69" s="618" t="s">
        <v>16</v>
      </c>
      <c r="C69" s="599">
        <f>C15+C33+C51</f>
        <v>471</v>
      </c>
      <c r="D69" s="647">
        <f t="shared" si="37"/>
        <v>0.43490304709141275</v>
      </c>
      <c r="E69" s="778">
        <f t="shared" si="36"/>
        <v>776.38523231901763</v>
      </c>
      <c r="F69" s="778">
        <f t="shared" si="36"/>
        <v>79882065.388507739</v>
      </c>
      <c r="G69" s="778">
        <f t="shared" si="36"/>
        <v>1233.4100393407446</v>
      </c>
      <c r="H69" s="778">
        <f t="shared" si="36"/>
        <v>123611417.01252347</v>
      </c>
      <c r="I69" s="778">
        <f t="shared" si="36"/>
        <v>2009.7952716597622</v>
      </c>
      <c r="J69" s="829">
        <f t="shared" si="36"/>
        <v>203493482.4010312</v>
      </c>
    </row>
    <row r="70" spans="2:10">
      <c r="B70" s="620" t="s">
        <v>114</v>
      </c>
      <c r="C70" s="603">
        <f>SUM(C67:C69)</f>
        <v>1083</v>
      </c>
      <c r="D70" s="649">
        <f t="shared" ref="D70:J70" si="38">SUM(D67:D69)</f>
        <v>1</v>
      </c>
      <c r="E70" s="605">
        <f t="shared" si="38"/>
        <v>1625.2</v>
      </c>
      <c r="F70" s="605">
        <f t="shared" si="38"/>
        <v>166894455.29999998</v>
      </c>
      <c r="G70" s="605">
        <f t="shared" si="38"/>
        <v>2571.25</v>
      </c>
      <c r="H70" s="605">
        <f t="shared" si="38"/>
        <v>258581526</v>
      </c>
      <c r="I70" s="605">
        <f t="shared" si="38"/>
        <v>4196.45</v>
      </c>
      <c r="J70" s="659">
        <f t="shared" si="38"/>
        <v>425475981.29999995</v>
      </c>
    </row>
  </sheetData>
  <sheetProtection algorithmName="SHA-512" hashValue="pcy2zUKW4AqSjPEkv8qj3jDhXMwdU2sFXKEnF+LMC5plbcZlHRdREhnxTkmbH1S+BtTXcDSdrvkKjITwZMiGng==" saltValue="u2BPjV69yy8pRn8/CIF0Fg==" spinCount="100000" sheet="1" objects="1" scenarios="1"/>
  <sortState xmlns:xlrd2="http://schemas.microsoft.com/office/spreadsheetml/2017/richdata2" ref="B32:J33">
    <sortCondition ref="B32:B33"/>
  </sortState>
  <mergeCells count="85">
    <mergeCell ref="B2:J2"/>
    <mergeCell ref="L2:V2"/>
    <mergeCell ref="X2:Z2"/>
    <mergeCell ref="B3:D3"/>
    <mergeCell ref="E3:F3"/>
    <mergeCell ref="G3:H3"/>
    <mergeCell ref="M3:P3"/>
    <mergeCell ref="Q3:V3"/>
    <mergeCell ref="I3:I4"/>
    <mergeCell ref="L3:L5"/>
    <mergeCell ref="M4:N4"/>
    <mergeCell ref="O4:P4"/>
    <mergeCell ref="Q4:R4"/>
    <mergeCell ref="S4:T4"/>
    <mergeCell ref="U4:V4"/>
    <mergeCell ref="J3:J4"/>
    <mergeCell ref="B11:D11"/>
    <mergeCell ref="E11:F11"/>
    <mergeCell ref="G11:H11"/>
    <mergeCell ref="Q13:V13"/>
    <mergeCell ref="Q14:R14"/>
    <mergeCell ref="S14:T14"/>
    <mergeCell ref="U14:V14"/>
    <mergeCell ref="I11:I12"/>
    <mergeCell ref="J11:J12"/>
    <mergeCell ref="L19:V19"/>
    <mergeCell ref="X19:Z19"/>
    <mergeCell ref="B20:J20"/>
    <mergeCell ref="M20:P20"/>
    <mergeCell ref="Q20:V20"/>
    <mergeCell ref="Q21:R21"/>
    <mergeCell ref="S21:T21"/>
    <mergeCell ref="U21:V21"/>
    <mergeCell ref="B29:D29"/>
    <mergeCell ref="E29:F29"/>
    <mergeCell ref="G29:H29"/>
    <mergeCell ref="I21:I22"/>
    <mergeCell ref="I29:I30"/>
    <mergeCell ref="L20:L22"/>
    <mergeCell ref="B21:D21"/>
    <mergeCell ref="E21:F21"/>
    <mergeCell ref="G21:H21"/>
    <mergeCell ref="M21:N21"/>
    <mergeCell ref="O21:P21"/>
    <mergeCell ref="Q30:V30"/>
    <mergeCell ref="J21:J22"/>
    <mergeCell ref="Q31:R31"/>
    <mergeCell ref="S31:T31"/>
    <mergeCell ref="U31:V31"/>
    <mergeCell ref="L36:V36"/>
    <mergeCell ref="M37:P37"/>
    <mergeCell ref="Q37:V37"/>
    <mergeCell ref="U38:V38"/>
    <mergeCell ref="L37:L39"/>
    <mergeCell ref="B39:D39"/>
    <mergeCell ref="E39:F39"/>
    <mergeCell ref="G39:H39"/>
    <mergeCell ref="I39:I40"/>
    <mergeCell ref="B38:J38"/>
    <mergeCell ref="M38:N38"/>
    <mergeCell ref="O38:P38"/>
    <mergeCell ref="Q38:R38"/>
    <mergeCell ref="S38:T38"/>
    <mergeCell ref="G47:H47"/>
    <mergeCell ref="Q47:V47"/>
    <mergeCell ref="Q48:R48"/>
    <mergeCell ref="S48:T48"/>
    <mergeCell ref="U48:V48"/>
    <mergeCell ref="I47:I48"/>
    <mergeCell ref="J29:J30"/>
    <mergeCell ref="J39:J40"/>
    <mergeCell ref="J47:J48"/>
    <mergeCell ref="J57:J58"/>
    <mergeCell ref="J65:J66"/>
    <mergeCell ref="B56:J56"/>
    <mergeCell ref="B57:D57"/>
    <mergeCell ref="E57:F57"/>
    <mergeCell ref="G57:H57"/>
    <mergeCell ref="B65:D65"/>
    <mergeCell ref="E65:F65"/>
    <mergeCell ref="G65:H65"/>
    <mergeCell ref="I57:I58"/>
    <mergeCell ref="I65:I66"/>
    <mergeCell ref="B47:D47"/>
    <mergeCell ref="E47:F47"/>
  </mergeCells>
  <conditionalFormatting sqref="Q6:V10">
    <cfRule type="cellIs" dxfId="475" priority="3" operator="greaterThan">
      <formula>0</formula>
    </cfRule>
  </conditionalFormatting>
  <conditionalFormatting sqref="Q23:V27">
    <cfRule type="cellIs" dxfId="474" priority="2" operator="greaterThan">
      <formula>0</formula>
    </cfRule>
  </conditionalFormatting>
  <conditionalFormatting sqref="Q40:V44">
    <cfRule type="cellIs" dxfId="473" priority="1" operator="greaterThan">
      <formula>0</formula>
    </cfRule>
  </conditionalFormatting>
  <printOptions horizontalCentered="1" verticalCentered="1"/>
  <pageMargins left="0.70866141732283505" right="0.70866141732283505" top="0.74803149606299202" bottom="0.74803149606299202" header="0.31496062992126" footer="0.31496062992126"/>
  <pageSetup paperSize="9" scale="25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  <pageSetUpPr fitToPage="1"/>
  </sheetPr>
  <dimension ref="B1:AM64"/>
  <sheetViews>
    <sheetView topLeftCell="B28" zoomScale="90" zoomScaleNormal="90" workbookViewId="0">
      <selection activeCell="B23" sqref="B23"/>
    </sheetView>
  </sheetViews>
  <sheetFormatPr defaultColWidth="9.140625" defaultRowHeight="15"/>
  <cols>
    <col min="1" max="1" width="1.7109375" style="557" customWidth="1"/>
    <col min="2" max="2" width="11.7109375" style="558" customWidth="1"/>
    <col min="3" max="3" width="7.42578125" style="558" customWidth="1"/>
    <col min="4" max="4" width="20.7109375" style="558" customWidth="1"/>
    <col min="5" max="5" width="10.7109375" style="558" customWidth="1"/>
    <col min="6" max="6" width="12.7109375" style="558" customWidth="1"/>
    <col min="7" max="7" width="10.7109375" style="558" customWidth="1"/>
    <col min="8" max="8" width="12.7109375" style="558" customWidth="1"/>
    <col min="9" max="9" width="10.7109375" style="558" customWidth="1"/>
    <col min="10" max="10" width="12.7109375" style="558" customWidth="1"/>
    <col min="11" max="11" width="10.7109375" style="558" customWidth="1"/>
    <col min="12" max="12" width="12.7109375" style="558" customWidth="1"/>
    <col min="13" max="13" width="8.7109375" style="558" customWidth="1"/>
    <col min="14" max="14" width="11.5703125" style="558" customWidth="1"/>
    <col min="15" max="15" width="10.7109375" style="558" customWidth="1"/>
    <col min="16" max="16" width="12.7109375" style="558" customWidth="1"/>
    <col min="17" max="17" width="10.7109375" style="558" customWidth="1"/>
    <col min="18" max="18" width="12.7109375" style="558" customWidth="1"/>
    <col min="19" max="19" width="10.7109375" style="558" customWidth="1"/>
    <col min="20" max="20" width="12.7109375" style="558" customWidth="1"/>
    <col min="21" max="21" width="10.7109375" style="558" customWidth="1"/>
    <col min="22" max="22" width="12.7109375" style="558" customWidth="1"/>
    <col min="23" max="23" width="10.7109375" style="558" customWidth="1"/>
    <col min="24" max="24" width="12.7109375" style="558" customWidth="1"/>
    <col min="25" max="25" width="10.7109375" style="558" hidden="1" customWidth="1"/>
    <col min="26" max="26" width="11.7109375" style="558" hidden="1" customWidth="1"/>
    <col min="27" max="27" width="9.7109375" style="558" hidden="1" customWidth="1"/>
    <col min="28" max="28" width="11.7109375" style="558" hidden="1" customWidth="1"/>
    <col min="29" max="29" width="9.7109375" style="558" hidden="1" customWidth="1"/>
    <col min="30" max="30" width="11.7109375" style="558" hidden="1" customWidth="1"/>
    <col min="31" max="31" width="9.7109375" style="558" hidden="1" customWidth="1"/>
    <col min="32" max="32" width="11.7109375" style="558" hidden="1" customWidth="1"/>
    <col min="33" max="33" width="9.7109375" style="558" hidden="1" customWidth="1"/>
    <col min="34" max="34" width="11.7109375" style="558" hidden="1" customWidth="1"/>
    <col min="35" max="35" width="5.7109375" style="557" customWidth="1"/>
    <col min="36" max="36" width="17" style="557" customWidth="1"/>
    <col min="37" max="37" width="12.42578125" style="557" customWidth="1"/>
    <col min="38" max="38" width="17.140625" style="557" customWidth="1"/>
    <col min="39" max="16384" width="9.140625" style="557"/>
  </cols>
  <sheetData>
    <row r="1" spans="2:39">
      <c r="B1" s="2349" t="s">
        <v>713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N1" s="2367" t="s">
        <v>1868</v>
      </c>
      <c r="O1" s="2367"/>
      <c r="P1" s="2367"/>
      <c r="Q1" s="2367"/>
      <c r="R1" s="2367"/>
      <c r="S1" s="2367"/>
      <c r="T1" s="2367"/>
      <c r="U1" s="2367"/>
      <c r="V1" s="2367"/>
      <c r="W1" s="2367"/>
      <c r="X1" s="2367"/>
      <c r="Z1" s="2368" t="s">
        <v>1869</v>
      </c>
      <c r="AA1" s="2368"/>
      <c r="AB1" s="2368"/>
      <c r="AC1" s="2368"/>
      <c r="AD1" s="2368"/>
      <c r="AE1" s="2368"/>
      <c r="AF1" s="2368"/>
      <c r="AG1" s="2368"/>
      <c r="AH1" s="2368"/>
      <c r="AJ1" s="2345" t="s">
        <v>1870</v>
      </c>
      <c r="AK1" s="2345"/>
      <c r="AL1" s="2345"/>
    </row>
    <row r="2" spans="2:39">
      <c r="AJ2" s="2346" t="s">
        <v>7</v>
      </c>
      <c r="AK2" s="2346"/>
      <c r="AL2" s="2346"/>
    </row>
    <row r="3" spans="2:39" ht="15.75">
      <c r="B3" s="2329">
        <v>45474</v>
      </c>
      <c r="C3" s="2330"/>
      <c r="D3" s="2330"/>
      <c r="E3" s="2330"/>
      <c r="F3" s="2330"/>
      <c r="G3" s="2330"/>
      <c r="H3" s="2330"/>
      <c r="I3" s="2330"/>
      <c r="J3" s="2330"/>
      <c r="K3" s="2330"/>
      <c r="L3" s="2331"/>
      <c r="M3" s="621"/>
      <c r="N3" s="2369">
        <f>B3</f>
        <v>45474</v>
      </c>
      <c r="O3" s="2370"/>
      <c r="P3" s="2370"/>
      <c r="Q3" s="2370"/>
      <c r="R3" s="2370"/>
      <c r="S3" s="2370"/>
      <c r="T3" s="2370"/>
      <c r="U3" s="2370"/>
      <c r="V3" s="2370"/>
      <c r="W3" s="2370"/>
      <c r="X3" s="2371"/>
      <c r="Y3" s="621"/>
      <c r="Z3" s="2329">
        <f>N3</f>
        <v>45474</v>
      </c>
      <c r="AA3" s="2330"/>
      <c r="AB3" s="2330"/>
      <c r="AC3" s="2330"/>
      <c r="AD3" s="2330"/>
      <c r="AE3" s="2330"/>
      <c r="AF3" s="2330"/>
      <c r="AG3" s="2330"/>
      <c r="AH3" s="2331"/>
      <c r="AJ3" s="650" t="s">
        <v>1871</v>
      </c>
      <c r="AK3" s="663" t="s">
        <v>1872</v>
      </c>
      <c r="AL3" s="664" t="s">
        <v>1873</v>
      </c>
    </row>
    <row r="4" spans="2:39" ht="15.75" customHeight="1">
      <c r="B4" s="2335" t="s">
        <v>1874</v>
      </c>
      <c r="C4" s="2343"/>
      <c r="D4" s="2336"/>
      <c r="E4" s="2343" t="s">
        <v>7</v>
      </c>
      <c r="F4" s="2360"/>
      <c r="G4" s="2352" t="s">
        <v>13</v>
      </c>
      <c r="H4" s="2360"/>
      <c r="I4" s="2352" t="s">
        <v>1875</v>
      </c>
      <c r="J4" s="2343"/>
      <c r="K4" s="2335" t="s">
        <v>114</v>
      </c>
      <c r="L4" s="2336"/>
      <c r="M4" s="622"/>
      <c r="N4" s="2353" t="s">
        <v>1</v>
      </c>
      <c r="O4" s="2360" t="s">
        <v>7</v>
      </c>
      <c r="P4" s="2333"/>
      <c r="Q4" s="2333" t="s">
        <v>13</v>
      </c>
      <c r="R4" s="2333"/>
      <c r="S4" s="2333" t="s">
        <v>1875</v>
      </c>
      <c r="T4" s="2352"/>
      <c r="U4" s="2332" t="s">
        <v>114</v>
      </c>
      <c r="V4" s="2333"/>
      <c r="W4" s="2333" t="s">
        <v>1877</v>
      </c>
      <c r="X4" s="2334"/>
      <c r="Y4" s="622"/>
      <c r="Z4" s="2356" t="s">
        <v>1</v>
      </c>
      <c r="AA4" s="2360" t="s">
        <v>7</v>
      </c>
      <c r="AB4" s="2333"/>
      <c r="AC4" s="2333" t="s">
        <v>13</v>
      </c>
      <c r="AD4" s="2333"/>
      <c r="AE4" s="2333" t="s">
        <v>1875</v>
      </c>
      <c r="AF4" s="2352"/>
      <c r="AG4" s="2332" t="s">
        <v>114</v>
      </c>
      <c r="AH4" s="2334"/>
      <c r="AJ4" s="651">
        <v>45292</v>
      </c>
      <c r="AK4" s="665">
        <v>583</v>
      </c>
      <c r="AL4" s="666">
        <v>55882395</v>
      </c>
    </row>
    <row r="5" spans="2:39" ht="15.75">
      <c r="B5" s="559" t="s">
        <v>1878</v>
      </c>
      <c r="C5" s="560" t="s">
        <v>1879</v>
      </c>
      <c r="D5" s="561" t="s">
        <v>1880</v>
      </c>
      <c r="E5" s="562" t="s">
        <v>1872</v>
      </c>
      <c r="F5" s="563" t="s">
        <v>1881</v>
      </c>
      <c r="G5" s="562" t="s">
        <v>1872</v>
      </c>
      <c r="H5" s="563" t="s">
        <v>1881</v>
      </c>
      <c r="I5" s="562" t="s">
        <v>1872</v>
      </c>
      <c r="J5" s="623" t="s">
        <v>1881</v>
      </c>
      <c r="K5" s="610" t="s">
        <v>1872</v>
      </c>
      <c r="L5" s="624" t="s">
        <v>1881</v>
      </c>
      <c r="M5" s="622"/>
      <c r="N5" s="2354"/>
      <c r="O5" s="562" t="s">
        <v>1872</v>
      </c>
      <c r="P5" s="563" t="s">
        <v>1881</v>
      </c>
      <c r="Q5" s="562" t="s">
        <v>1872</v>
      </c>
      <c r="R5" s="563" t="s">
        <v>1881</v>
      </c>
      <c r="S5" s="562" t="s">
        <v>1872</v>
      </c>
      <c r="T5" s="563" t="s">
        <v>1881</v>
      </c>
      <c r="U5" s="610" t="s">
        <v>1872</v>
      </c>
      <c r="V5" s="563" t="s">
        <v>1881</v>
      </c>
      <c r="W5" s="563" t="s">
        <v>1872</v>
      </c>
      <c r="X5" s="624" t="s">
        <v>1881</v>
      </c>
      <c r="Y5" s="622"/>
      <c r="Z5" s="2357"/>
      <c r="AA5" s="562" t="s">
        <v>1872</v>
      </c>
      <c r="AB5" s="563" t="s">
        <v>1881</v>
      </c>
      <c r="AC5" s="563" t="s">
        <v>1872</v>
      </c>
      <c r="AD5" s="563" t="s">
        <v>1881</v>
      </c>
      <c r="AE5" s="563" t="s">
        <v>1872</v>
      </c>
      <c r="AF5" s="623" t="s">
        <v>1881</v>
      </c>
      <c r="AG5" s="610" t="s">
        <v>1872</v>
      </c>
      <c r="AH5" s="624" t="s">
        <v>1881</v>
      </c>
      <c r="AJ5" s="651">
        <v>45323</v>
      </c>
      <c r="AK5" s="665">
        <v>566</v>
      </c>
      <c r="AL5" s="666">
        <v>55567108</v>
      </c>
    </row>
    <row r="6" spans="2:39" ht="14.25" customHeight="1">
      <c r="B6" s="564" t="s">
        <v>8</v>
      </c>
      <c r="C6" s="565">
        <v>180</v>
      </c>
      <c r="D6" s="566">
        <f>C6/SUM($C$6:$C$9)</f>
        <v>0.41666666666666669</v>
      </c>
      <c r="E6" s="567">
        <f>ROUND($D6*VLOOKUP($B$3,'ИПП 3кв24'!$AJ$4:$AL$16,2,0),0)</f>
        <v>183</v>
      </c>
      <c r="F6" s="568">
        <f>ROUND($D6*VLOOKUP($B$3,'ИПП 3кв24'!$AJ$4:$AL$16,3,0),0)</f>
        <v>19547210</v>
      </c>
      <c r="G6" s="568">
        <f>ROUND($D6*VLOOKUP($B$3,'ИПП 3кв24'!$AJ$20:$AL$32,2,0),0)</f>
        <v>370</v>
      </c>
      <c r="H6" s="568">
        <f>ROUND($D6*VLOOKUP($B$3,'ИПП 3кв24'!$AJ$20:$AL$32,3,0),0)</f>
        <v>38653622</v>
      </c>
      <c r="I6" s="568">
        <f>ROUND($D6*VLOOKUP($B$3,'ИПП 3кв24'!$AJ$36:$AL$48,2,0),0)</f>
        <v>0</v>
      </c>
      <c r="J6" s="625">
        <f>ROUND($D6*VLOOKUP($B$3,'ИПП 3кв24'!$AJ$36:$AL$48,3,0),0)</f>
        <v>0</v>
      </c>
      <c r="K6" s="596">
        <f>E6+G6+I6</f>
        <v>553</v>
      </c>
      <c r="L6" s="626">
        <f>F6+H6+J6</f>
        <v>58200832</v>
      </c>
      <c r="M6" s="609"/>
      <c r="N6" s="627" t="s">
        <v>8</v>
      </c>
      <c r="O6" s="567">
        <f>SUMIFS(РД[S],РД[Дом],$O$4,РД[МОП],$N6,РД[Дата подачи на регистрацию],"&gt;="&amp;$N$3,РД[Дата подачи на регистрацию],"&lt;"&amp;DATE(YEAR($B$3),MONTH($B$3)+1,1),РД[Состояние],"Продажа")-AA6/2</f>
        <v>74.28</v>
      </c>
      <c r="P6" s="568">
        <f>SUMIFS(РД[Стоимость без отделки итог],РД[Дом],$O$4,РД[МОП],$N6,РД[Дата подачи на регистрацию],"&gt;="&amp;$N$3,РД[Дата подачи на регистрацию],"&lt;"&amp;DATE(YEAR($B$3),MONTH($B$3)+1,1),РД[Состояние],"Продажа")-AB6/2</f>
        <v>7667618</v>
      </c>
      <c r="Q6" s="568">
        <f>SUMIFS(РД[S],РД[Дом],$Q$4,РД[МОП],$N6,РД[Дата подачи на регистрацию],"&gt;="&amp;$N$3,РД[Дата подачи на регистрацию],"&lt;"&amp;DATE(YEAR($B$3),MONTH($B$3)+1,1),РД[Состояние],"Продажа")-AC6/2</f>
        <v>440.6</v>
      </c>
      <c r="R6" s="568">
        <f>SUMIFS(РД[Стоимость без отделки итог],РД[Дом],$Q$4,РД[МОП],$N6,РД[Дата подачи на регистрацию],"&gt;="&amp;$N$3,РД[Дата подачи на регистрацию],"&lt;"&amp;DATE(YEAR($B$3),MONTH($B$3)+1,1),РД[Состояние],"Продажа")-AD6/2</f>
        <v>44395894</v>
      </c>
      <c r="S6" s="568">
        <f>SUMIFS(РД[S],РД[Дом],$S$4,РД[МОП],$N6,РД[Дата подачи на регистрацию],"&gt;="&amp;$N$3,РД[Дата подачи на регистрацию],"&lt;"&amp;DATE(YEAR($B$3),MONTH($B$3)+1,1),РД[Состояние],"Продажа")-AE6/2</f>
        <v>0</v>
      </c>
      <c r="T6" s="625">
        <f>SUMIFS(РД[Стоимость без отделки итог],РД[Дом],$S$4,РД[МОП],$N6,РД[Дата подачи на регистрацию],"&gt;="&amp;$N$3,РД[Дата подачи на регистрацию],"&lt;"&amp;DATE(YEAR($B$3),MONTH($B$3)+1,1),РД[Состояние],"Продажа")-AF6/2</f>
        <v>0</v>
      </c>
      <c r="U6" s="594">
        <f t="shared" ref="U6:V9" si="0">O6+Q6+S6</f>
        <v>514.88</v>
      </c>
      <c r="V6" s="568">
        <f t="shared" si="0"/>
        <v>52063512</v>
      </c>
      <c r="W6" s="637">
        <f>IFERROR(U6/K6,"")</f>
        <v>0.9310669077757685</v>
      </c>
      <c r="X6" s="616">
        <f>IFERROR(V6/L6,"")</f>
        <v>0.89454927379732307</v>
      </c>
      <c r="Y6" s="609"/>
      <c r="Z6" s="627" t="s">
        <v>8</v>
      </c>
      <c r="AA6" s="572">
        <f>SUMIFS(РД[S],РД[Дом],$AA$4,РД[МОП],$Z6,РД[Источник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6" s="573">
        <f>SUMIFS(РД[Стоимость без отделки итог],РД[Дом],$AA$4,РД[МОП],$Z6,РД[Источник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6" s="573">
        <f>SUMIFS(РД[S],РД[Дом],$AC$4,РД[МОП],$Z6,РД[Источник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6" s="573">
        <f>SUMIFS(РД[Стоимость без отделки итог],РД[Дом],$AC$4,РД[МОП],$Z6,РД[Источник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6" s="573">
        <f>SUMIFS(РД[S],РД[Дом],$AE$4,РД[МОП],$Z6,РД[Источник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6" s="628">
        <f>SUMIFS(РД[Стоимость без отделки итог],РД[Дом],$AE$4,РД[МОП],$Z6,РД[Источник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6" s="636">
        <f>AA6+AC6+AE6</f>
        <v>0</v>
      </c>
      <c r="AH6" s="652">
        <f>AB6+AD6+AF6</f>
        <v>0</v>
      </c>
      <c r="AJ6" s="651">
        <v>45352</v>
      </c>
      <c r="AK6" s="665">
        <v>684</v>
      </c>
      <c r="AL6" s="666">
        <v>64010263</v>
      </c>
    </row>
    <row r="7" spans="2:39" ht="15.75">
      <c r="B7" s="569" t="s">
        <v>46</v>
      </c>
      <c r="C7" s="570">
        <v>0</v>
      </c>
      <c r="D7" s="571">
        <f>C7/SUM($C$6:$C$9)</f>
        <v>0</v>
      </c>
      <c r="E7" s="572">
        <f>ROUND($D7*VLOOKUP($B$3,'ИПП 3кв24'!$AJ$4:$AL$16,2,0),0)</f>
        <v>0</v>
      </c>
      <c r="F7" s="573">
        <f>ROUND($D7*VLOOKUP($B$3,'ИПП 3кв24'!$AJ$4:$AL$16,3,0),0)</f>
        <v>0</v>
      </c>
      <c r="G7" s="573">
        <f>ROUND($D7*VLOOKUP($B$3,'ИПП 3кв24'!$AJ$20:$AL$32,2,0),0)</f>
        <v>0</v>
      </c>
      <c r="H7" s="573">
        <f>ROUND($D7*VLOOKUP($B$3,'ИПП 3кв24'!$AJ$20:$AL$32,3,0),0)</f>
        <v>0</v>
      </c>
      <c r="I7" s="573">
        <f>ROUND($D7*VLOOKUP($B$3,'ИПП 3кв24'!$AJ$36:$AL$48,2,0),0)</f>
        <v>0</v>
      </c>
      <c r="J7" s="628">
        <f>ROUND($D7*VLOOKUP($B$3,'ИПП 3кв24'!$AJ$36:$AL$48,3,0),0)</f>
        <v>0</v>
      </c>
      <c r="K7" s="596">
        <f>E7+G7+I7</f>
        <v>0</v>
      </c>
      <c r="L7" s="626">
        <f>F7+H7+J7</f>
        <v>0</v>
      </c>
      <c r="M7" s="609"/>
      <c r="N7" s="569" t="s">
        <v>46</v>
      </c>
      <c r="O7" s="606">
        <f>SUMIFS(РД[S],РД[Дом],$O$4,РД[МОП],$N7,РД[Дата подачи на регистрацию],"&gt;="&amp;$N$3,РД[Дата подачи на регистрацию],"&lt;"&amp;DATE(YEAR($B$3),MONTH($B$3)+1,1),РД[Состояние],"Продажа")-AA7/2</f>
        <v>0</v>
      </c>
      <c r="P7" s="597">
        <f>SUMIFS(РД[Стоимость без отделки итог],РД[Дом],$O$4,РД[МОП],$N7,РД[Дата подачи на регистрацию],"&gt;="&amp;$N$3,РД[Дата подачи на регистрацию],"&lt;"&amp;DATE(YEAR($B$3),MONTH($B$3)+1,1),РД[Состояние],"Продажа")-AB7/2</f>
        <v>0</v>
      </c>
      <c r="Q7" s="597">
        <f>SUMIFS(РД[S],РД[Дом],$Q$4,РД[МОП],$N7,РД[Дата подачи на регистрацию],"&gt;="&amp;$N$3,РД[Дата подачи на регистрацию],"&lt;"&amp;DATE(YEAR($B$3),MONTH($B$3)+1,1),РД[Состояние],"Продажа")-AC7/2</f>
        <v>0</v>
      </c>
      <c r="R7" s="597">
        <f>SUMIFS(РД[Стоимость без отделки итог],РД[Дом],$Q$4,РД[МОП],$N7,РД[Дата подачи на регистрацию],"&gt;="&amp;$N$3,РД[Дата подачи на регистрацию],"&lt;"&amp;DATE(YEAR($B$3),MONTH($B$3)+1,1),РД[Состояние],"Продажа")-AD7/2</f>
        <v>0</v>
      </c>
      <c r="S7" s="597">
        <f>SUMIFS(РД[S],РД[Дом],$S$4,РД[МОП],$N7,РД[Дата подачи на регистрацию],"&gt;="&amp;$N$3,РД[Дата подачи на регистрацию],"&lt;"&amp;DATE(YEAR($B$3),MONTH($B$3)+1,1),РД[Состояние],"Продажа")-AE7/2</f>
        <v>0</v>
      </c>
      <c r="T7" s="632">
        <f>SUMIFS(РД[Стоимость без отделки итог],РД[Дом],$S$4,РД[МОП],$N7,РД[Дата подачи на регистрацию],"&gt;="&amp;$N$3,РД[Дата подачи на регистрацию],"&lt;"&amp;DATE(YEAR($B$3),MONTH($B$3)+1,1),РД[Состояние],"Продажа")-AF7/2</f>
        <v>0</v>
      </c>
      <c r="U7" s="596">
        <f t="shared" si="0"/>
        <v>0</v>
      </c>
      <c r="V7" s="597">
        <f t="shared" si="0"/>
        <v>0</v>
      </c>
      <c r="W7" s="638" t="str">
        <f t="shared" ref="W7:W16" si="1">IFERROR(U7/K7,"")</f>
        <v/>
      </c>
      <c r="X7" s="617" t="str">
        <f t="shared" ref="X7:X16" si="2">IFERROR(V7/L7,"")</f>
        <v/>
      </c>
      <c r="Y7" s="609"/>
      <c r="Z7" s="569" t="s">
        <v>46</v>
      </c>
      <c r="AA7" s="606">
        <f>SUMIFS(РД[S],РД[Дом],$AA$4,РД[МОП],$Z7,РД[Источник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7" s="597">
        <f>SUMIFS(РД[Стоимость без отделки итог],РД[Дом],$AA$4,РД[МОП],$Z7,РД[Источник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7" s="597">
        <f>SUMIFS(РД[S],РД[Дом],$AC$4,РД[МОП],$Z7,РД[Источник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7" s="597">
        <f>SUMIFS(РД[Стоимость без отделки итог],РД[Дом],$AC$4,РД[МОП],$Z7,РД[Источник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7" s="597">
        <f>SUMIFS(РД[S],РД[Дом],$AE$4,РД[МОП],$Z7,РД[Источник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7" s="632">
        <f>SUMIFS(РД[Стоимость без отделки итог],РД[Дом],$AE$4,РД[МОП],$Z7,РД[Источник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7" s="596">
        <f>AA7+AC7+AE7</f>
        <v>0</v>
      </c>
      <c r="AH7" s="626">
        <f>AB7+AD7+AF7</f>
        <v>0</v>
      </c>
      <c r="AJ7" s="651">
        <v>45383</v>
      </c>
      <c r="AK7" s="667">
        <v>835.048478260877</v>
      </c>
      <c r="AL7" s="668">
        <v>86322632.2177286</v>
      </c>
      <c r="AM7" s="609"/>
    </row>
    <row r="8" spans="2:39" ht="15.75">
      <c r="B8" s="569" t="s">
        <v>20</v>
      </c>
      <c r="C8" s="574">
        <v>72</v>
      </c>
      <c r="D8" s="575">
        <f>C8/SUM($C$6:$C$9)</f>
        <v>0.16666666666666666</v>
      </c>
      <c r="E8" s="572">
        <f>ROUND($D8*VLOOKUP($B$3,'ИПП 3кв24'!$AJ$4:$AL$16,2,0),0)</f>
        <v>73</v>
      </c>
      <c r="F8" s="573">
        <f>ROUND($D8*VLOOKUP($B$3,'ИПП 3кв24'!$AJ$4:$AL$16,3,0),0)</f>
        <v>7818884</v>
      </c>
      <c r="G8" s="573">
        <f>ROUND($D8*VLOOKUP($B$3,'ИПП 3кв24'!$AJ$20:$AL$32,2,0),0)</f>
        <v>148</v>
      </c>
      <c r="H8" s="573">
        <f>ROUND($D8*VLOOKUP($B$3,'ИПП 3кв24'!$AJ$20:$AL$32,3,0),0)</f>
        <v>15461449</v>
      </c>
      <c r="I8" s="573">
        <f>ROUND($D8*VLOOKUP($B$3,'ИПП 3кв24'!$AJ$36:$AL$48,2,0),0)</f>
        <v>0</v>
      </c>
      <c r="J8" s="628">
        <f>ROUND($D8*VLOOKUP($B$3,'ИПП 3кв24'!$AJ$36:$AL$48,3,0),0)</f>
        <v>0</v>
      </c>
      <c r="K8" s="596">
        <f t="shared" ref="K8:K9" si="3">E8+G8+I8</f>
        <v>221</v>
      </c>
      <c r="L8" s="626">
        <f t="shared" ref="L8:L9" si="4">F8+H8+J8</f>
        <v>23280333</v>
      </c>
      <c r="M8" s="609"/>
      <c r="N8" s="569" t="s">
        <v>20</v>
      </c>
      <c r="O8" s="606">
        <f>SUMIFS(РД[S],РД[Дом],$O$4,РД[МОП],$N8,РД[Дата подачи на регистрацию],"&gt;="&amp;$N$3,РД[Дата подачи на регистрацию],"&lt;"&amp;DATE(YEAR($B$3),MONTH($B$3)+1,1),РД[Состояние],"Продажа")-AA8/2</f>
        <v>63.74</v>
      </c>
      <c r="P8" s="597">
        <f>SUMIFS(РД[Стоимость без отделки итог],РД[Дом],$O$4,РД[МОП],$N8,РД[Дата подачи на регистрацию],"&gt;="&amp;$N$3,РД[Дата подачи на регистрацию],"&lt;"&amp;DATE(YEAR($B$3),MONTH($B$3)+1,1),РД[Состояние],"Продажа")-AB8/2</f>
        <v>6229049</v>
      </c>
      <c r="Q8" s="597">
        <f>SUMIFS(РД[S],РД[Дом],$Q$4,РД[МОП],$N8,РД[Дата подачи на регистрацию],"&gt;="&amp;$N$3,РД[Дата подачи на регистрацию],"&lt;"&amp;DATE(YEAR($B$3),MONTH($B$3)+1,1),РД[Состояние],"Продажа")-AC8/2</f>
        <v>0</v>
      </c>
      <c r="R8" s="597">
        <f>SUMIFS(РД[Стоимость без отделки итог],РД[Дом],$Q$4,РД[МОП],$N8,РД[Дата подачи на регистрацию],"&gt;="&amp;$N$3,РД[Дата подачи на регистрацию],"&lt;"&amp;DATE(YEAR($B$3),MONTH($B$3)+1,1),РД[Состояние],"Продажа")-AD8/2</f>
        <v>0</v>
      </c>
      <c r="S8" s="597">
        <f>SUMIFS(РД[S],РД[Дом],$S$4,РД[МОП],$N8,РД[Дата подачи на регистрацию],"&gt;="&amp;$N$3,РД[Дата подачи на регистрацию],"&lt;"&amp;DATE(YEAR($B$3),MONTH($B$3)+1,1),РД[Состояние],"Продажа")-AE8/2</f>
        <v>0</v>
      </c>
      <c r="T8" s="632">
        <f>SUMIFS(РД[Стоимость без отделки итог],РД[Дом],$S$4,РД[МОП],$N8,РД[Дата подачи на регистрацию],"&gt;="&amp;$N$3,РД[Дата подачи на регистрацию],"&lt;"&amp;DATE(YEAR($B$3),MONTH($B$3)+1,1),РД[Состояние],"Продажа")-AF8/2</f>
        <v>0</v>
      </c>
      <c r="U8" s="596">
        <f t="shared" si="0"/>
        <v>63.74</v>
      </c>
      <c r="V8" s="597">
        <f t="shared" si="0"/>
        <v>6229049</v>
      </c>
      <c r="W8" s="638">
        <f t="shared" si="1"/>
        <v>0.28841628959276017</v>
      </c>
      <c r="X8" s="617">
        <f t="shared" si="2"/>
        <v>0.26756700602177813</v>
      </c>
      <c r="Y8" s="609"/>
      <c r="Z8" s="569" t="s">
        <v>20</v>
      </c>
      <c r="AA8" s="606">
        <f>SUMIFS(РД[S],РД[Дом],$AA$4,РД[МОП],$Z8,РД[Источник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8" s="597">
        <f>SUMIFS(РД[Стоимость без отделки итог],РД[Дом],$AA$4,РД[МОП],$Z8,РД[Источник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8" s="597">
        <f>SUMIFS(РД[S],РД[Дом],$AC$4,РД[МОП],$Z8,РД[Источник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8" s="597">
        <f>SUMIFS(РД[Стоимость без отделки итог],РД[Дом],$AC$4,РД[МОП],$Z8,РД[Источник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8" s="597">
        <f>SUMIFS(РД[S],РД[Дом],$AE$4,РД[МОП],$Z8,РД[Источник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8" s="632">
        <f>SUMIFS(РД[Стоимость без отделки итог],РД[Дом],$AE$4,РД[МОП],$Z8,РД[Источник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8" s="596">
        <f t="shared" ref="AG8:AG10" si="5">AA8+AC8+AE8</f>
        <v>0</v>
      </c>
      <c r="AH8" s="626">
        <f t="shared" ref="AH8:AH10" si="6">AB8+AD8+AF8</f>
        <v>0</v>
      </c>
      <c r="AJ8" s="651">
        <v>45413</v>
      </c>
      <c r="AK8" s="665">
        <v>565.73116666667295</v>
      </c>
      <c r="AL8" s="597">
        <v>58371863</v>
      </c>
    </row>
    <row r="9" spans="2:39" ht="15.75">
      <c r="B9" s="576" t="s">
        <v>14</v>
      </c>
      <c r="C9" s="577">
        <v>180</v>
      </c>
      <c r="D9" s="578">
        <f>C9/SUM($C$6:$C$9)</f>
        <v>0.41666666666666669</v>
      </c>
      <c r="E9" s="579">
        <f>ROUND($D9*VLOOKUP($B$3,'ИПП 3кв24'!$AJ$4:$AL$16,2,0),0)</f>
        <v>183</v>
      </c>
      <c r="F9" s="580">
        <f>ROUND($D9*VLOOKUP($B$3,'ИПП 3кв24'!$AJ$4:$AL$16,3,0),0)</f>
        <v>19547210</v>
      </c>
      <c r="G9" s="580">
        <f>ROUND($D9*VLOOKUP($B$3,'ИПП 3кв24'!$AJ$20:$AL$32,2,0),0)</f>
        <v>370</v>
      </c>
      <c r="H9" s="580">
        <f>ROUND($D9*VLOOKUP($B$3,'ИПП 3кв24'!$AJ$20:$AL$32,3,0),0)</f>
        <v>38653622</v>
      </c>
      <c r="I9" s="573">
        <f>ROUND($D9*VLOOKUP($B$3,'ИПП 3кв24'!$AJ$36:$AL$48,2,0),0)</f>
        <v>0</v>
      </c>
      <c r="J9" s="628">
        <f>ROUND($D9*VLOOKUP($B$3,'ИПП 3кв24'!$AJ$36:$AL$48,3,0),0)</f>
        <v>0</v>
      </c>
      <c r="K9" s="596">
        <f t="shared" si="3"/>
        <v>553</v>
      </c>
      <c r="L9" s="626">
        <f t="shared" si="4"/>
        <v>58200832</v>
      </c>
      <c r="M9" s="609"/>
      <c r="N9" s="576" t="s">
        <v>14</v>
      </c>
      <c r="O9" s="589">
        <f>SUMIFS(РД[S],РД[Дом],$O$4,РД[МОП],$N9,РД[Дата подачи на регистрацию],"&gt;="&amp;$N$3,РД[Дата подачи на регистрацию],"&lt;"&amp;DATE(YEAR($B$3),MONTH($B$3)+1,1),РД[Состояние],"Продажа")-AA9/2</f>
        <v>0</v>
      </c>
      <c r="P9" s="590">
        <f>SUMIFS(РД[Стоимость без отделки итог],РД[Дом],$O$4,РД[МОП],$N9,РД[Дата подачи на регистрацию],"&gt;="&amp;$N$3,РД[Дата подачи на регистрацию],"&lt;"&amp;DATE(YEAR($B$3),MONTH($B$3)+1,1),РД[Состояние],"Продажа")-AB9/2</f>
        <v>0</v>
      </c>
      <c r="Q9" s="590">
        <f>SUMIFS(РД[S],РД[Дом],$Q$4,РД[МОП],$N9,РД[Дата подачи на регистрацию],"&gt;="&amp;$N$3,РД[Дата подачи на регистрацию],"&lt;"&amp;DATE(YEAR($B$3),MONTH($B$3)+1,1),РД[Состояние],"Продажа")-AC9/2</f>
        <v>321.12</v>
      </c>
      <c r="R9" s="590">
        <f>SUMIFS(РД[Стоимость без отделки итог],РД[Дом],$Q$4,РД[МОП],$N9,РД[Дата подачи на регистрацию],"&gt;="&amp;$N$3,РД[Дата подачи на регистрацию],"&lt;"&amp;DATE(YEAR($B$3),MONTH($B$3)+1,1),РД[Состояние],"Продажа")-AD9/2</f>
        <v>32168500</v>
      </c>
      <c r="S9" s="590">
        <f>SUMIFS(РД[S],РД[Дом],$S$4,РД[МОП],$N9,РД[Дата подачи на регистрацию],"&gt;="&amp;$N$3,РД[Дата подачи на регистрацию],"&lt;"&amp;DATE(YEAR($B$3),MONTH($B$3)+1,1),РД[Состояние],"Продажа")-AE9/2</f>
        <v>0</v>
      </c>
      <c r="T9" s="635">
        <f>SUMIFS(РД[Стоимость без отделки итог],РД[Дом],$S$4,РД[МОП],$N9,РД[Дата подачи на регистрацию],"&gt;="&amp;$N$3,РД[Дата подачи на регистрацию],"&lt;"&amp;DATE(YEAR($B$3),MONTH($B$3)+1,1),РД[Состояние],"Продажа")-AF9/2</f>
        <v>0</v>
      </c>
      <c r="U9" s="646">
        <f t="shared" si="0"/>
        <v>321.12</v>
      </c>
      <c r="V9" s="590">
        <f t="shared" si="0"/>
        <v>32168500</v>
      </c>
      <c r="W9" s="639">
        <f t="shared" si="1"/>
        <v>0.58068716094032546</v>
      </c>
      <c r="X9" s="640">
        <f t="shared" si="2"/>
        <v>0.55271546633560154</v>
      </c>
      <c r="Y9" s="609"/>
      <c r="Z9" s="576" t="s">
        <v>14</v>
      </c>
      <c r="AA9" s="589">
        <f>SUMIFS(РД[S],РД[Дом],$AA$4,РД[МОП],$Z9,РД[Источник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9" s="590">
        <f>SUMIFS(РД[Стоимость без отделки итог],РД[Дом],$AA$4,РД[МОП],$Z9,РД[Источник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9" s="590">
        <f>SUMIFS(РД[S],РД[Дом],$AC$4,РД[МОП],$Z9,РД[Источник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9" s="590">
        <f>SUMIFS(РД[Стоимость без отделки итог],РД[Дом],$AC$4,РД[МОП],$Z9,РД[Источник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9" s="590">
        <f>SUMIFS(РД[S],РД[Дом],$AE$4,РД[МОП],$Z9,РД[Источник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9" s="635">
        <f>SUMIFS(РД[Стоимость без отделки итог],РД[Дом],$AE$4,РД[МОП],$Z9,РД[Источник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9" s="646">
        <f t="shared" si="5"/>
        <v>0</v>
      </c>
      <c r="AH9" s="653">
        <f t="shared" si="6"/>
        <v>0</v>
      </c>
      <c r="AJ9" s="651">
        <v>45444</v>
      </c>
      <c r="AK9" s="665">
        <v>509.95600000000502</v>
      </c>
      <c r="AL9" s="666">
        <v>51651922.850242503</v>
      </c>
    </row>
    <row r="10" spans="2:39">
      <c r="B10" s="581" t="s">
        <v>114</v>
      </c>
      <c r="C10" s="582">
        <f t="shared" ref="C10:J10" si="7">SUM(C6:C9)</f>
        <v>432</v>
      </c>
      <c r="D10" s="583">
        <f t="shared" si="7"/>
        <v>1</v>
      </c>
      <c r="E10" s="582">
        <f t="shared" si="7"/>
        <v>439</v>
      </c>
      <c r="F10" s="584">
        <f t="shared" si="7"/>
        <v>46913304</v>
      </c>
      <c r="G10" s="584">
        <f t="shared" si="7"/>
        <v>888</v>
      </c>
      <c r="H10" s="584">
        <f t="shared" si="7"/>
        <v>92768693</v>
      </c>
      <c r="I10" s="584">
        <f t="shared" si="7"/>
        <v>0</v>
      </c>
      <c r="J10" s="629">
        <f t="shared" si="7"/>
        <v>0</v>
      </c>
      <c r="K10" s="612">
        <f t="shared" ref="K10" si="8">E10+G10+I10</f>
        <v>1327</v>
      </c>
      <c r="L10" s="630">
        <f t="shared" ref="L10" si="9">F10+H10+J10</f>
        <v>139681997</v>
      </c>
      <c r="M10" s="631"/>
      <c r="N10" s="581" t="s">
        <v>114</v>
      </c>
      <c r="O10" s="582">
        <f>SUM(O6:O9)</f>
        <v>138.02000000000001</v>
      </c>
      <c r="P10" s="584">
        <f t="shared" ref="P10" si="10">SUM(P6:P9)</f>
        <v>13896667</v>
      </c>
      <c r="Q10" s="584">
        <f t="shared" ref="Q10" si="11">SUM(Q6:Q9)</f>
        <v>761.72</v>
      </c>
      <c r="R10" s="584">
        <f t="shared" ref="R10" si="12">SUM(R6:R9)</f>
        <v>76564394</v>
      </c>
      <c r="S10" s="584">
        <f t="shared" ref="S10" si="13">SUM(S6:S9)</f>
        <v>0</v>
      </c>
      <c r="T10" s="629">
        <f t="shared" ref="T10" si="14">SUM(T6:T9)</f>
        <v>0</v>
      </c>
      <c r="U10" s="612">
        <f t="shared" ref="U10" si="15">SUM(U6:U9)</f>
        <v>899.74</v>
      </c>
      <c r="V10" s="584">
        <f t="shared" ref="V10" si="16">SUM(V6:V9)</f>
        <v>90461061</v>
      </c>
      <c r="W10" s="641">
        <f t="shared" si="1"/>
        <v>0.67802562170308966</v>
      </c>
      <c r="X10" s="583">
        <f t="shared" si="2"/>
        <v>0.64762147551484395</v>
      </c>
      <c r="Y10" s="631"/>
      <c r="Z10" s="642" t="s">
        <v>114</v>
      </c>
      <c r="AA10" s="643">
        <f t="shared" ref="AA10:AF10" si="17">SUM(AA6:AA9)</f>
        <v>0</v>
      </c>
      <c r="AB10" s="644">
        <f t="shared" si="17"/>
        <v>0</v>
      </c>
      <c r="AC10" s="644">
        <f t="shared" si="17"/>
        <v>0</v>
      </c>
      <c r="AD10" s="644">
        <f t="shared" si="17"/>
        <v>0</v>
      </c>
      <c r="AE10" s="644">
        <f t="shared" si="17"/>
        <v>0</v>
      </c>
      <c r="AF10" s="654">
        <f t="shared" si="17"/>
        <v>0</v>
      </c>
      <c r="AG10" s="655">
        <f t="shared" si="5"/>
        <v>0</v>
      </c>
      <c r="AH10" s="656">
        <f t="shared" si="6"/>
        <v>0</v>
      </c>
      <c r="AJ10" s="651">
        <v>45474</v>
      </c>
      <c r="AK10" s="665">
        <v>439</v>
      </c>
      <c r="AL10" s="666">
        <v>46913303</v>
      </c>
    </row>
    <row r="11" spans="2:39" ht="16.5" customHeight="1">
      <c r="B11" s="2350" t="s">
        <v>1882</v>
      </c>
      <c r="C11" s="2351"/>
      <c r="D11" s="2364"/>
      <c r="E11" s="2351" t="s">
        <v>7</v>
      </c>
      <c r="F11" s="2365"/>
      <c r="G11" s="2366" t="s">
        <v>13</v>
      </c>
      <c r="H11" s="2365"/>
      <c r="I11" s="2366" t="s">
        <v>1875</v>
      </c>
      <c r="J11" s="2351"/>
      <c r="K11" s="2335" t="s">
        <v>114</v>
      </c>
      <c r="L11" s="2336"/>
      <c r="M11" s="622"/>
      <c r="N11" s="2353" t="s">
        <v>3</v>
      </c>
      <c r="O11" s="2360" t="s">
        <v>7</v>
      </c>
      <c r="P11" s="2333"/>
      <c r="Q11" s="2333" t="s">
        <v>13</v>
      </c>
      <c r="R11" s="2333"/>
      <c r="S11" s="2333" t="s">
        <v>1875</v>
      </c>
      <c r="T11" s="2352"/>
      <c r="U11" s="2332" t="s">
        <v>114</v>
      </c>
      <c r="V11" s="2333"/>
      <c r="W11" s="2333" t="s">
        <v>1877</v>
      </c>
      <c r="X11" s="2334"/>
      <c r="Y11" s="622"/>
      <c r="Z11" s="2356" t="s">
        <v>3</v>
      </c>
      <c r="AA11" s="2360" t="s">
        <v>7</v>
      </c>
      <c r="AB11" s="2333"/>
      <c r="AC11" s="2333" t="s">
        <v>13</v>
      </c>
      <c r="AD11" s="2333"/>
      <c r="AE11" s="2333" t="s">
        <v>1875</v>
      </c>
      <c r="AF11" s="2352"/>
      <c r="AG11" s="2332" t="s">
        <v>114</v>
      </c>
      <c r="AH11" s="2334"/>
      <c r="AJ11" s="651">
        <v>45505</v>
      </c>
      <c r="AK11" s="665">
        <v>438.48305555556402</v>
      </c>
      <c r="AL11" s="666">
        <v>16067259</v>
      </c>
    </row>
    <row r="12" spans="2:39" ht="15.75">
      <c r="B12" s="585" t="s">
        <v>1878</v>
      </c>
      <c r="C12" s="586" t="s">
        <v>1879</v>
      </c>
      <c r="D12" s="587" t="s">
        <v>1880</v>
      </c>
      <c r="E12" s="562" t="s">
        <v>1872</v>
      </c>
      <c r="F12" s="563" t="s">
        <v>1881</v>
      </c>
      <c r="G12" s="562" t="s">
        <v>1872</v>
      </c>
      <c r="H12" s="563" t="s">
        <v>1881</v>
      </c>
      <c r="I12" s="562" t="s">
        <v>1872</v>
      </c>
      <c r="J12" s="623" t="s">
        <v>1881</v>
      </c>
      <c r="K12" s="610" t="s">
        <v>1872</v>
      </c>
      <c r="L12" s="624" t="s">
        <v>1881</v>
      </c>
      <c r="M12" s="622"/>
      <c r="N12" s="2354"/>
      <c r="O12" s="562" t="s">
        <v>1872</v>
      </c>
      <c r="P12" s="563" t="s">
        <v>1881</v>
      </c>
      <c r="Q12" s="562" t="s">
        <v>1872</v>
      </c>
      <c r="R12" s="563" t="s">
        <v>1881</v>
      </c>
      <c r="S12" s="562" t="s">
        <v>1872</v>
      </c>
      <c r="T12" s="563" t="s">
        <v>1881</v>
      </c>
      <c r="U12" s="610" t="s">
        <v>1872</v>
      </c>
      <c r="V12" s="563" t="s">
        <v>1881</v>
      </c>
      <c r="W12" s="563" t="s">
        <v>1872</v>
      </c>
      <c r="X12" s="624" t="s">
        <v>1881</v>
      </c>
      <c r="Y12" s="622"/>
      <c r="Z12" s="2357"/>
      <c r="AA12" s="562" t="s">
        <v>1872</v>
      </c>
      <c r="AB12" s="563" t="s">
        <v>1881</v>
      </c>
      <c r="AC12" s="563" t="s">
        <v>1872</v>
      </c>
      <c r="AD12" s="563" t="s">
        <v>1881</v>
      </c>
      <c r="AE12" s="563" t="s">
        <v>1872</v>
      </c>
      <c r="AF12" s="623" t="s">
        <v>1881</v>
      </c>
      <c r="AG12" s="610" t="s">
        <v>1872</v>
      </c>
      <c r="AH12" s="624" t="s">
        <v>1881</v>
      </c>
      <c r="AJ12" s="651">
        <v>45536</v>
      </c>
      <c r="AK12" s="665">
        <v>0</v>
      </c>
      <c r="AL12" s="666">
        <v>0</v>
      </c>
    </row>
    <row r="13" spans="2:39" ht="15.75">
      <c r="B13" s="564" t="s">
        <v>1892</v>
      </c>
      <c r="C13" s="570">
        <v>180</v>
      </c>
      <c r="D13" s="588">
        <f>C13/SUM($C$13:$C$15)</f>
        <v>0.45454545454545453</v>
      </c>
      <c r="E13" s="572">
        <f>$D13*($E$10*85%)</f>
        <v>169.61363636363635</v>
      </c>
      <c r="F13" s="573">
        <f>$D13*($F$10*85%)</f>
        <v>18125594.727272727</v>
      </c>
      <c r="G13" s="573">
        <f>$D13*($G$10*85%)</f>
        <v>343.09090909090907</v>
      </c>
      <c r="H13" s="573">
        <f>$D13*($H$10*85%)</f>
        <v>35842449.568181813</v>
      </c>
      <c r="I13" s="573">
        <f>$D13*($I$10*85%)</f>
        <v>0</v>
      </c>
      <c r="J13" s="628">
        <f>$D13*($J$10*85%)</f>
        <v>0</v>
      </c>
      <c r="K13" s="636">
        <f>E13+G13+I13</f>
        <v>512.70454545454538</v>
      </c>
      <c r="L13" s="661">
        <f>F13+H13+J13</f>
        <v>53968044.295454539</v>
      </c>
      <c r="M13" s="609"/>
      <c r="N13" s="627" t="s">
        <v>1892</v>
      </c>
      <c r="O13" s="572">
        <f>SUMIFS(РД[S],РД[Дом],$O$4,РД[ИМ],$N13,РД[Дата подачи на регистрацию],"&gt;="&amp;$N$3,РД[Дата подачи на регистрацию],"&lt;"&amp;DATE(YEAR($B$3),MONTH($B$3)+1,1),РД[Состояние],"Продажа")-AA13/2</f>
        <v>0</v>
      </c>
      <c r="P13" s="573">
        <f>SUMIFS(РД[Стоимость без отделки итог],РД[Дом],$O$4,РД[ИМ],$N13,РД[Дата подачи на регистрацию],"&gt;="&amp;$N$3,РД[Дата подачи на регистрацию],"&lt;"&amp;DATE(YEAR($B$3),MONTH($B$3)+1,1),РД[Состояние],"Продажа")-AB13/2</f>
        <v>0</v>
      </c>
      <c r="Q13" s="573">
        <f>SUMIFS(РД[S],РД[Дом],$Q$4,РД[ИМ],$N13,РД[Дата подачи на регистрацию],"&gt;="&amp;$N$3,РД[Дата подачи на регистрацию],"&lt;"&amp;DATE(YEAR($B$3),MONTH($B$3)+1,1),РД[Состояние],"Продажа")-AC13/2</f>
        <v>437.53999999999996</v>
      </c>
      <c r="R13" s="573">
        <f>SUMIFS(РД[Стоимость без отделки итог],РД[Дом],$Q$4,РД[ИМ],$N13,РД[Дата подачи на регистрацию],"&gt;="&amp;$N$3,РД[Дата подачи на регистрацию],"&lt;"&amp;DATE(YEAR($B$3),MONTH($B$3)+1,1),РД[Состояние],"Продажа")-AD13/2</f>
        <v>44298106</v>
      </c>
      <c r="S13" s="573">
        <f>SUMIFS(РД[S],РД[Дом],$S$4,РД[ИМ],$N13,РД[Дата подачи на регистрацию],"&gt;="&amp;$N$3,РД[Дата подачи на регистрацию],"&lt;"&amp;DATE(YEAR($B$3),MONTH($B$3)+1,1),РД[Состояние],"Продажа")-AE13/2</f>
        <v>0</v>
      </c>
      <c r="T13" s="628">
        <f>SUMIFS(РД[Стоимость без отделки итог],РД[Дом],$S$4,РД[ИМ],$N13,РД[Дата подачи на регистрацию],"&gt;="&amp;$N$3,РД[Дата подачи на регистрацию],"&lt;"&amp;DATE(YEAR($B$3),MONTH($B$3)+1,1),РД[Состояние],"Продажа")-AF13/2</f>
        <v>0</v>
      </c>
      <c r="U13" s="636">
        <f t="shared" ref="U13:V15" si="18">O13+Q13+S13</f>
        <v>437.53999999999996</v>
      </c>
      <c r="V13" s="573">
        <f t="shared" si="18"/>
        <v>44298106</v>
      </c>
      <c r="W13" s="645">
        <f t="shared" si="1"/>
        <v>0.85339598386453308</v>
      </c>
      <c r="X13" s="588">
        <f t="shared" si="2"/>
        <v>0.8208210354535862</v>
      </c>
      <c r="Y13" s="609"/>
      <c r="Z13" s="627" t="s">
        <v>1892</v>
      </c>
      <c r="AA13" s="572">
        <f>SUMIFS(РД[S],РД[Дом],$AA$4,РД[ИМ],$Z13,РД[Источник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13" s="573">
        <f>SUMIFS(РД[Стоимость без отделки итог],РД[Дом],$AA$4,РД[ИМ],$Z13,РД[Источник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13" s="573">
        <f>SUMIFS(РД[S],РД[Дом],$AC$4,РД[ИМ],$Z13,РД[Источник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13" s="573">
        <f>SUMIFS(РД[Стоимость без отделки итог],РД[Дом],$AC$4,РД[ИМ],$Z13,РД[Источник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13" s="573">
        <f>SUMIFS(РД[S],РД[Дом],$AE$4,РД[ИМ],$Z13,РД[Источник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13" s="628">
        <f>SUMIFS(РД[Стоимость без отделки итог],РД[Дом],$AE$4,РД[ИМ],$Z13,РД[Источник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13" s="636">
        <f>AA13+AC13+AE13</f>
        <v>0</v>
      </c>
      <c r="AH13" s="652">
        <f>AB13+AD13+AF13</f>
        <v>0</v>
      </c>
      <c r="AJ13" s="651">
        <v>45566</v>
      </c>
      <c r="AK13" s="665">
        <v>108.443611111113</v>
      </c>
      <c r="AL13" s="666">
        <v>12268822.8334444</v>
      </c>
    </row>
    <row r="14" spans="2:39" ht="15.75">
      <c r="B14" s="569" t="s">
        <v>22</v>
      </c>
      <c r="C14" s="570">
        <v>180</v>
      </c>
      <c r="D14" s="588">
        <f>C14/SUM($C$13:$C$15)</f>
        <v>0.45454545454545453</v>
      </c>
      <c r="E14" s="572">
        <f>$D14*($E$10*85%)</f>
        <v>169.61363636363635</v>
      </c>
      <c r="F14" s="573">
        <f>$D14*($F$10*85%)</f>
        <v>18125594.727272727</v>
      </c>
      <c r="G14" s="573">
        <f>$D14*($G$10*85%)</f>
        <v>343.09090909090907</v>
      </c>
      <c r="H14" s="573">
        <f>$D14*($H$10*85%)</f>
        <v>35842449.568181813</v>
      </c>
      <c r="I14" s="573">
        <f>$D14*($I$10*85%)</f>
        <v>0</v>
      </c>
      <c r="J14" s="628">
        <f>$D14*($J$10*85%)</f>
        <v>0</v>
      </c>
      <c r="K14" s="636">
        <f t="shared" ref="K14:K15" si="19">E14+G14+I14</f>
        <v>512.70454545454538</v>
      </c>
      <c r="L14" s="652">
        <f t="shared" ref="L14:L15" si="20">F14+H14+J14</f>
        <v>53968044.295454539</v>
      </c>
      <c r="M14" s="609"/>
      <c r="N14" s="569" t="s">
        <v>22</v>
      </c>
      <c r="O14" s="606">
        <f>SUMIFS(РД[S],РД[Дом],$O$4,РД[ИМ],$N14,РД[Дата подачи на регистрацию],"&gt;="&amp;$N$3,РД[Дата подачи на регистрацию],"&lt;"&amp;DATE(YEAR($B$3),MONTH($B$3)+1,1),РД[Состояние],"Продажа")-AA14/2</f>
        <v>138.02000000000001</v>
      </c>
      <c r="P14" s="597">
        <f>SUMIFS(РД[Стоимость без отделки итог],РД[Дом],$O$4,РД[ИМ],$N14,РД[Дата подачи на регистрацию],"&gt;="&amp;$N$3,РД[Дата подачи на регистрацию],"&lt;"&amp;DATE(YEAR($B$3),MONTH($B$3)+1,1),РД[Состояние],"Продажа")-AB14/2</f>
        <v>13896667</v>
      </c>
      <c r="Q14" s="597">
        <f>SUMIFS(РД[S],РД[Дом],$Q$4,РД[ИМ],$N14,РД[Дата подачи на регистрацию],"&gt;="&amp;$N$3,РД[Дата подачи на регистрацию],"&lt;"&amp;DATE(YEAR($B$3),MONTH($B$3)+1,1),РД[Состояние],"Продажа")-AC14/2</f>
        <v>299.89999999999998</v>
      </c>
      <c r="R14" s="597">
        <f>SUMIFS(РД[Стоимость без отделки итог],РД[Дом],$Q$4,РД[ИМ],$N14,РД[Дата подачи на регистрацию],"&gt;="&amp;$N$3,РД[Дата подачи на регистрацию],"&lt;"&amp;DATE(YEAR($B$3),MONTH($B$3)+1,1),РД[Состояние],"Продажа")-AD14/2</f>
        <v>29321562</v>
      </c>
      <c r="S14" s="597">
        <f>SUMIFS(РД[S],РД[Дом],$S$4,РД[ИМ],$N14,РД[Дата подачи на регистрацию],"&gt;="&amp;$N$3,РД[Дата подачи на регистрацию],"&lt;"&amp;DATE(YEAR($B$3),MONTH($B$3)+1,1),РД[Состояние],"Продажа")-AE14/2</f>
        <v>0</v>
      </c>
      <c r="T14" s="632">
        <f>SUMIFS(РД[Стоимость без отделки итог],РД[Дом],$S$4,РД[ИМ],$N14,РД[Дата подачи на регистрацию],"&gt;="&amp;$N$3,РД[Дата подачи на регистрацию],"&lt;"&amp;DATE(YEAR($B$3),MONTH($B$3)+1,1),РД[Состояние],"Продажа")-AF14/2</f>
        <v>0</v>
      </c>
      <c r="U14" s="596">
        <f t="shared" si="18"/>
        <v>437.91999999999996</v>
      </c>
      <c r="V14" s="597">
        <f t="shared" si="18"/>
        <v>43218229</v>
      </c>
      <c r="W14" s="638">
        <f t="shared" si="1"/>
        <v>0.8541371514694801</v>
      </c>
      <c r="X14" s="617">
        <f t="shared" si="2"/>
        <v>0.80081147212592352</v>
      </c>
      <c r="Y14" s="609"/>
      <c r="Z14" s="569" t="s">
        <v>22</v>
      </c>
      <c r="AA14" s="606">
        <f>SUMIFS(РД[S],РД[Дом],$AA$4,РД[ИМ],$Z14,РД[Источник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14" s="597">
        <f>SUMIFS(РД[Стоимость без отделки итог],РД[Дом],$AA$4,РД[ИМ],$Z14,РД[Источник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14" s="597">
        <f>SUMIFS(РД[S],РД[Дом],$AC$4,РД[ИМ],$Z14,РД[Источник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14" s="597">
        <f>SUMIFS(РД[Стоимость без отделки итог],РД[Дом],$AC$4,РД[ИМ],$Z14,РД[Источник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14" s="597">
        <f>SUMIFS(РД[S],РД[Дом],$AE$4,РД[ИМ],$Z14,РД[Источник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14" s="632">
        <f>SUMIFS(РД[Стоимость без отделки итог],РД[Дом],$AE$4,РД[ИМ],$Z14,РД[Источник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14" s="596">
        <f t="shared" ref="AG14:AG15" si="21">AA14+AC14+AE14</f>
        <v>0</v>
      </c>
      <c r="AH14" s="626">
        <f t="shared" ref="AH14:AH15" si="22">AB14+AD14+AF14</f>
        <v>0</v>
      </c>
      <c r="AJ14" s="651">
        <v>45597</v>
      </c>
      <c r="AK14" s="665">
        <v>245.99972222222701</v>
      </c>
      <c r="AL14" s="666">
        <v>26626656.1668888</v>
      </c>
    </row>
    <row r="15" spans="2:39" ht="15.75">
      <c r="B15" s="576" t="s">
        <v>16</v>
      </c>
      <c r="C15" s="577">
        <v>36</v>
      </c>
      <c r="D15" s="588">
        <f>C15/SUM($C$13:$C$15)</f>
        <v>9.0909090909090912E-2</v>
      </c>
      <c r="E15" s="589">
        <f>$D15*($E$10*85%)</f>
        <v>33.922727272727272</v>
      </c>
      <c r="F15" s="590">
        <f>$D15*($F$10*85%)</f>
        <v>3625118.9454545453</v>
      </c>
      <c r="G15" s="590">
        <f>$D15*($G$10*85%)</f>
        <v>68.61818181818181</v>
      </c>
      <c r="H15" s="590">
        <f>$D15*($H$10*85%)</f>
        <v>7168489.9136363631</v>
      </c>
      <c r="I15" s="573">
        <f>$D15*($I$10*85%)</f>
        <v>0</v>
      </c>
      <c r="J15" s="628">
        <f>$D15*($J$10*85%)</f>
        <v>0</v>
      </c>
      <c r="K15" s="646">
        <f t="shared" si="19"/>
        <v>102.54090909090908</v>
      </c>
      <c r="L15" s="653">
        <f t="shared" si="20"/>
        <v>10793608.859090909</v>
      </c>
      <c r="M15" s="609"/>
      <c r="N15" s="576" t="s">
        <v>16</v>
      </c>
      <c r="O15" s="589">
        <f>SUMIFS(РД[S],РД[Дом],$O$4,РД[ИМ],$N15,РД[Дата подачи на регистрацию],"&gt;="&amp;$N$3,РД[Дата подачи на регистрацию],"&lt;"&amp;DATE(YEAR($B$3),MONTH($B$3)+1,1),РД[Состояние],"Продажа")-AA15/2</f>
        <v>0</v>
      </c>
      <c r="P15" s="590">
        <f>SUMIFS(РД[Стоимость без отделки итог],РД[Дом],$O$4,РД[ИМ],$N15,РД[Дата подачи на регистрацию],"&gt;="&amp;$N$3,РД[Дата подачи на регистрацию],"&lt;"&amp;DATE(YEAR($B$3),MONTH($B$3)+1,1),РД[Состояние],"Продажа")-AB15/2</f>
        <v>0</v>
      </c>
      <c r="Q15" s="590">
        <f>SUMIFS(РД[S],РД[Дом],$Q$4,РД[ИМ],$N15,РД[Дата подачи на регистрацию],"&gt;="&amp;$N$3,РД[Дата подачи на регистрацию],"&lt;"&amp;DATE(YEAR($B$3),MONTH($B$3)+1,1),РД[Состояние],"Продажа")-AC15/2</f>
        <v>0</v>
      </c>
      <c r="R15" s="590">
        <f>SUMIFS(РД[Стоимость без отделки итог],РД[Дом],$Q$4,РД[ИМ],$N15,РД[Дата подачи на регистрацию],"&gt;="&amp;$N$3,РД[Дата подачи на регистрацию],"&lt;"&amp;DATE(YEAR($B$3),MONTH($B$3)+1,1),РД[Состояние],"Продажа")-AD15/2</f>
        <v>0</v>
      </c>
      <c r="S15" s="590">
        <f>SUMIFS(РД[S],РД[Дом],$S$4,РД[ИМ],$N15,РД[Дата подачи на регистрацию],"&gt;="&amp;$N$3,РД[Дата подачи на регистрацию],"&lt;"&amp;DATE(YEAR($B$3),MONTH($B$3)+1,1),РД[Состояние],"Продажа")-AE15/2</f>
        <v>0</v>
      </c>
      <c r="T15" s="635">
        <f>SUMIFS(РД[Стоимость без отделки итог],РД[Дом],$S$4,РД[ИМ],$N15,РД[Дата подачи на регистрацию],"&gt;="&amp;$N$3,РД[Дата подачи на регистрацию],"&lt;"&amp;DATE(YEAR($B$3),MONTH($B$3)+1,1),РД[Состояние],"Продажа")-AF15/2</f>
        <v>0</v>
      </c>
      <c r="U15" s="646">
        <f t="shared" si="18"/>
        <v>0</v>
      </c>
      <c r="V15" s="590">
        <f t="shared" si="18"/>
        <v>0</v>
      </c>
      <c r="W15" s="639">
        <f t="shared" si="1"/>
        <v>0</v>
      </c>
      <c r="X15" s="640">
        <f t="shared" si="2"/>
        <v>0</v>
      </c>
      <c r="Y15" s="609"/>
      <c r="Z15" s="618" t="s">
        <v>16</v>
      </c>
      <c r="AA15" s="607">
        <f>SUMIFS(РД[S],РД[Дом],$AA$4,РД[ИМ],$Z15,РД[Источник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B15" s="602">
        <f>SUMIFS(РД[Стоимость без отделки итог],РД[Дом],$AA$4,РД[ИМ],$Z15,РД[Источник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C15" s="602">
        <f>SUMIFS(РД[S],РД[Дом],$AC$4,РД[ИМ],$Z15,РД[Источник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D15" s="602">
        <f>SUMIFS(РД[Стоимость без отделки итог],РД[Дом],$AC$4,РД[ИМ],$Z15,РД[Источник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E15" s="602">
        <f>SUMIFS(РД[S],РД[Дом],$AE$4,РД[ИМ],$Z15,РД[Источник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F15" s="633">
        <f>SUMIFS(РД[Стоимость без отделки итог],РД[Дом],$AE$4,РД[ИМ],$Z15,РД[Источник обращения],"Агент*",РД[Дата подачи на регистрацию],"&gt;="&amp;$Z$3,РД[Дата подачи на регистрацию],"&lt;"&amp;DATE(YEAR($B$3),MONTH($B$3)+1,1),РД[Состояние],"Продажа")</f>
        <v>0</v>
      </c>
      <c r="AG15" s="601">
        <f t="shared" si="21"/>
        <v>0</v>
      </c>
      <c r="AH15" s="658">
        <f t="shared" si="22"/>
        <v>0</v>
      </c>
      <c r="AJ15" s="651">
        <v>45627</v>
      </c>
      <c r="AK15" s="665">
        <v>108.443611111113</v>
      </c>
      <c r="AL15" s="666">
        <v>12268822.8334444</v>
      </c>
    </row>
    <row r="16" spans="2:39">
      <c r="B16" s="581" t="s">
        <v>114</v>
      </c>
      <c r="C16" s="582">
        <f>SUM(C13:C15)</f>
        <v>396</v>
      </c>
      <c r="D16" s="583">
        <f t="shared" ref="D16:L16" si="23">SUM(D13:D15)</f>
        <v>1</v>
      </c>
      <c r="E16" s="582">
        <f t="shared" si="23"/>
        <v>373.15</v>
      </c>
      <c r="F16" s="584">
        <f t="shared" si="23"/>
        <v>39876308.399999999</v>
      </c>
      <c r="G16" s="584">
        <f t="shared" si="23"/>
        <v>754.8</v>
      </c>
      <c r="H16" s="584">
        <f t="shared" si="23"/>
        <v>78853389.049999982</v>
      </c>
      <c r="I16" s="584">
        <f>$D16*($I$10*85%)</f>
        <v>0</v>
      </c>
      <c r="J16" s="629">
        <f>$D16*($J$10*85%)</f>
        <v>0</v>
      </c>
      <c r="K16" s="612">
        <f t="shared" si="23"/>
        <v>1127.9499999999998</v>
      </c>
      <c r="L16" s="630">
        <f t="shared" si="23"/>
        <v>118729697.44999999</v>
      </c>
      <c r="M16" s="631"/>
      <c r="N16" s="581" t="s">
        <v>114</v>
      </c>
      <c r="O16" s="582">
        <f>SUM(O13:O15)</f>
        <v>138.02000000000001</v>
      </c>
      <c r="P16" s="584">
        <f t="shared" ref="P16" si="24">SUM(P13:P15)</f>
        <v>13896667</v>
      </c>
      <c r="Q16" s="584">
        <f t="shared" ref="Q16" si="25">SUM(Q13:Q15)</f>
        <v>737.43999999999994</v>
      </c>
      <c r="R16" s="584">
        <f t="shared" ref="R16" si="26">SUM(R13:R15)</f>
        <v>73619668</v>
      </c>
      <c r="S16" s="584">
        <f t="shared" ref="S16" si="27">SUM(S13:S15)</f>
        <v>0</v>
      </c>
      <c r="T16" s="629">
        <f t="shared" ref="T16" si="28">SUM(T13:T15)</f>
        <v>0</v>
      </c>
      <c r="U16" s="612">
        <f t="shared" ref="U16" si="29">SUM(U13:U15)</f>
        <v>875.45999999999992</v>
      </c>
      <c r="V16" s="584">
        <f t="shared" ref="V16" si="30">SUM(V13:V15)</f>
        <v>87516335</v>
      </c>
      <c r="W16" s="641">
        <f t="shared" si="1"/>
        <v>0.77615142515182411</v>
      </c>
      <c r="X16" s="583">
        <f t="shared" si="2"/>
        <v>0.73710568526341347</v>
      </c>
      <c r="Y16" s="631"/>
      <c r="Z16" s="620" t="s">
        <v>114</v>
      </c>
      <c r="AA16" s="603">
        <f t="shared" ref="AA16:AF16" si="31">SUM(AA13:AA15)</f>
        <v>0</v>
      </c>
      <c r="AB16" s="605">
        <f t="shared" si="31"/>
        <v>0</v>
      </c>
      <c r="AC16" s="605">
        <f t="shared" si="31"/>
        <v>0</v>
      </c>
      <c r="AD16" s="605">
        <f t="shared" si="31"/>
        <v>0</v>
      </c>
      <c r="AE16" s="605">
        <f t="shared" si="31"/>
        <v>0</v>
      </c>
      <c r="AF16" s="634">
        <f t="shared" si="31"/>
        <v>0</v>
      </c>
      <c r="AG16" s="648">
        <f t="shared" ref="AG16:AH16" si="32">SUM(AG13:AG15)</f>
        <v>0</v>
      </c>
      <c r="AH16" s="659">
        <f t="shared" si="32"/>
        <v>0</v>
      </c>
      <c r="AJ16" s="660" t="s">
        <v>1896</v>
      </c>
      <c r="AK16" s="671">
        <v>4362</v>
      </c>
      <c r="AL16" s="671">
        <v>449346240</v>
      </c>
    </row>
    <row r="18" spans="2:38">
      <c r="AJ18" s="2346" t="s">
        <v>13</v>
      </c>
      <c r="AK18" s="2346"/>
      <c r="AL18" s="2346"/>
    </row>
    <row r="19" spans="2:38" ht="15.75">
      <c r="B19" s="2329">
        <v>45505</v>
      </c>
      <c r="C19" s="2330"/>
      <c r="D19" s="2330"/>
      <c r="E19" s="2330"/>
      <c r="F19" s="2330"/>
      <c r="G19" s="2330"/>
      <c r="H19" s="2330"/>
      <c r="I19" s="2330"/>
      <c r="J19" s="2330"/>
      <c r="K19" s="2330"/>
      <c r="L19" s="2331"/>
      <c r="M19" s="621"/>
      <c r="N19" s="2361">
        <f>B19</f>
        <v>45505</v>
      </c>
      <c r="O19" s="2362"/>
      <c r="P19" s="2362"/>
      <c r="Q19" s="2362"/>
      <c r="R19" s="2362"/>
      <c r="S19" s="2362"/>
      <c r="T19" s="2362"/>
      <c r="U19" s="2362"/>
      <c r="V19" s="2362"/>
      <c r="W19" s="2362"/>
      <c r="X19" s="2363"/>
      <c r="Y19" s="621"/>
      <c r="Z19" s="2329">
        <f>N19</f>
        <v>45505</v>
      </c>
      <c r="AA19" s="2330"/>
      <c r="AB19" s="2330"/>
      <c r="AC19" s="2330"/>
      <c r="AD19" s="2330"/>
      <c r="AE19" s="2330"/>
      <c r="AF19" s="2330"/>
      <c r="AG19" s="2330"/>
      <c r="AH19" s="2331"/>
      <c r="AJ19" s="650" t="s">
        <v>1871</v>
      </c>
      <c r="AK19" s="663" t="s">
        <v>1872</v>
      </c>
      <c r="AL19" s="664" t="s">
        <v>1873</v>
      </c>
    </row>
    <row r="20" spans="2:38" ht="15.75" customHeight="1">
      <c r="B20" s="2335" t="s">
        <v>1874</v>
      </c>
      <c r="C20" s="2343"/>
      <c r="D20" s="2336"/>
      <c r="E20" s="2343" t="s">
        <v>7</v>
      </c>
      <c r="F20" s="2360"/>
      <c r="G20" s="2352" t="s">
        <v>13</v>
      </c>
      <c r="H20" s="2360"/>
      <c r="I20" s="2352" t="s">
        <v>1875</v>
      </c>
      <c r="J20" s="2343"/>
      <c r="K20" s="2335" t="s">
        <v>114</v>
      </c>
      <c r="L20" s="2336"/>
      <c r="M20" s="622"/>
      <c r="N20" s="2353" t="s">
        <v>1</v>
      </c>
      <c r="O20" s="2360" t="s">
        <v>7</v>
      </c>
      <c r="P20" s="2333"/>
      <c r="Q20" s="2333" t="s">
        <v>13</v>
      </c>
      <c r="R20" s="2333"/>
      <c r="S20" s="2333" t="s">
        <v>1875</v>
      </c>
      <c r="T20" s="2352"/>
      <c r="U20" s="2332" t="s">
        <v>114</v>
      </c>
      <c r="V20" s="2333"/>
      <c r="W20" s="2333" t="s">
        <v>1877</v>
      </c>
      <c r="X20" s="2334"/>
      <c r="Y20" s="622"/>
      <c r="Z20" s="2353" t="s">
        <v>1</v>
      </c>
      <c r="AA20" s="2352" t="s">
        <v>7</v>
      </c>
      <c r="AB20" s="2360"/>
      <c r="AC20" s="2352" t="s">
        <v>13</v>
      </c>
      <c r="AD20" s="2360"/>
      <c r="AE20" s="2352" t="s">
        <v>1875</v>
      </c>
      <c r="AF20" s="2336"/>
      <c r="AG20" s="2335" t="s">
        <v>114</v>
      </c>
      <c r="AH20" s="2336"/>
      <c r="AJ20" s="651">
        <v>45292</v>
      </c>
      <c r="AK20" s="672">
        <v>739</v>
      </c>
      <c r="AL20" s="666">
        <v>69416934</v>
      </c>
    </row>
    <row r="21" spans="2:38" ht="15.75">
      <c r="B21" s="559" t="s">
        <v>1878</v>
      </c>
      <c r="C21" s="591" t="s">
        <v>1879</v>
      </c>
      <c r="D21" s="592" t="s">
        <v>1880</v>
      </c>
      <c r="E21" s="562" t="s">
        <v>1872</v>
      </c>
      <c r="F21" s="563" t="s">
        <v>1881</v>
      </c>
      <c r="G21" s="562" t="s">
        <v>1872</v>
      </c>
      <c r="H21" s="563" t="s">
        <v>1881</v>
      </c>
      <c r="I21" s="562" t="s">
        <v>1872</v>
      </c>
      <c r="J21" s="623" t="s">
        <v>1881</v>
      </c>
      <c r="K21" s="610" t="s">
        <v>1872</v>
      </c>
      <c r="L21" s="624" t="s">
        <v>1881</v>
      </c>
      <c r="M21" s="622"/>
      <c r="N21" s="2354"/>
      <c r="O21" s="562" t="s">
        <v>1872</v>
      </c>
      <c r="P21" s="563" t="s">
        <v>1881</v>
      </c>
      <c r="Q21" s="562" t="s">
        <v>1872</v>
      </c>
      <c r="R21" s="563" t="s">
        <v>1881</v>
      </c>
      <c r="S21" s="562" t="s">
        <v>1872</v>
      </c>
      <c r="T21" s="563" t="s">
        <v>1881</v>
      </c>
      <c r="U21" s="610" t="s">
        <v>1872</v>
      </c>
      <c r="V21" s="563" t="s">
        <v>1881</v>
      </c>
      <c r="W21" s="563" t="s">
        <v>1872</v>
      </c>
      <c r="X21" s="624" t="s">
        <v>1881</v>
      </c>
      <c r="Y21" s="622"/>
      <c r="Z21" s="2355"/>
      <c r="AA21" s="563" t="s">
        <v>1872</v>
      </c>
      <c r="AB21" s="563" t="s">
        <v>1881</v>
      </c>
      <c r="AC21" s="563" t="s">
        <v>1872</v>
      </c>
      <c r="AD21" s="563" t="s">
        <v>1881</v>
      </c>
      <c r="AE21" s="563" t="s">
        <v>1872</v>
      </c>
      <c r="AF21" s="624" t="s">
        <v>1881</v>
      </c>
      <c r="AG21" s="563" t="s">
        <v>1872</v>
      </c>
      <c r="AH21" s="624" t="s">
        <v>1881</v>
      </c>
      <c r="AJ21" s="651">
        <v>45323</v>
      </c>
      <c r="AK21" s="672">
        <v>978</v>
      </c>
      <c r="AL21" s="666">
        <v>91953699</v>
      </c>
    </row>
    <row r="22" spans="2:38" ht="15.75">
      <c r="B22" s="593" t="s">
        <v>8</v>
      </c>
      <c r="C22" s="565">
        <v>168</v>
      </c>
      <c r="D22" s="566">
        <f>C22/SUM($C$22:$C$25)</f>
        <v>0.37086092715231789</v>
      </c>
      <c r="E22" s="567">
        <f>ROUND($D22*VLOOKUP($B$19,'ИПП 3кв24'!$AJ$4:$AL$16,2,0),0)</f>
        <v>163</v>
      </c>
      <c r="F22" s="568">
        <f>ROUND($D22*VLOOKUP($B$19,'ИПП 3кв24'!$AJ$4:$AL$16,3,0),0)</f>
        <v>5958719</v>
      </c>
      <c r="G22" s="568">
        <f>ROUND($D22*VLOOKUP($B$19,'ИПП 3кв24'!$AJ$20:$AL$32,2,0),0)</f>
        <v>330</v>
      </c>
      <c r="H22" s="568">
        <f>ROUND($D22*VLOOKUP($B$19,'ИПП 3кв24'!$AJ$20:$AL$32,3,0),0)</f>
        <v>34465840</v>
      </c>
      <c r="I22" s="568">
        <f>ROUND($D22*VLOOKUP($B$19,'ИПП 3кв24'!$AJ$36:$AL$48,2,0),0)</f>
        <v>152</v>
      </c>
      <c r="J22" s="625">
        <f>ROUND($D22*VLOOKUP($B$19,'ИПП 3кв24'!$AJ$36:$AL$48,3,0),0)</f>
        <v>18193233</v>
      </c>
      <c r="K22" s="596">
        <f>E22+G22+I22</f>
        <v>645</v>
      </c>
      <c r="L22" s="626">
        <f>F22+H22+J22</f>
        <v>58617792</v>
      </c>
      <c r="M22" s="609"/>
      <c r="N22" s="627" t="s">
        <v>8</v>
      </c>
      <c r="O22" s="572">
        <f>SUMIFS(РД[S],РД[Дом],$O$20,РД[МОП],$N22,РД[Дата подачи на регистрацию],"&gt;="&amp;$N$19,РД[Дата подачи на регистрацию],"&lt;"&amp;DATE(YEAR($B$19),MONTH($B$19)+1,1),РД[Состояние],"Продажа")-AA22/2</f>
        <v>58.62</v>
      </c>
      <c r="P22" s="573">
        <f>SUMIFS(РД[Стоимость без отделки итог],РД[Дом],$O$20,РД[МОП],$N22,РД[Дата подачи на регистрацию],"&gt;="&amp;$N$19,РД[Дата подачи на регистрацию],"&lt;"&amp;DATE(YEAR($B$19),MONTH($B$19)+1,1),РД[Состояние],"Продажа")-AB22/2</f>
        <v>6044600</v>
      </c>
      <c r="Q22" s="573">
        <f>SUMIFS(РД[S],РД[Дом],$Q$20,РД[МОП],$N22,РД[Дата подачи на регистрацию],"&gt;="&amp;$N$19,РД[Дата подачи на регистрацию],"&lt;"&amp;DATE(YEAR($B$19),MONTH($B$19)+1,1),РД[Состояние],"Продажа")-AC22/2</f>
        <v>453.09499999999991</v>
      </c>
      <c r="R22" s="573">
        <f>SUMIFS(РД[Стоимость без отделки итог],РД[Дом],$Q$20,РД[МОП],$N22,РД[Дата подачи на регистрацию],"&gt;="&amp;$N$19,РД[Дата подачи на регистрацию],"&lt;"&amp;DATE(YEAR($B$19),MONTH($B$19)+1,1),РД[Состояние],"Продажа")-AD22/2</f>
        <v>46320798</v>
      </c>
      <c r="S22" s="573">
        <f>SUMIFS(РД[S],РД[Дом],$S$20,РД[МОП],$N22,РД[Дата подачи на регистрацию],"&gt;="&amp;$N$19,РД[Дата подачи на регистрацию],"&lt;"&amp;DATE(YEAR($B$19),MONTH($B$19)+1,1),РД[Состояние],"Продажа")-AE22/2</f>
        <v>0</v>
      </c>
      <c r="T22" s="628">
        <f>SUMIFS(РД[Стоимость без отделки итог],РД[Дом],$S$20,РД[МОП],$N22,РД[Дата подачи на регистрацию],"&gt;="&amp;$N$19,РД[Дата подачи на регистрацию],"&lt;"&amp;DATE(YEAR($B$19),MONTH($B$19)+1,1),РД[Состояние],"Продажа")-AF22/2</f>
        <v>0</v>
      </c>
      <c r="U22" s="636">
        <f t="shared" ref="U22:V25" si="33">O22+Q22+S22</f>
        <v>511.71499999999992</v>
      </c>
      <c r="V22" s="573">
        <f t="shared" si="33"/>
        <v>52365398</v>
      </c>
      <c r="W22" s="645">
        <f>IFERROR(U22/K22,"")</f>
        <v>0.79335658914728668</v>
      </c>
      <c r="X22" s="588">
        <f>IFERROR(V22/L22,"")</f>
        <v>0.89333624166532921</v>
      </c>
      <c r="Y22" s="609"/>
      <c r="Z22" s="564" t="s">
        <v>8</v>
      </c>
      <c r="AA22" s="568">
        <f>SUMIFS(РД[S],РД[Дом],$AA$20,РД[МОП],$Z22,РД[Источник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22" s="568">
        <f>SUMIFS(РД[Стоимость без отделки итог],РД[Дом],$AA$20,РД[МОП],$Z22,РД[Источник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22" s="568">
        <f>SUMIFS(РД[S],РД[Дом],$AC$20,РД[МОП],$Z22,РД[Источник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39.69</v>
      </c>
      <c r="AD22" s="568">
        <f>SUMIFS(РД[Стоимость без отделки итог],РД[Дом],$AC$20,РД[МОП],$Z22,РД[Источник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4466500</v>
      </c>
      <c r="AE22" s="568">
        <f>SUMIFS(РД[S],РД[Дом],$AE$20,РД[МОП],$Z22,РД[Источник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22" s="568">
        <f>SUMIFS(РД[Стоимость без отделки итог],РД[Дом],$AE$20,РД[МОП],$Z22,РД[Источник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22" s="596">
        <f>AA22+AC22+AE22</f>
        <v>39.69</v>
      </c>
      <c r="AH22" s="626">
        <f>AB22+AD22+AF22</f>
        <v>4466500</v>
      </c>
      <c r="AJ22" s="651">
        <v>45352</v>
      </c>
      <c r="AK22" s="665">
        <v>1234</v>
      </c>
      <c r="AL22" s="666">
        <v>118652812</v>
      </c>
    </row>
    <row r="23" spans="2:38" ht="15.75">
      <c r="B23" s="593" t="s">
        <v>46</v>
      </c>
      <c r="C23" s="595">
        <v>50</v>
      </c>
      <c r="D23" s="575">
        <f>C23/SUM($C$22:$C$25)</f>
        <v>0.11037527593818984</v>
      </c>
      <c r="E23" s="606">
        <f>ROUND($D23*VLOOKUP($B$19,'ИПП 3кв24'!$AJ$4:$AL$16,2,0),0)</f>
        <v>48</v>
      </c>
      <c r="F23" s="597">
        <f>ROUND($D23*VLOOKUP($B$19,'ИПП 3кв24'!$AJ$4:$AL$16,3,0),0)</f>
        <v>1773428</v>
      </c>
      <c r="G23" s="597">
        <f>ROUND($D23*VLOOKUP($B$19,'ИПП 3кв24'!$AJ$20:$AL$32,2,0),0)</f>
        <v>98</v>
      </c>
      <c r="H23" s="597">
        <f>ROUND($D23*VLOOKUP($B$19,'ИПП 3кв24'!$AJ$20:$AL$32,3,0),0)</f>
        <v>10257691</v>
      </c>
      <c r="I23" s="597">
        <f>ROUND($D23*VLOOKUP($B$19,'ИПП 3кв24'!$AJ$36:$AL$48,2,0),0)</f>
        <v>45</v>
      </c>
      <c r="J23" s="632">
        <f>ROUND($D23*VLOOKUP($B$19,'ИПП 3кв24'!$AJ$36:$AL$48,3,0),0)</f>
        <v>5414653</v>
      </c>
      <c r="K23" s="596">
        <f>E23+G23+I23</f>
        <v>191</v>
      </c>
      <c r="L23" s="626">
        <f>F23+H23+J23</f>
        <v>17445772</v>
      </c>
      <c r="M23" s="609"/>
      <c r="N23" s="569" t="s">
        <v>46</v>
      </c>
      <c r="O23" s="606">
        <f>SUMIFS(РД[S],РД[Дом],$O$20,РД[МОП],$N23,РД[Дата подачи на регистрацию],"&gt;="&amp;$N$19,РД[Дата подачи на регистрацию],"&lt;"&amp;DATE(YEAR($B$19),MONTH($B$19)+1,1),РД[Состояние],"Продажа")-AA23/2</f>
        <v>67.95</v>
      </c>
      <c r="P23" s="597">
        <f>SUMIFS(РД[Стоимость без отделки итог],РД[Дом],$O$20,РД[МОП],$N23,РД[Дата подачи на регистрацию],"&gt;="&amp;$N$19,РД[Дата подачи на регистрацию],"&lt;"&amp;DATE(YEAR($B$19),MONTH($B$19)+1,1),РД[Состояние],"Продажа")-AB23/2</f>
        <v>6680448</v>
      </c>
      <c r="Q23" s="597">
        <f>SUMIFS(РД[S],РД[Дом],$Q$20,РД[МОП],$N23,РД[Дата подачи на регистрацию],"&gt;="&amp;$N$19,РД[Дата подачи на регистрацию],"&lt;"&amp;DATE(YEAR($B$19),MONTH($B$19)+1,1),РД[Состояние],"Продажа")-AC23/2</f>
        <v>0</v>
      </c>
      <c r="R23" s="597">
        <f>SUMIFS(РД[Стоимость без отделки итог],РД[Дом],$Q$20,РД[МОП],$N23,РД[Дата подачи на регистрацию],"&gt;="&amp;$N$19,РД[Дата подачи на регистрацию],"&lt;"&amp;DATE(YEAR($B$19),MONTH($B$19)+1,1),РД[Состояние],"Продажа")-AD23/2</f>
        <v>0</v>
      </c>
      <c r="S23" s="597">
        <f>SUMIFS(РД[S],РД[Дом],$S$20,РД[МОП],$N23,РД[Дата подачи на регистрацию],"&gt;="&amp;$N$19,РД[Дата подачи на регистрацию],"&lt;"&amp;DATE(YEAR($B$19),MONTH($B$19)+1,1),РД[Состояние],"Продажа")-AE23/2</f>
        <v>0</v>
      </c>
      <c r="T23" s="632">
        <f>SUMIFS(РД[Стоимость без отделки итог],РД[Дом],$S$20,РД[МОП],$N23,РД[Дата подачи на регистрацию],"&gt;="&amp;$N$19,РД[Дата подачи на регистрацию],"&lt;"&amp;DATE(YEAR($B$19),MONTH($B$19)+1,1),РД[Состояние],"Продажа")-AF23/2</f>
        <v>0</v>
      </c>
      <c r="U23" s="596">
        <f t="shared" si="33"/>
        <v>67.95</v>
      </c>
      <c r="V23" s="597">
        <f t="shared" si="33"/>
        <v>6680448</v>
      </c>
      <c r="W23" s="638">
        <f t="shared" ref="W23:W26" si="34">IFERROR(U23/K23,"")</f>
        <v>0.35575916230366494</v>
      </c>
      <c r="X23" s="617">
        <f t="shared" ref="X23:X26" si="35">IFERROR(V23/L23,"")</f>
        <v>0.38292647639783439</v>
      </c>
      <c r="Y23" s="609"/>
      <c r="Z23" s="569" t="s">
        <v>46</v>
      </c>
      <c r="AA23" s="573">
        <f>SUMIFS(РД[S],РД[Дом],$AA$20,РД[МОП],$Z23,РД[Источник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23" s="573">
        <f>SUMIFS(РД[Стоимость без отделки итог],РД[Дом],$AA$20,РД[МОП],$Z23,РД[Источник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23" s="573">
        <f>SUMIFS(РД[S],РД[Дом],$AC$20,РД[МОП],$Z23,РД[Источник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D23" s="573">
        <f>SUMIFS(РД[Стоимость без отделки итог],РД[Дом],$AC$20,РД[МОП],$Z23,РД[Источник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E23" s="573">
        <f>SUMIFS(РД[S],РД[Дом],$AE$20,РД[МОП],$Z23,РД[Источник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23" s="652">
        <f>SUMIFS(РД[Стоимость без отделки итог],РД[Дом],$AE$20,РД[МОП],$Z23,РД[Источник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23" s="596">
        <f>AA23+AC23+AE23</f>
        <v>0</v>
      </c>
      <c r="AH23" s="626">
        <f>AB23+AD23+AF23</f>
        <v>0</v>
      </c>
      <c r="AJ23" s="651">
        <v>45383</v>
      </c>
      <c r="AK23" s="665">
        <v>1087.5308175412499</v>
      </c>
      <c r="AL23" s="666">
        <v>107756392.314731</v>
      </c>
    </row>
    <row r="24" spans="2:38" ht="15.75">
      <c r="B24" s="593" t="s">
        <v>20</v>
      </c>
      <c r="C24" s="595">
        <v>148</v>
      </c>
      <c r="D24" s="575">
        <f>C24/SUM($C$22:$C$25)</f>
        <v>0.32671081677704195</v>
      </c>
      <c r="E24" s="606">
        <f>ROUND($D24*VLOOKUP($B$19,'ИПП 3кв24'!$AJ$4:$AL$16,2,0),0)</f>
        <v>143</v>
      </c>
      <c r="F24" s="597">
        <f>ROUND($D24*VLOOKUP($B$19,'ИПП 3кв24'!$AJ$4:$AL$16,3,0),0)</f>
        <v>5249347</v>
      </c>
      <c r="G24" s="597">
        <f>ROUND($D24*VLOOKUP($B$19,'ИПП 3кв24'!$AJ$20:$AL$32,2,0),0)</f>
        <v>290</v>
      </c>
      <c r="H24" s="597">
        <f>ROUND($D24*VLOOKUP($B$19,'ИПП 3кв24'!$AJ$20:$AL$32,3,0),0)</f>
        <v>30362764</v>
      </c>
      <c r="I24" s="597">
        <f>ROUND($D24*VLOOKUP($B$19,'ИПП 3кв24'!$AJ$36:$AL$48,2,0),0)</f>
        <v>134</v>
      </c>
      <c r="J24" s="632">
        <f>ROUND($D24*VLOOKUP($B$19,'ИПП 3кв24'!$AJ$36:$AL$48,3,0),0)</f>
        <v>16027372</v>
      </c>
      <c r="K24" s="596">
        <f t="shared" ref="K24:K26" si="36">E24+G24+I24</f>
        <v>567</v>
      </c>
      <c r="L24" s="626">
        <f t="shared" ref="L24:L26" si="37">F24+H24+J24</f>
        <v>51639483</v>
      </c>
      <c r="M24" s="609"/>
      <c r="N24" s="569" t="s">
        <v>20</v>
      </c>
      <c r="O24" s="606">
        <f>SUMIFS(РД[S],РД[Дом],$O$20,РД[МОП],$N24,РД[Дата подачи на регистрацию],"&gt;="&amp;$N$19,РД[Дата подачи на регистрацию],"&lt;"&amp;DATE(YEAR($B$19),MONTH($B$19)+1,1),РД[Состояние],"Продажа")-AA24/2</f>
        <v>73.2</v>
      </c>
      <c r="P24" s="597">
        <f>SUMIFS(РД[Стоимость без отделки итог],РД[Дом],$O$20,РД[МОП],$N24,РД[Дата подачи на регистрацию],"&gt;="&amp;$N$19,РД[Дата подачи на регистрацию],"&lt;"&amp;DATE(YEAR($B$19),MONTH($B$19)+1,1),РД[Состояние],"Продажа")-AB24/2</f>
        <v>9113358</v>
      </c>
      <c r="Q24" s="597">
        <f>SUMIFS(РД[S],РД[Дом],$Q$20,РД[МОП],$N24,РД[Дата подачи на регистрацию],"&gt;="&amp;$N$19,РД[Дата подачи на регистрацию],"&lt;"&amp;DATE(YEAR($B$19),MONTH($B$19)+1,1),РД[Состояние],"Продажа")-AC24/2</f>
        <v>61.295000000000002</v>
      </c>
      <c r="R24" s="597">
        <f>SUMIFS(РД[Стоимость без отделки итог],РД[Дом],$Q$20,РД[МОП],$N24,РД[Дата подачи на регистрацию],"&gt;="&amp;$N$19,РД[Дата подачи на регистрацию],"&lt;"&amp;DATE(YEAR($B$19),MONTH($B$19)+1,1),РД[Состояние],"Продажа")-AD24/2</f>
        <v>6758500</v>
      </c>
      <c r="S24" s="597">
        <f>SUMIFS(РД[S],РД[Дом],$S$20,РД[МОП],$N24,РД[Дата подачи на регистрацию],"&gt;="&amp;$N$19,РД[Дата подачи на регистрацию],"&lt;"&amp;DATE(YEAR($B$19),MONTH($B$19)+1,1),РД[Состояние],"Продажа")-AE24/2</f>
        <v>0</v>
      </c>
      <c r="T24" s="632">
        <f>SUMIFS(РД[Стоимость без отделки итог],РД[Дом],$S$20,РД[МОП],$N24,РД[Дата подачи на регистрацию],"&gt;="&amp;$N$19,РД[Дата подачи на регистрацию],"&lt;"&amp;DATE(YEAR($B$19),MONTH($B$19)+1,1),РД[Состояние],"Продажа")-AF24/2</f>
        <v>0</v>
      </c>
      <c r="U24" s="596">
        <f t="shared" si="33"/>
        <v>134.495</v>
      </c>
      <c r="V24" s="597">
        <f t="shared" si="33"/>
        <v>15871858</v>
      </c>
      <c r="W24" s="638">
        <f t="shared" si="34"/>
        <v>0.23720458553791887</v>
      </c>
      <c r="X24" s="617">
        <f t="shared" si="35"/>
        <v>0.30735896407018637</v>
      </c>
      <c r="Y24" s="609"/>
      <c r="Z24" s="569" t="s">
        <v>20</v>
      </c>
      <c r="AA24" s="573">
        <f>SUMIFS(РД[S],РД[Дом],$AA$20,РД[МОП],$Z24,РД[Источник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24" s="573">
        <f>SUMIFS(РД[Стоимость без отделки итог],РД[Дом],$AA$20,РД[МОП],$Z24,РД[Источник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24" s="573">
        <f>SUMIFS(РД[S],РД[Дом],$AC$20,РД[МОП],$Z24,РД[Источник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43.21</v>
      </c>
      <c r="AD24" s="573">
        <f>SUMIFS(РД[Стоимость без отделки итог],РД[Дом],$AC$20,РД[МОП],$Z24,РД[Источник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4795400</v>
      </c>
      <c r="AE24" s="573">
        <f>SUMIFS(РД[S],РД[Дом],$AE$20,РД[МОП],$Z24,РД[Источник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24" s="652">
        <f>SUMIFS(РД[Стоимость без отделки итог],РД[Дом],$AE$20,РД[МОП],$Z24,РД[Источник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24" s="596">
        <f t="shared" ref="AG24:AG26" si="38">AA24+AC24+AE24</f>
        <v>43.21</v>
      </c>
      <c r="AH24" s="626">
        <f t="shared" ref="AH24:AH26" si="39">AB24+AD24+AF24</f>
        <v>4795400</v>
      </c>
      <c r="AJ24" s="651">
        <v>45413</v>
      </c>
      <c r="AK24" s="665">
        <v>1089.8903664095401</v>
      </c>
      <c r="AL24" s="597">
        <v>109356075</v>
      </c>
    </row>
    <row r="25" spans="2:38" ht="15.75">
      <c r="B25" s="598" t="s">
        <v>14</v>
      </c>
      <c r="C25" s="599">
        <v>87</v>
      </c>
      <c r="D25" s="600">
        <f>C25/SUM($C$22:$C$25)</f>
        <v>0.19205298013245034</v>
      </c>
      <c r="E25" s="607">
        <f>ROUND($D25*VLOOKUP($B$19,'ИПП 3кв24'!$AJ$4:$AL$16,2,0),0)</f>
        <v>84</v>
      </c>
      <c r="F25" s="602">
        <f>ROUND($D25*VLOOKUP($B$19,'ИПП 3кв24'!$AJ$4:$AL$16,3,0),0)</f>
        <v>3085765</v>
      </c>
      <c r="G25" s="602">
        <f>ROUND($D25*VLOOKUP($B$19,'ИПП 3кв24'!$AJ$20:$AL$32,2,0),0)</f>
        <v>171</v>
      </c>
      <c r="H25" s="602">
        <f>ROUND($D25*VLOOKUP($B$19,'ИПП 3кв24'!$AJ$20:$AL$32,3,0),0)</f>
        <v>17848381</v>
      </c>
      <c r="I25" s="602">
        <f>ROUND($D25*VLOOKUP($B$19,'ИПП 3кв24'!$AJ$36:$AL$48,2,0),0)</f>
        <v>79</v>
      </c>
      <c r="J25" s="633">
        <f>ROUND($D25*VLOOKUP($B$19,'ИПП 3кв24'!$AJ$36:$AL$48,3,0),0)</f>
        <v>9421496</v>
      </c>
      <c r="K25" s="596">
        <f t="shared" si="36"/>
        <v>334</v>
      </c>
      <c r="L25" s="626">
        <f t="shared" si="37"/>
        <v>30355642</v>
      </c>
      <c r="M25" s="609"/>
      <c r="N25" s="576" t="s">
        <v>14</v>
      </c>
      <c r="O25" s="589">
        <f>SUMIFS(РД[S],РД[Дом],$O$20,РД[МОП],$N25,РД[Дата подачи на регистрацию],"&gt;="&amp;$N$19,РД[Дата подачи на регистрацию],"&lt;"&amp;DATE(YEAR($B$19),MONTH($B$19)+1,1),РД[Состояние],"Продажа")-AA25/2</f>
        <v>67.95</v>
      </c>
      <c r="P25" s="590">
        <f>SUMIFS(РД[Стоимость без отделки итог],РД[Дом],$O$20,РД[МОП],$N25,РД[Дата подачи на регистрацию],"&gt;="&amp;$N$19,РД[Дата подачи на регистрацию],"&lt;"&amp;DATE(YEAR($B$19),MONTH($B$19)+1,1),РД[Состояние],"Продажа")-AB25/2</f>
        <v>6750036</v>
      </c>
      <c r="Q25" s="590">
        <f>SUMIFS(РД[S],РД[Дом],$Q$20,РД[МОП],$N25,РД[Дата подачи на регистрацию],"&gt;="&amp;$N$19,РД[Дата подачи на регистрацию],"&lt;"&amp;DATE(YEAR($B$19),MONTH($B$19)+1,1),РД[Состояние],"Продажа")-AC25/2</f>
        <v>84.77000000000001</v>
      </c>
      <c r="R25" s="590">
        <f>SUMIFS(РД[Стоимость без отделки итог],РД[Дом],$Q$20,РД[МОП],$N25,РД[Дата подачи на регистрацию],"&gt;="&amp;$N$19,РД[Дата подачи на регистрацию],"&lt;"&amp;DATE(YEAR($B$19),MONTH($B$19)+1,1),РД[Состояние],"Продажа")-AD25/2</f>
        <v>9167800</v>
      </c>
      <c r="S25" s="590">
        <f>SUMIFS(РД[S],РД[Дом],$S$20,РД[МОП],$N25,РД[Дата подачи на регистрацию],"&gt;="&amp;$N$19,РД[Дата подачи на регистрацию],"&lt;"&amp;DATE(YEAR($B$19),MONTH($B$19)+1,1),РД[Состояние],"Продажа")-AE25/2</f>
        <v>54.07</v>
      </c>
      <c r="T25" s="635">
        <f>SUMIFS(РД[Стоимость без отделки итог],РД[Дом],$S$20,РД[МОП],$N25,РД[Дата подачи на регистрацию],"&gt;="&amp;$N$19,РД[Дата подачи на регистрацию],"&lt;"&amp;DATE(YEAR($B$19),MONTH($B$19)+1,1),РД[Состояние],"Продажа")-AF25/2</f>
        <v>6306800</v>
      </c>
      <c r="U25" s="646">
        <f t="shared" si="33"/>
        <v>206.79000000000002</v>
      </c>
      <c r="V25" s="590">
        <f t="shared" si="33"/>
        <v>22224636</v>
      </c>
      <c r="W25" s="639">
        <f t="shared" si="34"/>
        <v>0.6191317365269462</v>
      </c>
      <c r="X25" s="640">
        <f t="shared" si="35"/>
        <v>0.73214185356382844</v>
      </c>
      <c r="Y25" s="609"/>
      <c r="Z25" s="576" t="s">
        <v>14</v>
      </c>
      <c r="AA25" s="580">
        <f>SUMIFS(РД[S],РД[Дом],$AA$20,РД[МОП],$Z25,РД[Источник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25" s="580">
        <f>SUMIFS(РД[Стоимость без отделки итог],РД[Дом],$AA$20,РД[МОП],$Z25,РД[Источник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25" s="580">
        <f>SUMIFS(РД[S],РД[Дом],$AC$20,РД[МОП],$Z25,РД[Источник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D25" s="580">
        <f>SUMIFS(РД[Стоимость без отделки итог],РД[Дом],$AC$20,РД[МОП],$Z25,РД[Источник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E25" s="573">
        <f>SUMIFS(РД[S],РД[Дом],$AE$20,РД[МОП],$Z25,РД[Источник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25" s="652">
        <f>SUMIFS(РД[Стоимость без отделки итог],РД[Дом],$AE$20,РД[МОП],$Z25,РД[Источник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25" s="596">
        <f t="shared" si="38"/>
        <v>0</v>
      </c>
      <c r="AH25" s="626">
        <f t="shared" si="39"/>
        <v>0</v>
      </c>
      <c r="AJ25" s="651">
        <v>45444</v>
      </c>
      <c r="AK25" s="667">
        <v>846.43618137647798</v>
      </c>
      <c r="AL25" s="668">
        <v>87101094</v>
      </c>
    </row>
    <row r="26" spans="2:38">
      <c r="B26" s="581" t="s">
        <v>114</v>
      </c>
      <c r="C26" s="603">
        <f t="shared" ref="C26:J26" si="40">SUM(C22:C25)</f>
        <v>453</v>
      </c>
      <c r="D26" s="604">
        <f t="shared" si="40"/>
        <v>1</v>
      </c>
      <c r="E26" s="603">
        <f t="shared" si="40"/>
        <v>438</v>
      </c>
      <c r="F26" s="605">
        <f t="shared" si="40"/>
        <v>16067259</v>
      </c>
      <c r="G26" s="605">
        <f t="shared" si="40"/>
        <v>889</v>
      </c>
      <c r="H26" s="605">
        <f t="shared" si="40"/>
        <v>92934676</v>
      </c>
      <c r="I26" s="605">
        <f t="shared" si="40"/>
        <v>410</v>
      </c>
      <c r="J26" s="634">
        <f t="shared" si="40"/>
        <v>49056754</v>
      </c>
      <c r="K26" s="612">
        <f t="shared" si="36"/>
        <v>1737</v>
      </c>
      <c r="L26" s="630">
        <f t="shared" si="37"/>
        <v>158058689</v>
      </c>
      <c r="M26" s="631"/>
      <c r="N26" s="581" t="s">
        <v>114</v>
      </c>
      <c r="O26" s="582">
        <f>SUM(O22:O25)</f>
        <v>267.71999999999997</v>
      </c>
      <c r="P26" s="584">
        <f t="shared" ref="P26" si="41">SUM(P22:P25)</f>
        <v>28588442</v>
      </c>
      <c r="Q26" s="584">
        <f t="shared" ref="Q26" si="42">SUM(Q22:Q25)</f>
        <v>599.15999999999985</v>
      </c>
      <c r="R26" s="584">
        <f t="shared" ref="R26" si="43">SUM(R22:R25)</f>
        <v>62247098</v>
      </c>
      <c r="S26" s="584">
        <f t="shared" ref="S26" si="44">SUM(S22:S25)</f>
        <v>54.07</v>
      </c>
      <c r="T26" s="629">
        <f t="shared" ref="T26" si="45">SUM(T22:T25)</f>
        <v>6306800</v>
      </c>
      <c r="U26" s="612">
        <f t="shared" ref="U26" si="46">SUM(U22:U25)</f>
        <v>920.95</v>
      </c>
      <c r="V26" s="584">
        <f t="shared" ref="V26" si="47">SUM(V22:V25)</f>
        <v>97142340</v>
      </c>
      <c r="W26" s="641">
        <f t="shared" si="34"/>
        <v>0.53019573978123202</v>
      </c>
      <c r="X26" s="583">
        <f t="shared" si="35"/>
        <v>0.61459664517399615</v>
      </c>
      <c r="Y26" s="631"/>
      <c r="Z26" s="581" t="s">
        <v>114</v>
      </c>
      <c r="AA26" s="644">
        <f t="shared" ref="AA26:AF26" si="48">SUM(AA22:AA25)</f>
        <v>0</v>
      </c>
      <c r="AB26" s="644">
        <f t="shared" si="48"/>
        <v>0</v>
      </c>
      <c r="AC26" s="644">
        <f t="shared" si="48"/>
        <v>82.9</v>
      </c>
      <c r="AD26" s="644">
        <f t="shared" si="48"/>
        <v>9261900</v>
      </c>
      <c r="AE26" s="644">
        <f t="shared" si="48"/>
        <v>0</v>
      </c>
      <c r="AF26" s="656">
        <f t="shared" si="48"/>
        <v>0</v>
      </c>
      <c r="AG26" s="612">
        <f t="shared" si="38"/>
        <v>82.9</v>
      </c>
      <c r="AH26" s="630">
        <f t="shared" si="39"/>
        <v>9261900</v>
      </c>
      <c r="AJ26" s="782">
        <v>45474</v>
      </c>
      <c r="AK26" s="783">
        <v>888.48426611112302</v>
      </c>
      <c r="AL26" s="784">
        <v>92768692.765691102</v>
      </c>
    </row>
    <row r="27" spans="2:38" ht="16.5" customHeight="1">
      <c r="B27" s="2344" t="s">
        <v>1882</v>
      </c>
      <c r="C27" s="2343"/>
      <c r="D27" s="2336"/>
      <c r="E27" s="2343" t="s">
        <v>7</v>
      </c>
      <c r="F27" s="2360"/>
      <c r="G27" s="2352" t="s">
        <v>13</v>
      </c>
      <c r="H27" s="2360"/>
      <c r="I27" s="2352" t="s">
        <v>1875</v>
      </c>
      <c r="J27" s="2343"/>
      <c r="K27" s="2335" t="s">
        <v>114</v>
      </c>
      <c r="L27" s="2336"/>
      <c r="M27" s="622"/>
      <c r="N27" s="2353" t="s">
        <v>3</v>
      </c>
      <c r="O27" s="2360" t="s">
        <v>7</v>
      </c>
      <c r="P27" s="2333"/>
      <c r="Q27" s="2333" t="s">
        <v>13</v>
      </c>
      <c r="R27" s="2333"/>
      <c r="S27" s="2333" t="s">
        <v>1875</v>
      </c>
      <c r="T27" s="2352"/>
      <c r="U27" s="2332" t="s">
        <v>114</v>
      </c>
      <c r="V27" s="2333"/>
      <c r="W27" s="2333" t="s">
        <v>1877</v>
      </c>
      <c r="X27" s="2334"/>
      <c r="Y27" s="622"/>
      <c r="Z27" s="2358" t="s">
        <v>3</v>
      </c>
      <c r="AA27" s="2332" t="s">
        <v>7</v>
      </c>
      <c r="AB27" s="2333"/>
      <c r="AC27" s="2333" t="s">
        <v>13</v>
      </c>
      <c r="AD27" s="2333"/>
      <c r="AE27" s="2333" t="s">
        <v>1875</v>
      </c>
      <c r="AF27" s="2334"/>
      <c r="AG27" s="2343" t="s">
        <v>114</v>
      </c>
      <c r="AH27" s="2336"/>
      <c r="AJ27" s="782">
        <v>45505</v>
      </c>
      <c r="AK27" s="783">
        <v>888.59639112903199</v>
      </c>
      <c r="AL27" s="784">
        <v>92934676.033928797</v>
      </c>
    </row>
    <row r="28" spans="2:38" ht="15.75">
      <c r="B28" s="559" t="s">
        <v>1878</v>
      </c>
      <c r="C28" s="560" t="s">
        <v>1879</v>
      </c>
      <c r="D28" s="561" t="s">
        <v>1880</v>
      </c>
      <c r="E28" s="562" t="s">
        <v>1872</v>
      </c>
      <c r="F28" s="563" t="s">
        <v>1881</v>
      </c>
      <c r="G28" s="562" t="s">
        <v>1872</v>
      </c>
      <c r="H28" s="563" t="s">
        <v>1881</v>
      </c>
      <c r="I28" s="562" t="s">
        <v>1872</v>
      </c>
      <c r="J28" s="623" t="s">
        <v>1881</v>
      </c>
      <c r="K28" s="610" t="s">
        <v>1872</v>
      </c>
      <c r="L28" s="624" t="s">
        <v>1881</v>
      </c>
      <c r="M28" s="622"/>
      <c r="N28" s="2354"/>
      <c r="O28" s="562" t="s">
        <v>1872</v>
      </c>
      <c r="P28" s="563" t="s">
        <v>1881</v>
      </c>
      <c r="Q28" s="562" t="s">
        <v>1872</v>
      </c>
      <c r="R28" s="563" t="s">
        <v>1881</v>
      </c>
      <c r="S28" s="562" t="s">
        <v>1872</v>
      </c>
      <c r="T28" s="563" t="s">
        <v>1881</v>
      </c>
      <c r="U28" s="610" t="s">
        <v>1872</v>
      </c>
      <c r="V28" s="563" t="s">
        <v>1881</v>
      </c>
      <c r="W28" s="563" t="s">
        <v>1872</v>
      </c>
      <c r="X28" s="624" t="s">
        <v>1881</v>
      </c>
      <c r="Y28" s="622"/>
      <c r="Z28" s="2359"/>
      <c r="AA28" s="610" t="s">
        <v>1872</v>
      </c>
      <c r="AB28" s="563" t="s">
        <v>1881</v>
      </c>
      <c r="AC28" s="563" t="s">
        <v>1872</v>
      </c>
      <c r="AD28" s="563" t="s">
        <v>1881</v>
      </c>
      <c r="AE28" s="563" t="s">
        <v>1872</v>
      </c>
      <c r="AF28" s="624" t="s">
        <v>1881</v>
      </c>
      <c r="AG28" s="562" t="s">
        <v>1872</v>
      </c>
      <c r="AH28" s="624" t="s">
        <v>1881</v>
      </c>
      <c r="AJ28" s="782">
        <v>45536</v>
      </c>
      <c r="AK28" s="783">
        <v>1070.98289163306</v>
      </c>
      <c r="AL28" s="784">
        <v>112311802.48547</v>
      </c>
    </row>
    <row r="29" spans="2:38" ht="15.75">
      <c r="B29" s="564" t="s">
        <v>1892</v>
      </c>
      <c r="C29" s="570">
        <v>99</v>
      </c>
      <c r="D29" s="588">
        <f>C29/SUM($C$29:$C$31)</f>
        <v>0.36666666666666664</v>
      </c>
      <c r="E29" s="572">
        <f>$D29*($E$26*85%)</f>
        <v>136.51</v>
      </c>
      <c r="F29" s="573">
        <f>$D29*($F$26*85%)</f>
        <v>5007629.0549999997</v>
      </c>
      <c r="G29" s="573">
        <f>$D29*($G$26*85%)</f>
        <v>277.07166666666666</v>
      </c>
      <c r="H29" s="573">
        <f>$D29*($H$26*85%)</f>
        <v>28964640.686666664</v>
      </c>
      <c r="I29" s="573">
        <f>$D29*($I$26*85%)</f>
        <v>127.78333333333332</v>
      </c>
      <c r="J29" s="628">
        <f>$D29*($J$26*85%)</f>
        <v>15289354.996666664</v>
      </c>
      <c r="K29" s="596">
        <f>E29+G29+I29</f>
        <v>541.36500000000001</v>
      </c>
      <c r="L29" s="626">
        <f>F29+H29+J29</f>
        <v>49261624.738333322</v>
      </c>
      <c r="M29" s="609"/>
      <c r="N29" s="627" t="s">
        <v>1892</v>
      </c>
      <c r="O29" s="572">
        <f>SUMIFS(РД[S],РД[Дом],$O$20,РД[ИМ],$N29,РД[Дата подачи на регистрацию],"&gt;="&amp;$N$19,РД[Дата подачи на регистрацию],"&lt;"&amp;DATE(YEAR($B$19),MONTH($B$19)+1,1),РД[Состояние],"Продажа")-AA29/2</f>
        <v>67.95</v>
      </c>
      <c r="P29" s="573">
        <f>SUMIFS(РД[Стоимость без отделки итог],РД[Дом],$O$20,РД[ИМ],$N29,РД[Дата подачи на регистрацию],"&gt;="&amp;$N$19,РД[Дата подачи на регистрацию],"&lt;"&amp;DATE(YEAR($B$19),MONTH($B$19)+1,1),РД[Состояние],"Продажа")-AB29/2</f>
        <v>6680448</v>
      </c>
      <c r="Q29" s="573">
        <f>SUMIFS(РД[S],РД[Дом],$Q$20,РД[ИМ],$N29,РД[Дата подачи на регистрацию],"&gt;="&amp;$N$19,РД[Дата подачи на регистрацию],"&lt;"&amp;DATE(YEAR($B$19),MONTH($B$19)+1,1),РД[Состояние],"Продажа")-AC29/2</f>
        <v>232.71</v>
      </c>
      <c r="R29" s="573">
        <f>SUMIFS(РД[Стоимость без отделки итог],РД[Дом],$Q$20,РД[ИМ],$N29,РД[Дата подачи на регистрацию],"&gt;="&amp;$N$19,РД[Дата подачи на регистрацию],"&lt;"&amp;DATE(YEAR($B$19),MONTH($B$19)+1,1),РД[Состояние],"Продажа")-AD29/2</f>
        <v>23938400</v>
      </c>
      <c r="S29" s="573">
        <f>SUMIFS(РД[S],РД[Дом],$S$20,РД[ИМ],$N29,РД[Дата подачи на регистрацию],"&gt;="&amp;$N$19,РД[Дата подачи на регистрацию],"&lt;"&amp;DATE(YEAR($B$19),MONTH($B$19)+1,1),РД[Состояние],"Продажа")-AE29/2</f>
        <v>0</v>
      </c>
      <c r="T29" s="628">
        <f>SUMIFS(РД[Стоимость без отделки итог],РД[Дом],$S$20,РД[ИМ],$N29,РД[Дата подачи на регистрацию],"&gt;="&amp;$N$19,РД[Дата подачи на регистрацию],"&lt;"&amp;DATE(YEAR($B$19),MONTH($B$19)+1,1),РД[Состояние],"Продажа")-AF29/2</f>
        <v>0</v>
      </c>
      <c r="U29" s="636">
        <f t="shared" ref="U29:V31" si="49">O29+Q29+S29</f>
        <v>300.66000000000003</v>
      </c>
      <c r="V29" s="573">
        <f t="shared" si="49"/>
        <v>30618848</v>
      </c>
      <c r="W29" s="645">
        <f t="shared" ref="W29:W32" si="50">IFERROR(U29/K29,"")</f>
        <v>0.55537391593472063</v>
      </c>
      <c r="X29" s="588">
        <f t="shared" ref="X29:X32" si="51">IFERROR(V29/L29,"")</f>
        <v>0.62155578835737635</v>
      </c>
      <c r="Y29" s="609"/>
      <c r="Z29" s="564" t="s">
        <v>1892</v>
      </c>
      <c r="AA29" s="573">
        <f>SUMIFS(РД[S],РД[Дом],$AA$20,РД[ИМ],$Z29,РД[Источник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29" s="573">
        <f>SUMIFS(РД[Стоимость без отделки итог],РД[Дом],$AA$20,РД[ИМ],$Z29,РД[Источник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29" s="573">
        <f>SUMIFS(РД[S],РД[Дом],$AC$20,РД[ИМ],$Z29,РД[Источник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D29" s="573">
        <f>SUMIFS(РД[Стоимость без отделки итог],РД[Дом],$AC$20,РД[ИМ],$Z29,РД[Источник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E29" s="573">
        <f>SUMIFS(РД[S],РД[Дом],$AE$20,РД[ИМ],$Z29,РД[Источник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29" s="652">
        <f>SUMIFS(РД[Стоимость без отделки итог],РД[Дом],$AE$20,РД[ИМ],$Z29,РД[Источник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29" s="636">
        <f>AA29+AC29+AE29</f>
        <v>0</v>
      </c>
      <c r="AH29" s="661">
        <f>AB29+AD29+AF29</f>
        <v>0</v>
      </c>
      <c r="AJ29" s="651">
        <v>45566</v>
      </c>
      <c r="AK29" s="665">
        <v>1070.98289163306</v>
      </c>
      <c r="AL29" s="666">
        <v>113446265.136839</v>
      </c>
    </row>
    <row r="30" spans="2:38" ht="15.75">
      <c r="B30" s="569" t="s">
        <v>22</v>
      </c>
      <c r="C30" s="570">
        <v>171</v>
      </c>
      <c r="D30" s="588">
        <f>C30/SUM($C$29:$C$31)</f>
        <v>0.6333333333333333</v>
      </c>
      <c r="E30" s="572">
        <f>$D30*($E$26*85%)</f>
        <v>235.79</v>
      </c>
      <c r="F30" s="573">
        <f>$D30*($F$26*85%)</f>
        <v>8649541.0950000007</v>
      </c>
      <c r="G30" s="573">
        <f>$D30*($G$26*85%)</f>
        <v>478.57833333333332</v>
      </c>
      <c r="H30" s="573">
        <f>$D30*($H$26*85%)</f>
        <v>50029833.913333327</v>
      </c>
      <c r="I30" s="573">
        <f>$D30*($I$26*85%)</f>
        <v>220.71666666666667</v>
      </c>
      <c r="J30" s="628">
        <f>$D30*($J$26*85%)</f>
        <v>26408885.903333332</v>
      </c>
      <c r="K30" s="596">
        <f t="shared" ref="K30:K32" si="52">E30+G30+I30</f>
        <v>935.08500000000004</v>
      </c>
      <c r="L30" s="626">
        <f t="shared" ref="L30:L32" si="53">F30+H30+J30</f>
        <v>85088260.911666662</v>
      </c>
      <c r="M30" s="609"/>
      <c r="N30" s="569" t="s">
        <v>22</v>
      </c>
      <c r="O30" s="606">
        <f>SUMIFS(РД[S],РД[Дом],$O$20,РД[ИМ],$N30,РД[Дата подачи на регистрацию],"&gt;="&amp;$N$19,РД[Дата подачи на регистрацию],"&lt;"&amp;DATE(YEAR($B$19),MONTH($B$19)+1,1),РД[Состояние],"Продажа")</f>
        <v>163.07</v>
      </c>
      <c r="P30" s="597">
        <f>SUMIFS(РД[Стоимость без отделки итог],РД[Дом],$O$20,РД[ИМ],$N30,РД[Дата подачи на регистрацию],"&gt;="&amp;$N$19,РД[Дата подачи на регистрацию],"&lt;"&amp;DATE(YEAR($B$19),MONTH($B$19)+1,1),РД[Состояние],"Продажа")</f>
        <v>17386436</v>
      </c>
      <c r="Q30" s="597">
        <f>SUMIFS(РД[S],РД[Дом],$Q$20,РД[ИМ],$N30,РД[Дата подачи на регистрацию],"&gt;="&amp;$N$19,РД[Дата подачи на регистрацию],"&lt;"&amp;DATE(YEAR($B$19),MONTH($B$19)+1,1),РД[Состояние],"Продажа")</f>
        <v>407.9</v>
      </c>
      <c r="R30" s="597">
        <f>SUMIFS(РД[Стоимость без отделки итог],РД[Дом],$Q$20,РД[ИМ],$N30,РД[Дата подачи на регистрацию],"&gt;="&amp;$N$19,РД[Дата подачи на регистрацию],"&lt;"&amp;DATE(YEAR($B$19),MONTH($B$19)+1,1),РД[Состояние],"Продажа")</f>
        <v>42939648</v>
      </c>
      <c r="S30" s="597">
        <f>SUMIFS(РД[S],РД[Дом],$S$20,РД[ИМ],$N30,РД[Дата подачи на регистрацию],"&gt;="&amp;$N$19,РД[Дата подачи на регистрацию],"&lt;"&amp;DATE(YEAR($B$19),MONTH($B$19)+1,1),РД[Состояние],"Продажа")</f>
        <v>0</v>
      </c>
      <c r="T30" s="632">
        <f>SUMIFS(РД[Стоимость без отделки итог],РД[Дом],$S$20,РД[ИМ],$N30,РД[Дата подачи на регистрацию],"&gt;="&amp;$N$19,РД[Дата подачи на регистрацию],"&lt;"&amp;DATE(YEAR($B$19),MONTH($B$19)+1,1),РД[Состояние],"Продажа")</f>
        <v>0</v>
      </c>
      <c r="U30" s="596">
        <f t="shared" si="49"/>
        <v>570.97</v>
      </c>
      <c r="V30" s="597">
        <f t="shared" si="49"/>
        <v>60326084</v>
      </c>
      <c r="W30" s="638">
        <f t="shared" si="50"/>
        <v>0.61060759182320323</v>
      </c>
      <c r="X30" s="617">
        <f t="shared" si="51"/>
        <v>0.70898245367391854</v>
      </c>
      <c r="Y30" s="609"/>
      <c r="Z30" s="569" t="s">
        <v>22</v>
      </c>
      <c r="AA30" s="573">
        <f>SUMIFS(РД[S],РД[Дом],$AA$20,РД[ИМ],$Z30,РД[Источник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30" s="573">
        <f>SUMIFS(РД[Стоимость без отделки итог],РД[Дом],$AA$20,РД[ИМ],$Z30,РД[Источник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30" s="573">
        <f>SUMIFS(РД[S],РД[Дом],$AC$20,РД[ИМ],$Z30,РД[Источник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82.9</v>
      </c>
      <c r="AD30" s="573">
        <f>SUMIFS(РД[Стоимость без отделки итог],РД[Дом],$AC$20,РД[ИМ],$Z30,РД[Источник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9261900</v>
      </c>
      <c r="AE30" s="573">
        <f>SUMIFS(РД[S],РД[Дом],$AE$20,РД[ИМ],$Z30,РД[Источник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30" s="652">
        <f>SUMIFS(РД[Стоимость без отделки итог],РД[Дом],$AE$20,РД[ИМ],$Z30,РД[Источник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30" s="636">
        <f t="shared" ref="AG30:AG31" si="54">AA30+AC30+AE30</f>
        <v>82.9</v>
      </c>
      <c r="AH30" s="652">
        <f t="shared" ref="AH30:AH31" si="55">AB30+AD30+AF30</f>
        <v>9261900</v>
      </c>
      <c r="AJ30" s="651">
        <v>45597</v>
      </c>
      <c r="AK30" s="665">
        <v>1070.98289163306</v>
      </c>
      <c r="AL30" s="666">
        <v>114580727.78820699</v>
      </c>
    </row>
    <row r="31" spans="2:38" ht="15.75">
      <c r="B31" s="576" t="s">
        <v>16</v>
      </c>
      <c r="C31" s="577">
        <v>0</v>
      </c>
      <c r="D31" s="588">
        <f>C31/SUM($C$29:$C$31)</f>
        <v>0</v>
      </c>
      <c r="E31" s="589">
        <f>$D31*($E$26*85%)</f>
        <v>0</v>
      </c>
      <c r="F31" s="590">
        <f>$D31*($F$26*85%)</f>
        <v>0</v>
      </c>
      <c r="G31" s="590">
        <f>$D31*($G$26*85%)</f>
        <v>0</v>
      </c>
      <c r="H31" s="590">
        <f>$D31*($H$26*85%)</f>
        <v>0</v>
      </c>
      <c r="I31" s="573">
        <f>$D31*($I$26*85%)</f>
        <v>0</v>
      </c>
      <c r="J31" s="628">
        <f>$D31*($J$26*85%)</f>
        <v>0</v>
      </c>
      <c r="K31" s="596">
        <f t="shared" si="52"/>
        <v>0</v>
      </c>
      <c r="L31" s="626">
        <f t="shared" si="53"/>
        <v>0</v>
      </c>
      <c r="M31" s="609"/>
      <c r="N31" s="576" t="s">
        <v>16</v>
      </c>
      <c r="O31" s="589">
        <f>SUMIFS(РД[S],РД[Дом],$O$20,РД[ИМ],$N31,РД[Дата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P31" s="590">
        <f>SUMIFS(РД[Стоимость без отделки итог],РД[Дом],$O$20,РД[ИМ],$N31,РД[Дата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Q31" s="590">
        <f>SUMIFS(РД[S],РД[Дом],$Q$20,РД[ИМ],$N31,РД[Дата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R31" s="590">
        <f>SUMIFS(РД[Стоимость без отделки итог],РД[Дом],$Q$20,РД[ИМ],$N31,РД[Дата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S31" s="590">
        <f>SUMIFS(РД[S],РД[Дом],$S$20,РД[ИМ],$N31,РД[Дата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T31" s="635">
        <f>SUMIFS(РД[Стоимость без отделки итог],РД[Дом],$S$20,РД[ИМ],$N31,РД[Дата подачи на регистрацию],"&gt;="&amp;$N$19,РД[Дата подачи на регистрацию],"&lt;"&amp;DATE(YEAR($B$19),MONTH($B$19)+1,1),РД[Состояние],"Продажа")</f>
        <v>0</v>
      </c>
      <c r="U31" s="646">
        <f t="shared" si="49"/>
        <v>0</v>
      </c>
      <c r="V31" s="590">
        <f t="shared" si="49"/>
        <v>0</v>
      </c>
      <c r="W31" s="639" t="str">
        <f t="shared" si="50"/>
        <v/>
      </c>
      <c r="X31" s="640" t="str">
        <f t="shared" si="51"/>
        <v/>
      </c>
      <c r="Y31" s="609"/>
      <c r="Z31" s="576" t="s">
        <v>16</v>
      </c>
      <c r="AA31" s="580">
        <f>SUMIFS(РД[S],РД[Дом],$AA$20,РД[ИМ],$Z31,РД[Источник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B31" s="580">
        <f>SUMIFS(РД[Стоимость без отделки итог],РД[Дом],$AA$20,РД[ИМ],$Z31,РД[Источник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C31" s="580">
        <f>SUMIFS(РД[S],РД[Дом],$AC$20,РД[ИМ],$Z31,РД[Источник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D31" s="580">
        <f>SUMIFS(РД[Стоимость без отделки итог],РД[Дом],$AC$20,РД[ИМ],$Z31,РД[Источник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E31" s="573">
        <f>SUMIFS(РД[S],РД[Дом],$AE$20,РД[ИМ],$Z31,РД[Источник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F31" s="652">
        <f>SUMIFS(РД[Стоимость без отделки итог],РД[Дом],$AE$20,РД[ИМ],$Z31,РД[Источник обращения],"Агент*",РД[Дата подачи на регистрацию],"&gt;="&amp;$Z$19,РД[Дата подачи на регистрацию],"&lt;"&amp;DATE(YEAR($B$19),MONTH($B$19)+1,1),РД[Состояние],"Продажа")</f>
        <v>0</v>
      </c>
      <c r="AG31" s="646">
        <f t="shared" si="54"/>
        <v>0</v>
      </c>
      <c r="AH31" s="653">
        <f t="shared" si="55"/>
        <v>0</v>
      </c>
      <c r="AJ31" s="651">
        <v>45627</v>
      </c>
      <c r="AK31" s="665">
        <v>1070.98289163306</v>
      </c>
      <c r="AL31" s="666">
        <v>115715190.439575</v>
      </c>
    </row>
    <row r="32" spans="2:38">
      <c r="B32" s="581" t="s">
        <v>114</v>
      </c>
      <c r="C32" s="582">
        <f>SUM(C29:C31)</f>
        <v>270</v>
      </c>
      <c r="D32" s="583">
        <f t="shared" ref="D32:J32" si="56">SUM(D29:D31)</f>
        <v>1</v>
      </c>
      <c r="E32" s="582">
        <f t="shared" si="56"/>
        <v>372.29999999999995</v>
      </c>
      <c r="F32" s="584">
        <f t="shared" si="56"/>
        <v>13657170.15</v>
      </c>
      <c r="G32" s="584">
        <f t="shared" si="56"/>
        <v>755.65</v>
      </c>
      <c r="H32" s="584">
        <f t="shared" si="56"/>
        <v>78994474.599999994</v>
      </c>
      <c r="I32" s="584">
        <f t="shared" si="56"/>
        <v>348.5</v>
      </c>
      <c r="J32" s="629">
        <f t="shared" si="56"/>
        <v>41698240.899999999</v>
      </c>
      <c r="K32" s="612">
        <f t="shared" si="52"/>
        <v>1476.4499999999998</v>
      </c>
      <c r="L32" s="630">
        <f t="shared" si="53"/>
        <v>134349885.65000001</v>
      </c>
      <c r="M32" s="631"/>
      <c r="N32" s="581" t="s">
        <v>114</v>
      </c>
      <c r="O32" s="582">
        <f>SUM(O29:O31)</f>
        <v>231.01999999999998</v>
      </c>
      <c r="P32" s="584">
        <f t="shared" ref="P32:V32" si="57">SUM(P29:P31)</f>
        <v>24066884</v>
      </c>
      <c r="Q32" s="584">
        <f t="shared" si="57"/>
        <v>640.61</v>
      </c>
      <c r="R32" s="584">
        <f t="shared" si="57"/>
        <v>66878048</v>
      </c>
      <c r="S32" s="584">
        <f t="shared" si="57"/>
        <v>0</v>
      </c>
      <c r="T32" s="629">
        <f t="shared" si="57"/>
        <v>0</v>
      </c>
      <c r="U32" s="612">
        <f t="shared" si="57"/>
        <v>871.63000000000011</v>
      </c>
      <c r="V32" s="584">
        <f t="shared" si="57"/>
        <v>90944932</v>
      </c>
      <c r="W32" s="641">
        <f t="shared" si="50"/>
        <v>0.59035524399742645</v>
      </c>
      <c r="X32" s="583">
        <f t="shared" si="51"/>
        <v>0.67692600972451955</v>
      </c>
      <c r="Y32" s="631"/>
      <c r="Z32" s="581" t="s">
        <v>114</v>
      </c>
      <c r="AA32" s="584">
        <f t="shared" ref="AA32:AF32" si="58">SUM(AA29:AA31)</f>
        <v>0</v>
      </c>
      <c r="AB32" s="584">
        <f t="shared" si="58"/>
        <v>0</v>
      </c>
      <c r="AC32" s="584">
        <f t="shared" si="58"/>
        <v>82.9</v>
      </c>
      <c r="AD32" s="584">
        <f t="shared" si="58"/>
        <v>9261900</v>
      </c>
      <c r="AE32" s="584">
        <f t="shared" si="58"/>
        <v>0</v>
      </c>
      <c r="AF32" s="584">
        <f t="shared" si="58"/>
        <v>0</v>
      </c>
      <c r="AG32" s="612">
        <f t="shared" ref="AG32:AH32" si="59">SUM(AG29:AG31)</f>
        <v>82.9</v>
      </c>
      <c r="AH32" s="630">
        <f t="shared" si="59"/>
        <v>9261900</v>
      </c>
      <c r="AJ32" s="660" t="s">
        <v>1896</v>
      </c>
      <c r="AK32" s="671">
        <v>12575.9979576613</v>
      </c>
      <c r="AL32" s="671">
        <v>1288562585.61132</v>
      </c>
    </row>
    <row r="34" spans="2:38">
      <c r="AJ34" s="2337" t="s">
        <v>1875</v>
      </c>
      <c r="AK34" s="2337"/>
      <c r="AL34" s="2337"/>
    </row>
    <row r="35" spans="2:38" ht="15.75">
      <c r="B35" s="2329">
        <v>45536</v>
      </c>
      <c r="C35" s="2330"/>
      <c r="D35" s="2330"/>
      <c r="E35" s="2330"/>
      <c r="F35" s="2330"/>
      <c r="G35" s="2330"/>
      <c r="H35" s="2330"/>
      <c r="I35" s="2330"/>
      <c r="J35" s="2330"/>
      <c r="K35" s="2330"/>
      <c r="L35" s="2331"/>
      <c r="M35" s="621"/>
      <c r="N35" s="2361">
        <f>B35</f>
        <v>45536</v>
      </c>
      <c r="O35" s="2362"/>
      <c r="P35" s="2362"/>
      <c r="Q35" s="2362"/>
      <c r="R35" s="2362"/>
      <c r="S35" s="2362"/>
      <c r="T35" s="2362"/>
      <c r="U35" s="2362"/>
      <c r="V35" s="2362"/>
      <c r="W35" s="2362"/>
      <c r="X35" s="2363"/>
      <c r="Y35" s="621"/>
      <c r="Z35" s="2329">
        <f>N35</f>
        <v>45536</v>
      </c>
      <c r="AA35" s="2330"/>
      <c r="AB35" s="2330"/>
      <c r="AC35" s="2330"/>
      <c r="AD35" s="2330"/>
      <c r="AE35" s="2330"/>
      <c r="AF35" s="2330"/>
      <c r="AG35" s="2330"/>
      <c r="AH35" s="2331"/>
      <c r="AJ35" s="650" t="s">
        <v>1871</v>
      </c>
      <c r="AK35" s="663" t="s">
        <v>1872</v>
      </c>
      <c r="AL35" s="664" t="s">
        <v>1873</v>
      </c>
    </row>
    <row r="36" spans="2:38" ht="16.5" customHeight="1">
      <c r="B36" s="2335" t="s">
        <v>1874</v>
      </c>
      <c r="C36" s="2343"/>
      <c r="D36" s="2336"/>
      <c r="E36" s="2343" t="s">
        <v>7</v>
      </c>
      <c r="F36" s="2360"/>
      <c r="G36" s="2352" t="s">
        <v>13</v>
      </c>
      <c r="H36" s="2360"/>
      <c r="I36" s="2352" t="s">
        <v>1875</v>
      </c>
      <c r="J36" s="2343"/>
      <c r="K36" s="2335" t="s">
        <v>114</v>
      </c>
      <c r="L36" s="2336"/>
      <c r="M36" s="622"/>
      <c r="N36" s="2353" t="s">
        <v>1</v>
      </c>
      <c r="O36" s="2360" t="s">
        <v>7</v>
      </c>
      <c r="P36" s="2333"/>
      <c r="Q36" s="2333" t="s">
        <v>13</v>
      </c>
      <c r="R36" s="2333"/>
      <c r="S36" s="2333" t="s">
        <v>1875</v>
      </c>
      <c r="T36" s="2352"/>
      <c r="U36" s="2332" t="s">
        <v>114</v>
      </c>
      <c r="V36" s="2333"/>
      <c r="W36" s="2333" t="s">
        <v>1877</v>
      </c>
      <c r="X36" s="2334"/>
      <c r="Y36" s="622"/>
      <c r="Z36" s="2353" t="s">
        <v>1</v>
      </c>
      <c r="AA36" s="2352" t="s">
        <v>7</v>
      </c>
      <c r="AB36" s="2360"/>
      <c r="AC36" s="2352" t="s">
        <v>13</v>
      </c>
      <c r="AD36" s="2360"/>
      <c r="AE36" s="2352" t="s">
        <v>1875</v>
      </c>
      <c r="AF36" s="2336"/>
      <c r="AG36" s="2335" t="s">
        <v>114</v>
      </c>
      <c r="AH36" s="2336"/>
      <c r="AJ36" s="651">
        <v>45292</v>
      </c>
      <c r="AK36" s="672">
        <v>0</v>
      </c>
      <c r="AL36" s="672">
        <v>0</v>
      </c>
    </row>
    <row r="37" spans="2:38" ht="15.75">
      <c r="B37" s="559" t="s">
        <v>1878</v>
      </c>
      <c r="C37" s="591" t="s">
        <v>1879</v>
      </c>
      <c r="D37" s="592" t="s">
        <v>1880</v>
      </c>
      <c r="E37" s="562" t="s">
        <v>1872</v>
      </c>
      <c r="F37" s="563" t="s">
        <v>1881</v>
      </c>
      <c r="G37" s="562" t="s">
        <v>1872</v>
      </c>
      <c r="H37" s="563" t="s">
        <v>1881</v>
      </c>
      <c r="I37" s="562" t="s">
        <v>1872</v>
      </c>
      <c r="J37" s="623" t="s">
        <v>1881</v>
      </c>
      <c r="K37" s="610" t="s">
        <v>1872</v>
      </c>
      <c r="L37" s="624" t="s">
        <v>1881</v>
      </c>
      <c r="M37" s="622"/>
      <c r="N37" s="2354"/>
      <c r="O37" s="562" t="s">
        <v>1872</v>
      </c>
      <c r="P37" s="563" t="s">
        <v>1881</v>
      </c>
      <c r="Q37" s="562" t="s">
        <v>1872</v>
      </c>
      <c r="R37" s="563" t="s">
        <v>1881</v>
      </c>
      <c r="S37" s="562" t="s">
        <v>1872</v>
      </c>
      <c r="T37" s="563" t="s">
        <v>1881</v>
      </c>
      <c r="U37" s="610" t="s">
        <v>1872</v>
      </c>
      <c r="V37" s="563" t="s">
        <v>1881</v>
      </c>
      <c r="W37" s="563" t="s">
        <v>1872</v>
      </c>
      <c r="X37" s="624" t="s">
        <v>1881</v>
      </c>
      <c r="Y37" s="622"/>
      <c r="Z37" s="2355"/>
      <c r="AA37" s="563" t="s">
        <v>1872</v>
      </c>
      <c r="AB37" s="563" t="s">
        <v>1881</v>
      </c>
      <c r="AC37" s="563" t="s">
        <v>1872</v>
      </c>
      <c r="AD37" s="563" t="s">
        <v>1881</v>
      </c>
      <c r="AE37" s="563" t="s">
        <v>1872</v>
      </c>
      <c r="AF37" s="624" t="s">
        <v>1881</v>
      </c>
      <c r="AG37" s="563" t="s">
        <v>1872</v>
      </c>
      <c r="AH37" s="624" t="s">
        <v>1881</v>
      </c>
      <c r="AJ37" s="651">
        <v>45323</v>
      </c>
      <c r="AK37" s="672">
        <v>0</v>
      </c>
      <c r="AL37" s="672">
        <v>0</v>
      </c>
    </row>
    <row r="38" spans="2:38" ht="15.75">
      <c r="B38" s="593" t="s">
        <v>8</v>
      </c>
      <c r="C38" s="565">
        <v>168</v>
      </c>
      <c r="D38" s="566">
        <f>C38/SUM($C$38:$C$41)</f>
        <v>0.26582278481012656</v>
      </c>
      <c r="E38" s="567">
        <f>ROUND($D38*VLOOKUP($B$35,'ИПП 3кв24'!$AJ$4:$AL$16,2,0),0)</f>
        <v>0</v>
      </c>
      <c r="F38" s="568">
        <f>ROUND($D38*VLOOKUP($B$35,'ИПП 3кв24'!$AJ$4:$AL$16,3,0),0)</f>
        <v>0</v>
      </c>
      <c r="G38" s="568">
        <f>ROUND($D38*VLOOKUP($B$35,'ИПП 3кв24'!$AJ$20:$AL$32,2,0),0)</f>
        <v>285</v>
      </c>
      <c r="H38" s="568">
        <f>ROUND($D38*VLOOKUP($B$35,'ИПП 3кв24'!$AJ$20:$AL$32,3,0),0)</f>
        <v>29855036</v>
      </c>
      <c r="I38" s="568">
        <f>ROUND($D38*VLOOKUP($B$35,'ИПП 3кв24'!$AJ$36:$AL$48,2,0),0)</f>
        <v>133</v>
      </c>
      <c r="J38" s="625">
        <f>ROUND($D38*VLOOKUP($B$35,'ИПП 3кв24'!$AJ$36:$AL$48,3,0),0)</f>
        <v>16084014</v>
      </c>
      <c r="K38" s="596">
        <f>E38+G38+I38</f>
        <v>418</v>
      </c>
      <c r="L38" s="626">
        <f>F38+H38+J38</f>
        <v>45939050</v>
      </c>
      <c r="M38" s="609"/>
      <c r="N38" s="627" t="s">
        <v>8</v>
      </c>
      <c r="O38" s="572">
        <f>SUMIFS(РД[S],РД[Дом],$O$36,РД[МОП],$N38,РД[Дата подачи на регистрацию],"&gt;="&amp;$N$35,РД[Дата подачи на регистрацию],"&lt;"&amp;DATE(YEAR($B$35),MONTH($B$35)+1,1),РД[Состояние],"Продажа")-AA38/2</f>
        <v>67.95</v>
      </c>
      <c r="P38" s="573">
        <f>SUMIFS(РД[Стоимость без отделки итог],РД[Дом],$O$36,РД[МОП],$N38,РД[Дата подачи на регистрацию],"&gt;="&amp;$N$35,РД[Дата подачи на регистрацию],"&lt;"&amp;DATE(YEAR($B$35),MONTH($B$35)+1,1),РД[Состояние],"Продажа")-AB38/2</f>
        <v>6958800</v>
      </c>
      <c r="Q38" s="573">
        <f>SUMIFS(РД[S],РД[Дом],$Q$36,РД[МОП],$N38,РД[Дата подачи на регистрацию],"&gt;="&amp;$N$35,РД[Дата подачи на регистрацию],"&lt;"&amp;DATE(YEAR($B$35),MONTH($B$35)+1,1),РД[Состояние],"Продажа")-AC38/2</f>
        <v>201.23500000000001</v>
      </c>
      <c r="R38" s="573">
        <f>SUMIFS(РД[Стоимость без отделки итог],РД[Дом],$Q$36,РД[МОП],$N38,РД[Дата подачи на регистрацию],"&gt;="&amp;$N$35,РД[Дата подачи на регистрацию],"&lt;"&amp;DATE(YEAR($B$35),MONTH($B$35)+1,1),РД[Состояние],"Продажа")-AD38/2</f>
        <v>21944828</v>
      </c>
      <c r="S38" s="573">
        <f>SUMIFS(РД[S],РД[Дом],$S$36,РД[МОП],$N38,РД[Дата подачи на регистрацию],"&gt;="&amp;$N$35,РД[Дата подачи на регистрацию],"&lt;"&amp;DATE(YEAR($B$35),MONTH($B$35)+1,1),РД[Состояние],"Продажа")-AE38/2</f>
        <v>0</v>
      </c>
      <c r="T38" s="628">
        <f>SUMIFS(РД[Стоимость без отделки итог],РД[Дом],$S$36,РД[МОП],$N38,РД[Дата подачи на регистрацию],"&gt;="&amp;$N$35,РД[Дата подачи на регистрацию],"&lt;"&amp;DATE(YEAR($B$35),MONTH($B$35)+1,1),РД[Состояние],"Продажа")-AF38/2</f>
        <v>0</v>
      </c>
      <c r="U38" s="636">
        <f t="shared" ref="U38:V41" si="60">O38+Q38+S38</f>
        <v>269.185</v>
      </c>
      <c r="V38" s="573">
        <f t="shared" si="60"/>
        <v>28903628</v>
      </c>
      <c r="W38" s="645">
        <f>IFERROR(U38/K38,"")</f>
        <v>0.64398325358851671</v>
      </c>
      <c r="X38" s="588">
        <f>IFERROR(V38/L38,"")</f>
        <v>0.62917339387732218</v>
      </c>
      <c r="Y38" s="609"/>
      <c r="Z38" s="564" t="s">
        <v>8</v>
      </c>
      <c r="AA38" s="568">
        <f>SUMIFS(РД[S],РД[Дом],$AA$36,РД[МОП],$Z38,РД[Источник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B38" s="568">
        <f>SUMIFS(РД[Стоимость без отделки итог],РД[Дом],$AA$36,РД[МОП],$Z38,РД[Источник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C38" s="568">
        <f>SUMIFS(РД[S],РД[Дом],$AC$36,РД[МОП],$Z38,РД[Источник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24.53</v>
      </c>
      <c r="AD38" s="568">
        <f>SUMIFS(РД[Стоимость без отделки итог],РД[Дом],$AC$36,РД[МОП],$Z38,РД[Источник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3373000</v>
      </c>
      <c r="AE38" s="568">
        <f>SUMIFS(РД[S],РД[Дом],$AE$36,РД[МОП],$Z38,РД[Источник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38" s="568">
        <f>SUMIFS(РД[Стоимость без отделки итог],РД[Дом],$AE$36,РД[МОП],$Z38,РД[Источник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38" s="596">
        <f>AA38+AC38+AE38</f>
        <v>24.53</v>
      </c>
      <c r="AH38" s="626">
        <f>AB38+AD38+AF38</f>
        <v>3373000</v>
      </c>
      <c r="AJ38" s="651">
        <v>45352</v>
      </c>
      <c r="AK38" s="672">
        <v>0</v>
      </c>
      <c r="AL38" s="672">
        <v>0</v>
      </c>
    </row>
    <row r="39" spans="2:38" ht="15.75">
      <c r="B39" s="593" t="s">
        <v>46</v>
      </c>
      <c r="C39" s="595">
        <v>110</v>
      </c>
      <c r="D39" s="575">
        <f>C39/SUM($C$38:$C$41)</f>
        <v>0.17405063291139242</v>
      </c>
      <c r="E39" s="606">
        <f>ROUND($D39*VLOOKUP($B$35,'ИПП 3кв24'!$AJ$4:$AL$16,2,0),0)</f>
        <v>0</v>
      </c>
      <c r="F39" s="597">
        <f>ROUND($D39*VLOOKUP($B$35,'ИПП 3кв24'!$AJ$4:$AL$16,3,0),0)</f>
        <v>0</v>
      </c>
      <c r="G39" s="597">
        <f>ROUND($D39*VLOOKUP($B$35,'ИПП 3кв24'!$AJ$20:$AL$32,2,0),0)</f>
        <v>186</v>
      </c>
      <c r="H39" s="597">
        <f>ROUND($D39*VLOOKUP($B$35,'ИПП 3кв24'!$AJ$20:$AL$32,3,0),0)</f>
        <v>19547940</v>
      </c>
      <c r="I39" s="597">
        <f>ROUND($D39*VLOOKUP($B$35,'ИПП 3кв24'!$AJ$36:$AL$48,2,0),0)</f>
        <v>87</v>
      </c>
      <c r="J39" s="632">
        <f>ROUND($D39*VLOOKUP($B$35,'ИПП 3кв24'!$AJ$36:$AL$48,3,0),0)</f>
        <v>10531199</v>
      </c>
      <c r="K39" s="596">
        <f>E39+G39+I39</f>
        <v>273</v>
      </c>
      <c r="L39" s="626">
        <f>F39+H39+J39</f>
        <v>30079139</v>
      </c>
      <c r="M39" s="609"/>
      <c r="N39" s="569" t="s">
        <v>46</v>
      </c>
      <c r="O39" s="606">
        <f>SUMIFS(РД[S],РД[Дом],$O$36,РД[МОП],$N39,РД[Дата подачи на регистрацию],"&gt;="&amp;$N$35,РД[Дата подачи на регистрацию],"&lt;"&amp;DATE(YEAR($B$35),MONTH($B$35)+1,1),РД[Состояние],"Продажа")-AA39/2</f>
        <v>29.274999999999999</v>
      </c>
      <c r="P39" s="597">
        <f>SUMIFS(РД[Стоимость без отделки итог],РД[Дом],$O$36,РД[МОП],$N39,РД[Дата подачи на регистрацию],"&gt;="&amp;$N$35,РД[Дата подачи на регистрацию],"&lt;"&amp;DATE(YEAR($B$35),MONTH($B$35)+1,1),РД[Состояние],"Продажа")-AB39/2</f>
        <v>3184849.5</v>
      </c>
      <c r="Q39" s="597">
        <f>SUMIFS(РД[S],РД[Дом],$Q$36,РД[МОП],$N39,РД[Дата подачи на регистрацию],"&gt;="&amp;$N$35,РД[Дата подачи на регистрацию],"&lt;"&amp;DATE(YEAR($B$35),MONTH($B$35)+1,1),РД[Состояние],"Продажа")-AC39/2</f>
        <v>60.24</v>
      </c>
      <c r="R39" s="597">
        <f>SUMIFS(РД[Стоимость без отделки итог],РД[Дом],$Q$36,РД[МОП],$N39,РД[Дата подачи на регистрацию],"&gt;="&amp;$N$35,РД[Дата подачи на регистрацию],"&lt;"&amp;DATE(YEAR($B$35),MONTH($B$35)+1,1),РД[Состояние],"Продажа")-AD39/2</f>
        <v>5885300</v>
      </c>
      <c r="S39" s="597">
        <f>SUMIFS(РД[S],РД[Дом],$S$36,РД[МОП],$N39,РД[Дата подачи на регистрацию],"&gt;="&amp;$N$35,РД[Дата подачи на регистрацию],"&lt;"&amp;DATE(YEAR($B$35),MONTH($B$35)+1,1),РД[Состояние],"Продажа")-AE39/2</f>
        <v>0</v>
      </c>
      <c r="T39" s="632">
        <f>SUMIFS(РД[Стоимость без отделки итог],РД[Дом],$S$36,РД[МОП],$N39,РД[Дата подачи на регистрацию],"&gt;="&amp;$N$35,РД[Дата подачи на регистрацию],"&lt;"&amp;DATE(YEAR($B$35),MONTH($B$35)+1,1),РД[Состояние],"Продажа")-AF39/2</f>
        <v>0</v>
      </c>
      <c r="U39" s="596">
        <f t="shared" si="60"/>
        <v>89.515000000000001</v>
      </c>
      <c r="V39" s="597">
        <f t="shared" si="60"/>
        <v>9070149.5</v>
      </c>
      <c r="W39" s="638">
        <f t="shared" ref="W39:W42" si="61">IFERROR(U39/K39,"")</f>
        <v>0.32789377289377292</v>
      </c>
      <c r="X39" s="617">
        <f t="shared" ref="X39:X42" si="62">IFERROR(V39/L39,"")</f>
        <v>0.3015428566622203</v>
      </c>
      <c r="Y39" s="609"/>
      <c r="Z39" s="569" t="s">
        <v>46</v>
      </c>
      <c r="AA39" s="573">
        <f>SUMIFS(РД[S],РД[Дом],$AA$36,РД[МОП],$Z39,РД[Источник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58.55</v>
      </c>
      <c r="AB39" s="573">
        <f>SUMIFS(РД[Стоимость без отделки итог],РД[Дом],$AA$36,РД[МОП],$Z39,РД[Источник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6369699</v>
      </c>
      <c r="AC39" s="573">
        <f>SUMIFS(РД[S],РД[Дом],$AC$36,РД[МОП],$Z39,РД[Источник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D39" s="573">
        <f>SUMIFS(РД[Стоимость без отделки итог],РД[Дом],$AC$36,РД[МОП],$Z39,РД[Источник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E39" s="573">
        <f>SUMIFS(РД[S],РД[Дом],$AE$36,РД[МОП],$Z39,РД[Источник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39" s="652">
        <f>SUMIFS(РД[Стоимость без отделки итог],РД[Дом],$AE$36,РД[МОП],$Z39,РД[Источник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39" s="596">
        <f>AA39+AC39+AE39</f>
        <v>58.55</v>
      </c>
      <c r="AH39" s="626">
        <f>AB39+AD39+AF39</f>
        <v>6369699</v>
      </c>
      <c r="AJ39" s="651">
        <v>45383</v>
      </c>
      <c r="AK39" s="672">
        <v>0</v>
      </c>
      <c r="AL39" s="672">
        <v>0</v>
      </c>
    </row>
    <row r="40" spans="2:38" ht="15.75">
      <c r="B40" s="593" t="s">
        <v>20</v>
      </c>
      <c r="C40" s="595">
        <v>177</v>
      </c>
      <c r="D40" s="575">
        <f>C40/SUM($C$38:$C$41)</f>
        <v>0.2800632911392405</v>
      </c>
      <c r="E40" s="606">
        <f>ROUND($D40*VLOOKUP($B$35,'ИПП 3кв24'!$AJ$4:$AL$16,2,0),0)</f>
        <v>0</v>
      </c>
      <c r="F40" s="597">
        <f>ROUND($D40*VLOOKUP($B$35,'ИПП 3кв24'!$AJ$4:$AL$16,3,0),0)</f>
        <v>0</v>
      </c>
      <c r="G40" s="597">
        <f>ROUND($D40*VLOOKUP($B$35,'ИПП 3кв24'!$AJ$20:$AL$32,2,0),0)</f>
        <v>300</v>
      </c>
      <c r="H40" s="597">
        <f>ROUND($D40*VLOOKUP($B$35,'ИПП 3кв24'!$AJ$20:$AL$32,3,0),0)</f>
        <v>31454413</v>
      </c>
      <c r="I40" s="597">
        <f>ROUND($D40*VLOOKUP($B$35,'ИПП 3кв24'!$AJ$36:$AL$48,2,0),0)</f>
        <v>140</v>
      </c>
      <c r="J40" s="632">
        <f>ROUND($D40*VLOOKUP($B$35,'ИПП 3кв24'!$AJ$36:$AL$48,3,0),0)</f>
        <v>16945657</v>
      </c>
      <c r="K40" s="596">
        <f t="shared" ref="K40:K42" si="63">E40+G40+I40</f>
        <v>440</v>
      </c>
      <c r="L40" s="626">
        <f t="shared" ref="L40:L42" si="64">F40+H40+J40</f>
        <v>48400070</v>
      </c>
      <c r="M40" s="609"/>
      <c r="N40" s="569" t="s">
        <v>20</v>
      </c>
      <c r="O40" s="606">
        <f>SUMIFS(РД[S],РД[Дом],$O$36,РД[МОП],$N40,РД[Дата подачи на регистрацию],"&gt;="&amp;$N$35,РД[Дата подачи на регистрацию],"&lt;"&amp;DATE(YEAR($B$35),MONTH($B$35)+1,1),РД[Состояние],"Продажа")-AA40/2</f>
        <v>72.510000000000005</v>
      </c>
      <c r="P40" s="597">
        <f>SUMIFS(РД[Стоимость без отделки итог],РД[Дом],$O$36,РД[МОП],$N40,РД[Дата подачи на регистрацию],"&gt;="&amp;$N$35,РД[Дата подачи на регистрацию],"&lt;"&amp;DATE(YEAR($B$35),MONTH($B$35)+1,1),РД[Состояние],"Продажа")-AB40/2</f>
        <v>7051982</v>
      </c>
      <c r="Q40" s="597">
        <f>SUMIFS(РД[S],РД[Дом],$Q$36,РД[МОП],$N40,РД[Дата подачи на регистрацию],"&gt;="&amp;$N$35,РД[Дата подачи на регистрацию],"&lt;"&amp;DATE(YEAR($B$35),MONTH($B$35)+1,1),РД[Состояние],"Продажа")-AC40/2</f>
        <v>235.26000000000002</v>
      </c>
      <c r="R40" s="597">
        <f>SUMIFS(РД[Стоимость без отделки итог],РД[Дом],$Q$36,РД[МОП],$N40,РД[Дата подачи на регистрацию],"&gt;="&amp;$N$35,РД[Дата подачи на регистрацию],"&lt;"&amp;DATE(YEAR($B$35),MONTH($B$35)+1,1),РД[Состояние],"Продажа")-AD40/2</f>
        <v>22646663</v>
      </c>
      <c r="S40" s="597">
        <f>SUMIFS(РД[S],РД[Дом],$S$36,РД[МОП],$N40,РД[Дата подачи на регистрацию],"&gt;="&amp;$N$35,РД[Дата подачи на регистрацию],"&lt;"&amp;DATE(YEAR($B$35),MONTH($B$35)+1,1),РД[Состояние],"Продажа")-AE40/2</f>
        <v>0</v>
      </c>
      <c r="T40" s="632">
        <f>SUMIFS(РД[Стоимость без отделки итог],РД[Дом],$S$36,РД[МОП],$N40,РД[Дата подачи на регистрацию],"&gt;="&amp;$N$35,РД[Дата подачи на регистрацию],"&lt;"&amp;DATE(YEAR($B$35),MONTH($B$35)+1,1),РД[Состояние],"Продажа")-AF40/2</f>
        <v>0</v>
      </c>
      <c r="U40" s="596">
        <f t="shared" si="60"/>
        <v>307.77000000000004</v>
      </c>
      <c r="V40" s="597">
        <f t="shared" si="60"/>
        <v>29698645</v>
      </c>
      <c r="W40" s="638">
        <f t="shared" si="61"/>
        <v>0.69947727272727278</v>
      </c>
      <c r="X40" s="617">
        <f t="shared" si="62"/>
        <v>0.61360748031975987</v>
      </c>
      <c r="Y40" s="609"/>
      <c r="Z40" s="569" t="s">
        <v>20</v>
      </c>
      <c r="AA40" s="573">
        <f>SUMIFS(РД[S],РД[Дом],$AA$36,РД[МОП],$Z40,РД[Источник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B40" s="573">
        <f>SUMIFS(РД[Стоимость без отделки итог],РД[Дом],$AA$36,РД[МОП],$Z40,РД[Источник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C40" s="573">
        <f>SUMIFS(РД[S],РД[Дом],$AC$36,РД[МОП],$Z40,РД[Источник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D40" s="573">
        <f>SUMIFS(РД[Стоимость без отделки итог],РД[Дом],$AC$36,РД[МОП],$Z40,РД[Источник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E40" s="573">
        <f>SUMIFS(РД[S],РД[Дом],$AE$36,РД[МОП],$Z40,РД[Источник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40" s="652">
        <f>SUMIFS(РД[Стоимость без отделки итог],РД[Дом],$AE$36,РД[МОП],$Z40,РД[Источник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40" s="596">
        <f t="shared" ref="AG40:AG42" si="65">AA40+AC40+AE40</f>
        <v>0</v>
      </c>
      <c r="AH40" s="626">
        <f t="shared" ref="AH40:AH42" si="66">AB40+AD40+AF40</f>
        <v>0</v>
      </c>
      <c r="AJ40" s="651">
        <v>45413</v>
      </c>
      <c r="AK40" s="672">
        <v>0</v>
      </c>
      <c r="AL40" s="672">
        <v>0</v>
      </c>
    </row>
    <row r="41" spans="2:38" ht="15.75">
      <c r="B41" s="598" t="s">
        <v>14</v>
      </c>
      <c r="C41" s="599">
        <v>177</v>
      </c>
      <c r="D41" s="600">
        <f>C41/SUM($C$38:$C$41)</f>
        <v>0.2800632911392405</v>
      </c>
      <c r="E41" s="607">
        <f>ROUND($D41*VLOOKUP($B$35,'ИПП 3кв24'!$AJ$4:$AL$16,2,0),0)</f>
        <v>0</v>
      </c>
      <c r="F41" s="602">
        <f>ROUND($D41*VLOOKUP($B$35,'ИПП 3кв24'!$AJ$4:$AL$16,3,0),0)</f>
        <v>0</v>
      </c>
      <c r="G41" s="602">
        <f>ROUND($D41*VLOOKUP($B$35,'ИПП 3кв24'!$AJ$20:$AL$32,2,0),0)</f>
        <v>300</v>
      </c>
      <c r="H41" s="602">
        <f>ROUND($D41*VLOOKUP($B$35,'ИПП 3кв24'!$AJ$20:$AL$32,3,0),0)</f>
        <v>31454413</v>
      </c>
      <c r="I41" s="602">
        <f>ROUND($D41*VLOOKUP($B$35,'ИПП 3кв24'!$AJ$36:$AL$48,2,0),0)</f>
        <v>140</v>
      </c>
      <c r="J41" s="633">
        <f>ROUND($D41*VLOOKUP($B$35,'ИПП 3кв24'!$AJ$36:$AL$48,3,0),0)</f>
        <v>16945657</v>
      </c>
      <c r="K41" s="596">
        <f t="shared" si="63"/>
        <v>440</v>
      </c>
      <c r="L41" s="626">
        <f t="shared" si="64"/>
        <v>48400070</v>
      </c>
      <c r="M41" s="609"/>
      <c r="N41" s="576" t="s">
        <v>14</v>
      </c>
      <c r="O41" s="589">
        <f>SUMIFS(РД[S],РД[Дом],$O$36,РД[МОП],$N41,РД[Дата подачи на регистрацию],"&gt;="&amp;$N$35,РД[Дата подачи на регистрацию],"&lt;"&amp;DATE(YEAR($B$35),MONTH($B$35)+1,1),РД[Состояние],"Продажа")-AA41/2</f>
        <v>130.45999999999998</v>
      </c>
      <c r="P41" s="590">
        <f>SUMIFS(РД[Стоимость без отделки итог],РД[Дом],$O$36,РД[МОП],$N41,РД[Дата подачи на регистрацию],"&gt;="&amp;$N$35,РД[Дата подачи на регистрацию],"&lt;"&amp;DATE(YEAR($B$35),MONTH($B$35)+1,1),РД[Состояние],"Продажа")-AB41/2</f>
        <v>13975905.6</v>
      </c>
      <c r="Q41" s="590">
        <f>SUMIFS(РД[S],РД[Дом],$Q$36,РД[МОП],$N41,РД[Дата подачи на регистрацию],"&gt;="&amp;$N$35,РД[Дата подачи на регистрацию],"&lt;"&amp;DATE(YEAR($B$35),MONTH($B$35)+1,1),РД[Состояние],"Продажа")-AC41/2</f>
        <v>89.12</v>
      </c>
      <c r="R41" s="590">
        <f>SUMIFS(РД[Стоимость без отделки итог],РД[Дом],$Q$36,РД[МОП],$N41,РД[Дата подачи на регистрацию],"&gt;="&amp;$N$35,РД[Дата подачи на регистрацию],"&lt;"&amp;DATE(YEAR($B$35),MONTH($B$35)+1,1),РД[Состояние],"Продажа")-AD41/2</f>
        <v>8710050</v>
      </c>
      <c r="S41" s="590">
        <f>SUMIFS(РД[S],РД[Дом],$S$36,РД[МОП],$N41,РД[Дата подачи на регистрацию],"&gt;="&amp;$N$35,РД[Дата подачи на регистрацию],"&lt;"&amp;DATE(YEAR($B$35),MONTH($B$35)+1,1),РД[Состояние],"Продажа")-AE41/2</f>
        <v>0</v>
      </c>
      <c r="T41" s="635">
        <f>SUMIFS(РД[Стоимость без отделки итог],РД[Дом],$S$36,РД[МОП],$N41,РД[Дата подачи на регистрацию],"&gt;="&amp;$N$35,РД[Дата подачи на регистрацию],"&lt;"&amp;DATE(YEAR($B$35),MONTH($B$35)+1,1),РД[Состояние],"Продажа")-AF41/2</f>
        <v>0</v>
      </c>
      <c r="U41" s="646">
        <f t="shared" si="60"/>
        <v>219.57999999999998</v>
      </c>
      <c r="V41" s="590">
        <f t="shared" si="60"/>
        <v>22685955.600000001</v>
      </c>
      <c r="W41" s="639">
        <f t="shared" si="61"/>
        <v>0.49904545454545451</v>
      </c>
      <c r="X41" s="640">
        <f t="shared" si="62"/>
        <v>0.46871741301200598</v>
      </c>
      <c r="Y41" s="609"/>
      <c r="Z41" s="576" t="s">
        <v>14</v>
      </c>
      <c r="AA41" s="580">
        <f>SUMIFS(РД[S],РД[Дом],$AA$36,РД[МОП],$Z41,РД[Источник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B41" s="580">
        <f>SUMIFS(РД[Стоимость без отделки итог],РД[Дом],$AA$36,РД[МОП],$Z41,РД[Источник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C41" s="580">
        <f>SUMIFS(РД[S],РД[Дом],$AC$36,РД[МОП],$Z41,РД[Источник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57.8</v>
      </c>
      <c r="AD41" s="580">
        <f>SUMIFS(РД[Стоимость без отделки итог],РД[Дом],$AC$36,РД[МОП],$Z41,РД[Источник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5679900</v>
      </c>
      <c r="AE41" s="573">
        <f>SUMIFS(РД[S],РД[Дом],$AE$36,РД[МОП],$Z41,РД[Источник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41" s="652">
        <f>SUMIFS(РД[Стоимость без отделки итог],РД[Дом],$AE$36,РД[МОП],$Z41,РД[Источник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41" s="596">
        <f t="shared" si="65"/>
        <v>57.8</v>
      </c>
      <c r="AH41" s="626">
        <f t="shared" si="66"/>
        <v>5679900</v>
      </c>
      <c r="AJ41" s="651">
        <v>45444</v>
      </c>
      <c r="AK41" s="672">
        <v>0</v>
      </c>
      <c r="AL41" s="672">
        <v>0</v>
      </c>
    </row>
    <row r="42" spans="2:38">
      <c r="B42" s="581" t="s">
        <v>114</v>
      </c>
      <c r="C42" s="603">
        <f t="shared" ref="C42:J42" si="67">SUM(C38:C41)</f>
        <v>632</v>
      </c>
      <c r="D42" s="604">
        <f t="shared" si="67"/>
        <v>1</v>
      </c>
      <c r="E42" s="603">
        <f t="shared" si="67"/>
        <v>0</v>
      </c>
      <c r="F42" s="605">
        <f t="shared" si="67"/>
        <v>0</v>
      </c>
      <c r="G42" s="605">
        <f t="shared" si="67"/>
        <v>1071</v>
      </c>
      <c r="H42" s="605">
        <f t="shared" si="67"/>
        <v>112311802</v>
      </c>
      <c r="I42" s="605">
        <f t="shared" si="67"/>
        <v>500</v>
      </c>
      <c r="J42" s="634">
        <f t="shared" si="67"/>
        <v>60506527</v>
      </c>
      <c r="K42" s="612">
        <f t="shared" si="63"/>
        <v>1571</v>
      </c>
      <c r="L42" s="630">
        <f t="shared" si="64"/>
        <v>172818329</v>
      </c>
      <c r="M42" s="631"/>
      <c r="N42" s="581" t="s">
        <v>114</v>
      </c>
      <c r="O42" s="582">
        <f>SUM(O38:O41)</f>
        <v>300.19499999999999</v>
      </c>
      <c r="P42" s="584">
        <f t="shared" ref="P42:V42" si="68">SUM(P38:P41)</f>
        <v>31171537.100000001</v>
      </c>
      <c r="Q42" s="584">
        <f t="shared" si="68"/>
        <v>585.85500000000002</v>
      </c>
      <c r="R42" s="584">
        <f t="shared" si="68"/>
        <v>59186841</v>
      </c>
      <c r="S42" s="584">
        <f t="shared" si="68"/>
        <v>0</v>
      </c>
      <c r="T42" s="629">
        <f t="shared" si="68"/>
        <v>0</v>
      </c>
      <c r="U42" s="612">
        <f t="shared" si="68"/>
        <v>886.05</v>
      </c>
      <c r="V42" s="584">
        <f t="shared" si="68"/>
        <v>90358378.099999994</v>
      </c>
      <c r="W42" s="641">
        <f t="shared" si="61"/>
        <v>0.56400381922342457</v>
      </c>
      <c r="X42" s="583">
        <f t="shared" si="62"/>
        <v>0.52285182146391429</v>
      </c>
      <c r="Y42" s="631"/>
      <c r="Z42" s="581" t="s">
        <v>114</v>
      </c>
      <c r="AA42" s="644">
        <f t="shared" ref="AA42:AF42" si="69">SUM(AA38:AA41)</f>
        <v>58.55</v>
      </c>
      <c r="AB42" s="644">
        <f t="shared" si="69"/>
        <v>6369699</v>
      </c>
      <c r="AC42" s="644">
        <f t="shared" si="69"/>
        <v>82.33</v>
      </c>
      <c r="AD42" s="644">
        <f t="shared" si="69"/>
        <v>9052900</v>
      </c>
      <c r="AE42" s="644">
        <f t="shared" si="69"/>
        <v>0</v>
      </c>
      <c r="AF42" s="656">
        <f t="shared" si="69"/>
        <v>0</v>
      </c>
      <c r="AG42" s="612">
        <f t="shared" si="65"/>
        <v>140.88</v>
      </c>
      <c r="AH42" s="630">
        <f t="shared" si="66"/>
        <v>15422599</v>
      </c>
      <c r="AJ42" s="651">
        <v>45474</v>
      </c>
      <c r="AK42" s="672">
        <v>0</v>
      </c>
      <c r="AL42" s="672">
        <v>0</v>
      </c>
    </row>
    <row r="43" spans="2:38" ht="16.5" customHeight="1">
      <c r="B43" s="2335" t="s">
        <v>1882</v>
      </c>
      <c r="C43" s="2343"/>
      <c r="D43" s="2336"/>
      <c r="E43" s="2343" t="s">
        <v>7</v>
      </c>
      <c r="F43" s="2360"/>
      <c r="G43" s="2352" t="s">
        <v>13</v>
      </c>
      <c r="H43" s="2360"/>
      <c r="I43" s="2352" t="s">
        <v>1875</v>
      </c>
      <c r="J43" s="2343"/>
      <c r="K43" s="2335" t="s">
        <v>114</v>
      </c>
      <c r="L43" s="2336"/>
      <c r="M43" s="622"/>
      <c r="N43" s="2353" t="s">
        <v>3</v>
      </c>
      <c r="O43" s="2360" t="s">
        <v>7</v>
      </c>
      <c r="P43" s="2333"/>
      <c r="Q43" s="2333" t="s">
        <v>13</v>
      </c>
      <c r="R43" s="2333"/>
      <c r="S43" s="2333" t="s">
        <v>1875</v>
      </c>
      <c r="T43" s="2352"/>
      <c r="U43" s="2332" t="s">
        <v>114</v>
      </c>
      <c r="V43" s="2333"/>
      <c r="W43" s="2333" t="s">
        <v>1877</v>
      </c>
      <c r="X43" s="2334"/>
      <c r="Y43" s="622"/>
      <c r="Z43" s="2358" t="s">
        <v>3</v>
      </c>
      <c r="AA43" s="2332" t="s">
        <v>7</v>
      </c>
      <c r="AB43" s="2333"/>
      <c r="AC43" s="2333" t="s">
        <v>13</v>
      </c>
      <c r="AD43" s="2333"/>
      <c r="AE43" s="2333" t="s">
        <v>1875</v>
      </c>
      <c r="AF43" s="2334"/>
      <c r="AG43" s="2343" t="s">
        <v>114</v>
      </c>
      <c r="AH43" s="2336"/>
      <c r="AJ43" s="651">
        <v>45505</v>
      </c>
      <c r="AK43" s="665">
        <v>409</v>
      </c>
      <c r="AL43" s="666">
        <v>49056754</v>
      </c>
    </row>
    <row r="44" spans="2:38" ht="15.75">
      <c r="B44" s="559" t="s">
        <v>1878</v>
      </c>
      <c r="C44" s="560" t="s">
        <v>1879</v>
      </c>
      <c r="D44" s="561" t="s">
        <v>1880</v>
      </c>
      <c r="E44" s="562" t="s">
        <v>1872</v>
      </c>
      <c r="F44" s="563" t="s">
        <v>1881</v>
      </c>
      <c r="G44" s="562" t="s">
        <v>1872</v>
      </c>
      <c r="H44" s="563" t="s">
        <v>1881</v>
      </c>
      <c r="I44" s="562" t="s">
        <v>1872</v>
      </c>
      <c r="J44" s="623" t="s">
        <v>1881</v>
      </c>
      <c r="K44" s="610" t="s">
        <v>1872</v>
      </c>
      <c r="L44" s="624" t="s">
        <v>1881</v>
      </c>
      <c r="M44" s="622"/>
      <c r="N44" s="2354"/>
      <c r="O44" s="562" t="s">
        <v>1872</v>
      </c>
      <c r="P44" s="563" t="s">
        <v>1881</v>
      </c>
      <c r="Q44" s="562" t="s">
        <v>1872</v>
      </c>
      <c r="R44" s="563" t="s">
        <v>1881</v>
      </c>
      <c r="S44" s="562" t="s">
        <v>1872</v>
      </c>
      <c r="T44" s="563" t="s">
        <v>1881</v>
      </c>
      <c r="U44" s="610" t="s">
        <v>1872</v>
      </c>
      <c r="V44" s="563" t="s">
        <v>1881</v>
      </c>
      <c r="W44" s="563" t="s">
        <v>1872</v>
      </c>
      <c r="X44" s="624" t="s">
        <v>1881</v>
      </c>
      <c r="Y44" s="622"/>
      <c r="Z44" s="2359"/>
      <c r="AA44" s="610" t="s">
        <v>1872</v>
      </c>
      <c r="AB44" s="563" t="s">
        <v>1881</v>
      </c>
      <c r="AC44" s="563" t="s">
        <v>1872</v>
      </c>
      <c r="AD44" s="563" t="s">
        <v>1881</v>
      </c>
      <c r="AE44" s="563" t="s">
        <v>1872</v>
      </c>
      <c r="AF44" s="624" t="s">
        <v>1881</v>
      </c>
      <c r="AG44" s="562" t="s">
        <v>1872</v>
      </c>
      <c r="AH44" s="624" t="s">
        <v>1881</v>
      </c>
      <c r="AJ44" s="651">
        <v>45536</v>
      </c>
      <c r="AK44" s="665">
        <v>501</v>
      </c>
      <c r="AL44" s="666">
        <v>60506527</v>
      </c>
    </row>
    <row r="45" spans="2:38" ht="15.75">
      <c r="B45" s="564" t="s">
        <v>1892</v>
      </c>
      <c r="C45" s="574">
        <v>177</v>
      </c>
      <c r="D45" s="588">
        <f>C45/$C$48</f>
        <v>0.5130434782608696</v>
      </c>
      <c r="E45" s="572">
        <f>$D45*($E$42*85%)</f>
        <v>0</v>
      </c>
      <c r="F45" s="573">
        <f>$D45*($F$42*85%)</f>
        <v>0</v>
      </c>
      <c r="G45" s="573">
        <f>$D45*($G$42*85%)</f>
        <v>467.04913043478263</v>
      </c>
      <c r="H45" s="573">
        <f>$D45*($H$42*85%)</f>
        <v>48977711.915652178</v>
      </c>
      <c r="I45" s="573">
        <f>$D45*($I$42*85%)</f>
        <v>218.04347826086959</v>
      </c>
      <c r="J45" s="628">
        <f>$D45*($J$42*85%)</f>
        <v>26386107.209130436</v>
      </c>
      <c r="K45" s="596">
        <f>E45+G45+I45</f>
        <v>685.09260869565219</v>
      </c>
      <c r="L45" s="626">
        <f>F45+H45+J45</f>
        <v>75363819.124782622</v>
      </c>
      <c r="M45" s="609"/>
      <c r="N45" s="627" t="s">
        <v>1892</v>
      </c>
      <c r="O45" s="572">
        <f>SUMIFS(РД[S],РД[Дом],$O$36,РД[ИМ],$N45,РД[Дата подачи на регистрацию],"&gt;="&amp;$N$35,РД[Дата подачи на регистрацию],"&lt;"&amp;DATE(YEAR($B$35),MONTH($B$35)+1,1),РД[Состояние],"Продажа")-AA45/2</f>
        <v>29.274999999999999</v>
      </c>
      <c r="P45" s="573">
        <f>SUMIFS(РД[Стоимость без отделки итог],РД[Дом],$O$36,РД[ИМ],$N45,РД[Дата подачи на регистрацию],"&gt;="&amp;$N$35,РД[Дата подачи на регистрацию],"&lt;"&amp;DATE(YEAR($B$35),MONTH($B$35)+1,1),РД[Состояние],"Продажа")-AB45/2</f>
        <v>3184849.5</v>
      </c>
      <c r="Q45" s="573">
        <f>SUMIFS(РД[S],РД[Дом],$Q$36,РД[ИМ],$N45,РД[Дата подачи на регистрацию],"&gt;="&amp;$N$35,РД[Дата подачи на регистрацию],"&lt;"&amp;DATE(YEAR($B$35),MONTH($B$35)+1,1),РД[Состояние],"Продажа")-AC45/2</f>
        <v>145.10500000000002</v>
      </c>
      <c r="R45" s="573">
        <f>SUMIFS(РД[Стоимость без отделки итог],РД[Дом],$Q$36,РД[ИМ],$N45,РД[Дата подачи на регистрацию],"&gt;="&amp;$N$35,РД[Дата подачи на регистрацию],"&lt;"&amp;DATE(YEAR($B$35),MONTH($B$35)+1,1),РД[Состояние],"Продажа")-AD45/2</f>
        <v>16157760</v>
      </c>
      <c r="S45" s="573">
        <f>SUMIFS(РД[S],РД[Дом],$S$36,РД[ИМ],$N45,РД[Дата подачи на регистрацию],"&gt;="&amp;$N$35,РД[Дата подачи на регистрацию],"&lt;"&amp;DATE(YEAR($B$35),MONTH($B$35)+1,1),РД[Состояние],"Продажа")-AE45/2</f>
        <v>0</v>
      </c>
      <c r="T45" s="628">
        <f>SUMIFS(РД[Стоимость без отделки итог],РД[Дом],$S$36,РД[ИМ],$N45,РД[Дата подачи на регистрацию],"&gt;="&amp;$N$35,РД[Дата подачи на регистрацию],"&lt;"&amp;DATE(YEAR($B$35),MONTH($B$35)+1,1),РД[Состояние],"Продажа")-AF45/2</f>
        <v>0</v>
      </c>
      <c r="U45" s="636">
        <f t="shared" ref="U45:V47" si="70">O45+Q45+S45</f>
        <v>174.38000000000002</v>
      </c>
      <c r="V45" s="573">
        <f t="shared" si="70"/>
        <v>19342609.5</v>
      </c>
      <c r="W45" s="645">
        <f t="shared" ref="W45:W48" si="71">IFERROR(U45/K45,"")</f>
        <v>0.25453493117084142</v>
      </c>
      <c r="X45" s="588">
        <f t="shared" ref="X45:X48" si="72">IFERROR(V45/L45,"")</f>
        <v>0.25665643971643393</v>
      </c>
      <c r="Y45" s="609"/>
      <c r="Z45" s="564" t="s">
        <v>1892</v>
      </c>
      <c r="AA45" s="573">
        <f>SUMIFS(РД[S],РД[Дом],$AA$36,РД[ИМ],$Z45,РД[Источник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58.55</v>
      </c>
      <c r="AB45" s="573">
        <f>SUMIFS(РД[Стоимость без отделки итог],РД[Дом],$AA$36,РД[ИМ],$Z45,РД[Источник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6369699</v>
      </c>
      <c r="AC45" s="573">
        <f>SUMIFS(РД[S],РД[Дом],$AC$36,РД[ИМ],$Z45,РД[Источник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24.53</v>
      </c>
      <c r="AD45" s="573">
        <f>SUMIFS(РД[Стоимость без отделки итог],РД[Дом],$AC$36,РД[ИМ],$Z45,РД[Источник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3373000</v>
      </c>
      <c r="AE45" s="573">
        <f>SUMIFS(РД[S],РД[Дом],$AE$36,РД[ИМ],$Z45,РД[Источник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45" s="652">
        <f>SUMIFS(РД[Стоимость без отделки итог],РД[Дом],$AE$36,РД[ИМ],$Z45,РД[Источник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45" s="636">
        <f>AA45+AC45+AE45</f>
        <v>83.08</v>
      </c>
      <c r="AH45" s="661">
        <f>AB45+AD45+AF45</f>
        <v>9742699</v>
      </c>
      <c r="AJ45" s="651">
        <v>45566</v>
      </c>
      <c r="AK45" s="665">
        <v>541</v>
      </c>
      <c r="AL45" s="666">
        <v>63764190</v>
      </c>
    </row>
    <row r="46" spans="2:38" ht="15.75">
      <c r="B46" s="569" t="s">
        <v>22</v>
      </c>
      <c r="C46" s="574">
        <v>168</v>
      </c>
      <c r="D46" s="588">
        <f>C46/$C$48</f>
        <v>0.48695652173913045</v>
      </c>
      <c r="E46" s="572">
        <f>$D46*($E$42*85%)</f>
        <v>0</v>
      </c>
      <c r="F46" s="573">
        <f>$D46*($F$42*85%)</f>
        <v>0</v>
      </c>
      <c r="G46" s="573">
        <f>$D46*($G$42*85%)</f>
        <v>443.3008695652174</v>
      </c>
      <c r="H46" s="573">
        <f>$D46*($H$42*85%)</f>
        <v>46487319.784347832</v>
      </c>
      <c r="I46" s="573">
        <f t="shared" ref="I46:I47" si="73">$D46*($I$42*85%)</f>
        <v>206.95652173913044</v>
      </c>
      <c r="J46" s="628">
        <f t="shared" ref="J46:J47" si="74">$D46*($J$42*85%)</f>
        <v>25044440.740869563</v>
      </c>
      <c r="K46" s="596">
        <f t="shared" ref="K46:K48" si="75">E46+G46+I46</f>
        <v>650.25739130434783</v>
      </c>
      <c r="L46" s="626">
        <f t="shared" ref="L46:L48" si="76">F46+H46+J46</f>
        <v>71531760.525217399</v>
      </c>
      <c r="M46" s="609"/>
      <c r="N46" s="569" t="s">
        <v>22</v>
      </c>
      <c r="O46" s="606">
        <f>SUMIFS(РД[S],РД[Дом],$O$36,РД[ИМ],$N46,РД[Дата подачи на регистрацию],"&gt;="&amp;$N$35,РД[Дата подачи на регистрацию],"&lt;"&amp;DATE(YEAR($B$35),MONTH($B$35)+1,1),РД[Состояние],"Продажа")</f>
        <v>140.46</v>
      </c>
      <c r="P46" s="597">
        <f>SUMIFS(РД[Стоимость без отделки итог],РД[Дом],$O$36,РД[ИМ],$N46,РД[Дата подачи на регистрацию],"&gt;="&amp;$N$35,РД[Дата подачи на регистрацию],"&lt;"&amp;DATE(YEAR($B$35),MONTH($B$35)+1,1),РД[Состояние],"Продажа")</f>
        <v>14010782</v>
      </c>
      <c r="Q46" s="597">
        <f>SUMIFS(РД[S],РД[Дом],$Q$36,РД[ИМ],$N46,РД[Дата подачи на регистрацию],"&gt;="&amp;$N$35,РД[Дата подачи на регистрацию],"&lt;"&amp;DATE(YEAR($B$35),MONTH($B$35)+1,1),РД[Состояние],"Продажа")</f>
        <v>268.27</v>
      </c>
      <c r="R46" s="597">
        <f>SUMIFS(РД[Стоимость без отделки итог],РД[Дом],$Q$36,РД[ИМ],$N46,РД[Дата подачи на регистрацию],"&gt;="&amp;$N$35,РД[Дата подачи на регистрацию],"&lt;"&amp;DATE(YEAR($B$35),MONTH($B$35)+1,1),РД[Состояние],"Продажа")</f>
        <v>26811173</v>
      </c>
      <c r="S46" s="597">
        <f>SUMIFS(РД[S],РД[Дом],$S$36,РД[ИМ],$N46,РД[Дата подачи на регистрацию],"&gt;="&amp;$N$35,РД[Дата подачи на регистрацию],"&lt;"&amp;DATE(YEAR($B$35),MONTH($B$35)+1,1),РД[Состояние],"Продажа")</f>
        <v>0</v>
      </c>
      <c r="T46" s="632">
        <f>SUMIFS(РД[Стоимость без отделки итог],РД[Дом],$S$36,РД[ИМ],$N46,РД[Дата подачи на регистрацию],"&gt;="&amp;$N$35,РД[Дата подачи на регистрацию],"&lt;"&amp;DATE(YEAR($B$35),MONTH($B$35)+1,1),РД[Состояние],"Продажа")</f>
        <v>0</v>
      </c>
      <c r="U46" s="596">
        <f t="shared" si="70"/>
        <v>408.73</v>
      </c>
      <c r="V46" s="597">
        <f t="shared" si="70"/>
        <v>40821955</v>
      </c>
      <c r="W46" s="638">
        <f t="shared" si="71"/>
        <v>0.62856648069794441</v>
      </c>
      <c r="X46" s="617">
        <f t="shared" si="72"/>
        <v>0.57068293440937834</v>
      </c>
      <c r="Y46" s="609"/>
      <c r="Z46" s="569" t="s">
        <v>22</v>
      </c>
      <c r="AA46" s="573">
        <f>SUMIFS(РД[S],РД[Дом],$AA$36,РД[ИМ],$Z46,РД[Источник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B46" s="573">
        <f>SUMIFS(РД[Стоимость без отделки итог],РД[Дом],$AA$36,РД[ИМ],$Z46,РД[Источник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C46" s="573">
        <f>SUMIFS(РД[S],РД[Дом],$AC$36,РД[ИМ],$Z46,РД[Источник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57.8</v>
      </c>
      <c r="AD46" s="573">
        <f>SUMIFS(РД[Стоимость без отделки итог],РД[Дом],$AC$36,РД[ИМ],$Z46,РД[Источник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5679900</v>
      </c>
      <c r="AE46" s="573">
        <f>SUMIFS(РД[S],РД[Дом],$AE$36,РД[ИМ],$Z46,РД[Источник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46" s="652">
        <f>SUMIFS(РД[Стоимость без отделки итог],РД[Дом],$AE$36,РД[ИМ],$Z46,РД[Источник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46" s="636">
        <f t="shared" ref="AG46:AG47" si="77">AA46+AC46+AE46</f>
        <v>57.8</v>
      </c>
      <c r="AH46" s="652">
        <f t="shared" ref="AH46:AH47" si="78">AB46+AD46+AF46</f>
        <v>5679900</v>
      </c>
      <c r="AJ46" s="651">
        <v>45597</v>
      </c>
      <c r="AK46" s="665">
        <v>582</v>
      </c>
      <c r="AL46" s="666">
        <v>67021853</v>
      </c>
    </row>
    <row r="47" spans="2:38" ht="15.75">
      <c r="B47" s="576" t="s">
        <v>16</v>
      </c>
      <c r="C47" s="574">
        <v>0</v>
      </c>
      <c r="D47" s="608">
        <f>C47/$C$48</f>
        <v>0</v>
      </c>
      <c r="E47" s="589">
        <f>$D47*($E$42*85%)</f>
        <v>0</v>
      </c>
      <c r="F47" s="590">
        <f>$D47*($F$42*85%)</f>
        <v>0</v>
      </c>
      <c r="G47" s="590">
        <f>$D47*($G$42*85%)</f>
        <v>0</v>
      </c>
      <c r="H47" s="590">
        <f>$D47*($H$42*85%)</f>
        <v>0</v>
      </c>
      <c r="I47" s="573">
        <f t="shared" si="73"/>
        <v>0</v>
      </c>
      <c r="J47" s="628">
        <f t="shared" si="74"/>
        <v>0</v>
      </c>
      <c r="K47" s="596">
        <f t="shared" si="75"/>
        <v>0</v>
      </c>
      <c r="L47" s="626">
        <f t="shared" si="76"/>
        <v>0</v>
      </c>
      <c r="M47" s="609"/>
      <c r="N47" s="576" t="s">
        <v>16</v>
      </c>
      <c r="O47" s="589">
        <f>SUMIFS(РД[S],РД[Дом],$O$36,РД[ИМ],$N47,РД[Дата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P47" s="590">
        <f>SUMIFS(РД[Стоимость без отделки итог],РД[Дом],$O$36,РД[ИМ],$N47,РД[Дата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Q47" s="590">
        <f>SUMIFS(РД[S],РД[Дом],$Q$36,РД[ИМ],$N47,РД[Дата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R47" s="590">
        <f>SUMIFS(РД[Стоимость без отделки итог],РД[Дом],$Q$36,РД[ИМ],$N47,РД[Дата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S47" s="590">
        <f>SUMIFS(РД[S],РД[Дом],$S$36,РД[ИМ],$N47,РД[Дата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T47" s="635">
        <f>SUMIFS(РД[Стоимость без отделки итог],РД[Дом],$S$36,РД[ИМ],$N47,РД[Дата подачи на регистрацию],"&gt;="&amp;$N$35,РД[Дата подачи на регистрацию],"&lt;"&amp;DATE(YEAR($B$35),MONTH($B$35)+1,1),РД[Состояние],"Продажа")</f>
        <v>0</v>
      </c>
      <c r="U47" s="646">
        <f t="shared" si="70"/>
        <v>0</v>
      </c>
      <c r="V47" s="590">
        <f t="shared" si="70"/>
        <v>0</v>
      </c>
      <c r="W47" s="639" t="str">
        <f t="shared" si="71"/>
        <v/>
      </c>
      <c r="X47" s="640" t="str">
        <f t="shared" si="72"/>
        <v/>
      </c>
      <c r="Y47" s="609"/>
      <c r="Z47" s="576" t="s">
        <v>16</v>
      </c>
      <c r="AA47" s="580">
        <f>SUMIFS(РД[S],РД[Дом],$AA$36,РД[ИМ],$Z47,РД[Источник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B47" s="580">
        <f>SUMIFS(РД[Стоимость без отделки итог],РД[Дом],$AA$36,РД[ИМ],$Z47,РД[Источник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C47" s="580">
        <f>SUMIFS(РД[S],РД[Дом],$AC$36,РД[ИМ],$Z47,РД[Источник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D47" s="580">
        <f>SUMIFS(РД[Стоимость без отделки итог],РД[Дом],$AC$36,РД[ИМ],$Z47,РД[Источник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E47" s="573">
        <f>SUMIFS(РД[S],РД[Дом],$AE$36,РД[ИМ],$Z47,РД[Источник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F47" s="652">
        <f>SUMIFS(РД[Стоимость без отделки итог],РД[Дом],$AE$36,РД[ИМ],$Z47,РД[Источник обращения],"Агент*",РД[Дата подачи на регистрацию],"&gt;="&amp;$Z$35,РД[Дата подачи на регистрацию],"&lt;"&amp;DATE(YEAR($B$35),MONTH($B$35)+1,1),РД[Состояние],"Продажа")</f>
        <v>0</v>
      </c>
      <c r="AG47" s="646">
        <f t="shared" si="77"/>
        <v>0</v>
      </c>
      <c r="AH47" s="653">
        <f t="shared" si="78"/>
        <v>0</v>
      </c>
      <c r="AJ47" s="651">
        <v>45627</v>
      </c>
      <c r="AK47" s="665">
        <v>582</v>
      </c>
      <c r="AL47" s="666">
        <v>67021853</v>
      </c>
    </row>
    <row r="48" spans="2:38">
      <c r="B48" s="581" t="s">
        <v>114</v>
      </c>
      <c r="C48" s="582">
        <f>SUM(C45:C47)</f>
        <v>345</v>
      </c>
      <c r="D48" s="583">
        <f t="shared" ref="D48:J48" si="79">SUM(D45:D47)</f>
        <v>1</v>
      </c>
      <c r="E48" s="582">
        <f t="shared" si="79"/>
        <v>0</v>
      </c>
      <c r="F48" s="584">
        <f t="shared" si="79"/>
        <v>0</v>
      </c>
      <c r="G48" s="584">
        <f t="shared" si="79"/>
        <v>910.35</v>
      </c>
      <c r="H48" s="584">
        <f t="shared" si="79"/>
        <v>95465031.700000018</v>
      </c>
      <c r="I48" s="584">
        <f t="shared" si="79"/>
        <v>425</v>
      </c>
      <c r="J48" s="629">
        <f t="shared" si="79"/>
        <v>51430547.950000003</v>
      </c>
      <c r="K48" s="612">
        <f t="shared" si="75"/>
        <v>1335.35</v>
      </c>
      <c r="L48" s="630">
        <f t="shared" si="76"/>
        <v>146895579.65000004</v>
      </c>
      <c r="M48" s="631"/>
      <c r="N48" s="581" t="s">
        <v>114</v>
      </c>
      <c r="O48" s="582">
        <f>SUM(O45:O47)</f>
        <v>169.73500000000001</v>
      </c>
      <c r="P48" s="584">
        <f t="shared" ref="P48" si="80">SUM(P45:P47)</f>
        <v>17195631.5</v>
      </c>
      <c r="Q48" s="584">
        <f t="shared" ref="Q48" si="81">SUM(Q45:Q47)</f>
        <v>413.375</v>
      </c>
      <c r="R48" s="584">
        <f t="shared" ref="R48" si="82">SUM(R45:R47)</f>
        <v>42968933</v>
      </c>
      <c r="S48" s="584">
        <f t="shared" ref="S48" si="83">SUM(S45:S47)</f>
        <v>0</v>
      </c>
      <c r="T48" s="629">
        <f t="shared" ref="T48" si="84">SUM(T45:T47)</f>
        <v>0</v>
      </c>
      <c r="U48" s="612">
        <f t="shared" ref="U48" si="85">SUM(U45:U47)</f>
        <v>583.11</v>
      </c>
      <c r="V48" s="584">
        <f t="shared" ref="V48" si="86">SUM(V45:V47)</f>
        <v>60164564.5</v>
      </c>
      <c r="W48" s="641">
        <f t="shared" si="71"/>
        <v>0.43667203354925677</v>
      </c>
      <c r="X48" s="583">
        <f t="shared" si="72"/>
        <v>0.4095736893060416</v>
      </c>
      <c r="Y48" s="631"/>
      <c r="Z48" s="581" t="s">
        <v>114</v>
      </c>
      <c r="AA48" s="584">
        <f t="shared" ref="AA48:AH48" si="87">SUM(AA45:AA47)</f>
        <v>58.55</v>
      </c>
      <c r="AB48" s="584">
        <f t="shared" si="87"/>
        <v>6369699</v>
      </c>
      <c r="AC48" s="584">
        <f t="shared" si="87"/>
        <v>82.33</v>
      </c>
      <c r="AD48" s="584">
        <f t="shared" si="87"/>
        <v>9052900</v>
      </c>
      <c r="AE48" s="584">
        <f t="shared" si="87"/>
        <v>0</v>
      </c>
      <c r="AF48" s="584">
        <f t="shared" si="87"/>
        <v>0</v>
      </c>
      <c r="AG48" s="612">
        <f t="shared" si="87"/>
        <v>140.88</v>
      </c>
      <c r="AH48" s="630">
        <f t="shared" si="87"/>
        <v>15422599</v>
      </c>
      <c r="AJ48" s="660" t="s">
        <v>1896</v>
      </c>
      <c r="AK48" s="671">
        <v>2676</v>
      </c>
      <c r="AL48" s="671">
        <v>314780761</v>
      </c>
    </row>
    <row r="50" spans="2:34">
      <c r="C50" s="609"/>
      <c r="D50" s="609"/>
      <c r="E50" s="609"/>
      <c r="F50" s="609"/>
      <c r="G50" s="609"/>
      <c r="H50" s="609"/>
      <c r="I50" s="609"/>
      <c r="J50" s="609"/>
      <c r="K50" s="609"/>
    </row>
    <row r="51" spans="2:34">
      <c r="B51" s="2329" t="s">
        <v>1899</v>
      </c>
      <c r="C51" s="2330"/>
      <c r="D51" s="2330"/>
      <c r="E51" s="2330"/>
      <c r="F51" s="2330"/>
      <c r="G51" s="2330"/>
      <c r="H51" s="2330"/>
      <c r="I51" s="2330"/>
      <c r="J51" s="2330"/>
      <c r="K51" s="2330"/>
      <c r="L51" s="2331"/>
      <c r="M51" s="621"/>
      <c r="N51" s="2361" t="str">
        <f>B51</f>
        <v>3 квартал 2024</v>
      </c>
      <c r="O51" s="2362"/>
      <c r="P51" s="2362"/>
      <c r="Q51" s="2362"/>
      <c r="R51" s="2362"/>
      <c r="S51" s="2362"/>
      <c r="T51" s="2362"/>
      <c r="U51" s="2362"/>
      <c r="V51" s="2362"/>
      <c r="W51" s="2362"/>
      <c r="X51" s="2363"/>
      <c r="Y51" s="621"/>
      <c r="Z51" s="2329" t="str">
        <f>N51</f>
        <v>3 квартал 2024</v>
      </c>
      <c r="AA51" s="2330"/>
      <c r="AB51" s="2330"/>
      <c r="AC51" s="2330"/>
      <c r="AD51" s="2330"/>
      <c r="AE51" s="2330"/>
      <c r="AF51" s="2330"/>
      <c r="AG51" s="2330"/>
      <c r="AH51" s="2331"/>
    </row>
    <row r="52" spans="2:34" ht="16.5" customHeight="1">
      <c r="B52" s="2332" t="s">
        <v>1874</v>
      </c>
      <c r="C52" s="2333"/>
      <c r="D52" s="2334"/>
      <c r="E52" s="2360" t="s">
        <v>7</v>
      </c>
      <c r="F52" s="2333"/>
      <c r="G52" s="2333" t="s">
        <v>13</v>
      </c>
      <c r="H52" s="2333"/>
      <c r="I52" s="2352" t="s">
        <v>1875</v>
      </c>
      <c r="J52" s="2343"/>
      <c r="K52" s="2335" t="s">
        <v>114</v>
      </c>
      <c r="L52" s="2336"/>
      <c r="M52" s="622"/>
      <c r="N52" s="2353" t="s">
        <v>1</v>
      </c>
      <c r="O52" s="2333" t="s">
        <v>7</v>
      </c>
      <c r="P52" s="2333"/>
      <c r="Q52" s="2333" t="s">
        <v>13</v>
      </c>
      <c r="R52" s="2333"/>
      <c r="S52" s="2333" t="s">
        <v>1875</v>
      </c>
      <c r="T52" s="2352"/>
      <c r="U52" s="2332" t="s">
        <v>114</v>
      </c>
      <c r="V52" s="2333"/>
      <c r="W52" s="2333" t="s">
        <v>1877</v>
      </c>
      <c r="X52" s="2334"/>
      <c r="Y52" s="622"/>
      <c r="Z52" s="2353" t="s">
        <v>1</v>
      </c>
      <c r="AA52" s="2360" t="s">
        <v>7</v>
      </c>
      <c r="AB52" s="2333"/>
      <c r="AC52" s="2333" t="s">
        <v>13</v>
      </c>
      <c r="AD52" s="2333"/>
      <c r="AE52" s="2333" t="s">
        <v>1875</v>
      </c>
      <c r="AF52" s="2352"/>
      <c r="AG52" s="2332" t="s">
        <v>114</v>
      </c>
      <c r="AH52" s="2334"/>
    </row>
    <row r="53" spans="2:34" ht="15.75">
      <c r="B53" s="559" t="s">
        <v>1878</v>
      </c>
      <c r="C53" s="560" t="s">
        <v>1879</v>
      </c>
      <c r="D53" s="561" t="s">
        <v>1880</v>
      </c>
      <c r="E53" s="562" t="s">
        <v>1872</v>
      </c>
      <c r="F53" s="563" t="s">
        <v>1881</v>
      </c>
      <c r="G53" s="562" t="s">
        <v>1872</v>
      </c>
      <c r="H53" s="563" t="s">
        <v>1881</v>
      </c>
      <c r="I53" s="562" t="s">
        <v>1872</v>
      </c>
      <c r="J53" s="623" t="s">
        <v>1881</v>
      </c>
      <c r="K53" s="610" t="s">
        <v>1872</v>
      </c>
      <c r="L53" s="624" t="s">
        <v>1881</v>
      </c>
      <c r="M53" s="622"/>
      <c r="N53" s="2355"/>
      <c r="O53" s="562" t="s">
        <v>1872</v>
      </c>
      <c r="P53" s="563" t="s">
        <v>1881</v>
      </c>
      <c r="Q53" s="562" t="s">
        <v>1872</v>
      </c>
      <c r="R53" s="563" t="s">
        <v>1881</v>
      </c>
      <c r="S53" s="562" t="s">
        <v>1872</v>
      </c>
      <c r="T53" s="563" t="s">
        <v>1881</v>
      </c>
      <c r="U53" s="610" t="s">
        <v>1872</v>
      </c>
      <c r="V53" s="563" t="s">
        <v>1881</v>
      </c>
      <c r="W53" s="563" t="s">
        <v>1872</v>
      </c>
      <c r="X53" s="624" t="s">
        <v>1881</v>
      </c>
      <c r="Y53" s="622"/>
      <c r="Z53" s="2354"/>
      <c r="AA53" s="562" t="s">
        <v>1872</v>
      </c>
      <c r="AB53" s="563" t="s">
        <v>1881</v>
      </c>
      <c r="AC53" s="563" t="s">
        <v>1872</v>
      </c>
      <c r="AD53" s="563" t="s">
        <v>1881</v>
      </c>
      <c r="AE53" s="563" t="s">
        <v>1872</v>
      </c>
      <c r="AF53" s="623" t="s">
        <v>1881</v>
      </c>
      <c r="AG53" s="610" t="s">
        <v>1872</v>
      </c>
      <c r="AH53" s="624" t="s">
        <v>1881</v>
      </c>
    </row>
    <row r="54" spans="2:34" ht="15.75">
      <c r="B54" s="569" t="s">
        <v>8</v>
      </c>
      <c r="C54" s="595">
        <f>C38+C22+C6</f>
        <v>516</v>
      </c>
      <c r="D54" s="575">
        <f>C54/$C$58</f>
        <v>0.30478440637920851</v>
      </c>
      <c r="E54" s="572">
        <f t="shared" ref="E54:J55" si="88">$D54*E$58</f>
        <v>267.44315219531666</v>
      </c>
      <c r="F54" s="772">
        <f t="shared" si="88"/>
        <v>19195493.202598937</v>
      </c>
      <c r="G54" s="772">
        <f t="shared" si="88"/>
        <v>868.04535807358479</v>
      </c>
      <c r="H54" s="772">
        <f t="shared" si="88"/>
        <v>90830377.072124273</v>
      </c>
      <c r="I54" s="772">
        <f t="shared" si="88"/>
        <v>277.35380980507972</v>
      </c>
      <c r="J54" s="779">
        <f t="shared" si="88"/>
        <v>33393179.560543414</v>
      </c>
      <c r="K54" s="596">
        <f>E54+G54+I54</f>
        <v>1412.842320073981</v>
      </c>
      <c r="L54" s="626">
        <f>F54+H54+J54</f>
        <v>143419049.83526662</v>
      </c>
      <c r="M54" s="609"/>
      <c r="N54" s="564" t="s">
        <v>8</v>
      </c>
      <c r="O54" s="567">
        <f t="shared" ref="O54:T57" si="89">O6+O22+O38</f>
        <v>200.85000000000002</v>
      </c>
      <c r="P54" s="568">
        <f t="shared" si="89"/>
        <v>20671018</v>
      </c>
      <c r="Q54" s="568">
        <f t="shared" si="89"/>
        <v>1094.9299999999998</v>
      </c>
      <c r="R54" s="568">
        <f t="shared" si="89"/>
        <v>112661520</v>
      </c>
      <c r="S54" s="568">
        <f t="shared" si="89"/>
        <v>0</v>
      </c>
      <c r="T54" s="625">
        <f t="shared" si="89"/>
        <v>0</v>
      </c>
      <c r="U54" s="594">
        <f>O54+Q54+S54</f>
        <v>1295.7799999999997</v>
      </c>
      <c r="V54" s="568">
        <f>P54+R54+T54</f>
        <v>133332538</v>
      </c>
      <c r="W54" s="637">
        <f>IFERROR(U54/K54,"")</f>
        <v>0.91714410135460023</v>
      </c>
      <c r="X54" s="616">
        <f>IFERROR(V54/L54,"")</f>
        <v>0.92967104546535384</v>
      </c>
      <c r="Y54" s="609"/>
      <c r="Z54" s="627" t="s">
        <v>8</v>
      </c>
      <c r="AA54" s="572">
        <f>SUMIFS(РД[S],РД[Дом],$AA$36,РД[МОП],$Z54,РД[Источник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B54" s="573">
        <f>SUMIFS(РД[Стоимость без отделки итог],РД[Дом],$AA$36,РД[МОП],$Z54,РД[Источник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C54" s="573">
        <f>SUMIFS(РД[S],РД[Дом],$AC$36,РД[МОП],$Z54,РД[Источник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64.22</v>
      </c>
      <c r="AD54" s="573">
        <f>SUMIFS(РД[Стоимость без отделки итог],РД[Дом],$AC$36,РД[МОП],$Z54,РД[Источник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7839500</v>
      </c>
      <c r="AE54" s="573">
        <f>SUMIFS(РД[S],РД[Дом],$AE$36,РД[МОП],$Z54,РД[Источник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54" s="628">
        <f>SUMIFS(РД[Стоимость без отделки итог],РД[Дом],$AE$36,РД[МОП],$Z54,РД[Источник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54" s="636">
        <f>AA54+AC54+AE54</f>
        <v>64.22</v>
      </c>
      <c r="AH54" s="652">
        <f>AB54+AD54+AF54</f>
        <v>7839500</v>
      </c>
    </row>
    <row r="55" spans="2:34" ht="15.75">
      <c r="B55" s="569" t="s">
        <v>46</v>
      </c>
      <c r="C55" s="595">
        <v>336</v>
      </c>
      <c r="D55" s="575">
        <f>C55/$C$58</f>
        <v>0.1984642646190195</v>
      </c>
      <c r="E55" s="572">
        <f t="shared" si="88"/>
        <v>174.14902933648526</v>
      </c>
      <c r="F55" s="772">
        <f t="shared" si="88"/>
        <v>12499390.922622563</v>
      </c>
      <c r="G55" s="772">
        <f t="shared" si="88"/>
        <v>565.23883781535756</v>
      </c>
      <c r="H55" s="772">
        <f t="shared" si="88"/>
        <v>59145361.814406507</v>
      </c>
      <c r="I55" s="772">
        <f t="shared" si="88"/>
        <v>180.60248080330774</v>
      </c>
      <c r="J55" s="779">
        <f t="shared" si="88"/>
        <v>21744395.992911991</v>
      </c>
      <c r="K55" s="596">
        <f>E55+G55+I55</f>
        <v>919.99034795515058</v>
      </c>
      <c r="L55" s="626">
        <f>F55+H55+J55</f>
        <v>93389148.72994107</v>
      </c>
      <c r="M55" s="609"/>
      <c r="N55" s="569" t="s">
        <v>46</v>
      </c>
      <c r="O55" s="606">
        <f t="shared" si="89"/>
        <v>97.224999999999994</v>
      </c>
      <c r="P55" s="597">
        <f t="shared" si="89"/>
        <v>9865297.5</v>
      </c>
      <c r="Q55" s="597">
        <f t="shared" si="89"/>
        <v>60.24</v>
      </c>
      <c r="R55" s="597">
        <f t="shared" si="89"/>
        <v>5885300</v>
      </c>
      <c r="S55" s="597">
        <f t="shared" si="89"/>
        <v>0</v>
      </c>
      <c r="T55" s="632">
        <f t="shared" si="89"/>
        <v>0</v>
      </c>
      <c r="U55" s="596">
        <f>O55+Q55+S55</f>
        <v>157.465</v>
      </c>
      <c r="V55" s="597">
        <f>P55+R55+T55</f>
        <v>15750597.5</v>
      </c>
      <c r="W55" s="638">
        <f t="shared" ref="W55:W58" si="90">IFERROR(U55/K55,"")</f>
        <v>0.17115940438939953</v>
      </c>
      <c r="X55" s="617">
        <f t="shared" ref="X55:X58" si="91">IFERROR(V55/L55,"")</f>
        <v>0.16865554204318678</v>
      </c>
      <c r="Y55" s="609"/>
      <c r="Z55" s="569" t="s">
        <v>46</v>
      </c>
      <c r="AA55" s="606">
        <f>SUMIFS(РД[S],РД[Дом],$AA$36,РД[МОП],$Z55,РД[Источник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58.55</v>
      </c>
      <c r="AB55" s="597">
        <f>SUMIFS(РД[Стоимость без отделки итог],РД[Дом],$AA$36,РД[МОП],$Z55,РД[Источник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6369699</v>
      </c>
      <c r="AC55" s="597">
        <f>SUMIFS(РД[S],РД[Дом],$AC$36,РД[МОП],$Z55,РД[Источник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D55" s="597">
        <f>SUMIFS(РД[Стоимость без отделки итог],РД[Дом],$AC$36,РД[МОП],$Z55,РД[Источник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E55" s="597">
        <f>SUMIFS(РД[S],РД[Дом],$AE$36,РД[МОП],$Z55,РД[Источник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55" s="632">
        <f>SUMIFS(РД[Стоимость без отделки итог],РД[Дом],$AE$36,РД[МОП],$Z55,РД[Источник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55" s="596">
        <f>AA55+AC55+AE55</f>
        <v>58.55</v>
      </c>
      <c r="AH55" s="626">
        <f>AB55+AD55+AF55</f>
        <v>6369699</v>
      </c>
    </row>
    <row r="56" spans="2:34" ht="15.75">
      <c r="B56" s="569" t="s">
        <v>20</v>
      </c>
      <c r="C56" s="595">
        <f>C40+C24+C8</f>
        <v>397</v>
      </c>
      <c r="D56" s="575">
        <f>C56/$C$58</f>
        <v>0.2344949793266391</v>
      </c>
      <c r="E56" s="572">
        <f t="shared" ref="E56:H57" si="92">$D56*E$58</f>
        <v>205.76537097197811</v>
      </c>
      <c r="F56" s="772">
        <f t="shared" si="92"/>
        <v>14768625.584170112</v>
      </c>
      <c r="G56" s="772">
        <f t="shared" si="92"/>
        <v>667.85660301397888</v>
      </c>
      <c r="H56" s="772">
        <f t="shared" si="92"/>
        <v>69883061.429521963</v>
      </c>
      <c r="I56" s="772">
        <f t="shared" ref="I56:J57" si="93">$D56*I$58</f>
        <v>213.39043118724157</v>
      </c>
      <c r="J56" s="779">
        <f t="shared" si="93"/>
        <v>25692039.31305375</v>
      </c>
      <c r="K56" s="596">
        <f t="shared" ref="K56:K58" si="94">E56+G56+I56</f>
        <v>1087.0124051731987</v>
      </c>
      <c r="L56" s="626">
        <f t="shared" ref="L56:L58" si="95">F56+H56+J56</f>
        <v>110343726.32674584</v>
      </c>
      <c r="M56" s="609"/>
      <c r="N56" s="569" t="s">
        <v>20</v>
      </c>
      <c r="O56" s="606">
        <f t="shared" si="89"/>
        <v>209.45</v>
      </c>
      <c r="P56" s="597">
        <f t="shared" si="89"/>
        <v>22394389</v>
      </c>
      <c r="Q56" s="597">
        <f t="shared" si="89"/>
        <v>296.55500000000001</v>
      </c>
      <c r="R56" s="597">
        <f t="shared" si="89"/>
        <v>29405163</v>
      </c>
      <c r="S56" s="597">
        <f t="shared" si="89"/>
        <v>0</v>
      </c>
      <c r="T56" s="632">
        <f t="shared" si="89"/>
        <v>0</v>
      </c>
      <c r="U56" s="596">
        <f t="shared" ref="U56:U57" si="96">O56+Q56+S56</f>
        <v>506.005</v>
      </c>
      <c r="V56" s="597">
        <f t="shared" ref="V56:V57" si="97">P56+R56+T56</f>
        <v>51799552</v>
      </c>
      <c r="W56" s="638">
        <f t="shared" si="90"/>
        <v>0.46550066732621687</v>
      </c>
      <c r="X56" s="617">
        <f t="shared" si="91"/>
        <v>0.46943812506941307</v>
      </c>
      <c r="Y56" s="609"/>
      <c r="Z56" s="569" t="s">
        <v>20</v>
      </c>
      <c r="AA56" s="606">
        <f>SUMIFS(РД[S],РД[Дом],$AA$36,РД[МОП],$Z56,РД[Источник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B56" s="597">
        <f>SUMIFS(РД[Стоимость без отделки итог],РД[Дом],$AA$36,РД[МОП],$Z56,РД[Источник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C56" s="597">
        <f>SUMIFS(РД[S],РД[Дом],$AC$36,РД[МОП],$Z56,РД[Источник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43.21</v>
      </c>
      <c r="AD56" s="597">
        <f>SUMIFS(РД[Стоимость без отделки итог],РД[Дом],$AC$36,РД[МОП],$Z56,РД[Источник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4795400</v>
      </c>
      <c r="AE56" s="597">
        <f>SUMIFS(РД[S],РД[Дом],$AE$36,РД[МОП],$Z56,РД[Источник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56" s="632">
        <f>SUMIFS(РД[Стоимость без отделки итог],РД[Дом],$AE$36,РД[МОП],$Z56,РД[Источник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56" s="596">
        <f t="shared" ref="AG56:AG58" si="98">AA56+AC56+AE56</f>
        <v>43.21</v>
      </c>
      <c r="AH56" s="626">
        <f t="shared" ref="AH56:AH58" si="99">AB56+AD56+AF56</f>
        <v>4795400</v>
      </c>
    </row>
    <row r="57" spans="2:34" ht="15.75">
      <c r="B57" s="576" t="s">
        <v>14</v>
      </c>
      <c r="C57" s="611">
        <f>C41+C25+C9</f>
        <v>444</v>
      </c>
      <c r="D57" s="578">
        <f>C57/$C$58</f>
        <v>0.26225634967513289</v>
      </c>
      <c r="E57" s="579">
        <f t="shared" si="92"/>
        <v>230.12550305178408</v>
      </c>
      <c r="F57" s="773">
        <f t="shared" si="92"/>
        <v>16517052.290608387</v>
      </c>
      <c r="G57" s="773">
        <f t="shared" si="92"/>
        <v>746.92274997029381</v>
      </c>
      <c r="H57" s="773">
        <f t="shared" si="92"/>
        <v>78156370.96903716</v>
      </c>
      <c r="I57" s="772">
        <f t="shared" si="93"/>
        <v>238.65327820437093</v>
      </c>
      <c r="J57" s="779">
        <f t="shared" si="93"/>
        <v>28733666.133490846</v>
      </c>
      <c r="K57" s="596">
        <f t="shared" si="94"/>
        <v>1215.7015312264489</v>
      </c>
      <c r="L57" s="626">
        <f t="shared" si="95"/>
        <v>123407089.3931364</v>
      </c>
      <c r="M57" s="609"/>
      <c r="N57" s="576" t="s">
        <v>14</v>
      </c>
      <c r="O57" s="589">
        <f t="shared" si="89"/>
        <v>198.40999999999997</v>
      </c>
      <c r="P57" s="590">
        <f t="shared" si="89"/>
        <v>20725941.600000001</v>
      </c>
      <c r="Q57" s="590">
        <f t="shared" si="89"/>
        <v>495.01</v>
      </c>
      <c r="R57" s="590">
        <f t="shared" si="89"/>
        <v>50046350</v>
      </c>
      <c r="S57" s="590">
        <f t="shared" si="89"/>
        <v>54.07</v>
      </c>
      <c r="T57" s="635">
        <f t="shared" si="89"/>
        <v>6306800</v>
      </c>
      <c r="U57" s="646">
        <f t="shared" si="96"/>
        <v>747.49</v>
      </c>
      <c r="V57" s="590">
        <f t="shared" si="97"/>
        <v>77079091.599999994</v>
      </c>
      <c r="W57" s="639">
        <f t="shared" si="90"/>
        <v>0.61486308999372719</v>
      </c>
      <c r="X57" s="640">
        <f t="shared" si="91"/>
        <v>0.62459208769157593</v>
      </c>
      <c r="Y57" s="609"/>
      <c r="Z57" s="576" t="s">
        <v>14</v>
      </c>
      <c r="AA57" s="589">
        <f>SUMIFS(РД[S],РД[Дом],$AA$36,РД[МОП],$Z57,РД[Источник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B57" s="590">
        <f>SUMIFS(РД[Стоимость без отделки итог],РД[Дом],$AA$36,РД[МОП],$Z57,РД[Источник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C57" s="590">
        <f>SUMIFS(РД[S],РД[Дом],$AC$36,РД[МОП],$Z57,РД[Источник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57.8</v>
      </c>
      <c r="AD57" s="590">
        <f>SUMIFS(РД[Стоимость без отделки итог],РД[Дом],$AC$36,РД[МОП],$Z57,РД[Источник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5679900</v>
      </c>
      <c r="AE57" s="590">
        <f>SUMIFS(РД[S],РД[Дом],$AE$36,РД[МОП],$Z57,РД[Источник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57" s="635">
        <f>SUMIFS(РД[Стоимость без отделки итог],РД[Дом],$AE$36,РД[МОП],$Z57,РД[Источник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57" s="646">
        <f t="shared" si="98"/>
        <v>57.8</v>
      </c>
      <c r="AH57" s="653">
        <f t="shared" si="99"/>
        <v>5679900</v>
      </c>
    </row>
    <row r="58" spans="2:34">
      <c r="B58" s="581" t="s">
        <v>114</v>
      </c>
      <c r="C58" s="612">
        <f>SUM(C54:C57)</f>
        <v>1693</v>
      </c>
      <c r="D58" s="583">
        <f>SUM(D54:D57)</f>
        <v>1</v>
      </c>
      <c r="E58" s="582">
        <f>SUM(AK10:AK12)</f>
        <v>877.48305555556408</v>
      </c>
      <c r="F58" s="584">
        <f>SUM(AL10:AL12)</f>
        <v>62980562</v>
      </c>
      <c r="G58" s="584">
        <f>SUM(AK26:AK28)</f>
        <v>2848.063548873215</v>
      </c>
      <c r="H58" s="584">
        <f>SUM(AL26:AL28)</f>
        <v>298015171.28508991</v>
      </c>
      <c r="I58" s="584">
        <f>SUM(AK42:AK44)</f>
        <v>910</v>
      </c>
      <c r="J58" s="629">
        <f>SUM(AL42:AL44)</f>
        <v>109563281</v>
      </c>
      <c r="K58" s="612">
        <f t="shared" si="94"/>
        <v>4635.5466044287787</v>
      </c>
      <c r="L58" s="630">
        <f t="shared" si="95"/>
        <v>470559014.28508991</v>
      </c>
      <c r="M58" s="631"/>
      <c r="N58" s="581" t="s">
        <v>114</v>
      </c>
      <c r="O58" s="582">
        <f>SUM(O54:O57)</f>
        <v>705.93499999999995</v>
      </c>
      <c r="P58" s="584">
        <f t="shared" ref="P58" si="100">SUM(P54:P57)</f>
        <v>73656646.099999994</v>
      </c>
      <c r="Q58" s="584">
        <f t="shared" ref="Q58" si="101">SUM(Q54:Q57)</f>
        <v>1946.7349999999999</v>
      </c>
      <c r="R58" s="584">
        <f t="shared" ref="R58" si="102">SUM(R54:R57)</f>
        <v>197998333</v>
      </c>
      <c r="S58" s="584">
        <f t="shared" ref="S58" si="103">SUM(S54:S57)</f>
        <v>54.07</v>
      </c>
      <c r="T58" s="629">
        <f t="shared" ref="T58" si="104">SUM(T54:T57)</f>
        <v>6306800</v>
      </c>
      <c r="U58" s="612">
        <f t="shared" ref="U58" si="105">SUM(U54:U57)</f>
        <v>2706.74</v>
      </c>
      <c r="V58" s="584">
        <f t="shared" ref="V58" si="106">SUM(V54:V57)</f>
        <v>277961779.10000002</v>
      </c>
      <c r="W58" s="641">
        <f t="shared" si="90"/>
        <v>0.58390956471325162</v>
      </c>
      <c r="X58" s="583">
        <f t="shared" si="91"/>
        <v>0.59070546023287074</v>
      </c>
      <c r="Y58" s="631"/>
      <c r="Z58" s="581" t="s">
        <v>114</v>
      </c>
      <c r="AA58" s="582">
        <f t="shared" ref="AA58:AF58" si="107">SUM(AA54:AA57)</f>
        <v>58.55</v>
      </c>
      <c r="AB58" s="584">
        <f t="shared" si="107"/>
        <v>6369699</v>
      </c>
      <c r="AC58" s="584">
        <f t="shared" si="107"/>
        <v>165.23000000000002</v>
      </c>
      <c r="AD58" s="584">
        <f t="shared" si="107"/>
        <v>18314800</v>
      </c>
      <c r="AE58" s="584">
        <f t="shared" si="107"/>
        <v>0</v>
      </c>
      <c r="AF58" s="629">
        <f t="shared" si="107"/>
        <v>0</v>
      </c>
      <c r="AG58" s="612">
        <f t="shared" si="98"/>
        <v>223.78000000000003</v>
      </c>
      <c r="AH58" s="630">
        <f t="shared" si="99"/>
        <v>24684499</v>
      </c>
    </row>
    <row r="59" spans="2:34" ht="16.5" customHeight="1">
      <c r="B59" s="2332" t="s">
        <v>1882</v>
      </c>
      <c r="C59" s="2333"/>
      <c r="D59" s="2334"/>
      <c r="E59" s="2360" t="s">
        <v>7</v>
      </c>
      <c r="F59" s="2333"/>
      <c r="G59" s="2333" t="s">
        <v>13</v>
      </c>
      <c r="H59" s="2333"/>
      <c r="I59" s="2352" t="s">
        <v>1875</v>
      </c>
      <c r="J59" s="2343"/>
      <c r="K59" s="2335" t="s">
        <v>114</v>
      </c>
      <c r="L59" s="2336"/>
      <c r="M59" s="622"/>
      <c r="N59" s="2355" t="s">
        <v>3</v>
      </c>
      <c r="O59" s="2332" t="s">
        <v>7</v>
      </c>
      <c r="P59" s="2333"/>
      <c r="Q59" s="2333" t="s">
        <v>13</v>
      </c>
      <c r="R59" s="2333"/>
      <c r="S59" s="2333" t="s">
        <v>1875</v>
      </c>
      <c r="T59" s="2352"/>
      <c r="U59" s="2332" t="s">
        <v>114</v>
      </c>
      <c r="V59" s="2333"/>
      <c r="W59" s="2333" t="s">
        <v>1877</v>
      </c>
      <c r="X59" s="2334"/>
      <c r="Y59" s="622"/>
      <c r="Z59" s="2353" t="s">
        <v>3</v>
      </c>
      <c r="AA59" s="2360" t="s">
        <v>7</v>
      </c>
      <c r="AB59" s="2333"/>
      <c r="AC59" s="2333" t="s">
        <v>13</v>
      </c>
      <c r="AD59" s="2333"/>
      <c r="AE59" s="2333" t="s">
        <v>1875</v>
      </c>
      <c r="AF59" s="2352"/>
      <c r="AG59" s="2332" t="s">
        <v>114</v>
      </c>
      <c r="AH59" s="2334"/>
    </row>
    <row r="60" spans="2:34" ht="15.75">
      <c r="B60" s="613" t="s">
        <v>1878</v>
      </c>
      <c r="C60" s="614" t="s">
        <v>1879</v>
      </c>
      <c r="D60" s="615" t="s">
        <v>1880</v>
      </c>
      <c r="E60" s="562" t="s">
        <v>1872</v>
      </c>
      <c r="F60" s="563" t="s">
        <v>1881</v>
      </c>
      <c r="G60" s="562" t="s">
        <v>1872</v>
      </c>
      <c r="H60" s="563" t="s">
        <v>1881</v>
      </c>
      <c r="I60" s="562" t="s">
        <v>1872</v>
      </c>
      <c r="J60" s="623" t="s">
        <v>1881</v>
      </c>
      <c r="K60" s="610" t="s">
        <v>1872</v>
      </c>
      <c r="L60" s="624" t="s">
        <v>1881</v>
      </c>
      <c r="M60" s="622"/>
      <c r="N60" s="2354"/>
      <c r="O60" s="562" t="s">
        <v>1872</v>
      </c>
      <c r="P60" s="563" t="s">
        <v>1881</v>
      </c>
      <c r="Q60" s="562" t="s">
        <v>1872</v>
      </c>
      <c r="R60" s="563" t="s">
        <v>1881</v>
      </c>
      <c r="S60" s="562" t="s">
        <v>1872</v>
      </c>
      <c r="T60" s="563" t="s">
        <v>1881</v>
      </c>
      <c r="U60" s="610" t="s">
        <v>1872</v>
      </c>
      <c r="V60" s="563" t="s">
        <v>1881</v>
      </c>
      <c r="W60" s="563" t="s">
        <v>1872</v>
      </c>
      <c r="X60" s="624" t="s">
        <v>1881</v>
      </c>
      <c r="Y60" s="622"/>
      <c r="Z60" s="2354"/>
      <c r="AA60" s="562" t="s">
        <v>1872</v>
      </c>
      <c r="AB60" s="563" t="s">
        <v>1881</v>
      </c>
      <c r="AC60" s="563" t="s">
        <v>1872</v>
      </c>
      <c r="AD60" s="563" t="s">
        <v>1881</v>
      </c>
      <c r="AE60" s="563" t="s">
        <v>1872</v>
      </c>
      <c r="AF60" s="623" t="s">
        <v>1881</v>
      </c>
      <c r="AG60" s="610" t="s">
        <v>1872</v>
      </c>
      <c r="AH60" s="624" t="s">
        <v>1881</v>
      </c>
    </row>
    <row r="61" spans="2:34" ht="15.75">
      <c r="B61" s="564" t="s">
        <v>1892</v>
      </c>
      <c r="C61" s="565">
        <f>C13+C29+C45</f>
        <v>456</v>
      </c>
      <c r="D61" s="616">
        <f>C61/$C$64</f>
        <v>0.45103857566765576</v>
      </c>
      <c r="E61" s="774">
        <f t="shared" ref="E61:J63" si="108">E13+E29+E45</f>
        <v>306.12363636363636</v>
      </c>
      <c r="F61" s="775">
        <f t="shared" si="108"/>
        <v>23133223.782272726</v>
      </c>
      <c r="G61" s="775">
        <f t="shared" si="108"/>
        <v>1087.2117061923584</v>
      </c>
      <c r="H61" s="775">
        <f t="shared" si="108"/>
        <v>113784802.17050067</v>
      </c>
      <c r="I61" s="775">
        <f t="shared" si="108"/>
        <v>345.82681159420292</v>
      </c>
      <c r="J61" s="780">
        <f t="shared" si="108"/>
        <v>41675462.205797099</v>
      </c>
      <c r="K61" s="596">
        <f>E61+G61+I61</f>
        <v>1739.1621541501977</v>
      </c>
      <c r="L61" s="626">
        <f>F61+H61+J61</f>
        <v>178593488.1585705</v>
      </c>
      <c r="M61" s="609"/>
      <c r="N61" s="569" t="s">
        <v>1892</v>
      </c>
      <c r="O61" s="572">
        <f t="shared" ref="O61:T63" si="109">O13+O29+O45</f>
        <v>97.224999999999994</v>
      </c>
      <c r="P61" s="573">
        <f t="shared" si="109"/>
        <v>9865297.5</v>
      </c>
      <c r="Q61" s="573">
        <f t="shared" si="109"/>
        <v>815.35500000000002</v>
      </c>
      <c r="R61" s="573">
        <f t="shared" si="109"/>
        <v>84394266</v>
      </c>
      <c r="S61" s="573">
        <f t="shared" si="109"/>
        <v>0</v>
      </c>
      <c r="T61" s="628">
        <f t="shared" si="109"/>
        <v>0</v>
      </c>
      <c r="U61" s="636">
        <f>O61+Q61+S61</f>
        <v>912.58</v>
      </c>
      <c r="V61" s="573">
        <f>P61+R61+T61</f>
        <v>94259563.5</v>
      </c>
      <c r="W61" s="645">
        <f t="shared" ref="W61:W64" si="110">IFERROR(U61/K61,"")</f>
        <v>0.52472392975105397</v>
      </c>
      <c r="X61" s="588">
        <f t="shared" ref="X61:X64" si="111">IFERROR(V61/L61,"")</f>
        <v>0.52778835595790785</v>
      </c>
      <c r="Y61" s="609"/>
      <c r="Z61" s="627" t="s">
        <v>1892</v>
      </c>
      <c r="AA61" s="572">
        <f>SUMIFS(РД[S],РД[Дом],$AA$36,РД[ИМ],$Z61,РД[Источник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58.55</v>
      </c>
      <c r="AB61" s="573">
        <f>SUMIFS(РД[Стоимость без отделки итог],РД[Дом],$AA$36,РД[ИМ],$Z61,РД[Источник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6369699</v>
      </c>
      <c r="AC61" s="573">
        <f>SUMIFS(РД[S],РД[Дом],$AC$36,РД[ИМ],$Z61,РД[Источник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24.53</v>
      </c>
      <c r="AD61" s="573">
        <f>SUMIFS(РД[Стоимость без отделки итог],РД[Дом],$AC$36,РД[ИМ],$Z61,РД[Источник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3373000</v>
      </c>
      <c r="AE61" s="573">
        <f>SUMIFS(РД[S],РД[Дом],$AE$36,РД[ИМ],$Z61,РД[Источник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61" s="628">
        <f>SUMIFS(РД[Стоимость без отделки итог],РД[Дом],$AE$36,РД[ИМ],$Z61,РД[Источник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61" s="636">
        <f>AA61+AC61+AE61</f>
        <v>83.08</v>
      </c>
      <c r="AH61" s="661">
        <f>AB61+AD61+AF61</f>
        <v>9742699</v>
      </c>
    </row>
    <row r="62" spans="2:34" ht="15.75">
      <c r="B62" s="569" t="s">
        <v>22</v>
      </c>
      <c r="C62" s="595">
        <f>C14+C30+C46</f>
        <v>519</v>
      </c>
      <c r="D62" s="617">
        <f t="shared" ref="D62:D63" si="112">C62/$C$64</f>
        <v>0.51335311572700293</v>
      </c>
      <c r="E62" s="776">
        <f t="shared" si="108"/>
        <v>405.40363636363634</v>
      </c>
      <c r="F62" s="772">
        <f t="shared" si="108"/>
        <v>26775135.822272725</v>
      </c>
      <c r="G62" s="772">
        <f t="shared" si="108"/>
        <v>1264.9701119894598</v>
      </c>
      <c r="H62" s="772">
        <f t="shared" si="108"/>
        <v>132359603.26586297</v>
      </c>
      <c r="I62" s="772">
        <f t="shared" si="108"/>
        <v>427.67318840579708</v>
      </c>
      <c r="J62" s="779">
        <f t="shared" si="108"/>
        <v>51453326.644202895</v>
      </c>
      <c r="K62" s="596">
        <f t="shared" ref="K62:K64" si="113">E62+G62+I62</f>
        <v>2098.0469367588935</v>
      </c>
      <c r="L62" s="626">
        <f t="shared" ref="L62:L64" si="114">F62+H62+J62</f>
        <v>210588065.73233858</v>
      </c>
      <c r="M62" s="609"/>
      <c r="N62" s="569" t="s">
        <v>22</v>
      </c>
      <c r="O62" s="606">
        <f t="shared" si="109"/>
        <v>441.55000000000007</v>
      </c>
      <c r="P62" s="597">
        <f t="shared" si="109"/>
        <v>45293885</v>
      </c>
      <c r="Q62" s="597">
        <f t="shared" si="109"/>
        <v>976.06999999999994</v>
      </c>
      <c r="R62" s="597">
        <f t="shared" si="109"/>
        <v>99072383</v>
      </c>
      <c r="S62" s="597">
        <f t="shared" si="109"/>
        <v>0</v>
      </c>
      <c r="T62" s="632">
        <f t="shared" si="109"/>
        <v>0</v>
      </c>
      <c r="U62" s="596">
        <f t="shared" ref="U62:U63" si="115">O62+Q62+S62</f>
        <v>1417.62</v>
      </c>
      <c r="V62" s="597">
        <f t="shared" ref="V62:V63" si="116">P62+R62+T62</f>
        <v>144366268</v>
      </c>
      <c r="W62" s="638">
        <f t="shared" si="110"/>
        <v>0.67568555076750036</v>
      </c>
      <c r="X62" s="617">
        <f t="shared" si="111"/>
        <v>0.68553869611724472</v>
      </c>
      <c r="Y62" s="609"/>
      <c r="Z62" s="569" t="s">
        <v>22</v>
      </c>
      <c r="AA62" s="572">
        <f>SUMIFS(РД[S],РД[Дом],$AA$36,РД[ИМ],$Z62,РД[Источник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B62" s="573">
        <f>SUMIFS(РД[Стоимость без отделки итог],РД[Дом],$AA$36,РД[ИМ],$Z62,РД[Источник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C62" s="573">
        <f>SUMIFS(РД[S],РД[Дом],$AC$36,РД[ИМ],$Z62,РД[Источник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140.69999999999999</v>
      </c>
      <c r="AD62" s="573">
        <f>SUMIFS(РД[Стоимость без отделки итог],РД[Дом],$AC$36,РД[ИМ],$Z62,РД[Источник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14941800</v>
      </c>
      <c r="AE62" s="573">
        <f>SUMIFS(РД[S],РД[Дом],$AE$36,РД[ИМ],$Z62,РД[Источник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62" s="628">
        <f>SUMIFS(РД[Стоимость без отделки итог],РД[Дом],$AE$36,РД[ИМ],$Z62,РД[Источник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62" s="636">
        <f t="shared" ref="AG62:AG63" si="117">AA62+AC62+AE62</f>
        <v>140.69999999999999</v>
      </c>
      <c r="AH62" s="652">
        <f t="shared" ref="AH62:AH63" si="118">AB62+AD62+AF62</f>
        <v>14941800</v>
      </c>
    </row>
    <row r="63" spans="2:34" ht="15.75">
      <c r="B63" s="618" t="s">
        <v>16</v>
      </c>
      <c r="C63" s="599">
        <f>C15+C31+C47</f>
        <v>36</v>
      </c>
      <c r="D63" s="619">
        <f t="shared" si="112"/>
        <v>3.5608308605341248E-2</v>
      </c>
      <c r="E63" s="777">
        <f t="shared" si="108"/>
        <v>33.922727272727272</v>
      </c>
      <c r="F63" s="778">
        <f t="shared" si="108"/>
        <v>3625118.9454545453</v>
      </c>
      <c r="G63" s="778">
        <f t="shared" si="108"/>
        <v>68.61818181818181</v>
      </c>
      <c r="H63" s="778">
        <f t="shared" si="108"/>
        <v>7168489.9136363631</v>
      </c>
      <c r="I63" s="778">
        <f t="shared" si="108"/>
        <v>0</v>
      </c>
      <c r="J63" s="781">
        <f t="shared" si="108"/>
        <v>0</v>
      </c>
      <c r="K63" s="596">
        <f t="shared" si="113"/>
        <v>102.54090909090908</v>
      </c>
      <c r="L63" s="626">
        <f t="shared" si="114"/>
        <v>10793608.859090909</v>
      </c>
      <c r="M63" s="609"/>
      <c r="N63" s="618" t="s">
        <v>16</v>
      </c>
      <c r="O63" s="607">
        <f t="shared" si="109"/>
        <v>0</v>
      </c>
      <c r="P63" s="602">
        <f t="shared" si="109"/>
        <v>0</v>
      </c>
      <c r="Q63" s="602">
        <f t="shared" si="109"/>
        <v>0</v>
      </c>
      <c r="R63" s="602">
        <f t="shared" si="109"/>
        <v>0</v>
      </c>
      <c r="S63" s="602">
        <f t="shared" si="109"/>
        <v>0</v>
      </c>
      <c r="T63" s="633">
        <f t="shared" si="109"/>
        <v>0</v>
      </c>
      <c r="U63" s="601">
        <f t="shared" si="115"/>
        <v>0</v>
      </c>
      <c r="V63" s="602">
        <f t="shared" si="116"/>
        <v>0</v>
      </c>
      <c r="W63" s="647">
        <f t="shared" si="110"/>
        <v>0</v>
      </c>
      <c r="X63" s="619">
        <f t="shared" si="111"/>
        <v>0</v>
      </c>
      <c r="Y63" s="609"/>
      <c r="Z63" s="576" t="s">
        <v>16</v>
      </c>
      <c r="AA63" s="579">
        <f>SUMIFS(РД[S],РД[Дом],$AA$36,РД[ИМ],$Z63,РД[Источник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B63" s="580">
        <f>SUMIFS(РД[Стоимость без отделки итог],РД[Дом],$AA$36,РД[ИМ],$Z63,РД[Источник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C63" s="580">
        <f>SUMIFS(РД[S],РД[Дом],$AC$36,РД[ИМ],$Z63,РД[Источник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D63" s="580">
        <f>SUMIFS(РД[Стоимость без отделки итог],РД[Дом],$AC$36,РД[ИМ],$Z63,РД[Источник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E63" s="580">
        <f>SUMIFS(РД[S],РД[Дом],$AE$36,РД[ИМ],$Z63,РД[Источник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F63" s="662">
        <f>SUMIFS(РД[Стоимость без отделки итог],РД[Дом],$AE$36,РД[ИМ],$Z63,РД[Источник обращения],"Агент*",РД[Дата подачи на регистрацию],"&gt;="&amp;$Z$3,РД[Дата подачи на регистрацию],"&lt;"&amp;DATE(YEAR($B$35),MONTH($B$35)+1,1),РД[Состояние],"Продажа")</f>
        <v>0</v>
      </c>
      <c r="AG63" s="646">
        <f t="shared" si="117"/>
        <v>0</v>
      </c>
      <c r="AH63" s="653">
        <f t="shared" si="118"/>
        <v>0</v>
      </c>
    </row>
    <row r="64" spans="2:34">
      <c r="B64" s="620" t="s">
        <v>114</v>
      </c>
      <c r="C64" s="603">
        <f>SUM(C61:C63)</f>
        <v>1011</v>
      </c>
      <c r="D64" s="604">
        <f t="shared" ref="D64:H64" si="119">SUM(D61:D63)</f>
        <v>0.99999999999999989</v>
      </c>
      <c r="E64" s="603">
        <f t="shared" si="119"/>
        <v>745.44999999999993</v>
      </c>
      <c r="F64" s="605">
        <f t="shared" si="119"/>
        <v>53533478.549999997</v>
      </c>
      <c r="G64" s="605">
        <f t="shared" si="119"/>
        <v>2420.7999999999997</v>
      </c>
      <c r="H64" s="605">
        <f t="shared" si="119"/>
        <v>253312895.34999999</v>
      </c>
      <c r="I64" s="605">
        <f>I16+I32+I48</f>
        <v>773.5</v>
      </c>
      <c r="J64" s="634">
        <f>J16+J32+J48</f>
        <v>93128788.849999994</v>
      </c>
      <c r="K64" s="612">
        <f t="shared" si="113"/>
        <v>3939.7499999999995</v>
      </c>
      <c r="L64" s="630">
        <f t="shared" si="114"/>
        <v>399975162.75</v>
      </c>
      <c r="M64" s="631"/>
      <c r="N64" s="620" t="s">
        <v>114</v>
      </c>
      <c r="O64" s="603">
        <f>SUM(O61:O63)</f>
        <v>538.77500000000009</v>
      </c>
      <c r="P64" s="605">
        <f t="shared" ref="P64" si="120">SUM(P61:P63)</f>
        <v>55159182.5</v>
      </c>
      <c r="Q64" s="605">
        <f t="shared" ref="Q64" si="121">SUM(Q61:Q63)</f>
        <v>1791.425</v>
      </c>
      <c r="R64" s="605">
        <f t="shared" ref="R64" si="122">SUM(R61:R63)</f>
        <v>183466649</v>
      </c>
      <c r="S64" s="605">
        <f t="shared" ref="S64" si="123">SUM(S61:S63)</f>
        <v>0</v>
      </c>
      <c r="T64" s="634">
        <f t="shared" ref="T64" si="124">SUM(T61:T63)</f>
        <v>0</v>
      </c>
      <c r="U64" s="648">
        <f t="shared" ref="U64" si="125">SUM(U61:U63)</f>
        <v>2330.1999999999998</v>
      </c>
      <c r="V64" s="605">
        <f t="shared" ref="V64" si="126">SUM(V61:V63)</f>
        <v>238625831.5</v>
      </c>
      <c r="W64" s="649">
        <f t="shared" si="110"/>
        <v>0.59145884891173295</v>
      </c>
      <c r="X64" s="604">
        <f t="shared" si="111"/>
        <v>0.59660162360919</v>
      </c>
      <c r="Y64" s="631"/>
      <c r="Z64" s="581" t="s">
        <v>114</v>
      </c>
      <c r="AA64" s="582">
        <f t="shared" ref="AA64:AH64" si="127">SUM(AA61:AA63)</f>
        <v>58.55</v>
      </c>
      <c r="AB64" s="584">
        <f t="shared" si="127"/>
        <v>6369699</v>
      </c>
      <c r="AC64" s="584">
        <f t="shared" si="127"/>
        <v>165.23</v>
      </c>
      <c r="AD64" s="584">
        <f t="shared" si="127"/>
        <v>18314800</v>
      </c>
      <c r="AE64" s="584">
        <f t="shared" si="127"/>
        <v>0</v>
      </c>
      <c r="AF64" s="629">
        <f t="shared" si="127"/>
        <v>0</v>
      </c>
      <c r="AG64" s="612">
        <f t="shared" si="127"/>
        <v>223.77999999999997</v>
      </c>
      <c r="AH64" s="630">
        <f t="shared" si="127"/>
        <v>24684499</v>
      </c>
    </row>
  </sheetData>
  <sheetProtection algorithmName="SHA-512" hashValue="U8yT1mGLnJj0Ipw2gabtWg8iOPeb+40MLQPwH5ICumb7ZDNoSX/tDzhzlRzR7gR3i32++l78DE354I1IDyWfYw==" saltValue="2fX2ijtK22eYGF9TPej90Q==" spinCount="100000" sheet="1" objects="1" scenarios="1"/>
  <mergeCells count="147">
    <mergeCell ref="B1:L1"/>
    <mergeCell ref="N1:X1"/>
    <mergeCell ref="Z1:AH1"/>
    <mergeCell ref="AJ1:AL1"/>
    <mergeCell ref="AJ2:AL2"/>
    <mergeCell ref="B3:L3"/>
    <mergeCell ref="N3:X3"/>
    <mergeCell ref="Z3:AH3"/>
    <mergeCell ref="B4:D4"/>
    <mergeCell ref="E4:F4"/>
    <mergeCell ref="G4:H4"/>
    <mergeCell ref="I4:J4"/>
    <mergeCell ref="K4:L4"/>
    <mergeCell ref="O4:P4"/>
    <mergeCell ref="Q4:R4"/>
    <mergeCell ref="S4:T4"/>
    <mergeCell ref="U4:V4"/>
    <mergeCell ref="W4:X4"/>
    <mergeCell ref="AA4:AB4"/>
    <mergeCell ref="AC4:AD4"/>
    <mergeCell ref="AE4:AF4"/>
    <mergeCell ref="AG4:AH4"/>
    <mergeCell ref="N4:N5"/>
    <mergeCell ref="AJ18:AL18"/>
    <mergeCell ref="B19:L19"/>
    <mergeCell ref="N19:X19"/>
    <mergeCell ref="Z19:AH19"/>
    <mergeCell ref="B11:D11"/>
    <mergeCell ref="E11:F11"/>
    <mergeCell ref="G11:H11"/>
    <mergeCell ref="I11:J11"/>
    <mergeCell ref="K11:L11"/>
    <mergeCell ref="O11:P11"/>
    <mergeCell ref="Q11:R11"/>
    <mergeCell ref="S11:T11"/>
    <mergeCell ref="U11:V11"/>
    <mergeCell ref="N11:N12"/>
    <mergeCell ref="O20:P20"/>
    <mergeCell ref="Q20:R20"/>
    <mergeCell ref="S20:T20"/>
    <mergeCell ref="U20:V20"/>
    <mergeCell ref="W11:X11"/>
    <mergeCell ref="AA11:AB11"/>
    <mergeCell ref="AC11:AD11"/>
    <mergeCell ref="AE11:AF11"/>
    <mergeCell ref="AG11:AH11"/>
    <mergeCell ref="W20:X20"/>
    <mergeCell ref="AA20:AB20"/>
    <mergeCell ref="AC20:AD20"/>
    <mergeCell ref="AE20:AF20"/>
    <mergeCell ref="AG20:AH20"/>
    <mergeCell ref="AG36:AH36"/>
    <mergeCell ref="AE43:AF43"/>
    <mergeCell ref="AG43:AH43"/>
    <mergeCell ref="W27:X27"/>
    <mergeCell ref="AA27:AB27"/>
    <mergeCell ref="AC27:AD27"/>
    <mergeCell ref="AE27:AF27"/>
    <mergeCell ref="AG27:AH27"/>
    <mergeCell ref="B20:D20"/>
    <mergeCell ref="E20:F20"/>
    <mergeCell ref="G20:H20"/>
    <mergeCell ref="I20:J20"/>
    <mergeCell ref="K20:L20"/>
    <mergeCell ref="N20:N21"/>
    <mergeCell ref="N27:N28"/>
    <mergeCell ref="B27:D27"/>
    <mergeCell ref="E27:F27"/>
    <mergeCell ref="G27:H27"/>
    <mergeCell ref="I27:J27"/>
    <mergeCell ref="K27:L27"/>
    <mergeCell ref="O27:P27"/>
    <mergeCell ref="Q27:R27"/>
    <mergeCell ref="S27:T27"/>
    <mergeCell ref="U27:V27"/>
    <mergeCell ref="AC52:AD52"/>
    <mergeCell ref="AE52:AF52"/>
    <mergeCell ref="AG52:AH52"/>
    <mergeCell ref="O43:P43"/>
    <mergeCell ref="Q43:R43"/>
    <mergeCell ref="S43:T43"/>
    <mergeCell ref="U43:V43"/>
    <mergeCell ref="AJ34:AL34"/>
    <mergeCell ref="B35:L35"/>
    <mergeCell ref="N35:X35"/>
    <mergeCell ref="Z35:AH35"/>
    <mergeCell ref="B36:D36"/>
    <mergeCell ref="E36:F36"/>
    <mergeCell ref="G36:H36"/>
    <mergeCell ref="I36:J36"/>
    <mergeCell ref="K36:L36"/>
    <mergeCell ref="O36:P36"/>
    <mergeCell ref="Q36:R36"/>
    <mergeCell ref="S36:T36"/>
    <mergeCell ref="U36:V36"/>
    <mergeCell ref="W36:X36"/>
    <mergeCell ref="AA36:AB36"/>
    <mergeCell ref="AC36:AD36"/>
    <mergeCell ref="AE36:AF36"/>
    <mergeCell ref="AE59:AF59"/>
    <mergeCell ref="AG59:AH59"/>
    <mergeCell ref="B43:D43"/>
    <mergeCell ref="E43:F43"/>
    <mergeCell ref="G43:H43"/>
    <mergeCell ref="I43:J43"/>
    <mergeCell ref="K43:L43"/>
    <mergeCell ref="B59:D59"/>
    <mergeCell ref="E59:F59"/>
    <mergeCell ref="G59:H59"/>
    <mergeCell ref="I59:J59"/>
    <mergeCell ref="K59:L59"/>
    <mergeCell ref="B51:L51"/>
    <mergeCell ref="N51:X51"/>
    <mergeCell ref="Z51:AH51"/>
    <mergeCell ref="B52:D52"/>
    <mergeCell ref="E52:F52"/>
    <mergeCell ref="G52:H52"/>
    <mergeCell ref="I52:J52"/>
    <mergeCell ref="K52:L52"/>
    <mergeCell ref="O52:P52"/>
    <mergeCell ref="Q52:R52"/>
    <mergeCell ref="S52:T52"/>
    <mergeCell ref="U52:V52"/>
    <mergeCell ref="AA43:AB43"/>
    <mergeCell ref="AC43:AD43"/>
    <mergeCell ref="N36:N37"/>
    <mergeCell ref="N43:N44"/>
    <mergeCell ref="N52:N53"/>
    <mergeCell ref="N59:N60"/>
    <mergeCell ref="Z4:Z5"/>
    <mergeCell ref="Z11:Z12"/>
    <mergeCell ref="Z20:Z21"/>
    <mergeCell ref="Z27:Z28"/>
    <mergeCell ref="Z36:Z37"/>
    <mergeCell ref="Z43:Z44"/>
    <mergeCell ref="Z52:Z53"/>
    <mergeCell ref="Z59:Z60"/>
    <mergeCell ref="W43:X43"/>
    <mergeCell ref="O59:P59"/>
    <mergeCell ref="Q59:R59"/>
    <mergeCell ref="S59:T59"/>
    <mergeCell ref="U59:V59"/>
    <mergeCell ref="W59:X59"/>
    <mergeCell ref="AA59:AB59"/>
    <mergeCell ref="AC59:AD59"/>
    <mergeCell ref="W52:X52"/>
    <mergeCell ref="AA52:AB52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25"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V313"/>
  <sheetViews>
    <sheetView view="pageBreakPreview" zoomScale="87" zoomScaleNormal="85" workbookViewId="0">
      <pane ySplit="2" topLeftCell="A111" activePane="bottomLeft" state="frozen"/>
      <selection pane="bottomLeft" activeCell="B133" sqref="B133"/>
    </sheetView>
  </sheetViews>
  <sheetFormatPr defaultColWidth="12.28515625" defaultRowHeight="12.75"/>
  <cols>
    <col min="1" max="1" width="11.7109375" style="66" customWidth="1"/>
    <col min="2" max="2" width="13.5703125" style="66" customWidth="1"/>
    <col min="3" max="3" width="13.85546875" style="66" customWidth="1"/>
    <col min="4" max="4" width="10.5703125" style="66" customWidth="1"/>
    <col min="5" max="5" width="16" style="66" customWidth="1"/>
    <col min="6" max="6" width="15" style="66" customWidth="1"/>
    <col min="7" max="7" width="24.28515625" style="66" customWidth="1"/>
    <col min="8" max="8" width="15.140625" style="66" customWidth="1"/>
    <col min="9" max="9" width="15.28515625" style="66" customWidth="1"/>
    <col min="10" max="10" width="12.42578125" style="66" customWidth="1"/>
    <col min="11" max="11" width="16" style="66" customWidth="1"/>
    <col min="12" max="12" width="20.42578125" style="66" customWidth="1"/>
    <col min="13" max="13" width="16.5703125" style="66" customWidth="1"/>
    <col min="14" max="14" width="16.7109375" style="66" customWidth="1"/>
    <col min="15" max="15" width="20.85546875" style="66" customWidth="1"/>
    <col min="16" max="16" width="21" style="66" customWidth="1"/>
    <col min="17" max="17" width="29.425781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2">
      <c r="A1" s="2297">
        <v>45322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2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2" s="61" customFormat="1">
      <c r="A3" s="103">
        <v>1</v>
      </c>
      <c r="B3" s="676"/>
      <c r="C3" s="103"/>
      <c r="D3" s="676"/>
      <c r="E3" s="103"/>
      <c r="F3" s="103"/>
      <c r="G3" s="103"/>
      <c r="H3" s="103"/>
      <c r="I3" s="678"/>
      <c r="J3" s="679"/>
      <c r="K3" s="103"/>
      <c r="L3" s="103"/>
      <c r="M3" s="103"/>
      <c r="N3" s="680"/>
      <c r="O3" s="679"/>
      <c r="P3" s="103"/>
      <c r="Q3" s="683"/>
      <c r="R3" s="683"/>
      <c r="S3" s="679"/>
      <c r="T3" s="679"/>
      <c r="U3" s="115">
        <f>sept20212223[[#This Row],[сумма]]-sept20212223[[#This Row],[Цема м2 отделки]]*sept20212223[[#This Row],[м2]]</f>
        <v>0</v>
      </c>
      <c r="V3" s="66"/>
    </row>
    <row r="4" spans="1:22" s="61" customFormat="1">
      <c r="A4" s="65">
        <v>2</v>
      </c>
      <c r="B4" s="79"/>
      <c r="C4" s="65"/>
      <c r="D4" s="79"/>
      <c r="E4" s="65"/>
      <c r="F4" s="65"/>
      <c r="G4" s="80"/>
      <c r="H4" s="80"/>
      <c r="I4" s="93"/>
      <c r="J4" s="80"/>
      <c r="K4" s="65"/>
      <c r="L4" s="65"/>
      <c r="M4" s="65"/>
      <c r="N4" s="98"/>
      <c r="O4" s="80"/>
      <c r="P4" s="65"/>
      <c r="Q4" s="118"/>
      <c r="R4" s="86"/>
      <c r="S4" s="80"/>
      <c r="T4" s="80"/>
      <c r="U4" s="115">
        <f>sept20212223[[#This Row],[сумма]]-sept20212223[[#This Row],[Цема м2 отделки]]*sept20212223[[#This Row],[м2]]</f>
        <v>0</v>
      </c>
      <c r="V4" s="66"/>
    </row>
    <row r="5" spans="1:22" s="529" customFormat="1">
      <c r="A5" s="65">
        <v>3</v>
      </c>
      <c r="B5" s="79"/>
      <c r="C5" s="65"/>
      <c r="D5" s="79"/>
      <c r="E5" s="65"/>
      <c r="F5" s="65"/>
      <c r="G5" s="80"/>
      <c r="H5" s="80"/>
      <c r="I5" s="93"/>
      <c r="J5" s="80"/>
      <c r="K5" s="65"/>
      <c r="L5" s="65"/>
      <c r="M5" s="65"/>
      <c r="N5" s="98"/>
      <c r="O5" s="80"/>
      <c r="P5" s="65"/>
      <c r="Q5" s="118"/>
      <c r="R5" s="86"/>
      <c r="S5" s="80"/>
      <c r="T5" s="80"/>
      <c r="U5" s="115">
        <f>sept20212223[[#This Row],[сумма]]-sept20212223[[#This Row],[Цема м2 отделки]]*sept20212223[[#This Row],[м2]]</f>
        <v>0</v>
      </c>
      <c r="V5" s="66"/>
    </row>
    <row r="6" spans="1:22" s="61" customFormat="1">
      <c r="A6" s="62">
        <v>4</v>
      </c>
      <c r="B6" s="75">
        <v>29295</v>
      </c>
      <c r="C6" s="62" t="s">
        <v>7</v>
      </c>
      <c r="D6" s="75">
        <v>415</v>
      </c>
      <c r="E6" s="62">
        <v>2</v>
      </c>
      <c r="F6" s="62">
        <v>56.04</v>
      </c>
      <c r="G6" s="117" t="s">
        <v>15</v>
      </c>
      <c r="H6" s="117">
        <v>7500</v>
      </c>
      <c r="I6" s="95">
        <v>5503585</v>
      </c>
      <c r="J6" s="117" t="s">
        <v>20</v>
      </c>
      <c r="K6" s="62" t="s">
        <v>10</v>
      </c>
      <c r="L6" s="62" t="s">
        <v>514</v>
      </c>
      <c r="M6" s="62" t="s">
        <v>18</v>
      </c>
      <c r="N6" s="92">
        <v>45310</v>
      </c>
      <c r="O6" s="117"/>
      <c r="P6" s="62" t="s">
        <v>1900</v>
      </c>
      <c r="Q6" s="113" t="s">
        <v>67</v>
      </c>
      <c r="R6" s="113" t="s">
        <v>67</v>
      </c>
      <c r="S6" s="117" t="s">
        <v>20</v>
      </c>
      <c r="T6" s="117" t="s">
        <v>20</v>
      </c>
      <c r="U6" s="114">
        <f>sept20212223[[#This Row],[сумма]]-sept20212223[[#This Row],[Цема м2 отделки]]*sept20212223[[#This Row],[м2]]</f>
        <v>5083285</v>
      </c>
    </row>
    <row r="7" spans="1:22" s="61" customFormat="1">
      <c r="A7" s="62">
        <v>5</v>
      </c>
      <c r="B7" s="75">
        <v>29282</v>
      </c>
      <c r="C7" s="62" t="s">
        <v>7</v>
      </c>
      <c r="D7" s="75">
        <v>204</v>
      </c>
      <c r="E7" s="62">
        <v>1</v>
      </c>
      <c r="F7" s="62">
        <v>37.81</v>
      </c>
      <c r="G7" s="62" t="s">
        <v>15</v>
      </c>
      <c r="H7" s="62">
        <v>7500</v>
      </c>
      <c r="I7" s="95">
        <v>4588575</v>
      </c>
      <c r="J7" s="117" t="s">
        <v>20</v>
      </c>
      <c r="K7" s="62" t="s">
        <v>16</v>
      </c>
      <c r="L7" s="62" t="s">
        <v>583</v>
      </c>
      <c r="M7" s="62" t="s">
        <v>18</v>
      </c>
      <c r="N7" s="92">
        <v>45402</v>
      </c>
      <c r="O7" s="117"/>
      <c r="P7" s="62" t="s">
        <v>1901</v>
      </c>
      <c r="Q7" s="76" t="s">
        <v>67</v>
      </c>
      <c r="R7" s="76" t="s">
        <v>491</v>
      </c>
      <c r="S7" s="117" t="s">
        <v>20</v>
      </c>
      <c r="T7" s="117" t="s">
        <v>14</v>
      </c>
      <c r="U7" s="114">
        <f>sept20212223[[#This Row],[сумма]]-sept20212223[[#This Row],[Цема м2 отделки]]*sept20212223[[#This Row],[м2]]</f>
        <v>4305000</v>
      </c>
    </row>
    <row r="8" spans="1:22" s="61" customFormat="1">
      <c r="A8" s="62">
        <v>6</v>
      </c>
      <c r="B8" s="81">
        <v>29341</v>
      </c>
      <c r="C8" s="62" t="s">
        <v>7</v>
      </c>
      <c r="D8" s="75">
        <v>179</v>
      </c>
      <c r="E8" s="349">
        <v>1</v>
      </c>
      <c r="F8" s="62">
        <v>35.380000000000003</v>
      </c>
      <c r="G8" s="62" t="s">
        <v>15</v>
      </c>
      <c r="H8" s="348">
        <v>7500</v>
      </c>
      <c r="I8" s="352">
        <v>4386950</v>
      </c>
      <c r="J8" s="348" t="s">
        <v>32</v>
      </c>
      <c r="K8" s="62" t="s">
        <v>16</v>
      </c>
      <c r="L8" s="117" t="s">
        <v>583</v>
      </c>
      <c r="M8" s="62" t="s">
        <v>18</v>
      </c>
      <c r="N8" s="92">
        <v>45310</v>
      </c>
      <c r="O8" s="62"/>
      <c r="P8" s="377" t="s">
        <v>1902</v>
      </c>
      <c r="Q8" s="76" t="s">
        <v>67</v>
      </c>
      <c r="R8" s="76" t="s">
        <v>491</v>
      </c>
      <c r="S8" s="62" t="s">
        <v>32</v>
      </c>
      <c r="T8" s="62" t="s">
        <v>20</v>
      </c>
      <c r="U8" s="114">
        <f>sept20212223[[#This Row],[сумма]]-sept20212223[[#This Row],[Цема м2 отделки]]*sept20212223[[#This Row],[м2]]</f>
        <v>4121600</v>
      </c>
    </row>
    <row r="9" spans="1:22" s="61" customFormat="1">
      <c r="A9" s="62">
        <v>7</v>
      </c>
      <c r="B9" s="75">
        <v>29335</v>
      </c>
      <c r="C9" s="62" t="s">
        <v>7</v>
      </c>
      <c r="D9" s="75">
        <v>327</v>
      </c>
      <c r="E9" s="62">
        <v>0</v>
      </c>
      <c r="F9" s="62">
        <v>36.450000000000003</v>
      </c>
      <c r="G9" s="76" t="s">
        <v>9</v>
      </c>
      <c r="H9" s="76"/>
      <c r="I9" s="91">
        <v>3882800</v>
      </c>
      <c r="J9" s="117" t="s">
        <v>14</v>
      </c>
      <c r="K9" s="62" t="s">
        <v>16</v>
      </c>
      <c r="L9" s="62" t="s">
        <v>583</v>
      </c>
      <c r="M9" s="62" t="s">
        <v>18</v>
      </c>
      <c r="N9" s="92">
        <v>45310</v>
      </c>
      <c r="O9" s="117"/>
      <c r="P9" s="76" t="s">
        <v>1903</v>
      </c>
      <c r="Q9" s="76" t="s">
        <v>67</v>
      </c>
      <c r="R9" s="76" t="s">
        <v>491</v>
      </c>
      <c r="S9" s="117" t="s">
        <v>14</v>
      </c>
      <c r="T9" s="117" t="s">
        <v>14</v>
      </c>
      <c r="U9" s="114">
        <f>sept20212223[[#This Row],[сумма]]-sept20212223[[#This Row],[Цема м2 отделки]]*sept20212223[[#This Row],[м2]]</f>
        <v>3882800</v>
      </c>
    </row>
    <row r="10" spans="1:22" s="61" customFormat="1">
      <c r="A10" s="62">
        <v>8</v>
      </c>
      <c r="B10" s="75">
        <v>29321</v>
      </c>
      <c r="C10" s="62" t="s">
        <v>13</v>
      </c>
      <c r="D10" s="75">
        <v>352</v>
      </c>
      <c r="E10" s="62">
        <v>1</v>
      </c>
      <c r="F10" s="62">
        <v>37.81</v>
      </c>
      <c r="G10" s="62" t="s">
        <v>25</v>
      </c>
      <c r="H10" s="348">
        <v>20000</v>
      </c>
      <c r="I10" s="95">
        <v>5285700</v>
      </c>
      <c r="J10" s="117" t="s">
        <v>14</v>
      </c>
      <c r="K10" s="62" t="s">
        <v>16</v>
      </c>
      <c r="L10" s="62" t="s">
        <v>583</v>
      </c>
      <c r="M10" s="62" t="s">
        <v>18</v>
      </c>
      <c r="N10" s="539">
        <v>45309</v>
      </c>
      <c r="O10" s="62"/>
      <c r="P10" s="348" t="s">
        <v>1904</v>
      </c>
      <c r="Q10" s="113" t="s">
        <v>67</v>
      </c>
      <c r="R10" s="113" t="s">
        <v>67</v>
      </c>
      <c r="S10" s="62" t="s">
        <v>14</v>
      </c>
      <c r="T10" s="62" t="s">
        <v>14</v>
      </c>
      <c r="U10" s="114">
        <f>sept20212223[[#This Row],[сумма]]-sept20212223[[#This Row],[Цема м2 отделки]]*sept20212223[[#This Row],[м2]]</f>
        <v>4529500</v>
      </c>
    </row>
    <row r="11" spans="1:22" s="61" customFormat="1">
      <c r="A11" s="62">
        <v>9</v>
      </c>
      <c r="B11" s="75">
        <v>29225</v>
      </c>
      <c r="C11" s="62" t="s">
        <v>13</v>
      </c>
      <c r="D11" s="75">
        <v>432</v>
      </c>
      <c r="E11" s="62">
        <v>2</v>
      </c>
      <c r="F11" s="62">
        <v>58.24</v>
      </c>
      <c r="G11" s="62" t="s">
        <v>15</v>
      </c>
      <c r="H11" s="62">
        <v>7000</v>
      </c>
      <c r="I11" s="95">
        <v>5614224</v>
      </c>
      <c r="J11" s="117" t="s">
        <v>14</v>
      </c>
      <c r="K11" s="62" t="s">
        <v>16</v>
      </c>
      <c r="L11" s="62" t="s">
        <v>583</v>
      </c>
      <c r="M11" s="62" t="s">
        <v>18</v>
      </c>
      <c r="N11" s="92">
        <v>45309</v>
      </c>
      <c r="O11" s="117"/>
      <c r="P11" s="76" t="s">
        <v>1905</v>
      </c>
      <c r="Q11" s="113" t="s">
        <v>67</v>
      </c>
      <c r="R11" s="113" t="s">
        <v>67</v>
      </c>
      <c r="S11" s="117" t="s">
        <v>14</v>
      </c>
      <c r="T11" s="117" t="s">
        <v>14</v>
      </c>
      <c r="U11" s="114">
        <f>sept20212223[[#This Row],[сумма]]-sept20212223[[#This Row],[Цема м2 отделки]]*sept20212223[[#This Row],[м2]]</f>
        <v>5206544</v>
      </c>
    </row>
    <row r="12" spans="1:22" s="368" customFormat="1">
      <c r="A12" s="65">
        <v>10</v>
      </c>
      <c r="B12" s="79">
        <v>26453</v>
      </c>
      <c r="C12" s="65" t="s">
        <v>13</v>
      </c>
      <c r="D12" s="79">
        <v>374</v>
      </c>
      <c r="E12" s="65">
        <v>3</v>
      </c>
      <c r="F12" s="65">
        <v>80.97</v>
      </c>
      <c r="G12" s="65" t="s">
        <v>9</v>
      </c>
      <c r="H12" s="65"/>
      <c r="I12" s="93"/>
      <c r="J12" s="80" t="s">
        <v>14</v>
      </c>
      <c r="K12" s="65" t="s">
        <v>84</v>
      </c>
      <c r="L12" s="65" t="s">
        <v>286</v>
      </c>
      <c r="M12" s="65" t="s">
        <v>18</v>
      </c>
      <c r="N12" s="98"/>
      <c r="O12" s="80"/>
      <c r="P12" s="65" t="s">
        <v>1906</v>
      </c>
      <c r="Q12" s="86"/>
      <c r="R12" s="86"/>
      <c r="S12" s="80" t="s">
        <v>14</v>
      </c>
      <c r="T12" s="80" t="s">
        <v>14</v>
      </c>
      <c r="U12" s="115">
        <f>sept20212223[[#This Row],[сумма]]-sept20212223[[#This Row],[Цема м2 отделки]]*sept20212223[[#This Row],[м2]]</f>
        <v>0</v>
      </c>
      <c r="V12" s="66"/>
    </row>
    <row r="13" spans="1:22" s="61" customFormat="1">
      <c r="A13" s="62">
        <v>11</v>
      </c>
      <c r="B13" s="75">
        <v>20610</v>
      </c>
      <c r="C13" s="62" t="s">
        <v>7</v>
      </c>
      <c r="D13" s="75">
        <v>122</v>
      </c>
      <c r="E13" s="62">
        <v>2</v>
      </c>
      <c r="F13" s="62">
        <v>68.75</v>
      </c>
      <c r="G13" s="76" t="s">
        <v>15</v>
      </c>
      <c r="H13" s="76">
        <v>7500</v>
      </c>
      <c r="I13" s="91">
        <v>6533450</v>
      </c>
      <c r="J13" s="117" t="s">
        <v>14</v>
      </c>
      <c r="K13" s="62" t="s">
        <v>22</v>
      </c>
      <c r="L13" s="371" t="s">
        <v>583</v>
      </c>
      <c r="M13" s="62" t="s">
        <v>18</v>
      </c>
      <c r="N13" s="92">
        <v>45316</v>
      </c>
      <c r="O13" s="117" t="s">
        <v>17</v>
      </c>
      <c r="P13" s="76" t="s">
        <v>1907</v>
      </c>
      <c r="Q13" s="113" t="s">
        <v>491</v>
      </c>
      <c r="R13" s="113" t="s">
        <v>491</v>
      </c>
      <c r="S13" s="117" t="s">
        <v>14</v>
      </c>
      <c r="T13" s="117" t="s">
        <v>14</v>
      </c>
      <c r="U13" s="114">
        <f>sept20212223[[#This Row],[сумма]]-sept20212223[[#This Row],[Цема м2 отделки]]*sept20212223[[#This Row],[м2]]</f>
        <v>6017825</v>
      </c>
    </row>
    <row r="14" spans="1:22" s="61" customFormat="1">
      <c r="A14" s="62">
        <v>12</v>
      </c>
      <c r="B14" s="75">
        <v>28716</v>
      </c>
      <c r="C14" s="62" t="s">
        <v>13</v>
      </c>
      <c r="D14" s="75">
        <v>531</v>
      </c>
      <c r="E14" s="62">
        <v>3</v>
      </c>
      <c r="F14" s="62">
        <v>79.44</v>
      </c>
      <c r="G14" s="62" t="s">
        <v>21</v>
      </c>
      <c r="H14" s="62">
        <v>7000</v>
      </c>
      <c r="I14" s="95">
        <v>7644980</v>
      </c>
      <c r="J14" s="117" t="s">
        <v>1867</v>
      </c>
      <c r="K14" s="62" t="s">
        <v>16</v>
      </c>
      <c r="L14" s="62" t="s">
        <v>583</v>
      </c>
      <c r="M14" s="62" t="s">
        <v>18</v>
      </c>
      <c r="N14" s="92">
        <v>45315</v>
      </c>
      <c r="O14" s="117"/>
      <c r="P14" s="76" t="s">
        <v>1908</v>
      </c>
      <c r="Q14" s="113" t="s">
        <v>491</v>
      </c>
      <c r="R14" s="113" t="s">
        <v>491</v>
      </c>
      <c r="S14" s="117" t="s">
        <v>1867</v>
      </c>
      <c r="T14" s="117" t="s">
        <v>1867</v>
      </c>
      <c r="U14" s="114">
        <f>sept20212223[[#This Row],[сумма]]-sept20212223[[#This Row],[Цема м2 отделки]]*sept20212223[[#This Row],[м2]]</f>
        <v>7088900</v>
      </c>
    </row>
    <row r="15" spans="1:22" s="61" customFormat="1">
      <c r="A15" s="62">
        <v>13</v>
      </c>
      <c r="B15" s="75">
        <v>29342</v>
      </c>
      <c r="C15" s="62" t="s">
        <v>7</v>
      </c>
      <c r="D15" s="75">
        <v>249</v>
      </c>
      <c r="E15" s="62">
        <v>2</v>
      </c>
      <c r="F15" s="62">
        <v>67.95</v>
      </c>
      <c r="G15" s="62" t="s">
        <v>9</v>
      </c>
      <c r="H15" s="62"/>
      <c r="I15" s="95">
        <v>6053000</v>
      </c>
      <c r="J15" s="117" t="s">
        <v>1867</v>
      </c>
      <c r="K15" s="62" t="s">
        <v>10</v>
      </c>
      <c r="L15" s="62" t="s">
        <v>514</v>
      </c>
      <c r="M15" s="62" t="s">
        <v>18</v>
      </c>
      <c r="N15" s="92">
        <v>45315</v>
      </c>
      <c r="O15" s="117"/>
      <c r="P15" s="62" t="s">
        <v>1909</v>
      </c>
      <c r="Q15" s="113" t="s">
        <v>491</v>
      </c>
      <c r="R15" s="113" t="s">
        <v>491</v>
      </c>
      <c r="S15" s="117" t="s">
        <v>1867</v>
      </c>
      <c r="T15" s="117" t="s">
        <v>1867</v>
      </c>
      <c r="U15" s="114">
        <f>sept20212223[[#This Row],[сумма]]-sept20212223[[#This Row],[Цема м2 отделки]]*sept20212223[[#This Row],[м2]]</f>
        <v>6053000</v>
      </c>
    </row>
    <row r="16" spans="1:22" s="61" customFormat="1">
      <c r="A16" s="62">
        <v>14</v>
      </c>
      <c r="B16" s="75">
        <v>28120</v>
      </c>
      <c r="C16" s="62" t="s">
        <v>7</v>
      </c>
      <c r="D16" s="75">
        <v>239</v>
      </c>
      <c r="E16" s="62">
        <v>3</v>
      </c>
      <c r="F16" s="62">
        <v>78.73</v>
      </c>
      <c r="G16" s="62" t="s">
        <v>9</v>
      </c>
      <c r="H16" s="62"/>
      <c r="I16" s="95">
        <v>7374061.5</v>
      </c>
      <c r="J16" s="117" t="s">
        <v>8</v>
      </c>
      <c r="K16" s="62" t="s">
        <v>10</v>
      </c>
      <c r="L16" s="62" t="s">
        <v>514</v>
      </c>
      <c r="M16" s="62" t="s">
        <v>18</v>
      </c>
      <c r="N16" s="92">
        <v>45311</v>
      </c>
      <c r="O16" s="117"/>
      <c r="P16" s="62" t="s">
        <v>1910</v>
      </c>
      <c r="Q16" s="113" t="s">
        <v>67</v>
      </c>
      <c r="R16" s="113" t="s">
        <v>67</v>
      </c>
      <c r="S16" s="117" t="s">
        <v>8</v>
      </c>
      <c r="T16" s="117" t="s">
        <v>8</v>
      </c>
      <c r="U16" s="114">
        <f>sept20212223[[#This Row],[сумма]]-sept20212223[[#This Row],[Цема м2 отделки]]*sept20212223[[#This Row],[м2]]</f>
        <v>7374061.5</v>
      </c>
    </row>
    <row r="17" spans="1:22" s="61" customFormat="1">
      <c r="A17" s="65"/>
      <c r="B17" s="78"/>
      <c r="C17" s="65"/>
      <c r="D17" s="79"/>
      <c r="E17" s="65"/>
      <c r="F17" s="65"/>
      <c r="G17" s="65"/>
      <c r="H17" s="65"/>
      <c r="I17" s="93"/>
      <c r="J17" s="65"/>
      <c r="K17" s="65"/>
      <c r="L17" s="107"/>
      <c r="M17" s="65"/>
      <c r="N17" s="98"/>
      <c r="O17" s="80"/>
      <c r="P17" s="65"/>
      <c r="Q17" s="118"/>
      <c r="R17" s="118"/>
      <c r="S17" s="65"/>
      <c r="T17" s="65"/>
      <c r="U17" s="115">
        <f>sept20212223[[#This Row],[сумма]]-sept20212223[[#This Row],[Цема м2 отделки]]*sept20212223[[#This Row],[м2]]</f>
        <v>0</v>
      </c>
      <c r="V17" s="66"/>
    </row>
    <row r="18" spans="1:22" s="61" customFormat="1">
      <c r="A18" s="65"/>
      <c r="B18" s="79"/>
      <c r="C18" s="65"/>
      <c r="D18" s="79"/>
      <c r="E18" s="65"/>
      <c r="F18" s="65"/>
      <c r="G18" s="65"/>
      <c r="H18" s="65"/>
      <c r="I18" s="93"/>
      <c r="J18" s="80"/>
      <c r="K18" s="65"/>
      <c r="L18" s="65"/>
      <c r="M18" s="65"/>
      <c r="N18" s="98"/>
      <c r="O18" s="80"/>
      <c r="P18" s="86"/>
      <c r="Q18" s="118"/>
      <c r="R18" s="118"/>
      <c r="S18" s="80"/>
      <c r="T18" s="80"/>
      <c r="U18" s="115">
        <f>sept20212223[[#This Row],[сумма]]-sept20212223[[#This Row],[Цема м2 отделки]]*sept20212223[[#This Row],[м2]]</f>
        <v>0</v>
      </c>
      <c r="V18" s="66"/>
    </row>
    <row r="19" spans="1:22" s="61" customFormat="1">
      <c r="A19" s="62">
        <v>17</v>
      </c>
      <c r="B19" s="75">
        <v>29434</v>
      </c>
      <c r="C19" s="62" t="s">
        <v>13</v>
      </c>
      <c r="D19" s="75">
        <v>151</v>
      </c>
      <c r="E19" s="62">
        <v>3</v>
      </c>
      <c r="F19" s="62">
        <v>84.99</v>
      </c>
      <c r="G19" s="62" t="s">
        <v>21</v>
      </c>
      <c r="H19" s="62">
        <v>7000</v>
      </c>
      <c r="I19" s="95">
        <v>7474866</v>
      </c>
      <c r="J19" s="117" t="s">
        <v>20</v>
      </c>
      <c r="K19" s="62" t="s">
        <v>22</v>
      </c>
      <c r="L19" s="62" t="s">
        <v>583</v>
      </c>
      <c r="M19" s="62" t="s">
        <v>18</v>
      </c>
      <c r="N19" s="92">
        <v>45315</v>
      </c>
      <c r="O19" s="117"/>
      <c r="P19" s="76" t="s">
        <v>1911</v>
      </c>
      <c r="Q19" s="113" t="s">
        <v>67</v>
      </c>
      <c r="R19" s="113" t="s">
        <v>1912</v>
      </c>
      <c r="S19" s="117" t="s">
        <v>20</v>
      </c>
      <c r="T19" s="117" t="s">
        <v>20</v>
      </c>
      <c r="U19" s="114">
        <f>sept20212223[[#This Row],[сумма]]-sept20212223[[#This Row],[Цема м2 отделки]]*sept20212223[[#This Row],[м2]]</f>
        <v>6879936</v>
      </c>
    </row>
    <row r="20" spans="1:22" s="61" customFormat="1" ht="15">
      <c r="A20" s="65"/>
      <c r="B20" s="79"/>
      <c r="C20" s="65"/>
      <c r="D20" s="79"/>
      <c r="E20" s="65"/>
      <c r="F20" s="65"/>
      <c r="G20" s="65"/>
      <c r="H20" s="65"/>
      <c r="I20" s="93"/>
      <c r="J20" s="80"/>
      <c r="K20" s="65"/>
      <c r="L20" s="65"/>
      <c r="M20" s="65"/>
      <c r="N20" s="98"/>
      <c r="O20" s="80"/>
      <c r="P20" s="674"/>
      <c r="Q20" s="118"/>
      <c r="R20" s="118"/>
      <c r="S20" s="80" t="s">
        <v>1867</v>
      </c>
      <c r="T20" s="80" t="s">
        <v>1867</v>
      </c>
      <c r="U20" s="115">
        <f>sept20212223[[#This Row],[сумма]]-sept20212223[[#This Row],[Цема м2 отделки]]*sept20212223[[#This Row],[м2]]</f>
        <v>0</v>
      </c>
      <c r="V20" s="66"/>
    </row>
    <row r="21" spans="1:22" s="61" customFormat="1">
      <c r="A21" s="62">
        <v>19</v>
      </c>
      <c r="B21" s="74">
        <v>11267</v>
      </c>
      <c r="C21" s="62" t="s">
        <v>7</v>
      </c>
      <c r="D21" s="75">
        <v>182</v>
      </c>
      <c r="E21" s="62">
        <v>1</v>
      </c>
      <c r="F21" s="62">
        <v>36.659999999999997</v>
      </c>
      <c r="G21" s="62" t="s">
        <v>25</v>
      </c>
      <c r="H21" s="62">
        <v>22000</v>
      </c>
      <c r="I21" s="95">
        <v>5118720</v>
      </c>
      <c r="J21" s="117" t="s">
        <v>77</v>
      </c>
      <c r="K21" s="62" t="s">
        <v>16</v>
      </c>
      <c r="L21" s="62" t="s">
        <v>583</v>
      </c>
      <c r="M21" s="62" t="s">
        <v>18</v>
      </c>
      <c r="N21" s="92">
        <v>45316</v>
      </c>
      <c r="O21" s="117"/>
      <c r="P21" s="76" t="s">
        <v>1913</v>
      </c>
      <c r="Q21" s="113" t="s">
        <v>67</v>
      </c>
      <c r="R21" s="113" t="s">
        <v>67</v>
      </c>
      <c r="S21" s="117" t="s">
        <v>77</v>
      </c>
      <c r="T21" s="117" t="s">
        <v>77</v>
      </c>
      <c r="U21" s="114">
        <f>sept20212223[[#This Row],[сумма]]-sept20212223[[#This Row],[Цема м2 отделки]]*sept20212223[[#This Row],[м2]]</f>
        <v>4312200</v>
      </c>
    </row>
    <row r="22" spans="1:22" s="61" customFormat="1">
      <c r="A22" s="62">
        <v>20</v>
      </c>
      <c r="B22" s="75">
        <v>29424</v>
      </c>
      <c r="C22" s="62" t="s">
        <v>13</v>
      </c>
      <c r="D22" s="75">
        <v>244</v>
      </c>
      <c r="E22" s="62">
        <v>0</v>
      </c>
      <c r="F22" s="62">
        <v>24.53</v>
      </c>
      <c r="G22" s="62" t="s">
        <v>21</v>
      </c>
      <c r="H22" s="62">
        <v>7000</v>
      </c>
      <c r="I22" s="95">
        <v>3093343.7</v>
      </c>
      <c r="J22" s="117" t="s">
        <v>31</v>
      </c>
      <c r="K22" s="62" t="s">
        <v>16</v>
      </c>
      <c r="L22" s="62" t="s">
        <v>583</v>
      </c>
      <c r="M22" s="62" t="s">
        <v>18</v>
      </c>
      <c r="N22" s="92">
        <v>45321</v>
      </c>
      <c r="O22" s="117"/>
      <c r="P22" s="62" t="s">
        <v>1914</v>
      </c>
      <c r="Q22" s="113" t="s">
        <v>67</v>
      </c>
      <c r="R22" s="76" t="s">
        <v>491</v>
      </c>
      <c r="S22" s="117" t="s">
        <v>31</v>
      </c>
      <c r="T22" s="117" t="s">
        <v>20</v>
      </c>
      <c r="U22" s="114">
        <f>sept20212223[[#This Row],[сумма]]-sept20212223[[#This Row],[Цема м2 отделки]]*sept20212223[[#This Row],[м2]]</f>
        <v>2921633.7</v>
      </c>
      <c r="V22" s="66"/>
    </row>
    <row r="23" spans="1:22" s="61" customFormat="1">
      <c r="A23" s="62">
        <v>21</v>
      </c>
      <c r="B23" s="75">
        <v>18489</v>
      </c>
      <c r="C23" s="62" t="s">
        <v>7</v>
      </c>
      <c r="D23" s="75">
        <v>435</v>
      </c>
      <c r="E23" s="62">
        <v>2</v>
      </c>
      <c r="F23" s="62">
        <v>67.489999999999995</v>
      </c>
      <c r="G23" s="62" t="s">
        <v>15</v>
      </c>
      <c r="H23" s="62"/>
      <c r="I23" s="95">
        <v>6458400</v>
      </c>
      <c r="J23" s="117" t="s">
        <v>8</v>
      </c>
      <c r="K23" s="62" t="s">
        <v>16</v>
      </c>
      <c r="L23" s="62" t="s">
        <v>583</v>
      </c>
      <c r="M23" s="62" t="s">
        <v>18</v>
      </c>
      <c r="N23" s="92">
        <v>45655</v>
      </c>
      <c r="O23" s="117"/>
      <c r="P23" s="62" t="s">
        <v>1915</v>
      </c>
      <c r="Q23" s="113" t="s">
        <v>67</v>
      </c>
      <c r="R23" s="76" t="s">
        <v>491</v>
      </c>
      <c r="S23" s="117" t="s">
        <v>8</v>
      </c>
      <c r="T23" s="117" t="s">
        <v>14</v>
      </c>
      <c r="U23" s="114">
        <f>sept20212223[[#This Row],[сумма]]-sept20212223[[#This Row],[Цема м2 отделки]]*sept20212223[[#This Row],[м2]]</f>
        <v>6458400</v>
      </c>
      <c r="V23" s="66"/>
    </row>
    <row r="24" spans="1:22" s="61" customFormat="1">
      <c r="A24" s="62">
        <v>22</v>
      </c>
      <c r="B24" s="75">
        <v>29143</v>
      </c>
      <c r="C24" s="62" t="s">
        <v>7</v>
      </c>
      <c r="D24" s="75">
        <v>164</v>
      </c>
      <c r="E24" s="62">
        <v>1</v>
      </c>
      <c r="F24" s="62">
        <v>37.81</v>
      </c>
      <c r="G24" s="62" t="s">
        <v>9</v>
      </c>
      <c r="H24" s="62"/>
      <c r="I24" s="95">
        <v>4304939.22</v>
      </c>
      <c r="J24" s="348" t="s">
        <v>8</v>
      </c>
      <c r="K24" s="62" t="s">
        <v>16</v>
      </c>
      <c r="L24" s="62" t="s">
        <v>583</v>
      </c>
      <c r="M24" s="62" t="s">
        <v>18</v>
      </c>
      <c r="N24" s="92">
        <v>45320</v>
      </c>
      <c r="O24" s="62"/>
      <c r="P24" s="62" t="s">
        <v>1916</v>
      </c>
      <c r="Q24" s="76" t="s">
        <v>1917</v>
      </c>
      <c r="R24" s="76" t="s">
        <v>491</v>
      </c>
      <c r="S24" s="117" t="s">
        <v>8</v>
      </c>
      <c r="T24" s="117" t="s">
        <v>20</v>
      </c>
      <c r="U24" s="114">
        <f>sept20212223[[#This Row],[сумма]]-sept20212223[[#This Row],[Цема м2 отделки]]*sept20212223[[#This Row],[м2]]</f>
        <v>4304939.22</v>
      </c>
      <c r="V24" s="66"/>
    </row>
    <row r="25" spans="1:22" s="61" customFormat="1">
      <c r="A25" s="65">
        <v>23</v>
      </c>
      <c r="B25" s="79">
        <v>29469</v>
      </c>
      <c r="C25" s="65" t="s">
        <v>13</v>
      </c>
      <c r="D25" s="79"/>
      <c r="E25" s="65"/>
      <c r="F25" s="65"/>
      <c r="G25" s="65"/>
      <c r="H25" s="65"/>
      <c r="I25" s="93"/>
      <c r="J25" s="80"/>
      <c r="K25" s="65"/>
      <c r="L25" s="65"/>
      <c r="M25" s="65"/>
      <c r="N25" s="98"/>
      <c r="O25" s="80"/>
      <c r="P25" s="65"/>
      <c r="Q25" s="118"/>
      <c r="R25" s="118"/>
      <c r="S25" s="80"/>
      <c r="T25" s="80"/>
      <c r="U25" s="115">
        <f>sept20212223[[#This Row],[сумма]]-sept20212223[[#This Row],[Цема м2 отделки]]*sept20212223[[#This Row],[м2]]</f>
        <v>0</v>
      </c>
      <c r="V25" s="66"/>
    </row>
    <row r="26" spans="1:22" s="61" customFormat="1">
      <c r="A26" s="62">
        <v>24</v>
      </c>
      <c r="B26" s="75">
        <v>27475</v>
      </c>
      <c r="C26" s="62" t="s">
        <v>13</v>
      </c>
      <c r="D26" s="75">
        <v>328</v>
      </c>
      <c r="E26" s="349">
        <v>0</v>
      </c>
      <c r="F26" s="62">
        <v>24.53</v>
      </c>
      <c r="G26" s="62" t="s">
        <v>25</v>
      </c>
      <c r="H26" s="348">
        <v>20000</v>
      </c>
      <c r="I26" s="352">
        <v>3409672</v>
      </c>
      <c r="J26" s="348" t="s">
        <v>14</v>
      </c>
      <c r="K26" s="62" t="s">
        <v>16</v>
      </c>
      <c r="L26" s="62" t="s">
        <v>583</v>
      </c>
      <c r="M26" s="62" t="s">
        <v>18</v>
      </c>
      <c r="N26" s="92">
        <v>45321</v>
      </c>
      <c r="O26" s="62"/>
      <c r="P26" s="62" t="s">
        <v>1918</v>
      </c>
      <c r="Q26" s="113" t="s">
        <v>67</v>
      </c>
      <c r="R26" s="113" t="s">
        <v>67</v>
      </c>
      <c r="S26" s="62" t="s">
        <v>14</v>
      </c>
      <c r="T26" s="62" t="s">
        <v>14</v>
      </c>
      <c r="U26" s="114">
        <f>sept20212223[[#This Row],[сумма]]-sept20212223[[#This Row],[Цема м2 отделки]]*sept20212223[[#This Row],[м2]]</f>
        <v>2919072</v>
      </c>
    </row>
    <row r="27" spans="1:22" s="771" customFormat="1">
      <c r="A27" s="65"/>
      <c r="B27" s="79"/>
      <c r="C27" s="65"/>
      <c r="D27" s="79"/>
      <c r="E27" s="87"/>
      <c r="F27" s="65"/>
      <c r="G27" s="65"/>
      <c r="H27" s="72"/>
      <c r="I27" s="105"/>
      <c r="J27" s="72"/>
      <c r="K27" s="65"/>
      <c r="L27" s="80"/>
      <c r="M27" s="65"/>
      <c r="N27" s="98"/>
      <c r="O27" s="65"/>
      <c r="P27" s="80"/>
      <c r="Q27" s="131"/>
      <c r="R27" s="86"/>
      <c r="S27" s="65"/>
      <c r="T27" s="65"/>
      <c r="U27" s="115">
        <f>sept20212223[[#This Row],[сумма]]-sept20212223[[#This Row],[Цема м2 отделки]]*sept20212223[[#This Row],[м2]]</f>
        <v>0</v>
      </c>
      <c r="V27" s="66"/>
    </row>
    <row r="28" spans="1:22" s="438" customFormat="1">
      <c r="A28" s="65"/>
      <c r="B28" s="78"/>
      <c r="C28" s="65"/>
      <c r="D28" s="79"/>
      <c r="E28" s="65"/>
      <c r="F28" s="65"/>
      <c r="G28" s="65"/>
      <c r="H28" s="65"/>
      <c r="I28" s="93"/>
      <c r="J28" s="80"/>
      <c r="K28" s="65"/>
      <c r="L28" s="65"/>
      <c r="M28" s="65"/>
      <c r="N28" s="98"/>
      <c r="O28" s="80"/>
      <c r="P28" s="65"/>
      <c r="Q28" s="86"/>
      <c r="R28" s="86"/>
      <c r="S28" s="80"/>
      <c r="T28" s="80"/>
      <c r="U28" s="115">
        <f>sept20212223[[#This Row],[сумма]]-sept20212223[[#This Row],[Цема м2 отделки]]*sept20212223[[#This Row],[м2]]</f>
        <v>0</v>
      </c>
      <c r="V28" s="66"/>
    </row>
    <row r="29" spans="1:22" s="61" customFormat="1">
      <c r="A29" s="65"/>
      <c r="B29" s="78"/>
      <c r="C29" s="65"/>
      <c r="D29" s="79"/>
      <c r="E29" s="65"/>
      <c r="F29" s="65"/>
      <c r="G29" s="65"/>
      <c r="H29" s="65"/>
      <c r="I29" s="93"/>
      <c r="J29" s="80"/>
      <c r="K29" s="65"/>
      <c r="L29" s="65"/>
      <c r="M29" s="65"/>
      <c r="N29" s="98"/>
      <c r="O29" s="80"/>
      <c r="P29" s="65"/>
      <c r="Q29" s="118"/>
      <c r="R29" s="118"/>
      <c r="S29" s="80"/>
      <c r="T29" s="80"/>
      <c r="U29" s="115">
        <f>sept20212223[[#This Row],[сумма]]-sept20212223[[#This Row],[Цема м2 отделки]]*sept20212223[[#This Row],[м2]]</f>
        <v>0</v>
      </c>
      <c r="V29" s="66"/>
    </row>
    <row r="30" spans="1:22" s="61" customFormat="1">
      <c r="A30" s="65"/>
      <c r="B30" s="79"/>
      <c r="C30" s="65"/>
      <c r="D30" s="79"/>
      <c r="E30" s="65"/>
      <c r="F30" s="65"/>
      <c r="G30" s="65"/>
      <c r="H30" s="65"/>
      <c r="I30" s="93"/>
      <c r="J30" s="80"/>
      <c r="K30" s="65"/>
      <c r="L30" s="65"/>
      <c r="M30" s="65"/>
      <c r="N30" s="98"/>
      <c r="O30" s="80"/>
      <c r="P30" s="65"/>
      <c r="Q30" s="86"/>
      <c r="R30" s="86"/>
      <c r="S30" s="80"/>
      <c r="T30" s="80"/>
      <c r="U30" s="115">
        <f>sept20212223[[#This Row],[сумма]]-sept20212223[[#This Row],[Цема м2 отделки]]*sept20212223[[#This Row],[м2]]</f>
        <v>0</v>
      </c>
      <c r="V30" s="66"/>
    </row>
    <row r="31" spans="1:22" s="368" customFormat="1">
      <c r="A31" s="65"/>
      <c r="B31" s="79"/>
      <c r="C31" s="65"/>
      <c r="D31" s="79"/>
      <c r="E31" s="65"/>
      <c r="F31" s="65"/>
      <c r="G31" s="65"/>
      <c r="H31" s="65"/>
      <c r="I31" s="93"/>
      <c r="J31" s="80"/>
      <c r="K31" s="65"/>
      <c r="L31" s="65"/>
      <c r="M31" s="65"/>
      <c r="N31" s="98"/>
      <c r="O31" s="80"/>
      <c r="P31" s="65"/>
      <c r="Q31" s="118"/>
      <c r="R31" s="118"/>
      <c r="S31" s="80"/>
      <c r="T31" s="80"/>
      <c r="U31" s="115">
        <f>sept20212223[[#This Row],[сумма]]-sept20212223[[#This Row],[Цема м2 отделки]]*sept20212223[[#This Row],[м2]]</f>
        <v>0</v>
      </c>
      <c r="V31" s="66"/>
    </row>
    <row r="32" spans="1:22" s="61" customFormat="1">
      <c r="A32" s="65"/>
      <c r="B32" s="79"/>
      <c r="C32" s="65"/>
      <c r="D32" s="79"/>
      <c r="E32" s="87"/>
      <c r="F32" s="79"/>
      <c r="G32" s="65"/>
      <c r="H32" s="72"/>
      <c r="I32" s="93"/>
      <c r="J32" s="65"/>
      <c r="K32" s="65"/>
      <c r="L32" s="65"/>
      <c r="M32" s="65"/>
      <c r="N32" s="98"/>
      <c r="O32" s="65"/>
      <c r="P32" s="65"/>
      <c r="Q32" s="118"/>
      <c r="R32" s="118"/>
      <c r="S32" s="65"/>
      <c r="T32" s="65"/>
      <c r="U32" s="115">
        <f>sept20212223[[#This Row],[сумма]]-sept20212223[[#This Row],[Цема м2 отделки]]*sept20212223[[#This Row],[м2]]</f>
        <v>0</v>
      </c>
      <c r="V32" s="66"/>
    </row>
    <row r="33" spans="1:22" s="368" customFormat="1">
      <c r="A33" s="65"/>
      <c r="B33" s="79"/>
      <c r="C33" s="65"/>
      <c r="D33" s="79"/>
      <c r="E33" s="65"/>
      <c r="F33" s="65"/>
      <c r="G33" s="65"/>
      <c r="H33" s="65"/>
      <c r="I33" s="106"/>
      <c r="J33" s="80"/>
      <c r="K33" s="65"/>
      <c r="L33" s="65"/>
      <c r="M33" s="65"/>
      <c r="N33" s="98"/>
      <c r="O33" s="80"/>
      <c r="P33" s="65"/>
      <c r="Q33" s="118"/>
      <c r="R33" s="118"/>
      <c r="S33" s="80"/>
      <c r="T33" s="80"/>
      <c r="U33" s="115">
        <f>sept20212223[[#This Row],[сумма]]-sept20212223[[#This Row],[Цема м2 отделки]]*sept20212223[[#This Row],[м2]]</f>
        <v>0</v>
      </c>
      <c r="V33" s="66"/>
    </row>
    <row r="34" spans="1:22" s="61" customFormat="1">
      <c r="A34" s="65"/>
      <c r="B34" s="79"/>
      <c r="C34" s="65"/>
      <c r="D34" s="79"/>
      <c r="E34" s="65"/>
      <c r="F34" s="65"/>
      <c r="G34" s="65"/>
      <c r="H34" s="65"/>
      <c r="I34" s="93"/>
      <c r="J34" s="80"/>
      <c r="K34" s="65"/>
      <c r="L34" s="107"/>
      <c r="M34" s="65"/>
      <c r="N34" s="98"/>
      <c r="O34" s="80"/>
      <c r="P34" s="65"/>
      <c r="Q34" s="86"/>
      <c r="R34" s="86"/>
      <c r="S34" s="80"/>
      <c r="T34" s="80"/>
      <c r="U34" s="115">
        <f>sept20212223[[#This Row],[сумма]]-sept20212223[[#This Row],[Цема м2 отделки]]*sept20212223[[#This Row],[м2]]</f>
        <v>0</v>
      </c>
      <c r="V34" s="66"/>
    </row>
    <row r="35" spans="1:22" s="61" customFormat="1">
      <c r="A35" s="65"/>
      <c r="B35" s="77"/>
      <c r="C35" s="65"/>
      <c r="D35" s="65"/>
      <c r="E35" s="65"/>
      <c r="F35" s="79"/>
      <c r="G35" s="65"/>
      <c r="H35" s="65"/>
      <c r="I35" s="93"/>
      <c r="J35" s="65"/>
      <c r="K35" s="65"/>
      <c r="L35" s="65"/>
      <c r="M35" s="65"/>
      <c r="N35" s="98"/>
      <c r="O35" s="80"/>
      <c r="P35" s="65"/>
      <c r="Q35" s="86"/>
      <c r="R35" s="86"/>
      <c r="S35" s="80"/>
      <c r="T35" s="80"/>
      <c r="U35" s="115">
        <f>sept20212223[[#This Row],[сумма]]-sept20212223[[#This Row],[Цема м2 отделки]]*sept20212223[[#This Row],[м2]]</f>
        <v>0</v>
      </c>
      <c r="V35" s="66"/>
    </row>
    <row r="36" spans="1:22" s="61" customFormat="1">
      <c r="A36" s="65"/>
      <c r="B36" s="79"/>
      <c r="C36" s="65"/>
      <c r="D36" s="79"/>
      <c r="E36" s="65"/>
      <c r="F36" s="65"/>
      <c r="G36" s="65"/>
      <c r="H36" s="65"/>
      <c r="I36" s="93"/>
      <c r="J36" s="80"/>
      <c r="K36" s="65"/>
      <c r="L36" s="65"/>
      <c r="M36" s="65"/>
      <c r="N36" s="98"/>
      <c r="O36" s="80"/>
      <c r="P36" s="65"/>
      <c r="Q36" s="118"/>
      <c r="R36" s="118"/>
      <c r="S36" s="80"/>
      <c r="T36" s="80"/>
      <c r="U36" s="115">
        <f>sept20212223[[#This Row],[сумма]]-sept20212223[[#This Row],[Цема м2 отделки]]*sept20212223[[#This Row],[м2]]</f>
        <v>0</v>
      </c>
      <c r="V36" s="66"/>
    </row>
    <row r="37" spans="1:22" s="61" customFormat="1">
      <c r="A37" s="65"/>
      <c r="B37" s="79"/>
      <c r="C37" s="65"/>
      <c r="D37" s="79"/>
      <c r="E37" s="65"/>
      <c r="F37" s="65"/>
      <c r="G37" s="65"/>
      <c r="H37" s="65"/>
      <c r="I37" s="93"/>
      <c r="J37" s="80"/>
      <c r="K37" s="65"/>
      <c r="L37" s="65"/>
      <c r="M37" s="65"/>
      <c r="N37" s="98"/>
      <c r="O37" s="80"/>
      <c r="P37" s="65"/>
      <c r="Q37" s="118"/>
      <c r="R37" s="118"/>
      <c r="S37" s="80"/>
      <c r="T37" s="80"/>
      <c r="U37" s="115">
        <f>sept20212223[[#This Row],[сумма]]-sept20212223[[#This Row],[Цема м2 отделки]]*sept20212223[[#This Row],[м2]]</f>
        <v>0</v>
      </c>
      <c r="V37" s="66"/>
    </row>
    <row r="38" spans="1:22" s="61" customFormat="1">
      <c r="A38" s="65"/>
      <c r="B38" s="79"/>
      <c r="C38" s="65"/>
      <c r="D38" s="79"/>
      <c r="E38" s="65"/>
      <c r="F38" s="65"/>
      <c r="G38" s="65"/>
      <c r="H38" s="65"/>
      <c r="I38" s="93"/>
      <c r="J38" s="80"/>
      <c r="K38" s="65"/>
      <c r="L38" s="65"/>
      <c r="M38" s="65"/>
      <c r="N38" s="98"/>
      <c r="O38" s="80"/>
      <c r="P38" s="65"/>
      <c r="Q38" s="118"/>
      <c r="R38" s="118"/>
      <c r="S38" s="80"/>
      <c r="T38" s="80"/>
      <c r="U38" s="115">
        <f>sept20212223[[#This Row],[сумма]]-sept20212223[[#This Row],[Цема м2 отделки]]*sept20212223[[#This Row],[м2]]</f>
        <v>0</v>
      </c>
      <c r="V38" s="66"/>
    </row>
    <row r="39" spans="1:22" s="61" customFormat="1">
      <c r="A39" s="65"/>
      <c r="B39" s="79"/>
      <c r="C39" s="65"/>
      <c r="D39" s="79"/>
      <c r="E39" s="65"/>
      <c r="F39" s="65"/>
      <c r="G39" s="65"/>
      <c r="H39" s="65"/>
      <c r="I39" s="93"/>
      <c r="J39" s="80"/>
      <c r="K39" s="65"/>
      <c r="L39" s="65"/>
      <c r="M39" s="108"/>
      <c r="N39" s="98"/>
      <c r="O39" s="80"/>
      <c r="P39" s="65"/>
      <c r="Q39" s="86"/>
      <c r="R39" s="118"/>
      <c r="S39" s="80"/>
      <c r="T39" s="80"/>
      <c r="U39" s="115">
        <f>sept20212223[[#This Row],[сумма]]-sept20212223[[#This Row],[Цема м2 отделки]]*sept20212223[[#This Row],[м2]]</f>
        <v>0</v>
      </c>
      <c r="V39" s="66"/>
    </row>
    <row r="40" spans="1:22">
      <c r="A40" s="65"/>
      <c r="B40" s="78"/>
      <c r="C40" s="65"/>
      <c r="D40" s="79"/>
      <c r="E40" s="65"/>
      <c r="F40" s="65"/>
      <c r="G40" s="65"/>
      <c r="H40" s="65"/>
      <c r="I40" s="93"/>
      <c r="J40" s="65"/>
      <c r="K40" s="65"/>
      <c r="L40" s="65"/>
      <c r="M40" s="65"/>
      <c r="N40" s="98"/>
      <c r="O40" s="80"/>
      <c r="P40" s="65"/>
      <c r="Q40" s="118"/>
      <c r="R40" s="118"/>
      <c r="S40" s="65"/>
      <c r="U40" s="115">
        <f>sept20212223[[#This Row],[сумма]]-sept20212223[[#This Row],[Цема м2 отделки]]*sept20212223[[#This Row],[м2]]</f>
        <v>0</v>
      </c>
    </row>
    <row r="41" spans="1:22" s="61" customFormat="1">
      <c r="A41" s="65"/>
      <c r="B41" s="79"/>
      <c r="C41" s="65"/>
      <c r="D41" s="79"/>
      <c r="E41" s="65"/>
      <c r="F41" s="65"/>
      <c r="G41" s="65"/>
      <c r="H41" s="65"/>
      <c r="I41" s="93"/>
      <c r="J41" s="65"/>
      <c r="K41" s="65"/>
      <c r="L41" s="65"/>
      <c r="M41" s="65"/>
      <c r="N41" s="98"/>
      <c r="O41" s="80"/>
      <c r="P41" s="86"/>
      <c r="Q41" s="118"/>
      <c r="R41" s="118"/>
      <c r="S41" s="65"/>
      <c r="T41" s="65"/>
      <c r="U41" s="115">
        <f>sept20212223[[#This Row],[сумма]]-sept20212223[[#This Row],[Цема м2 отделки]]*sept20212223[[#This Row],[м2]]</f>
        <v>0</v>
      </c>
      <c r="V41" s="66"/>
    </row>
    <row r="42" spans="1:22" s="61" customFormat="1">
      <c r="A42" s="65"/>
      <c r="B42" s="79"/>
      <c r="C42" s="65"/>
      <c r="D42" s="79"/>
      <c r="E42" s="65"/>
      <c r="F42" s="65"/>
      <c r="G42" s="65"/>
      <c r="H42" s="65"/>
      <c r="I42" s="93"/>
      <c r="J42" s="80"/>
      <c r="K42" s="65"/>
      <c r="L42" s="65"/>
      <c r="M42" s="65"/>
      <c r="N42" s="98"/>
      <c r="O42" s="80"/>
      <c r="P42" s="65"/>
      <c r="Q42" s="118"/>
      <c r="R42" s="118"/>
      <c r="S42" s="80"/>
      <c r="T42" s="80"/>
      <c r="U42" s="115">
        <f>sept20212223[[#This Row],[сумма]]-sept20212223[[#This Row],[Цема м2 отделки]]*sept20212223[[#This Row],[м2]]</f>
        <v>0</v>
      </c>
      <c r="V42" s="66"/>
    </row>
    <row r="43" spans="1:22" s="61" customFormat="1">
      <c r="A43" s="65"/>
      <c r="B43" s="78"/>
      <c r="C43" s="65"/>
      <c r="D43" s="79"/>
      <c r="E43" s="65"/>
      <c r="F43" s="65"/>
      <c r="G43" s="89"/>
      <c r="H43" s="89"/>
      <c r="I43" s="93"/>
      <c r="J43" s="80"/>
      <c r="K43" s="65"/>
      <c r="L43" s="65"/>
      <c r="M43" s="65"/>
      <c r="N43" s="98"/>
      <c r="O43" s="80"/>
      <c r="P43" s="65"/>
      <c r="Q43" s="118"/>
      <c r="R43" s="118"/>
      <c r="S43" s="80"/>
      <c r="T43" s="80"/>
      <c r="U43" s="115">
        <f>sept20212223[[#This Row],[сумма]]-sept20212223[[#This Row],[Цема м2 отделки]]*sept20212223[[#This Row],[м2]]</f>
        <v>0</v>
      </c>
      <c r="V43" s="66"/>
    </row>
    <row r="44" spans="1:22" s="61" customFormat="1">
      <c r="A44" s="65"/>
      <c r="B44" s="79"/>
      <c r="C44" s="65"/>
      <c r="D44" s="79"/>
      <c r="E44" s="65"/>
      <c r="F44" s="65"/>
      <c r="G44" s="65"/>
      <c r="H44" s="65"/>
      <c r="I44" s="93"/>
      <c r="J44" s="80"/>
      <c r="K44" s="65"/>
      <c r="L44" s="65"/>
      <c r="M44" s="65"/>
      <c r="N44" s="98"/>
      <c r="O44" s="65"/>
      <c r="P44" s="65"/>
      <c r="Q44" s="118"/>
      <c r="R44" s="118"/>
      <c r="S44" s="80"/>
      <c r="T44" s="80"/>
      <c r="U44" s="115">
        <f>sept20212223[[#This Row],[сумма]]-sept20212223[[#This Row],[Цема м2 отделки]]*sept20212223[[#This Row],[м2]]</f>
        <v>0</v>
      </c>
      <c r="V44" s="66"/>
    </row>
    <row r="45" spans="1:22" s="61" customFormat="1">
      <c r="A45" s="65"/>
      <c r="B45" s="79"/>
      <c r="C45" s="65"/>
      <c r="D45" s="79"/>
      <c r="E45" s="65"/>
      <c r="F45" s="65"/>
      <c r="G45" s="65"/>
      <c r="H45" s="65"/>
      <c r="I45" s="93"/>
      <c r="J45" s="80"/>
      <c r="K45" s="65"/>
      <c r="L45" s="65"/>
      <c r="M45" s="65"/>
      <c r="N45" s="98"/>
      <c r="O45" s="65"/>
      <c r="P45" s="65"/>
      <c r="Q45" s="118"/>
      <c r="R45" s="118"/>
      <c r="S45" s="80"/>
      <c r="T45" s="80"/>
      <c r="U45" s="115">
        <f>sept20212223[[#This Row],[сумма]]-sept20212223[[#This Row],[Цема м2 отделки]]*sept20212223[[#This Row],[м2]]</f>
        <v>0</v>
      </c>
      <c r="V45" s="66"/>
    </row>
    <row r="46" spans="1:22" s="61" customFormat="1">
      <c r="A46" s="65"/>
      <c r="B46" s="78"/>
      <c r="C46" s="65"/>
      <c r="D46" s="79"/>
      <c r="E46" s="65"/>
      <c r="F46" s="65"/>
      <c r="G46" s="65"/>
      <c r="H46" s="77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sept20212223[[#This Row],[сумма]]-sept20212223[[#This Row],[Цема м2 отделки]]*sept20212223[[#This Row],[м2]]</f>
        <v>0</v>
      </c>
      <c r="V46" s="66"/>
    </row>
    <row r="47" spans="1:22" s="61" customFormat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sept20212223[[#This Row],[сумма]]-sept20212223[[#This Row],[Цема м2 отделки]]*sept20212223[[#This Row],[м2]]</f>
        <v>0</v>
      </c>
      <c r="V47" s="66"/>
    </row>
    <row r="48" spans="1:22" s="61" customFormat="1">
      <c r="A48" s="65"/>
      <c r="B48" s="78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118"/>
      <c r="R48" s="118"/>
      <c r="S48" s="80"/>
      <c r="T48" s="80"/>
      <c r="U48" s="115">
        <f>sept20212223[[#This Row],[сумма]]-sept20212223[[#This Row],[Цема м2 отделки]]*sept20212223[[#This Row],[м2]]</f>
        <v>0</v>
      </c>
      <c r="V48" s="66"/>
    </row>
    <row r="49" spans="1:22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86"/>
      <c r="Q49" s="86"/>
      <c r="R49" s="86"/>
      <c r="S49" s="80"/>
      <c r="T49" s="80"/>
      <c r="U49" s="115">
        <f>sept20212223[[#This Row],[сумма]]-sept20212223[[#This Row],[Цема м2 отделки]]*sept20212223[[#This Row],[м2]]</f>
        <v>0</v>
      </c>
    </row>
    <row r="50" spans="1:22" s="368" customFormat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sept20212223[[#This Row],[сумма]]-sept20212223[[#This Row],[Цема м2 отделки]]*sept20212223[[#This Row],[м2]]</f>
        <v>0</v>
      </c>
      <c r="V50" s="66"/>
    </row>
    <row r="51" spans="1:22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sept20212223[[#This Row],[сумма]]-sept20212223[[#This Row],[Цема м2 отделки]]*sept20212223[[#This Row],[м2]]</f>
        <v>0</v>
      </c>
    </row>
    <row r="52" spans="1:22" s="61" customFormat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118"/>
      <c r="R52" s="86"/>
      <c r="S52" s="80"/>
      <c r="T52" s="80"/>
      <c r="U52" s="115">
        <f>sept20212223[[#This Row],[сумма]]-sept20212223[[#This Row],[Цема м2 отделки]]*sept20212223[[#This Row],[м2]]</f>
        <v>0</v>
      </c>
      <c r="V52" s="66"/>
    </row>
    <row r="53" spans="1:22" s="61" customFormat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sept20212223[[#This Row],[сумма]]-sept20212223[[#This Row],[Цема м2 отделки]]*sept20212223[[#This Row],[м2]]</f>
        <v>0</v>
      </c>
      <c r="V53" s="66"/>
    </row>
    <row r="54" spans="1:22" s="368" customFormat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sept20212223[[#This Row],[сумма]]-sept20212223[[#This Row],[Цема м2 отделки]]*sept20212223[[#This Row],[м2]]</f>
        <v>0</v>
      </c>
      <c r="V54" s="66"/>
    </row>
    <row r="55" spans="1:22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sept20212223[[#This Row],[сумма]]-sept20212223[[#This Row],[Цема м2 отделки]]*sept20212223[[#This Row],[м2]]</f>
        <v>0</v>
      </c>
    </row>
    <row r="56" spans="1:22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sept20212223[[#This Row],[сумма]]-sept20212223[[#This Row],[Цема м2 отделки]]*sept20212223[[#This Row],[м2]]</f>
        <v>0</v>
      </c>
    </row>
    <row r="57" spans="1:22" s="368" customFormat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sept20212223[[#This Row],[сумма]]-sept20212223[[#This Row],[Цема м2 отделки]]*sept20212223[[#This Row],[м2]]</f>
        <v>0</v>
      </c>
      <c r="V57" s="66"/>
    </row>
    <row r="58" spans="1:22">
      <c r="A58" s="65"/>
      <c r="B58" s="78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sept20212223[[#This Row],[сумма]]-sept20212223[[#This Row],[Цема м2 отделки]]*sept20212223[[#This Row],[м2]]</f>
        <v>0</v>
      </c>
    </row>
    <row r="59" spans="1:22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sept20212223[[#This Row],[сумма]]-sept20212223[[#This Row],[Цема м2 отделки]]*sept20212223[[#This Row],[м2]]</f>
        <v>0</v>
      </c>
    </row>
    <row r="60" spans="1:22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sept20212223[[#This Row],[сумма]]-sept20212223[[#This Row],[Цема м2 отделки]]*sept20212223[[#This Row],[м2]]</f>
        <v>0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sept20212223[[#This Row],[сумма]]-sept20212223[[#This Row],[Цема м2 отделки]]*sept20212223[[#This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sept20212223[[#This Row],[сумма]]-sept20212223[[#This Row],[Цема м2 отделки]]*sept20212223[[#This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sept20212223[[#This Row],[сумма]]-sept20212223[[#This Row],[Цема м2 отделки]]*sept20212223[[#This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sept20212223[[#This Row],[сумма]]-sept20212223[[#This Row],[Цема м2 отделки]]*sept20212223[[#This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sept20212223[[#This Row],[сумма]]-sept20212223[[#This Row],[Цема м2 отделки]]*sept20212223[[#This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sept20212223[[#This Row],[сумма]]-sept20212223[[#This Row],[Цема м2 отделки]]*sept20212223[[#This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sept20212223[[#This Row],[сумма]]-sept20212223[[#This Row],[Цема м2 отделки]]*sept20212223[[#This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sept20212223[[#This Row],[сумма]]-sept20212223[[#This Row],[Цема м2 отделки]]*sept20212223[[#This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sept20212223[[#This Row],[сумма]]-sept20212223[[#This Row],[Цема м2 отделки]]*sept20212223[[#This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sept20212223[[#This Row],[сумма]]-sept20212223[[#This Row],[Цема м2 отделки]]*sept20212223[[#This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sept20212223[[#This Row],[сумма]]-sept20212223[[#This Row],[Цема м2 отделки]]*sept20212223[[#This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sept20212223[[#This Row],[сумма]]-sept20212223[[#This Row],[Цема м2 отделки]]*sept20212223[[#This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sept20212223[[#This Row],[сумма]]-sept20212223[[#This Row],[Цема м2 отделки]]*sept20212223[[#This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sept20212223[[#This Row],[сумма]]-sept20212223[[#This Row],[Цема м2 отделки]]*sept20212223[[#This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sept20212223[[#This Row],[сумма]]-sept20212223[[#This Row],[Цема м2 отделки]]*sept20212223[[#This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sept20212223[[#This Row],[сумма]]-sept20212223[[#This Row],[Цема м2 отделки]]*sept20212223[[#This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sept20212223[[#This Row],[сумма]]-sept20212223[[#This Row],[Цема м2 отделки]]*sept20212223[[#This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sept20212223[[#This Row],[сумма]]-sept20212223[[#This Row],[Цема м2 отделки]]*sept20212223[[#This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sept20212223[[#This Row],[сумма]]-sept20212223[[#This Row],[Цема м2 отделки]]*sept20212223[[#This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sept20212223[[#This Row],[сумма]]-sept20212223[[#This Row],[Цема м2 отделки]]*sept20212223[[#This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sept20212223[[#This Row],[сумма]]-sept20212223[[#This Row],[Цема м2 отделки]]*sept20212223[[#This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sept20212223[[#This Row],[сумма]]-sept20212223[[#This Row],[Цема м2 отделки]]*sept20212223[[#This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sept20212223[[#This Row],[сумма]]-sept20212223[[#This Row],[Цема м2 отделки]]*sept20212223[[#This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sept20212223[[#This Row],[сумма]]-sept20212223[[#This Row],[Цема м2 отделки]]*sept20212223[[#This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sept20212223[[#This Row],[сумма]]-sept20212223[[#This Row],[Цема м2 отделки]]*sept20212223[[#This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sept20212223[[#This Row],[сумма]]-sept20212223[[#This Row],[Цема м2 отделки]]*sept20212223[[#This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sept20212223[[#This Row],[сумма]]-sept20212223[[#This Row],[Цема м2 отделки]]*sept20212223[[#This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sept20212223[[#This Row],[сумма]]-sept20212223[[#This Row],[Цема м2 отделки]]*sept20212223[[#This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sept20212223[[#This Row],[сумма]]-sept20212223[[#This Row],[Цема м2 отделки]]*sept20212223[[#This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sept20212223[[#This Row],[сумма]]-sept20212223[[#This Row],[Цема м2 отделки]]*sept20212223[[#This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sept20212223[[#This Row],[сумма]]-sept20212223[[#This Row],[Цема м2 отделки]]*sept20212223[[#This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sept20212223[[#This Row],[сумма]]-sept20212223[[#This Row],[Цема м2 отделки]]*sept20212223[[#This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sept20212223[[#This Row],[сумма]]-sept20212223[[#This Row],[Цема м2 отделки]]*sept20212223[[#This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sept20212223[[#This Row],[сумма]]-sept20212223[[#This Row],[Цема м2 отделки]]*sept20212223[[#This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sept20212223[[#This Row],[сумма]]-sept20212223[[#This Row],[Цема м2 отделки]]*sept20212223[[#This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sept20212223[[#This Row],[сумма]]-sept20212223[[#This Row],[Цема м2 отделки]]*sept20212223[[#This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sept20212223[[#This Row],[сумма]]-sept20212223[[#This Row],[Цема м2 отделки]]*sept20212223[[#This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sept20212223[[#This Row],[сумма]]-sept20212223[[#This Row],[Цема м2 отделки]]*sept20212223[[#This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sept20212223[[#This Row],[сумма]]-sept20212223[[#This Row],[Цема м2 отделки]]*sept20212223[[#This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sept20212223[[#This Row],[сумма]]-sept20212223[[#This Row],[Цема м2 отделки]]*sept20212223[[#This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sept20212223[[#This Row],[сумма]]-sept20212223[[#This Row],[Цема м2 отделки]]*sept20212223[[#This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sept20212223[[#This Row],[сумма]]-sept20212223[[#This Row],[Цема м2 отделки]]*sept20212223[[#This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sept20212223[[#This Row],[сумма]]-sept20212223[[#This Row],[Цема м2 отделки]]*sept20212223[[#This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sept20212223[[#This Row],[сумма]]-sept20212223[[#This Row],[Цема м2 отделки]]*sept20212223[[#This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sept20212223[[#This Row],[сумма]]-sept20212223[[#This Row],[Цема м2 отделки]]*sept20212223[[#This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sept20212223[[#This Row],[сумма]]-sept20212223[[#This Row],[Цема м2 отделки]]*sept20212223[[#This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sept20212223[[#This Row],[сумма]]-sept20212223[[#This Row],[Цема м2 отделки]]*sept20212223[[#This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sept20212223[[#This Row],[сумма]]-sept20212223[[#This Row],[Цема м2 отделки]]*sept20212223[[#This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sept20212223[[#This Row],[сумма]]-sept20212223[[#This Row],[Цема м2 отделки]]*sept20212223[[#This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sept20212223[[#This Row],[сумма]]-sept20212223[[#This Row],[Цема м2 отделки]]*sept20212223[[#This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U116" s="66"/>
    </row>
    <row r="117" spans="1:21" s="65" customFormat="1">
      <c r="A117" s="685" t="s">
        <v>1</v>
      </c>
      <c r="B117" s="686" t="s">
        <v>100</v>
      </c>
      <c r="C117" s="687" t="s">
        <v>97</v>
      </c>
      <c r="D117" s="688" t="s">
        <v>95</v>
      </c>
      <c r="E117" s="137" t="s">
        <v>494</v>
      </c>
      <c r="F117" s="138" t="s">
        <v>495</v>
      </c>
      <c r="G117" s="139" t="s">
        <v>496</v>
      </c>
      <c r="H117" s="140" t="s">
        <v>101</v>
      </c>
      <c r="I117" s="141" t="s">
        <v>98</v>
      </c>
      <c r="J117" s="141" t="s">
        <v>96</v>
      </c>
      <c r="K117" s="141" t="s">
        <v>715</v>
      </c>
      <c r="L117" s="216" t="s">
        <v>716</v>
      </c>
      <c r="M117" s="217">
        <v>0</v>
      </c>
      <c r="N117" s="218">
        <v>1</v>
      </c>
      <c r="O117" s="218">
        <v>2</v>
      </c>
      <c r="P117" s="218">
        <v>3</v>
      </c>
      <c r="Q117" s="219" t="s">
        <v>1367</v>
      </c>
      <c r="U117" s="66"/>
    </row>
    <row r="118" spans="1:21" s="65" customFormat="1">
      <c r="A118" s="398" t="s">
        <v>1867</v>
      </c>
      <c r="B118" s="267">
        <f>IFERROR(VLOOKUP(A118,'Индивидуальный план'!$AP$5:$AR$14,2,0),"")</f>
        <v>150</v>
      </c>
      <c r="C118" s="146">
        <f>IFERROR(VLOOKUP(A118,'Индивидуальный план'!$AP$5:$AR$14,3,0),"")</f>
        <v>14377974.690000001</v>
      </c>
      <c r="D118" s="689"/>
      <c r="E118" s="145">
        <f>SUMIFS(sept20212223[м2],sept20212223[МОП],$A118,sept20212223[№ дома],$C$116,sept20212223[Комнатность],"&lt;&gt;Офис")</f>
        <v>67.95</v>
      </c>
      <c r="F118" s="146">
        <f>SUMIFS(sept20212223[Сумма без отделки],sept20212223[МОП],$A118,sept20212223[№ дома],$C$116,sept20212223[Комнатность],"&lt;&gt;Офис")</f>
        <v>6053000</v>
      </c>
      <c r="G118" s="147">
        <f>COUNTIFS(sept20212223[МОП],$A118,sept20212223[№ дома],$C$116,sept20212223[Комнатность],"&lt;&gt;Офис")</f>
        <v>1</v>
      </c>
      <c r="H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67.95</v>
      </c>
      <c r="I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6053600</v>
      </c>
      <c r="J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1</v>
      </c>
      <c r="K118" s="224">
        <f>IFERROR(H118/B118,"")</f>
        <v>0.45300000000000001</v>
      </c>
      <c r="L118" s="225">
        <f>IFERROR(I118/C118,"")</f>
        <v>0.42103287358061131</v>
      </c>
      <c r="M118" s="202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6">
        <f>COUNTIFS(РД[Тип кв],N$117,РД[МОП],$A118,РД[Дом],$C$116,РД[Дата подачи на регистрацию],"&lt;="&amp;$A$1,РД[Дата подачи на регистрацию],"&gt;="&amp;DATE(YEAR($A$1),MONTH($A$1),1))</f>
        <v>0</v>
      </c>
      <c r="O118" s="226">
        <f>COUNTIFS(РД[Тип кв],O$117,РД[МОП],$A118,РД[Дом],$C$116,РД[Дата подачи на регистрацию],"&lt;="&amp;$A$1,РД[Дата подачи на регистрацию],"&gt;="&amp;DATE(YEAR($A$1),MONTH($A$1),1))</f>
        <v>1</v>
      </c>
      <c r="P118" s="226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Q118" s="227">
        <f>COUNTIFS(РД[Тип кв],Q$117,РД[МОП],$A118,РД[Дом],$C$116,РД[Дата подачи на регистрацию],"&lt;="&amp;$A$1,РД[Дата подачи на регистрацию],"&gt;="&amp;DATE(YEAR($A$1),MONTH($A$1),1))</f>
        <v>0</v>
      </c>
      <c r="U118" s="66"/>
    </row>
    <row r="119" spans="1:21" s="65" customFormat="1">
      <c r="A119" s="142" t="s">
        <v>8</v>
      </c>
      <c r="B119" s="271">
        <f>IFERROR(VLOOKUP(A119,'Индивидуальный план'!$AP$5:$AR$14,2,0),"")</f>
        <v>90</v>
      </c>
      <c r="C119" s="52">
        <f>IFERROR(VLOOKUP(A119,'Индивидуальный план'!$AP$5:$AR$14,3,0),"")</f>
        <v>8626784.8140000012</v>
      </c>
      <c r="D119" s="327"/>
      <c r="E119" s="145">
        <f>SUMIFS(sept20212223[м2],sept20212223[МОП],$A119,sept20212223[№ дома],$C$116,sept20212223[Комнатность],"&lt;&gt;Офис")</f>
        <v>184.03</v>
      </c>
      <c r="F119" s="146">
        <f>SUMIFS(sept20212223[Сумма без отделки],sept20212223[МОП],$A119,sept20212223[№ дома],$C$116,sept20212223[Комнатность],"&lt;&gt;Офис")</f>
        <v>18137400.719999999</v>
      </c>
      <c r="G119" s="147">
        <f>COUNTIFS(sept20212223[МОП],$A119,sept20212223[№ дома],$C$116,sept20212223[Комнатность],"&lt;&gt;Офис")</f>
        <v>3</v>
      </c>
      <c r="H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184.03</v>
      </c>
      <c r="I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18137400.719999999</v>
      </c>
      <c r="J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3</v>
      </c>
      <c r="K119" s="221">
        <f t="shared" ref="K119:L123" si="0">IFERROR(H119/B119,"")</f>
        <v>2.0447777777777776</v>
      </c>
      <c r="L119" s="222">
        <f t="shared" si="0"/>
        <v>2.1024519691931656</v>
      </c>
      <c r="M119" s="148">
        <f>COUNTIFS(РД[Тип кв],M$117,РД[МОП],$A119,РД[Дом],$C$116,РД[Дата подачи на регистрацию],"&lt;="&amp;$A$1,РД[Дата подачи на регистрацию],"&gt;="&amp;DATE(YEAR($A$1),MONTH($A$1),1))</f>
        <v>0</v>
      </c>
      <c r="N119" s="220">
        <f>COUNTIFS(РД[Тип кв],N$117,РД[МОП],$A119,РД[Дом],$C$116,РД[Дата подачи на регистрацию],"&lt;="&amp;$A$1,РД[Дата подачи на регистрацию],"&gt;="&amp;DATE(YEAR($A$1),MONTH($A$1),1))</f>
        <v>1</v>
      </c>
      <c r="O119" s="220">
        <f>COUNTIFS(РД[Тип кв],O$117,РД[МОП],$A119,РД[Дом],$C$116,РД[Дата подачи на регистрацию],"&lt;="&amp;$A$1,РД[Дата подачи на регистрацию],"&gt;="&amp;DATE(YEAR($A$1),MONTH($A$1),1))</f>
        <v>1</v>
      </c>
      <c r="P119" s="220">
        <f>COUNTIFS(РД[Тип кв],P$117,РД[МОП],$A119,РД[Дом],$C$116,РД[Дата подачи на регистрацию],"&lt;="&amp;$A$1,РД[Дата подачи на регистрацию],"&gt;="&amp;DATE(YEAR($A$1),MONTH($A$1),1))</f>
        <v>1</v>
      </c>
      <c r="Q119" s="223">
        <f>COUNTIFS(РД[Тип кв],Q$117,РД[МОП],$A119,РД[Дом],$C$116,РД[Дата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153" t="s">
        <v>20</v>
      </c>
      <c r="B120" s="271">
        <f>IFERROR(VLOOKUP(A120,'Индивидуальный план'!$AP$5:$AR$14,2,0),"")</f>
        <v>130</v>
      </c>
      <c r="C120" s="52">
        <f>IFERROR(VLOOKUP(A120,'Индивидуальный план'!$AP$5:$AR$14,3,0),"")</f>
        <v>12460911.398</v>
      </c>
      <c r="D120" s="327"/>
      <c r="E120" s="145">
        <f>SUMIFS(sept20212223[м2],sept20212223[МОП],$A120,sept20212223[№ дома],$C$116,sept20212223[Комнатность],"&lt;&gt;Офис")</f>
        <v>93.85</v>
      </c>
      <c r="F120" s="146">
        <f>SUMIFS(sept20212223[Сумма без отделки],sept20212223[МОП],$A120,sept20212223[№ дома],$C$116,sept20212223[Комнатность],"&lt;&gt;Офис")</f>
        <v>9388285</v>
      </c>
      <c r="G120" s="147">
        <f>COUNTIFS(sept20212223[МОП],$A120,sept20212223[№ дома],$C$116,sept20212223[Комнатность],"&lt;&gt;Офис")</f>
        <v>2</v>
      </c>
      <c r="H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129.23000000000002</v>
      </c>
      <c r="I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13509885</v>
      </c>
      <c r="J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3</v>
      </c>
      <c r="K120" s="224">
        <f t="shared" si="0"/>
        <v>0.99407692307692319</v>
      </c>
      <c r="L120" s="225">
        <f t="shared" si="0"/>
        <v>1.0841811299748398</v>
      </c>
      <c r="M120" s="202">
        <f>COUNTIFS(РД[Тип кв],M$117,РД[МОП],$A120,РД[Дом],$C$116,РД[Дата подачи на регистрацию],"&lt;="&amp;$A$1,РД[Дата подачи на регистрацию],"&gt;="&amp;DATE(YEAR($A$1),MONTH($A$1),1))</f>
        <v>0</v>
      </c>
      <c r="N120" s="226">
        <f>COUNTIFS(РД[Тип кв],N$117,РД[МОП],$A120,РД[Дом],$C$116,РД[Дата подачи на регистрацию],"&lt;="&amp;$A$1,РД[Дата подачи на регистрацию],"&gt;="&amp;DATE(YEAR($A$1),MONTH($A$1),1))</f>
        <v>2</v>
      </c>
      <c r="O120" s="226">
        <f>COUNTIFS(РД[Тип кв],O$117,РД[МОП],$A120,РД[Дом],$C$116,РД[Дата подачи на регистрацию],"&lt;="&amp;$A$1,РД[Дата подачи на регистрацию],"&gt;="&amp;DATE(YEAR($A$1),MONTH($A$1),1))</f>
        <v>1</v>
      </c>
      <c r="P120" s="226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Q120" s="227">
        <f>COUNTIFS(РД[Тип кв],Q$117,РД[МОП],$A120,РД[Дом],$C$116,РД[Дата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153" t="s">
        <v>14</v>
      </c>
      <c r="B121" s="315">
        <f>IFERROR(VLOOKUP(A121,'Индивидуальный план'!$AP$5:$AR$14,2,0),"")</f>
        <v>213</v>
      </c>
      <c r="C121" s="363">
        <f>IFERROR(VLOOKUP(A121,'Индивидуальный план'!$AP$5:$AR$14,3,0),"")</f>
        <v>20416724.059799999</v>
      </c>
      <c r="D121" s="366"/>
      <c r="E121" s="328">
        <f>SUMIFS(sept20212223[м2],sept20212223[МОП],$A121,sept20212223[№ дома],$C$116,sept20212223[Комнатность],"&lt;&gt;Офис")</f>
        <v>105.2</v>
      </c>
      <c r="F121" s="403">
        <f>SUMIFS(sept20212223[Сумма без отделки],sept20212223[МОП],$A121,sept20212223[№ дома],$C$116,sept20212223[Комнатность],"&lt;&gt;Офис")</f>
        <v>9900625</v>
      </c>
      <c r="G121" s="404">
        <f>COUNTIFS(sept20212223[МОП],$A121,sept20212223[№ дома],$C$116,sept20212223[Комнатность],"&lt;&gt;Офис")</f>
        <v>2</v>
      </c>
      <c r="H121" s="187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105.2</v>
      </c>
      <c r="I121" s="188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9900625</v>
      </c>
      <c r="J121" s="247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2</v>
      </c>
      <c r="K121" s="360">
        <f t="shared" si="0"/>
        <v>0.49389671361502346</v>
      </c>
      <c r="L121" s="361">
        <f t="shared" si="0"/>
        <v>0.48492720825345698</v>
      </c>
      <c r="M121" s="358">
        <f>COUNTIFS(РД[Тип кв],M$117,РД[МОП],$A121,РД[Дом],$C$116,РД[Дата подачи на регистрацию],"&lt;="&amp;$A$1,РД[Дата подачи на регистрацию],"&gt;="&amp;DATE(YEAR($A$1),MONTH($A$1),1))</f>
        <v>1</v>
      </c>
      <c r="N121" s="330">
        <f>COUNTIFS(РД[Тип кв],N$117,РД[МОП],$A121,РД[Дом],$C$116,РД[Дата подачи на регистрацию],"&lt;="&amp;$A$1,РД[Дата подачи на регистрацию],"&gt;="&amp;DATE(YEAR($A$1),MONTH($A$1),1))</f>
        <v>0</v>
      </c>
      <c r="O121" s="330">
        <f>COUNTIFS(РД[Тип кв],O$117,РД[МОП],$A121,РД[Дом],$C$116,РД[Дата подачи на регистрацию],"&lt;="&amp;$A$1,РД[Дата подачи на регистрацию],"&gt;="&amp;DATE(YEAR($A$1),MONTH($A$1),1))</f>
        <v>1</v>
      </c>
      <c r="P121" s="330">
        <f>COUNTIFS(РД[Тип кв],P$117,РД[МОП],$A121,РД[Дом],$C$116,РД[Дата подачи на регистрацию],"&lt;="&amp;$A$1,РД[Дата подачи на регистрацию],"&gt;="&amp;DATE(YEAR($A$1),MONTH($A$1),1))</f>
        <v>0</v>
      </c>
      <c r="Q121" s="331">
        <f>COUNTIFS(РД[Тип кв],Q$117,РД[МОП],$A121,РД[Дом],$C$116,РД[Дата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4" t="s">
        <v>29</v>
      </c>
      <c r="B122" s="274" t="str">
        <f>IFERROR(VLOOKUP(A122,'Индивидуальный план'!$R$3:$T$14,2,0),"")</f>
        <v/>
      </c>
      <c r="C122" s="277" t="str">
        <f>IFERROR(VLOOKUP(A122,'Индивидуальный план'!$R$3:$T$14,3,0),"")</f>
        <v/>
      </c>
      <c r="D122" s="690"/>
      <c r="E122" s="341">
        <f>SUMIFS(sept20212223[м2],sept20212223[МОП],$A122,sept20212223[№ дома],$C$116,sept20212223[Комнатность],"&lt;&gt;Офис")</f>
        <v>0</v>
      </c>
      <c r="F122" s="277">
        <f>SUMIFS(sept20212223[Сумма без отделки],sept20212223[МОП],$A122,sept20212223[№ дома],$C$116,sept20212223[Комнатность],"&lt;&gt;Офис")</f>
        <v>0</v>
      </c>
      <c r="G122" s="405">
        <f>COUNTIFS(sept20212223[МОП],$A122,sept20212223[№ дома],$C$116,sept20212223[Комнатность],"&lt;&gt;Офис")</f>
        <v>0</v>
      </c>
      <c r="H122" s="159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160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8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K122" s="229" t="str">
        <f t="shared" si="0"/>
        <v/>
      </c>
      <c r="L122" s="230" t="str">
        <f t="shared" si="0"/>
        <v/>
      </c>
      <c r="M122" s="159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228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228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228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Q122" s="231">
        <f>COUNTIFS(РД[Тип кв],Q$117,РД[МОП],$A122,РД[Дом],$C$116,РД[Дата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61" t="s">
        <v>1919</v>
      </c>
      <c r="B123" s="278" t="str">
        <f>IFERROR(VLOOKUP(A123,'Индивидуальный план'!$R$3:$T$14,2,0),"")</f>
        <v/>
      </c>
      <c r="C123" s="281" t="str">
        <f>IFERROR(VLOOKUP(A123,'Индивидуальный план'!$R$3:$T$14,3,0),"")</f>
        <v/>
      </c>
      <c r="D123" s="511"/>
      <c r="E123" s="406">
        <f>SUMIFS(sept20212223[м2],sept20212223[МОП],$A123,sept20212223[№ дома],$C$116,sept20212223[Комнатность],"&lt;&gt;Офис")</f>
        <v>35.380000000000003</v>
      </c>
      <c r="F123" s="281">
        <f>SUMIFS(sept20212223[Сумма без отделки],sept20212223[МОП],$A123,sept20212223[№ дома],$C$116,sept20212223[Комнатность],"&lt;&gt;Офис")</f>
        <v>4121600</v>
      </c>
      <c r="G123" s="407">
        <f>COUNTIFS(sept20212223[МОП],$A123,sept20212223[№ дома],$C$116,sept20212223[Комнатность],"&lt;&gt;Офис")</f>
        <v>1</v>
      </c>
      <c r="H123" s="166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167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2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K123" s="233" t="str">
        <f t="shared" si="0"/>
        <v/>
      </c>
      <c r="L123" s="234" t="str">
        <f t="shared" si="0"/>
        <v/>
      </c>
      <c r="M123" s="235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36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36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6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Q123" s="237">
        <f>COUNTIFS(РД[Тип кв],Q$117,РД[МОП],$A123,РД[Дом],$C$116,РД[Дата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68" t="s">
        <v>114</v>
      </c>
      <c r="B124" s="172">
        <f t="shared" ref="B124:J124" si="1">SUM(B118:B123)</f>
        <v>583</v>
      </c>
      <c r="C124" s="173">
        <f t="shared" si="1"/>
        <v>55882394.961800002</v>
      </c>
      <c r="D124" s="691">
        <f t="shared" si="1"/>
        <v>0</v>
      </c>
      <c r="E124" s="173">
        <f t="shared" si="1"/>
        <v>486.41</v>
      </c>
      <c r="F124" s="173">
        <f t="shared" si="1"/>
        <v>47600910.719999999</v>
      </c>
      <c r="G124" s="171">
        <f t="shared" si="1"/>
        <v>9</v>
      </c>
      <c r="H124" s="172">
        <f t="shared" si="1"/>
        <v>486.41</v>
      </c>
      <c r="I124" s="173">
        <f t="shared" si="1"/>
        <v>47601510.719999999</v>
      </c>
      <c r="J124" s="170">
        <f t="shared" si="1"/>
        <v>9</v>
      </c>
      <c r="K124" s="238">
        <f>IFERROR(H124/B124,"")</f>
        <v>0.83432246998284743</v>
      </c>
      <c r="L124" s="239">
        <f>IFERROR(I124/C124,"")</f>
        <v>0.85181586709981494</v>
      </c>
      <c r="M124" s="240">
        <f>SUM(M118:M123)</f>
        <v>1</v>
      </c>
      <c r="N124" s="241">
        <f>SUM(N118:N123)</f>
        <v>3</v>
      </c>
      <c r="O124" s="241">
        <f>SUM(O118:O123)</f>
        <v>4</v>
      </c>
      <c r="P124" s="241">
        <f>SUM(P118:P123)</f>
        <v>1</v>
      </c>
      <c r="Q124" s="242">
        <f>SUM(Q118:Q123)</f>
        <v>0</v>
      </c>
      <c r="U124" s="66"/>
    </row>
    <row r="125" spans="1:21" s="65" customFormat="1">
      <c r="A125" s="692" t="s">
        <v>115</v>
      </c>
      <c r="B125" s="686" t="s">
        <v>100</v>
      </c>
      <c r="C125" s="693" t="s">
        <v>97</v>
      </c>
      <c r="D125" s="688" t="s">
        <v>95</v>
      </c>
      <c r="E125" s="295" t="s">
        <v>494</v>
      </c>
      <c r="F125" s="138" t="s">
        <v>495</v>
      </c>
      <c r="G125" s="470" t="s">
        <v>496</v>
      </c>
      <c r="H125" s="140" t="s">
        <v>101</v>
      </c>
      <c r="I125" s="141" t="s">
        <v>98</v>
      </c>
      <c r="J125" s="141" t="s">
        <v>96</v>
      </c>
      <c r="K125" s="495" t="s">
        <v>715</v>
      </c>
      <c r="L125" s="496" t="s">
        <v>716</v>
      </c>
      <c r="M125" s="217">
        <v>0</v>
      </c>
      <c r="N125" s="218">
        <v>1</v>
      </c>
      <c r="O125" s="218">
        <v>2</v>
      </c>
      <c r="P125" s="218">
        <v>3</v>
      </c>
      <c r="Q125" s="219" t="s">
        <v>1367</v>
      </c>
      <c r="U125" s="66"/>
    </row>
    <row r="126" spans="1:21" s="65" customFormat="1">
      <c r="A126" s="142" t="s">
        <v>16</v>
      </c>
      <c r="B126" s="267">
        <f>IFERROR(VLOOKUP(A126,'Индивидуальный план'!$AP$5:$AR$14,2,0),"")</f>
        <v>204</v>
      </c>
      <c r="C126" s="146">
        <f>IFERROR(VLOOKUP(A126,'Индивидуальный план'!$AP$5:$AR$14,3,0),"")</f>
        <v>19554045.578400001</v>
      </c>
      <c r="D126" s="702"/>
      <c r="E126" s="145">
        <f>SUMIFS(sept20212223[м2],sept20212223[ИМ],A126,sept20212223[№ дома],$C$116,sept20212223[Комнатность],"&lt;&gt;Офис")</f>
        <v>251.60000000000002</v>
      </c>
      <c r="F126" s="149">
        <f>SUMIFS(sept20212223[Сумма без отделки],sept20212223[ИМ],$A126,sept20212223[№ дома],$C$116,sept20212223[Комнатность],"&lt;&gt;Офис")</f>
        <v>27384939.219999999</v>
      </c>
      <c r="G126" s="147">
        <f>COUNTIFS(sept20212223[ИМ],$A126,sept20212223[№ дома],$C$116,sept20212223[Комнатность],"&lt;&gt;Офис")</f>
        <v>6</v>
      </c>
      <c r="H126" s="183">
        <f>SUMIFS(РД[S],РД[Дом],$C$116,РД[ИМ],A126,РД[Дата подачи на регистрацию],"&lt;="&amp;$A$1,РД[Дата подачи на регистрацию],"&gt;="&amp;DATE(YEAR($A$1),MONTH($A$1),1),РД[Состояние],"Продажа")</f>
        <v>251.60000000000002</v>
      </c>
      <c r="I126" s="184">
        <f>SUMIFS(РД[Стоимость без отделки итог],РД[Дом],$C$116,РД[ИМ],A126,РД[Дата подачи на регистрацию],"&lt;="&amp;$A$1,РД[Дата подачи на регистрацию],"&gt;="&amp;DATE(YEAR($A$1),MONTH($A$1),1),РД[Состояние],"Продажа")</f>
        <v>27384939.219999999</v>
      </c>
      <c r="J126" s="243">
        <f>COUNTIFS(РД[Дом],$C$116,РД[ИМ],A126,РД[Дата подачи на регистрацию],"&lt;="&amp;$A$1,РД[Дата подачи на регистрацию],"&gt;="&amp;DATE(YEAR($A$1),MONTH($A$1),1),РД[Состояние],"Продажа")</f>
        <v>6</v>
      </c>
      <c r="K126" s="244">
        <f t="shared" ref="K126:L128" si="2">IFERROR(H126/B126,"")</f>
        <v>1.2333333333333334</v>
      </c>
      <c r="L126" s="245">
        <f t="shared" si="2"/>
        <v>1.4004743473775187</v>
      </c>
      <c r="M126" s="183">
        <f>COUNTIFS(РД[Тип кв],M117,РД[ИМ],$A126,РД[Дом],$C$116,РД[Дата подачи на регистрацию],"&lt;="&amp;$A$1,РД[Дата подачи на регистрацию],"&gt;="&amp;DATE(YEAR($A$1),MONTH($A$1),1))</f>
        <v>1</v>
      </c>
      <c r="N126" s="243">
        <f>COUNTIFS(РД[Тип кв],N117,РД[ИМ],$A126,РД[Дом],$C$116,РД[Дата подачи на регистрацию],"&lt;="&amp;$A$1,РД[Дата подачи на регистрацию],"&gt;="&amp;DATE(YEAR($A$1),MONTH($A$1),1))</f>
        <v>4</v>
      </c>
      <c r="O126" s="243">
        <f>COUNTIFS(РД[Тип кв],O117,РД[ИМ],$A126,РД[Дом],$C$116,РД[Дата подачи на регистрацию],"&lt;="&amp;$A$1,РД[Дата подачи на регистрацию],"&gt;="&amp;DATE(YEAR($A$1),MONTH($A$1),1))</f>
        <v>1</v>
      </c>
      <c r="P126" s="243">
        <f>COUNTIFS(РД[Тип кв],P117,РД[ИМ],$A126,РД[Дом],$C$116,РД[Дата подачи на регистрацию],"&lt;="&amp;$A$1,РД[Дата подачи на регистрацию],"&gt;="&amp;DATE(YEAR($A$1),MONTH($A$1),1))</f>
        <v>0</v>
      </c>
      <c r="Q126" s="246">
        <f>COUNTIFS(РД[Тип кв],Q117,РД[ИМ],$A126,РД[Дом],$C$116,РД[Дата подачи на регистрацию],"&lt;="&amp;$A$1,РД[Дата подачи на регистрацию],"&gt;="&amp;DATE(YEAR($A$1),MONTH($A$1),1))</f>
        <v>0</v>
      </c>
      <c r="U126" s="66"/>
    </row>
    <row r="127" spans="1:21" s="65" customFormat="1">
      <c r="A127" s="153" t="s">
        <v>22</v>
      </c>
      <c r="B127" s="267">
        <f>IFERROR(VLOOKUP(A127,'Индивидуальный план'!$AP$5:$AR$14,2,0),"")</f>
        <v>204</v>
      </c>
      <c r="C127" s="146">
        <f>IFERROR(VLOOKUP(A127,'Индивидуальный план'!$AP$5:$AR$14,3,0),"")</f>
        <v>19554045.578400001</v>
      </c>
      <c r="D127" s="695"/>
      <c r="E127" s="145">
        <f>SUMIFS(sept20212223[м2],sept20212223[ИМ],A127,sept20212223[№ дома],$C$116,sept20212223[Комнатность],"&lt;&gt;Офис")</f>
        <v>68.75</v>
      </c>
      <c r="F127" s="149">
        <f>SUMIFS(sept20212223[Сумма без отделки],sept20212223[ИМ],$A127,sept20212223[№ дома],$C$116,sept20212223[Комнатность],"&lt;&gt;Офис")</f>
        <v>6017825</v>
      </c>
      <c r="G127" s="147">
        <f>COUNTIFS(sept20212223[ИМ],$A127,sept20212223[№ дома],$C$116,sept20212223[Комнатность],"&lt;&gt;Офис")</f>
        <v>1</v>
      </c>
      <c r="H127" s="195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68.75</v>
      </c>
      <c r="I127" s="196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6017825</v>
      </c>
      <c r="J127" s="251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1</v>
      </c>
      <c r="K127" s="252">
        <f t="shared" si="2"/>
        <v>0.33700980392156865</v>
      </c>
      <c r="L127" s="253">
        <f t="shared" si="2"/>
        <v>0.30775345060295217</v>
      </c>
      <c r="M127" s="195">
        <f>COUNTIFS(РД[Тип кв],M117,РД[ИМ],$A127,РД[Дом],$C$116,РД[Дата подачи на регистрацию],"&lt;="&amp;$A$1,РД[Дата подачи на регистрацию],"&gt;="&amp;DATE(YEAR($A$1),MONTH($A$1),1))</f>
        <v>0</v>
      </c>
      <c r="N127" s="251">
        <f>COUNTIFS(РД[Тип кв],N117,РД[ИМ],$A127,РД[Дом],$C$116,РД[Дата подачи на регистрацию],"&lt;="&amp;$A$1,РД[Дата подачи на регистрацию],"&gt;="&amp;DATE(YEAR($A$1),MONTH($A$1),1))</f>
        <v>0</v>
      </c>
      <c r="O127" s="251">
        <f>COUNTIFS(РД[Тип кв],O117,РД[ИМ],$A127,РД[Дом],$C$116,РД[Дата подачи на регистрацию],"&lt;="&amp;$A$1,РД[Дата подачи на регистрацию],"&gt;="&amp;DATE(YEAR($A$1),MONTH($A$1),1))</f>
        <v>1</v>
      </c>
      <c r="P127" s="251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Q127" s="254">
        <f>COUNTIFS(РД[Тип кв],Q117,РД[ИМ],$A127,РД[Дом],$C$116,РД[Дата подачи на регистрацию],"&lt;="&amp;$A$1,РД[Дата подачи на регистрацию],"&gt;="&amp;DATE(YEAR($A$1),MONTH($A$1),1))</f>
        <v>0</v>
      </c>
      <c r="U127" s="66"/>
    </row>
    <row r="128" spans="1:21" s="65" customFormat="1">
      <c r="A128" s="317" t="s">
        <v>114</v>
      </c>
      <c r="B128" s="172">
        <f t="shared" ref="B128:Q128" si="3">SUM(B126:B127)</f>
        <v>408</v>
      </c>
      <c r="C128" s="173">
        <f t="shared" si="3"/>
        <v>39108091.156800002</v>
      </c>
      <c r="D128" s="696">
        <f t="shared" si="3"/>
        <v>0</v>
      </c>
      <c r="E128" s="484">
        <f t="shared" si="3"/>
        <v>320.35000000000002</v>
      </c>
      <c r="F128" s="429">
        <f t="shared" si="3"/>
        <v>33402764.219999999</v>
      </c>
      <c r="G128" s="485">
        <f t="shared" si="3"/>
        <v>7</v>
      </c>
      <c r="H128" s="473">
        <f t="shared" si="3"/>
        <v>320.35000000000002</v>
      </c>
      <c r="I128" s="429">
        <f t="shared" si="3"/>
        <v>33402764.219999999</v>
      </c>
      <c r="J128" s="494">
        <f t="shared" si="3"/>
        <v>7</v>
      </c>
      <c r="K128" s="419">
        <f t="shared" si="2"/>
        <v>0.78517156862745108</v>
      </c>
      <c r="L128" s="420">
        <f t="shared" si="2"/>
        <v>0.85411389899023549</v>
      </c>
      <c r="M128" s="473">
        <f t="shared" si="3"/>
        <v>1</v>
      </c>
      <c r="N128" s="494">
        <f t="shared" si="3"/>
        <v>4</v>
      </c>
      <c r="O128" s="494">
        <f t="shared" si="3"/>
        <v>2</v>
      </c>
      <c r="P128" s="494">
        <f t="shared" si="3"/>
        <v>0</v>
      </c>
      <c r="Q128" s="497">
        <f t="shared" si="3"/>
        <v>0</v>
      </c>
      <c r="U128" s="66"/>
    </row>
    <row r="129" spans="1:21" s="65" customFormat="1">
      <c r="A129" s="134"/>
      <c r="B129" s="197"/>
      <c r="C129" s="197"/>
      <c r="D129" s="198"/>
      <c r="E129" s="134"/>
      <c r="F129" s="44"/>
      <c r="G129" s="134"/>
      <c r="H129" s="134"/>
      <c r="I129" s="44"/>
      <c r="J129" s="134"/>
      <c r="K129" s="255"/>
      <c r="L129" s="256"/>
      <c r="M129" s="134"/>
      <c r="N129" s="134"/>
      <c r="O129" s="134"/>
      <c r="P129" s="134"/>
      <c r="Q129" s="134"/>
      <c r="U129" s="66"/>
    </row>
    <row r="130" spans="1:21" s="65" customFormat="1">
      <c r="A130" s="2327" t="s">
        <v>713</v>
      </c>
      <c r="B130" s="2328"/>
      <c r="C130" s="474" t="s">
        <v>13</v>
      </c>
      <c r="D130" s="697"/>
      <c r="E130" s="475"/>
      <c r="F130" s="475"/>
      <c r="G130" s="475"/>
      <c r="H130" s="476"/>
      <c r="I130" s="476"/>
      <c r="J130" s="476"/>
      <c r="K130" s="476"/>
      <c r="L130" s="476"/>
      <c r="M130" s="475"/>
      <c r="N130" s="475"/>
      <c r="O130" s="475"/>
      <c r="P130" s="475"/>
      <c r="Q130" s="498"/>
      <c r="U130" s="66"/>
    </row>
    <row r="131" spans="1:21" s="65" customFormat="1">
      <c r="A131" s="698" t="s">
        <v>1</v>
      </c>
      <c r="B131" s="699" t="s">
        <v>100</v>
      </c>
      <c r="C131" s="700" t="s">
        <v>97</v>
      </c>
      <c r="D131" s="701" t="s">
        <v>95</v>
      </c>
      <c r="E131" s="137" t="s">
        <v>494</v>
      </c>
      <c r="F131" s="477" t="s">
        <v>495</v>
      </c>
      <c r="G131" s="478" t="s">
        <v>496</v>
      </c>
      <c r="H131" s="479" t="s">
        <v>101</v>
      </c>
      <c r="I131" s="479" t="s">
        <v>98</v>
      </c>
      <c r="J131" s="479" t="s">
        <v>96</v>
      </c>
      <c r="K131" s="479" t="s">
        <v>715</v>
      </c>
      <c r="L131" s="479" t="s">
        <v>716</v>
      </c>
      <c r="M131" s="499">
        <v>0</v>
      </c>
      <c r="N131" s="340">
        <v>1</v>
      </c>
      <c r="O131" s="340">
        <v>2</v>
      </c>
      <c r="P131" s="340">
        <v>3</v>
      </c>
      <c r="Q131" s="500" t="s">
        <v>1367</v>
      </c>
      <c r="U131" s="66"/>
    </row>
    <row r="132" spans="1:21" s="65" customFormat="1">
      <c r="A132" s="398" t="s">
        <v>1867</v>
      </c>
      <c r="B132" s="271">
        <f>IFERROR(VLOOKUP(A132,'Индивидуальный план'!$AP$18:$AR$28,2,0),"")</f>
        <v>160</v>
      </c>
      <c r="C132" s="52">
        <f>IFERROR(VLOOKUP(A132,'Индивидуальный план'!$AP$18:$AR$28,3,0),"")</f>
        <v>15029376.767999999</v>
      </c>
      <c r="D132" s="327"/>
      <c r="E132" s="257">
        <f>SUMIFS(sept20212223[м2],sept20212223[МОП],$A132,sept20212223[№ дома],$C$130,sept20212223[Комнатность],"&lt;&gt;Офис")</f>
        <v>79.44</v>
      </c>
      <c r="F132" s="52">
        <f>SUMIFS(sept20212223[Сумма без отделки],sept20212223[МОП],$A132,sept20212223[№ дома],$C$130,sept20212223[Комнатность],"&lt;&gt;Офис")</f>
        <v>7088900</v>
      </c>
      <c r="G132" s="413">
        <f>COUNTIFS(sept20212223[МОП],$A132,sept20212223[№ дома],$C$130,sept20212223[Комнатность],"&lt;&gt;Офис")</f>
        <v>1</v>
      </c>
      <c r="H132" s="202">
        <f>SUMIFS(РД[S],РД[Дом],$C$130,РД[МОП],A132,РД[Дата подачи на регистрацию],"&lt;="&amp;$A$1,РД[Дата подачи на регистрацию],"&gt;="&amp;DATE(YEAR($A$1),MONTH($A$1),1),РД[Состояние],"Продажа")</f>
        <v>79.44</v>
      </c>
      <c r="I132" s="203">
        <f>SUMIFS(РД[Стоимость без отделки итог],РД[Дом],$C$130,РД[МОП],A132,РД[Дата подачи на регистрацию],"&lt;="&amp;$A$1,РД[Дата подачи на регистрацию],"&gt;="&amp;DATE(YEAR($A$1),MONTH($A$1),1),РД[Состояние],"Продажа")</f>
        <v>7088900</v>
      </c>
      <c r="J132" s="226">
        <f>COUNTIFS(РД[Дом],$C$130,РД[МОП],A132,РД[Дата подачи на регистрацию],"&lt;="&amp;$A$1,РД[Дата подачи на регистрацию],"&gt;="&amp;DATE(YEAR($A$1),MONTH($A$1),1),РД[Состояние],"Продажа")</f>
        <v>1</v>
      </c>
      <c r="K132" s="224">
        <f t="shared" ref="K132:L137" si="4">IFERROR(H132/B132,)</f>
        <v>0.4965</v>
      </c>
      <c r="L132" s="225">
        <f t="shared" si="4"/>
        <v>0.47166959145594295</v>
      </c>
      <c r="M132" s="257">
        <f>COUNTIFS(РД[Тип кв],M$131,РД[МОП],$A132,РД[Дом],$C$130,РД[Дата подачи на регистрацию],"&lt;="&amp;$A$1,РД[Дата подачи на регистрацию],"&gt;="&amp;DATE(YEAR($A$1),MONTH($A$1),1))</f>
        <v>0</v>
      </c>
      <c r="N132" s="226">
        <f>COUNTIFS(РД[Тип кв],N$131,РД[МОП],$A132,РД[Дом],$C$130,РД[Дата подачи на регистрацию],"&lt;="&amp;$A$1,РД[Дата подачи на регистрацию],"&gt;="&amp;DATE(YEAR($A$1),MONTH($A$1),1))</f>
        <v>0</v>
      </c>
      <c r="O132" s="226">
        <f>COUNTIFS(РД[Тип кв],O$131,РД[МОП],$A132,РД[Дом],$C$130,РД[Дата подачи на регистрацию],"&lt;="&amp;$A$1,РД[Дата подачи на регистрацию],"&gt;="&amp;DATE(YEAR($A$1),MONTH($A$1),1))</f>
        <v>0</v>
      </c>
      <c r="P132" s="226">
        <f>COUNTIFS(РД[Тип кв],P$131,РД[МОП],$A132,РД[Дом],$C$130,РД[Дата подачи на регистрацию],"&lt;="&amp;$A$1,РД[Дата подачи на регистрацию],"&gt;="&amp;DATE(YEAR($A$1),MONTH($A$1),1))</f>
        <v>1</v>
      </c>
      <c r="Q132" s="227">
        <f>COUNTIFS(РД[Тип кв],Q$131,РД[МОП],$A132,РД[Дом],$C$130,РД[Дата подачи на регистрацию],"&lt;="&amp;$A$1,РД[Дата подачи на регистрацию],"&gt;="&amp;DATE(YEAR($A$1),MONTH($A$1),1))</f>
        <v>0</v>
      </c>
      <c r="U132" s="66"/>
    </row>
    <row r="133" spans="1:21" s="65" customFormat="1">
      <c r="A133" s="398" t="s">
        <v>8</v>
      </c>
      <c r="B133" s="271">
        <f>IFERROR(VLOOKUP(A133,'Индивидуальный план'!$AP$18:$AR$28,2,0),"")</f>
        <v>120</v>
      </c>
      <c r="C133" s="52">
        <f>IFERROR(VLOOKUP(A133,'Индивидуальный план'!$AP$18:$AR$28,3,0),"")</f>
        <v>11272032.575999999</v>
      </c>
      <c r="D133" s="327"/>
      <c r="E133" s="257">
        <f>SUMIFS(sept20212223[м2],sept20212223[МОП],$A133,sept20212223[№ дома],$C$130,sept20212223[Комнатность],"&lt;&gt;Офис")</f>
        <v>0</v>
      </c>
      <c r="F133" s="52">
        <f>SUMIFS(sept20212223[Сумма без отделки],sept20212223[МОП],$A133,sept20212223[№ дома],$C$130,sept20212223[Комнатность],"&lt;&gt;Офис")</f>
        <v>0</v>
      </c>
      <c r="G133" s="413">
        <f>COUNTIFS(sept20212223[МОП],$A133,sept20212223[№ дома],$C$130,sept20212223[Комнатность],"&lt;&gt;Офис")</f>
        <v>0</v>
      </c>
      <c r="H133" s="202">
        <f>SUMIFS(РД[S],РД[Дом],$C$130,РД[МОП],A133,РД[Дата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I133" s="203">
        <f>SUMIFS(РД[Стоимость без отделки итог],РД[Дом],$C$130,РД[МОП],A133,РД[Дата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J133" s="226">
        <f>COUNTIFS(РД[Дом],$C$130,РД[МОП],A133,РД[Дата подачи на регистрацию],"&lt;="&amp;$A$1,РД[Дата подачи на регистрацию],"&gt;="&amp;DATE(YEAR($A$1),MONTH($A$1),1),РД[Состояние],"Продажа")</f>
        <v>0</v>
      </c>
      <c r="K133" s="224">
        <f t="shared" si="4"/>
        <v>0</v>
      </c>
      <c r="L133" s="225">
        <f t="shared" si="4"/>
        <v>0</v>
      </c>
      <c r="M133" s="257">
        <f>COUNTIFS(РД[Тип кв],M$131,РД[МОП],$A133,РД[Дом],$C$130,РД[Дата подачи на регистрацию],"&lt;="&amp;$A$1,РД[Дата подачи на регистрацию],"&gt;="&amp;DATE(YEAR($A$1),MONTH($A$1),1))</f>
        <v>0</v>
      </c>
      <c r="N133" s="226">
        <f>COUNTIFS(РД[Тип кв],N$131,РД[МОП],$A133,РД[Дом],$C$130,РД[Дата подачи на регистрацию],"&lt;="&amp;$A$1,РД[Дата подачи на регистрацию],"&gt;="&amp;DATE(YEAR($A$1),MONTH($A$1),1))</f>
        <v>0</v>
      </c>
      <c r="O133" s="226">
        <f>COUNTIFS(РД[Тип кв],O$131,РД[МОП],$A133,РД[Дом],$C$130,РД[Дата подачи на регистрацию],"&lt;="&amp;$A$1,РД[Дата подачи на регистрацию],"&gt;="&amp;DATE(YEAR($A$1),MONTH($A$1),1))</f>
        <v>0</v>
      </c>
      <c r="P133" s="226">
        <f>COUNTIFS(РД[Тип кв],P$131,РД[МОП],$A133,РД[Дом],$C$130,РД[Дата подачи на регистрацию],"&lt;="&amp;$A$1,РД[Дата подачи на регистрацию],"&gt;="&amp;DATE(YEAR($A$1),MONTH($A$1),1))</f>
        <v>0</v>
      </c>
      <c r="Q133" s="227">
        <f>COUNTIFS(РД[Тип кв],Q$131,РД[МОП],$A133,РД[Дом],$C$130,РД[Дата подачи на регистрацию],"&lt;="&amp;$A$1,РД[Дата подачи на регистрацию],"&gt;="&amp;DATE(YEAR($A$1),MONTH($A$1),1))</f>
        <v>0</v>
      </c>
      <c r="U133" s="66"/>
    </row>
    <row r="134" spans="1:21" s="65" customFormat="1">
      <c r="A134" s="153" t="s">
        <v>20</v>
      </c>
      <c r="B134" s="271">
        <f>IFERROR(VLOOKUP(A134,'Индивидуальный план'!$AP$18:$AR$28,2,0),"")</f>
        <v>200</v>
      </c>
      <c r="C134" s="52">
        <f>IFERROR(VLOOKUP(A134,'Индивидуальный план'!$AP$18:$AR$28,3,0),"")</f>
        <v>18786720.960000001</v>
      </c>
      <c r="D134" s="327"/>
      <c r="E134" s="257">
        <f>SUMIFS(sept20212223[м2],sept20212223[МОП],$A134,sept20212223[№ дома],$C$130,sept20212223[Комнатность],"&lt;&gt;Офис")</f>
        <v>84.99</v>
      </c>
      <c r="F134" s="52">
        <f>SUMIFS(sept20212223[Сумма без отделки],sept20212223[МОП],$A134,sept20212223[№ дома],$C$130,sept20212223[Комнатность],"&lt;&gt;Офис")</f>
        <v>6879936</v>
      </c>
      <c r="G134" s="413">
        <f>COUNTIFS(sept20212223[МОП],$A134,sept20212223[№ дома],$C$130,sept20212223[Комнатность],"&lt;&gt;Офис")</f>
        <v>1</v>
      </c>
      <c r="H134" s="202">
        <f>SUMIFS(РД[S],РД[Дом],$C$130,РД[МОП],A134,РД[Дата подачи на регистрацию],"&lt;="&amp;$A$1,РД[Дата подачи на регистрацию],"&gt;="&amp;DATE(YEAR($A$1),MONTH($A$1),1),РД[Состояние],"Продажа")</f>
        <v>109.52</v>
      </c>
      <c r="I134" s="203">
        <f>SUMIFS(РД[Стоимость без отделки итог],РД[Дом],$C$130,РД[МОП],A134,РД[Дата подачи на регистрацию],"&lt;="&amp;$A$1,РД[Дата подачи на регистрацию],"&gt;="&amp;DATE(YEAR($A$1),MONTH($A$1),1),РД[Состояние],"Продажа")</f>
        <v>9801576</v>
      </c>
      <c r="J134" s="226">
        <f>COUNTIFS(РД[Дом],$C$130,РД[МОП],A134,РД[Дата подачи на регистрацию],"&lt;="&amp;$A$1,РД[Дата подачи на регистрацию],"&gt;="&amp;DATE(YEAR($A$1),MONTH($A$1),1),РД[Состояние],"Продажа")</f>
        <v>2</v>
      </c>
      <c r="K134" s="224">
        <f t="shared" si="4"/>
        <v>0.54759999999999998</v>
      </c>
      <c r="L134" s="225">
        <f t="shared" si="4"/>
        <v>0.52172893933268916</v>
      </c>
      <c r="M134" s="257">
        <f>COUNTIFS(РД[Тип кв],M$131,РД[МОП],$A134,РД[Дом],$C$130,РД[Дата подачи на регистрацию],"&lt;="&amp;$A$1,РД[Дата подачи на регистрацию],"&gt;="&amp;DATE(YEAR($A$1),MONTH($A$1),1))</f>
        <v>1</v>
      </c>
      <c r="N134" s="226">
        <f>COUNTIFS(РД[Тип кв],N$131,РД[МОП],$A134,РД[Дом],$C$130,РД[Дата подачи на регистрацию],"&lt;="&amp;$A$1,РД[Дата подачи на регистрацию],"&gt;="&amp;DATE(YEAR($A$1),MONTH($A$1),1))</f>
        <v>0</v>
      </c>
      <c r="O134" s="226">
        <f>COUNTIFS(РД[Тип кв],O$131,РД[МОП],$A134,РД[Дом],$C$130,РД[Дата подачи на регистрацию],"&lt;="&amp;$A$1,РД[Дата подачи на регистрацию],"&gt;="&amp;DATE(YEAR($A$1),MONTH($A$1),1))</f>
        <v>0</v>
      </c>
      <c r="P134" s="226">
        <f>COUNTIFS(РД[Тип кв],P$131,РД[МОП],$A134,РД[Дом],$C$130,РД[Дата подачи на регистрацию],"&lt;="&amp;$A$1,РД[Дата подачи на регистрацию],"&gt;="&amp;DATE(YEAR($A$1),MONTH($A$1),1))</f>
        <v>1</v>
      </c>
      <c r="Q134" s="227">
        <f>COUNTIFS(РД[Тип кв],Q$131,РД[МОП],$A134,РД[Дом],$C$130,РД[Дата подачи на регистрацию],"&lt;="&amp;$A$1,РД[Дата подачи на регистрацию],"&gt;="&amp;DATE(YEAR($A$1),MONTH($A$1),1))</f>
        <v>0</v>
      </c>
      <c r="U134" s="66"/>
    </row>
    <row r="135" spans="1:21" s="65" customFormat="1">
      <c r="A135" s="153" t="s">
        <v>14</v>
      </c>
      <c r="B135" s="271">
        <f>IFERROR(VLOOKUP(A135,'Индивидуальный план'!$AP$18:$AR$28,2,0),"")</f>
        <v>259</v>
      </c>
      <c r="C135" s="52">
        <f>IFERROR(VLOOKUP(A135,'Индивидуальный план'!$AP$18:$AR$28,3,0),"")</f>
        <v>24328803.643199999</v>
      </c>
      <c r="D135" s="366"/>
      <c r="E135" s="329">
        <f>SUMIFS(sept20212223[м2],sept20212223[МОП],$A135,sept20212223[№ дома],$C$130,sept20212223[Комнатность],"&lt;&gt;Офис")</f>
        <v>201.55</v>
      </c>
      <c r="F135" s="363">
        <f>SUMIFS(sept20212223[Сумма без отделки],sept20212223[МОП],$A135,sept20212223[№ дома],$C$130,sept20212223[Комнатность],"&lt;&gt;Офис")</f>
        <v>12655116</v>
      </c>
      <c r="G135" s="414">
        <f>COUNTIFS(sept20212223[МОП],$A135,sept20212223[№ дома],$C$130,sept20212223[Комнатность],"&lt;&gt;Офис")</f>
        <v>4</v>
      </c>
      <c r="H135" s="358">
        <f>SUMIFS(РД[S],РД[Дом],$C$130,РД[МОП],A135,РД[Дата подачи на регистрацию],"&lt;="&amp;$A$1,РД[Дата подачи на регистрацию],"&gt;="&amp;DATE(YEAR($A$1),MONTH($A$1),1),РД[Состояние],"Продажа")</f>
        <v>120.58000000000001</v>
      </c>
      <c r="I135" s="359">
        <f>SUMIFS(РД[Стоимость без отделки итог],РД[Дом],$C$130,РД[МОП],A135,РД[Дата подачи на регистрацию],"&lt;="&amp;$A$1,РД[Дата подачи на регистрацию],"&gt;="&amp;DATE(YEAR($A$1),MONTH($A$1),1),РД[Состояние],"Продажа")</f>
        <v>12655116</v>
      </c>
      <c r="J135" s="330">
        <f>COUNTIFS(РД[Дом],$C$130,РД[МОП],A135,РД[Дата подачи на регистрацию],"&lt;="&amp;$A$1,РД[Дата подачи на регистрацию],"&gt;="&amp;DATE(YEAR($A$1),MONTH($A$1),1),РД[Состояние],"Продажа")</f>
        <v>3</v>
      </c>
      <c r="K135" s="360">
        <f t="shared" si="4"/>
        <v>0.46555984555984559</v>
      </c>
      <c r="L135" s="361">
        <f t="shared" si="4"/>
        <v>0.52017009079429832</v>
      </c>
      <c r="M135" s="329">
        <f>COUNTIFS(РД[Тип кв],M$131,РД[МОП],$A135,РД[Дом],$C$130,РД[Дата подачи на регистрацию],"&lt;="&amp;$A$1,РД[Дата подачи на регистрацию],"&gt;="&amp;DATE(YEAR($A$1),MONTH($A$1),1))</f>
        <v>1</v>
      </c>
      <c r="N135" s="330">
        <f>COUNTIFS(РД[Тип кв],N$131,РД[МОП],$A135,РД[Дом],$C$130,РД[Дата подачи на регистрацию],"&lt;="&amp;$A$1,РД[Дата подачи на регистрацию],"&gt;="&amp;DATE(YEAR($A$1),MONTH($A$1),1))</f>
        <v>1</v>
      </c>
      <c r="O135" s="330">
        <f>COUNTIFS(РД[Тип кв],O$131,РД[МОП],$A135,РД[Дом],$C$130,РД[Дата подачи на регистрацию],"&lt;="&amp;$A$1,РД[Дата подачи на регистрацию],"&gt;="&amp;DATE(YEAR($A$1),MONTH($A$1),1))</f>
        <v>1</v>
      </c>
      <c r="P135" s="330">
        <f>COUNTIFS(РД[Тип кв],P$131,РД[МОП],$A135,РД[Дом],$C$130,РД[Дата подачи на регистрацию],"&lt;="&amp;$A$1,РД[Дата подачи на регистрацию],"&gt;="&amp;DATE(YEAR($A$1),MONTH($A$1),1))</f>
        <v>0</v>
      </c>
      <c r="Q135" s="331">
        <f>COUNTIFS(РД[Тип кв],Q$131,РД[МОП],$A135,РД[Дом],$C$130,РД[Дата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154" t="s">
        <v>29</v>
      </c>
      <c r="B136" s="274" t="str">
        <f>IFERROR(VLOOKUP(A136,'Индивидуальный план'!$R$3:$T$14,2,0),"")</f>
        <v/>
      </c>
      <c r="C136" s="277" t="str">
        <f>IFERROR(VLOOKUP(A136,'Индивидуальный план'!$R$3:$T$14,3,0),"")</f>
        <v/>
      </c>
      <c r="D136" s="690"/>
      <c r="E136" s="341">
        <f>SUMIFS(sept20212223[м2],sept20212223[МОП],$A136,sept20212223[№ дома],$C$130,sept20212223[Комнатность],"&lt;&gt;Офис")</f>
        <v>0</v>
      </c>
      <c r="F136" s="277">
        <f>SUMIFS(sept20212223[Сумма без отделки],sept20212223[МОП],$A136,sept20212223[№ дома],$C$130,sept20212223[Комнатность],"&lt;&gt;Офис")</f>
        <v>0</v>
      </c>
      <c r="G136" s="405">
        <f>COUNTIFS(sept20212223[МОП],$A136,sept20212223[№ дома],$C$130,sept20212223[Комнатность],"&lt;&gt;Офис")</f>
        <v>0</v>
      </c>
      <c r="H136" s="159">
        <f>SUMIFS(РД[S],РД[Дом],$C$130,РД[МОП],A136,РД[Дата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160">
        <f>SUMIFS(РД[Стоимость без отделки итог],РД[Дом],$C$130,РД[МОП],A136,РД[Дата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8">
        <f>COUNTIFS(РД[Дом],$C$130,РД[МОП],A136,РД[Дата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K136" s="229">
        <f t="shared" si="4"/>
        <v>0</v>
      </c>
      <c r="L136" s="230">
        <f t="shared" si="4"/>
        <v>0</v>
      </c>
      <c r="M136" s="341">
        <f>COUNTIFS(РД[Тип кв],M$131,РД[МОП],$A136,РД[Дом],$C$130,РД[Дата подачи на регистрацию],"&lt;="&amp;$A$1,РД[Дата подачи на регистрацию],"&gt;="&amp;DATE(YEAR($A$1),MONTH($A$1),1))</f>
        <v>0</v>
      </c>
      <c r="N136" s="228">
        <f>COUNTIFS(РД[Тип кв],N$131,РД[МОП],$A136,РД[Дом],$C$130,РД[Дата подачи на регистрацию],"&lt;="&amp;$A$1,РД[Дата подачи на регистрацию],"&gt;="&amp;DATE(YEAR($A$1),MONTH($A$1),1))</f>
        <v>0</v>
      </c>
      <c r="O136" s="228">
        <f>COUNTIFS(РД[Тип кв],O$131,РД[МОП],$A136,РД[Дом],$C$130,РД[Дата подачи на регистрацию],"&lt;="&amp;$A$1,РД[Дата подачи на регистрацию],"&gt;="&amp;DATE(YEAR($A$1),MONTH($A$1),1))</f>
        <v>0</v>
      </c>
      <c r="P136" s="228">
        <f>COUNTIFS(РД[Тип кв],P$131,РД[МОП],$A136,РД[Дом],$C$130,РД[Дата подачи на регистрацию],"&lt;="&amp;$A$1,РД[Дата подачи на регистрацию],"&gt;="&amp;DATE(YEAR($A$1),MONTH($A$1),1))</f>
        <v>0</v>
      </c>
      <c r="Q136" s="231">
        <f>COUNTIFS(РД[Тип кв],Q$131,РД[МОП],$A136,РД[Дом],$C$130,РД[Дата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161" t="s">
        <v>1919</v>
      </c>
      <c r="B137" s="278" t="str">
        <f>IFERROR(VLOOKUP(A137,'Индивидуальный план'!$R$3:$T$14,2,0),"")</f>
        <v/>
      </c>
      <c r="C137" s="281" t="str">
        <f>IFERROR(VLOOKUP(A137,'Индивидуальный план'!$R$3:$T$14,3,0),"")</f>
        <v/>
      </c>
      <c r="D137" s="511"/>
      <c r="E137" s="406">
        <f>SUMIFS(sept20212223[м2],sept20212223[МОП],$A137,sept20212223[№ дома],$C$130,sept20212223[Комнатность],"&lt;&gt;Офис")</f>
        <v>24.53</v>
      </c>
      <c r="F137" s="281">
        <f>SUMIFS(sept20212223[Сумма без отделки],sept20212223[МОП],$A137,sept20212223[№ дома],$C$130,sept20212223[Комнатность],"&lt;&gt;Офис")</f>
        <v>2921633.7</v>
      </c>
      <c r="G137" s="407">
        <f>COUNTIFS(sept20212223[МОП],$A137,sept20212223[№ дома],$C$130,sept20212223[Комнатность],"&lt;&gt;Офис")</f>
        <v>1</v>
      </c>
      <c r="H137" s="166">
        <f>SUMIFS(РД[S],РД[Дом],$C$130,РД[МОП],A137,РД[Дата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167">
        <f>SUMIFS(РД[Стоимость без отделки итог],РД[Дом],$C$130,РД[МОП],A137,РД[Дата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2">
        <f>COUNTIFS(РД[Дом],$C$130,РД[МОП],A137,РД[Дата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K137" s="233">
        <f t="shared" si="4"/>
        <v>0</v>
      </c>
      <c r="L137" s="234">
        <f t="shared" si="4"/>
        <v>0</v>
      </c>
      <c r="M137" s="406">
        <f>COUNTIFS(РД[Тип кв],M$131,РД[МОП],$A137,РД[Дом],$C$130,РД[Дата подачи на регистрацию],"&lt;="&amp;$A$1,РД[Дата подачи на регистрацию],"&gt;="&amp;DATE(YEAR($A$1),MONTH($A$1),1))</f>
        <v>0</v>
      </c>
      <c r="N137" s="232">
        <f>COUNTIFS(РД[Тип кв],N$131,РД[МОП],$A137,РД[Дом],$C$130,РД[Дата подачи на регистрацию],"&lt;="&amp;$A$1,РД[Дата подачи на регистрацию],"&gt;="&amp;DATE(YEAR($A$1),MONTH($A$1),1))</f>
        <v>0</v>
      </c>
      <c r="O137" s="232">
        <f>COUNTIFS(РД[Тип кв],O$131,РД[МОП],$A137,РД[Дом],$C$130,РД[Дата подачи на регистрацию],"&lt;="&amp;$A$1,РД[Дата подачи на регистрацию],"&gt;="&amp;DATE(YEAR($A$1),MONTH($A$1),1))</f>
        <v>0</v>
      </c>
      <c r="P137" s="232">
        <f>COUNTIFS(РД[Тип кв],P$131,РД[МОП],$A137,РД[Дом],$C$130,РД[Дата подачи на регистрацию],"&lt;="&amp;$A$1,РД[Дата подачи на регистрацию],"&gt;="&amp;DATE(YEAR($A$1),MONTH($A$1),1))</f>
        <v>0</v>
      </c>
      <c r="Q137" s="337">
        <f>COUNTIFS(РД[Тип кв],Q$131,РД[МОП],$A137,РД[Дом],$C$130,РД[Дата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168" t="s">
        <v>114</v>
      </c>
      <c r="B138" s="172">
        <f t="shared" ref="B138:J138" si="5">SUM(B132:B137)</f>
        <v>739</v>
      </c>
      <c r="C138" s="172">
        <f t="shared" si="5"/>
        <v>69416933.9472</v>
      </c>
      <c r="D138" s="691">
        <f t="shared" si="5"/>
        <v>0</v>
      </c>
      <c r="E138" s="173">
        <f t="shared" si="5"/>
        <v>390.51</v>
      </c>
      <c r="F138" s="173">
        <f t="shared" si="5"/>
        <v>29545585.699999999</v>
      </c>
      <c r="G138" s="171">
        <f t="shared" si="5"/>
        <v>7</v>
      </c>
      <c r="H138" s="172">
        <f t="shared" si="5"/>
        <v>309.53999999999996</v>
      </c>
      <c r="I138" s="173">
        <f t="shared" si="5"/>
        <v>29545592</v>
      </c>
      <c r="J138" s="170">
        <f t="shared" si="5"/>
        <v>6</v>
      </c>
      <c r="K138" s="238">
        <f>IFERROR(H138/B138,"")</f>
        <v>0.41886332882273336</v>
      </c>
      <c r="L138" s="501">
        <f>IFERROR(I138/C138,"")</f>
        <v>0.42562513669176177</v>
      </c>
      <c r="M138" s="171">
        <f>SUM(M132:M137)</f>
        <v>2</v>
      </c>
      <c r="N138" s="171">
        <f>SUM(N132:N137)</f>
        <v>1</v>
      </c>
      <c r="O138" s="171">
        <f>SUM(O132:O137)</f>
        <v>1</v>
      </c>
      <c r="P138" s="171">
        <f>SUM(P132:P137)</f>
        <v>2</v>
      </c>
      <c r="Q138" s="171">
        <f>SUM(Q132:Q137)</f>
        <v>0</v>
      </c>
      <c r="U138" s="66"/>
    </row>
    <row r="139" spans="1:21" s="65" customFormat="1">
      <c r="A139" s="692" t="s">
        <v>115</v>
      </c>
      <c r="B139" s="686" t="s">
        <v>100</v>
      </c>
      <c r="C139" s="693" t="s">
        <v>97</v>
      </c>
      <c r="D139" s="688" t="s">
        <v>95</v>
      </c>
      <c r="E139" s="295" t="s">
        <v>494</v>
      </c>
      <c r="F139" s="138" t="s">
        <v>495</v>
      </c>
      <c r="G139" s="470" t="s">
        <v>496</v>
      </c>
      <c r="H139" s="481" t="s">
        <v>101</v>
      </c>
      <c r="I139" s="482" t="s">
        <v>98</v>
      </c>
      <c r="J139" s="482" t="s">
        <v>96</v>
      </c>
      <c r="K139" s="502" t="s">
        <v>715</v>
      </c>
      <c r="L139" s="503" t="s">
        <v>716</v>
      </c>
      <c r="M139" s="504">
        <v>0</v>
      </c>
      <c r="N139" s="505">
        <v>1</v>
      </c>
      <c r="O139" s="505">
        <v>2</v>
      </c>
      <c r="P139" s="505">
        <v>3</v>
      </c>
      <c r="Q139" s="506" t="s">
        <v>1367</v>
      </c>
      <c r="U139" s="66"/>
    </row>
    <row r="140" spans="1:21" s="65" customFormat="1">
      <c r="A140" s="142" t="s">
        <v>16</v>
      </c>
      <c r="B140" s="271">
        <f>IFERROR(VLOOKUP(A140,'Индивидуальный план'!$AP$18:$AR$28,2,0),"")</f>
        <v>258</v>
      </c>
      <c r="C140" s="52">
        <f>IFERROR(VLOOKUP(A140,'Индивидуальный план'!$AP$18:$AR$28,3,0),"")</f>
        <v>24234870.038400002</v>
      </c>
      <c r="D140" s="702"/>
      <c r="E140" s="145">
        <f>SUMIFS(sept20212223[м2],sept20212223[ИМ],A140,sept20212223[№ дома],$C$130,sept20212223[Комнатность],"&lt;&gt;Офис")</f>
        <v>224.55</v>
      </c>
      <c r="F140" s="149">
        <f>SUMIFS(sept20212223[Сумма без отделки],sept20212223[ИМ],$A140,sept20212223[№ дома],$C$130,sept20212223[Комнатность],"&lt;&gt;Офис")</f>
        <v>22665649.699999999</v>
      </c>
      <c r="G140" s="147">
        <f>COUNTIFS(sept20212223[ИМ],$A140,sept20212223[№ дома],$C$130,sept20212223[Комнатность],"&lt;&gt;Офис")</f>
        <v>5</v>
      </c>
      <c r="H140" s="183">
        <f>SUMIFS(РД[S],РД[Дом],$C$130,РД[ИМ],A140,РД[Дата подачи на регистрацию],"&lt;="&amp;$A$1,РД[Дата подачи на регистрацию],"&gt;="&amp;DATE(YEAR($A$1),MONTH($A$1),1),РД[Состояние],"Продажа")</f>
        <v>224.55</v>
      </c>
      <c r="I140" s="184">
        <f>SUMIFS(РД[Стоимость без отделки итог],РД[Дом],$C$130,РД[ИМ],A140,РД[Дата подачи на регистрацию],"&lt;="&amp;$A$1,РД[Дата подачи на регистрацию],"&gt;="&amp;DATE(YEAR($A$1),MONTH($A$1),1),РД[Состояние],"Продажа")</f>
        <v>22665656</v>
      </c>
      <c r="J140" s="243">
        <f>COUNTIFS(РД[Дом],$C$130,РД[ИМ],A140,РД[Дата подачи на регистрацию],"&lt;="&amp;$A$1,РД[Дата подачи на регистрацию],"&gt;="&amp;DATE(YEAR($A$1),MONTH($A$1),1),РД[Состояние],"Продажа")</f>
        <v>5</v>
      </c>
      <c r="K140" s="244">
        <f>IFERROR(H140/B140,"")</f>
        <v>0.87034883720930234</v>
      </c>
      <c r="L140" s="245">
        <f>IFERROR(I140/C140,"")</f>
        <v>0.93524974402942573</v>
      </c>
      <c r="M140" s="183">
        <f>COUNTIFS(РД[Тип кв],M131,РД[ИМ],$A140,РД[Дом],$C$130,РД[Дата подачи на регистрацию],"&lt;="&amp;$A$1,РД[Дата подачи на регистрацию],"&gt;="&amp;DATE(YEAR($A$1),MONTH($A$1),1))</f>
        <v>2</v>
      </c>
      <c r="N140" s="243">
        <f>COUNTIFS(РД[Тип кв],N131,РД[ИМ],$A140,РД[Дом],$C$130,РД[Дата подачи на регистрацию],"&lt;="&amp;$A$1,РД[Дата подачи на регистрацию],"&gt;="&amp;DATE(YEAR($A$1),MONTH($A$1),1))</f>
        <v>1</v>
      </c>
      <c r="O140" s="243">
        <f>COUNTIFS(РД[Тип кв],O131,РД[ИМ],$A140,РД[Дом],$C$130,РД[Дата подачи на регистрацию],"&lt;="&amp;$A$1,РД[Дата подачи на регистрацию],"&gt;="&amp;DATE(YEAR($A$1),MONTH($A$1),1))</f>
        <v>1</v>
      </c>
      <c r="P140" s="243">
        <f>COUNTIFS(РД[Тип кв],P131,РД[ИМ],$A140,РД[Дом],$C$130,РД[Дата подачи на регистрацию],"&lt;="&amp;$A$1,РД[Дата подачи на регистрацию],"&gt;="&amp;DATE(YEAR($A$1),MONTH($A$1),1))</f>
        <v>1</v>
      </c>
      <c r="Q140" s="246">
        <f>COUNTIFS(РД[Тип кв],Q131,РД[ИМ],$A140,РД[Дом],$C$130,РД[Дата подачи на регистрацию],"&lt;="&amp;$A$1,РД[Дата подачи на регистрацию],"&gt;="&amp;DATE(YEAR($A$1),MONTH($A$1),1))</f>
        <v>0</v>
      </c>
      <c r="U140" s="66"/>
    </row>
    <row r="141" spans="1:21" s="65" customFormat="1">
      <c r="A141" s="153" t="s">
        <v>22</v>
      </c>
      <c r="B141" s="271">
        <f>IFERROR(VLOOKUP(A141,'Индивидуальный план'!$AP$18:$AR$28,2,0),"")</f>
        <v>258</v>
      </c>
      <c r="C141" s="52">
        <f>IFERROR(VLOOKUP(A141,'Индивидуальный план'!$AP$18:$AR$28,3,0),"")</f>
        <v>24234870.038400002</v>
      </c>
      <c r="D141" s="703"/>
      <c r="E141" s="329">
        <f>SUMIFS(sept20212223[м2],sept20212223[ИМ],A141,sept20212223[№ дома],$C$130,sept20212223[Комнатность],"&lt;&gt;Офис")</f>
        <v>84.99</v>
      </c>
      <c r="F141" s="359">
        <f>SUMIFS(sept20212223[Сумма без отделки],sept20212223[ИМ],$A141,sept20212223[№ дома],$C$130,sept20212223[Комнатность],"&lt;&gt;Офис")</f>
        <v>6879936</v>
      </c>
      <c r="G141" s="414">
        <f>COUNTIFS(sept20212223[ИМ],$A141,sept20212223[№ дома],$C$130,sept20212223[Комнатность],"&lt;&gt;Офис")</f>
        <v>1</v>
      </c>
      <c r="H141" s="358">
        <f>SUMIFS(РД[S],РД[Дом],$C$130,РД[ИМ],A141,РД[Дата подачи на регистрацию],"&lt;="&amp;$A$1,РД[Дата подачи на регистрацию],"&gt;="&amp;DATE(YEAR($A$1),MONTH($A$1),1),РД[Состояние],"Продажа")</f>
        <v>84.99</v>
      </c>
      <c r="I141" s="359">
        <f>SUMIFS(РД[Стоимость без отделки итог],РД[Дом],$C$130,РД[ИМ],A141,РД[Дата подачи на регистрацию],"&lt;="&amp;$A$1,РД[Дата подачи на регистрацию],"&gt;="&amp;DATE(YEAR($A$1),MONTH($A$1),1),РД[Состояние],"Продажа")</f>
        <v>6879936</v>
      </c>
      <c r="J141" s="330">
        <f>COUNTIFS(РД[Дом],$C$130,РД[ИМ],A141,РД[Дата подачи на регистрацию],"&lt;="&amp;$A$1,РД[Дата подачи на регистрацию],"&gt;="&amp;DATE(YEAR($A$1),MONTH($A$1),1),РД[Состояние],"Продажа")</f>
        <v>1</v>
      </c>
      <c r="K141" s="360">
        <f>IFERROR(H141/B141,"")</f>
        <v>0.32941860465116279</v>
      </c>
      <c r="L141" s="367">
        <f>IFERROR(I141/C141,"")</f>
        <v>0.2838858219210082</v>
      </c>
      <c r="M141" s="195">
        <f>COUNTIFS(РД[Тип кв],M$131,РД[ИМ],$A141,РД[Дом],$C$130,РД[Дата подачи на регистрацию],"&lt;="&amp;$A$1,РД[Дата подачи на регистрацию],"&gt;="&amp;DATE(YEAR($A$1),MONTH($A$1),1))</f>
        <v>0</v>
      </c>
      <c r="N141" s="251">
        <f>COUNTIFS(РД[Тип кв],N$131,РД[ИМ],$A141,РД[Дом],$C$130,РД[Дата подачи на регистрацию],"&lt;="&amp;$A$1,РД[Дата подачи на регистрацию],"&gt;="&amp;DATE(YEAR($A$1),MONTH($A$1),1))</f>
        <v>0</v>
      </c>
      <c r="O141" s="251">
        <f>COUNTIFS(РД[Тип кв],O$131,РД[ИМ],$A141,РД[Дом],$C$130,РД[Дата подачи на регистрацию],"&lt;="&amp;$A$1,РД[Дата подачи на регистрацию],"&gt;="&amp;DATE(YEAR($A$1),MONTH($A$1),1))</f>
        <v>0</v>
      </c>
      <c r="P141" s="251">
        <f>COUNTIFS(РД[Тип кв],P$131,РД[ИМ],$A141,РД[Дом],$C$130,РД[Дата подачи на регистрацию],"&lt;="&amp;$A$1,РД[Дата подачи на регистрацию],"&gt;="&amp;DATE(YEAR($A$1),MONTH($A$1),1))</f>
        <v>1</v>
      </c>
      <c r="Q141" s="254">
        <f>COUNTIFS(РД[Тип кв],Q$131,РД[ИМ],$A141,РД[Дом],$C$130,РД[Дата подачи на регистрацию],"&lt;="&amp;$A$1,РД[Дата подачи на регистрацию],"&gt;="&amp;DATE(YEAR($A$1),MONTH($A$1),1))</f>
        <v>0</v>
      </c>
      <c r="R141" s="86"/>
      <c r="S141" s="86"/>
      <c r="T141" s="86"/>
      <c r="U141" s="66"/>
    </row>
    <row r="142" spans="1:21" s="65" customFormat="1">
      <c r="A142" s="317" t="s">
        <v>114</v>
      </c>
      <c r="B142" s="410">
        <f t="shared" ref="B142:J142" si="6">SUM(B140:B141)</f>
        <v>516</v>
      </c>
      <c r="C142" s="411">
        <f t="shared" si="6"/>
        <v>48469740.076800004</v>
      </c>
      <c r="D142" s="497">
        <f t="shared" si="6"/>
        <v>0</v>
      </c>
      <c r="E142" s="484">
        <f t="shared" si="6"/>
        <v>309.54000000000002</v>
      </c>
      <c r="F142" s="429">
        <f t="shared" si="6"/>
        <v>29545585.699999999</v>
      </c>
      <c r="G142" s="485">
        <f t="shared" si="6"/>
        <v>6</v>
      </c>
      <c r="H142" s="473">
        <f t="shared" si="6"/>
        <v>309.54000000000002</v>
      </c>
      <c r="I142" s="429">
        <f t="shared" si="6"/>
        <v>29545592</v>
      </c>
      <c r="J142" s="494">
        <f t="shared" si="6"/>
        <v>6</v>
      </c>
      <c r="K142" s="419">
        <f>IFERROR(H142/B142,)</f>
        <v>0.59988372093023257</v>
      </c>
      <c r="L142" s="507">
        <f>IFERROR(I142/C142,)</f>
        <v>0.60956778297521697</v>
      </c>
      <c r="M142" s="317">
        <f t="shared" ref="M142:Q142" si="7">SUM(M140:M141)</f>
        <v>2</v>
      </c>
      <c r="N142" s="485">
        <f t="shared" si="7"/>
        <v>1</v>
      </c>
      <c r="O142" s="485">
        <f t="shared" si="7"/>
        <v>1</v>
      </c>
      <c r="P142" s="485">
        <f t="shared" si="7"/>
        <v>2</v>
      </c>
      <c r="Q142" s="497">
        <f t="shared" si="7"/>
        <v>0</v>
      </c>
      <c r="R142" s="86"/>
      <c r="S142" s="86"/>
      <c r="T142" s="86"/>
      <c r="U142" s="66"/>
    </row>
    <row r="143" spans="1:21" s="65" customFormat="1">
      <c r="A143" s="134"/>
      <c r="B143" s="211"/>
      <c r="C143" s="211"/>
      <c r="D143" s="212"/>
      <c r="E143" s="134"/>
      <c r="F143" s="134"/>
      <c r="G143" s="134"/>
      <c r="H143" s="134"/>
      <c r="I143" s="134"/>
      <c r="J143" s="134"/>
      <c r="K143" s="134"/>
      <c r="L143" s="261"/>
      <c r="M143" s="134"/>
      <c r="N143" s="134"/>
      <c r="O143" s="134"/>
      <c r="P143" s="262"/>
      <c r="Q143" s="134"/>
      <c r="U143" s="66"/>
    </row>
    <row r="144" spans="1:21" s="65" customFormat="1">
      <c r="A144" s="2327" t="s">
        <v>713</v>
      </c>
      <c r="B144" s="2328"/>
      <c r="C144" s="474" t="s">
        <v>718</v>
      </c>
      <c r="D144" s="704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476"/>
      <c r="Q144" s="134"/>
      <c r="U144" s="66"/>
    </row>
    <row r="145" spans="1:21" s="65" customFormat="1">
      <c r="A145" s="705" t="s">
        <v>1</v>
      </c>
      <c r="B145" s="706" t="s">
        <v>100</v>
      </c>
      <c r="C145" s="707" t="s">
        <v>97</v>
      </c>
      <c r="D145" s="708" t="s">
        <v>95</v>
      </c>
      <c r="E145" s="486" t="s">
        <v>494</v>
      </c>
      <c r="F145" s="487" t="s">
        <v>495</v>
      </c>
      <c r="G145" s="488" t="s">
        <v>496</v>
      </c>
      <c r="H145" s="489" t="s">
        <v>101</v>
      </c>
      <c r="I145" s="490" t="s">
        <v>98</v>
      </c>
      <c r="J145" s="490" t="s">
        <v>96</v>
      </c>
      <c r="K145" s="490" t="s">
        <v>715</v>
      </c>
      <c r="L145" s="508" t="s">
        <v>716</v>
      </c>
      <c r="M145" s="217">
        <v>0</v>
      </c>
      <c r="N145" s="218">
        <v>1</v>
      </c>
      <c r="O145" s="218">
        <v>2</v>
      </c>
      <c r="P145" s="218">
        <v>3</v>
      </c>
      <c r="Q145" s="219" t="s">
        <v>1367</v>
      </c>
      <c r="U145" s="66"/>
    </row>
    <row r="146" spans="1:21" s="65" customFormat="1">
      <c r="A146" s="398" t="s">
        <v>8</v>
      </c>
      <c r="B146" s="271">
        <f>IFERROR(VLOOKUP(A146,'Индивидуальный план'!$AP$32:$AR$42,2,0),"")</f>
        <v>210</v>
      </c>
      <c r="C146" s="52">
        <f>IFERROR(VLOOKUP(A146,'Индивидуальный план'!$AP$32:$AR$42,3,0),"")</f>
        <v>19898817.390000001</v>
      </c>
      <c r="D146" s="327"/>
      <c r="E146" s="257">
        <f>SUMIFS(sept20212223[м2],sept20212223[МОП],$A146,sept20212223[Комнатность],"&lt;&gt;Офис")</f>
        <v>184.03</v>
      </c>
      <c r="F146" s="52">
        <f>SUMIFS(sept20212223[Сумма без отделки],sept20212223[МОП],$A146,sept20212223[Комнатность],"&lt;&gt;Офис")</f>
        <v>18137400.719999999</v>
      </c>
      <c r="G146" s="413">
        <f>COUNTIFS(sept20212223[МОП],$A146,sept20212223[Комнатность],"&lt;&gt;Офис")</f>
        <v>3</v>
      </c>
      <c r="H146" s="202">
        <f>SUMIFS(РД[S],РД[МОП],A146,РД[Дата подачи на регистрацию],"&lt;="&amp;$A$1,РД[Дата подачи на регистрацию],"&gt;="&amp;DATE(YEAR($A$1),MONTH($A$1),1),РД[Состояние],"Продажа")</f>
        <v>184.03</v>
      </c>
      <c r="I146" s="203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18137400.719999999</v>
      </c>
      <c r="J146" s="226">
        <f>COUNTIFS(РД[МОП],A146,РД[Дата подачи на регистрацию],"&lt;="&amp;$A$1,РД[Дата подачи на регистрацию],"&gt;="&amp;DATE(YEAR($A$1),MONTH($A$1),1),РД[Состояние],"Продажа")</f>
        <v>3</v>
      </c>
      <c r="K146" s="224">
        <f t="shared" ref="K146:L151" si="8">IFERROR(H146/B146,"")</f>
        <v>0.8763333333333333</v>
      </c>
      <c r="L146" s="225">
        <f t="shared" si="8"/>
        <v>0.91148133904253081</v>
      </c>
      <c r="M146" s="325">
        <f>M132+M119</f>
        <v>0</v>
      </c>
      <c r="N146" s="326">
        <f>N132+N119</f>
        <v>1</v>
      </c>
      <c r="O146" s="326">
        <f>O132+O119</f>
        <v>1</v>
      </c>
      <c r="P146" s="326">
        <f>P132+P119</f>
        <v>2</v>
      </c>
      <c r="Q146" s="327">
        <f>Q132+Q119</f>
        <v>0</v>
      </c>
      <c r="U146" s="66"/>
    </row>
    <row r="147" spans="1:21" s="65" customFormat="1">
      <c r="A147" s="398" t="s">
        <v>1867</v>
      </c>
      <c r="B147" s="271">
        <f>IFERROR(VLOOKUP(A147,'Индивидуальный план'!$AP$32:$AR$42,2,0),"")</f>
        <v>310</v>
      </c>
      <c r="C147" s="52">
        <f>IFERROR(VLOOKUP(A147,'Индивидуальный план'!$AP$32:$AR$42,3,0),"")</f>
        <v>29407351.458000001</v>
      </c>
      <c r="D147" s="327"/>
      <c r="E147" s="257">
        <f>SUMIFS(sept20212223[м2],sept20212223[МОП],$A147,sept20212223[Комнатность],"&lt;&gt;Офис")</f>
        <v>147.38999999999999</v>
      </c>
      <c r="F147" s="52">
        <f>SUMIFS(sept20212223[Сумма без отделки],sept20212223[МОП],$A147,sept20212223[Комнатность],"&lt;&gt;Офис")</f>
        <v>13141900</v>
      </c>
      <c r="G147" s="413">
        <f>COUNTIFS(sept20212223[МОП],$A147,sept20212223[Комнатность],"&lt;&gt;Офис")</f>
        <v>2</v>
      </c>
      <c r="H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147.38999999999999</v>
      </c>
      <c r="I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13142500</v>
      </c>
      <c r="J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2</v>
      </c>
      <c r="K147" s="224">
        <f t="shared" si="8"/>
        <v>0.47545161290322574</v>
      </c>
      <c r="L147" s="225">
        <f t="shared" si="8"/>
        <v>0.44691205934578321</v>
      </c>
      <c r="M147" s="325">
        <f>M133+M118</f>
        <v>0</v>
      </c>
      <c r="N147" s="326">
        <f>N133+N118</f>
        <v>0</v>
      </c>
      <c r="O147" s="326">
        <f>O133+O118</f>
        <v>1</v>
      </c>
      <c r="P147" s="326">
        <f>P133+P118</f>
        <v>0</v>
      </c>
      <c r="Q147" s="327">
        <f>Q133+Q118</f>
        <v>0</v>
      </c>
      <c r="U147" s="66"/>
    </row>
    <row r="148" spans="1:21" s="65" customFormat="1">
      <c r="A148" s="153" t="s">
        <v>20</v>
      </c>
      <c r="B148" s="271">
        <f>IFERROR(VLOOKUP(A148,'Индивидуальный план'!$AP$32:$AR$42,2,0),"")</f>
        <v>330</v>
      </c>
      <c r="C148" s="52">
        <f>IFERROR(VLOOKUP(A148,'Индивидуальный план'!$AP$32:$AR$42,3,0),"")</f>
        <v>31247632.358000003</v>
      </c>
      <c r="D148" s="366"/>
      <c r="E148" s="257">
        <f>SUMIFS(sept20212223[м2],sept20212223[МОП],$A148,sept20212223[Комнатность],"&lt;&gt;Офис")</f>
        <v>178.83999999999997</v>
      </c>
      <c r="F148" s="52">
        <f>SUMIFS(sept20212223[Сумма без отделки],sept20212223[МОП],$A148,sept20212223[Комнатность],"&lt;&gt;Офис")</f>
        <v>16268221</v>
      </c>
      <c r="G148" s="413">
        <f>COUNTIFS(sept20212223[МОП],$A148,sept20212223[Комнатность],"&lt;&gt;Офис")</f>
        <v>3</v>
      </c>
      <c r="H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238.75000000000003</v>
      </c>
      <c r="I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23311461</v>
      </c>
      <c r="J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5</v>
      </c>
      <c r="K148" s="224">
        <f t="shared" si="8"/>
        <v>0.72348484848484862</v>
      </c>
      <c r="L148" s="225">
        <f t="shared" si="8"/>
        <v>0.74602327411317648</v>
      </c>
      <c r="M148" s="325">
        <f>M135+M121</f>
        <v>2</v>
      </c>
      <c r="N148" s="326">
        <f>N135+N121</f>
        <v>1</v>
      </c>
      <c r="O148" s="326">
        <f>O135+O121</f>
        <v>2</v>
      </c>
      <c r="P148" s="326">
        <f>P135+P121</f>
        <v>0</v>
      </c>
      <c r="Q148" s="327">
        <f>Q135+Q121</f>
        <v>0</v>
      </c>
      <c r="U148" s="66"/>
    </row>
    <row r="149" spans="1:21" s="65" customFormat="1">
      <c r="A149" s="153" t="s">
        <v>14</v>
      </c>
      <c r="B149" s="271">
        <f>IFERROR(VLOOKUP(A149,'Индивидуальный план'!$AP$32:$AR$42,2,0),"")</f>
        <v>472</v>
      </c>
      <c r="C149" s="52">
        <f>IFERROR(VLOOKUP(A149,'Индивидуальный план'!$AP$32:$AR$42,3,0),"")</f>
        <v>44745527.702999994</v>
      </c>
      <c r="D149" s="366"/>
      <c r="E149" s="329">
        <f>SUMIFS(sept20212223[м2],sept20212223[МОП],$A149,sept20212223[Комнатность],"&lt;&gt;Офис")</f>
        <v>306.75</v>
      </c>
      <c r="F149" s="363">
        <f>SUMIFS(sept20212223[Сумма без отделки],sept20212223[МОП],$A149,sept20212223[Комнатность],"&lt;&gt;Офис")</f>
        <v>22555741</v>
      </c>
      <c r="G149" s="414">
        <f>COUNTIFS(sept20212223[МОП],$A149,sept20212223[Комнатность],"&lt;&gt;Офис")</f>
        <v>6</v>
      </c>
      <c r="H149" s="358">
        <f>SUMIFS(РД[S],РД[МОП],A149,РД[Дата подачи на регистрацию],"&lt;="&amp;$A$1,РД[Дата подачи на регистрацию],"&gt;="&amp;DATE(YEAR($A$1),MONTH($A$1),1),РД[Состояние],"Продажа")</f>
        <v>225.78</v>
      </c>
      <c r="I149" s="359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22555741</v>
      </c>
      <c r="J149" s="330">
        <f>COUNTIFS(РД[МОП],A149,РД[Дата подачи на регистрацию],"&lt;="&amp;$A$1,РД[Дата подачи на регистрацию],"&gt;="&amp;DATE(YEAR($A$1),MONTH($A$1),1),РД[Состояние],"Продажа")</f>
        <v>5</v>
      </c>
      <c r="K149" s="360">
        <f t="shared" si="8"/>
        <v>0.47834745762711867</v>
      </c>
      <c r="L149" s="361">
        <f t="shared" si="8"/>
        <v>0.50408928350816462</v>
      </c>
      <c r="M149" s="364">
        <f t="shared" ref="M149:Q151" si="9">M135+M121</f>
        <v>2</v>
      </c>
      <c r="N149" s="365">
        <f t="shared" si="9"/>
        <v>1</v>
      </c>
      <c r="O149" s="365">
        <f t="shared" si="9"/>
        <v>2</v>
      </c>
      <c r="P149" s="365">
        <f t="shared" si="9"/>
        <v>0</v>
      </c>
      <c r="Q149" s="366">
        <f t="shared" si="9"/>
        <v>0</v>
      </c>
      <c r="R149" s="86"/>
      <c r="S149" s="86"/>
      <c r="T149" s="86"/>
      <c r="U149" s="66"/>
    </row>
    <row r="150" spans="1:21" s="65" customFormat="1">
      <c r="A150" s="154" t="s">
        <v>29</v>
      </c>
      <c r="B150" s="274"/>
      <c r="C150" s="277"/>
      <c r="D150" s="690"/>
      <c r="E150" s="341">
        <f>SUMIFS(sept20212223[м2],sept20212223[МОП],$A150,sept20212223[Комнатность],"&lt;&gt;Офис")</f>
        <v>0</v>
      </c>
      <c r="F150" s="277">
        <f>SUMIFS(sept20212223[Сумма без отделки],sept20212223[МОП],$A150,sept20212223[Комнатность],"&lt;&gt;Офис")</f>
        <v>0</v>
      </c>
      <c r="G150" s="405">
        <f>COUNTIFS(sept20212223[МОП],$A150,sept20212223[Комнатность],"&lt;&gt;Офис")</f>
        <v>0</v>
      </c>
      <c r="H150" s="159">
        <f>SUMIFS(РД[S],РД[МОП],A150,РД[Дата подачи на регистрацию],"&lt;="&amp;$A$1,РД[Дата подачи на регистрацию],"&gt;="&amp;DATE(YEAR($A$1),MONTH($A$1),1),РД[Состояние],"Продажа")</f>
        <v>0</v>
      </c>
      <c r="I150" s="160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0</v>
      </c>
      <c r="J150" s="228">
        <f>COUNTIFS(РД[МОП],A150,РД[Дата подачи на регистрацию],"&lt;="&amp;$A$1,РД[Дата подачи на регистрацию],"&gt;="&amp;DATE(YEAR($A$1),MONTH($A$1),1),РД[Состояние],"Продажа")</f>
        <v>0</v>
      </c>
      <c r="K150" s="229" t="str">
        <f t="shared" si="8"/>
        <v/>
      </c>
      <c r="L150" s="230" t="str">
        <f t="shared" si="8"/>
        <v/>
      </c>
      <c r="M150" s="159">
        <f t="shared" si="9"/>
        <v>0</v>
      </c>
      <c r="N150" s="228">
        <f t="shared" si="9"/>
        <v>0</v>
      </c>
      <c r="O150" s="228">
        <f t="shared" si="9"/>
        <v>0</v>
      </c>
      <c r="P150" s="228">
        <f t="shared" si="9"/>
        <v>0</v>
      </c>
      <c r="Q150" s="231">
        <f t="shared" si="9"/>
        <v>0</v>
      </c>
      <c r="U150" s="66"/>
    </row>
    <row r="151" spans="1:21" s="65" customFormat="1">
      <c r="A151" s="161" t="s">
        <v>1919</v>
      </c>
      <c r="B151" s="278"/>
      <c r="C151" s="281"/>
      <c r="D151" s="511"/>
      <c r="E151" s="406">
        <f>SUMIFS(sept20212223[м2],sept20212223[МОП],$A151,sept20212223[Комнатность],"&lt;&gt;Офис")</f>
        <v>59.910000000000004</v>
      </c>
      <c r="F151" s="281">
        <f>SUMIFS(sept20212223[Сумма без отделки],sept20212223[МОП],$A151,sept20212223[Комнатность],"&lt;&gt;Офис")</f>
        <v>7043233.7000000002</v>
      </c>
      <c r="G151" s="407">
        <f>COUNTIFS(sept20212223[МОП],$A151,sept20212223[Комнатность],"&lt;&gt;Офис")</f>
        <v>2</v>
      </c>
      <c r="H151" s="166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16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32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K151" s="233" t="str">
        <f t="shared" si="8"/>
        <v/>
      </c>
      <c r="L151" s="234" t="str">
        <f t="shared" si="8"/>
        <v/>
      </c>
      <c r="M151" s="509">
        <f t="shared" si="9"/>
        <v>0</v>
      </c>
      <c r="N151" s="510">
        <f t="shared" si="9"/>
        <v>0</v>
      </c>
      <c r="O151" s="510">
        <f t="shared" si="9"/>
        <v>0</v>
      </c>
      <c r="P151" s="510">
        <f t="shared" si="9"/>
        <v>0</v>
      </c>
      <c r="Q151" s="511">
        <f t="shared" si="9"/>
        <v>0</v>
      </c>
      <c r="U151" s="66"/>
    </row>
    <row r="152" spans="1:21" s="65" customFormat="1">
      <c r="A152" s="168" t="s">
        <v>114</v>
      </c>
      <c r="B152" s="172">
        <f t="shared" ref="B152:J152" si="10">SUM(B146:B151)</f>
        <v>1322</v>
      </c>
      <c r="C152" s="173">
        <f t="shared" si="10"/>
        <v>125299328.90899999</v>
      </c>
      <c r="D152" s="709">
        <f t="shared" si="10"/>
        <v>0</v>
      </c>
      <c r="E152" s="173">
        <f t="shared" si="10"/>
        <v>876.92</v>
      </c>
      <c r="F152" s="492">
        <f t="shared" si="10"/>
        <v>77146496.420000002</v>
      </c>
      <c r="G152" s="493">
        <f t="shared" si="10"/>
        <v>16</v>
      </c>
      <c r="H152" s="172">
        <f t="shared" si="10"/>
        <v>795.94999999999993</v>
      </c>
      <c r="I152" s="492">
        <f t="shared" si="10"/>
        <v>77147102.719999999</v>
      </c>
      <c r="J152" s="493">
        <f t="shared" si="10"/>
        <v>15</v>
      </c>
      <c r="K152" s="238">
        <f>IFERROR(H152/B152,)</f>
        <v>0.60208018154311649</v>
      </c>
      <c r="L152" s="501">
        <f>IFERROR(I152/C152,)</f>
        <v>0.61570244143948227</v>
      </c>
      <c r="M152" s="471">
        <f>SUM(M146:M151)</f>
        <v>4</v>
      </c>
      <c r="N152" s="471">
        <f>SUM(N146:N151)</f>
        <v>3</v>
      </c>
      <c r="O152" s="471">
        <f>SUM(O146:O151)</f>
        <v>6</v>
      </c>
      <c r="P152" s="471">
        <f>SUM(P146:P151)</f>
        <v>2</v>
      </c>
      <c r="Q152" s="471">
        <f>SUM(Q146:Q151)</f>
        <v>0</v>
      </c>
      <c r="U152" s="66"/>
    </row>
    <row r="153" spans="1:21" s="65" customFormat="1">
      <c r="A153" s="692" t="s">
        <v>115</v>
      </c>
      <c r="B153" s="706" t="s">
        <v>100</v>
      </c>
      <c r="C153" s="710" t="s">
        <v>97</v>
      </c>
      <c r="D153" s="708" t="s">
        <v>95</v>
      </c>
      <c r="E153" s="295" t="s">
        <v>494</v>
      </c>
      <c r="F153" s="138" t="s">
        <v>495</v>
      </c>
      <c r="G153" s="470" t="s">
        <v>496</v>
      </c>
      <c r="H153" s="140" t="s">
        <v>101</v>
      </c>
      <c r="I153" s="141" t="s">
        <v>98</v>
      </c>
      <c r="J153" s="141" t="s">
        <v>96</v>
      </c>
      <c r="K153" s="141" t="s">
        <v>715</v>
      </c>
      <c r="L153" s="216" t="s">
        <v>716</v>
      </c>
      <c r="M153" s="512">
        <v>0</v>
      </c>
      <c r="N153" s="218">
        <v>1</v>
      </c>
      <c r="O153" s="218">
        <v>2</v>
      </c>
      <c r="P153" s="218">
        <v>3</v>
      </c>
      <c r="Q153" s="219" t="s">
        <v>1367</v>
      </c>
      <c r="U153" s="66"/>
    </row>
    <row r="154" spans="1:21" s="65" customFormat="1">
      <c r="A154" s="142" t="s">
        <v>16</v>
      </c>
      <c r="B154" s="271">
        <f>IFERROR(VLOOKUP(A154,'Индивидуальный план'!$AP$32:$AR$42,2,0),"")</f>
        <v>462.65</v>
      </c>
      <c r="C154" s="52">
        <f>IFERROR(VLOOKUP(A154,'Индивидуальный план'!$AP$32:$AR$42,3,0),"")</f>
        <v>43788915.616800003</v>
      </c>
      <c r="D154" s="694"/>
      <c r="E154" s="145">
        <f>SUMIFS(sept20212223[м2],sept20212223[ИМ],A154,sept20212223[Комнатность],"&lt;&gt;Офис")</f>
        <v>476.15</v>
      </c>
      <c r="F154" s="149">
        <f>SUMIFS(sept20212223[Сумма без отделки],sept20212223[ИМ],$A154,sept20212223[Комнатность],"&lt;&gt;Офис")</f>
        <v>50050588.920000002</v>
      </c>
      <c r="G154" s="147">
        <f>COUNTIFS(sept20212223[ИМ],A154,sept20212223[Комнатность],"&lt;&gt;Офис")</f>
        <v>11</v>
      </c>
      <c r="H154" s="183">
        <f>SUMIFS(РД[S],РД[ИМ],A154,РД[Дата подачи на регистрацию],"&lt;="&amp;$A$1,РД[Дата подачи на регистрацию],"&gt;="&amp;DATE(YEAR($A$1),MONTH($A$1),1),РД[Состояние],"Продажа")</f>
        <v>476.15</v>
      </c>
      <c r="I154" s="184">
        <f>SUMIFS(РД[Стоимость без отделки итог],РД[ИМ],A154,РД[Дата подачи на регистрацию],"&lt;="&amp;$A$1,РД[Дата подачи на регистрацию],"&gt;="&amp;DATE(YEAR($A$1),MONTH($A$1),1),РД[Состояние],"Продажа")</f>
        <v>50050595.219999999</v>
      </c>
      <c r="J154" s="243">
        <f>COUNTIFS(РД[ИМ],A154,РД[Дата подачи на регистрацию],"&lt;="&amp;$A$1,РД[Дата подачи на регистрацию],"&gt;="&amp;DATE(YEAR($A$1),MONTH($A$1),1),РД[Состояние],"Продажа")</f>
        <v>11</v>
      </c>
      <c r="K154" s="244">
        <f t="shared" ref="K154:L156" si="11">IFERROR(H154/B154,"")</f>
        <v>1.0291797254944341</v>
      </c>
      <c r="L154" s="258">
        <f t="shared" si="11"/>
        <v>1.1429969094918087</v>
      </c>
      <c r="M154" s="346">
        <f t="shared" ref="M154:Q155" si="12">M140+M126</f>
        <v>3</v>
      </c>
      <c r="N154" s="243">
        <f t="shared" si="12"/>
        <v>5</v>
      </c>
      <c r="O154" s="243">
        <f t="shared" si="12"/>
        <v>2</v>
      </c>
      <c r="P154" s="243">
        <f t="shared" si="12"/>
        <v>1</v>
      </c>
      <c r="Q154" s="246">
        <f t="shared" si="12"/>
        <v>0</v>
      </c>
      <c r="R154" s="66"/>
      <c r="S154" s="66"/>
      <c r="T154" s="66"/>
      <c r="U154" s="66"/>
    </row>
    <row r="155" spans="1:21" s="65" customFormat="1">
      <c r="A155" s="153" t="s">
        <v>22</v>
      </c>
      <c r="B155" s="271">
        <f>IFERROR(VLOOKUP(A155,'Индивидуальный план'!$AP$32:$AR$42,2,0),"")</f>
        <v>462</v>
      </c>
      <c r="C155" s="52">
        <f>IFERROR(VLOOKUP(A155,'Индивидуальный план'!$AP$32:$AR$42,3,0),"")</f>
        <v>43788915.616800003</v>
      </c>
      <c r="D155" s="695"/>
      <c r="E155" s="145">
        <f>SUMIFS(sept20212223[м2],sept20212223[ИМ],A155,sept20212223[Комнатность],"&lt;&gt;Офис")</f>
        <v>153.74</v>
      </c>
      <c r="F155" s="149">
        <f>SUMIFS(sept20212223[Сумма без отделки],sept20212223[ИМ],$A155,sept20212223[Комнатность],"&lt;&gt;Офис")</f>
        <v>12897761</v>
      </c>
      <c r="G155" s="147">
        <f>COUNTIFS(sept20212223[ИМ],$A155,sept20212223[Комнатность],"&lt;&gt;Офис")</f>
        <v>2</v>
      </c>
      <c r="H155" s="195">
        <f>SUMIFS(РД[S],РД[ИМ],A155,РД[Дата подачи на регистрацию],"&lt;="&amp;$A$1,РД[Дата подачи на регистрацию],"&gt;="&amp;DATE(YEAR($A$1),MONTH($A$1),1),РД[Состояние],"Продажа")</f>
        <v>153.74</v>
      </c>
      <c r="I155" s="196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12897761</v>
      </c>
      <c r="J155" s="251">
        <f>COUNTIFS(РД[ИМ],A155,РД[Дата подачи на регистрацию],"&lt;="&amp;$A$1,РД[Дата подачи на регистрацию],"&gt;="&amp;DATE(YEAR($A$1),MONTH($A$1),1),РД[Состояние],"Продажа")</f>
        <v>2</v>
      </c>
      <c r="K155" s="252">
        <f t="shared" si="11"/>
        <v>0.33277056277056277</v>
      </c>
      <c r="L155" s="260">
        <f t="shared" si="11"/>
        <v>0.29454396890914697</v>
      </c>
      <c r="M155" s="329">
        <f t="shared" si="12"/>
        <v>0</v>
      </c>
      <c r="N155" s="330">
        <f t="shared" si="12"/>
        <v>0</v>
      </c>
      <c r="O155" s="330">
        <f t="shared" si="12"/>
        <v>1</v>
      </c>
      <c r="P155" s="330">
        <f t="shared" si="12"/>
        <v>1</v>
      </c>
      <c r="Q155" s="331">
        <f t="shared" si="12"/>
        <v>0</v>
      </c>
      <c r="R155" s="66"/>
      <c r="S155" s="66"/>
      <c r="T155" s="66"/>
      <c r="U155" s="66"/>
    </row>
    <row r="156" spans="1:21" s="65" customFormat="1">
      <c r="A156" s="317" t="s">
        <v>114</v>
      </c>
      <c r="B156" s="172">
        <f>SUM(B154:B155)</f>
        <v>924.65</v>
      </c>
      <c r="C156" s="173">
        <f>SUM(C154:C155)</f>
        <v>87577831.233600006</v>
      </c>
      <c r="D156" s="711">
        <f>SUM(D154:D155)</f>
        <v>0</v>
      </c>
      <c r="E156" s="484">
        <f t="shared" ref="E156:Q156" si="13">SUM(E154:E155)</f>
        <v>629.89</v>
      </c>
      <c r="F156" s="429">
        <f t="shared" si="13"/>
        <v>62948349.920000002</v>
      </c>
      <c r="G156" s="485">
        <f t="shared" si="13"/>
        <v>13</v>
      </c>
      <c r="H156" s="473">
        <f t="shared" si="13"/>
        <v>629.89</v>
      </c>
      <c r="I156" s="494">
        <f t="shared" si="13"/>
        <v>62948356.219999999</v>
      </c>
      <c r="J156" s="494">
        <f t="shared" si="13"/>
        <v>13</v>
      </c>
      <c r="K156" s="419">
        <f t="shared" si="11"/>
        <v>0.68121992105120854</v>
      </c>
      <c r="L156" s="420">
        <f t="shared" si="11"/>
        <v>0.71877043920047778</v>
      </c>
      <c r="M156" s="473">
        <f t="shared" si="13"/>
        <v>3</v>
      </c>
      <c r="N156" s="494">
        <f t="shared" si="13"/>
        <v>5</v>
      </c>
      <c r="O156" s="494">
        <f t="shared" si="13"/>
        <v>3</v>
      </c>
      <c r="P156" s="494">
        <f t="shared" si="13"/>
        <v>2</v>
      </c>
      <c r="Q156" s="497">
        <f t="shared" si="13"/>
        <v>0</v>
      </c>
      <c r="R156" s="66"/>
      <c r="S156" s="66"/>
      <c r="T156" s="66"/>
      <c r="U156" s="66"/>
    </row>
    <row r="157" spans="1:21" s="65" customFormat="1">
      <c r="A157" s="134"/>
      <c r="B157" s="44"/>
      <c r="C157" s="44"/>
      <c r="D157" s="134"/>
      <c r="E157" s="134"/>
      <c r="F157" s="44"/>
      <c r="G157" s="134"/>
      <c r="H157" s="134"/>
      <c r="I157" s="134"/>
      <c r="J157" s="134"/>
      <c r="K157" s="255"/>
      <c r="L157" s="256"/>
      <c r="M157" s="134"/>
      <c r="N157" s="134"/>
      <c r="O157" s="134"/>
      <c r="P157" s="134"/>
      <c r="Q157" s="134"/>
      <c r="T157" s="66"/>
      <c r="U157" s="66"/>
    </row>
    <row r="158" spans="1:21" s="65" customFormat="1" ht="15">
      <c r="A158" s="2314" t="s">
        <v>1368</v>
      </c>
      <c r="B158" s="2315"/>
      <c r="C158" s="2315"/>
      <c r="D158" s="2315"/>
      <c r="E158" s="2315"/>
      <c r="F158" s="2315"/>
      <c r="G158" s="2315"/>
      <c r="H158" s="2315"/>
      <c r="I158" s="2315"/>
      <c r="J158" s="2315"/>
      <c r="K158" s="2315"/>
      <c r="L158" s="2315"/>
      <c r="M158" s="2315"/>
      <c r="N158" s="2315"/>
      <c r="O158" s="2316"/>
      <c r="P158" s="339"/>
      <c r="Q158" s="66"/>
      <c r="T158" s="66"/>
      <c r="U158" s="66"/>
    </row>
    <row r="159" spans="1:21" s="65" customFormat="1">
      <c r="A159" s="712" t="s">
        <v>1</v>
      </c>
      <c r="B159" s="713" t="s">
        <v>100</v>
      </c>
      <c r="C159" s="714" t="s">
        <v>97</v>
      </c>
      <c r="D159" s="715" t="s">
        <v>95</v>
      </c>
      <c r="E159" s="716" t="s">
        <v>494</v>
      </c>
      <c r="F159" s="265" t="s">
        <v>495</v>
      </c>
      <c r="G159" s="266" t="s">
        <v>496</v>
      </c>
      <c r="H159" s="140" t="s">
        <v>101</v>
      </c>
      <c r="I159" s="141" t="s">
        <v>98</v>
      </c>
      <c r="J159" s="141" t="s">
        <v>96</v>
      </c>
      <c r="K159" s="141" t="s">
        <v>715</v>
      </c>
      <c r="L159" s="216" t="s">
        <v>716</v>
      </c>
      <c r="M159" s="332" t="s">
        <v>121</v>
      </c>
      <c r="N159" s="218" t="s">
        <v>27</v>
      </c>
      <c r="O159" s="219" t="s">
        <v>7</v>
      </c>
      <c r="P159" s="545"/>
      <c r="Q159" s="66"/>
      <c r="T159" s="66"/>
      <c r="U159" s="66"/>
    </row>
    <row r="160" spans="1:21" s="65" customFormat="1">
      <c r="A160" s="142" t="s">
        <v>8</v>
      </c>
      <c r="B160" s="267"/>
      <c r="C160" s="146"/>
      <c r="D160" s="702"/>
      <c r="E160" s="416">
        <f>SUMIFS(sept20212223[м2],sept20212223[МОП],A160,sept20212223[Комнатность],"Офис")</f>
        <v>0</v>
      </c>
      <c r="F160" s="146">
        <f>SUMIFS(sept20212223[Сумма без отделки],sept20212223[МОП],$A160,sept20212223[Комнатность],"оФИС")</f>
        <v>0</v>
      </c>
      <c r="G160" s="417">
        <f>COUNTIFS(sept20212223[МОП],$A160,sept20212223[Комнатность],"Офис")</f>
        <v>0</v>
      </c>
      <c r="H160" s="267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146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K160" s="221" t="str">
        <f t="shared" ref="K160:L166" si="14">IFERROR(H160/B160,"")</f>
        <v/>
      </c>
      <c r="L160" s="333" t="str">
        <f t="shared" si="14"/>
        <v/>
      </c>
      <c r="M160" s="148">
        <f>COUNTIFS(РД[Дом],M$159,РД[МОП],$A160,РД[Дата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0">
        <f>COUNTIFS(РД[Дом],N$159,РД[МОП],$A160,РД[Дата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223">
        <f>COUNTIFS(РД[Дом],O$159,РД[МОП],$A160,РД[Дата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P160" s="339"/>
      <c r="T160" s="66"/>
      <c r="U160" s="66"/>
    </row>
    <row r="161" spans="1:21" s="65" customFormat="1">
      <c r="A161" s="398" t="s">
        <v>77</v>
      </c>
      <c r="B161" s="271"/>
      <c r="C161" s="52"/>
      <c r="D161" s="717"/>
      <c r="E161" s="416">
        <f>SUMIFS(sept20212223[м2],sept20212223[МОП],A161,sept20212223[Комнатность],"Офис")</f>
        <v>0</v>
      </c>
      <c r="F161" s="52">
        <f>SUMIFS(sept20212223[Сумма без отделки],sept20212223[МОП],$A161,sept20212223[Комнатность],"оФИС")</f>
        <v>0</v>
      </c>
      <c r="G161" s="421">
        <f>COUNTIFS(sept20212223[МОП],$A161,sept20212223[Комнатность],"Офис")</f>
        <v>0</v>
      </c>
      <c r="H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K161" s="52" t="str">
        <f t="shared" si="14"/>
        <v/>
      </c>
      <c r="L161" s="546" t="str">
        <f t="shared" si="14"/>
        <v/>
      </c>
      <c r="M161" s="202">
        <f>COUNTIFS(РД[Дом],M$159,РД[МОП],$A161,РД[Дата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6">
        <f>COUNTIFS(РД[Дом],N$159,РД[МОП],$A161,РД[Дата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7">
        <f>COUNTIFS(РД[Дом],O$159,РД[МОП],$A161,РД[Дата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P161" s="339"/>
      <c r="T161" s="66"/>
      <c r="U161" s="66"/>
    </row>
    <row r="162" spans="1:21" s="65" customFormat="1">
      <c r="A162" s="153" t="s">
        <v>20</v>
      </c>
      <c r="B162" s="271"/>
      <c r="C162" s="52"/>
      <c r="D162" s="717"/>
      <c r="E162" s="416">
        <f>SUMIFS(sept20212223[м2],sept20212223[МОП],A162,sept20212223[Комнатность],"Офис")</f>
        <v>0</v>
      </c>
      <c r="F162" s="52">
        <f>SUMIFS(sept20212223[Сумма без отделки],sept20212223[МОП],$A162,sept20212223[Комнатность],"оФИС")</f>
        <v>0</v>
      </c>
      <c r="G162" s="421">
        <f>COUNTIFS(sept20212223[МОП],$A162,sept20212223[Комнатность],"Офис")</f>
        <v>0</v>
      </c>
      <c r="H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K162" s="224" t="str">
        <f t="shared" si="14"/>
        <v/>
      </c>
      <c r="L162" s="334" t="str">
        <f t="shared" si="14"/>
        <v/>
      </c>
      <c r="M162" s="202">
        <f>COUNTIFS(РД[Дом],M$159,РД[МОП],$A162,РД[Дата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6">
        <f>COUNTIFS(РД[Дом],N$159,РД[МОП],$A162,РД[Дата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7">
        <f>COUNTIFS(РД[Дом],O$159,РД[МОП],$A162,РД[Дата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P162" s="339"/>
      <c r="T162" s="66"/>
      <c r="U162" s="66"/>
    </row>
    <row r="163" spans="1:21" s="65" customFormat="1">
      <c r="A163" s="153" t="s">
        <v>14</v>
      </c>
      <c r="B163" s="315"/>
      <c r="C163" s="363"/>
      <c r="D163" s="703"/>
      <c r="E163" s="422">
        <f>SUMIFS(sept20212223[м2],sept20212223[МОП],A163,sept20212223[Комнатность],"Офис")</f>
        <v>0</v>
      </c>
      <c r="F163" s="363">
        <f>SUMIFS(sept20212223[Сумма без отделки],sept20212223[МОП],$A163,sept20212223[Комнатность],"оФИС")</f>
        <v>0</v>
      </c>
      <c r="G163" s="414">
        <f>COUNTIFS(sept20212223[МОП],$A163,sept20212223[Комнатность],"Офис")</f>
        <v>0</v>
      </c>
      <c r="H163" s="315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363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47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K163" s="360" t="str">
        <f t="shared" si="14"/>
        <v/>
      </c>
      <c r="L163" s="367" t="str">
        <f t="shared" si="14"/>
        <v/>
      </c>
      <c r="M163" s="358">
        <f>COUNTIFS(РД[Дом],M$159,РД[МОП],$A163,РД[Дата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330">
        <f>COUNTIFS(РД[Дом],N$159,РД[МОП],$A163,РД[Дата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331">
        <f>COUNTIFS(РД[Дом],O$159,РД[МОП],$A163,РД[Дата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P163" s="339"/>
      <c r="T163" s="66"/>
      <c r="U163" s="66"/>
    </row>
    <row r="164" spans="1:21" s="65" customFormat="1">
      <c r="A164" s="154" t="s">
        <v>29</v>
      </c>
      <c r="B164" s="274"/>
      <c r="C164" s="277"/>
      <c r="D164" s="718"/>
      <c r="E164" s="423">
        <f>SUMIFS(sept20212223[м2],sept20212223[МОП],A164,sept20212223[Комнатность],"Офис")</f>
        <v>0</v>
      </c>
      <c r="F164" s="277">
        <f>SUMIFS(sept20212223[Сумма без отделки],sept20212223[МОП],$A164,sept20212223[Комнатность],"оФИС")</f>
        <v>0</v>
      </c>
      <c r="G164" s="405">
        <f>COUNTIFS(sept20212223[МОП],$A164,sept20212223[Комнатность],"Офис")</f>
        <v>0</v>
      </c>
      <c r="H164" s="274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77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28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K164" s="229" t="str">
        <f t="shared" si="14"/>
        <v/>
      </c>
      <c r="L164" s="335" t="str">
        <f t="shared" si="14"/>
        <v/>
      </c>
      <c r="M164" s="159">
        <f>COUNTIFS(РД[Дом],M$159,РД[МОП],$A164,РД[Дата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8">
        <f>COUNTIFS(РД[Дом],N$159,РД[МОП],$A164,РД[Дата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31">
        <f>COUNTIFS(РД[Дом],O$159,РД[МОП],$A164,РД[Дата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P164" s="339"/>
      <c r="T164" s="66"/>
      <c r="U164" s="66"/>
    </row>
    <row r="165" spans="1:21" s="65" customFormat="1">
      <c r="A165" s="161" t="s">
        <v>1919</v>
      </c>
      <c r="B165" s="278"/>
      <c r="C165" s="281"/>
      <c r="D165" s="719"/>
      <c r="E165" s="424">
        <f>SUMIFS(sept20212223[м2],sept20212223[МОП],A165,sept20212223[Комнатность],"Офис")</f>
        <v>0</v>
      </c>
      <c r="F165" s="281">
        <f>SUMIFS(sept20212223[Сумма без отделки],sept20212223[МОП],$A165,sept20212223[Комнатность],"оФИС")</f>
        <v>0</v>
      </c>
      <c r="G165" s="407">
        <f>COUNTIFS(sept20212223[МОП],$A165,sept20212223[Комнатность],"Офис")</f>
        <v>0</v>
      </c>
      <c r="H165" s="278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81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32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K165" s="233" t="str">
        <f t="shared" si="14"/>
        <v/>
      </c>
      <c r="L165" s="336" t="str">
        <f t="shared" si="14"/>
        <v/>
      </c>
      <c r="M165" s="166">
        <f>COUNTIFS(РД[Дом],M$159,РД[МОП],$A165,РД[Дата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32">
        <f>COUNTIFS(РД[Дом],N$159,РД[МОП],$A165,РД[Дата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7">
        <f>COUNTIFS(РД[Дом],O$159,РД[МОП],$A165,РД[Дата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P165" s="339"/>
      <c r="T165" s="66"/>
      <c r="U165" s="66"/>
    </row>
    <row r="166" spans="1:21" s="65" customFormat="1">
      <c r="A166" s="513" t="s">
        <v>114</v>
      </c>
      <c r="B166" s="282">
        <f t="shared" ref="B166:J166" si="15">SUM(B160:B165)</f>
        <v>0</v>
      </c>
      <c r="C166" s="287">
        <f t="shared" si="15"/>
        <v>0</v>
      </c>
      <c r="D166" s="305">
        <f t="shared" si="15"/>
        <v>0</v>
      </c>
      <c r="E166" s="425">
        <f t="shared" si="15"/>
        <v>0</v>
      </c>
      <c r="F166" s="287">
        <f t="shared" si="15"/>
        <v>0</v>
      </c>
      <c r="G166" s="286">
        <f t="shared" si="15"/>
        <v>0</v>
      </c>
      <c r="H166" s="282">
        <f t="shared" si="15"/>
        <v>0</v>
      </c>
      <c r="I166" s="287">
        <f t="shared" si="15"/>
        <v>0</v>
      </c>
      <c r="J166" s="287">
        <f t="shared" si="15"/>
        <v>0</v>
      </c>
      <c r="K166" s="238" t="str">
        <f t="shared" si="14"/>
        <v/>
      </c>
      <c r="L166" s="338" t="str">
        <f t="shared" si="14"/>
        <v/>
      </c>
      <c r="M166" s="282">
        <f>SUM(M160:M165)</f>
        <v>0</v>
      </c>
      <c r="N166" s="287">
        <f>SUM(N160:N165)</f>
        <v>0</v>
      </c>
      <c r="O166" s="287">
        <f>SUM(O160:O165)</f>
        <v>0</v>
      </c>
      <c r="P166" s="339"/>
      <c r="T166" s="66"/>
      <c r="U166" s="66"/>
    </row>
    <row r="167" spans="1:21" s="65" customFormat="1">
      <c r="A167" s="685" t="s">
        <v>115</v>
      </c>
      <c r="B167" s="713" t="s">
        <v>100</v>
      </c>
      <c r="C167" s="714" t="s">
        <v>97</v>
      </c>
      <c r="D167" s="715" t="s">
        <v>95</v>
      </c>
      <c r="E167" s="716" t="s">
        <v>494</v>
      </c>
      <c r="F167" s="265" t="s">
        <v>495</v>
      </c>
      <c r="G167" s="266" t="s">
        <v>496</v>
      </c>
      <c r="H167" s="140" t="s">
        <v>101</v>
      </c>
      <c r="I167" s="141" t="s">
        <v>98</v>
      </c>
      <c r="J167" s="141" t="s">
        <v>96</v>
      </c>
      <c r="K167" s="141" t="s">
        <v>715</v>
      </c>
      <c r="L167" s="526" t="s">
        <v>716</v>
      </c>
      <c r="M167" s="332" t="s">
        <v>121</v>
      </c>
      <c r="N167" s="218" t="s">
        <v>27</v>
      </c>
      <c r="O167" s="219" t="s">
        <v>7</v>
      </c>
      <c r="P167" s="339"/>
      <c r="U167" s="66"/>
    </row>
    <row r="168" spans="1:21" s="65" customFormat="1">
      <c r="A168" s="177" t="s">
        <v>16</v>
      </c>
      <c r="B168" s="291"/>
      <c r="C168" s="292"/>
      <c r="D168" s="720"/>
      <c r="E168" s="267">
        <f>SUMIFS(sept20212223[м2],sept20212223[ИМ],A168,sept20212223[Комнатность],"Офис")</f>
        <v>0</v>
      </c>
      <c r="F168" s="146">
        <f>SUMIFS(sept20212223[Сумма без отделки],sept20212223[ИМ],$A168,sept20212223[Комнатность],"оФИС")</f>
        <v>0</v>
      </c>
      <c r="G168" s="417">
        <f>COUNTIFS(sept20212223[ИМ],$A168,sept20212223[Комнатность],"Офис")</f>
        <v>0</v>
      </c>
      <c r="H168" s="26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I168" s="146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0">
        <f>COUNTIFS(РД[ИМ],A168,РД[Дата подачи на регистрацию],"&lt;="&amp;$A$1,РД[Дата подачи на регистрацию],"&gt;="&amp;DATE(YEAR($A$1),MONTH($A$1),1),РД[Состояние],"Коммерция")</f>
        <v>0</v>
      </c>
      <c r="K168" s="224" t="str">
        <f t="shared" ref="K168:L170" si="16">IFERROR(H168/B168,"")</f>
        <v/>
      </c>
      <c r="L168" s="334" t="str">
        <f t="shared" si="16"/>
        <v/>
      </c>
      <c r="M168" s="148">
        <f>COUNTIFS(РД[Дом],M$159,РД[ИМ],$A168,РД[Дата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0">
        <f>COUNTIFS(РД[Дом],N$159,РД[ИМ],$A168,РД[Дата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223">
        <f>COUNTIFS(РД[Дом],O$159,РД[ИМ],$A168,РД[Дата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P168" s="339"/>
      <c r="U168" s="66"/>
    </row>
    <row r="169" spans="1:21" s="65" customFormat="1">
      <c r="A169" s="189" t="s">
        <v>22</v>
      </c>
      <c r="B169" s="516"/>
      <c r="C169" s="554"/>
      <c r="D169" s="721"/>
      <c r="E169" s="315">
        <f>SUMIFS(sept20212223[м2],sept20212223[ИМ],A169,sept20212223[Комнатность],"Офис")</f>
        <v>0</v>
      </c>
      <c r="F169" s="363">
        <f>SUMIFS(sept20212223[Сумма без отделки],sept20212223[ИМ],$A169,sept20212223[Комнатность],"оФИС")</f>
        <v>0</v>
      </c>
      <c r="G169" s="518">
        <f>COUNTIFS(sept20212223[ИМ],$A169,sept20212223[Комнатность],"Офис")</f>
        <v>0</v>
      </c>
      <c r="H169" s="31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363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K169" s="252" t="str">
        <f t="shared" si="16"/>
        <v/>
      </c>
      <c r="L169" s="253" t="str">
        <f t="shared" si="16"/>
        <v/>
      </c>
      <c r="M169" s="202">
        <f>COUNTIFS(РД[Дом],M$159,РД[ИМ],$A169,РД[Дата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6">
        <f>COUNTIFS(РД[Дом],N$159,РД[ИМ],$A169,РД[Дата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7">
        <f>COUNTIFS(РД[Дом],O$159,РД[ИМ],$A169,РД[Дата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U169" s="66"/>
    </row>
    <row r="170" spans="1:21" s="65" customFormat="1">
      <c r="A170" s="513" t="s">
        <v>114</v>
      </c>
      <c r="B170" s="282">
        <f>SUM(B168:B169)</f>
        <v>0</v>
      </c>
      <c r="C170" s="287">
        <f>SUM(C168:C169)</f>
        <v>0</v>
      </c>
      <c r="D170" s="472">
        <f>SUM(D168:D169)</f>
        <v>0</v>
      </c>
      <c r="E170" s="323">
        <f t="shared" ref="E170:J170" si="17">SUM(E168:E169)</f>
        <v>0</v>
      </c>
      <c r="F170" s="429">
        <f t="shared" si="17"/>
        <v>0</v>
      </c>
      <c r="G170" s="322">
        <f t="shared" si="17"/>
        <v>0</v>
      </c>
      <c r="H170" s="323">
        <f t="shared" si="17"/>
        <v>0</v>
      </c>
      <c r="I170" s="429">
        <f t="shared" si="17"/>
        <v>0</v>
      </c>
      <c r="J170" s="429">
        <f t="shared" si="17"/>
        <v>0</v>
      </c>
      <c r="K170" s="419" t="str">
        <f t="shared" si="16"/>
        <v/>
      </c>
      <c r="L170" s="527" t="str">
        <f t="shared" si="16"/>
        <v/>
      </c>
      <c r="M170" s="318">
        <f>SUM(M168:M169)</f>
        <v>0</v>
      </c>
      <c r="N170" s="321">
        <f>SUM(N168:N169)</f>
        <v>0</v>
      </c>
      <c r="O170" s="319">
        <f>SUM(O168:O169)</f>
        <v>0</v>
      </c>
      <c r="P170" s="339"/>
      <c r="U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134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321" t="s">
        <v>945</v>
      </c>
      <c r="B172" s="2322"/>
      <c r="C172" s="2322"/>
      <c r="D172" s="2322"/>
      <c r="E172" s="2322"/>
      <c r="F172" s="2322"/>
      <c r="G172" s="2322"/>
      <c r="H172" s="2323"/>
      <c r="I172" s="2323"/>
      <c r="J172" s="2323"/>
      <c r="K172" s="2323"/>
      <c r="L172" s="2323"/>
      <c r="M172" s="2323"/>
      <c r="N172" s="2324"/>
      <c r="O172" s="339"/>
      <c r="P172" s="339"/>
      <c r="Q172" s="86"/>
      <c r="U172" s="66"/>
    </row>
    <row r="173" spans="1:21" s="65" customFormat="1" ht="15">
      <c r="A173" s="519"/>
      <c r="B173" s="520"/>
      <c r="C173" s="520"/>
      <c r="D173" s="520"/>
      <c r="E173" s="520"/>
      <c r="F173" s="520"/>
      <c r="G173" s="520"/>
      <c r="H173" s="722"/>
      <c r="I173" s="722"/>
      <c r="J173" s="722"/>
      <c r="K173" s="722"/>
      <c r="L173" s="722"/>
      <c r="M173" s="722"/>
      <c r="N173" s="727"/>
      <c r="O173" s="339"/>
      <c r="P173" s="339"/>
      <c r="Q173" s="86"/>
      <c r="U173" s="66"/>
    </row>
    <row r="174" spans="1:21" s="65" customFormat="1">
      <c r="A174" s="685" t="s">
        <v>1</v>
      </c>
      <c r="B174" s="723" t="s">
        <v>101</v>
      </c>
      <c r="C174" s="724" t="s">
        <v>98</v>
      </c>
      <c r="D174" s="688" t="s">
        <v>96</v>
      </c>
      <c r="E174" s="137" t="s">
        <v>494</v>
      </c>
      <c r="F174" s="138" t="s">
        <v>495</v>
      </c>
      <c r="G174" s="296" t="s">
        <v>496</v>
      </c>
      <c r="H174" s="140" t="s">
        <v>946</v>
      </c>
      <c r="I174" s="141" t="s">
        <v>947</v>
      </c>
      <c r="J174" s="217">
        <v>0</v>
      </c>
      <c r="K174" s="218">
        <v>1</v>
      </c>
      <c r="L174" s="340">
        <v>2</v>
      </c>
      <c r="M174" s="218">
        <v>3</v>
      </c>
      <c r="N174" s="219" t="s">
        <v>1367</v>
      </c>
      <c r="O174" s="339"/>
      <c r="P174" s="339"/>
      <c r="Q174" s="86"/>
      <c r="U174" s="66"/>
    </row>
    <row r="175" spans="1:21" s="65" customFormat="1">
      <c r="A175" s="142" t="s">
        <v>8</v>
      </c>
      <c r="B175" s="267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C175" s="146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D175" s="702">
        <f>COUNTIFS(РД[МОП],A175,РД[Дата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E175" s="329">
        <f>SUMIFS(sept20212223[м2],sept20212223[МОП],$A175,sept20212223[№ дома],#REF!)</f>
        <v>0</v>
      </c>
      <c r="F175" s="363">
        <f>SUMIFS(sept20212223[Сумма без отделки],sept20212223[МОП],$A175,sept20212223[№ дома],#REF!)</f>
        <v>0</v>
      </c>
      <c r="G175" s="414">
        <f>COUNTIFS(sept20212223[МОП],$A175,sept20212223[№ дома],#REF!)</f>
        <v>0</v>
      </c>
      <c r="H175" s="267">
        <f>SUMIFS(РД[S],РД[МОП],A175,РД[Дата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I175" s="549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J175" s="148">
        <f>COUNTIFS(РД[Тип кв],J$174,РД[МОП],$A175,РД[Дата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K175" s="220">
        <f>COUNTIFS(РД[Тип кв],K$174,РД[МОП],$A175,РД[Дата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L175" s="220">
        <f>COUNTIFS(РД[Тип кв],L$174,РД[МОП],$A175,РД[Дата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M175" s="220">
        <f>COUNTIFS(РД[Тип кв],M$174,РД[МОП],$A175,РД[Дата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5" s="223">
        <f>COUNTIFS(РД[Тип кв],T$170,РД[МОП],$A175,РД[Дата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5" s="339"/>
      <c r="P175" s="339"/>
      <c r="Q175" s="86"/>
      <c r="U175" s="66"/>
    </row>
    <row r="176" spans="1:21" s="65" customFormat="1">
      <c r="A176" s="398" t="s">
        <v>1867</v>
      </c>
      <c r="B176" s="271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C176" s="5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D176" s="717">
        <f>COUNTIFS(РД[МОП],A176,РД[Дата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E176" s="329">
        <f>SUMIFS(sept20212223[м2],sept20212223[МОП],$A176,sept20212223[№ дома],#REF!)</f>
        <v>0</v>
      </c>
      <c r="F176" s="363">
        <f>SUMIFS(sept20212223[Сумма без отделки],sept20212223[МОП],$A176,sept20212223[№ дома],#REF!)</f>
        <v>0</v>
      </c>
      <c r="G176" s="414">
        <f>COUNTIFS(sept20212223[МОП],$A176,sept20212223[№ дома],#REF!)</f>
        <v>0</v>
      </c>
      <c r="H176" s="271">
        <f>SUMIFS(РД[S],РД[МОП],A176,РД[Дата подачи на регистрацию],"&lt;="&amp;$A$1,РД[Дата подачи на регистрацию],"&gt;="&amp;DATE(YEAR($A$1),MONTH($A$1),1),РД[Источник рекламы],"Н -*")/2</f>
        <v>0</v>
      </c>
      <c r="I176" s="5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-*")/2</f>
        <v>0</v>
      </c>
      <c r="J176" s="202">
        <f>COUNTIFS(РД[Тип кв],J$174,РД[МОП],$A176,РД[Дата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26">
        <f>COUNTIFS(РД[Тип кв],K$174,РД[МОП],$A176,РД[Дата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26">
        <f>COUNTIFS(РД[Тип кв],L$174,РД[МОП],$A176,РД[Дата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26">
        <f>COUNTIFS(РД[Тип кв],M$174,РД[МОП],$A176,РД[Дата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227">
        <f>COUNTIFS(РД[Тип кв],T$170,РД[МОП],$A176,РД[Дата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6" s="339"/>
      <c r="P176" s="339"/>
      <c r="Q176" s="86"/>
      <c r="U176" s="66"/>
    </row>
    <row r="177" spans="1:21" s="65" customFormat="1">
      <c r="A177" s="153" t="s">
        <v>20</v>
      </c>
      <c r="B177" s="271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59.910000000000004</v>
      </c>
      <c r="C177" s="52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7043240</v>
      </c>
      <c r="D177" s="717">
        <f>COUNTIFS(РД[МОП],A177,РД[Дата подачи на регистрацию],"&lt;="&amp;$A$1,РД[Дата подачи на регистрацию],"&gt;="&amp;DATE(YEAR($A$1),MONTH($A$1),1),РД[Источник рекламы],"Н -*")</f>
        <v>2</v>
      </c>
      <c r="E177" s="329">
        <f>SUMIFS(sept20212223[м2],sept20212223[МОП],$A177,sept20212223[№ дома],#REF!)</f>
        <v>0</v>
      </c>
      <c r="F177" s="363">
        <f>SUMIFS(sept20212223[Сумма без отделки],sept20212223[МОП],$A177,sept20212223[№ дома],#REF!)</f>
        <v>0</v>
      </c>
      <c r="G177" s="414">
        <f>COUNTIFS(sept20212223[МОП],$A177,sept20212223[№ дома],#REF!)</f>
        <v>0</v>
      </c>
      <c r="H177" s="271">
        <f>SUMIFS(РД[S],РД[МОП],A177,РД[Дата подачи на регистрацию],"&lt;="&amp;$A$1,РД[Дата подачи на регистрацию],"&gt;="&amp;DATE(YEAR($A$1),MONTH($A$1),1),РД[Источник рекламы],"Н -*")/2</f>
        <v>29.955000000000002</v>
      </c>
      <c r="I177" s="54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-*")/2</f>
        <v>3521620</v>
      </c>
      <c r="J177" s="202">
        <f>COUNTIFS(РД[Тип кв],J$174,РД[МОП],$A177,РД[Дата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K177" s="226">
        <f>COUNTIFS(РД[Тип кв],K$174,РД[МОП],$A177,РД[Дата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L177" s="226">
        <f>COUNTIFS(РД[Тип кв],L$174,РД[МОП],$A177,РД[Дата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6">
        <f>COUNTIFS(РД[Тип кв],M$174,РД[МОП],$A177,РД[Дата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227">
        <f>COUNTIFS(РД[Тип кв],T$170,РД[МОП],$A177,РД[Дата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7" s="339"/>
      <c r="P177" s="339"/>
      <c r="Q177" s="86"/>
      <c r="U177" s="66"/>
    </row>
    <row r="178" spans="1:21" s="65" customFormat="1">
      <c r="A178" s="153" t="s">
        <v>14</v>
      </c>
      <c r="B178" s="315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C178" s="363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D178" s="703">
        <f>COUNTIFS(РД[МОП],A178,РД[Дата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E178" s="329">
        <f>SUMIFS(sept20212223[м2],sept20212223[МОП],$A178,sept20212223[№ дома],#REF!)</f>
        <v>0</v>
      </c>
      <c r="F178" s="363">
        <f>SUMIFS(sept20212223[Сумма без отделки],sept20212223[МОП],$A178,sept20212223[№ дома],#REF!)</f>
        <v>0</v>
      </c>
      <c r="G178" s="414">
        <f>COUNTIFS(sept20212223[МОП],$A178,sept20212223[№ дома],#REF!)</f>
        <v>0</v>
      </c>
      <c r="H178" s="315">
        <f>SUMIFS(РД[S],РД[МОП],A178,РД[Дата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I178" s="550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J178" s="358">
        <f>COUNTIFS(РД[Тип кв],J$174,РД[МОП],$A178,РД[Дата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330">
        <f>COUNTIFS(РД[Тип кв],K$174,РД[МОП],$A178,РД[Дата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330">
        <f>COUNTIFS(РД[Тип кв],L$174,РД[МОП],$A178,РД[Дата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330">
        <f>COUNTIFS(РД[Тип кв],M$174,РД[МОП],$A178,РД[Дата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1">
        <f>COUNTIFS(РД[Тип кв],T$170,РД[МОП],$A178,РД[Дата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8" s="339"/>
      <c r="P178" s="339"/>
      <c r="Q178" s="86"/>
      <c r="U178" s="66"/>
    </row>
    <row r="179" spans="1:21" s="65" customFormat="1">
      <c r="A179" s="154" t="s">
        <v>29</v>
      </c>
      <c r="B179" s="274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C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D179" s="718">
        <f>COUNTIFS(РД[МОП],A179,РД[Дата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E179" s="341">
        <f>SUMIFS(sept20212223[м2],sept20212223[МОП],$A179,sept20212223[№ дома],#REF!)</f>
        <v>0</v>
      </c>
      <c r="F179" s="277">
        <f>SUMIFS(sept20212223[Сумма без отделки],sept20212223[МОП],$A179,sept20212223[№ дома],#REF!)</f>
        <v>0</v>
      </c>
      <c r="G179" s="405">
        <f>COUNTIFS(sept20212223[МОП],$A179,sept20212223[№ дома],#REF!)</f>
        <v>0</v>
      </c>
      <c r="H179" s="274">
        <f>SUMIFS(РД[S],РД[МОП],A179,РД[Дата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I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J179" s="228">
        <f>COUNTIFS(РД[Тип кв],J$174,РД[МОП],$A179,РД[Дата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228">
        <f>COUNTIFS(РД[Тип кв],K$174,РД[МОП],$A179,РД[Дата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28">
        <f>COUNTIFS(РД[Тип кв],L$174,РД[МОП],$A179,РД[Дата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M179" s="228">
        <f>COUNTIFS(РД[Тип кв],M$174,РД[МОП],$A179,РД[Дата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231">
        <f>COUNTIFS(РД[Тип кв],T$170,РД[МОП],$A179,РД[Дата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9" s="339"/>
      <c r="P179" s="339"/>
      <c r="Q179" s="86"/>
      <c r="U179" s="66"/>
    </row>
    <row r="180" spans="1:21" s="65" customFormat="1">
      <c r="A180" s="161" t="s">
        <v>1919</v>
      </c>
      <c r="B180" s="278">
        <f>SUMIFS(РД[S],РД[МОП],A180,РД[Дата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C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D180" s="719">
        <f>COUNTIFS(РД[МОП],A180,РД[Дата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E180" s="406">
        <f>SUMIFS(sept20212223[м2],sept20212223[МОП],$A180,sept20212223[№ дома],#REF!)</f>
        <v>0</v>
      </c>
      <c r="F180" s="281">
        <f>SUMIFS(sept20212223[Сумма без отделки],sept20212223[МОП],$A180,sept20212223[№ дома],#REF!)</f>
        <v>0</v>
      </c>
      <c r="G180" s="407">
        <f>COUNTIFS(sept20212223[МОП],$A180,sept20212223[№ дома],#REF!)</f>
        <v>0</v>
      </c>
      <c r="H180" s="278">
        <f>SUMIFS(РД[S],РД[МОП],A180,РД[Дата подачи на регистрацию],"&lt;="&amp;$A$1,РД[Дата подачи на регистрацию],"&gt;="&amp;DATE(YEAR($A$1),MONTH($A$1),1),РД[Источник рекламы],"Н -*")/2</f>
        <v>0</v>
      </c>
      <c r="I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-*")/2</f>
        <v>0</v>
      </c>
      <c r="J180" s="232">
        <f>COUNTIFS(РД[Тип кв],J$174,РД[МОП],$A180,РД[Дата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K180" s="232">
        <f>COUNTIFS(РД[Тип кв],K$174,РД[МОП],$A180,РД[Дата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L180" s="232">
        <f>COUNTIFS(РД[Тип кв],L$174,РД[МОП],$A180,РД[Дата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M180" s="232">
        <f>COUNTIFS(РД[Тип кв],M$174,РД[МОП],$A180,РД[Дата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337">
        <f>COUNTIFS(РД[Тип кв],T$170,РД[МОП],$A180,РД[Дата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0" s="339"/>
      <c r="P180" s="339"/>
      <c r="Q180" s="86"/>
      <c r="U180" s="66"/>
    </row>
    <row r="181" spans="1:21" s="65" customFormat="1">
      <c r="A181" s="513" t="s">
        <v>114</v>
      </c>
      <c r="B181" s="282">
        <f t="shared" ref="B181:M181" si="18">SUM(B175:B178)</f>
        <v>59.910000000000004</v>
      </c>
      <c r="C181" s="287">
        <f t="shared" si="18"/>
        <v>7043240</v>
      </c>
      <c r="D181" s="305">
        <f t="shared" si="18"/>
        <v>2</v>
      </c>
      <c r="E181" s="425">
        <f t="shared" si="18"/>
        <v>0</v>
      </c>
      <c r="F181" s="287">
        <f t="shared" si="18"/>
        <v>0</v>
      </c>
      <c r="G181" s="286">
        <f t="shared" si="18"/>
        <v>0</v>
      </c>
      <c r="H181" s="282">
        <f t="shared" si="18"/>
        <v>29.955000000000002</v>
      </c>
      <c r="I181" s="283">
        <f t="shared" si="18"/>
        <v>3521620</v>
      </c>
      <c r="J181" s="284">
        <f t="shared" si="18"/>
        <v>1</v>
      </c>
      <c r="K181" s="285">
        <f t="shared" si="18"/>
        <v>1</v>
      </c>
      <c r="L181" s="285">
        <f t="shared" si="18"/>
        <v>0</v>
      </c>
      <c r="M181" s="285">
        <f t="shared" si="18"/>
        <v>0</v>
      </c>
      <c r="N181" s="305">
        <f>SUM(T172:T174)</f>
        <v>0</v>
      </c>
      <c r="O181" s="339"/>
      <c r="P181" s="339"/>
      <c r="Q181" s="86"/>
      <c r="U181" s="66"/>
    </row>
    <row r="182" spans="1:21" s="65" customFormat="1">
      <c r="A182" s="725" t="s">
        <v>115</v>
      </c>
      <c r="B182" s="706" t="s">
        <v>101</v>
      </c>
      <c r="C182" s="726" t="s">
        <v>98</v>
      </c>
      <c r="D182" s="708" t="s">
        <v>96</v>
      </c>
      <c r="E182" s="486" t="s">
        <v>494</v>
      </c>
      <c r="F182" s="487" t="s">
        <v>495</v>
      </c>
      <c r="G182" s="524" t="s">
        <v>496</v>
      </c>
      <c r="H182" s="489" t="s">
        <v>946</v>
      </c>
      <c r="I182" s="525" t="s">
        <v>947</v>
      </c>
      <c r="J182" s="217">
        <v>0</v>
      </c>
      <c r="K182" s="218">
        <v>1</v>
      </c>
      <c r="L182" s="340">
        <v>2</v>
      </c>
      <c r="M182" s="218">
        <v>3</v>
      </c>
      <c r="N182" s="219" t="s">
        <v>1367</v>
      </c>
      <c r="O182" s="339"/>
      <c r="P182" s="339"/>
      <c r="Q182" s="86"/>
      <c r="U182" s="66"/>
    </row>
    <row r="183" spans="1:21" s="65" customFormat="1">
      <c r="A183" s="177" t="s">
        <v>16</v>
      </c>
      <c r="B183" s="291">
        <f>SUMIFS(РД[S],РД[ИМ],A183,РД[Дата подачи на регистрацию],"&lt;="&amp;$A$1,РД[Дата подачи на регистрацию],"&gt;="&amp;DATE(YEAR($A$1),MONTH($A$1),1),РД[Источник рекламы],"Н -*")</f>
        <v>59.910000000000004</v>
      </c>
      <c r="C183" s="29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7043240</v>
      </c>
      <c r="D183" s="694">
        <f>COUNTIFS(РД[ИМ],A183,РД[Дата подачи на регистрацию],"&lt;="&amp;$A$1,РД[Дата подачи на регистрацию],"&gt;="&amp;DATE(YEAR($A$1),MONTH($A$1),1),РД[Источник рекламы],"Н -*")</f>
        <v>2</v>
      </c>
      <c r="E183" s="551"/>
      <c r="F183" s="292"/>
      <c r="G183" s="552"/>
      <c r="H183" s="291">
        <f>SUMIFS(РД[S],РД[ИМ],A183,РД[Дата подачи на регистрацию],"&lt;="&amp;$A$1,РД[Дата подачи на регистрацию],"&gt;="&amp;DATE(YEAR($A$1),MONTH($A$1),1),РД[Источник рекламы],"Н -*")/2</f>
        <v>29.955000000000002</v>
      </c>
      <c r="I183" s="31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-*")/2</f>
        <v>3521620</v>
      </c>
      <c r="J183" s="346">
        <f>COUNTIFS(РД[Тип кв],J$174,РД[ИМ],$A183,РД[Дата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K183" s="243">
        <f>COUNTIFS(РД[Тип кв],K$174,РД[ИМ],$A183,РД[Дата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L183" s="243">
        <f>COUNTIFS(РД[Тип кв],L$174,РД[ИМ],$A183,РД[Дата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M183" s="243">
        <f>COUNTIFS(РД[Тип кв],M$174,РД[ИМ],$A183,РД[Дата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246">
        <f>COUNTIFS(РД[Тип кв],T$170,РД[ИМ],$A183,РД[Дата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3" s="339"/>
      <c r="P183" s="339"/>
      <c r="Q183" s="86"/>
      <c r="U183" s="66"/>
    </row>
    <row r="184" spans="1:21" s="65" customFormat="1">
      <c r="A184" s="189" t="s">
        <v>22</v>
      </c>
      <c r="B184" s="516">
        <f>SUMIFS(РД[S],РД[ИМ],A184,РД[Дата подачи на регистрацию],"&lt;="&amp;$A$1,РД[Дата подачи на регистрацию],"&gt;="&amp;DATE(YEAR($A$1),MONTH($A$1),1),РД[Источник рекламы],"Н -*")</f>
        <v>0</v>
      </c>
      <c r="C184" s="554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</f>
        <v>0</v>
      </c>
      <c r="D184" s="695">
        <f>COUNTIFS(РД[ИМ],A184,РД[Дата подачи на регистрацию],"&lt;="&amp;$A$1,РД[Дата подачи на регистрацию],"&gt;="&amp;DATE(YEAR($A$1),MONTH($A$1),1),РД[Источник рекламы],"Н -*")</f>
        <v>0</v>
      </c>
      <c r="E184" s="553"/>
      <c r="F184" s="554"/>
      <c r="G184" s="555"/>
      <c r="H184" s="516">
        <f>SUMIFS(РД[S],РД[ИМ],A184,РД[Дата подачи на регистрацию],"&lt;="&amp;$A$1,РД[Дата подачи на регистрацию],"&gt;="&amp;DATE(YEAR($A$1),MONTH($A$1),1),РД[Источник рекламы],"Н -*")/2</f>
        <v>0</v>
      </c>
      <c r="I184" s="517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-*")/2</f>
        <v>0</v>
      </c>
      <c r="J184" s="426">
        <f>COUNTIFS(РД[Тип кв],J$174,РД[ИМ],$A184,РД[Дата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K184" s="251">
        <f>COUNTIFS(РД[Тип кв],K$174,РД[ИМ],$A184,РД[Дата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L184" s="251">
        <f>COUNTIFS(РД[Тип кв],L$174,РД[ИМ],$A184,РД[Дата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M184" s="251">
        <f>COUNTIFS(РД[Тип кв],M$174,РД[ИМ],$A184,РД[Дата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254">
        <f>COUNTIFS(РД[Тип кв],T$170,РД[ИМ],$A184,РД[Дата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513" t="s">
        <v>114</v>
      </c>
      <c r="B185" s="282">
        <f>SUM(B183:B184)</f>
        <v>59.910000000000004</v>
      </c>
      <c r="C185" s="287">
        <f>SUM(C183:C184)</f>
        <v>7043240</v>
      </c>
      <c r="D185" s="711">
        <f>SUM(D183:D184)</f>
        <v>2</v>
      </c>
      <c r="E185" s="425">
        <f t="shared" ref="E185:M185" si="19">SUM(E183:E184)</f>
        <v>0</v>
      </c>
      <c r="F185" s="287">
        <f t="shared" si="19"/>
        <v>0</v>
      </c>
      <c r="G185" s="286">
        <f t="shared" si="19"/>
        <v>0</v>
      </c>
      <c r="H185" s="282">
        <f t="shared" si="19"/>
        <v>29.955000000000002</v>
      </c>
      <c r="I185" s="283">
        <f t="shared" si="19"/>
        <v>3521620</v>
      </c>
      <c r="J185" s="284">
        <f t="shared" si="19"/>
        <v>1</v>
      </c>
      <c r="K185" s="285">
        <f t="shared" si="19"/>
        <v>1</v>
      </c>
      <c r="L185" s="285">
        <f t="shared" si="19"/>
        <v>0</v>
      </c>
      <c r="M185" s="285">
        <f t="shared" si="19"/>
        <v>0</v>
      </c>
      <c r="N185" s="305">
        <f>SUM(T179:T180)</f>
        <v>0</v>
      </c>
      <c r="O185" s="339"/>
      <c r="P185" s="339"/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</row>
    <row r="223" spans="1:2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86"/>
      <c r="R223" s="65"/>
      <c r="S223" s="65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U309" s="66"/>
    </row>
    <row r="310" spans="17:21" s="65" customFormat="1">
      <c r="Q310" s="86"/>
      <c r="R310" s="66"/>
      <c r="S310" s="66"/>
      <c r="U310" s="66"/>
    </row>
    <row r="311" spans="17:21" s="65" customFormat="1">
      <c r="Q311" s="86"/>
      <c r="R311" s="66"/>
      <c r="S311" s="66"/>
      <c r="U311" s="66"/>
    </row>
    <row r="312" spans="17:21" s="65" customFormat="1">
      <c r="Q312" s="86"/>
      <c r="R312" s="66"/>
      <c r="S312" s="66"/>
      <c r="U312" s="66"/>
    </row>
    <row r="313" spans="17:21" s="65" customFormat="1">
      <c r="Q313" s="86"/>
      <c r="R313" s="66"/>
      <c r="S313" s="66"/>
      <c r="U313" s="66"/>
    </row>
  </sheetData>
  <sheetProtection algorithmName="SHA-512" hashValue="62Pd+WL+83BePFD9vV1USjSPbI+Om9Ex8qAFutGzc00zgsqzDKmXkSrgWGtC4qLTTJNtkT8U56+X2N+jNCd8Ng==" saltValue="3V/Zt6jgNY0yBpGEjk/CaQ==" spinCount="100000" sheet="1" formatCells="0" formatColumns="0" formatRows="0" sort="0" autoFilter="0" pivotTables="0"/>
  <mergeCells count="6">
    <mergeCell ref="A172:N172"/>
    <mergeCell ref="A1:U1"/>
    <mergeCell ref="A116:B116"/>
    <mergeCell ref="A130:B130"/>
    <mergeCell ref="A144:B144"/>
    <mergeCell ref="A158:O158"/>
  </mergeCells>
  <pageMargins left="0.25" right="0.25" top="0.75" bottom="0.75" header="0.3" footer="0.3"/>
  <pageSetup paperSize="9" scale="21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B00-000000000000}">
          <x14:formula1>
            <xm:f>Списки!$C$2:$C$27</xm:f>
          </x14:formula1>
          <xm:sqref>T24 J3:J110 S3:T23 S25:T110</xm:sqref>
        </x14:dataValidation>
        <x14:dataValidation type="list" allowBlank="1" showInputMessage="1" showErrorMessage="1" xr:uid="{00000000-0002-0000-2B00-000001000000}">
          <x14:formula1>
            <xm:f>Списки!$B$2:$B$5</xm:f>
          </x14:formula1>
          <xm:sqref>C3:C110 G113:G114</xm:sqref>
        </x14:dataValidation>
        <x14:dataValidation type="list" allowBlank="1" showInputMessage="1" showErrorMessage="1" xr:uid="{00000000-0002-0000-2B00-000002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2B00-000003000000}">
          <x14:formula1>
            <xm:f>Списки!$D$2:$D$7</xm:f>
          </x14:formula1>
          <xm:sqref>F113:F114 G3:G110</xm:sqref>
        </x14:dataValidation>
        <x14:dataValidation type="list" allowBlank="1" showInputMessage="1" showErrorMessage="1" xr:uid="{00000000-0002-0000-2B00-000004000000}">
          <x14:formula1>
            <xm:f>Списки!$E$2:$E$7</xm:f>
          </x14:formula1>
          <xm:sqref>H113:H114 K3:K110</xm:sqref>
        </x14:dataValidation>
        <x14:dataValidation type="list" allowBlank="1" showInputMessage="1" showErrorMessage="1" xr:uid="{00000000-0002-0000-2B00-000005000000}">
          <x14:formula1>
            <xm:f>Списки!$G$2:$G$3</xm:f>
          </x14:formula1>
          <xm:sqref>L113:L114 M3:M110</xm:sqref>
        </x14:dataValidation>
        <x14:dataValidation type="list" allowBlank="1" showInputMessage="1" showErrorMessage="1" xr:uid="{00000000-0002-0000-2B00-000006000000}">
          <x14:formula1>
            <xm:f>Списки!$F$2:$F$3</xm:f>
          </x14:formula1>
          <xm:sqref>N113:N114 O3:O4 O6:O69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  <pageSetUpPr fitToPage="1"/>
  </sheetPr>
  <dimension ref="B2:T61"/>
  <sheetViews>
    <sheetView workbookViewId="0">
      <selection activeCell="E20" sqref="E20"/>
    </sheetView>
  </sheetViews>
  <sheetFormatPr defaultColWidth="9" defaultRowHeight="15"/>
  <cols>
    <col min="2" max="2" width="11.7109375" customWidth="1"/>
    <col min="3" max="3" width="5.42578125" customWidth="1"/>
    <col min="4" max="4" width="20.7109375" customWidth="1"/>
    <col min="5" max="5" width="12.42578125" customWidth="1"/>
    <col min="6" max="6" width="17.42578125" customWidth="1"/>
    <col min="7" max="7" width="12.42578125" customWidth="1"/>
    <col min="8" max="8" width="17.42578125" customWidth="1"/>
    <col min="9" max="9" width="7.7109375" customWidth="1"/>
    <col min="10" max="10" width="20.28515625" customWidth="1"/>
    <col min="12" max="12" width="14.140625" customWidth="1"/>
    <col min="13" max="13" width="10.140625" customWidth="1"/>
    <col min="14" max="16" width="15.85546875" customWidth="1"/>
    <col min="17" max="17" width="8.85546875" customWidth="1"/>
    <col min="18" max="18" width="12.42578125" customWidth="1"/>
    <col min="19" max="19" width="17.140625" customWidth="1"/>
    <col min="20" max="20" width="14.85546875" customWidth="1"/>
  </cols>
  <sheetData>
    <row r="2" spans="2:20">
      <c r="B2" s="2398" t="s">
        <v>1920</v>
      </c>
      <c r="C2" s="2398"/>
      <c r="D2" s="2398"/>
      <c r="E2" s="2398"/>
      <c r="F2" s="2398"/>
      <c r="G2" s="2398"/>
      <c r="H2" s="2398"/>
      <c r="I2" s="2398"/>
      <c r="J2" s="2398"/>
      <c r="L2" s="739"/>
      <c r="M2" s="739"/>
      <c r="N2" s="739"/>
      <c r="O2" s="739"/>
      <c r="P2" s="739"/>
      <c r="Q2" s="739"/>
      <c r="R2" s="739"/>
      <c r="S2" s="739"/>
      <c r="T2" s="739"/>
    </row>
    <row r="3" spans="2:20" ht="15.75">
      <c r="B3" s="2397" t="s">
        <v>1921</v>
      </c>
      <c r="C3" s="2397"/>
      <c r="D3" s="2397"/>
      <c r="E3" s="2397"/>
      <c r="F3" s="2397"/>
      <c r="G3" s="2397"/>
      <c r="H3" s="2397"/>
      <c r="I3" s="2397"/>
      <c r="J3" s="2397"/>
      <c r="L3" s="740" t="s">
        <v>7</v>
      </c>
      <c r="M3" s="741"/>
      <c r="N3" s="739"/>
      <c r="O3" s="739"/>
      <c r="P3" s="739"/>
      <c r="Q3" s="739"/>
      <c r="R3" s="753"/>
      <c r="S3" s="753"/>
      <c r="T3" s="753"/>
    </row>
    <row r="4" spans="2:20" ht="15.75">
      <c r="B4" s="728" t="s">
        <v>1878</v>
      </c>
      <c r="C4" s="729" t="s">
        <v>1879</v>
      </c>
      <c r="D4" s="729" t="s">
        <v>1880</v>
      </c>
      <c r="E4" s="730" t="s">
        <v>1922</v>
      </c>
      <c r="F4" s="730" t="s">
        <v>1923</v>
      </c>
      <c r="G4" s="730" t="s">
        <v>1924</v>
      </c>
      <c r="H4" s="730" t="s">
        <v>1925</v>
      </c>
      <c r="I4" s="730" t="s">
        <v>1887</v>
      </c>
      <c r="J4" s="730" t="s">
        <v>1888</v>
      </c>
      <c r="L4" s="742" t="s">
        <v>1871</v>
      </c>
      <c r="M4" s="743" t="s">
        <v>1926</v>
      </c>
      <c r="N4" s="744" t="s">
        <v>1927</v>
      </c>
      <c r="O4" s="744" t="s">
        <v>1928</v>
      </c>
      <c r="P4" s="744" t="s">
        <v>1929</v>
      </c>
      <c r="Q4" s="754" t="s">
        <v>114</v>
      </c>
      <c r="R4" s="755" t="s">
        <v>1872</v>
      </c>
      <c r="S4" s="756" t="s">
        <v>1873</v>
      </c>
      <c r="T4" s="756" t="s">
        <v>1930</v>
      </c>
    </row>
    <row r="5" spans="2:20" ht="15.75">
      <c r="B5" s="731" t="s">
        <v>1867</v>
      </c>
      <c r="C5" s="732">
        <v>150</v>
      </c>
      <c r="D5" s="733">
        <f>C5/SUM($C$5:$C$9)</f>
        <v>0.25728987993138935</v>
      </c>
      <c r="E5" s="734">
        <f>ROUND($D5*VLOOKUP($B$2,'ИПП (2)'!$L$5:$T$17,7,0),0)</f>
        <v>150</v>
      </c>
      <c r="F5" s="734">
        <f>ROUND($D5*VLOOKUP($B$2,'ИПП (2)'!$L$5:$T$17,8,0),0)</f>
        <v>14377975</v>
      </c>
      <c r="G5" s="734">
        <f>ROUND($D5*VLOOKUP($B$2,'ИПП (2)'!$L$21:$T$33,7,0),0)</f>
        <v>190</v>
      </c>
      <c r="H5" s="734">
        <f>ROUND($D5*VLOOKUP($B$2,'ИПП (2)'!$L$21:$T$33,8,0),0)</f>
        <v>17860275</v>
      </c>
      <c r="I5" s="734">
        <f t="shared" ref="I5:J10" si="0">E5+G5</f>
        <v>340</v>
      </c>
      <c r="J5" s="734">
        <f t="shared" si="0"/>
        <v>32238250</v>
      </c>
      <c r="L5" s="745" t="s">
        <v>1920</v>
      </c>
      <c r="M5" s="746">
        <v>3</v>
      </c>
      <c r="N5" s="746">
        <v>4</v>
      </c>
      <c r="O5" s="746">
        <v>3</v>
      </c>
      <c r="P5" s="746">
        <v>2</v>
      </c>
      <c r="Q5" s="757">
        <v>12</v>
      </c>
      <c r="R5" s="758">
        <v>583</v>
      </c>
      <c r="S5" s="759">
        <v>55882395</v>
      </c>
      <c r="T5" s="760">
        <v>95871</v>
      </c>
    </row>
    <row r="6" spans="2:20" ht="15.75">
      <c r="B6" s="731" t="s">
        <v>8</v>
      </c>
      <c r="C6" s="732">
        <v>90</v>
      </c>
      <c r="D6" s="733">
        <f>C6/SUM($C$5:$C$9)</f>
        <v>0.15437392795883362</v>
      </c>
      <c r="E6" s="734">
        <f>ROUND($D6*VLOOKUP($B$2,'ИПП (2)'!$L$5:$T$17,7,0),0)</f>
        <v>90</v>
      </c>
      <c r="F6" s="734">
        <f>ROUND($D6*VLOOKUP($B$2,'ИПП (2)'!$L$5:$T$17,8,0),0)</f>
        <v>8626785</v>
      </c>
      <c r="G6" s="734">
        <f>ROUND($D6*VLOOKUP($B$2,'ИПП (2)'!$L$21:$T$33,7,0),0)</f>
        <v>114</v>
      </c>
      <c r="H6" s="734">
        <f>ROUND($D6*VLOOKUP($B$2,'ИПП (2)'!$L$21:$T$33,8,0),0)</f>
        <v>10716165</v>
      </c>
      <c r="I6" s="734">
        <f t="shared" si="0"/>
        <v>204</v>
      </c>
      <c r="J6" s="734">
        <f t="shared" si="0"/>
        <v>19342950</v>
      </c>
      <c r="L6" s="745" t="s">
        <v>1931</v>
      </c>
      <c r="M6" s="746">
        <v>5</v>
      </c>
      <c r="N6" s="746">
        <v>4</v>
      </c>
      <c r="O6" s="746">
        <v>3</v>
      </c>
      <c r="P6" s="746">
        <v>1</v>
      </c>
      <c r="Q6" s="757">
        <v>13</v>
      </c>
      <c r="R6" s="758">
        <v>566</v>
      </c>
      <c r="S6" s="759">
        <v>55567108</v>
      </c>
      <c r="T6" s="760">
        <v>98114</v>
      </c>
    </row>
    <row r="7" spans="2:20" ht="15.75">
      <c r="B7" s="731" t="s">
        <v>77</v>
      </c>
      <c r="C7" s="732">
        <v>0</v>
      </c>
      <c r="D7" s="733">
        <f>C7/SUM($C$5:$C$9)</f>
        <v>0</v>
      </c>
      <c r="E7" s="734">
        <f>ROUND($D7*VLOOKUP($B$2,'ИПП (2)'!$L$5:$T$17,7,0),0)</f>
        <v>0</v>
      </c>
      <c r="F7" s="734">
        <f>ROUND($D7*VLOOKUP($B$2,'ИПП (2)'!$L$5:$T$17,8,0),0)</f>
        <v>0</v>
      </c>
      <c r="G7" s="734">
        <f>ROUND($D7*VLOOKUP($B$2,'ИПП (2)'!$L$21:$T$33,7,0),0)</f>
        <v>0</v>
      </c>
      <c r="H7" s="734">
        <f>ROUND($D7*VLOOKUP($B$2,'ИПП (2)'!$L$21:$T$33,8,0),0)</f>
        <v>0</v>
      </c>
      <c r="I7" s="734">
        <f t="shared" si="0"/>
        <v>0</v>
      </c>
      <c r="J7" s="734">
        <f t="shared" si="0"/>
        <v>0</v>
      </c>
      <c r="L7" s="745" t="s">
        <v>1932</v>
      </c>
      <c r="M7" s="746">
        <v>2</v>
      </c>
      <c r="N7" s="746">
        <v>4</v>
      </c>
      <c r="O7" s="746">
        <v>5</v>
      </c>
      <c r="P7" s="746">
        <v>2</v>
      </c>
      <c r="Q7" s="757">
        <v>13</v>
      </c>
      <c r="R7" s="758">
        <v>684</v>
      </c>
      <c r="S7" s="759">
        <v>64010263</v>
      </c>
      <c r="T7" s="760">
        <v>93647</v>
      </c>
    </row>
    <row r="8" spans="2:20" ht="15.75">
      <c r="B8" s="731" t="s">
        <v>20</v>
      </c>
      <c r="C8" s="732">
        <v>130</v>
      </c>
      <c r="D8" s="733">
        <f>C8/SUM($C$5:$C$9)</f>
        <v>0.22298456260720412</v>
      </c>
      <c r="E8" s="734">
        <f>ROUND($D8*VLOOKUP($B$2,'ИПП (2)'!$L$5:$T$17,7,0),0)</f>
        <v>130</v>
      </c>
      <c r="F8" s="734">
        <f>ROUND($D8*VLOOKUP($B$2,'ИПП (2)'!$L$5:$T$17,8,0),0)</f>
        <v>12460911</v>
      </c>
      <c r="G8" s="734">
        <f>ROUND($D8*VLOOKUP($B$2,'ИПП (2)'!$L$21:$T$33,7,0),0)</f>
        <v>165</v>
      </c>
      <c r="H8" s="734">
        <f>ROUND($D8*VLOOKUP($B$2,'ИПП (2)'!$L$21:$T$33,8,0),0)</f>
        <v>15478905</v>
      </c>
      <c r="I8" s="734">
        <f t="shared" si="0"/>
        <v>295</v>
      </c>
      <c r="J8" s="734">
        <f t="shared" si="0"/>
        <v>27939816</v>
      </c>
      <c r="L8" s="747" t="s">
        <v>1933</v>
      </c>
      <c r="M8" s="748">
        <v>0</v>
      </c>
      <c r="N8" s="748">
        <v>0</v>
      </c>
      <c r="O8" s="748">
        <v>0</v>
      </c>
      <c r="P8" s="748">
        <v>0</v>
      </c>
      <c r="Q8" s="761">
        <v>0</v>
      </c>
      <c r="R8" s="762">
        <v>0</v>
      </c>
      <c r="S8" s="763">
        <v>0</v>
      </c>
      <c r="T8" s="761">
        <v>0</v>
      </c>
    </row>
    <row r="9" spans="2:20" ht="15.75">
      <c r="B9" s="731" t="s">
        <v>14</v>
      </c>
      <c r="C9" s="732">
        <v>213</v>
      </c>
      <c r="D9" s="733">
        <f>C9/SUM($C$5:$C$9)</f>
        <v>0.36535162950257288</v>
      </c>
      <c r="E9" s="734">
        <f>ROUND($D9*VLOOKUP($B$2,'ИПП (2)'!$L$5:$T$17,7,0),0)</f>
        <v>213</v>
      </c>
      <c r="F9" s="734">
        <f>ROUND($D9*VLOOKUP($B$2,'ИПП (2)'!$L$5:$T$17,8,0),0)</f>
        <v>20416724</v>
      </c>
      <c r="G9" s="734">
        <f>ROUND($D9*VLOOKUP($B$2,'ИПП (2)'!$L$21:$T$33,7,0),0)</f>
        <v>270</v>
      </c>
      <c r="H9" s="734">
        <f>ROUND($D9*VLOOKUP($B$2,'ИПП (2)'!$L$21:$T$33,8,0),0)</f>
        <v>25361590</v>
      </c>
      <c r="I9" s="734">
        <f t="shared" si="0"/>
        <v>483</v>
      </c>
      <c r="J9" s="734">
        <f t="shared" si="0"/>
        <v>45778314</v>
      </c>
      <c r="L9" s="745" t="s">
        <v>1934</v>
      </c>
      <c r="M9" s="746">
        <v>0</v>
      </c>
      <c r="N9" s="746">
        <v>0</v>
      </c>
      <c r="O9" s="746">
        <v>4</v>
      </c>
      <c r="P9" s="746">
        <v>1</v>
      </c>
      <c r="Q9" s="757">
        <v>5</v>
      </c>
      <c r="R9" s="758">
        <v>332</v>
      </c>
      <c r="S9" s="759">
        <v>28001008</v>
      </c>
      <c r="T9" s="760">
        <v>84417</v>
      </c>
    </row>
    <row r="10" spans="2:20">
      <c r="B10" s="729" t="s">
        <v>114</v>
      </c>
      <c r="C10" s="735">
        <f t="shared" ref="C10:H10" si="1">SUM(C5:C9)</f>
        <v>583</v>
      </c>
      <c r="D10" s="736">
        <f t="shared" si="1"/>
        <v>1</v>
      </c>
      <c r="E10" s="735">
        <f t="shared" si="1"/>
        <v>583</v>
      </c>
      <c r="F10" s="735">
        <f t="shared" si="1"/>
        <v>55882395</v>
      </c>
      <c r="G10" s="735">
        <f t="shared" si="1"/>
        <v>739</v>
      </c>
      <c r="H10" s="735">
        <f t="shared" si="1"/>
        <v>69416935</v>
      </c>
      <c r="I10" s="735">
        <f t="shared" si="0"/>
        <v>1322</v>
      </c>
      <c r="J10" s="735">
        <f t="shared" si="0"/>
        <v>125299330</v>
      </c>
      <c r="L10" s="745" t="s">
        <v>1935</v>
      </c>
      <c r="M10" s="746">
        <v>0</v>
      </c>
      <c r="N10" s="746">
        <v>1</v>
      </c>
      <c r="O10" s="746">
        <v>2</v>
      </c>
      <c r="P10" s="746">
        <v>1</v>
      </c>
      <c r="Q10" s="757">
        <v>4</v>
      </c>
      <c r="R10" s="758">
        <v>242</v>
      </c>
      <c r="S10" s="759">
        <v>21065861</v>
      </c>
      <c r="T10" s="760">
        <v>87120</v>
      </c>
    </row>
    <row r="11" spans="2:20" ht="15.75">
      <c r="B11" s="2397" t="s">
        <v>1936</v>
      </c>
      <c r="C11" s="2397"/>
      <c r="D11" s="2397"/>
      <c r="E11" s="2397"/>
      <c r="F11" s="2397"/>
      <c r="G11" s="2397"/>
      <c r="H11" s="2397"/>
      <c r="I11" s="2397"/>
      <c r="J11" s="2397"/>
      <c r="L11" s="745" t="s">
        <v>1937</v>
      </c>
      <c r="M11" s="746">
        <v>0</v>
      </c>
      <c r="N11" s="746">
        <v>1</v>
      </c>
      <c r="O11" s="746">
        <v>3</v>
      </c>
      <c r="P11" s="746">
        <v>0</v>
      </c>
      <c r="Q11" s="757">
        <v>4</v>
      </c>
      <c r="R11" s="758">
        <v>233</v>
      </c>
      <c r="S11" s="759">
        <v>20117426</v>
      </c>
      <c r="T11" s="760">
        <v>86389</v>
      </c>
    </row>
    <row r="12" spans="2:20" ht="15.75">
      <c r="B12" s="728" t="s">
        <v>1878</v>
      </c>
      <c r="C12" s="729" t="s">
        <v>1879</v>
      </c>
      <c r="D12" s="729" t="s">
        <v>1880</v>
      </c>
      <c r="E12" s="730" t="s">
        <v>1922</v>
      </c>
      <c r="F12" s="730" t="s">
        <v>1923</v>
      </c>
      <c r="G12" s="730" t="s">
        <v>1924</v>
      </c>
      <c r="H12" s="730" t="s">
        <v>1925</v>
      </c>
      <c r="I12" s="730" t="s">
        <v>1887</v>
      </c>
      <c r="J12" s="730" t="s">
        <v>1888</v>
      </c>
      <c r="L12" s="745" t="s">
        <v>1938</v>
      </c>
      <c r="M12" s="746">
        <v>0</v>
      </c>
      <c r="N12" s="746">
        <v>0</v>
      </c>
      <c r="O12" s="746">
        <v>3</v>
      </c>
      <c r="P12" s="746">
        <v>1</v>
      </c>
      <c r="Q12" s="757">
        <v>4</v>
      </c>
      <c r="R12" s="758">
        <v>267</v>
      </c>
      <c r="S12" s="759">
        <v>22590494</v>
      </c>
      <c r="T12" s="760">
        <v>84562</v>
      </c>
    </row>
    <row r="13" spans="2:20" ht="15.75">
      <c r="B13" s="731" t="s">
        <v>22</v>
      </c>
      <c r="C13" s="732">
        <v>85</v>
      </c>
      <c r="D13" s="737">
        <f>C13/SUM($C$13:$C$14)</f>
        <v>0.5</v>
      </c>
      <c r="E13" s="734">
        <f>$D13*($E$10*85%)</f>
        <v>247.77500000000001</v>
      </c>
      <c r="F13" s="734">
        <f>$D13*($F$10*85%)</f>
        <v>23750017.875</v>
      </c>
      <c r="G13" s="734">
        <f>$D13*($G$10*85%)</f>
        <v>314.07499999999999</v>
      </c>
      <c r="H13" s="734">
        <f>$D13*($H$10*85%)</f>
        <v>29502197.375</v>
      </c>
      <c r="I13" s="734">
        <f>E13+G13</f>
        <v>561.85</v>
      </c>
      <c r="J13" s="734">
        <f>F13+H13</f>
        <v>53252215.25</v>
      </c>
      <c r="L13" s="745" t="s">
        <v>1939</v>
      </c>
      <c r="M13" s="746">
        <v>0</v>
      </c>
      <c r="N13" s="746">
        <v>0</v>
      </c>
      <c r="O13" s="746">
        <v>4</v>
      </c>
      <c r="P13" s="746">
        <v>0</v>
      </c>
      <c r="Q13" s="757">
        <v>4</v>
      </c>
      <c r="R13" s="758">
        <v>258</v>
      </c>
      <c r="S13" s="759">
        <v>21642059</v>
      </c>
      <c r="T13" s="760">
        <v>83814</v>
      </c>
    </row>
    <row r="14" spans="2:20" ht="15.75">
      <c r="B14" s="731" t="s">
        <v>16</v>
      </c>
      <c r="C14" s="732">
        <v>85</v>
      </c>
      <c r="D14" s="737">
        <f>C14/SUM($C$13:$C$14)</f>
        <v>0.5</v>
      </c>
      <c r="E14" s="734">
        <f>$D14*($E$10*85%)</f>
        <v>247.77500000000001</v>
      </c>
      <c r="F14" s="734">
        <f>$D14*($F$10*85%)</f>
        <v>23750017.875</v>
      </c>
      <c r="G14" s="734">
        <f>$D14*($G$10*85%)</f>
        <v>314.07499999999999</v>
      </c>
      <c r="H14" s="734">
        <f>$D14*($H$10*85%)</f>
        <v>29502197.375</v>
      </c>
      <c r="I14" s="734">
        <f>E14+G14</f>
        <v>561.85</v>
      </c>
      <c r="J14" s="734">
        <f>F14+H14</f>
        <v>53252215.25</v>
      </c>
      <c r="L14" s="745" t="s">
        <v>1940</v>
      </c>
      <c r="M14" s="746">
        <v>0</v>
      </c>
      <c r="N14" s="746">
        <v>0</v>
      </c>
      <c r="O14" s="746">
        <v>4</v>
      </c>
      <c r="P14" s="746">
        <v>1</v>
      </c>
      <c r="Q14" s="757">
        <v>5</v>
      </c>
      <c r="R14" s="758">
        <v>332</v>
      </c>
      <c r="S14" s="759">
        <v>28001008</v>
      </c>
      <c r="T14" s="760">
        <v>84417</v>
      </c>
    </row>
    <row r="15" spans="2:20">
      <c r="B15" s="729" t="s">
        <v>114</v>
      </c>
      <c r="C15" s="735">
        <f t="shared" ref="C15:H15" si="2">SUM(C13:C14)</f>
        <v>170</v>
      </c>
      <c r="D15" s="736">
        <f t="shared" si="2"/>
        <v>1</v>
      </c>
      <c r="E15" s="735">
        <f t="shared" si="2"/>
        <v>495.55</v>
      </c>
      <c r="F15" s="735">
        <f t="shared" si="2"/>
        <v>47500035.75</v>
      </c>
      <c r="G15" s="735">
        <f t="shared" si="2"/>
        <v>628.15</v>
      </c>
      <c r="H15" s="735">
        <f t="shared" si="2"/>
        <v>59004394.75</v>
      </c>
      <c r="I15" s="735">
        <f t="shared" ref="I15:J15" si="3">E15+G15</f>
        <v>1123.7</v>
      </c>
      <c r="J15" s="735">
        <f t="shared" si="3"/>
        <v>106504430.5</v>
      </c>
      <c r="L15" s="745" t="s">
        <v>1941</v>
      </c>
      <c r="M15" s="746">
        <v>0</v>
      </c>
      <c r="N15" s="746">
        <v>0</v>
      </c>
      <c r="O15" s="746">
        <v>5</v>
      </c>
      <c r="P15" s="746">
        <v>0</v>
      </c>
      <c r="Q15" s="757">
        <v>5</v>
      </c>
      <c r="R15" s="758">
        <v>323</v>
      </c>
      <c r="S15" s="759">
        <v>27052574</v>
      </c>
      <c r="T15" s="760">
        <v>83814</v>
      </c>
    </row>
    <row r="16" spans="2:20">
      <c r="L16" s="745" t="s">
        <v>1942</v>
      </c>
      <c r="M16" s="746">
        <v>0</v>
      </c>
      <c r="N16" s="746">
        <v>0</v>
      </c>
      <c r="O16" s="746">
        <v>4</v>
      </c>
      <c r="P16" s="746">
        <v>0</v>
      </c>
      <c r="Q16" s="757">
        <v>4</v>
      </c>
      <c r="R16" s="758">
        <v>258</v>
      </c>
      <c r="S16" s="759">
        <v>21642059</v>
      </c>
      <c r="T16" s="760">
        <v>83814</v>
      </c>
    </row>
    <row r="17" spans="2:20">
      <c r="B17" s="2398" t="s">
        <v>1931</v>
      </c>
      <c r="C17" s="2398"/>
      <c r="D17" s="2398"/>
      <c r="E17" s="2398"/>
      <c r="F17" s="2398"/>
      <c r="G17" s="2398"/>
      <c r="H17" s="2398"/>
      <c r="I17" s="2398"/>
      <c r="J17" s="2398"/>
      <c r="L17" s="749" t="s">
        <v>1896</v>
      </c>
      <c r="M17" s="750">
        <v>10</v>
      </c>
      <c r="N17" s="750">
        <v>14</v>
      </c>
      <c r="O17" s="750">
        <v>40</v>
      </c>
      <c r="P17" s="750">
        <v>9</v>
      </c>
      <c r="Q17" s="750">
        <v>73</v>
      </c>
      <c r="R17" s="764">
        <v>4077</v>
      </c>
      <c r="S17" s="764">
        <v>365572255</v>
      </c>
      <c r="T17" s="765">
        <v>89663</v>
      </c>
    </row>
    <row r="18" spans="2:20" ht="15.75">
      <c r="B18" s="2397" t="s">
        <v>1921</v>
      </c>
      <c r="C18" s="2397"/>
      <c r="D18" s="2397"/>
      <c r="E18" s="2397"/>
      <c r="F18" s="2397"/>
      <c r="G18" s="2397"/>
      <c r="H18" s="2397"/>
      <c r="I18" s="2397"/>
      <c r="J18" s="2397"/>
      <c r="L18" s="739"/>
      <c r="M18" s="739"/>
      <c r="N18" s="739"/>
      <c r="O18" s="739"/>
      <c r="P18" s="739"/>
      <c r="Q18" s="739"/>
      <c r="R18" s="739"/>
      <c r="S18" s="739"/>
      <c r="T18" s="739"/>
    </row>
    <row r="19" spans="2:20" ht="15.75">
      <c r="B19" s="728" t="s">
        <v>1878</v>
      </c>
      <c r="C19" s="729" t="s">
        <v>1879</v>
      </c>
      <c r="D19" s="729" t="s">
        <v>1880</v>
      </c>
      <c r="E19" s="730" t="s">
        <v>1922</v>
      </c>
      <c r="F19" s="730" t="s">
        <v>1923</v>
      </c>
      <c r="G19" s="730" t="s">
        <v>1924</v>
      </c>
      <c r="H19" s="730" t="s">
        <v>1925</v>
      </c>
      <c r="I19" s="730" t="s">
        <v>1887</v>
      </c>
      <c r="J19" s="730" t="s">
        <v>1888</v>
      </c>
      <c r="L19" s="740" t="s">
        <v>13</v>
      </c>
      <c r="M19" s="741">
        <v>45104</v>
      </c>
      <c r="R19" s="766"/>
      <c r="S19" s="766"/>
      <c r="T19" s="766"/>
    </row>
    <row r="20" spans="2:20" ht="15.75">
      <c r="B20" s="731" t="s">
        <v>1867</v>
      </c>
      <c r="C20" s="732">
        <v>60</v>
      </c>
      <c r="D20" s="733">
        <f>C20/SUM($C$20:$C$24)</f>
        <v>0.10416666666666667</v>
      </c>
      <c r="E20" s="734">
        <f>ROUND($D20*VLOOKUP($B$17,'ИПП (2)'!$L$5:$T$17,7,0),0)</f>
        <v>59</v>
      </c>
      <c r="F20" s="734">
        <f>ROUND($D20*VLOOKUP($B$17,'ИПП (2)'!$L$5:$T$17,8,0),0)</f>
        <v>5788240</v>
      </c>
      <c r="G20" s="734">
        <f>ROUND($D20*VLOOKUP($B$17,'ИПП (2)'!$L$21:$T$33,7,0),0)</f>
        <v>102</v>
      </c>
      <c r="H20" s="734">
        <f>ROUND($D20*VLOOKUP($B$17,'ИПП (2)'!$L$21:$T$33,8,0),0)</f>
        <v>9578510</v>
      </c>
      <c r="I20" s="734">
        <f t="shared" ref="I20:J25" si="4">E20+G20</f>
        <v>161</v>
      </c>
      <c r="J20" s="734">
        <f t="shared" si="4"/>
        <v>15366750</v>
      </c>
      <c r="L20" s="742" t="s">
        <v>1871</v>
      </c>
      <c r="M20" s="743">
        <v>0</v>
      </c>
      <c r="N20" s="744">
        <v>1</v>
      </c>
      <c r="O20" s="744">
        <v>2</v>
      </c>
      <c r="P20" s="744">
        <v>3</v>
      </c>
      <c r="Q20" s="754" t="s">
        <v>114</v>
      </c>
      <c r="R20" s="755" t="s">
        <v>1872</v>
      </c>
      <c r="S20" s="756" t="s">
        <v>1873</v>
      </c>
      <c r="T20" s="756" t="s">
        <v>1930</v>
      </c>
    </row>
    <row r="21" spans="2:20" ht="15.75">
      <c r="B21" s="731" t="s">
        <v>8</v>
      </c>
      <c r="C21" s="732">
        <v>168</v>
      </c>
      <c r="D21" s="733">
        <f t="shared" ref="D21:D24" si="5">C21/SUM($C$20:$C$24)</f>
        <v>0.29166666666666669</v>
      </c>
      <c r="E21" s="734">
        <f>ROUND($D21*VLOOKUP($B$17,'ИПП (2)'!$L$5:$T$17,7,0),0)</f>
        <v>165</v>
      </c>
      <c r="F21" s="734">
        <f>ROUND($D21*VLOOKUP($B$17,'ИПП (2)'!$L$5:$T$17,8,0),0)</f>
        <v>16207073</v>
      </c>
      <c r="G21" s="734">
        <f>ROUND($D21*VLOOKUP($B$17,'ИПП (2)'!$L$21:$T$33,7,0),0)</f>
        <v>285</v>
      </c>
      <c r="H21" s="734">
        <f>ROUND($D21*VLOOKUP($B$17,'ИПП (2)'!$L$21:$T$33,8,0),0)</f>
        <v>26819829</v>
      </c>
      <c r="I21" s="734">
        <f t="shared" si="4"/>
        <v>450</v>
      </c>
      <c r="J21" s="734">
        <f t="shared" si="4"/>
        <v>43026902</v>
      </c>
      <c r="L21" s="745" t="s">
        <v>1920</v>
      </c>
      <c r="M21" s="751">
        <v>3</v>
      </c>
      <c r="N21" s="751">
        <v>7</v>
      </c>
      <c r="O21" s="751">
        <v>5</v>
      </c>
      <c r="P21" s="751">
        <v>1</v>
      </c>
      <c r="Q21" s="751">
        <v>16</v>
      </c>
      <c r="R21" s="767">
        <v>739</v>
      </c>
      <c r="S21" s="768">
        <v>69416934</v>
      </c>
      <c r="T21" s="760">
        <v>93995</v>
      </c>
    </row>
    <row r="22" spans="2:20" ht="15.75">
      <c r="B22" s="731" t="s">
        <v>77</v>
      </c>
      <c r="C22" s="732">
        <v>0</v>
      </c>
      <c r="D22" s="733">
        <f t="shared" si="5"/>
        <v>0</v>
      </c>
      <c r="E22" s="734">
        <f>ROUND($D22*VLOOKUP($B$17,'ИПП (2)'!$L$5:$T$17,7,0),0)</f>
        <v>0</v>
      </c>
      <c r="F22" s="734">
        <f>ROUND($D22*VLOOKUP($B$17,'ИПП (2)'!$L$5:$T$17,8,0),0)</f>
        <v>0</v>
      </c>
      <c r="G22" s="734">
        <f>ROUND($D22*VLOOKUP($B$17,'ИПП (2)'!$L$21:$T$33,7,0),0)</f>
        <v>0</v>
      </c>
      <c r="H22" s="734">
        <f>ROUND($D22*VLOOKUP($B$17,'ИПП (2)'!$L$21:$T$33,8,0),0)</f>
        <v>0</v>
      </c>
      <c r="I22" s="734">
        <f t="shared" si="4"/>
        <v>0</v>
      </c>
      <c r="J22" s="734">
        <f t="shared" si="4"/>
        <v>0</v>
      </c>
      <c r="L22" s="745" t="s">
        <v>1931</v>
      </c>
      <c r="M22" s="751">
        <v>3</v>
      </c>
      <c r="N22" s="751">
        <v>10</v>
      </c>
      <c r="O22" s="751">
        <v>7</v>
      </c>
      <c r="P22" s="751">
        <v>1</v>
      </c>
      <c r="Q22" s="751">
        <v>21</v>
      </c>
      <c r="R22" s="767">
        <v>978</v>
      </c>
      <c r="S22" s="768">
        <v>91953699</v>
      </c>
      <c r="T22" s="760">
        <v>94007</v>
      </c>
    </row>
    <row r="23" spans="2:20" ht="15.75">
      <c r="B23" s="731" t="s">
        <v>20</v>
      </c>
      <c r="C23" s="732">
        <v>168</v>
      </c>
      <c r="D23" s="733">
        <f t="shared" si="5"/>
        <v>0.29166666666666669</v>
      </c>
      <c r="E23" s="734">
        <f>ROUND($D23*VLOOKUP($B$17,'ИПП (2)'!$L$5:$T$17,7,0),0)</f>
        <v>165</v>
      </c>
      <c r="F23" s="734">
        <f>ROUND($D23*VLOOKUP($B$17,'ИПП (2)'!$L$5:$T$17,8,0),0)</f>
        <v>16207073</v>
      </c>
      <c r="G23" s="734">
        <f>ROUND($D23*VLOOKUP($B$17,'ИПП (2)'!$L$21:$T$33,7,0),0)</f>
        <v>285</v>
      </c>
      <c r="H23" s="734">
        <f>ROUND($D23*VLOOKUP($B$17,'ИПП (2)'!$L$21:$T$33,8,0),0)</f>
        <v>26819829</v>
      </c>
      <c r="I23" s="734">
        <f t="shared" si="4"/>
        <v>450</v>
      </c>
      <c r="J23" s="734">
        <f t="shared" si="4"/>
        <v>43026902</v>
      </c>
      <c r="L23" s="745" t="s">
        <v>1932</v>
      </c>
      <c r="M23" s="751">
        <v>5</v>
      </c>
      <c r="N23" s="751">
        <v>10</v>
      </c>
      <c r="O23" s="751">
        <v>9</v>
      </c>
      <c r="P23" s="751">
        <v>2</v>
      </c>
      <c r="Q23" s="751">
        <v>26</v>
      </c>
      <c r="R23" s="769">
        <v>1234</v>
      </c>
      <c r="S23" s="768">
        <v>118652812</v>
      </c>
      <c r="T23" s="760">
        <v>96158</v>
      </c>
    </row>
    <row r="24" spans="2:20" ht="15.75">
      <c r="B24" s="731" t="s">
        <v>14</v>
      </c>
      <c r="C24" s="732">
        <v>180</v>
      </c>
      <c r="D24" s="733">
        <f t="shared" si="5"/>
        <v>0.3125</v>
      </c>
      <c r="E24" s="734">
        <f>ROUND($D24*VLOOKUP($B$17,'ИПП (2)'!$L$5:$T$17,7,0),0)</f>
        <v>177</v>
      </c>
      <c r="F24" s="734">
        <f>ROUND($D24*VLOOKUP($B$17,'ИПП (2)'!$L$5:$T$17,8,0),0)</f>
        <v>17364721</v>
      </c>
      <c r="G24" s="734">
        <f>ROUND($D24*VLOOKUP($B$17,'ИПП (2)'!$L$21:$T$33,7,0),0)</f>
        <v>306</v>
      </c>
      <c r="H24" s="734">
        <f>ROUND($D24*VLOOKUP($B$17,'ИПП (2)'!$L$21:$T$33,8,0),0)</f>
        <v>28735531</v>
      </c>
      <c r="I24" s="734">
        <f t="shared" si="4"/>
        <v>483</v>
      </c>
      <c r="J24" s="734">
        <f t="shared" si="4"/>
        <v>46100252</v>
      </c>
      <c r="L24" s="745" t="s">
        <v>1933</v>
      </c>
      <c r="M24" s="751">
        <v>5</v>
      </c>
      <c r="N24" s="751">
        <v>11</v>
      </c>
      <c r="O24" s="751">
        <v>10</v>
      </c>
      <c r="P24" s="751">
        <v>4</v>
      </c>
      <c r="Q24" s="751">
        <v>30</v>
      </c>
      <c r="R24" s="769">
        <v>1497</v>
      </c>
      <c r="S24" s="768">
        <v>144861513</v>
      </c>
      <c r="T24" s="760">
        <v>96759</v>
      </c>
    </row>
    <row r="25" spans="2:20">
      <c r="B25" s="729" t="s">
        <v>114</v>
      </c>
      <c r="C25" s="735">
        <f t="shared" ref="C25:H25" si="6">SUM(C20:C24)</f>
        <v>576</v>
      </c>
      <c r="D25" s="736">
        <f t="shared" si="6"/>
        <v>1</v>
      </c>
      <c r="E25" s="735">
        <f t="shared" si="6"/>
        <v>566</v>
      </c>
      <c r="F25" s="735">
        <f t="shared" si="6"/>
        <v>55567107</v>
      </c>
      <c r="G25" s="735">
        <f t="shared" si="6"/>
        <v>978</v>
      </c>
      <c r="H25" s="735">
        <f t="shared" si="6"/>
        <v>91953699</v>
      </c>
      <c r="I25" s="735">
        <f t="shared" si="4"/>
        <v>1544</v>
      </c>
      <c r="J25" s="735">
        <f t="shared" si="4"/>
        <v>147520806</v>
      </c>
      <c r="L25" s="745" t="s">
        <v>1934</v>
      </c>
      <c r="M25" s="751">
        <v>5</v>
      </c>
      <c r="N25" s="751">
        <v>11</v>
      </c>
      <c r="O25" s="751">
        <v>10</v>
      </c>
      <c r="P25" s="751">
        <v>4</v>
      </c>
      <c r="Q25" s="751">
        <v>30</v>
      </c>
      <c r="R25" s="769">
        <v>1497</v>
      </c>
      <c r="S25" s="768">
        <v>146876977</v>
      </c>
      <c r="T25" s="760">
        <v>98105</v>
      </c>
    </row>
    <row r="26" spans="2:20" ht="15.75">
      <c r="B26" s="2397" t="s">
        <v>1936</v>
      </c>
      <c r="C26" s="2397"/>
      <c r="D26" s="2397"/>
      <c r="E26" s="2397"/>
      <c r="F26" s="2397"/>
      <c r="G26" s="2397"/>
      <c r="H26" s="2397"/>
      <c r="I26" s="2397"/>
      <c r="J26" s="2397"/>
      <c r="L26" s="745" t="s">
        <v>1935</v>
      </c>
      <c r="M26" s="751">
        <v>4</v>
      </c>
      <c r="N26" s="751">
        <v>9</v>
      </c>
      <c r="O26" s="751">
        <v>8</v>
      </c>
      <c r="P26" s="751">
        <v>3</v>
      </c>
      <c r="Q26" s="751">
        <v>24</v>
      </c>
      <c r="R26" s="769">
        <v>1189</v>
      </c>
      <c r="S26" s="768">
        <v>118510999</v>
      </c>
      <c r="T26" s="760">
        <v>99654</v>
      </c>
    </row>
    <row r="27" spans="2:20" ht="15.75">
      <c r="B27" s="728" t="s">
        <v>1878</v>
      </c>
      <c r="C27" s="729" t="s">
        <v>1879</v>
      </c>
      <c r="D27" s="729" t="s">
        <v>1880</v>
      </c>
      <c r="E27" s="730" t="s">
        <v>1922</v>
      </c>
      <c r="F27" s="730" t="s">
        <v>1923</v>
      </c>
      <c r="G27" s="730" t="s">
        <v>1924</v>
      </c>
      <c r="H27" s="730" t="s">
        <v>1925</v>
      </c>
      <c r="I27" s="730" t="s">
        <v>1887</v>
      </c>
      <c r="J27" s="730" t="s">
        <v>1888</v>
      </c>
      <c r="L27" s="745" t="s">
        <v>1937</v>
      </c>
      <c r="M27" s="751">
        <v>4</v>
      </c>
      <c r="N27" s="751">
        <v>9</v>
      </c>
      <c r="O27" s="751">
        <v>8</v>
      </c>
      <c r="P27" s="751">
        <v>3</v>
      </c>
      <c r="Q27" s="751">
        <v>24</v>
      </c>
      <c r="R27" s="769">
        <v>1189</v>
      </c>
      <c r="S27" s="768">
        <v>119625452</v>
      </c>
      <c r="T27" s="760">
        <v>100592</v>
      </c>
    </row>
    <row r="28" spans="2:20" ht="15.75">
      <c r="B28" s="731" t="s">
        <v>22</v>
      </c>
      <c r="C28" s="732">
        <v>168</v>
      </c>
      <c r="D28" s="737">
        <f>C28/SUM($C$28:$C$29)</f>
        <v>0.48275862068965519</v>
      </c>
      <c r="E28" s="734">
        <f>$D28*($E$10*85%)</f>
        <v>239.23103448275864</v>
      </c>
      <c r="F28" s="734">
        <f>$D28*($F$10*85%)</f>
        <v>22931051.741379313</v>
      </c>
      <c r="G28" s="734">
        <f>$D28*($G$10*85%)</f>
        <v>303.2448275862069</v>
      </c>
      <c r="H28" s="734">
        <f>$D28*($H$10*85%)</f>
        <v>28484880.224137932</v>
      </c>
      <c r="I28" s="734">
        <f>E28+G28</f>
        <v>542.47586206896551</v>
      </c>
      <c r="J28" s="734">
        <f>F28+H28</f>
        <v>51415931.965517245</v>
      </c>
      <c r="L28" s="745" t="s">
        <v>1938</v>
      </c>
      <c r="M28" s="751">
        <v>4</v>
      </c>
      <c r="N28" s="751">
        <v>9</v>
      </c>
      <c r="O28" s="751">
        <v>8</v>
      </c>
      <c r="P28" s="751">
        <v>3</v>
      </c>
      <c r="Q28" s="751">
        <v>24</v>
      </c>
      <c r="R28" s="769">
        <v>1189</v>
      </c>
      <c r="S28" s="768">
        <v>120739906</v>
      </c>
      <c r="T28" s="760">
        <v>101529</v>
      </c>
    </row>
    <row r="29" spans="2:20" ht="15.75">
      <c r="B29" s="731" t="s">
        <v>16</v>
      </c>
      <c r="C29" s="732">
        <v>180</v>
      </c>
      <c r="D29" s="737">
        <f>C29/SUM($C$28:$C$29)</f>
        <v>0.51724137931034486</v>
      </c>
      <c r="E29" s="734">
        <f>$D29*($E$10*85%)</f>
        <v>256.31896551724139</v>
      </c>
      <c r="F29" s="734">
        <f>$D29*($F$10*85%)</f>
        <v>24568984.008620691</v>
      </c>
      <c r="G29" s="734">
        <f>$D29*($G$10*85%)</f>
        <v>324.90517241379314</v>
      </c>
      <c r="H29" s="734">
        <f>$D29*($H$10*85%)</f>
        <v>30519514.525862072</v>
      </c>
      <c r="I29" s="734">
        <f>E29+G29</f>
        <v>581.22413793103453</v>
      </c>
      <c r="J29" s="734">
        <f>F29+H29</f>
        <v>55088498.534482762</v>
      </c>
      <c r="L29" s="745" t="s">
        <v>1939</v>
      </c>
      <c r="M29" s="751">
        <v>5</v>
      </c>
      <c r="N29" s="751">
        <v>11</v>
      </c>
      <c r="O29" s="751">
        <v>10</v>
      </c>
      <c r="P29" s="751">
        <v>4</v>
      </c>
      <c r="Q29" s="751">
        <v>30</v>
      </c>
      <c r="R29" s="769">
        <v>1497</v>
      </c>
      <c r="S29" s="768">
        <v>154434969</v>
      </c>
      <c r="T29" s="760">
        <v>103153</v>
      </c>
    </row>
    <row r="30" spans="2:20">
      <c r="B30" s="729" t="s">
        <v>114</v>
      </c>
      <c r="C30" s="735">
        <f t="shared" ref="C30:H30" si="7">SUM(C28:C29)</f>
        <v>348</v>
      </c>
      <c r="D30" s="736">
        <f t="shared" si="7"/>
        <v>1</v>
      </c>
      <c r="E30" s="735">
        <f t="shared" si="7"/>
        <v>495.55000000000007</v>
      </c>
      <c r="F30" s="735">
        <f t="shared" si="7"/>
        <v>47500035.75</v>
      </c>
      <c r="G30" s="735">
        <f t="shared" si="7"/>
        <v>628.15000000000009</v>
      </c>
      <c r="H30" s="735">
        <f t="shared" si="7"/>
        <v>59004394.75</v>
      </c>
      <c r="I30" s="735">
        <f t="shared" ref="I30:J30" si="8">E30+G30</f>
        <v>1123.7000000000003</v>
      </c>
      <c r="J30" s="735">
        <f t="shared" si="8"/>
        <v>106504430.5</v>
      </c>
      <c r="L30" s="745" t="s">
        <v>1940</v>
      </c>
      <c r="M30" s="751">
        <v>5</v>
      </c>
      <c r="N30" s="751">
        <v>12</v>
      </c>
      <c r="O30" s="751">
        <v>10</v>
      </c>
      <c r="P30" s="751">
        <v>4</v>
      </c>
      <c r="Q30" s="751">
        <v>31</v>
      </c>
      <c r="R30" s="769">
        <v>1536</v>
      </c>
      <c r="S30" s="768">
        <v>160351631</v>
      </c>
      <c r="T30" s="760">
        <v>104387</v>
      </c>
    </row>
    <row r="31" spans="2:20">
      <c r="L31" s="745" t="s">
        <v>1941</v>
      </c>
      <c r="M31" s="751">
        <v>5</v>
      </c>
      <c r="N31" s="751">
        <v>12</v>
      </c>
      <c r="O31" s="751">
        <v>10</v>
      </c>
      <c r="P31" s="751">
        <v>4</v>
      </c>
      <c r="Q31" s="751">
        <v>31</v>
      </c>
      <c r="R31" s="769">
        <v>1536</v>
      </c>
      <c r="S31" s="768">
        <v>161791829</v>
      </c>
      <c r="T31" s="760">
        <v>105325</v>
      </c>
    </row>
    <row r="32" spans="2:20">
      <c r="B32" s="2398" t="s">
        <v>1932</v>
      </c>
      <c r="C32" s="2398"/>
      <c r="D32" s="2398"/>
      <c r="E32" s="2398"/>
      <c r="F32" s="2398"/>
      <c r="G32" s="2398"/>
      <c r="H32" s="2398"/>
      <c r="I32" s="2398"/>
      <c r="J32" s="2398"/>
      <c r="L32" s="745" t="s">
        <v>1942</v>
      </c>
      <c r="M32" s="751">
        <v>5</v>
      </c>
      <c r="N32" s="751">
        <v>11</v>
      </c>
      <c r="O32" s="751">
        <v>10</v>
      </c>
      <c r="P32" s="751">
        <v>4</v>
      </c>
      <c r="Q32" s="751">
        <v>30</v>
      </c>
      <c r="R32" s="769">
        <v>1497</v>
      </c>
      <c r="S32" s="768">
        <v>158633854</v>
      </c>
      <c r="T32" s="760">
        <v>105958</v>
      </c>
    </row>
    <row r="33" spans="2:20" ht="15.75">
      <c r="B33" s="2397" t="s">
        <v>1921</v>
      </c>
      <c r="C33" s="2397"/>
      <c r="D33" s="2397"/>
      <c r="E33" s="2397"/>
      <c r="F33" s="2397"/>
      <c r="G33" s="2397"/>
      <c r="H33" s="2397"/>
      <c r="I33" s="2397"/>
      <c r="J33" s="2397"/>
      <c r="L33" s="749" t="s">
        <v>1896</v>
      </c>
      <c r="M33" s="752">
        <v>53</v>
      </c>
      <c r="N33" s="752">
        <v>122</v>
      </c>
      <c r="O33" s="752">
        <v>105</v>
      </c>
      <c r="P33" s="752">
        <v>37</v>
      </c>
      <c r="Q33" s="752">
        <v>317</v>
      </c>
      <c r="R33" s="770">
        <v>15579</v>
      </c>
      <c r="S33" s="770">
        <v>1565850574</v>
      </c>
      <c r="T33" s="765">
        <v>100510</v>
      </c>
    </row>
    <row r="34" spans="2:20" ht="15.75">
      <c r="B34" s="728" t="s">
        <v>1878</v>
      </c>
      <c r="C34" s="729" t="s">
        <v>1879</v>
      </c>
      <c r="D34" s="729" t="s">
        <v>1880</v>
      </c>
      <c r="E34" s="730" t="s">
        <v>1922</v>
      </c>
      <c r="F34" s="730" t="s">
        <v>1923</v>
      </c>
      <c r="G34" s="730" t="s">
        <v>1924</v>
      </c>
      <c r="H34" s="730" t="s">
        <v>1925</v>
      </c>
      <c r="I34" s="730" t="s">
        <v>1887</v>
      </c>
      <c r="J34" s="730" t="s">
        <v>1888</v>
      </c>
    </row>
    <row r="35" spans="2:20" ht="15.75">
      <c r="B35" s="731" t="s">
        <v>1892</v>
      </c>
      <c r="C35" s="732">
        <v>100</v>
      </c>
      <c r="D35" s="733">
        <f>C35/SUM($C$35:$C$39)</f>
        <v>0.15408320493066255</v>
      </c>
      <c r="E35" s="734">
        <v>135</v>
      </c>
      <c r="F35" s="734">
        <v>12610844</v>
      </c>
      <c r="G35" s="734">
        <v>300</v>
      </c>
      <c r="H35" s="734">
        <v>28588795</v>
      </c>
      <c r="I35" s="734">
        <f>E35+G35</f>
        <v>435</v>
      </c>
      <c r="J35" s="734">
        <f>F35+H35</f>
        <v>41199639</v>
      </c>
    </row>
    <row r="36" spans="2:20" ht="15.75">
      <c r="B36" s="731" t="s">
        <v>8</v>
      </c>
      <c r="C36" s="732">
        <v>189</v>
      </c>
      <c r="D36" s="733">
        <f t="shared" ref="D36:D39" si="9">C36/SUM($C$35:$C$39)</f>
        <v>0.29121725731895226</v>
      </c>
      <c r="E36" s="734">
        <v>263</v>
      </c>
      <c r="F36" s="734">
        <v>24380964</v>
      </c>
      <c r="G36" s="734">
        <v>581</v>
      </c>
      <c r="H36" s="734">
        <v>55271670</v>
      </c>
      <c r="I36" s="734">
        <f t="shared" ref="I36:J40" si="10">E36+G36</f>
        <v>844</v>
      </c>
      <c r="J36" s="734">
        <f t="shared" si="10"/>
        <v>79652634</v>
      </c>
    </row>
    <row r="37" spans="2:20" ht="15.75">
      <c r="B37" s="731" t="s">
        <v>77</v>
      </c>
      <c r="C37" s="732"/>
      <c r="D37" s="733">
        <f t="shared" si="9"/>
        <v>0</v>
      </c>
      <c r="E37" s="734">
        <f>ROUND($D37*VLOOKUP($B$32,'ИПП (2)'!$L$5:$T$17,7,0),0)</f>
        <v>0</v>
      </c>
      <c r="F37" s="734">
        <f>ROUND($D37*VLOOKUP($B$32,'ИПП (2)'!$L$5:$T$17,8,0),0)</f>
        <v>0</v>
      </c>
      <c r="G37" s="734">
        <f>ROUND($D37*VLOOKUP($B$32,'ИПП (2)'!$L$21:$T$33,7,0),0)</f>
        <v>0</v>
      </c>
      <c r="H37" s="734">
        <f>ROUND($D37*VLOOKUP($B$32,'ИПП (2)'!$L$21:$T$33,8,0),0)</f>
        <v>0</v>
      </c>
      <c r="I37" s="734">
        <f t="shared" si="10"/>
        <v>0</v>
      </c>
      <c r="J37" s="734">
        <f t="shared" si="10"/>
        <v>0</v>
      </c>
    </row>
    <row r="38" spans="2:20" ht="15.75">
      <c r="B38" s="731" t="s">
        <v>20</v>
      </c>
      <c r="C38" s="732">
        <v>192</v>
      </c>
      <c r="D38" s="733">
        <f t="shared" si="9"/>
        <v>0.29583975346687214</v>
      </c>
      <c r="E38" s="734">
        <v>272</v>
      </c>
      <c r="F38" s="734">
        <v>25221687</v>
      </c>
      <c r="G38" s="734">
        <v>602</v>
      </c>
      <c r="H38" s="734">
        <v>57177590</v>
      </c>
      <c r="I38" s="734">
        <f t="shared" si="10"/>
        <v>874</v>
      </c>
      <c r="J38" s="734">
        <f t="shared" si="10"/>
        <v>82399277</v>
      </c>
    </row>
    <row r="39" spans="2:20" ht="15.75">
      <c r="B39" s="731" t="s">
        <v>14</v>
      </c>
      <c r="C39" s="732">
        <v>168</v>
      </c>
      <c r="D39" s="733">
        <f t="shared" si="9"/>
        <v>0.25885978428351308</v>
      </c>
      <c r="E39" s="734">
        <v>235</v>
      </c>
      <c r="F39" s="734">
        <v>21858796</v>
      </c>
      <c r="G39" s="734">
        <v>521</v>
      </c>
      <c r="H39" s="734">
        <v>49553913</v>
      </c>
      <c r="I39" s="734">
        <f t="shared" si="10"/>
        <v>756</v>
      </c>
      <c r="J39" s="734">
        <f t="shared" si="10"/>
        <v>71412709</v>
      </c>
    </row>
    <row r="40" spans="2:20">
      <c r="B40" s="729" t="s">
        <v>114</v>
      </c>
      <c r="C40" s="735">
        <f t="shared" ref="C40:H40" si="11">SUM(C35:C39)</f>
        <v>649</v>
      </c>
      <c r="D40" s="736">
        <f t="shared" si="11"/>
        <v>1</v>
      </c>
      <c r="E40" s="735">
        <f t="shared" si="11"/>
        <v>905</v>
      </c>
      <c r="F40" s="735">
        <f t="shared" si="11"/>
        <v>84072291</v>
      </c>
      <c r="G40" s="735">
        <f t="shared" si="11"/>
        <v>2004</v>
      </c>
      <c r="H40" s="735">
        <f t="shared" si="11"/>
        <v>190591968</v>
      </c>
      <c r="I40" s="735">
        <f t="shared" si="10"/>
        <v>2909</v>
      </c>
      <c r="J40" s="735">
        <f t="shared" si="10"/>
        <v>274664259</v>
      </c>
    </row>
    <row r="41" spans="2:20" ht="15.75">
      <c r="B41" s="2397" t="s">
        <v>1936</v>
      </c>
      <c r="C41" s="2397"/>
      <c r="D41" s="2397"/>
      <c r="E41" s="2397"/>
      <c r="F41" s="2397"/>
      <c r="G41" s="2397"/>
      <c r="H41" s="2397"/>
      <c r="I41" s="2397"/>
      <c r="J41" s="2397"/>
    </row>
    <row r="42" spans="2:20" ht="15.75">
      <c r="B42" s="728" t="s">
        <v>1878</v>
      </c>
      <c r="C42" s="729" t="s">
        <v>1879</v>
      </c>
      <c r="D42" s="729" t="s">
        <v>1880</v>
      </c>
      <c r="E42" s="730" t="s">
        <v>1922</v>
      </c>
      <c r="F42" s="730" t="s">
        <v>1923</v>
      </c>
      <c r="G42" s="730" t="s">
        <v>1924</v>
      </c>
      <c r="H42" s="730" t="s">
        <v>1925</v>
      </c>
      <c r="I42" s="730" t="s">
        <v>1887</v>
      </c>
      <c r="J42" s="730" t="s">
        <v>1888</v>
      </c>
    </row>
    <row r="43" spans="2:20" ht="15.75">
      <c r="B43" s="731" t="s">
        <v>22</v>
      </c>
      <c r="C43" s="732">
        <v>204</v>
      </c>
      <c r="D43" s="737">
        <f>C43/SUM($C$43:$C$44)</f>
        <v>0.5714285714285714</v>
      </c>
      <c r="E43" s="734">
        <v>438</v>
      </c>
      <c r="F43" s="734">
        <v>40733025</v>
      </c>
      <c r="G43" s="734">
        <v>971</v>
      </c>
      <c r="H43" s="734">
        <v>92341807</v>
      </c>
      <c r="I43" s="734">
        <f>E43+G43</f>
        <v>1409</v>
      </c>
      <c r="J43" s="734">
        <f>F43+H43</f>
        <v>133074832</v>
      </c>
    </row>
    <row r="44" spans="2:20" ht="15.75">
      <c r="B44" s="731" t="s">
        <v>16</v>
      </c>
      <c r="C44" s="732">
        <v>153</v>
      </c>
      <c r="D44" s="737">
        <f>C44/SUM($C$43:$C$44)</f>
        <v>0.42857142857142855</v>
      </c>
      <c r="E44" s="734">
        <v>331</v>
      </c>
      <c r="F44" s="734">
        <v>30728422</v>
      </c>
      <c r="G44" s="734">
        <v>732</v>
      </c>
      <c r="H44" s="734">
        <v>69661365</v>
      </c>
      <c r="I44" s="734">
        <f t="shared" ref="I44:J45" si="12">E44+G44</f>
        <v>1063</v>
      </c>
      <c r="J44" s="734">
        <f t="shared" si="12"/>
        <v>100389787</v>
      </c>
    </row>
    <row r="45" spans="2:20">
      <c r="B45" s="729" t="s">
        <v>114</v>
      </c>
      <c r="C45" s="735">
        <f t="shared" ref="C45:H45" si="13">SUM(C43:C44)</f>
        <v>357</v>
      </c>
      <c r="D45" s="736">
        <f t="shared" si="13"/>
        <v>1</v>
      </c>
      <c r="E45" s="735">
        <f t="shared" si="13"/>
        <v>769</v>
      </c>
      <c r="F45" s="735">
        <f t="shared" si="13"/>
        <v>71461447</v>
      </c>
      <c r="G45" s="735">
        <f t="shared" si="13"/>
        <v>1703</v>
      </c>
      <c r="H45" s="735">
        <f t="shared" si="13"/>
        <v>162003172</v>
      </c>
      <c r="I45" s="735">
        <f t="shared" si="12"/>
        <v>2472</v>
      </c>
      <c r="J45" s="735">
        <f t="shared" si="12"/>
        <v>233464619</v>
      </c>
    </row>
    <row r="47" spans="2:20">
      <c r="B47" s="2398" t="s">
        <v>1943</v>
      </c>
      <c r="C47" s="2398"/>
      <c r="D47" s="2398"/>
      <c r="E47" s="2398"/>
      <c r="F47" s="2398"/>
      <c r="G47" s="2398"/>
      <c r="H47" s="2398"/>
      <c r="I47" s="2398"/>
      <c r="J47" s="2398"/>
    </row>
    <row r="48" spans="2:20" ht="15.75">
      <c r="B48" s="2397" t="s">
        <v>1921</v>
      </c>
      <c r="C48" s="2397"/>
      <c r="D48" s="2397"/>
      <c r="E48" s="2397"/>
      <c r="F48" s="2397"/>
      <c r="G48" s="2397"/>
      <c r="H48" s="2397"/>
      <c r="I48" s="2397"/>
      <c r="J48" s="2397"/>
    </row>
    <row r="49" spans="2:10" ht="15.75">
      <c r="B49" s="728" t="s">
        <v>1878</v>
      </c>
      <c r="C49" s="729" t="s">
        <v>1879</v>
      </c>
      <c r="D49" s="729" t="s">
        <v>1880</v>
      </c>
      <c r="E49" s="730" t="s">
        <v>1922</v>
      </c>
      <c r="F49" s="730" t="s">
        <v>1923</v>
      </c>
      <c r="G49" s="730" t="s">
        <v>1924</v>
      </c>
      <c r="H49" s="730" t="s">
        <v>1925</v>
      </c>
      <c r="I49" s="730" t="s">
        <v>1887</v>
      </c>
      <c r="J49" s="730" t="s">
        <v>1888</v>
      </c>
    </row>
    <row r="50" spans="2:10" ht="15.75">
      <c r="B50" s="731" t="s">
        <v>1867</v>
      </c>
      <c r="C50" s="732">
        <f>C20+C5</f>
        <v>210</v>
      </c>
      <c r="D50" s="733">
        <f>C50/SUM($C$50:$C$55)</f>
        <v>0.11615044247787611</v>
      </c>
      <c r="E50" s="734">
        <f t="shared" ref="E50:J50" si="14">E20+E5</f>
        <v>209</v>
      </c>
      <c r="F50" s="734">
        <f t="shared" si="14"/>
        <v>20166215</v>
      </c>
      <c r="G50" s="734">
        <f t="shared" si="14"/>
        <v>292</v>
      </c>
      <c r="H50" s="734">
        <f t="shared" si="14"/>
        <v>27438785</v>
      </c>
      <c r="I50" s="734">
        <f t="shared" si="14"/>
        <v>501</v>
      </c>
      <c r="J50" s="734">
        <f t="shared" si="14"/>
        <v>47605000</v>
      </c>
    </row>
    <row r="51" spans="2:10" ht="15.75">
      <c r="B51" s="731" t="s">
        <v>1892</v>
      </c>
      <c r="C51" s="732">
        <f>C35</f>
        <v>100</v>
      </c>
      <c r="D51" s="733">
        <f t="shared" ref="D51:J51" si="15">D35</f>
        <v>0.15408320493066255</v>
      </c>
      <c r="E51" s="734">
        <f t="shared" si="15"/>
        <v>135</v>
      </c>
      <c r="F51" s="734">
        <f t="shared" si="15"/>
        <v>12610844</v>
      </c>
      <c r="G51" s="734">
        <f t="shared" si="15"/>
        <v>300</v>
      </c>
      <c r="H51" s="734">
        <f t="shared" si="15"/>
        <v>28588795</v>
      </c>
      <c r="I51" s="734">
        <f t="shared" si="15"/>
        <v>435</v>
      </c>
      <c r="J51" s="734">
        <f t="shared" si="15"/>
        <v>41199639</v>
      </c>
    </row>
    <row r="52" spans="2:10" ht="15.75">
      <c r="B52" s="731" t="s">
        <v>8</v>
      </c>
      <c r="C52" s="732">
        <f>C36+C21+C6</f>
        <v>447</v>
      </c>
      <c r="D52" s="733">
        <f>C52/SUM($C$50:$C$55)</f>
        <v>0.24723451327433629</v>
      </c>
      <c r="E52" s="738">
        <f>E36+E21+E6</f>
        <v>518</v>
      </c>
      <c r="F52" s="738">
        <f t="shared" ref="F52:H55" si="16">F36+F21+F6</f>
        <v>49214822</v>
      </c>
      <c r="G52" s="738">
        <f t="shared" si="16"/>
        <v>980</v>
      </c>
      <c r="H52" s="738">
        <f t="shared" si="16"/>
        <v>92807664</v>
      </c>
      <c r="I52" s="734">
        <f t="shared" ref="I52:J56" si="17">E52+G52</f>
        <v>1498</v>
      </c>
      <c r="J52" s="734">
        <f t="shared" si="17"/>
        <v>142022486</v>
      </c>
    </row>
    <row r="53" spans="2:10" ht="15.75">
      <c r="B53" s="731" t="s">
        <v>77</v>
      </c>
      <c r="C53" s="732">
        <f>C37+C22+C7</f>
        <v>0</v>
      </c>
      <c r="D53" s="733">
        <f>C53/SUM($C$50:$C$55)</f>
        <v>0</v>
      </c>
      <c r="E53" s="738">
        <f>E37+E22+E7</f>
        <v>0</v>
      </c>
      <c r="F53" s="738">
        <f t="shared" si="16"/>
        <v>0</v>
      </c>
      <c r="G53" s="738">
        <f t="shared" si="16"/>
        <v>0</v>
      </c>
      <c r="H53" s="738">
        <f t="shared" si="16"/>
        <v>0</v>
      </c>
      <c r="I53" s="734">
        <f t="shared" si="17"/>
        <v>0</v>
      </c>
      <c r="J53" s="734">
        <f t="shared" si="17"/>
        <v>0</v>
      </c>
    </row>
    <row r="54" spans="2:10" ht="15.75">
      <c r="B54" s="731" t="s">
        <v>20</v>
      </c>
      <c r="C54" s="732">
        <f>C38+C23+C8</f>
        <v>490</v>
      </c>
      <c r="D54" s="733">
        <f>C54/SUM($C$50:$C$55)</f>
        <v>0.27101769911504425</v>
      </c>
      <c r="E54" s="738">
        <f>E38+E23+E8</f>
        <v>567</v>
      </c>
      <c r="F54" s="738">
        <f t="shared" si="16"/>
        <v>53889671</v>
      </c>
      <c r="G54" s="738">
        <f t="shared" si="16"/>
        <v>1052</v>
      </c>
      <c r="H54" s="738">
        <f t="shared" si="16"/>
        <v>99476324</v>
      </c>
      <c r="I54" s="734">
        <f t="shared" si="17"/>
        <v>1619</v>
      </c>
      <c r="J54" s="734">
        <f t="shared" si="17"/>
        <v>153365995</v>
      </c>
    </row>
    <row r="55" spans="2:10" ht="15.75">
      <c r="B55" s="731" t="s">
        <v>14</v>
      </c>
      <c r="C55" s="732">
        <f>C39+C24+C9</f>
        <v>561</v>
      </c>
      <c r="D55" s="733">
        <f>C55/SUM($C$50:$C$55)</f>
        <v>0.31028761061946902</v>
      </c>
      <c r="E55" s="738">
        <f>E39+E24+E9</f>
        <v>625</v>
      </c>
      <c r="F55" s="738">
        <f t="shared" si="16"/>
        <v>59640241</v>
      </c>
      <c r="G55" s="738">
        <f t="shared" si="16"/>
        <v>1097</v>
      </c>
      <c r="H55" s="738">
        <f t="shared" si="16"/>
        <v>103651034</v>
      </c>
      <c r="I55" s="734">
        <f t="shared" si="17"/>
        <v>1722</v>
      </c>
      <c r="J55" s="734">
        <f t="shared" si="17"/>
        <v>163291275</v>
      </c>
    </row>
    <row r="56" spans="2:10">
      <c r="B56" s="729" t="s">
        <v>114</v>
      </c>
      <c r="C56" s="735">
        <f t="shared" ref="C56:H56" si="18">SUM(C50:C55)</f>
        <v>1808</v>
      </c>
      <c r="D56" s="736">
        <f t="shared" si="18"/>
        <v>1.0987734704173882</v>
      </c>
      <c r="E56" s="735">
        <f t="shared" si="18"/>
        <v>2054</v>
      </c>
      <c r="F56" s="735">
        <f t="shared" si="18"/>
        <v>195521793</v>
      </c>
      <c r="G56" s="735">
        <f t="shared" si="18"/>
        <v>3721</v>
      </c>
      <c r="H56" s="735">
        <f t="shared" si="18"/>
        <v>351962602</v>
      </c>
      <c r="I56" s="735">
        <f t="shared" si="17"/>
        <v>5775</v>
      </c>
      <c r="J56" s="735">
        <f t="shared" si="17"/>
        <v>547484395</v>
      </c>
    </row>
    <row r="57" spans="2:10" ht="15.75">
      <c r="B57" s="2397" t="s">
        <v>1936</v>
      </c>
      <c r="C57" s="2397"/>
      <c r="D57" s="2397"/>
      <c r="E57" s="2397"/>
      <c r="F57" s="2397"/>
      <c r="G57" s="2397"/>
      <c r="H57" s="2397"/>
      <c r="I57" s="2397"/>
      <c r="J57" s="2397"/>
    </row>
    <row r="58" spans="2:10" ht="15.75">
      <c r="B58" s="728" t="s">
        <v>1878</v>
      </c>
      <c r="C58" s="729" t="s">
        <v>1879</v>
      </c>
      <c r="D58" s="729" t="s">
        <v>1880</v>
      </c>
      <c r="E58" s="730" t="s">
        <v>1922</v>
      </c>
      <c r="F58" s="730" t="s">
        <v>1923</v>
      </c>
      <c r="G58" s="730" t="s">
        <v>1924</v>
      </c>
      <c r="H58" s="730" t="s">
        <v>1925</v>
      </c>
      <c r="I58" s="730" t="s">
        <v>1887</v>
      </c>
      <c r="J58" s="730" t="s">
        <v>1888</v>
      </c>
    </row>
    <row r="59" spans="2:10" ht="15.75">
      <c r="B59" s="731" t="s">
        <v>22</v>
      </c>
      <c r="C59" s="732">
        <f>C13+C28+C43</f>
        <v>457</v>
      </c>
      <c r="D59" s="737">
        <f>C59/SUM($C$59:$C$60)</f>
        <v>0.52228571428571424</v>
      </c>
      <c r="E59" s="738">
        <f t="shared" ref="E59:J60" si="19">E13+E28+E43</f>
        <v>925.00603448275865</v>
      </c>
      <c r="F59" s="738">
        <f t="shared" si="19"/>
        <v>87414094.616379321</v>
      </c>
      <c r="G59" s="738">
        <f t="shared" si="19"/>
        <v>1588.3198275862069</v>
      </c>
      <c r="H59" s="738">
        <f t="shared" si="19"/>
        <v>150328884.59913793</v>
      </c>
      <c r="I59" s="738">
        <f t="shared" si="19"/>
        <v>2513.3258620689658</v>
      </c>
      <c r="J59" s="738">
        <f t="shared" si="19"/>
        <v>237742979.21551725</v>
      </c>
    </row>
    <row r="60" spans="2:10" ht="15.75">
      <c r="B60" s="731" t="s">
        <v>16</v>
      </c>
      <c r="C60" s="732">
        <f>C14+C29+C44</f>
        <v>418</v>
      </c>
      <c r="D60" s="737">
        <f>C60/SUM($C$59:$C$60)</f>
        <v>0.4777142857142857</v>
      </c>
      <c r="E60" s="738">
        <f t="shared" si="19"/>
        <v>835.09396551724137</v>
      </c>
      <c r="F60" s="738">
        <f t="shared" si="19"/>
        <v>79047423.883620694</v>
      </c>
      <c r="G60" s="738">
        <f t="shared" si="19"/>
        <v>1370.9801724137931</v>
      </c>
      <c r="H60" s="738">
        <f t="shared" si="19"/>
        <v>129683076.90086207</v>
      </c>
      <c r="I60" s="738">
        <f t="shared" si="19"/>
        <v>2206.0741379310348</v>
      </c>
      <c r="J60" s="738">
        <f t="shared" si="19"/>
        <v>208730500.78448278</v>
      </c>
    </row>
    <row r="61" spans="2:10">
      <c r="B61" s="729" t="s">
        <v>114</v>
      </c>
      <c r="C61" s="735">
        <f t="shared" ref="C61:H61" si="20">SUM(C59:C60)</f>
        <v>875</v>
      </c>
      <c r="D61" s="736">
        <f t="shared" si="20"/>
        <v>1</v>
      </c>
      <c r="E61" s="735">
        <f t="shared" si="20"/>
        <v>1760.1</v>
      </c>
      <c r="F61" s="735">
        <f t="shared" si="20"/>
        <v>166461518.5</v>
      </c>
      <c r="G61" s="735">
        <f t="shared" si="20"/>
        <v>2959.3</v>
      </c>
      <c r="H61" s="735">
        <f t="shared" si="20"/>
        <v>280011961.5</v>
      </c>
      <c r="I61" s="735">
        <f t="shared" ref="I61:J61" si="21">E61+G61</f>
        <v>4719.3999999999996</v>
      </c>
      <c r="J61" s="735">
        <f t="shared" si="21"/>
        <v>446473480</v>
      </c>
    </row>
  </sheetData>
  <sheetProtection algorithmName="SHA-512" hashValue="UzyNccjK+//Sl0KRTqDW9mJCkIHbnFI2ERCsr+bCzKXeFyOCZXShyyrtOxgVJIc8fZLjg1RVuZMTPZQG8bjaqg==" saltValue="XDNefKgMON2akjZOUsJyxg==" spinCount="100000" sheet="1" objects="1" scenarios="1"/>
  <mergeCells count="12">
    <mergeCell ref="B2:J2"/>
    <mergeCell ref="B3:J3"/>
    <mergeCell ref="B11:J11"/>
    <mergeCell ref="B17:J17"/>
    <mergeCell ref="B18:J18"/>
    <mergeCell ref="B48:J48"/>
    <mergeCell ref="B57:J57"/>
    <mergeCell ref="B26:J26"/>
    <mergeCell ref="B32:J32"/>
    <mergeCell ref="B33:J33"/>
    <mergeCell ref="B41:J41"/>
    <mergeCell ref="B47:J47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34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V313"/>
  <sheetViews>
    <sheetView view="pageBreakPreview" zoomScale="87" zoomScaleNormal="85" workbookViewId="0">
      <pane ySplit="2" topLeftCell="A112" activePane="bottomLeft" state="frozen"/>
      <selection pane="bottomLeft" activeCell="B133" sqref="B133"/>
    </sheetView>
  </sheetViews>
  <sheetFormatPr defaultColWidth="12.28515625" defaultRowHeight="12.75"/>
  <cols>
    <col min="1" max="1" width="12.42578125" style="66" customWidth="1"/>
    <col min="2" max="2" width="14.7109375" style="66" customWidth="1"/>
    <col min="3" max="3" width="13.5703125" style="66" customWidth="1"/>
    <col min="4" max="4" width="11" style="66" customWidth="1"/>
    <col min="5" max="5" width="17.7109375" style="66" customWidth="1"/>
    <col min="6" max="6" width="14.85546875" style="66" customWidth="1"/>
    <col min="7" max="7" width="14.5703125" style="66" customWidth="1"/>
    <col min="8" max="8" width="15.140625" style="66" customWidth="1"/>
    <col min="9" max="9" width="14.7109375" style="66" customWidth="1"/>
    <col min="10" max="10" width="10.7109375" style="66" customWidth="1"/>
    <col min="11" max="11" width="17.42578125" style="66" customWidth="1"/>
    <col min="12" max="12" width="22.140625" style="66" customWidth="1"/>
    <col min="13" max="13" width="15.28515625" style="66" customWidth="1"/>
    <col min="14" max="14" width="21.85546875" style="66" customWidth="1"/>
    <col min="15" max="15" width="17.7109375" style="66" customWidth="1"/>
    <col min="16" max="17" width="22.140625" style="66" customWidth="1"/>
    <col min="18" max="18" width="21" style="66" customWidth="1"/>
    <col min="19" max="19" width="14.28515625" style="66" customWidth="1"/>
    <col min="20" max="20" width="15" style="65" customWidth="1"/>
    <col min="21" max="21" width="15" style="66" customWidth="1"/>
    <col min="22" max="16384" width="12.28515625" style="66"/>
  </cols>
  <sheetData>
    <row r="1" spans="1:21">
      <c r="A1" s="2297">
        <v>45351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>
      <c r="A3" s="65"/>
      <c r="B3" s="79"/>
      <c r="C3" s="65"/>
      <c r="D3" s="79"/>
      <c r="E3" s="65"/>
      <c r="F3" s="65"/>
      <c r="G3" s="65"/>
      <c r="H3" s="65"/>
      <c r="I3" s="93"/>
      <c r="J3" s="80"/>
      <c r="K3" s="65"/>
      <c r="L3" s="65"/>
      <c r="M3" s="65"/>
      <c r="N3" s="98"/>
      <c r="O3" s="80"/>
      <c r="P3" s="65"/>
      <c r="Q3" s="118"/>
      <c r="R3" s="118"/>
      <c r="S3" s="80"/>
      <c r="T3" s="80"/>
      <c r="U3" s="115">
        <f>sept2021222337[[#This Row],[сумма]]-sept2021222337[[#This Row],[Цема м2 отделки]]*sept2021222337[[#This Row],[м2]]</f>
        <v>0</v>
      </c>
    </row>
    <row r="4" spans="1:21" s="61" customFormat="1">
      <c r="A4" s="62">
        <v>2</v>
      </c>
      <c r="B4" s="75">
        <v>29583</v>
      </c>
      <c r="C4" s="62" t="s">
        <v>7</v>
      </c>
      <c r="D4" s="75">
        <v>55</v>
      </c>
      <c r="E4" s="62">
        <v>0</v>
      </c>
      <c r="F4" s="62">
        <v>21.75</v>
      </c>
      <c r="G4" s="62" t="s">
        <v>15</v>
      </c>
      <c r="H4" s="62">
        <v>7500</v>
      </c>
      <c r="I4" s="95">
        <v>3171025</v>
      </c>
      <c r="J4" s="117" t="s">
        <v>20</v>
      </c>
      <c r="K4" s="62" t="s">
        <v>16</v>
      </c>
      <c r="L4" s="62" t="s">
        <v>583</v>
      </c>
      <c r="M4" s="62" t="s">
        <v>18</v>
      </c>
      <c r="N4" s="92">
        <v>45329</v>
      </c>
      <c r="O4" s="117"/>
      <c r="P4" s="62" t="s">
        <v>1944</v>
      </c>
      <c r="Q4" s="113" t="s">
        <v>67</v>
      </c>
      <c r="R4" s="113" t="s">
        <v>67</v>
      </c>
      <c r="S4" s="117" t="s">
        <v>20</v>
      </c>
      <c r="T4" s="117" t="s">
        <v>20</v>
      </c>
      <c r="U4" s="114">
        <f>sept2021222337[[#This Row],[сумма]]-sept2021222337[[#This Row],[Цема м2 отделки]]*sept2021222337[[#This Row],[м2]]</f>
        <v>3007900</v>
      </c>
    </row>
    <row r="5" spans="1:21" s="61" customFormat="1">
      <c r="A5" s="62">
        <v>3</v>
      </c>
      <c r="B5" s="75">
        <v>26131</v>
      </c>
      <c r="C5" s="62" t="s">
        <v>13</v>
      </c>
      <c r="D5" s="75">
        <v>391</v>
      </c>
      <c r="E5" s="62">
        <v>1</v>
      </c>
      <c r="F5" s="62">
        <v>43.21</v>
      </c>
      <c r="G5" s="117" t="s">
        <v>15</v>
      </c>
      <c r="H5" s="117">
        <v>4500</v>
      </c>
      <c r="I5" s="95">
        <v>3653753.01</v>
      </c>
      <c r="J5" s="117" t="s">
        <v>20</v>
      </c>
      <c r="K5" s="62" t="s">
        <v>16</v>
      </c>
      <c r="L5" s="62" t="s">
        <v>583</v>
      </c>
      <c r="M5" s="62" t="s">
        <v>12</v>
      </c>
      <c r="N5" s="92">
        <v>45328</v>
      </c>
      <c r="O5" s="117" t="s">
        <v>11</v>
      </c>
      <c r="P5" s="62" t="s">
        <v>1945</v>
      </c>
      <c r="Q5" s="113" t="s">
        <v>67</v>
      </c>
      <c r="R5" s="113" t="s">
        <v>67</v>
      </c>
      <c r="S5" s="117" t="s">
        <v>20</v>
      </c>
      <c r="T5" s="117" t="s">
        <v>20</v>
      </c>
      <c r="U5" s="114">
        <f>sept2021222337[[#This Row],[сумма]]-sept2021222337[[#This Row],[Цема м2 отделки]]*sept2021222337[[#This Row],[м2]]</f>
        <v>3459308.01</v>
      </c>
    </row>
    <row r="6" spans="1:21">
      <c r="A6" s="62">
        <v>4</v>
      </c>
      <c r="B6" s="74">
        <v>28956</v>
      </c>
      <c r="C6" s="62" t="s">
        <v>7</v>
      </c>
      <c r="D6" s="75">
        <v>464</v>
      </c>
      <c r="E6" s="62">
        <v>1</v>
      </c>
      <c r="F6" s="62">
        <v>44.37</v>
      </c>
      <c r="G6" s="117" t="s">
        <v>25</v>
      </c>
      <c r="H6" s="117">
        <v>22000</v>
      </c>
      <c r="I6" s="95">
        <v>5051640</v>
      </c>
      <c r="J6" s="117" t="s">
        <v>8</v>
      </c>
      <c r="K6" s="62" t="s">
        <v>16</v>
      </c>
      <c r="L6" s="62" t="s">
        <v>583</v>
      </c>
      <c r="M6" s="62" t="s">
        <v>12</v>
      </c>
      <c r="N6" s="92">
        <v>45341</v>
      </c>
      <c r="O6" s="117"/>
      <c r="P6" s="62" t="s">
        <v>1946</v>
      </c>
      <c r="Q6" s="113" t="s">
        <v>67</v>
      </c>
      <c r="R6" s="113" t="s">
        <v>67</v>
      </c>
      <c r="S6" s="117" t="s">
        <v>8</v>
      </c>
      <c r="T6" s="117" t="s">
        <v>8</v>
      </c>
      <c r="U6" s="114">
        <f>sept2021222337[[#This Row],[сумма]]-sept2021222337[[#This Row],[Цема м2 отделки]]*sept2021222337[[#This Row],[м2]]</f>
        <v>4075500</v>
      </c>
    </row>
    <row r="7" spans="1:21">
      <c r="A7" s="65">
        <v>5</v>
      </c>
      <c r="B7" s="79"/>
      <c r="C7" s="65"/>
      <c r="D7" s="79"/>
      <c r="E7" s="65"/>
      <c r="F7" s="65"/>
      <c r="G7" s="65"/>
      <c r="H7" s="65"/>
      <c r="I7" s="93"/>
      <c r="J7" s="80"/>
      <c r="K7" s="65"/>
      <c r="L7" s="65"/>
      <c r="M7" s="65"/>
      <c r="N7" s="98"/>
      <c r="O7" s="80"/>
      <c r="P7" s="65"/>
      <c r="Q7" s="86"/>
      <c r="R7" s="86"/>
      <c r="S7" s="80"/>
      <c r="T7" s="80"/>
      <c r="U7" s="115">
        <f>sept2021222337[[#This Row],[сумма]]-sept2021222337[[#This Row],[Цема м2 отделки]]*sept2021222337[[#This Row],[м2]]</f>
        <v>0</v>
      </c>
    </row>
    <row r="8" spans="1:21" s="61" customFormat="1">
      <c r="A8" s="62">
        <v>6</v>
      </c>
      <c r="B8" s="81">
        <v>29226</v>
      </c>
      <c r="C8" s="62" t="s">
        <v>7</v>
      </c>
      <c r="D8" s="75">
        <v>98</v>
      </c>
      <c r="E8" s="349">
        <v>2</v>
      </c>
      <c r="F8" s="62">
        <v>61.76</v>
      </c>
      <c r="G8" s="62" t="s">
        <v>9</v>
      </c>
      <c r="H8" s="348"/>
      <c r="I8" s="95">
        <v>5806206</v>
      </c>
      <c r="J8" s="117" t="s">
        <v>8</v>
      </c>
      <c r="K8" s="62" t="s">
        <v>22</v>
      </c>
      <c r="L8" s="117" t="s">
        <v>583</v>
      </c>
      <c r="M8" s="62" t="s">
        <v>12</v>
      </c>
      <c r="N8" s="92">
        <v>45348</v>
      </c>
      <c r="O8" s="62"/>
      <c r="P8" s="377" t="s">
        <v>1947</v>
      </c>
      <c r="Q8" s="76" t="s">
        <v>67</v>
      </c>
      <c r="R8" s="113" t="s">
        <v>67</v>
      </c>
      <c r="S8" s="117" t="s">
        <v>8</v>
      </c>
      <c r="T8" s="117" t="s">
        <v>20</v>
      </c>
      <c r="U8" s="114">
        <f>sept2021222337[[#This Row],[сумма]]-sept2021222337[[#This Row],[Цема м2 отделки]]*sept2021222337[[#This Row],[м2]]</f>
        <v>5806206</v>
      </c>
    </row>
    <row r="9" spans="1:21" s="61" customFormat="1">
      <c r="A9" s="62">
        <v>7</v>
      </c>
      <c r="B9" s="675">
        <v>29975</v>
      </c>
      <c r="C9" s="62" t="s">
        <v>13</v>
      </c>
      <c r="D9" s="62">
        <v>519</v>
      </c>
      <c r="E9" s="62">
        <v>0</v>
      </c>
      <c r="F9" s="62">
        <v>24.5</v>
      </c>
      <c r="G9" s="62" t="s">
        <v>25</v>
      </c>
      <c r="H9" s="62">
        <v>20000</v>
      </c>
      <c r="I9" s="677">
        <v>3280500</v>
      </c>
      <c r="J9" s="117" t="s">
        <v>8</v>
      </c>
      <c r="K9" s="62" t="s">
        <v>16</v>
      </c>
      <c r="L9" s="62" t="s">
        <v>583</v>
      </c>
      <c r="M9" s="62" t="s">
        <v>18</v>
      </c>
      <c r="N9" s="96">
        <v>45344</v>
      </c>
      <c r="P9" s="62" t="s">
        <v>1948</v>
      </c>
      <c r="Q9" s="62" t="s">
        <v>67</v>
      </c>
      <c r="R9" s="113" t="s">
        <v>67</v>
      </c>
      <c r="S9" s="117" t="s">
        <v>8</v>
      </c>
      <c r="T9" s="117" t="s">
        <v>8</v>
      </c>
      <c r="U9" s="114">
        <f>sept2021222337[[#This Row],[сумма]]-sept2021222337[[#This Row],[Цема м2 отделки]]*sept2021222337[[#This Row],[м2]]</f>
        <v>2790500</v>
      </c>
    </row>
    <row r="10" spans="1:21">
      <c r="A10" s="65">
        <v>8</v>
      </c>
      <c r="B10" s="79"/>
      <c r="C10" s="65"/>
      <c r="D10" s="79"/>
      <c r="E10" s="65"/>
      <c r="F10" s="65"/>
      <c r="G10" s="65"/>
      <c r="H10" s="72"/>
      <c r="I10" s="93"/>
      <c r="J10" s="80"/>
      <c r="K10" s="65"/>
      <c r="L10" s="65"/>
      <c r="M10" s="65"/>
      <c r="N10" s="110"/>
      <c r="O10" s="65"/>
      <c r="P10" s="72"/>
      <c r="Q10" s="118"/>
      <c r="R10" s="118"/>
      <c r="S10" s="65"/>
      <c r="U10" s="115">
        <f>sept2021222337[[#This Row],[сумма]]-sept2021222337[[#This Row],[Цема м2 отделки]]*sept2021222337[[#This Row],[м2]]</f>
        <v>0</v>
      </c>
    </row>
    <row r="11" spans="1:21">
      <c r="A11" s="65">
        <v>9</v>
      </c>
      <c r="B11" s="79"/>
      <c r="C11" s="65"/>
      <c r="D11" s="79"/>
      <c r="E11" s="65"/>
      <c r="F11" s="65"/>
      <c r="G11" s="65"/>
      <c r="H11" s="65"/>
      <c r="I11" s="93"/>
      <c r="J11" s="80"/>
      <c r="K11" s="65"/>
      <c r="L11" s="65"/>
      <c r="M11" s="65"/>
      <c r="N11" s="98"/>
      <c r="O11" s="80"/>
      <c r="P11" s="86"/>
      <c r="Q11" s="118"/>
      <c r="R11" s="118"/>
      <c r="S11" s="80"/>
      <c r="T11" s="80"/>
      <c r="U11" s="115">
        <f>sept2021222337[[#This Row],[сумма]]-sept2021222337[[#This Row],[Цема м2 отделки]]*sept2021222337[[#This Row],[м2]]</f>
        <v>0</v>
      </c>
    </row>
    <row r="12" spans="1:21" s="61" customFormat="1">
      <c r="A12" s="62">
        <v>10</v>
      </c>
      <c r="B12" s="75">
        <v>29657</v>
      </c>
      <c r="C12" s="62" t="s">
        <v>7</v>
      </c>
      <c r="D12" s="75">
        <v>466</v>
      </c>
      <c r="E12" s="62">
        <v>1</v>
      </c>
      <c r="F12" s="62">
        <v>38.6</v>
      </c>
      <c r="G12" s="62" t="s">
        <v>9</v>
      </c>
      <c r="H12" s="62"/>
      <c r="I12" s="95">
        <v>4036170</v>
      </c>
      <c r="J12" s="117" t="s">
        <v>31</v>
      </c>
      <c r="K12" s="62" t="s">
        <v>10</v>
      </c>
      <c r="L12" s="62" t="s">
        <v>286</v>
      </c>
      <c r="M12" s="62" t="s">
        <v>18</v>
      </c>
      <c r="N12" s="92">
        <v>45332</v>
      </c>
      <c r="O12" s="117"/>
      <c r="P12" s="62" t="s">
        <v>1949</v>
      </c>
      <c r="Q12" s="113" t="s">
        <v>67</v>
      </c>
      <c r="R12" s="113" t="s">
        <v>67</v>
      </c>
      <c r="S12" s="117" t="s">
        <v>31</v>
      </c>
      <c r="T12" s="117" t="s">
        <v>8</v>
      </c>
      <c r="U12" s="114">
        <f>sept2021222337[[#This Row],[сумма]]-sept2021222337[[#This Row],[Цема м2 отделки]]*sept2021222337[[#This Row],[м2]]</f>
        <v>4036170</v>
      </c>
    </row>
    <row r="13" spans="1:21" s="61" customFormat="1">
      <c r="A13" s="62">
        <v>11</v>
      </c>
      <c r="B13" s="75">
        <v>18133</v>
      </c>
      <c r="C13" s="62" t="s">
        <v>13</v>
      </c>
      <c r="D13" s="75">
        <v>473</v>
      </c>
      <c r="E13" s="62">
        <v>2</v>
      </c>
      <c r="F13" s="62">
        <v>57.8</v>
      </c>
      <c r="G13" s="76" t="s">
        <v>21</v>
      </c>
      <c r="H13" s="76">
        <v>7000</v>
      </c>
      <c r="I13" s="91">
        <v>5546758</v>
      </c>
      <c r="J13" s="117" t="s">
        <v>8</v>
      </c>
      <c r="K13" s="62" t="s">
        <v>22</v>
      </c>
      <c r="L13" s="62" t="s">
        <v>583</v>
      </c>
      <c r="M13" s="62" t="s">
        <v>18</v>
      </c>
      <c r="N13" s="92">
        <v>45336</v>
      </c>
      <c r="O13" s="117"/>
      <c r="P13" s="76" t="s">
        <v>1950</v>
      </c>
      <c r="Q13" s="113" t="s">
        <v>67</v>
      </c>
      <c r="R13" s="113" t="s">
        <v>67</v>
      </c>
      <c r="S13" s="117" t="s">
        <v>8</v>
      </c>
      <c r="T13" s="117" t="s">
        <v>8</v>
      </c>
      <c r="U13" s="114">
        <f>sept2021222337[[#This Row],[сумма]]-sept2021222337[[#This Row],[Цема м2 отделки]]*sept2021222337[[#This Row],[м2]]</f>
        <v>5142158</v>
      </c>
    </row>
    <row r="14" spans="1:21" s="61" customFormat="1">
      <c r="A14" s="62">
        <v>12</v>
      </c>
      <c r="B14" s="75">
        <v>11741</v>
      </c>
      <c r="C14" s="62" t="s">
        <v>7</v>
      </c>
      <c r="D14" s="75">
        <v>526</v>
      </c>
      <c r="E14" s="62">
        <v>2</v>
      </c>
      <c r="F14" s="62">
        <v>63.74</v>
      </c>
      <c r="G14" s="62" t="s">
        <v>9</v>
      </c>
      <c r="H14" s="62"/>
      <c r="I14" s="95">
        <v>5784352</v>
      </c>
      <c r="J14" s="117" t="s">
        <v>20</v>
      </c>
      <c r="K14" s="62" t="s">
        <v>16</v>
      </c>
      <c r="L14" s="62" t="s">
        <v>583</v>
      </c>
      <c r="M14" s="62" t="s">
        <v>18</v>
      </c>
      <c r="N14" s="92">
        <v>45348</v>
      </c>
      <c r="O14" s="117"/>
      <c r="P14" s="76" t="s">
        <v>1951</v>
      </c>
      <c r="Q14" s="113" t="s">
        <v>67</v>
      </c>
      <c r="R14" s="113" t="s">
        <v>67</v>
      </c>
      <c r="S14" s="117" t="s">
        <v>20</v>
      </c>
      <c r="T14" s="117" t="s">
        <v>20</v>
      </c>
      <c r="U14" s="114">
        <f>sept2021222337[[#This Row],[сумма]]-sept2021222337[[#This Row],[Цема м2 отделки]]*sept2021222337[[#This Row],[м2]]</f>
        <v>5784352</v>
      </c>
    </row>
    <row r="15" spans="1:21" s="61" customFormat="1">
      <c r="A15" s="62">
        <v>13</v>
      </c>
      <c r="B15" s="75">
        <v>29943</v>
      </c>
      <c r="C15" s="62" t="s">
        <v>7</v>
      </c>
      <c r="D15" s="75">
        <v>180</v>
      </c>
      <c r="E15" s="62">
        <v>1</v>
      </c>
      <c r="F15" s="62">
        <v>37.81</v>
      </c>
      <c r="G15" s="62" t="s">
        <v>25</v>
      </c>
      <c r="H15" s="62">
        <v>22000</v>
      </c>
      <c r="I15" s="95">
        <v>5136820</v>
      </c>
      <c r="J15" s="117" t="s">
        <v>20</v>
      </c>
      <c r="K15" s="62" t="s">
        <v>22</v>
      </c>
      <c r="L15" s="62" t="s">
        <v>583</v>
      </c>
      <c r="M15" s="62" t="s">
        <v>18</v>
      </c>
      <c r="N15" s="92">
        <v>45348</v>
      </c>
      <c r="O15" s="117"/>
      <c r="P15" s="62" t="s">
        <v>1952</v>
      </c>
      <c r="Q15" s="113" t="s">
        <v>67</v>
      </c>
      <c r="R15" s="113" t="s">
        <v>67</v>
      </c>
      <c r="S15" s="117" t="s">
        <v>20</v>
      </c>
      <c r="T15" s="117" t="s">
        <v>20</v>
      </c>
      <c r="U15" s="114">
        <f>sept2021222337[[#This Row],[сумма]]-sept2021222337[[#This Row],[Цема м2 отделки]]*sept2021222337[[#This Row],[м2]]</f>
        <v>4305000</v>
      </c>
    </row>
    <row r="16" spans="1:21" s="61" customFormat="1">
      <c r="A16" s="62">
        <v>14</v>
      </c>
      <c r="B16" s="75">
        <v>29701</v>
      </c>
      <c r="C16" s="62" t="s">
        <v>7</v>
      </c>
      <c r="D16" s="75">
        <v>178</v>
      </c>
      <c r="E16" s="62">
        <v>2</v>
      </c>
      <c r="F16" s="62">
        <v>68.75</v>
      </c>
      <c r="G16" s="62" t="s">
        <v>15</v>
      </c>
      <c r="H16" s="62">
        <v>7500</v>
      </c>
      <c r="I16" s="95">
        <v>6258574</v>
      </c>
      <c r="J16" s="117" t="s">
        <v>14</v>
      </c>
      <c r="K16" s="62" t="s">
        <v>84</v>
      </c>
      <c r="L16" s="62" t="s">
        <v>1953</v>
      </c>
      <c r="M16" s="62" t="s">
        <v>18</v>
      </c>
      <c r="N16" s="92"/>
      <c r="O16" s="117"/>
      <c r="P16" s="62" t="s">
        <v>1954</v>
      </c>
      <c r="Q16" s="113" t="s">
        <v>67</v>
      </c>
      <c r="R16" s="113" t="s">
        <v>67</v>
      </c>
      <c r="S16" s="117" t="s">
        <v>14</v>
      </c>
      <c r="T16" s="117" t="s">
        <v>14</v>
      </c>
      <c r="U16" s="114">
        <f>sept2021222337[[#This Row],[сумма]]-sept2021222337[[#This Row],[Цема м2 отделки]]*sept2021222337[[#This Row],[м2]]</f>
        <v>5742949</v>
      </c>
    </row>
    <row r="17" spans="1:22" s="61" customFormat="1">
      <c r="A17" s="62">
        <v>15</v>
      </c>
      <c r="B17" s="74">
        <v>29872</v>
      </c>
      <c r="C17" s="62" t="s">
        <v>13</v>
      </c>
      <c r="D17" s="75">
        <v>42</v>
      </c>
      <c r="E17" s="62">
        <v>1</v>
      </c>
      <c r="F17" s="62">
        <v>34.39</v>
      </c>
      <c r="G17" s="62" t="s">
        <v>25</v>
      </c>
      <c r="H17" s="62">
        <v>20000</v>
      </c>
      <c r="I17" s="95">
        <v>4476814</v>
      </c>
      <c r="J17" s="62" t="s">
        <v>14</v>
      </c>
      <c r="K17" s="62" t="s">
        <v>16</v>
      </c>
      <c r="L17" s="371" t="s">
        <v>583</v>
      </c>
      <c r="M17" s="62" t="s">
        <v>18</v>
      </c>
      <c r="N17" s="92">
        <v>45349</v>
      </c>
      <c r="O17" s="117"/>
      <c r="P17" s="62" t="s">
        <v>1955</v>
      </c>
      <c r="Q17" s="113" t="s">
        <v>67</v>
      </c>
      <c r="R17" s="113" t="s">
        <v>67</v>
      </c>
      <c r="S17" s="62" t="s">
        <v>14</v>
      </c>
      <c r="T17" s="62" t="s">
        <v>14</v>
      </c>
      <c r="U17" s="114">
        <f>sept2021222337[[#This Row],[сумма]]-sept2021222337[[#This Row],[Цема м2 отделки]]*sept2021222337[[#This Row],[м2]]</f>
        <v>3789014</v>
      </c>
    </row>
    <row r="18" spans="1:22" s="61" customFormat="1">
      <c r="A18" s="62">
        <v>16</v>
      </c>
      <c r="B18" s="75">
        <v>29853</v>
      </c>
      <c r="C18" s="62" t="s">
        <v>13</v>
      </c>
      <c r="D18" s="75">
        <v>442</v>
      </c>
      <c r="E18" s="62">
        <v>1</v>
      </c>
      <c r="F18" s="62">
        <v>38.299999999999997</v>
      </c>
      <c r="G18" s="62" t="s">
        <v>21</v>
      </c>
      <c r="H18" s="62">
        <v>7000</v>
      </c>
      <c r="I18" s="95">
        <v>4267498</v>
      </c>
      <c r="J18" s="117" t="s">
        <v>14</v>
      </c>
      <c r="K18" s="62" t="s">
        <v>22</v>
      </c>
      <c r="L18" s="62" t="s">
        <v>583</v>
      </c>
      <c r="M18" s="62" t="s">
        <v>18</v>
      </c>
      <c r="N18" s="92">
        <v>45351</v>
      </c>
      <c r="O18" s="117"/>
      <c r="P18" s="76" t="s">
        <v>1956</v>
      </c>
      <c r="Q18" s="113" t="s">
        <v>67</v>
      </c>
      <c r="R18" s="113" t="s">
        <v>67</v>
      </c>
      <c r="S18" s="117" t="s">
        <v>14</v>
      </c>
      <c r="T18" s="117" t="s">
        <v>14</v>
      </c>
      <c r="U18" s="114">
        <f>sept2021222337[[#This Row],[сумма]]-sept2021222337[[#This Row],[Цема м2 отделки]]*sept2021222337[[#This Row],[м2]]</f>
        <v>3999398</v>
      </c>
    </row>
    <row r="19" spans="1:22" s="529" customFormat="1">
      <c r="A19" s="103">
        <v>17</v>
      </c>
      <c r="B19" s="676">
        <v>29903</v>
      </c>
      <c r="C19" s="103" t="s">
        <v>7</v>
      </c>
      <c r="D19" s="676">
        <v>210</v>
      </c>
      <c r="E19" s="103">
        <v>2</v>
      </c>
      <c r="F19" s="103">
        <v>68.75</v>
      </c>
      <c r="G19" s="103" t="s">
        <v>9</v>
      </c>
      <c r="H19" s="103"/>
      <c r="I19" s="678">
        <v>6261447</v>
      </c>
      <c r="J19" s="679" t="s">
        <v>8</v>
      </c>
      <c r="K19" s="103" t="s">
        <v>16</v>
      </c>
      <c r="L19" s="103" t="s">
        <v>583</v>
      </c>
      <c r="M19" s="103" t="s">
        <v>18</v>
      </c>
      <c r="N19" s="680">
        <v>45351</v>
      </c>
      <c r="O19" s="679"/>
      <c r="P19" s="681" t="s">
        <v>1957</v>
      </c>
      <c r="Q19" s="683"/>
      <c r="R19" s="683"/>
      <c r="S19" s="679" t="s">
        <v>8</v>
      </c>
      <c r="T19" s="679" t="s">
        <v>8</v>
      </c>
      <c r="U19" s="684">
        <f>sept2021222337[[#This Row],[сумма]]-sept2021222337[[#This Row],[Цема м2 отделки]]*sept2021222337[[#This Row],[м2]]</f>
        <v>6261447</v>
      </c>
    </row>
    <row r="20" spans="1:22" s="61" customFormat="1" ht="15">
      <c r="A20" s="62">
        <v>18</v>
      </c>
      <c r="B20" s="74">
        <v>28038</v>
      </c>
      <c r="C20" s="62" t="s">
        <v>13</v>
      </c>
      <c r="D20" s="75">
        <v>132</v>
      </c>
      <c r="E20" s="62">
        <v>2</v>
      </c>
      <c r="F20" s="62">
        <v>60.22</v>
      </c>
      <c r="G20" s="62" t="s">
        <v>25</v>
      </c>
      <c r="H20" s="62">
        <v>20000</v>
      </c>
      <c r="I20" s="95">
        <v>6739996</v>
      </c>
      <c r="J20" s="117" t="s">
        <v>8</v>
      </c>
      <c r="K20" s="62" t="s">
        <v>22</v>
      </c>
      <c r="L20" s="62" t="s">
        <v>583</v>
      </c>
      <c r="M20" s="62" t="s">
        <v>18</v>
      </c>
      <c r="N20" s="92">
        <v>45344</v>
      </c>
      <c r="O20" s="117"/>
      <c r="P20" s="547" t="s">
        <v>1958</v>
      </c>
      <c r="Q20" s="113" t="s">
        <v>67</v>
      </c>
      <c r="R20" s="113" t="s">
        <v>67</v>
      </c>
      <c r="S20" s="117" t="s">
        <v>8</v>
      </c>
      <c r="T20" s="117" t="s">
        <v>8</v>
      </c>
      <c r="U20" s="114">
        <f>sept2021222337[[#This Row],[сумма]]-sept2021222337[[#This Row],[Цема м2 отделки]]*sept2021222337[[#This Row],[м2]]</f>
        <v>5535596</v>
      </c>
    </row>
    <row r="21" spans="1:22" s="61" customFormat="1">
      <c r="A21" s="62">
        <v>19</v>
      </c>
      <c r="B21" s="74">
        <v>29965</v>
      </c>
      <c r="C21" s="62" t="s">
        <v>13</v>
      </c>
      <c r="D21" s="75">
        <v>216</v>
      </c>
      <c r="E21" s="62">
        <v>2</v>
      </c>
      <c r="F21" s="62">
        <v>60.22</v>
      </c>
      <c r="G21" s="62" t="s">
        <v>9</v>
      </c>
      <c r="H21" s="62"/>
      <c r="I21" s="95">
        <v>5653400</v>
      </c>
      <c r="J21" s="117" t="s">
        <v>20</v>
      </c>
      <c r="K21" s="62" t="s">
        <v>16</v>
      </c>
      <c r="L21" s="62" t="s">
        <v>583</v>
      </c>
      <c r="M21" s="62" t="s">
        <v>18</v>
      </c>
      <c r="N21" s="92">
        <v>45351</v>
      </c>
      <c r="O21" s="117"/>
      <c r="P21" s="76" t="s">
        <v>1959</v>
      </c>
      <c r="Q21" s="113" t="s">
        <v>67</v>
      </c>
      <c r="R21" s="113" t="s">
        <v>67</v>
      </c>
      <c r="S21" s="117" t="s">
        <v>20</v>
      </c>
      <c r="T21" s="117" t="s">
        <v>8</v>
      </c>
      <c r="U21" s="114">
        <f>sept2021222337[[#This Row],[сумма]]-sept2021222337[[#This Row],[Цема м2 отделки]]*sept2021222337[[#This Row],[м2]]</f>
        <v>5653400</v>
      </c>
    </row>
    <row r="22" spans="1:22" s="61" customFormat="1">
      <c r="A22" s="62">
        <v>20</v>
      </c>
      <c r="B22" s="74">
        <v>29835</v>
      </c>
      <c r="C22" s="62" t="s">
        <v>13</v>
      </c>
      <c r="D22" s="75">
        <v>499</v>
      </c>
      <c r="E22" s="62">
        <v>3</v>
      </c>
      <c r="F22" s="62">
        <v>79.44</v>
      </c>
      <c r="G22" s="62" t="s">
        <v>9</v>
      </c>
      <c r="H22" s="62"/>
      <c r="I22" s="95">
        <v>6876233</v>
      </c>
      <c r="J22" s="117" t="s">
        <v>8</v>
      </c>
      <c r="K22" s="62" t="s">
        <v>22</v>
      </c>
      <c r="L22" s="62" t="s">
        <v>583</v>
      </c>
      <c r="M22" s="62" t="s">
        <v>18</v>
      </c>
      <c r="N22" s="92">
        <v>45348</v>
      </c>
      <c r="O22" s="117"/>
      <c r="P22" s="682" t="s">
        <v>1960</v>
      </c>
      <c r="Q22" s="113" t="s">
        <v>67</v>
      </c>
      <c r="R22" s="113" t="s">
        <v>67</v>
      </c>
      <c r="S22" s="117" t="s">
        <v>8</v>
      </c>
      <c r="T22" s="117" t="s">
        <v>8</v>
      </c>
      <c r="U22" s="114">
        <f>sept2021222337[[#This Row],[сумма]]-sept2021222337[[#This Row],[Цема м2 отделки]]*sept2021222337[[#This Row],[м2]]</f>
        <v>6876233</v>
      </c>
    </row>
    <row r="23" spans="1:22" s="61" customFormat="1">
      <c r="A23" s="62">
        <v>21</v>
      </c>
      <c r="B23" s="75">
        <v>29445</v>
      </c>
      <c r="C23" s="62" t="s">
        <v>13</v>
      </c>
      <c r="D23" s="75">
        <v>195</v>
      </c>
      <c r="E23" s="62">
        <v>2</v>
      </c>
      <c r="F23" s="62">
        <v>60.22</v>
      </c>
      <c r="G23" s="62" t="s">
        <v>9</v>
      </c>
      <c r="H23" s="62"/>
      <c r="I23" s="95">
        <v>5546800</v>
      </c>
      <c r="J23" s="117" t="s">
        <v>14</v>
      </c>
      <c r="K23" s="62" t="s">
        <v>16</v>
      </c>
      <c r="L23" s="62" t="s">
        <v>583</v>
      </c>
      <c r="M23" s="62" t="s">
        <v>18</v>
      </c>
      <c r="N23" s="92">
        <v>45349</v>
      </c>
      <c r="O23" s="117"/>
      <c r="P23" s="62" t="s">
        <v>1961</v>
      </c>
      <c r="Q23" s="113" t="s">
        <v>67</v>
      </c>
      <c r="R23" s="113" t="s">
        <v>67</v>
      </c>
      <c r="S23" s="117" t="s">
        <v>14</v>
      </c>
      <c r="T23" s="117" t="s">
        <v>14</v>
      </c>
      <c r="U23" s="114">
        <f>sept2021222337[[#This Row],[сумма]]-sept2021222337[[#This Row],[Цема м2 отделки]]*sept2021222337[[#This Row],[м2]]</f>
        <v>5546800</v>
      </c>
    </row>
    <row r="24" spans="1:22" s="61" customFormat="1">
      <c r="A24" s="62">
        <v>22</v>
      </c>
      <c r="B24" s="75">
        <v>30098</v>
      </c>
      <c r="C24" s="62" t="s">
        <v>13</v>
      </c>
      <c r="D24" s="75">
        <v>534</v>
      </c>
      <c r="E24" s="62">
        <v>1</v>
      </c>
      <c r="F24" s="62">
        <v>43.21</v>
      </c>
      <c r="G24" s="62" t="s">
        <v>9</v>
      </c>
      <c r="H24" s="62"/>
      <c r="I24" s="95">
        <v>4817300</v>
      </c>
      <c r="J24" s="348" t="s">
        <v>20</v>
      </c>
      <c r="K24" s="62" t="s">
        <v>16</v>
      </c>
      <c r="L24" s="62" t="s">
        <v>583</v>
      </c>
      <c r="M24" s="62" t="s">
        <v>18</v>
      </c>
      <c r="N24" s="92">
        <v>45351</v>
      </c>
      <c r="O24" s="62"/>
      <c r="P24" s="62" t="s">
        <v>1962</v>
      </c>
      <c r="Q24" s="113" t="s">
        <v>67</v>
      </c>
      <c r="R24" s="113" t="s">
        <v>67</v>
      </c>
      <c r="S24" s="117" t="s">
        <v>20</v>
      </c>
      <c r="T24" s="117" t="s">
        <v>20</v>
      </c>
      <c r="U24" s="114">
        <f>sept2021222337[[#This Row],[сумма]]-sept2021222337[[#This Row],[Цема м2 отделки]]*sept2021222337[[#This Row],[м2]]</f>
        <v>4817300</v>
      </c>
    </row>
    <row r="25" spans="1:22" s="61" customFormat="1">
      <c r="A25" s="62">
        <v>23</v>
      </c>
      <c r="B25" s="75">
        <v>30132</v>
      </c>
      <c r="C25" s="62" t="s">
        <v>13</v>
      </c>
      <c r="D25" s="75">
        <v>174</v>
      </c>
      <c r="E25" s="62">
        <v>2</v>
      </c>
      <c r="F25" s="62">
        <v>60.22</v>
      </c>
      <c r="G25" s="62" t="s">
        <v>9</v>
      </c>
      <c r="H25" s="62"/>
      <c r="I25" s="95">
        <v>5653400</v>
      </c>
      <c r="J25" s="117" t="s">
        <v>31</v>
      </c>
      <c r="K25" s="62" t="s">
        <v>16</v>
      </c>
      <c r="L25" s="62" t="s">
        <v>583</v>
      </c>
      <c r="M25" s="62" t="s">
        <v>18</v>
      </c>
      <c r="N25" s="92">
        <v>45351</v>
      </c>
      <c r="O25" s="117"/>
      <c r="P25" s="62" t="s">
        <v>1963</v>
      </c>
      <c r="Q25" s="113" t="s">
        <v>67</v>
      </c>
      <c r="R25" s="113" t="s">
        <v>67</v>
      </c>
      <c r="S25" s="117" t="s">
        <v>31</v>
      </c>
      <c r="T25" s="117" t="s">
        <v>14</v>
      </c>
      <c r="U25" s="114">
        <f>sept2021222337[[#This Row],[сумма]]-sept2021222337[[#This Row],[Цема м2 отделки]]*sept2021222337[[#This Row],[м2]]</f>
        <v>5653400</v>
      </c>
    </row>
    <row r="26" spans="1:22" s="61" customFormat="1">
      <c r="A26" s="65">
        <v>24</v>
      </c>
      <c r="B26" s="79">
        <v>30193</v>
      </c>
      <c r="C26" s="65" t="s">
        <v>13</v>
      </c>
      <c r="D26" s="79">
        <v>317</v>
      </c>
      <c r="E26" s="87">
        <v>1</v>
      </c>
      <c r="F26" s="65">
        <v>37.81</v>
      </c>
      <c r="G26" s="65" t="s">
        <v>9</v>
      </c>
      <c r="H26" s="72"/>
      <c r="I26" s="93"/>
      <c r="J26" s="72" t="s">
        <v>14</v>
      </c>
      <c r="K26" s="65" t="s">
        <v>16</v>
      </c>
      <c r="L26" s="65" t="s">
        <v>583</v>
      </c>
      <c r="M26" s="65" t="s">
        <v>18</v>
      </c>
      <c r="N26" s="98"/>
      <c r="O26" s="65"/>
      <c r="P26" s="65" t="s">
        <v>1964</v>
      </c>
      <c r="Q26" s="118"/>
      <c r="R26" s="683"/>
      <c r="S26" s="65" t="s">
        <v>14</v>
      </c>
      <c r="T26" s="65" t="s">
        <v>14</v>
      </c>
      <c r="U26" s="115">
        <f>sept2021222337[[#This Row],[сумма]]-sept2021222337[[#This Row],[Цема м2 отделки]]*sept2021222337[[#This Row],[м2]]</f>
        <v>0</v>
      </c>
      <c r="V26" s="66"/>
    </row>
    <row r="27" spans="1:22" s="61" customFormat="1">
      <c r="A27" s="62">
        <v>25</v>
      </c>
      <c r="B27" s="75">
        <v>29978</v>
      </c>
      <c r="C27" s="62" t="s">
        <v>13</v>
      </c>
      <c r="D27" s="75">
        <v>153</v>
      </c>
      <c r="E27" s="349">
        <v>2</v>
      </c>
      <c r="F27" s="62">
        <v>60.22</v>
      </c>
      <c r="G27" s="62" t="s">
        <v>25</v>
      </c>
      <c r="H27" s="81">
        <v>20000</v>
      </c>
      <c r="I27" s="95">
        <v>6584796</v>
      </c>
      <c r="J27" s="117" t="s">
        <v>8</v>
      </c>
      <c r="K27" s="62" t="s">
        <v>16</v>
      </c>
      <c r="L27" s="62" t="s">
        <v>583</v>
      </c>
      <c r="M27" s="62" t="s">
        <v>18</v>
      </c>
      <c r="N27" s="92">
        <v>45351</v>
      </c>
      <c r="O27" s="62"/>
      <c r="P27" s="117" t="s">
        <v>1965</v>
      </c>
      <c r="Q27" s="113" t="s">
        <v>67</v>
      </c>
      <c r="R27" s="113" t="s">
        <v>67</v>
      </c>
      <c r="S27" s="117" t="s">
        <v>8</v>
      </c>
      <c r="T27" s="117" t="s">
        <v>20</v>
      </c>
      <c r="U27" s="114">
        <f>sept2021222337[[#This Row],[сумма]]-sept2021222337[[#This Row],[Цема м2 отделки]]*sept2021222337[[#This Row],[м2]]</f>
        <v>5380396</v>
      </c>
    </row>
    <row r="28" spans="1:22" s="61" customFormat="1">
      <c r="A28" s="62">
        <v>26</v>
      </c>
      <c r="B28" s="74">
        <v>29246</v>
      </c>
      <c r="C28" s="62" t="s">
        <v>13</v>
      </c>
      <c r="D28" s="75">
        <v>177</v>
      </c>
      <c r="E28" s="62">
        <v>2</v>
      </c>
      <c r="F28" s="62">
        <v>58.31</v>
      </c>
      <c r="G28" s="62" t="s">
        <v>25</v>
      </c>
      <c r="H28" s="62">
        <v>20000</v>
      </c>
      <c r="I28" s="95">
        <v>6614500</v>
      </c>
      <c r="J28" s="117" t="s">
        <v>14</v>
      </c>
      <c r="K28" s="62" t="s">
        <v>22</v>
      </c>
      <c r="L28" s="62" t="s">
        <v>583</v>
      </c>
      <c r="M28" s="62" t="s">
        <v>18</v>
      </c>
      <c r="N28" s="92">
        <v>45351</v>
      </c>
      <c r="O28" s="117"/>
      <c r="P28" s="62" t="s">
        <v>1966</v>
      </c>
      <c r="Q28" s="113" t="s">
        <v>67</v>
      </c>
      <c r="R28" s="113" t="s">
        <v>67</v>
      </c>
      <c r="S28" s="117" t="s">
        <v>14</v>
      </c>
      <c r="T28" s="117" t="s">
        <v>20</v>
      </c>
      <c r="U28" s="114">
        <f>sept2021222337[[#This Row],[сумма]]-sept2021222337[[#This Row],[Цема м2 отделки]]*sept2021222337[[#This Row],[м2]]</f>
        <v>5448300</v>
      </c>
    </row>
    <row r="29" spans="1:22" s="61" customFormat="1">
      <c r="A29" s="62">
        <v>27</v>
      </c>
      <c r="B29" s="74">
        <v>29647</v>
      </c>
      <c r="C29" s="62" t="s">
        <v>7</v>
      </c>
      <c r="D29" s="75">
        <v>341</v>
      </c>
      <c r="E29" s="62">
        <v>0</v>
      </c>
      <c r="F29" s="62">
        <v>36.450000000000003</v>
      </c>
      <c r="G29" s="62" t="s">
        <v>15</v>
      </c>
      <c r="H29" s="62">
        <v>7500</v>
      </c>
      <c r="I29" s="95">
        <v>4290875</v>
      </c>
      <c r="J29" s="117" t="s">
        <v>8</v>
      </c>
      <c r="K29" s="62" t="s">
        <v>22</v>
      </c>
      <c r="L29" s="62" t="s">
        <v>583</v>
      </c>
      <c r="M29" s="62" t="s">
        <v>18</v>
      </c>
      <c r="N29" s="92">
        <v>45351</v>
      </c>
      <c r="O29" s="117"/>
      <c r="P29" s="62" t="s">
        <v>1967</v>
      </c>
      <c r="Q29" s="113" t="s">
        <v>67</v>
      </c>
      <c r="R29" s="113" t="s">
        <v>67</v>
      </c>
      <c r="S29" s="117" t="s">
        <v>8</v>
      </c>
      <c r="T29" s="117" t="s">
        <v>20</v>
      </c>
      <c r="U29" s="114">
        <f>sept2021222337[[#This Row],[сумма]]-sept2021222337[[#This Row],[Цема м2 отделки]]*sept2021222337[[#This Row],[м2]]</f>
        <v>4017500</v>
      </c>
    </row>
    <row r="30" spans="1:22" s="61" customFormat="1">
      <c r="A30" s="62">
        <v>28</v>
      </c>
      <c r="B30" s="75">
        <v>29516</v>
      </c>
      <c r="C30" s="62" t="s">
        <v>74</v>
      </c>
      <c r="D30" s="75">
        <v>9</v>
      </c>
      <c r="E30" s="62" t="s">
        <v>1337</v>
      </c>
      <c r="F30" s="62">
        <v>242.4</v>
      </c>
      <c r="G30" s="62" t="s">
        <v>9</v>
      </c>
      <c r="H30" s="62"/>
      <c r="I30" s="95">
        <v>30566640</v>
      </c>
      <c r="J30" s="117" t="s">
        <v>77</v>
      </c>
      <c r="K30" s="62" t="s">
        <v>16</v>
      </c>
      <c r="L30" s="62" t="s">
        <v>583</v>
      </c>
      <c r="M30" s="62" t="s">
        <v>18</v>
      </c>
      <c r="N30" s="92">
        <v>45350</v>
      </c>
      <c r="O30" s="117"/>
      <c r="P30" s="62" t="s">
        <v>1968</v>
      </c>
      <c r="Q30" s="76" t="s">
        <v>67</v>
      </c>
      <c r="R30" s="76" t="s">
        <v>67</v>
      </c>
      <c r="S30" s="117" t="s">
        <v>77</v>
      </c>
      <c r="T30" s="117" t="s">
        <v>77</v>
      </c>
      <c r="U30" s="114">
        <f>sept2021222337[[#This Row],[сумма]]-sept2021222337[[#This Row],[Цема м2 отделки]]*sept2021222337[[#This Row],[м2]]</f>
        <v>30566640</v>
      </c>
    </row>
    <row r="31" spans="1:22" s="368" customFormat="1">
      <c r="A31" s="62">
        <v>29</v>
      </c>
      <c r="B31" s="75">
        <v>29665</v>
      </c>
      <c r="C31" s="62" t="s">
        <v>74</v>
      </c>
      <c r="D31" s="75">
        <v>10</v>
      </c>
      <c r="E31" s="62" t="s">
        <v>1337</v>
      </c>
      <c r="F31" s="62">
        <v>335.9</v>
      </c>
      <c r="G31" s="62" t="s">
        <v>9</v>
      </c>
      <c r="H31" s="62"/>
      <c r="I31" s="95">
        <v>42356990</v>
      </c>
      <c r="J31" s="117" t="s">
        <v>77</v>
      </c>
      <c r="K31" s="62" t="s">
        <v>10</v>
      </c>
      <c r="L31" s="62"/>
      <c r="M31" s="62" t="s">
        <v>18</v>
      </c>
      <c r="N31" s="92">
        <v>45350</v>
      </c>
      <c r="O31" s="117"/>
      <c r="P31" s="62" t="s">
        <v>1968</v>
      </c>
      <c r="Q31" s="113" t="s">
        <v>67</v>
      </c>
      <c r="R31" s="113" t="s">
        <v>67</v>
      </c>
      <c r="S31" s="117" t="s">
        <v>77</v>
      </c>
      <c r="T31" s="117" t="s">
        <v>77</v>
      </c>
      <c r="U31" s="114">
        <f>sept2021222337[[#This Row],[сумма]]-sept2021222337[[#This Row],[Цема м2 отделки]]*sept2021222337[[#This Row],[м2]]</f>
        <v>42356990</v>
      </c>
      <c r="V31" s="61"/>
    </row>
    <row r="32" spans="1:22" s="61" customFormat="1">
      <c r="A32" s="65"/>
      <c r="B32" s="79"/>
      <c r="C32" s="65"/>
      <c r="D32" s="79"/>
      <c r="E32" s="87"/>
      <c r="F32" s="79"/>
      <c r="G32" s="65"/>
      <c r="H32" s="72"/>
      <c r="I32" s="93"/>
      <c r="J32" s="65"/>
      <c r="K32" s="65"/>
      <c r="L32" s="65"/>
      <c r="M32" s="65"/>
      <c r="N32" s="98"/>
      <c r="O32" s="65"/>
      <c r="P32" s="65"/>
      <c r="Q32" s="118"/>
      <c r="R32" s="118"/>
      <c r="S32" s="65"/>
      <c r="T32" s="65"/>
      <c r="U32" s="115">
        <f>sept2021222337[[#This Row],[сумма]]-sept2021222337[[#This Row],[Цема м2 отделки]]*sept2021222337[[#This Row],[м2]]</f>
        <v>0</v>
      </c>
      <c r="V32" s="66"/>
    </row>
    <row r="33" spans="1:22" s="368" customFormat="1">
      <c r="A33" s="65"/>
      <c r="B33" s="79"/>
      <c r="C33" s="65"/>
      <c r="D33" s="79"/>
      <c r="E33" s="65"/>
      <c r="F33" s="65"/>
      <c r="G33" s="65"/>
      <c r="H33" s="65"/>
      <c r="I33" s="106"/>
      <c r="J33" s="80"/>
      <c r="K33" s="65"/>
      <c r="L33" s="65"/>
      <c r="M33" s="65"/>
      <c r="N33" s="98"/>
      <c r="O33" s="80"/>
      <c r="P33" s="65"/>
      <c r="Q33" s="118"/>
      <c r="R33" s="118"/>
      <c r="S33" s="80"/>
      <c r="T33" s="80"/>
      <c r="U33" s="115">
        <f>sept2021222337[[#This Row],[сумма]]-sept2021222337[[#This Row],[Цема м2 отделки]]*sept2021222337[[#This Row],[м2]]</f>
        <v>0</v>
      </c>
      <c r="V33" s="66"/>
    </row>
    <row r="34" spans="1:22" s="61" customFormat="1">
      <c r="A34" s="65"/>
      <c r="B34" s="79"/>
      <c r="C34" s="65"/>
      <c r="D34" s="79"/>
      <c r="E34" s="65"/>
      <c r="F34" s="65"/>
      <c r="G34" s="65"/>
      <c r="H34" s="65"/>
      <c r="I34" s="93"/>
      <c r="J34" s="80"/>
      <c r="K34" s="65"/>
      <c r="L34" s="107"/>
      <c r="M34" s="65"/>
      <c r="N34" s="98"/>
      <c r="O34" s="80"/>
      <c r="P34" s="65"/>
      <c r="Q34" s="86"/>
      <c r="R34" s="86"/>
      <c r="S34" s="80"/>
      <c r="T34" s="80"/>
      <c r="U34" s="115">
        <f>sept2021222337[[#This Row],[сумма]]-sept2021222337[[#This Row],[Цема м2 отделки]]*sept2021222337[[#This Row],[м2]]</f>
        <v>0</v>
      </c>
      <c r="V34" s="66"/>
    </row>
    <row r="35" spans="1:22" s="61" customFormat="1">
      <c r="A35" s="65"/>
      <c r="B35" s="77"/>
      <c r="C35" s="65"/>
      <c r="D35" s="65"/>
      <c r="E35" s="65"/>
      <c r="F35" s="79"/>
      <c r="G35" s="65"/>
      <c r="H35" s="65"/>
      <c r="I35" s="93"/>
      <c r="J35" s="65"/>
      <c r="K35" s="65"/>
      <c r="L35" s="65"/>
      <c r="M35" s="65"/>
      <c r="N35" s="98"/>
      <c r="O35" s="80"/>
      <c r="P35" s="65"/>
      <c r="Q35" s="86"/>
      <c r="R35" s="86"/>
      <c r="S35" s="80"/>
      <c r="T35" s="80"/>
      <c r="U35" s="115">
        <f>sept2021222337[[#This Row],[сумма]]-sept2021222337[[#This Row],[Цема м2 отделки]]*sept2021222337[[#This Row],[м2]]</f>
        <v>0</v>
      </c>
      <c r="V35" s="66"/>
    </row>
    <row r="36" spans="1:22" s="61" customFormat="1">
      <c r="A36" s="65"/>
      <c r="B36" s="79"/>
      <c r="C36" s="65"/>
      <c r="D36" s="79"/>
      <c r="E36" s="65"/>
      <c r="F36" s="65"/>
      <c r="G36" s="65"/>
      <c r="H36" s="65"/>
      <c r="I36" s="93"/>
      <c r="J36" s="80"/>
      <c r="K36" s="65"/>
      <c r="L36" s="65"/>
      <c r="M36" s="65"/>
      <c r="N36" s="98"/>
      <c r="O36" s="80"/>
      <c r="P36" s="65"/>
      <c r="Q36" s="118"/>
      <c r="R36" s="118"/>
      <c r="S36" s="80"/>
      <c r="T36" s="80"/>
      <c r="U36" s="115">
        <f>sept2021222337[[#This Row],[сумма]]-sept2021222337[[#This Row],[Цема м2 отделки]]*sept2021222337[[#This Row],[м2]]</f>
        <v>0</v>
      </c>
      <c r="V36" s="66"/>
    </row>
    <row r="37" spans="1:22" s="61" customFormat="1">
      <c r="A37" s="65"/>
      <c r="B37" s="79"/>
      <c r="C37" s="65"/>
      <c r="D37" s="79"/>
      <c r="E37" s="65"/>
      <c r="F37" s="65"/>
      <c r="G37" s="65"/>
      <c r="H37" s="65"/>
      <c r="I37" s="93"/>
      <c r="J37" s="80"/>
      <c r="K37" s="65"/>
      <c r="L37" s="65"/>
      <c r="M37" s="65"/>
      <c r="N37" s="98"/>
      <c r="O37" s="80"/>
      <c r="P37" s="65"/>
      <c r="Q37" s="118"/>
      <c r="R37" s="118"/>
      <c r="S37" s="80"/>
      <c r="T37" s="80"/>
      <c r="U37" s="115">
        <f>sept2021222337[[#This Row],[сумма]]-sept2021222337[[#This Row],[Цема м2 отделки]]*sept2021222337[[#This Row],[м2]]</f>
        <v>0</v>
      </c>
      <c r="V37" s="66"/>
    </row>
    <row r="38" spans="1:22" s="61" customFormat="1">
      <c r="A38" s="65"/>
      <c r="B38" s="79"/>
      <c r="C38" s="65"/>
      <c r="D38" s="79"/>
      <c r="E38" s="65"/>
      <c r="F38" s="65"/>
      <c r="G38" s="65"/>
      <c r="H38" s="65"/>
      <c r="I38" s="93"/>
      <c r="J38" s="80"/>
      <c r="K38" s="65"/>
      <c r="L38" s="65"/>
      <c r="M38" s="65"/>
      <c r="N38" s="98"/>
      <c r="O38" s="80"/>
      <c r="P38" s="65"/>
      <c r="Q38" s="118"/>
      <c r="R38" s="118"/>
      <c r="S38" s="80"/>
      <c r="T38" s="80"/>
      <c r="U38" s="115">
        <f>sept2021222337[[#This Row],[сумма]]-sept2021222337[[#This Row],[Цема м2 отделки]]*sept2021222337[[#This Row],[м2]]</f>
        <v>0</v>
      </c>
      <c r="V38" s="66"/>
    </row>
    <row r="39" spans="1:22" s="61" customFormat="1">
      <c r="A39" s="65"/>
      <c r="B39" s="79"/>
      <c r="C39" s="65"/>
      <c r="D39" s="79"/>
      <c r="E39" s="65"/>
      <c r="F39" s="65"/>
      <c r="G39" s="65"/>
      <c r="H39" s="65"/>
      <c r="I39" s="93"/>
      <c r="J39" s="80"/>
      <c r="K39" s="65"/>
      <c r="L39" s="65"/>
      <c r="M39" s="108"/>
      <c r="N39" s="98"/>
      <c r="O39" s="80"/>
      <c r="P39" s="65"/>
      <c r="Q39" s="86"/>
      <c r="R39" s="118"/>
      <c r="S39" s="80"/>
      <c r="T39" s="80"/>
      <c r="U39" s="115">
        <f>sept2021222337[[#This Row],[сумма]]-sept2021222337[[#This Row],[Цема м2 отделки]]*sept2021222337[[#This Row],[м2]]</f>
        <v>0</v>
      </c>
      <c r="V39" s="66"/>
    </row>
    <row r="40" spans="1:22">
      <c r="A40" s="65"/>
      <c r="B40" s="78"/>
      <c r="C40" s="65"/>
      <c r="D40" s="79"/>
      <c r="E40" s="65"/>
      <c r="F40" s="65"/>
      <c r="G40" s="65"/>
      <c r="H40" s="65"/>
      <c r="I40" s="93"/>
      <c r="J40" s="65"/>
      <c r="K40" s="65"/>
      <c r="L40" s="65"/>
      <c r="M40" s="65"/>
      <c r="N40" s="98"/>
      <c r="O40" s="80"/>
      <c r="P40" s="65"/>
      <c r="Q40" s="118"/>
      <c r="R40" s="118"/>
      <c r="S40" s="65"/>
      <c r="U40" s="115">
        <f>sept2021222337[[#This Row],[сумма]]-sept2021222337[[#This Row],[Цема м2 отделки]]*sept2021222337[[#This Row],[м2]]</f>
        <v>0</v>
      </c>
    </row>
    <row r="41" spans="1:22" s="61" customFormat="1">
      <c r="A41" s="65"/>
      <c r="B41" s="79"/>
      <c r="C41" s="65"/>
      <c r="D41" s="79"/>
      <c r="E41" s="65"/>
      <c r="F41" s="65"/>
      <c r="G41" s="65"/>
      <c r="H41" s="65"/>
      <c r="I41" s="93"/>
      <c r="J41" s="65"/>
      <c r="K41" s="65"/>
      <c r="L41" s="65"/>
      <c r="M41" s="65"/>
      <c r="N41" s="98"/>
      <c r="O41" s="679"/>
      <c r="P41" s="86"/>
      <c r="Q41" s="118"/>
      <c r="R41" s="118"/>
      <c r="S41" s="65"/>
      <c r="T41" s="65"/>
      <c r="U41" s="115">
        <f>sept2021222337[[#This Row],[сумма]]-sept2021222337[[#This Row],[Цема м2 отделки]]*sept2021222337[[#This Row],[м2]]</f>
        <v>0</v>
      </c>
      <c r="V41" s="66"/>
    </row>
    <row r="42" spans="1:22" s="61" customFormat="1">
      <c r="A42" s="65"/>
      <c r="B42" s="79"/>
      <c r="C42" s="65"/>
      <c r="D42" s="79"/>
      <c r="E42" s="65"/>
      <c r="F42" s="65"/>
      <c r="G42" s="65"/>
      <c r="H42" s="65"/>
      <c r="I42" s="93"/>
      <c r="J42" s="80"/>
      <c r="K42" s="65"/>
      <c r="L42" s="65"/>
      <c r="M42" s="65"/>
      <c r="N42" s="98"/>
      <c r="O42" s="80"/>
      <c r="P42" s="65"/>
      <c r="Q42" s="118"/>
      <c r="R42" s="118"/>
      <c r="S42" s="80"/>
      <c r="T42" s="80"/>
      <c r="U42" s="115">
        <f>sept2021222337[[#This Row],[сумма]]-sept2021222337[[#This Row],[Цема м2 отделки]]*sept2021222337[[#This Row],[м2]]</f>
        <v>0</v>
      </c>
      <c r="V42" s="66"/>
    </row>
    <row r="43" spans="1:22" s="61" customFormat="1">
      <c r="A43" s="65"/>
      <c r="B43" s="78"/>
      <c r="C43" s="65"/>
      <c r="D43" s="79"/>
      <c r="E43" s="65"/>
      <c r="F43" s="65"/>
      <c r="G43" s="89"/>
      <c r="H43" s="89"/>
      <c r="I43" s="93"/>
      <c r="J43" s="80"/>
      <c r="K43" s="65"/>
      <c r="L43" s="65"/>
      <c r="M43" s="65"/>
      <c r="N43" s="98"/>
      <c r="O43" s="80"/>
      <c r="P43" s="65"/>
      <c r="Q43" s="118"/>
      <c r="R43" s="118"/>
      <c r="S43" s="80"/>
      <c r="T43" s="80"/>
      <c r="U43" s="115">
        <f>sept2021222337[[#This Row],[сумма]]-sept2021222337[[#This Row],[Цема м2 отделки]]*sept2021222337[[#This Row],[м2]]</f>
        <v>0</v>
      </c>
      <c r="V43" s="66"/>
    </row>
    <row r="44" spans="1:22" s="61" customFormat="1">
      <c r="A44" s="65"/>
      <c r="B44" s="79"/>
      <c r="C44" s="65"/>
      <c r="D44" s="79"/>
      <c r="E44" s="65"/>
      <c r="F44" s="65"/>
      <c r="G44" s="65"/>
      <c r="H44" s="65"/>
      <c r="I44" s="93"/>
      <c r="J44" s="80"/>
      <c r="K44" s="65"/>
      <c r="L44" s="65"/>
      <c r="M44" s="65"/>
      <c r="N44" s="98"/>
      <c r="O44" s="65"/>
      <c r="P44" s="65"/>
      <c r="Q44" s="118"/>
      <c r="R44" s="118"/>
      <c r="S44" s="80"/>
      <c r="T44" s="80"/>
      <c r="U44" s="115">
        <f>sept2021222337[[#This Row],[сумма]]-sept2021222337[[#This Row],[Цема м2 отделки]]*sept2021222337[[#This Row],[м2]]</f>
        <v>0</v>
      </c>
      <c r="V44" s="66"/>
    </row>
    <row r="45" spans="1:22" s="61" customFormat="1">
      <c r="A45" s="65"/>
      <c r="B45" s="79"/>
      <c r="C45" s="65"/>
      <c r="D45" s="79"/>
      <c r="E45" s="65"/>
      <c r="F45" s="65"/>
      <c r="G45" s="65"/>
      <c r="H45" s="65"/>
      <c r="I45" s="93"/>
      <c r="J45" s="80"/>
      <c r="K45" s="65"/>
      <c r="L45" s="65"/>
      <c r="M45" s="65"/>
      <c r="N45" s="98"/>
      <c r="O45" s="65"/>
      <c r="P45" s="65"/>
      <c r="Q45" s="118"/>
      <c r="R45" s="118"/>
      <c r="S45" s="80"/>
      <c r="T45" s="80"/>
      <c r="U45" s="115">
        <f>sept2021222337[[#This Row],[сумма]]-sept2021222337[[#This Row],[Цема м2 отделки]]*sept2021222337[[#This Row],[м2]]</f>
        <v>0</v>
      </c>
      <c r="V45" s="66"/>
    </row>
    <row r="46" spans="1:22" s="61" customFormat="1">
      <c r="A46" s="65"/>
      <c r="B46" s="78"/>
      <c r="C46" s="65"/>
      <c r="D46" s="79"/>
      <c r="E46" s="65"/>
      <c r="F46" s="65"/>
      <c r="G46" s="65"/>
      <c r="H46" s="77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sept2021222337[[#This Row],[сумма]]-sept2021222337[[#This Row],[Цема м2 отделки]]*sept2021222337[[#This Row],[м2]]</f>
        <v>0</v>
      </c>
      <c r="V46" s="66"/>
    </row>
    <row r="47" spans="1:22" s="61" customFormat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sept2021222337[[#This Row],[сумма]]-sept2021222337[[#This Row],[Цема м2 отделки]]*sept2021222337[[#This Row],[м2]]</f>
        <v>0</v>
      </c>
      <c r="V47" s="66"/>
    </row>
    <row r="48" spans="1:22" s="61" customFormat="1">
      <c r="A48" s="65"/>
      <c r="B48" s="78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118"/>
      <c r="R48" s="118"/>
      <c r="S48" s="80"/>
      <c r="T48" s="80"/>
      <c r="U48" s="115">
        <f>sept2021222337[[#This Row],[сумма]]-sept2021222337[[#This Row],[Цема м2 отделки]]*sept2021222337[[#This Row],[м2]]</f>
        <v>0</v>
      </c>
      <c r="V48" s="66"/>
    </row>
    <row r="49" spans="1:22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86"/>
      <c r="Q49" s="86"/>
      <c r="R49" s="86"/>
      <c r="S49" s="80"/>
      <c r="T49" s="80"/>
      <c r="U49" s="115">
        <f>sept2021222337[[#This Row],[сумма]]-sept2021222337[[#This Row],[Цема м2 отделки]]*sept2021222337[[#This Row],[м2]]</f>
        <v>0</v>
      </c>
    </row>
    <row r="50" spans="1:22" s="368" customFormat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sept2021222337[[#This Row],[сумма]]-sept2021222337[[#This Row],[Цема м2 отделки]]*sept2021222337[[#This Row],[м2]]</f>
        <v>0</v>
      </c>
      <c r="V50" s="66"/>
    </row>
    <row r="51" spans="1:22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sept2021222337[[#This Row],[сумма]]-sept2021222337[[#This Row],[Цема м2 отделки]]*sept2021222337[[#This Row],[м2]]</f>
        <v>0</v>
      </c>
    </row>
    <row r="52" spans="1:22" s="61" customFormat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118"/>
      <c r="R52" s="86"/>
      <c r="S52" s="80"/>
      <c r="T52" s="80"/>
      <c r="U52" s="115">
        <f>sept2021222337[[#This Row],[сумма]]-sept2021222337[[#This Row],[Цема м2 отделки]]*sept2021222337[[#This Row],[м2]]</f>
        <v>0</v>
      </c>
      <c r="V52" s="66"/>
    </row>
    <row r="53" spans="1:22" s="61" customFormat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sept2021222337[[#This Row],[сумма]]-sept2021222337[[#This Row],[Цема м2 отделки]]*sept2021222337[[#This Row],[м2]]</f>
        <v>0</v>
      </c>
      <c r="V53" s="66"/>
    </row>
    <row r="54" spans="1:22" s="368" customFormat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sept2021222337[[#This Row],[сумма]]-sept2021222337[[#This Row],[Цема м2 отделки]]*sept2021222337[[#This Row],[м2]]</f>
        <v>0</v>
      </c>
      <c r="V54" s="66"/>
    </row>
    <row r="55" spans="1:22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sept2021222337[[#This Row],[сумма]]-sept2021222337[[#This Row],[Цема м2 отделки]]*sept2021222337[[#This Row],[м2]]</f>
        <v>0</v>
      </c>
    </row>
    <row r="56" spans="1:22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sept2021222337[[#This Row],[сумма]]-sept2021222337[[#This Row],[Цема м2 отделки]]*sept2021222337[[#This Row],[м2]]</f>
        <v>0</v>
      </c>
    </row>
    <row r="57" spans="1:22" s="368" customFormat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sept2021222337[[#This Row],[сумма]]-sept2021222337[[#This Row],[Цема м2 отделки]]*sept2021222337[[#This Row],[м2]]</f>
        <v>0</v>
      </c>
      <c r="V57" s="66"/>
    </row>
    <row r="58" spans="1:22">
      <c r="A58" s="65"/>
      <c r="B58" s="78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sept2021222337[[#This Row],[сумма]]-sept2021222337[[#This Row],[Цема м2 отделки]]*sept2021222337[[#This Row],[м2]]</f>
        <v>0</v>
      </c>
    </row>
    <row r="59" spans="1:22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sept2021222337[[#This Row],[сумма]]-sept2021222337[[#This Row],[Цема м2 отделки]]*sept2021222337[[#This Row],[м2]]</f>
        <v>0</v>
      </c>
    </row>
    <row r="60" spans="1:22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sept2021222337[[#This Row],[сумма]]-sept2021222337[[#This Row],[Цема м2 отделки]]*sept2021222337[[#This Row],[м2]]</f>
        <v>0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sept2021222337[[#This Row],[сумма]]-sept2021222337[[#This Row],[Цема м2 отделки]]*sept2021222337[[#This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sept2021222337[[#This Row],[сумма]]-sept2021222337[[#This Row],[Цема м2 отделки]]*sept2021222337[[#This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sept2021222337[[#This Row],[сумма]]-sept2021222337[[#This Row],[Цема м2 отделки]]*sept2021222337[[#This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sept2021222337[[#This Row],[сумма]]-sept2021222337[[#This Row],[Цема м2 отделки]]*sept2021222337[[#This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sept2021222337[[#This Row],[сумма]]-sept2021222337[[#This Row],[Цема м2 отделки]]*sept2021222337[[#This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sept2021222337[[#This Row],[сумма]]-sept2021222337[[#This Row],[Цема м2 отделки]]*sept2021222337[[#This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sept2021222337[[#This Row],[сумма]]-sept2021222337[[#This Row],[Цема м2 отделки]]*sept2021222337[[#This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sept2021222337[[#This Row],[сумма]]-sept2021222337[[#This Row],[Цема м2 отделки]]*sept2021222337[[#This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sept2021222337[[#This Row],[сумма]]-sept2021222337[[#This Row],[Цема м2 отделки]]*sept2021222337[[#This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sept2021222337[[#This Row],[сумма]]-sept2021222337[[#This Row],[Цема м2 отделки]]*sept2021222337[[#This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sept2021222337[[#This Row],[сумма]]-sept2021222337[[#This Row],[Цема м2 отделки]]*sept2021222337[[#This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sept2021222337[[#This Row],[сумма]]-sept2021222337[[#This Row],[Цема м2 отделки]]*sept2021222337[[#This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sept2021222337[[#This Row],[сумма]]-sept2021222337[[#This Row],[Цема м2 отделки]]*sept2021222337[[#This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sept2021222337[[#This Row],[сумма]]-sept2021222337[[#This Row],[Цема м2 отделки]]*sept2021222337[[#This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sept2021222337[[#This Row],[сумма]]-sept2021222337[[#This Row],[Цема м2 отделки]]*sept2021222337[[#This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sept2021222337[[#This Row],[сумма]]-sept2021222337[[#This Row],[Цема м2 отделки]]*sept2021222337[[#This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sept2021222337[[#This Row],[сумма]]-sept2021222337[[#This Row],[Цема м2 отделки]]*sept2021222337[[#This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sept2021222337[[#This Row],[сумма]]-sept2021222337[[#This Row],[Цема м2 отделки]]*sept2021222337[[#This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sept2021222337[[#This Row],[сумма]]-sept2021222337[[#This Row],[Цема м2 отделки]]*sept2021222337[[#This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sept2021222337[[#This Row],[сумма]]-sept2021222337[[#This Row],[Цема м2 отделки]]*sept2021222337[[#This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sept2021222337[[#This Row],[сумма]]-sept2021222337[[#This Row],[Цема м2 отделки]]*sept2021222337[[#This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sept2021222337[[#This Row],[сумма]]-sept2021222337[[#This Row],[Цема м2 отделки]]*sept2021222337[[#This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sept2021222337[[#This Row],[сумма]]-sept2021222337[[#This Row],[Цема м2 отделки]]*sept2021222337[[#This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sept2021222337[[#This Row],[сумма]]-sept2021222337[[#This Row],[Цема м2 отделки]]*sept2021222337[[#This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sept2021222337[[#This Row],[сумма]]-sept2021222337[[#This Row],[Цема м2 отделки]]*sept2021222337[[#This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sept2021222337[[#This Row],[сумма]]-sept2021222337[[#This Row],[Цема м2 отделки]]*sept2021222337[[#This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sept2021222337[[#This Row],[сумма]]-sept2021222337[[#This Row],[Цема м2 отделки]]*sept2021222337[[#This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sept2021222337[[#This Row],[сумма]]-sept2021222337[[#This Row],[Цема м2 отделки]]*sept2021222337[[#This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sept2021222337[[#This Row],[сумма]]-sept2021222337[[#This Row],[Цема м2 отделки]]*sept2021222337[[#This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sept2021222337[[#This Row],[сумма]]-sept2021222337[[#This Row],[Цема м2 отделки]]*sept2021222337[[#This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sept2021222337[[#This Row],[сумма]]-sept2021222337[[#This Row],[Цема м2 отделки]]*sept2021222337[[#This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sept2021222337[[#This Row],[сумма]]-sept2021222337[[#This Row],[Цема м2 отделки]]*sept2021222337[[#This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sept2021222337[[#This Row],[сумма]]-sept2021222337[[#This Row],[Цема м2 отделки]]*sept2021222337[[#This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sept2021222337[[#This Row],[сумма]]-sept2021222337[[#This Row],[Цема м2 отделки]]*sept2021222337[[#This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sept2021222337[[#This Row],[сумма]]-sept2021222337[[#This Row],[Цема м2 отделки]]*sept2021222337[[#This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sept2021222337[[#This Row],[сумма]]-sept2021222337[[#This Row],[Цема м2 отделки]]*sept2021222337[[#This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sept2021222337[[#This Row],[сумма]]-sept2021222337[[#This Row],[Цема м2 отделки]]*sept2021222337[[#This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sept2021222337[[#This Row],[сумма]]-sept2021222337[[#This Row],[Цема м2 отделки]]*sept2021222337[[#This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sept2021222337[[#This Row],[сумма]]-sept2021222337[[#This Row],[Цема м2 отделки]]*sept2021222337[[#This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sept2021222337[[#This Row],[сумма]]-sept2021222337[[#This Row],[Цема м2 отделки]]*sept2021222337[[#This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sept2021222337[[#This Row],[сумма]]-sept2021222337[[#This Row],[Цема м2 отделки]]*sept2021222337[[#This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sept2021222337[[#This Row],[сумма]]-sept2021222337[[#This Row],[Цема м2 отделки]]*sept2021222337[[#This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sept2021222337[[#This Row],[сумма]]-sept2021222337[[#This Row],[Цема м2 отделки]]*sept2021222337[[#This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sept2021222337[[#This Row],[сумма]]-sept2021222337[[#This Row],[Цема м2 отделки]]*sept2021222337[[#This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sept2021222337[[#This Row],[сумма]]-sept2021222337[[#This Row],[Цема м2 отделки]]*sept2021222337[[#This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sept2021222337[[#This Row],[сумма]]-sept2021222337[[#This Row],[Цема м2 отделки]]*sept2021222337[[#This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sept2021222337[[#This Row],[сумма]]-sept2021222337[[#This Row],[Цема м2 отделки]]*sept2021222337[[#This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sept2021222337[[#This Row],[сумма]]-sept2021222337[[#This Row],[Цема м2 отделки]]*sept2021222337[[#This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sept2021222337[[#This Row],[сумма]]-sept2021222337[[#This Row],[Цема м2 отделки]]*sept2021222337[[#This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sept2021222337[[#This Row],[сумма]]-sept2021222337[[#This Row],[Цема м2 отделки]]*sept2021222337[[#This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U116" s="66"/>
    </row>
    <row r="117" spans="1:21" s="65" customFormat="1">
      <c r="A117" s="685" t="s">
        <v>1</v>
      </c>
      <c r="B117" s="686" t="s">
        <v>100</v>
      </c>
      <c r="C117" s="687" t="s">
        <v>97</v>
      </c>
      <c r="D117" s="688" t="s">
        <v>95</v>
      </c>
      <c r="E117" s="137" t="s">
        <v>494</v>
      </c>
      <c r="F117" s="138" t="s">
        <v>495</v>
      </c>
      <c r="G117" s="139" t="s">
        <v>496</v>
      </c>
      <c r="H117" s="140" t="s">
        <v>101</v>
      </c>
      <c r="I117" s="141" t="s">
        <v>98</v>
      </c>
      <c r="J117" s="141" t="s">
        <v>96</v>
      </c>
      <c r="K117" s="141" t="s">
        <v>715</v>
      </c>
      <c r="L117" s="216" t="s">
        <v>716</v>
      </c>
      <c r="M117" s="217">
        <v>0</v>
      </c>
      <c r="N117" s="218">
        <v>1</v>
      </c>
      <c r="O117" s="218">
        <v>2</v>
      </c>
      <c r="P117" s="218">
        <v>3</v>
      </c>
      <c r="Q117" s="219" t="s">
        <v>1367</v>
      </c>
      <c r="U117" s="66"/>
    </row>
    <row r="118" spans="1:21" s="65" customFormat="1">
      <c r="A118" s="398" t="s">
        <v>1867</v>
      </c>
      <c r="B118" s="267">
        <f>IFERROR(VLOOKUP(A118,'Индивидуальный план'!$AT$4:$AV$14,2,0),"")</f>
        <v>141</v>
      </c>
      <c r="C118" s="146">
        <f>IFERROR(VLOOKUP(A118,'Индивидуальный план'!$AT$5:$AV$14,3,0),"")</f>
        <v>13842689.4384</v>
      </c>
      <c r="D118" s="689"/>
      <c r="E118" s="145">
        <f>SUMIFS(sept2021222337[м2],sept2021222337[МОП],$A118,sept2021222337[№ дома],$C$116,sept2021222337[Комнатность],"&lt;&gt;Офис")</f>
        <v>0</v>
      </c>
      <c r="F118" s="146">
        <f>SUMIFS(sept2021222337[Сумма без отделки],sept2021222337[МОП],$A118,sept2021222337[№ дома],$C$116,sept2021222337[Комнатность],"&lt;&gt;Офис")</f>
        <v>0</v>
      </c>
      <c r="G118" s="147">
        <f>COUNTIFS(sept2021222337[МОП],$A118,sept2021222337[№ дома],$C$116,sept2021222337[Комнатность],"&lt;&gt;Офис")</f>
        <v>0</v>
      </c>
      <c r="H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K118" s="224">
        <f>IFERROR(H118/B118,"")</f>
        <v>0</v>
      </c>
      <c r="L118" s="225">
        <f>IFERROR(I118/C118,"")</f>
        <v>0</v>
      </c>
      <c r="M118" s="202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6">
        <f>COUNTIFS(РД[Тип кв],N$117,РД[МОП],$A118,РД[Дом],$C$116,РД[Дата подачи на регистрацию],"&lt;="&amp;$A$1,РД[Дата подачи на регистрацию],"&gt;="&amp;DATE(YEAR($A$1),MONTH($A$1),1))</f>
        <v>0</v>
      </c>
      <c r="O118" s="226">
        <f>COUNTIFS(РД[Тип кв],O$117,РД[МОП],$A118,РД[Дом],$C$116,РД[Дата подачи на регистрацию],"&lt;="&amp;$A$1,РД[Дата подачи на регистрацию],"&gt;="&amp;DATE(YEAR($A$1),MONTH($A$1),1))</f>
        <v>0</v>
      </c>
      <c r="P118" s="226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Q118" s="227">
        <f>COUNTIFS(РД[Тип кв],Q$117,РД[МОП],$A118,РД[Дом],$C$116,РД[Дата подачи на регистрацию],"&lt;="&amp;$A$1,РД[Дата подачи на регистрацию],"&gt;="&amp;DATE(YEAR($A$1),MONTH($A$1),1))</f>
        <v>0</v>
      </c>
      <c r="U118" s="66"/>
    </row>
    <row r="119" spans="1:21" s="65" customFormat="1">
      <c r="A119" s="142" t="s">
        <v>8</v>
      </c>
      <c r="B119" s="267">
        <f>IFERROR(VLOOKUP(A119,'Индивидуальный план'!$AT$4:$AV$14,2,0),"")</f>
        <v>142</v>
      </c>
      <c r="C119" s="146">
        <f>IFERROR(VLOOKUP(A119,'Индивидуальный план'!$AT$5:$AV$14,3,0),"")</f>
        <v>13940864.5408</v>
      </c>
      <c r="D119" s="327"/>
      <c r="E119" s="145">
        <f>SUMIFS(sept2021222337[м2],sept2021222337[МОП],$A119,sept2021222337[№ дома],$C$116,sept2021222337[Комнатность],"&lt;&gt;Офис")</f>
        <v>211.32999999999998</v>
      </c>
      <c r="F119" s="146">
        <f>SUMIFS(sept2021222337[Сумма без отделки],sept2021222337[МОП],$A119,sept2021222337[№ дома],$C$116,sept2021222337[Комнатность],"&lt;&gt;Офис")</f>
        <v>20160653</v>
      </c>
      <c r="G119" s="147">
        <f>COUNTIFS(sept2021222337[МОП],$A119,sept2021222337[№ дома],$C$116,sept2021222337[Комнатность],"&lt;&gt;Офис")</f>
        <v>4</v>
      </c>
      <c r="H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249.93</v>
      </c>
      <c r="I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24196823</v>
      </c>
      <c r="J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5</v>
      </c>
      <c r="K119" s="221">
        <f t="shared" ref="K119:L123" si="0">IFERROR(H119/B119,"")</f>
        <v>1.7600704225352113</v>
      </c>
      <c r="L119" s="222">
        <f t="shared" si="0"/>
        <v>1.735675928073501</v>
      </c>
      <c r="M119" s="148">
        <f>COUNTIFS(РД[Тип кв],M$117,РД[МОП],$A119,РД[Дом],$C$116,РД[Дата подачи на регистрацию],"&lt;="&amp;$A$1,РД[Дата подачи на регистрацию],"&gt;="&amp;DATE(YEAR($A$1),MONTH($A$1),1))</f>
        <v>1</v>
      </c>
      <c r="N119" s="220">
        <f>COUNTIFS(РД[Тип кв],N$117,РД[МОП],$A119,РД[Дом],$C$116,РД[Дата подачи на регистрацию],"&lt;="&amp;$A$1,РД[Дата подачи на регистрацию],"&gt;="&amp;DATE(YEAR($A$1),MONTH($A$1),1))</f>
        <v>2</v>
      </c>
      <c r="O119" s="220">
        <f>COUNTIFS(РД[Тип кв],O$117,РД[МОП],$A119,РД[Дом],$C$116,РД[Дата подачи на регистрацию],"&lt;="&amp;$A$1,РД[Дата подачи на регистрацию],"&gt;="&amp;DATE(YEAR($A$1),MONTH($A$1),1))</f>
        <v>2</v>
      </c>
      <c r="P119" s="220">
        <f>COUNTIFS(РД[Тип кв],P$117,РД[МОП],$A119,РД[Дом],$C$116,РД[Дата подачи на регистрацию],"&lt;="&amp;$A$1,РД[Дата подачи на регистрацию],"&gt;="&amp;DATE(YEAR($A$1),MONTH($A$1),1))</f>
        <v>0</v>
      </c>
      <c r="Q119" s="223">
        <f>COUNTIFS(РД[Тип кв],Q$117,РД[МОП],$A119,РД[Дом],$C$116,РД[Дата подачи на регистрацию],"&lt;="&amp;$A$1,РД[Дата подачи на регистрацию],"&gt;="&amp;DATE(YEAR($A$1),MONTH($A$1),1))</f>
        <v>0</v>
      </c>
      <c r="U119" s="66"/>
    </row>
    <row r="120" spans="1:21" s="65" customFormat="1">
      <c r="A120" s="153" t="s">
        <v>20</v>
      </c>
      <c r="B120" s="267">
        <f>IFERROR(VLOOKUP(A120,'Индивидуальный план'!$AT$4:$AV$14,2,0),"")</f>
        <v>142</v>
      </c>
      <c r="C120" s="146">
        <f>IFERROR(VLOOKUP(A120,'Индивидуальный план'!$AT$5:$AV$14,3,0),"")</f>
        <v>13940864.5408</v>
      </c>
      <c r="D120" s="327"/>
      <c r="E120" s="145">
        <f>SUMIFS(sept2021222337[м2],sept2021222337[МОП],$A120,sept2021222337[№ дома],$C$116,sept2021222337[Комнатность],"&lt;&gt;Офис")</f>
        <v>123.30000000000001</v>
      </c>
      <c r="F120" s="146">
        <f>SUMIFS(sept2021222337[Сумма без отделки],sept2021222337[МОП],$A120,sept2021222337[№ дома],$C$116,sept2021222337[Комнатность],"&lt;&gt;Офис")</f>
        <v>13097252</v>
      </c>
      <c r="G120" s="147">
        <f>COUNTIFS(sept2021222337[МОП],$A120,sept2021222337[№ дома],$C$116,sept2021222337[Комнатность],"&lt;&gt;Офис")</f>
        <v>3</v>
      </c>
      <c r="H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123.30000000000001</v>
      </c>
      <c r="I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13097252</v>
      </c>
      <c r="J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3</v>
      </c>
      <c r="K120" s="224">
        <f t="shared" si="0"/>
        <v>0.86830985915492964</v>
      </c>
      <c r="L120" s="225">
        <f t="shared" si="0"/>
        <v>0.93948635406856995</v>
      </c>
      <c r="M120" s="202">
        <f>COUNTIFS(РД[Тип кв],M$117,РД[МОП],$A120,РД[Дом],$C$116,РД[Дата подачи на регистрацию],"&lt;="&amp;$A$1,РД[Дата подачи на регистрацию],"&gt;="&amp;DATE(YEAR($A$1),MONTH($A$1),1))</f>
        <v>1</v>
      </c>
      <c r="N120" s="226">
        <f>COUNTIFS(РД[Тип кв],N$117,РД[МОП],$A120,РД[Дом],$C$116,РД[Дата подачи на регистрацию],"&lt;="&amp;$A$1,РД[Дата подачи на регистрацию],"&gt;="&amp;DATE(YEAR($A$1),MONTH($A$1),1))</f>
        <v>1</v>
      </c>
      <c r="O120" s="226">
        <f>COUNTIFS(РД[Тип кв],O$117,РД[МОП],$A120,РД[Дом],$C$116,РД[Дата подачи на регистрацию],"&lt;="&amp;$A$1,РД[Дата подачи на регистрацию],"&gt;="&amp;DATE(YEAR($A$1),MONTH($A$1),1))</f>
        <v>1</v>
      </c>
      <c r="P120" s="226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Q120" s="227">
        <f>COUNTIFS(РД[Тип кв],Q$117,РД[МОП],$A120,РД[Дом],$C$116,РД[Дата подачи на регистрацию],"&lt;="&amp;$A$1,РД[Дата подачи на регистрацию],"&gt;="&amp;DATE(YEAR($A$1),MONTH($A$1),1))</f>
        <v>0</v>
      </c>
      <c r="U120" s="66"/>
    </row>
    <row r="121" spans="1:21" s="65" customFormat="1">
      <c r="A121" s="153" t="s">
        <v>14</v>
      </c>
      <c r="B121" s="267">
        <f>IFERROR(VLOOKUP(A121,'Индивидуальный план'!$AT$4:$AV$14,2,0),"")</f>
        <v>141</v>
      </c>
      <c r="C121" s="146">
        <f>IFERROR(VLOOKUP(A121,'Индивидуальный план'!$AT$5:$AV$14,3,0),"")</f>
        <v>13842689.4384</v>
      </c>
      <c r="D121" s="366"/>
      <c r="E121" s="328">
        <f>SUMIFS(sept2021222337[м2],sept2021222337[МОП],$A121,sept2021222337[№ дома],$C$116,sept2021222337[Комнатность],"&lt;&gt;Офис")</f>
        <v>68.75</v>
      </c>
      <c r="F121" s="403">
        <f>SUMIFS(sept2021222337[Сумма без отделки],sept2021222337[МОП],$A121,sept2021222337[№ дома],$C$116,sept2021222337[Комнатность],"&lt;&gt;Офис")</f>
        <v>5742949</v>
      </c>
      <c r="G121" s="404">
        <f>COUNTIFS(sept2021222337[МОП],$A121,sept2021222337[№ дома],$C$116,sept2021222337[Комнатность],"&lt;&gt;Офис")</f>
        <v>1</v>
      </c>
      <c r="H121" s="187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68.75</v>
      </c>
      <c r="I121" s="188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6258574</v>
      </c>
      <c r="J121" s="247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1</v>
      </c>
      <c r="K121" s="360">
        <f t="shared" si="0"/>
        <v>0.48758865248226951</v>
      </c>
      <c r="L121" s="361">
        <f t="shared" si="0"/>
        <v>0.45212124622535732</v>
      </c>
      <c r="M121" s="358">
        <f>COUNTIFS(РД[Тип кв],M$117,РД[МОП],$A121,РД[Дом],$C$116,РД[Дата подачи на регистрацию],"&lt;="&amp;$A$1,РД[Дата подачи на регистрацию],"&gt;="&amp;DATE(YEAR($A$1),MONTH($A$1),1))</f>
        <v>0</v>
      </c>
      <c r="N121" s="330">
        <f>COUNTIFS(РД[Тип кв],N$117,РД[МОП],$A121,РД[Дом],$C$116,РД[Дата подачи на регистрацию],"&lt;="&amp;$A$1,РД[Дата подачи на регистрацию],"&gt;="&amp;DATE(YEAR($A$1),MONTH($A$1),1))</f>
        <v>0</v>
      </c>
      <c r="O121" s="330">
        <f>COUNTIFS(РД[Тип кв],O$117,РД[МОП],$A121,РД[Дом],$C$116,РД[Дата подачи на регистрацию],"&lt;="&amp;$A$1,РД[Дата подачи на регистрацию],"&gt;="&amp;DATE(YEAR($A$1),MONTH($A$1),1))</f>
        <v>1</v>
      </c>
      <c r="P121" s="330">
        <f>COUNTIFS(РД[Тип кв],P$117,РД[МОП],$A121,РД[Дом],$C$116,РД[Дата подачи на регистрацию],"&lt;="&amp;$A$1,РД[Дата подачи на регистрацию],"&gt;="&amp;DATE(YEAR($A$1),MONTH($A$1),1))</f>
        <v>0</v>
      </c>
      <c r="Q121" s="331">
        <f>COUNTIFS(РД[Тип кв],Q$117,РД[МОП],$A121,РД[Дом],$C$116,РД[Дата подачи на регистрацию],"&lt;="&amp;$A$1,РД[Дата подачи на регистрацию],"&gt;="&amp;DATE(YEAR($A$1),MONTH($A$1),1))</f>
        <v>0</v>
      </c>
      <c r="U121" s="66"/>
    </row>
    <row r="122" spans="1:21" s="65" customFormat="1">
      <c r="A122" s="154" t="s">
        <v>29</v>
      </c>
      <c r="B122" s="274" t="str">
        <f>IFERROR(VLOOKUP(A122,'Индивидуальный план'!$R$3:$T$14,2,0),"")</f>
        <v/>
      </c>
      <c r="C122" s="277" t="str">
        <f>IFERROR(VLOOKUP(A122,'Индивидуальный план'!$R$3:$T$14,3,0),"")</f>
        <v/>
      </c>
      <c r="D122" s="690"/>
      <c r="E122" s="341">
        <f>SUMIFS(sept2021222337[м2],sept2021222337[МОП],$A122,sept2021222337[№ дома],$C$116,sept2021222337[Комнатность],"&lt;&gt;Офис")</f>
        <v>0</v>
      </c>
      <c r="F122" s="277">
        <f>SUMIFS(sept2021222337[Сумма без отделки],sept2021222337[МОП],$A122,sept2021222337[№ дома],$C$116,sept2021222337[Комнатность],"&lt;&gt;Офис")</f>
        <v>0</v>
      </c>
      <c r="G122" s="405">
        <f>COUNTIFS(sept2021222337[МОП],$A122,sept2021222337[№ дома],$C$116,sept2021222337[Комнатность],"&lt;&gt;Офис")</f>
        <v>0</v>
      </c>
      <c r="H122" s="159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160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8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K122" s="229" t="str">
        <f t="shared" si="0"/>
        <v/>
      </c>
      <c r="L122" s="230" t="str">
        <f t="shared" si="0"/>
        <v/>
      </c>
      <c r="M122" s="159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228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228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228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Q122" s="231">
        <f>COUNTIFS(РД[Тип кв],Q$117,РД[МОП],$A122,РД[Дом],$C$116,РД[Дата подачи на регистрацию],"&lt;="&amp;$A$1,РД[Дата подачи на регистрацию],"&gt;="&amp;DATE(YEAR($A$1),MONTH($A$1),1))</f>
        <v>0</v>
      </c>
      <c r="U122" s="66"/>
    </row>
    <row r="123" spans="1:21" s="65" customFormat="1">
      <c r="A123" s="161" t="s">
        <v>1919</v>
      </c>
      <c r="B123" s="278" t="str">
        <f>IFERROR(VLOOKUP(A123,'Индивидуальный план'!$R$3:$T$14,2,0),"")</f>
        <v/>
      </c>
      <c r="C123" s="281" t="str">
        <f>IFERROR(VLOOKUP(A123,'Индивидуальный план'!$R$3:$T$14,3,0),"")</f>
        <v/>
      </c>
      <c r="D123" s="511"/>
      <c r="E123" s="406">
        <f>SUMIFS(sept2021222337[м2],sept2021222337[МОП],$A123,sept2021222337[№ дома],$C$116,sept2021222337[Комнатность],"&lt;&gt;Офис")</f>
        <v>38.6</v>
      </c>
      <c r="F123" s="281">
        <f>SUMIFS(sept2021222337[Сумма без отделки],sept2021222337[МОП],$A123,sept2021222337[№ дома],$C$116,sept2021222337[Комнатность],"&lt;&gt;Офис")</f>
        <v>4036170</v>
      </c>
      <c r="G123" s="407">
        <f>COUNTIFS(sept2021222337[МОП],$A123,sept2021222337[№ дома],$C$116,sept2021222337[Комнатность],"&lt;&gt;Офис")</f>
        <v>1</v>
      </c>
      <c r="H123" s="166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167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2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K123" s="233" t="str">
        <f t="shared" si="0"/>
        <v/>
      </c>
      <c r="L123" s="234" t="str">
        <f t="shared" si="0"/>
        <v/>
      </c>
      <c r="M123" s="235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36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36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6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Q123" s="237">
        <f>COUNTIFS(РД[Тип кв],Q$117,РД[МОП],$A123,РД[Дом],$C$116,РД[Дата подачи на регистрацию],"&lt;="&amp;$A$1,РД[Дата подачи на регистрацию],"&gt;="&amp;DATE(YEAR($A$1),MONTH($A$1),1))</f>
        <v>0</v>
      </c>
      <c r="U123" s="66"/>
    </row>
    <row r="124" spans="1:21" s="65" customFormat="1">
      <c r="A124" s="168" t="s">
        <v>114</v>
      </c>
      <c r="B124" s="172">
        <f t="shared" ref="B124:J124" si="1">SUM(B118:B123)</f>
        <v>566</v>
      </c>
      <c r="C124" s="173">
        <f t="shared" si="1"/>
        <v>55567107.958399996</v>
      </c>
      <c r="D124" s="691">
        <f t="shared" si="1"/>
        <v>0</v>
      </c>
      <c r="E124" s="173">
        <f t="shared" si="1"/>
        <v>441.98</v>
      </c>
      <c r="F124" s="173">
        <f t="shared" si="1"/>
        <v>43037024</v>
      </c>
      <c r="G124" s="171">
        <f t="shared" si="1"/>
        <v>9</v>
      </c>
      <c r="H124" s="172">
        <f t="shared" si="1"/>
        <v>441.98</v>
      </c>
      <c r="I124" s="173">
        <f t="shared" si="1"/>
        <v>43552649</v>
      </c>
      <c r="J124" s="170">
        <f t="shared" si="1"/>
        <v>9</v>
      </c>
      <c r="K124" s="238">
        <f>IFERROR(H124/B124,"")</f>
        <v>0.78088339222614844</v>
      </c>
      <c r="L124" s="239">
        <f>IFERROR(I124/C124,"")</f>
        <v>0.78378469926139482</v>
      </c>
      <c r="M124" s="240">
        <f>SUM(M118:M123)</f>
        <v>2</v>
      </c>
      <c r="N124" s="241">
        <f>SUM(N118:N123)</f>
        <v>3</v>
      </c>
      <c r="O124" s="241">
        <f>SUM(O118:O123)</f>
        <v>4</v>
      </c>
      <c r="P124" s="241">
        <f>SUM(P118:P123)</f>
        <v>0</v>
      </c>
      <c r="Q124" s="242">
        <f>SUM(Q118:Q123)</f>
        <v>0</v>
      </c>
      <c r="U124" s="66"/>
    </row>
    <row r="125" spans="1:21" s="65" customFormat="1">
      <c r="A125" s="692" t="s">
        <v>115</v>
      </c>
      <c r="B125" s="686" t="s">
        <v>100</v>
      </c>
      <c r="C125" s="693" t="s">
        <v>97</v>
      </c>
      <c r="D125" s="688" t="s">
        <v>95</v>
      </c>
      <c r="E125" s="295" t="s">
        <v>494</v>
      </c>
      <c r="F125" s="138" t="s">
        <v>495</v>
      </c>
      <c r="G125" s="470" t="s">
        <v>496</v>
      </c>
      <c r="H125" s="140" t="s">
        <v>101</v>
      </c>
      <c r="I125" s="141" t="s">
        <v>98</v>
      </c>
      <c r="J125" s="141" t="s">
        <v>96</v>
      </c>
      <c r="K125" s="495" t="s">
        <v>715</v>
      </c>
      <c r="L125" s="496" t="s">
        <v>716</v>
      </c>
      <c r="M125" s="217">
        <v>0</v>
      </c>
      <c r="N125" s="218">
        <v>1</v>
      </c>
      <c r="O125" s="218">
        <v>2</v>
      </c>
      <c r="P125" s="218">
        <v>3</v>
      </c>
      <c r="Q125" s="219" t="s">
        <v>1367</v>
      </c>
      <c r="U125" s="66"/>
    </row>
    <row r="126" spans="1:21" s="65" customFormat="1">
      <c r="A126" s="177" t="s">
        <v>16</v>
      </c>
      <c r="B126" s="291">
        <f>IFERROR(VLOOKUP(A126,'Индивидуальный план'!$AT$4:$AV$14,2,0),"")</f>
        <v>240.55</v>
      </c>
      <c r="C126" s="292">
        <f>IFERROR(VLOOKUP(A126,'Индивидуальный план'!$AT$5:$AV$14,3,0),"")</f>
        <v>23616020.882320002</v>
      </c>
      <c r="D126" s="694"/>
      <c r="E126" s="145">
        <f>SUMIFS(sept2021222337[м2],sept2021222337[ИМ],A126,sept2021222337[№ дома],$C$116,sept2021222337[Комнатность],"&lt;&gt;Офис")</f>
        <v>198.61</v>
      </c>
      <c r="F126" s="149">
        <f>SUMIFS(sept2021222337[Сумма без отделки],sept2021222337[ИМ],$A126,sept2021222337[№ дома],$C$116,sept2021222337[Комнатность],"&lt;&gt;Офис")</f>
        <v>19129199</v>
      </c>
      <c r="G126" s="147">
        <f>COUNTIFS(sept2021222337[ИМ],$A126,sept2021222337[№ дома],$C$116,sept2021222337[Комнатность],"&lt;&gt;Офис")</f>
        <v>4</v>
      </c>
      <c r="H126" s="183">
        <f>SUMIFS(РД[S],РД[Дом],$C$116,РД[ИМ],A126,РД[Дата подачи на регистрацию],"&lt;="&amp;$A$1,РД[Дата подачи на регистрацию],"&gt;="&amp;DATE(YEAR($A$1),MONTH($A$1),1),РД[Состояние],"Продажа")</f>
        <v>198.61</v>
      </c>
      <c r="I126" s="184">
        <f>SUMIFS(РД[Стоимость без отделки итог],РД[Дом],$C$116,РД[ИМ],A126,РД[Дата подачи на регистрацию],"&lt;="&amp;$A$1,РД[Дата подачи на регистрацию],"&gt;="&amp;DATE(YEAR($A$1),MONTH($A$1),1),РД[Состояние],"Продажа")</f>
        <v>19129199</v>
      </c>
      <c r="J126" s="243">
        <f>COUNTIFS(РД[Дом],$C$116,РД[ИМ],A126,РД[Дата подачи на регистрацию],"&lt;="&amp;$A$1,РД[Дата подачи на регистрацию],"&gt;="&amp;DATE(YEAR($A$1),MONTH($A$1),1),РД[Состояние],"Продажа")</f>
        <v>4</v>
      </c>
      <c r="K126" s="244">
        <f t="shared" ref="K126:L128" si="2">IFERROR(H126/B126,"")</f>
        <v>0.82564955310746213</v>
      </c>
      <c r="L126" s="245">
        <f t="shared" si="2"/>
        <v>0.81000940401102728</v>
      </c>
      <c r="M126" s="183">
        <f>COUNTIFS(РД[Тип кв],M117,РД[ИМ],$A126,РД[Дом],$C$116,РД[Дата подачи на регистрацию],"&lt;="&amp;$A$1,РД[Дата подачи на регистрацию],"&gt;="&amp;DATE(YEAR($A$1),MONTH($A$1),1))</f>
        <v>1</v>
      </c>
      <c r="N126" s="243">
        <f>COUNTIFS(РД[Тип кв],N117,РД[ИМ],$A126,РД[Дом],$C$116,РД[Дата подачи на регистрацию],"&lt;="&amp;$A$1,РД[Дата подачи на регистрацию],"&gt;="&amp;DATE(YEAR($A$1),MONTH($A$1),1))</f>
        <v>1</v>
      </c>
      <c r="O126" s="243">
        <f>COUNTIFS(РД[Тип кв],O117,РД[ИМ],$A126,РД[Дом],$C$116,РД[Дата подачи на регистрацию],"&lt;="&amp;$A$1,РД[Дата подачи на регистрацию],"&gt;="&amp;DATE(YEAR($A$1),MONTH($A$1),1))</f>
        <v>2</v>
      </c>
      <c r="P126" s="243">
        <f>COUNTIFS(РД[Тип кв],P117,РД[ИМ],$A126,РД[Дом],$C$116,РД[Дата подачи на регистрацию],"&lt;="&amp;$A$1,РД[Дата подачи на регистрацию],"&gt;="&amp;DATE(YEAR($A$1),MONTH($A$1),1))</f>
        <v>0</v>
      </c>
      <c r="Q126" s="246">
        <f>COUNTIFS(РД[Тип кв],Q117,РД[ИМ],$A126,РД[Дом],$C$116,РД[Дата подачи на регистрацию],"&lt;="&amp;$A$1,РД[Дата подачи на регистрацию],"&gt;="&amp;DATE(YEAR($A$1),MONTH($A$1),1))</f>
        <v>0</v>
      </c>
      <c r="U126" s="66"/>
    </row>
    <row r="127" spans="1:21" s="65" customFormat="1">
      <c r="A127" s="189" t="s">
        <v>22</v>
      </c>
      <c r="B127" s="293">
        <f>IFERROR(VLOOKUP(A127,'Индивидуальный план'!$AT$4:$AV$14,2,0),"")</f>
        <v>240.55</v>
      </c>
      <c r="C127" s="294">
        <f>IFERROR(VLOOKUP(A127,'Индивидуальный план'!$AT$5:$AV$14,3,0),"")</f>
        <v>23616020.882320002</v>
      </c>
      <c r="D127" s="695"/>
      <c r="E127" s="145">
        <f>SUMIFS(sept2021222337[м2],sept2021222337[ИМ],A127,sept2021222337[№ дома],$C$116,sept2021222337[Комнатность],"&lt;&gt;Офис")</f>
        <v>136.01999999999998</v>
      </c>
      <c r="F127" s="149">
        <f>SUMIFS(sept2021222337[Сумма без отделки],sept2021222337[ИМ],$A127,sept2021222337[№ дома],$C$116,sept2021222337[Комнатность],"&lt;&gt;Офис")</f>
        <v>14128706</v>
      </c>
      <c r="G127" s="147">
        <f>COUNTIFS(sept2021222337[ИМ],$A127,sept2021222337[№ дома],$C$116,sept2021222337[Комнатность],"&lt;&gt;Офис")</f>
        <v>3</v>
      </c>
      <c r="H127" s="195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136.01999999999998</v>
      </c>
      <c r="I127" s="196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14128706</v>
      </c>
      <c r="J127" s="251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3</v>
      </c>
      <c r="K127" s="252">
        <f t="shared" si="2"/>
        <v>0.56545416753273736</v>
      </c>
      <c r="L127" s="253">
        <f t="shared" si="2"/>
        <v>0.59826784835617142</v>
      </c>
      <c r="M127" s="195">
        <f>COUNTIFS(РД[Тип кв],M117,РД[ИМ],$A127,РД[Дом],$C$116,РД[Дата подачи на регистрацию],"&lt;="&amp;$A$1,РД[Дата подачи на регистрацию],"&gt;="&amp;DATE(YEAR($A$1),MONTH($A$1),1))</f>
        <v>1</v>
      </c>
      <c r="N127" s="251">
        <f>COUNTIFS(РД[Тип кв],N117,РД[ИМ],$A127,РД[Дом],$C$116,РД[Дата подачи на регистрацию],"&lt;="&amp;$A$1,РД[Дата подачи на регистрацию],"&gt;="&amp;DATE(YEAR($A$1),MONTH($A$1),1))</f>
        <v>1</v>
      </c>
      <c r="O127" s="251">
        <f>COUNTIFS(РД[Тип кв],O117,РД[ИМ],$A127,РД[Дом],$C$116,РД[Дата подачи на регистрацию],"&lt;="&amp;$A$1,РД[Дата подачи на регистрацию],"&gt;="&amp;DATE(YEAR($A$1),MONTH($A$1),1))</f>
        <v>1</v>
      </c>
      <c r="P127" s="251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Q127" s="254">
        <f>COUNTIFS(РД[Тип кв],Q117,РД[ИМ],$A127,РД[Дом],$C$116,РД[Дата подачи на регистрацию],"&lt;="&amp;$A$1,РД[Дата подачи на регистрацию],"&gt;="&amp;DATE(YEAR($A$1),MONTH($A$1),1))</f>
        <v>0</v>
      </c>
      <c r="U127" s="66"/>
    </row>
    <row r="128" spans="1:21" s="65" customFormat="1">
      <c r="A128" s="168" t="s">
        <v>114</v>
      </c>
      <c r="B128" s="172">
        <f t="shared" ref="B128:Q128" si="3">SUM(B126:B127)</f>
        <v>481.1</v>
      </c>
      <c r="C128" s="173">
        <f t="shared" si="3"/>
        <v>47232041.764640003</v>
      </c>
      <c r="D128" s="696">
        <f t="shared" si="3"/>
        <v>0</v>
      </c>
      <c r="E128" s="484">
        <f t="shared" si="3"/>
        <v>334.63</v>
      </c>
      <c r="F128" s="429">
        <f t="shared" si="3"/>
        <v>33257905</v>
      </c>
      <c r="G128" s="485">
        <f t="shared" si="3"/>
        <v>7</v>
      </c>
      <c r="H128" s="473">
        <f t="shared" si="3"/>
        <v>334.63</v>
      </c>
      <c r="I128" s="429">
        <f t="shared" si="3"/>
        <v>33257905</v>
      </c>
      <c r="J128" s="494">
        <f t="shared" si="3"/>
        <v>7</v>
      </c>
      <c r="K128" s="419">
        <f t="shared" si="2"/>
        <v>0.69555186032009975</v>
      </c>
      <c r="L128" s="420">
        <f t="shared" si="2"/>
        <v>0.70413862618359935</v>
      </c>
      <c r="M128" s="473">
        <f t="shared" si="3"/>
        <v>2</v>
      </c>
      <c r="N128" s="494">
        <f t="shared" si="3"/>
        <v>2</v>
      </c>
      <c r="O128" s="494">
        <f t="shared" si="3"/>
        <v>3</v>
      </c>
      <c r="P128" s="494">
        <f t="shared" si="3"/>
        <v>0</v>
      </c>
      <c r="Q128" s="497">
        <f t="shared" si="3"/>
        <v>0</v>
      </c>
      <c r="U128" s="66"/>
    </row>
    <row r="129" spans="1:21" s="65" customFormat="1">
      <c r="A129" s="134"/>
      <c r="B129" s="197"/>
      <c r="C129" s="197"/>
      <c r="D129" s="198"/>
      <c r="E129" s="134"/>
      <c r="F129" s="44"/>
      <c r="G129" s="134"/>
      <c r="H129" s="134"/>
      <c r="I129" s="44"/>
      <c r="J129" s="134"/>
      <c r="K129" s="255"/>
      <c r="L129" s="256"/>
      <c r="M129" s="134"/>
      <c r="N129" s="134"/>
      <c r="O129" s="134"/>
      <c r="P129" s="134"/>
      <c r="Q129" s="134"/>
      <c r="U129" s="66"/>
    </row>
    <row r="130" spans="1:21" s="65" customFormat="1">
      <c r="A130" s="2327" t="s">
        <v>713</v>
      </c>
      <c r="B130" s="2328"/>
      <c r="C130" s="474" t="s">
        <v>13</v>
      </c>
      <c r="D130" s="697"/>
      <c r="E130" s="475"/>
      <c r="F130" s="475"/>
      <c r="G130" s="475"/>
      <c r="H130" s="476"/>
      <c r="I130" s="476"/>
      <c r="J130" s="476"/>
      <c r="K130" s="476"/>
      <c r="L130" s="476"/>
      <c r="M130" s="475"/>
      <c r="N130" s="475"/>
      <c r="O130" s="475"/>
      <c r="P130" s="475"/>
      <c r="Q130" s="498"/>
      <c r="U130" s="66"/>
    </row>
    <row r="131" spans="1:21" s="65" customFormat="1">
      <c r="A131" s="698" t="s">
        <v>1</v>
      </c>
      <c r="B131" s="699" t="s">
        <v>100</v>
      </c>
      <c r="C131" s="700" t="s">
        <v>97</v>
      </c>
      <c r="D131" s="701" t="s">
        <v>95</v>
      </c>
      <c r="E131" s="137" t="s">
        <v>494</v>
      </c>
      <c r="F131" s="477" t="s">
        <v>495</v>
      </c>
      <c r="G131" s="478" t="s">
        <v>496</v>
      </c>
      <c r="H131" s="479" t="s">
        <v>101</v>
      </c>
      <c r="I131" s="479" t="s">
        <v>98</v>
      </c>
      <c r="J131" s="479" t="s">
        <v>96</v>
      </c>
      <c r="K131" s="479" t="s">
        <v>715</v>
      </c>
      <c r="L131" s="479" t="s">
        <v>716</v>
      </c>
      <c r="M131" s="499">
        <v>0</v>
      </c>
      <c r="N131" s="340">
        <v>1</v>
      </c>
      <c r="O131" s="340">
        <v>2</v>
      </c>
      <c r="P131" s="340">
        <v>3</v>
      </c>
      <c r="Q131" s="500" t="s">
        <v>1367</v>
      </c>
      <c r="U131" s="66"/>
    </row>
    <row r="132" spans="1:21" s="65" customFormat="1">
      <c r="A132" s="398" t="s">
        <v>1867</v>
      </c>
      <c r="B132" s="271">
        <f>IFERROR(VLOOKUP(A132,'Индивидуальный план'!$AT$19:$AV$28,2,0),"")</f>
        <v>245</v>
      </c>
      <c r="C132" s="52">
        <f>IFERROR(VLOOKUP(A132,'Индивидуальный план'!$AT$19:$AV$28,3,0),"")</f>
        <v>23035435.839499999</v>
      </c>
      <c r="D132" s="327"/>
      <c r="E132" s="257">
        <f>SUMIFS(sept2021222337[м2],sept2021222337[МОП],$A132,sept2021222337[№ дома],$C$130,sept2021222337[Комнатность],"&lt;&gt;Офис")</f>
        <v>0</v>
      </c>
      <c r="F132" s="52">
        <f>SUMIFS(sept2021222337[Сумма без отделки],sept2021222337[МОП],$A132,sept2021222337[№ дома],$C$130,sept2021222337[Комнатность],"&lt;&gt;Офис")</f>
        <v>0</v>
      </c>
      <c r="G132" s="413">
        <f>COUNTIFS(sept2021222337[МОП],$A132,sept2021222337[№ дома],$C$130,sept2021222337[Комнатность],"&lt;&gt;Офис")</f>
        <v>0</v>
      </c>
      <c r="H132" s="202">
        <f>SUMIFS(РД[S],РД[Дом],$C$130,РД[МОП],A132,РД[Дата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I132" s="203">
        <f>SUMIFS(РД[Стоимость без отделки итог],РД[Дом],$C$130,РД[МОП],A132,РД[Дата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J132" s="226">
        <f>COUNTIFS(РД[Дом],$C$130,РД[МОП],A132,РД[Дата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K132" s="224">
        <f t="shared" ref="K132:L137" si="4">IFERROR(H132/B132,)</f>
        <v>0</v>
      </c>
      <c r="L132" s="225">
        <f t="shared" si="4"/>
        <v>0</v>
      </c>
      <c r="M132" s="257">
        <f>COUNTIFS(РД[Тип кв],M$131,РД[МОП],$A132,РД[Дом],$C$130,РД[Дата подачи на регистрацию],"&lt;="&amp;$A$1,РД[Дата подачи на регистрацию],"&gt;="&amp;DATE(YEAR($A$1),MONTH($A$1),1))</f>
        <v>0</v>
      </c>
      <c r="N132" s="226">
        <f>COUNTIFS(РД[Тип кв],N$131,РД[МОП],$A132,РД[Дом],$C$130,РД[Дата подачи на регистрацию],"&lt;="&amp;$A$1,РД[Дата подачи на регистрацию],"&gt;="&amp;DATE(YEAR($A$1),MONTH($A$1),1))</f>
        <v>0</v>
      </c>
      <c r="O132" s="226">
        <f>COUNTIFS(РД[Тип кв],O$131,РД[МОП],$A132,РД[Дом],$C$130,РД[Дата подачи на регистрацию],"&lt;="&amp;$A$1,РД[Дата подачи на регистрацию],"&gt;="&amp;DATE(YEAR($A$1),MONTH($A$1),1))</f>
        <v>0</v>
      </c>
      <c r="P132" s="226">
        <f>COUNTIFS(РД[Тип кв],P$131,РД[МОП],$A132,РД[Дом],$C$130,РД[Дата подачи на регистрацию],"&lt;="&amp;$A$1,РД[Дата подачи на регистрацию],"&gt;="&amp;DATE(YEAR($A$1),MONTH($A$1),1))</f>
        <v>0</v>
      </c>
      <c r="Q132" s="227">
        <f>COUNTIFS(РД[Тип кв],Q$131,РД[МОП],$A132,РД[Дом],$C$130,РД[Дата подачи на регистрацию],"&lt;="&amp;$A$1,РД[Дата подачи на регистрацию],"&gt;="&amp;DATE(YEAR($A$1),MONTH($A$1),1))</f>
        <v>0</v>
      </c>
      <c r="U132" s="66"/>
    </row>
    <row r="133" spans="1:21" s="65" customFormat="1">
      <c r="A133" s="398" t="s">
        <v>8</v>
      </c>
      <c r="B133" s="271">
        <f>IFERROR(VLOOKUP(A133,'Индивидуальный план'!$AT$19:$AV$28,2,0),"")</f>
        <v>244</v>
      </c>
      <c r="C133" s="52">
        <f>IFERROR(VLOOKUP(A133,'Индивидуальный план'!$AT$19:$AV$28,3,0),"")</f>
        <v>22941413.652399998</v>
      </c>
      <c r="D133" s="327"/>
      <c r="E133" s="257">
        <f>SUMIFS(sept2021222337[м2],sept2021222337[МОП],$A133,sept2021222337[№ дома],$C$130,sept2021222337[Комнатность],"&lt;&gt;Офис")</f>
        <v>282.17999999999995</v>
      </c>
      <c r="F133" s="52">
        <f>SUMIFS(sept2021222337[Сумма без отделки],sept2021222337[МОП],$A133,sept2021222337[№ дома],$C$130,sept2021222337[Комнатность],"&lt;&gt;Офис")</f>
        <v>25724883</v>
      </c>
      <c r="G133" s="413">
        <f>COUNTIFS(sept2021222337[МОП],$A133,sept2021222337[№ дома],$C$130,sept2021222337[Комнатность],"&lt;&gt;Офис")</f>
        <v>5</v>
      </c>
      <c r="H133" s="202">
        <f>SUMIFS(РД[S],РД[Дом],$C$130,РД[МОП],A133,РД[Дата подачи на регистрацию],"&lt;="&amp;$A$1,РД[Дата подачи на регистрацию],"&gt;="&amp;DATE(YEAR($A$1),MONTH($A$1),1),РД[Состояние],"Продажа")</f>
        <v>282.17999999999995</v>
      </c>
      <c r="I133" s="203">
        <f>SUMIFS(РД[Стоимость без отделки итог],РД[Дом],$C$130,РД[МОП],A133,РД[Дата подачи на регистрацию],"&lt;="&amp;$A$1,РД[Дата подачи на регистрацию],"&gt;="&amp;DATE(YEAR($A$1),MONTH($A$1),1),РД[Состояние],"Продажа")</f>
        <v>25724882.997299999</v>
      </c>
      <c r="J133" s="226">
        <f>COUNTIFS(РД[Дом],$C$130,РД[МОП],A133,РД[Дата подачи на регистрацию],"&lt;="&amp;$A$1,РД[Дата подачи на регистрацию],"&gt;="&amp;DATE(YEAR($A$1),MONTH($A$1),1),РД[Состояние],"Продажа")</f>
        <v>5</v>
      </c>
      <c r="K133" s="224">
        <f t="shared" si="4"/>
        <v>1.1564754098360654</v>
      </c>
      <c r="L133" s="225">
        <f t="shared" si="4"/>
        <v>1.1213294606458923</v>
      </c>
      <c r="M133" s="257">
        <f>COUNTIFS(РД[Тип кв],M$131,РД[МОП],$A133,РД[Дом],$C$130,РД[Дата подачи на регистрацию],"&lt;="&amp;$A$1,РД[Дата подачи на регистрацию],"&gt;="&amp;DATE(YEAR($A$1),MONTH($A$1),1))</f>
        <v>1</v>
      </c>
      <c r="N133" s="226">
        <f>COUNTIFS(РД[Тип кв],N$131,РД[МОП],$A133,РД[Дом],$C$130,РД[Дата подачи на регистрацию],"&lt;="&amp;$A$1,РД[Дата подачи на регистрацию],"&gt;="&amp;DATE(YEAR($A$1),MONTH($A$1),1))</f>
        <v>0</v>
      </c>
      <c r="O133" s="226">
        <f>COUNTIFS(РД[Тип кв],O$131,РД[МОП],$A133,РД[Дом],$C$130,РД[Дата подачи на регистрацию],"&lt;="&amp;$A$1,РД[Дата подачи на регистрацию],"&gt;="&amp;DATE(YEAR($A$1),MONTH($A$1),1))</f>
        <v>3</v>
      </c>
      <c r="P133" s="226">
        <f>COUNTIFS(РД[Тип кв],P$131,РД[МОП],$A133,РД[Дом],$C$130,РД[Дата подачи на регистрацию],"&lt;="&amp;$A$1,РД[Дата подачи на регистрацию],"&gt;="&amp;DATE(YEAR($A$1),MONTH($A$1),1))</f>
        <v>1</v>
      </c>
      <c r="Q133" s="227">
        <f>COUNTIFS(РД[Тип кв],Q$131,РД[МОП],$A133,РД[Дом],$C$130,РД[Дата подачи на регистрацию],"&lt;="&amp;$A$1,РД[Дата подачи на регистрацию],"&gt;="&amp;DATE(YEAR($A$1),MONTH($A$1),1))</f>
        <v>0</v>
      </c>
      <c r="U133" s="66"/>
    </row>
    <row r="134" spans="1:21" s="65" customFormat="1">
      <c r="A134" s="153" t="s">
        <v>20</v>
      </c>
      <c r="B134" s="271">
        <f>IFERROR(VLOOKUP(A134,'Индивидуальный план'!$AT$19:$AV$28,2,0),"")</f>
        <v>244</v>
      </c>
      <c r="C134" s="52">
        <f>IFERROR(VLOOKUP(A134,'Индивидуальный план'!$AT$19:$AV$28,3,0),"")</f>
        <v>22941413.652399998</v>
      </c>
      <c r="D134" s="327"/>
      <c r="E134" s="257">
        <f>SUMIFS(sept2021222337[м2],sept2021222337[МОП],$A134,sept2021222337[№ дома],$C$130,sept2021222337[Комнатность],"&lt;&gt;Офис")</f>
        <v>146.64000000000001</v>
      </c>
      <c r="F134" s="52">
        <f>SUMIFS(sept2021222337[Сумма без отделки],sept2021222337[МОП],$A134,sept2021222337[№ дома],$C$130,sept2021222337[Комнатность],"&lt;&gt;Офис")</f>
        <v>13930008.01</v>
      </c>
      <c r="G134" s="413">
        <f>COUNTIFS(sept2021222337[МОП],$A134,sept2021222337[№ дома],$C$130,sept2021222337[Комнатность],"&lt;&gt;Офис")</f>
        <v>3</v>
      </c>
      <c r="H134" s="202">
        <f>SUMIFS(РД[S],РД[Дом],$C$130,РД[МОП],A134,РД[Дата подачи на регистрацию],"&lt;="&amp;$A$1,РД[Дата подачи на регистрацию],"&gt;="&amp;DATE(YEAR($A$1),MONTH($A$1),1),РД[Состояние],"Продажа")</f>
        <v>146.64000000000001</v>
      </c>
      <c r="I134" s="203">
        <f>SUMIFS(РД[Стоимость без отделки итог],РД[Дом],$C$130,РД[МОП],A134,РД[Дата подачи на регистрацию],"&lt;="&amp;$A$1,РД[Дата подачи на регистрацию],"&gt;="&amp;DATE(YEAR($A$1),MONTH($A$1),1),РД[Состояние],"Продажа")</f>
        <v>13930008.01</v>
      </c>
      <c r="J134" s="226">
        <f>COUNTIFS(РД[Дом],$C$130,РД[МОП],A134,РД[Дата подачи на регистрацию],"&lt;="&amp;$A$1,РД[Дата подачи на регистрацию],"&gt;="&amp;DATE(YEAR($A$1),MONTH($A$1),1),РД[Состояние],"Продажа")</f>
        <v>3</v>
      </c>
      <c r="K134" s="224">
        <f t="shared" si="4"/>
        <v>0.60098360655737715</v>
      </c>
      <c r="L134" s="225">
        <f t="shared" si="4"/>
        <v>0.60719919971203351</v>
      </c>
      <c r="M134" s="257">
        <f>COUNTIFS(РД[Тип кв],M$131,РД[МОП],$A134,РД[Дом],$C$130,РД[Дата подачи на регистрацию],"&lt;="&amp;$A$1,РД[Дата подачи на регистрацию],"&gt;="&amp;DATE(YEAR($A$1),MONTH($A$1),1))</f>
        <v>0</v>
      </c>
      <c r="N134" s="226">
        <f>COUNTIFS(РД[Тип кв],N$131,РД[МОП],$A134,РД[Дом],$C$130,РД[Дата подачи на регистрацию],"&lt;="&amp;$A$1,РД[Дата подачи на регистрацию],"&gt;="&amp;DATE(YEAR($A$1),MONTH($A$1),1))</f>
        <v>2</v>
      </c>
      <c r="O134" s="226">
        <f>COUNTIFS(РД[Тип кв],O$131,РД[МОП],$A134,РД[Дом],$C$130,РД[Дата подачи на регистрацию],"&lt;="&amp;$A$1,РД[Дата подачи на регистрацию],"&gt;="&amp;DATE(YEAR($A$1),MONTH($A$1),1))</f>
        <v>1</v>
      </c>
      <c r="P134" s="226">
        <f>COUNTIFS(РД[Тип кв],P$131,РД[МОП],$A134,РД[Дом],$C$130,РД[Дата подачи на регистрацию],"&lt;="&amp;$A$1,РД[Дата подачи на регистрацию],"&gt;="&amp;DATE(YEAR($A$1),MONTH($A$1),1))</f>
        <v>0</v>
      </c>
      <c r="Q134" s="227">
        <f>COUNTIFS(РД[Тип кв],Q$131,РД[МОП],$A134,РД[Дом],$C$130,РД[Дата подачи на регистрацию],"&lt;="&amp;$A$1,РД[Дата подачи на регистрацию],"&gt;="&amp;DATE(YEAR($A$1),MONTH($A$1),1))</f>
        <v>0</v>
      </c>
      <c r="U134" s="66"/>
    </row>
    <row r="135" spans="1:21" s="65" customFormat="1">
      <c r="A135" s="153" t="s">
        <v>14</v>
      </c>
      <c r="B135" s="271">
        <f>IFERROR(VLOOKUP(A135,'Индивидуальный план'!$AT$19:$AV$28,2,0),"")</f>
        <v>245</v>
      </c>
      <c r="C135" s="52">
        <f>IFERROR(VLOOKUP(A135,'Индивидуальный план'!$AT$19:$AV$28,3,0),"")</f>
        <v>23035435.839499999</v>
      </c>
      <c r="D135" s="366"/>
      <c r="E135" s="329">
        <f>SUMIFS(sept2021222337[м2],sept2021222337[МОП],$A135,sept2021222337[№ дома],$C$130,sept2021222337[Комнатность],"&lt;&gt;Офис")</f>
        <v>229.03</v>
      </c>
      <c r="F135" s="363">
        <f>SUMIFS(sept2021222337[Сумма без отделки],sept2021222337[МОП],$A135,sept2021222337[№ дома],$C$130,sept2021222337[Комнатность],"&lt;&gt;Офис")</f>
        <v>18783512</v>
      </c>
      <c r="G135" s="414">
        <f>COUNTIFS(sept2021222337[МОП],$A135,sept2021222337[№ дома],$C$130,sept2021222337[Комнатность],"&lt;&gt;Офис")</f>
        <v>5</v>
      </c>
      <c r="H135" s="358">
        <f>SUMIFS(РД[S],РД[Дом],$C$130,РД[МОП],A135,РД[Дата подачи на регистрацию],"&lt;="&amp;$A$1,РД[Дата подачи на регистрацию],"&gt;="&amp;DATE(YEAR($A$1),MONTH($A$1),1),РД[Состояние],"Продажа")</f>
        <v>251.44</v>
      </c>
      <c r="I135" s="359">
        <f>SUMIFS(РД[Стоимость без отделки итог],РД[Дом],$C$130,РД[МОП],A135,РД[Дата подачи на регистрацию],"&lt;="&amp;$A$1,РД[Дата подачи на регистрацию],"&gt;="&amp;DATE(YEAR($A$1),MONTH($A$1),1),РД[Состояние],"Продажа")</f>
        <v>24518514</v>
      </c>
      <c r="J135" s="330">
        <f>COUNTIFS(РД[Дом],$C$130,РД[МОП],A135,РД[Дата подачи на регистрацию],"&lt;="&amp;$A$1,РД[Дата подачи на регистрацию],"&gt;="&amp;DATE(YEAR($A$1),MONTH($A$1),1),РД[Состояние],"Продажа")</f>
        <v>5</v>
      </c>
      <c r="K135" s="360">
        <f t="shared" si="4"/>
        <v>1.0262857142857142</v>
      </c>
      <c r="L135" s="361">
        <f t="shared" si="4"/>
        <v>1.0643824658162921</v>
      </c>
      <c r="M135" s="329">
        <f>COUNTIFS(РД[Тип кв],M$131,РД[МОП],$A135,РД[Дом],$C$130,РД[Дата подачи на регистрацию],"&lt;="&amp;$A$1,РД[Дата подачи на регистрацию],"&gt;="&amp;DATE(YEAR($A$1),MONTH($A$1),1))</f>
        <v>0</v>
      </c>
      <c r="N135" s="330">
        <f>COUNTIFS(РД[Тип кв],N$131,РД[МОП],$A135,РД[Дом],$C$130,РД[Дата подачи на регистрацию],"&lt;="&amp;$A$1,РД[Дата подачи на регистрацию],"&gt;="&amp;DATE(YEAR($A$1),MONTH($A$1),1))</f>
        <v>2</v>
      </c>
      <c r="O135" s="330">
        <f>COUNTIFS(РД[Тип кв],O$131,РД[МОП],$A135,РД[Дом],$C$130,РД[Дата подачи на регистрацию],"&lt;="&amp;$A$1,РД[Дата подачи на регистрацию],"&gt;="&amp;DATE(YEAR($A$1),MONTH($A$1),1))</f>
        <v>3</v>
      </c>
      <c r="P135" s="330">
        <f>COUNTIFS(РД[Тип кв],P$131,РД[МОП],$A135,РД[Дом],$C$130,РД[Дата подачи на регистрацию],"&lt;="&amp;$A$1,РД[Дата подачи на регистрацию],"&gt;="&amp;DATE(YEAR($A$1),MONTH($A$1),1))</f>
        <v>0</v>
      </c>
      <c r="Q135" s="331">
        <f>COUNTIFS(РД[Тип кв],Q$131,РД[МОП],$A135,РД[Дом],$C$130,РД[Дата подачи на регистрацию],"&lt;="&amp;$A$1,РД[Дата подачи на регистрацию],"&gt;="&amp;DATE(YEAR($A$1),MONTH($A$1),1))</f>
        <v>0</v>
      </c>
      <c r="U135" s="66"/>
    </row>
    <row r="136" spans="1:21" s="65" customFormat="1">
      <c r="A136" s="154" t="s">
        <v>29</v>
      </c>
      <c r="B136" s="274" t="str">
        <f>IFERROR(VLOOKUP(A136,'Индивидуальный план'!$R$3:$T$14,2,0),"")</f>
        <v/>
      </c>
      <c r="C136" s="277" t="str">
        <f>IFERROR(VLOOKUP(A136,'Индивидуальный план'!$R$3:$T$14,3,0),"")</f>
        <v/>
      </c>
      <c r="D136" s="690"/>
      <c r="E136" s="341">
        <f>SUMIFS(sept2021222337[м2],sept2021222337[МОП],$A136,sept2021222337[№ дома],$C$130,sept2021222337[Комнатность],"&lt;&gt;Офис")</f>
        <v>0</v>
      </c>
      <c r="F136" s="277">
        <f>SUMIFS(sept2021222337[Сумма без отделки],sept2021222337[МОП],$A136,sept2021222337[№ дома],$C$130,sept2021222337[Комнатность],"&lt;&gt;Офис")</f>
        <v>0</v>
      </c>
      <c r="G136" s="405">
        <f>COUNTIFS(sept2021222337[МОП],$A136,sept2021222337[№ дома],$C$130,sept2021222337[Комнатность],"&lt;&gt;Офис")</f>
        <v>0</v>
      </c>
      <c r="H136" s="159">
        <f>SUMIFS(РД[S],РД[Дом],$C$130,РД[МОП],A136,РД[Дата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160">
        <f>SUMIFS(РД[Стоимость без отделки итог],РД[Дом],$C$130,РД[МОП],A136,РД[Дата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8">
        <f>COUNTIFS(РД[Дом],$C$130,РД[МОП],A136,РД[Дата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K136" s="229">
        <f t="shared" si="4"/>
        <v>0</v>
      </c>
      <c r="L136" s="230">
        <f t="shared" si="4"/>
        <v>0</v>
      </c>
      <c r="M136" s="341">
        <f>COUNTIFS(РД[Тип кв],M$131,РД[МОП],$A136,РД[Дом],$C$130,РД[Дата подачи на регистрацию],"&lt;="&amp;$A$1,РД[Дата подачи на регистрацию],"&gt;="&amp;DATE(YEAR($A$1),MONTH($A$1),1))</f>
        <v>0</v>
      </c>
      <c r="N136" s="228">
        <f>COUNTIFS(РД[Тип кв],N$131,РД[МОП],$A136,РД[Дом],$C$130,РД[Дата подачи на регистрацию],"&lt;="&amp;$A$1,РД[Дата подачи на регистрацию],"&gt;="&amp;DATE(YEAR($A$1),MONTH($A$1),1))</f>
        <v>0</v>
      </c>
      <c r="O136" s="228">
        <f>COUNTIFS(РД[Тип кв],O$131,РД[МОП],$A136,РД[Дом],$C$130,РД[Дата подачи на регистрацию],"&lt;="&amp;$A$1,РД[Дата подачи на регистрацию],"&gt;="&amp;DATE(YEAR($A$1),MONTH($A$1),1))</f>
        <v>0</v>
      </c>
      <c r="P136" s="228">
        <f>COUNTIFS(РД[Тип кв],P$131,РД[МОП],$A136,РД[Дом],$C$130,РД[Дата подачи на регистрацию],"&lt;="&amp;$A$1,РД[Дата подачи на регистрацию],"&gt;="&amp;DATE(YEAR($A$1),MONTH($A$1),1))</f>
        <v>0</v>
      </c>
      <c r="Q136" s="231">
        <f>COUNTIFS(РД[Тип кв],Q$131,РД[МОП],$A136,РД[Дом],$C$130,РД[Дата подачи на регистрацию],"&lt;="&amp;$A$1,РД[Дата подачи на регистрацию],"&gt;="&amp;DATE(YEAR($A$1),MONTH($A$1),1))</f>
        <v>0</v>
      </c>
      <c r="U136" s="66"/>
    </row>
    <row r="137" spans="1:21" s="65" customFormat="1">
      <c r="A137" s="161" t="s">
        <v>1919</v>
      </c>
      <c r="B137" s="278" t="str">
        <f>IFERROR(VLOOKUP(A137,'Индивидуальный план'!$R$3:$T$14,2,0),"")</f>
        <v/>
      </c>
      <c r="C137" s="281" t="str">
        <f>IFERROR(VLOOKUP(A137,'Индивидуальный план'!$R$3:$T$14,3,0),"")</f>
        <v/>
      </c>
      <c r="D137" s="511"/>
      <c r="E137" s="406">
        <f>SUMIFS(sept2021222337[м2],sept2021222337[МОП],$A137,sept2021222337[№ дома],$C$130,sept2021222337[Комнатность],"&lt;&gt;Офис")</f>
        <v>60.22</v>
      </c>
      <c r="F137" s="281">
        <f>SUMIFS(sept2021222337[Сумма без отделки],sept2021222337[МОП],$A137,sept2021222337[№ дома],$C$130,sept2021222337[Комнатность],"&lt;&gt;Офис")</f>
        <v>5653400</v>
      </c>
      <c r="G137" s="407">
        <f>COUNTIFS(sept2021222337[МОП],$A137,sept2021222337[№ дома],$C$130,sept2021222337[Комнатность],"&lt;&gt;Офис")</f>
        <v>1</v>
      </c>
      <c r="H137" s="166">
        <f>SUMIFS(РД[S],РД[Дом],$C$130,РД[МОП],A137,РД[Дата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167">
        <f>SUMIFS(РД[Стоимость без отделки итог],РД[Дом],$C$130,РД[МОП],A137,РД[Дата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2">
        <f>COUNTIFS(РД[Дом],$C$130,РД[МОП],A137,РД[Дата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K137" s="233">
        <f t="shared" si="4"/>
        <v>0</v>
      </c>
      <c r="L137" s="234">
        <f t="shared" si="4"/>
        <v>0</v>
      </c>
      <c r="M137" s="406">
        <f>COUNTIFS(РД[Тип кв],M$131,РД[МОП],$A137,РД[Дом],$C$130,РД[Дата подачи на регистрацию],"&lt;="&amp;$A$1,РД[Дата подачи на регистрацию],"&gt;="&amp;DATE(YEAR($A$1),MONTH($A$1),1))</f>
        <v>0</v>
      </c>
      <c r="N137" s="232">
        <f>COUNTIFS(РД[Тип кв],N$131,РД[МОП],$A137,РД[Дом],$C$130,РД[Дата подачи на регистрацию],"&lt;="&amp;$A$1,РД[Дата подачи на регистрацию],"&gt;="&amp;DATE(YEAR($A$1),MONTH($A$1),1))</f>
        <v>0</v>
      </c>
      <c r="O137" s="232">
        <f>COUNTIFS(РД[Тип кв],O$131,РД[МОП],$A137,РД[Дом],$C$130,РД[Дата подачи на регистрацию],"&lt;="&amp;$A$1,РД[Дата подачи на регистрацию],"&gt;="&amp;DATE(YEAR($A$1),MONTH($A$1),1))</f>
        <v>0</v>
      </c>
      <c r="P137" s="232">
        <f>COUNTIFS(РД[Тип кв],P$131,РД[МОП],$A137,РД[Дом],$C$130,РД[Дата подачи на регистрацию],"&lt;="&amp;$A$1,РД[Дата подачи на регистрацию],"&gt;="&amp;DATE(YEAR($A$1),MONTH($A$1),1))</f>
        <v>0</v>
      </c>
      <c r="Q137" s="337">
        <f>COUNTIFS(РД[Тип кв],Q$131,РД[МОП],$A137,РД[Дом],$C$130,РД[Дата подачи на регистрацию],"&lt;="&amp;$A$1,РД[Дата подачи на регистрацию],"&gt;="&amp;DATE(YEAR($A$1),MONTH($A$1),1))</f>
        <v>0</v>
      </c>
      <c r="U137" s="66"/>
    </row>
    <row r="138" spans="1:21" s="65" customFormat="1">
      <c r="A138" s="168" t="s">
        <v>114</v>
      </c>
      <c r="B138" s="172">
        <f t="shared" ref="B138:J138" si="5">SUM(B132:B137)</f>
        <v>978</v>
      </c>
      <c r="C138" s="172">
        <f t="shared" si="5"/>
        <v>91953698.983799994</v>
      </c>
      <c r="D138" s="691">
        <f t="shared" si="5"/>
        <v>0</v>
      </c>
      <c r="E138" s="173">
        <f t="shared" si="5"/>
        <v>718.06999999999994</v>
      </c>
      <c r="F138" s="173">
        <f t="shared" si="5"/>
        <v>64091803.009999998</v>
      </c>
      <c r="G138" s="171">
        <f t="shared" si="5"/>
        <v>14</v>
      </c>
      <c r="H138" s="172">
        <f t="shared" si="5"/>
        <v>680.26</v>
      </c>
      <c r="I138" s="173">
        <f t="shared" si="5"/>
        <v>64173405.007299997</v>
      </c>
      <c r="J138" s="170">
        <f t="shared" si="5"/>
        <v>13</v>
      </c>
      <c r="K138" s="238">
        <f>IFERROR(H138/B138,"")</f>
        <v>0.6955623721881391</v>
      </c>
      <c r="L138" s="501">
        <f>IFERROR(I138/C138,"")</f>
        <v>0.69788823849931025</v>
      </c>
      <c r="M138" s="171">
        <f>SUM(M132:M137)</f>
        <v>1</v>
      </c>
      <c r="N138" s="171">
        <f>SUM(N132:N137)</f>
        <v>4</v>
      </c>
      <c r="O138" s="171">
        <f>SUM(O132:O137)</f>
        <v>7</v>
      </c>
      <c r="P138" s="171">
        <f>SUM(P132:P137)</f>
        <v>1</v>
      </c>
      <c r="Q138" s="171">
        <f>SUM(Q132:Q137)</f>
        <v>0</v>
      </c>
      <c r="U138" s="66"/>
    </row>
    <row r="139" spans="1:21" s="65" customFormat="1">
      <c r="A139" s="692" t="s">
        <v>115</v>
      </c>
      <c r="B139" s="686" t="s">
        <v>100</v>
      </c>
      <c r="C139" s="693" t="s">
        <v>97</v>
      </c>
      <c r="D139" s="688" t="s">
        <v>95</v>
      </c>
      <c r="E139" s="295" t="s">
        <v>494</v>
      </c>
      <c r="F139" s="138" t="s">
        <v>495</v>
      </c>
      <c r="G139" s="470" t="s">
        <v>496</v>
      </c>
      <c r="H139" s="481" t="s">
        <v>101</v>
      </c>
      <c r="I139" s="482" t="s">
        <v>98</v>
      </c>
      <c r="J139" s="482" t="s">
        <v>96</v>
      </c>
      <c r="K139" s="502" t="s">
        <v>715</v>
      </c>
      <c r="L139" s="503" t="s">
        <v>716</v>
      </c>
      <c r="M139" s="504">
        <v>0</v>
      </c>
      <c r="N139" s="505">
        <v>1</v>
      </c>
      <c r="O139" s="505">
        <v>2</v>
      </c>
      <c r="P139" s="505">
        <v>3</v>
      </c>
      <c r="Q139" s="506" t="s">
        <v>1367</v>
      </c>
      <c r="U139" s="66"/>
    </row>
    <row r="140" spans="1:21" s="65" customFormat="1">
      <c r="A140" s="142" t="s">
        <v>16</v>
      </c>
      <c r="B140" s="271">
        <f>IFERROR(VLOOKUP(A140,'Индивидуальный план'!$AT$19:$AV$28,2,0),"")</f>
        <v>415.65</v>
      </c>
      <c r="C140" s="52">
        <f>IFERROR(VLOOKUP(A140,'Индивидуальный план'!$AT$19:$AV$28,3,0),"")</f>
        <v>39080322.068114996</v>
      </c>
      <c r="D140" s="702"/>
      <c r="E140" s="145">
        <f>SUMIFS(sept2021222337[м2],sept2021222337[ИМ],A140,sept2021222337[№ дома],$C$130,sept2021222337[Комнатность],"&lt;&gt;Офис")</f>
        <v>424</v>
      </c>
      <c r="F140" s="149">
        <f>SUMIFS(sept2021222337[Сумма без отделки],sept2021222337[ИМ],$A140,sept2021222337[№ дома],$C$130,sept2021222337[Комнатность],"&lt;&gt;Офис")</f>
        <v>37090118.009999998</v>
      </c>
      <c r="G140" s="147">
        <f>COUNTIFS(sept2021222337[ИМ],$A140,sept2021222337[№ дома],$C$130,sept2021222337[Комнатность],"&lt;&gt;Офис")</f>
        <v>9</v>
      </c>
      <c r="H140" s="183">
        <f>SUMIFS(РД[S],РД[Дом],$C$130,РД[ИМ],A140,РД[Дата подачи на регистрацию],"&lt;="&amp;$A$1,РД[Дата подачи на регистрацию],"&gt;="&amp;DATE(YEAR($A$1),MONTH($A$1),1),РД[Состояние],"Продажа")</f>
        <v>386.18999999999994</v>
      </c>
      <c r="I140" s="184">
        <f>SUMIFS(РД[Стоимость без отделки итог],РД[Дом],$C$130,РД[ИМ],A140,РД[Дата подачи на регистрацию],"&lt;="&amp;$A$1,РД[Дата подачи на регистрацию],"&gt;="&amp;DATE(YEAR($A$1),MONTH($A$1),1),РД[Состояние],"Продажа")</f>
        <v>37090118.009999998</v>
      </c>
      <c r="J140" s="243">
        <f>COUNTIFS(РД[Дом],$C$130,РД[ИМ],A140,РД[Дата подачи на регистрацию],"&lt;="&amp;$A$1,РД[Дата подачи на регистрацию],"&gt;="&amp;DATE(YEAR($A$1),MONTH($A$1),1),РД[Состояние],"Продажа")</f>
        <v>8</v>
      </c>
      <c r="K140" s="244">
        <f>IFERROR(H140/B140,"")</f>
        <v>0.92912306026705149</v>
      </c>
      <c r="L140" s="245">
        <f>IFERROR(I140/C140,"")</f>
        <v>0.94907401083731668</v>
      </c>
      <c r="M140" s="183">
        <f>COUNTIFS(РД[Тип кв],M131,РД[ИМ],$A140,РД[Дом],$C$130,РД[Дата подачи на регистрацию],"&lt;="&amp;$A$1,РД[Дата подачи на регистрацию],"&gt;="&amp;DATE(YEAR($A$1),MONTH($A$1),1))</f>
        <v>1</v>
      </c>
      <c r="N140" s="243">
        <f>COUNTIFS(РД[Тип кв],N131,РД[ИМ],$A140,РД[Дом],$C$130,РД[Дата подачи на регистрацию],"&lt;="&amp;$A$1,РД[Дата подачи на регистрацию],"&gt;="&amp;DATE(YEAR($A$1),MONTH($A$1),1))</f>
        <v>3</v>
      </c>
      <c r="O140" s="243">
        <f>COUNTIFS(РД[Тип кв],O131,РД[ИМ],$A140,РД[Дом],$C$130,РД[Дата подачи на регистрацию],"&lt;="&amp;$A$1,РД[Дата подачи на регистрацию],"&gt;="&amp;DATE(YEAR($A$1),MONTH($A$1),1))</f>
        <v>4</v>
      </c>
      <c r="P140" s="243">
        <f>COUNTIFS(РД[Тип кв],P131,РД[ИМ],$A140,РД[Дом],$C$130,РД[Дата подачи на регистрацию],"&lt;="&amp;$A$1,РД[Дата подачи на регистрацию],"&gt;="&amp;DATE(YEAR($A$1),MONTH($A$1),1))</f>
        <v>0</v>
      </c>
      <c r="Q140" s="246">
        <f>COUNTIFS(РД[Тип кв],Q131,РД[ИМ],$A140,РД[Дом],$C$130,РД[Дата подачи на регистрацию],"&lt;="&amp;$A$1,РД[Дата подачи на регистрацию],"&gt;="&amp;DATE(YEAR($A$1),MONTH($A$1),1))</f>
        <v>0</v>
      </c>
      <c r="U140" s="66"/>
    </row>
    <row r="141" spans="1:21" s="65" customFormat="1">
      <c r="A141" s="153" t="s">
        <v>22</v>
      </c>
      <c r="B141" s="271">
        <f>IFERROR(VLOOKUP(A141,'Индивидуальный план'!$AT$19:$AV$28,2,0),"")</f>
        <v>415.65</v>
      </c>
      <c r="C141" s="52">
        <f>IFERROR(VLOOKUP(A141,'Индивидуальный план'!$AT$19:$AV$28,3,0),"")</f>
        <v>39080322.068114996</v>
      </c>
      <c r="D141" s="703"/>
      <c r="E141" s="329">
        <f>SUMIFS(sept2021222337[м2],sept2021222337[ИМ],A141,sept2021222337[№ дома],$C$130,sept2021222337[Комнатность],"&lt;&gt;Офис")</f>
        <v>294.07</v>
      </c>
      <c r="F141" s="359">
        <f>SUMIFS(sept2021222337[Сумма без отделки],sept2021222337[ИМ],$A141,sept2021222337[№ дома],$C$130,sept2021222337[Комнатность],"&lt;&gt;Офис")</f>
        <v>27001685</v>
      </c>
      <c r="G141" s="414">
        <f>COUNTIFS(sept2021222337[ИМ],$A141,sept2021222337[№ дома],$C$130,sept2021222337[Комнатность],"&lt;&gt;Офис")</f>
        <v>5</v>
      </c>
      <c r="H141" s="358">
        <f>SUMIFS(РД[S],РД[Дом],$C$130,РД[ИМ],A141,РД[Дата подачи на регистрацию],"&lt;="&amp;$A$1,РД[Дата подачи на регистрацию],"&gt;="&amp;DATE(YEAR($A$1),MONTH($A$1),1),РД[Состояние],"Продажа")</f>
        <v>294.07</v>
      </c>
      <c r="I141" s="359">
        <f>SUMIFS(РД[Стоимость без отделки итог],РД[Дом],$C$130,РД[ИМ],A141,РД[Дата подачи на регистрацию],"&lt;="&amp;$A$1,РД[Дата подачи на регистрацию],"&gt;="&amp;DATE(YEAR($A$1),MONTH($A$1),1),РД[Состояние],"Продажа")</f>
        <v>27083286.997299999</v>
      </c>
      <c r="J141" s="330">
        <f>COUNTIFS(РД[Дом],$C$130,РД[ИМ],A141,РД[Дата подачи на регистрацию],"&lt;="&amp;$A$1,РД[Дата подачи на регистрацию],"&gt;="&amp;DATE(YEAR($A$1),MONTH($A$1),1),РД[Состояние],"Продажа")</f>
        <v>5</v>
      </c>
      <c r="K141" s="360">
        <f>IFERROR(H141/B141,"")</f>
        <v>0.70749428605798148</v>
      </c>
      <c r="L141" s="367">
        <f>IFERROR(I141/C141,"")</f>
        <v>0.69301596210223704</v>
      </c>
      <c r="M141" s="195">
        <f>COUNTIFS(РД[Тип кв],M$131,РД[ИМ],$A141,РД[Дом],$C$130,РД[Дата подачи на регистрацию],"&lt;="&amp;$A$1,РД[Дата подачи на регистрацию],"&gt;="&amp;DATE(YEAR($A$1),MONTH($A$1),1))</f>
        <v>0</v>
      </c>
      <c r="N141" s="251">
        <f>COUNTIFS(РД[Тип кв],N$131,РД[ИМ],$A141,РД[Дом],$C$130,РД[Дата подачи на регистрацию],"&lt;="&amp;$A$1,РД[Дата подачи на регистрацию],"&gt;="&amp;DATE(YEAR($A$1),MONTH($A$1),1))</f>
        <v>1</v>
      </c>
      <c r="O141" s="251">
        <f>COUNTIFS(РД[Тип кв],O$131,РД[ИМ],$A141,РД[Дом],$C$130,РД[Дата подачи на регистрацию],"&lt;="&amp;$A$1,РД[Дата подачи на регистрацию],"&gt;="&amp;DATE(YEAR($A$1),MONTH($A$1),1))</f>
        <v>3</v>
      </c>
      <c r="P141" s="251">
        <f>COUNTIFS(РД[Тип кв],P$131,РД[ИМ],$A141,РД[Дом],$C$130,РД[Дата подачи на регистрацию],"&lt;="&amp;$A$1,РД[Дата подачи на регистрацию],"&gt;="&amp;DATE(YEAR($A$1),MONTH($A$1),1))</f>
        <v>1</v>
      </c>
      <c r="Q141" s="254">
        <f>COUNTIFS(РД[Тип кв],Q$131,РД[ИМ],$A141,РД[Дом],$C$130,РД[Дата подачи на регистрацию],"&lt;="&amp;$A$1,РД[Дата подачи на регистрацию],"&gt;="&amp;DATE(YEAR($A$1),MONTH($A$1),1))</f>
        <v>0</v>
      </c>
      <c r="R141" s="86"/>
      <c r="S141" s="86"/>
      <c r="T141" s="86"/>
      <c r="U141" s="66"/>
    </row>
    <row r="142" spans="1:21" s="65" customFormat="1">
      <c r="A142" s="317" t="s">
        <v>114</v>
      </c>
      <c r="B142" s="410">
        <f t="shared" ref="B142:J142" si="6">SUM(B140:B141)</f>
        <v>831.3</v>
      </c>
      <c r="C142" s="411">
        <f t="shared" si="6"/>
        <v>78160644.136229992</v>
      </c>
      <c r="D142" s="497">
        <f t="shared" si="6"/>
        <v>0</v>
      </c>
      <c r="E142" s="484">
        <f t="shared" si="6"/>
        <v>718.06999999999994</v>
      </c>
      <c r="F142" s="429">
        <f t="shared" si="6"/>
        <v>64091803.009999998</v>
      </c>
      <c r="G142" s="485">
        <f t="shared" si="6"/>
        <v>14</v>
      </c>
      <c r="H142" s="473">
        <f t="shared" si="6"/>
        <v>680.26</v>
      </c>
      <c r="I142" s="429">
        <f t="shared" si="6"/>
        <v>64173405.007299997</v>
      </c>
      <c r="J142" s="494">
        <f t="shared" si="6"/>
        <v>13</v>
      </c>
      <c r="K142" s="419">
        <f>IFERROR(H142/B142,)</f>
        <v>0.81830867316251654</v>
      </c>
      <c r="L142" s="507">
        <f>IFERROR(I142/C142,)</f>
        <v>0.82104498646977686</v>
      </c>
      <c r="M142" s="317">
        <f t="shared" ref="M142:Q142" si="7">SUM(M140:M141)</f>
        <v>1</v>
      </c>
      <c r="N142" s="485">
        <f t="shared" si="7"/>
        <v>4</v>
      </c>
      <c r="O142" s="485">
        <f t="shared" si="7"/>
        <v>7</v>
      </c>
      <c r="P142" s="485">
        <f t="shared" si="7"/>
        <v>1</v>
      </c>
      <c r="Q142" s="497">
        <f t="shared" si="7"/>
        <v>0</v>
      </c>
      <c r="R142" s="86"/>
      <c r="S142" s="86"/>
      <c r="T142" s="86"/>
      <c r="U142" s="66"/>
    </row>
    <row r="143" spans="1:21" s="65" customFormat="1">
      <c r="A143" s="134"/>
      <c r="B143" s="211"/>
      <c r="C143" s="211"/>
      <c r="D143" s="212"/>
      <c r="E143" s="134"/>
      <c r="F143" s="134"/>
      <c r="G143" s="134"/>
      <c r="H143" s="134"/>
      <c r="I143" s="134"/>
      <c r="J143" s="134"/>
      <c r="K143" s="134"/>
      <c r="L143" s="261"/>
      <c r="M143" s="134"/>
      <c r="N143" s="134"/>
      <c r="O143" s="134"/>
      <c r="P143" s="262"/>
      <c r="Q143" s="134"/>
      <c r="U143" s="66"/>
    </row>
    <row r="144" spans="1:21" s="65" customFormat="1">
      <c r="A144" s="2327" t="s">
        <v>713</v>
      </c>
      <c r="B144" s="2328"/>
      <c r="C144" s="474" t="s">
        <v>718</v>
      </c>
      <c r="D144" s="704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476"/>
      <c r="Q144" s="134"/>
      <c r="U144" s="66"/>
    </row>
    <row r="145" spans="1:21" s="65" customFormat="1">
      <c r="A145" s="705" t="s">
        <v>1</v>
      </c>
      <c r="B145" s="706" t="s">
        <v>100</v>
      </c>
      <c r="C145" s="707" t="s">
        <v>97</v>
      </c>
      <c r="D145" s="708" t="s">
        <v>95</v>
      </c>
      <c r="E145" s="486" t="s">
        <v>494</v>
      </c>
      <c r="F145" s="487" t="s">
        <v>495</v>
      </c>
      <c r="G145" s="488" t="s">
        <v>496</v>
      </c>
      <c r="H145" s="489" t="s">
        <v>101</v>
      </c>
      <c r="I145" s="490" t="s">
        <v>98</v>
      </c>
      <c r="J145" s="490" t="s">
        <v>96</v>
      </c>
      <c r="K145" s="490" t="s">
        <v>715</v>
      </c>
      <c r="L145" s="508" t="s">
        <v>716</v>
      </c>
      <c r="M145" s="217">
        <v>0</v>
      </c>
      <c r="N145" s="218">
        <v>1</v>
      </c>
      <c r="O145" s="218">
        <v>2</v>
      </c>
      <c r="P145" s="218">
        <v>3</v>
      </c>
      <c r="Q145" s="219" t="s">
        <v>1367</v>
      </c>
      <c r="U145" s="66"/>
    </row>
    <row r="146" spans="1:21" s="65" customFormat="1">
      <c r="A146" s="398" t="s">
        <v>8</v>
      </c>
      <c r="B146" s="271">
        <f>IFERROR(VLOOKUP(A146,'Индивидуальный план'!$AT$33:$AV$41,2,0),"")</f>
        <v>386</v>
      </c>
      <c r="C146" s="52">
        <f>IFERROR(VLOOKUP(A146,'Индивидуальный план'!$AT$33:$AV$41,3,0),"")</f>
        <v>36882278.1932</v>
      </c>
      <c r="D146" s="327"/>
      <c r="E146" s="257">
        <f>SUMIFS(sept2021222337[м2],sept2021222337[МОП],$A146,sept2021222337[Комнатность],"&lt;&gt;Офис")</f>
        <v>493.50999999999993</v>
      </c>
      <c r="F146" s="52">
        <f>SUMIFS(sept2021222337[Сумма без отделки],sept2021222337[МОП],$A146,sept2021222337[Комнатность],"&lt;&gt;Офис")</f>
        <v>45885536</v>
      </c>
      <c r="G146" s="413">
        <f>COUNTIFS(sept2021222337[МОП],$A146,sept2021222337[Комнатность],"&lt;&gt;Офис")</f>
        <v>9</v>
      </c>
      <c r="H146" s="202">
        <f>SUMIFS(РД[S],РД[МОП],A146,РД[Дата подачи на регистрацию],"&lt;="&amp;$A$1,РД[Дата подачи на регистрацию],"&gt;="&amp;DATE(YEAR($A$1),MONTH($A$1),1),РД[Состояние],"Продажа")</f>
        <v>532.11</v>
      </c>
      <c r="I146" s="203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49921705.997299999</v>
      </c>
      <c r="J146" s="226">
        <f>COUNTIFS(РД[МОП],A146,РД[Дата подачи на регистрацию],"&lt;="&amp;$A$1,РД[Дата подачи на регистрацию],"&gt;="&amp;DATE(YEAR($A$1),MONTH($A$1),1),РД[Состояние],"Продажа")</f>
        <v>10</v>
      </c>
      <c r="K146" s="224">
        <f t="shared" ref="K146:L151" si="8">IFERROR(H146/B146,"")</f>
        <v>1.3785233160621762</v>
      </c>
      <c r="L146" s="225">
        <f t="shared" si="8"/>
        <v>1.353541821245307</v>
      </c>
      <c r="M146" s="325">
        <f>M132+M119</f>
        <v>1</v>
      </c>
      <c r="N146" s="326">
        <f>N132+N119</f>
        <v>2</v>
      </c>
      <c r="O146" s="326">
        <f>O132+O119</f>
        <v>2</v>
      </c>
      <c r="P146" s="326">
        <f>P132+P119</f>
        <v>0</v>
      </c>
      <c r="Q146" s="327">
        <f>Q132+Q119</f>
        <v>0</v>
      </c>
      <c r="U146" s="66"/>
    </row>
    <row r="147" spans="1:21" s="65" customFormat="1">
      <c r="A147" s="398" t="s">
        <v>1867</v>
      </c>
      <c r="B147" s="271">
        <f>IFERROR(VLOOKUP(A147,'Индивидуальный план'!$AT$33:$AV$41,2,0),"")</f>
        <v>386</v>
      </c>
      <c r="C147" s="52">
        <f>IFERROR(VLOOKUP(A147,'Индивидуальный план'!$AT$33:$AV$41,3,0),"")</f>
        <v>36878125.277899995</v>
      </c>
      <c r="D147" s="327"/>
      <c r="E147" s="257">
        <f>SUMIFS(sept2021222337[м2],sept2021222337[МОП],$A147,sept2021222337[Комнатность],"&lt;&gt;Офис")</f>
        <v>0</v>
      </c>
      <c r="F147" s="52">
        <f>SUMIFS(sept2021222337[Сумма без отделки],sept2021222337[МОП],$A147,sept2021222337[Комнатность],"&lt;&gt;Офис")</f>
        <v>0</v>
      </c>
      <c r="G147" s="413">
        <f>COUNTIFS(sept2021222337[МОП],$A147,sept2021222337[Комнатность],"&lt;&gt;Офис")</f>
        <v>0</v>
      </c>
      <c r="H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0</v>
      </c>
      <c r="I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0</v>
      </c>
      <c r="J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0</v>
      </c>
      <c r="K147" s="224">
        <f t="shared" si="8"/>
        <v>0</v>
      </c>
      <c r="L147" s="225">
        <f t="shared" si="8"/>
        <v>0</v>
      </c>
      <c r="M147" s="325">
        <f>M133+M118</f>
        <v>1</v>
      </c>
      <c r="N147" s="326">
        <f>N133+N118</f>
        <v>0</v>
      </c>
      <c r="O147" s="326">
        <f>O133+O118</f>
        <v>3</v>
      </c>
      <c r="P147" s="326">
        <f>P133+P118</f>
        <v>1</v>
      </c>
      <c r="Q147" s="327">
        <f>Q133+Q118</f>
        <v>0</v>
      </c>
      <c r="U147" s="66"/>
    </row>
    <row r="148" spans="1:21" s="65" customFormat="1">
      <c r="A148" s="153" t="s">
        <v>20</v>
      </c>
      <c r="B148" s="271">
        <f>IFERROR(VLOOKUP(A148,'Индивидуальный план'!$AT$33:$AV$41,2,0),"")</f>
        <v>386</v>
      </c>
      <c r="C148" s="52">
        <f>IFERROR(VLOOKUP(A148,'Индивидуальный план'!$AT$33:$AV$41,3,0),"")</f>
        <v>36882278.1932</v>
      </c>
      <c r="D148" s="366"/>
      <c r="E148" s="257">
        <f>SUMIFS(sept2021222337[м2],sept2021222337[МОП],$A148,sept2021222337[Комнатность],"&lt;&gt;Офис")</f>
        <v>269.94</v>
      </c>
      <c r="F148" s="52">
        <f>SUMIFS(sept2021222337[Сумма без отделки],sept2021222337[МОП],$A148,sept2021222337[Комнатность],"&lt;&gt;Офис")</f>
        <v>27027260.009999998</v>
      </c>
      <c r="G148" s="413">
        <f>COUNTIFS(sept2021222337[МОП],$A148,sept2021222337[Комнатность],"&lt;&gt;Офис")</f>
        <v>6</v>
      </c>
      <c r="H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269.94</v>
      </c>
      <c r="I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27027260.009999998</v>
      </c>
      <c r="J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6</v>
      </c>
      <c r="K148" s="224">
        <f t="shared" si="8"/>
        <v>0.69932642487046637</v>
      </c>
      <c r="L148" s="225">
        <f t="shared" si="8"/>
        <v>0.73279800852928401</v>
      </c>
      <c r="M148" s="325">
        <f>M135+M121</f>
        <v>0</v>
      </c>
      <c r="N148" s="326">
        <f>N135+N121</f>
        <v>2</v>
      </c>
      <c r="O148" s="326">
        <f>O135+O121</f>
        <v>4</v>
      </c>
      <c r="P148" s="326">
        <f>P135+P121</f>
        <v>0</v>
      </c>
      <c r="Q148" s="327">
        <f>Q135+Q121</f>
        <v>0</v>
      </c>
      <c r="U148" s="66"/>
    </row>
    <row r="149" spans="1:21" s="65" customFormat="1">
      <c r="A149" s="153" t="s">
        <v>14</v>
      </c>
      <c r="B149" s="271">
        <f>IFERROR(VLOOKUP(A149,'Индивидуальный план'!$AT$33:$AV$41,2,0),"")</f>
        <v>386</v>
      </c>
      <c r="C149" s="52">
        <f>IFERROR(VLOOKUP(A149,'Индивидуальный план'!$AT$33:$AV$41,3,0),"")</f>
        <v>36878125.277899995</v>
      </c>
      <c r="D149" s="366"/>
      <c r="E149" s="329">
        <f>SUMIFS(sept2021222337[м2],sept2021222337[МОП],$A149,sept2021222337[Комнатность],"&lt;&gt;Офис")</f>
        <v>297.77999999999997</v>
      </c>
      <c r="F149" s="363">
        <f>SUMIFS(sept2021222337[Сумма без отделки],sept2021222337[МОП],$A149,sept2021222337[Комнатность],"&lt;&gt;Офис")</f>
        <v>24526461</v>
      </c>
      <c r="G149" s="414">
        <f>COUNTIFS(sept2021222337[МОП],$A149,sept2021222337[Комнатность],"&lt;&gt;Офис")</f>
        <v>6</v>
      </c>
      <c r="H149" s="358">
        <f>SUMIFS(РД[S],РД[МОП],A149,РД[Дата подачи на регистрацию],"&lt;="&amp;$A$1,РД[Дата подачи на регистрацию],"&gt;="&amp;DATE(YEAR($A$1),MONTH($A$1),1),РД[Состояние],"Продажа")</f>
        <v>320.19</v>
      </c>
      <c r="I149" s="359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30777088</v>
      </c>
      <c r="J149" s="330">
        <f>COUNTIFS(РД[МОП],A149,РД[Дата подачи на регистрацию],"&lt;="&amp;$A$1,РД[Дата подачи на регистрацию],"&gt;="&amp;DATE(YEAR($A$1),MONTH($A$1),1),РД[Состояние],"Продажа")</f>
        <v>6</v>
      </c>
      <c r="K149" s="360">
        <f t="shared" si="8"/>
        <v>0.82950777202072534</v>
      </c>
      <c r="L149" s="361">
        <f t="shared" si="8"/>
        <v>0.83456216301873209</v>
      </c>
      <c r="M149" s="364">
        <f t="shared" ref="M149:Q151" si="9">M135+M121</f>
        <v>0</v>
      </c>
      <c r="N149" s="365">
        <f t="shared" si="9"/>
        <v>2</v>
      </c>
      <c r="O149" s="365">
        <f t="shared" si="9"/>
        <v>4</v>
      </c>
      <c r="P149" s="365">
        <f t="shared" si="9"/>
        <v>0</v>
      </c>
      <c r="Q149" s="366">
        <f t="shared" si="9"/>
        <v>0</v>
      </c>
      <c r="R149" s="86"/>
      <c r="S149" s="86"/>
      <c r="T149" s="86"/>
      <c r="U149" s="66"/>
    </row>
    <row r="150" spans="1:21" s="65" customFormat="1">
      <c r="A150" s="154" t="s">
        <v>29</v>
      </c>
      <c r="B150" s="274"/>
      <c r="C150" s="277"/>
      <c r="D150" s="690"/>
      <c r="E150" s="341">
        <f>SUMIFS(sept2021222337[м2],sept2021222337[МОП],$A150,sept2021222337[Комнатность],"&lt;&gt;Офис")</f>
        <v>0</v>
      </c>
      <c r="F150" s="277">
        <f>SUMIFS(sept2021222337[Сумма без отделки],sept2021222337[МОП],$A150,sept2021222337[Комнатность],"&lt;&gt;Офис")</f>
        <v>0</v>
      </c>
      <c r="G150" s="405">
        <f>COUNTIFS(sept2021222337[МОП],$A150,sept2021222337[Комнатность],"&lt;&gt;Офис")</f>
        <v>0</v>
      </c>
      <c r="H150" s="159">
        <f>SUMIFS(РД[S],РД[МОП],A150,РД[Дата подачи на регистрацию],"&lt;="&amp;$A$1,РД[Дата подачи на регистрацию],"&gt;="&amp;DATE(YEAR($A$1),MONTH($A$1),1),РД[Состояние],"Продажа")</f>
        <v>0</v>
      </c>
      <c r="I150" s="160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0</v>
      </c>
      <c r="J150" s="228">
        <f>COUNTIFS(РД[МОП],A150,РД[Дата подачи на регистрацию],"&lt;="&amp;$A$1,РД[Дата подачи на регистрацию],"&gt;="&amp;DATE(YEAR($A$1),MONTH($A$1),1),РД[Состояние],"Продажа")</f>
        <v>0</v>
      </c>
      <c r="K150" s="229" t="str">
        <f t="shared" si="8"/>
        <v/>
      </c>
      <c r="L150" s="230" t="str">
        <f t="shared" si="8"/>
        <v/>
      </c>
      <c r="M150" s="159">
        <f t="shared" si="9"/>
        <v>0</v>
      </c>
      <c r="N150" s="228">
        <f t="shared" si="9"/>
        <v>0</v>
      </c>
      <c r="O150" s="228">
        <f t="shared" si="9"/>
        <v>0</v>
      </c>
      <c r="P150" s="228">
        <f t="shared" si="9"/>
        <v>0</v>
      </c>
      <c r="Q150" s="231">
        <f t="shared" si="9"/>
        <v>0</v>
      </c>
      <c r="U150" s="66"/>
    </row>
    <row r="151" spans="1:21" s="65" customFormat="1">
      <c r="A151" s="161" t="s">
        <v>1919</v>
      </c>
      <c r="B151" s="278"/>
      <c r="C151" s="281"/>
      <c r="D151" s="511"/>
      <c r="E151" s="406">
        <f>SUMIFS(sept2021222337[м2],sept2021222337[МОП],$A151,sept2021222337[Комнатность],"&lt;&gt;Офис")</f>
        <v>98.82</v>
      </c>
      <c r="F151" s="281">
        <f>SUMIFS(sept2021222337[Сумма без отделки],sept2021222337[МОП],$A151,sept2021222337[Комнатность],"&lt;&gt;Офис")</f>
        <v>9689570</v>
      </c>
      <c r="G151" s="407">
        <f>COUNTIFS(sept2021222337[МОП],$A151,sept2021222337[Комнатность],"&lt;&gt;Офис")</f>
        <v>2</v>
      </c>
      <c r="H151" s="166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16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32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K151" s="233" t="str">
        <f t="shared" si="8"/>
        <v/>
      </c>
      <c r="L151" s="234" t="str">
        <f t="shared" si="8"/>
        <v/>
      </c>
      <c r="M151" s="509">
        <f t="shared" si="9"/>
        <v>0</v>
      </c>
      <c r="N151" s="510">
        <f t="shared" si="9"/>
        <v>0</v>
      </c>
      <c r="O151" s="510">
        <f t="shared" si="9"/>
        <v>0</v>
      </c>
      <c r="P151" s="510">
        <f t="shared" si="9"/>
        <v>0</v>
      </c>
      <c r="Q151" s="511">
        <f t="shared" si="9"/>
        <v>0</v>
      </c>
      <c r="U151" s="66"/>
    </row>
    <row r="152" spans="1:21" s="65" customFormat="1">
      <c r="A152" s="168" t="s">
        <v>114</v>
      </c>
      <c r="B152" s="172">
        <f t="shared" ref="B152:J152" si="10">SUM(B146:B151)</f>
        <v>1544</v>
      </c>
      <c r="C152" s="173">
        <f t="shared" si="10"/>
        <v>147520806.94220001</v>
      </c>
      <c r="D152" s="709">
        <f t="shared" si="10"/>
        <v>0</v>
      </c>
      <c r="E152" s="173">
        <f t="shared" si="10"/>
        <v>1160.05</v>
      </c>
      <c r="F152" s="492">
        <f t="shared" si="10"/>
        <v>107128827.00999999</v>
      </c>
      <c r="G152" s="493">
        <f t="shared" si="10"/>
        <v>23</v>
      </c>
      <c r="H152" s="172">
        <f t="shared" si="10"/>
        <v>1122.24</v>
      </c>
      <c r="I152" s="492">
        <f t="shared" si="10"/>
        <v>107726054.00729999</v>
      </c>
      <c r="J152" s="493">
        <f t="shared" si="10"/>
        <v>22</v>
      </c>
      <c r="K152" s="238">
        <f>IFERROR(H152/B152,)</f>
        <v>0.72683937823834199</v>
      </c>
      <c r="L152" s="501">
        <f>IFERROR(I152/C152,)</f>
        <v>0.73024311783698448</v>
      </c>
      <c r="M152" s="471">
        <f>SUM(M146:M151)</f>
        <v>2</v>
      </c>
      <c r="N152" s="471">
        <f>SUM(N146:N151)</f>
        <v>6</v>
      </c>
      <c r="O152" s="471">
        <f>SUM(O146:O151)</f>
        <v>13</v>
      </c>
      <c r="P152" s="471">
        <f>SUM(P146:P151)</f>
        <v>1</v>
      </c>
      <c r="Q152" s="471">
        <f>SUM(Q146:Q151)</f>
        <v>0</v>
      </c>
      <c r="U152" s="66"/>
    </row>
    <row r="153" spans="1:21" s="65" customFormat="1">
      <c r="A153" s="692" t="s">
        <v>115</v>
      </c>
      <c r="B153" s="706" t="s">
        <v>100</v>
      </c>
      <c r="C153" s="710" t="s">
        <v>97</v>
      </c>
      <c r="D153" s="708" t="s">
        <v>95</v>
      </c>
      <c r="E153" s="295" t="s">
        <v>494</v>
      </c>
      <c r="F153" s="138" t="s">
        <v>495</v>
      </c>
      <c r="G153" s="470" t="s">
        <v>496</v>
      </c>
      <c r="H153" s="140" t="s">
        <v>101</v>
      </c>
      <c r="I153" s="141" t="s">
        <v>98</v>
      </c>
      <c r="J153" s="141" t="s">
        <v>96</v>
      </c>
      <c r="K153" s="141" t="s">
        <v>715</v>
      </c>
      <c r="L153" s="216" t="s">
        <v>716</v>
      </c>
      <c r="M153" s="512">
        <v>0</v>
      </c>
      <c r="N153" s="218">
        <v>1</v>
      </c>
      <c r="O153" s="218">
        <v>2</v>
      </c>
      <c r="P153" s="218">
        <v>3</v>
      </c>
      <c r="Q153" s="219" t="s">
        <v>1367</v>
      </c>
      <c r="U153" s="66"/>
    </row>
    <row r="154" spans="1:21" s="65" customFormat="1">
      <c r="A154" s="142" t="s">
        <v>16</v>
      </c>
      <c r="B154" s="291">
        <f>IFERROR(VLOOKUP(A154,'Индивидуальный план'!$AT$33:$AV$41,2,0),"")</f>
        <v>656.2</v>
      </c>
      <c r="C154" s="292">
        <f>IFERROR(VLOOKUP(A154,'Индивидуальный план'!$AT$33:$AV$41,3,0),"")</f>
        <v>62696342.950434998</v>
      </c>
      <c r="D154" s="694"/>
      <c r="E154" s="145">
        <f>SUMIFS(sept2021222337[м2],sept2021222337[ИМ],A154,sept2021222337[Комнатность],"&lt;&gt;Офис")</f>
        <v>622.61000000000013</v>
      </c>
      <c r="F154" s="149">
        <f>SUMIFS(sept2021222337[Сумма без отделки],sept2021222337[ИМ],$A154,sept2021222337[Комнатность],"&lt;&gt;Офис")</f>
        <v>56219317.009999998</v>
      </c>
      <c r="G154" s="147">
        <f>COUNTIFS(sept2021222337[ИМ],A154,sept2021222337[Комнатность],"&lt;&gt;Офис")</f>
        <v>13</v>
      </c>
      <c r="H154" s="183">
        <f>SUMIFS(РД[S],РД[ИМ],A154,РД[Дата подачи на регистрацию],"&lt;="&amp;$A$1,РД[Дата подачи на регистрацию],"&gt;="&amp;DATE(YEAR($A$1),MONTH($A$1),1),РД[Состояние],"Продажа")</f>
        <v>584.80000000000007</v>
      </c>
      <c r="I154" s="184">
        <f>SUMIFS(РД[Стоимость без отделки итог],РД[ИМ],A154,РД[Дата подачи на регистрацию],"&lt;="&amp;$A$1,РД[Дата подачи на регистрацию],"&gt;="&amp;DATE(YEAR($A$1),MONTH($A$1),1),РД[Состояние],"Продажа")</f>
        <v>56219317.009999998</v>
      </c>
      <c r="J154" s="243">
        <f>COUNTIFS(РД[ИМ],A154,РД[Дата подачи на регистрацию],"&lt;="&amp;$A$1,РД[Дата подачи на регистрацию],"&gt;="&amp;DATE(YEAR($A$1),MONTH($A$1),1),РД[Состояние],"Продажа")</f>
        <v>12</v>
      </c>
      <c r="K154" s="244">
        <f t="shared" ref="K154:L156" si="11">IFERROR(H154/B154,"")</f>
        <v>0.89119170984455964</v>
      </c>
      <c r="L154" s="258">
        <f t="shared" si="11"/>
        <v>0.89669212531972631</v>
      </c>
      <c r="M154" s="346">
        <f t="shared" ref="M154:Q155" si="12">M140+M126</f>
        <v>2</v>
      </c>
      <c r="N154" s="243">
        <f t="shared" si="12"/>
        <v>4</v>
      </c>
      <c r="O154" s="243">
        <f t="shared" si="12"/>
        <v>6</v>
      </c>
      <c r="P154" s="243">
        <f t="shared" si="12"/>
        <v>0</v>
      </c>
      <c r="Q154" s="246">
        <f t="shared" si="12"/>
        <v>0</v>
      </c>
      <c r="R154" s="66"/>
      <c r="S154" s="66"/>
      <c r="T154" s="66"/>
      <c r="U154" s="66"/>
    </row>
    <row r="155" spans="1:21" s="65" customFormat="1">
      <c r="A155" s="153" t="s">
        <v>22</v>
      </c>
      <c r="B155" s="516">
        <f>IFERROR(VLOOKUP(A155,'Индивидуальный план'!$AT$33:$AV$41,2,0),"")</f>
        <v>656.2</v>
      </c>
      <c r="C155" s="554">
        <f>IFERROR(VLOOKUP(A155,'Индивидуальный план'!$AT$33:$AV$41,3,0),"")</f>
        <v>62696342.950434998</v>
      </c>
      <c r="D155" s="695"/>
      <c r="E155" s="145">
        <f>SUMIFS(sept2021222337[м2],sept2021222337[ИМ],A155,sept2021222337[Комнатность],"&lt;&gt;Офис")</f>
        <v>430.09000000000003</v>
      </c>
      <c r="F155" s="149">
        <f>SUMIFS(sept2021222337[Сумма без отделки],sept2021222337[ИМ],$A155,sept2021222337[Комнатность],"&lt;&gt;Офис")</f>
        <v>41130391</v>
      </c>
      <c r="G155" s="147">
        <f>COUNTIFS(sept2021222337[ИМ],$A155,sept2021222337[Комнатность],"&lt;&gt;Офис")</f>
        <v>8</v>
      </c>
      <c r="H155" s="195">
        <f>SUMIFS(РД[S],РД[ИМ],A155,РД[Дата подачи на регистрацию],"&lt;="&amp;$A$1,РД[Дата подачи на регистрацию],"&gt;="&amp;DATE(YEAR($A$1),MONTH($A$1),1),РД[Состояние],"Продажа")</f>
        <v>430.09</v>
      </c>
      <c r="I155" s="196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41211992.997299999</v>
      </c>
      <c r="J155" s="251">
        <f>COUNTIFS(РД[ИМ],A155,РД[Дата подачи на регистрацию],"&lt;="&amp;$A$1,РД[Дата подачи на регистрацию],"&gt;="&amp;DATE(YEAR($A$1),MONTH($A$1),1),РД[Состояние],"Продажа")</f>
        <v>8</v>
      </c>
      <c r="K155" s="252">
        <f t="shared" si="11"/>
        <v>0.65542517525144761</v>
      </c>
      <c r="L155" s="260">
        <f t="shared" si="11"/>
        <v>0.65732690389741566</v>
      </c>
      <c r="M155" s="329">
        <f t="shared" si="12"/>
        <v>1</v>
      </c>
      <c r="N155" s="330">
        <f t="shared" si="12"/>
        <v>2</v>
      </c>
      <c r="O155" s="330">
        <f t="shared" si="12"/>
        <v>4</v>
      </c>
      <c r="P155" s="330">
        <f t="shared" si="12"/>
        <v>1</v>
      </c>
      <c r="Q155" s="331">
        <f t="shared" si="12"/>
        <v>0</v>
      </c>
      <c r="R155" s="66"/>
      <c r="S155" s="66"/>
      <c r="T155" s="66"/>
      <c r="U155" s="66"/>
    </row>
    <row r="156" spans="1:21" s="65" customFormat="1">
      <c r="A156" s="317" t="s">
        <v>114</v>
      </c>
      <c r="B156" s="172">
        <f>SUM(B154:B155)</f>
        <v>1312.4</v>
      </c>
      <c r="C156" s="173">
        <f>SUM(C154:C155)</f>
        <v>125392685.90087</v>
      </c>
      <c r="D156" s="711">
        <f>SUM(D154:D155)</f>
        <v>0</v>
      </c>
      <c r="E156" s="484">
        <f t="shared" ref="E156:Q156" si="13">SUM(E154:E155)</f>
        <v>1052.7000000000003</v>
      </c>
      <c r="F156" s="429">
        <f t="shared" si="13"/>
        <v>97349708.00999999</v>
      </c>
      <c r="G156" s="485">
        <f t="shared" si="13"/>
        <v>21</v>
      </c>
      <c r="H156" s="473">
        <f t="shared" si="13"/>
        <v>1014.8900000000001</v>
      </c>
      <c r="I156" s="494">
        <f t="shared" si="13"/>
        <v>97431310.007299989</v>
      </c>
      <c r="J156" s="494">
        <f t="shared" si="13"/>
        <v>20</v>
      </c>
      <c r="K156" s="419">
        <f t="shared" si="11"/>
        <v>0.77330844254800368</v>
      </c>
      <c r="L156" s="420">
        <f t="shared" si="11"/>
        <v>0.77700951460857093</v>
      </c>
      <c r="M156" s="473">
        <f t="shared" si="13"/>
        <v>3</v>
      </c>
      <c r="N156" s="494">
        <f t="shared" si="13"/>
        <v>6</v>
      </c>
      <c r="O156" s="494">
        <f t="shared" si="13"/>
        <v>10</v>
      </c>
      <c r="P156" s="494">
        <f t="shared" si="13"/>
        <v>1</v>
      </c>
      <c r="Q156" s="497">
        <f t="shared" si="13"/>
        <v>0</v>
      </c>
      <c r="R156" s="66"/>
      <c r="S156" s="66"/>
      <c r="T156" s="66"/>
      <c r="U156" s="66"/>
    </row>
    <row r="157" spans="1:21" s="65" customFormat="1">
      <c r="A157" s="134"/>
      <c r="B157" s="44"/>
      <c r="C157" s="44"/>
      <c r="D157" s="134"/>
      <c r="E157" s="134"/>
      <c r="F157" s="44"/>
      <c r="G157" s="134"/>
      <c r="H157" s="134"/>
      <c r="I157" s="134"/>
      <c r="J157" s="134"/>
      <c r="K157" s="255"/>
      <c r="L157" s="256"/>
      <c r="M157" s="134"/>
      <c r="N157" s="134"/>
      <c r="O157" s="134"/>
      <c r="P157" s="134"/>
      <c r="Q157" s="134"/>
      <c r="T157" s="66"/>
      <c r="U157" s="66"/>
    </row>
    <row r="158" spans="1:21" s="65" customFormat="1" ht="15">
      <c r="A158" s="2314" t="s">
        <v>1368</v>
      </c>
      <c r="B158" s="2315"/>
      <c r="C158" s="2315"/>
      <c r="D158" s="2315"/>
      <c r="E158" s="2315"/>
      <c r="F158" s="2315"/>
      <c r="G158" s="2315"/>
      <c r="H158" s="2315"/>
      <c r="I158" s="2315"/>
      <c r="J158" s="2315"/>
      <c r="K158" s="2315"/>
      <c r="L158" s="2315"/>
      <c r="M158" s="2315"/>
      <c r="N158" s="2315"/>
      <c r="O158" s="2316"/>
      <c r="P158" s="339"/>
      <c r="Q158" s="66"/>
      <c r="T158" s="66"/>
      <c r="U158" s="66"/>
    </row>
    <row r="159" spans="1:21" s="65" customFormat="1">
      <c r="A159" s="712" t="s">
        <v>1</v>
      </c>
      <c r="B159" s="713" t="s">
        <v>100</v>
      </c>
      <c r="C159" s="714" t="s">
        <v>97</v>
      </c>
      <c r="D159" s="715" t="s">
        <v>95</v>
      </c>
      <c r="E159" s="716" t="s">
        <v>494</v>
      </c>
      <c r="F159" s="265" t="s">
        <v>495</v>
      </c>
      <c r="G159" s="266" t="s">
        <v>496</v>
      </c>
      <c r="H159" s="140" t="s">
        <v>101</v>
      </c>
      <c r="I159" s="141" t="s">
        <v>98</v>
      </c>
      <c r="J159" s="141" t="s">
        <v>96</v>
      </c>
      <c r="K159" s="141" t="s">
        <v>715</v>
      </c>
      <c r="L159" s="216" t="s">
        <v>716</v>
      </c>
      <c r="M159" s="332" t="s">
        <v>121</v>
      </c>
      <c r="N159" s="218" t="s">
        <v>27</v>
      </c>
      <c r="O159" s="219" t="s">
        <v>7</v>
      </c>
      <c r="P159" s="545"/>
      <c r="Q159" s="66"/>
      <c r="T159" s="66"/>
      <c r="U159" s="66"/>
    </row>
    <row r="160" spans="1:21" s="65" customFormat="1">
      <c r="A160" s="142" t="s">
        <v>8</v>
      </c>
      <c r="B160" s="267"/>
      <c r="C160" s="146"/>
      <c r="D160" s="702"/>
      <c r="E160" s="416">
        <f>SUMIFS(sept2021222337[м2],sept2021222337[МОП],A160,sept2021222337[Комнатность],"Офис")</f>
        <v>0</v>
      </c>
      <c r="F160" s="146">
        <f>SUMIFS(sept2021222337[Сумма без отделки],sept2021222337[МОП],$A160,sept2021222337[Комнатность],"оФИС")</f>
        <v>0</v>
      </c>
      <c r="G160" s="417">
        <f>COUNTIFS(sept2021222337[МОП],$A160,sept2021222337[Комнатность],"Офис")</f>
        <v>0</v>
      </c>
      <c r="H160" s="267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146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K160" s="221" t="str">
        <f t="shared" ref="K160:L166" si="14">IFERROR(H160/B160,"")</f>
        <v/>
      </c>
      <c r="L160" s="333" t="str">
        <f t="shared" si="14"/>
        <v/>
      </c>
      <c r="M160" s="148">
        <f>COUNTIFS(РД[Дом],M$159,РД[МОП],$A160,РД[Дата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0">
        <f>COUNTIFS(РД[Дом],N$159,РД[МОП],$A160,РД[Дата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223">
        <f>COUNTIFS(РД[Дом],O$159,РД[МОП],$A160,РД[Дата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P160" s="339"/>
      <c r="T160" s="66"/>
      <c r="U160" s="66"/>
    </row>
    <row r="161" spans="1:21" s="65" customFormat="1">
      <c r="A161" s="398" t="s">
        <v>77</v>
      </c>
      <c r="B161" s="271"/>
      <c r="C161" s="52"/>
      <c r="D161" s="717"/>
      <c r="E161" s="416">
        <f>SUMIFS(sept2021222337[м2],sept2021222337[МОП],A161,sept2021222337[Комнатность],"Офис")</f>
        <v>578.29999999999995</v>
      </c>
      <c r="F161" s="52">
        <f>SUMIFS(sept2021222337[Сумма без отделки],sept2021222337[МОП],$A161,sept2021222337[Комнатность],"оФИС")</f>
        <v>72923630</v>
      </c>
      <c r="G161" s="421">
        <f>COUNTIFS(sept2021222337[МОП],$A161,sept2021222337[Комнатность],"Офис")</f>
        <v>2</v>
      </c>
      <c r="H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578.29999999999995</v>
      </c>
      <c r="I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72923630</v>
      </c>
      <c r="J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2</v>
      </c>
      <c r="K161" s="52" t="str">
        <f t="shared" si="14"/>
        <v/>
      </c>
      <c r="L161" s="546" t="str">
        <f t="shared" si="14"/>
        <v/>
      </c>
      <c r="M161" s="202">
        <f>COUNTIFS(РД[Дом],M$159,РД[МОП],$A161,РД[Дата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6">
        <f>COUNTIFS(РД[Дом],N$159,РД[МОП],$A161,РД[Дата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7">
        <f>COUNTIFS(РД[Дом],O$159,РД[МОП],$A161,РД[Дата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P161" s="339"/>
      <c r="T161" s="66"/>
      <c r="U161" s="66"/>
    </row>
    <row r="162" spans="1:21" s="65" customFormat="1">
      <c r="A162" s="153" t="s">
        <v>20</v>
      </c>
      <c r="B162" s="271"/>
      <c r="C162" s="52"/>
      <c r="D162" s="717"/>
      <c r="E162" s="416">
        <f>SUMIFS(sept2021222337[м2],sept2021222337[МОП],A162,sept2021222337[Комнатность],"Офис")</f>
        <v>0</v>
      </c>
      <c r="F162" s="52">
        <f>SUMIFS(sept2021222337[Сумма без отделки],sept2021222337[МОП],$A162,sept2021222337[Комнатность],"оФИС")</f>
        <v>0</v>
      </c>
      <c r="G162" s="421">
        <f>COUNTIFS(sept2021222337[МОП],$A162,sept2021222337[Комнатность],"Офис")</f>
        <v>0</v>
      </c>
      <c r="H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K162" s="224" t="str">
        <f t="shared" si="14"/>
        <v/>
      </c>
      <c r="L162" s="334" t="str">
        <f t="shared" si="14"/>
        <v/>
      </c>
      <c r="M162" s="202">
        <f>COUNTIFS(РД[Дом],M$159,РД[МОП],$A162,РД[Дата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6">
        <f>COUNTIFS(РД[Дом],N$159,РД[МОП],$A162,РД[Дата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7">
        <f>COUNTIFS(РД[Дом],O$159,РД[МОП],$A162,РД[Дата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P162" s="339"/>
      <c r="T162" s="66"/>
      <c r="U162" s="66"/>
    </row>
    <row r="163" spans="1:21" s="65" customFormat="1">
      <c r="A163" s="153" t="s">
        <v>14</v>
      </c>
      <c r="B163" s="315"/>
      <c r="C163" s="363"/>
      <c r="D163" s="703"/>
      <c r="E163" s="422">
        <f>SUMIFS(sept2021222337[м2],sept2021222337[МОП],A163,sept2021222337[Комнатность],"Офис")</f>
        <v>0</v>
      </c>
      <c r="F163" s="363">
        <f>SUMIFS(sept2021222337[Сумма без отделки],sept2021222337[МОП],$A163,sept2021222337[Комнатность],"оФИС")</f>
        <v>0</v>
      </c>
      <c r="G163" s="414">
        <f>COUNTIFS(sept2021222337[МОП],$A163,sept2021222337[Комнатность],"Офис")</f>
        <v>0</v>
      </c>
      <c r="H163" s="315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363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47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K163" s="360" t="str">
        <f t="shared" si="14"/>
        <v/>
      </c>
      <c r="L163" s="367" t="str">
        <f t="shared" si="14"/>
        <v/>
      </c>
      <c r="M163" s="358">
        <f>COUNTIFS(РД[Дом],M$159,РД[МОП],$A163,РД[Дата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330">
        <f>COUNTIFS(РД[Дом],N$159,РД[МОП],$A163,РД[Дата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331">
        <f>COUNTIFS(РД[Дом],O$159,РД[МОП],$A163,РД[Дата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P163" s="339"/>
      <c r="T163" s="66"/>
      <c r="U163" s="66"/>
    </row>
    <row r="164" spans="1:21" s="65" customFormat="1">
      <c r="A164" s="154" t="s">
        <v>29</v>
      </c>
      <c r="B164" s="274"/>
      <c r="C164" s="277"/>
      <c r="D164" s="718"/>
      <c r="E164" s="423">
        <f>SUMIFS(sept2021222337[м2],sept2021222337[МОП],A164,sept2021222337[Комнатность],"Офис")</f>
        <v>0</v>
      </c>
      <c r="F164" s="277">
        <f>SUMIFS(sept2021222337[Сумма без отделки],sept2021222337[МОП],$A164,sept2021222337[Комнатность],"оФИС")</f>
        <v>0</v>
      </c>
      <c r="G164" s="405">
        <f>COUNTIFS(sept2021222337[МОП],$A164,sept2021222337[Комнатность],"Офис")</f>
        <v>0</v>
      </c>
      <c r="H164" s="274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89.8</v>
      </c>
      <c r="I164" s="277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8531000</v>
      </c>
      <c r="J164" s="228">
        <f>COUNTIFS(РД[МОП],A164,РД[Дата подачи на регистрацию],"&lt;="&amp;$A$1,РД[Дата подачи на регистрацию],"&gt;="&amp;DATE(YEAR($A$1),MONTH($A$1),1),РД[Состояние],"Коммерция")</f>
        <v>1</v>
      </c>
      <c r="K164" s="229" t="str">
        <f t="shared" si="14"/>
        <v/>
      </c>
      <c r="L164" s="335" t="str">
        <f t="shared" si="14"/>
        <v/>
      </c>
      <c r="M164" s="159">
        <f>COUNTIFS(РД[Дом],M$159,РД[МОП],$A164,РД[Дата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8">
        <f>COUNTIFS(РД[Дом],N$159,РД[МОП],$A164,РД[Дата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31">
        <f>COUNTIFS(РД[Дом],O$159,РД[МОП],$A164,РД[Дата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P164" s="339"/>
      <c r="T164" s="66"/>
      <c r="U164" s="66"/>
    </row>
    <row r="165" spans="1:21" s="65" customFormat="1">
      <c r="A165" s="161" t="s">
        <v>1919</v>
      </c>
      <c r="B165" s="278"/>
      <c r="C165" s="281"/>
      <c r="D165" s="719"/>
      <c r="E165" s="424">
        <f>SUMIFS(sept2021222337[м2],sept2021222337[МОП],A165,sept2021222337[Комнатность],"Офис")</f>
        <v>0</v>
      </c>
      <c r="F165" s="281">
        <f>SUMIFS(sept2021222337[Сумма без отделки],sept2021222337[МОП],$A165,sept2021222337[Комнатность],"оФИС")</f>
        <v>0</v>
      </c>
      <c r="G165" s="407">
        <f>COUNTIFS(sept2021222337[МОП],$A165,sept2021222337[Комнатность],"Офис")</f>
        <v>0</v>
      </c>
      <c r="H165" s="278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81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32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K165" s="233" t="str">
        <f t="shared" si="14"/>
        <v/>
      </c>
      <c r="L165" s="336" t="str">
        <f t="shared" si="14"/>
        <v/>
      </c>
      <c r="M165" s="166">
        <f>COUNTIFS(РД[Дом],M$159,РД[МОП],$A165,РД[Дата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32">
        <f>COUNTIFS(РД[Дом],N$159,РД[МОП],$A165,РД[Дата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7">
        <f>COUNTIFS(РД[Дом],O$159,РД[МОП],$A165,РД[Дата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P165" s="339"/>
      <c r="T165" s="66"/>
      <c r="U165" s="66"/>
    </row>
    <row r="166" spans="1:21" s="65" customFormat="1">
      <c r="A166" s="513" t="s">
        <v>114</v>
      </c>
      <c r="B166" s="282">
        <f t="shared" ref="B166:J166" si="15">SUM(B160:B165)</f>
        <v>0</v>
      </c>
      <c r="C166" s="287">
        <f t="shared" si="15"/>
        <v>0</v>
      </c>
      <c r="D166" s="305">
        <f t="shared" si="15"/>
        <v>0</v>
      </c>
      <c r="E166" s="425">
        <f t="shared" si="15"/>
        <v>578.29999999999995</v>
      </c>
      <c r="F166" s="287">
        <f t="shared" si="15"/>
        <v>72923630</v>
      </c>
      <c r="G166" s="286">
        <f t="shared" si="15"/>
        <v>2</v>
      </c>
      <c r="H166" s="282">
        <f t="shared" si="15"/>
        <v>668.09999999999991</v>
      </c>
      <c r="I166" s="287">
        <f t="shared" si="15"/>
        <v>81454630</v>
      </c>
      <c r="J166" s="287">
        <f t="shared" si="15"/>
        <v>3</v>
      </c>
      <c r="K166" s="238" t="str">
        <f t="shared" si="14"/>
        <v/>
      </c>
      <c r="L166" s="338" t="str">
        <f t="shared" si="14"/>
        <v/>
      </c>
      <c r="M166" s="282">
        <f>SUM(M160:M165)</f>
        <v>0</v>
      </c>
      <c r="N166" s="287">
        <f>SUM(N160:N165)</f>
        <v>0</v>
      </c>
      <c r="O166" s="287">
        <f>SUM(O160:O165)</f>
        <v>0</v>
      </c>
      <c r="P166" s="339"/>
      <c r="T166" s="66"/>
      <c r="U166" s="66"/>
    </row>
    <row r="167" spans="1:21" s="65" customFormat="1">
      <c r="A167" s="685" t="s">
        <v>115</v>
      </c>
      <c r="B167" s="713" t="s">
        <v>100</v>
      </c>
      <c r="C167" s="714" t="s">
        <v>97</v>
      </c>
      <c r="D167" s="715" t="s">
        <v>95</v>
      </c>
      <c r="E167" s="716" t="s">
        <v>494</v>
      </c>
      <c r="F167" s="265" t="s">
        <v>495</v>
      </c>
      <c r="G167" s="266" t="s">
        <v>496</v>
      </c>
      <c r="H167" s="140" t="s">
        <v>101</v>
      </c>
      <c r="I167" s="141" t="s">
        <v>98</v>
      </c>
      <c r="J167" s="141" t="s">
        <v>96</v>
      </c>
      <c r="K167" s="141" t="s">
        <v>715</v>
      </c>
      <c r="L167" s="526" t="s">
        <v>716</v>
      </c>
      <c r="M167" s="332" t="s">
        <v>121</v>
      </c>
      <c r="N167" s="218" t="s">
        <v>27</v>
      </c>
      <c r="O167" s="219" t="s">
        <v>7</v>
      </c>
      <c r="P167" s="339"/>
      <c r="U167" s="66"/>
    </row>
    <row r="168" spans="1:21" s="65" customFormat="1">
      <c r="A168" s="177" t="s">
        <v>16</v>
      </c>
      <c r="B168" s="291"/>
      <c r="C168" s="292"/>
      <c r="D168" s="720"/>
      <c r="E168" s="267">
        <f>SUMIFS(sept2021222337[м2],sept2021222337[ИМ],A168,sept2021222337[Комнатность],"Офис")</f>
        <v>242.4</v>
      </c>
      <c r="F168" s="146">
        <f>SUMIFS(sept2021222337[Сумма без отделки],sept2021222337[ИМ],$A168,sept2021222337[Комнатность],"оФИС")</f>
        <v>30566640</v>
      </c>
      <c r="G168" s="417">
        <f>COUNTIFS(sept2021222337[ИМ],$A168,sept2021222337[Комнатность],"Офис")</f>
        <v>1</v>
      </c>
      <c r="H168" s="26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242.4</v>
      </c>
      <c r="I168" s="146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30566640</v>
      </c>
      <c r="J168" s="220">
        <f>COUNTIFS(РД[ИМ],A168,РД[Дата подачи на регистрацию],"&lt;="&amp;$A$1,РД[Дата подачи на регистрацию],"&gt;="&amp;DATE(YEAR($A$1),MONTH($A$1),1),РД[Состояние],"Коммерция")</f>
        <v>1</v>
      </c>
      <c r="K168" s="224" t="str">
        <f t="shared" ref="K168:L170" si="16">IFERROR(H168/B168,"")</f>
        <v/>
      </c>
      <c r="L168" s="334" t="str">
        <f t="shared" si="16"/>
        <v/>
      </c>
      <c r="M168" s="148">
        <f>COUNTIFS(РД[Дом],M$159,РД[ИМ],$A168,РД[Дата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0">
        <f>COUNTIFS(РД[Дом],N$159,РД[ИМ],$A168,РД[Дата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223">
        <f>COUNTIFS(РД[Дом],O$159,РД[ИМ],$A168,РД[Дата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P168" s="339"/>
      <c r="U168" s="66"/>
    </row>
    <row r="169" spans="1:21" s="65" customFormat="1">
      <c r="A169" s="189" t="s">
        <v>22</v>
      </c>
      <c r="B169" s="516"/>
      <c r="C169" s="554"/>
      <c r="D169" s="721"/>
      <c r="E169" s="315">
        <f>SUMIFS(sept2021222337[м2],sept2021222337[ИМ],A169,sept2021222337[Комнатность],"Офис")</f>
        <v>0</v>
      </c>
      <c r="F169" s="363">
        <f>SUMIFS(sept2021222337[Сумма без отделки],sept2021222337[ИМ],$A169,sept2021222337[Комнатность],"оФИС")</f>
        <v>0</v>
      </c>
      <c r="G169" s="518">
        <f>COUNTIFS(sept2021222337[ИМ],$A169,sept2021222337[Комнатность],"Офис")</f>
        <v>0</v>
      </c>
      <c r="H169" s="31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363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K169" s="252" t="str">
        <f t="shared" si="16"/>
        <v/>
      </c>
      <c r="L169" s="253" t="str">
        <f t="shared" si="16"/>
        <v/>
      </c>
      <c r="M169" s="202">
        <f>COUNTIFS(РД[Дом],M$159,РД[ИМ],$A169,РД[Дата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6">
        <f>COUNTIFS(РД[Дом],N$159,РД[ИМ],$A169,РД[Дата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7">
        <f>COUNTIFS(РД[Дом],O$159,РД[ИМ],$A169,РД[Дата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P169" s="339"/>
      <c r="U169" s="66"/>
    </row>
    <row r="170" spans="1:21" s="65" customFormat="1">
      <c r="A170" s="513" t="s">
        <v>114</v>
      </c>
      <c r="B170" s="282">
        <f>SUM(B168:B169)</f>
        <v>0</v>
      </c>
      <c r="C170" s="287">
        <f>SUM(C168:C169)</f>
        <v>0</v>
      </c>
      <c r="D170" s="472">
        <f>SUM(D168:D169)</f>
        <v>0</v>
      </c>
      <c r="E170" s="323">
        <f t="shared" ref="E170:J170" si="17">SUM(E168:E169)</f>
        <v>242.4</v>
      </c>
      <c r="F170" s="429">
        <f t="shared" si="17"/>
        <v>30566640</v>
      </c>
      <c r="G170" s="322">
        <f t="shared" si="17"/>
        <v>1</v>
      </c>
      <c r="H170" s="323">
        <f t="shared" si="17"/>
        <v>242.4</v>
      </c>
      <c r="I170" s="429">
        <f t="shared" si="17"/>
        <v>30566640</v>
      </c>
      <c r="J170" s="429">
        <f t="shared" si="17"/>
        <v>1</v>
      </c>
      <c r="K170" s="419" t="str">
        <f t="shared" si="16"/>
        <v/>
      </c>
      <c r="L170" s="527" t="str">
        <f t="shared" si="16"/>
        <v/>
      </c>
      <c r="M170" s="318">
        <f>SUM(M168:M169)</f>
        <v>0</v>
      </c>
      <c r="N170" s="321">
        <f>SUM(N168:N169)</f>
        <v>0</v>
      </c>
      <c r="O170" s="319">
        <f>SUM(O168:O169)</f>
        <v>0</v>
      </c>
      <c r="P170" s="339"/>
      <c r="U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134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321" t="s">
        <v>945</v>
      </c>
      <c r="B172" s="2322"/>
      <c r="C172" s="2322"/>
      <c r="D172" s="2322"/>
      <c r="E172" s="2322"/>
      <c r="F172" s="2322"/>
      <c r="G172" s="2322"/>
      <c r="H172" s="2323"/>
      <c r="I172" s="2323"/>
      <c r="J172" s="2323"/>
      <c r="K172" s="2323"/>
      <c r="L172" s="2323"/>
      <c r="M172" s="2323"/>
      <c r="N172" s="2324"/>
      <c r="O172" s="339"/>
      <c r="P172" s="339"/>
      <c r="Q172" s="86"/>
      <c r="U172" s="66"/>
    </row>
    <row r="173" spans="1:21" s="65" customFormat="1" ht="15">
      <c r="A173" s="519"/>
      <c r="B173" s="520"/>
      <c r="C173" s="520"/>
      <c r="D173" s="520"/>
      <c r="E173" s="520"/>
      <c r="F173" s="520"/>
      <c r="G173" s="520"/>
      <c r="H173" s="722"/>
      <c r="I173" s="722"/>
      <c r="J173" s="722"/>
      <c r="K173" s="722"/>
      <c r="L173" s="722"/>
      <c r="M173" s="722"/>
      <c r="N173" s="727"/>
      <c r="O173" s="339"/>
      <c r="P173" s="339"/>
      <c r="Q173" s="86"/>
      <c r="U173" s="66"/>
    </row>
    <row r="174" spans="1:21" s="65" customFormat="1">
      <c r="A174" s="685" t="s">
        <v>1</v>
      </c>
      <c r="B174" s="723" t="s">
        <v>101</v>
      </c>
      <c r="C174" s="724" t="s">
        <v>98</v>
      </c>
      <c r="D174" s="688" t="s">
        <v>96</v>
      </c>
      <c r="E174" s="137" t="s">
        <v>494</v>
      </c>
      <c r="F174" s="138" t="s">
        <v>495</v>
      </c>
      <c r="G174" s="296" t="s">
        <v>496</v>
      </c>
      <c r="H174" s="140" t="s">
        <v>946</v>
      </c>
      <c r="I174" s="141" t="s">
        <v>947</v>
      </c>
      <c r="J174" s="217">
        <v>0</v>
      </c>
      <c r="K174" s="218">
        <v>1</v>
      </c>
      <c r="L174" s="340">
        <v>2</v>
      </c>
      <c r="M174" s="218">
        <v>3</v>
      </c>
      <c r="N174" s="219" t="s">
        <v>1367</v>
      </c>
      <c r="O174" s="339"/>
      <c r="P174" s="339"/>
      <c r="Q174" s="86"/>
      <c r="U174" s="66"/>
    </row>
    <row r="175" spans="1:21" s="65" customFormat="1">
      <c r="A175" s="142" t="s">
        <v>8</v>
      </c>
      <c r="B175" s="267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38.6</v>
      </c>
      <c r="C175" s="146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4036170</v>
      </c>
      <c r="D175" s="702">
        <f>COUNTIFS(РД[МОП],A175,РД[Дата подачи на регистрацию],"&lt;="&amp;$A$1,РД[Дата подачи на регистрацию],"&gt;="&amp;DATE(YEAR($A$1),MONTH($A$1),1),РД[Источник рекламы],"Н -*")</f>
        <v>1</v>
      </c>
      <c r="E175" s="329">
        <f>SUMIFS(sept2021222337[м2],sept2021222337[МОП],$A175,sept2021222337[№ дома],#REF!)</f>
        <v>0</v>
      </c>
      <c r="F175" s="363">
        <f>SUMIFS(sept2021222337[Сумма без отделки],sept2021222337[МОП],$A175,sept2021222337[№ дома],#REF!)</f>
        <v>0</v>
      </c>
      <c r="G175" s="414">
        <f>COUNTIFS(sept2021222337[МОП],$A175,sept2021222337[№ дома],#REF!)</f>
        <v>0</v>
      </c>
      <c r="H175" s="267">
        <f>SUMIFS(РД[S],РД[МОП],A175,РД[Дата подачи на регистрацию],"&lt;="&amp;$A$1,РД[Дата подачи на регистрацию],"&gt;="&amp;DATE(YEAR($A$1),MONTH($A$1),1),РД[Источник рекламы],"Н -*")/2</f>
        <v>19.3</v>
      </c>
      <c r="I175" s="549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-*")/2</f>
        <v>2018085</v>
      </c>
      <c r="J175" s="148">
        <f>COUNTIFS(РД[Тип кв],J$174,РД[МОП],$A175,РД[Дата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K175" s="220">
        <f>COUNTIFS(РД[Тип кв],K$174,РД[МОП],$A175,РД[Дата подачи на регистрацию],"&lt;="&amp;$A$1,РД[Дата подачи на регистрацию],"&gt;="&amp;DATE(YEAR($A$1),MONTH($A$1),1),РД[Источник рекламы],"Н -*")</f>
        <v>1</v>
      </c>
      <c r="L175" s="220">
        <f>COUNTIFS(РД[Тип кв],L$174,РД[МОП],$A175,РД[Дата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M175" s="220">
        <f>COUNTIFS(РД[Тип кв],M$174,РД[МОП],$A175,РД[Дата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5" s="223">
        <f>COUNTIFS(РД[Тип кв],T$170,РД[МОП],$A175,РД[Дата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5" s="339"/>
      <c r="P175" s="339"/>
      <c r="Q175" s="86"/>
      <c r="U175" s="66"/>
    </row>
    <row r="176" spans="1:21" s="65" customFormat="1">
      <c r="A176" s="398" t="s">
        <v>1867</v>
      </c>
      <c r="B176" s="271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C176" s="5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D176" s="717">
        <f>COUNTIFS(РД[МОП],A176,РД[Дата подачи на регистрацию],"&lt;="&amp;$A$1,РД[Дата подачи на регистрацию],"&gt;="&amp;DATE(YEAR($A$1),MONTH($A$1),1),РД[Источник рекламы],"Н -*")</f>
        <v>0</v>
      </c>
      <c r="E176" s="329">
        <f>SUMIFS(sept2021222337[м2],sept2021222337[МОП],$A176,sept2021222337[№ дома],#REF!)</f>
        <v>0</v>
      </c>
      <c r="F176" s="363">
        <f>SUMIFS(sept2021222337[Сумма без отделки],sept2021222337[МОП],$A176,sept2021222337[№ дома],#REF!)</f>
        <v>0</v>
      </c>
      <c r="G176" s="414">
        <f>COUNTIFS(sept2021222337[МОП],$A176,sept2021222337[№ дома],#REF!)</f>
        <v>0</v>
      </c>
      <c r="H176" s="271">
        <f>SUMIFS(РД[S],РД[МОП],A176,РД[Дата подачи на регистрацию],"&lt;="&amp;$A$1,РД[Дата подачи на регистрацию],"&gt;="&amp;DATE(YEAR($A$1),MONTH($A$1),1),РД[Источник рекламы],"Н -*")/2</f>
        <v>0</v>
      </c>
      <c r="I176" s="5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-*")/2</f>
        <v>0</v>
      </c>
      <c r="J176" s="202">
        <f>COUNTIFS(РД[Тип кв],J$174,РД[МОП],$A176,РД[Дата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26">
        <f>COUNTIFS(РД[Тип кв],K$174,РД[МОП],$A176,РД[Дата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26">
        <f>COUNTIFS(РД[Тип кв],L$174,РД[МОП],$A176,РД[Дата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26">
        <f>COUNTIFS(РД[Тип кв],M$174,РД[МОП],$A176,РД[Дата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227">
        <f>COUNTIFS(РД[Тип кв],T$170,РД[МОП],$A176,РД[Дата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6" s="339"/>
      <c r="P176" s="339"/>
      <c r="Q176" s="86"/>
      <c r="U176" s="66"/>
    </row>
    <row r="177" spans="1:21" s="65" customFormat="1">
      <c r="A177" s="153" t="s">
        <v>20</v>
      </c>
      <c r="B177" s="271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0</v>
      </c>
      <c r="C177" s="52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0</v>
      </c>
      <c r="D177" s="717">
        <f>COUNTIFS(РД[МОП],A177,РД[Дата подачи на регистрацию],"&lt;="&amp;$A$1,РД[Дата подачи на регистрацию],"&gt;="&amp;DATE(YEAR($A$1),MONTH($A$1),1),РД[Источник рекламы],"Н -*")</f>
        <v>0</v>
      </c>
      <c r="E177" s="329">
        <f>SUMIFS(sept2021222337[м2],sept2021222337[МОП],$A177,sept2021222337[№ дома],#REF!)</f>
        <v>0</v>
      </c>
      <c r="F177" s="363">
        <f>SUMIFS(sept2021222337[Сумма без отделки],sept2021222337[МОП],$A177,sept2021222337[№ дома],#REF!)</f>
        <v>0</v>
      </c>
      <c r="G177" s="414">
        <f>COUNTIFS(sept2021222337[МОП],$A177,sept2021222337[№ дома],#REF!)</f>
        <v>0</v>
      </c>
      <c r="H177" s="271">
        <f>SUMIFS(РД[S],РД[МОП],A177,РД[Дата подачи на регистрацию],"&lt;="&amp;$A$1,РД[Дата подачи на регистрацию],"&gt;="&amp;DATE(YEAR($A$1),MONTH($A$1),1),РД[Источник рекламы],"Н -*")/2</f>
        <v>0</v>
      </c>
      <c r="I177" s="54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-*")/2</f>
        <v>0</v>
      </c>
      <c r="J177" s="202">
        <f>COUNTIFS(РД[Тип кв],J$174,РД[МОП],$A177,РД[Дата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26">
        <f>COUNTIFS(РД[Тип кв],K$174,РД[МОП],$A177,РД[Дата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L177" s="226">
        <f>COUNTIFS(РД[Тип кв],L$174,РД[МОП],$A177,РД[Дата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6">
        <f>COUNTIFS(РД[Тип кв],M$174,РД[МОП],$A177,РД[Дата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227">
        <f>COUNTIFS(РД[Тип кв],T$170,РД[МОП],$A177,РД[Дата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7" s="339"/>
      <c r="P177" s="339"/>
      <c r="Q177" s="86"/>
      <c r="U177" s="66"/>
    </row>
    <row r="178" spans="1:21" s="65" customFormat="1">
      <c r="A178" s="153" t="s">
        <v>14</v>
      </c>
      <c r="B178" s="315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60.22</v>
      </c>
      <c r="C178" s="363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5653400</v>
      </c>
      <c r="D178" s="703">
        <f>COUNTIFS(РД[МОП],A178,РД[Дата подачи на регистрацию],"&lt;="&amp;$A$1,РД[Дата подачи на регистрацию],"&gt;="&amp;DATE(YEAR($A$1),MONTH($A$1),1),РД[Источник рекламы],"Н -*")</f>
        <v>1</v>
      </c>
      <c r="E178" s="329">
        <f>SUMIFS(sept2021222337[м2],sept2021222337[МОП],$A178,sept2021222337[№ дома],#REF!)</f>
        <v>0</v>
      </c>
      <c r="F178" s="363">
        <f>SUMIFS(sept2021222337[Сумма без отделки],sept2021222337[МОП],$A178,sept2021222337[№ дома],#REF!)</f>
        <v>0</v>
      </c>
      <c r="G178" s="414">
        <f>COUNTIFS(sept2021222337[МОП],$A178,sept2021222337[№ дома],#REF!)</f>
        <v>0</v>
      </c>
      <c r="H178" s="315">
        <f>SUMIFS(РД[S],РД[МОП],A178,РД[Дата подачи на регистрацию],"&lt;="&amp;$A$1,РД[Дата подачи на регистрацию],"&gt;="&amp;DATE(YEAR($A$1),MONTH($A$1),1),РД[Источник рекламы],"Н -*")/2</f>
        <v>30.11</v>
      </c>
      <c r="I178" s="550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-*")/2</f>
        <v>2826700</v>
      </c>
      <c r="J178" s="358">
        <f>COUNTIFS(РД[Тип кв],J$174,РД[МОП],$A178,РД[Дата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330">
        <f>COUNTIFS(РД[Тип кв],K$174,РД[МОП],$A178,РД[Дата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330">
        <f>COUNTIFS(РД[Тип кв],L$174,РД[МОП],$A178,РД[Дата подачи на регистрацию],"&lt;="&amp;$A$1,РД[Дата подачи на регистрацию],"&gt;="&amp;DATE(YEAR($A$1),MONTH($A$1),1),РД[Источник рекламы],"Н -*")</f>
        <v>1</v>
      </c>
      <c r="M178" s="330">
        <f>COUNTIFS(РД[Тип кв],M$174,РД[МОП],$A178,РД[Дата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1">
        <f>COUNTIFS(РД[Тип кв],T$170,РД[МОП],$A178,РД[Дата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8" s="339"/>
      <c r="P178" s="339"/>
      <c r="Q178" s="86"/>
      <c r="U178" s="66"/>
    </row>
    <row r="179" spans="1:21" s="65" customFormat="1">
      <c r="A179" s="154" t="s">
        <v>29</v>
      </c>
      <c r="B179" s="274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C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D179" s="718">
        <f>COUNTIFS(РД[МОП],A179,РД[Дата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E179" s="341">
        <f>SUMIFS(sept2021222337[м2],sept2021222337[МОП],$A179,sept2021222337[№ дома],#REF!)</f>
        <v>0</v>
      </c>
      <c r="F179" s="277">
        <f>SUMIFS(sept2021222337[Сумма без отделки],sept2021222337[МОП],$A179,sept2021222337[№ дома],#REF!)</f>
        <v>0</v>
      </c>
      <c r="G179" s="405">
        <f>COUNTIFS(sept2021222337[МОП],$A179,sept2021222337[№ дома],#REF!)</f>
        <v>0</v>
      </c>
      <c r="H179" s="274">
        <f>SUMIFS(РД[S],РД[МОП],A179,РД[Дата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I179" s="277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J179" s="228">
        <f>COUNTIFS(РД[Тип кв],J$174,РД[МОП],$A179,РД[Дата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228">
        <f>COUNTIFS(РД[Тип кв],K$174,РД[МОП],$A179,РД[Дата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28">
        <f>COUNTIFS(РД[Тип кв],L$174,РД[МОП],$A179,РД[Дата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M179" s="228">
        <f>COUNTIFS(РД[Тип кв],M$174,РД[МОП],$A179,РД[Дата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231">
        <f>COUNTIFS(РД[Тип кв],T$170,РД[МОП],$A179,РД[Дата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79" s="339"/>
      <c r="P179" s="339"/>
      <c r="Q179" s="86"/>
      <c r="U179" s="66"/>
    </row>
    <row r="180" spans="1:21" s="65" customFormat="1">
      <c r="A180" s="161" t="s">
        <v>1919</v>
      </c>
      <c r="B180" s="278">
        <f>SUMIFS(РД[S],РД[МОП],A180,РД[Дата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C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D180" s="719">
        <f>COUNTIFS(РД[МОП],A180,РД[Дата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E180" s="406">
        <f>SUMIFS(sept2021222337[м2],sept2021222337[МОП],$A180,sept2021222337[№ дома],#REF!)</f>
        <v>0</v>
      </c>
      <c r="F180" s="281">
        <f>SUMIFS(sept2021222337[Сумма без отделки],sept2021222337[МОП],$A180,sept2021222337[№ дома],#REF!)</f>
        <v>0</v>
      </c>
      <c r="G180" s="407">
        <f>COUNTIFS(sept2021222337[МОП],$A180,sept2021222337[№ дома],#REF!)</f>
        <v>0</v>
      </c>
      <c r="H180" s="278">
        <f>SUMIFS(РД[S],РД[МОП],A180,РД[Дата подачи на регистрацию],"&lt;="&amp;$A$1,РД[Дата подачи на регистрацию],"&gt;="&amp;DATE(YEAR($A$1),MONTH($A$1),1),РД[Источник рекламы],"Н -*")/2</f>
        <v>0</v>
      </c>
      <c r="I180" s="281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-*")/2</f>
        <v>0</v>
      </c>
      <c r="J180" s="232">
        <f>COUNTIFS(РД[Тип кв],J$174,РД[МОП],$A180,РД[Дата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K180" s="232">
        <f>COUNTIFS(РД[Тип кв],K$174,РД[МОП],$A180,РД[Дата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L180" s="232">
        <f>COUNTIFS(РД[Тип кв],L$174,РД[МОП],$A180,РД[Дата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M180" s="232">
        <f>COUNTIFS(РД[Тип кв],M$174,РД[МОП],$A180,РД[Дата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337">
        <f>COUNTIFS(РД[Тип кв],T$170,РД[МОП],$A180,РД[Дата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0" s="339"/>
      <c r="P180" s="339"/>
      <c r="Q180" s="86"/>
      <c r="U180" s="66"/>
    </row>
    <row r="181" spans="1:21" s="65" customFormat="1">
      <c r="A181" s="513" t="s">
        <v>114</v>
      </c>
      <c r="B181" s="282">
        <f t="shared" ref="B181:M181" si="18">SUM(B175:B178)</f>
        <v>98.82</v>
      </c>
      <c r="C181" s="287">
        <f t="shared" si="18"/>
        <v>9689570</v>
      </c>
      <c r="D181" s="305">
        <f t="shared" si="18"/>
        <v>2</v>
      </c>
      <c r="E181" s="425">
        <f t="shared" si="18"/>
        <v>0</v>
      </c>
      <c r="F181" s="287">
        <f t="shared" si="18"/>
        <v>0</v>
      </c>
      <c r="G181" s="286">
        <f t="shared" si="18"/>
        <v>0</v>
      </c>
      <c r="H181" s="282">
        <f t="shared" si="18"/>
        <v>49.41</v>
      </c>
      <c r="I181" s="283">
        <f t="shared" si="18"/>
        <v>4844785</v>
      </c>
      <c r="J181" s="284">
        <f t="shared" si="18"/>
        <v>0</v>
      </c>
      <c r="K181" s="285">
        <f t="shared" si="18"/>
        <v>1</v>
      </c>
      <c r="L181" s="285">
        <f t="shared" si="18"/>
        <v>1</v>
      </c>
      <c r="M181" s="285">
        <f t="shared" si="18"/>
        <v>0</v>
      </c>
      <c r="N181" s="305">
        <f>SUM(T172:T174)</f>
        <v>0</v>
      </c>
      <c r="O181" s="339"/>
      <c r="P181" s="339"/>
      <c r="Q181" s="86"/>
      <c r="U181" s="66"/>
    </row>
    <row r="182" spans="1:21" s="65" customFormat="1">
      <c r="A182" s="725" t="s">
        <v>115</v>
      </c>
      <c r="B182" s="706" t="s">
        <v>101</v>
      </c>
      <c r="C182" s="726" t="s">
        <v>98</v>
      </c>
      <c r="D182" s="708" t="s">
        <v>96</v>
      </c>
      <c r="E182" s="486" t="s">
        <v>494</v>
      </c>
      <c r="F182" s="487" t="s">
        <v>495</v>
      </c>
      <c r="G182" s="524" t="s">
        <v>496</v>
      </c>
      <c r="H182" s="489" t="s">
        <v>946</v>
      </c>
      <c r="I182" s="525" t="s">
        <v>947</v>
      </c>
      <c r="J182" s="217">
        <v>0</v>
      </c>
      <c r="K182" s="218">
        <v>1</v>
      </c>
      <c r="L182" s="340">
        <v>2</v>
      </c>
      <c r="M182" s="218">
        <v>3</v>
      </c>
      <c r="N182" s="219" t="s">
        <v>1367</v>
      </c>
      <c r="O182" s="339"/>
      <c r="P182" s="339"/>
      <c r="Q182" s="86"/>
      <c r="U182" s="66"/>
    </row>
    <row r="183" spans="1:21" s="65" customFormat="1">
      <c r="A183" s="177" t="s">
        <v>16</v>
      </c>
      <c r="B183" s="291">
        <f>SUMIFS(РД[S],РД[ИМ],A183,РД[Дата подачи на регистрацию],"&lt;="&amp;$A$1,РД[Дата подачи на регистрацию],"&gt;="&amp;DATE(YEAR($A$1),MONTH($A$1),1),РД[Источник рекламы],"Н -*")</f>
        <v>60.22</v>
      </c>
      <c r="C183" s="29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5653400</v>
      </c>
      <c r="D183" s="694">
        <f>COUNTIFS(РД[ИМ],A183,РД[Дата подачи на регистрацию],"&lt;="&amp;$A$1,РД[Дата подачи на регистрацию],"&gt;="&amp;DATE(YEAR($A$1),MONTH($A$1),1),РД[Источник рекламы],"Н -*")</f>
        <v>1</v>
      </c>
      <c r="E183" s="551"/>
      <c r="F183" s="292"/>
      <c r="G183" s="552"/>
      <c r="H183" s="291">
        <f>SUMIFS(РД[S],РД[ИМ],A183,РД[Дата подачи на регистрацию],"&lt;="&amp;$A$1,РД[Дата подачи на регистрацию],"&gt;="&amp;DATE(YEAR($A$1),MONTH($A$1),1),РД[Источник рекламы],"Н -*")/2</f>
        <v>30.11</v>
      </c>
      <c r="I183" s="31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-*")/2</f>
        <v>2826700</v>
      </c>
      <c r="J183" s="346">
        <f>COUNTIFS(РД[Тип кв],J$174,РД[ИМ],$A183,РД[Дата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K183" s="243">
        <f>COUNTIFS(РД[Тип кв],K$174,РД[ИМ],$A183,РД[Дата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L183" s="243">
        <f>COUNTIFS(РД[Тип кв],L$174,РД[ИМ],$A183,РД[Дата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M183" s="243">
        <f>COUNTIFS(РД[Тип кв],M$174,РД[ИМ],$A183,РД[Дата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246">
        <f>COUNTIFS(РД[Тип кв],T$170,РД[ИМ],$A183,РД[Дата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3" s="339"/>
      <c r="P183" s="339"/>
      <c r="Q183" s="86"/>
      <c r="U183" s="66"/>
    </row>
    <row r="184" spans="1:21" s="65" customFormat="1">
      <c r="A184" s="189" t="s">
        <v>22</v>
      </c>
      <c r="B184" s="516">
        <f>SUMIFS(РД[S],РД[ИМ],A184,РД[Дата подачи на регистрацию],"&lt;="&amp;$A$1,РД[Дата подачи на регистрацию],"&gt;="&amp;DATE(YEAR($A$1),MONTH($A$1),1),РД[Источник рекламы],"Н -*")</f>
        <v>0</v>
      </c>
      <c r="C184" s="554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</f>
        <v>0</v>
      </c>
      <c r="D184" s="695">
        <f>COUNTIFS(РД[ИМ],A184,РД[Дата подачи на регистрацию],"&lt;="&amp;$A$1,РД[Дата подачи на регистрацию],"&gt;="&amp;DATE(YEAR($A$1),MONTH($A$1),1),РД[Источник рекламы],"Н -*")</f>
        <v>0</v>
      </c>
      <c r="E184" s="553"/>
      <c r="F184" s="554"/>
      <c r="G184" s="555"/>
      <c r="H184" s="516">
        <f>SUMIFS(РД[S],РД[ИМ],A184,РД[Дата подачи на регистрацию],"&lt;="&amp;$A$1,РД[Дата подачи на регистрацию],"&gt;="&amp;DATE(YEAR($A$1),MONTH($A$1),1),РД[Источник рекламы],"Н -*")/2</f>
        <v>0</v>
      </c>
      <c r="I184" s="517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-*")/2</f>
        <v>0</v>
      </c>
      <c r="J184" s="426">
        <f>COUNTIFS(РД[Тип кв],J$174,РД[ИМ],$A184,РД[Дата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K184" s="251">
        <f>COUNTIFS(РД[Тип кв],K$174,РД[ИМ],$A184,РД[Дата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L184" s="251">
        <f>COUNTIFS(РД[Тип кв],L$174,РД[ИМ],$A184,РД[Дата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M184" s="251">
        <f>COUNTIFS(РД[Тип кв],M$174,РД[ИМ],$A184,РД[Дата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254">
        <f>COUNTIFS(РД[Тип кв],T$170,РД[ИМ],$A184,РД[Дата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O184" s="339"/>
      <c r="P184" s="339"/>
      <c r="Q184" s="86"/>
      <c r="U184" s="66"/>
    </row>
    <row r="185" spans="1:21" s="65" customFormat="1">
      <c r="A185" s="513" t="s">
        <v>114</v>
      </c>
      <c r="B185" s="282">
        <f>SUM(B183:B184)</f>
        <v>60.22</v>
      </c>
      <c r="C185" s="287">
        <f>SUM(C183:C184)</f>
        <v>5653400</v>
      </c>
      <c r="D185" s="711">
        <f>SUM(D183:D184)</f>
        <v>1</v>
      </c>
      <c r="E185" s="425">
        <f t="shared" ref="E185:M185" si="19">SUM(E183:E184)</f>
        <v>0</v>
      </c>
      <c r="F185" s="287">
        <f t="shared" si="19"/>
        <v>0</v>
      </c>
      <c r="G185" s="286">
        <f t="shared" si="19"/>
        <v>0</v>
      </c>
      <c r="H185" s="282">
        <f t="shared" si="19"/>
        <v>30.11</v>
      </c>
      <c r="I185" s="283">
        <f t="shared" si="19"/>
        <v>2826700</v>
      </c>
      <c r="J185" s="284">
        <f t="shared" si="19"/>
        <v>0</v>
      </c>
      <c r="K185" s="285">
        <f t="shared" si="19"/>
        <v>0</v>
      </c>
      <c r="L185" s="285">
        <f t="shared" si="19"/>
        <v>1</v>
      </c>
      <c r="M185" s="285">
        <f t="shared" si="19"/>
        <v>0</v>
      </c>
      <c r="N185" s="305">
        <f>SUM(T179:T180)</f>
        <v>0</v>
      </c>
      <c r="O185" s="339"/>
      <c r="P185" s="339"/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</row>
    <row r="223" spans="1:2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86"/>
      <c r="R223" s="65"/>
      <c r="S223" s="65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U309" s="66"/>
    </row>
    <row r="310" spans="17:21" s="65" customFormat="1">
      <c r="Q310" s="86"/>
      <c r="R310" s="66"/>
      <c r="S310" s="66"/>
      <c r="U310" s="66"/>
    </row>
    <row r="311" spans="17:21" s="65" customFormat="1">
      <c r="Q311" s="86"/>
      <c r="R311" s="66"/>
      <c r="S311" s="66"/>
      <c r="U311" s="66"/>
    </row>
    <row r="312" spans="17:21" s="65" customFormat="1">
      <c r="Q312" s="86"/>
      <c r="R312" s="66"/>
      <c r="S312" s="66"/>
      <c r="U312" s="66"/>
    </row>
    <row r="313" spans="17:21" s="65" customFormat="1">
      <c r="Q313" s="86"/>
      <c r="R313" s="66"/>
      <c r="S313" s="66"/>
      <c r="U313" s="66"/>
    </row>
  </sheetData>
  <sheetProtection algorithmName="SHA-512" hashValue="Wm9LL+Kzz9Y78dSSunOWyGASNJ/BJRm7RcxaQbsN+wMmb1qo+ReRYANpBKCFeeVO1ulywSxfxsqAVt7bMakFog==" saltValue="+e2Jq+vK+W99vRsgQn2z6g==" spinCount="100000" sheet="1" formatCells="0" formatColumns="0" formatRows="0" sort="0" autoFilter="0" pivotTables="0"/>
  <mergeCells count="6">
    <mergeCell ref="A172:N172"/>
    <mergeCell ref="A1:U1"/>
    <mergeCell ref="A116:B116"/>
    <mergeCell ref="A130:B130"/>
    <mergeCell ref="A144:B144"/>
    <mergeCell ref="A158:O158"/>
  </mergeCells>
  <pageMargins left="0.25" right="0.25" top="0.75" bottom="0.75" header="0.3" footer="0.3"/>
  <pageSetup paperSize="9" scale="21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D00-000000000000}">
          <x14:formula1>
            <xm:f>Списки!$C$2:$C$27</xm:f>
          </x14:formula1>
          <xm:sqref>T8 T24 J3:J8 J10:J110 S10:T23 S3:T7 S25:T110</xm:sqref>
        </x14:dataValidation>
        <x14:dataValidation type="list" allowBlank="1" showInputMessage="1" showErrorMessage="1" xr:uid="{00000000-0002-0000-2D00-000001000000}">
          <x14:formula1>
            <xm:f>Списки!$B$2:$B$5</xm:f>
          </x14:formula1>
          <xm:sqref>C3:C8 C10:C110 G113:G114</xm:sqref>
        </x14:dataValidation>
        <x14:dataValidation type="list" allowBlank="1" showInputMessage="1" showErrorMessage="1" xr:uid="{00000000-0002-0000-2D00-000002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2D00-000003000000}">
          <x14:formula1>
            <xm:f>Списки!$D$2:$D$7</xm:f>
          </x14:formula1>
          <xm:sqref>F113:F114 G3:G8 G10:G110</xm:sqref>
        </x14:dataValidation>
        <x14:dataValidation type="list" allowBlank="1" showInputMessage="1" showErrorMessage="1" xr:uid="{00000000-0002-0000-2D00-000004000000}">
          <x14:formula1>
            <xm:f>Списки!$E$2:$E$7</xm:f>
          </x14:formula1>
          <xm:sqref>H113:H114 K3:K8 K10:K110</xm:sqref>
        </x14:dataValidation>
        <x14:dataValidation type="list" allowBlank="1" showInputMessage="1" showErrorMessage="1" xr:uid="{00000000-0002-0000-2D00-000005000000}">
          <x14:formula1>
            <xm:f>Списки!$G$2:$G$3</xm:f>
          </x14:formula1>
          <xm:sqref>L113:L114 M3:M8 M10:M110</xm:sqref>
        </x14:dataValidation>
        <x14:dataValidation type="list" allowBlank="1" showInputMessage="1" showErrorMessage="1" xr:uid="{00000000-0002-0000-2D00-000006000000}">
          <x14:formula1>
            <xm:f>Списки!$F$2:$F$3</xm:f>
          </x14:formula1>
          <xm:sqref>N113:N114 O3:O4 O6:O8 O10:O69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V312"/>
  <sheetViews>
    <sheetView view="pageBreakPreview" zoomScaleNormal="85" workbookViewId="0">
      <pane ySplit="2" topLeftCell="A3" activePane="bottomLeft" state="frozen"/>
      <selection pane="bottomLeft" activeCell="B133" sqref="B133"/>
    </sheetView>
  </sheetViews>
  <sheetFormatPr defaultColWidth="12.28515625" defaultRowHeight="12.75"/>
  <cols>
    <col min="1" max="1" width="12.7109375" style="66" customWidth="1"/>
    <col min="2" max="2" width="13.140625" style="66" customWidth="1"/>
    <col min="3" max="3" width="13.42578125" style="66" customWidth="1"/>
    <col min="4" max="4" width="10.42578125" style="66" customWidth="1"/>
    <col min="5" max="5" width="15.7109375" style="66" customWidth="1"/>
    <col min="6" max="6" width="10.28515625" style="66" customWidth="1"/>
    <col min="7" max="7" width="13.85546875" style="66" customWidth="1"/>
    <col min="8" max="8" width="14.28515625" style="66" customWidth="1"/>
    <col min="9" max="9" width="11.28515625" style="66" customWidth="1"/>
    <col min="10" max="10" width="15.7109375" style="66" customWidth="1"/>
    <col min="11" max="11" width="20.140625" style="66" customWidth="1"/>
    <col min="12" max="12" width="15" style="66" customWidth="1"/>
    <col min="13" max="13" width="13.85546875" style="66" customWidth="1"/>
    <col min="14" max="14" width="19.7109375" style="66" customWidth="1"/>
    <col min="15" max="15" width="16" style="66" customWidth="1"/>
    <col min="16" max="16" width="21.85546875" style="66" customWidth="1"/>
    <col min="17" max="17" width="19.85546875" style="66" customWidth="1"/>
    <col min="18" max="18" width="22.42578125" style="66" customWidth="1"/>
    <col min="19" max="19" width="12.85546875" style="66" customWidth="1"/>
    <col min="20" max="20" width="13.28515625" style="65" customWidth="1"/>
    <col min="21" max="21" width="14.140625" style="66" customWidth="1"/>
    <col min="22" max="16384" width="12.28515625" style="66"/>
  </cols>
  <sheetData>
    <row r="1" spans="1:21">
      <c r="A1" s="2297">
        <v>45382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 s="61" customFormat="1">
      <c r="A3" s="62">
        <v>1</v>
      </c>
      <c r="B3" s="75">
        <v>28030</v>
      </c>
      <c r="C3" s="62" t="s">
        <v>7</v>
      </c>
      <c r="D3" s="75">
        <v>437</v>
      </c>
      <c r="E3" s="62">
        <v>1</v>
      </c>
      <c r="F3" s="62">
        <v>44.37</v>
      </c>
      <c r="G3" s="62" t="s">
        <v>15</v>
      </c>
      <c r="H3" s="62">
        <v>7500</v>
      </c>
      <c r="I3" s="95">
        <v>4408275</v>
      </c>
      <c r="J3" s="117" t="s">
        <v>20</v>
      </c>
      <c r="K3" s="62" t="s">
        <v>16</v>
      </c>
      <c r="L3" s="62" t="s">
        <v>583</v>
      </c>
      <c r="M3" s="62" t="s">
        <v>12</v>
      </c>
      <c r="N3" s="92"/>
      <c r="O3" s="117"/>
      <c r="P3" s="62" t="s">
        <v>1969</v>
      </c>
      <c r="Q3" s="113" t="s">
        <v>1970</v>
      </c>
      <c r="R3" s="113"/>
      <c r="S3" s="117" t="s">
        <v>20</v>
      </c>
      <c r="T3" s="117" t="s">
        <v>20</v>
      </c>
      <c r="U3" s="114">
        <f>sept202122233738[[#This Row],[сумма]]-sept202122233738[[#This Row],[Цема м2 отделки]]*sept202122233738[[#This Row],[м2]]</f>
        <v>4075500</v>
      </c>
    </row>
    <row r="4" spans="1:21">
      <c r="A4" s="62">
        <v>2</v>
      </c>
      <c r="B4" s="75">
        <v>27932</v>
      </c>
      <c r="C4" s="62" t="s">
        <v>7</v>
      </c>
      <c r="D4" s="75">
        <v>444</v>
      </c>
      <c r="E4" s="62">
        <v>2</v>
      </c>
      <c r="F4" s="62">
        <v>67.489999999999995</v>
      </c>
      <c r="G4" s="76" t="s">
        <v>15</v>
      </c>
      <c r="H4" s="76">
        <v>7500</v>
      </c>
      <c r="I4" s="91">
        <v>6862005.2599999998</v>
      </c>
      <c r="J4" s="117" t="s">
        <v>8</v>
      </c>
      <c r="K4" s="62" t="s">
        <v>16</v>
      </c>
      <c r="L4" s="62" t="s">
        <v>583</v>
      </c>
      <c r="M4" s="62" t="s">
        <v>12</v>
      </c>
      <c r="N4" s="92">
        <v>45370</v>
      </c>
      <c r="O4" s="117"/>
      <c r="P4" s="76" t="s">
        <v>1971</v>
      </c>
      <c r="Q4" s="76" t="s">
        <v>67</v>
      </c>
      <c r="R4" s="76"/>
      <c r="S4" s="117" t="s">
        <v>8</v>
      </c>
      <c r="T4" s="117" t="s">
        <v>8</v>
      </c>
      <c r="U4" s="114">
        <f>sept202122233738[[#This Row],[сумма]]-sept202122233738[[#This Row],[Цема м2 отделки]]*sept202122233738[[#This Row],[м2]]</f>
        <v>6355830.2599999998</v>
      </c>
    </row>
    <row r="5" spans="1:21" s="61" customFormat="1">
      <c r="A5" s="62">
        <v>3</v>
      </c>
      <c r="B5" s="75">
        <v>29888</v>
      </c>
      <c r="C5" s="62" t="s">
        <v>7</v>
      </c>
      <c r="D5" s="75">
        <v>222</v>
      </c>
      <c r="E5" s="62">
        <v>1</v>
      </c>
      <c r="F5" s="62">
        <v>36.659999999999997</v>
      </c>
      <c r="G5" s="62" t="s">
        <v>25</v>
      </c>
      <c r="H5" s="348">
        <v>22000</v>
      </c>
      <c r="I5" s="95">
        <v>5092532</v>
      </c>
      <c r="J5" s="117" t="s">
        <v>32</v>
      </c>
      <c r="K5" s="62" t="s">
        <v>22</v>
      </c>
      <c r="L5" s="62" t="s">
        <v>583</v>
      </c>
      <c r="M5" s="62" t="s">
        <v>18</v>
      </c>
      <c r="N5" s="539">
        <v>45372</v>
      </c>
      <c r="O5" s="62"/>
      <c r="P5" s="348" t="s">
        <v>1972</v>
      </c>
      <c r="Q5" s="113" t="s">
        <v>67</v>
      </c>
      <c r="R5" s="113"/>
      <c r="S5" s="62" t="s">
        <v>32</v>
      </c>
      <c r="T5" s="62" t="s">
        <v>20</v>
      </c>
      <c r="U5" s="114">
        <f>sept202122233738[[#This Row],[сумма]]-sept202122233738[[#This Row],[Цема м2 отделки]]*sept202122233738[[#This Row],[м2]]</f>
        <v>4286012</v>
      </c>
    </row>
    <row r="6" spans="1:21" s="61" customFormat="1">
      <c r="A6" s="62">
        <v>4</v>
      </c>
      <c r="B6" s="74">
        <v>29387</v>
      </c>
      <c r="C6" s="62" t="s">
        <v>7</v>
      </c>
      <c r="D6" s="75">
        <v>252</v>
      </c>
      <c r="E6" s="62">
        <v>2</v>
      </c>
      <c r="F6" s="62">
        <v>56.7</v>
      </c>
      <c r="G6" s="117" t="s">
        <v>25</v>
      </c>
      <c r="H6" s="117">
        <v>22000</v>
      </c>
      <c r="I6" s="95">
        <v>6581333</v>
      </c>
      <c r="J6" s="117" t="s">
        <v>14</v>
      </c>
      <c r="K6" s="62" t="s">
        <v>16</v>
      </c>
      <c r="L6" s="62" t="s">
        <v>583</v>
      </c>
      <c r="M6" s="62" t="s">
        <v>12</v>
      </c>
      <c r="N6" s="92"/>
      <c r="O6" s="117"/>
      <c r="P6" s="62" t="s">
        <v>1973</v>
      </c>
      <c r="Q6" s="113" t="s">
        <v>67</v>
      </c>
      <c r="R6" s="113"/>
      <c r="S6" s="117" t="s">
        <v>14</v>
      </c>
      <c r="T6" s="117" t="s">
        <v>14</v>
      </c>
      <c r="U6" s="114">
        <f>sept202122233738[[#This Row],[сумма]]-sept202122233738[[#This Row],[Цема м2 отделки]]*sept202122233738[[#This Row],[м2]]</f>
        <v>5333933</v>
      </c>
    </row>
    <row r="7" spans="1:21">
      <c r="A7" s="65">
        <v>5</v>
      </c>
      <c r="B7" s="79">
        <v>30044</v>
      </c>
      <c r="C7" s="65" t="s">
        <v>7</v>
      </c>
      <c r="D7" s="79">
        <v>504</v>
      </c>
      <c r="E7" s="65">
        <v>1</v>
      </c>
      <c r="F7" s="65"/>
      <c r="G7" s="65"/>
      <c r="H7" s="65"/>
      <c r="I7" s="93"/>
      <c r="J7" s="80"/>
      <c r="K7" s="65"/>
      <c r="L7" s="65"/>
      <c r="M7" s="65"/>
      <c r="N7" s="98"/>
      <c r="O7" s="80"/>
      <c r="P7" s="65"/>
      <c r="Q7" s="86"/>
      <c r="R7" s="86"/>
      <c r="S7" s="80"/>
      <c r="T7" s="80"/>
      <c r="U7" s="115">
        <f>sept202122233738[[#This Row],[сумма]]-sept202122233738[[#This Row],[Цема м2 отделки]]*sept202122233738[[#This Row],[м2]]</f>
        <v>0</v>
      </c>
    </row>
    <row r="8" spans="1:21" s="61" customFormat="1">
      <c r="A8" s="62">
        <v>6</v>
      </c>
      <c r="B8" s="81">
        <v>30272</v>
      </c>
      <c r="C8" s="62" t="s">
        <v>13</v>
      </c>
      <c r="D8" s="75">
        <v>285</v>
      </c>
      <c r="E8" s="349">
        <v>2</v>
      </c>
      <c r="F8" s="62">
        <v>73.7</v>
      </c>
      <c r="G8" s="62" t="s">
        <v>9</v>
      </c>
      <c r="H8" s="348"/>
      <c r="I8" s="95">
        <v>6788400</v>
      </c>
      <c r="J8" s="117" t="s">
        <v>14</v>
      </c>
      <c r="K8" s="62" t="s">
        <v>16</v>
      </c>
      <c r="L8" s="117" t="s">
        <v>583</v>
      </c>
      <c r="M8" s="62" t="s">
        <v>18</v>
      </c>
      <c r="N8" s="92">
        <v>45370</v>
      </c>
      <c r="O8" s="62"/>
      <c r="P8" s="377" t="s">
        <v>1974</v>
      </c>
      <c r="Q8" s="113" t="s">
        <v>67</v>
      </c>
      <c r="R8" s="113" t="s">
        <v>67</v>
      </c>
      <c r="S8" s="117" t="s">
        <v>14</v>
      </c>
      <c r="T8" s="117" t="s">
        <v>14</v>
      </c>
      <c r="U8" s="114">
        <f>sept202122233738[[#This Row],[сумма]]-sept202122233738[[#This Row],[Цема м2 отделки]]*sept202122233738[[#This Row],[м2]]</f>
        <v>6788400</v>
      </c>
    </row>
    <row r="9" spans="1:21" s="61" customFormat="1">
      <c r="A9" s="62">
        <v>7</v>
      </c>
      <c r="B9" s="75">
        <v>26222</v>
      </c>
      <c r="C9" s="62" t="s">
        <v>7</v>
      </c>
      <c r="D9" s="75">
        <v>10</v>
      </c>
      <c r="E9" s="349">
        <v>2</v>
      </c>
      <c r="F9" s="62">
        <v>61.76</v>
      </c>
      <c r="G9" s="76" t="s">
        <v>15</v>
      </c>
      <c r="H9" s="348">
        <v>7500</v>
      </c>
      <c r="I9" s="352">
        <v>6360812</v>
      </c>
      <c r="J9" s="348" t="s">
        <v>8</v>
      </c>
      <c r="K9" s="62" t="s">
        <v>22</v>
      </c>
      <c r="L9" s="62" t="s">
        <v>583</v>
      </c>
      <c r="M9" s="62" t="s">
        <v>18</v>
      </c>
      <c r="N9" s="92">
        <v>45369</v>
      </c>
      <c r="O9" s="62"/>
      <c r="P9" s="76" t="s">
        <v>1975</v>
      </c>
      <c r="Q9" s="76" t="s">
        <v>67</v>
      </c>
      <c r="R9" s="76" t="s">
        <v>1912</v>
      </c>
      <c r="S9" s="62" t="s">
        <v>8</v>
      </c>
      <c r="T9" s="62" t="s">
        <v>8</v>
      </c>
      <c r="U9" s="114">
        <f>sept202122233738[[#This Row],[сумма]]-sept202122233738[[#This Row],[Цема м2 отделки]]*sept202122233738[[#This Row],[м2]]</f>
        <v>5897612</v>
      </c>
    </row>
    <row r="10" spans="1:21" s="61" customFormat="1">
      <c r="A10" s="62">
        <v>8</v>
      </c>
      <c r="B10" s="75">
        <v>30284</v>
      </c>
      <c r="C10" s="62" t="s">
        <v>13</v>
      </c>
      <c r="D10" s="75">
        <v>274</v>
      </c>
      <c r="E10" s="62">
        <v>2</v>
      </c>
      <c r="F10" s="62">
        <v>60.24</v>
      </c>
      <c r="G10" s="62" t="s">
        <v>21</v>
      </c>
      <c r="H10" s="348"/>
      <c r="I10" s="95">
        <v>6768041</v>
      </c>
      <c r="J10" s="117" t="s">
        <v>31</v>
      </c>
      <c r="K10" s="62" t="s">
        <v>22</v>
      </c>
      <c r="L10" s="62" t="s">
        <v>583</v>
      </c>
      <c r="M10" s="62" t="s">
        <v>18</v>
      </c>
      <c r="N10" s="539">
        <v>45358</v>
      </c>
      <c r="O10" s="62"/>
      <c r="P10" s="348" t="s">
        <v>1976</v>
      </c>
      <c r="Q10" s="113" t="s">
        <v>67</v>
      </c>
      <c r="R10" s="113" t="s">
        <v>1977</v>
      </c>
      <c r="S10" s="62" t="s">
        <v>31</v>
      </c>
      <c r="T10" s="62" t="s">
        <v>8</v>
      </c>
      <c r="U10" s="114">
        <f>sept202122233738[[#This Row],[сумма]]-sept202122233738[[#This Row],[Цема м2 отделки]]*sept202122233738[[#This Row],[м2]]</f>
        <v>6768041</v>
      </c>
    </row>
    <row r="11" spans="1:21" s="61" customFormat="1">
      <c r="A11" s="62">
        <v>9</v>
      </c>
      <c r="B11" s="75">
        <v>27159</v>
      </c>
      <c r="C11" s="62" t="s">
        <v>13</v>
      </c>
      <c r="D11" s="75">
        <v>353</v>
      </c>
      <c r="E11" s="62">
        <v>3</v>
      </c>
      <c r="F11" s="62">
        <v>80.97</v>
      </c>
      <c r="G11" s="62" t="s">
        <v>9</v>
      </c>
      <c r="H11" s="62"/>
      <c r="I11" s="95">
        <v>6591248.7199999997</v>
      </c>
      <c r="J11" s="117" t="s">
        <v>8</v>
      </c>
      <c r="K11" s="62" t="s">
        <v>10</v>
      </c>
      <c r="L11" s="62" t="s">
        <v>1953</v>
      </c>
      <c r="M11" s="62" t="s">
        <v>12</v>
      </c>
      <c r="N11" s="92"/>
      <c r="O11" s="117"/>
      <c r="P11" s="62" t="s">
        <v>1978</v>
      </c>
      <c r="Q11" s="76" t="s">
        <v>67</v>
      </c>
      <c r="R11" s="76"/>
      <c r="S11" s="117" t="s">
        <v>8</v>
      </c>
      <c r="T11" s="117" t="s">
        <v>8</v>
      </c>
      <c r="U11" s="114">
        <f>sept202122233738[[#This Row],[сумма]]-sept202122233738[[#This Row],[Цема м2 отделки]]*sept202122233738[[#This Row],[м2]]</f>
        <v>6591248.7199999997</v>
      </c>
    </row>
    <row r="12" spans="1:21" s="61" customFormat="1">
      <c r="A12" s="62">
        <v>10</v>
      </c>
      <c r="B12" s="75">
        <v>30219</v>
      </c>
      <c r="C12" s="62" t="s">
        <v>7</v>
      </c>
      <c r="D12" s="75">
        <v>377</v>
      </c>
      <c r="E12" s="62">
        <v>2</v>
      </c>
      <c r="F12" s="62">
        <v>58.55</v>
      </c>
      <c r="G12" s="62" t="s">
        <v>9</v>
      </c>
      <c r="H12" s="62"/>
      <c r="I12" s="95">
        <v>5920977</v>
      </c>
      <c r="J12" s="117" t="s">
        <v>8</v>
      </c>
      <c r="K12" s="62" t="s">
        <v>22</v>
      </c>
      <c r="L12" s="62" t="s">
        <v>583</v>
      </c>
      <c r="M12" s="62" t="s">
        <v>18</v>
      </c>
      <c r="N12" s="92">
        <v>45353</v>
      </c>
      <c r="O12" s="117"/>
      <c r="P12" s="62" t="s">
        <v>1979</v>
      </c>
      <c r="Q12" s="76" t="s">
        <v>67</v>
      </c>
      <c r="R12" s="113" t="s">
        <v>1977</v>
      </c>
      <c r="S12" s="117" t="s">
        <v>8</v>
      </c>
      <c r="T12" s="117" t="s">
        <v>8</v>
      </c>
      <c r="U12" s="114">
        <f>sept202122233738[[#This Row],[сумма]]-sept202122233738[[#This Row],[Цема м2 отделки]]*sept202122233738[[#This Row],[м2]]</f>
        <v>5920977</v>
      </c>
    </row>
    <row r="13" spans="1:21" s="61" customFormat="1">
      <c r="A13" s="62">
        <v>11</v>
      </c>
      <c r="B13" s="74">
        <v>29988</v>
      </c>
      <c r="C13" s="62" t="s">
        <v>13</v>
      </c>
      <c r="D13" s="75">
        <v>462</v>
      </c>
      <c r="E13" s="62">
        <v>1</v>
      </c>
      <c r="F13" s="62">
        <v>43.21</v>
      </c>
      <c r="G13" s="76" t="s">
        <v>9</v>
      </c>
      <c r="H13" s="76"/>
      <c r="I13" s="91">
        <v>4476200</v>
      </c>
      <c r="J13" s="117" t="s">
        <v>8</v>
      </c>
      <c r="K13" s="62" t="s">
        <v>22</v>
      </c>
      <c r="L13" s="62" t="s">
        <v>583</v>
      </c>
      <c r="M13" s="62" t="s">
        <v>12</v>
      </c>
      <c r="N13" s="92">
        <v>45372</v>
      </c>
      <c r="O13" s="117"/>
      <c r="P13" s="76" t="s">
        <v>1980</v>
      </c>
      <c r="Q13" s="113" t="s">
        <v>67</v>
      </c>
      <c r="R13" s="113"/>
      <c r="S13" s="117" t="s">
        <v>8</v>
      </c>
      <c r="T13" s="117" t="s">
        <v>8</v>
      </c>
      <c r="U13" s="114">
        <f>sept202122233738[[#This Row],[сумма]]-sept202122233738[[#This Row],[Цема м2 отделки]]*sept202122233738[[#This Row],[м2]]</f>
        <v>4476200</v>
      </c>
    </row>
    <row r="14" spans="1:21" s="61" customFormat="1">
      <c r="A14" s="62">
        <v>12</v>
      </c>
      <c r="B14" s="75">
        <v>29976</v>
      </c>
      <c r="C14" s="62" t="s">
        <v>7</v>
      </c>
      <c r="D14" s="75">
        <v>58</v>
      </c>
      <c r="E14" s="62">
        <v>2</v>
      </c>
      <c r="F14" s="62">
        <v>61.76</v>
      </c>
      <c r="G14" s="62" t="s">
        <v>9</v>
      </c>
      <c r="H14" s="62"/>
      <c r="I14" s="95">
        <v>5866770</v>
      </c>
      <c r="J14" s="117" t="s">
        <v>8</v>
      </c>
      <c r="K14" s="62" t="s">
        <v>22</v>
      </c>
      <c r="L14" s="62" t="s">
        <v>583</v>
      </c>
      <c r="M14" s="62" t="s">
        <v>12</v>
      </c>
      <c r="N14" s="92">
        <v>45364</v>
      </c>
      <c r="O14" s="117"/>
      <c r="P14" s="76" t="s">
        <v>1981</v>
      </c>
      <c r="Q14" s="113" t="s">
        <v>67</v>
      </c>
      <c r="R14" s="113" t="s">
        <v>1977</v>
      </c>
      <c r="S14" s="117" t="s">
        <v>8</v>
      </c>
      <c r="T14" s="117" t="s">
        <v>14</v>
      </c>
      <c r="U14" s="114">
        <f>sept202122233738[[#This Row],[сумма]]-sept202122233738[[#This Row],[Цема м2 отделки]]*sept202122233738[[#This Row],[м2]]</f>
        <v>5866770</v>
      </c>
    </row>
    <row r="15" spans="1:21" s="61" customFormat="1">
      <c r="A15" s="62">
        <v>13</v>
      </c>
      <c r="B15" s="75">
        <v>30221</v>
      </c>
      <c r="C15" s="62" t="s">
        <v>7</v>
      </c>
      <c r="D15" s="75">
        <v>79</v>
      </c>
      <c r="E15" s="62">
        <v>0</v>
      </c>
      <c r="F15" s="62">
        <v>21.75</v>
      </c>
      <c r="G15" s="62" t="s">
        <v>15</v>
      </c>
      <c r="H15" s="62">
        <v>7500</v>
      </c>
      <c r="I15" s="95">
        <v>3007825</v>
      </c>
      <c r="J15" s="117" t="s">
        <v>20</v>
      </c>
      <c r="K15" s="62" t="s">
        <v>22</v>
      </c>
      <c r="L15" s="62" t="s">
        <v>583</v>
      </c>
      <c r="M15" s="62" t="s">
        <v>18</v>
      </c>
      <c r="N15" s="92">
        <v>45364</v>
      </c>
      <c r="O15" s="117" t="s">
        <v>17</v>
      </c>
      <c r="P15" s="62" t="s">
        <v>1982</v>
      </c>
      <c r="Q15" s="76" t="s">
        <v>67</v>
      </c>
      <c r="R15" s="113" t="s">
        <v>1983</v>
      </c>
      <c r="S15" s="117" t="s">
        <v>20</v>
      </c>
      <c r="T15" s="117" t="s">
        <v>20</v>
      </c>
      <c r="U15" s="114">
        <f>sept202122233738[[#This Row],[сумма]]-sept202122233738[[#This Row],[Цема м2 отделки]]*sept202122233738[[#This Row],[м2]]</f>
        <v>2844700</v>
      </c>
    </row>
    <row r="16" spans="1:21">
      <c r="A16" s="65">
        <v>14</v>
      </c>
      <c r="B16" s="79"/>
      <c r="C16" s="65"/>
      <c r="D16" s="79"/>
      <c r="E16" s="65"/>
      <c r="F16" s="65"/>
      <c r="G16" s="65"/>
      <c r="H16" s="65"/>
      <c r="I16" s="93"/>
      <c r="J16" s="80"/>
      <c r="K16" s="65"/>
      <c r="L16" s="65"/>
      <c r="M16" s="65"/>
      <c r="N16" s="98"/>
      <c r="O16" s="80"/>
      <c r="P16" s="65"/>
      <c r="Q16" s="118"/>
      <c r="R16" s="118"/>
      <c r="S16" s="80"/>
      <c r="T16" s="80"/>
      <c r="U16" s="115">
        <f>sept202122233738[[#This Row],[сумма]]-sept202122233738[[#This Row],[Цема м2 отделки]]*sept202122233738[[#This Row],[м2]]</f>
        <v>0</v>
      </c>
    </row>
    <row r="17" spans="1:22">
      <c r="A17" s="65">
        <v>15</v>
      </c>
      <c r="B17" s="78"/>
      <c r="C17" s="65"/>
      <c r="D17" s="79"/>
      <c r="E17" s="65"/>
      <c r="F17" s="65"/>
      <c r="G17" s="65"/>
      <c r="H17" s="65"/>
      <c r="I17" s="93"/>
      <c r="J17" s="65"/>
      <c r="K17" s="65"/>
      <c r="L17" s="107"/>
      <c r="M17" s="65"/>
      <c r="N17" s="98"/>
      <c r="O17" s="80"/>
      <c r="P17" s="65"/>
      <c r="Q17" s="118"/>
      <c r="R17" s="118"/>
      <c r="S17" s="65"/>
      <c r="U17" s="115">
        <f>sept202122233738[[#This Row],[сумма]]-sept202122233738[[#This Row],[Цема м2 отделки]]*sept202122233738[[#This Row],[м2]]</f>
        <v>0</v>
      </c>
    </row>
    <row r="18" spans="1:22" s="61" customFormat="1">
      <c r="A18" s="62">
        <v>16</v>
      </c>
      <c r="B18" s="75">
        <v>30426</v>
      </c>
      <c r="C18" s="62" t="s">
        <v>7</v>
      </c>
      <c r="D18" s="75">
        <v>216</v>
      </c>
      <c r="E18" s="62">
        <v>1</v>
      </c>
      <c r="F18" s="62">
        <v>33.79</v>
      </c>
      <c r="G18" s="62" t="s">
        <v>25</v>
      </c>
      <c r="H18" s="62">
        <v>22000</v>
      </c>
      <c r="I18" s="95">
        <v>4684992</v>
      </c>
      <c r="J18" s="117" t="s">
        <v>14</v>
      </c>
      <c r="K18" s="62" t="s">
        <v>16</v>
      </c>
      <c r="L18" s="62" t="s">
        <v>583</v>
      </c>
      <c r="M18" s="62" t="s">
        <v>18</v>
      </c>
      <c r="N18" s="92">
        <v>45363</v>
      </c>
      <c r="O18" s="117"/>
      <c r="P18" s="76" t="s">
        <v>1984</v>
      </c>
      <c r="Q18" s="113" t="s">
        <v>67</v>
      </c>
      <c r="R18" s="113" t="s">
        <v>1983</v>
      </c>
      <c r="S18" s="117" t="s">
        <v>14</v>
      </c>
      <c r="T18" s="117" t="s">
        <v>14</v>
      </c>
      <c r="U18" s="114">
        <f>sept202122233738[[#This Row],[сумма]]-sept202122233738[[#This Row],[Цема м2 отделки]]*sept202122233738[[#This Row],[м2]]</f>
        <v>3941612</v>
      </c>
    </row>
    <row r="19" spans="1:22" s="61" customFormat="1" ht="14.25" customHeight="1">
      <c r="A19" s="62">
        <v>17</v>
      </c>
      <c r="B19" s="75">
        <v>30283</v>
      </c>
      <c r="C19" s="62" t="s">
        <v>13</v>
      </c>
      <c r="D19" s="75">
        <v>268</v>
      </c>
      <c r="E19" s="62">
        <v>1</v>
      </c>
      <c r="F19" s="62">
        <v>37.81</v>
      </c>
      <c r="G19" s="62" t="s">
        <v>25</v>
      </c>
      <c r="H19" s="62">
        <v>20000</v>
      </c>
      <c r="I19" s="95">
        <v>4888012</v>
      </c>
      <c r="J19" s="117" t="s">
        <v>14</v>
      </c>
      <c r="K19" s="62" t="s">
        <v>22</v>
      </c>
      <c r="L19" s="62" t="s">
        <v>583</v>
      </c>
      <c r="M19" s="62" t="s">
        <v>18</v>
      </c>
      <c r="N19" s="92">
        <v>45363</v>
      </c>
      <c r="O19" s="117"/>
      <c r="P19" s="76" t="s">
        <v>1985</v>
      </c>
      <c r="Q19" s="113" t="s">
        <v>67</v>
      </c>
      <c r="R19" s="113" t="s">
        <v>1983</v>
      </c>
      <c r="S19" s="117" t="s">
        <v>14</v>
      </c>
      <c r="T19" s="117" t="s">
        <v>14</v>
      </c>
      <c r="U19" s="114">
        <f>sept202122233738[[#This Row],[сумма]]-sept202122233738[[#This Row],[Цема м2 отделки]]*sept202122233738[[#This Row],[м2]]</f>
        <v>4131812</v>
      </c>
    </row>
    <row r="20" spans="1:22" ht="15">
      <c r="A20" s="65">
        <v>18</v>
      </c>
      <c r="B20" s="79"/>
      <c r="C20" s="65"/>
      <c r="D20" s="79"/>
      <c r="E20" s="65"/>
      <c r="F20" s="65"/>
      <c r="G20" s="65"/>
      <c r="H20" s="65"/>
      <c r="I20" s="93"/>
      <c r="J20" s="80"/>
      <c r="K20" s="65"/>
      <c r="L20" s="65"/>
      <c r="M20" s="65"/>
      <c r="N20" s="98"/>
      <c r="O20" s="80"/>
      <c r="P20" s="674"/>
      <c r="Q20" s="118"/>
      <c r="R20" s="118"/>
      <c r="S20" s="80"/>
      <c r="T20" s="80"/>
      <c r="U20" s="115">
        <f>sept202122233738[[#This Row],[сумма]]-sept202122233738[[#This Row],[Цема м2 отделки]]*sept202122233738[[#This Row],[м2]]</f>
        <v>0</v>
      </c>
    </row>
    <row r="21" spans="1:22" s="61" customFormat="1">
      <c r="A21" s="62">
        <v>19</v>
      </c>
      <c r="B21" s="74">
        <v>30076</v>
      </c>
      <c r="C21" s="62" t="s">
        <v>7</v>
      </c>
      <c r="D21" s="75">
        <v>463</v>
      </c>
      <c r="E21" s="62">
        <v>2</v>
      </c>
      <c r="F21" s="62">
        <v>63.74</v>
      </c>
      <c r="G21" s="62" t="s">
        <v>9</v>
      </c>
      <c r="H21" s="62"/>
      <c r="I21" s="95">
        <v>5822512</v>
      </c>
      <c r="J21" s="117" t="s">
        <v>31</v>
      </c>
      <c r="K21" s="62" t="s">
        <v>16</v>
      </c>
      <c r="L21" s="62" t="s">
        <v>583</v>
      </c>
      <c r="M21" s="62" t="s">
        <v>18</v>
      </c>
      <c r="N21" s="92">
        <v>45364</v>
      </c>
      <c r="O21" s="117"/>
      <c r="P21" s="76" t="s">
        <v>1986</v>
      </c>
      <c r="Q21" s="113" t="s">
        <v>67</v>
      </c>
      <c r="R21" s="113" t="s">
        <v>1983</v>
      </c>
      <c r="S21" s="117" t="s">
        <v>31</v>
      </c>
      <c r="T21" s="117" t="s">
        <v>14</v>
      </c>
      <c r="U21" s="114">
        <f>sept202122233738[[#This Row],[сумма]]-sept202122233738[[#This Row],[Цема м2 отделки]]*sept202122233738[[#This Row],[м2]]</f>
        <v>5822512</v>
      </c>
    </row>
    <row r="22" spans="1:22" s="61" customFormat="1">
      <c r="A22" s="62">
        <v>20</v>
      </c>
      <c r="B22" s="75">
        <v>30647</v>
      </c>
      <c r="C22" s="62" t="s">
        <v>7</v>
      </c>
      <c r="D22" s="75">
        <v>189</v>
      </c>
      <c r="E22" s="62">
        <v>1</v>
      </c>
      <c r="F22" s="62">
        <v>36.700000000000003</v>
      </c>
      <c r="G22" s="62" t="s">
        <v>25</v>
      </c>
      <c r="H22" s="62">
        <v>22000</v>
      </c>
      <c r="I22" s="95">
        <v>5140512</v>
      </c>
      <c r="J22" s="117" t="s">
        <v>14</v>
      </c>
      <c r="K22" s="62" t="s">
        <v>16</v>
      </c>
      <c r="L22" s="62" t="s">
        <v>583</v>
      </c>
      <c r="M22" s="62" t="s">
        <v>18</v>
      </c>
      <c r="N22" s="92">
        <v>45372</v>
      </c>
      <c r="O22" s="117"/>
      <c r="P22" s="62" t="s">
        <v>1987</v>
      </c>
      <c r="Q22" s="76" t="s">
        <v>67</v>
      </c>
      <c r="R22" s="76"/>
      <c r="S22" s="117" t="s">
        <v>14</v>
      </c>
      <c r="T22" s="117" t="s">
        <v>20</v>
      </c>
      <c r="U22" s="114">
        <f>sept202122233738[[#This Row],[сумма]]-sept202122233738[[#This Row],[Цема м2 отделки]]*sept202122233738[[#This Row],[м2]]</f>
        <v>4333112</v>
      </c>
    </row>
    <row r="23" spans="1:22" s="61" customFormat="1">
      <c r="A23" s="62">
        <v>21</v>
      </c>
      <c r="B23" s="75">
        <v>30308</v>
      </c>
      <c r="C23" s="62" t="s">
        <v>13</v>
      </c>
      <c r="D23" s="75">
        <v>366</v>
      </c>
      <c r="E23" s="62">
        <v>1</v>
      </c>
      <c r="F23" s="62">
        <v>37.81</v>
      </c>
      <c r="G23" s="62" t="s">
        <v>9</v>
      </c>
      <c r="H23" s="62"/>
      <c r="I23" s="95">
        <v>4440612</v>
      </c>
      <c r="J23" s="117" t="s">
        <v>14</v>
      </c>
      <c r="K23" s="62" t="s">
        <v>16</v>
      </c>
      <c r="L23" s="62" t="s">
        <v>583</v>
      </c>
      <c r="M23" s="62" t="s">
        <v>18</v>
      </c>
      <c r="N23" s="92">
        <v>45372</v>
      </c>
      <c r="O23" s="117"/>
      <c r="P23" s="62" t="s">
        <v>1988</v>
      </c>
      <c r="Q23" s="113" t="s">
        <v>67</v>
      </c>
      <c r="R23" s="113" t="s">
        <v>67</v>
      </c>
      <c r="S23" s="117" t="s">
        <v>14</v>
      </c>
      <c r="T23" s="117" t="s">
        <v>8</v>
      </c>
      <c r="U23" s="114">
        <f>sept202122233738[[#This Row],[сумма]]-sept202122233738[[#This Row],[Цема м2 отделки]]*sept202122233738[[#This Row],[м2]]</f>
        <v>4440612</v>
      </c>
    </row>
    <row r="24" spans="1:22" s="61" customFormat="1">
      <c r="A24" s="62">
        <v>22</v>
      </c>
      <c r="B24" s="75">
        <v>30379</v>
      </c>
      <c r="C24" s="62" t="s">
        <v>7</v>
      </c>
      <c r="D24" s="75">
        <v>82</v>
      </c>
      <c r="E24" s="62">
        <v>2</v>
      </c>
      <c r="F24" s="62">
        <v>61.76</v>
      </c>
      <c r="G24" s="62" t="s">
        <v>25</v>
      </c>
      <c r="H24" s="62">
        <v>22000</v>
      </c>
      <c r="I24" s="95">
        <v>7256332</v>
      </c>
      <c r="J24" s="117" t="s">
        <v>8</v>
      </c>
      <c r="K24" s="62" t="s">
        <v>22</v>
      </c>
      <c r="L24" s="62" t="s">
        <v>583</v>
      </c>
      <c r="M24" s="62" t="s">
        <v>18</v>
      </c>
      <c r="N24" s="92">
        <v>45364</v>
      </c>
      <c r="O24" s="62"/>
      <c r="P24" s="62" t="s">
        <v>1989</v>
      </c>
      <c r="Q24" s="113" t="s">
        <v>67</v>
      </c>
      <c r="R24" s="113" t="s">
        <v>1977</v>
      </c>
      <c r="S24" s="117" t="s">
        <v>8</v>
      </c>
      <c r="T24" s="117" t="s">
        <v>8</v>
      </c>
      <c r="U24" s="114">
        <f>sept202122233738[[#This Row],[сумма]]-sept202122233738[[#This Row],[Цема м2 отделки]]*sept202122233738[[#This Row],[м2]]</f>
        <v>5897612</v>
      </c>
    </row>
    <row r="25" spans="1:22" s="61" customFormat="1">
      <c r="A25" s="62">
        <v>23</v>
      </c>
      <c r="B25" s="75">
        <v>29746</v>
      </c>
      <c r="C25" s="62" t="s">
        <v>13</v>
      </c>
      <c r="D25" s="75">
        <v>214</v>
      </c>
      <c r="E25" s="62">
        <v>3</v>
      </c>
      <c r="F25" s="62">
        <v>84.99</v>
      </c>
      <c r="G25" s="62" t="s">
        <v>25</v>
      </c>
      <c r="H25" s="62">
        <v>20000</v>
      </c>
      <c r="I25" s="95">
        <v>8727300</v>
      </c>
      <c r="J25" s="117" t="s">
        <v>8</v>
      </c>
      <c r="K25" s="62" t="s">
        <v>22</v>
      </c>
      <c r="L25" s="62" t="s">
        <v>583</v>
      </c>
      <c r="M25" s="62" t="s">
        <v>12</v>
      </c>
      <c r="N25" s="92">
        <v>45374</v>
      </c>
      <c r="O25" s="117"/>
      <c r="P25" s="62" t="s">
        <v>1570</v>
      </c>
      <c r="Q25" s="113" t="s">
        <v>67</v>
      </c>
      <c r="R25" s="113" t="s">
        <v>1912</v>
      </c>
      <c r="S25" s="117" t="s">
        <v>8</v>
      </c>
      <c r="T25" s="117" t="s">
        <v>8</v>
      </c>
      <c r="U25" s="114">
        <f>sept202122233738[[#This Row],[сумма]]-sept202122233738[[#This Row],[Цема м2 отделки]]*sept202122233738[[#This Row],[м2]]</f>
        <v>7027500</v>
      </c>
    </row>
    <row r="26" spans="1:22" s="61" customFormat="1">
      <c r="A26" s="65">
        <v>24</v>
      </c>
      <c r="B26" s="79">
        <v>30298</v>
      </c>
      <c r="C26" s="65" t="s">
        <v>7</v>
      </c>
      <c r="D26" s="79">
        <v>423</v>
      </c>
      <c r="E26" s="87">
        <v>1</v>
      </c>
      <c r="F26" s="65"/>
      <c r="G26" s="65"/>
      <c r="H26" s="72"/>
      <c r="I26" s="105"/>
      <c r="J26" s="72"/>
      <c r="K26" s="65"/>
      <c r="L26" s="65"/>
      <c r="M26" s="65"/>
      <c r="N26" s="98"/>
      <c r="O26" s="65"/>
      <c r="P26" s="65"/>
      <c r="Q26" s="118"/>
      <c r="R26" s="118"/>
      <c r="S26" s="65"/>
      <c r="T26" s="65"/>
      <c r="U26" s="115">
        <f>sept202122233738[[#This Row],[сумма]]-sept202122233738[[#This Row],[Цема м2 отделки]]*sept202122233738[[#This Row],[м2]]</f>
        <v>0</v>
      </c>
      <c r="V26" s="66"/>
    </row>
    <row r="27" spans="1:22" s="61" customFormat="1">
      <c r="A27" s="62">
        <v>25</v>
      </c>
      <c r="B27" s="75">
        <v>30466</v>
      </c>
      <c r="C27" s="62" t="s">
        <v>13</v>
      </c>
      <c r="D27" s="75">
        <v>478</v>
      </c>
      <c r="E27" s="349">
        <v>1</v>
      </c>
      <c r="F27" s="62">
        <v>43.21</v>
      </c>
      <c r="G27" s="62" t="s">
        <v>9</v>
      </c>
      <c r="H27" s="348"/>
      <c r="I27" s="352">
        <v>4521612</v>
      </c>
      <c r="J27" s="348" t="s">
        <v>8</v>
      </c>
      <c r="K27" s="62" t="s">
        <v>22</v>
      </c>
      <c r="L27" s="117" t="s">
        <v>583</v>
      </c>
      <c r="M27" s="62" t="s">
        <v>18</v>
      </c>
      <c r="N27" s="92">
        <v>45370</v>
      </c>
      <c r="O27" s="62"/>
      <c r="P27" s="117" t="s">
        <v>1990</v>
      </c>
      <c r="Q27" s="377" t="s">
        <v>67</v>
      </c>
      <c r="R27" s="76"/>
      <c r="S27" s="62" t="s">
        <v>8</v>
      </c>
      <c r="T27" s="62" t="s">
        <v>20</v>
      </c>
      <c r="U27" s="114">
        <f>sept202122233738[[#This Row],[сумма]]-sept202122233738[[#This Row],[Цема м2 отделки]]*sept202122233738[[#This Row],[м2]]</f>
        <v>4521612</v>
      </c>
    </row>
    <row r="28" spans="1:22" s="61" customFormat="1">
      <c r="A28" s="62">
        <v>26</v>
      </c>
      <c r="B28" s="74">
        <v>30466</v>
      </c>
      <c r="C28" s="62" t="s">
        <v>13</v>
      </c>
      <c r="D28" s="75">
        <v>502</v>
      </c>
      <c r="E28" s="62">
        <v>1</v>
      </c>
      <c r="F28" s="62">
        <v>43.21</v>
      </c>
      <c r="G28" s="62" t="s">
        <v>9</v>
      </c>
      <c r="H28" s="62"/>
      <c r="I28" s="95">
        <v>4521612</v>
      </c>
      <c r="J28" s="117" t="s">
        <v>8</v>
      </c>
      <c r="K28" s="62" t="s">
        <v>22</v>
      </c>
      <c r="L28" s="62" t="s">
        <v>583</v>
      </c>
      <c r="M28" s="62" t="s">
        <v>18</v>
      </c>
      <c r="N28" s="92">
        <v>45372</v>
      </c>
      <c r="O28" s="117"/>
      <c r="P28" s="62" t="s">
        <v>1991</v>
      </c>
      <c r="Q28" s="76" t="s">
        <v>67</v>
      </c>
      <c r="R28" s="76"/>
      <c r="S28" s="117" t="s">
        <v>8</v>
      </c>
      <c r="T28" s="117" t="s">
        <v>20</v>
      </c>
      <c r="U28" s="114">
        <f>sept202122233738[[#This Row],[сумма]]-sept202122233738[[#This Row],[Цема м2 отделки]]*sept202122233738[[#This Row],[м2]]</f>
        <v>4521612</v>
      </c>
    </row>
    <row r="29" spans="1:22" s="61" customFormat="1">
      <c r="A29" s="62">
        <v>27</v>
      </c>
      <c r="B29" s="74">
        <v>30203</v>
      </c>
      <c r="C29" s="62" t="s">
        <v>13</v>
      </c>
      <c r="D29" s="75">
        <v>44</v>
      </c>
      <c r="E29" s="62">
        <v>1</v>
      </c>
      <c r="F29" s="62">
        <v>37.729999999999997</v>
      </c>
      <c r="G29" s="62" t="s">
        <v>9</v>
      </c>
      <c r="H29" s="62"/>
      <c r="I29" s="95">
        <v>4170212</v>
      </c>
      <c r="J29" s="117" t="s">
        <v>8</v>
      </c>
      <c r="K29" s="62" t="s">
        <v>22</v>
      </c>
      <c r="L29" s="62" t="s">
        <v>583</v>
      </c>
      <c r="M29" s="62" t="s">
        <v>18</v>
      </c>
      <c r="N29" s="92">
        <v>45367</v>
      </c>
      <c r="O29" s="117"/>
      <c r="P29" s="62" t="s">
        <v>1992</v>
      </c>
      <c r="Q29" s="113" t="s">
        <v>67</v>
      </c>
      <c r="R29" s="113" t="s">
        <v>1993</v>
      </c>
      <c r="S29" s="117" t="s">
        <v>8</v>
      </c>
      <c r="T29" s="117" t="s">
        <v>8</v>
      </c>
      <c r="U29" s="114">
        <f>sept202122233738[[#This Row],[сумма]]-sept202122233738[[#This Row],[Цема м2 отделки]]*sept202122233738[[#This Row],[м2]]</f>
        <v>4170212</v>
      </c>
    </row>
    <row r="30" spans="1:22" s="61" customFormat="1">
      <c r="A30" s="62">
        <v>28</v>
      </c>
      <c r="B30" s="75">
        <v>30528</v>
      </c>
      <c r="C30" s="62" t="s">
        <v>13</v>
      </c>
      <c r="D30" s="75">
        <v>45</v>
      </c>
      <c r="E30" s="62">
        <v>2</v>
      </c>
      <c r="F30" s="62">
        <v>59.09</v>
      </c>
      <c r="G30" s="62" t="s">
        <v>21</v>
      </c>
      <c r="H30" s="62">
        <v>7000</v>
      </c>
      <c r="I30" s="95">
        <v>5798585</v>
      </c>
      <c r="J30" s="117" t="s">
        <v>20</v>
      </c>
      <c r="K30" s="62" t="s">
        <v>10</v>
      </c>
      <c r="L30" s="62" t="s">
        <v>514</v>
      </c>
      <c r="M30" s="62" t="s">
        <v>18</v>
      </c>
      <c r="N30" s="92">
        <v>45377</v>
      </c>
      <c r="O30" s="117"/>
      <c r="P30" s="62" t="s">
        <v>1994</v>
      </c>
      <c r="Q30" s="76" t="s">
        <v>67</v>
      </c>
      <c r="R30" s="76"/>
      <c r="S30" s="117" t="s">
        <v>20</v>
      </c>
      <c r="T30" s="117" t="s">
        <v>20</v>
      </c>
      <c r="U30" s="114">
        <f>sept202122233738[[#This Row],[сумма]]-sept202122233738[[#This Row],[Цема м2 отделки]]*sept202122233738[[#This Row],[м2]]</f>
        <v>5384955</v>
      </c>
    </row>
    <row r="31" spans="1:22" s="61" customFormat="1">
      <c r="A31" s="62">
        <v>29</v>
      </c>
      <c r="B31" s="75">
        <v>30526</v>
      </c>
      <c r="C31" s="62" t="s">
        <v>7</v>
      </c>
      <c r="D31" s="75">
        <v>453</v>
      </c>
      <c r="E31" s="62">
        <v>2</v>
      </c>
      <c r="F31" s="62">
        <v>67.489999999999995</v>
      </c>
      <c r="G31" s="62" t="s">
        <v>15</v>
      </c>
      <c r="H31" s="62">
        <v>7500</v>
      </c>
      <c r="I31" s="95">
        <v>7022635</v>
      </c>
      <c r="J31" s="117" t="s">
        <v>14</v>
      </c>
      <c r="K31" s="62" t="s">
        <v>16</v>
      </c>
      <c r="L31" s="62" t="s">
        <v>583</v>
      </c>
      <c r="M31" s="62" t="s">
        <v>18</v>
      </c>
      <c r="N31" s="92">
        <v>45366</v>
      </c>
      <c r="O31" s="117"/>
      <c r="P31" s="62" t="s">
        <v>1995</v>
      </c>
      <c r="Q31" s="113" t="s">
        <v>67</v>
      </c>
      <c r="R31" s="113" t="s">
        <v>1977</v>
      </c>
      <c r="S31" s="117" t="s">
        <v>14</v>
      </c>
      <c r="T31" s="117" t="s">
        <v>14</v>
      </c>
      <c r="U31" s="114">
        <f>sept202122233738[[#This Row],[сумма]]-sept202122233738[[#This Row],[Цема м2 отделки]]*sept202122233738[[#This Row],[м2]]</f>
        <v>6516460</v>
      </c>
    </row>
    <row r="32" spans="1:22" s="61" customFormat="1">
      <c r="A32" s="62">
        <v>30</v>
      </c>
      <c r="B32" s="75">
        <v>30549</v>
      </c>
      <c r="C32" s="62" t="s">
        <v>13</v>
      </c>
      <c r="D32" s="75">
        <v>317</v>
      </c>
      <c r="E32" s="349">
        <v>1</v>
      </c>
      <c r="F32" s="75">
        <v>37.81</v>
      </c>
      <c r="G32" s="62" t="s">
        <v>9</v>
      </c>
      <c r="H32" s="348"/>
      <c r="I32" s="95">
        <v>4298212</v>
      </c>
      <c r="J32" s="62" t="s">
        <v>14</v>
      </c>
      <c r="K32" s="62" t="s">
        <v>22</v>
      </c>
      <c r="L32" s="62" t="s">
        <v>583</v>
      </c>
      <c r="M32" s="62" t="s">
        <v>18</v>
      </c>
      <c r="N32" s="92">
        <v>45372</v>
      </c>
      <c r="O32" s="62"/>
      <c r="P32" s="62" t="s">
        <v>1996</v>
      </c>
      <c r="Q32" s="113" t="s">
        <v>67</v>
      </c>
      <c r="R32" s="113"/>
      <c r="S32" s="62" t="s">
        <v>14</v>
      </c>
      <c r="T32" s="62" t="s">
        <v>14</v>
      </c>
      <c r="U32" s="114">
        <f>sept202122233738[[#This Row],[сумма]]-sept202122233738[[#This Row],[Цема м2 отделки]]*sept202122233738[[#This Row],[м2]]</f>
        <v>4298212</v>
      </c>
    </row>
    <row r="33" spans="1:22" s="61" customFormat="1">
      <c r="A33" s="62">
        <v>31</v>
      </c>
      <c r="B33" s="75">
        <v>30464</v>
      </c>
      <c r="C33" s="62" t="s">
        <v>7</v>
      </c>
      <c r="D33" s="75">
        <v>2</v>
      </c>
      <c r="E33" s="62">
        <v>2</v>
      </c>
      <c r="F33" s="62">
        <v>61.76</v>
      </c>
      <c r="G33" s="62" t="s">
        <v>15</v>
      </c>
      <c r="H33" s="62">
        <v>7500</v>
      </c>
      <c r="I33" s="351">
        <v>6480512</v>
      </c>
      <c r="J33" s="117" t="s">
        <v>8</v>
      </c>
      <c r="K33" s="62" t="s">
        <v>22</v>
      </c>
      <c r="L33" s="62" t="s">
        <v>583</v>
      </c>
      <c r="M33" s="62" t="s">
        <v>18</v>
      </c>
      <c r="N33" s="92">
        <v>45370</v>
      </c>
      <c r="O33" s="117"/>
      <c r="P33" s="62" t="s">
        <v>1997</v>
      </c>
      <c r="Q33" s="113" t="s">
        <v>67</v>
      </c>
      <c r="R33" s="113" t="s">
        <v>1777</v>
      </c>
      <c r="S33" s="117" t="s">
        <v>8</v>
      </c>
      <c r="T33" s="117" t="s">
        <v>8</v>
      </c>
      <c r="U33" s="114">
        <f>sept202122233738[[#This Row],[сумма]]-sept202122233738[[#This Row],[Цема м2 отделки]]*sept202122233738[[#This Row],[м2]]</f>
        <v>6017312</v>
      </c>
    </row>
    <row r="34" spans="1:22" s="61" customFormat="1">
      <c r="A34" s="65"/>
      <c r="B34" s="79"/>
      <c r="C34" s="65"/>
      <c r="D34" s="79"/>
      <c r="E34" s="65"/>
      <c r="F34" s="65"/>
      <c r="G34" s="65"/>
      <c r="H34" s="65"/>
      <c r="I34" s="93"/>
      <c r="J34" s="80"/>
      <c r="K34" s="65"/>
      <c r="L34" s="107"/>
      <c r="M34" s="65"/>
      <c r="N34" s="98"/>
      <c r="O34" s="80"/>
      <c r="P34" s="65"/>
      <c r="Q34" s="118"/>
      <c r="R34" s="86"/>
      <c r="S34" s="80"/>
      <c r="T34" s="80"/>
      <c r="U34" s="115">
        <f>sept202122233738[[#This Row],[сумма]]-sept202122233738[[#This Row],[Цема м2 отделки]]*sept202122233738[[#This Row],[м2]]</f>
        <v>0</v>
      </c>
      <c r="V34" s="66"/>
    </row>
    <row r="35" spans="1:22" s="61" customFormat="1">
      <c r="A35" s="62">
        <v>33</v>
      </c>
      <c r="B35" s="81">
        <v>30488</v>
      </c>
      <c r="C35" s="62" t="s">
        <v>7</v>
      </c>
      <c r="D35" s="62">
        <v>18</v>
      </c>
      <c r="E35" s="62">
        <v>2</v>
      </c>
      <c r="F35" s="75">
        <v>61.76</v>
      </c>
      <c r="G35" s="62" t="s">
        <v>25</v>
      </c>
      <c r="H35" s="62">
        <v>22000</v>
      </c>
      <c r="I35" s="95">
        <v>7311707</v>
      </c>
      <c r="J35" s="62" t="s">
        <v>20</v>
      </c>
      <c r="K35" s="62" t="s">
        <v>22</v>
      </c>
      <c r="L35" s="62" t="s">
        <v>583</v>
      </c>
      <c r="M35" s="62" t="s">
        <v>18</v>
      </c>
      <c r="N35" s="92">
        <v>45378</v>
      </c>
      <c r="O35" s="117"/>
      <c r="P35" s="62" t="s">
        <v>1998</v>
      </c>
      <c r="Q35" s="76" t="s">
        <v>67</v>
      </c>
      <c r="R35" s="76"/>
      <c r="S35" s="117" t="s">
        <v>20</v>
      </c>
      <c r="T35" s="117" t="s">
        <v>20</v>
      </c>
      <c r="U35" s="114">
        <f>sept202122233738[[#This Row],[сумма]]-sept202122233738[[#This Row],[Цема м2 отделки]]*sept202122233738[[#This Row],[м2]]</f>
        <v>5952987</v>
      </c>
    </row>
    <row r="36" spans="1:22" s="61" customFormat="1">
      <c r="A36" s="62">
        <v>34</v>
      </c>
      <c r="B36" s="75">
        <v>30398</v>
      </c>
      <c r="C36" s="62" t="s">
        <v>13</v>
      </c>
      <c r="D36" s="75">
        <v>169</v>
      </c>
      <c r="E36" s="62">
        <v>2</v>
      </c>
      <c r="F36" s="62">
        <v>57.6</v>
      </c>
      <c r="G36" s="62" t="s">
        <v>21</v>
      </c>
      <c r="H36" s="62">
        <v>7000</v>
      </c>
      <c r="I36" s="95">
        <v>5450498</v>
      </c>
      <c r="J36" s="117" t="s">
        <v>20</v>
      </c>
      <c r="K36" s="62" t="s">
        <v>10</v>
      </c>
      <c r="L36" s="62" t="s">
        <v>514</v>
      </c>
      <c r="M36" s="62" t="s">
        <v>18</v>
      </c>
      <c r="N36" s="92">
        <v>45372</v>
      </c>
      <c r="O36" s="117"/>
      <c r="P36" s="62" t="s">
        <v>1999</v>
      </c>
      <c r="Q36" s="113" t="s">
        <v>67</v>
      </c>
      <c r="R36" s="113"/>
      <c r="S36" s="117" t="s">
        <v>20</v>
      </c>
      <c r="T36" s="117" t="s">
        <v>20</v>
      </c>
      <c r="U36" s="114">
        <f>sept202122233738[[#This Row],[сумма]]-sept202122233738[[#This Row],[Цема м2 отделки]]*sept202122233738[[#This Row],[м2]]</f>
        <v>5047298</v>
      </c>
    </row>
    <row r="37" spans="1:22" s="61" customFormat="1">
      <c r="A37" s="62">
        <v>35</v>
      </c>
      <c r="B37" s="75">
        <v>30704</v>
      </c>
      <c r="C37" s="62" t="s">
        <v>13</v>
      </c>
      <c r="D37" s="75">
        <v>548</v>
      </c>
      <c r="E37" s="62">
        <v>1</v>
      </c>
      <c r="F37" s="62">
        <v>39.69</v>
      </c>
      <c r="G37" s="62" t="s">
        <v>9</v>
      </c>
      <c r="H37" s="62"/>
      <c r="I37" s="95">
        <v>4689212</v>
      </c>
      <c r="J37" s="117" t="s">
        <v>31</v>
      </c>
      <c r="K37" s="62" t="s">
        <v>16</v>
      </c>
      <c r="L37" s="62" t="s">
        <v>583</v>
      </c>
      <c r="M37" s="62" t="s">
        <v>18</v>
      </c>
      <c r="N37" s="92">
        <v>45375</v>
      </c>
      <c r="O37" s="117"/>
      <c r="P37" s="62" t="s">
        <v>2000</v>
      </c>
      <c r="Q37" s="113" t="s">
        <v>67</v>
      </c>
      <c r="R37" s="113"/>
      <c r="S37" s="117" t="s">
        <v>32</v>
      </c>
      <c r="T37" s="117" t="s">
        <v>20</v>
      </c>
      <c r="U37" s="114">
        <f>sept202122233738[[#This Row],[сумма]]-sept202122233738[[#This Row],[Цема м2 отделки]]*sept202122233738[[#This Row],[м2]]</f>
        <v>4689212</v>
      </c>
    </row>
    <row r="38" spans="1:22" s="61" customFormat="1">
      <c r="A38" s="62">
        <v>36</v>
      </c>
      <c r="B38" s="75">
        <v>30738</v>
      </c>
      <c r="C38" s="62" t="s">
        <v>13</v>
      </c>
      <c r="D38" s="75">
        <v>128</v>
      </c>
      <c r="E38" s="62">
        <v>2</v>
      </c>
      <c r="F38" s="62">
        <v>58.31</v>
      </c>
      <c r="G38" s="62" t="s">
        <v>21</v>
      </c>
      <c r="H38" s="62">
        <v>7000</v>
      </c>
      <c r="I38" s="95">
        <v>5823882</v>
      </c>
      <c r="J38" s="117" t="s">
        <v>14</v>
      </c>
      <c r="K38" s="62" t="s">
        <v>16</v>
      </c>
      <c r="L38" s="62" t="s">
        <v>583</v>
      </c>
      <c r="M38" s="62" t="s">
        <v>18</v>
      </c>
      <c r="N38" s="92">
        <v>45372</v>
      </c>
      <c r="O38" s="117"/>
      <c r="P38" s="62" t="s">
        <v>2001</v>
      </c>
      <c r="Q38" s="113" t="s">
        <v>67</v>
      </c>
      <c r="R38" s="113" t="s">
        <v>1912</v>
      </c>
      <c r="S38" s="117" t="s">
        <v>14</v>
      </c>
      <c r="T38" s="117" t="s">
        <v>14</v>
      </c>
      <c r="U38" s="114">
        <f>sept202122233738[[#This Row],[сумма]]-sept202122233738[[#This Row],[Цема м2 отделки]]*sept202122233738[[#This Row],[м2]]</f>
        <v>5415712</v>
      </c>
    </row>
    <row r="39" spans="1:22" s="61" customFormat="1">
      <c r="A39" s="62">
        <v>37</v>
      </c>
      <c r="B39" s="75">
        <v>30663</v>
      </c>
      <c r="C39" s="62" t="s">
        <v>13</v>
      </c>
      <c r="D39" s="75">
        <v>70</v>
      </c>
      <c r="E39" s="62">
        <v>1</v>
      </c>
      <c r="F39" s="62">
        <v>34.39</v>
      </c>
      <c r="G39" s="62" t="s">
        <v>25</v>
      </c>
      <c r="H39" s="62">
        <v>20000</v>
      </c>
      <c r="I39" s="95">
        <v>4622312</v>
      </c>
      <c r="J39" s="117" t="s">
        <v>14</v>
      </c>
      <c r="K39" s="62" t="s">
        <v>22</v>
      </c>
      <c r="L39" s="62" t="s">
        <v>583</v>
      </c>
      <c r="M39" s="431" t="s">
        <v>18</v>
      </c>
      <c r="N39" s="92">
        <v>45377</v>
      </c>
      <c r="O39" s="117"/>
      <c r="P39" s="62" t="s">
        <v>453</v>
      </c>
      <c r="Q39" s="76" t="s">
        <v>67</v>
      </c>
      <c r="R39" s="113" t="s">
        <v>1912</v>
      </c>
      <c r="S39" s="117" t="s">
        <v>14</v>
      </c>
      <c r="T39" s="117" t="s">
        <v>14</v>
      </c>
      <c r="U39" s="114">
        <f>sept202122233738[[#This Row],[сумма]]-sept202122233738[[#This Row],[Цема м2 отделки]]*sept202122233738[[#This Row],[м2]]</f>
        <v>3934512</v>
      </c>
    </row>
    <row r="40" spans="1:22" s="61" customFormat="1">
      <c r="A40" s="62">
        <v>38</v>
      </c>
      <c r="B40" s="74">
        <v>30645</v>
      </c>
      <c r="C40" s="62" t="s">
        <v>7</v>
      </c>
      <c r="D40" s="75">
        <v>353</v>
      </c>
      <c r="E40" s="62">
        <v>0</v>
      </c>
      <c r="F40" s="62">
        <v>29.35</v>
      </c>
      <c r="G40" s="62" t="s">
        <v>9</v>
      </c>
      <c r="H40" s="62"/>
      <c r="I40" s="95">
        <v>3373312</v>
      </c>
      <c r="J40" s="117" t="s">
        <v>20</v>
      </c>
      <c r="K40" s="62" t="s">
        <v>22</v>
      </c>
      <c r="L40" s="62" t="s">
        <v>583</v>
      </c>
      <c r="M40" s="62" t="s">
        <v>18</v>
      </c>
      <c r="N40" s="92">
        <v>45379</v>
      </c>
      <c r="O40" s="117"/>
      <c r="P40" s="62" t="s">
        <v>2002</v>
      </c>
      <c r="Q40" s="113" t="s">
        <v>67</v>
      </c>
      <c r="R40" s="113"/>
      <c r="S40" s="117" t="s">
        <v>20</v>
      </c>
      <c r="T40" s="117" t="s">
        <v>20</v>
      </c>
      <c r="U40" s="114">
        <f>sept202122233738[[#This Row],[сумма]]-sept202122233738[[#This Row],[Цема м2 отделки]]*sept202122233738[[#This Row],[м2]]</f>
        <v>3373312</v>
      </c>
    </row>
    <row r="41" spans="1:22" s="61" customFormat="1">
      <c r="A41" s="65">
        <v>39</v>
      </c>
      <c r="B41" s="79">
        <v>30792</v>
      </c>
      <c r="C41" s="65" t="s">
        <v>13</v>
      </c>
      <c r="D41" s="79">
        <v>218</v>
      </c>
      <c r="E41" s="65">
        <v>2</v>
      </c>
      <c r="F41" s="65"/>
      <c r="G41" s="65"/>
      <c r="H41" s="65"/>
      <c r="I41" s="93"/>
      <c r="J41" s="65"/>
      <c r="K41" s="65"/>
      <c r="L41" s="65"/>
      <c r="M41" s="65"/>
      <c r="N41" s="98"/>
      <c r="O41" s="80"/>
      <c r="P41" s="86"/>
      <c r="Q41" s="118"/>
      <c r="R41" s="118"/>
      <c r="S41" s="65"/>
      <c r="T41" s="65"/>
      <c r="U41" s="115">
        <f>sept202122233738[[#This Row],[сумма]]-sept202122233738[[#This Row],[Цема м2 отделки]]*sept202122233738[[#This Row],[м2]]</f>
        <v>0</v>
      </c>
      <c r="V41" s="66"/>
    </row>
    <row r="42" spans="1:22" s="61" customFormat="1">
      <c r="A42" s="65"/>
      <c r="B42" s="79"/>
      <c r="C42" s="65"/>
      <c r="D42" s="79"/>
      <c r="E42" s="65"/>
      <c r="F42" s="65"/>
      <c r="G42" s="65"/>
      <c r="H42" s="65"/>
      <c r="I42" s="93"/>
      <c r="J42" s="80"/>
      <c r="K42" s="65"/>
      <c r="L42" s="65"/>
      <c r="M42" s="65"/>
      <c r="N42" s="98"/>
      <c r="O42" s="80"/>
      <c r="P42" s="65"/>
      <c r="Q42" s="118"/>
      <c r="R42" s="118"/>
      <c r="S42" s="80"/>
      <c r="T42" s="80"/>
      <c r="U42" s="115">
        <f>sept202122233738[[#This Row],[сумма]]-sept202122233738[[#This Row],[Цема м2 отделки]]*sept202122233738[[#This Row],[м2]]</f>
        <v>0</v>
      </c>
      <c r="V42" s="66"/>
    </row>
    <row r="43" spans="1:22" s="61" customFormat="1">
      <c r="A43" s="65"/>
      <c r="B43" s="78"/>
      <c r="C43" s="65"/>
      <c r="D43" s="79"/>
      <c r="E43" s="65"/>
      <c r="F43" s="65"/>
      <c r="G43" s="89"/>
      <c r="H43" s="89"/>
      <c r="I43" s="93"/>
      <c r="J43" s="80"/>
      <c r="K43" s="65"/>
      <c r="L43" s="65"/>
      <c r="M43" s="65"/>
      <c r="N43" s="98"/>
      <c r="O43" s="80"/>
      <c r="P43" s="65"/>
      <c r="Q43" s="118"/>
      <c r="R43" s="118"/>
      <c r="S43" s="80"/>
      <c r="T43" s="80"/>
      <c r="U43" s="115">
        <f>sept202122233738[[#This Row],[сумма]]-sept202122233738[[#This Row],[Цема м2 отделки]]*sept202122233738[[#This Row],[м2]]</f>
        <v>0</v>
      </c>
      <c r="V43" s="66"/>
    </row>
    <row r="44" spans="1:22" s="61" customFormat="1">
      <c r="A44" s="65"/>
      <c r="B44" s="79"/>
      <c r="C44" s="65"/>
      <c r="D44" s="79"/>
      <c r="E44" s="65"/>
      <c r="F44" s="65"/>
      <c r="G44" s="65"/>
      <c r="H44" s="65"/>
      <c r="I44" s="93"/>
      <c r="J44" s="80"/>
      <c r="K44" s="65"/>
      <c r="L44" s="65"/>
      <c r="M44" s="65"/>
      <c r="N44" s="98"/>
      <c r="O44" s="65"/>
      <c r="P44" s="65"/>
      <c r="Q44" s="118"/>
      <c r="R44" s="118"/>
      <c r="S44" s="80"/>
      <c r="T44" s="80"/>
      <c r="U44" s="115">
        <f>sept202122233738[[#This Row],[сумма]]-sept202122233738[[#This Row],[Цема м2 отделки]]*sept202122233738[[#This Row],[м2]]</f>
        <v>0</v>
      </c>
      <c r="V44" s="66"/>
    </row>
    <row r="45" spans="1:22" s="61" customFormat="1">
      <c r="A45" s="65"/>
      <c r="B45" s="79"/>
      <c r="C45" s="65"/>
      <c r="D45" s="79"/>
      <c r="E45" s="65"/>
      <c r="F45" s="65"/>
      <c r="G45" s="65"/>
      <c r="H45" s="65"/>
      <c r="I45" s="93"/>
      <c r="J45" s="80"/>
      <c r="K45" s="65"/>
      <c r="L45" s="65"/>
      <c r="M45" s="65"/>
      <c r="N45" s="98"/>
      <c r="O45" s="65"/>
      <c r="P45" s="65"/>
      <c r="Q45" s="118"/>
      <c r="R45" s="118"/>
      <c r="S45" s="80"/>
      <c r="T45" s="80"/>
      <c r="U45" s="115">
        <f>sept202122233738[[#This Row],[сумма]]-sept202122233738[[#This Row],[Цема м2 отделки]]*sept202122233738[[#This Row],[м2]]</f>
        <v>0</v>
      </c>
      <c r="V45" s="66"/>
    </row>
    <row r="46" spans="1:22" s="61" customFormat="1">
      <c r="A46" s="65"/>
      <c r="B46" s="78"/>
      <c r="C46" s="65"/>
      <c r="D46" s="79"/>
      <c r="E46" s="65"/>
      <c r="F46" s="65"/>
      <c r="G46" s="65"/>
      <c r="H46" s="77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sept202122233738[[#This Row],[сумма]]-sept202122233738[[#This Row],[Цема м2 отделки]]*sept202122233738[[#This Row],[м2]]</f>
        <v>0</v>
      </c>
      <c r="V46" s="66"/>
    </row>
    <row r="47" spans="1:22" s="61" customFormat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sept202122233738[[#This Row],[сумма]]-sept202122233738[[#This Row],[Цема м2 отделки]]*sept202122233738[[#This Row],[м2]]</f>
        <v>0</v>
      </c>
      <c r="V47" s="66"/>
    </row>
    <row r="48" spans="1:22" s="61" customFormat="1">
      <c r="A48" s="65"/>
      <c r="B48" s="78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118"/>
      <c r="R48" s="118"/>
      <c r="S48" s="80"/>
      <c r="T48" s="80"/>
      <c r="U48" s="115">
        <f>sept202122233738[[#This Row],[сумма]]-sept202122233738[[#This Row],[Цема м2 отделки]]*sept202122233738[[#This Row],[м2]]</f>
        <v>0</v>
      </c>
      <c r="V48" s="66"/>
    </row>
    <row r="49" spans="1:22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86"/>
      <c r="Q49" s="86"/>
      <c r="R49" s="86"/>
      <c r="S49" s="80"/>
      <c r="T49" s="80"/>
      <c r="U49" s="115">
        <f>sept202122233738[[#This Row],[сумма]]-sept202122233738[[#This Row],[Цема м2 отделки]]*sept202122233738[[#This Row],[м2]]</f>
        <v>0</v>
      </c>
    </row>
    <row r="50" spans="1:22" s="368" customFormat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sept202122233738[[#This Row],[сумма]]-sept202122233738[[#This Row],[Цема м2 отделки]]*sept202122233738[[#This Row],[м2]]</f>
        <v>0</v>
      </c>
      <c r="V50" s="66"/>
    </row>
    <row r="51" spans="1:22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sept202122233738[[#This Row],[сумма]]-sept202122233738[[#This Row],[Цема м2 отделки]]*sept202122233738[[#This Row],[м2]]</f>
        <v>0</v>
      </c>
    </row>
    <row r="52" spans="1:22" s="61" customFormat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118"/>
      <c r="R52" s="86"/>
      <c r="S52" s="80"/>
      <c r="T52" s="80"/>
      <c r="U52" s="115">
        <f>sept202122233738[[#This Row],[сумма]]-sept202122233738[[#This Row],[Цема м2 отделки]]*sept202122233738[[#This Row],[м2]]</f>
        <v>0</v>
      </c>
      <c r="V52" s="66"/>
    </row>
    <row r="53" spans="1:22" s="61" customFormat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sept202122233738[[#This Row],[сумма]]-sept202122233738[[#This Row],[Цема м2 отделки]]*sept202122233738[[#This Row],[м2]]</f>
        <v>0</v>
      </c>
      <c r="V53" s="66"/>
    </row>
    <row r="54" spans="1:22" s="368" customFormat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sept202122233738[[#This Row],[сумма]]-sept202122233738[[#This Row],[Цема м2 отделки]]*sept202122233738[[#This Row],[м2]]</f>
        <v>0</v>
      </c>
      <c r="V54" s="66"/>
    </row>
    <row r="55" spans="1:22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sept202122233738[[#This Row],[сумма]]-sept202122233738[[#This Row],[Цема м2 отделки]]*sept202122233738[[#This Row],[м2]]</f>
        <v>0</v>
      </c>
    </row>
    <row r="56" spans="1:22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sept202122233738[[#This Row],[сумма]]-sept202122233738[[#This Row],[Цема м2 отделки]]*sept202122233738[[#This Row],[м2]]</f>
        <v>0</v>
      </c>
    </row>
    <row r="57" spans="1:22" s="368" customFormat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sept202122233738[[#This Row],[сумма]]-sept202122233738[[#This Row],[Цема м2 отделки]]*sept202122233738[[#This Row],[м2]]</f>
        <v>0</v>
      </c>
      <c r="V57" s="66"/>
    </row>
    <row r="58" spans="1:22">
      <c r="A58" s="65"/>
      <c r="B58" s="78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sept202122233738[[#This Row],[сумма]]-sept202122233738[[#This Row],[Цема м2 отделки]]*sept202122233738[[#This Row],[м2]]</f>
        <v>0</v>
      </c>
    </row>
    <row r="59" spans="1:22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sept202122233738[[#This Row],[сумма]]-sept202122233738[[#This Row],[Цема м2 отделки]]*sept202122233738[[#This Row],[м2]]</f>
        <v>0</v>
      </c>
    </row>
    <row r="60" spans="1:22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sept202122233738[[#This Row],[сумма]]-sept202122233738[[#This Row],[Цема м2 отделки]]*sept202122233738[[#This Row],[м2]]</f>
        <v>0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sept202122233738[[#This Row],[сумма]]-sept202122233738[[#This Row],[Цема м2 отделки]]*sept202122233738[[#This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sept202122233738[[#This Row],[сумма]]-sept202122233738[[#This Row],[Цема м2 отделки]]*sept202122233738[[#This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sept202122233738[[#This Row],[сумма]]-sept202122233738[[#This Row],[Цема м2 отделки]]*sept202122233738[[#This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sept202122233738[[#This Row],[сумма]]-sept202122233738[[#This Row],[Цема м2 отделки]]*sept202122233738[[#This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sept202122233738[[#This Row],[сумма]]-sept202122233738[[#This Row],[Цема м2 отделки]]*sept202122233738[[#This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sept202122233738[[#This Row],[сумма]]-sept202122233738[[#This Row],[Цема м2 отделки]]*sept202122233738[[#This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sept202122233738[[#This Row],[сумма]]-sept202122233738[[#This Row],[Цема м2 отделки]]*sept202122233738[[#This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sept202122233738[[#This Row],[сумма]]-sept202122233738[[#This Row],[Цема м2 отделки]]*sept202122233738[[#This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sept202122233738[[#This Row],[сумма]]-sept202122233738[[#This Row],[Цема м2 отделки]]*sept202122233738[[#This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sept202122233738[[#This Row],[сумма]]-sept202122233738[[#This Row],[Цема м2 отделки]]*sept202122233738[[#This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sept202122233738[[#This Row],[сумма]]-sept202122233738[[#This Row],[Цема м2 отделки]]*sept202122233738[[#This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sept202122233738[[#This Row],[сумма]]-sept202122233738[[#This Row],[Цема м2 отделки]]*sept202122233738[[#This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sept202122233738[[#This Row],[сумма]]-sept202122233738[[#This Row],[Цема м2 отделки]]*sept202122233738[[#This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sept202122233738[[#This Row],[сумма]]-sept202122233738[[#This Row],[Цема м2 отделки]]*sept202122233738[[#This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sept202122233738[[#This Row],[сумма]]-sept202122233738[[#This Row],[Цема м2 отделки]]*sept202122233738[[#This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sept202122233738[[#This Row],[сумма]]-sept202122233738[[#This Row],[Цема м2 отделки]]*sept202122233738[[#This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sept202122233738[[#This Row],[сумма]]-sept202122233738[[#This Row],[Цема м2 отделки]]*sept202122233738[[#This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sept202122233738[[#This Row],[сумма]]-sept202122233738[[#This Row],[Цема м2 отделки]]*sept202122233738[[#This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sept202122233738[[#This Row],[сумма]]-sept202122233738[[#This Row],[Цема м2 отделки]]*sept202122233738[[#This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sept202122233738[[#This Row],[сумма]]-sept202122233738[[#This Row],[Цема м2 отделки]]*sept202122233738[[#This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sept202122233738[[#This Row],[сумма]]-sept202122233738[[#This Row],[Цема м2 отделки]]*sept202122233738[[#This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sept202122233738[[#This Row],[сумма]]-sept202122233738[[#This Row],[Цема м2 отделки]]*sept202122233738[[#This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sept202122233738[[#This Row],[сумма]]-sept202122233738[[#This Row],[Цема м2 отделки]]*sept202122233738[[#This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sept202122233738[[#This Row],[сумма]]-sept202122233738[[#This Row],[Цема м2 отделки]]*sept202122233738[[#This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sept202122233738[[#This Row],[сумма]]-sept202122233738[[#This Row],[Цема м2 отделки]]*sept202122233738[[#This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sept202122233738[[#This Row],[сумма]]-sept202122233738[[#This Row],[Цема м2 отделки]]*sept202122233738[[#This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sept202122233738[[#This Row],[сумма]]-sept202122233738[[#This Row],[Цема м2 отделки]]*sept202122233738[[#This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sept202122233738[[#This Row],[сумма]]-sept202122233738[[#This Row],[Цема м2 отделки]]*sept202122233738[[#This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sept202122233738[[#This Row],[сумма]]-sept202122233738[[#This Row],[Цема м2 отделки]]*sept202122233738[[#This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sept202122233738[[#This Row],[сумма]]-sept202122233738[[#This Row],[Цема м2 отделки]]*sept202122233738[[#This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sept202122233738[[#This Row],[сумма]]-sept202122233738[[#This Row],[Цема м2 отделки]]*sept202122233738[[#This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sept202122233738[[#This Row],[сумма]]-sept202122233738[[#This Row],[Цема м2 отделки]]*sept202122233738[[#This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sept202122233738[[#This Row],[сумма]]-sept202122233738[[#This Row],[Цема м2 отделки]]*sept202122233738[[#This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sept202122233738[[#This Row],[сумма]]-sept202122233738[[#This Row],[Цема м2 отделки]]*sept202122233738[[#This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sept202122233738[[#This Row],[сумма]]-sept202122233738[[#This Row],[Цема м2 отделки]]*sept202122233738[[#This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sept202122233738[[#This Row],[сумма]]-sept202122233738[[#This Row],[Цема м2 отделки]]*sept202122233738[[#This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sept202122233738[[#This Row],[сумма]]-sept202122233738[[#This Row],[Цема м2 отделки]]*sept202122233738[[#This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sept202122233738[[#This Row],[сумма]]-sept202122233738[[#This Row],[Цема м2 отделки]]*sept202122233738[[#This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sept202122233738[[#This Row],[сумма]]-sept202122233738[[#This Row],[Цема м2 отделки]]*sept202122233738[[#This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sept202122233738[[#This Row],[сумма]]-sept202122233738[[#This Row],[Цема м2 отделки]]*sept202122233738[[#This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sept202122233738[[#This Row],[сумма]]-sept202122233738[[#This Row],[Цема м2 отделки]]*sept202122233738[[#This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sept202122233738[[#This Row],[сумма]]-sept202122233738[[#This Row],[Цема м2 отделки]]*sept202122233738[[#This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sept202122233738[[#This Row],[сумма]]-sept202122233738[[#This Row],[Цема м2 отделки]]*sept202122233738[[#This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sept202122233738[[#This Row],[сумма]]-sept202122233738[[#This Row],[Цема м2 отделки]]*sept202122233738[[#This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sept202122233738[[#This Row],[сумма]]-sept202122233738[[#This Row],[Цема м2 отделки]]*sept202122233738[[#This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sept202122233738[[#This Row],[сумма]]-sept202122233738[[#This Row],[Цема м2 отделки]]*sept202122233738[[#This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sept202122233738[[#This Row],[сумма]]-sept202122233738[[#This Row],[Цема м2 отделки]]*sept202122233738[[#This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sept202122233738[[#This Row],[сумма]]-sept202122233738[[#This Row],[Цема м2 отделки]]*sept202122233738[[#This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sept202122233738[[#This Row],[сумма]]-sept202122233738[[#This Row],[Цема м2 отделки]]*sept202122233738[[#This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sept202122233738[[#This Row],[сумма]]-sept202122233738[[#This Row],[Цема м2 отделки]]*sept202122233738[[#This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T116" s="66"/>
    </row>
    <row r="117" spans="1:21" s="65" customFormat="1" ht="22.5" customHeight="1">
      <c r="A117" s="135" t="s">
        <v>1</v>
      </c>
      <c r="B117" s="135" t="s">
        <v>100</v>
      </c>
      <c r="C117" s="136" t="s">
        <v>97</v>
      </c>
      <c r="D117" s="137" t="s">
        <v>494</v>
      </c>
      <c r="E117" s="138" t="s">
        <v>495</v>
      </c>
      <c r="F117" s="139" t="s">
        <v>496</v>
      </c>
      <c r="G117" s="140" t="s">
        <v>101</v>
      </c>
      <c r="H117" s="141" t="s">
        <v>98</v>
      </c>
      <c r="I117" s="141" t="s">
        <v>96</v>
      </c>
      <c r="J117" s="141" t="s">
        <v>715</v>
      </c>
      <c r="K117" s="216" t="s">
        <v>716</v>
      </c>
      <c r="L117" s="217">
        <v>0</v>
      </c>
      <c r="M117" s="218">
        <v>1</v>
      </c>
      <c r="N117" s="218">
        <v>2</v>
      </c>
      <c r="O117" s="218">
        <v>3</v>
      </c>
      <c r="P117" s="219" t="s">
        <v>1367</v>
      </c>
      <c r="T117" s="66"/>
    </row>
    <row r="118" spans="1:21" s="65" customFormat="1">
      <c r="A118" s="398" t="s">
        <v>1892</v>
      </c>
      <c r="B118" s="267">
        <f>IFERROR(VLOOKUP(A118,'ИПП (2)'!$B$32:$J$45,4,0),"")</f>
        <v>135</v>
      </c>
      <c r="C118" s="146">
        <f>IFERROR(VLOOKUP(A118,'ИПП (2)'!$B$32:$J$45,5,0),"")</f>
        <v>12610844</v>
      </c>
      <c r="D118" s="145">
        <f>SUMIFS(sept202122233738[м2],sept202122233738[МОП],$A118,sept202122233738[№ дома],$C$116,sept202122233738[Комнатность],"&lt;&gt;Офис")</f>
        <v>0</v>
      </c>
      <c r="E118" s="146">
        <f>SUMIFS(sept202122233738[Сумма без отделки],sept202122233738[МОП],$A118,sept202122233738[№ дома],$C$116,sept202122233738[Комнатность],"&lt;&gt;Офис")</f>
        <v>0</v>
      </c>
      <c r="F118" s="147">
        <f>COUNTIFS(sept202122233738[МОП],$A118,sept202122233738[№ дома],$C$116,sept202122233738[Комнатность],"&lt;&gt;Офис")</f>
        <v>0</v>
      </c>
      <c r="G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H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4">
        <f t="shared" ref="J118:K124" si="0">IFERROR(G118/B118,"")</f>
        <v>0</v>
      </c>
      <c r="K118" s="225">
        <f t="shared" si="0"/>
        <v>0</v>
      </c>
      <c r="L118" s="202">
        <f>COUNTIFS(РД[Тип кв],L$117,РД[МОП],$A118,РД[Дом],$C$116,РД[Дата подачи на регистрацию],"&lt;="&amp;$A$1,РД[Дата подачи на регистрацию],"&gt;="&amp;DATE(YEAR($A$1),MONTH($A$1),1))</f>
        <v>0</v>
      </c>
      <c r="M118" s="226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6">
        <f>COUNTIFS(РД[Тип кв],N$117,РД[МОП],$A118,РД[Дом],$C$116,РД[Дата подачи на регистрацию],"&lt;="&amp;$A$1,РД[Дата подачи на регистрацию],"&gt;="&amp;DATE(YEAR($A$1),MONTH($A$1),1))</f>
        <v>0</v>
      </c>
      <c r="O118" s="226">
        <f>COUNTIFS(РД[Тип кв],O$117,РД[МОП],$A118,РД[Дом],$C$116,РД[Дата подачи на регистрацию],"&lt;="&amp;$A$1,РД[Дата подачи на регистрацию],"&gt;="&amp;DATE(YEAR($A$1),MONTH($A$1),1))</f>
        <v>0</v>
      </c>
      <c r="P118" s="227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42" t="s">
        <v>8</v>
      </c>
      <c r="B119" s="267">
        <f>IFERROR(VLOOKUP(A119,'ИПП (2)'!$B$32:$J$45,4,0),"")</f>
        <v>263</v>
      </c>
      <c r="C119" s="146">
        <f>IFERROR(VLOOKUP(A119,'ИПП (2)'!$B$32:$J$45,5,0),"")</f>
        <v>24380964</v>
      </c>
      <c r="D119" s="145">
        <f>SUMIFS(sept202122233738[м2],sept202122233738[МОП],$A119,sept202122233738[№ дома],$C$116,sept202122233738[Комнатность],"&lt;&gt;Офис")</f>
        <v>373.08</v>
      </c>
      <c r="E119" s="146">
        <f>SUMIFS(sept202122233738[Сумма без отделки],sept202122233738[МОП],$A119,sept202122233738[№ дома],$C$116,sept202122233738[Комнатность],"&lt;&gt;Офис")</f>
        <v>35956113.259999998</v>
      </c>
      <c r="F119" s="147">
        <f>COUNTIFS(sept202122233738[МОП],$A119,sept202122233738[№ дома],$C$116,sept202122233738[Комнатность],"&lt;&gt;Офис")</f>
        <v>6</v>
      </c>
      <c r="G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373.08</v>
      </c>
      <c r="H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35865406</v>
      </c>
      <c r="I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6</v>
      </c>
      <c r="J119" s="221">
        <f t="shared" si="0"/>
        <v>1.4185551330798478</v>
      </c>
      <c r="K119" s="222">
        <f t="shared" si="0"/>
        <v>1.4710413419256105</v>
      </c>
      <c r="L119" s="148">
        <f>COUNTIFS(РД[Тип кв],L$117,РД[МОП],$A119,РД[Дом],$C$116,РД[Дата подачи на регистрацию],"&lt;="&amp;$A$1,РД[Дата подачи на регистрацию],"&gt;="&amp;DATE(YEAR($A$1),MONTH($A$1),1))</f>
        <v>0</v>
      </c>
      <c r="M119" s="220">
        <f>COUNTIFS(РД[Тип кв],M$117,РД[МОП],$A119,РД[Дом],$C$116,РД[Дата подачи на регистрацию],"&lt;="&amp;$A$1,РД[Дата подачи на регистрацию],"&gt;="&amp;DATE(YEAR($A$1),MONTH($A$1),1))</f>
        <v>0</v>
      </c>
      <c r="N119" s="220">
        <f>COUNTIFS(РД[Тип кв],N$117,РД[МОП],$A119,РД[Дом],$C$116,РД[Дата подачи на регистрацию],"&lt;="&amp;$A$1,РД[Дата подачи на регистрацию],"&gt;="&amp;DATE(YEAR($A$1),MONTH($A$1),1))</f>
        <v>6</v>
      </c>
      <c r="O119" s="220">
        <f>COUNTIFS(РД[Тип кв],O$117,РД[МОП],$A119,РД[Дом],$C$116,РД[Дата подачи на регистрацию],"&lt;="&amp;$A$1,РД[Дата подачи на регистрацию],"&gt;="&amp;DATE(YEAR($A$1),MONTH($A$1),1))</f>
        <v>0</v>
      </c>
      <c r="P119" s="223">
        <f>COUNTIFS(РД[Тип кв],P$117,РД[МОП],$A119,РД[Дом],$C$116,РД[Дата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20</v>
      </c>
      <c r="B120" s="267">
        <f>IFERROR(VLOOKUP(A120,'ИПП (2)'!$B$32:$J$45,4,0),"")</f>
        <v>272</v>
      </c>
      <c r="C120" s="146">
        <f>IFERROR(VLOOKUP(A120,'ИПП (2)'!$B$32:$J$45,5,0),"")</f>
        <v>25221687</v>
      </c>
      <c r="D120" s="145">
        <f>SUMIFS(sept202122233738[м2],sept202122233738[МОП],$A120,sept202122233738[№ дома],$C$116,sept202122233738[Комнатность],"&lt;&gt;Офис")</f>
        <v>157.22999999999999</v>
      </c>
      <c r="E120" s="146">
        <f>SUMIFS(sept202122233738[Сумма без отделки],sept202122233738[МОП],$A120,sept202122233738[№ дома],$C$116,sept202122233738[Комнатность],"&lt;&gt;Офис")</f>
        <v>16246499</v>
      </c>
      <c r="F120" s="147">
        <f>COUNTIFS(sept202122233738[МОП],$A120,sept202122233738[№ дома],$C$116,sept202122233738[Комнатность],"&lt;&gt;Офис")</f>
        <v>4</v>
      </c>
      <c r="G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193.89</v>
      </c>
      <c r="H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20532511</v>
      </c>
      <c r="I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5</v>
      </c>
      <c r="J120" s="224">
        <f t="shared" si="0"/>
        <v>0.71283088235294112</v>
      </c>
      <c r="K120" s="225">
        <f t="shared" si="0"/>
        <v>0.81408158780179929</v>
      </c>
      <c r="L120" s="202">
        <f>COUNTIFS(РД[Тип кв],L$117,РД[МОП],$A120,РД[Дом],$C$116,РД[Дата подачи на регистрацию],"&lt;="&amp;$A$1,РД[Дата подачи на регистрацию],"&gt;="&amp;DATE(YEAR($A$1),MONTH($A$1),1))</f>
        <v>2</v>
      </c>
      <c r="M120" s="226">
        <f>COUNTIFS(РД[Тип кв],M$117,РД[МОП],$A120,РД[Дом],$C$116,РД[Дата подачи на регистрацию],"&lt;="&amp;$A$1,РД[Дата подачи на регистрацию],"&gt;="&amp;DATE(YEAR($A$1),MONTH($A$1),1))</f>
        <v>2</v>
      </c>
      <c r="N120" s="226">
        <f>COUNTIFS(РД[Тип кв],N$117,РД[МОП],$A120,РД[Дом],$C$116,РД[Дата подачи на регистрацию],"&lt;="&amp;$A$1,РД[Дата подачи на регистрацию],"&gt;="&amp;DATE(YEAR($A$1),MONTH($A$1),1))</f>
        <v>1</v>
      </c>
      <c r="O120" s="226">
        <f>COUNTIFS(РД[Тип кв],O$117,РД[МОП],$A120,РД[Дом],$C$116,РД[Дата подачи на регистрацию],"&lt;="&amp;$A$1,РД[Дата подачи на регистрацию],"&gt;="&amp;DATE(YEAR($A$1),MONTH($A$1),1))</f>
        <v>0</v>
      </c>
      <c r="P120" s="227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T120" s="66"/>
    </row>
    <row r="121" spans="1:21" s="65" customFormat="1">
      <c r="A121" s="153" t="s">
        <v>14</v>
      </c>
      <c r="B121" s="267">
        <f>IFERROR(VLOOKUP(A121,'ИПП (2)'!$B$32:$J$45,4,0),"")</f>
        <v>235</v>
      </c>
      <c r="C121" s="146">
        <f>IFERROR(VLOOKUP(A121,'ИПП (2)'!$B$32:$J$45,5,0),"")</f>
        <v>21858796</v>
      </c>
      <c r="D121" s="328">
        <f>SUMIFS(sept202122233738[м2],sept202122233738[МОП],$A121,sept202122233738[№ дома],$C$116,sept202122233738[Комнатность],"&lt;&gt;Офис")</f>
        <v>194.68</v>
      </c>
      <c r="E121" s="403">
        <f>SUMIFS(sept202122233738[Сумма без отделки],sept202122233738[МОП],$A121,sept202122233738[№ дома],$C$116,sept202122233738[Комнатность],"&lt;&gt;Офис")</f>
        <v>20125117</v>
      </c>
      <c r="F121" s="404">
        <f>COUNTIFS(sept202122233738[МОП],$A121,sept202122233738[№ дома],$C$116,sept202122233738[Комнатность],"&lt;&gt;Офис")</f>
        <v>4</v>
      </c>
      <c r="G121" s="187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258.41999999999996</v>
      </c>
      <c r="H121" s="188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25947629</v>
      </c>
      <c r="I121" s="247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5</v>
      </c>
      <c r="J121" s="360">
        <f t="shared" si="0"/>
        <v>1.0996595744680848</v>
      </c>
      <c r="K121" s="361">
        <f t="shared" si="0"/>
        <v>1.1870566430099809</v>
      </c>
      <c r="L121" s="358">
        <f>COUNTIFS(РД[Тип кв],L$117,РД[МОП],$A121,РД[Дом],$C$116,РД[Дата подачи на регистрацию],"&lt;="&amp;$A$1,РД[Дата подачи на регистрацию],"&gt;="&amp;DATE(YEAR($A$1),MONTH($A$1),1))</f>
        <v>0</v>
      </c>
      <c r="M121" s="330">
        <f>COUNTIFS(РД[Тип кв],M$117,РД[МОП],$A121,РД[Дом],$C$116,РД[Дата подачи на регистрацию],"&lt;="&amp;$A$1,РД[Дата подачи на регистрацию],"&gt;="&amp;DATE(YEAR($A$1),MONTH($A$1),1))</f>
        <v>2</v>
      </c>
      <c r="N121" s="330">
        <f>COUNTIFS(РД[Тип кв],N$117,РД[МОП],$A121,РД[Дом],$C$116,РД[Дата подачи на регистрацию],"&lt;="&amp;$A$1,РД[Дата подачи на регистрацию],"&gt;="&amp;DATE(YEAR($A$1),MONTH($A$1),1))</f>
        <v>3</v>
      </c>
      <c r="O121" s="330">
        <f>COUNTIFS(РД[Тип кв],O$117,РД[МОП],$A121,РД[Дом],$C$116,РД[Дата подачи на регистрацию],"&lt;="&amp;$A$1,РД[Дата подачи на регистрацию],"&gt;="&amp;DATE(YEAR($A$1),MONTH($A$1),1))</f>
        <v>0</v>
      </c>
      <c r="P121" s="331">
        <f>COUNTIFS(РД[Тип кв],P$117,РД[МОП],$A121,РД[Дом],$C$116,РД[Дата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54" t="s">
        <v>29</v>
      </c>
      <c r="B122" s="274" t="str">
        <f>IFERROR(VLOOKUP(A122,'Индивидуальный план'!$R$3:$T$14,2,0),"")</f>
        <v/>
      </c>
      <c r="C122" s="277" t="str">
        <f>IFERROR(VLOOKUP(A122,'Индивидуальный план'!$R$3:$T$14,3,0),"")</f>
        <v/>
      </c>
      <c r="D122" s="341">
        <f>SUMIFS(sept202122233738[м2],sept202122233738[МОП],$A122,sept202122233738[№ дома],$C$116,sept202122233738[Комнатность],"&lt;&gt;Офис")</f>
        <v>0</v>
      </c>
      <c r="E122" s="277">
        <f>SUMIFS(sept202122233738[Сумма без отделки],sept202122233738[МОП],$A122,sept202122233738[№ дома],$C$116,sept202122233738[Комнатность],"&lt;&gt;Офис")</f>
        <v>0</v>
      </c>
      <c r="F122" s="405">
        <f>COUNTIFS(sept202122233738[МОП],$A122,sept202122233738[№ дома],$C$116,sept202122233738[Комнатность],"&lt;&gt;Офис")</f>
        <v>0</v>
      </c>
      <c r="G122" s="159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0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8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9" t="str">
        <f t="shared" si="0"/>
        <v/>
      </c>
      <c r="K122" s="230" t="str">
        <f t="shared" si="0"/>
        <v/>
      </c>
      <c r="L122" s="159">
        <f>COUNTIFS(РД[Тип кв],L$117,РД[МОП],$A122,РД[Дом],$C$116,РД[Дата подачи на регистрацию],"&lt;="&amp;$A$1,РД[Дата подачи на регистрацию],"&gt;="&amp;DATE(YEAR($A$1),MONTH($A$1),1))</f>
        <v>0</v>
      </c>
      <c r="M122" s="228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228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228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231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1" t="s">
        <v>1919</v>
      </c>
      <c r="B123" s="278" t="str">
        <f>IFERROR(VLOOKUP(A123,'Индивидуальный план'!$R$3:$T$14,2,0),"")</f>
        <v/>
      </c>
      <c r="C123" s="281" t="str">
        <f>IFERROR(VLOOKUP(A123,'Индивидуальный план'!$R$3:$T$14,3,0),"")</f>
        <v/>
      </c>
      <c r="D123" s="406">
        <f>SUMIFS(sept202122233738[м2],sept202122233738[МОП],$A123,sept202122233738[№ дома],$C$116,sept202122233738[Комнатность],"&lt;&gt;Офис")</f>
        <v>100.4</v>
      </c>
      <c r="E123" s="281">
        <f>SUMIFS(sept202122233738[Сумма без отделки],sept202122233738[МОП],$A123,sept202122233738[№ дома],$C$116,sept202122233738[Комнатность],"&lt;&gt;Офис")</f>
        <v>10108524</v>
      </c>
      <c r="F123" s="407">
        <f>COUNTIFS(sept202122233738[МОП],$A123,sept202122233738[№ дома],$C$116,sept202122233738[Комнатность],"&lt;&gt;Офис")</f>
        <v>2</v>
      </c>
      <c r="G123" s="166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H123" s="167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232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3" t="str">
        <f t="shared" si="0"/>
        <v/>
      </c>
      <c r="K123" s="234" t="str">
        <f t="shared" si="0"/>
        <v/>
      </c>
      <c r="L123" s="235">
        <f>COUNTIFS(РД[Тип кв],L$117,РД[МОП],$A123,РД[Дом],$C$116,РД[Дата подачи на регистрацию],"&lt;="&amp;$A$1,РД[Дата подачи на регистрацию],"&gt;="&amp;DATE(YEAR($A$1),MONTH($A$1),1))</f>
        <v>0</v>
      </c>
      <c r="M123" s="236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36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36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7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T123" s="66"/>
    </row>
    <row r="124" spans="1:21" s="65" customFormat="1">
      <c r="A124" s="168" t="s">
        <v>114</v>
      </c>
      <c r="B124" s="172">
        <f t="shared" ref="B124:I124" si="1">SUM(B118:B123)</f>
        <v>905</v>
      </c>
      <c r="C124" s="173">
        <f t="shared" si="1"/>
        <v>84072291</v>
      </c>
      <c r="D124" s="173">
        <f t="shared" si="1"/>
        <v>825.39</v>
      </c>
      <c r="E124" s="173">
        <f t="shared" si="1"/>
        <v>82436253.25999999</v>
      </c>
      <c r="F124" s="171">
        <f t="shared" si="1"/>
        <v>16</v>
      </c>
      <c r="G124" s="172">
        <f t="shared" si="1"/>
        <v>825.39</v>
      </c>
      <c r="H124" s="173">
        <f t="shared" si="1"/>
        <v>82345546</v>
      </c>
      <c r="I124" s="170">
        <f t="shared" si="1"/>
        <v>16</v>
      </c>
      <c r="J124" s="238">
        <f t="shared" si="0"/>
        <v>0.91203314917127065</v>
      </c>
      <c r="K124" s="239">
        <f t="shared" si="0"/>
        <v>0.97946118775328728</v>
      </c>
      <c r="L124" s="240">
        <f>SUM(L118:L123)</f>
        <v>2</v>
      </c>
      <c r="M124" s="241">
        <f>SUM(M118:M123)</f>
        <v>4</v>
      </c>
      <c r="N124" s="241">
        <f>SUM(N118:N123)</f>
        <v>10</v>
      </c>
      <c r="O124" s="241">
        <f>SUM(O118:O123)</f>
        <v>0</v>
      </c>
      <c r="P124" s="242">
        <f>SUM(P118:P123)</f>
        <v>0</v>
      </c>
      <c r="T124" s="66"/>
    </row>
    <row r="125" spans="1:21" s="65" customFormat="1" ht="22.5" customHeight="1">
      <c r="A125" s="135" t="s">
        <v>115</v>
      </c>
      <c r="B125" s="135" t="s">
        <v>100</v>
      </c>
      <c r="C125" s="136" t="s">
        <v>97</v>
      </c>
      <c r="D125" s="295" t="s">
        <v>494</v>
      </c>
      <c r="E125" s="138" t="s">
        <v>495</v>
      </c>
      <c r="F125" s="470" t="s">
        <v>496</v>
      </c>
      <c r="G125" s="140" t="s">
        <v>101</v>
      </c>
      <c r="H125" s="141" t="s">
        <v>98</v>
      </c>
      <c r="I125" s="141" t="s">
        <v>96</v>
      </c>
      <c r="J125" s="495" t="s">
        <v>715</v>
      </c>
      <c r="K125" s="496" t="s">
        <v>716</v>
      </c>
      <c r="L125" s="217">
        <v>0</v>
      </c>
      <c r="M125" s="218">
        <v>1</v>
      </c>
      <c r="N125" s="218">
        <v>2</v>
      </c>
      <c r="O125" s="218">
        <v>3</v>
      </c>
      <c r="P125" s="219" t="s">
        <v>1367</v>
      </c>
      <c r="T125" s="66"/>
    </row>
    <row r="126" spans="1:21" s="65" customFormat="1">
      <c r="A126" s="177" t="s">
        <v>22</v>
      </c>
      <c r="B126" s="291">
        <f>IFERROR(VLOOKUP(A126,'ИПП (2)'!$B$32:$J$45,4,0),"")</f>
        <v>438</v>
      </c>
      <c r="C126" s="292">
        <f>IFERROR(VLOOKUP(A126,'ИПП (2)'!$B$32:$J$45,5,0),"")</f>
        <v>40733025</v>
      </c>
      <c r="D126" s="145">
        <f>SUMIFS(sept202122233738[м2],sept202122233738[ИМ],A126,sept202122233738[№ дома],$C$116,sept202122233738[Комнатность],"&lt;&gt;Офис")</f>
        <v>455.10999999999996</v>
      </c>
      <c r="E126" s="149">
        <f>SUMIFS(sept202122233738[Сумма без отделки],sept202122233738[ИМ],$A126,sept202122233738[№ дома],$C$116,sept202122233738[Комнатность],"&lt;&gt;Офис")</f>
        <v>46057294</v>
      </c>
      <c r="F126" s="147">
        <f>COUNTIFS(sept202122233738[ИМ],$A126,sept202122233738[№ дома],$C$116,sept202122233738[Комнатность],"&lt;&gt;Офис")</f>
        <v>9</v>
      </c>
      <c r="G126" s="183">
        <f>SUMIFS(РД[S],РД[Дом],$C$116,РД[ИМ],A126,РД[Дата подачи на регистрацию],"&lt;="&amp;$A$1,РД[Дата подачи на регистрацию],"&gt;="&amp;DATE(YEAR($A$1),MONTH($A$1),1),РД[Состояние],"Продажа")</f>
        <v>455.11</v>
      </c>
      <c r="H126" s="184">
        <f>SUMIFS(РД[Стоимость без отделки итог],РД[Дом],$C$116,РД[ИМ],A126,РД[Дата подачи на регистрацию],"&lt;="&amp;$A$1,РД[Дата подачи на регистрацию],"&gt;="&amp;DATE(YEAR($A$1),MONTH($A$1),1),РД[Состояние],"Продажа")</f>
        <v>45966587</v>
      </c>
      <c r="I126" s="243">
        <f>COUNTIFS(РД[Дом],$C$116,РД[ИМ],A126,РД[Дата подачи на регистрацию],"&lt;="&amp;$A$1,РД[Дата подачи на регистрацию],"&gt;="&amp;DATE(YEAR($A$1),MONTH($A$1),1),РД[Состояние],"Продажа")</f>
        <v>9</v>
      </c>
      <c r="J126" s="244">
        <f t="shared" ref="J126:K128" si="2">IFERROR(G126/B126,"")</f>
        <v>1.0390639269406392</v>
      </c>
      <c r="K126" s="245">
        <f t="shared" si="2"/>
        <v>1.1284844913924266</v>
      </c>
      <c r="L126" s="183">
        <f>COUNTIFS(РД[Тип кв],L117,РД[ИМ],$A126,РД[Дом],$C$116,РД[Дата подачи на регистрацию],"&lt;="&amp;$A$1,РД[Дата подачи на регистрацию],"&gt;="&amp;DATE(YEAR($A$1),MONTH($A$1),1))</f>
        <v>2</v>
      </c>
      <c r="M126" s="243">
        <f>COUNTIFS(РД[Тип кв],M117,РД[ИМ],$A126,РД[Дом],$C$116,РД[Дата подачи на регистрацию],"&lt;="&amp;$A$1,РД[Дата подачи на регистрацию],"&gt;="&amp;DATE(YEAR($A$1),MONTH($A$1),1))</f>
        <v>1</v>
      </c>
      <c r="N126" s="243">
        <f>COUNTIFS(РД[Тип кв],N117,РД[ИМ],$A126,РД[Дом],$C$116,РД[Дата подачи на регистрацию],"&lt;="&amp;$A$1,РД[Дата подачи на регистрацию],"&gt;="&amp;DATE(YEAR($A$1),MONTH($A$1),1))</f>
        <v>6</v>
      </c>
      <c r="O126" s="243">
        <f>COUNTIFS(РД[Тип кв],O117,РД[ИМ],$A126,РД[Дом],$C$116,РД[Дата подачи на регистрацию],"&lt;="&amp;$A$1,РД[Дата подачи на регистрацию],"&gt;="&amp;DATE(YEAR($A$1),MONTH($A$1),1))</f>
        <v>0</v>
      </c>
      <c r="P126" s="246">
        <f>COUNTIFS(РД[Тип кв],P117,РД[ИМ],$A126,РД[Дом],$C$116,РД[Дата подачи на регистрацию],"&lt;="&amp;$A$1,РД[Дата подачи на регистрацию],"&gt;="&amp;DATE(YEAR($A$1),MONTH($A$1),1))</f>
        <v>0</v>
      </c>
      <c r="T126" s="66"/>
    </row>
    <row r="127" spans="1:21" s="65" customFormat="1">
      <c r="A127" s="189" t="s">
        <v>16</v>
      </c>
      <c r="B127" s="293">
        <f>IFERROR(VLOOKUP(A127,'ИПП (2)'!$B$32:$J$45,4,0),"")</f>
        <v>331</v>
      </c>
      <c r="C127" s="294">
        <f>IFERROR(VLOOKUP(A127,'ИПП (2)'!$B$32:$J$45,5,0),"")</f>
        <v>30728422</v>
      </c>
      <c r="D127" s="145">
        <f>SUMIFS(sept202122233738[м2],sept202122233738[ИМ],A127,sept202122233738[№ дома],$C$116,sept202122233738[Комнатность],"&lt;&gt;Офис")</f>
        <v>370.28</v>
      </c>
      <c r="E127" s="149">
        <f>SUMIFS(sept202122233738[Сумма без отделки],sept202122233738[ИМ],$A127,sept202122233738[№ дома],$C$116,sept202122233738[Комнатность],"&lt;&gt;Офис")</f>
        <v>36378959.259999998</v>
      </c>
      <c r="F127" s="147">
        <f>COUNTIFS(sept202122233738[ИМ],$A127,sept202122233738[№ дома],$C$116,sept202122233738[Комнатность],"&lt;&gt;Офис")</f>
        <v>7</v>
      </c>
      <c r="G127" s="195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370.28</v>
      </c>
      <c r="H127" s="196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36378959</v>
      </c>
      <c r="I127" s="251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7</v>
      </c>
      <c r="J127" s="252">
        <f t="shared" si="2"/>
        <v>1.1186706948640484</v>
      </c>
      <c r="K127" s="253">
        <f t="shared" si="2"/>
        <v>1.183886338192049</v>
      </c>
      <c r="L127" s="195">
        <f>COUNTIFS(РД[Тип кв],L117,РД[ИМ],$A127,РД[Дом],$C$116,РД[Дата подачи на регистрацию],"&lt;="&amp;$A$1,РД[Дата подачи на регистрацию],"&gt;="&amp;DATE(YEAR($A$1),MONTH($A$1),1))</f>
        <v>0</v>
      </c>
      <c r="M127" s="251">
        <f>COUNTIFS(РД[Тип кв],M117,РД[ИМ],$A127,РД[Дом],$C$116,РД[Дата подачи на регистрацию],"&lt;="&amp;$A$1,РД[Дата подачи на регистрацию],"&gt;="&amp;DATE(YEAR($A$1),MONTH($A$1),1))</f>
        <v>3</v>
      </c>
      <c r="N127" s="251">
        <f>COUNTIFS(РД[Тип кв],N117,РД[ИМ],$A127,РД[Дом],$C$116,РД[Дата подачи на регистрацию],"&lt;="&amp;$A$1,РД[Дата подачи на регистрацию],"&gt;="&amp;DATE(YEAR($A$1),MONTH($A$1),1))</f>
        <v>4</v>
      </c>
      <c r="O127" s="251">
        <f>COUNTIFS(РД[Тип кв],O117,РД[ИМ],$A127,РД[Дом],$C$116,РД[Дата подачи на регистрацию],"&lt;="&amp;$A$1,РД[Дата подачи на регистрацию],"&gt;="&amp;DATE(YEAR($A$1),MONTH($A$1),1))</f>
        <v>0</v>
      </c>
      <c r="P127" s="254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T127" s="66"/>
    </row>
    <row r="128" spans="1:21" s="65" customFormat="1">
      <c r="A128" s="168" t="s">
        <v>114</v>
      </c>
      <c r="B128" s="172">
        <f t="shared" ref="B128:P128" si="3">SUM(B126:B127)</f>
        <v>769</v>
      </c>
      <c r="C128" s="173">
        <f t="shared" si="3"/>
        <v>71461447</v>
      </c>
      <c r="D128" s="484">
        <f t="shared" si="3"/>
        <v>825.38999999999987</v>
      </c>
      <c r="E128" s="429">
        <f t="shared" si="3"/>
        <v>82436253.25999999</v>
      </c>
      <c r="F128" s="485">
        <f t="shared" si="3"/>
        <v>16</v>
      </c>
      <c r="G128" s="473">
        <f t="shared" si="3"/>
        <v>825.39</v>
      </c>
      <c r="H128" s="429">
        <f t="shared" si="3"/>
        <v>82345546</v>
      </c>
      <c r="I128" s="494">
        <f t="shared" si="3"/>
        <v>16</v>
      </c>
      <c r="J128" s="419">
        <f t="shared" si="2"/>
        <v>1.07332899869961</v>
      </c>
      <c r="K128" s="420">
        <f t="shared" si="2"/>
        <v>1.1523072853534577</v>
      </c>
      <c r="L128" s="473">
        <f t="shared" si="3"/>
        <v>2</v>
      </c>
      <c r="M128" s="494">
        <f t="shared" si="3"/>
        <v>4</v>
      </c>
      <c r="N128" s="494">
        <f t="shared" si="3"/>
        <v>10</v>
      </c>
      <c r="O128" s="494">
        <f t="shared" si="3"/>
        <v>0</v>
      </c>
      <c r="P128" s="497">
        <f t="shared" si="3"/>
        <v>0</v>
      </c>
      <c r="T128" s="66"/>
    </row>
    <row r="129" spans="1:21" s="65" customFormat="1">
      <c r="A129" s="134"/>
      <c r="B129" s="197"/>
      <c r="C129" s="197"/>
      <c r="D129" s="198"/>
      <c r="E129" s="134"/>
      <c r="F129" s="44"/>
      <c r="G129" s="134"/>
      <c r="H129" s="134"/>
      <c r="I129" s="44"/>
      <c r="J129" s="134"/>
      <c r="K129" s="255"/>
      <c r="L129" s="256"/>
      <c r="M129" s="134"/>
      <c r="N129" s="134"/>
      <c r="O129" s="134"/>
      <c r="P129" s="134"/>
      <c r="Q129" s="134"/>
      <c r="U129" s="66"/>
    </row>
    <row r="130" spans="1:21" s="65" customFormat="1">
      <c r="A130" s="2327" t="s">
        <v>713</v>
      </c>
      <c r="B130" s="2328"/>
      <c r="C130" s="474" t="s">
        <v>13</v>
      </c>
      <c r="D130" s="475"/>
      <c r="E130" s="475"/>
      <c r="F130" s="475"/>
      <c r="G130" s="476"/>
      <c r="H130" s="476"/>
      <c r="I130" s="476"/>
      <c r="J130" s="476"/>
      <c r="K130" s="476"/>
      <c r="L130" s="475"/>
      <c r="M130" s="475"/>
      <c r="N130" s="475"/>
      <c r="O130" s="475"/>
      <c r="P130" s="498"/>
      <c r="T130" s="66"/>
    </row>
    <row r="131" spans="1:21" s="65" customFormat="1" ht="22.5" customHeight="1">
      <c r="A131" s="135" t="s">
        <v>1</v>
      </c>
      <c r="B131" s="135" t="s">
        <v>100</v>
      </c>
      <c r="C131" s="136" t="s">
        <v>97</v>
      </c>
      <c r="D131" s="295" t="s">
        <v>494</v>
      </c>
      <c r="E131" s="477" t="s">
        <v>495</v>
      </c>
      <c r="F131" s="478" t="s">
        <v>496</v>
      </c>
      <c r="G131" s="479" t="s">
        <v>101</v>
      </c>
      <c r="H131" s="479" t="s">
        <v>98</v>
      </c>
      <c r="I131" s="479" t="s">
        <v>96</v>
      </c>
      <c r="J131" s="479" t="s">
        <v>715</v>
      </c>
      <c r="K131" s="479" t="s">
        <v>716</v>
      </c>
      <c r="L131" s="499">
        <v>0</v>
      </c>
      <c r="M131" s="340">
        <v>1</v>
      </c>
      <c r="N131" s="340">
        <v>2</v>
      </c>
      <c r="O131" s="340">
        <v>3</v>
      </c>
      <c r="P131" s="500" t="s">
        <v>1367</v>
      </c>
      <c r="T131" s="66"/>
    </row>
    <row r="132" spans="1:21" s="65" customFormat="1">
      <c r="A132" s="142" t="s">
        <v>1892</v>
      </c>
      <c r="B132" s="267">
        <f>IFERROR(VLOOKUP(A132,'ИПП (2)'!$B$32:$J$45,6,0),"")</f>
        <v>300</v>
      </c>
      <c r="C132" s="268">
        <f>IFERROR(VLOOKUP(A132,'ИПП (2)'!$B$32:$J$45,7,0),"")</f>
        <v>28588795</v>
      </c>
      <c r="D132" s="257">
        <f>SUMIFS(sept202122233738[м2],sept202122233738[МОП],$A132,sept202122233738[№ дома],$C$130,sept202122233738[Комнатность],"&lt;&gt;Офис")</f>
        <v>0</v>
      </c>
      <c r="E132" s="52">
        <f>SUMIFS(sept202122233738[Сумма без отделки],sept202122233738[МОП],$A132,sept202122233738[№ дома],$C$130,sept202122233738[Комнатность],"&lt;&gt;Офис")</f>
        <v>0</v>
      </c>
      <c r="F132" s="413">
        <f>COUNTIFS(sept202122233738[МОП],$A132,sept202122233738[№ дома],$C$130,sept202122233738[Комнатность],"&lt;&gt;Офис")</f>
        <v>0</v>
      </c>
      <c r="G132" s="202">
        <f>SUMIFS(РД[S],РД[Дом],$C$130,РД[МОП],A132,РД[Дата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H132" s="203">
        <f>SUMIFS(РД[Стоимость без отделки итог],РД[Дом],$C$130,РД[МОП],A132,РД[Дата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I132" s="226">
        <f>COUNTIFS(РД[Дом],$C$130,РД[МОП],A132,РД[Дата подачи на регистрацию],"&lt;="&amp;$A$1,РД[Дата подачи на регистрацию],"&gt;="&amp;DATE(YEAR($A$1),MONTH($A$1),1),РД[Состояние],"Продажа")</f>
        <v>0</v>
      </c>
      <c r="J132" s="224">
        <f t="shared" ref="J132:K137" si="4">IFERROR(G132/B132,)</f>
        <v>0</v>
      </c>
      <c r="K132" s="225">
        <f t="shared" si="4"/>
        <v>0</v>
      </c>
      <c r="L132" s="257">
        <f>COUNTIFS(РД[Тип кв],L$131,РД[МОП],$A132,РД[Дом],$C$130,РД[Дата подачи на регистрацию],"&lt;="&amp;$A$1,РД[Дата подачи на регистрацию],"&gt;="&amp;DATE(YEAR($A$1),MONTH($A$1),1))</f>
        <v>0</v>
      </c>
      <c r="M132" s="226">
        <f>COUNTIFS(РД[Тип кв],M$131,РД[МОП],$A132,РД[Дом],$C$130,РД[Дата подачи на регистрацию],"&lt;="&amp;$A$1,РД[Дата подачи на регистрацию],"&gt;="&amp;DATE(YEAR($A$1),MONTH($A$1),1))</f>
        <v>0</v>
      </c>
      <c r="N132" s="226">
        <f>COUNTIFS(РД[Тип кв],N$131,РД[МОП],$A132,РД[Дом],$C$130,РД[Дата подачи на регистрацию],"&lt;="&amp;$A$1,РД[Дата подачи на регистрацию],"&gt;="&amp;DATE(YEAR($A$1),MONTH($A$1),1))</f>
        <v>0</v>
      </c>
      <c r="O132" s="226">
        <f>COUNTIFS(РД[Тип кв],O$131,РД[МОП],$A132,РД[Дом],$C$130,РД[Дата подачи на регистрацию],"&lt;="&amp;$A$1,РД[Дата подачи на регистрацию],"&gt;="&amp;DATE(YEAR($A$1),MONTH($A$1),1))</f>
        <v>0</v>
      </c>
      <c r="P132" s="227">
        <f>COUNTIFS(РД[Тип кв],P$131,РД[МОП],$A132,РД[Дом],$C$130,РД[Дата подачи на регистрацию],"&lt;="&amp;$A$1,РД[Дата подачи на регистрацию],"&gt;="&amp;DATE(YEAR($A$1),MONTH($A$1),1))</f>
        <v>0</v>
      </c>
      <c r="T132" s="66"/>
    </row>
    <row r="133" spans="1:21" s="65" customFormat="1">
      <c r="A133" s="398" t="s">
        <v>8</v>
      </c>
      <c r="B133" s="267">
        <f>IFERROR(VLOOKUP(A133,'ИПП (2)'!$B$32:$J$45,6,0),"")</f>
        <v>581</v>
      </c>
      <c r="C133" s="268">
        <f>IFERROR(VLOOKUP(A133,'ИПП (2)'!$B$32:$J$45,7,0),"")</f>
        <v>55271670</v>
      </c>
      <c r="D133" s="257">
        <f>SUMIFS(sept202122233738[м2],sept202122233738[МОП],$A133,sept202122233738[№ дома],$C$130,sept202122233738[Комнатность],"&lt;&gt;Офис")</f>
        <v>333.32000000000005</v>
      </c>
      <c r="E133" s="52">
        <f>SUMIFS(sept202122233738[Сумма без отделки],sept202122233738[МОП],$A133,sept202122233738[№ дома],$C$130,sept202122233738[Комнатность],"&lt;&gt;Офис")</f>
        <v>31308384.719999999</v>
      </c>
      <c r="F133" s="413">
        <f>COUNTIFS(sept202122233738[МОП],$A133,sept202122233738[№ дома],$C$130,sept202122233738[Комнатность],"&lt;&gt;Офис")</f>
        <v>6</v>
      </c>
      <c r="G133" s="202">
        <f>SUMIFS(РД[S],РД[Дом],$C$130,РД[МОП],A133,РД[Дата подачи на регистрацию],"&lt;="&amp;$A$1,РД[Дата подачи на регистрацию],"&gt;="&amp;DATE(YEAR($A$1),MONTH($A$1),1),РД[Состояние],"Продажа")</f>
        <v>393.56000000000006</v>
      </c>
      <c r="H133" s="203">
        <f>SUMIFS(РД[Стоимость без отделки итог],РД[Дом],$C$130,РД[МОП],A133,РД[Дата подачи на регистрацию],"&lt;="&amp;$A$1,РД[Дата подачи на регистрацию],"&gt;="&amp;DATE(YEAR($A$1),MONTH($A$1),1),РД[Состояние],"Продажа")</f>
        <v>36871625.719999999</v>
      </c>
      <c r="I133" s="226">
        <f>COUNTIFS(РД[Дом],$C$130,РД[МОП],A133,РД[Дата подачи на регистрацию],"&lt;="&amp;$A$1,РД[Дата подачи на регистрацию],"&gt;="&amp;DATE(YEAR($A$1),MONTH($A$1),1),РД[Состояние],"Продажа")</f>
        <v>7</v>
      </c>
      <c r="J133" s="224">
        <f t="shared" si="4"/>
        <v>0.67738382099827898</v>
      </c>
      <c r="K133" s="225">
        <f t="shared" si="4"/>
        <v>0.66709809419545307</v>
      </c>
      <c r="L133" s="257">
        <f>COUNTIFS(РД[Тип кв],L$131,РД[МОП],$A133,РД[Дом],$C$130,РД[Дата подачи на регистрацию],"&lt;="&amp;$A$1,РД[Дата подачи на регистрацию],"&gt;="&amp;DATE(YEAR($A$1),MONTH($A$1),1))</f>
        <v>0</v>
      </c>
      <c r="M133" s="226">
        <f>COUNTIFS(РД[Тип кв],M$131,РД[МОП],$A133,РД[Дом],$C$130,РД[Дата подачи на регистрацию],"&lt;="&amp;$A$1,РД[Дата подачи на регистрацию],"&gt;="&amp;DATE(YEAR($A$1),MONTH($A$1),1))</f>
        <v>4</v>
      </c>
      <c r="N133" s="226">
        <f>COUNTIFS(РД[Тип кв],N$131,РД[МОП],$A133,РД[Дом],$C$130,РД[Дата подачи на регистрацию],"&lt;="&amp;$A$1,РД[Дата подачи на регистрацию],"&gt;="&amp;DATE(YEAR($A$1),MONTH($A$1),1))</f>
        <v>1</v>
      </c>
      <c r="O133" s="226">
        <f>COUNTIFS(РД[Тип кв],O$131,РД[МОП],$A133,РД[Дом],$C$130,РД[Дата подачи на регистрацию],"&lt;="&amp;$A$1,РД[Дата подачи на регистрацию],"&gt;="&amp;DATE(YEAR($A$1),MONTH($A$1),1))</f>
        <v>2</v>
      </c>
      <c r="P133" s="227">
        <f>COUNTIFS(РД[Тип кв],P$131,РД[МОП],$A133,РД[Дом],$C$130,РД[Дата подачи на регистрацию],"&lt;="&amp;$A$1,РД[Дата подачи на регистрацию],"&gt;="&amp;DATE(YEAR($A$1),MONTH($A$1),1))</f>
        <v>0</v>
      </c>
      <c r="T133" s="66"/>
    </row>
    <row r="134" spans="1:21" s="65" customFormat="1">
      <c r="A134" s="153" t="s">
        <v>20</v>
      </c>
      <c r="B134" s="267">
        <f>IFERROR(VLOOKUP(A134,'ИПП (2)'!$B$32:$J$45,6,0),"")</f>
        <v>602</v>
      </c>
      <c r="C134" s="268">
        <f>IFERROR(VLOOKUP(A134,'ИПП (2)'!$B$32:$J$45,7,0),"")</f>
        <v>57177590</v>
      </c>
      <c r="D134" s="257">
        <f>SUMIFS(sept202122233738[м2],sept202122233738[МОП],$A134,sept202122233738[№ дома],$C$130,sept202122233738[Комнатность],"&lt;&gt;Офис")</f>
        <v>116.69</v>
      </c>
      <c r="E134" s="52">
        <f>SUMIFS(sept202122233738[Сумма без отделки],sept202122233738[МОП],$A134,sept202122233738[№ дома],$C$130,sept202122233738[Комнатность],"&lt;&gt;Офис")</f>
        <v>10432253</v>
      </c>
      <c r="F134" s="413">
        <f>COUNTIFS(sept202122233738[МОП],$A134,sept202122233738[№ дома],$C$130,sept202122233738[Комнатность],"&lt;&gt;Офис")</f>
        <v>2</v>
      </c>
      <c r="G134" s="202">
        <f>SUMIFS(РД[S],РД[Дом],$C$130,РД[МОП],A134,РД[Дата подачи на регистрацию],"&lt;="&amp;$A$1,РД[Дата подачи на регистрацию],"&gt;="&amp;DATE(YEAR($A$1),MONTH($A$1),1),РД[Состояние],"Продажа")</f>
        <v>156.38</v>
      </c>
      <c r="H134" s="203">
        <f>SUMIFS(РД[Стоимость без отделки итог],РД[Дом],$C$130,РД[МОП],A134,РД[Дата подачи на регистрацию],"&lt;="&amp;$A$1,РД[Дата подачи на регистрацию],"&gt;="&amp;DATE(YEAR($A$1),MONTH($A$1),1),РД[Состояние],"Продажа")</f>
        <v>15121465</v>
      </c>
      <c r="I134" s="226">
        <f>COUNTIFS(РД[Дом],$C$130,РД[МОП],A134,РД[Дата подачи на регистрацию],"&lt;="&amp;$A$1,РД[Дата подачи на регистрацию],"&gt;="&amp;DATE(YEAR($A$1),MONTH($A$1),1),РД[Состояние],"Продажа")</f>
        <v>3</v>
      </c>
      <c r="J134" s="224">
        <f t="shared" si="4"/>
        <v>0.25976744186046513</v>
      </c>
      <c r="K134" s="225">
        <f t="shared" si="4"/>
        <v>0.26446488912876531</v>
      </c>
      <c r="L134" s="257">
        <f>COUNTIFS(РД[Тип кв],L$131,РД[МОП],$A134,РД[Дом],$C$130,РД[Дата подачи на регистрацию],"&lt;="&amp;$A$1,РД[Дата подачи на регистрацию],"&gt;="&amp;DATE(YEAR($A$1),MONTH($A$1),1))</f>
        <v>0</v>
      </c>
      <c r="M134" s="226">
        <f>COUNTIFS(РД[Тип кв],M$131,РД[МОП],$A134,РД[Дом],$C$130,РД[Дата подачи на регистрацию],"&lt;="&amp;$A$1,РД[Дата подачи на регистрацию],"&gt;="&amp;DATE(YEAR($A$1),MONTH($A$1),1))</f>
        <v>1</v>
      </c>
      <c r="N134" s="226">
        <f>COUNTIFS(РД[Тип кв],N$131,РД[МОП],$A134,РД[Дом],$C$130,РД[Дата подачи на регистрацию],"&lt;="&amp;$A$1,РД[Дата подачи на регистрацию],"&gt;="&amp;DATE(YEAR($A$1),MONTH($A$1),1))</f>
        <v>2</v>
      </c>
      <c r="O134" s="226">
        <f>COUNTIFS(РД[Тип кв],O$131,РД[МОП],$A134,РД[Дом],$C$130,РД[Дата подачи на регистрацию],"&lt;="&amp;$A$1,РД[Дата подачи на регистрацию],"&gt;="&amp;DATE(YEAR($A$1),MONTH($A$1),1))</f>
        <v>0</v>
      </c>
      <c r="P134" s="227">
        <f>COUNTIFS(РД[Тип кв],P$131,РД[МОП],$A134,РД[Дом],$C$130,РД[Дата подачи на регистрацию],"&lt;="&amp;$A$1,РД[Дата подачи на регистрацию],"&gt;="&amp;DATE(YEAR($A$1),MONTH($A$1),1))</f>
        <v>0</v>
      </c>
      <c r="T134" s="66"/>
    </row>
    <row r="135" spans="1:21" s="65" customFormat="1">
      <c r="A135" s="153" t="s">
        <v>14</v>
      </c>
      <c r="B135" s="293">
        <f>IFERROR(VLOOKUP(A135,'ИПП (2)'!$B$32:$J$45,6,0),"")</f>
        <v>521</v>
      </c>
      <c r="C135" s="556">
        <f>IFERROR(VLOOKUP(A135,'ИПП (2)'!$B$32:$J$45,7,0),"")</f>
        <v>49553913</v>
      </c>
      <c r="D135" s="329">
        <f>SUMIFS(sept202122233738[м2],sept202122233738[МОП],$A135,sept202122233738[№ дома],$C$130,sept202122233738[Комнатность],"&lt;&gt;Офис")</f>
        <v>279.83</v>
      </c>
      <c r="E135" s="363">
        <f>SUMIFS(sept202122233738[Сумма без отделки],sept202122233738[МОП],$A135,sept202122233738[№ дома],$C$130,sept202122233738[Комнатность],"&lt;&gt;Офис")</f>
        <v>29009260</v>
      </c>
      <c r="F135" s="414">
        <f>COUNTIFS(sept202122233738[МОП],$A135,sept202122233738[№ дома],$C$130,sept202122233738[Комнатность],"&lt;&gt;Офис")</f>
        <v>6</v>
      </c>
      <c r="G135" s="358">
        <f>SUMIFS(РД[S],РД[Дом],$C$130,РД[МОП],A135,РД[Дата подачи на регистрацию],"&lt;="&amp;$A$1,РД[Дата подачи на регистрацию],"&gt;="&amp;DATE(YEAR($A$1),MONTH($A$1),1),РД[Состояние],"Продажа")</f>
        <v>279.83</v>
      </c>
      <c r="H135" s="359">
        <f>SUMIFS(РД[Стоимость без отделки итог],РД[Дом],$C$130,РД[МОП],A135,РД[Дата подачи на регистрацию],"&lt;="&amp;$A$1,РД[Дата подачи на регистрацию],"&gt;="&amp;DATE(YEAR($A$1),MONTH($A$1),1),РД[Состояние],"Продажа")</f>
        <v>29009260</v>
      </c>
      <c r="I135" s="330">
        <f>COUNTIFS(РД[Дом],$C$130,РД[МОП],A135,РД[Дата подачи на регистрацию],"&lt;="&amp;$A$1,РД[Дата подачи на регистрацию],"&gt;="&amp;DATE(YEAR($A$1),MONTH($A$1),1),РД[Состояние],"Продажа")</f>
        <v>6</v>
      </c>
      <c r="J135" s="360">
        <f t="shared" si="4"/>
        <v>0.53710172744721685</v>
      </c>
      <c r="K135" s="361">
        <f t="shared" si="4"/>
        <v>0.58540805849176836</v>
      </c>
      <c r="L135" s="329">
        <f>COUNTIFS(РД[Тип кв],L$131,РД[МОП],$A135,РД[Дом],$C$130,РД[Дата подачи на регистрацию],"&lt;="&amp;$A$1,РД[Дата подачи на регистрацию],"&gt;="&amp;DATE(YEAR($A$1),MONTH($A$1),1))</f>
        <v>0</v>
      </c>
      <c r="M135" s="330">
        <f>COUNTIFS(РД[Тип кв],M$131,РД[МОП],$A135,РД[Дом],$C$130,РД[Дата подачи на регистрацию],"&lt;="&amp;$A$1,РД[Дата подачи на регистрацию],"&gt;="&amp;DATE(YEAR($A$1),MONTH($A$1),1))</f>
        <v>4</v>
      </c>
      <c r="N135" s="330">
        <f>COUNTIFS(РД[Тип кв],N$131,РД[МОП],$A135,РД[Дом],$C$130,РД[Дата подачи на регистрацию],"&lt;="&amp;$A$1,РД[Дата подачи на регистрацию],"&gt;="&amp;DATE(YEAR($A$1),MONTH($A$1),1))</f>
        <v>2</v>
      </c>
      <c r="O135" s="330">
        <f>COUNTIFS(РД[Тип кв],O$131,РД[МОП],$A135,РД[Дом],$C$130,РД[Дата подачи на регистрацию],"&lt;="&amp;$A$1,РД[Дата подачи на регистрацию],"&gt;="&amp;DATE(YEAR($A$1),MONTH($A$1),1))</f>
        <v>0</v>
      </c>
      <c r="P135" s="331">
        <f>COUNTIFS(РД[Тип кв],P$131,РД[МОП],$A135,РД[Дом],$C$130,РД[Дата подачи на регистрацию],"&lt;="&amp;$A$1,РД[Дата подачи на регистрацию],"&gt;="&amp;DATE(YEAR($A$1),MONTH($A$1),1))</f>
        <v>0</v>
      </c>
      <c r="T135" s="66"/>
    </row>
    <row r="136" spans="1:21" s="65" customFormat="1">
      <c r="A136" s="154" t="s">
        <v>29</v>
      </c>
      <c r="B136" s="274" t="str">
        <f>IFERROR(VLOOKUP(A136,'Индивидуальный план'!$R$3:$T$14,2,0),"")</f>
        <v/>
      </c>
      <c r="C136" s="275" t="str">
        <f>IFERROR(VLOOKUP(A136,'Индивидуальный план'!$R$3:$T$14,3,0),"")</f>
        <v/>
      </c>
      <c r="D136" s="341">
        <f>SUMIFS(sept202122233738[м2],sept202122233738[МОП],$A136,sept202122233738[№ дома],$C$130,sept202122233738[Комнатность],"&lt;&gt;Офис")</f>
        <v>0</v>
      </c>
      <c r="E136" s="277">
        <f>SUMIFS(sept202122233738[Сумма без отделки],sept202122233738[МОП],$A136,sept202122233738[№ дома],$C$130,sept202122233738[Комнатность],"&lt;&gt;Офис")</f>
        <v>0</v>
      </c>
      <c r="F136" s="405">
        <f>COUNTIFS(sept202122233738[МОП],$A136,sept202122233738[№ дома],$C$130,sept202122233738[Комнатность],"&lt;&gt;Офис")</f>
        <v>0</v>
      </c>
      <c r="G136" s="159">
        <f>SUMIFS(РД[S],РД[Дом],$C$130,РД[МОП],A136,РД[Дата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H136" s="160">
        <f>SUMIFS(РД[Стоимость без отделки итог],РД[Дом],$C$130,РД[МОП],A136,РД[Дата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228">
        <f>COUNTIFS(РД[Дом],$C$130,РД[МОП],A136,РД[Дата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9">
        <f t="shared" si="4"/>
        <v>0</v>
      </c>
      <c r="K136" s="230">
        <f t="shared" si="4"/>
        <v>0</v>
      </c>
      <c r="L136" s="341">
        <f>COUNTIFS(РД[Тип кв],L$131,РД[МОП],$A136,РД[Дом],$C$130,РД[Дата подачи на регистрацию],"&lt;="&amp;$A$1,РД[Дата подачи на регистрацию],"&gt;="&amp;DATE(YEAR($A$1),MONTH($A$1),1))</f>
        <v>0</v>
      </c>
      <c r="M136" s="228">
        <f>COUNTIFS(РД[Тип кв],M$131,РД[МОП],$A136,РД[Дом],$C$130,РД[Дата подачи на регистрацию],"&lt;="&amp;$A$1,РД[Дата подачи на регистрацию],"&gt;="&amp;DATE(YEAR($A$1),MONTH($A$1),1))</f>
        <v>0</v>
      </c>
      <c r="N136" s="228">
        <f>COUNTIFS(РД[Тип кв],N$131,РД[МОП],$A136,РД[Дом],$C$130,РД[Дата подачи на регистрацию],"&lt;="&amp;$A$1,РД[Дата подачи на регистрацию],"&gt;="&amp;DATE(YEAR($A$1),MONTH($A$1),1))</f>
        <v>0</v>
      </c>
      <c r="O136" s="228">
        <f>COUNTIFS(РД[Тип кв],O$131,РД[МОП],$A136,РД[Дом],$C$130,РД[Дата подачи на регистрацию],"&lt;="&amp;$A$1,РД[Дата подачи на регистрацию],"&gt;="&amp;DATE(YEAR($A$1),MONTH($A$1),1))</f>
        <v>0</v>
      </c>
      <c r="P136" s="231">
        <f>COUNTIFS(РД[Тип кв],P$131,РД[МОП],$A136,РД[Дом],$C$130,РД[Дата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61" t="s">
        <v>1919</v>
      </c>
      <c r="B137" s="278" t="str">
        <f>IFERROR(VLOOKUP(A137,'Индивидуальный план'!$R$3:$T$14,2,0),"")</f>
        <v/>
      </c>
      <c r="C137" s="279" t="str">
        <f>IFERROR(VLOOKUP(A137,'Индивидуальный план'!$R$3:$T$14,3,0),"")</f>
        <v/>
      </c>
      <c r="D137" s="406">
        <f>SUMIFS(sept202122233738[м2],sept202122233738[МОП],$A137,sept202122233738[№ дома],$C$130,sept202122233738[Комнатность],"&lt;&gt;Офис")</f>
        <v>99.93</v>
      </c>
      <c r="E137" s="281">
        <f>SUMIFS(sept202122233738[Сумма без отделки],sept202122233738[МОП],$A137,sept202122233738[№ дома],$C$130,sept202122233738[Комнатность],"&lt;&gt;Офис")</f>
        <v>11457253</v>
      </c>
      <c r="F137" s="407">
        <f>COUNTIFS(sept202122233738[МОП],$A137,sept202122233738[№ дома],$C$130,sept202122233738[Комнатность],"&lt;&gt;Офис")</f>
        <v>2</v>
      </c>
      <c r="G137" s="166">
        <f>SUMIFS(РД[S],РД[Дом],$C$130,РД[МОП],A137,РД[Дата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H137" s="167">
        <f>SUMIFS(РД[Стоимость без отделки итог],РД[Дом],$C$130,РД[МОП],A137,РД[Дата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232">
        <f>COUNTIFS(РД[Дом],$C$130,РД[МОП],A137,РД[Дата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3">
        <f t="shared" si="4"/>
        <v>0</v>
      </c>
      <c r="K137" s="234">
        <f t="shared" si="4"/>
        <v>0</v>
      </c>
      <c r="L137" s="406">
        <f>COUNTIFS(РД[Тип кв],L$131,РД[МОП],$A137,РД[Дом],$C$130,РД[Дата подачи на регистрацию],"&lt;="&amp;$A$1,РД[Дата подачи на регистрацию],"&gt;="&amp;DATE(YEAR($A$1),MONTH($A$1),1))</f>
        <v>0</v>
      </c>
      <c r="M137" s="232">
        <f>COUNTIFS(РД[Тип кв],M$131,РД[МОП],$A137,РД[Дом],$C$130,РД[Дата подачи на регистрацию],"&lt;="&amp;$A$1,РД[Дата подачи на регистрацию],"&gt;="&amp;DATE(YEAR($A$1),MONTH($A$1),1))</f>
        <v>0</v>
      </c>
      <c r="N137" s="232">
        <f>COUNTIFS(РД[Тип кв],N$131,РД[МОП],$A137,РД[Дом],$C$130,РД[Дата подачи на регистрацию],"&lt;="&amp;$A$1,РД[Дата подачи на регистрацию],"&gt;="&amp;DATE(YEAR($A$1),MONTH($A$1),1))</f>
        <v>0</v>
      </c>
      <c r="O137" s="232">
        <f>COUNTIFS(РД[Тип кв],O$131,РД[МОП],$A137,РД[Дом],$C$130,РД[Дата подачи на регистрацию],"&lt;="&amp;$A$1,РД[Дата подачи на регистрацию],"&gt;="&amp;DATE(YEAR($A$1),MONTH($A$1),1))</f>
        <v>0</v>
      </c>
      <c r="P137" s="337">
        <f>COUNTIFS(РД[Тип кв],P$131,РД[МОП],$A137,РД[Дом],$C$130,РД[Дата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68" t="s">
        <v>114</v>
      </c>
      <c r="B138" s="172">
        <f t="shared" ref="B138:I138" si="5">SUM(B132:B137)</f>
        <v>2004</v>
      </c>
      <c r="C138" s="480">
        <f t="shared" si="5"/>
        <v>190591968</v>
      </c>
      <c r="D138" s="173">
        <f t="shared" si="5"/>
        <v>829.77</v>
      </c>
      <c r="E138" s="173">
        <f t="shared" si="5"/>
        <v>82207150.719999999</v>
      </c>
      <c r="F138" s="171">
        <f t="shared" si="5"/>
        <v>16</v>
      </c>
      <c r="G138" s="172">
        <f t="shared" si="5"/>
        <v>829.77</v>
      </c>
      <c r="H138" s="173">
        <f t="shared" si="5"/>
        <v>81002350.719999999</v>
      </c>
      <c r="I138" s="170">
        <f t="shared" si="5"/>
        <v>16</v>
      </c>
      <c r="J138" s="238">
        <f>IFERROR(G138/B138,"")</f>
        <v>0.41405688622754488</v>
      </c>
      <c r="K138" s="501">
        <f>IFERROR(H138/C138,"")</f>
        <v>0.42500401024244633</v>
      </c>
      <c r="L138" s="171">
        <f>SUM(L132:L137)</f>
        <v>0</v>
      </c>
      <c r="M138" s="171">
        <f>SUM(M132:M137)</f>
        <v>9</v>
      </c>
      <c r="N138" s="171">
        <f>SUM(N132:N137)</f>
        <v>5</v>
      </c>
      <c r="O138" s="171">
        <f>SUM(O132:O137)</f>
        <v>2</v>
      </c>
      <c r="P138" s="171">
        <f>SUM(P132:P137)</f>
        <v>0</v>
      </c>
      <c r="T138" s="66"/>
    </row>
    <row r="139" spans="1:21" s="65" customFormat="1" ht="22.5" customHeight="1">
      <c r="A139" s="135" t="s">
        <v>115</v>
      </c>
      <c r="B139" s="135" t="s">
        <v>100</v>
      </c>
      <c r="C139" s="136" t="s">
        <v>97</v>
      </c>
      <c r="D139" s="295" t="s">
        <v>494</v>
      </c>
      <c r="E139" s="138" t="s">
        <v>495</v>
      </c>
      <c r="F139" s="470" t="s">
        <v>496</v>
      </c>
      <c r="G139" s="481" t="s">
        <v>101</v>
      </c>
      <c r="H139" s="482" t="s">
        <v>98</v>
      </c>
      <c r="I139" s="482" t="s">
        <v>96</v>
      </c>
      <c r="J139" s="502" t="s">
        <v>715</v>
      </c>
      <c r="K139" s="503" t="s">
        <v>716</v>
      </c>
      <c r="L139" s="504">
        <v>0</v>
      </c>
      <c r="M139" s="505">
        <v>1</v>
      </c>
      <c r="N139" s="505">
        <v>2</v>
      </c>
      <c r="O139" s="505">
        <v>3</v>
      </c>
      <c r="P139" s="506" t="s">
        <v>1367</v>
      </c>
      <c r="T139" s="66"/>
    </row>
    <row r="140" spans="1:21" s="65" customFormat="1">
      <c r="A140" s="177" t="s">
        <v>22</v>
      </c>
      <c r="B140" s="267">
        <f>IFERROR(VLOOKUP(A140,'ИПП (2)'!$B$32:$J$45,6,0),"")</f>
        <v>971</v>
      </c>
      <c r="C140" s="268">
        <f>IFERROR(VLOOKUP(A140,'ИПП (2)'!$B$32:$J$45,7,0),"")</f>
        <v>92341807</v>
      </c>
      <c r="D140" s="145">
        <f>SUMIFS(sept202122233738[м2],sept202122233738[ИМ],A140,sept202122233738[№ дома],$C$130,sept202122233738[Комнатность],"&lt;&gt;Офис")</f>
        <v>422.59999999999997</v>
      </c>
      <c r="E140" s="149">
        <f>SUMIFS(sept202122233738[Сумма без отделки],sept202122233738[ИМ],$A140,sept202122233738[№ дома],$C$130,sept202122233738[Комнатность],"&lt;&gt;Офис")</f>
        <v>43849713</v>
      </c>
      <c r="F140" s="147">
        <f>COUNTIFS(sept202122233738[ИМ],$A140,sept202122233738[№ дома],$C$130,sept202122233738[Комнатность],"&lt;&gt;Офис")</f>
        <v>9</v>
      </c>
      <c r="G140" s="183">
        <f>SUMIFS(РД[S],РД[Дом],$C$130,РД[ИМ],A140,РД[Дата подачи на регистрацию],"&lt;="&amp;$A$1,РД[Дата подачи на регистрацию],"&gt;="&amp;DATE(YEAR($A$1),MONTH($A$1),1),РД[Состояние],"Продажа")</f>
        <v>422.6</v>
      </c>
      <c r="H140" s="184">
        <f>SUMIFS(РД[Стоимость без отделки итог],РД[Дом],$C$130,РД[ИМ],A140,РД[Дата подачи на регистрацию],"&lt;="&amp;$A$1,РД[Дата подачи на регистрацию],"&gt;="&amp;DATE(YEAR($A$1),MONTH($A$1),1),РД[Состояние],"Продажа")</f>
        <v>42644913</v>
      </c>
      <c r="I140" s="243">
        <f>COUNTIFS(РД[Дом],$C$130,РД[ИМ],A140,РД[Дата подачи на регистрацию],"&lt;="&amp;$A$1,РД[Дата подачи на регистрацию],"&gt;="&amp;DATE(YEAR($A$1),MONTH($A$1),1),РД[Состояние],"Продажа")</f>
        <v>9</v>
      </c>
      <c r="J140" s="244">
        <f>IFERROR(G140/B140,"")</f>
        <v>0.43522142121524204</v>
      </c>
      <c r="K140" s="245">
        <f>IFERROR(H140/C140,"")</f>
        <v>0.4618158815107441</v>
      </c>
      <c r="L140" s="183">
        <f>COUNTIFS(РД[Тип кв],L131,РД[ИМ],$A140,РД[Дом],$C$130,РД[Дата подачи на регистрацию],"&lt;="&amp;$A$1,РД[Дата подачи на регистрацию],"&gt;="&amp;DATE(YEAR($A$1),MONTH($A$1),1))</f>
        <v>0</v>
      </c>
      <c r="M140" s="243">
        <f>COUNTIFS(РД[Тип кв],M131,РД[ИМ],$A140,РД[Дом],$C$130,РД[Дата подачи на регистрацию],"&lt;="&amp;$A$1,РД[Дата подачи на регистрацию],"&gt;="&amp;DATE(YEAR($A$1),MONTH($A$1),1))</f>
        <v>7</v>
      </c>
      <c r="N140" s="243">
        <f>COUNTIFS(РД[Тип кв],N131,РД[ИМ],$A140,РД[Дом],$C$130,РД[Дата подачи на регистрацию],"&lt;="&amp;$A$1,РД[Дата подачи на регистрацию],"&gt;="&amp;DATE(YEAR($A$1),MONTH($A$1),1))</f>
        <v>1</v>
      </c>
      <c r="O140" s="243">
        <f>COUNTIFS(РД[Тип кв],O131,РД[ИМ],$A140,РД[Дом],$C$130,РД[Дата подачи на регистрацию],"&lt;="&amp;$A$1,РД[Дата подачи на регистрацию],"&gt;="&amp;DATE(YEAR($A$1),MONTH($A$1),1))</f>
        <v>1</v>
      </c>
      <c r="P140" s="246">
        <f>COUNTIFS(РД[Тип кв],P131,РД[ИМ],$A140,РД[Дом],$C$130,РД[Дата подачи на регистрацию],"&lt;="&amp;$A$1,РД[Дата подачи на регистрацию],"&gt;="&amp;DATE(YEAR($A$1),MONTH($A$1),1))</f>
        <v>0</v>
      </c>
      <c r="T140" s="66"/>
    </row>
    <row r="141" spans="1:21" s="65" customFormat="1">
      <c r="A141" s="189" t="s">
        <v>16</v>
      </c>
      <c r="B141" s="267">
        <f>IFERROR(VLOOKUP(A141,'ИПП (2)'!$B$32:$J$45,6,0),"")</f>
        <v>732</v>
      </c>
      <c r="C141" s="268">
        <f>IFERROR(VLOOKUP(A141,'ИПП (2)'!$B$32:$J$45,7,0),"")</f>
        <v>69661365</v>
      </c>
      <c r="D141" s="329">
        <f>SUMIFS(sept202122233738[м2],sept202122233738[ИМ],A141,sept202122233738[№ дома],$C$130,sept202122233738[Комнатность],"&lt;&gt;Офис")</f>
        <v>209.51</v>
      </c>
      <c r="E141" s="359">
        <f>SUMIFS(sept202122233738[Сумма без отделки],sept202122233738[ИМ],$A141,sept202122233738[№ дома],$C$130,sept202122233738[Комнатность],"&lt;&gt;Офис")</f>
        <v>21333936</v>
      </c>
      <c r="F141" s="414">
        <f>COUNTIFS(sept202122233738[ИМ],$A141,sept202122233738[№ дома],$C$130,sept202122233738[Комнатность],"&lt;&gt;Офис")</f>
        <v>4</v>
      </c>
      <c r="G141" s="358">
        <f>SUMIFS(РД[S],РД[Дом],$C$130,РД[ИМ],A141,РД[Дата подачи на регистрацию],"&lt;="&amp;$A$1,РД[Дата подачи на регистрацию],"&gt;="&amp;DATE(YEAR($A$1),MONTH($A$1),1),РД[Состояние],"Продажа")</f>
        <v>209.51</v>
      </c>
      <c r="H141" s="359">
        <f>SUMIFS(РД[Стоимость без отделки итог],РД[Дом],$C$130,РД[ИМ],A141,РД[Дата подачи на регистрацию],"&lt;="&amp;$A$1,РД[Дата подачи на регистрацию],"&gt;="&amp;DATE(YEAR($A$1),MONTH($A$1),1),РД[Состояние],"Продажа")</f>
        <v>21333936</v>
      </c>
      <c r="I141" s="330">
        <f>COUNTIFS(РД[Дом],$C$130,РД[ИМ],A141,РД[Дата подачи на регистрацию],"&lt;="&amp;$A$1,РД[Дата подачи на регистрацию],"&gt;="&amp;DATE(YEAR($A$1),MONTH($A$1),1),РД[Состояние],"Продажа")</f>
        <v>4</v>
      </c>
      <c r="J141" s="360">
        <f>IFERROR(G141/B141,"")</f>
        <v>0.28621584699453551</v>
      </c>
      <c r="K141" s="367">
        <f>IFERROR(H141/C141,"")</f>
        <v>0.30625205233919833</v>
      </c>
      <c r="L141" s="195">
        <f>COUNTIFS(РД[Тип кв],L$131,РД[ИМ],$A141,РД[Дом],$C$130,РД[Дата подачи на регистрацию],"&lt;="&amp;$A$1,РД[Дата подачи на регистрацию],"&gt;="&amp;DATE(YEAR($A$1),MONTH($A$1),1))</f>
        <v>0</v>
      </c>
      <c r="M141" s="251">
        <f>COUNTIFS(РД[Тип кв],M$131,РД[ИМ],$A141,РД[Дом],$C$130,РД[Дата подачи на регистрацию],"&lt;="&amp;$A$1,РД[Дата подачи на регистрацию],"&gt;="&amp;DATE(YEAR($A$1),MONTH($A$1),1))</f>
        <v>2</v>
      </c>
      <c r="N141" s="251">
        <f>COUNTIFS(РД[Тип кв],N$131,РД[ИМ],$A141,РД[Дом],$C$130,РД[Дата подачи на регистрацию],"&lt;="&amp;$A$1,РД[Дата подачи на регистрацию],"&gt;="&amp;DATE(YEAR($A$1),MONTH($A$1),1))</f>
        <v>2</v>
      </c>
      <c r="O141" s="251">
        <f>COUNTIFS(РД[Тип кв],O$131,РД[ИМ],$A141,РД[Дом],$C$130,РД[Дата подачи на регистрацию],"&lt;="&amp;$A$1,РД[Дата подачи на регистрацию],"&gt;="&amp;DATE(YEAR($A$1),MONTH($A$1),1))</f>
        <v>0</v>
      </c>
      <c r="P141" s="254">
        <f>COUNTIFS(РД[Тип кв],P$131,РД[ИМ],$A141,РД[Дом],$C$130,РД[Дата подачи на регистрацию],"&lt;="&amp;$A$1,РД[Дата подачи на регистрацию],"&gt;="&amp;DATE(YEAR($A$1),MONTH($A$1),1))</f>
        <v>0</v>
      </c>
      <c r="Q141" s="86"/>
      <c r="R141" s="86"/>
      <c r="S141" s="86"/>
      <c r="T141" s="66"/>
    </row>
    <row r="142" spans="1:21" s="65" customFormat="1">
      <c r="A142" s="317" t="s">
        <v>114</v>
      </c>
      <c r="B142" s="410">
        <f t="shared" ref="B142:I142" si="6">SUM(B140:B141)</f>
        <v>1703</v>
      </c>
      <c r="C142" s="483">
        <f t="shared" si="6"/>
        <v>162003172</v>
      </c>
      <c r="D142" s="484">
        <f t="shared" si="6"/>
        <v>632.1099999999999</v>
      </c>
      <c r="E142" s="429">
        <f t="shared" si="6"/>
        <v>65183649</v>
      </c>
      <c r="F142" s="485">
        <f t="shared" si="6"/>
        <v>13</v>
      </c>
      <c r="G142" s="473">
        <f t="shared" si="6"/>
        <v>632.11</v>
      </c>
      <c r="H142" s="429">
        <f t="shared" si="6"/>
        <v>63978849</v>
      </c>
      <c r="I142" s="494">
        <f t="shared" si="6"/>
        <v>13</v>
      </c>
      <c r="J142" s="419">
        <f>IFERROR(G142/B142,)</f>
        <v>0.37117439812096303</v>
      </c>
      <c r="K142" s="507">
        <f>IFERROR(H142/C142,)</f>
        <v>0.39492343396831758</v>
      </c>
      <c r="L142" s="317">
        <f t="shared" ref="L142:P142" si="7">SUM(L140:L141)</f>
        <v>0</v>
      </c>
      <c r="M142" s="485">
        <f t="shared" si="7"/>
        <v>9</v>
      </c>
      <c r="N142" s="485">
        <f t="shared" si="7"/>
        <v>3</v>
      </c>
      <c r="O142" s="485">
        <f t="shared" si="7"/>
        <v>1</v>
      </c>
      <c r="P142" s="497">
        <f t="shared" si="7"/>
        <v>0</v>
      </c>
      <c r="Q142" s="86"/>
      <c r="R142" s="86"/>
      <c r="S142" s="86"/>
      <c r="T142" s="66"/>
    </row>
    <row r="143" spans="1:21" s="65" customFormat="1">
      <c r="A143" s="134"/>
      <c r="B143" s="211"/>
      <c r="C143" s="211"/>
      <c r="D143" s="212"/>
      <c r="E143" s="134"/>
      <c r="F143" s="134"/>
      <c r="G143" s="134"/>
      <c r="H143" s="134"/>
      <c r="I143" s="134"/>
      <c r="J143" s="134"/>
      <c r="K143" s="134"/>
      <c r="L143" s="261"/>
      <c r="M143" s="134"/>
      <c r="N143" s="134"/>
      <c r="O143" s="134"/>
      <c r="P143" s="262"/>
      <c r="Q143" s="134"/>
      <c r="U143" s="66"/>
    </row>
    <row r="144" spans="1:21" s="65" customFormat="1">
      <c r="A144" s="2327" t="s">
        <v>713</v>
      </c>
      <c r="B144" s="2328"/>
      <c r="C144" s="474" t="s">
        <v>718</v>
      </c>
      <c r="D144" s="476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134"/>
      <c r="T144" s="66"/>
    </row>
    <row r="145" spans="1:21" s="65" customFormat="1" ht="22.5" customHeight="1">
      <c r="A145" s="135" t="s">
        <v>1</v>
      </c>
      <c r="B145" s="135" t="s">
        <v>100</v>
      </c>
      <c r="C145" s="136" t="s">
        <v>97</v>
      </c>
      <c r="D145" s="486" t="s">
        <v>494</v>
      </c>
      <c r="E145" s="487" t="s">
        <v>495</v>
      </c>
      <c r="F145" s="488" t="s">
        <v>496</v>
      </c>
      <c r="G145" s="489" t="s">
        <v>101</v>
      </c>
      <c r="H145" s="490" t="s">
        <v>98</v>
      </c>
      <c r="I145" s="490" t="s">
        <v>96</v>
      </c>
      <c r="J145" s="490" t="s">
        <v>715</v>
      </c>
      <c r="K145" s="508" t="s">
        <v>716</v>
      </c>
      <c r="L145" s="217">
        <v>0</v>
      </c>
      <c r="M145" s="218">
        <v>1</v>
      </c>
      <c r="N145" s="218">
        <v>2</v>
      </c>
      <c r="O145" s="218">
        <v>3</v>
      </c>
      <c r="P145" s="219" t="s">
        <v>1367</v>
      </c>
      <c r="T145" s="66"/>
    </row>
    <row r="146" spans="1:21" s="65" customFormat="1">
      <c r="A146" s="142" t="s">
        <v>1892</v>
      </c>
      <c r="B146" s="267">
        <f>IFERROR(VLOOKUP(A146,'ИПП (2)'!$B$32:$J$45,8,0),"")</f>
        <v>435</v>
      </c>
      <c r="C146" s="268">
        <f>IFERROR(VLOOKUP(A146,'ИПП (2)'!$B$32:$J$45,9,0),"")</f>
        <v>41199639</v>
      </c>
      <c r="D146" s="257">
        <f>SUMIFS(sept202122233738[м2],sept202122233738[МОП],$A146,sept202122233738[Комнатность],"&lt;&gt;Офис")</f>
        <v>0</v>
      </c>
      <c r="E146" s="52">
        <f>SUMIFS(sept202122233738[Сумма без отделки],sept202122233738[МОП],$A146,sept202122233738[Комнатность],"&lt;&gt;Офис")</f>
        <v>0</v>
      </c>
      <c r="F146" s="413">
        <f>COUNTIFS(sept202122233738[МОП],$A146,sept202122233738[Комнатность],"&lt;&gt;Офис")</f>
        <v>0</v>
      </c>
      <c r="G146" s="202">
        <f>SUMIFS(РД[S],РД[МОП],A146,РД[Дата подачи на регистрацию],"&lt;="&amp;$A$1,РД[Дата подачи на регистрацию],"&gt;="&amp;DATE(YEAR($A$1),MONTH($A$1),1),РД[Состояние],"Продажа")</f>
        <v>0</v>
      </c>
      <c r="H146" s="203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0</v>
      </c>
      <c r="I146" s="226">
        <f>COUNTIFS(РД[МОП],A146,РД[Дата подачи на регистрацию],"&lt;="&amp;$A$1,РД[Дата подачи на регистрацию],"&gt;="&amp;DATE(YEAR($A$1),MONTH($A$1),1),РД[Состояние],"Продажа")</f>
        <v>0</v>
      </c>
      <c r="J146" s="224">
        <f t="shared" ref="J146:K151" si="8">IFERROR(G146/B146,"")</f>
        <v>0</v>
      </c>
      <c r="K146" s="225">
        <f t="shared" si="8"/>
        <v>0</v>
      </c>
      <c r="L146" s="325">
        <f>L132+L119</f>
        <v>0</v>
      </c>
      <c r="M146" s="326">
        <f>M132+M119</f>
        <v>0</v>
      </c>
      <c r="N146" s="326">
        <f>N132+N119</f>
        <v>6</v>
      </c>
      <c r="O146" s="326">
        <f>O132+O119</f>
        <v>0</v>
      </c>
      <c r="P146" s="327">
        <f>P132+P119</f>
        <v>0</v>
      </c>
      <c r="T146" s="66"/>
    </row>
    <row r="147" spans="1:21" s="65" customFormat="1">
      <c r="A147" s="398" t="s">
        <v>8</v>
      </c>
      <c r="B147" s="267">
        <f>IFERROR(VLOOKUP(A147,'ИПП (2)'!$B$32:$J$45,8,0),"")</f>
        <v>844</v>
      </c>
      <c r="C147" s="268">
        <f>IFERROR(VLOOKUP(A147,'ИПП (2)'!$B$32:$J$45,9,0),"")</f>
        <v>79652634</v>
      </c>
      <c r="D147" s="257">
        <f>SUMIFS(sept202122233738[м2],sept202122233738[МОП],$A147,sept202122233738[Комнатность],"&lt;&gt;Офис")</f>
        <v>706.4</v>
      </c>
      <c r="E147" s="52">
        <f>SUMIFS(sept202122233738[Сумма без отделки],sept202122233738[МОП],$A147,sept202122233738[Комнатность],"&lt;&gt;Офис")</f>
        <v>67264497.980000004</v>
      </c>
      <c r="F147" s="413">
        <f>COUNTIFS(sept202122233738[МОП],$A147,sept202122233738[Комнатность],"&lt;&gt;Офис")</f>
        <v>12</v>
      </c>
      <c r="G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766.6400000000001</v>
      </c>
      <c r="H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72737031.719999999</v>
      </c>
      <c r="I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13</v>
      </c>
      <c r="J147" s="224">
        <f t="shared" si="8"/>
        <v>0.9083412322274883</v>
      </c>
      <c r="K147" s="225">
        <f t="shared" si="8"/>
        <v>0.9131779837939823</v>
      </c>
      <c r="L147" s="325">
        <f>L133+L118</f>
        <v>0</v>
      </c>
      <c r="M147" s="326">
        <f>M133+M118</f>
        <v>4</v>
      </c>
      <c r="N147" s="326">
        <f>N133+N118</f>
        <v>1</v>
      </c>
      <c r="O147" s="326">
        <f>O133+O118</f>
        <v>2</v>
      </c>
      <c r="P147" s="327">
        <f>P133+P118</f>
        <v>0</v>
      </c>
      <c r="T147" s="66"/>
    </row>
    <row r="148" spans="1:21" s="65" customFormat="1">
      <c r="A148" s="153" t="s">
        <v>20</v>
      </c>
      <c r="B148" s="267">
        <f>IFERROR(VLOOKUP(A148,'ИПП (2)'!$B$32:$J$45,8,0),"")</f>
        <v>874</v>
      </c>
      <c r="C148" s="268">
        <f>IFERROR(VLOOKUP(A148,'ИПП (2)'!$B$32:$J$45,9,0),"")</f>
        <v>82399277</v>
      </c>
      <c r="D148" s="257">
        <f>SUMIFS(sept202122233738[м2],sept202122233738[МОП],$A148,sept202122233738[Комнатность],"&lt;&gt;Офис")</f>
        <v>273.92</v>
      </c>
      <c r="E148" s="52">
        <f>SUMIFS(sept202122233738[Сумма без отделки],sept202122233738[МОП],$A148,sept202122233738[Комнатность],"&lt;&gt;Офис")</f>
        <v>26678752</v>
      </c>
      <c r="F148" s="413">
        <f>COUNTIFS(sept202122233738[МОП],$A148,sept202122233738[Комнатность],"&lt;&gt;Офис")</f>
        <v>6</v>
      </c>
      <c r="G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350.27</v>
      </c>
      <c r="H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35653976</v>
      </c>
      <c r="I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8</v>
      </c>
      <c r="J148" s="224">
        <f t="shared" si="8"/>
        <v>0.40076659038901602</v>
      </c>
      <c r="K148" s="225">
        <f t="shared" si="8"/>
        <v>0.43269768010221737</v>
      </c>
      <c r="L148" s="325">
        <f>L135+L121</f>
        <v>0</v>
      </c>
      <c r="M148" s="326">
        <f>M135+M121</f>
        <v>6</v>
      </c>
      <c r="N148" s="326">
        <f>N135+N121</f>
        <v>5</v>
      </c>
      <c r="O148" s="326">
        <f>O135+O121</f>
        <v>0</v>
      </c>
      <c r="P148" s="327">
        <f>P135+P121</f>
        <v>0</v>
      </c>
      <c r="T148" s="66"/>
    </row>
    <row r="149" spans="1:21" s="65" customFormat="1">
      <c r="A149" s="153" t="s">
        <v>14</v>
      </c>
      <c r="B149" s="267">
        <f>IFERROR(VLOOKUP(A149,'ИПП (2)'!$B$32:$J$45,8,0),"")</f>
        <v>756</v>
      </c>
      <c r="C149" s="268">
        <f>IFERROR(VLOOKUP(A149,'ИПП (2)'!$B$32:$J$45,9,0),"")</f>
        <v>71412709</v>
      </c>
      <c r="D149" s="329">
        <f>SUMIFS(sept202122233738[м2],sept202122233738[МОП],$A149,sept202122233738[Комнатность],"&lt;&gt;Офис")</f>
        <v>474.51</v>
      </c>
      <c r="E149" s="363">
        <f>SUMIFS(sept202122233738[Сумма без отделки],sept202122233738[МОП],$A149,sept202122233738[Комнатность],"&lt;&gt;Офис")</f>
        <v>49134377</v>
      </c>
      <c r="F149" s="414">
        <f>COUNTIFS(sept202122233738[МОП],$A149,sept202122233738[Комнатность],"&lt;&gt;Офис")</f>
        <v>10</v>
      </c>
      <c r="G149" s="358">
        <f>SUMIFS(РД[S],РД[МОП],A149,РД[Дата подачи на регистрацию],"&lt;="&amp;$A$1,РД[Дата подачи на регистрацию],"&gt;="&amp;DATE(YEAR($A$1),MONTH($A$1),1),РД[Состояние],"Продажа")</f>
        <v>538.25</v>
      </c>
      <c r="H149" s="359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54956889</v>
      </c>
      <c r="I149" s="330">
        <f>COUNTIFS(РД[МОП],A149,РД[Дата подачи на регистрацию],"&lt;="&amp;$A$1,РД[Дата подачи на регистрацию],"&gt;="&amp;DATE(YEAR($A$1),MONTH($A$1),1),РД[Состояние],"Продажа")</f>
        <v>11</v>
      </c>
      <c r="J149" s="360">
        <f t="shared" si="8"/>
        <v>0.71197089947089942</v>
      </c>
      <c r="K149" s="361">
        <f t="shared" si="8"/>
        <v>0.7695673468989952</v>
      </c>
      <c r="L149" s="364">
        <f t="shared" ref="L149:P151" si="9">L135+L121</f>
        <v>0</v>
      </c>
      <c r="M149" s="365">
        <f t="shared" si="9"/>
        <v>6</v>
      </c>
      <c r="N149" s="365">
        <f t="shared" si="9"/>
        <v>5</v>
      </c>
      <c r="O149" s="365">
        <f t="shared" si="9"/>
        <v>0</v>
      </c>
      <c r="P149" s="366">
        <f t="shared" si="9"/>
        <v>0</v>
      </c>
      <c r="Q149" s="86"/>
      <c r="R149" s="86"/>
      <c r="S149" s="86"/>
      <c r="T149" s="66"/>
    </row>
    <row r="150" spans="1:21" s="65" customFormat="1">
      <c r="A150" s="154" t="s">
        <v>29</v>
      </c>
      <c r="B150" s="274"/>
      <c r="C150" s="275"/>
      <c r="D150" s="341">
        <f>SUMIFS(sept202122233738[м2],sept202122233738[МОП],$A150,sept202122233738[Комнатность],"&lt;&gt;Офис")</f>
        <v>0</v>
      </c>
      <c r="E150" s="277">
        <f>SUMIFS(sept202122233738[Сумма без отделки],sept202122233738[МОП],$A150,sept202122233738[Комнатность],"&lt;&gt;Офис")</f>
        <v>0</v>
      </c>
      <c r="F150" s="405">
        <f>COUNTIFS(sept202122233738[МОП],$A150,sept202122233738[Комнатность],"&lt;&gt;Офис")</f>
        <v>0</v>
      </c>
      <c r="G150" s="159">
        <f>SUMIFS(РД[S],РД[МОП],A150,РД[Дата подачи на регистрацию],"&lt;="&amp;$A$1,РД[Дата подачи на регистрацию],"&gt;="&amp;DATE(YEAR($A$1),MONTH($A$1),1),РД[Состояние],"Продажа")</f>
        <v>0</v>
      </c>
      <c r="H150" s="160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0</v>
      </c>
      <c r="I150" s="228">
        <f>COUNTIFS(РД[МОП],A150,РД[Дата подачи на регистрацию],"&lt;="&amp;$A$1,РД[Дата подачи на регистрацию],"&gt;="&amp;DATE(YEAR($A$1),MONTH($A$1),1),РД[Состояние],"Продажа")</f>
        <v>0</v>
      </c>
      <c r="J150" s="229" t="str">
        <f t="shared" si="8"/>
        <v/>
      </c>
      <c r="K150" s="230" t="str">
        <f t="shared" si="8"/>
        <v/>
      </c>
      <c r="L150" s="159">
        <f t="shared" si="9"/>
        <v>0</v>
      </c>
      <c r="M150" s="228">
        <f t="shared" si="9"/>
        <v>0</v>
      </c>
      <c r="N150" s="228">
        <f t="shared" si="9"/>
        <v>0</v>
      </c>
      <c r="O150" s="228">
        <f t="shared" si="9"/>
        <v>0</v>
      </c>
      <c r="P150" s="231">
        <f t="shared" si="9"/>
        <v>0</v>
      </c>
      <c r="T150" s="66"/>
    </row>
    <row r="151" spans="1:21" s="65" customFormat="1">
      <c r="A151" s="161" t="s">
        <v>1919</v>
      </c>
      <c r="B151" s="278"/>
      <c r="C151" s="279"/>
      <c r="D151" s="406">
        <f>SUMIFS(sept202122233738[м2],sept202122233738[МОП],$A151,sept202122233738[Комнатность],"&lt;&gt;Офис")</f>
        <v>200.33</v>
      </c>
      <c r="E151" s="281">
        <f>SUMIFS(sept202122233738[Сумма без отделки],sept202122233738[МОП],$A151,sept202122233738[Комнатность],"&lt;&gt;Офис")</f>
        <v>21565777</v>
      </c>
      <c r="F151" s="407">
        <f>COUNTIFS(sept202122233738[МОП],$A151,sept202122233738[Комнатность],"&lt;&gt;Офис")</f>
        <v>4</v>
      </c>
      <c r="G151" s="166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H151" s="16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232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33" t="str">
        <f t="shared" si="8"/>
        <v/>
      </c>
      <c r="K151" s="234" t="str">
        <f t="shared" si="8"/>
        <v/>
      </c>
      <c r="L151" s="509">
        <f t="shared" si="9"/>
        <v>0</v>
      </c>
      <c r="M151" s="510">
        <f t="shared" si="9"/>
        <v>0</v>
      </c>
      <c r="N151" s="510">
        <f t="shared" si="9"/>
        <v>0</v>
      </c>
      <c r="O151" s="510">
        <f t="shared" si="9"/>
        <v>0</v>
      </c>
      <c r="P151" s="511">
        <f t="shared" si="9"/>
        <v>0</v>
      </c>
      <c r="T151" s="66"/>
    </row>
    <row r="152" spans="1:21" s="65" customFormat="1">
      <c r="A152" s="168" t="s">
        <v>114</v>
      </c>
      <c r="B152" s="172">
        <f t="shared" ref="B152:I152" si="10">SUM(B146:B151)</f>
        <v>2909</v>
      </c>
      <c r="C152" s="491">
        <f t="shared" si="10"/>
        <v>274664259</v>
      </c>
      <c r="D152" s="173">
        <f t="shared" si="10"/>
        <v>1655.1599999999999</v>
      </c>
      <c r="E152" s="492">
        <f t="shared" si="10"/>
        <v>164643403.98000002</v>
      </c>
      <c r="F152" s="493">
        <f t="shared" si="10"/>
        <v>32</v>
      </c>
      <c r="G152" s="172">
        <f t="shared" si="10"/>
        <v>1655.16</v>
      </c>
      <c r="H152" s="492">
        <f t="shared" si="10"/>
        <v>163347896.72</v>
      </c>
      <c r="I152" s="493">
        <f t="shared" si="10"/>
        <v>32</v>
      </c>
      <c r="J152" s="238">
        <f>IFERROR(G152/B152,)</f>
        <v>0.56897903059470611</v>
      </c>
      <c r="K152" s="501">
        <f>IFERROR(H152/C152,)</f>
        <v>0.59471842938254305</v>
      </c>
      <c r="L152" s="471">
        <f>SUM(L146:L151)</f>
        <v>0</v>
      </c>
      <c r="M152" s="471">
        <f>SUM(M146:M151)</f>
        <v>16</v>
      </c>
      <c r="N152" s="471">
        <f>SUM(N146:N151)</f>
        <v>17</v>
      </c>
      <c r="O152" s="471">
        <f>SUM(O146:O151)</f>
        <v>2</v>
      </c>
      <c r="P152" s="471">
        <f>SUM(P146:P151)</f>
        <v>0</v>
      </c>
      <c r="T152" s="66"/>
    </row>
    <row r="153" spans="1:21" s="65" customFormat="1" ht="22.5" customHeight="1">
      <c r="A153" s="135" t="s">
        <v>115</v>
      </c>
      <c r="B153" s="135" t="s">
        <v>100</v>
      </c>
      <c r="C153" s="136" t="s">
        <v>97</v>
      </c>
      <c r="D153" s="295" t="s">
        <v>494</v>
      </c>
      <c r="E153" s="138" t="s">
        <v>495</v>
      </c>
      <c r="F153" s="470" t="s">
        <v>496</v>
      </c>
      <c r="G153" s="140" t="s">
        <v>101</v>
      </c>
      <c r="H153" s="141" t="s">
        <v>98</v>
      </c>
      <c r="I153" s="141" t="s">
        <v>96</v>
      </c>
      <c r="J153" s="141" t="s">
        <v>715</v>
      </c>
      <c r="K153" s="216" t="s">
        <v>716</v>
      </c>
      <c r="L153" s="512">
        <v>0</v>
      </c>
      <c r="M153" s="218">
        <v>1</v>
      </c>
      <c r="N153" s="218">
        <v>2</v>
      </c>
      <c r="O153" s="218">
        <v>3</v>
      </c>
      <c r="P153" s="219" t="s">
        <v>1367</v>
      </c>
      <c r="T153" s="66"/>
    </row>
    <row r="154" spans="1:21" s="65" customFormat="1">
      <c r="A154" s="177" t="s">
        <v>22</v>
      </c>
      <c r="B154" s="291">
        <f>IFERROR(VLOOKUP(A154,'ИПП (2)'!$B$32:$J$45,8,0),"")</f>
        <v>1409</v>
      </c>
      <c r="C154" s="312">
        <f>IFERROR(VLOOKUP(A154,'ИПП (2)'!$B$32:$J$45,9,0),"")</f>
        <v>133074832</v>
      </c>
      <c r="D154" s="145">
        <f>SUMIFS(sept202122233738[м2],sept202122233738[ИМ],A154,sept202122233738[Комнатность],"&lt;&gt;Офис")</f>
        <v>877.71</v>
      </c>
      <c r="E154" s="149">
        <f>SUMIFS(sept202122233738[Сумма без отделки],sept202122233738[ИМ],$A154,sept202122233738[Комнатность],"&lt;&gt;Офис")</f>
        <v>89907007</v>
      </c>
      <c r="F154" s="147">
        <f>COUNTIFS(sept202122233738[ИМ],A154,sept202122233738[Комнатность],"&lt;&gt;Офис")</f>
        <v>18</v>
      </c>
      <c r="G154" s="183">
        <f>SUMIFS(РД[S],РД[ИМ],A154,РД[Дата подачи на регистрацию],"&lt;="&amp;$A$1,РД[Дата подачи на регистрацию],"&gt;="&amp;DATE(YEAR($A$1),MONTH($A$1),1),РД[Состояние],"Продажа")</f>
        <v>877.71</v>
      </c>
      <c r="H154" s="184">
        <f>SUMIFS(РД[Стоимость без отделки итог],РД[ИМ],A154,РД[Дата подачи на регистрацию],"&lt;="&amp;$A$1,РД[Дата подачи на регистрацию],"&gt;="&amp;DATE(YEAR($A$1),MONTH($A$1),1),РД[Состояние],"Продажа")</f>
        <v>88611500</v>
      </c>
      <c r="I154" s="243">
        <f>COUNTIFS(РД[ИМ],A154,РД[Дата подачи на регистрацию],"&lt;="&amp;$A$1,РД[Дата подачи на регистрацию],"&gt;="&amp;DATE(YEAR($A$1),MONTH($A$1),1),РД[Состояние],"Продажа")</f>
        <v>18</v>
      </c>
      <c r="J154" s="244">
        <f t="shared" ref="J154:K156" si="11">IFERROR(G154/B154,"")</f>
        <v>0.62293115684882894</v>
      </c>
      <c r="K154" s="258">
        <f t="shared" si="11"/>
        <v>0.66587722613093359</v>
      </c>
      <c r="L154" s="346">
        <f t="shared" ref="L154:P155" si="12">L140+L126</f>
        <v>2</v>
      </c>
      <c r="M154" s="243">
        <f t="shared" si="12"/>
        <v>8</v>
      </c>
      <c r="N154" s="243">
        <f t="shared" si="12"/>
        <v>7</v>
      </c>
      <c r="O154" s="243">
        <f t="shared" si="12"/>
        <v>1</v>
      </c>
      <c r="P154" s="246">
        <f t="shared" si="12"/>
        <v>0</v>
      </c>
      <c r="Q154" s="66"/>
      <c r="R154" s="66"/>
      <c r="S154" s="66"/>
      <c r="T154" s="66"/>
    </row>
    <row r="155" spans="1:21" s="65" customFormat="1">
      <c r="A155" s="189" t="s">
        <v>16</v>
      </c>
      <c r="B155" s="293">
        <f>IFERROR(VLOOKUP(A155,'ИПП (2)'!$B$32:$J$45,8,0),"")</f>
        <v>1063</v>
      </c>
      <c r="C155" s="556">
        <f>IFERROR(VLOOKUP(A155,'ИПП (2)'!$B$32:$J$45,9,0),"")</f>
        <v>100389787</v>
      </c>
      <c r="D155" s="145">
        <f>SUMIFS(sept202122233738[м2],sept202122233738[ИМ],A155,sept202122233738[Комнатность],"&lt;&gt;Офис")</f>
        <v>579.79</v>
      </c>
      <c r="E155" s="149">
        <f>SUMIFS(sept202122233738[Сумма без отделки],sept202122233738[ИМ],$A155,sept202122233738[Комнатность],"&lt;&gt;Офис")</f>
        <v>57712895.259999998</v>
      </c>
      <c r="F155" s="147">
        <f>COUNTIFS(sept202122233738[ИМ],$A155,sept202122233738[Комнатность],"&lt;&gt;Офис")</f>
        <v>11</v>
      </c>
      <c r="G155" s="195">
        <f>SUMIFS(РД[S],РД[ИМ],A155,РД[Дата подачи на регистрацию],"&lt;="&amp;$A$1,РД[Дата подачи на регистрацию],"&gt;="&amp;DATE(YEAR($A$1),MONTH($A$1),1),РД[Состояние],"Продажа")</f>
        <v>579.79</v>
      </c>
      <c r="H155" s="196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57712895</v>
      </c>
      <c r="I155" s="251">
        <f>COUNTIFS(РД[ИМ],A155,РД[Дата подачи на регистрацию],"&lt;="&amp;$A$1,РД[Дата подачи на регистрацию],"&gt;="&amp;DATE(YEAR($A$1),MONTH($A$1),1),РД[Состояние],"Продажа")</f>
        <v>11</v>
      </c>
      <c r="J155" s="252">
        <f t="shared" si="11"/>
        <v>0.54542803386641581</v>
      </c>
      <c r="K155" s="260">
        <f t="shared" si="11"/>
        <v>0.57488811087924707</v>
      </c>
      <c r="L155" s="329">
        <f t="shared" si="12"/>
        <v>0</v>
      </c>
      <c r="M155" s="330">
        <f t="shared" si="12"/>
        <v>5</v>
      </c>
      <c r="N155" s="330">
        <f t="shared" si="12"/>
        <v>6</v>
      </c>
      <c r="O155" s="330">
        <f t="shared" si="12"/>
        <v>0</v>
      </c>
      <c r="P155" s="331">
        <f t="shared" si="12"/>
        <v>0</v>
      </c>
      <c r="Q155" s="66"/>
      <c r="R155" s="66"/>
      <c r="S155" s="66"/>
      <c r="T155" s="66"/>
    </row>
    <row r="156" spans="1:21" s="65" customFormat="1">
      <c r="A156" s="168" t="s">
        <v>114</v>
      </c>
      <c r="B156" s="172">
        <f>SUM(B154:B155)</f>
        <v>2472</v>
      </c>
      <c r="C156" s="491">
        <f>SUM(C154:C155)</f>
        <v>233464619</v>
      </c>
      <c r="D156" s="484">
        <f t="shared" ref="D156:P156" si="13">SUM(D154:D155)</f>
        <v>1457.5</v>
      </c>
      <c r="E156" s="429">
        <f t="shared" si="13"/>
        <v>147619902.25999999</v>
      </c>
      <c r="F156" s="485">
        <f t="shared" si="13"/>
        <v>29</v>
      </c>
      <c r="G156" s="473">
        <f t="shared" si="13"/>
        <v>1457.5</v>
      </c>
      <c r="H156" s="494">
        <f t="shared" si="13"/>
        <v>146324395</v>
      </c>
      <c r="I156" s="494">
        <f t="shared" si="13"/>
        <v>29</v>
      </c>
      <c r="J156" s="419">
        <f t="shared" si="11"/>
        <v>0.58960355987055013</v>
      </c>
      <c r="K156" s="420">
        <f t="shared" si="11"/>
        <v>0.62675190624922916</v>
      </c>
      <c r="L156" s="473">
        <f t="shared" si="13"/>
        <v>2</v>
      </c>
      <c r="M156" s="494">
        <f t="shared" si="13"/>
        <v>13</v>
      </c>
      <c r="N156" s="494">
        <f t="shared" si="13"/>
        <v>13</v>
      </c>
      <c r="O156" s="494">
        <f t="shared" si="13"/>
        <v>1</v>
      </c>
      <c r="P156" s="497">
        <f t="shared" si="13"/>
        <v>0</v>
      </c>
      <c r="Q156" s="66"/>
      <c r="R156" s="66"/>
      <c r="S156" s="66"/>
      <c r="T156" s="66"/>
    </row>
    <row r="157" spans="1:21" s="65" customFormat="1">
      <c r="A157" s="134"/>
      <c r="B157" s="44"/>
      <c r="C157" s="44"/>
      <c r="D157" s="134"/>
      <c r="E157" s="134"/>
      <c r="F157" s="44"/>
      <c r="G157" s="134"/>
      <c r="H157" s="134"/>
      <c r="I157" s="134"/>
      <c r="J157" s="134"/>
      <c r="K157" s="255"/>
      <c r="L157" s="256"/>
      <c r="M157" s="134"/>
      <c r="N157" s="134"/>
      <c r="O157" s="134"/>
      <c r="P157" s="134"/>
      <c r="Q157" s="134"/>
      <c r="T157" s="66"/>
      <c r="U157" s="66"/>
    </row>
    <row r="158" spans="1:21" s="65" customFormat="1" ht="15">
      <c r="A158" s="2314" t="s">
        <v>1368</v>
      </c>
      <c r="B158" s="2315"/>
      <c r="C158" s="2315"/>
      <c r="D158" s="2315"/>
      <c r="E158" s="2315"/>
      <c r="F158" s="2315"/>
      <c r="G158" s="2315"/>
      <c r="H158" s="2315"/>
      <c r="I158" s="2315"/>
      <c r="J158" s="2315"/>
      <c r="K158" s="2315"/>
      <c r="L158" s="2315"/>
      <c r="M158" s="2315"/>
      <c r="N158" s="2316"/>
      <c r="O158" s="339"/>
      <c r="P158" s="66"/>
      <c r="S158" s="66"/>
      <c r="T158" s="66"/>
    </row>
    <row r="159" spans="1:21" s="65" customFormat="1" ht="22.5" customHeight="1">
      <c r="A159" s="135" t="s">
        <v>1</v>
      </c>
      <c r="B159" s="135" t="s">
        <v>100</v>
      </c>
      <c r="C159" s="136" t="s">
        <v>97</v>
      </c>
      <c r="D159" s="264" t="s">
        <v>494</v>
      </c>
      <c r="E159" s="265" t="s">
        <v>495</v>
      </c>
      <c r="F159" s="266" t="s">
        <v>496</v>
      </c>
      <c r="G159" s="140" t="s">
        <v>101</v>
      </c>
      <c r="H159" s="141" t="s">
        <v>98</v>
      </c>
      <c r="I159" s="141" t="s">
        <v>96</v>
      </c>
      <c r="J159" s="141" t="s">
        <v>715</v>
      </c>
      <c r="K159" s="216" t="s">
        <v>716</v>
      </c>
      <c r="L159" s="332" t="s">
        <v>121</v>
      </c>
      <c r="M159" s="218" t="s">
        <v>27</v>
      </c>
      <c r="N159" s="219" t="s">
        <v>7</v>
      </c>
      <c r="O159" s="545"/>
      <c r="P159" s="66"/>
      <c r="S159" s="66"/>
      <c r="T159" s="66"/>
    </row>
    <row r="160" spans="1:21" s="65" customFormat="1">
      <c r="A160" s="142" t="s">
        <v>8</v>
      </c>
      <c r="B160" s="267"/>
      <c r="C160" s="268"/>
      <c r="D160" s="416">
        <f>SUMIFS(sept202122233738[м2],sept202122233738[МОП],A160,sept202122233738[Комнатность],"Офис")</f>
        <v>0</v>
      </c>
      <c r="E160" s="146">
        <f>SUMIFS(sept202122233738[Сумма без отделки],sept202122233738[МОП],$A160,sept202122233738[Комнатность],"оФИС")</f>
        <v>0</v>
      </c>
      <c r="F160" s="417">
        <f>COUNTIFS(sept202122233738[МОП],$A160,sept202122233738[Комнатность],"Офис")</f>
        <v>0</v>
      </c>
      <c r="G160" s="267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H160" s="146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21" t="str">
        <f t="shared" ref="J160:K166" si="14">IFERROR(G160/B160,"")</f>
        <v/>
      </c>
      <c r="K160" s="333" t="str">
        <f t="shared" si="14"/>
        <v/>
      </c>
      <c r="L160" s="148">
        <f>COUNTIFS(РД[Дом],L$159,РД[МОП],$A160,РД[Дата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M160" s="220">
        <f>COUNTIFS(РД[Дом],M$159,РД[МОП],$A160,РД[Дата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3">
        <f>COUNTIFS(РД[Дом],N$159,РД[МОП],$A160,РД[Дата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339"/>
      <c r="S160" s="66"/>
      <c r="T160" s="66"/>
    </row>
    <row r="161" spans="1:21" s="65" customFormat="1">
      <c r="A161" s="398" t="s">
        <v>77</v>
      </c>
      <c r="B161" s="271"/>
      <c r="C161" s="272"/>
      <c r="D161" s="416">
        <f>SUMIFS(sept202122233738[м2],sept202122233738[МОП],A161,sept202122233738[Комнатность],"Офис")</f>
        <v>0</v>
      </c>
      <c r="E161" s="52">
        <f>SUMIFS(sept202122233738[Сумма без отделки],sept202122233738[МОП],$A161,sept202122233738[Комнатность],"оФИС")</f>
        <v>0</v>
      </c>
      <c r="F161" s="421">
        <f>COUNTIFS(sept202122233738[МОП],$A161,sept202122233738[Комнатность],"Офис")</f>
        <v>0</v>
      </c>
      <c r="G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H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52" t="str">
        <f t="shared" si="14"/>
        <v/>
      </c>
      <c r="K161" s="546" t="str">
        <f t="shared" si="14"/>
        <v/>
      </c>
      <c r="L161" s="202">
        <f>COUNTIFS(РД[Дом],L$159,РД[МОП],$A161,РД[Дата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6">
        <f>COUNTIFS(РД[Дом],M$159,РД[МОП],$A161,РД[Дата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7">
        <f>COUNTIFS(РД[Дом],N$159,РД[МОП],$A161,РД[Дата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339"/>
      <c r="S161" s="66"/>
      <c r="T161" s="66"/>
    </row>
    <row r="162" spans="1:21" s="65" customFormat="1">
      <c r="A162" s="153" t="s">
        <v>20</v>
      </c>
      <c r="B162" s="271"/>
      <c r="C162" s="272"/>
      <c r="D162" s="416">
        <f>SUMIFS(sept202122233738[м2],sept202122233738[МОП],A162,sept202122233738[Комнатность],"Офис")</f>
        <v>0</v>
      </c>
      <c r="E162" s="52">
        <f>SUMIFS(sept202122233738[Сумма без отделки],sept202122233738[МОП],$A162,sept202122233738[Комнатность],"оФИС")</f>
        <v>0</v>
      </c>
      <c r="F162" s="421">
        <f>COUNTIFS(sept202122233738[МОП],$A162,sept202122233738[Комнатность],"Офис")</f>
        <v>0</v>
      </c>
      <c r="G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H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4" t="str">
        <f t="shared" si="14"/>
        <v/>
      </c>
      <c r="K162" s="334" t="str">
        <f t="shared" si="14"/>
        <v/>
      </c>
      <c r="L162" s="202">
        <f>COUNTIFS(РД[Дом],L$159,РД[МОП],$A162,РД[Дата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6">
        <f>COUNTIFS(РД[Дом],M$159,РД[МОП],$A162,РД[Дата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7">
        <f>COUNTIFS(РД[Дом],N$159,РД[МОП],$A162,РД[Дата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339"/>
      <c r="S162" s="66"/>
      <c r="T162" s="66"/>
    </row>
    <row r="163" spans="1:21" s="65" customFormat="1">
      <c r="A163" s="153" t="s">
        <v>14</v>
      </c>
      <c r="B163" s="315"/>
      <c r="C163" s="316"/>
      <c r="D163" s="422">
        <f>SUMIFS(sept202122233738[м2],sept202122233738[МОП],A163,sept202122233738[Комнатность],"Офис")</f>
        <v>0</v>
      </c>
      <c r="E163" s="363">
        <f>SUMIFS(sept202122233738[Сумма без отделки],sept202122233738[МОП],$A163,sept202122233738[Комнатность],"оФИС")</f>
        <v>0</v>
      </c>
      <c r="F163" s="414">
        <f>COUNTIFS(sept202122233738[МОП],$A163,sept202122233738[Комнатность],"Офис")</f>
        <v>0</v>
      </c>
      <c r="G163" s="315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H163" s="363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47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360" t="str">
        <f t="shared" si="14"/>
        <v/>
      </c>
      <c r="K163" s="367" t="str">
        <f t="shared" si="14"/>
        <v/>
      </c>
      <c r="L163" s="358">
        <f>COUNTIFS(РД[Дом],L$159,РД[МОП],$A163,РД[Дата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330">
        <f>COUNTIFS(РД[Дом],M$159,РД[МОП],$A163,РД[Дата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331">
        <f>COUNTIFS(РД[Дом],N$159,РД[МОП],$A163,РД[Дата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339"/>
      <c r="S163" s="66"/>
      <c r="T163" s="66"/>
    </row>
    <row r="164" spans="1:21" s="65" customFormat="1">
      <c r="A164" s="154" t="s">
        <v>29</v>
      </c>
      <c r="B164" s="274"/>
      <c r="C164" s="275"/>
      <c r="D164" s="423">
        <f>SUMIFS(sept202122233738[м2],sept202122233738[МОП],A164,sept202122233738[Комнатность],"Офис")</f>
        <v>0</v>
      </c>
      <c r="E164" s="277">
        <f>SUMIFS(sept202122233738[Сумма без отделки],sept202122233738[МОП],$A164,sept202122233738[Комнатность],"оФИС")</f>
        <v>0</v>
      </c>
      <c r="F164" s="405">
        <f>COUNTIFS(sept202122233738[МОП],$A164,sept202122233738[Комнатность],"Офис")</f>
        <v>0</v>
      </c>
      <c r="G164" s="274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H164" s="277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28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29" t="str">
        <f t="shared" si="14"/>
        <v/>
      </c>
      <c r="K164" s="335" t="str">
        <f t="shared" si="14"/>
        <v/>
      </c>
      <c r="L164" s="159">
        <f>COUNTIFS(РД[Дом],L$159,РД[МОП],$A164,РД[Дата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28">
        <f>COUNTIFS(РД[Дом],M$159,РД[МОП],$A164,РД[Дата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31">
        <f>COUNTIFS(РД[Дом],N$159,РД[МОП],$A164,РД[Дата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339"/>
      <c r="S164" s="66"/>
      <c r="T164" s="66"/>
    </row>
    <row r="165" spans="1:21" s="65" customFormat="1">
      <c r="A165" s="161" t="s">
        <v>1919</v>
      </c>
      <c r="B165" s="278"/>
      <c r="C165" s="279"/>
      <c r="D165" s="424">
        <f>SUMIFS(sept202122233738[м2],sept202122233738[МОП],A165,sept202122233738[Комнатность],"Офис")</f>
        <v>0</v>
      </c>
      <c r="E165" s="281">
        <f>SUMIFS(sept202122233738[Сумма без отделки],sept202122233738[МОП],$A165,sept202122233738[Комнатность],"оФИС")</f>
        <v>0</v>
      </c>
      <c r="F165" s="407">
        <f>COUNTIFS(sept202122233738[МОП],$A165,sept202122233738[Комнатность],"Офис")</f>
        <v>0</v>
      </c>
      <c r="G165" s="278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H165" s="281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32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33" t="str">
        <f t="shared" si="14"/>
        <v/>
      </c>
      <c r="K165" s="336" t="str">
        <f t="shared" si="14"/>
        <v/>
      </c>
      <c r="L165" s="166">
        <f>COUNTIFS(РД[Дом],L$159,РД[МОП],$A165,РД[Дата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M165" s="232">
        <f>COUNTIFS(РД[Дом],M$159,РД[МОП],$A165,РД[Дата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337">
        <f>COUNTIFS(РД[Дом],N$159,РД[МОП],$A165,РД[Дата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9"/>
      <c r="S165" s="66"/>
      <c r="T165" s="66"/>
    </row>
    <row r="166" spans="1:21" s="65" customFormat="1">
      <c r="A166" s="513" t="s">
        <v>114</v>
      </c>
      <c r="B166" s="282">
        <f t="shared" ref="B166:I166" si="15">SUM(B160:B165)</f>
        <v>0</v>
      </c>
      <c r="C166" s="283">
        <f t="shared" si="15"/>
        <v>0</v>
      </c>
      <c r="D166" s="425">
        <f t="shared" si="15"/>
        <v>0</v>
      </c>
      <c r="E166" s="287">
        <f t="shared" si="15"/>
        <v>0</v>
      </c>
      <c r="F166" s="286">
        <f t="shared" si="15"/>
        <v>0</v>
      </c>
      <c r="G166" s="282">
        <f t="shared" si="15"/>
        <v>0</v>
      </c>
      <c r="H166" s="287">
        <f t="shared" si="15"/>
        <v>0</v>
      </c>
      <c r="I166" s="287">
        <f t="shared" si="15"/>
        <v>0</v>
      </c>
      <c r="J166" s="238" t="str">
        <f t="shared" si="14"/>
        <v/>
      </c>
      <c r="K166" s="338" t="str">
        <f t="shared" si="14"/>
        <v/>
      </c>
      <c r="L166" s="282">
        <f>SUM(L160:L165)</f>
        <v>0</v>
      </c>
      <c r="M166" s="287">
        <f>SUM(M160:M165)</f>
        <v>0</v>
      </c>
      <c r="N166" s="287">
        <f>SUM(N160:N165)</f>
        <v>0</v>
      </c>
      <c r="O166" s="339"/>
      <c r="S166" s="66"/>
      <c r="T166" s="66"/>
    </row>
    <row r="167" spans="1:21" s="65" customFormat="1" ht="22.5" customHeight="1">
      <c r="A167" s="135" t="s">
        <v>115</v>
      </c>
      <c r="B167" s="135" t="s">
        <v>100</v>
      </c>
      <c r="C167" s="136" t="s">
        <v>97</v>
      </c>
      <c r="D167" s="264" t="s">
        <v>494</v>
      </c>
      <c r="E167" s="265" t="s">
        <v>495</v>
      </c>
      <c r="F167" s="266" t="s">
        <v>496</v>
      </c>
      <c r="G167" s="140" t="s">
        <v>101</v>
      </c>
      <c r="H167" s="141" t="s">
        <v>98</v>
      </c>
      <c r="I167" s="141" t="s">
        <v>96</v>
      </c>
      <c r="J167" s="141" t="s">
        <v>715</v>
      </c>
      <c r="K167" s="526" t="s">
        <v>716</v>
      </c>
      <c r="L167" s="332" t="s">
        <v>121</v>
      </c>
      <c r="M167" s="218" t="s">
        <v>27</v>
      </c>
      <c r="N167" s="219" t="s">
        <v>7</v>
      </c>
      <c r="O167" s="339"/>
      <c r="T167" s="66"/>
    </row>
    <row r="168" spans="1:21" s="65" customFormat="1">
      <c r="A168" s="177" t="s">
        <v>22</v>
      </c>
      <c r="B168" s="291"/>
      <c r="C168" s="312"/>
      <c r="D168" s="514">
        <f>SUMIFS(sept202122233738[м2],sept202122233738[ИМ],A168,sept202122233738[Комнатность],"Офис")</f>
        <v>0</v>
      </c>
      <c r="E168" s="146">
        <f>SUMIFS(sept202122233738[Сумма без отделки],sept202122233738[ИМ],$A168,sept202122233738[Комнатность],"оФИС")</f>
        <v>0</v>
      </c>
      <c r="F168" s="417">
        <f>COUNTIFS(sept202122233738[ИМ],$A168,sept202122233738[Комнатность],"Офис")</f>
        <v>0</v>
      </c>
      <c r="G168" s="26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H168" s="146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0">
        <f>COUNTIFS(РД[ИМ],A168,РД[Дата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4" t="str">
        <f t="shared" ref="J168:K170" si="16">IFERROR(G168/B168,"")</f>
        <v/>
      </c>
      <c r="K168" s="334" t="str">
        <f t="shared" si="16"/>
        <v/>
      </c>
      <c r="L168" s="148">
        <f>COUNTIFS(РД[Дом],L$159,РД[ИМ],$A168,РД[Дата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M168" s="220">
        <f>COUNTIFS(РД[Дом],M$159,РД[ИМ],$A168,РД[Дата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3">
        <f>COUNTIFS(РД[Дом],N$159,РД[ИМ],$A168,РД[Дата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339"/>
      <c r="T168" s="66"/>
    </row>
    <row r="169" spans="1:21" s="65" customFormat="1">
      <c r="A169" s="189" t="s">
        <v>16</v>
      </c>
      <c r="B169" s="516"/>
      <c r="C169" s="517"/>
      <c r="D169" s="422">
        <f>SUMIFS(sept202122233738[м2],sept202122233738[ИМ],A169,sept202122233738[Комнатность],"Офис")</f>
        <v>0</v>
      </c>
      <c r="E169" s="363">
        <f>SUMIFS(sept202122233738[Сумма без отделки],sept202122233738[ИМ],$A169,sept202122233738[Комнатность],"оФИС")</f>
        <v>0</v>
      </c>
      <c r="F169" s="518">
        <f>COUNTIFS(sept202122233738[ИМ],$A169,sept202122233738[Комнатность],"Офис")</f>
        <v>0</v>
      </c>
      <c r="G169" s="31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H169" s="363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52" t="str">
        <f t="shared" si="16"/>
        <v/>
      </c>
      <c r="K169" s="253" t="str">
        <f t="shared" si="16"/>
        <v/>
      </c>
      <c r="L169" s="202">
        <f>COUNTIFS(РД[Дом],L$159,РД[ИМ],$A169,РД[Дата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M169" s="226">
        <f>COUNTIFS(РД[Дом],M$159,РД[ИМ],$A169,РД[Дата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7">
        <f>COUNTIFS(РД[Дом],N$159,РД[ИМ],$A169,РД[Дата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339"/>
      <c r="T169" s="66"/>
    </row>
    <row r="170" spans="1:21" s="65" customFormat="1">
      <c r="A170" s="513" t="s">
        <v>114</v>
      </c>
      <c r="B170" s="282">
        <f>SUM(B168:B169)</f>
        <v>0</v>
      </c>
      <c r="C170" s="283">
        <f>SUM(C168:C169)</f>
        <v>0</v>
      </c>
      <c r="D170" s="428">
        <f t="shared" ref="D170:I170" si="17">SUM(D168:D169)</f>
        <v>0</v>
      </c>
      <c r="E170" s="429">
        <f t="shared" si="17"/>
        <v>0</v>
      </c>
      <c r="F170" s="322">
        <f t="shared" si="17"/>
        <v>0</v>
      </c>
      <c r="G170" s="323">
        <f t="shared" si="17"/>
        <v>0</v>
      </c>
      <c r="H170" s="429">
        <f t="shared" si="17"/>
        <v>0</v>
      </c>
      <c r="I170" s="429">
        <f t="shared" si="17"/>
        <v>0</v>
      </c>
      <c r="J170" s="419" t="str">
        <f t="shared" si="16"/>
        <v/>
      </c>
      <c r="K170" s="527" t="str">
        <f t="shared" si="16"/>
        <v/>
      </c>
      <c r="L170" s="318">
        <f>SUM(L168:L169)</f>
        <v>0</v>
      </c>
      <c r="M170" s="321">
        <f>SUM(M168:M169)</f>
        <v>0</v>
      </c>
      <c r="N170" s="319">
        <f>SUM(N168:N169)</f>
        <v>0</v>
      </c>
      <c r="O170" s="339"/>
      <c r="T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134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321" t="s">
        <v>945</v>
      </c>
      <c r="B172" s="2322"/>
      <c r="C172" s="2322"/>
      <c r="D172" s="2322"/>
      <c r="E172" s="2322"/>
      <c r="F172" s="2322"/>
      <c r="G172" s="2322"/>
      <c r="H172" s="2322"/>
      <c r="I172" s="2322"/>
      <c r="J172" s="2322"/>
      <c r="K172" s="2322"/>
      <c r="L172" s="2322"/>
      <c r="M172" s="2399"/>
      <c r="N172" s="339"/>
      <c r="O172" s="339"/>
      <c r="P172" s="86"/>
      <c r="T172" s="66"/>
    </row>
    <row r="173" spans="1:21" s="65" customFormat="1" ht="22.5" customHeight="1">
      <c r="A173" s="135" t="s">
        <v>1</v>
      </c>
      <c r="B173" s="135" t="s">
        <v>101</v>
      </c>
      <c r="C173" s="136" t="s">
        <v>98</v>
      </c>
      <c r="D173" s="295" t="s">
        <v>494</v>
      </c>
      <c r="E173" s="138" t="s">
        <v>495</v>
      </c>
      <c r="F173" s="296" t="s">
        <v>496</v>
      </c>
      <c r="G173" s="140" t="s">
        <v>946</v>
      </c>
      <c r="H173" s="141" t="s">
        <v>947</v>
      </c>
      <c r="I173" s="217">
        <v>0</v>
      </c>
      <c r="J173" s="218">
        <v>1</v>
      </c>
      <c r="K173" s="340">
        <v>2</v>
      </c>
      <c r="L173" s="218">
        <v>3</v>
      </c>
      <c r="M173" s="219" t="s">
        <v>1367</v>
      </c>
      <c r="N173" s="339"/>
      <c r="O173" s="339"/>
      <c r="P173" s="86"/>
      <c r="T173" s="66"/>
    </row>
    <row r="174" spans="1:21" s="65" customFormat="1">
      <c r="A174" s="142" t="s">
        <v>8</v>
      </c>
      <c r="B174" s="267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60.24</v>
      </c>
      <c r="C174" s="268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5563241</v>
      </c>
      <c r="D174" s="329">
        <f>SUMIFS(sept202122233738[м2],sept202122233738[МОП],$A174,sept202122233738[№ дома],#REF!)</f>
        <v>0</v>
      </c>
      <c r="E174" s="363">
        <f>SUMIFS(sept202122233738[Сумма без отделки],sept202122233738[МОП],$A174,sept202122233738[№ дома],#REF!)</f>
        <v>0</v>
      </c>
      <c r="F174" s="414">
        <f>COUNTIFS(sept202122233738[МОП],$A174,sept202122233738[№ дома],#REF!)</f>
        <v>0</v>
      </c>
      <c r="G174" s="267">
        <f>SUMIFS(РД[S],РД[МОП],A174,РД[Дата подачи на регистрацию],"&lt;="&amp;$A$1,РД[Дата подачи на регистрацию],"&gt;="&amp;DATE(YEAR($A$1),MONTH($A$1),1),РД[Источник рекламы],"Н -*")/2</f>
        <v>30.12</v>
      </c>
      <c r="H174" s="549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-*")/2</f>
        <v>2781620.5</v>
      </c>
      <c r="I174" s="148">
        <f>COUNTIFS(РД[Тип кв],I$173,РД[МОП],$A174,РД[Дата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J174" s="220">
        <f>COUNTIFS(РД[Тип кв],J$173,РД[МОП],$A174,РД[Дата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K174" s="220">
        <f>COUNTIFS(РД[Тип кв],K$173,РД[МОП],$A174,РД[Дата подачи на регистрацию],"&lt;="&amp;$A$1,РД[Дата подачи на регистрацию],"&gt;="&amp;DATE(YEAR($A$1),MONTH($A$1),1),РД[Источник рекламы],"Н -*")</f>
        <v>1</v>
      </c>
      <c r="L174" s="220">
        <f>COUNTIFS(РД[Тип кв],L$173,РД[МОП],$A174,РД[Дата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4" s="223">
        <f>COUNTIFS(РД[Тип кв],S$170,РД[МОП],$A174,РД[Дата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4" s="339"/>
      <c r="O174" s="339"/>
      <c r="P174" s="86"/>
      <c r="T174" s="66"/>
    </row>
    <row r="175" spans="1:21" s="65" customFormat="1">
      <c r="A175" s="398" t="s">
        <v>1867</v>
      </c>
      <c r="B175" s="271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C175" s="272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D175" s="329">
        <f>SUMIFS(sept202122233738[м2],sept202122233738[МОП],$A175,sept202122233738[№ дома],#REF!)</f>
        <v>0</v>
      </c>
      <c r="E175" s="363">
        <f>SUMIFS(sept202122233738[Сумма без отделки],sept202122233738[МОП],$A175,sept202122233738[№ дома],#REF!)</f>
        <v>0</v>
      </c>
      <c r="F175" s="414">
        <f>COUNTIFS(sept202122233738[МОП],$A175,sept202122233738[№ дома],#REF!)</f>
        <v>0</v>
      </c>
      <c r="G175" s="271">
        <f>SUMIFS(РД[S],РД[МОП],A175,РД[Дата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H175" s="546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I175" s="202">
        <f>COUNTIFS(РД[Тип кв],I$173,РД[МОП],$A175,РД[Дата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J175" s="226">
        <f>COUNTIFS(РД[Тип кв],J$173,РД[МОП],$A175,РД[Дата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K175" s="226">
        <f>COUNTIFS(РД[Тип кв],K$173,РД[МОП],$A175,РД[Дата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L175" s="226">
        <f>COUNTIFS(РД[Тип кв],L$173,РД[МОП],$A175,РД[Дата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5" s="227">
        <f>COUNTIFS(РД[Тип кв],S$170,РД[МОП],$A175,РД[Дата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5" s="339"/>
      <c r="O175" s="339"/>
      <c r="P175" s="86"/>
      <c r="T175" s="66"/>
    </row>
    <row r="176" spans="1:21" s="65" customFormat="1">
      <c r="A176" s="153" t="s">
        <v>20</v>
      </c>
      <c r="B176" s="271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76.349999999999994</v>
      </c>
      <c r="C176" s="27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8975224</v>
      </c>
      <c r="D176" s="329">
        <f>SUMIFS(sept202122233738[м2],sept202122233738[МОП],$A176,sept202122233738[№ дома],#REF!)</f>
        <v>0</v>
      </c>
      <c r="E176" s="363">
        <f>SUMIFS(sept202122233738[Сумма без отделки],sept202122233738[МОП],$A176,sept202122233738[№ дома],#REF!)</f>
        <v>0</v>
      </c>
      <c r="F176" s="414">
        <f>COUNTIFS(sept202122233738[МОП],$A176,sept202122233738[№ дома],#REF!)</f>
        <v>0</v>
      </c>
      <c r="G176" s="271">
        <f>SUMIFS(РД[S],РД[МОП],A176,РД[Дата подачи на регистрацию],"&lt;="&amp;$A$1,РД[Дата подачи на регистрацию],"&gt;="&amp;DATE(YEAR($A$1),MONTH($A$1),1),РД[Источник рекламы],"Н -*")/2</f>
        <v>38.174999999999997</v>
      </c>
      <c r="H176" s="5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-*")/2</f>
        <v>4487612</v>
      </c>
      <c r="I176" s="202">
        <f>COUNTIFS(РД[Тип кв],I$173,РД[МОП],$A176,РД[Дата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J176" s="226">
        <f>COUNTIFS(РД[Тип кв],J$173,РД[МОП],$A176,РД[Дата подачи на регистрацию],"&lt;="&amp;$A$1,РД[Дата подачи на регистрацию],"&gt;="&amp;DATE(YEAR($A$1),MONTH($A$1),1),РД[Источник рекламы],"Н -*")</f>
        <v>2</v>
      </c>
      <c r="K176" s="226">
        <f>COUNTIFS(РД[Тип кв],K$173,РД[МОП],$A176,РД[Дата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26">
        <f>COUNTIFS(РД[Тип кв],L$173,РД[МОП],$A176,РД[Дата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6" s="227">
        <f>COUNTIFS(РД[Тип кв],S$170,РД[МОП],$A176,РД[Дата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339"/>
      <c r="O176" s="339"/>
      <c r="P176" s="86"/>
      <c r="T176" s="66"/>
    </row>
    <row r="177" spans="1:21" s="65" customFormat="1">
      <c r="A177" s="153" t="s">
        <v>14</v>
      </c>
      <c r="B177" s="315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63.74</v>
      </c>
      <c r="C177" s="31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5822512</v>
      </c>
      <c r="D177" s="329">
        <f>SUMIFS(sept202122233738[м2],sept202122233738[МОП],$A177,sept202122233738[№ дома],#REF!)</f>
        <v>0</v>
      </c>
      <c r="E177" s="363">
        <f>SUMIFS(sept202122233738[Сумма без отделки],sept202122233738[МОП],$A177,sept202122233738[№ дома],#REF!)</f>
        <v>0</v>
      </c>
      <c r="F177" s="414">
        <f>COUNTIFS(sept202122233738[МОП],$A177,sept202122233738[№ дома],#REF!)</f>
        <v>0</v>
      </c>
      <c r="G177" s="315">
        <f>SUMIFS(РД[S],РД[МОП],A177,РД[Дата подачи на регистрацию],"&lt;="&amp;$A$1,РД[Дата подачи на регистрацию],"&gt;="&amp;DATE(YEAR($A$1),MONTH($A$1),1),РД[Источник рекламы],"Н -*")/2</f>
        <v>31.87</v>
      </c>
      <c r="H177" s="550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-*")/2</f>
        <v>2911256</v>
      </c>
      <c r="I177" s="358">
        <f>COUNTIFS(РД[Тип кв],I$173,РД[МОП],$A177,РД[Дата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J177" s="330">
        <f>COUNTIFS(РД[Тип кв],J$173,РД[МОП],$A177,РД[Дата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330">
        <f>COUNTIFS(РД[Тип кв],K$173,РД[МОП],$A177,РД[Дата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L177" s="330">
        <f>COUNTIFS(РД[Тип кв],L$173,РД[МОП],$A177,РД[Дата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7" s="331">
        <f>COUNTIFS(РД[Тип кв],S$170,РД[МОП],$A177,РД[Дата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339"/>
      <c r="O177" s="339"/>
      <c r="P177" s="86"/>
      <c r="T177" s="66"/>
    </row>
    <row r="178" spans="1:21" s="65" customFormat="1">
      <c r="A178" s="154" t="s">
        <v>29</v>
      </c>
      <c r="B178" s="274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C178" s="275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D178" s="341">
        <f>SUMIFS(sept202122233738[м2],sept202122233738[МОП],$A178,sept202122233738[№ дома],#REF!)</f>
        <v>0</v>
      </c>
      <c r="E178" s="277">
        <f>SUMIFS(sept202122233738[Сумма без отделки],sept202122233738[МОП],$A178,sept202122233738[№ дома],#REF!)</f>
        <v>0</v>
      </c>
      <c r="F178" s="405">
        <f>COUNTIFS(sept202122233738[МОП],$A178,sept202122233738[№ дома],#REF!)</f>
        <v>0</v>
      </c>
      <c r="G178" s="274">
        <f>SUMIFS(РД[S],РД[МОП],A178,РД[Дата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H178" s="277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I178" s="228">
        <f>COUNTIFS(РД[Тип кв],I$173,РД[МОП],$A178,РД[Дата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228">
        <f>COUNTIFS(РД[Тип кв],J$173,РД[МОП],$A178,РД[Дата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228">
        <f>COUNTIFS(РД[Тип кв],K$173,РД[МОП],$A178,РД[Дата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228">
        <f>COUNTIFS(РД[Тип кв],L$173,РД[МОП],$A178,РД[Дата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8" s="231">
        <f>COUNTIFS(РД[Тип кв],S$170,РД[МОП],$A178,РД[Дата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9"/>
      <c r="O178" s="339"/>
      <c r="P178" s="86"/>
      <c r="T178" s="66"/>
    </row>
    <row r="179" spans="1:21" s="65" customFormat="1">
      <c r="A179" s="161" t="s">
        <v>1919</v>
      </c>
      <c r="B179" s="278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C179" s="279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D179" s="406">
        <f>SUMIFS(sept202122233738[м2],sept202122233738[МОП],$A179,sept202122233738[№ дома],#REF!)</f>
        <v>0</v>
      </c>
      <c r="E179" s="281">
        <f>SUMIFS(sept202122233738[Сумма без отделки],sept202122233738[МОП],$A179,sept202122233738[№ дома],#REF!)</f>
        <v>0</v>
      </c>
      <c r="F179" s="407">
        <f>COUNTIFS(sept202122233738[МОП],$A179,sept202122233738[№ дома],#REF!)</f>
        <v>0</v>
      </c>
      <c r="G179" s="278">
        <f>SUMIFS(РД[S],РД[МОП],A179,РД[Дата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H179" s="281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I179" s="232">
        <f>COUNTIFS(РД[Тип кв],I$173,РД[МОП],$A179,РД[Дата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J179" s="232">
        <f>COUNTIFS(РД[Тип кв],J$173,РД[МОП],$A179,РД[Дата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232">
        <f>COUNTIFS(РД[Тип кв],K$173,РД[МОП],$A179,РД[Дата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32">
        <f>COUNTIFS(РД[Тип кв],L$173,РД[МОП],$A179,РД[Дата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9" s="337">
        <f>COUNTIFS(РД[Тип кв],S$170,РД[МОП],$A179,РД[Дата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339"/>
      <c r="O179" s="339"/>
      <c r="P179" s="86"/>
      <c r="T179" s="66"/>
    </row>
    <row r="180" spans="1:21" s="65" customFormat="1">
      <c r="A180" s="513" t="s">
        <v>114</v>
      </c>
      <c r="B180" s="282">
        <f t="shared" ref="B180:L180" si="18">SUM(B174:B177)</f>
        <v>200.33</v>
      </c>
      <c r="C180" s="283">
        <f t="shared" si="18"/>
        <v>20360977</v>
      </c>
      <c r="D180" s="425">
        <f t="shared" si="18"/>
        <v>0</v>
      </c>
      <c r="E180" s="287">
        <f t="shared" si="18"/>
        <v>0</v>
      </c>
      <c r="F180" s="286">
        <f t="shared" si="18"/>
        <v>0</v>
      </c>
      <c r="G180" s="282">
        <f t="shared" si="18"/>
        <v>100.16500000000001</v>
      </c>
      <c r="H180" s="283">
        <f t="shared" si="18"/>
        <v>10180488.5</v>
      </c>
      <c r="I180" s="284">
        <f t="shared" si="18"/>
        <v>0</v>
      </c>
      <c r="J180" s="285">
        <f t="shared" si="18"/>
        <v>2</v>
      </c>
      <c r="K180" s="285">
        <f t="shared" si="18"/>
        <v>2</v>
      </c>
      <c r="L180" s="285">
        <f t="shared" si="18"/>
        <v>0</v>
      </c>
      <c r="M180" s="305">
        <f>SUM(T172:T173)</f>
        <v>0</v>
      </c>
      <c r="N180" s="339"/>
      <c r="O180" s="339"/>
      <c r="P180" s="86"/>
      <c r="T180" s="66"/>
    </row>
    <row r="181" spans="1:21" s="65" customFormat="1" ht="22.5" customHeight="1">
      <c r="A181" s="135" t="s">
        <v>115</v>
      </c>
      <c r="B181" s="135" t="s">
        <v>101</v>
      </c>
      <c r="C181" s="136" t="s">
        <v>98</v>
      </c>
      <c r="D181" s="486" t="s">
        <v>494</v>
      </c>
      <c r="E181" s="487" t="s">
        <v>495</v>
      </c>
      <c r="F181" s="524" t="s">
        <v>496</v>
      </c>
      <c r="G181" s="489" t="s">
        <v>946</v>
      </c>
      <c r="H181" s="525" t="s">
        <v>947</v>
      </c>
      <c r="I181" s="217">
        <v>0</v>
      </c>
      <c r="J181" s="218">
        <v>1</v>
      </c>
      <c r="K181" s="340">
        <v>2</v>
      </c>
      <c r="L181" s="218">
        <v>3</v>
      </c>
      <c r="M181" s="219" t="s">
        <v>1367</v>
      </c>
      <c r="N181" s="339"/>
      <c r="O181" s="339"/>
      <c r="P181" s="86"/>
      <c r="T181" s="66"/>
    </row>
    <row r="182" spans="1:21" s="65" customFormat="1">
      <c r="A182" s="177" t="s">
        <v>16</v>
      </c>
      <c r="B182" s="291">
        <f>SUMIFS(РД[S],РД[ИМ],A182,РД[Дата подачи на регистрацию],"&lt;="&amp;$A$1,РД[Дата подачи на регистрацию],"&gt;="&amp;DATE(YEAR($A$1),MONTH($A$1),1),РД[Источник рекламы],"Н -*")</f>
        <v>103.43</v>
      </c>
      <c r="C182" s="312">
        <f>SUMIFS(РД[Стоимость без отделки итог],РД[ИМ],A182,РД[Дата подачи на регистрацию],"&lt;="&amp;$A$1,РД[Дата подачи на регистрацию],"&gt;="&amp;DATE(YEAR($A$1),MONTH($A$1),1),РД[Источник рекламы],"Н -*")</f>
        <v>10511724</v>
      </c>
      <c r="D182" s="551"/>
      <c r="E182" s="292"/>
      <c r="F182" s="552"/>
      <c r="G182" s="291">
        <f>SUMIFS(РД[S],РД[ИМ],A182,РД[Дата подачи на регистрацию],"&lt;="&amp;$A$1,РД[Дата подачи на регистрацию],"&gt;="&amp;DATE(YEAR($A$1),MONTH($A$1),1),РД[Источник рекламы],"Н -*")/2</f>
        <v>51.715000000000003</v>
      </c>
      <c r="H182" s="312">
        <f>SUMIFS(РД[Стоимость без отделки итог],РД[ИМ],A182,РД[Дата подачи на регистрацию],"&lt;="&amp;$A$1,РД[Дата подачи на регистрацию],"&gt;="&amp;DATE(YEAR($A$1),MONTH($A$1),1),РД[Источник рекламы],"Н -*")/2</f>
        <v>5255862</v>
      </c>
      <c r="I182" s="346">
        <f>COUNTIFS(РД[Тип кв],I$173,РД[ИМ],$A182,РД[Дата подачи на регистрацию],"&lt;="&amp;$A$1,РД[Дата подачи на регистрацию],"&gt;="&amp;DATE(YEAR($A$1),MONTH($A$1),1),РД[Источник рекламы],"Н -*")</f>
        <v>0</v>
      </c>
      <c r="J182" s="243">
        <f>COUNTIFS(РД[Тип кв],J$173,РД[ИМ],$A182,РД[Дата подачи на регистрацию],"&lt;="&amp;$A$1,РД[Дата подачи на регистрацию],"&gt;="&amp;DATE(YEAR($A$1),MONTH($A$1),1),РД[Источник рекламы],"Н -*")</f>
        <v>1</v>
      </c>
      <c r="K182" s="243">
        <f>COUNTIFS(РД[Тип кв],K$173,РД[ИМ],$A182,РД[Дата подачи на регистрацию],"&lt;="&amp;$A$1,РД[Дата подачи на регистрацию],"&gt;="&amp;DATE(YEAR($A$1),MONTH($A$1),1),РД[Источник рекламы],"Н -*")</f>
        <v>1</v>
      </c>
      <c r="L182" s="243">
        <f>COUNTIFS(РД[Тип кв],L$173,РД[ИМ],$A182,РД[Дата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2" s="246">
        <f>COUNTIFS(РД[Тип кв],S$170,РД[ИМ],$A182,РД[Дата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2" s="339"/>
      <c r="O182" s="339"/>
      <c r="P182" s="86"/>
      <c r="T182" s="66"/>
    </row>
    <row r="183" spans="1:21" s="65" customFormat="1">
      <c r="A183" s="189" t="s">
        <v>22</v>
      </c>
      <c r="B183" s="516">
        <f>SUMIFS(РД[S],РД[ИМ],A183,РД[Дата подачи на регистрацию],"&lt;="&amp;$A$1,РД[Дата подачи на регистрацию],"&gt;="&amp;DATE(YEAR($A$1),MONTH($A$1),1),РД[Источник рекламы],"Н -*")</f>
        <v>96.9</v>
      </c>
      <c r="C183" s="517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9849253</v>
      </c>
      <c r="D183" s="553"/>
      <c r="E183" s="554"/>
      <c r="F183" s="555"/>
      <c r="G183" s="516">
        <f>SUMIFS(РД[S],РД[ИМ],A183,РД[Дата подачи на регистрацию],"&lt;="&amp;$A$1,РД[Дата подачи на регистрацию],"&gt;="&amp;DATE(YEAR($A$1),MONTH($A$1),1),РД[Источник рекламы],"Н -*")/2</f>
        <v>48.45</v>
      </c>
      <c r="H183" s="517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-*")/2</f>
        <v>4924626.5</v>
      </c>
      <c r="I183" s="426">
        <f>COUNTIFS(РД[Тип кв],I$173,РД[ИМ],$A183,РД[Дата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J183" s="251">
        <f>COUNTIFS(РД[Тип кв],J$173,РД[ИМ],$A183,РД[Дата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K183" s="251">
        <f>COUNTIFS(РД[Тип кв],K$173,РД[ИМ],$A183,РД[Дата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L183" s="251">
        <f>COUNTIFS(РД[Тип кв],L$173,РД[ИМ],$A183,РД[Дата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3" s="254">
        <f>COUNTIFS(РД[Тип кв],S$170,РД[ИМ],$A183,РД[Дата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339"/>
      <c r="O183" s="339"/>
      <c r="P183" s="86"/>
      <c r="T183" s="66"/>
    </row>
    <row r="184" spans="1:21" s="65" customFormat="1">
      <c r="A184" s="513" t="s">
        <v>114</v>
      </c>
      <c r="B184" s="282">
        <f>SUM(B182:B183)</f>
        <v>200.33</v>
      </c>
      <c r="C184" s="283">
        <f>SUM(C182:C183)</f>
        <v>20360977</v>
      </c>
      <c r="D184" s="425">
        <f t="shared" ref="D184:L184" si="19">SUM(D182:D183)</f>
        <v>0</v>
      </c>
      <c r="E184" s="287">
        <f t="shared" si="19"/>
        <v>0</v>
      </c>
      <c r="F184" s="286">
        <f t="shared" si="19"/>
        <v>0</v>
      </c>
      <c r="G184" s="282">
        <f t="shared" si="19"/>
        <v>100.16500000000001</v>
      </c>
      <c r="H184" s="283">
        <f t="shared" si="19"/>
        <v>10180488.5</v>
      </c>
      <c r="I184" s="284">
        <f t="shared" si="19"/>
        <v>0</v>
      </c>
      <c r="J184" s="285">
        <f t="shared" si="19"/>
        <v>2</v>
      </c>
      <c r="K184" s="285">
        <f t="shared" si="19"/>
        <v>2</v>
      </c>
      <c r="L184" s="285">
        <f t="shared" si="19"/>
        <v>0</v>
      </c>
      <c r="M184" s="305">
        <f>SUM(S178:S179)</f>
        <v>0</v>
      </c>
      <c r="N184" s="339"/>
      <c r="O184" s="339"/>
      <c r="P184" s="86"/>
      <c r="T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86"/>
      <c r="R221" s="65"/>
      <c r="S221" s="65"/>
    </row>
    <row r="222" spans="1:2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R309" s="66"/>
      <c r="S309" s="66"/>
      <c r="U309" s="66"/>
    </row>
    <row r="310" spans="17:21" s="65" customFormat="1">
      <c r="Q310" s="86"/>
      <c r="R310" s="66"/>
      <c r="S310" s="66"/>
      <c r="U310" s="66"/>
    </row>
    <row r="311" spans="17:21" s="65" customFormat="1">
      <c r="Q311" s="86"/>
      <c r="R311" s="66"/>
      <c r="S311" s="66"/>
      <c r="U311" s="66"/>
    </row>
    <row r="312" spans="17:21" s="65" customFormat="1">
      <c r="Q312" s="86"/>
      <c r="R312" s="66"/>
      <c r="S312" s="66"/>
      <c r="U312" s="66"/>
    </row>
  </sheetData>
  <sheetProtection algorithmName="SHA-512" hashValue="vQ6LIToWFT2Tuluu7C3x5hsxCuUzYIppcGC8IymENHW9DSUdOW4L79poh/JjQMcdA+LdXGVyWqCh5o1ayF7aFA==" saltValue="bsPh+j1bj2PlOnbKGuo33A==" spinCount="100000" sheet="1" formatCells="0" formatColumns="0" formatRows="0" sort="0" autoFilter="0" pivotTables="0"/>
  <mergeCells count="6">
    <mergeCell ref="A172:M172"/>
    <mergeCell ref="A1:U1"/>
    <mergeCell ref="A116:B116"/>
    <mergeCell ref="A130:B130"/>
    <mergeCell ref="A144:B144"/>
    <mergeCell ref="A158:N158"/>
  </mergeCells>
  <pageMargins left="0.25" right="0.25" top="0.75" bottom="0.75" header="0.3" footer="0.3"/>
  <pageSetup paperSize="9" scale="2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2E00-000000000000}">
          <x14:formula1>
            <xm:f>Списки!$C$2:$C$27</xm:f>
          </x14:formula1>
          <xm:sqref>T8 T24 J3:J110 S3:T7 S9:T23 S25:T110</xm:sqref>
        </x14:dataValidation>
        <x14:dataValidation type="list" allowBlank="1" showInputMessage="1" showErrorMessage="1" xr:uid="{00000000-0002-0000-2E00-000001000000}">
          <x14:formula1>
            <xm:f>Списки!$B$2:$B$5</xm:f>
          </x14:formula1>
          <xm:sqref>C3:C110 G113:G114</xm:sqref>
        </x14:dataValidation>
        <x14:dataValidation type="list" allowBlank="1" showInputMessage="1" showErrorMessage="1" xr:uid="{00000000-0002-0000-2E00-000002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2E00-000003000000}">
          <x14:formula1>
            <xm:f>Списки!$D$2:$D$7</xm:f>
          </x14:formula1>
          <xm:sqref>F113:F114 G3:G110</xm:sqref>
        </x14:dataValidation>
        <x14:dataValidation type="list" allowBlank="1" showInputMessage="1" showErrorMessage="1" xr:uid="{00000000-0002-0000-2E00-000004000000}">
          <x14:formula1>
            <xm:f>Списки!$E$2:$E$7</xm:f>
          </x14:formula1>
          <xm:sqref>H113:H114 K3:K110</xm:sqref>
        </x14:dataValidation>
        <x14:dataValidation type="list" allowBlank="1" showInputMessage="1" showErrorMessage="1" xr:uid="{00000000-0002-0000-2E00-000005000000}">
          <x14:formula1>
            <xm:f>Списки!$G$2:$G$3</xm:f>
          </x14:formula1>
          <xm:sqref>L113:L114 M3:M110</xm:sqref>
        </x14:dataValidation>
        <x14:dataValidation type="list" allowBlank="1" showInputMessage="1" showErrorMessage="1" xr:uid="{00000000-0002-0000-2E00-000006000000}">
          <x14:formula1>
            <xm:f>Списки!$F$2:$F$3</xm:f>
          </x14:formula1>
          <xm:sqref>N113:N114 O3:O4 O6:O69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  <pageSetUpPr fitToPage="1"/>
  </sheetPr>
  <dimension ref="B1:AQ70"/>
  <sheetViews>
    <sheetView topLeftCell="B25" zoomScale="90" zoomScaleNormal="90" workbookViewId="0">
      <selection activeCell="B23" sqref="B23"/>
    </sheetView>
  </sheetViews>
  <sheetFormatPr defaultColWidth="9.140625" defaultRowHeight="15"/>
  <cols>
    <col min="1" max="1" width="1.7109375" style="557" customWidth="1"/>
    <col min="2" max="2" width="11.7109375" style="558" customWidth="1"/>
    <col min="3" max="3" width="7.42578125" style="558" customWidth="1"/>
    <col min="4" max="4" width="20.7109375" style="558" customWidth="1"/>
    <col min="5" max="5" width="10.7109375" style="558" customWidth="1"/>
    <col min="6" max="6" width="12.7109375" style="558" customWidth="1"/>
    <col min="7" max="7" width="10.7109375" style="558" customWidth="1"/>
    <col min="8" max="8" width="12.7109375" style="558" customWidth="1"/>
    <col min="9" max="9" width="10.7109375" style="558" customWidth="1"/>
    <col min="10" max="12" width="12.7109375" style="558" customWidth="1"/>
    <col min="13" max="13" width="10.7109375" style="558" customWidth="1"/>
    <col min="14" max="14" width="12.7109375" style="558" customWidth="1"/>
    <col min="15" max="15" width="8.7109375" style="558" customWidth="1"/>
    <col min="16" max="16" width="11.5703125" style="558" customWidth="1"/>
    <col min="17" max="17" width="10.7109375" style="558" customWidth="1"/>
    <col min="18" max="18" width="12.7109375" style="558" customWidth="1"/>
    <col min="19" max="19" width="10.7109375" style="558" customWidth="1"/>
    <col min="20" max="20" width="12.7109375" style="558" customWidth="1"/>
    <col min="21" max="21" width="10.7109375" style="558" customWidth="1"/>
    <col min="22" max="24" width="12.7109375" style="558" customWidth="1"/>
    <col min="25" max="25" width="10.7109375" style="558" customWidth="1"/>
    <col min="26" max="26" width="12.7109375" style="558" customWidth="1"/>
    <col min="27" max="27" width="10.7109375" style="558" customWidth="1"/>
    <col min="28" max="28" width="12.7109375" style="558" customWidth="1"/>
    <col min="29" max="29" width="10.7109375" style="558" hidden="1" customWidth="1"/>
    <col min="30" max="30" width="11.7109375" style="558" hidden="1" customWidth="1"/>
    <col min="31" max="31" width="9.7109375" style="558" hidden="1" customWidth="1"/>
    <col min="32" max="32" width="11.7109375" style="558" hidden="1" customWidth="1"/>
    <col min="33" max="33" width="9.7109375" style="558" hidden="1" customWidth="1"/>
    <col min="34" max="34" width="11.7109375" style="558" hidden="1" customWidth="1"/>
    <col min="35" max="35" width="9.7109375" style="558" hidden="1" customWidth="1"/>
    <col min="36" max="36" width="11.7109375" style="558" hidden="1" customWidth="1"/>
    <col min="37" max="37" width="9.7109375" style="558" hidden="1" customWidth="1"/>
    <col min="38" max="38" width="11.7109375" style="558" hidden="1" customWidth="1"/>
    <col min="39" max="39" width="5.7109375" style="557" customWidth="1"/>
    <col min="40" max="40" width="17" style="557" customWidth="1"/>
    <col min="41" max="41" width="12.42578125" style="557" customWidth="1"/>
    <col min="42" max="42" width="17.140625" style="557" customWidth="1"/>
    <col min="43" max="16384" width="9.140625" style="557"/>
  </cols>
  <sheetData>
    <row r="1" spans="2:43">
      <c r="B1" s="2349" t="s">
        <v>713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M1" s="2349"/>
      <c r="N1" s="2349"/>
      <c r="P1" s="2367" t="s">
        <v>1868</v>
      </c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D1" s="2368" t="s">
        <v>1869</v>
      </c>
      <c r="AE1" s="2368"/>
      <c r="AF1" s="2368"/>
      <c r="AG1" s="2368"/>
      <c r="AH1" s="2368"/>
      <c r="AI1" s="2368"/>
      <c r="AJ1" s="2368"/>
      <c r="AK1" s="2368"/>
      <c r="AL1" s="2368"/>
      <c r="AN1" s="2345" t="s">
        <v>1870</v>
      </c>
      <c r="AO1" s="2345"/>
      <c r="AP1" s="2345"/>
    </row>
    <row r="2" spans="2:43">
      <c r="AN2" s="2346" t="s">
        <v>7</v>
      </c>
      <c r="AO2" s="2346"/>
      <c r="AP2" s="2346"/>
    </row>
    <row r="3" spans="2:43" ht="15.75">
      <c r="B3" s="2329">
        <v>45566</v>
      </c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1"/>
      <c r="O3" s="621"/>
      <c r="P3" s="2369">
        <f>B3</f>
        <v>45566</v>
      </c>
      <c r="Q3" s="2370"/>
      <c r="R3" s="2370"/>
      <c r="S3" s="2370"/>
      <c r="T3" s="2370"/>
      <c r="U3" s="2370"/>
      <c r="V3" s="2370"/>
      <c r="W3" s="2370"/>
      <c r="X3" s="2370"/>
      <c r="Y3" s="2370"/>
      <c r="Z3" s="2370"/>
      <c r="AA3" s="2370"/>
      <c r="AB3" s="2371"/>
      <c r="AC3" s="621"/>
      <c r="AD3" s="2329">
        <f>P3</f>
        <v>45566</v>
      </c>
      <c r="AE3" s="2330"/>
      <c r="AF3" s="2330"/>
      <c r="AG3" s="2330"/>
      <c r="AH3" s="2330"/>
      <c r="AI3" s="2330"/>
      <c r="AJ3" s="2330"/>
      <c r="AK3" s="2330"/>
      <c r="AL3" s="2331"/>
      <c r="AN3" s="650" t="s">
        <v>1871</v>
      </c>
      <c r="AO3" s="663" t="s">
        <v>1872</v>
      </c>
      <c r="AP3" s="664" t="s">
        <v>1873</v>
      </c>
    </row>
    <row r="4" spans="2:43" ht="15.75" customHeight="1">
      <c r="B4" s="2335" t="s">
        <v>1874</v>
      </c>
      <c r="C4" s="2343"/>
      <c r="D4" s="2336"/>
      <c r="E4" s="2343" t="s">
        <v>7</v>
      </c>
      <c r="F4" s="2360"/>
      <c r="G4" s="2352" t="s">
        <v>13</v>
      </c>
      <c r="H4" s="2360"/>
      <c r="I4" s="2352" t="s">
        <v>1875</v>
      </c>
      <c r="J4" s="2343"/>
      <c r="K4" s="2352" t="s">
        <v>1876</v>
      </c>
      <c r="L4" s="2343"/>
      <c r="M4" s="2335" t="s">
        <v>114</v>
      </c>
      <c r="N4" s="2336"/>
      <c r="O4" s="622"/>
      <c r="P4" s="2353" t="s">
        <v>1</v>
      </c>
      <c r="Q4" s="2360" t="s">
        <v>7</v>
      </c>
      <c r="R4" s="2333"/>
      <c r="S4" s="2333" t="s">
        <v>13</v>
      </c>
      <c r="T4" s="2333"/>
      <c r="U4" s="2333" t="s">
        <v>1875</v>
      </c>
      <c r="V4" s="2352"/>
      <c r="W4" s="2333" t="s">
        <v>1876</v>
      </c>
      <c r="X4" s="2352"/>
      <c r="Y4" s="2332" t="s">
        <v>114</v>
      </c>
      <c r="Z4" s="2333"/>
      <c r="AA4" s="2333" t="s">
        <v>1877</v>
      </c>
      <c r="AB4" s="2334"/>
      <c r="AC4" s="622"/>
      <c r="AD4" s="2356" t="s">
        <v>1</v>
      </c>
      <c r="AE4" s="2360" t="s">
        <v>7</v>
      </c>
      <c r="AF4" s="2333"/>
      <c r="AG4" s="2333" t="s">
        <v>13</v>
      </c>
      <c r="AH4" s="2333"/>
      <c r="AI4" s="2333" t="s">
        <v>1875</v>
      </c>
      <c r="AJ4" s="2352"/>
      <c r="AK4" s="2332" t="s">
        <v>114</v>
      </c>
      <c r="AL4" s="2334"/>
      <c r="AN4" s="651">
        <v>45292</v>
      </c>
      <c r="AO4" s="665">
        <v>583</v>
      </c>
      <c r="AP4" s="666">
        <v>55882395</v>
      </c>
    </row>
    <row r="5" spans="2:43" ht="15.75">
      <c r="B5" s="559" t="s">
        <v>1878</v>
      </c>
      <c r="C5" s="560" t="s">
        <v>1879</v>
      </c>
      <c r="D5" s="561" t="s">
        <v>1880</v>
      </c>
      <c r="E5" s="562" t="s">
        <v>1872</v>
      </c>
      <c r="F5" s="563" t="s">
        <v>1881</v>
      </c>
      <c r="G5" s="562" t="s">
        <v>1872</v>
      </c>
      <c r="H5" s="563" t="s">
        <v>1881</v>
      </c>
      <c r="I5" s="562" t="s">
        <v>1872</v>
      </c>
      <c r="J5" s="623" t="s">
        <v>1881</v>
      </c>
      <c r="K5" s="563" t="s">
        <v>1872</v>
      </c>
      <c r="L5" s="624" t="s">
        <v>1881</v>
      </c>
      <c r="M5" s="610" t="s">
        <v>1872</v>
      </c>
      <c r="N5" s="624" t="s">
        <v>1881</v>
      </c>
      <c r="O5" s="622"/>
      <c r="P5" s="2354"/>
      <c r="Q5" s="562" t="s">
        <v>1872</v>
      </c>
      <c r="R5" s="563" t="s">
        <v>1881</v>
      </c>
      <c r="S5" s="562" t="s">
        <v>1872</v>
      </c>
      <c r="T5" s="563" t="s">
        <v>1881</v>
      </c>
      <c r="U5" s="562" t="s">
        <v>1872</v>
      </c>
      <c r="V5" s="563" t="s">
        <v>1881</v>
      </c>
      <c r="W5" s="562" t="s">
        <v>1872</v>
      </c>
      <c r="X5" s="563" t="s">
        <v>1881</v>
      </c>
      <c r="Y5" s="610" t="s">
        <v>1872</v>
      </c>
      <c r="Z5" s="563" t="s">
        <v>1881</v>
      </c>
      <c r="AA5" s="563" t="s">
        <v>1872</v>
      </c>
      <c r="AB5" s="624" t="s">
        <v>1881</v>
      </c>
      <c r="AC5" s="622"/>
      <c r="AD5" s="2357"/>
      <c r="AE5" s="562" t="s">
        <v>1872</v>
      </c>
      <c r="AF5" s="563" t="s">
        <v>1881</v>
      </c>
      <c r="AG5" s="563" t="s">
        <v>1872</v>
      </c>
      <c r="AH5" s="563" t="s">
        <v>1881</v>
      </c>
      <c r="AI5" s="563" t="s">
        <v>1872</v>
      </c>
      <c r="AJ5" s="623" t="s">
        <v>1881</v>
      </c>
      <c r="AK5" s="610" t="s">
        <v>1872</v>
      </c>
      <c r="AL5" s="624" t="s">
        <v>1881</v>
      </c>
      <c r="AN5" s="651">
        <v>45323</v>
      </c>
      <c r="AO5" s="665">
        <v>566</v>
      </c>
      <c r="AP5" s="666">
        <v>55567108</v>
      </c>
    </row>
    <row r="6" spans="2:43" ht="14.25" customHeight="1">
      <c r="B6" s="564" t="s">
        <v>8</v>
      </c>
      <c r="C6" s="565">
        <v>180</v>
      </c>
      <c r="D6" s="566">
        <f>C6/SUM($C$6:$C$9)</f>
        <v>0.34883720930232559</v>
      </c>
      <c r="E6" s="567">
        <f>ROUND($D6*VLOOKUP($B$3,'ИПП 4кв24'!$AN$4:$AP$16,2,0),0)</f>
        <v>0</v>
      </c>
      <c r="F6" s="568">
        <f>ROUND($D6*VLOOKUP($B$3,'ИПП 4кв24'!$AN$4:$AP$16,3,0),0)</f>
        <v>0</v>
      </c>
      <c r="G6" s="568">
        <f>ROUND($D6*VLOOKUP($B$3,'ИПП 4кв24'!$AN$20:$AP$32,2,0),0)</f>
        <v>375</v>
      </c>
      <c r="H6" s="568">
        <f>ROUND($D6*VLOOKUP($B$3,'ИПП 4кв24'!$AN$20:$AP$32,3,0),0)</f>
        <v>39770548</v>
      </c>
      <c r="I6" s="568">
        <f>ROUND($D6*VLOOKUP($B$3,'ИПП 4кв24'!$AN$36:$AP$48,2,0),0)</f>
        <v>59</v>
      </c>
      <c r="J6" s="625">
        <f>ROUND($D6*VLOOKUP($B$3,'ИПП 4кв24'!$AN$36:$AP$48,3,0),0)</f>
        <v>6929810</v>
      </c>
      <c r="K6" s="568"/>
      <c r="L6" s="625"/>
      <c r="M6" s="596">
        <f>E6+G6+I6+K6</f>
        <v>434</v>
      </c>
      <c r="N6" s="626">
        <f>F6+H6+J6+L6</f>
        <v>46700358</v>
      </c>
      <c r="O6" s="609"/>
      <c r="P6" s="627" t="s">
        <v>8</v>
      </c>
      <c r="Q6" s="567">
        <f>SUMIFS(РД[S],РД[Дом],$Q$4,РД[МОП],$P6,РД[Дата подачи на регистрацию],"&gt;="&amp;$P$3,РД[Дата подачи на регистрацию],"&lt;"&amp;DATE(YEAR($B$3),MONTH($B$3)+1,1),РД[Состояние],"Продажа")-AE6/2</f>
        <v>0</v>
      </c>
      <c r="R6" s="568">
        <f>SUMIFS(РД[Стоимость без отделки итог],РД[Дом],$Q$4,РД[МОП],$P6,РД[Дата подачи на регистрацию],"&gt;="&amp;$P$3,РД[Дата подачи на регистрацию],"&lt;"&amp;DATE(YEAR($B$3),MONTH($B$3)+1,1),РД[Состояние],"Продажа")-AF6/2</f>
        <v>0</v>
      </c>
      <c r="S6" s="568">
        <f>SUMIFS(РД[S],РД[Дом],$S$4,РД[МОП],$P6,РД[Дата подачи на регистрацию],"&gt;="&amp;$P$3,РД[Дата подачи на регистрацию],"&lt;"&amp;DATE(YEAR($B$3),MONTH($B$3)+1,1),РД[Состояние],"Продажа")-AG6/2</f>
        <v>822.83499999999992</v>
      </c>
      <c r="T6" s="568">
        <f>SUMIFS(РД[Стоимость без отделки итог],РД[Дом],$S$4,РД[МОП],$P6,РД[Дата подачи на регистрацию],"&gt;="&amp;$P$3,РД[Дата подачи на регистрацию],"&lt;"&amp;DATE(YEAR($B$3),MONTH($B$3)+1,1),РД[Состояние],"Продажа")-AH6/2</f>
        <v>87892716</v>
      </c>
      <c r="U6" s="568">
        <f>SUMIFS(РД[S],РД[Дом],$U$4,РД[МОП],$P6,РД[Дата подачи на регистрацию],"&gt;="&amp;$P$3,РД[Дата подачи на регистрацию],"&lt;"&amp;DATE(YEAR($B$3),MONTH($B$3)+1,1),РД[Состояние],"Продажа")-AI6/2</f>
        <v>0</v>
      </c>
      <c r="V6" s="625">
        <f>SUMIFS(РД[Стоимость без отделки итог],РД[Дом],$U$4,РД[МОП],$P6,РД[Дата подачи на регистрацию],"&gt;="&amp;$P$3,РД[Дата подачи на регистрацию],"&lt;"&amp;DATE(YEAR($B$3),MONTH($B$3)+1,1),РД[Состояние],"Продажа")-AJ6/2</f>
        <v>0</v>
      </c>
      <c r="W6" s="568">
        <f>SUMIFS(РД[S],РД[Дом],$W$4,РД[МОП],$P6,РД[Дата подачи на регистрацию],"&gt;="&amp;$P$3,РД[Дата подачи на регистрацию],"&lt;"&amp;DATE(YEAR($B$3),MONTH($B$3)+1,1),РД[Состояние],"Продажа")-AI6/2</f>
        <v>0</v>
      </c>
      <c r="X6" s="625">
        <f>SUMIFS(РД[Стоимость без отделки итог],РД[Дом],$W$4,РД[МОП],$P6,РД[Дата подачи на регистрацию],"&gt;="&amp;$P$3,РД[Дата подачи на регистрацию],"&lt;"&amp;DATE(YEAR($B$3),MONTH($B$3)+1,1),РД[Состояние],"Продажа")-AJ6/2</f>
        <v>0</v>
      </c>
      <c r="Y6" s="636">
        <f>Q6+S6+U6+W6</f>
        <v>822.83499999999992</v>
      </c>
      <c r="Z6" s="573">
        <f>R6+T6+V6+X6</f>
        <v>87892716</v>
      </c>
      <c r="AA6" s="637">
        <f t="shared" ref="AA6:AB10" si="0">IFERROR(Y6/M6,"")</f>
        <v>1.8959331797235022</v>
      </c>
      <c r="AB6" s="616">
        <f t="shared" si="0"/>
        <v>1.882056578666913</v>
      </c>
      <c r="AC6" s="609"/>
      <c r="AD6" s="627" t="s">
        <v>8</v>
      </c>
      <c r="AE6" s="572">
        <f>SUMIFS(РД[S],РД[Дом],$AE$4,РД[МОП],$AD6,РД[Источник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6" s="573">
        <f>SUMIFS(РД[Стоимость без отделки итог],РД[Дом],$AE$4,РД[МОП],$AD6,РД[Источник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6" s="573">
        <f>SUMIFS(РД[S],РД[Дом],$AG$4,РД[МОП],$AD6,РД[Источник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368.47</v>
      </c>
      <c r="AH6" s="573">
        <f>SUMIFS(РД[Стоимость без отделки итог],РД[Дом],$AG$4,РД[МОП],$AD6,РД[Источник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39753700</v>
      </c>
      <c r="AI6" s="573">
        <f>SUMIFS(РД[S],РД[Дом],$AI$4,РД[МОП],$AD6,РД[Источник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6" s="628">
        <f>SUMIFS(РД[Стоимость без отделки итог],РД[Дом],$AI$4,РД[МОП],$AD6,РД[Источник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6" s="636">
        <f>AE6+AG6+AI6</f>
        <v>368.47</v>
      </c>
      <c r="AL6" s="652">
        <f>AF6+AH6+AJ6</f>
        <v>39753700</v>
      </c>
      <c r="AN6" s="651">
        <v>45352</v>
      </c>
      <c r="AO6" s="665">
        <v>684</v>
      </c>
      <c r="AP6" s="666">
        <v>64010263</v>
      </c>
    </row>
    <row r="7" spans="2:43" ht="15.75">
      <c r="B7" s="569" t="s">
        <v>46</v>
      </c>
      <c r="C7" s="570">
        <v>0</v>
      </c>
      <c r="D7" s="571">
        <f>C7/SUM($C$6:$C$9)</f>
        <v>0</v>
      </c>
      <c r="E7" s="572">
        <f>ROUND($D7*VLOOKUP($B$3,'ИПП 4кв24'!$AN$4:$AP$16,2,0),0)</f>
        <v>0</v>
      </c>
      <c r="F7" s="573">
        <f>ROUND($D7*VLOOKUP($B$3,'ИПП 4кв24'!$AN$4:$AP$16,3,0),0)</f>
        <v>0</v>
      </c>
      <c r="G7" s="573">
        <f>ROUND($D7*VLOOKUP($B$3,'ИПП 4кв24'!$AN$20:$AP$32,2,0),0)</f>
        <v>0</v>
      </c>
      <c r="H7" s="573">
        <f>ROUND($D7*VLOOKUP($B$3,'ИПП 4кв24'!$AN$20:$AP$32,3,0),0)</f>
        <v>0</v>
      </c>
      <c r="I7" s="573">
        <f>ROUND($D7*VLOOKUP($B$3,'ИПП 4кв24'!$AN$36:$AP$48,2,0),0)</f>
        <v>0</v>
      </c>
      <c r="J7" s="628">
        <f>ROUND($D7*VLOOKUP($B$3,'ИПП 4кв24'!$AN$36:$AP$48,3,0),0)</f>
        <v>0</v>
      </c>
      <c r="K7" s="573"/>
      <c r="L7" s="628"/>
      <c r="M7" s="596">
        <f t="shared" ref="M7:M10" si="1">E7+G7+I7+K7</f>
        <v>0</v>
      </c>
      <c r="N7" s="626">
        <f t="shared" ref="N7:N10" si="2">F7+H7+J7+L7</f>
        <v>0</v>
      </c>
      <c r="O7" s="609"/>
      <c r="P7" s="569" t="s">
        <v>46</v>
      </c>
      <c r="Q7" s="606">
        <f>SUMIFS(РД[S],РД[Дом],$Q$4,РД[МОП],$P7,РД[Дата подачи на регистрацию],"&gt;="&amp;$P$3,РД[Дата подачи на регистрацию],"&lt;"&amp;DATE(YEAR($B$3),MONTH($B$3)+1,1),РД[Состояние],"Продажа")-AE7/2</f>
        <v>0</v>
      </c>
      <c r="R7" s="597">
        <f>SUMIFS(РД[Стоимость без отделки итог],РД[Дом],$Q$4,РД[МОП],$P7,РД[Дата подачи на регистрацию],"&gt;="&amp;$P$3,РД[Дата подачи на регистрацию],"&lt;"&amp;DATE(YEAR($B$3),MONTH($B$3)+1,1),РД[Состояние],"Продажа")-AF7/2</f>
        <v>0</v>
      </c>
      <c r="S7" s="597">
        <f>SUMIFS(РД[S],РД[Дом],$S$4,РД[МОП],$P7,РД[Дата подачи на регистрацию],"&gt;="&amp;$P$3,РД[Дата подачи на регистрацию],"&lt;"&amp;DATE(YEAR($B$3),MONTH($B$3)+1,1),РД[Состояние],"Продажа")-AG7/2</f>
        <v>0</v>
      </c>
      <c r="T7" s="597">
        <f>SUMIFS(РД[Стоимость без отделки итог],РД[Дом],$S$4,РД[МОП],$P7,РД[Дата подачи на регистрацию],"&gt;="&amp;$P$3,РД[Дата подачи на регистрацию],"&lt;"&amp;DATE(YEAR($B$3),MONTH($B$3)+1,1),РД[Состояние],"Продажа")-AH7/2</f>
        <v>0</v>
      </c>
      <c r="U7" s="597">
        <f>SUMIFS(РД[S],РД[Дом],$U$4,РД[МОП],$P7,РД[Дата подачи на регистрацию],"&gt;="&amp;$P$3,РД[Дата подачи на регистрацию],"&lt;"&amp;DATE(YEAR($B$3),MONTH($B$3)+1,1),РД[Состояние],"Продажа")-AI7/2</f>
        <v>0</v>
      </c>
      <c r="V7" s="632">
        <f>SUMIFS(РД[Стоимость без отделки итог],РД[Дом],$U$4,РД[МОП],$P7,РД[Дата подачи на регистрацию],"&gt;="&amp;$P$3,РД[Дата подачи на регистрацию],"&lt;"&amp;DATE(YEAR($B$3),MONTH($B$3)+1,1),РД[Состояние],"Продажа")-AJ7/2</f>
        <v>0</v>
      </c>
      <c r="W7" s="597">
        <f>SUMIFS(РД[S],РД[Дом],$W$4,РД[МОП],$P7,РД[Дата подачи на регистрацию],"&gt;="&amp;$P$3,РД[Дата подачи на регистрацию],"&lt;"&amp;DATE(YEAR($B$3),MONTH($B$3)+1,1),РД[Состояние],"Продажа")-AI7/2</f>
        <v>0</v>
      </c>
      <c r="X7" s="632">
        <f>SUMIFS(РД[Стоимость без отделки итог],РД[Дом],$W$4,РД[МОП],$P7,РД[Дата подачи на регистрацию],"&gt;="&amp;$P$3,РД[Дата подачи на регистрацию],"&lt;"&amp;DATE(YEAR($B$3),MONTH($B$3)+1,1),РД[Состояние],"Продажа")-AJ7/2</f>
        <v>0</v>
      </c>
      <c r="Y7" s="636">
        <f t="shared" ref="Y7:Y9" si="3">Q7+S7+U7+W7</f>
        <v>0</v>
      </c>
      <c r="Z7" s="573">
        <f t="shared" ref="Z7:Z9" si="4">R7+T7+V7+X7</f>
        <v>0</v>
      </c>
      <c r="AA7" s="638" t="str">
        <f t="shared" si="0"/>
        <v/>
      </c>
      <c r="AB7" s="617" t="str">
        <f t="shared" si="0"/>
        <v/>
      </c>
      <c r="AC7" s="609"/>
      <c r="AD7" s="569" t="s">
        <v>46</v>
      </c>
      <c r="AE7" s="606">
        <f>SUMIFS(РД[S],РД[Дом],$AE$4,РД[МОП],$AD7,РД[Источник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7" s="597">
        <f>SUMIFS(РД[Стоимость без отделки итог],РД[Дом],$AE$4,РД[МОП],$AD7,РД[Источник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7" s="597">
        <f>SUMIFS(РД[S],РД[Дом],$AG$4,РД[МОП],$AD7,РД[Источник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7" s="597">
        <f>SUMIFS(РД[Стоимость без отделки итог],РД[Дом],$AG$4,РД[МОП],$AD7,РД[Источник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7" s="597">
        <f>SUMIFS(РД[S],РД[Дом],$AI$4,РД[МОП],$AD7,РД[Источник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7" s="632">
        <f>SUMIFS(РД[Стоимость без отделки итог],РД[Дом],$AI$4,РД[МОП],$AD7,РД[Источник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7" s="596">
        <f>AE7+AG7+AI7</f>
        <v>0</v>
      </c>
      <c r="AL7" s="626">
        <f>AF7+AH7+AJ7</f>
        <v>0</v>
      </c>
      <c r="AN7" s="651">
        <v>45383</v>
      </c>
      <c r="AO7" s="667">
        <v>835.048478260877</v>
      </c>
      <c r="AP7" s="668">
        <v>86322632.2177286</v>
      </c>
      <c r="AQ7" s="609"/>
    </row>
    <row r="8" spans="2:43" ht="15.75">
      <c r="B8" s="569" t="s">
        <v>20</v>
      </c>
      <c r="C8" s="574">
        <v>168</v>
      </c>
      <c r="D8" s="575">
        <f>C8/SUM($C$6:$C$9)</f>
        <v>0.32558139534883723</v>
      </c>
      <c r="E8" s="572">
        <f>ROUND($D8*VLOOKUP($B$3,'ИПП 4кв24'!$AN$4:$AP$16,2,0),0)</f>
        <v>0</v>
      </c>
      <c r="F8" s="573">
        <f>ROUND($D8*VLOOKUP($B$3,'ИПП 4кв24'!$AN$4:$AP$16,3,0),0)</f>
        <v>0</v>
      </c>
      <c r="G8" s="573">
        <f>ROUND($D8*VLOOKUP($B$3,'ИПП 4кв24'!$AN$20:$AP$32,2,0),0)</f>
        <v>350</v>
      </c>
      <c r="H8" s="573">
        <f>ROUND($D8*VLOOKUP($B$3,'ИПП 4кв24'!$AN$20:$AP$32,3,0),0)</f>
        <v>37119178</v>
      </c>
      <c r="I8" s="573">
        <f>ROUND($D8*VLOOKUP($B$3,'ИПП 4кв24'!$AN$36:$AP$48,2,0),0)</f>
        <v>55</v>
      </c>
      <c r="J8" s="628">
        <f>ROUND($D8*VLOOKUP($B$3,'ИПП 4кв24'!$AN$36:$AP$48,3,0),0)</f>
        <v>6467823</v>
      </c>
      <c r="K8" s="573"/>
      <c r="L8" s="628"/>
      <c r="M8" s="596">
        <f t="shared" si="1"/>
        <v>405</v>
      </c>
      <c r="N8" s="626">
        <f t="shared" si="2"/>
        <v>43587001</v>
      </c>
      <c r="O8" s="609"/>
      <c r="P8" s="569" t="s">
        <v>20</v>
      </c>
      <c r="Q8" s="606">
        <f>SUMIFS(РД[S],РД[Дом],$Q$4,РД[МОП],$P8,РД[Дата подачи на регистрацию],"&gt;="&amp;$P$3,РД[Дата подачи на регистрацию],"&lt;"&amp;DATE(YEAR($B$3),MONTH($B$3)+1,1),РД[Состояние],"Продажа")-AE8/2</f>
        <v>0</v>
      </c>
      <c r="R8" s="597">
        <f>SUMIFS(РД[Стоимость без отделки итог],РД[Дом],$Q$4,РД[МОП],$P8,РД[Дата подачи на регистрацию],"&gt;="&amp;$P$3,РД[Дата подачи на регистрацию],"&lt;"&amp;DATE(YEAR($B$3),MONTH($B$3)+1,1),РД[Состояние],"Продажа")-AF8/2</f>
        <v>0</v>
      </c>
      <c r="S8" s="597">
        <f>SUMIFS(РД[S],РД[Дом],$S$4,РД[МОП],$P8,РД[Дата подачи на регистрацию],"&gt;="&amp;$P$3,РД[Дата подачи на регистрацию],"&lt;"&amp;DATE(YEAR($B$3),MONTH($B$3)+1,1),РД[Состояние],"Продажа")-AG8/2</f>
        <v>284</v>
      </c>
      <c r="T8" s="597">
        <f>SUMIFS(РД[Стоимость без отделки итог],РД[Дом],$S$4,РД[МОП],$P8,РД[Дата подачи на регистрацию],"&gt;="&amp;$P$3,РД[Дата подачи на регистрацию],"&lt;"&amp;DATE(YEAR($B$3),MONTH($B$3)+1,1),РД[Состояние],"Продажа")-AH8/2</f>
        <v>30198504</v>
      </c>
      <c r="U8" s="597">
        <f>SUMIFS(РД[S],РД[Дом],$U$4,РД[МОП],$P8,РД[Дата подачи на регистрацию],"&gt;="&amp;$P$3,РД[Дата подачи на регистрацию],"&lt;"&amp;DATE(YEAR($B$3),MONTH($B$3)+1,1),РД[Состояние],"Продажа")-AI8/2</f>
        <v>0</v>
      </c>
      <c r="V8" s="632">
        <f>SUMIFS(РД[Стоимость без отделки итог],РД[Дом],$U$4,РД[МОП],$P8,РД[Дата подачи на регистрацию],"&gt;="&amp;$P$3,РД[Дата подачи на регистрацию],"&lt;"&amp;DATE(YEAR($B$3),MONTH($B$3)+1,1),РД[Состояние],"Продажа")-AJ8/2</f>
        <v>0</v>
      </c>
      <c r="W8" s="597">
        <f>SUMIFS(РД[S],РД[Дом],$W$4,РД[МОП],$P8,РД[Дата подачи на регистрацию],"&gt;="&amp;$P$3,РД[Дата подачи на регистрацию],"&lt;"&amp;DATE(YEAR($B$3),MONTH($B$3)+1,1),РД[Состояние],"Продажа")-AI8/2</f>
        <v>0</v>
      </c>
      <c r="X8" s="632">
        <f>SUMIFS(РД[Стоимость без отделки итог],РД[Дом],$W$4,РД[МОП],$P8,РД[Дата подачи на регистрацию],"&gt;="&amp;$P$3,РД[Дата подачи на регистрацию],"&lt;"&amp;DATE(YEAR($B$3),MONTH($B$3)+1,1),РД[Состояние],"Продажа")-AJ8/2</f>
        <v>0</v>
      </c>
      <c r="Y8" s="636">
        <f t="shared" si="3"/>
        <v>284</v>
      </c>
      <c r="Z8" s="573">
        <f t="shared" si="4"/>
        <v>30198504</v>
      </c>
      <c r="AA8" s="638">
        <f t="shared" si="0"/>
        <v>0.70123456790123462</v>
      </c>
      <c r="AB8" s="617">
        <f t="shared" si="0"/>
        <v>0.69283280122897195</v>
      </c>
      <c r="AC8" s="609"/>
      <c r="AD8" s="569" t="s">
        <v>20</v>
      </c>
      <c r="AE8" s="606">
        <f>SUMIFS(РД[S],РД[Дом],$AE$4,РД[МОП],$AD8,РД[Источник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8" s="597">
        <f>SUMIFS(РД[Стоимость без отделки итог],РД[Дом],$AE$4,РД[МОП],$AD8,РД[Источник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8" s="597">
        <f>SUMIFS(РД[S],РД[Дом],$AG$4,РД[МОП],$AD8,РД[Источник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80.56</v>
      </c>
      <c r="AH8" s="597">
        <f>SUMIFS(РД[Стоимость без отделки итог],РД[Дом],$AG$4,РД[МОП],$AD8,РД[Источник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8952790</v>
      </c>
      <c r="AI8" s="597">
        <f>SUMIFS(РД[S],РД[Дом],$AI$4,РД[МОП],$AD8,РД[Источник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8" s="632">
        <f>SUMIFS(РД[Стоимость без отделки итог],РД[Дом],$AI$4,РД[МОП],$AD8,РД[Источник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8" s="596">
        <f t="shared" ref="AK8:AL10" si="5">AE8+AG8+AI8</f>
        <v>80.56</v>
      </c>
      <c r="AL8" s="626">
        <f t="shared" si="5"/>
        <v>8952790</v>
      </c>
      <c r="AN8" s="651">
        <v>45413</v>
      </c>
      <c r="AO8" s="665">
        <v>565.73116666667295</v>
      </c>
      <c r="AP8" s="597">
        <v>58371863</v>
      </c>
    </row>
    <row r="9" spans="2:43" ht="15.75">
      <c r="B9" s="576" t="s">
        <v>14</v>
      </c>
      <c r="C9" s="577">
        <v>168</v>
      </c>
      <c r="D9" s="578">
        <f>C9/SUM($C$6:$C$9)</f>
        <v>0.32558139534883723</v>
      </c>
      <c r="E9" s="579">
        <f>ROUND($D9*VLOOKUP($B$3,'ИПП 4кв24'!$AN$4:$AP$16,2,0),0)</f>
        <v>0</v>
      </c>
      <c r="F9" s="580">
        <f>ROUND($D9*VLOOKUP($B$3,'ИПП 4кв24'!$AN$4:$AP$16,3,0),0)</f>
        <v>0</v>
      </c>
      <c r="G9" s="580">
        <f>ROUND($D9*VLOOKUP($B$3,'ИПП 4кв24'!$AN$20:$AP$32,2,0),0)</f>
        <v>350</v>
      </c>
      <c r="H9" s="580">
        <f>ROUND($D9*VLOOKUP($B$3,'ИПП 4кв24'!$AN$20:$AP$32,3,0),0)</f>
        <v>37119178</v>
      </c>
      <c r="I9" s="573">
        <f>ROUND($D9*VLOOKUP($B$3,'ИПП 4кв24'!$AN$36:$AP$48,2,0),0)</f>
        <v>55</v>
      </c>
      <c r="J9" s="628">
        <f>ROUND($D9*VLOOKUP($B$3,'ИПП 4кв24'!$AN$36:$AP$48,3,0),0)</f>
        <v>6467823</v>
      </c>
      <c r="K9" s="573"/>
      <c r="L9" s="628"/>
      <c r="M9" s="596">
        <f t="shared" si="1"/>
        <v>405</v>
      </c>
      <c r="N9" s="626">
        <f t="shared" si="2"/>
        <v>43587001</v>
      </c>
      <c r="O9" s="609"/>
      <c r="P9" s="576" t="s">
        <v>14</v>
      </c>
      <c r="Q9" s="589">
        <f>SUMIFS(РД[S],РД[Дом],$Q$4,РД[МОП],$P9,РД[Дата подачи на регистрацию],"&gt;="&amp;$P$3,РД[Дата подачи на регистрацию],"&lt;"&amp;DATE(YEAR($B$3),MONTH($B$3)+1,1),РД[Состояние],"Продажа")-AE9/2</f>
        <v>0</v>
      </c>
      <c r="R9" s="590">
        <f>SUMIFS(РД[Стоимость без отделки итог],РД[Дом],$Q$4,РД[МОП],$P9,РД[Дата подачи на регистрацию],"&gt;="&amp;$P$3,РД[Дата подачи на регистрацию],"&lt;"&amp;DATE(YEAR($B$3),MONTH($B$3)+1,1),РД[Состояние],"Продажа")-AF9/2</f>
        <v>0</v>
      </c>
      <c r="S9" s="590">
        <f>SUMIFS(РД[S],РД[Дом],$S$4,РД[МОП],$P9,РД[Дата подачи на регистрацию],"&gt;="&amp;$P$3,РД[Дата подачи на регистрацию],"&lt;"&amp;DATE(YEAR($B$3),MONTH($B$3)+1,1),РД[Состояние],"Продажа")-AG9/2</f>
        <v>421.755</v>
      </c>
      <c r="T9" s="590">
        <f>SUMIFS(РД[Стоимость без отделки итог],РД[Дом],$S$4,РД[МОП],$P9,РД[Дата подачи на регистрацию],"&gt;="&amp;$P$3,РД[Дата подачи на регистрацию],"&lt;"&amp;DATE(YEAR($B$3),MONTH($B$3)+1,1),РД[Состояние],"Продажа")-AH9/2</f>
        <v>44513240</v>
      </c>
      <c r="U9" s="590">
        <f>SUMIFS(РД[S],РД[Дом],$U$4,РД[МОП],$P9,РД[Дата подачи на регистрацию],"&gt;="&amp;$P$3,РД[Дата подачи на регистрацию],"&lt;"&amp;DATE(YEAR($B$3),MONTH($B$3)+1,1),РД[Состояние],"Продажа")-AI9/2</f>
        <v>35.630000000000003</v>
      </c>
      <c r="V9" s="635">
        <f>SUMIFS(РД[Стоимость без отделки итог],РД[Дом],$U$4,РД[МОП],$P9,РД[Дата подачи на регистрацию],"&gt;="&amp;$P$3,РД[Дата подачи на регистрацию],"&lt;"&amp;DATE(YEAR($B$3),MONTH($B$3)+1,1),РД[Состояние],"Продажа")-AJ9/2</f>
        <v>4566207</v>
      </c>
      <c r="W9" s="590">
        <f>SUMIFS(РД[S],РД[Дом],$W$4,РД[МОП],$P9,РД[Дата подачи на регистрацию],"&gt;="&amp;$P$3,РД[Дата подачи на регистрацию],"&lt;"&amp;DATE(YEAR($B$3),MONTH($B$3)+1,1),РД[Состояние],"Продажа")-AI9/2</f>
        <v>0</v>
      </c>
      <c r="X9" s="635">
        <f>SUMIFS(РД[Стоимость без отделки итог],РД[Дом],$W$4,РД[МОП],$P9,РД[Дата подачи на регистрацию],"&gt;="&amp;$P$3,РД[Дата подачи на регистрацию],"&lt;"&amp;DATE(YEAR($B$3),MONTH($B$3)+1,1),РД[Состояние],"Продажа")-AJ9/2</f>
        <v>0</v>
      </c>
      <c r="Y9" s="636">
        <f t="shared" si="3"/>
        <v>457.38499999999999</v>
      </c>
      <c r="Z9" s="573">
        <f t="shared" si="4"/>
        <v>49079447</v>
      </c>
      <c r="AA9" s="639">
        <f t="shared" si="0"/>
        <v>1.1293456790123457</v>
      </c>
      <c r="AB9" s="640">
        <f t="shared" si="0"/>
        <v>1.1260111013373</v>
      </c>
      <c r="AC9" s="609"/>
      <c r="AD9" s="576" t="s">
        <v>14</v>
      </c>
      <c r="AE9" s="589">
        <f>SUMIFS(РД[S],РД[Дом],$AE$4,РД[МОП],$AD9,РД[Источник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9" s="590">
        <f>SUMIFS(РД[Стоимость без отделки итог],РД[Дом],$AE$4,РД[МОП],$AD9,РД[Источник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9" s="590">
        <f>SUMIFS(РД[S],РД[Дом],$AG$4,РД[МОП],$AD9,РД[Источник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67.03</v>
      </c>
      <c r="AH9" s="590">
        <f>SUMIFS(РД[Стоимость без отделки итог],РД[Дом],$AG$4,РД[МОП],$AD9,РД[Источник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7826100</v>
      </c>
      <c r="AI9" s="590">
        <f>SUMIFS(РД[S],РД[Дом],$AI$4,РД[МОП],$AD9,РД[Источник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9" s="635">
        <f>SUMIFS(РД[Стоимость без отделки итог],РД[Дом],$AI$4,РД[МОП],$AD9,РД[Источник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9" s="646">
        <f t="shared" si="5"/>
        <v>67.03</v>
      </c>
      <c r="AL9" s="653">
        <f t="shared" si="5"/>
        <v>7826100</v>
      </c>
      <c r="AN9" s="651">
        <v>45444</v>
      </c>
      <c r="AO9" s="665">
        <v>509.95600000000502</v>
      </c>
      <c r="AP9" s="666">
        <v>51651922.850242503</v>
      </c>
    </row>
    <row r="10" spans="2:43">
      <c r="B10" s="581" t="s">
        <v>114</v>
      </c>
      <c r="C10" s="582">
        <f t="shared" ref="C10:J10" si="6">SUM(C6:C9)</f>
        <v>516</v>
      </c>
      <c r="D10" s="583">
        <f t="shared" si="6"/>
        <v>1</v>
      </c>
      <c r="E10" s="582">
        <f t="shared" si="6"/>
        <v>0</v>
      </c>
      <c r="F10" s="584">
        <f t="shared" si="6"/>
        <v>0</v>
      </c>
      <c r="G10" s="584">
        <f t="shared" si="6"/>
        <v>1075</v>
      </c>
      <c r="H10" s="584">
        <f t="shared" si="6"/>
        <v>114008904</v>
      </c>
      <c r="I10" s="584">
        <f t="shared" si="6"/>
        <v>169</v>
      </c>
      <c r="J10" s="629">
        <f t="shared" si="6"/>
        <v>19865456</v>
      </c>
      <c r="K10" s="584"/>
      <c r="L10" s="629"/>
      <c r="M10" s="612">
        <f t="shared" si="1"/>
        <v>1244</v>
      </c>
      <c r="N10" s="630">
        <f t="shared" si="2"/>
        <v>133874360</v>
      </c>
      <c r="O10" s="631"/>
      <c r="P10" s="581" t="s">
        <v>114</v>
      </c>
      <c r="Q10" s="582">
        <f>SUM(Q6:Q9)</f>
        <v>0</v>
      </c>
      <c r="R10" s="584">
        <f t="shared" ref="R10:Z10" si="7">SUM(R6:R9)</f>
        <v>0</v>
      </c>
      <c r="S10" s="584">
        <f t="shared" si="7"/>
        <v>1528.5900000000001</v>
      </c>
      <c r="T10" s="584">
        <f t="shared" si="7"/>
        <v>162604460</v>
      </c>
      <c r="U10" s="584">
        <f t="shared" si="7"/>
        <v>35.630000000000003</v>
      </c>
      <c r="V10" s="629">
        <f t="shared" si="7"/>
        <v>4566207</v>
      </c>
      <c r="W10" s="584">
        <f t="shared" si="7"/>
        <v>0</v>
      </c>
      <c r="X10" s="629">
        <f t="shared" si="7"/>
        <v>0</v>
      </c>
      <c r="Y10" s="612">
        <f t="shared" si="7"/>
        <v>1564.22</v>
      </c>
      <c r="Z10" s="584">
        <f t="shared" si="7"/>
        <v>167170667</v>
      </c>
      <c r="AA10" s="641">
        <f t="shared" si="0"/>
        <v>1.2574115755627009</v>
      </c>
      <c r="AB10" s="583">
        <f t="shared" si="0"/>
        <v>1.2487130993567401</v>
      </c>
      <c r="AC10" s="631"/>
      <c r="AD10" s="642" t="s">
        <v>114</v>
      </c>
      <c r="AE10" s="643">
        <f t="shared" ref="AE10:AJ10" si="8">SUM(AE6:AE9)</f>
        <v>0</v>
      </c>
      <c r="AF10" s="644">
        <f t="shared" si="8"/>
        <v>0</v>
      </c>
      <c r="AG10" s="644">
        <f t="shared" si="8"/>
        <v>516.06000000000006</v>
      </c>
      <c r="AH10" s="644">
        <f t="shared" si="8"/>
        <v>56532590</v>
      </c>
      <c r="AI10" s="644">
        <f t="shared" si="8"/>
        <v>0</v>
      </c>
      <c r="AJ10" s="654">
        <f t="shared" si="8"/>
        <v>0</v>
      </c>
      <c r="AK10" s="655">
        <f t="shared" si="5"/>
        <v>516.06000000000006</v>
      </c>
      <c r="AL10" s="656">
        <f t="shared" si="5"/>
        <v>56532590</v>
      </c>
      <c r="AN10" s="651">
        <v>45474</v>
      </c>
      <c r="AO10" s="665">
        <v>439</v>
      </c>
      <c r="AP10" s="666">
        <v>46913303</v>
      </c>
    </row>
    <row r="11" spans="2:43" ht="16.5" customHeight="1">
      <c r="B11" s="2350" t="s">
        <v>1882</v>
      </c>
      <c r="C11" s="2351"/>
      <c r="D11" s="2364"/>
      <c r="E11" s="2351" t="s">
        <v>7</v>
      </c>
      <c r="F11" s="2365"/>
      <c r="G11" s="2366" t="s">
        <v>13</v>
      </c>
      <c r="H11" s="2365"/>
      <c r="I11" s="2366" t="s">
        <v>1875</v>
      </c>
      <c r="J11" s="2351"/>
      <c r="K11" s="2352" t="s">
        <v>1876</v>
      </c>
      <c r="L11" s="2343"/>
      <c r="M11" s="2335" t="s">
        <v>114</v>
      </c>
      <c r="N11" s="2336"/>
      <c r="O11" s="622"/>
      <c r="P11" s="2353" t="s">
        <v>3</v>
      </c>
      <c r="Q11" s="2360" t="s">
        <v>7</v>
      </c>
      <c r="R11" s="2333"/>
      <c r="S11" s="2333" t="s">
        <v>13</v>
      </c>
      <c r="T11" s="2333"/>
      <c r="U11" s="2333" t="s">
        <v>1875</v>
      </c>
      <c r="V11" s="2352"/>
      <c r="W11" s="2333" t="s">
        <v>1876</v>
      </c>
      <c r="X11" s="2352"/>
      <c r="Y11" s="2332" t="s">
        <v>114</v>
      </c>
      <c r="Z11" s="2333"/>
      <c r="AA11" s="2333" t="s">
        <v>1877</v>
      </c>
      <c r="AB11" s="2334"/>
      <c r="AC11" s="622"/>
      <c r="AD11" s="2356" t="s">
        <v>3</v>
      </c>
      <c r="AE11" s="2360" t="s">
        <v>7</v>
      </c>
      <c r="AF11" s="2333"/>
      <c r="AG11" s="2333" t="s">
        <v>13</v>
      </c>
      <c r="AH11" s="2333"/>
      <c r="AI11" s="2333" t="s">
        <v>1875</v>
      </c>
      <c r="AJ11" s="2352"/>
      <c r="AK11" s="2332" t="s">
        <v>114</v>
      </c>
      <c r="AL11" s="2334"/>
      <c r="AN11" s="651">
        <v>45505</v>
      </c>
      <c r="AO11" s="665">
        <v>438.48305555556402</v>
      </c>
      <c r="AP11" s="666">
        <v>16067259</v>
      </c>
    </row>
    <row r="12" spans="2:43" ht="15.75">
      <c r="B12" s="585" t="s">
        <v>1878</v>
      </c>
      <c r="C12" s="586" t="s">
        <v>1879</v>
      </c>
      <c r="D12" s="587" t="s">
        <v>1880</v>
      </c>
      <c r="E12" s="562" t="s">
        <v>1872</v>
      </c>
      <c r="F12" s="563" t="s">
        <v>1881</v>
      </c>
      <c r="G12" s="562" t="s">
        <v>1872</v>
      </c>
      <c r="H12" s="563" t="s">
        <v>1881</v>
      </c>
      <c r="I12" s="562" t="s">
        <v>1872</v>
      </c>
      <c r="J12" s="623" t="s">
        <v>1881</v>
      </c>
      <c r="K12" s="563" t="s">
        <v>1872</v>
      </c>
      <c r="L12" s="624" t="s">
        <v>1881</v>
      </c>
      <c r="M12" s="610" t="s">
        <v>1872</v>
      </c>
      <c r="N12" s="624" t="s">
        <v>1881</v>
      </c>
      <c r="O12" s="622"/>
      <c r="P12" s="2354"/>
      <c r="Q12" s="562" t="s">
        <v>1872</v>
      </c>
      <c r="R12" s="563" t="s">
        <v>1881</v>
      </c>
      <c r="S12" s="562" t="s">
        <v>1872</v>
      </c>
      <c r="T12" s="563" t="s">
        <v>1881</v>
      </c>
      <c r="U12" s="562" t="s">
        <v>1872</v>
      </c>
      <c r="V12" s="563" t="s">
        <v>1881</v>
      </c>
      <c r="W12" s="562" t="s">
        <v>1872</v>
      </c>
      <c r="X12" s="563" t="s">
        <v>1881</v>
      </c>
      <c r="Y12" s="610" t="s">
        <v>1872</v>
      </c>
      <c r="Z12" s="563" t="s">
        <v>1881</v>
      </c>
      <c r="AA12" s="563" t="s">
        <v>1872</v>
      </c>
      <c r="AB12" s="624" t="s">
        <v>1881</v>
      </c>
      <c r="AC12" s="622"/>
      <c r="AD12" s="2357"/>
      <c r="AE12" s="562" t="s">
        <v>1872</v>
      </c>
      <c r="AF12" s="563" t="s">
        <v>1881</v>
      </c>
      <c r="AG12" s="563" t="s">
        <v>1872</v>
      </c>
      <c r="AH12" s="563" t="s">
        <v>1881</v>
      </c>
      <c r="AI12" s="563" t="s">
        <v>1872</v>
      </c>
      <c r="AJ12" s="623" t="s">
        <v>1881</v>
      </c>
      <c r="AK12" s="610" t="s">
        <v>1872</v>
      </c>
      <c r="AL12" s="624" t="s">
        <v>1881</v>
      </c>
      <c r="AN12" s="651">
        <v>45536</v>
      </c>
      <c r="AO12" s="665">
        <v>0</v>
      </c>
      <c r="AP12" s="666">
        <v>0</v>
      </c>
    </row>
    <row r="13" spans="2:43" ht="15.75">
      <c r="B13" s="564" t="s">
        <v>1892</v>
      </c>
      <c r="C13" s="570">
        <v>80</v>
      </c>
      <c r="D13" s="588">
        <f>C13/SUM($C$13:$C$15)</f>
        <v>0.3669724770642202</v>
      </c>
      <c r="E13" s="572">
        <f>$D13*($E$10*85%)</f>
        <v>0</v>
      </c>
      <c r="F13" s="573">
        <f>$D13*($F$10*85%)</f>
        <v>0</v>
      </c>
      <c r="G13" s="573">
        <f>$D13*($G$10*85%)</f>
        <v>335.32110091743124</v>
      </c>
      <c r="H13" s="573">
        <f>$D13*($H$10*85%)</f>
        <v>35562410.422018349</v>
      </c>
      <c r="I13" s="573">
        <f>$D13*($I$10*85%)</f>
        <v>52.715596330275233</v>
      </c>
      <c r="J13" s="628">
        <f>$D13*($J$10*85%)</f>
        <v>6196564.2568807332</v>
      </c>
      <c r="K13" s="573"/>
      <c r="L13" s="628"/>
      <c r="M13" s="596">
        <f t="shared" ref="M13:M16" si="9">E13+G13+I13+K13</f>
        <v>388.03669724770646</v>
      </c>
      <c r="N13" s="626">
        <f t="shared" ref="N13:N16" si="10">F13+H13+J13+L13</f>
        <v>41758974.67889908</v>
      </c>
      <c r="O13" s="609"/>
      <c r="P13" s="627" t="s">
        <v>1892</v>
      </c>
      <c r="Q13" s="572">
        <f>SUMIFS(РД[S],РД[Дом],$Q$4,РД[ИМ],$P13,РД[Дата подачи на регистрацию],"&gt;="&amp;$P$3,РД[Дата подачи на регистрацию],"&lt;"&amp;DATE(YEAR($B$3),MONTH($B$3)+1,1),РД[Состояние],"Продажа")-AE13/2</f>
        <v>0</v>
      </c>
      <c r="R13" s="573">
        <f>SUMIFS(РД[Стоимость без отделки итог],РД[Дом],$Q$4,РД[ИМ],$P13,РД[Дата подачи на регистрацию],"&gt;="&amp;$P$3,РД[Дата подачи на регистрацию],"&lt;"&amp;DATE(YEAR($B$3),MONTH($B$3)+1,1),РД[Состояние],"Продажа")-AF13/2</f>
        <v>0</v>
      </c>
      <c r="S13" s="573">
        <f>SUMIFS(РД[S],РД[Дом],$S$4,РД[ИМ],$P13,РД[Дата подачи на регистрацию],"&gt;="&amp;$P$3,РД[Дата подачи на регистрацию],"&lt;"&amp;DATE(YEAR($B$3),MONTH($B$3)+1,1),РД[Состояние],"Продажа")-AG13/2</f>
        <v>461.44</v>
      </c>
      <c r="T13" s="573">
        <f>SUMIFS(РД[Стоимость без отделки итог],РД[Дом],$S$4,РД[ИМ],$P13,РД[Дата подачи на регистрацию],"&gt;="&amp;$P$3,РД[Дата подачи на регистрацию],"&lt;"&amp;DATE(YEAR($B$3),MONTH($B$3)+1,1),РД[Состояние],"Продажа")-AH13/2</f>
        <v>49614858</v>
      </c>
      <c r="U13" s="573">
        <f>SUMIFS(РД[S],РД[Дом],$U$4,РД[ИМ],$P13,РД[Дата подачи на регистрацию],"&gt;="&amp;$P$3,РД[Дата подачи на регистрацию],"&lt;"&amp;DATE(YEAR($B$3),MONTH($B$3)+1,1),РД[Состояние],"Продажа")-AI13/2</f>
        <v>0</v>
      </c>
      <c r="V13" s="628">
        <f>SUMIFS(РД[Стоимость без отделки итог],РД[Дом],$U$4,РД[ИМ],$P13,РД[Дата подачи на регистрацию],"&gt;="&amp;$P$3,РД[Дата подачи на регистрацию],"&lt;"&amp;DATE(YEAR($B$3),MONTH($B$3)+1,1),РД[Состояние],"Продажа")-AJ13/2</f>
        <v>0</v>
      </c>
      <c r="W13" s="573">
        <f>SUMIFS(РД[S],РД[Дом],$W$4,РД[ИМ],$P13,РД[Дата подачи на регистрацию],"&gt;="&amp;$P$3,РД[Дата подачи на регистрацию],"&lt;"&amp;DATE(YEAR($B$3),MONTH($B$3)+1,1),РД[Состояние],"Продажа")-AI13/2</f>
        <v>0</v>
      </c>
      <c r="X13" s="628">
        <f>SUMIFS(РД[Стоимость без отделки итог],РД[Дом],$W$4,РД[ИМ],$P13,РД[Дата подачи на регистрацию],"&gt;="&amp;$P$3,РД[Дата подачи на регистрацию],"&lt;"&amp;DATE(YEAR($B$3),MONTH($B$3)+1,1),РД[Состояние],"Продажа")-AJ13/2</f>
        <v>0</v>
      </c>
      <c r="Y13" s="636">
        <f>Q13+S13+U13+W13</f>
        <v>461.44</v>
      </c>
      <c r="Z13" s="573">
        <f>R13+T13+V13+X13</f>
        <v>49614858</v>
      </c>
      <c r="AA13" s="645">
        <f t="shared" ref="AA13:AB16" si="11">IFERROR(Y13/M13,"")</f>
        <v>1.1891658785700774</v>
      </c>
      <c r="AB13" s="588">
        <f t="shared" si="11"/>
        <v>1.1881244302933165</v>
      </c>
      <c r="AC13" s="609"/>
      <c r="AD13" s="627" t="s">
        <v>1892</v>
      </c>
      <c r="AE13" s="572">
        <f>SUMIFS(РД[S],РД[Дом],$AE$4,РД[ИМ],$AD13,РД[Источник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3" s="573">
        <f>SUMIFS(РД[Стоимость без отделки итог],РД[Дом],$AE$4,РД[ИМ],$AD13,РД[Источник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3" s="573">
        <f>SUMIFS(РД[S],РД[Дом],$AG$4,РД[ИМ],$AD13,РД[Источник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101.42</v>
      </c>
      <c r="AH13" s="573">
        <f>SUMIFS(РД[Стоимость без отделки итог],РД[Дом],$AG$4,РД[ИМ],$AD13,РД[Источник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12030888</v>
      </c>
      <c r="AI13" s="573">
        <f>SUMIFS(РД[S],РД[Дом],$AI$4,РД[ИМ],$AD13,РД[Источник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3" s="628">
        <f>SUMIFS(РД[Стоимость без отделки итог],РД[Дом],$AI$4,РД[ИМ],$AD13,РД[Источник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3" s="636">
        <f>AE13+AG13+AI13</f>
        <v>101.42</v>
      </c>
      <c r="AL13" s="652">
        <f>AF13+AH13+AJ13</f>
        <v>12030888</v>
      </c>
      <c r="AN13" s="657">
        <v>45566</v>
      </c>
      <c r="AO13" s="669">
        <v>0</v>
      </c>
      <c r="AP13" s="670">
        <v>0</v>
      </c>
    </row>
    <row r="14" spans="2:43" ht="15.75">
      <c r="B14" s="569" t="s">
        <v>22</v>
      </c>
      <c r="C14" s="570">
        <v>138</v>
      </c>
      <c r="D14" s="588">
        <f>C14/SUM($C$13:$C$15)</f>
        <v>0.6330275229357798</v>
      </c>
      <c r="E14" s="572">
        <f>$D14*($E$10*85%)</f>
        <v>0</v>
      </c>
      <c r="F14" s="573">
        <f>$D14*($F$10*85%)</f>
        <v>0</v>
      </c>
      <c r="G14" s="573">
        <f>$D14*($G$10*85%)</f>
        <v>578.42889908256882</v>
      </c>
      <c r="H14" s="573">
        <f>$D14*($H$10*85%)</f>
        <v>61345157.977981642</v>
      </c>
      <c r="I14" s="573">
        <f>$D14*($I$10*85%)</f>
        <v>90.934403669724773</v>
      </c>
      <c r="J14" s="628">
        <f>$D14*($J$10*85%)</f>
        <v>10689073.343119264</v>
      </c>
      <c r="K14" s="573"/>
      <c r="L14" s="628"/>
      <c r="M14" s="596">
        <f t="shared" si="9"/>
        <v>669.36330275229363</v>
      </c>
      <c r="N14" s="626">
        <f t="shared" si="10"/>
        <v>72034231.321100906</v>
      </c>
      <c r="O14" s="609"/>
      <c r="P14" s="569" t="s">
        <v>22</v>
      </c>
      <c r="Q14" s="606">
        <f>SUMIFS(РД[S],РД[Дом],$Q$4,РД[ИМ],$P14,РД[Дата подачи на регистрацию],"&gt;="&amp;$P$3,РД[Дата подачи на регистрацию],"&lt;"&amp;DATE(YEAR($B$3),MONTH($B$3)+1,1),РД[Состояние],"Продажа")-AE14/2</f>
        <v>0</v>
      </c>
      <c r="R14" s="597">
        <f>SUMIFS(РД[Стоимость без отделки итог],РД[Дом],$Q$4,РД[ИМ],$P14,РД[Дата подачи на регистрацию],"&gt;="&amp;$P$3,РД[Дата подачи на регистрацию],"&lt;"&amp;DATE(YEAR($B$3),MONTH($B$3)+1,1),РД[Состояние],"Продажа")-AF14/2</f>
        <v>0</v>
      </c>
      <c r="S14" s="597">
        <f>SUMIFS(РД[S],РД[Дом],$S$4,РД[ИМ],$P14,РД[Дата подачи на регистрацию],"&gt;="&amp;$P$3,РД[Дата подачи на регистрацию],"&lt;"&amp;DATE(YEAR($B$3),MONTH($B$3)+1,1),РД[Состояние],"Продажа")-AG14/2</f>
        <v>897.69</v>
      </c>
      <c r="T14" s="597">
        <f>SUMIFS(РД[Стоимость без отделки итог],РД[Дом],$S$4,РД[ИМ],$P14,РД[Дата подачи на регистрацию],"&gt;="&amp;$P$3,РД[Дата подачи на регистрацию],"&lt;"&amp;DATE(YEAR($B$3),MONTH($B$3)+1,1),РД[Состояние],"Продажа")-AH14/2</f>
        <v>96418002</v>
      </c>
      <c r="U14" s="597">
        <f>SUMIFS(РД[S],РД[Дом],$U$4,РД[ИМ],$P14,РД[Дата подачи на регистрацию],"&gt;="&amp;$P$3,РД[Дата подачи на регистрацию],"&lt;"&amp;DATE(YEAR($B$3),MONTH($B$3)+1,1),РД[Состояние],"Продажа")-AI14/2</f>
        <v>0</v>
      </c>
      <c r="V14" s="632">
        <f>SUMIFS(РД[Стоимость без отделки итог],РД[Дом],$U$4,РД[ИМ],$P14,РД[Дата подачи на регистрацию],"&gt;="&amp;$P$3,РД[Дата подачи на регистрацию],"&lt;"&amp;DATE(YEAR($B$3),MONTH($B$3)+1,1),РД[Состояние],"Продажа")-AJ14/2</f>
        <v>0</v>
      </c>
      <c r="W14" s="573">
        <f>SUMIFS(РД[S],РД[Дом],$W$4,РД[ИМ],$P14,РД[Дата подачи на регистрацию],"&gt;="&amp;$P$3,РД[Дата подачи на регистрацию],"&lt;"&amp;DATE(YEAR($B$3),MONTH($B$3)+1,1),РД[Состояние],"Продажа")-AI14/2</f>
        <v>0</v>
      </c>
      <c r="X14" s="628">
        <f>SUMIFS(РД[Стоимость без отделки итог],РД[Дом],$W$4,РД[ИМ],$P14,РД[Дата подачи на регистрацию],"&gt;="&amp;$P$3,РД[Дата подачи на регистрацию],"&lt;"&amp;DATE(YEAR($B$3),MONTH($B$3)+1,1),РД[Состояние],"Продажа")-AJ14/2</f>
        <v>0</v>
      </c>
      <c r="Y14" s="636">
        <f t="shared" ref="Y14:Y15" si="12">Q14+S14+U14+W14</f>
        <v>897.69</v>
      </c>
      <c r="Z14" s="573">
        <f t="shared" ref="Z14:Z15" si="13">R14+T14+V14+X14</f>
        <v>96418002</v>
      </c>
      <c r="AA14" s="638">
        <f t="shared" si="11"/>
        <v>1.3411102704747493</v>
      </c>
      <c r="AB14" s="617">
        <f t="shared" si="11"/>
        <v>1.3385025456883912</v>
      </c>
      <c r="AC14" s="609"/>
      <c r="AD14" s="569" t="s">
        <v>22</v>
      </c>
      <c r="AE14" s="606">
        <f>SUMIFS(РД[S],РД[Дом],$AE$4,РД[ИМ],$AD14,РД[Источник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4" s="597">
        <f>SUMIFS(РД[Стоимость без отделки итог],РД[Дом],$AE$4,РД[ИМ],$AD14,РД[Источник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4" s="597">
        <f>SUMIFS(РД[S],РД[Дом],$AG$4,РД[ИМ],$AD14,РД[Источник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414.64</v>
      </c>
      <c r="AH14" s="597">
        <f>SUMIFS(РД[Стоимость без отделки итог],РД[Дом],$AG$4,РД[ИМ],$AD14,РД[Источник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44501702</v>
      </c>
      <c r="AI14" s="597">
        <f>SUMIFS(РД[S],РД[Дом],$AI$4,РД[ИМ],$AD14,РД[Источник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4" s="632">
        <f>SUMIFS(РД[Стоимость без отделки итог],РД[Дом],$AI$4,РД[ИМ],$AD14,РД[Источник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4" s="596">
        <f t="shared" ref="AK14:AL15" si="14">AE14+AG14+AI14</f>
        <v>414.64</v>
      </c>
      <c r="AL14" s="626">
        <f t="shared" si="14"/>
        <v>44501702</v>
      </c>
      <c r="AN14" s="657">
        <v>45597</v>
      </c>
      <c r="AO14" s="669">
        <v>176</v>
      </c>
      <c r="AP14" s="670">
        <v>18833327</v>
      </c>
    </row>
    <row r="15" spans="2:43" ht="15.75">
      <c r="B15" s="576" t="s">
        <v>118</v>
      </c>
      <c r="C15" s="577">
        <v>0</v>
      </c>
      <c r="D15" s="588">
        <f>C15/SUM($C$13:$C$15)</f>
        <v>0</v>
      </c>
      <c r="E15" s="589">
        <f>$D15*($E$10*85%)</f>
        <v>0</v>
      </c>
      <c r="F15" s="590">
        <f>$D15*($F$10*85%)</f>
        <v>0</v>
      </c>
      <c r="G15" s="590">
        <f>$D15*($G$10*85%)</f>
        <v>0</v>
      </c>
      <c r="H15" s="590">
        <f>$D15*($H$10*85%)</f>
        <v>0</v>
      </c>
      <c r="I15" s="573">
        <f>$D15*($I$10*85%)</f>
        <v>0</v>
      </c>
      <c r="J15" s="628">
        <f>$D15*($J$10*85%)</f>
        <v>0</v>
      </c>
      <c r="K15" s="573"/>
      <c r="L15" s="628"/>
      <c r="M15" s="596">
        <f t="shared" si="9"/>
        <v>0</v>
      </c>
      <c r="N15" s="626">
        <f t="shared" si="10"/>
        <v>0</v>
      </c>
      <c r="O15" s="609"/>
      <c r="P15" s="627" t="s">
        <v>3</v>
      </c>
      <c r="Q15" s="589">
        <f>SUMIFS(РД[S],РД[Дом],$Q$4,РД[ИМ],$P15,РД[Дата подачи на регистрацию],"&gt;="&amp;$P$3,РД[Дата подачи на регистрацию],"&lt;"&amp;DATE(YEAR($B$3),MONTH($B$3)+1,1),РД[Состояние],"Продажа")-AE15/2</f>
        <v>0</v>
      </c>
      <c r="R15" s="590">
        <f>SUMIFS(РД[Стоимость без отделки итог],РД[Дом],$Q$4,РД[ИМ],$P15,РД[Дата подачи на регистрацию],"&gt;="&amp;$P$3,РД[Дата подачи на регистрацию],"&lt;"&amp;DATE(YEAR($B$3),MONTH($B$3)+1,1),РД[Состояние],"Продажа")-AF15/2</f>
        <v>0</v>
      </c>
      <c r="S15" s="590">
        <f>SUMIFS(РД[S],РД[Дом],$S$4,РД[ИМ],$P15,РД[Дата подачи на регистрацию],"&gt;="&amp;$P$3,РД[Дата подачи на регистрацию],"&lt;"&amp;DATE(YEAR($B$3),MONTH($B$3)+1,1),РД[Состояние],"Продажа")-AG15/2</f>
        <v>0</v>
      </c>
      <c r="T15" s="590">
        <f>SUMIFS(РД[Стоимость без отделки итог],РД[Дом],$S$4,РД[ИМ],$P15,РД[Дата подачи на регистрацию],"&gt;="&amp;$P$3,РД[Дата подачи на регистрацию],"&lt;"&amp;DATE(YEAR($B$3),MONTH($B$3)+1,1),РД[Состояние],"Продажа")-AH15/2</f>
        <v>0</v>
      </c>
      <c r="U15" s="590">
        <f>SUMIFS(РД[S],РД[Дом],$U$4,РД[ИМ],$P15,РД[Дата подачи на регистрацию],"&gt;="&amp;$P$3,РД[Дата подачи на регистрацию],"&lt;"&amp;DATE(YEAR($B$3),MONTH($B$3)+1,1),РД[Состояние],"Продажа")-AI15/2</f>
        <v>0</v>
      </c>
      <c r="V15" s="635">
        <f>SUMIFS(РД[Стоимость без отделки итог],РД[Дом],$U$4,РД[ИМ],$P15,РД[Дата подачи на регистрацию],"&gt;="&amp;$P$3,РД[Дата подачи на регистрацию],"&lt;"&amp;DATE(YEAR($B$3),MONTH($B$3)+1,1),РД[Состояние],"Продажа")-AJ15/2</f>
        <v>0</v>
      </c>
      <c r="W15" s="573">
        <f>SUMIFS(РД[S],РД[Дом],$W$4,РД[ИМ],$P15,РД[Дата подачи на регистрацию],"&gt;="&amp;$P$3,РД[Дата подачи на регистрацию],"&lt;"&amp;DATE(YEAR($B$3),MONTH($B$3)+1,1),РД[Состояние],"Продажа")-AI15/2</f>
        <v>0</v>
      </c>
      <c r="X15" s="628">
        <f>SUMIFS(РД[Стоимость без отделки итог],РД[Дом],$W$4,РД[ИМ],$P15,РД[Дата подачи на регистрацию],"&gt;="&amp;$P$3,РД[Дата подачи на регистрацию],"&lt;"&amp;DATE(YEAR($B$3),MONTH($B$3)+1,1),РД[Состояние],"Продажа")-AJ15/2</f>
        <v>0</v>
      </c>
      <c r="Y15" s="636">
        <f t="shared" si="12"/>
        <v>0</v>
      </c>
      <c r="Z15" s="573">
        <f t="shared" si="13"/>
        <v>0</v>
      </c>
      <c r="AA15" s="639" t="str">
        <f t="shared" si="11"/>
        <v/>
      </c>
      <c r="AB15" s="640" t="str">
        <f t="shared" si="11"/>
        <v/>
      </c>
      <c r="AC15" s="609"/>
      <c r="AD15" s="618" t="s">
        <v>16</v>
      </c>
      <c r="AE15" s="607">
        <f>SUMIFS(РД[S],РД[Дом],$AE$4,РД[ИМ],$AD15,РД[Источник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F15" s="602">
        <f>SUMIFS(РД[Стоимость без отделки итог],РД[Дом],$AE$4,РД[ИМ],$AD15,РД[Источник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G15" s="602">
        <f>SUMIFS(РД[S],РД[Дом],$AG$4,РД[ИМ],$AD15,РД[Источник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H15" s="602">
        <f>SUMIFS(РД[Стоимость без отделки итог],РД[Дом],$AG$4,РД[ИМ],$AD15,РД[Источник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I15" s="602">
        <f>SUMIFS(РД[S],РД[Дом],$AI$4,РД[ИМ],$AD15,РД[Источник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J15" s="633">
        <f>SUMIFS(РД[Стоимость без отделки итог],РД[Дом],$AI$4,РД[ИМ],$AD15,РД[Источник обращения],"Агент*",РД[Дата подачи на регистрацию],"&gt;="&amp;$AD$3,РД[Дата подачи на регистрацию],"&lt;"&amp;DATE(YEAR($B$3),MONTH($B$3)+1,1),РД[Состояние],"Продажа")</f>
        <v>0</v>
      </c>
      <c r="AK15" s="601">
        <f t="shared" si="14"/>
        <v>0</v>
      </c>
      <c r="AL15" s="658">
        <f t="shared" si="14"/>
        <v>0</v>
      </c>
      <c r="AN15" s="657">
        <v>45627</v>
      </c>
      <c r="AO15" s="669">
        <v>115</v>
      </c>
      <c r="AP15" s="670">
        <v>12389537</v>
      </c>
    </row>
    <row r="16" spans="2:43">
      <c r="B16" s="581" t="s">
        <v>114</v>
      </c>
      <c r="C16" s="582">
        <f>SUM(C13:C15)</f>
        <v>218</v>
      </c>
      <c r="D16" s="583">
        <f t="shared" ref="D16:H16" si="15">SUM(D13:D15)</f>
        <v>1</v>
      </c>
      <c r="E16" s="582">
        <f t="shared" si="15"/>
        <v>0</v>
      </c>
      <c r="F16" s="584">
        <f t="shared" si="15"/>
        <v>0</v>
      </c>
      <c r="G16" s="584">
        <f t="shared" si="15"/>
        <v>913.75</v>
      </c>
      <c r="H16" s="584">
        <f t="shared" si="15"/>
        <v>96907568.399999991</v>
      </c>
      <c r="I16" s="584">
        <f>$D16*($I$10*85%)</f>
        <v>143.65</v>
      </c>
      <c r="J16" s="629">
        <f>$D16*($J$10*85%)</f>
        <v>16885637.599999998</v>
      </c>
      <c r="K16" s="584"/>
      <c r="L16" s="629"/>
      <c r="M16" s="612">
        <f t="shared" si="9"/>
        <v>1057.4000000000001</v>
      </c>
      <c r="N16" s="630">
        <f t="shared" si="10"/>
        <v>113793205.99999999</v>
      </c>
      <c r="O16" s="631"/>
      <c r="P16" s="581" t="s">
        <v>114</v>
      </c>
      <c r="Q16" s="582">
        <f>SUM(Q13:Q15)</f>
        <v>0</v>
      </c>
      <c r="R16" s="584">
        <f t="shared" ref="R16:V16" si="16">SUM(R13:R15)</f>
        <v>0</v>
      </c>
      <c r="S16" s="584">
        <f t="shared" si="16"/>
        <v>1359.13</v>
      </c>
      <c r="T16" s="584">
        <f t="shared" si="16"/>
        <v>146032860</v>
      </c>
      <c r="U16" s="584">
        <f t="shared" si="16"/>
        <v>0</v>
      </c>
      <c r="V16" s="629">
        <f t="shared" si="16"/>
        <v>0</v>
      </c>
      <c r="W16" s="584">
        <f t="shared" ref="W16:Z16" si="17">SUM(W13:W15)</f>
        <v>0</v>
      </c>
      <c r="X16" s="629">
        <f t="shared" si="17"/>
        <v>0</v>
      </c>
      <c r="Y16" s="612">
        <f t="shared" si="17"/>
        <v>1359.13</v>
      </c>
      <c r="Z16" s="584">
        <f t="shared" si="17"/>
        <v>146032860</v>
      </c>
      <c r="AA16" s="641">
        <f t="shared" si="11"/>
        <v>1.2853508606014754</v>
      </c>
      <c r="AB16" s="583">
        <f t="shared" si="11"/>
        <v>1.2833179161856114</v>
      </c>
      <c r="AC16" s="631"/>
      <c r="AD16" s="620" t="s">
        <v>114</v>
      </c>
      <c r="AE16" s="603">
        <f t="shared" ref="AE16:AL16" si="18">SUM(AE13:AE15)</f>
        <v>0</v>
      </c>
      <c r="AF16" s="605">
        <f t="shared" si="18"/>
        <v>0</v>
      </c>
      <c r="AG16" s="605">
        <f t="shared" si="18"/>
        <v>516.05999999999995</v>
      </c>
      <c r="AH16" s="605">
        <f t="shared" si="18"/>
        <v>56532590</v>
      </c>
      <c r="AI16" s="605">
        <f t="shared" si="18"/>
        <v>0</v>
      </c>
      <c r="AJ16" s="634">
        <f t="shared" si="18"/>
        <v>0</v>
      </c>
      <c r="AK16" s="648">
        <f t="shared" si="18"/>
        <v>516.05999999999995</v>
      </c>
      <c r="AL16" s="659">
        <f t="shared" si="18"/>
        <v>56532590</v>
      </c>
      <c r="AN16" s="660" t="s">
        <v>1896</v>
      </c>
      <c r="AO16" s="671">
        <v>4362</v>
      </c>
      <c r="AP16" s="671">
        <v>449346240</v>
      </c>
    </row>
    <row r="18" spans="2:42">
      <c r="AN18" s="2346" t="s">
        <v>13</v>
      </c>
      <c r="AO18" s="2346"/>
      <c r="AP18" s="2346"/>
    </row>
    <row r="19" spans="2:42" ht="15.75">
      <c r="B19" s="2329">
        <v>45597</v>
      </c>
      <c r="C19" s="2330"/>
      <c r="D19" s="2330"/>
      <c r="E19" s="2330"/>
      <c r="F19" s="2330"/>
      <c r="G19" s="2330"/>
      <c r="H19" s="2330"/>
      <c r="I19" s="2330"/>
      <c r="J19" s="2330"/>
      <c r="K19" s="2330"/>
      <c r="L19" s="2330"/>
      <c r="M19" s="2330"/>
      <c r="N19" s="2331"/>
      <c r="O19" s="621"/>
      <c r="P19" s="2361">
        <f>B19</f>
        <v>45597</v>
      </c>
      <c r="Q19" s="2362"/>
      <c r="R19" s="2362"/>
      <c r="S19" s="2362"/>
      <c r="T19" s="2362"/>
      <c r="U19" s="2362"/>
      <c r="V19" s="2362"/>
      <c r="W19" s="2362"/>
      <c r="X19" s="2362"/>
      <c r="Y19" s="2362"/>
      <c r="Z19" s="2362"/>
      <c r="AA19" s="2362"/>
      <c r="AB19" s="2363"/>
      <c r="AC19" s="621"/>
      <c r="AD19" s="2329">
        <f>P19</f>
        <v>45597</v>
      </c>
      <c r="AE19" s="2330"/>
      <c r="AF19" s="2330"/>
      <c r="AG19" s="2330"/>
      <c r="AH19" s="2330"/>
      <c r="AI19" s="2330"/>
      <c r="AJ19" s="2330"/>
      <c r="AK19" s="2330"/>
      <c r="AL19" s="2331"/>
      <c r="AN19" s="650" t="s">
        <v>1871</v>
      </c>
      <c r="AO19" s="663" t="s">
        <v>1872</v>
      </c>
      <c r="AP19" s="664" t="s">
        <v>1873</v>
      </c>
    </row>
    <row r="20" spans="2:42" ht="15.75" customHeight="1">
      <c r="B20" s="2335" t="s">
        <v>1874</v>
      </c>
      <c r="C20" s="2343"/>
      <c r="D20" s="2336"/>
      <c r="E20" s="2343" t="s">
        <v>7</v>
      </c>
      <c r="F20" s="2360"/>
      <c r="G20" s="2352" t="s">
        <v>13</v>
      </c>
      <c r="H20" s="2360"/>
      <c r="I20" s="2352" t="s">
        <v>1875</v>
      </c>
      <c r="J20" s="2343"/>
      <c r="K20" s="2352" t="s">
        <v>1876</v>
      </c>
      <c r="L20" s="2343"/>
      <c r="M20" s="2335" t="s">
        <v>114</v>
      </c>
      <c r="N20" s="2336"/>
      <c r="O20" s="622"/>
      <c r="P20" s="2353" t="s">
        <v>1</v>
      </c>
      <c r="Q20" s="2360" t="s">
        <v>7</v>
      </c>
      <c r="R20" s="2333"/>
      <c r="S20" s="2333" t="s">
        <v>13</v>
      </c>
      <c r="T20" s="2333"/>
      <c r="U20" s="2333" t="s">
        <v>1875</v>
      </c>
      <c r="V20" s="2352"/>
      <c r="W20" s="2333" t="s">
        <v>1876</v>
      </c>
      <c r="X20" s="2352"/>
      <c r="Y20" s="2332" t="s">
        <v>114</v>
      </c>
      <c r="Z20" s="2333"/>
      <c r="AA20" s="2333" t="s">
        <v>1877</v>
      </c>
      <c r="AB20" s="2334"/>
      <c r="AC20" s="622"/>
      <c r="AD20" s="2353" t="s">
        <v>1</v>
      </c>
      <c r="AE20" s="2352" t="s">
        <v>7</v>
      </c>
      <c r="AF20" s="2360"/>
      <c r="AG20" s="2352" t="s">
        <v>13</v>
      </c>
      <c r="AH20" s="2360"/>
      <c r="AI20" s="2352" t="s">
        <v>1875</v>
      </c>
      <c r="AJ20" s="2336"/>
      <c r="AK20" s="2335" t="s">
        <v>114</v>
      </c>
      <c r="AL20" s="2336"/>
      <c r="AN20" s="651">
        <v>45292</v>
      </c>
      <c r="AO20" s="672">
        <v>739</v>
      </c>
      <c r="AP20" s="666">
        <v>69416934</v>
      </c>
    </row>
    <row r="21" spans="2:42" ht="15.75">
      <c r="B21" s="559" t="s">
        <v>1878</v>
      </c>
      <c r="C21" s="591" t="s">
        <v>1879</v>
      </c>
      <c r="D21" s="592" t="s">
        <v>1880</v>
      </c>
      <c r="E21" s="562" t="s">
        <v>1872</v>
      </c>
      <c r="F21" s="563" t="s">
        <v>1881</v>
      </c>
      <c r="G21" s="562" t="s">
        <v>1872</v>
      </c>
      <c r="H21" s="563" t="s">
        <v>1881</v>
      </c>
      <c r="I21" s="562" t="s">
        <v>1872</v>
      </c>
      <c r="J21" s="623" t="s">
        <v>1881</v>
      </c>
      <c r="K21" s="563" t="s">
        <v>1872</v>
      </c>
      <c r="L21" s="624" t="s">
        <v>1881</v>
      </c>
      <c r="M21" s="610" t="s">
        <v>1872</v>
      </c>
      <c r="N21" s="624" t="s">
        <v>1881</v>
      </c>
      <c r="O21" s="622"/>
      <c r="P21" s="2354"/>
      <c r="Q21" s="562" t="s">
        <v>1872</v>
      </c>
      <c r="R21" s="563" t="s">
        <v>1881</v>
      </c>
      <c r="S21" s="562" t="s">
        <v>1872</v>
      </c>
      <c r="T21" s="563" t="s">
        <v>1881</v>
      </c>
      <c r="U21" s="562" t="s">
        <v>1872</v>
      </c>
      <c r="V21" s="563" t="s">
        <v>1881</v>
      </c>
      <c r="W21" s="562" t="s">
        <v>1872</v>
      </c>
      <c r="X21" s="563" t="s">
        <v>1881</v>
      </c>
      <c r="Y21" s="610" t="s">
        <v>1872</v>
      </c>
      <c r="Z21" s="563" t="s">
        <v>1881</v>
      </c>
      <c r="AA21" s="563" t="s">
        <v>1872</v>
      </c>
      <c r="AB21" s="624" t="s">
        <v>1881</v>
      </c>
      <c r="AC21" s="622"/>
      <c r="AD21" s="2355"/>
      <c r="AE21" s="563" t="s">
        <v>1872</v>
      </c>
      <c r="AF21" s="563" t="s">
        <v>1881</v>
      </c>
      <c r="AG21" s="563" t="s">
        <v>1872</v>
      </c>
      <c r="AH21" s="563" t="s">
        <v>1881</v>
      </c>
      <c r="AI21" s="563" t="s">
        <v>1872</v>
      </c>
      <c r="AJ21" s="624" t="s">
        <v>1881</v>
      </c>
      <c r="AK21" s="563" t="s">
        <v>1872</v>
      </c>
      <c r="AL21" s="624" t="s">
        <v>1881</v>
      </c>
      <c r="AN21" s="651">
        <v>45323</v>
      </c>
      <c r="AO21" s="672">
        <v>978</v>
      </c>
      <c r="AP21" s="666">
        <v>91953699</v>
      </c>
    </row>
    <row r="22" spans="2:42" ht="15.75">
      <c r="B22" s="593" t="s">
        <v>8</v>
      </c>
      <c r="C22" s="565">
        <v>96</v>
      </c>
      <c r="D22" s="566">
        <f>C22/SUM($C$22:$C$25)</f>
        <v>0.20041753653444677</v>
      </c>
      <c r="E22" s="594">
        <f>ROUND($D22*VLOOKUP($B$19,'ИПП 4кв24'!$AN$4:$AP$16,2,0),0)</f>
        <v>35</v>
      </c>
      <c r="F22" s="568">
        <f>ROUND($D22*VLOOKUP($B$19,'ИПП 4кв24'!$AN$4:$AP$16,3,0),0)</f>
        <v>3774529</v>
      </c>
      <c r="G22" s="568">
        <f>ROUND($D22*VLOOKUP($B$19,'ИПП 4кв24'!$AN$20:$AP$32,2,0),0)</f>
        <v>215</v>
      </c>
      <c r="H22" s="568">
        <f>ROUND($D22*VLOOKUP($B$19,'ИПП 4кв24'!$AN$20:$AP$32,3,0),0)</f>
        <v>23082541</v>
      </c>
      <c r="I22" s="568">
        <f>ROUND($D22*VLOOKUP($B$19,'ИПП 4кв24'!$AN$36:$AP$48,2,0),0)</f>
        <v>34</v>
      </c>
      <c r="J22" s="625">
        <f>ROUND($D22*VLOOKUP($B$19,'ИПП 4кв24'!$AN$36:$AP$48,3,0),0)</f>
        <v>3981386</v>
      </c>
      <c r="K22" s="568"/>
      <c r="L22" s="625"/>
      <c r="M22" s="596">
        <f>E22+G22+I22+K22</f>
        <v>284</v>
      </c>
      <c r="N22" s="626">
        <f>F22+H22+J22+L22</f>
        <v>30838456</v>
      </c>
      <c r="O22" s="609"/>
      <c r="P22" s="627" t="s">
        <v>8</v>
      </c>
      <c r="Q22" s="572">
        <f>SUMIFS(РД[S],РД[Дом],$Q$20,РД[МОП],$P22,РД[Дата подачи на регистрацию],"&gt;="&amp;$P$19,РД[Дата подачи на регистрацию],"&lt;"&amp;DATE(YEAR($B$19),MONTH($B$19)+1,1),РД[Состояние],"Продажа")-AE22/2</f>
        <v>0</v>
      </c>
      <c r="R22" s="573">
        <f>SUMIFS(РД[Стоимость без отделки итог],РД[Дом],$Q$20,РД[МОП],$P22,РД[Дата подачи на регистрацию],"&gt;="&amp;$P$19,РД[Дата подачи на регистрацию],"&lt;"&amp;DATE(YEAR($B$19),MONTH($B$19)+1,1),РД[Состояние],"Продажа")-AF22/2</f>
        <v>0</v>
      </c>
      <c r="S22" s="573">
        <f>SUMIFS(РД[S],РД[Дом],$S$20,РД[МОП],$P22,РД[Дата подачи на регистрацию],"&gt;="&amp;$P$19,РД[Дата подачи на регистрацию],"&lt;"&amp;DATE(YEAR($B$19),MONTH($B$19)+1,1),РД[Состояние],"Продажа")-AG22/2</f>
        <v>436.01500000000004</v>
      </c>
      <c r="T22" s="573">
        <f>SUMIFS(РД[Стоимость без отделки итог],РД[Дом],$S$20,РД[МОП],$P22,РД[Дата подачи на регистрацию],"&gt;="&amp;$P$19,РД[Дата подачи на регистрацию],"&lt;"&amp;DATE(YEAR($B$19),MONTH($B$19)+1,1),РД[Состояние],"Продажа")-AH22/2</f>
        <v>47314753</v>
      </c>
      <c r="U22" s="573">
        <f>SUMIFS(РД[S],РД[Дом],$U$20,РД[МОП],$P22,РД[Дата подачи на регистрацию],"&gt;="&amp;$P$19,РД[Дата подачи на регистрацию],"&lt;"&amp;DATE(YEAR($B$19),MONTH($B$19)+1,1),РД[Состояние],"Продажа")-AI22/2</f>
        <v>51.79</v>
      </c>
      <c r="V22" s="628">
        <f>SUMIFS(РД[Стоимость без отделки итог],РД[Дом],$U$20,РД[МОП],$P22,РД[Дата подачи на регистрацию],"&gt;="&amp;$P$19,РД[Дата подачи на регистрацию],"&lt;"&amp;DATE(YEAR($B$19),MONTH($B$19)+1,1),РД[Состояние],"Продажа")-AJ22/2</f>
        <v>5673318</v>
      </c>
      <c r="W22" s="573">
        <f>SUMIFS(РД[S],РД[Дом],$W$20,РД[МОП],$P22,РД[Дата подачи на регистрацию],"&gt;="&amp;$P$19,РД[Дата подачи на регистрацию],"&lt;"&amp;DATE(YEAR($B$19),MONTH($B$19)+1,1),РД[Состояние],"Продажа")-AI6/2</f>
        <v>0</v>
      </c>
      <c r="X22" s="628">
        <f>SUMIFS(РД[Стоимость без отделки итог],РД[Дом],$W$20,РД[МОП],$P22,РД[Дата подачи на регистрацию],"&gt;="&amp;$P$19,РД[Дата подачи на регистрацию],"&lt;"&amp;DATE(YEAR($B$19),MONTH($B$19)+1,1),РД[Состояние],"Продажа")-AI6/2</f>
        <v>0</v>
      </c>
      <c r="Y22" s="636">
        <f>Q22+S22+U22+W22</f>
        <v>487.80500000000006</v>
      </c>
      <c r="Z22" s="573">
        <f>R22+T22+V22+X22</f>
        <v>52988071</v>
      </c>
      <c r="AA22" s="645">
        <f t="shared" ref="AA22:AB26" si="19">IFERROR(Y22/M22,"")</f>
        <v>1.71762323943662</v>
      </c>
      <c r="AB22" s="588">
        <f t="shared" si="19"/>
        <v>1.7182465620198366</v>
      </c>
      <c r="AC22" s="609"/>
      <c r="AD22" s="564" t="s">
        <v>8</v>
      </c>
      <c r="AE22" s="568">
        <f>SUMIFS(РД[S],РД[Дом],$AE$20,РД[МОП],$AD22,РД[Источник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22" s="568">
        <f>SUMIFS(РД[Стоимость без отделки итог],РД[Дом],$AE$20,РД[МОП],$AD22,РД[Источник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22" s="568">
        <f>SUMIFS(РД[S],РД[Дом],$AG$20,РД[МОП],$AD22,РД[Источник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132.01</v>
      </c>
      <c r="AH22" s="568">
        <f>SUMIFS(РД[Стоимость без отделки итог],РД[Дом],$AG$20,РД[МОП],$AD22,РД[Источник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14431676</v>
      </c>
      <c r="AI22" s="568">
        <f>SUMIFS(РД[S],РД[Дом],$AI$20,РД[МОП],$AD22,РД[Источник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J22" s="568">
        <f>SUMIFS(РД[Стоимость без отделки итог],РД[Дом],$AI$20,РД[МОП],$AD22,РД[Источник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K22" s="596">
        <f>AE22+AG22+AI22</f>
        <v>132.01</v>
      </c>
      <c r="AL22" s="626">
        <f>AF22+AH22+AJ22</f>
        <v>14431676</v>
      </c>
      <c r="AN22" s="651">
        <v>45352</v>
      </c>
      <c r="AO22" s="665">
        <v>1234</v>
      </c>
      <c r="AP22" s="666">
        <v>118652812</v>
      </c>
    </row>
    <row r="23" spans="2:42" ht="15.75">
      <c r="B23" s="569" t="s">
        <v>24</v>
      </c>
      <c r="C23" s="595">
        <v>35</v>
      </c>
      <c r="D23" s="575">
        <f>C23/SUM($C$22:$C$25)</f>
        <v>7.3068893528183715E-2</v>
      </c>
      <c r="E23" s="596">
        <f>ROUND($D23*VLOOKUP($B$19,'ИПП 4кв24'!$AN$4:$AP$16,2,0),0)</f>
        <v>13</v>
      </c>
      <c r="F23" s="597">
        <f>ROUND($D23*VLOOKUP($B$19,'ИПП 4кв24'!$AN$4:$AP$16,3,0),0)</f>
        <v>1376130</v>
      </c>
      <c r="G23" s="597">
        <f>ROUND($D23*VLOOKUP($B$19,'ИПП 4кв24'!$AN$20:$AP$32,2,0),0)</f>
        <v>78</v>
      </c>
      <c r="H23" s="597">
        <f>ROUND($D23*VLOOKUP($B$19,'ИПП 4кв24'!$AN$20:$AP$32,3,0),0)</f>
        <v>8415510</v>
      </c>
      <c r="I23" s="597">
        <f>ROUND($D23*VLOOKUP($B$19,'ИПП 4кв24'!$AN$36:$AP$48,2,0),0)</f>
        <v>12</v>
      </c>
      <c r="J23" s="632">
        <f>ROUND($D23*VLOOKUP($B$19,'ИПП 4кв24'!$AN$36:$AP$48,3,0),0)</f>
        <v>1451547</v>
      </c>
      <c r="K23" s="573"/>
      <c r="L23" s="628"/>
      <c r="M23" s="596">
        <f t="shared" ref="M23:M26" si="20">E23+G23+I23+K23</f>
        <v>103</v>
      </c>
      <c r="N23" s="626">
        <f t="shared" ref="N23:N26" si="21">F23+H23+J23+L23</f>
        <v>11243187</v>
      </c>
      <c r="O23" s="609"/>
      <c r="P23" s="569" t="s">
        <v>24</v>
      </c>
      <c r="Q23" s="606">
        <f>SUMIFS(РД[S],РД[Дом],$Q$20,РД[МОП],$P23,РД[Дата подачи на регистрацию],"&gt;="&amp;$P$19,РД[Дата подачи на регистрацию],"&lt;"&amp;DATE(YEAR($B$19),MONTH($B$19)+1,1),РД[Состояние],"Продажа")-AE23/2</f>
        <v>0</v>
      </c>
      <c r="R23" s="597">
        <f>SUMIFS(РД[Стоимость без отделки итог],РД[Дом],$Q$20,РД[МОП],$P23,РД[Дата подачи на регистрацию],"&gt;="&amp;$P$19,РД[Дата подачи на регистрацию],"&lt;"&amp;DATE(YEAR($B$19),MONTH($B$19)+1,1),РД[Состояние],"Продажа")-AF23/2</f>
        <v>0</v>
      </c>
      <c r="S23" s="597">
        <f>SUMIFS(РД[S],РД[Дом],$S$20,РД[МОП],$P23,РД[Дата подачи на регистрацию],"&gt;="&amp;$P$19,РД[Дата подачи на регистрацию],"&lt;"&amp;DATE(YEAR($B$19),MONTH($B$19)+1,1),РД[Состояние],"Продажа")-AG23/2</f>
        <v>0</v>
      </c>
      <c r="T23" s="597">
        <f>SUMIFS(РД[Стоимость без отделки итог],РД[Дом],$S$20,РД[МОП],$P23,РД[Дата подачи на регистрацию],"&gt;="&amp;$P$19,РД[Дата подачи на регистрацию],"&lt;"&amp;DATE(YEAR($B$19),MONTH($B$19)+1,1),РД[Состояние],"Продажа")-AH23/2</f>
        <v>0</v>
      </c>
      <c r="U23" s="597">
        <f>SUMIFS(РД[S],РД[Дом],$U$20,РД[МОП],$P23,РД[Дата подачи на регистрацию],"&gt;="&amp;$P$19,РД[Дата подачи на регистрацию],"&lt;"&amp;DATE(YEAR($B$19),MONTH($B$19)+1,1),РД[Состояние],"Продажа")-AI23/2</f>
        <v>0</v>
      </c>
      <c r="V23" s="632">
        <f>SUMIFS(РД[Стоимость без отделки итог],РД[Дом],$U$20,РД[МОП],$P23,РД[Дата подачи на регистрацию],"&gt;="&amp;$P$19,РД[Дата подачи на регистрацию],"&lt;"&amp;DATE(YEAR($B$19),MONTH($B$19)+1,1),РД[Состояние],"Продажа")-AJ23/2</f>
        <v>0</v>
      </c>
      <c r="W23" s="573">
        <f>SUMIFS(РД[S],РД[Дом],$W$20,РД[МОП],$P23,РД[Дата подачи на регистрацию],"&gt;="&amp;$P$19,РД[Дата подачи на регистрацию],"&lt;"&amp;DATE(YEAR($B$19),MONTH($B$19)+1,1),РД[Состояние],"Продажа")-AI7/2</f>
        <v>0</v>
      </c>
      <c r="X23" s="628">
        <f>SUMIFS(РД[Стоимость без отделки итог],РД[Дом],$W$20,РД[МОП],$P23,РД[Дата подачи на регистрацию],"&gt;="&amp;$P$19,РД[Дата подачи на регистрацию],"&lt;"&amp;DATE(YEAR($B$19),MONTH($B$19)+1,1),РД[Состояние],"Продажа")-AI7/2</f>
        <v>0</v>
      </c>
      <c r="Y23" s="636">
        <f t="shared" ref="Y23:Y25" si="22">Q23+S23+U23+W23</f>
        <v>0</v>
      </c>
      <c r="Z23" s="573">
        <f t="shared" ref="Z23:Z25" si="23">R23+T23+V23+X23</f>
        <v>0</v>
      </c>
      <c r="AA23" s="638">
        <f t="shared" si="19"/>
        <v>0</v>
      </c>
      <c r="AB23" s="617">
        <f t="shared" si="19"/>
        <v>0</v>
      </c>
      <c r="AC23" s="609"/>
      <c r="AD23" s="569" t="s">
        <v>46</v>
      </c>
      <c r="AE23" s="573">
        <f>SUMIFS(РД[S],РД[Дом],$AE$20,РД[МОП],$AD23,РД[Источник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23" s="573">
        <f>SUMIFS(РД[Стоимость без отделки итог],РД[Дом],$AE$20,РД[МОП],$AD23,РД[Источник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23" s="573">
        <f>SUMIFS(РД[S],РД[Дом],$AG$20,РД[МОП],$AD23,РД[Источник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H23" s="573">
        <f>SUMIFS(РД[Стоимость без отделки итог],РД[Дом],$AG$20,РД[МОП],$AD23,РД[Источник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I23" s="573">
        <f>SUMIFS(РД[S],РД[Дом],$AI$20,РД[МОП],$AD23,РД[Источник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J23" s="652">
        <f>SUMIFS(РД[Стоимость без отделки итог],РД[Дом],$AI$20,РД[МОП],$AD23,РД[Источник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K23" s="596">
        <f>AE23+AG23+AI23</f>
        <v>0</v>
      </c>
      <c r="AL23" s="626">
        <f>AF23+AH23+AJ23</f>
        <v>0</v>
      </c>
      <c r="AN23" s="651">
        <v>45383</v>
      </c>
      <c r="AO23" s="665">
        <v>1087.5308175412499</v>
      </c>
      <c r="AP23" s="666">
        <v>107756392.314731</v>
      </c>
    </row>
    <row r="24" spans="2:42" ht="15.75">
      <c r="B24" s="593" t="s">
        <v>20</v>
      </c>
      <c r="C24" s="595">
        <v>168</v>
      </c>
      <c r="D24" s="575">
        <f>C24/SUM($C$22:$C$25)</f>
        <v>0.35073068893528186</v>
      </c>
      <c r="E24" s="596">
        <f>ROUND($D24*VLOOKUP($B$19,'ИПП 4кв24'!$AN$4:$AP$16,2,0),0)</f>
        <v>62</v>
      </c>
      <c r="F24" s="597">
        <f>ROUND($D24*VLOOKUP($B$19,'ИПП 4кв24'!$AN$4:$AP$16,3,0),0)</f>
        <v>6605426</v>
      </c>
      <c r="G24" s="597">
        <f>ROUND($D24*VLOOKUP($B$19,'ИПП 4кв24'!$AN$20:$AP$32,2,0),0)</f>
        <v>377</v>
      </c>
      <c r="H24" s="597">
        <f>ROUND($D24*VLOOKUP($B$19,'ИПП 4кв24'!$AN$20:$AP$32,3,0),0)</f>
        <v>40394447</v>
      </c>
      <c r="I24" s="597">
        <f>ROUND($D24*VLOOKUP($B$19,'ИПП 4кв24'!$AN$36:$AP$48,2,0),0)</f>
        <v>60</v>
      </c>
      <c r="J24" s="632">
        <f>ROUND($D24*VLOOKUP($B$19,'ИПП 4кв24'!$AN$36:$AP$48,3,0),0)</f>
        <v>6967425</v>
      </c>
      <c r="K24" s="573"/>
      <c r="L24" s="628"/>
      <c r="M24" s="596">
        <f t="shared" si="20"/>
        <v>499</v>
      </c>
      <c r="N24" s="626">
        <f t="shared" si="21"/>
        <v>53967298</v>
      </c>
      <c r="O24" s="609"/>
      <c r="P24" s="569" t="s">
        <v>20</v>
      </c>
      <c r="Q24" s="606">
        <f>SUMIFS(РД[S],РД[Дом],$Q$20,РД[МОП],$P24,РД[Дата подачи на регистрацию],"&gt;="&amp;$P$19,РД[Дата подачи на регистрацию],"&lt;"&amp;DATE(YEAR($B$19),MONTH($B$19)+1,1),РД[Состояние],"Продажа")-AE24/2</f>
        <v>0</v>
      </c>
      <c r="R24" s="597">
        <f>SUMIFS(РД[Стоимость без отделки итог],РД[Дом],$Q$20,РД[МОП],$P24,РД[Дата подачи на регистрацию],"&gt;="&amp;$P$19,РД[Дата подачи на регистрацию],"&lt;"&amp;DATE(YEAR($B$19),MONTH($B$19)+1,1),РД[Состояние],"Продажа")-AF24/2</f>
        <v>0</v>
      </c>
      <c r="S24" s="597">
        <f>SUMIFS(РД[S],РД[Дом],$S$20,РД[МОП],$P24,РД[Дата подачи на регистрацию],"&gt;="&amp;$P$19,РД[Дата подачи на регистрацию],"&lt;"&amp;DATE(YEAR($B$19),MONTH($B$19)+1,1),РД[Состояние],"Продажа")-AG24/2</f>
        <v>248.92000000000002</v>
      </c>
      <c r="T24" s="597">
        <f>SUMIFS(РД[Стоимость без отделки итог],РД[Дом],$S$20,РД[МОП],$P24,РД[Дата подачи на регистрацию],"&gt;="&amp;$P$19,РД[Дата подачи на регистрацию],"&lt;"&amp;DATE(YEAR($B$19),MONTH($B$19)+1,1),РД[Состояние],"Продажа")-AH24/2</f>
        <v>28514928</v>
      </c>
      <c r="U24" s="597">
        <f>SUMIFS(РД[S],РД[Дом],$U$20,РД[МОП],$P24,РД[Дата подачи на регистрацию],"&gt;="&amp;$P$19,РД[Дата подачи на регистрацию],"&lt;"&amp;DATE(YEAR($B$19),MONTH($B$19)+1,1),РД[Состояние],"Продажа")-AI24/2</f>
        <v>79.965000000000003</v>
      </c>
      <c r="V24" s="632">
        <f>SUMIFS(РД[Стоимость без отделки итог],РД[Дом],$U$20,РД[МОП],$P24,РД[Дата подачи на регистрацию],"&gt;="&amp;$P$19,РД[Дата подачи на регистрацию],"&lt;"&amp;DATE(YEAR($B$19),MONTH($B$19)+1,1),РД[Состояние],"Продажа")-AJ24/2</f>
        <v>9082446</v>
      </c>
      <c r="W24" s="573">
        <f>SUMIFS(РД[S],РД[Дом],$W$20,РД[МОП],$P24,РД[Дата подачи на регистрацию],"&gt;="&amp;$P$19,РД[Дата подачи на регистрацию],"&lt;"&amp;DATE(YEAR($B$19),MONTH($B$19)+1,1),РД[Состояние],"Продажа")-AI8/2</f>
        <v>0</v>
      </c>
      <c r="X24" s="628">
        <f>SUMIFS(РД[Стоимость без отделки итог],РД[Дом],$W$20,РД[МОП],$P24,РД[Дата подачи на регистрацию],"&gt;="&amp;$P$19,РД[Дата подачи на регистрацию],"&lt;"&amp;DATE(YEAR($B$19),MONTH($B$19)+1,1),РД[Состояние],"Продажа")-AI8/2</f>
        <v>0</v>
      </c>
      <c r="Y24" s="636">
        <f t="shared" si="22"/>
        <v>328.88499999999999</v>
      </c>
      <c r="Z24" s="573">
        <f t="shared" si="23"/>
        <v>37597374</v>
      </c>
      <c r="AA24" s="638">
        <f t="shared" si="19"/>
        <v>0.65908817635270545</v>
      </c>
      <c r="AB24" s="617">
        <f t="shared" si="19"/>
        <v>0.69666956459446983</v>
      </c>
      <c r="AC24" s="609"/>
      <c r="AD24" s="569" t="s">
        <v>20</v>
      </c>
      <c r="AE24" s="573">
        <f>SUMIFS(РД[S],РД[Дом],$AE$20,РД[МОП],$AD24,РД[Источник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24" s="573">
        <f>SUMIFS(РД[Стоимость без отделки итог],РД[Дом],$AE$20,РД[МОП],$AD24,РД[Источник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24" s="573">
        <f>SUMIFS(РД[S],РД[Дом],$AG$20,РД[МОП],$AD24,РД[Источник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24.28</v>
      </c>
      <c r="AH24" s="573">
        <f>SUMIFS(РД[Стоимость без отделки итог],РД[Дом],$AG$20,РД[МОП],$AD24,РД[Источник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3631684</v>
      </c>
      <c r="AI24" s="573">
        <f>SUMIFS(РД[S],РД[Дом],$AI$20,РД[МОП],$AD24,РД[Источник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51.79</v>
      </c>
      <c r="AJ24" s="652">
        <f>SUMIFS(РД[Стоимость без отделки итог],РД[Дом],$AI$20,РД[МОП],$AD24,РД[Источник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5689100</v>
      </c>
      <c r="AK24" s="596">
        <f t="shared" ref="AK24:AL26" si="24">AE24+AG24+AI24</f>
        <v>76.069999999999993</v>
      </c>
      <c r="AL24" s="626">
        <f t="shared" si="24"/>
        <v>9320784</v>
      </c>
      <c r="AN24" s="651">
        <v>45413</v>
      </c>
      <c r="AO24" s="665">
        <v>1089.8903664095401</v>
      </c>
      <c r="AP24" s="597">
        <v>109356075</v>
      </c>
    </row>
    <row r="25" spans="2:42" ht="15.75">
      <c r="B25" s="598" t="s">
        <v>14</v>
      </c>
      <c r="C25" s="599">
        <v>180</v>
      </c>
      <c r="D25" s="600">
        <f>C25/SUM($C$22:$C$25)</f>
        <v>0.37578288100208768</v>
      </c>
      <c r="E25" s="601">
        <f>ROUND($D25*VLOOKUP($B$19,'ИПП 4кв24'!$AN$4:$AP$16,2,0),0)</f>
        <v>66</v>
      </c>
      <c r="F25" s="602">
        <f>ROUND($D25*VLOOKUP($B$19,'ИПП 4кв24'!$AN$4:$AP$16,3,0),0)</f>
        <v>7077242</v>
      </c>
      <c r="G25" s="602">
        <f>ROUND($D25*VLOOKUP($B$19,'ИПП 4кв24'!$AN$20:$AP$32,2,0),0)</f>
        <v>404</v>
      </c>
      <c r="H25" s="602">
        <f>ROUND($D25*VLOOKUP($B$19,'ИПП 4кв24'!$AN$20:$AP$32,3,0),0)</f>
        <v>43279764</v>
      </c>
      <c r="I25" s="602">
        <f>ROUND($D25*VLOOKUP($B$19,'ИПП 4кв24'!$AN$36:$AP$48,2,0),0)</f>
        <v>64</v>
      </c>
      <c r="J25" s="633">
        <f>ROUND($D25*VLOOKUP($B$19,'ИПП 4кв24'!$AN$36:$AP$48,3,0),0)</f>
        <v>7465098</v>
      </c>
      <c r="K25" s="573"/>
      <c r="L25" s="628"/>
      <c r="M25" s="596">
        <f t="shared" si="20"/>
        <v>534</v>
      </c>
      <c r="N25" s="626">
        <f t="shared" si="21"/>
        <v>57822104</v>
      </c>
      <c r="O25" s="609"/>
      <c r="P25" s="576" t="s">
        <v>14</v>
      </c>
      <c r="Q25" s="589">
        <f>SUMIFS(РД[S],РД[Дом],$Q$20,РД[МОП],$P25,РД[Дата подачи на регистрацию],"&gt;="&amp;$P$19,РД[Дата подачи на регистрацию],"&lt;"&amp;DATE(YEAR($B$19),MONTH($B$19)+1,1),РД[Состояние],"Продажа")-AE25/2</f>
        <v>0</v>
      </c>
      <c r="R25" s="590">
        <f>SUMIFS(РД[Стоимость без отделки итог],РД[Дом],$Q$20,РД[МОП],$P25,РД[Дата подачи на регистрацию],"&gt;="&amp;$P$19,РД[Дата подачи на регистрацию],"&lt;"&amp;DATE(YEAR($B$19),MONTH($B$19)+1,1),РД[Состояние],"Продажа")-AF25/2</f>
        <v>0</v>
      </c>
      <c r="S25" s="590">
        <f>SUMIFS(РД[S],РД[Дом],$S$20,РД[МОП],$P25,РД[Дата подачи на регистрацию],"&gt;="&amp;$P$19,РД[Дата подачи на регистрацию],"&lt;"&amp;DATE(YEAR($B$19),MONTH($B$19)+1,1),РД[Состояние],"Продажа")-AG25/2</f>
        <v>84.77000000000001</v>
      </c>
      <c r="T25" s="590">
        <f>SUMIFS(РД[Стоимость без отделки итог],РД[Дом],$S$20,РД[МОП],$P25,РД[Дата подачи на регистрацию],"&gt;="&amp;$P$19,РД[Дата подачи на регистрацию],"&lt;"&amp;DATE(YEAR($B$19),MONTH($B$19)+1,1),РД[Состояние],"Продажа")-AH25/2</f>
        <v>9736300</v>
      </c>
      <c r="U25" s="590">
        <f>SUMIFS(РД[S],РД[Дом],$U$20,РД[МОП],$P25,РД[Дата подачи на регистрацию],"&gt;="&amp;$P$19,РД[Дата подачи на регистрацию],"&lt;"&amp;DATE(YEAR($B$19),MONTH($B$19)+1,1),РД[Состояние],"Продажа")-AI25/2</f>
        <v>0</v>
      </c>
      <c r="V25" s="635">
        <f>SUMIFS(РД[Стоимость без отделки итог],РД[Дом],$U$20,РД[МОП],$P25,РД[Дата подачи на регистрацию],"&gt;="&amp;$P$19,РД[Дата подачи на регистрацию],"&lt;"&amp;DATE(YEAR($B$19),MONTH($B$19)+1,1),РД[Состояние],"Продажа")-AJ25/2</f>
        <v>0</v>
      </c>
      <c r="W25" s="573">
        <f>SUMIFS(РД[S],РД[Дом],$W$20,РД[МОП],$P25,РД[Дата подачи на регистрацию],"&gt;="&amp;$P$19,РД[Дата подачи на регистрацию],"&lt;"&amp;DATE(YEAR($B$19),MONTH($B$19)+1,1),РД[Состояние],"Продажа")-AI9/2</f>
        <v>0</v>
      </c>
      <c r="X25" s="628">
        <f>SUMIFS(РД[Стоимость без отделки итог],РД[Дом],$W$20,РД[МОП],$P25,РД[Дата подачи на регистрацию],"&gt;="&amp;$P$19,РД[Дата подачи на регистрацию],"&lt;"&amp;DATE(YEAR($B$19),MONTH($B$19)+1,1),РД[Состояние],"Продажа")-AI9/2</f>
        <v>0</v>
      </c>
      <c r="Y25" s="636">
        <f t="shared" si="22"/>
        <v>84.77000000000001</v>
      </c>
      <c r="Z25" s="573">
        <f t="shared" si="23"/>
        <v>9736300</v>
      </c>
      <c r="AA25" s="639">
        <f t="shared" si="19"/>
        <v>0.15874531835205993</v>
      </c>
      <c r="AB25" s="640">
        <f t="shared" si="19"/>
        <v>0.16838370322878601</v>
      </c>
      <c r="AC25" s="609"/>
      <c r="AD25" s="576" t="s">
        <v>14</v>
      </c>
      <c r="AE25" s="580">
        <f>SUMIFS(РД[S],РД[Дом],$AE$20,РД[МОП],$AD25,РД[Источник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25" s="580">
        <f>SUMIFS(РД[Стоимость без отделки итог],РД[Дом],$AE$20,РД[МОП],$AD25,РД[Источник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25" s="580">
        <f>SUMIFS(РД[S],РД[Дом],$AG$20,РД[МОП],$AD25,РД[Источник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H25" s="580">
        <f>SUMIFS(РД[Стоимость без отделки итог],РД[Дом],$AG$20,РД[МОП],$AD25,РД[Источник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I25" s="573">
        <f>SUMIFS(РД[S],РД[Дом],$AI$20,РД[МОП],$AD25,РД[Источник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J25" s="652">
        <f>SUMIFS(РД[Стоимость без отделки итог],РД[Дом],$AI$20,РД[МОП],$AD25,РД[Источник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K25" s="596">
        <f t="shared" si="24"/>
        <v>0</v>
      </c>
      <c r="AL25" s="626">
        <f t="shared" si="24"/>
        <v>0</v>
      </c>
      <c r="AN25" s="651">
        <v>45444</v>
      </c>
      <c r="AO25" s="667">
        <v>846.43618137647798</v>
      </c>
      <c r="AP25" s="668">
        <v>87101094</v>
      </c>
    </row>
    <row r="26" spans="2:42">
      <c r="B26" s="581" t="s">
        <v>114</v>
      </c>
      <c r="C26" s="603">
        <f t="shared" ref="C26:J26" si="25">SUM(C22:C25)</f>
        <v>479</v>
      </c>
      <c r="D26" s="604">
        <f t="shared" si="25"/>
        <v>1</v>
      </c>
      <c r="E26" s="603">
        <f t="shared" si="25"/>
        <v>176</v>
      </c>
      <c r="F26" s="605">
        <f t="shared" si="25"/>
        <v>18833327</v>
      </c>
      <c r="G26" s="605">
        <f t="shared" si="25"/>
        <v>1074</v>
      </c>
      <c r="H26" s="605">
        <f t="shared" si="25"/>
        <v>115172262</v>
      </c>
      <c r="I26" s="605">
        <f t="shared" si="25"/>
        <v>170</v>
      </c>
      <c r="J26" s="634">
        <f t="shared" si="25"/>
        <v>19865456</v>
      </c>
      <c r="K26" s="584"/>
      <c r="L26" s="629"/>
      <c r="M26" s="612">
        <f t="shared" si="20"/>
        <v>1420</v>
      </c>
      <c r="N26" s="630">
        <f t="shared" si="21"/>
        <v>153871045</v>
      </c>
      <c r="O26" s="631"/>
      <c r="P26" s="581" t="s">
        <v>114</v>
      </c>
      <c r="Q26" s="582">
        <f>SUM(Q22:Q25)</f>
        <v>0</v>
      </c>
      <c r="R26" s="584">
        <f t="shared" ref="R26:Z26" si="26">SUM(R22:R25)</f>
        <v>0</v>
      </c>
      <c r="S26" s="584">
        <f t="shared" si="26"/>
        <v>769.70500000000004</v>
      </c>
      <c r="T26" s="584">
        <f t="shared" si="26"/>
        <v>85565981</v>
      </c>
      <c r="U26" s="584">
        <f t="shared" si="26"/>
        <v>131.755</v>
      </c>
      <c r="V26" s="629">
        <f t="shared" si="26"/>
        <v>14755764</v>
      </c>
      <c r="W26" s="584">
        <f t="shared" si="26"/>
        <v>0</v>
      </c>
      <c r="X26" s="629">
        <f t="shared" si="26"/>
        <v>0</v>
      </c>
      <c r="Y26" s="612">
        <f t="shared" si="26"/>
        <v>901.46</v>
      </c>
      <c r="Z26" s="584">
        <f t="shared" si="26"/>
        <v>100321745</v>
      </c>
      <c r="AA26" s="641">
        <f t="shared" si="19"/>
        <v>0.63483098591549303</v>
      </c>
      <c r="AB26" s="583">
        <f t="shared" si="19"/>
        <v>0.65198585607838044</v>
      </c>
      <c r="AC26" s="631"/>
      <c r="AD26" s="581" t="s">
        <v>114</v>
      </c>
      <c r="AE26" s="644">
        <f t="shared" ref="AE26:AJ26" si="27">SUM(AE22:AE25)</f>
        <v>0</v>
      </c>
      <c r="AF26" s="644">
        <f t="shared" si="27"/>
        <v>0</v>
      </c>
      <c r="AG26" s="644">
        <f t="shared" si="27"/>
        <v>156.29</v>
      </c>
      <c r="AH26" s="644">
        <f t="shared" si="27"/>
        <v>18063360</v>
      </c>
      <c r="AI26" s="644">
        <f t="shared" si="27"/>
        <v>51.79</v>
      </c>
      <c r="AJ26" s="656">
        <f t="shared" si="27"/>
        <v>5689100</v>
      </c>
      <c r="AK26" s="612">
        <f t="shared" si="24"/>
        <v>208.07999999999998</v>
      </c>
      <c r="AL26" s="630">
        <f t="shared" si="24"/>
        <v>23752460</v>
      </c>
      <c r="AN26" s="651">
        <v>45474</v>
      </c>
      <c r="AO26" s="667">
        <v>888.48426611112302</v>
      </c>
      <c r="AP26" s="668">
        <v>92768692.765691102</v>
      </c>
    </row>
    <row r="27" spans="2:42" ht="16.5" customHeight="1">
      <c r="B27" s="2344" t="s">
        <v>1882</v>
      </c>
      <c r="C27" s="2343"/>
      <c r="D27" s="2336"/>
      <c r="E27" s="2343" t="s">
        <v>7</v>
      </c>
      <c r="F27" s="2360"/>
      <c r="G27" s="2352" t="s">
        <v>13</v>
      </c>
      <c r="H27" s="2360"/>
      <c r="I27" s="2352" t="s">
        <v>1875</v>
      </c>
      <c r="J27" s="2343"/>
      <c r="K27" s="2352" t="s">
        <v>1876</v>
      </c>
      <c r="L27" s="2343"/>
      <c r="M27" s="2335" t="s">
        <v>114</v>
      </c>
      <c r="N27" s="2336"/>
      <c r="O27" s="622"/>
      <c r="P27" s="2353" t="s">
        <v>3</v>
      </c>
      <c r="Q27" s="2360" t="s">
        <v>7</v>
      </c>
      <c r="R27" s="2333"/>
      <c r="S27" s="2333" t="s">
        <v>13</v>
      </c>
      <c r="T27" s="2333"/>
      <c r="U27" s="2333" t="s">
        <v>1875</v>
      </c>
      <c r="V27" s="2352"/>
      <c r="W27" s="2333" t="s">
        <v>1876</v>
      </c>
      <c r="X27" s="2352"/>
      <c r="Y27" s="2332" t="s">
        <v>114</v>
      </c>
      <c r="Z27" s="2333"/>
      <c r="AA27" s="2333" t="s">
        <v>1877</v>
      </c>
      <c r="AB27" s="2334"/>
      <c r="AC27" s="622"/>
      <c r="AD27" s="2358" t="s">
        <v>3</v>
      </c>
      <c r="AE27" s="2332" t="s">
        <v>7</v>
      </c>
      <c r="AF27" s="2333"/>
      <c r="AG27" s="2333" t="s">
        <v>13</v>
      </c>
      <c r="AH27" s="2333"/>
      <c r="AI27" s="2333" t="s">
        <v>1875</v>
      </c>
      <c r="AJ27" s="2334"/>
      <c r="AK27" s="2343" t="s">
        <v>114</v>
      </c>
      <c r="AL27" s="2336"/>
      <c r="AN27" s="651">
        <v>45505</v>
      </c>
      <c r="AO27" s="667">
        <v>888.59639112903199</v>
      </c>
      <c r="AP27" s="668">
        <v>92934676.033928797</v>
      </c>
    </row>
    <row r="28" spans="2:42" ht="15.75">
      <c r="B28" s="559" t="s">
        <v>1878</v>
      </c>
      <c r="C28" s="560" t="s">
        <v>1879</v>
      </c>
      <c r="D28" s="561" t="s">
        <v>1880</v>
      </c>
      <c r="E28" s="562" t="s">
        <v>1872</v>
      </c>
      <c r="F28" s="563" t="s">
        <v>1881</v>
      </c>
      <c r="G28" s="562" t="s">
        <v>1872</v>
      </c>
      <c r="H28" s="563" t="s">
        <v>1881</v>
      </c>
      <c r="I28" s="562" t="s">
        <v>1872</v>
      </c>
      <c r="J28" s="623" t="s">
        <v>1881</v>
      </c>
      <c r="K28" s="563" t="s">
        <v>1872</v>
      </c>
      <c r="L28" s="624" t="s">
        <v>1881</v>
      </c>
      <c r="M28" s="610" t="s">
        <v>1872</v>
      </c>
      <c r="N28" s="624" t="s">
        <v>1881</v>
      </c>
      <c r="O28" s="622"/>
      <c r="P28" s="2354"/>
      <c r="Q28" s="562" t="s">
        <v>1872</v>
      </c>
      <c r="R28" s="563" t="s">
        <v>1881</v>
      </c>
      <c r="S28" s="562" t="s">
        <v>1872</v>
      </c>
      <c r="T28" s="563" t="s">
        <v>1881</v>
      </c>
      <c r="U28" s="562" t="s">
        <v>1872</v>
      </c>
      <c r="V28" s="563" t="s">
        <v>1881</v>
      </c>
      <c r="W28" s="562" t="s">
        <v>1872</v>
      </c>
      <c r="X28" s="563" t="s">
        <v>1881</v>
      </c>
      <c r="Y28" s="610" t="s">
        <v>1872</v>
      </c>
      <c r="Z28" s="563" t="s">
        <v>1881</v>
      </c>
      <c r="AA28" s="563" t="s">
        <v>1872</v>
      </c>
      <c r="AB28" s="624" t="s">
        <v>1881</v>
      </c>
      <c r="AC28" s="622"/>
      <c r="AD28" s="2359"/>
      <c r="AE28" s="610" t="s">
        <v>1872</v>
      </c>
      <c r="AF28" s="563" t="s">
        <v>1881</v>
      </c>
      <c r="AG28" s="563" t="s">
        <v>1872</v>
      </c>
      <c r="AH28" s="563" t="s">
        <v>1881</v>
      </c>
      <c r="AI28" s="563" t="s">
        <v>1872</v>
      </c>
      <c r="AJ28" s="624" t="s">
        <v>1881</v>
      </c>
      <c r="AK28" s="562" t="s">
        <v>1872</v>
      </c>
      <c r="AL28" s="624" t="s">
        <v>1881</v>
      </c>
      <c r="AN28" s="651">
        <v>45536</v>
      </c>
      <c r="AO28" s="667">
        <v>1070.98289163306</v>
      </c>
      <c r="AP28" s="668">
        <v>112311802.48547</v>
      </c>
    </row>
    <row r="29" spans="2:42" ht="15.75">
      <c r="B29" s="564" t="s">
        <v>3</v>
      </c>
      <c r="C29" s="570">
        <v>0</v>
      </c>
      <c r="D29" s="588">
        <f>C29/SUM($C$29:$C$31)</f>
        <v>0</v>
      </c>
      <c r="E29" s="572">
        <f>$D29*($E$26*60%)</f>
        <v>0</v>
      </c>
      <c r="F29" s="573">
        <f>$D29*($F$26*60%)</f>
        <v>0</v>
      </c>
      <c r="G29" s="573">
        <f>$D29*($G$26*60%)</f>
        <v>0</v>
      </c>
      <c r="H29" s="573">
        <f>$D29*($H$26*60%)</f>
        <v>0</v>
      </c>
      <c r="I29" s="573">
        <f>$D29*($I$26*60%)</f>
        <v>0</v>
      </c>
      <c r="J29" s="628">
        <f>$D29*($J$26*60%)</f>
        <v>0</v>
      </c>
      <c r="K29" s="573"/>
      <c r="L29" s="628"/>
      <c r="M29" s="596">
        <f t="shared" ref="M29:M32" si="28">E29+G29+I29+K29</f>
        <v>0</v>
      </c>
      <c r="N29" s="626">
        <f t="shared" ref="N29:N32" si="29">F29+H29+J29+L29</f>
        <v>0</v>
      </c>
      <c r="O29" s="609"/>
      <c r="P29" s="627" t="s">
        <v>3</v>
      </c>
      <c r="Q29" s="572">
        <f>SUMIFS(РД[S],РД[Дом],$Q$20,РД[ИМ],$P29,РД[Дата подачи на регистрацию],"&gt;="&amp;$P$19,РД[Дата подачи на регистрацию],"&lt;"&amp;DATE(YEAR($B$19),MONTH($B$19)+1,1),РД[Состояние],"Продажа")-AE29/2</f>
        <v>0</v>
      </c>
      <c r="R29" s="573">
        <f>SUMIFS(РД[Стоимость без отделки итог],РД[Дом],$Q$20,РД[ИМ],$P29,РД[Дата подачи на регистрацию],"&gt;="&amp;$P$19,РД[Дата подачи на регистрацию],"&lt;"&amp;DATE(YEAR($B$19),MONTH($B$19)+1,1),РД[Состояние],"Продажа")-AF29/2</f>
        <v>0</v>
      </c>
      <c r="S29" s="573">
        <f>SUMIFS(РД[S],РД[Дом],$S$20,РД[ИМ],$P29,РД[Дата подачи на регистрацию],"&gt;="&amp;$P$19,РД[Дата подачи на регистрацию],"&lt;"&amp;DATE(YEAR($B$19),MONTH($B$19)+1,1),РД[Состояние],"Продажа")-AG29/2</f>
        <v>0</v>
      </c>
      <c r="T29" s="573">
        <f>SUMIFS(РД[Стоимость без отделки итог],РД[Дом],$S$20,РД[ИМ],$P29,РД[Дата подачи на регистрацию],"&gt;="&amp;$P$19,РД[Дата подачи на регистрацию],"&lt;"&amp;DATE(YEAR($B$19),MONTH($B$19)+1,1),РД[Состояние],"Продажа")-AH29/2</f>
        <v>0</v>
      </c>
      <c r="U29" s="573">
        <f>SUMIFS(РД[S],РД[Дом],$U$20,РД[ИМ],$P29,РД[Дата подачи на регистрацию],"&gt;="&amp;$P$19,РД[Дата подачи на регистрацию],"&lt;"&amp;DATE(YEAR($B$19),MONTH($B$19)+1,1),РД[Состояние],"Продажа")-AI29/2</f>
        <v>0</v>
      </c>
      <c r="V29" s="628">
        <f>SUMIFS(РД[Стоимость без отделки итог],РД[Дом],$U$20,РД[ИМ],$P29,РД[Дата подачи на регистрацию],"&gt;="&amp;$P$19,РД[Дата подачи на регистрацию],"&lt;"&amp;DATE(YEAR($B$19),MONTH($B$19)+1,1),РД[Состояние],"Продажа")-AJ29/2</f>
        <v>0</v>
      </c>
      <c r="W29" s="597">
        <f>SUMIFS(РД[S],РД[Дом],$W$20,РД[ИМ],$P13,РД[Дата подачи на регистрацию],"&gt;="&amp;$P$19,РД[Дата подачи на регистрацию],"&lt;"&amp;DATE(YEAR($B$19),MONTH($B$19)+1,1),РД[Состояние],"Продажа")-AI13/2</f>
        <v>0</v>
      </c>
      <c r="X29" s="632">
        <f>SUMIFS(РД[Стоимость без отделки итог],РД[Дом],$W$20,РД[ИМ],$P13,РД[Дата подачи на регистрацию],"&gt;="&amp;$P$19,РД[Дата подачи на регистрацию],"&lt;"&amp;DATE(YEAR($B$19),MONTH($B$19)+1,1),РД[Состояние],"Продажа")-AI13/2</f>
        <v>0</v>
      </c>
      <c r="Y29" s="636">
        <f>Q29+S29+U29+W29</f>
        <v>0</v>
      </c>
      <c r="Z29" s="573">
        <f>R29+T29+V29+X29</f>
        <v>0</v>
      </c>
      <c r="AA29" s="645" t="str">
        <f t="shared" ref="AA29:AB32" si="30">IFERROR(Y29/M29,"")</f>
        <v/>
      </c>
      <c r="AB29" s="588" t="str">
        <f t="shared" si="30"/>
        <v/>
      </c>
      <c r="AC29" s="609"/>
      <c r="AD29" s="564" t="s">
        <v>1892</v>
      </c>
      <c r="AE29" s="573">
        <f>SUMIFS(РД[S],РД[Дом],$AE$20,РД[ИМ],$AD29,РД[Источник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29" s="573">
        <f>SUMIFS(РД[Стоимость без отделки итог],РД[Дом],$AE$20,РД[ИМ],$AD29,РД[Источник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29" s="573">
        <f>SUMIFS(РД[S],РД[Дом],$AG$20,РД[ИМ],$AD29,РД[Источник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H29" s="573">
        <f>SUMIFS(РД[Стоимость без отделки итог],РД[Дом],$AG$20,РД[ИМ],$AD29,РД[Источник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I29" s="573">
        <f>SUMIFS(РД[S],РД[Дом],$AI$20,РД[ИМ],$AD29,РД[Источник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J29" s="652">
        <f>SUMIFS(РД[Стоимость без отделки итог],РД[Дом],$AI$20,РД[ИМ],$AD29,РД[Источник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K29" s="636">
        <f>AE29+AG29+AI29</f>
        <v>0</v>
      </c>
      <c r="AL29" s="661">
        <f>AF29+AH29+AJ29</f>
        <v>0</v>
      </c>
      <c r="AN29" s="657">
        <v>45566</v>
      </c>
      <c r="AO29" s="669">
        <v>1074</v>
      </c>
      <c r="AP29" s="670">
        <v>114008905</v>
      </c>
    </row>
    <row r="30" spans="2:42" ht="15.75">
      <c r="B30" s="569" t="s">
        <v>22</v>
      </c>
      <c r="C30" s="570">
        <v>168</v>
      </c>
      <c r="D30" s="588">
        <f>C30/SUM($C$29:$C$31)</f>
        <v>1</v>
      </c>
      <c r="E30" s="572">
        <f>$D30*($E$26*60%)</f>
        <v>105.6</v>
      </c>
      <c r="F30" s="573">
        <f>$D30*($F$26*60%)</f>
        <v>11299996.199999999</v>
      </c>
      <c r="G30" s="573">
        <f>$D30*($G$26*60%)</f>
        <v>644.4</v>
      </c>
      <c r="H30" s="573">
        <f>$D30*($H$26*60%)</f>
        <v>69103357.200000003</v>
      </c>
      <c r="I30" s="573">
        <f>$D30*($I$26*60%)</f>
        <v>102</v>
      </c>
      <c r="J30" s="628">
        <f>$D30*($J$26*60%)</f>
        <v>11919273.6</v>
      </c>
      <c r="K30" s="573"/>
      <c r="L30" s="628"/>
      <c r="M30" s="596">
        <f t="shared" si="28"/>
        <v>852</v>
      </c>
      <c r="N30" s="626">
        <f t="shared" si="29"/>
        <v>92322627</v>
      </c>
      <c r="O30" s="609"/>
      <c r="P30" s="569" t="s">
        <v>22</v>
      </c>
      <c r="Q30" s="606">
        <f>SUMIFS(РД[S],РД[Дом],$Q$20,РД[ИМ],$P30,РД[Дата подачи на регистрацию],"&gt;="&amp;$P$19,РД[Дата подачи на регистрацию],"&lt;"&amp;DATE(YEAR($B$19),MONTH($B$19)+1,1),РД[Состояние],"Продажа")</f>
        <v>0</v>
      </c>
      <c r="R30" s="597">
        <f>SUMIFS(РД[Стоимость без отделки итог],РД[Дом],$Q$20,РД[ИМ],$P30,РД[Дата подачи на регистрацию],"&gt;="&amp;$P$19,РД[Дата подачи на регистрацию],"&lt;"&amp;DATE(YEAR($B$19),MONTH($B$19)+1,1),РД[Состояние],"Продажа")</f>
        <v>0</v>
      </c>
      <c r="S30" s="597">
        <f>SUMIFS(РД[S],РД[Дом],$S$20,РД[ИМ],$P30,РД[Дата подачи на регистрацию],"&gt;="&amp;$P$19,РД[Дата подачи на регистрацию],"&lt;"&amp;DATE(YEAR($B$19),MONTH($B$19)+1,1),РД[Состояние],"Продажа")</f>
        <v>526.81999999999994</v>
      </c>
      <c r="T30" s="597">
        <f>SUMIFS(РД[Стоимость без отделки итог],РД[Дом],$S$20,РД[ИМ],$P30,РД[Дата подачи на регистрацию],"&gt;="&amp;$P$19,РД[Дата подачи на регистрацию],"&lt;"&amp;DATE(YEAR($B$19),MONTH($B$19)+1,1),РД[Состояние],"Продажа")</f>
        <v>62375680</v>
      </c>
      <c r="U30" s="597">
        <f>SUMIFS(РД[S],РД[Дом],$U$20,РД[ИМ],$P30,РД[Дата подачи на регистрацию],"&gt;="&amp;$P$19,РД[Дата подачи на регистрацию],"&lt;"&amp;DATE(YEAR($B$19),MONTH($B$19)+1,1),РД[Состояние],"Продажа")</f>
        <v>103.58</v>
      </c>
      <c r="V30" s="632">
        <f>SUMIFS(РД[Стоимость без отделки итог],РД[Дом],$U$20,РД[ИМ],$P30,РД[Дата подачи на регистрацию],"&gt;="&amp;$P$19,РД[Дата подачи на регистрацию],"&lt;"&amp;DATE(YEAR($B$19),MONTH($B$19)+1,1),РД[Состояние],"Продажа")</f>
        <v>11362418</v>
      </c>
      <c r="W30" s="597">
        <f>SUMIFS(РД[S],РД[Дом],$W$20,РД[ИМ],$P14,РД[Дата подачи на регистрацию],"&gt;="&amp;$P$19,РД[Дата подачи на регистрацию],"&lt;"&amp;DATE(YEAR($B$19),MONTH($B$19)+1,1),РД[Состояние],"Продажа")-AI14/2</f>
        <v>0</v>
      </c>
      <c r="X30" s="632">
        <f>SUMIFS(РД[Стоимость без отделки итог],РД[Дом],$W$20,РД[ИМ],$P14,РД[Дата подачи на регистрацию],"&gt;="&amp;$P$19,РД[Дата подачи на регистрацию],"&lt;"&amp;DATE(YEAR($B$19),MONTH($B$19)+1,1),РД[Состояние],"Продажа")-AI14/2</f>
        <v>0</v>
      </c>
      <c r="Y30" s="636">
        <f t="shared" ref="Y30:Y31" si="31">Q30+S30+U30+W30</f>
        <v>630.4</v>
      </c>
      <c r="Z30" s="573">
        <f t="shared" ref="Z30:Z31" si="32">R30+T30+V30+X30</f>
        <v>73738098</v>
      </c>
      <c r="AA30" s="638">
        <f t="shared" si="30"/>
        <v>0.73990610328638495</v>
      </c>
      <c r="AB30" s="617">
        <f t="shared" si="30"/>
        <v>0.79870017130253457</v>
      </c>
      <c r="AC30" s="609"/>
      <c r="AD30" s="569" t="s">
        <v>22</v>
      </c>
      <c r="AE30" s="573">
        <f>SUMIFS(РД[S],РД[Дом],$AE$20,РД[ИМ],$AD30,РД[Источник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30" s="573">
        <f>SUMIFS(РД[Стоимость без отделки итог],РД[Дом],$AE$20,РД[ИМ],$AD30,РД[Источник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30" s="573">
        <f>SUMIFS(РД[S],РД[Дом],$AG$20,РД[ИМ],$AD30,РД[Источник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82.59</v>
      </c>
      <c r="AH30" s="573">
        <f>SUMIFS(РД[Стоимость без отделки итог],РД[Дом],$AG$20,РД[ИМ],$AD30,РД[Источник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10695328</v>
      </c>
      <c r="AI30" s="573">
        <f>SUMIFS(РД[S],РД[Дом],$AI$20,РД[ИМ],$AD30,РД[Источник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51.79</v>
      </c>
      <c r="AJ30" s="652">
        <f>SUMIFS(РД[Стоимость без отделки итог],РД[Дом],$AI$20,РД[ИМ],$AD30,РД[Источник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5689100</v>
      </c>
      <c r="AK30" s="636">
        <f t="shared" ref="AK30:AL31" si="33">AE30+AG30+AI30</f>
        <v>134.38</v>
      </c>
      <c r="AL30" s="652">
        <f t="shared" si="33"/>
        <v>16384428</v>
      </c>
      <c r="AN30" s="657">
        <v>45597</v>
      </c>
      <c r="AO30" s="669">
        <v>1074</v>
      </c>
      <c r="AP30" s="670">
        <v>115172262</v>
      </c>
    </row>
    <row r="31" spans="2:42" ht="15.75">
      <c r="B31" s="576" t="s">
        <v>118</v>
      </c>
      <c r="C31" s="577">
        <v>0</v>
      </c>
      <c r="D31" s="588">
        <f>C31/SUM($C$29:$C$31)</f>
        <v>0</v>
      </c>
      <c r="E31" s="572">
        <f>$D31*($E$26*60%)</f>
        <v>0</v>
      </c>
      <c r="F31" s="573">
        <f>$D31*($F$26*60%)</f>
        <v>0</v>
      </c>
      <c r="G31" s="573">
        <f>$D31*($G$26*60%)</f>
        <v>0</v>
      </c>
      <c r="H31" s="573">
        <f>$D31*($H$26*60%)</f>
        <v>0</v>
      </c>
      <c r="I31" s="573">
        <f>$D31*($I$26*60%)</f>
        <v>0</v>
      </c>
      <c r="J31" s="628">
        <f>$D31*($J$26*60%)</f>
        <v>0</v>
      </c>
      <c r="K31" s="573"/>
      <c r="L31" s="628"/>
      <c r="M31" s="596">
        <f t="shared" si="28"/>
        <v>0</v>
      </c>
      <c r="N31" s="626">
        <f t="shared" si="29"/>
        <v>0</v>
      </c>
      <c r="O31" s="609"/>
      <c r="P31" s="627" t="s">
        <v>3</v>
      </c>
      <c r="Q31" s="589">
        <f>SUMIFS(РД[S],РД[Дом],$Q$20,РД[ИМ],$P31,РД[Дата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R31" s="590">
        <f>SUMIFS(РД[Стоимость без отделки итог],РД[Дом],$Q$20,РД[ИМ],$P31,РД[Дата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S31" s="590">
        <f>SUMIFS(РД[S],РД[Дом],$S$20,РД[ИМ],$P31,РД[Дата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T31" s="590">
        <f>SUMIFS(РД[Стоимость без отделки итог],РД[Дом],$S$20,РД[ИМ],$P31,РД[Дата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U31" s="590">
        <f>SUMIFS(РД[S],РД[Дом],$U$20,РД[ИМ],$P31,РД[Дата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V31" s="635">
        <f>SUMIFS(РД[Стоимость без отделки итог],РД[Дом],$U$20,РД[ИМ],$P31,РД[Дата подачи на регистрацию],"&gt;="&amp;$P$19,РД[Дата подачи на регистрацию],"&lt;"&amp;DATE(YEAR($B$19),MONTH($B$19)+1,1),РД[Состояние],"Продажа")</f>
        <v>0</v>
      </c>
      <c r="W31" s="597">
        <f>SUMIFS(РД[S],РД[Дом],$W$20,РД[ИМ],$P15,РД[Дата подачи на регистрацию],"&gt;="&amp;$P$19,РД[Дата подачи на регистрацию],"&lt;"&amp;DATE(YEAR($B$19),MONTH($B$19)+1,1),РД[Состояние],"Продажа")-AI15/2</f>
        <v>0</v>
      </c>
      <c r="X31" s="632">
        <f>SUMIFS(РД[Стоимость без отделки итог],РД[Дом],$W$20,РД[ИМ],$P15,РД[Дата подачи на регистрацию],"&gt;="&amp;$P$19,РД[Дата подачи на регистрацию],"&lt;"&amp;DATE(YEAR($B$19),MONTH($B$19)+1,1),РД[Состояние],"Продажа")-AI15/2</f>
        <v>0</v>
      </c>
      <c r="Y31" s="636">
        <f t="shared" si="31"/>
        <v>0</v>
      </c>
      <c r="Z31" s="573">
        <f t="shared" si="32"/>
        <v>0</v>
      </c>
      <c r="AA31" s="639" t="str">
        <f t="shared" si="30"/>
        <v/>
      </c>
      <c r="AB31" s="640" t="str">
        <f t="shared" si="30"/>
        <v/>
      </c>
      <c r="AC31" s="609"/>
      <c r="AD31" s="576" t="s">
        <v>16</v>
      </c>
      <c r="AE31" s="580">
        <f>SUMIFS(РД[S],РД[Дом],$AE$20,РД[ИМ],$AD31,РД[Источник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F31" s="580">
        <f>SUMIFS(РД[Стоимость без отделки итог],РД[Дом],$AE$20,РД[ИМ],$AD31,РД[Источник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G31" s="580">
        <f>SUMIFS(РД[S],РД[Дом],$AG$20,РД[ИМ],$AD31,РД[Источник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H31" s="580">
        <f>SUMIFS(РД[Стоимость без отделки итог],РД[Дом],$AG$20,РД[ИМ],$AD31,РД[Источник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I31" s="573">
        <f>SUMIFS(РД[S],РД[Дом],$AI$20,РД[ИМ],$AD31,РД[Источник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J31" s="652">
        <f>SUMIFS(РД[Стоимость без отделки итог],РД[Дом],$AI$20,РД[ИМ],$AD31,РД[Источник обращения],"Агент*",РД[Дата подачи на регистрацию],"&gt;="&amp;$AD$19,РД[Дата подачи на регистрацию],"&lt;"&amp;DATE(YEAR($B$19),MONTH($B$19)+1,1),РД[Состояние],"Продажа")</f>
        <v>0</v>
      </c>
      <c r="AK31" s="646">
        <f t="shared" si="33"/>
        <v>0</v>
      </c>
      <c r="AL31" s="653">
        <f t="shared" si="33"/>
        <v>0</v>
      </c>
      <c r="AN31" s="657">
        <v>45627</v>
      </c>
      <c r="AO31" s="669">
        <v>1074</v>
      </c>
      <c r="AP31" s="670">
        <v>116335618</v>
      </c>
    </row>
    <row r="32" spans="2:42">
      <c r="B32" s="581" t="s">
        <v>114</v>
      </c>
      <c r="C32" s="582">
        <f>SUM(C29:C31)</f>
        <v>168</v>
      </c>
      <c r="D32" s="583">
        <f t="shared" ref="D32:J32" si="34">SUM(D29:D31)</f>
        <v>1</v>
      </c>
      <c r="E32" s="582">
        <f t="shared" si="34"/>
        <v>105.6</v>
      </c>
      <c r="F32" s="584">
        <f t="shared" si="34"/>
        <v>11299996.199999999</v>
      </c>
      <c r="G32" s="584">
        <f t="shared" si="34"/>
        <v>644.4</v>
      </c>
      <c r="H32" s="584">
        <f t="shared" si="34"/>
        <v>69103357.200000003</v>
      </c>
      <c r="I32" s="584">
        <f t="shared" si="34"/>
        <v>102</v>
      </c>
      <c r="J32" s="629">
        <f t="shared" si="34"/>
        <v>11919273.6</v>
      </c>
      <c r="K32" s="584"/>
      <c r="L32" s="629"/>
      <c r="M32" s="612">
        <f t="shared" si="28"/>
        <v>852</v>
      </c>
      <c r="N32" s="630">
        <f t="shared" si="29"/>
        <v>92322627</v>
      </c>
      <c r="O32" s="631"/>
      <c r="P32" s="581" t="s">
        <v>114</v>
      </c>
      <c r="Q32" s="582">
        <f>SUM(Q29:Q31)</f>
        <v>0</v>
      </c>
      <c r="R32" s="584">
        <f t="shared" ref="R32:Z32" si="35">SUM(R29:R31)</f>
        <v>0</v>
      </c>
      <c r="S32" s="584">
        <f t="shared" si="35"/>
        <v>526.81999999999994</v>
      </c>
      <c r="T32" s="584">
        <f t="shared" si="35"/>
        <v>62375680</v>
      </c>
      <c r="U32" s="584">
        <f t="shared" si="35"/>
        <v>103.58</v>
      </c>
      <c r="V32" s="629">
        <f t="shared" si="35"/>
        <v>11362418</v>
      </c>
      <c r="W32" s="584">
        <f t="shared" si="35"/>
        <v>0</v>
      </c>
      <c r="X32" s="629">
        <f t="shared" si="35"/>
        <v>0</v>
      </c>
      <c r="Y32" s="612">
        <f t="shared" si="35"/>
        <v>630.4</v>
      </c>
      <c r="Z32" s="584">
        <f t="shared" si="35"/>
        <v>73738098</v>
      </c>
      <c r="AA32" s="641">
        <f t="shared" si="30"/>
        <v>0.73990610328638495</v>
      </c>
      <c r="AB32" s="583">
        <f t="shared" si="30"/>
        <v>0.79870017130253457</v>
      </c>
      <c r="AC32" s="631"/>
      <c r="AD32" s="581" t="s">
        <v>114</v>
      </c>
      <c r="AE32" s="584">
        <f t="shared" ref="AE32:AL32" si="36">SUM(AE29:AE31)</f>
        <v>0</v>
      </c>
      <c r="AF32" s="584">
        <f t="shared" si="36"/>
        <v>0</v>
      </c>
      <c r="AG32" s="584">
        <f t="shared" si="36"/>
        <v>82.59</v>
      </c>
      <c r="AH32" s="584">
        <f t="shared" si="36"/>
        <v>10695328</v>
      </c>
      <c r="AI32" s="584">
        <f t="shared" si="36"/>
        <v>51.79</v>
      </c>
      <c r="AJ32" s="584">
        <f t="shared" si="36"/>
        <v>5689100</v>
      </c>
      <c r="AK32" s="612">
        <f t="shared" si="36"/>
        <v>134.38</v>
      </c>
      <c r="AL32" s="630">
        <f t="shared" si="36"/>
        <v>16384428</v>
      </c>
      <c r="AN32" s="660" t="s">
        <v>1896</v>
      </c>
      <c r="AO32" s="671">
        <v>12575.9979576613</v>
      </c>
      <c r="AP32" s="671">
        <v>1288562585.61132</v>
      </c>
    </row>
    <row r="34" spans="2:42">
      <c r="AN34" s="2337" t="s">
        <v>1875</v>
      </c>
      <c r="AO34" s="2337"/>
      <c r="AP34" s="2337"/>
    </row>
    <row r="35" spans="2:42" ht="15.75">
      <c r="B35" s="2329">
        <v>45627</v>
      </c>
      <c r="C35" s="2330"/>
      <c r="D35" s="2330"/>
      <c r="E35" s="2330"/>
      <c r="F35" s="2330"/>
      <c r="G35" s="2330"/>
      <c r="H35" s="2330"/>
      <c r="I35" s="2330"/>
      <c r="J35" s="2330"/>
      <c r="K35" s="2330"/>
      <c r="L35" s="2330"/>
      <c r="M35" s="2330"/>
      <c r="N35" s="2331"/>
      <c r="O35" s="621"/>
      <c r="P35" s="2361">
        <f>B35</f>
        <v>45627</v>
      </c>
      <c r="Q35" s="2362"/>
      <c r="R35" s="2362"/>
      <c r="S35" s="2362"/>
      <c r="T35" s="2362"/>
      <c r="U35" s="2362"/>
      <c r="V35" s="2362"/>
      <c r="W35" s="2362"/>
      <c r="X35" s="2362"/>
      <c r="Y35" s="2362"/>
      <c r="Z35" s="2362"/>
      <c r="AA35" s="2362"/>
      <c r="AB35" s="2363"/>
      <c r="AC35" s="621"/>
      <c r="AD35" s="2329">
        <f>P35</f>
        <v>45627</v>
      </c>
      <c r="AE35" s="2330"/>
      <c r="AF35" s="2330"/>
      <c r="AG35" s="2330"/>
      <c r="AH35" s="2330"/>
      <c r="AI35" s="2330"/>
      <c r="AJ35" s="2330"/>
      <c r="AK35" s="2330"/>
      <c r="AL35" s="2331"/>
      <c r="AN35" s="650" t="s">
        <v>1871</v>
      </c>
      <c r="AO35" s="663" t="s">
        <v>1872</v>
      </c>
      <c r="AP35" s="664" t="s">
        <v>1873</v>
      </c>
    </row>
    <row r="36" spans="2:42" ht="16.5" customHeight="1">
      <c r="B36" s="2335" t="s">
        <v>1874</v>
      </c>
      <c r="C36" s="2343"/>
      <c r="D36" s="2336"/>
      <c r="E36" s="2343" t="s">
        <v>7</v>
      </c>
      <c r="F36" s="2360"/>
      <c r="G36" s="2352" t="s">
        <v>13</v>
      </c>
      <c r="H36" s="2360"/>
      <c r="I36" s="2352" t="s">
        <v>1875</v>
      </c>
      <c r="J36" s="2343"/>
      <c r="K36" s="2352" t="s">
        <v>1876</v>
      </c>
      <c r="L36" s="2343"/>
      <c r="M36" s="2335" t="s">
        <v>114</v>
      </c>
      <c r="N36" s="2336"/>
      <c r="O36" s="622"/>
      <c r="P36" s="2353" t="s">
        <v>1</v>
      </c>
      <c r="Q36" s="2360" t="s">
        <v>7</v>
      </c>
      <c r="R36" s="2333"/>
      <c r="S36" s="2333" t="s">
        <v>13</v>
      </c>
      <c r="T36" s="2333"/>
      <c r="U36" s="2333" t="s">
        <v>1875</v>
      </c>
      <c r="V36" s="2352"/>
      <c r="W36" s="2333" t="s">
        <v>1876</v>
      </c>
      <c r="X36" s="2352"/>
      <c r="Y36" s="2332" t="s">
        <v>114</v>
      </c>
      <c r="Z36" s="2333"/>
      <c r="AA36" s="2333" t="s">
        <v>1877</v>
      </c>
      <c r="AB36" s="2334"/>
      <c r="AC36" s="622"/>
      <c r="AD36" s="2353" t="s">
        <v>1</v>
      </c>
      <c r="AE36" s="2352" t="s">
        <v>7</v>
      </c>
      <c r="AF36" s="2360"/>
      <c r="AG36" s="2352" t="s">
        <v>13</v>
      </c>
      <c r="AH36" s="2360"/>
      <c r="AI36" s="2352" t="s">
        <v>1875</v>
      </c>
      <c r="AJ36" s="2336"/>
      <c r="AK36" s="2335" t="s">
        <v>114</v>
      </c>
      <c r="AL36" s="2336"/>
      <c r="AN36" s="651">
        <v>45292</v>
      </c>
      <c r="AO36" s="672">
        <v>0</v>
      </c>
      <c r="AP36" s="672">
        <v>0</v>
      </c>
    </row>
    <row r="37" spans="2:42" ht="15.75">
      <c r="B37" s="559" t="s">
        <v>1878</v>
      </c>
      <c r="C37" s="591" t="s">
        <v>1879</v>
      </c>
      <c r="D37" s="592" t="s">
        <v>1880</v>
      </c>
      <c r="E37" s="562" t="s">
        <v>1872</v>
      </c>
      <c r="F37" s="563" t="s">
        <v>1881</v>
      </c>
      <c r="G37" s="562" t="s">
        <v>1872</v>
      </c>
      <c r="H37" s="563" t="s">
        <v>1881</v>
      </c>
      <c r="I37" s="562" t="s">
        <v>1872</v>
      </c>
      <c r="J37" s="623" t="s">
        <v>1881</v>
      </c>
      <c r="K37" s="563" t="s">
        <v>1872</v>
      </c>
      <c r="L37" s="624" t="s">
        <v>1881</v>
      </c>
      <c r="M37" s="610" t="s">
        <v>1872</v>
      </c>
      <c r="N37" s="624" t="s">
        <v>1881</v>
      </c>
      <c r="O37" s="622"/>
      <c r="P37" s="2354"/>
      <c r="Q37" s="562" t="s">
        <v>1872</v>
      </c>
      <c r="R37" s="563" t="s">
        <v>1881</v>
      </c>
      <c r="S37" s="562" t="s">
        <v>1872</v>
      </c>
      <c r="T37" s="563" t="s">
        <v>1881</v>
      </c>
      <c r="U37" s="562" t="s">
        <v>1872</v>
      </c>
      <c r="V37" s="563" t="s">
        <v>1881</v>
      </c>
      <c r="W37" s="562" t="s">
        <v>1872</v>
      </c>
      <c r="X37" s="563" t="s">
        <v>1881</v>
      </c>
      <c r="Y37" s="610" t="s">
        <v>1872</v>
      </c>
      <c r="Z37" s="563" t="s">
        <v>1881</v>
      </c>
      <c r="AA37" s="563" t="s">
        <v>1872</v>
      </c>
      <c r="AB37" s="624" t="s">
        <v>1881</v>
      </c>
      <c r="AC37" s="622"/>
      <c r="AD37" s="2355"/>
      <c r="AE37" s="563" t="s">
        <v>1872</v>
      </c>
      <c r="AF37" s="563" t="s">
        <v>1881</v>
      </c>
      <c r="AG37" s="563" t="s">
        <v>1872</v>
      </c>
      <c r="AH37" s="563" t="s">
        <v>1881</v>
      </c>
      <c r="AI37" s="563" t="s">
        <v>1872</v>
      </c>
      <c r="AJ37" s="624" t="s">
        <v>1881</v>
      </c>
      <c r="AK37" s="563" t="s">
        <v>1872</v>
      </c>
      <c r="AL37" s="624" t="s">
        <v>1881</v>
      </c>
      <c r="AN37" s="651">
        <v>45323</v>
      </c>
      <c r="AO37" s="672">
        <v>0</v>
      </c>
      <c r="AP37" s="672">
        <v>0</v>
      </c>
    </row>
    <row r="38" spans="2:42" ht="15.75">
      <c r="B38" s="593" t="s">
        <v>8</v>
      </c>
      <c r="C38" s="565">
        <v>168</v>
      </c>
      <c r="D38" s="566">
        <f>C38/SUM($C$38:$C$41)</f>
        <v>0.2736156351791531</v>
      </c>
      <c r="E38" s="567">
        <f>ROUND($D38*VLOOKUP($B$35,'ИПП 4кв24'!$AN$4:$AP$16,2,0),0)</f>
        <v>31</v>
      </c>
      <c r="F38" s="568">
        <f>ROUND($D38*VLOOKUP($B$35,'ИПП 4кв24'!$AN$4:$AP$16,3,0),0)</f>
        <v>3389971</v>
      </c>
      <c r="G38" s="568">
        <f>ROUND($D38*VLOOKUP($B$35,'ИПП 4кв24'!$AN$20:$AP$32,2,0),0)</f>
        <v>294</v>
      </c>
      <c r="H38" s="568">
        <f>ROUND($D38*VLOOKUP($B$35,'ИПП 4кв24'!$AN$20:$AP$32,3,0),0)</f>
        <v>31831244</v>
      </c>
      <c r="I38" s="568">
        <f>ROUND($D38*VLOOKUP($B$35,'ИПП 4кв24'!$AN$36:$AP$48,2,0),0)</f>
        <v>47</v>
      </c>
      <c r="J38" s="625">
        <f>ROUND($D38*VLOOKUP($B$35,'ИПП 4кв24'!$AN$36:$AP$48,3,0),0)</f>
        <v>5435499</v>
      </c>
      <c r="K38" s="568">
        <f>ROUND($D38*VLOOKUP($B$35,'ИПП 4кв24'!$AN$53:$AP$65,2,0),0)</f>
        <v>139</v>
      </c>
      <c r="L38" s="625">
        <f>ROUND($D38*VLOOKUP($B$35,'ИПП 4кв24'!$AN$53:$AP$65,3,0),0)</f>
        <v>15190471</v>
      </c>
      <c r="M38" s="596">
        <f>E38+G38+I38+K38</f>
        <v>511</v>
      </c>
      <c r="N38" s="626">
        <f>F38+H38+J38+L38</f>
        <v>55847185</v>
      </c>
      <c r="O38" s="609"/>
      <c r="P38" s="627" t="s">
        <v>8</v>
      </c>
      <c r="Q38" s="572">
        <f>SUMIFS(РД[S],РД[Дом],$Q$36,РД[МОП],$P38,РД[Дата подачи на регистрацию],"&gt;="&amp;$P$35,РД[Дата подачи на регистрацию],"&lt;"&amp;DATE(YEAR($B$35),MONTH($B$35)+1,1),РД[Состояние],"Продажа")-AE38/2</f>
        <v>0</v>
      </c>
      <c r="R38" s="573">
        <f>SUMIFS(РД[Стоимость без отделки итог],РД[Дом],$Q$36,РД[МОП],$P38,РД[Дата подачи на регистрацию],"&gt;="&amp;$P$35,РД[Дата подачи на регистрацию],"&lt;"&amp;DATE(YEAR($B$35),MONTH($B$35)+1,1),РД[Состояние],"Продажа")-AF38/2</f>
        <v>0</v>
      </c>
      <c r="S38" s="573">
        <f>SUMIFS(РД[S],РД[Дом],$S$36,РД[МОП],$P38,РД[Дата подачи на регистрацию],"&gt;="&amp;$P$35,РД[Дата подачи на регистрацию],"&lt;"&amp;DATE(YEAR($B$35),MONTH($B$35)+1,1),РД[Состояние],"Продажа")-AG38/2</f>
        <v>142.495</v>
      </c>
      <c r="T38" s="573">
        <f>SUMIFS(РД[Стоимость без отделки итог],РД[Дом],$S$36,РД[МОП],$P38,РД[Дата подачи на регистрацию],"&gt;="&amp;$P$35,РД[Дата подачи на регистрацию],"&lt;"&amp;DATE(YEAR($B$35),MONTH($B$35)+1,1),РД[Состояние],"Продажа")-AH38/2</f>
        <v>17057601</v>
      </c>
      <c r="U38" s="573">
        <f>SUMIFS(РД[S],РД[Дом],$U$36,РД[МОП],$P38,РД[Дата подачи на регистрацию],"&gt;="&amp;$P$35,РД[Дата подачи на регистрацию],"&lt;"&amp;DATE(YEAR($B$35),MONTH($B$35)+1,1),РД[Состояние],"Продажа")-AI38/2</f>
        <v>35.53</v>
      </c>
      <c r="V38" s="628">
        <f>SUMIFS(РД[Стоимость без отделки итог],РД[Дом],$U$36,РД[МОП],$P38,РД[Дата подачи на регистрацию],"&gt;="&amp;$P$35,РД[Дата подачи на регистрацию],"&lt;"&amp;DATE(YEAR($B$35),MONTH($B$35)+1,1),РД[Состояние],"Продажа")-AJ38/2</f>
        <v>4707626</v>
      </c>
      <c r="W38" s="573">
        <f>SUMIFS(РД[S],РД[Дом],$W$36,РД[МОП],$P38,РД[Дата подачи на регистрацию],"&gt;="&amp;$P$35,РД[Дата подачи на регистрацию],"&lt;"&amp;DATE(YEAR($B$35),MONTH($B$35)+1,1),РД[Состояние],"Продажа")-AK38/2</f>
        <v>60.385000000000005</v>
      </c>
      <c r="X38" s="628">
        <f>SUMIFS(РД[Стоимость без отделки итог],РД[Дом],$W$36,РД[МОП],$P38,РД[Дата подачи на регистрацию],"&gt;="&amp;$P$35,РД[Дата подачи на регистрацию],"&lt;"&amp;DATE(YEAR($B$35),MONTH($B$35)+1,1),РД[Состояние],"Продажа")-AL38/2</f>
        <v>7153244</v>
      </c>
      <c r="Y38" s="636">
        <f>Q38+S38+U38+W38</f>
        <v>238.41000000000003</v>
      </c>
      <c r="Z38" s="573">
        <f>R38+T38+V38+X38</f>
        <v>28918471</v>
      </c>
      <c r="AA38" s="645">
        <f t="shared" ref="AA38:AB42" si="37">IFERROR(Y38/M38,"")</f>
        <v>0.4665557729941292</v>
      </c>
      <c r="AB38" s="588">
        <f t="shared" si="37"/>
        <v>0.517814299861309</v>
      </c>
      <c r="AC38" s="609"/>
      <c r="AD38" s="564" t="s">
        <v>8</v>
      </c>
      <c r="AE38" s="568">
        <f>SUMIFS(РД[S],РД[Дом],$AE$36,РД[МОП],$AD38,РД[Источник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38" s="568">
        <f>SUMIFS(РД[Стоимость без отделки итог],РД[Дом],$AE$36,РД[МОП],$AD38,РД[Источник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38" s="568">
        <f>SUMIFS(РД[S],РД[Дом],$AG$36,РД[МОП],$AD38,РД[Источник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39.69</v>
      </c>
      <c r="AH38" s="568">
        <f>SUMIFS(РД[Стоимость без отделки итог],РД[Дом],$AG$36,РД[МОП],$AD38,РД[Источник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5297390</v>
      </c>
      <c r="AI38" s="568">
        <f>SUMIFS(РД[S],РД[Дом],$AI$36,РД[МОП],$AD38,РД[Источник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38" s="568">
        <f>SUMIFS(РД[Стоимость без отделки итог],РД[Дом],$AI$36,РД[МОП],$AD38,РД[Источник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38" s="596">
        <f>AE38+AG38+AI38</f>
        <v>39.69</v>
      </c>
      <c r="AL38" s="626">
        <f>AF38+AH38+AJ38</f>
        <v>5297390</v>
      </c>
      <c r="AN38" s="651">
        <v>45352</v>
      </c>
      <c r="AO38" s="672">
        <v>0</v>
      </c>
      <c r="AP38" s="672">
        <v>0</v>
      </c>
    </row>
    <row r="39" spans="2:42" ht="15.75">
      <c r="B39" s="569" t="s">
        <v>24</v>
      </c>
      <c r="C39" s="595">
        <v>110</v>
      </c>
      <c r="D39" s="575">
        <f>C39/SUM($C$38:$C$41)</f>
        <v>0.17915309446254071</v>
      </c>
      <c r="E39" s="606">
        <f>ROUND($D39*VLOOKUP($B$35,'ИПП 4кв24'!$AN$4:$AP$16,2,0),0)</f>
        <v>21</v>
      </c>
      <c r="F39" s="597">
        <f>ROUND($D39*VLOOKUP($B$35,'ИПП 4кв24'!$AN$4:$AP$16,3,0),0)</f>
        <v>2219624</v>
      </c>
      <c r="G39" s="597">
        <f>ROUND($D39*VLOOKUP($B$35,'ИПП 4кв24'!$AN$20:$AP$32,2,0),0)</f>
        <v>192</v>
      </c>
      <c r="H39" s="597">
        <f>ROUND($D39*VLOOKUP($B$35,'ИПП 4кв24'!$AN$20:$AP$32,3,0),0)</f>
        <v>20841886</v>
      </c>
      <c r="I39" s="597">
        <f>ROUND($D39*VLOOKUP($B$35,'ИПП 4кв24'!$AN$36:$AP$48,2,0),0)</f>
        <v>30</v>
      </c>
      <c r="J39" s="632">
        <f>ROUND($D39*VLOOKUP($B$35,'ИПП 4кв24'!$AN$36:$AP$48,3,0),0)</f>
        <v>3558958</v>
      </c>
      <c r="K39" s="597">
        <f>ROUND($D39*VLOOKUP($B$35,'ИПП 4кв24'!$AN$53:$AP$65,2,0),0)</f>
        <v>91</v>
      </c>
      <c r="L39" s="632">
        <f>ROUND($D39*VLOOKUP($B$35,'ИПП 4кв24'!$AN$53:$AP$65,3,0),0)</f>
        <v>9946141</v>
      </c>
      <c r="M39" s="596">
        <f t="shared" ref="M39:M41" si="38">E39+G39+I39+K39</f>
        <v>334</v>
      </c>
      <c r="N39" s="626">
        <f t="shared" ref="N39:N41" si="39">F39+H39+J39+L39</f>
        <v>36566609</v>
      </c>
      <c r="O39" s="609"/>
      <c r="P39" s="569" t="s">
        <v>24</v>
      </c>
      <c r="Q39" s="606">
        <f>SUMIFS(РД[S],РД[Дом],$Q$36,РД[МОП],$P39,РД[Дата подачи на регистрацию],"&gt;="&amp;$P$35,РД[Дата подачи на регистрацию],"&lt;"&amp;DATE(YEAR($B$35),MONTH($B$35)+1,1),РД[Состояние],"Продажа")-AE39/2</f>
        <v>0</v>
      </c>
      <c r="R39" s="597">
        <f>SUMIFS(РД[Стоимость без отделки итог],РД[Дом],$Q$36,РД[МОП],$P39,РД[Дата подачи на регистрацию],"&gt;="&amp;$P$35,РД[Дата подачи на регистрацию],"&lt;"&amp;DATE(YEAR($B$35),MONTH($B$35)+1,1),РД[Состояние],"Продажа")-AF39/2</f>
        <v>0</v>
      </c>
      <c r="S39" s="597">
        <f>SUMIFS(РД[S],РД[Дом],$S$36,РД[МОП],$P39,РД[Дата подачи на регистрацию],"&gt;="&amp;$P$35,РД[Дата подачи на регистрацию],"&lt;"&amp;DATE(YEAR($B$35),MONTH($B$35)+1,1),РД[Состояние],"Продажа")-AG39/2</f>
        <v>166.4</v>
      </c>
      <c r="T39" s="597">
        <f>SUMIFS(РД[Стоимость без отделки итог],РД[Дом],$S$36,РД[МОП],$P39,РД[Дата подачи на регистрацию],"&gt;="&amp;$P$35,РД[Дата подачи на регистрацию],"&lt;"&amp;DATE(YEAR($B$35),MONTH($B$35)+1,1),РД[Состояние],"Продажа")-AH39/2</f>
        <v>20154974</v>
      </c>
      <c r="U39" s="597">
        <f>SUMIFS(РД[S],РД[Дом],$U$36,РД[МОП],$P39,РД[Дата подачи на регистрацию],"&gt;="&amp;$P$35,РД[Дата подачи на регистрацию],"&lt;"&amp;DATE(YEAR($B$35),MONTH($B$35)+1,1),РД[Состояние],"Продажа")-AI39/2</f>
        <v>35.53</v>
      </c>
      <c r="V39" s="632">
        <f>SUMIFS(РД[Стоимость без отделки итог],РД[Дом],$U$36,РД[МОП],$P39,РД[Дата подачи на регистрацию],"&gt;="&amp;$P$35,РД[Дата подачи на регистрацию],"&lt;"&amp;DATE(YEAR($B$35),MONTH($B$35)+1,1),РД[Состояние],"Продажа")-AJ39/2</f>
        <v>5023959</v>
      </c>
      <c r="W39" s="573">
        <f>SUMIFS(РД[S],РД[Дом],$W$36,РД[МОП],$P39,РД[Дата подачи на регистрацию],"&gt;="&amp;$P$35,РД[Дата подачи на регистрацию],"&lt;"&amp;DATE(YEAR($B$35),MONTH($B$35)+1,1),РД[Состояние],"Продажа")-AK39/2</f>
        <v>0</v>
      </c>
      <c r="X39" s="628">
        <f>SUMIFS(РД[Стоимость без отделки итог],РД[Дом],$W$36,РД[МОП],$P39,РД[Дата подачи на регистрацию],"&gt;="&amp;$P$35,РД[Дата подачи на регистрацию],"&lt;"&amp;DATE(YEAR($B$35),MONTH($B$35)+1,1),РД[Состояние],"Продажа")-AL39/2</f>
        <v>0</v>
      </c>
      <c r="Y39" s="636">
        <f t="shared" ref="Y39:Y41" si="40">Q39+S39+U39+W39</f>
        <v>201.93</v>
      </c>
      <c r="Z39" s="573">
        <f t="shared" ref="Z39:Z41" si="41">R39+T39+V39+X39</f>
        <v>25178933</v>
      </c>
      <c r="AA39" s="638">
        <f t="shared" si="37"/>
        <v>0.6045808383233533</v>
      </c>
      <c r="AB39" s="617">
        <f t="shared" si="37"/>
        <v>0.68857719347178181</v>
      </c>
      <c r="AC39" s="609"/>
      <c r="AD39" s="569" t="s">
        <v>46</v>
      </c>
      <c r="AE39" s="573">
        <f>SUMIFS(РД[S],РД[Дом],$AE$36,РД[МОП],$AD39,РД[Источник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39" s="573">
        <f>SUMIFS(РД[Стоимость без отделки итог],РД[Дом],$AE$36,РД[МОП],$AD39,РД[Источник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39" s="573">
        <f>SUMIFS(РД[S],РД[Дом],$AG$36,РД[МОП],$AD39,РД[Источник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H39" s="573">
        <f>SUMIFS(РД[Стоимость без отделки итог],РД[Дом],$AG$36,РД[МОП],$AD39,РД[Источник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I39" s="573">
        <f>SUMIFS(РД[S],РД[Дом],$AI$36,РД[МОП],$AD39,РД[Источник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39" s="652">
        <f>SUMIFS(РД[Стоимость без отделки итог],РД[Дом],$AI$36,РД[МОП],$AD39,РД[Источник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39" s="596">
        <f>AE39+AG39+AI39</f>
        <v>0</v>
      </c>
      <c r="AL39" s="626">
        <f>AF39+AH39+AJ39</f>
        <v>0</v>
      </c>
      <c r="AN39" s="651">
        <v>45383</v>
      </c>
      <c r="AO39" s="672">
        <v>0</v>
      </c>
      <c r="AP39" s="672">
        <v>0</v>
      </c>
    </row>
    <row r="40" spans="2:42" ht="15.75">
      <c r="B40" s="593" t="s">
        <v>20</v>
      </c>
      <c r="C40" s="595">
        <v>168</v>
      </c>
      <c r="D40" s="575">
        <f>C40/SUM($C$38:$C$41)</f>
        <v>0.2736156351791531</v>
      </c>
      <c r="E40" s="606">
        <f>ROUND($D40*VLOOKUP($B$35,'ИПП 4кв24'!$AN$4:$AP$16,2,0),0)</f>
        <v>31</v>
      </c>
      <c r="F40" s="597">
        <f>ROUND($D40*VLOOKUP($B$35,'ИПП 4кв24'!$AN$4:$AP$16,3,0),0)</f>
        <v>3389971</v>
      </c>
      <c r="G40" s="597">
        <f>ROUND($D40*VLOOKUP($B$35,'ИПП 4кв24'!$AN$20:$AP$32,2,0),0)</f>
        <v>294</v>
      </c>
      <c r="H40" s="597">
        <f>ROUND($D40*VLOOKUP($B$35,'ИПП 4кв24'!$AN$20:$AP$32,3,0),0)</f>
        <v>31831244</v>
      </c>
      <c r="I40" s="597">
        <f>ROUND($D40*VLOOKUP($B$35,'ИПП 4кв24'!$AN$36:$AP$48,2,0),0)</f>
        <v>47</v>
      </c>
      <c r="J40" s="632">
        <f>ROUND($D40*VLOOKUP($B$35,'ИПП 4кв24'!$AN$36:$AP$48,3,0),0)</f>
        <v>5435499</v>
      </c>
      <c r="K40" s="597">
        <f>ROUND($D40*VLOOKUP($B$35,'ИПП 4кв24'!$AN$53:$AP$65,2,0),0)</f>
        <v>139</v>
      </c>
      <c r="L40" s="632">
        <f>ROUND($D40*VLOOKUP($B$35,'ИПП 4кв24'!$AN$53:$AP$65,3,0),0)</f>
        <v>15190471</v>
      </c>
      <c r="M40" s="596">
        <f t="shared" si="38"/>
        <v>511</v>
      </c>
      <c r="N40" s="626">
        <f t="shared" si="39"/>
        <v>55847185</v>
      </c>
      <c r="O40" s="609"/>
      <c r="P40" s="569" t="s">
        <v>20</v>
      </c>
      <c r="Q40" s="606">
        <f>SUMIFS(РД[S],РД[Дом],$Q$36,РД[МОП],$P40,РД[Дата подачи на регистрацию],"&gt;="&amp;$P$35,РД[Дата подачи на регистрацию],"&lt;"&amp;DATE(YEAR($B$35),MONTH($B$35)+1,1),РД[Состояние],"Продажа")-AE40/2</f>
        <v>0</v>
      </c>
      <c r="R40" s="597">
        <f>SUMIFS(РД[Стоимость без отделки итог],РД[Дом],$Q$36,РД[МОП],$P40,РД[Дата подачи на регистрацию],"&gt;="&amp;$P$35,РД[Дата подачи на регистрацию],"&lt;"&amp;DATE(YEAR($B$35),MONTH($B$35)+1,1),РД[Состояние],"Продажа")-AF40/2</f>
        <v>0</v>
      </c>
      <c r="S40" s="597">
        <f>SUMIFS(РД[S],РД[Дом],$S$36,РД[МОП],$P40,РД[Дата подачи на регистрацию],"&gt;="&amp;$P$35,РД[Дата подачи на регистрацию],"&lt;"&amp;DATE(YEAR($B$35),MONTH($B$35)+1,1),РД[Состояние],"Продажа")-AG40/2</f>
        <v>146.04999999999998</v>
      </c>
      <c r="T40" s="597">
        <f>SUMIFS(РД[Стоимость без отделки итог],РД[Дом],$S$36,РД[МОП],$P40,РД[Дата подачи на регистрацию],"&gt;="&amp;$P$35,РД[Дата подачи на регистрацию],"&lt;"&amp;DATE(YEAR($B$35),MONTH($B$35)+1,1),РД[Состояние],"Продажа")-AH40/2</f>
        <v>17619254</v>
      </c>
      <c r="U40" s="597">
        <f>SUMIFS(РД[S],РД[Дом],$U$36,РД[МОП],$P40,РД[Дата подачи на регистрацию],"&gt;="&amp;$P$35,РД[Дата подачи на регистрацию],"&lt;"&amp;DATE(YEAR($B$35),MONTH($B$35)+1,1),РД[Состояние],"Продажа")-AI40/2</f>
        <v>49.2</v>
      </c>
      <c r="V40" s="632">
        <f>SUMIFS(РД[Стоимость без отделки итог],РД[Дом],$U$36,РД[МОП],$P40,РД[Дата подачи на регистрацию],"&gt;="&amp;$P$35,РД[Дата подачи на регистрацию],"&lt;"&amp;DATE(YEAR($B$35),MONTH($B$35)+1,1),РД[Состояние],"Продажа")-AJ40/2</f>
        <v>6066592</v>
      </c>
      <c r="W40" s="573">
        <f>SUMIFS(РД[S],РД[Дом],$W$36,РД[МОП],$P40,РД[Дата подачи на регистрацию],"&gt;="&amp;$P$35,РД[Дата подачи на регистрацию],"&lt;"&amp;DATE(YEAR($B$35),MONTH($B$35)+1,1),РД[Состояние],"Продажа")-AK40/2</f>
        <v>25.279999999999998</v>
      </c>
      <c r="X40" s="628">
        <f>SUMIFS(РД[Стоимость без отделки итог],РД[Дом],$W$36,РД[МОП],$P40,РД[Дата подачи на регистрацию],"&gt;="&amp;$P$35,РД[Дата подачи на регистрацию],"&lt;"&amp;DATE(YEAR($B$35),MONTH($B$35)+1,1),РД[Состояние],"Продажа")-AL40/2</f>
        <v>2876729</v>
      </c>
      <c r="Y40" s="636">
        <f t="shared" si="40"/>
        <v>220.53</v>
      </c>
      <c r="Z40" s="573">
        <f t="shared" si="41"/>
        <v>26562575</v>
      </c>
      <c r="AA40" s="638">
        <f t="shared" si="37"/>
        <v>0.43156555772994132</v>
      </c>
      <c r="AB40" s="617">
        <f t="shared" si="37"/>
        <v>0.47562961320252756</v>
      </c>
      <c r="AC40" s="609"/>
      <c r="AD40" s="569" t="s">
        <v>20</v>
      </c>
      <c r="AE40" s="573">
        <f>SUMIFS(РД[S],РД[Дом],$AE$36,РД[МОП],$AD40,РД[Источник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40" s="573">
        <f>SUMIFS(РД[Стоимость без отделки итог],РД[Дом],$AE$36,РД[МОП],$AD40,РД[Источник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40" s="573">
        <f>SUMIFS(РД[S],РД[Дом],$AG$36,РД[МОП],$AD40,РД[Источник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57.6</v>
      </c>
      <c r="AH40" s="573">
        <f>SUMIFS(РД[Стоимость без отделки итог],РД[Дом],$AG$36,РД[МОП],$AD40,РД[Источник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6838500</v>
      </c>
      <c r="AI40" s="573">
        <f>SUMIFS(РД[S],РД[Дом],$AI$36,РД[МОП],$AD40,РД[Источник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40" s="652">
        <f>SUMIFS(РД[Стоимость без отделки итог],РД[Дом],$AI$36,РД[МОП],$AD40,РД[Источник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40" s="596">
        <f t="shared" ref="AK40:AL42" si="42">AE40+AG40+AI40</f>
        <v>57.6</v>
      </c>
      <c r="AL40" s="626">
        <f t="shared" si="42"/>
        <v>6838500</v>
      </c>
      <c r="AN40" s="651">
        <v>45413</v>
      </c>
      <c r="AO40" s="672">
        <v>0</v>
      </c>
      <c r="AP40" s="672">
        <v>0</v>
      </c>
    </row>
    <row r="41" spans="2:42" ht="15.75">
      <c r="B41" s="598" t="s">
        <v>14</v>
      </c>
      <c r="C41" s="599">
        <v>168</v>
      </c>
      <c r="D41" s="600">
        <f>C41/SUM($C$38:$C$41)</f>
        <v>0.2736156351791531</v>
      </c>
      <c r="E41" s="607">
        <f>ROUND($D41*VLOOKUP($B$35,'ИПП 4кв24'!$AN$4:$AP$16,2,0),0)</f>
        <v>31</v>
      </c>
      <c r="F41" s="602">
        <f>ROUND($D41*VLOOKUP($B$35,'ИПП 4кв24'!$AN$4:$AP$16,3,0),0)</f>
        <v>3389971</v>
      </c>
      <c r="G41" s="602">
        <f>ROUND($D41*VLOOKUP($B$35,'ИПП 4кв24'!$AN$20:$AP$32,2,0),0)</f>
        <v>294</v>
      </c>
      <c r="H41" s="602">
        <f>ROUND($D41*VLOOKUP($B$35,'ИПП 4кв24'!$AN$20:$AP$32,3,0),0)</f>
        <v>31831244</v>
      </c>
      <c r="I41" s="602">
        <f>ROUND($D41*VLOOKUP($B$35,'ИПП 4кв24'!$AN$36:$AP$48,2,0),0)</f>
        <v>47</v>
      </c>
      <c r="J41" s="633">
        <f>ROUND($D41*VLOOKUP($B$35,'ИПП 4кв24'!$AN$36:$AP$48,3,0),0)</f>
        <v>5435499</v>
      </c>
      <c r="K41" s="602">
        <f>ROUND($D41*VLOOKUP($B$35,'ИПП 4кв24'!$AN$53:$AP$65,2,0),0)</f>
        <v>139</v>
      </c>
      <c r="L41" s="633">
        <f>ROUND($D41*VLOOKUP($B$35,'ИПП 4кв24'!$AN$53:$AP$65,3,0),0)</f>
        <v>15190471</v>
      </c>
      <c r="M41" s="596">
        <f t="shared" si="38"/>
        <v>511</v>
      </c>
      <c r="N41" s="626">
        <f t="shared" si="39"/>
        <v>55847185</v>
      </c>
      <c r="O41" s="609"/>
      <c r="P41" s="576" t="s">
        <v>14</v>
      </c>
      <c r="Q41" s="589">
        <f>SUMIFS(РД[S],РД[Дом],$Q$36,РД[МОП],$P41,РД[Дата подачи на регистрацию],"&gt;="&amp;$P$35,РД[Дата подачи на регистрацию],"&lt;"&amp;DATE(YEAR($B$35),MONTH($B$35)+1,1),РД[Состояние],"Продажа")-AE41/2</f>
        <v>0</v>
      </c>
      <c r="R41" s="590">
        <f>SUMIFS(РД[Стоимость без отделки итог],РД[Дом],$Q$36,РД[МОП],$P41,РД[Дата подачи на регистрацию],"&gt;="&amp;$P$35,РД[Дата подачи на регистрацию],"&lt;"&amp;DATE(YEAR($B$35),MONTH($B$35)+1,1),РД[Состояние],"Продажа")-AF41/2</f>
        <v>0</v>
      </c>
      <c r="S41" s="590">
        <f>SUMIFS(РД[S],РД[Дом],$S$36,РД[МОП],$P41,РД[Дата подачи на регистрацию],"&gt;="&amp;$P$35,РД[Дата подачи на регистрацию],"&lt;"&amp;DATE(YEAR($B$35),MONTH($B$35)+1,1),РД[Состояние],"Продажа")-AG41/2</f>
        <v>208.48999999999998</v>
      </c>
      <c r="T41" s="590">
        <f>SUMIFS(РД[Стоимость без отделки итог],РД[Дом],$S$36,РД[МОП],$P41,РД[Дата подачи на регистрацию],"&gt;="&amp;$P$35,РД[Дата подачи на регистрацию],"&lt;"&amp;DATE(YEAR($B$35),MONTH($B$35)+1,1),РД[Состояние],"Продажа")-AH41/2</f>
        <v>24488560</v>
      </c>
      <c r="U41" s="590">
        <f>SUMIFS(РД[S],РД[Дом],$U$36,РД[МОП],$P41,РД[Дата подачи на регистрацию],"&gt;="&amp;$P$35,РД[Дата подачи на регистрацию],"&lt;"&amp;DATE(YEAR($B$35),MONTH($B$35)+1,1),РД[Состояние],"Продажа")-AI41/2</f>
        <v>0</v>
      </c>
      <c r="V41" s="635">
        <f>SUMIFS(РД[Стоимость без отделки итог],РД[Дом],$U$36,РД[МОП],$P41,РД[Дата подачи на регистрацию],"&gt;="&amp;$P$35,РД[Дата подачи на регистрацию],"&lt;"&amp;DATE(YEAR($B$35),MONTH($B$35)+1,1),РД[Состояние],"Продажа")-AJ41/2</f>
        <v>0</v>
      </c>
      <c r="W41" s="573">
        <f>SUMIFS(РД[S],РД[Дом],$W$36,РД[МОП],$P41,РД[Дата подачи на регистрацию],"&gt;="&amp;$P$35,РД[Дата подачи на регистрацию],"&lt;"&amp;DATE(YEAR($B$35),MONTH($B$35)+1,1),РД[Состояние],"Продажа")-AK41/2</f>
        <v>8.7199999999999989</v>
      </c>
      <c r="X41" s="628">
        <f>SUMIFS(РД[Стоимость без отделки итог],РД[Дом],$W$36,РД[МОП],$P41,РД[Дата подачи на регистрацию],"&gt;="&amp;$P$35,РД[Дата подачи на регистрацию],"&lt;"&amp;DATE(YEAR($B$35),MONTH($B$35)+1,1),РД[Состояние],"Продажа")-AL41/2</f>
        <v>1210204.0000000005</v>
      </c>
      <c r="Y41" s="636">
        <f t="shared" si="40"/>
        <v>217.20999999999998</v>
      </c>
      <c r="Z41" s="573">
        <f t="shared" si="41"/>
        <v>25698764</v>
      </c>
      <c r="AA41" s="639">
        <f t="shared" si="37"/>
        <v>0.4250684931506849</v>
      </c>
      <c r="AB41" s="640">
        <f t="shared" si="37"/>
        <v>0.46016220871293689</v>
      </c>
      <c r="AC41" s="609"/>
      <c r="AD41" s="576" t="s">
        <v>14</v>
      </c>
      <c r="AE41" s="580">
        <f>SUMIFS(РД[S],РД[Дом],$AE$36,РД[МОП],$AD41,РД[Источник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41" s="580">
        <f>SUMIFS(РД[Стоимость без отделки итог],РД[Дом],$AE$36,РД[МОП],$AD41,РД[Источник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41" s="580">
        <f>SUMIFS(РД[S],РД[Дом],$AG$36,РД[МОП],$AD41,РД[Источник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56.58</v>
      </c>
      <c r="AH41" s="580">
        <f>SUMIFS(РД[Стоимость без отделки итог],РД[Дом],$AG$36,РД[МОП],$AD41,РД[Источник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6933299.9999999991</v>
      </c>
      <c r="AI41" s="573">
        <f>SUMIFS(РД[S],РД[Дом],$AI$36,РД[МОП],$AD41,РД[Источник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41" s="652">
        <f>SUMIFS(РД[Стоимость без отделки итог],РД[Дом],$AI$36,РД[МОП],$AD41,РД[Источник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41" s="596">
        <f t="shared" si="42"/>
        <v>56.58</v>
      </c>
      <c r="AL41" s="626">
        <f t="shared" si="42"/>
        <v>6933299.9999999991</v>
      </c>
      <c r="AN41" s="651">
        <v>45444</v>
      </c>
      <c r="AO41" s="672">
        <v>0</v>
      </c>
      <c r="AP41" s="672">
        <v>0</v>
      </c>
    </row>
    <row r="42" spans="2:42">
      <c r="B42" s="581" t="s">
        <v>114</v>
      </c>
      <c r="C42" s="603">
        <f t="shared" ref="C42:L42" si="43">SUM(C38:C41)</f>
        <v>614</v>
      </c>
      <c r="D42" s="604">
        <f t="shared" si="43"/>
        <v>1</v>
      </c>
      <c r="E42" s="603">
        <f t="shared" si="43"/>
        <v>114</v>
      </c>
      <c r="F42" s="605">
        <f t="shared" si="43"/>
        <v>12389537</v>
      </c>
      <c r="G42" s="605">
        <f t="shared" si="43"/>
        <v>1074</v>
      </c>
      <c r="H42" s="605">
        <f t="shared" si="43"/>
        <v>116335618</v>
      </c>
      <c r="I42" s="605">
        <f t="shared" si="43"/>
        <v>171</v>
      </c>
      <c r="J42" s="634">
        <f t="shared" si="43"/>
        <v>19865455</v>
      </c>
      <c r="K42" s="605">
        <f t="shared" si="43"/>
        <v>508</v>
      </c>
      <c r="L42" s="634">
        <f t="shared" si="43"/>
        <v>55517554</v>
      </c>
      <c r="M42" s="612">
        <f t="shared" ref="M42" si="44">E42+G42+I42+K42</f>
        <v>1867</v>
      </c>
      <c r="N42" s="630">
        <f t="shared" ref="N42" si="45">F42+H42+J42+L42</f>
        <v>204108164</v>
      </c>
      <c r="O42" s="631"/>
      <c r="P42" s="581" t="s">
        <v>114</v>
      </c>
      <c r="Q42" s="582">
        <f>SUM(Q38:Q41)</f>
        <v>0</v>
      </c>
      <c r="R42" s="584">
        <f t="shared" ref="R42:Z42" si="46">SUM(R38:R41)</f>
        <v>0</v>
      </c>
      <c r="S42" s="584">
        <f t="shared" si="46"/>
        <v>663.43499999999995</v>
      </c>
      <c r="T42" s="584">
        <f t="shared" si="46"/>
        <v>79320389</v>
      </c>
      <c r="U42" s="584">
        <f t="shared" si="46"/>
        <v>120.26</v>
      </c>
      <c r="V42" s="629">
        <f t="shared" si="46"/>
        <v>15798177</v>
      </c>
      <c r="W42" s="584">
        <f t="shared" ref="W42:X42" si="47">SUM(W38:W41)</f>
        <v>94.385000000000005</v>
      </c>
      <c r="X42" s="629">
        <f t="shared" si="47"/>
        <v>11240177</v>
      </c>
      <c r="Y42" s="612">
        <f t="shared" si="46"/>
        <v>878.07999999999993</v>
      </c>
      <c r="Z42" s="584">
        <f t="shared" si="46"/>
        <v>106358743</v>
      </c>
      <c r="AA42" s="641">
        <f t="shared" si="37"/>
        <v>0.47031601499732184</v>
      </c>
      <c r="AB42" s="583">
        <f t="shared" si="37"/>
        <v>0.52109009711145116</v>
      </c>
      <c r="AC42" s="631"/>
      <c r="AD42" s="581" t="s">
        <v>114</v>
      </c>
      <c r="AE42" s="644">
        <f t="shared" ref="AE42:AJ42" si="48">SUM(AE38:AE41)</f>
        <v>0</v>
      </c>
      <c r="AF42" s="644">
        <f t="shared" si="48"/>
        <v>0</v>
      </c>
      <c r="AG42" s="644">
        <f t="shared" si="48"/>
        <v>153.87</v>
      </c>
      <c r="AH42" s="644">
        <f t="shared" si="48"/>
        <v>19069190</v>
      </c>
      <c r="AI42" s="644">
        <f t="shared" si="48"/>
        <v>0</v>
      </c>
      <c r="AJ42" s="656">
        <f t="shared" si="48"/>
        <v>0</v>
      </c>
      <c r="AK42" s="612">
        <f t="shared" si="42"/>
        <v>153.87</v>
      </c>
      <c r="AL42" s="630">
        <f t="shared" si="42"/>
        <v>19069190</v>
      </c>
      <c r="AN42" s="651">
        <v>45474</v>
      </c>
      <c r="AO42" s="672">
        <v>0</v>
      </c>
      <c r="AP42" s="672">
        <v>0</v>
      </c>
    </row>
    <row r="43" spans="2:42" ht="16.5" customHeight="1">
      <c r="B43" s="2335" t="s">
        <v>1882</v>
      </c>
      <c r="C43" s="2343"/>
      <c r="D43" s="2336"/>
      <c r="E43" s="2343" t="s">
        <v>7</v>
      </c>
      <c r="F43" s="2360"/>
      <c r="G43" s="2352" t="s">
        <v>13</v>
      </c>
      <c r="H43" s="2360"/>
      <c r="I43" s="2352" t="s">
        <v>1875</v>
      </c>
      <c r="J43" s="2343"/>
      <c r="K43" s="2352" t="s">
        <v>1876</v>
      </c>
      <c r="L43" s="2343"/>
      <c r="M43" s="2335" t="s">
        <v>114</v>
      </c>
      <c r="N43" s="2336"/>
      <c r="O43" s="622"/>
      <c r="P43" s="2353" t="s">
        <v>3</v>
      </c>
      <c r="Q43" s="2360" t="s">
        <v>7</v>
      </c>
      <c r="R43" s="2333"/>
      <c r="S43" s="2333" t="s">
        <v>13</v>
      </c>
      <c r="T43" s="2333"/>
      <c r="U43" s="2333" t="s">
        <v>1875</v>
      </c>
      <c r="V43" s="2352"/>
      <c r="W43" s="2333" t="s">
        <v>1876</v>
      </c>
      <c r="X43" s="2352"/>
      <c r="Y43" s="2332" t="s">
        <v>114</v>
      </c>
      <c r="Z43" s="2333"/>
      <c r="AA43" s="2333" t="s">
        <v>1877</v>
      </c>
      <c r="AB43" s="2334"/>
      <c r="AC43" s="622"/>
      <c r="AD43" s="2358" t="s">
        <v>3</v>
      </c>
      <c r="AE43" s="2332" t="s">
        <v>7</v>
      </c>
      <c r="AF43" s="2333"/>
      <c r="AG43" s="2333" t="s">
        <v>13</v>
      </c>
      <c r="AH43" s="2333"/>
      <c r="AI43" s="2333" t="s">
        <v>1875</v>
      </c>
      <c r="AJ43" s="2334"/>
      <c r="AK43" s="2343" t="s">
        <v>114</v>
      </c>
      <c r="AL43" s="2336"/>
      <c r="AN43" s="651">
        <v>45505</v>
      </c>
      <c r="AO43" s="665">
        <v>409</v>
      </c>
      <c r="AP43" s="666">
        <v>49056754</v>
      </c>
    </row>
    <row r="44" spans="2:42" ht="15.75">
      <c r="B44" s="559" t="s">
        <v>1878</v>
      </c>
      <c r="C44" s="560" t="s">
        <v>1879</v>
      </c>
      <c r="D44" s="561" t="s">
        <v>1880</v>
      </c>
      <c r="E44" s="562" t="s">
        <v>1872</v>
      </c>
      <c r="F44" s="563" t="s">
        <v>1881</v>
      </c>
      <c r="G44" s="562" t="s">
        <v>1872</v>
      </c>
      <c r="H44" s="563" t="s">
        <v>1881</v>
      </c>
      <c r="I44" s="562" t="s">
        <v>1872</v>
      </c>
      <c r="J44" s="623" t="s">
        <v>1881</v>
      </c>
      <c r="K44" s="563" t="s">
        <v>1872</v>
      </c>
      <c r="L44" s="624" t="s">
        <v>1881</v>
      </c>
      <c r="M44" s="610" t="s">
        <v>1872</v>
      </c>
      <c r="N44" s="624" t="s">
        <v>1881</v>
      </c>
      <c r="O44" s="622"/>
      <c r="P44" s="2354"/>
      <c r="Q44" s="562" t="s">
        <v>1872</v>
      </c>
      <c r="R44" s="563" t="s">
        <v>1881</v>
      </c>
      <c r="S44" s="562" t="s">
        <v>1872</v>
      </c>
      <c r="T44" s="563" t="s">
        <v>1881</v>
      </c>
      <c r="U44" s="562" t="s">
        <v>1872</v>
      </c>
      <c r="V44" s="563" t="s">
        <v>1881</v>
      </c>
      <c r="W44" s="562" t="s">
        <v>1872</v>
      </c>
      <c r="X44" s="563" t="s">
        <v>1881</v>
      </c>
      <c r="Y44" s="610" t="s">
        <v>1872</v>
      </c>
      <c r="Z44" s="563" t="s">
        <v>1881</v>
      </c>
      <c r="AA44" s="563" t="s">
        <v>1872</v>
      </c>
      <c r="AB44" s="624" t="s">
        <v>1881</v>
      </c>
      <c r="AC44" s="622"/>
      <c r="AD44" s="2359"/>
      <c r="AE44" s="610" t="s">
        <v>1872</v>
      </c>
      <c r="AF44" s="563" t="s">
        <v>1881</v>
      </c>
      <c r="AG44" s="563" t="s">
        <v>1872</v>
      </c>
      <c r="AH44" s="563" t="s">
        <v>1881</v>
      </c>
      <c r="AI44" s="563" t="s">
        <v>1872</v>
      </c>
      <c r="AJ44" s="624" t="s">
        <v>1881</v>
      </c>
      <c r="AK44" s="562" t="s">
        <v>1872</v>
      </c>
      <c r="AL44" s="624" t="s">
        <v>1881</v>
      </c>
      <c r="AN44" s="651">
        <v>45536</v>
      </c>
      <c r="AO44" s="665">
        <v>501</v>
      </c>
      <c r="AP44" s="666">
        <v>60506527</v>
      </c>
    </row>
    <row r="45" spans="2:42" ht="15.75">
      <c r="B45" s="564" t="s">
        <v>3</v>
      </c>
      <c r="C45" s="574">
        <v>0</v>
      </c>
      <c r="D45" s="588">
        <f>C45/$C$48</f>
        <v>0</v>
      </c>
      <c r="E45" s="572">
        <f>$D45*($E$42*60%)</f>
        <v>0</v>
      </c>
      <c r="F45" s="573">
        <f>$D45*($F$42*60%)</f>
        <v>0</v>
      </c>
      <c r="G45" s="573">
        <f>$D45*($G$42*60%)</f>
        <v>0</v>
      </c>
      <c r="H45" s="573">
        <f>$D45*($H$42*60%)</f>
        <v>0</v>
      </c>
      <c r="I45" s="573">
        <f>$D45*($I$42*60%)</f>
        <v>0</v>
      </c>
      <c r="J45" s="628">
        <f>$D45*($J$42*60%)</f>
        <v>0</v>
      </c>
      <c r="K45" s="573">
        <f t="shared" ref="K45:K47" si="49">$D45*($K$42*60%)</f>
        <v>0</v>
      </c>
      <c r="L45" s="628">
        <f t="shared" ref="L45:L47" si="50">$D45*($L$42*60%)</f>
        <v>0</v>
      </c>
      <c r="M45" s="596">
        <f t="shared" ref="M45:M48" si="51">E45+G45+I45+K45</f>
        <v>0</v>
      </c>
      <c r="N45" s="626">
        <f t="shared" ref="N45:N48" si="52">F45+H45+J45+L45</f>
        <v>0</v>
      </c>
      <c r="O45" s="609"/>
      <c r="P45" s="627" t="s">
        <v>3</v>
      </c>
      <c r="Q45" s="572">
        <f>SUMIFS(РД[S],РД[Дом],$Q$36,РД[ИМ],$P45,РД[Дата подачи на регистрацию],"&gt;="&amp;$P$35,РД[Дата подачи на регистрацию],"&lt;"&amp;DATE(YEAR($B$35),MONTH($B$35)+1,1),РД[Состояние],"Продажа")-AE45/2</f>
        <v>0</v>
      </c>
      <c r="R45" s="573">
        <f>SUMIFS(РД[Стоимость без отделки итог],РД[Дом],$Q$36,РД[ИМ],$P45,РД[Дата подачи на регистрацию],"&gt;="&amp;$P$35,РД[Дата подачи на регистрацию],"&lt;"&amp;DATE(YEAR($B$35),MONTH($B$35)+1,1),РД[Состояние],"Продажа")-AF45/2</f>
        <v>0</v>
      </c>
      <c r="S45" s="573">
        <f>SUMIFS(РД[S],РД[Дом],$S$36,РД[ИМ],$P45,РД[Дата подачи на регистрацию],"&gt;="&amp;$P$35,РД[Дата подачи на регистрацию],"&lt;"&amp;DATE(YEAR($B$35),MONTH($B$35)+1,1),РД[Состояние],"Продажа")-AG45/2</f>
        <v>0</v>
      </c>
      <c r="T45" s="573">
        <f>SUMIFS(РД[Стоимость без отделки итог],РД[Дом],$S$36,РД[ИМ],$P45,РД[Дата подачи на регистрацию],"&gt;="&amp;$P$35,РД[Дата подачи на регистрацию],"&lt;"&amp;DATE(YEAR($B$35),MONTH($B$35)+1,1),РД[Состояние],"Продажа")-AH45/2</f>
        <v>0</v>
      </c>
      <c r="U45" s="573">
        <f>SUMIFS(РД[S],РД[Дом],$U$36,РД[ИМ],$P45,РД[Дата подачи на регистрацию],"&gt;="&amp;$P$35,РД[Дата подачи на регистрацию],"&lt;"&amp;DATE(YEAR($B$35),MONTH($B$35)+1,1),РД[Состояние],"Продажа")-AI45/2</f>
        <v>0</v>
      </c>
      <c r="V45" s="628">
        <f>SUMIFS(РД[Стоимость без отделки итог],РД[Дом],$U$36,РД[ИМ],$P45,РД[Дата подачи на регистрацию],"&gt;="&amp;$P$35,РД[Дата подачи на регистрацию],"&lt;"&amp;DATE(YEAR($B$35),MONTH($B$35)+1,1),РД[Состояние],"Продажа")-AJ45/2</f>
        <v>0</v>
      </c>
      <c r="W45" s="573">
        <f>SUMIFS(РД[S],РД[Дом],$W$36,РД[ИМ],$P45,РД[Дата подачи на регистрацию],"&gt;="&amp;$P$35,РД[Дата подачи на регистрацию],"&lt;"&amp;DATE(YEAR($B$35),MONTH($B$35)+1,1),РД[Состояние],"Продажа")-AK45/2</f>
        <v>0</v>
      </c>
      <c r="X45" s="628">
        <f>SUMIFS(РД[Стоимость без отделки итог],РД[Дом],$W$36,РД[ИМ],$P45,РД[Дата подачи на регистрацию],"&gt;="&amp;$P$35,РД[Дата подачи на регистрацию],"&lt;"&amp;DATE(YEAR($B$35),MONTH($B$35)+1,1),РД[Состояние],"Продажа")-AL45/2</f>
        <v>0</v>
      </c>
      <c r="Y45" s="636">
        <f>Q45+S45+U45+W45</f>
        <v>0</v>
      </c>
      <c r="Z45" s="573">
        <f>R45+T45+V45+X45</f>
        <v>0</v>
      </c>
      <c r="AA45" s="645" t="str">
        <f t="shared" ref="AA45:AB48" si="53">IFERROR(Y45/M45,"")</f>
        <v/>
      </c>
      <c r="AB45" s="588" t="str">
        <f t="shared" si="53"/>
        <v/>
      </c>
      <c r="AC45" s="609"/>
      <c r="AD45" s="564" t="s">
        <v>1892</v>
      </c>
      <c r="AE45" s="573">
        <f>SUMIFS(РД[S],РД[Дом],$AE$36,РД[ИМ],$AD45,РД[Источник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45" s="573">
        <f>SUMIFS(РД[Стоимость без отделки итог],РД[Дом],$AE$36,РД[ИМ],$AD45,РД[Источник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45" s="573">
        <f>SUMIFS(РД[S],РД[Дом],$AG$36,РД[ИМ],$AD45,РД[Источник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H45" s="573">
        <f>SUMIFS(РД[Стоимость без отделки итог],РД[Дом],$AG$36,РД[ИМ],$AD45,РД[Источник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I45" s="573">
        <f>SUMIFS(РД[S],РД[Дом],$AI$36,РД[ИМ],$AD45,РД[Источник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45" s="652">
        <f>SUMIFS(РД[Стоимость без отделки итог],РД[Дом],$AI$36,РД[ИМ],$AD45,РД[Источник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45" s="636">
        <f>AE45+AG45+AI45</f>
        <v>0</v>
      </c>
      <c r="AL45" s="661">
        <f>AF45+AH45+AJ45</f>
        <v>0</v>
      </c>
      <c r="AN45" s="657">
        <v>45566</v>
      </c>
      <c r="AO45" s="669">
        <v>170</v>
      </c>
      <c r="AP45" s="670">
        <v>19865456</v>
      </c>
    </row>
    <row r="46" spans="2:42" ht="15.75">
      <c r="B46" s="569" t="s">
        <v>22</v>
      </c>
      <c r="C46" s="574">
        <v>168</v>
      </c>
      <c r="D46" s="588">
        <f>C46/$C$48</f>
        <v>1</v>
      </c>
      <c r="E46" s="572">
        <f>$D46*($E$42*60%)</f>
        <v>68.399999999999991</v>
      </c>
      <c r="F46" s="573">
        <f>$D46*($F$42*60%)</f>
        <v>7433722.2000000002</v>
      </c>
      <c r="G46" s="573">
        <f>$D46*($G$42*60%)</f>
        <v>644.4</v>
      </c>
      <c r="H46" s="573">
        <f>$D46*($H$42*60%)</f>
        <v>69801370.799999997</v>
      </c>
      <c r="I46" s="573">
        <f>$D46*($I$42*60%)</f>
        <v>102.6</v>
      </c>
      <c r="J46" s="628">
        <f>$D46*($J$42*60%)</f>
        <v>11919273</v>
      </c>
      <c r="K46" s="573">
        <f t="shared" si="49"/>
        <v>304.8</v>
      </c>
      <c r="L46" s="628">
        <f t="shared" si="50"/>
        <v>33310532.399999999</v>
      </c>
      <c r="M46" s="596">
        <f t="shared" si="51"/>
        <v>1120.2</v>
      </c>
      <c r="N46" s="626">
        <f t="shared" si="52"/>
        <v>122464898.40000001</v>
      </c>
      <c r="O46" s="609"/>
      <c r="P46" s="569" t="s">
        <v>22</v>
      </c>
      <c r="Q46" s="606">
        <f>SUMIFS(РД[S],РД[Дом],$Q$36,РД[ИМ],$P46,РД[Дата подачи на регистрацию],"&gt;="&amp;$P$35,РД[Дата подачи на регистрацию],"&lt;"&amp;DATE(YEAR($B$35),MONTH($B$35)+1,1),РД[Состояние],"Продажа")</f>
        <v>0</v>
      </c>
      <c r="R46" s="597">
        <f>SUMIFS(РД[Стоимость без отделки итог],РД[Дом],$Q$36,РД[ИМ],$P46,РД[Дата подачи на регистрацию],"&gt;="&amp;$P$35,РД[Дата подачи на регистрацию],"&lt;"&amp;DATE(YEAR($B$35),MONTH($B$35)+1,1),РД[Состояние],"Продажа")</f>
        <v>0</v>
      </c>
      <c r="S46" s="597">
        <f>SUMIFS(РД[S],РД[Дом],$S$36,РД[ИМ],$P46,РД[Дата подачи на регистрацию],"&gt;="&amp;$P$35,РД[Дата подачи на регистрацию],"&lt;"&amp;DATE(YEAR($B$35),MONTH($B$35)+1,1),РД[Состояние],"Продажа")</f>
        <v>740.37</v>
      </c>
      <c r="T46" s="597">
        <f>SUMIFS(РД[Стоимость без отделки итог],РД[Дом],$S$36,РД[ИМ],$P46,РД[Дата подачи на регистрацию],"&gt;="&amp;$P$35,РД[Дата подачи на регистрацию],"&lt;"&amp;DATE(YEAR($B$35),MONTH($B$35)+1,1),РД[Состояние],"Продажа")</f>
        <v>88854984</v>
      </c>
      <c r="U46" s="597">
        <f>SUMIFS(РД[S],РД[Дом],$U$36,РД[ИМ],$P46,РД[Дата подачи на регистрацию],"&gt;="&amp;$P$35,РД[Дата подачи на регистрацию],"&lt;"&amp;DATE(YEAR($B$35),MONTH($B$35)+1,1),РД[Состояние],"Продажа")</f>
        <v>71.06</v>
      </c>
      <c r="V46" s="632">
        <f>SUMIFS(РД[Стоимость без отделки итог],РД[Дом],$U$36,РД[ИМ],$P46,РД[Дата подачи на регистрацию],"&gt;="&amp;$P$35,РД[Дата подачи на регистрацию],"&lt;"&amp;DATE(YEAR($B$35),MONTH($B$35)+1,1),РД[Состояние],"Продажа")</f>
        <v>9731585</v>
      </c>
      <c r="W46" s="573">
        <f>SUMIFS(РД[S],РД[Дом],$W$36,РД[ИМ],$P46,РД[Дата подачи на регистрацию],"&gt;="&amp;$P$35,РД[Дата подачи на регистрацию],"&lt;"&amp;DATE(YEAR($B$35),MONTH($B$35)+1,1),РД[Состояние],"Продажа")-AK46/2</f>
        <v>-128.94999999999999</v>
      </c>
      <c r="X46" s="628">
        <f>SUMIFS(РД[Стоимость без отделки итог],РД[Дом],$W$36,РД[ИМ],$P46,РД[Дата подачи на регистрацию],"&gt;="&amp;$P$35,РД[Дата подачи на регистрацию],"&lt;"&amp;DATE(YEAR($B$35),MONTH($B$35)+1,1),РД[Состояние],"Продажа")-AL46/2</f>
        <v>-16106077.5</v>
      </c>
      <c r="Y46" s="636">
        <f t="shared" ref="Y46:Y47" si="54">Q46+S46+U46+W46</f>
        <v>682.48</v>
      </c>
      <c r="Z46" s="573">
        <f t="shared" ref="Z46:Z47" si="55">R46+T46+V46+X46</f>
        <v>82480491.5</v>
      </c>
      <c r="AA46" s="638">
        <f t="shared" si="53"/>
        <v>0.60924834850919474</v>
      </c>
      <c r="AB46" s="617">
        <f t="shared" si="53"/>
        <v>0.67350312275276425</v>
      </c>
      <c r="AC46" s="609"/>
      <c r="AD46" s="569" t="s">
        <v>22</v>
      </c>
      <c r="AE46" s="573">
        <f>SUMIFS(РД[S],РД[Дом],$AE$36,РД[ИМ],$AD46,РД[Источник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46" s="573">
        <f>SUMIFS(РД[Стоимость без отделки итог],РД[Дом],$AE$36,РД[ИМ],$AD46,РД[Источник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46" s="573">
        <f>SUMIFS(РД[S],РД[Дом],$AG$36,РД[ИМ],$AD46,РД[Источник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222.37</v>
      </c>
      <c r="AH46" s="573">
        <f>SUMIFS(РД[Стоимость без отделки итог],РД[Дом],$AG$36,РД[ИМ],$AD46,РД[Источник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27188196</v>
      </c>
      <c r="AI46" s="573">
        <f>SUMIFS(РД[S],РД[Дом],$AI$36,РД[ИМ],$AD46,РД[Источник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35.53</v>
      </c>
      <c r="AJ46" s="652">
        <f>SUMIFS(РД[Стоимость без отделки итог],РД[Дом],$AI$36,РД[ИМ],$AD46,РД[Источник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5023959</v>
      </c>
      <c r="AK46" s="636">
        <f t="shared" ref="AK46:AL47" si="56">AE46+AG46+AI46</f>
        <v>257.89999999999998</v>
      </c>
      <c r="AL46" s="652">
        <f t="shared" si="56"/>
        <v>32212155</v>
      </c>
      <c r="AN46" s="657">
        <v>45597</v>
      </c>
      <c r="AO46" s="669">
        <v>170</v>
      </c>
      <c r="AP46" s="670">
        <v>19865456</v>
      </c>
    </row>
    <row r="47" spans="2:42" ht="15.75">
      <c r="B47" s="576" t="s">
        <v>118</v>
      </c>
      <c r="C47" s="574">
        <v>0</v>
      </c>
      <c r="D47" s="608">
        <f>C47/$C$48</f>
        <v>0</v>
      </c>
      <c r="E47" s="572">
        <f>$D47*($E$42*60%)</f>
        <v>0</v>
      </c>
      <c r="F47" s="573">
        <f>$D47*($F$42*60%)</f>
        <v>0</v>
      </c>
      <c r="G47" s="573">
        <f>$D47*($G$42*60%)</f>
        <v>0</v>
      </c>
      <c r="H47" s="573">
        <f>$D47*($H$42*60%)</f>
        <v>0</v>
      </c>
      <c r="I47" s="573">
        <f>$D47*($I$42*60%)</f>
        <v>0</v>
      </c>
      <c r="J47" s="628">
        <f>$D47*($J$42*60%)</f>
        <v>0</v>
      </c>
      <c r="K47" s="573">
        <f t="shared" si="49"/>
        <v>0</v>
      </c>
      <c r="L47" s="628">
        <f t="shared" si="50"/>
        <v>0</v>
      </c>
      <c r="M47" s="596">
        <f t="shared" si="51"/>
        <v>0</v>
      </c>
      <c r="N47" s="626">
        <f t="shared" si="52"/>
        <v>0</v>
      </c>
      <c r="O47" s="609"/>
      <c r="P47" s="627" t="s">
        <v>3</v>
      </c>
      <c r="Q47" s="589">
        <f>SUMIFS(РД[S],РД[Дом],$Q$36,РД[ИМ],$P47,РД[Дата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R47" s="590">
        <f>SUMIFS(РД[Стоимость без отделки итог],РД[Дом],$Q$36,РД[ИМ],$P47,РД[Дата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S47" s="590">
        <f>SUMIFS(РД[S],РД[Дом],$S$36,РД[ИМ],$P47,РД[Дата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T47" s="590">
        <f>SUMIFS(РД[Стоимость без отделки итог],РД[Дом],$S$36,РД[ИМ],$P47,РД[Дата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U47" s="590">
        <f>SUMIFS(РД[S],РД[Дом],$U$36,РД[ИМ],$P47,РД[Дата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V47" s="635">
        <f>SUMIFS(РД[Стоимость без отделки итог],РД[Дом],$U$36,РД[ИМ],$P47,РД[Дата подачи на регистрацию],"&gt;="&amp;$P$35,РД[Дата подачи на регистрацию],"&lt;"&amp;DATE(YEAR($B$35),MONTH($B$35)+1,1),РД[Состояние],"Продажа")</f>
        <v>0</v>
      </c>
      <c r="W47" s="573">
        <f>SUMIFS(РД[S],РД[Дом],$W$36,РД[ИМ],$P47,РД[Дата подачи на регистрацию],"&gt;="&amp;$P$35,РД[Дата подачи на регистрацию],"&lt;"&amp;DATE(YEAR($B$35),MONTH($B$35)+1,1),РД[Состояние],"Продажа")-AK47/2</f>
        <v>0</v>
      </c>
      <c r="X47" s="628">
        <f>SUMIFS(РД[Стоимость без отделки итог],РД[Дом],$W$36,РД[ИМ],$P47,РД[Дата подачи на регистрацию],"&gt;="&amp;$P$35,РД[Дата подачи на регистрацию],"&lt;"&amp;DATE(YEAR($B$35),MONTH($B$35)+1,1),РД[Состояние],"Продажа")-AL47/2</f>
        <v>0</v>
      </c>
      <c r="Y47" s="636">
        <f t="shared" si="54"/>
        <v>0</v>
      </c>
      <c r="Z47" s="573">
        <f t="shared" si="55"/>
        <v>0</v>
      </c>
      <c r="AA47" s="639" t="str">
        <f t="shared" si="53"/>
        <v/>
      </c>
      <c r="AB47" s="640" t="str">
        <f t="shared" si="53"/>
        <v/>
      </c>
      <c r="AC47" s="609"/>
      <c r="AD47" s="576" t="s">
        <v>16</v>
      </c>
      <c r="AE47" s="580">
        <f>SUMIFS(РД[S],РД[Дом],$AE$36,РД[ИМ],$AD47,РД[Источник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F47" s="580">
        <f>SUMIFS(РД[Стоимость без отделки итог],РД[Дом],$AE$36,РД[ИМ],$AD47,РД[Источник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G47" s="580">
        <f>SUMIFS(РД[S],РД[Дом],$AG$36,РД[ИМ],$AD47,РД[Источник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H47" s="580">
        <f>SUMIFS(РД[Стоимость без отделки итог],РД[Дом],$AG$36,РД[ИМ],$AD47,РД[Источник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I47" s="573">
        <f>SUMIFS(РД[S],РД[Дом],$AI$36,РД[ИМ],$AD47,РД[Источник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J47" s="652">
        <f>SUMIFS(РД[Стоимость без отделки итог],РД[Дом],$AI$36,РД[ИМ],$AD47,РД[Источник обращения],"Агент*",РД[Дата подачи на регистрацию],"&gt;="&amp;$AD$35,РД[Дата подачи на регистрацию],"&lt;"&amp;DATE(YEAR($B$35),MONTH($B$35)+1,1),РД[Состояние],"Продажа")</f>
        <v>0</v>
      </c>
      <c r="AK47" s="646">
        <f t="shared" si="56"/>
        <v>0</v>
      </c>
      <c r="AL47" s="653">
        <f t="shared" si="56"/>
        <v>0</v>
      </c>
      <c r="AN47" s="657">
        <v>45627</v>
      </c>
      <c r="AO47" s="669">
        <v>170</v>
      </c>
      <c r="AP47" s="670">
        <v>19865456</v>
      </c>
    </row>
    <row r="48" spans="2:42">
      <c r="B48" s="581" t="s">
        <v>114</v>
      </c>
      <c r="C48" s="582">
        <f>SUM(C45:C47)</f>
        <v>168</v>
      </c>
      <c r="D48" s="583">
        <f t="shared" ref="D48:L48" si="57">SUM(D45:D47)</f>
        <v>1</v>
      </c>
      <c r="E48" s="582">
        <f t="shared" si="57"/>
        <v>68.399999999999991</v>
      </c>
      <c r="F48" s="584">
        <f t="shared" si="57"/>
        <v>7433722.2000000002</v>
      </c>
      <c r="G48" s="584">
        <f t="shared" si="57"/>
        <v>644.4</v>
      </c>
      <c r="H48" s="584">
        <f t="shared" si="57"/>
        <v>69801370.799999997</v>
      </c>
      <c r="I48" s="584">
        <f t="shared" si="57"/>
        <v>102.6</v>
      </c>
      <c r="J48" s="629">
        <f t="shared" si="57"/>
        <v>11919273</v>
      </c>
      <c r="K48" s="584">
        <f t="shared" si="57"/>
        <v>304.8</v>
      </c>
      <c r="L48" s="629">
        <f t="shared" si="57"/>
        <v>33310532.399999999</v>
      </c>
      <c r="M48" s="612">
        <f t="shared" si="51"/>
        <v>1120.2</v>
      </c>
      <c r="N48" s="630">
        <f t="shared" si="52"/>
        <v>122464898.40000001</v>
      </c>
      <c r="O48" s="631"/>
      <c r="P48" s="581" t="s">
        <v>114</v>
      </c>
      <c r="Q48" s="582">
        <f>SUM(Q45:Q47)</f>
        <v>0</v>
      </c>
      <c r="R48" s="584">
        <f t="shared" ref="R48:Z48" si="58">SUM(R45:R47)</f>
        <v>0</v>
      </c>
      <c r="S48" s="584">
        <f t="shared" si="58"/>
        <v>740.37</v>
      </c>
      <c r="T48" s="584">
        <f t="shared" si="58"/>
        <v>88854984</v>
      </c>
      <c r="U48" s="584">
        <f t="shared" si="58"/>
        <v>71.06</v>
      </c>
      <c r="V48" s="629">
        <f t="shared" si="58"/>
        <v>9731585</v>
      </c>
      <c r="W48" s="584">
        <f t="shared" ref="W48:X48" si="59">SUM(W45:W47)</f>
        <v>-128.94999999999999</v>
      </c>
      <c r="X48" s="629">
        <f t="shared" si="59"/>
        <v>-16106077.5</v>
      </c>
      <c r="Y48" s="612">
        <f t="shared" si="58"/>
        <v>682.48</v>
      </c>
      <c r="Z48" s="584">
        <f t="shared" si="58"/>
        <v>82480491.5</v>
      </c>
      <c r="AA48" s="641">
        <f t="shared" si="53"/>
        <v>0.60924834850919474</v>
      </c>
      <c r="AB48" s="583">
        <f t="shared" si="53"/>
        <v>0.67350312275276425</v>
      </c>
      <c r="AC48" s="631"/>
      <c r="AD48" s="581" t="s">
        <v>114</v>
      </c>
      <c r="AE48" s="584">
        <f t="shared" ref="AE48:AL48" si="60">SUM(AE45:AE47)</f>
        <v>0</v>
      </c>
      <c r="AF48" s="584">
        <f t="shared" si="60"/>
        <v>0</v>
      </c>
      <c r="AG48" s="584">
        <f t="shared" si="60"/>
        <v>222.37</v>
      </c>
      <c r="AH48" s="584">
        <f t="shared" si="60"/>
        <v>27188196</v>
      </c>
      <c r="AI48" s="584">
        <f t="shared" si="60"/>
        <v>35.53</v>
      </c>
      <c r="AJ48" s="584">
        <f t="shared" si="60"/>
        <v>5023959</v>
      </c>
      <c r="AK48" s="612">
        <f t="shared" si="60"/>
        <v>257.89999999999998</v>
      </c>
      <c r="AL48" s="630">
        <f t="shared" si="60"/>
        <v>32212155</v>
      </c>
      <c r="AN48" s="660" t="s">
        <v>1896</v>
      </c>
      <c r="AO48" s="671">
        <v>2676</v>
      </c>
      <c r="AP48" s="671">
        <v>314780761</v>
      </c>
    </row>
    <row r="50" spans="2:42">
      <c r="C50" s="609"/>
      <c r="D50" s="609"/>
      <c r="E50" s="609"/>
      <c r="F50" s="609"/>
      <c r="G50" s="609"/>
      <c r="H50" s="609"/>
      <c r="I50" s="609"/>
      <c r="J50" s="609"/>
      <c r="K50" s="609"/>
      <c r="L50" s="609"/>
      <c r="M50" s="609"/>
    </row>
    <row r="51" spans="2:42">
      <c r="B51" s="2329" t="s">
        <v>2003</v>
      </c>
      <c r="C51" s="2330"/>
      <c r="D51" s="2330"/>
      <c r="E51" s="2330"/>
      <c r="F51" s="2330"/>
      <c r="G51" s="2330"/>
      <c r="H51" s="2330"/>
      <c r="I51" s="2330"/>
      <c r="J51" s="2330"/>
      <c r="K51" s="2330"/>
      <c r="L51" s="2330"/>
      <c r="M51" s="2330"/>
      <c r="N51" s="2331"/>
      <c r="O51" s="621"/>
      <c r="P51" s="2361" t="str">
        <f>B51</f>
        <v>4 квартал 2024</v>
      </c>
      <c r="Q51" s="2362"/>
      <c r="R51" s="2362"/>
      <c r="S51" s="2362"/>
      <c r="T51" s="2362"/>
      <c r="U51" s="2362"/>
      <c r="V51" s="2362"/>
      <c r="W51" s="2362"/>
      <c r="X51" s="2362"/>
      <c r="Y51" s="2362"/>
      <c r="Z51" s="2362"/>
      <c r="AA51" s="2362"/>
      <c r="AB51" s="2363"/>
      <c r="AC51" s="621"/>
      <c r="AD51" s="2329" t="str">
        <f>P51</f>
        <v>4 квартал 2024</v>
      </c>
      <c r="AE51" s="2330"/>
      <c r="AF51" s="2330"/>
      <c r="AG51" s="2330"/>
      <c r="AH51" s="2330"/>
      <c r="AI51" s="2330"/>
      <c r="AJ51" s="2330"/>
      <c r="AK51" s="2330"/>
      <c r="AL51" s="2331"/>
      <c r="AN51" s="2337" t="s">
        <v>1876</v>
      </c>
      <c r="AO51" s="2337"/>
      <c r="AP51" s="2337"/>
    </row>
    <row r="52" spans="2:42" ht="16.5" customHeight="1">
      <c r="B52" s="2332" t="s">
        <v>1874</v>
      </c>
      <c r="C52" s="2333"/>
      <c r="D52" s="2334"/>
      <c r="E52" s="2332" t="s">
        <v>7</v>
      </c>
      <c r="F52" s="2333"/>
      <c r="G52" s="2333" t="s">
        <v>13</v>
      </c>
      <c r="H52" s="2333"/>
      <c r="I52" s="2352" t="s">
        <v>1875</v>
      </c>
      <c r="J52" s="2343"/>
      <c r="K52" s="2352" t="s">
        <v>1876</v>
      </c>
      <c r="L52" s="2336"/>
      <c r="M52" s="2343" t="s">
        <v>114</v>
      </c>
      <c r="N52" s="2336"/>
      <c r="O52" s="622"/>
      <c r="P52" s="2353" t="s">
        <v>1</v>
      </c>
      <c r="Q52" s="2333" t="s">
        <v>7</v>
      </c>
      <c r="R52" s="2333"/>
      <c r="S52" s="2333" t="s">
        <v>13</v>
      </c>
      <c r="T52" s="2333"/>
      <c r="U52" s="2333" t="s">
        <v>1875</v>
      </c>
      <c r="V52" s="2352"/>
      <c r="W52" s="2333" t="s">
        <v>1876</v>
      </c>
      <c r="X52" s="2352"/>
      <c r="Y52" s="2332" t="s">
        <v>114</v>
      </c>
      <c r="Z52" s="2333"/>
      <c r="AA52" s="2333" t="s">
        <v>1877</v>
      </c>
      <c r="AB52" s="2334"/>
      <c r="AC52" s="622"/>
      <c r="AD52" s="2353" t="s">
        <v>1</v>
      </c>
      <c r="AE52" s="2360" t="s">
        <v>7</v>
      </c>
      <c r="AF52" s="2333"/>
      <c r="AG52" s="2333" t="s">
        <v>13</v>
      </c>
      <c r="AH52" s="2333"/>
      <c r="AI52" s="2333" t="s">
        <v>1875</v>
      </c>
      <c r="AJ52" s="2352"/>
      <c r="AK52" s="2332" t="s">
        <v>114</v>
      </c>
      <c r="AL52" s="2334"/>
      <c r="AN52" s="650" t="s">
        <v>1871</v>
      </c>
      <c r="AO52" s="663" t="s">
        <v>1872</v>
      </c>
      <c r="AP52" s="664" t="s">
        <v>1873</v>
      </c>
    </row>
    <row r="53" spans="2:42" ht="15.75">
      <c r="B53" s="559" t="s">
        <v>1878</v>
      </c>
      <c r="C53" s="560" t="s">
        <v>1879</v>
      </c>
      <c r="D53" s="561" t="s">
        <v>1880</v>
      </c>
      <c r="E53" s="610" t="s">
        <v>1872</v>
      </c>
      <c r="F53" s="563" t="s">
        <v>1881</v>
      </c>
      <c r="G53" s="562" t="s">
        <v>1872</v>
      </c>
      <c r="H53" s="563" t="s">
        <v>1881</v>
      </c>
      <c r="I53" s="562" t="s">
        <v>1872</v>
      </c>
      <c r="J53" s="623" t="s">
        <v>1881</v>
      </c>
      <c r="K53" s="563" t="s">
        <v>1872</v>
      </c>
      <c r="L53" s="624" t="s">
        <v>1881</v>
      </c>
      <c r="M53" s="562" t="s">
        <v>1872</v>
      </c>
      <c r="N53" s="624" t="s">
        <v>1881</v>
      </c>
      <c r="O53" s="622"/>
      <c r="P53" s="2355"/>
      <c r="Q53" s="562" t="s">
        <v>1872</v>
      </c>
      <c r="R53" s="563" t="s">
        <v>1881</v>
      </c>
      <c r="S53" s="562" t="s">
        <v>1872</v>
      </c>
      <c r="T53" s="563" t="s">
        <v>1881</v>
      </c>
      <c r="U53" s="562" t="s">
        <v>1872</v>
      </c>
      <c r="V53" s="563" t="s">
        <v>1881</v>
      </c>
      <c r="W53" s="562" t="s">
        <v>1872</v>
      </c>
      <c r="X53" s="563" t="s">
        <v>1881</v>
      </c>
      <c r="Y53" s="610" t="s">
        <v>1872</v>
      </c>
      <c r="Z53" s="563" t="s">
        <v>1881</v>
      </c>
      <c r="AA53" s="563" t="s">
        <v>1872</v>
      </c>
      <c r="AB53" s="624" t="s">
        <v>1881</v>
      </c>
      <c r="AC53" s="622"/>
      <c r="AD53" s="2354"/>
      <c r="AE53" s="562" t="s">
        <v>1872</v>
      </c>
      <c r="AF53" s="563" t="s">
        <v>1881</v>
      </c>
      <c r="AG53" s="563" t="s">
        <v>1872</v>
      </c>
      <c r="AH53" s="563" t="s">
        <v>1881</v>
      </c>
      <c r="AI53" s="563" t="s">
        <v>1872</v>
      </c>
      <c r="AJ53" s="623" t="s">
        <v>1881</v>
      </c>
      <c r="AK53" s="610" t="s">
        <v>1872</v>
      </c>
      <c r="AL53" s="624" t="s">
        <v>1881</v>
      </c>
      <c r="AN53" s="651">
        <v>45292</v>
      </c>
      <c r="AO53" s="672">
        <v>0</v>
      </c>
      <c r="AP53" s="672">
        <v>0</v>
      </c>
    </row>
    <row r="54" spans="2:42" ht="15.75">
      <c r="B54" s="569" t="s">
        <v>8</v>
      </c>
      <c r="C54" s="595">
        <f>C38+C22+C6</f>
        <v>444</v>
      </c>
      <c r="D54" s="575">
        <f>C54/$C$58</f>
        <v>0.24666666666666667</v>
      </c>
      <c r="E54" s="572">
        <f>E6+E22+E38</f>
        <v>66</v>
      </c>
      <c r="F54" s="572">
        <f t="shared" ref="F54:J54" si="61">F6+F22+F38</f>
        <v>7164500</v>
      </c>
      <c r="G54" s="572">
        <f t="shared" si="61"/>
        <v>884</v>
      </c>
      <c r="H54" s="572">
        <f t="shared" si="61"/>
        <v>94684333</v>
      </c>
      <c r="I54" s="572">
        <f t="shared" si="61"/>
        <v>140</v>
      </c>
      <c r="J54" s="572">
        <f t="shared" si="61"/>
        <v>16346695</v>
      </c>
      <c r="K54" s="572">
        <f t="shared" ref="K54:L54" si="62">K6+K22+K38</f>
        <v>139</v>
      </c>
      <c r="L54" s="572">
        <f t="shared" si="62"/>
        <v>15190471</v>
      </c>
      <c r="M54" s="596">
        <f>E54+G54+I54+K54</f>
        <v>1229</v>
      </c>
      <c r="N54" s="626">
        <f>F54+H54+J54+L54</f>
        <v>133385999</v>
      </c>
      <c r="O54" s="609"/>
      <c r="P54" s="564" t="s">
        <v>8</v>
      </c>
      <c r="Q54" s="567">
        <f t="shared" ref="Q54:V57" si="63">Q6+Q22+Q38</f>
        <v>0</v>
      </c>
      <c r="R54" s="568">
        <f t="shared" si="63"/>
        <v>0</v>
      </c>
      <c r="S54" s="568">
        <f t="shared" si="63"/>
        <v>1401.3449999999998</v>
      </c>
      <c r="T54" s="568">
        <f t="shared" si="63"/>
        <v>152265070</v>
      </c>
      <c r="U54" s="568">
        <f t="shared" si="63"/>
        <v>87.32</v>
      </c>
      <c r="V54" s="625">
        <f t="shared" si="63"/>
        <v>10380944</v>
      </c>
      <c r="W54" s="568">
        <f t="shared" ref="W54:X54" si="64">W6+W22+W38</f>
        <v>60.385000000000005</v>
      </c>
      <c r="X54" s="625">
        <f t="shared" si="64"/>
        <v>7153244</v>
      </c>
      <c r="Y54" s="594">
        <f t="shared" ref="Y54:Z57" si="65">Q54+S54+U54</f>
        <v>1488.6649999999997</v>
      </c>
      <c r="Z54" s="568">
        <f t="shared" si="65"/>
        <v>162646014</v>
      </c>
      <c r="AA54" s="637">
        <f t="shared" ref="AA54:AB58" si="66">IFERROR(Y54/M54,"")</f>
        <v>1.2112815296989421</v>
      </c>
      <c r="AB54" s="616">
        <f t="shared" si="66"/>
        <v>1.2193634655763232</v>
      </c>
      <c r="AC54" s="609"/>
      <c r="AD54" s="627" t="s">
        <v>8</v>
      </c>
      <c r="AE54" s="572">
        <f>SUMIFS(РД[S],РД[Дом],$AE$36,РД[МОП],$AD54,РД[Источник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54" s="573">
        <f>SUMIFS(РД[Стоимость без отделки итог],РД[Дом],$AE$36,РД[МОП],$AD54,РД[Источник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54" s="573">
        <f>SUMIFS(РД[S],РД[Дом],$AG$36,РД[МОП],$AD54,РД[Источник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540.17000000000007</v>
      </c>
      <c r="AH54" s="573">
        <f>SUMIFS(РД[Стоимость без отделки итог],РД[Дом],$AG$36,РД[МОП],$AD54,РД[Источник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59482766</v>
      </c>
      <c r="AI54" s="573">
        <f>SUMIFS(РД[S],РД[Дом],$AI$36,РД[МОП],$AD54,РД[Источник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J54" s="628">
        <f>SUMIFS(РД[Стоимость без отделки итог],РД[Дом],$AI$36,РД[МОП],$AD54,РД[Источник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K54" s="636">
        <f>AE54+AG54+AI54</f>
        <v>540.17000000000007</v>
      </c>
      <c r="AL54" s="652">
        <f>AF54+AH54+AJ54</f>
        <v>59482766</v>
      </c>
      <c r="AN54" s="651">
        <v>45323</v>
      </c>
      <c r="AO54" s="672">
        <v>0</v>
      </c>
      <c r="AP54" s="672">
        <v>0</v>
      </c>
    </row>
    <row r="55" spans="2:42" ht="15.75">
      <c r="B55" s="569" t="s">
        <v>24</v>
      </c>
      <c r="C55" s="595">
        <v>336</v>
      </c>
      <c r="D55" s="575">
        <f>C55/$C$58</f>
        <v>0.18666666666666668</v>
      </c>
      <c r="E55" s="572">
        <f t="shared" ref="E55:J55" si="67">E7+E23+E39</f>
        <v>34</v>
      </c>
      <c r="F55" s="572">
        <f t="shared" si="67"/>
        <v>3595754</v>
      </c>
      <c r="G55" s="572">
        <f t="shared" si="67"/>
        <v>270</v>
      </c>
      <c r="H55" s="572">
        <f t="shared" si="67"/>
        <v>29257396</v>
      </c>
      <c r="I55" s="572">
        <f t="shared" si="67"/>
        <v>42</v>
      </c>
      <c r="J55" s="572">
        <f t="shared" si="67"/>
        <v>5010505</v>
      </c>
      <c r="K55" s="572">
        <f t="shared" ref="K55:L55" si="68">K7+K23+K39</f>
        <v>91</v>
      </c>
      <c r="L55" s="572">
        <f t="shared" si="68"/>
        <v>9946141</v>
      </c>
      <c r="M55" s="596">
        <f t="shared" ref="M55:M58" si="69">E55+G55+I55+K55</f>
        <v>437</v>
      </c>
      <c r="N55" s="626">
        <f t="shared" ref="N55:N58" si="70">F55+H55+J55+L55</f>
        <v>47809796</v>
      </c>
      <c r="O55" s="609"/>
      <c r="P55" s="569" t="s">
        <v>24</v>
      </c>
      <c r="Q55" s="606">
        <f t="shared" si="63"/>
        <v>0</v>
      </c>
      <c r="R55" s="597">
        <f t="shared" si="63"/>
        <v>0</v>
      </c>
      <c r="S55" s="597">
        <f t="shared" si="63"/>
        <v>166.4</v>
      </c>
      <c r="T55" s="597">
        <f t="shared" si="63"/>
        <v>20154974</v>
      </c>
      <c r="U55" s="597">
        <f t="shared" si="63"/>
        <v>35.53</v>
      </c>
      <c r="V55" s="632">
        <f t="shared" si="63"/>
        <v>5023959</v>
      </c>
      <c r="W55" s="597">
        <f t="shared" ref="W55:X55" si="71">W7+W23+W39</f>
        <v>0</v>
      </c>
      <c r="X55" s="632">
        <f t="shared" si="71"/>
        <v>0</v>
      </c>
      <c r="Y55" s="596">
        <f t="shared" si="65"/>
        <v>201.93</v>
      </c>
      <c r="Z55" s="597">
        <f t="shared" si="65"/>
        <v>25178933</v>
      </c>
      <c r="AA55" s="638">
        <f t="shared" si="66"/>
        <v>0.46208237986270023</v>
      </c>
      <c r="AB55" s="617">
        <f t="shared" si="66"/>
        <v>0.52664799071721624</v>
      </c>
      <c r="AC55" s="609"/>
      <c r="AD55" s="569" t="s">
        <v>46</v>
      </c>
      <c r="AE55" s="606">
        <f>SUMIFS(РД[S],РД[Дом],$AE$36,РД[МОП],$AD55,РД[Источник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55" s="597">
        <f>SUMIFS(РД[Стоимость без отделки итог],РД[Дом],$AE$36,РД[МОП],$AD55,РД[Источник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55" s="597">
        <f>SUMIFS(РД[S],РД[Дом],$AG$36,РД[МОП],$AD55,РД[Источник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H55" s="597">
        <f>SUMIFS(РД[Стоимость без отделки итог],РД[Дом],$AG$36,РД[МОП],$AD55,РД[Источник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I55" s="597">
        <f>SUMIFS(РД[S],РД[Дом],$AI$36,РД[МОП],$AD55,РД[Источник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J55" s="632">
        <f>SUMIFS(РД[Стоимость без отделки итог],РД[Дом],$AI$36,РД[МОП],$AD55,РД[Источник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K55" s="596">
        <f>AE55+AG55+AI55</f>
        <v>0</v>
      </c>
      <c r="AL55" s="626">
        <f>AF55+AH55+AJ55</f>
        <v>0</v>
      </c>
      <c r="AN55" s="651">
        <v>45352</v>
      </c>
      <c r="AO55" s="672">
        <v>0</v>
      </c>
      <c r="AP55" s="672">
        <v>0</v>
      </c>
    </row>
    <row r="56" spans="2:42" ht="15.75">
      <c r="B56" s="569" t="s">
        <v>20</v>
      </c>
      <c r="C56" s="595">
        <f>C40+C24+C8</f>
        <v>504</v>
      </c>
      <c r="D56" s="575">
        <f>C56/$C$58</f>
        <v>0.28000000000000003</v>
      </c>
      <c r="E56" s="572">
        <f t="shared" ref="E56:J56" si="72">E8+E24+E40</f>
        <v>93</v>
      </c>
      <c r="F56" s="572">
        <f t="shared" si="72"/>
        <v>9995397</v>
      </c>
      <c r="G56" s="572">
        <f t="shared" si="72"/>
        <v>1021</v>
      </c>
      <c r="H56" s="572">
        <f t="shared" si="72"/>
        <v>109344869</v>
      </c>
      <c r="I56" s="572">
        <f t="shared" si="72"/>
        <v>162</v>
      </c>
      <c r="J56" s="572">
        <f t="shared" si="72"/>
        <v>18870747</v>
      </c>
      <c r="K56" s="572">
        <f t="shared" ref="K56:L56" si="73">K8+K24+K40</f>
        <v>139</v>
      </c>
      <c r="L56" s="572">
        <f t="shared" si="73"/>
        <v>15190471</v>
      </c>
      <c r="M56" s="596">
        <f t="shared" si="69"/>
        <v>1415</v>
      </c>
      <c r="N56" s="626">
        <f t="shared" si="70"/>
        <v>153401484</v>
      </c>
      <c r="O56" s="609"/>
      <c r="P56" s="569" t="s">
        <v>20</v>
      </c>
      <c r="Q56" s="606">
        <f t="shared" si="63"/>
        <v>0</v>
      </c>
      <c r="R56" s="597">
        <f t="shared" si="63"/>
        <v>0</v>
      </c>
      <c r="S56" s="597">
        <f t="shared" si="63"/>
        <v>678.97</v>
      </c>
      <c r="T56" s="597">
        <f t="shared" si="63"/>
        <v>76332686</v>
      </c>
      <c r="U56" s="597">
        <f t="shared" si="63"/>
        <v>129.16500000000002</v>
      </c>
      <c r="V56" s="632">
        <f t="shared" si="63"/>
        <v>15149038</v>
      </c>
      <c r="W56" s="597">
        <f t="shared" ref="W56:X56" si="74">W8+W24+W40</f>
        <v>25.279999999999998</v>
      </c>
      <c r="X56" s="632">
        <f t="shared" si="74"/>
        <v>2876729</v>
      </c>
      <c r="Y56" s="596">
        <f t="shared" si="65"/>
        <v>808.13499999999999</v>
      </c>
      <c r="Z56" s="597">
        <f t="shared" si="65"/>
        <v>91481724</v>
      </c>
      <c r="AA56" s="638">
        <f t="shared" si="66"/>
        <v>0.57112014134275613</v>
      </c>
      <c r="AB56" s="617">
        <f t="shared" si="66"/>
        <v>0.59635488272069126</v>
      </c>
      <c r="AC56" s="609"/>
      <c r="AD56" s="569" t="s">
        <v>20</v>
      </c>
      <c r="AE56" s="606">
        <f>SUMIFS(РД[S],РД[Дом],$AE$36,РД[МОП],$AD56,РД[Источник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56" s="597">
        <f>SUMIFS(РД[Стоимость без отделки итог],РД[Дом],$AE$36,РД[МОП],$AD56,РД[Источник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56" s="597">
        <f>SUMIFS(РД[S],РД[Дом],$AG$36,РД[МОП],$AD56,РД[Источник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162.44</v>
      </c>
      <c r="AH56" s="597">
        <f>SUMIFS(РД[Стоимость без отделки итог],РД[Дом],$AG$36,РД[МОП],$AD56,РД[Источник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19422974</v>
      </c>
      <c r="AI56" s="597">
        <f>SUMIFS(РД[S],РД[Дом],$AI$36,РД[МОП],$AD56,РД[Источник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51.79</v>
      </c>
      <c r="AJ56" s="632">
        <f>SUMIFS(РД[Стоимость без отделки итог],РД[Дом],$AI$36,РД[МОП],$AD56,РД[Источник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5689100</v>
      </c>
      <c r="AK56" s="596">
        <f t="shared" ref="AK56:AL58" si="75">AE56+AG56+AI56</f>
        <v>214.23</v>
      </c>
      <c r="AL56" s="626">
        <f t="shared" si="75"/>
        <v>25112074</v>
      </c>
      <c r="AN56" s="651">
        <v>45383</v>
      </c>
      <c r="AO56" s="672">
        <v>0</v>
      </c>
      <c r="AP56" s="672">
        <v>0</v>
      </c>
    </row>
    <row r="57" spans="2:42" ht="15.75">
      <c r="B57" s="576" t="s">
        <v>14</v>
      </c>
      <c r="C57" s="611">
        <f>C41+C25+C9</f>
        <v>516</v>
      </c>
      <c r="D57" s="578">
        <f>C57/$C$58</f>
        <v>0.28666666666666668</v>
      </c>
      <c r="E57" s="572">
        <f t="shared" ref="E57:J57" si="76">E9+E25+E41</f>
        <v>97</v>
      </c>
      <c r="F57" s="572">
        <f t="shared" si="76"/>
        <v>10467213</v>
      </c>
      <c r="G57" s="572">
        <f t="shared" si="76"/>
        <v>1048</v>
      </c>
      <c r="H57" s="572">
        <f t="shared" si="76"/>
        <v>112230186</v>
      </c>
      <c r="I57" s="572">
        <f t="shared" si="76"/>
        <v>166</v>
      </c>
      <c r="J57" s="572">
        <f t="shared" si="76"/>
        <v>19368420</v>
      </c>
      <c r="K57" s="572">
        <f t="shared" ref="K57:L57" si="77">K9+K25+K41</f>
        <v>139</v>
      </c>
      <c r="L57" s="572">
        <f t="shared" si="77"/>
        <v>15190471</v>
      </c>
      <c r="M57" s="596">
        <f t="shared" si="69"/>
        <v>1450</v>
      </c>
      <c r="N57" s="626">
        <f t="shared" si="70"/>
        <v>157256290</v>
      </c>
      <c r="O57" s="609"/>
      <c r="P57" s="576" t="s">
        <v>14</v>
      </c>
      <c r="Q57" s="589">
        <f t="shared" si="63"/>
        <v>0</v>
      </c>
      <c r="R57" s="590">
        <f t="shared" si="63"/>
        <v>0</v>
      </c>
      <c r="S57" s="590">
        <f t="shared" si="63"/>
        <v>715.01499999999999</v>
      </c>
      <c r="T57" s="590">
        <f t="shared" si="63"/>
        <v>78738100</v>
      </c>
      <c r="U57" s="590">
        <f t="shared" si="63"/>
        <v>35.630000000000003</v>
      </c>
      <c r="V57" s="635">
        <f t="shared" si="63"/>
        <v>4566207</v>
      </c>
      <c r="W57" s="590">
        <f t="shared" ref="W57:X57" si="78">W9+W25+W41</f>
        <v>8.7199999999999989</v>
      </c>
      <c r="X57" s="635">
        <f t="shared" si="78"/>
        <v>1210204.0000000005</v>
      </c>
      <c r="Y57" s="646">
        <f t="shared" si="65"/>
        <v>750.64499999999998</v>
      </c>
      <c r="Z57" s="590">
        <f t="shared" si="65"/>
        <v>83304307</v>
      </c>
      <c r="AA57" s="639">
        <f t="shared" si="66"/>
        <v>0.51768620689655176</v>
      </c>
      <c r="AB57" s="640">
        <f t="shared" si="66"/>
        <v>0.52973592979969197</v>
      </c>
      <c r="AC57" s="609"/>
      <c r="AD57" s="576" t="s">
        <v>14</v>
      </c>
      <c r="AE57" s="589">
        <f>SUMIFS(РД[S],РД[Дом],$AE$36,РД[МОП],$AD57,РД[Источник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57" s="590">
        <f>SUMIFS(РД[Стоимость без отделки итог],РД[Дом],$AE$36,РД[МОП],$AD57,РД[Источник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57" s="590">
        <f>SUMIFS(РД[S],РД[Дом],$AG$36,РД[МОП],$AD57,РД[Источник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123.61</v>
      </c>
      <c r="AH57" s="590">
        <f>SUMIFS(РД[Стоимость без отделки итог],РД[Дом],$AG$36,РД[МОП],$AD57,РД[Источник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14759400</v>
      </c>
      <c r="AI57" s="590">
        <f>SUMIFS(РД[S],РД[Дом],$AI$36,РД[МОП],$AD57,РД[Источник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J57" s="635">
        <f>SUMIFS(РД[Стоимость без отделки итог],РД[Дом],$AI$36,РД[МОП],$AD57,РД[Источник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K57" s="646">
        <f t="shared" si="75"/>
        <v>123.61</v>
      </c>
      <c r="AL57" s="653">
        <f t="shared" si="75"/>
        <v>14759400</v>
      </c>
      <c r="AN57" s="651">
        <v>45413</v>
      </c>
      <c r="AO57" s="672">
        <v>0</v>
      </c>
      <c r="AP57" s="672">
        <v>0</v>
      </c>
    </row>
    <row r="58" spans="2:42">
      <c r="B58" s="581" t="s">
        <v>114</v>
      </c>
      <c r="C58" s="612">
        <f>SUM(C54:C57)</f>
        <v>1800</v>
      </c>
      <c r="D58" s="583">
        <f>SUM(D54:D57)</f>
        <v>1</v>
      </c>
      <c r="E58" s="582">
        <f t="shared" ref="E58:J58" si="79">E10+E26+E42</f>
        <v>290</v>
      </c>
      <c r="F58" s="584">
        <f t="shared" si="79"/>
        <v>31222864</v>
      </c>
      <c r="G58" s="584">
        <f t="shared" si="79"/>
        <v>3223</v>
      </c>
      <c r="H58" s="584">
        <f t="shared" si="79"/>
        <v>345516784</v>
      </c>
      <c r="I58" s="584">
        <f t="shared" si="79"/>
        <v>510</v>
      </c>
      <c r="J58" s="629">
        <f t="shared" si="79"/>
        <v>59596367</v>
      </c>
      <c r="K58" s="584">
        <f t="shared" ref="K58:L58" si="80">K10+K26+K42</f>
        <v>508</v>
      </c>
      <c r="L58" s="629">
        <f t="shared" si="80"/>
        <v>55517554</v>
      </c>
      <c r="M58" s="612">
        <f t="shared" si="69"/>
        <v>4531</v>
      </c>
      <c r="N58" s="630">
        <f t="shared" si="70"/>
        <v>491853569</v>
      </c>
      <c r="O58" s="631"/>
      <c r="P58" s="581" t="s">
        <v>114</v>
      </c>
      <c r="Q58" s="582">
        <f>SUM(Q54:Q57)</f>
        <v>0</v>
      </c>
      <c r="R58" s="584">
        <f t="shared" ref="R58:Z58" si="81">SUM(R54:R57)</f>
        <v>0</v>
      </c>
      <c r="S58" s="584">
        <f t="shared" si="81"/>
        <v>2961.73</v>
      </c>
      <c r="T58" s="584">
        <f t="shared" si="81"/>
        <v>327490830</v>
      </c>
      <c r="U58" s="584">
        <f t="shared" si="81"/>
        <v>287.64500000000004</v>
      </c>
      <c r="V58" s="629">
        <f t="shared" si="81"/>
        <v>35120148</v>
      </c>
      <c r="W58" s="584">
        <f t="shared" ref="W58:X58" si="82">SUM(W54:W57)</f>
        <v>94.385000000000005</v>
      </c>
      <c r="X58" s="629">
        <f t="shared" si="82"/>
        <v>11240177</v>
      </c>
      <c r="Y58" s="612">
        <f t="shared" si="81"/>
        <v>3249.3749999999995</v>
      </c>
      <c r="Z58" s="584">
        <f t="shared" si="81"/>
        <v>362610978</v>
      </c>
      <c r="AA58" s="641">
        <f t="shared" si="66"/>
        <v>0.71714301478702258</v>
      </c>
      <c r="AB58" s="583">
        <f t="shared" si="66"/>
        <v>0.73723360132820348</v>
      </c>
      <c r="AC58" s="631"/>
      <c r="AD58" s="581" t="s">
        <v>114</v>
      </c>
      <c r="AE58" s="582">
        <f t="shared" ref="AE58:AJ58" si="83">SUM(AE54:AE57)</f>
        <v>0</v>
      </c>
      <c r="AF58" s="584">
        <f t="shared" si="83"/>
        <v>0</v>
      </c>
      <c r="AG58" s="584">
        <f t="shared" si="83"/>
        <v>826.22000000000014</v>
      </c>
      <c r="AH58" s="584">
        <f t="shared" si="83"/>
        <v>93665140</v>
      </c>
      <c r="AI58" s="584">
        <f t="shared" si="83"/>
        <v>51.79</v>
      </c>
      <c r="AJ58" s="629">
        <f t="shared" si="83"/>
        <v>5689100</v>
      </c>
      <c r="AK58" s="612">
        <f t="shared" si="75"/>
        <v>878.0100000000001</v>
      </c>
      <c r="AL58" s="630">
        <f t="shared" si="75"/>
        <v>99354240</v>
      </c>
      <c r="AN58" s="651">
        <v>45444</v>
      </c>
      <c r="AO58" s="672">
        <v>0</v>
      </c>
      <c r="AP58" s="672">
        <v>0</v>
      </c>
    </row>
    <row r="59" spans="2:42" ht="16.5" customHeight="1">
      <c r="B59" s="2332" t="s">
        <v>1882</v>
      </c>
      <c r="C59" s="2333"/>
      <c r="D59" s="2334"/>
      <c r="E59" s="2332" t="s">
        <v>7</v>
      </c>
      <c r="F59" s="2333"/>
      <c r="G59" s="2333" t="s">
        <v>13</v>
      </c>
      <c r="H59" s="2333"/>
      <c r="I59" s="2352" t="s">
        <v>1875</v>
      </c>
      <c r="J59" s="2343"/>
      <c r="K59" s="2352" t="s">
        <v>1876</v>
      </c>
      <c r="L59" s="2336"/>
      <c r="M59" s="2335" t="s">
        <v>114</v>
      </c>
      <c r="N59" s="2336"/>
      <c r="O59" s="622"/>
      <c r="P59" s="2355" t="s">
        <v>3</v>
      </c>
      <c r="Q59" s="2332" t="s">
        <v>7</v>
      </c>
      <c r="R59" s="2333"/>
      <c r="S59" s="2333" t="s">
        <v>13</v>
      </c>
      <c r="T59" s="2333"/>
      <c r="U59" s="2333" t="s">
        <v>1875</v>
      </c>
      <c r="V59" s="2352"/>
      <c r="W59" s="2333" t="s">
        <v>1876</v>
      </c>
      <c r="X59" s="2352"/>
      <c r="Y59" s="2332" t="s">
        <v>114</v>
      </c>
      <c r="Z59" s="2333"/>
      <c r="AA59" s="2333" t="s">
        <v>1877</v>
      </c>
      <c r="AB59" s="2334"/>
      <c r="AC59" s="622"/>
      <c r="AD59" s="2353" t="s">
        <v>3</v>
      </c>
      <c r="AE59" s="2360" t="s">
        <v>7</v>
      </c>
      <c r="AF59" s="2333"/>
      <c r="AG59" s="2333" t="s">
        <v>13</v>
      </c>
      <c r="AH59" s="2333"/>
      <c r="AI59" s="2333" t="s">
        <v>1875</v>
      </c>
      <c r="AJ59" s="2352"/>
      <c r="AK59" s="2332" t="s">
        <v>114</v>
      </c>
      <c r="AL59" s="2334"/>
      <c r="AN59" s="651">
        <v>45474</v>
      </c>
      <c r="AO59" s="672">
        <v>0</v>
      </c>
      <c r="AP59" s="672">
        <v>0</v>
      </c>
    </row>
    <row r="60" spans="2:42" ht="15.75">
      <c r="B60" s="613" t="s">
        <v>1878</v>
      </c>
      <c r="C60" s="614" t="s">
        <v>1879</v>
      </c>
      <c r="D60" s="615" t="s">
        <v>1880</v>
      </c>
      <c r="E60" s="610" t="s">
        <v>1872</v>
      </c>
      <c r="F60" s="563" t="s">
        <v>1881</v>
      </c>
      <c r="G60" s="562" t="s">
        <v>1872</v>
      </c>
      <c r="H60" s="563" t="s">
        <v>1881</v>
      </c>
      <c r="I60" s="562" t="s">
        <v>1872</v>
      </c>
      <c r="J60" s="623" t="s">
        <v>1881</v>
      </c>
      <c r="K60" s="563" t="s">
        <v>1872</v>
      </c>
      <c r="L60" s="624" t="s">
        <v>1881</v>
      </c>
      <c r="M60" s="610" t="s">
        <v>1872</v>
      </c>
      <c r="N60" s="624" t="s">
        <v>1881</v>
      </c>
      <c r="O60" s="622"/>
      <c r="P60" s="2354"/>
      <c r="Q60" s="562" t="s">
        <v>1872</v>
      </c>
      <c r="R60" s="563" t="s">
        <v>1881</v>
      </c>
      <c r="S60" s="562" t="s">
        <v>1872</v>
      </c>
      <c r="T60" s="563" t="s">
        <v>1881</v>
      </c>
      <c r="U60" s="562" t="s">
        <v>1872</v>
      </c>
      <c r="V60" s="563" t="s">
        <v>1881</v>
      </c>
      <c r="W60" s="562" t="s">
        <v>1872</v>
      </c>
      <c r="X60" s="563" t="s">
        <v>1881</v>
      </c>
      <c r="Y60" s="610" t="s">
        <v>1872</v>
      </c>
      <c r="Z60" s="563" t="s">
        <v>1881</v>
      </c>
      <c r="AA60" s="563" t="s">
        <v>1872</v>
      </c>
      <c r="AB60" s="624" t="s">
        <v>1881</v>
      </c>
      <c r="AC60" s="622"/>
      <c r="AD60" s="2354"/>
      <c r="AE60" s="562" t="s">
        <v>1872</v>
      </c>
      <c r="AF60" s="563" t="s">
        <v>1881</v>
      </c>
      <c r="AG60" s="563" t="s">
        <v>1872</v>
      </c>
      <c r="AH60" s="563" t="s">
        <v>1881</v>
      </c>
      <c r="AI60" s="563" t="s">
        <v>1872</v>
      </c>
      <c r="AJ60" s="623" t="s">
        <v>1881</v>
      </c>
      <c r="AK60" s="610" t="s">
        <v>1872</v>
      </c>
      <c r="AL60" s="624" t="s">
        <v>1881</v>
      </c>
      <c r="AN60" s="651">
        <v>45505</v>
      </c>
      <c r="AO60" s="672">
        <v>0</v>
      </c>
      <c r="AP60" s="672">
        <v>0</v>
      </c>
    </row>
    <row r="61" spans="2:42" ht="15.75">
      <c r="B61" s="564" t="s">
        <v>3</v>
      </c>
      <c r="C61" s="565">
        <f>C13+C29+C45</f>
        <v>80</v>
      </c>
      <c r="D61" s="616">
        <f>C61/$C$64</f>
        <v>0.1444043321299639</v>
      </c>
      <c r="E61" s="572">
        <f t="shared" ref="E61:J61" si="84">E13+E29+E45</f>
        <v>0</v>
      </c>
      <c r="F61" s="572">
        <f t="shared" si="84"/>
        <v>0</v>
      </c>
      <c r="G61" s="572">
        <f t="shared" si="84"/>
        <v>335.32110091743124</v>
      </c>
      <c r="H61" s="572">
        <f t="shared" si="84"/>
        <v>35562410.422018349</v>
      </c>
      <c r="I61" s="572">
        <f t="shared" si="84"/>
        <v>52.715596330275233</v>
      </c>
      <c r="J61" s="572">
        <f t="shared" si="84"/>
        <v>6196564.2568807332</v>
      </c>
      <c r="K61" s="572">
        <f t="shared" ref="K61:L61" si="85">K13+K29+K45</f>
        <v>0</v>
      </c>
      <c r="L61" s="572">
        <f t="shared" si="85"/>
        <v>0</v>
      </c>
      <c r="M61" s="596">
        <f t="shared" ref="M61:M64" si="86">E61+G61+I61+K61</f>
        <v>388.03669724770646</v>
      </c>
      <c r="N61" s="626">
        <f t="shared" ref="N61:N64" si="87">F61+H61+J61+L61</f>
        <v>41758974.67889908</v>
      </c>
      <c r="O61" s="609"/>
      <c r="P61" s="569" t="s">
        <v>1892</v>
      </c>
      <c r="Q61" s="572">
        <f t="shared" ref="Q61:V63" si="88">Q13+Q29+Q45</f>
        <v>0</v>
      </c>
      <c r="R61" s="573">
        <f t="shared" si="88"/>
        <v>0</v>
      </c>
      <c r="S61" s="573">
        <f t="shared" si="88"/>
        <v>461.44</v>
      </c>
      <c r="T61" s="573">
        <f t="shared" si="88"/>
        <v>49614858</v>
      </c>
      <c r="U61" s="573">
        <f t="shared" si="88"/>
        <v>0</v>
      </c>
      <c r="V61" s="628">
        <f t="shared" si="88"/>
        <v>0</v>
      </c>
      <c r="W61" s="573">
        <f t="shared" ref="W61:X61" si="89">W13+W29+W45</f>
        <v>0</v>
      </c>
      <c r="X61" s="628">
        <f t="shared" si="89"/>
        <v>0</v>
      </c>
      <c r="Y61" s="636">
        <f t="shared" ref="Y61:Z63" si="90">Q61+S61+U61</f>
        <v>461.44</v>
      </c>
      <c r="Z61" s="573">
        <f t="shared" si="90"/>
        <v>49614858</v>
      </c>
      <c r="AA61" s="645">
        <f t="shared" ref="AA61:AB64" si="91">IFERROR(Y61/M61,"")</f>
        <v>1.1891658785700774</v>
      </c>
      <c r="AB61" s="588">
        <f t="shared" si="91"/>
        <v>1.1881244302933165</v>
      </c>
      <c r="AC61" s="609"/>
      <c r="AD61" s="627" t="s">
        <v>1892</v>
      </c>
      <c r="AE61" s="572">
        <f>SUMIFS(РД[S],РД[Дом],$AE$36,РД[ИМ],$AD61,РД[Источник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61" s="573">
        <f>SUMIFS(РД[Стоимость без отделки итог],РД[Дом],$AE$36,РД[ИМ],$AD61,РД[Источник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61" s="573">
        <f>SUMIFS(РД[S],РД[Дом],$AG$36,РД[ИМ],$AD61,РД[Источник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101.42</v>
      </c>
      <c r="AH61" s="573">
        <f>SUMIFS(РД[Стоимость без отделки итог],РД[Дом],$AG$36,РД[ИМ],$AD61,РД[Источник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12030888</v>
      </c>
      <c r="AI61" s="573">
        <f>SUMIFS(РД[S],РД[Дом],$AI$36,РД[ИМ],$AD61,РД[Источник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J61" s="628">
        <f>SUMIFS(РД[Стоимость без отделки итог],РД[Дом],$AI$36,РД[ИМ],$AD61,РД[Источник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K61" s="636">
        <f>AE61+AG61+AI61</f>
        <v>101.42</v>
      </c>
      <c r="AL61" s="661">
        <f>AF61+AH61+AJ61</f>
        <v>12030888</v>
      </c>
      <c r="AN61" s="651">
        <v>45536</v>
      </c>
      <c r="AO61" s="672">
        <v>0</v>
      </c>
      <c r="AP61" s="672">
        <v>0</v>
      </c>
    </row>
    <row r="62" spans="2:42" ht="15.75">
      <c r="B62" s="569" t="s">
        <v>22</v>
      </c>
      <c r="C62" s="595">
        <f>C14+C30+C46</f>
        <v>474</v>
      </c>
      <c r="D62" s="617">
        <f t="shared" ref="D62:D63" si="92">C62/$C$64</f>
        <v>0.85559566787003605</v>
      </c>
      <c r="E62" s="572">
        <f t="shared" ref="E62:J62" si="93">E14+E30+E46</f>
        <v>174</v>
      </c>
      <c r="F62" s="572">
        <f t="shared" si="93"/>
        <v>18733718.399999999</v>
      </c>
      <c r="G62" s="572">
        <f t="shared" si="93"/>
        <v>1867.2288990825687</v>
      </c>
      <c r="H62" s="572">
        <f t="shared" si="93"/>
        <v>200249885.97798163</v>
      </c>
      <c r="I62" s="572">
        <f t="shared" si="93"/>
        <v>295.53440366972472</v>
      </c>
      <c r="J62" s="572">
        <f t="shared" si="93"/>
        <v>34527619.943119265</v>
      </c>
      <c r="K62" s="572">
        <f t="shared" ref="K62:L62" si="94">K14+K30+K46</f>
        <v>304.8</v>
      </c>
      <c r="L62" s="572">
        <f t="shared" si="94"/>
        <v>33310532.399999999</v>
      </c>
      <c r="M62" s="596">
        <f t="shared" si="86"/>
        <v>2641.5633027522936</v>
      </c>
      <c r="N62" s="626">
        <f t="shared" si="87"/>
        <v>286821756.72110087</v>
      </c>
      <c r="O62" s="609"/>
      <c r="P62" s="569" t="s">
        <v>22</v>
      </c>
      <c r="Q62" s="606">
        <f t="shared" si="88"/>
        <v>0</v>
      </c>
      <c r="R62" s="597">
        <f t="shared" si="88"/>
        <v>0</v>
      </c>
      <c r="S62" s="597">
        <f t="shared" si="88"/>
        <v>2164.88</v>
      </c>
      <c r="T62" s="597">
        <f t="shared" si="88"/>
        <v>247648666</v>
      </c>
      <c r="U62" s="597">
        <f t="shared" si="88"/>
        <v>174.64</v>
      </c>
      <c r="V62" s="632">
        <f t="shared" si="88"/>
        <v>21094003</v>
      </c>
      <c r="W62" s="597">
        <f t="shared" ref="W62:X62" si="95">W14+W30+W46</f>
        <v>-128.94999999999999</v>
      </c>
      <c r="X62" s="632">
        <f t="shared" si="95"/>
        <v>-16106077.5</v>
      </c>
      <c r="Y62" s="596">
        <f t="shared" si="90"/>
        <v>2339.52</v>
      </c>
      <c r="Z62" s="597">
        <f t="shared" si="90"/>
        <v>268742669</v>
      </c>
      <c r="AA62" s="638">
        <f t="shared" si="91"/>
        <v>0.88565736719707266</v>
      </c>
      <c r="AB62" s="617">
        <f t="shared" si="91"/>
        <v>0.93696751624500862</v>
      </c>
      <c r="AC62" s="609"/>
      <c r="AD62" s="569" t="s">
        <v>22</v>
      </c>
      <c r="AE62" s="572">
        <f>SUMIFS(РД[S],РД[Дом],$AE$36,РД[ИМ],$AD62,РД[Источник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62" s="573">
        <f>SUMIFS(РД[Стоимость без отделки итог],РД[Дом],$AE$36,РД[ИМ],$AD62,РД[Источник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62" s="573">
        <f>SUMIFS(РД[S],РД[Дом],$AG$36,РД[ИМ],$AD62,РД[Источник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719.60000000000014</v>
      </c>
      <c r="AH62" s="573">
        <f>SUMIFS(РД[Стоимость без отделки итог],РД[Дом],$AG$36,РД[ИМ],$AD62,РД[Источник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82385226</v>
      </c>
      <c r="AI62" s="573">
        <f>SUMIFS(РД[S],РД[Дом],$AI$36,РД[ИМ],$AD62,РД[Источник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87.32</v>
      </c>
      <c r="AJ62" s="628">
        <f>SUMIFS(РД[Стоимость без отделки итог],РД[Дом],$AI$36,РД[ИМ],$AD62,РД[Источник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10713059</v>
      </c>
      <c r="AK62" s="636">
        <f t="shared" ref="AK62:AL63" si="96">AE62+AG62+AI62</f>
        <v>806.92000000000007</v>
      </c>
      <c r="AL62" s="652">
        <f t="shared" si="96"/>
        <v>93098285</v>
      </c>
      <c r="AN62" s="651">
        <v>45566</v>
      </c>
      <c r="AO62" s="672">
        <v>0</v>
      </c>
      <c r="AP62" s="672">
        <v>0</v>
      </c>
    </row>
    <row r="63" spans="2:42" ht="15.75">
      <c r="B63" s="618" t="s">
        <v>118</v>
      </c>
      <c r="C63" s="599">
        <f>C15+C31+C47</f>
        <v>0</v>
      </c>
      <c r="D63" s="619">
        <f t="shared" si="92"/>
        <v>0</v>
      </c>
      <c r="E63" s="572">
        <f t="shared" ref="E63:J63" si="97">E15+E31+E47</f>
        <v>0</v>
      </c>
      <c r="F63" s="572">
        <f t="shared" si="97"/>
        <v>0</v>
      </c>
      <c r="G63" s="572">
        <f t="shared" si="97"/>
        <v>0</v>
      </c>
      <c r="H63" s="572">
        <f t="shared" si="97"/>
        <v>0</v>
      </c>
      <c r="I63" s="572">
        <f t="shared" si="97"/>
        <v>0</v>
      </c>
      <c r="J63" s="572">
        <f t="shared" si="97"/>
        <v>0</v>
      </c>
      <c r="K63" s="572">
        <f t="shared" ref="K63:L63" si="98">K15+K31+K47</f>
        <v>0</v>
      </c>
      <c r="L63" s="572">
        <f t="shared" si="98"/>
        <v>0</v>
      </c>
      <c r="M63" s="596">
        <f t="shared" si="86"/>
        <v>0</v>
      </c>
      <c r="N63" s="626">
        <f t="shared" si="87"/>
        <v>0</v>
      </c>
      <c r="O63" s="609"/>
      <c r="P63" s="627" t="s">
        <v>3</v>
      </c>
      <c r="Q63" s="607">
        <f t="shared" si="88"/>
        <v>0</v>
      </c>
      <c r="R63" s="602">
        <f t="shared" si="88"/>
        <v>0</v>
      </c>
      <c r="S63" s="602">
        <f t="shared" si="88"/>
        <v>0</v>
      </c>
      <c r="T63" s="602">
        <f t="shared" si="88"/>
        <v>0</v>
      </c>
      <c r="U63" s="602">
        <f t="shared" si="88"/>
        <v>0</v>
      </c>
      <c r="V63" s="633">
        <f t="shared" si="88"/>
        <v>0</v>
      </c>
      <c r="W63" s="602">
        <f t="shared" ref="W63:X63" si="99">W15+W31+W47</f>
        <v>0</v>
      </c>
      <c r="X63" s="633">
        <f t="shared" si="99"/>
        <v>0</v>
      </c>
      <c r="Y63" s="601">
        <f t="shared" si="90"/>
        <v>0</v>
      </c>
      <c r="Z63" s="602">
        <f t="shared" si="90"/>
        <v>0</v>
      </c>
      <c r="AA63" s="647" t="str">
        <f t="shared" si="91"/>
        <v/>
      </c>
      <c r="AB63" s="619" t="str">
        <f t="shared" si="91"/>
        <v/>
      </c>
      <c r="AC63" s="609"/>
      <c r="AD63" s="576" t="s">
        <v>16</v>
      </c>
      <c r="AE63" s="579">
        <f>SUMIFS(РД[S],РД[Дом],$AE$36,РД[ИМ],$AD63,РД[Источник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F63" s="580">
        <f>SUMIFS(РД[Стоимость без отделки итог],РД[Дом],$AE$36,РД[ИМ],$AD63,РД[Источник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G63" s="580">
        <f>SUMIFS(РД[S],РД[Дом],$AG$36,РД[ИМ],$AD63,РД[Источник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H63" s="580">
        <f>SUMIFS(РД[Стоимость без отделки итог],РД[Дом],$AG$36,РД[ИМ],$AD63,РД[Источник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I63" s="580">
        <f>SUMIFS(РД[S],РД[Дом],$AI$36,РД[ИМ],$AD63,РД[Источник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J63" s="662">
        <f>SUMIFS(РД[Стоимость без отделки итог],РД[Дом],$AI$36,РД[ИМ],$AD63,РД[Источник обращения],"Агент*",РД[Дата подачи на регистрацию],"&gt;="&amp;$AD$3,РД[Дата подачи на регистрацию],"&lt;"&amp;DATE(YEAR($B$35),MONTH($B$35)+1,1),РД[Состояние],"Продажа")</f>
        <v>0</v>
      </c>
      <c r="AK63" s="646">
        <f t="shared" si="96"/>
        <v>0</v>
      </c>
      <c r="AL63" s="653">
        <f t="shared" si="96"/>
        <v>0</v>
      </c>
      <c r="AN63" s="651">
        <v>45597</v>
      </c>
      <c r="AO63" s="672">
        <v>0</v>
      </c>
      <c r="AP63" s="672">
        <v>0</v>
      </c>
    </row>
    <row r="64" spans="2:42">
      <c r="B64" s="620" t="s">
        <v>114</v>
      </c>
      <c r="C64" s="603">
        <f>SUM(C61:C63)</f>
        <v>554</v>
      </c>
      <c r="D64" s="604">
        <f t="shared" ref="D64" si="100">SUM(D61:D63)</f>
        <v>1</v>
      </c>
      <c r="E64" s="582">
        <f t="shared" ref="E64:J64" si="101">E16+E32+E48</f>
        <v>174</v>
      </c>
      <c r="F64" s="584">
        <f t="shared" si="101"/>
        <v>18733718.399999999</v>
      </c>
      <c r="G64" s="584">
        <f t="shared" si="101"/>
        <v>2202.5500000000002</v>
      </c>
      <c r="H64" s="584">
        <f t="shared" si="101"/>
        <v>235812296.39999998</v>
      </c>
      <c r="I64" s="584">
        <f t="shared" si="101"/>
        <v>348.25</v>
      </c>
      <c r="J64" s="629">
        <f t="shared" si="101"/>
        <v>40724184.199999996</v>
      </c>
      <c r="K64" s="584">
        <f t="shared" ref="K64:L64" si="102">K16+K32+K48</f>
        <v>304.8</v>
      </c>
      <c r="L64" s="629">
        <f t="shared" si="102"/>
        <v>33310532.399999999</v>
      </c>
      <c r="M64" s="612">
        <f t="shared" si="86"/>
        <v>3029.6000000000004</v>
      </c>
      <c r="N64" s="630">
        <f t="shared" si="87"/>
        <v>328580731.39999998</v>
      </c>
      <c r="O64" s="631"/>
      <c r="P64" s="620" t="s">
        <v>114</v>
      </c>
      <c r="Q64" s="603">
        <f>SUM(Q61:Q63)</f>
        <v>0</v>
      </c>
      <c r="R64" s="605">
        <f t="shared" ref="R64:Z64" si="103">SUM(R61:R63)</f>
        <v>0</v>
      </c>
      <c r="S64" s="605">
        <f t="shared" si="103"/>
        <v>2626.32</v>
      </c>
      <c r="T64" s="605">
        <f t="shared" si="103"/>
        <v>297263524</v>
      </c>
      <c r="U64" s="605">
        <f t="shared" si="103"/>
        <v>174.64</v>
      </c>
      <c r="V64" s="634">
        <f t="shared" si="103"/>
        <v>21094003</v>
      </c>
      <c r="W64" s="605">
        <f t="shared" ref="W64:X64" si="104">SUM(W61:W63)</f>
        <v>-128.94999999999999</v>
      </c>
      <c r="X64" s="634">
        <f t="shared" si="104"/>
        <v>-16106077.5</v>
      </c>
      <c r="Y64" s="648">
        <f t="shared" si="103"/>
        <v>2800.96</v>
      </c>
      <c r="Z64" s="605">
        <f t="shared" si="103"/>
        <v>318357527</v>
      </c>
      <c r="AA64" s="649">
        <f t="shared" si="91"/>
        <v>0.92453129125957212</v>
      </c>
      <c r="AB64" s="604">
        <f t="shared" si="91"/>
        <v>0.96888678055940325</v>
      </c>
      <c r="AC64" s="631"/>
      <c r="AD64" s="581" t="s">
        <v>114</v>
      </c>
      <c r="AE64" s="582">
        <f t="shared" ref="AE64:AL64" si="105">SUM(AE61:AE63)</f>
        <v>0</v>
      </c>
      <c r="AF64" s="584">
        <f t="shared" si="105"/>
        <v>0</v>
      </c>
      <c r="AG64" s="584">
        <f t="shared" si="105"/>
        <v>821.0200000000001</v>
      </c>
      <c r="AH64" s="584">
        <f t="shared" si="105"/>
        <v>94416114</v>
      </c>
      <c r="AI64" s="584">
        <f t="shared" si="105"/>
        <v>87.32</v>
      </c>
      <c r="AJ64" s="629">
        <f t="shared" si="105"/>
        <v>10713059</v>
      </c>
      <c r="AK64" s="612">
        <f t="shared" si="105"/>
        <v>908.34</v>
      </c>
      <c r="AL64" s="630">
        <f t="shared" si="105"/>
        <v>105129173</v>
      </c>
      <c r="AN64" s="657">
        <v>45627</v>
      </c>
      <c r="AO64" s="669">
        <v>508</v>
      </c>
      <c r="AP64" s="670">
        <v>55517553</v>
      </c>
    </row>
    <row r="65" spans="40:42">
      <c r="AN65" s="660" t="s">
        <v>1896</v>
      </c>
      <c r="AO65" s="671">
        <v>508</v>
      </c>
      <c r="AP65" s="671">
        <v>55517553</v>
      </c>
    </row>
    <row r="70" spans="40:42">
      <c r="AO70" s="673">
        <f>AO64+AO47+AO31+AO15</f>
        <v>1867</v>
      </c>
      <c r="AP70" s="673">
        <f>AP64+AP47+AP31+AP15</f>
        <v>204108164</v>
      </c>
    </row>
  </sheetData>
  <sheetProtection algorithmName="SHA-512" hashValue="+UtiblqB5mfrQmsz9ExiInb6KVALZchGv9cSHgrDEOMAPhhZzKDcbhTSfIzsJiJ3wLHAh2a+D+HdgEASvL0twg==" saltValue="nY4ofhqc/x8+a4q5MSFqTA==" spinCount="100000" sheet="1" objects="1" scenarios="1"/>
  <mergeCells count="164">
    <mergeCell ref="B1:N1"/>
    <mergeCell ref="P1:AB1"/>
    <mergeCell ref="AD1:AL1"/>
    <mergeCell ref="AN1:AP1"/>
    <mergeCell ref="AN2:AP2"/>
    <mergeCell ref="B3:N3"/>
    <mergeCell ref="P3:AB3"/>
    <mergeCell ref="AD3:AL3"/>
    <mergeCell ref="B4:D4"/>
    <mergeCell ref="E4:F4"/>
    <mergeCell ref="G4:H4"/>
    <mergeCell ref="I4:J4"/>
    <mergeCell ref="K4:L4"/>
    <mergeCell ref="M4:N4"/>
    <mergeCell ref="Q4:R4"/>
    <mergeCell ref="S4:T4"/>
    <mergeCell ref="U4:V4"/>
    <mergeCell ref="W4:X4"/>
    <mergeCell ref="Y4:Z4"/>
    <mergeCell ref="AA4:AB4"/>
    <mergeCell ref="AE4:AF4"/>
    <mergeCell ref="AG4:AH4"/>
    <mergeCell ref="AI4:AJ4"/>
    <mergeCell ref="AK4:AL4"/>
    <mergeCell ref="Y11:Z11"/>
    <mergeCell ref="AA11:AB11"/>
    <mergeCell ref="AE11:AF11"/>
    <mergeCell ref="AG11:AH11"/>
    <mergeCell ref="AI11:AJ11"/>
    <mergeCell ref="AK11:AL11"/>
    <mergeCell ref="AN18:AP18"/>
    <mergeCell ref="B19:N19"/>
    <mergeCell ref="P19:AB19"/>
    <mergeCell ref="AD19:AL19"/>
    <mergeCell ref="B11:D11"/>
    <mergeCell ref="E11:F11"/>
    <mergeCell ref="G11:H11"/>
    <mergeCell ref="I11:J11"/>
    <mergeCell ref="K11:L11"/>
    <mergeCell ref="M11:N11"/>
    <mergeCell ref="Q11:R11"/>
    <mergeCell ref="S11:T11"/>
    <mergeCell ref="U11:V11"/>
    <mergeCell ref="G20:H20"/>
    <mergeCell ref="I20:J20"/>
    <mergeCell ref="K20:L20"/>
    <mergeCell ref="M20:N20"/>
    <mergeCell ref="Q20:R20"/>
    <mergeCell ref="S20:T20"/>
    <mergeCell ref="U20:V20"/>
    <mergeCell ref="W11:X11"/>
    <mergeCell ref="W20:X20"/>
    <mergeCell ref="Y20:Z20"/>
    <mergeCell ref="AA20:AB20"/>
    <mergeCell ref="AE20:AF20"/>
    <mergeCell ref="AG20:AH20"/>
    <mergeCell ref="AI20:AJ20"/>
    <mergeCell ref="AK20:AL20"/>
    <mergeCell ref="B27:D27"/>
    <mergeCell ref="E27:F27"/>
    <mergeCell ref="G27:H27"/>
    <mergeCell ref="I27:J27"/>
    <mergeCell ref="K27:L27"/>
    <mergeCell ref="M27:N27"/>
    <mergeCell ref="Q27:R27"/>
    <mergeCell ref="S27:T27"/>
    <mergeCell ref="U27:V27"/>
    <mergeCell ref="W27:X27"/>
    <mergeCell ref="Y27:Z27"/>
    <mergeCell ref="AA27:AB27"/>
    <mergeCell ref="AE27:AF27"/>
    <mergeCell ref="AG27:AH27"/>
    <mergeCell ref="AI27:AJ27"/>
    <mergeCell ref="AK27:AL27"/>
    <mergeCell ref="B20:D20"/>
    <mergeCell ref="E20:F20"/>
    <mergeCell ref="AN34:AP34"/>
    <mergeCell ref="B35:N35"/>
    <mergeCell ref="P35:AB35"/>
    <mergeCell ref="AD35:AL35"/>
    <mergeCell ref="B36:D36"/>
    <mergeCell ref="E36:F36"/>
    <mergeCell ref="G36:H36"/>
    <mergeCell ref="I36:J36"/>
    <mergeCell ref="K36:L36"/>
    <mergeCell ref="M36:N36"/>
    <mergeCell ref="Q36:R36"/>
    <mergeCell ref="S36:T36"/>
    <mergeCell ref="U36:V36"/>
    <mergeCell ref="W36:X36"/>
    <mergeCell ref="Y36:Z36"/>
    <mergeCell ref="AA36:AB36"/>
    <mergeCell ref="AE36:AF36"/>
    <mergeCell ref="AG36:AH36"/>
    <mergeCell ref="AI36:AJ36"/>
    <mergeCell ref="AK36:AL36"/>
    <mergeCell ref="Y43:Z43"/>
    <mergeCell ref="AA43:AB43"/>
    <mergeCell ref="AE43:AF43"/>
    <mergeCell ref="AG43:AH43"/>
    <mergeCell ref="AI43:AJ43"/>
    <mergeCell ref="AK43:AL43"/>
    <mergeCell ref="B51:N51"/>
    <mergeCell ref="P51:AB51"/>
    <mergeCell ref="AD51:AL51"/>
    <mergeCell ref="B43:D43"/>
    <mergeCell ref="E43:F43"/>
    <mergeCell ref="G43:H43"/>
    <mergeCell ref="I43:J43"/>
    <mergeCell ref="K43:L43"/>
    <mergeCell ref="M43:N43"/>
    <mergeCell ref="Q43:R43"/>
    <mergeCell ref="S43:T43"/>
    <mergeCell ref="U43:V43"/>
    <mergeCell ref="AN51:AP51"/>
    <mergeCell ref="B52:D52"/>
    <mergeCell ref="E52:F52"/>
    <mergeCell ref="G52:H52"/>
    <mergeCell ref="I52:J52"/>
    <mergeCell ref="K52:L52"/>
    <mergeCell ref="M52:N52"/>
    <mergeCell ref="Q52:R52"/>
    <mergeCell ref="S52:T52"/>
    <mergeCell ref="U52:V52"/>
    <mergeCell ref="W52:X52"/>
    <mergeCell ref="Y52:Z52"/>
    <mergeCell ref="AA52:AB52"/>
    <mergeCell ref="AE52:AF52"/>
    <mergeCell ref="AG52:AH52"/>
    <mergeCell ref="AI52:AJ52"/>
    <mergeCell ref="AK52:AL52"/>
    <mergeCell ref="B59:D59"/>
    <mergeCell ref="E59:F59"/>
    <mergeCell ref="G59:H59"/>
    <mergeCell ref="I59:J59"/>
    <mergeCell ref="K59:L59"/>
    <mergeCell ref="M59:N59"/>
    <mergeCell ref="Q59:R59"/>
    <mergeCell ref="S59:T59"/>
    <mergeCell ref="U59:V59"/>
    <mergeCell ref="W59:X59"/>
    <mergeCell ref="Y59:Z59"/>
    <mergeCell ref="AA59:AB59"/>
    <mergeCell ref="AE59:AF59"/>
    <mergeCell ref="AG59:AH59"/>
    <mergeCell ref="AI59:AJ59"/>
    <mergeCell ref="AK59:AL59"/>
    <mergeCell ref="P4:P5"/>
    <mergeCell ref="P11:P12"/>
    <mergeCell ref="P20:P21"/>
    <mergeCell ref="P27:P28"/>
    <mergeCell ref="P36:P37"/>
    <mergeCell ref="P43:P44"/>
    <mergeCell ref="P52:P53"/>
    <mergeCell ref="P59:P60"/>
    <mergeCell ref="AD4:AD5"/>
    <mergeCell ref="AD11:AD12"/>
    <mergeCell ref="AD20:AD21"/>
    <mergeCell ref="AD27:AD28"/>
    <mergeCell ref="AD36:AD37"/>
    <mergeCell ref="AD43:AD44"/>
    <mergeCell ref="AD52:AD53"/>
    <mergeCell ref="AD59:AD60"/>
    <mergeCell ref="W43:X43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9" scale="25"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V312"/>
  <sheetViews>
    <sheetView view="pageBreakPreview" topLeftCell="F1" zoomScale="91" zoomScaleNormal="85" workbookViewId="0">
      <pane ySplit="2" topLeftCell="A3" activePane="bottomLeft" state="frozen"/>
      <selection pane="bottomLeft" activeCell="B133" sqref="B133"/>
    </sheetView>
  </sheetViews>
  <sheetFormatPr defaultColWidth="12.28515625" defaultRowHeight="12.75"/>
  <cols>
    <col min="1" max="1" width="12.7109375" style="66" customWidth="1"/>
    <col min="2" max="2" width="13.140625" style="66" customWidth="1"/>
    <col min="3" max="3" width="13.42578125" style="66" customWidth="1"/>
    <col min="4" max="4" width="10.42578125" style="66" customWidth="1"/>
    <col min="5" max="5" width="15.7109375" style="66" customWidth="1"/>
    <col min="6" max="6" width="10.28515625" style="66" customWidth="1"/>
    <col min="7" max="7" width="13.85546875" style="66" customWidth="1"/>
    <col min="8" max="8" width="14.28515625" style="66" customWidth="1"/>
    <col min="9" max="9" width="11.28515625" style="66" customWidth="1"/>
    <col min="10" max="10" width="15.7109375" style="66" customWidth="1"/>
    <col min="11" max="11" width="20.140625" style="66" customWidth="1"/>
    <col min="12" max="12" width="15" style="66" customWidth="1"/>
    <col min="13" max="13" width="13.85546875" style="66" customWidth="1"/>
    <col min="14" max="14" width="19.7109375" style="66" customWidth="1"/>
    <col min="15" max="15" width="16" style="66" customWidth="1"/>
    <col min="16" max="16" width="21.85546875" style="66" customWidth="1"/>
    <col min="17" max="17" width="19.85546875" style="66" customWidth="1"/>
    <col min="18" max="18" width="22.42578125" style="66" customWidth="1"/>
    <col min="19" max="19" width="12.85546875" style="66" customWidth="1"/>
    <col min="20" max="20" width="13.28515625" style="65" customWidth="1"/>
    <col min="21" max="21" width="14.140625" style="66" customWidth="1"/>
    <col min="22" max="16384" width="12.28515625" style="66"/>
  </cols>
  <sheetData>
    <row r="1" spans="1:21">
      <c r="A1" s="2297">
        <v>45412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1582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 s="61" customFormat="1">
      <c r="A3" s="62">
        <v>1</v>
      </c>
      <c r="B3" s="75">
        <v>30044</v>
      </c>
      <c r="C3" s="62" t="s">
        <v>7</v>
      </c>
      <c r="D3" s="75">
        <v>504</v>
      </c>
      <c r="E3" s="62">
        <v>1</v>
      </c>
      <c r="F3" s="62">
        <v>36.5</v>
      </c>
      <c r="G3" s="62" t="s">
        <v>9</v>
      </c>
      <c r="H3" s="62"/>
      <c r="I3" s="95">
        <v>4270400</v>
      </c>
      <c r="J3" s="117" t="s">
        <v>14</v>
      </c>
      <c r="K3" s="62" t="s">
        <v>22</v>
      </c>
      <c r="L3" s="62" t="s">
        <v>583</v>
      </c>
      <c r="M3" s="62" t="s">
        <v>12</v>
      </c>
      <c r="N3" s="92">
        <v>45391</v>
      </c>
      <c r="O3" s="117"/>
      <c r="P3" s="62" t="s">
        <v>2004</v>
      </c>
      <c r="Q3" s="76" t="s">
        <v>67</v>
      </c>
      <c r="R3" s="76"/>
      <c r="S3" s="117" t="s">
        <v>14</v>
      </c>
      <c r="T3" s="117" t="s">
        <v>14</v>
      </c>
      <c r="U3" s="114">
        <f>sept20212223373839[[#This Row],[сумма]]-sept20212223373839[[#This Row],[Цема м2 отделки]]*sept20212223373839[[#This Row],[м2]]</f>
        <v>4270400</v>
      </c>
    </row>
    <row r="4" spans="1:21" s="61" customFormat="1">
      <c r="A4" s="62">
        <v>2</v>
      </c>
      <c r="B4" s="75">
        <v>30989</v>
      </c>
      <c r="C4" s="62" t="s">
        <v>7</v>
      </c>
      <c r="D4" s="75">
        <v>359</v>
      </c>
      <c r="E4" s="349">
        <v>1</v>
      </c>
      <c r="F4" s="62">
        <v>33.840000000000003</v>
      </c>
      <c r="G4" s="62" t="s">
        <v>25</v>
      </c>
      <c r="H4" s="348">
        <v>22000</v>
      </c>
      <c r="I4" s="352">
        <v>5110180</v>
      </c>
      <c r="J4" s="348" t="s">
        <v>14</v>
      </c>
      <c r="K4" s="62" t="s">
        <v>16</v>
      </c>
      <c r="L4" s="62" t="s">
        <v>583</v>
      </c>
      <c r="M4" s="62" t="s">
        <v>18</v>
      </c>
      <c r="N4" s="92">
        <v>45407</v>
      </c>
      <c r="O4" s="62"/>
      <c r="P4" s="62" t="s">
        <v>2005</v>
      </c>
      <c r="Q4" s="113" t="s">
        <v>67</v>
      </c>
      <c r="R4" s="113"/>
      <c r="S4" s="62" t="s">
        <v>14</v>
      </c>
      <c r="T4" s="62" t="s">
        <v>14</v>
      </c>
      <c r="U4" s="114">
        <f>sept20212223373839[[#This Row],[сумма]]-sept20212223373839[[#This Row],[Цема м2 отделки]]*sept20212223373839[[#This Row],[м2]]</f>
        <v>4365700</v>
      </c>
    </row>
    <row r="5" spans="1:21" s="61" customFormat="1" ht="15">
      <c r="A5" s="62">
        <v>3</v>
      </c>
      <c r="B5" s="75">
        <v>30401</v>
      </c>
      <c r="C5" s="62" t="s">
        <v>13</v>
      </c>
      <c r="D5" s="75">
        <v>419</v>
      </c>
      <c r="E5" s="62">
        <v>3</v>
      </c>
      <c r="F5" s="62">
        <v>79.44</v>
      </c>
      <c r="G5" s="62" t="s">
        <v>21</v>
      </c>
      <c r="H5" s="62"/>
      <c r="I5" s="95">
        <v>7773680</v>
      </c>
      <c r="J5" s="117" t="s">
        <v>20</v>
      </c>
      <c r="K5" s="62" t="s">
        <v>22</v>
      </c>
      <c r="L5" s="62" t="s">
        <v>583</v>
      </c>
      <c r="M5" s="62" t="s">
        <v>18</v>
      </c>
      <c r="N5" s="92">
        <v>45401</v>
      </c>
      <c r="O5" s="117"/>
      <c r="P5" s="547" t="s">
        <v>2006</v>
      </c>
      <c r="Q5" s="113" t="s">
        <v>67</v>
      </c>
      <c r="R5" s="113" t="s">
        <v>1777</v>
      </c>
      <c r="S5" s="117" t="s">
        <v>20</v>
      </c>
      <c r="T5" s="117" t="s">
        <v>20</v>
      </c>
      <c r="U5" s="114">
        <f>sept20212223373839[[#This Row],[сумма]]-sept20212223373839[[#This Row],[Цема м2 отделки]]*sept20212223373839[[#This Row],[м2]]</f>
        <v>7773680</v>
      </c>
    </row>
    <row r="6" spans="1:21" s="61" customFormat="1">
      <c r="A6" s="62">
        <v>4</v>
      </c>
      <c r="B6" s="74">
        <v>30833</v>
      </c>
      <c r="C6" s="62" t="s">
        <v>13</v>
      </c>
      <c r="D6" s="75">
        <v>426</v>
      </c>
      <c r="E6" s="62">
        <v>1</v>
      </c>
      <c r="F6" s="62">
        <v>38.299999999999997</v>
      </c>
      <c r="G6" s="117" t="s">
        <v>21</v>
      </c>
      <c r="H6" s="117">
        <v>7000</v>
      </c>
      <c r="I6" s="95">
        <v>4382612</v>
      </c>
      <c r="J6" s="117" t="s">
        <v>20</v>
      </c>
      <c r="K6" s="62" t="s">
        <v>16</v>
      </c>
      <c r="L6" s="62" t="s">
        <v>583</v>
      </c>
      <c r="M6" s="62" t="s">
        <v>18</v>
      </c>
      <c r="N6" s="92">
        <v>45393</v>
      </c>
      <c r="O6" s="117"/>
      <c r="P6" s="62" t="s">
        <v>2007</v>
      </c>
      <c r="Q6" s="113" t="s">
        <v>67</v>
      </c>
      <c r="R6" s="113"/>
      <c r="S6" s="117" t="s">
        <v>20</v>
      </c>
      <c r="T6" s="117" t="s">
        <v>20</v>
      </c>
      <c r="U6" s="114">
        <f>sept20212223373839[[#This Row],[сумма]]-sept20212223373839[[#This Row],[Цема м2 отделки]]*sept20212223373839[[#This Row],[м2]]</f>
        <v>4114512</v>
      </c>
    </row>
    <row r="7" spans="1:21" s="61" customFormat="1">
      <c r="A7" s="62">
        <v>5</v>
      </c>
      <c r="B7" s="75">
        <v>30395</v>
      </c>
      <c r="C7" s="62" t="s">
        <v>13</v>
      </c>
      <c r="D7" s="75">
        <v>73</v>
      </c>
      <c r="E7" s="62">
        <v>2</v>
      </c>
      <c r="F7" s="62">
        <v>59.09</v>
      </c>
      <c r="G7" s="62" t="s">
        <v>21</v>
      </c>
      <c r="H7" s="62">
        <v>7000</v>
      </c>
      <c r="I7" s="95">
        <v>5987342</v>
      </c>
      <c r="J7" s="117" t="s">
        <v>14</v>
      </c>
      <c r="K7" s="62" t="s">
        <v>22</v>
      </c>
      <c r="L7" s="62" t="s">
        <v>583</v>
      </c>
      <c r="M7" s="62" t="s">
        <v>18</v>
      </c>
      <c r="N7" s="92">
        <v>45395</v>
      </c>
      <c r="O7" s="117"/>
      <c r="P7" s="62" t="s">
        <v>2008</v>
      </c>
      <c r="Q7" s="76" t="s">
        <v>67</v>
      </c>
      <c r="R7" s="76"/>
      <c r="S7" s="117" t="s">
        <v>14</v>
      </c>
      <c r="T7" s="117" t="s">
        <v>14</v>
      </c>
      <c r="U7" s="114">
        <f>sept20212223373839[[#This Row],[сумма]]-sept20212223373839[[#This Row],[Цема м2 отделки]]*sept20212223373839[[#This Row],[м2]]</f>
        <v>5573712</v>
      </c>
    </row>
    <row r="8" spans="1:21" s="61" customFormat="1">
      <c r="A8" s="62">
        <v>6</v>
      </c>
      <c r="B8" s="81">
        <v>30730</v>
      </c>
      <c r="C8" s="62" t="s">
        <v>7</v>
      </c>
      <c r="D8" s="75">
        <v>263</v>
      </c>
      <c r="E8" s="349">
        <v>2</v>
      </c>
      <c r="F8" s="62">
        <v>67.95</v>
      </c>
      <c r="G8" s="62" t="s">
        <v>15</v>
      </c>
      <c r="H8" s="348">
        <v>7500</v>
      </c>
      <c r="I8" s="95">
        <v>6957625</v>
      </c>
      <c r="J8" s="117" t="s">
        <v>20</v>
      </c>
      <c r="K8" s="62" t="s">
        <v>16</v>
      </c>
      <c r="L8" s="117" t="s">
        <v>583</v>
      </c>
      <c r="M8" s="62" t="s">
        <v>18</v>
      </c>
      <c r="N8" s="92">
        <v>45384</v>
      </c>
      <c r="O8" s="62"/>
      <c r="P8" s="377" t="s">
        <v>2009</v>
      </c>
      <c r="Q8" s="113" t="s">
        <v>67</v>
      </c>
      <c r="R8" s="113"/>
      <c r="S8" s="117" t="s">
        <v>20</v>
      </c>
      <c r="T8" s="117" t="s">
        <v>14</v>
      </c>
      <c r="U8" s="114">
        <f>sept20212223373839[[#This Row],[сумма]]-sept20212223373839[[#This Row],[Цема м2 отделки]]*sept20212223373839[[#This Row],[м2]]</f>
        <v>6448000</v>
      </c>
    </row>
    <row r="9" spans="1:21" s="61" customFormat="1">
      <c r="A9" s="62">
        <v>7</v>
      </c>
      <c r="B9" s="75">
        <v>30317</v>
      </c>
      <c r="C9" s="62" t="s">
        <v>7</v>
      </c>
      <c r="D9" s="75">
        <v>390</v>
      </c>
      <c r="E9" s="349">
        <v>0</v>
      </c>
      <c r="F9" s="62">
        <v>36.450000000000003</v>
      </c>
      <c r="G9" s="76" t="s">
        <v>25</v>
      </c>
      <c r="H9" s="348">
        <v>22000</v>
      </c>
      <c r="I9" s="352">
        <v>5223800</v>
      </c>
      <c r="J9" s="348" t="s">
        <v>31</v>
      </c>
      <c r="K9" s="62" t="s">
        <v>22</v>
      </c>
      <c r="L9" s="62" t="s">
        <v>583</v>
      </c>
      <c r="M9" s="62" t="s">
        <v>18</v>
      </c>
      <c r="N9" s="92">
        <v>45398</v>
      </c>
      <c r="O9" s="62"/>
      <c r="P9" s="76" t="s">
        <v>2010</v>
      </c>
      <c r="Q9" s="76" t="s">
        <v>67</v>
      </c>
      <c r="R9" s="76"/>
      <c r="S9" s="62" t="s">
        <v>31</v>
      </c>
      <c r="T9" s="62" t="s">
        <v>14</v>
      </c>
      <c r="U9" s="114">
        <f>sept20212223373839[[#This Row],[сумма]]-sept20212223373839[[#This Row],[Цема м2 отделки]]*sept20212223373839[[#This Row],[м2]]</f>
        <v>4421900</v>
      </c>
    </row>
    <row r="10" spans="1:21" s="61" customFormat="1" ht="30" customHeight="1">
      <c r="A10" s="62">
        <v>8</v>
      </c>
      <c r="B10" s="75">
        <v>30716</v>
      </c>
      <c r="C10" s="62" t="s">
        <v>13</v>
      </c>
      <c r="D10" s="75">
        <v>33</v>
      </c>
      <c r="E10" s="62">
        <v>2</v>
      </c>
      <c r="F10" s="62">
        <v>58.16</v>
      </c>
      <c r="G10" s="62" t="s">
        <v>25</v>
      </c>
      <c r="H10" s="348">
        <v>20000</v>
      </c>
      <c r="I10" s="95">
        <v>6729000</v>
      </c>
      <c r="J10" s="117" t="s">
        <v>14</v>
      </c>
      <c r="K10" s="62" t="s">
        <v>22</v>
      </c>
      <c r="L10" s="62" t="s">
        <v>583</v>
      </c>
      <c r="M10" s="62" t="s">
        <v>12</v>
      </c>
      <c r="N10" s="539">
        <v>45409</v>
      </c>
      <c r="O10" s="62"/>
      <c r="P10" s="348" t="s">
        <v>2011</v>
      </c>
      <c r="Q10" s="113" t="s">
        <v>67</v>
      </c>
      <c r="R10" s="113" t="s">
        <v>1777</v>
      </c>
      <c r="S10" s="62" t="s">
        <v>14</v>
      </c>
      <c r="T10" s="62" t="s">
        <v>14</v>
      </c>
      <c r="U10" s="114">
        <f>sept20212223373839[[#This Row],[сумма]]-sept20212223373839[[#This Row],[Цема м2 отделки]]*sept20212223373839[[#This Row],[м2]]</f>
        <v>5565800</v>
      </c>
    </row>
    <row r="11" spans="1:21" s="61" customFormat="1" ht="13.5" customHeight="1">
      <c r="A11" s="62">
        <v>9</v>
      </c>
      <c r="B11" s="75">
        <v>30876</v>
      </c>
      <c r="C11" s="62" t="s">
        <v>13</v>
      </c>
      <c r="D11" s="75">
        <v>322</v>
      </c>
      <c r="E11" s="62">
        <v>2</v>
      </c>
      <c r="F11" s="62">
        <v>56.58</v>
      </c>
      <c r="G11" s="62" t="s">
        <v>25</v>
      </c>
      <c r="H11" s="62">
        <v>20000</v>
      </c>
      <c r="I11" s="95">
        <v>6463600</v>
      </c>
      <c r="J11" s="117" t="s">
        <v>20</v>
      </c>
      <c r="K11" s="62" t="s">
        <v>16</v>
      </c>
      <c r="L11" s="62" t="s">
        <v>583</v>
      </c>
      <c r="M11" s="62" t="s">
        <v>18</v>
      </c>
      <c r="N11" s="92">
        <v>45394</v>
      </c>
      <c r="O11" s="117"/>
      <c r="P11" s="62" t="s">
        <v>2012</v>
      </c>
      <c r="Q11" s="113" t="s">
        <v>67</v>
      </c>
      <c r="R11" s="76"/>
      <c r="S11" s="117" t="s">
        <v>20</v>
      </c>
      <c r="T11" s="117" t="s">
        <v>14</v>
      </c>
      <c r="U11" s="114">
        <f>sept20212223373839[[#This Row],[сумма]]-sept20212223373839[[#This Row],[Цема м2 отделки]]*sept20212223373839[[#This Row],[м2]]</f>
        <v>5332000</v>
      </c>
    </row>
    <row r="12" spans="1:21" s="61" customFormat="1">
      <c r="A12" s="62">
        <v>10</v>
      </c>
      <c r="B12" s="75">
        <v>31049</v>
      </c>
      <c r="C12" s="62" t="s">
        <v>7</v>
      </c>
      <c r="D12" s="75">
        <v>277</v>
      </c>
      <c r="E12" s="62">
        <v>2</v>
      </c>
      <c r="F12" s="62">
        <v>67.95</v>
      </c>
      <c r="G12" s="62" t="s">
        <v>9</v>
      </c>
      <c r="H12" s="62"/>
      <c r="I12" s="95">
        <v>6358000</v>
      </c>
      <c r="J12" s="117" t="s">
        <v>14</v>
      </c>
      <c r="K12" s="62" t="s">
        <v>16</v>
      </c>
      <c r="L12" s="62" t="s">
        <v>583</v>
      </c>
      <c r="M12" s="62" t="s">
        <v>18</v>
      </c>
      <c r="N12" s="92">
        <v>45393</v>
      </c>
      <c r="O12" s="117"/>
      <c r="P12" s="62" t="s">
        <v>2013</v>
      </c>
      <c r="Q12" s="113" t="s">
        <v>67</v>
      </c>
      <c r="R12" s="113"/>
      <c r="S12" s="117" t="s">
        <v>14</v>
      </c>
      <c r="T12" s="117" t="s">
        <v>14</v>
      </c>
      <c r="U12" s="114">
        <f>sept20212223373839[[#This Row],[сумма]]-sept20212223373839[[#This Row],[Цема м2 отделки]]*sept20212223373839[[#This Row],[м2]]</f>
        <v>6358000</v>
      </c>
    </row>
    <row r="13" spans="1:21" s="61" customFormat="1">
      <c r="A13" s="62">
        <v>11</v>
      </c>
      <c r="B13" s="74">
        <v>30710</v>
      </c>
      <c r="C13" s="62" t="s">
        <v>13</v>
      </c>
      <c r="D13" s="75">
        <v>287</v>
      </c>
      <c r="E13" s="62">
        <v>2</v>
      </c>
      <c r="F13" s="62">
        <v>56.58</v>
      </c>
      <c r="G13" s="76" t="s">
        <v>25</v>
      </c>
      <c r="H13" s="76">
        <v>20000</v>
      </c>
      <c r="I13" s="91">
        <v>6515800</v>
      </c>
      <c r="J13" s="117" t="s">
        <v>20</v>
      </c>
      <c r="K13" s="62" t="s">
        <v>16</v>
      </c>
      <c r="L13" s="62" t="s">
        <v>583</v>
      </c>
      <c r="M13" s="62" t="s">
        <v>18</v>
      </c>
      <c r="N13" s="92">
        <v>45393</v>
      </c>
      <c r="O13" s="117"/>
      <c r="P13" s="76" t="s">
        <v>2014</v>
      </c>
      <c r="Q13" s="113" t="s">
        <v>67</v>
      </c>
      <c r="R13" s="113"/>
      <c r="S13" s="117" t="s">
        <v>20</v>
      </c>
      <c r="T13" s="117" t="s">
        <v>14</v>
      </c>
      <c r="U13" s="114">
        <f>sept20212223373839[[#This Row],[сумма]]-sept20212223373839[[#This Row],[Цема м2 отделки]]*sept20212223373839[[#This Row],[м2]]</f>
        <v>5384200</v>
      </c>
    </row>
    <row r="14" spans="1:21" s="61" customFormat="1">
      <c r="A14" s="62">
        <v>12</v>
      </c>
      <c r="B14" s="75">
        <v>17961</v>
      </c>
      <c r="C14" s="62" t="s">
        <v>13</v>
      </c>
      <c r="D14" s="75">
        <v>156</v>
      </c>
      <c r="E14" s="62">
        <v>2</v>
      </c>
      <c r="F14" s="62">
        <v>58.31</v>
      </c>
      <c r="G14" s="62" t="s">
        <v>9</v>
      </c>
      <c r="H14" s="62"/>
      <c r="I14" s="95">
        <v>5382112</v>
      </c>
      <c r="J14" s="117" t="s">
        <v>20</v>
      </c>
      <c r="K14" s="62" t="s">
        <v>22</v>
      </c>
      <c r="L14" s="62" t="s">
        <v>583</v>
      </c>
      <c r="M14" s="62" t="s">
        <v>18</v>
      </c>
      <c r="N14" s="92">
        <v>45401</v>
      </c>
      <c r="O14" s="117"/>
      <c r="P14" s="76" t="s">
        <v>2015</v>
      </c>
      <c r="Q14" s="113" t="s">
        <v>67</v>
      </c>
      <c r="R14" s="113"/>
      <c r="S14" s="117" t="s">
        <v>20</v>
      </c>
      <c r="T14" s="117" t="s">
        <v>20</v>
      </c>
      <c r="U14" s="114">
        <f>sept20212223373839[[#This Row],[сумма]]-sept20212223373839[[#This Row],[Цема м2 отделки]]*sept20212223373839[[#This Row],[м2]]</f>
        <v>5382112</v>
      </c>
    </row>
    <row r="15" spans="1:21" s="61" customFormat="1">
      <c r="A15" s="62">
        <v>13</v>
      </c>
      <c r="B15" s="75">
        <v>31029</v>
      </c>
      <c r="C15" s="62" t="s">
        <v>13</v>
      </c>
      <c r="D15" s="75">
        <v>416</v>
      </c>
      <c r="E15" s="62">
        <v>2</v>
      </c>
      <c r="F15" s="62">
        <v>58.24</v>
      </c>
      <c r="G15" s="62" t="s">
        <v>25</v>
      </c>
      <c r="H15" s="62">
        <v>20000</v>
      </c>
      <c r="I15" s="95">
        <v>6546500</v>
      </c>
      <c r="J15" s="117" t="s">
        <v>14</v>
      </c>
      <c r="K15" s="62" t="s">
        <v>16</v>
      </c>
      <c r="L15" s="62" t="s">
        <v>583</v>
      </c>
      <c r="M15" s="62" t="s">
        <v>18</v>
      </c>
      <c r="N15" s="92">
        <v>45397</v>
      </c>
      <c r="O15" s="117"/>
      <c r="P15" s="62" t="s">
        <v>2016</v>
      </c>
      <c r="Q15" s="76" t="s">
        <v>67</v>
      </c>
      <c r="R15" s="113"/>
      <c r="S15" s="117" t="s">
        <v>14</v>
      </c>
      <c r="T15" s="117" t="s">
        <v>14</v>
      </c>
      <c r="U15" s="114">
        <f>sept20212223373839[[#This Row],[сумма]]-sept20212223373839[[#This Row],[Цема м2 отделки]]*sept20212223373839[[#This Row],[м2]]</f>
        <v>5381700</v>
      </c>
    </row>
    <row r="16" spans="1:21" s="61" customFormat="1">
      <c r="A16" s="62">
        <v>14</v>
      </c>
      <c r="B16" s="75">
        <v>31047</v>
      </c>
      <c r="C16" s="62" t="s">
        <v>7</v>
      </c>
      <c r="D16" s="75">
        <v>154</v>
      </c>
      <c r="E16" s="62">
        <v>2</v>
      </c>
      <c r="F16" s="62">
        <v>68.75</v>
      </c>
      <c r="G16" s="62" t="s">
        <v>9</v>
      </c>
      <c r="H16" s="62"/>
      <c r="I16" s="95">
        <v>6823400</v>
      </c>
      <c r="J16" s="117" t="s">
        <v>14</v>
      </c>
      <c r="K16" s="62" t="s">
        <v>16</v>
      </c>
      <c r="L16" s="62" t="s">
        <v>583</v>
      </c>
      <c r="M16" s="62" t="s">
        <v>12</v>
      </c>
      <c r="N16" s="92">
        <v>45406</v>
      </c>
      <c r="O16" s="117"/>
      <c r="P16" s="62" t="s">
        <v>2017</v>
      </c>
      <c r="Q16" s="113" t="s">
        <v>67</v>
      </c>
      <c r="R16" s="113"/>
      <c r="S16" s="117" t="s">
        <v>14</v>
      </c>
      <c r="T16" s="117" t="s">
        <v>20</v>
      </c>
      <c r="U16" s="114">
        <f>sept20212223373839[[#This Row],[сумма]]-sept20212223373839[[#This Row],[Цема м2 отделки]]*sept20212223373839[[#This Row],[м2]]</f>
        <v>6823400</v>
      </c>
    </row>
    <row r="17" spans="1:21" s="61" customFormat="1">
      <c r="A17" s="62">
        <v>15</v>
      </c>
      <c r="B17" s="74">
        <v>31120</v>
      </c>
      <c r="C17" s="62" t="s">
        <v>13</v>
      </c>
      <c r="D17" s="75">
        <v>447</v>
      </c>
      <c r="E17" s="62">
        <v>0</v>
      </c>
      <c r="F17" s="62">
        <v>24.5</v>
      </c>
      <c r="G17" s="62" t="s">
        <v>21</v>
      </c>
      <c r="H17" s="62">
        <v>7000</v>
      </c>
      <c r="I17" s="95">
        <v>3045700</v>
      </c>
      <c r="J17" s="62" t="s">
        <v>1892</v>
      </c>
      <c r="K17" s="62" t="s">
        <v>16</v>
      </c>
      <c r="L17" s="371" t="s">
        <v>583</v>
      </c>
      <c r="M17" s="62" t="s">
        <v>18</v>
      </c>
      <c r="N17" s="92">
        <v>45406</v>
      </c>
      <c r="O17" s="117"/>
      <c r="P17" s="62" t="s">
        <v>2018</v>
      </c>
      <c r="Q17" s="113" t="s">
        <v>67</v>
      </c>
      <c r="R17" s="113"/>
      <c r="S17" s="62" t="s">
        <v>1892</v>
      </c>
      <c r="T17" s="62" t="s">
        <v>1892</v>
      </c>
      <c r="U17" s="114">
        <f>sept20212223373839[[#This Row],[сумма]]-sept20212223373839[[#This Row],[Цема м2 отделки]]*sept20212223373839[[#This Row],[м2]]</f>
        <v>2874200</v>
      </c>
    </row>
    <row r="18" spans="1:21" s="61" customFormat="1">
      <c r="A18" s="62">
        <v>16</v>
      </c>
      <c r="B18" s="74">
        <v>24018</v>
      </c>
      <c r="C18" s="62" t="s">
        <v>13</v>
      </c>
      <c r="D18" s="75">
        <v>526</v>
      </c>
      <c r="E18" s="62">
        <v>1</v>
      </c>
      <c r="F18" s="62">
        <v>43.21</v>
      </c>
      <c r="G18" s="76" t="s">
        <v>25</v>
      </c>
      <c r="H18" s="76">
        <v>20000</v>
      </c>
      <c r="I18" s="91">
        <v>5407412</v>
      </c>
      <c r="J18" s="117" t="s">
        <v>31</v>
      </c>
      <c r="K18" s="62" t="s">
        <v>16</v>
      </c>
      <c r="L18" s="62" t="s">
        <v>583</v>
      </c>
      <c r="M18" s="62" t="s">
        <v>18</v>
      </c>
      <c r="N18" s="92">
        <v>45393</v>
      </c>
      <c r="O18" s="117"/>
      <c r="P18" s="76" t="s">
        <v>2019</v>
      </c>
      <c r="Q18" s="113" t="s">
        <v>67</v>
      </c>
      <c r="R18" s="113"/>
      <c r="S18" s="117" t="s">
        <v>31</v>
      </c>
      <c r="T18" s="117" t="s">
        <v>8</v>
      </c>
      <c r="U18" s="114">
        <f>sept20212223373839[[#This Row],[сумма]]-sept20212223373839[[#This Row],[Цема м2 отделки]]*sept20212223373839[[#This Row],[м2]]</f>
        <v>4543212</v>
      </c>
    </row>
    <row r="19" spans="1:21" s="61" customFormat="1" ht="14.25" customHeight="1">
      <c r="A19" s="62">
        <v>17</v>
      </c>
      <c r="B19" s="75">
        <v>30706</v>
      </c>
      <c r="C19" s="62" t="s">
        <v>13</v>
      </c>
      <c r="D19" s="75">
        <v>88</v>
      </c>
      <c r="E19" s="62">
        <v>2</v>
      </c>
      <c r="F19" s="62">
        <v>62.17</v>
      </c>
      <c r="G19" s="62" t="s">
        <v>9</v>
      </c>
      <c r="H19" s="62"/>
      <c r="I19" s="95">
        <v>5868812</v>
      </c>
      <c r="J19" s="117" t="s">
        <v>8</v>
      </c>
      <c r="K19" s="62" t="s">
        <v>16</v>
      </c>
      <c r="L19" s="62" t="s">
        <v>583</v>
      </c>
      <c r="M19" s="62" t="s">
        <v>12</v>
      </c>
      <c r="N19" s="92">
        <v>45401</v>
      </c>
      <c r="O19" s="117"/>
      <c r="P19" s="76" t="s">
        <v>2020</v>
      </c>
      <c r="Q19" s="113" t="s">
        <v>67</v>
      </c>
      <c r="R19" s="113" t="s">
        <v>124</v>
      </c>
      <c r="S19" s="117" t="s">
        <v>8</v>
      </c>
      <c r="T19" s="117" t="s">
        <v>8</v>
      </c>
      <c r="U19" s="114">
        <f>sept20212223373839[[#This Row],[сумма]]-sept20212223373839[[#This Row],[Цема м2 отделки]]*sept20212223373839[[#This Row],[м2]]</f>
        <v>5868812</v>
      </c>
    </row>
    <row r="20" spans="1:21" s="61" customFormat="1">
      <c r="A20" s="62">
        <v>18</v>
      </c>
      <c r="B20" s="75">
        <v>30881</v>
      </c>
      <c r="C20" s="62" t="s">
        <v>13</v>
      </c>
      <c r="D20" s="75">
        <v>164</v>
      </c>
      <c r="E20" s="62">
        <v>1</v>
      </c>
      <c r="F20" s="62">
        <v>37.86</v>
      </c>
      <c r="G20" s="62" t="s">
        <v>25</v>
      </c>
      <c r="H20" s="62">
        <v>20000</v>
      </c>
      <c r="I20" s="95">
        <v>5047012</v>
      </c>
      <c r="J20" s="117" t="s">
        <v>8</v>
      </c>
      <c r="K20" s="62" t="s">
        <v>16</v>
      </c>
      <c r="L20" s="62" t="s">
        <v>583</v>
      </c>
      <c r="M20" s="62" t="s">
        <v>18</v>
      </c>
      <c r="N20" s="92">
        <v>45397</v>
      </c>
      <c r="O20" s="117"/>
      <c r="P20" s="76" t="s">
        <v>2021</v>
      </c>
      <c r="Q20" s="113" t="s">
        <v>67</v>
      </c>
      <c r="R20" s="113" t="s">
        <v>2022</v>
      </c>
      <c r="S20" s="117" t="s">
        <v>8</v>
      </c>
      <c r="T20" s="117" t="s">
        <v>20</v>
      </c>
      <c r="U20" s="114">
        <f>sept20212223373839[[#This Row],[сумма]]-sept20212223373839[[#This Row],[Цема м2 отделки]]*sept20212223373839[[#This Row],[м2]]</f>
        <v>4289812</v>
      </c>
    </row>
    <row r="21" spans="1:21" s="61" customFormat="1">
      <c r="A21" s="62">
        <v>19</v>
      </c>
      <c r="B21" s="74">
        <v>30814</v>
      </c>
      <c r="C21" s="62" t="s">
        <v>7</v>
      </c>
      <c r="D21" s="75">
        <v>438</v>
      </c>
      <c r="E21" s="62">
        <v>1</v>
      </c>
      <c r="F21" s="62">
        <v>39.74</v>
      </c>
      <c r="G21" s="62" t="s">
        <v>15</v>
      </c>
      <c r="H21" s="62">
        <v>7500</v>
      </c>
      <c r="I21" s="95">
        <v>4902950</v>
      </c>
      <c r="J21" s="117" t="s">
        <v>8</v>
      </c>
      <c r="K21" s="62" t="s">
        <v>22</v>
      </c>
      <c r="L21" s="62" t="s">
        <v>583</v>
      </c>
      <c r="M21" s="62" t="s">
        <v>12</v>
      </c>
      <c r="N21" s="92">
        <v>45405</v>
      </c>
      <c r="O21" s="117"/>
      <c r="P21" s="76" t="s">
        <v>2023</v>
      </c>
      <c r="Q21" s="113" t="s">
        <v>67</v>
      </c>
      <c r="R21" s="113" t="s">
        <v>124</v>
      </c>
      <c r="S21" s="117" t="s">
        <v>8</v>
      </c>
      <c r="T21" s="117" t="s">
        <v>8</v>
      </c>
      <c r="U21" s="114">
        <f>sept20212223373839[[#This Row],[сумма]]-sept20212223373839[[#This Row],[Цема м2 отделки]]*sept20212223373839[[#This Row],[м2]]</f>
        <v>4604900</v>
      </c>
    </row>
    <row r="22" spans="1:21" s="61" customFormat="1">
      <c r="A22" s="62">
        <v>20</v>
      </c>
      <c r="B22" s="75">
        <v>31028</v>
      </c>
      <c r="C22" s="62" t="s">
        <v>13</v>
      </c>
      <c r="D22" s="75">
        <v>483</v>
      </c>
      <c r="E22" s="62">
        <v>3</v>
      </c>
      <c r="F22" s="62">
        <v>79.44</v>
      </c>
      <c r="G22" s="62" t="s">
        <v>9</v>
      </c>
      <c r="H22" s="62"/>
      <c r="I22" s="95">
        <v>7285200</v>
      </c>
      <c r="J22" s="117" t="s">
        <v>14</v>
      </c>
      <c r="K22" s="62" t="s">
        <v>22</v>
      </c>
      <c r="L22" s="62" t="s">
        <v>583</v>
      </c>
      <c r="M22" s="62" t="s">
        <v>18</v>
      </c>
      <c r="N22" s="92">
        <v>45408</v>
      </c>
      <c r="O22" s="117"/>
      <c r="P22" s="62" t="s">
        <v>2024</v>
      </c>
      <c r="Q22" s="76" t="s">
        <v>67</v>
      </c>
      <c r="R22" s="76" t="s">
        <v>2025</v>
      </c>
      <c r="S22" s="117" t="s">
        <v>14</v>
      </c>
      <c r="T22" s="117" t="s">
        <v>20</v>
      </c>
      <c r="U22" s="114">
        <f>sept20212223373839[[#This Row],[сумма]]-sept20212223373839[[#This Row],[Цема м2 отделки]]*sept20212223373839[[#This Row],[м2]]</f>
        <v>7285200</v>
      </c>
    </row>
    <row r="23" spans="1:21" s="61" customFormat="1">
      <c r="A23" s="62">
        <v>21</v>
      </c>
      <c r="B23" s="75">
        <v>23425</v>
      </c>
      <c r="C23" s="62" t="s">
        <v>13</v>
      </c>
      <c r="D23" s="75">
        <v>226</v>
      </c>
      <c r="E23" s="62">
        <v>2</v>
      </c>
      <c r="F23" s="62">
        <v>47.74</v>
      </c>
      <c r="G23" s="62" t="s">
        <v>9</v>
      </c>
      <c r="H23" s="62"/>
      <c r="I23" s="95">
        <v>5299692</v>
      </c>
      <c r="J23" s="117" t="s">
        <v>1892</v>
      </c>
      <c r="K23" s="62" t="s">
        <v>16</v>
      </c>
      <c r="L23" s="62" t="s">
        <v>583</v>
      </c>
      <c r="M23" s="62" t="s">
        <v>18</v>
      </c>
      <c r="N23" s="92">
        <v>45404</v>
      </c>
      <c r="O23" s="117"/>
      <c r="P23" s="62" t="s">
        <v>2026</v>
      </c>
      <c r="Q23" s="113" t="s">
        <v>67</v>
      </c>
      <c r="R23" s="113" t="s">
        <v>2027</v>
      </c>
      <c r="S23" s="117" t="s">
        <v>1892</v>
      </c>
      <c r="T23" s="117" t="s">
        <v>1892</v>
      </c>
      <c r="U23" s="114">
        <f>sept20212223373839[[#This Row],[сумма]]-sept20212223373839[[#This Row],[Цема м2 отделки]]*sept20212223373839[[#This Row],[м2]]</f>
        <v>5299692</v>
      </c>
    </row>
    <row r="24" spans="1:21" s="61" customFormat="1">
      <c r="A24" s="62">
        <v>22</v>
      </c>
      <c r="B24" s="75">
        <v>31235</v>
      </c>
      <c r="C24" s="62" t="s">
        <v>13</v>
      </c>
      <c r="D24" s="75">
        <v>515</v>
      </c>
      <c r="E24" s="62">
        <v>3</v>
      </c>
      <c r="F24" s="62">
        <v>79.44</v>
      </c>
      <c r="G24" s="62" t="s">
        <v>9</v>
      </c>
      <c r="H24" s="62"/>
      <c r="I24" s="95">
        <v>7149900</v>
      </c>
      <c r="J24" s="117" t="s">
        <v>14</v>
      </c>
      <c r="K24" s="62" t="s">
        <v>22</v>
      </c>
      <c r="L24" s="62" t="s">
        <v>583</v>
      </c>
      <c r="M24" s="62" t="s">
        <v>18</v>
      </c>
      <c r="N24" s="92">
        <v>45412</v>
      </c>
      <c r="O24" s="62"/>
      <c r="P24" s="62" t="s">
        <v>2028</v>
      </c>
      <c r="Q24" s="113" t="s">
        <v>67</v>
      </c>
      <c r="R24" s="113" t="s">
        <v>2029</v>
      </c>
      <c r="S24" s="117" t="s">
        <v>14</v>
      </c>
      <c r="T24" s="117" t="s">
        <v>14</v>
      </c>
      <c r="U24" s="114">
        <f>sept20212223373839[[#This Row],[сумма]]-sept20212223373839[[#This Row],[Цема м2 отделки]]*sept20212223373839[[#This Row],[м2]]</f>
        <v>7149900</v>
      </c>
    </row>
    <row r="25" spans="1:21" s="61" customFormat="1">
      <c r="A25" s="62">
        <v>23</v>
      </c>
      <c r="B25" s="75">
        <v>31233</v>
      </c>
      <c r="C25" s="62" t="s">
        <v>7</v>
      </c>
      <c r="D25" s="75">
        <v>423</v>
      </c>
      <c r="E25" s="62">
        <v>1</v>
      </c>
      <c r="F25" s="62">
        <v>36.5</v>
      </c>
      <c r="G25" s="62" t="s">
        <v>25</v>
      </c>
      <c r="H25" s="62">
        <v>22000</v>
      </c>
      <c r="I25" s="95">
        <v>5158800</v>
      </c>
      <c r="J25" s="117" t="s">
        <v>14</v>
      </c>
      <c r="K25" s="62" t="s">
        <v>22</v>
      </c>
      <c r="L25" s="62" t="s">
        <v>583</v>
      </c>
      <c r="M25" s="62" t="s">
        <v>18</v>
      </c>
      <c r="N25" s="92">
        <v>45405</v>
      </c>
      <c r="O25" s="117"/>
      <c r="P25" s="62" t="s">
        <v>2030</v>
      </c>
      <c r="Q25" s="113" t="s">
        <v>67</v>
      </c>
      <c r="R25" s="113" t="s">
        <v>2031</v>
      </c>
      <c r="S25" s="117" t="s">
        <v>14</v>
      </c>
      <c r="T25" s="117" t="s">
        <v>14</v>
      </c>
      <c r="U25" s="114">
        <f>sept20212223373839[[#This Row],[сумма]]-sept20212223373839[[#This Row],[Цема м2 отделки]]*sept20212223373839[[#This Row],[м2]]</f>
        <v>4355800</v>
      </c>
    </row>
    <row r="26" spans="1:21" s="61" customFormat="1">
      <c r="A26" s="62">
        <v>24</v>
      </c>
      <c r="B26" s="75">
        <v>31242</v>
      </c>
      <c r="C26" s="62" t="s">
        <v>13</v>
      </c>
      <c r="D26" s="75">
        <v>488</v>
      </c>
      <c r="E26" s="349">
        <v>2</v>
      </c>
      <c r="F26" s="62">
        <v>58.24</v>
      </c>
      <c r="G26" s="62" t="s">
        <v>9</v>
      </c>
      <c r="H26" s="348"/>
      <c r="I26" s="352">
        <v>5437400</v>
      </c>
      <c r="J26" s="348" t="s">
        <v>1892</v>
      </c>
      <c r="K26" s="62" t="s">
        <v>16</v>
      </c>
      <c r="L26" s="62" t="s">
        <v>583</v>
      </c>
      <c r="M26" s="62" t="s">
        <v>18</v>
      </c>
      <c r="N26" s="92">
        <v>45407</v>
      </c>
      <c r="O26" s="62"/>
      <c r="P26" s="62" t="s">
        <v>2032</v>
      </c>
      <c r="Q26" s="113" t="s">
        <v>67</v>
      </c>
      <c r="R26" s="113" t="s">
        <v>2031</v>
      </c>
      <c r="S26" s="62" t="s">
        <v>1892</v>
      </c>
      <c r="T26" s="62" t="s">
        <v>1892</v>
      </c>
      <c r="U26" s="114">
        <f>sept20212223373839[[#This Row],[сумма]]-sept20212223373839[[#This Row],[Цема м2 отделки]]*sept20212223373839[[#This Row],[м2]]</f>
        <v>5437400</v>
      </c>
    </row>
    <row r="27" spans="1:21" s="61" customFormat="1">
      <c r="A27" s="62">
        <v>25</v>
      </c>
      <c r="B27" s="75">
        <v>31179</v>
      </c>
      <c r="C27" s="62" t="s">
        <v>13</v>
      </c>
      <c r="D27" s="75">
        <v>227</v>
      </c>
      <c r="E27" s="349">
        <v>3</v>
      </c>
      <c r="F27" s="62">
        <v>80.97</v>
      </c>
      <c r="G27" s="62" t="s">
        <v>9</v>
      </c>
      <c r="H27" s="348"/>
      <c r="I27" s="352">
        <v>7491800</v>
      </c>
      <c r="J27" s="348" t="s">
        <v>31</v>
      </c>
      <c r="K27" s="62" t="s">
        <v>22</v>
      </c>
      <c r="L27" s="117" t="s">
        <v>583</v>
      </c>
      <c r="M27" s="62" t="s">
        <v>18</v>
      </c>
      <c r="N27" s="92">
        <v>45402</v>
      </c>
      <c r="O27" s="62"/>
      <c r="P27" s="117" t="s">
        <v>2033</v>
      </c>
      <c r="Q27" s="377" t="s">
        <v>67</v>
      </c>
      <c r="R27" s="76"/>
      <c r="S27" s="62" t="s">
        <v>31</v>
      </c>
      <c r="T27" s="62" t="s">
        <v>20</v>
      </c>
      <c r="U27" s="114">
        <f>sept20212223373839[[#This Row],[сумма]]-sept20212223373839[[#This Row],[Цема м2 отделки]]*sept20212223373839[[#This Row],[м2]]</f>
        <v>7491800</v>
      </c>
    </row>
    <row r="28" spans="1:21" s="61" customFormat="1">
      <c r="A28" s="62">
        <v>26</v>
      </c>
      <c r="B28" s="74">
        <v>31342</v>
      </c>
      <c r="C28" s="62" t="s">
        <v>13</v>
      </c>
      <c r="D28" s="75">
        <v>388</v>
      </c>
      <c r="E28" s="62">
        <v>3</v>
      </c>
      <c r="F28" s="62">
        <v>80.97</v>
      </c>
      <c r="G28" s="62" t="s">
        <v>25</v>
      </c>
      <c r="H28" s="62">
        <v>20000</v>
      </c>
      <c r="I28" s="95">
        <v>9253600</v>
      </c>
      <c r="J28" s="117" t="s">
        <v>14</v>
      </c>
      <c r="K28" s="62" t="s">
        <v>22</v>
      </c>
      <c r="L28" s="62" t="s">
        <v>583</v>
      </c>
      <c r="M28" s="62" t="s">
        <v>18</v>
      </c>
      <c r="N28" s="92">
        <v>45407</v>
      </c>
      <c r="O28" s="117"/>
      <c r="P28" s="62" t="s">
        <v>2034</v>
      </c>
      <c r="Q28" s="76" t="s">
        <v>67</v>
      </c>
      <c r="R28" s="76" t="s">
        <v>1777</v>
      </c>
      <c r="S28" s="117" t="s">
        <v>14</v>
      </c>
      <c r="T28" s="117" t="s">
        <v>14</v>
      </c>
      <c r="U28" s="114">
        <f>sept20212223373839[[#This Row],[сумма]]-sept20212223373839[[#This Row],[Цема м2 отделки]]*sept20212223373839[[#This Row],[м2]]</f>
        <v>7634200</v>
      </c>
    </row>
    <row r="29" spans="1:21" s="61" customFormat="1">
      <c r="A29" s="62">
        <v>27</v>
      </c>
      <c r="B29" s="74">
        <v>31277</v>
      </c>
      <c r="C29" s="62" t="s">
        <v>13</v>
      </c>
      <c r="D29" s="75">
        <v>62</v>
      </c>
      <c r="E29" s="62">
        <v>1</v>
      </c>
      <c r="F29" s="62">
        <v>42.75</v>
      </c>
      <c r="G29" s="62" t="s">
        <v>25</v>
      </c>
      <c r="H29" s="62">
        <v>20000</v>
      </c>
      <c r="I29" s="95">
        <v>5345906</v>
      </c>
      <c r="J29" s="117" t="s">
        <v>8</v>
      </c>
      <c r="K29" s="62" t="s">
        <v>22</v>
      </c>
      <c r="L29" s="62" t="s">
        <v>583</v>
      </c>
      <c r="M29" s="62" t="s">
        <v>18</v>
      </c>
      <c r="N29" s="92">
        <v>45412</v>
      </c>
      <c r="O29" s="117"/>
      <c r="P29" s="62" t="s">
        <v>2035</v>
      </c>
      <c r="Q29" s="113" t="s">
        <v>67</v>
      </c>
      <c r="R29" s="113"/>
      <c r="S29" s="117" t="s">
        <v>8</v>
      </c>
      <c r="T29" s="117" t="s">
        <v>8</v>
      </c>
      <c r="U29" s="114">
        <f>sept20212223373839[[#This Row],[сумма]]-sept20212223373839[[#This Row],[Цема м2 отделки]]*sept20212223373839[[#This Row],[м2]]</f>
        <v>4490906</v>
      </c>
    </row>
    <row r="30" spans="1:21">
      <c r="A30" s="65"/>
      <c r="B30" s="79"/>
      <c r="C30" s="65"/>
      <c r="D30" s="79"/>
      <c r="E30" s="65"/>
      <c r="F30" s="65"/>
      <c r="G30" s="65"/>
      <c r="H30" s="65"/>
      <c r="I30" s="93"/>
      <c r="J30" s="80"/>
      <c r="K30" s="65"/>
      <c r="L30" s="65"/>
      <c r="M30" s="65"/>
      <c r="N30" s="98"/>
      <c r="O30" s="80"/>
      <c r="P30" s="65"/>
      <c r="Q30" s="86"/>
      <c r="R30" s="86"/>
      <c r="S30" s="80"/>
      <c r="T30" s="80"/>
      <c r="U30" s="115">
        <f>sept20212223373839[[#This Row],[сумма]]-sept20212223373839[[#This Row],[Цема м2 отделки]]*sept20212223373839[[#This Row],[м2]]</f>
        <v>0</v>
      </c>
    </row>
    <row r="31" spans="1:21">
      <c r="A31" s="65"/>
      <c r="B31" s="79"/>
      <c r="C31" s="65"/>
      <c r="D31" s="79"/>
      <c r="E31" s="65"/>
      <c r="F31" s="65"/>
      <c r="G31" s="65"/>
      <c r="H31" s="65"/>
      <c r="I31" s="93"/>
      <c r="J31" s="80"/>
      <c r="K31" s="65"/>
      <c r="L31" s="65"/>
      <c r="M31" s="65"/>
      <c r="N31" s="98"/>
      <c r="O31" s="80"/>
      <c r="P31" s="65"/>
      <c r="Q31" s="118"/>
      <c r="R31" s="118"/>
      <c r="S31" s="80"/>
      <c r="T31" s="80"/>
      <c r="U31" s="115">
        <f>sept20212223373839[[#This Row],[сумма]]-sept20212223373839[[#This Row],[Цема м2 отделки]]*sept20212223373839[[#This Row],[м2]]</f>
        <v>0</v>
      </c>
    </row>
    <row r="32" spans="1:21">
      <c r="A32" s="65"/>
      <c r="B32" s="79"/>
      <c r="C32" s="65"/>
      <c r="D32" s="79"/>
      <c r="E32" s="87"/>
      <c r="F32" s="79"/>
      <c r="G32" s="65"/>
      <c r="H32" s="72"/>
      <c r="I32" s="93"/>
      <c r="J32" s="65"/>
      <c r="K32" s="65"/>
      <c r="L32" s="65"/>
      <c r="M32" s="65"/>
      <c r="N32" s="98"/>
      <c r="O32" s="65"/>
      <c r="P32" s="65"/>
      <c r="Q32" s="118"/>
      <c r="R32" s="118"/>
      <c r="S32" s="65"/>
      <c r="U32" s="115">
        <f>sept20212223373839[[#This Row],[сумма]]-sept20212223373839[[#This Row],[Цема м2 отделки]]*sept20212223373839[[#This Row],[м2]]</f>
        <v>0</v>
      </c>
    </row>
    <row r="33" spans="1:22">
      <c r="A33" s="65"/>
      <c r="B33" s="79"/>
      <c r="C33" s="65"/>
      <c r="D33" s="79"/>
      <c r="E33" s="65"/>
      <c r="F33" s="65"/>
      <c r="G33" s="65"/>
      <c r="H33" s="65"/>
      <c r="I33" s="106"/>
      <c r="J33" s="80"/>
      <c r="K33" s="65"/>
      <c r="L33" s="65"/>
      <c r="M33" s="65"/>
      <c r="N33" s="98"/>
      <c r="O33" s="80"/>
      <c r="P33" s="65"/>
      <c r="Q33" s="118"/>
      <c r="R33" s="118"/>
      <c r="S33" s="80"/>
      <c r="T33" s="80"/>
      <c r="U33" s="115">
        <f>sept20212223373839[[#This Row],[сумма]]-sept20212223373839[[#This Row],[Цема м2 отделки]]*sept20212223373839[[#This Row],[м2]]</f>
        <v>0</v>
      </c>
    </row>
    <row r="34" spans="1:22">
      <c r="A34" s="65"/>
      <c r="B34" s="79"/>
      <c r="C34" s="65"/>
      <c r="D34" s="79"/>
      <c r="E34" s="65"/>
      <c r="F34" s="65"/>
      <c r="G34" s="65"/>
      <c r="H34" s="65"/>
      <c r="I34" s="93"/>
      <c r="J34" s="80"/>
      <c r="K34" s="65"/>
      <c r="L34" s="107"/>
      <c r="M34" s="65"/>
      <c r="N34" s="98"/>
      <c r="O34" s="80"/>
      <c r="P34" s="65"/>
      <c r="Q34" s="118"/>
      <c r="R34" s="86"/>
      <c r="S34" s="80"/>
      <c r="T34" s="80"/>
      <c r="U34" s="115">
        <f>sept20212223373839[[#This Row],[сумма]]-sept20212223373839[[#This Row],[Цема м2 отделки]]*sept20212223373839[[#This Row],[м2]]</f>
        <v>0</v>
      </c>
    </row>
    <row r="35" spans="1:22">
      <c r="A35" s="65"/>
      <c r="B35" s="77"/>
      <c r="C35" s="65"/>
      <c r="D35" s="65"/>
      <c r="E35" s="65"/>
      <c r="F35" s="79"/>
      <c r="G35" s="65"/>
      <c r="H35" s="65"/>
      <c r="I35" s="93"/>
      <c r="J35" s="65"/>
      <c r="K35" s="65"/>
      <c r="L35" s="65"/>
      <c r="M35" s="65"/>
      <c r="N35" s="98"/>
      <c r="O35" s="80"/>
      <c r="P35" s="65"/>
      <c r="Q35" s="86"/>
      <c r="R35" s="86"/>
      <c r="S35" s="80"/>
      <c r="T35" s="80"/>
      <c r="U35" s="115">
        <f>sept20212223373839[[#This Row],[сумма]]-sept20212223373839[[#This Row],[Цема м2 отделки]]*sept20212223373839[[#This Row],[м2]]</f>
        <v>0</v>
      </c>
    </row>
    <row r="36" spans="1:22">
      <c r="A36" s="65"/>
      <c r="B36" s="79"/>
      <c r="C36" s="65"/>
      <c r="D36" s="79"/>
      <c r="E36" s="65"/>
      <c r="F36" s="65"/>
      <c r="G36" s="65"/>
      <c r="H36" s="65"/>
      <c r="I36" s="93"/>
      <c r="J36" s="80"/>
      <c r="K36" s="65"/>
      <c r="L36" s="65"/>
      <c r="M36" s="65"/>
      <c r="N36" s="98"/>
      <c r="O36" s="80"/>
      <c r="P36" s="65"/>
      <c r="Q36" s="118"/>
      <c r="R36" s="118"/>
      <c r="S36" s="80"/>
      <c r="T36" s="80"/>
      <c r="U36" s="115">
        <f>sept20212223373839[[#This Row],[сумма]]-sept20212223373839[[#This Row],[Цема м2 отделки]]*sept20212223373839[[#This Row],[м2]]</f>
        <v>0</v>
      </c>
    </row>
    <row r="37" spans="1:22">
      <c r="A37" s="65"/>
      <c r="B37" s="79"/>
      <c r="C37" s="65"/>
      <c r="D37" s="79"/>
      <c r="E37" s="65"/>
      <c r="F37" s="65"/>
      <c r="G37" s="65"/>
      <c r="H37" s="65"/>
      <c r="I37" s="93"/>
      <c r="J37" s="80"/>
      <c r="K37" s="65"/>
      <c r="L37" s="65"/>
      <c r="M37" s="65"/>
      <c r="N37" s="98"/>
      <c r="O37" s="80"/>
      <c r="P37" s="65"/>
      <c r="Q37" s="118"/>
      <c r="R37" s="118"/>
      <c r="S37" s="80"/>
      <c r="T37" s="80"/>
      <c r="U37" s="115">
        <f>sept20212223373839[[#This Row],[сумма]]-sept20212223373839[[#This Row],[Цема м2 отделки]]*sept20212223373839[[#This Row],[м2]]</f>
        <v>0</v>
      </c>
    </row>
    <row r="38" spans="1:22">
      <c r="A38" s="65"/>
      <c r="B38" s="79"/>
      <c r="C38" s="65"/>
      <c r="D38" s="79"/>
      <c r="E38" s="65"/>
      <c r="F38" s="65"/>
      <c r="G38" s="65"/>
      <c r="H38" s="65"/>
      <c r="I38" s="93"/>
      <c r="J38" s="80"/>
      <c r="K38" s="65"/>
      <c r="L38" s="65"/>
      <c r="M38" s="65"/>
      <c r="N38" s="98"/>
      <c r="O38" s="80"/>
      <c r="P38" s="65"/>
      <c r="Q38" s="118"/>
      <c r="R38" s="118"/>
      <c r="S38" s="80"/>
      <c r="T38" s="80"/>
      <c r="U38" s="115">
        <f>sept20212223373839[[#This Row],[сумма]]-sept20212223373839[[#This Row],[Цема м2 отделки]]*sept20212223373839[[#This Row],[м2]]</f>
        <v>0</v>
      </c>
    </row>
    <row r="39" spans="1:22">
      <c r="A39" s="65"/>
      <c r="B39" s="79"/>
      <c r="C39" s="65"/>
      <c r="D39" s="79"/>
      <c r="E39" s="65"/>
      <c r="F39" s="65"/>
      <c r="G39" s="65"/>
      <c r="H39" s="65"/>
      <c r="I39" s="93"/>
      <c r="J39" s="80"/>
      <c r="K39" s="65"/>
      <c r="L39" s="65"/>
      <c r="M39" s="108"/>
      <c r="N39" s="98"/>
      <c r="O39" s="80"/>
      <c r="P39" s="65"/>
      <c r="Q39" s="86"/>
      <c r="R39" s="118"/>
      <c r="S39" s="80"/>
      <c r="T39" s="80"/>
      <c r="U39" s="115">
        <f>sept20212223373839[[#This Row],[сумма]]-sept20212223373839[[#This Row],[Цема м2 отделки]]*sept20212223373839[[#This Row],[м2]]</f>
        <v>0</v>
      </c>
    </row>
    <row r="40" spans="1:22">
      <c r="A40" s="65"/>
      <c r="B40" s="78"/>
      <c r="C40" s="65"/>
      <c r="D40" s="79"/>
      <c r="E40" s="65"/>
      <c r="F40" s="65"/>
      <c r="G40" s="65"/>
      <c r="H40" s="65"/>
      <c r="I40" s="93"/>
      <c r="J40" s="80"/>
      <c r="K40" s="65"/>
      <c r="L40" s="65"/>
      <c r="M40" s="65"/>
      <c r="N40" s="98"/>
      <c r="O40" s="80"/>
      <c r="P40" s="65"/>
      <c r="Q40" s="118"/>
      <c r="R40" s="118"/>
      <c r="S40" s="80"/>
      <c r="T40" s="80"/>
      <c r="U40" s="115">
        <f>sept20212223373839[[#This Row],[сумма]]-sept20212223373839[[#This Row],[Цема м2 отделки]]*sept20212223373839[[#This Row],[м2]]</f>
        <v>0</v>
      </c>
    </row>
    <row r="41" spans="1:22" s="61" customFormat="1">
      <c r="A41" s="65"/>
      <c r="B41" s="79"/>
      <c r="C41" s="65"/>
      <c r="D41" s="79"/>
      <c r="E41" s="65"/>
      <c r="F41" s="65"/>
      <c r="G41" s="65"/>
      <c r="H41" s="65"/>
      <c r="I41" s="93"/>
      <c r="J41" s="65"/>
      <c r="K41" s="65"/>
      <c r="L41" s="65"/>
      <c r="M41" s="65"/>
      <c r="N41" s="98"/>
      <c r="O41" s="80"/>
      <c r="P41" s="86"/>
      <c r="Q41" s="118"/>
      <c r="R41" s="118"/>
      <c r="S41" s="65"/>
      <c r="T41" s="65"/>
      <c r="U41" s="115">
        <f>sept20212223373839[[#This Row],[сумма]]-sept20212223373839[[#This Row],[Цема м2 отделки]]*sept20212223373839[[#This Row],[м2]]</f>
        <v>0</v>
      </c>
      <c r="V41" s="66"/>
    </row>
    <row r="42" spans="1:22" s="61" customFormat="1">
      <c r="A42" s="65"/>
      <c r="B42" s="79"/>
      <c r="C42" s="65"/>
      <c r="D42" s="79"/>
      <c r="E42" s="65"/>
      <c r="F42" s="65"/>
      <c r="G42" s="65"/>
      <c r="H42" s="65"/>
      <c r="I42" s="93"/>
      <c r="J42" s="80"/>
      <c r="K42" s="65"/>
      <c r="L42" s="65"/>
      <c r="M42" s="65"/>
      <c r="N42" s="98"/>
      <c r="O42" s="80"/>
      <c r="P42" s="65"/>
      <c r="Q42" s="118"/>
      <c r="R42" s="118"/>
      <c r="S42" s="80"/>
      <c r="T42" s="80"/>
      <c r="U42" s="115">
        <f>sept20212223373839[[#This Row],[сумма]]-sept20212223373839[[#This Row],[Цема м2 отделки]]*sept20212223373839[[#This Row],[м2]]</f>
        <v>0</v>
      </c>
      <c r="V42" s="66"/>
    </row>
    <row r="43" spans="1:22" s="61" customFormat="1">
      <c r="A43" s="65"/>
      <c r="B43" s="78"/>
      <c r="C43" s="65"/>
      <c r="D43" s="79"/>
      <c r="E43" s="65"/>
      <c r="F43" s="65"/>
      <c r="G43" s="89"/>
      <c r="H43" s="89"/>
      <c r="I43" s="93"/>
      <c r="J43" s="80"/>
      <c r="K43" s="65"/>
      <c r="L43" s="65"/>
      <c r="M43" s="65"/>
      <c r="N43" s="98"/>
      <c r="O43" s="80"/>
      <c r="P43" s="65"/>
      <c r="Q43" s="118"/>
      <c r="R43" s="118"/>
      <c r="S43" s="80"/>
      <c r="T43" s="80"/>
      <c r="U43" s="115">
        <f>sept20212223373839[[#This Row],[сумма]]-sept20212223373839[[#This Row],[Цема м2 отделки]]*sept20212223373839[[#This Row],[м2]]</f>
        <v>0</v>
      </c>
      <c r="V43" s="66"/>
    </row>
    <row r="44" spans="1:22" s="61" customFormat="1">
      <c r="A44" s="65"/>
      <c r="B44" s="79"/>
      <c r="C44" s="65"/>
      <c r="D44" s="79"/>
      <c r="E44" s="65"/>
      <c r="F44" s="65"/>
      <c r="G44" s="65"/>
      <c r="H44" s="65"/>
      <c r="I44" s="93"/>
      <c r="J44" s="80"/>
      <c r="K44" s="65"/>
      <c r="L44" s="65"/>
      <c r="M44" s="65"/>
      <c r="N44" s="98"/>
      <c r="O44" s="65"/>
      <c r="P44" s="65"/>
      <c r="Q44" s="118"/>
      <c r="R44" s="118"/>
      <c r="S44" s="80"/>
      <c r="T44" s="80"/>
      <c r="U44" s="115">
        <f>sept20212223373839[[#This Row],[сумма]]-sept20212223373839[[#This Row],[Цема м2 отделки]]*sept20212223373839[[#This Row],[м2]]</f>
        <v>0</v>
      </c>
      <c r="V44" s="66"/>
    </row>
    <row r="45" spans="1:22" s="61" customFormat="1">
      <c r="A45" s="65"/>
      <c r="B45" s="79"/>
      <c r="C45" s="65"/>
      <c r="D45" s="79"/>
      <c r="E45" s="65"/>
      <c r="F45" s="65"/>
      <c r="G45" s="65"/>
      <c r="H45" s="65"/>
      <c r="I45" s="93"/>
      <c r="J45" s="80"/>
      <c r="K45" s="65"/>
      <c r="L45" s="65"/>
      <c r="M45" s="65"/>
      <c r="N45" s="98"/>
      <c r="O45" s="65"/>
      <c r="P45" s="65"/>
      <c r="Q45" s="118"/>
      <c r="R45" s="118"/>
      <c r="S45" s="80"/>
      <c r="T45" s="80"/>
      <c r="U45" s="115">
        <f>sept20212223373839[[#This Row],[сумма]]-sept20212223373839[[#This Row],[Цема м2 отделки]]*sept20212223373839[[#This Row],[м2]]</f>
        <v>0</v>
      </c>
      <c r="V45" s="66"/>
    </row>
    <row r="46" spans="1:22" s="61" customFormat="1">
      <c r="A46" s="65"/>
      <c r="B46" s="78"/>
      <c r="C46" s="65"/>
      <c r="D46" s="79"/>
      <c r="E46" s="65"/>
      <c r="F46" s="65"/>
      <c r="G46" s="65"/>
      <c r="H46" s="77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sept20212223373839[[#This Row],[сумма]]-sept20212223373839[[#This Row],[Цема м2 отделки]]*sept20212223373839[[#This Row],[м2]]</f>
        <v>0</v>
      </c>
      <c r="V46" s="66"/>
    </row>
    <row r="47" spans="1:22" s="61" customFormat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sept20212223373839[[#This Row],[сумма]]-sept20212223373839[[#This Row],[Цема м2 отделки]]*sept20212223373839[[#This Row],[м2]]</f>
        <v>0</v>
      </c>
      <c r="V47" s="66"/>
    </row>
    <row r="48" spans="1:22" s="61" customFormat="1">
      <c r="A48" s="65"/>
      <c r="B48" s="78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118"/>
      <c r="R48" s="118"/>
      <c r="S48" s="80"/>
      <c r="T48" s="80"/>
      <c r="U48" s="115">
        <f>sept20212223373839[[#This Row],[сумма]]-sept20212223373839[[#This Row],[Цема м2 отделки]]*sept20212223373839[[#This Row],[м2]]</f>
        <v>0</v>
      </c>
      <c r="V48" s="66"/>
    </row>
    <row r="49" spans="1:22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86"/>
      <c r="Q49" s="86"/>
      <c r="R49" s="86"/>
      <c r="S49" s="80"/>
      <c r="T49" s="80"/>
      <c r="U49" s="115">
        <f>sept20212223373839[[#This Row],[сумма]]-sept20212223373839[[#This Row],[Цема м2 отделки]]*sept20212223373839[[#This Row],[м2]]</f>
        <v>0</v>
      </c>
    </row>
    <row r="50" spans="1:22" s="368" customFormat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sept20212223373839[[#This Row],[сумма]]-sept20212223373839[[#This Row],[Цема м2 отделки]]*sept20212223373839[[#This Row],[м2]]</f>
        <v>0</v>
      </c>
      <c r="V50" s="66"/>
    </row>
    <row r="51" spans="1:22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sept20212223373839[[#This Row],[сумма]]-sept20212223373839[[#This Row],[Цема м2 отделки]]*sept20212223373839[[#This Row],[м2]]</f>
        <v>0</v>
      </c>
    </row>
    <row r="52" spans="1:22" s="61" customFormat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118"/>
      <c r="R52" s="86"/>
      <c r="S52" s="80"/>
      <c r="T52" s="80"/>
      <c r="U52" s="115">
        <f>sept20212223373839[[#This Row],[сумма]]-sept20212223373839[[#This Row],[Цема м2 отделки]]*sept20212223373839[[#This Row],[м2]]</f>
        <v>0</v>
      </c>
      <c r="V52" s="66"/>
    </row>
    <row r="53" spans="1:22" s="61" customFormat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sept20212223373839[[#This Row],[сумма]]-sept20212223373839[[#This Row],[Цема м2 отделки]]*sept20212223373839[[#This Row],[м2]]</f>
        <v>0</v>
      </c>
      <c r="V53" s="66"/>
    </row>
    <row r="54" spans="1:22" s="368" customFormat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sept20212223373839[[#This Row],[сумма]]-sept20212223373839[[#This Row],[Цема м2 отделки]]*sept20212223373839[[#This Row],[м2]]</f>
        <v>0</v>
      </c>
      <c r="V54" s="66"/>
    </row>
    <row r="55" spans="1:22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sept20212223373839[[#This Row],[сумма]]-sept20212223373839[[#This Row],[Цема м2 отделки]]*sept20212223373839[[#This Row],[м2]]</f>
        <v>0</v>
      </c>
    </row>
    <row r="56" spans="1:22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sept20212223373839[[#This Row],[сумма]]-sept20212223373839[[#This Row],[Цема м2 отделки]]*sept20212223373839[[#This Row],[м2]]</f>
        <v>0</v>
      </c>
    </row>
    <row r="57" spans="1:22" s="368" customFormat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sept20212223373839[[#This Row],[сумма]]-sept20212223373839[[#This Row],[Цема м2 отделки]]*sept20212223373839[[#This Row],[м2]]</f>
        <v>0</v>
      </c>
      <c r="V57" s="66"/>
    </row>
    <row r="58" spans="1:22">
      <c r="A58" s="65"/>
      <c r="B58" s="78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sept20212223373839[[#This Row],[сумма]]-sept20212223373839[[#This Row],[Цема м2 отделки]]*sept20212223373839[[#This Row],[м2]]</f>
        <v>0</v>
      </c>
    </row>
    <row r="59" spans="1:22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sept20212223373839[[#This Row],[сумма]]-sept20212223373839[[#This Row],[Цема м2 отделки]]*sept20212223373839[[#This Row],[м2]]</f>
        <v>0</v>
      </c>
    </row>
    <row r="60" spans="1:22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sept20212223373839[[#This Row],[сумма]]-sept20212223373839[[#This Row],[Цема м2 отделки]]*sept20212223373839[[#This Row],[м2]]</f>
        <v>0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sept20212223373839[[#This Row],[сумма]]-sept20212223373839[[#This Row],[Цема м2 отделки]]*sept20212223373839[[#This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sept20212223373839[[#This Row],[сумма]]-sept20212223373839[[#This Row],[Цема м2 отделки]]*sept20212223373839[[#This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sept20212223373839[[#This Row],[сумма]]-sept20212223373839[[#This Row],[Цема м2 отделки]]*sept20212223373839[[#This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sept20212223373839[[#This Row],[сумма]]-sept20212223373839[[#This Row],[Цема м2 отделки]]*sept20212223373839[[#This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sept20212223373839[[#This Row],[сумма]]-sept20212223373839[[#This Row],[Цема м2 отделки]]*sept20212223373839[[#This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sept20212223373839[[#This Row],[сумма]]-sept20212223373839[[#This Row],[Цема м2 отделки]]*sept20212223373839[[#This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sept20212223373839[[#This Row],[сумма]]-sept20212223373839[[#This Row],[Цема м2 отделки]]*sept20212223373839[[#This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sept20212223373839[[#This Row],[сумма]]-sept20212223373839[[#This Row],[Цема м2 отделки]]*sept20212223373839[[#This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sept20212223373839[[#This Row],[сумма]]-sept20212223373839[[#This Row],[Цема м2 отделки]]*sept20212223373839[[#This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sept20212223373839[[#This Row],[сумма]]-sept20212223373839[[#This Row],[Цема м2 отделки]]*sept20212223373839[[#This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sept20212223373839[[#This Row],[сумма]]-sept20212223373839[[#This Row],[Цема м2 отделки]]*sept20212223373839[[#This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sept20212223373839[[#This Row],[сумма]]-sept20212223373839[[#This Row],[Цема м2 отделки]]*sept20212223373839[[#This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sept20212223373839[[#This Row],[сумма]]-sept20212223373839[[#This Row],[Цема м2 отделки]]*sept20212223373839[[#This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sept20212223373839[[#This Row],[сумма]]-sept20212223373839[[#This Row],[Цема м2 отделки]]*sept20212223373839[[#This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sept20212223373839[[#This Row],[сумма]]-sept20212223373839[[#This Row],[Цема м2 отделки]]*sept20212223373839[[#This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sept20212223373839[[#This Row],[сумма]]-sept20212223373839[[#This Row],[Цема м2 отделки]]*sept20212223373839[[#This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sept20212223373839[[#This Row],[сумма]]-sept20212223373839[[#This Row],[Цема м2 отделки]]*sept20212223373839[[#This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sept20212223373839[[#This Row],[сумма]]-sept20212223373839[[#This Row],[Цема м2 отделки]]*sept20212223373839[[#This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sept20212223373839[[#This Row],[сумма]]-sept20212223373839[[#This Row],[Цема м2 отделки]]*sept20212223373839[[#This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sept20212223373839[[#This Row],[сумма]]-sept20212223373839[[#This Row],[Цема м2 отделки]]*sept20212223373839[[#This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sept20212223373839[[#This Row],[сумма]]-sept20212223373839[[#This Row],[Цема м2 отделки]]*sept20212223373839[[#This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sept20212223373839[[#This Row],[сумма]]-sept20212223373839[[#This Row],[Цема м2 отделки]]*sept20212223373839[[#This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sept20212223373839[[#This Row],[сумма]]-sept20212223373839[[#This Row],[Цема м2 отделки]]*sept20212223373839[[#This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sept20212223373839[[#This Row],[сумма]]-sept20212223373839[[#This Row],[Цема м2 отделки]]*sept20212223373839[[#This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sept20212223373839[[#This Row],[сумма]]-sept20212223373839[[#This Row],[Цема м2 отделки]]*sept20212223373839[[#This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sept20212223373839[[#This Row],[сумма]]-sept20212223373839[[#This Row],[Цема м2 отделки]]*sept20212223373839[[#This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sept20212223373839[[#This Row],[сумма]]-sept20212223373839[[#This Row],[Цема м2 отделки]]*sept20212223373839[[#This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sept20212223373839[[#This Row],[сумма]]-sept20212223373839[[#This Row],[Цема м2 отделки]]*sept20212223373839[[#This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sept20212223373839[[#This Row],[сумма]]-sept20212223373839[[#This Row],[Цема м2 отделки]]*sept20212223373839[[#This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sept20212223373839[[#This Row],[сумма]]-sept20212223373839[[#This Row],[Цема м2 отделки]]*sept20212223373839[[#This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sept20212223373839[[#This Row],[сумма]]-sept20212223373839[[#This Row],[Цема м2 отделки]]*sept20212223373839[[#This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sept20212223373839[[#This Row],[сумма]]-sept20212223373839[[#This Row],[Цема м2 отделки]]*sept20212223373839[[#This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sept20212223373839[[#This Row],[сумма]]-sept20212223373839[[#This Row],[Цема м2 отделки]]*sept20212223373839[[#This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sept20212223373839[[#This Row],[сумма]]-sept20212223373839[[#This Row],[Цема м2 отделки]]*sept20212223373839[[#This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sept20212223373839[[#This Row],[сумма]]-sept20212223373839[[#This Row],[Цема м2 отделки]]*sept20212223373839[[#This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sept20212223373839[[#This Row],[сумма]]-sept20212223373839[[#This Row],[Цема м2 отделки]]*sept20212223373839[[#This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sept20212223373839[[#This Row],[сумма]]-sept20212223373839[[#This Row],[Цема м2 отделки]]*sept20212223373839[[#This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sept20212223373839[[#This Row],[сумма]]-sept20212223373839[[#This Row],[Цема м2 отделки]]*sept20212223373839[[#This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sept20212223373839[[#This Row],[сумма]]-sept20212223373839[[#This Row],[Цема м2 отделки]]*sept20212223373839[[#This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sept20212223373839[[#This Row],[сумма]]-sept20212223373839[[#This Row],[Цема м2 отделки]]*sept20212223373839[[#This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sept20212223373839[[#This Row],[сумма]]-sept20212223373839[[#This Row],[Цема м2 отделки]]*sept20212223373839[[#This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sept20212223373839[[#This Row],[сумма]]-sept20212223373839[[#This Row],[Цема м2 отделки]]*sept20212223373839[[#This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sept20212223373839[[#This Row],[сумма]]-sept20212223373839[[#This Row],[Цема м2 отделки]]*sept20212223373839[[#This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sept20212223373839[[#This Row],[сумма]]-sept20212223373839[[#This Row],[Цема м2 отделки]]*sept20212223373839[[#This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sept20212223373839[[#This Row],[сумма]]-sept20212223373839[[#This Row],[Цема м2 отделки]]*sept20212223373839[[#This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sept20212223373839[[#This Row],[сумма]]-sept20212223373839[[#This Row],[Цема м2 отделки]]*sept20212223373839[[#This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sept20212223373839[[#This Row],[сумма]]-sept20212223373839[[#This Row],[Цема м2 отделки]]*sept20212223373839[[#This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sept20212223373839[[#This Row],[сумма]]-sept20212223373839[[#This Row],[Цема м2 отделки]]*sept20212223373839[[#This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sept20212223373839[[#This Row],[сумма]]-sept20212223373839[[#This Row],[Цема м2 отделки]]*sept20212223373839[[#This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sept20212223373839[[#This Row],[сумма]]-sept20212223373839[[#This Row],[Цема м2 отделки]]*sept20212223373839[[#This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T116" s="66"/>
    </row>
    <row r="117" spans="1:21" s="65" customFormat="1" ht="22.5" customHeight="1">
      <c r="A117" s="135" t="s">
        <v>1</v>
      </c>
      <c r="B117" s="135" t="s">
        <v>100</v>
      </c>
      <c r="C117" s="136" t="s">
        <v>97</v>
      </c>
      <c r="D117" s="137" t="s">
        <v>494</v>
      </c>
      <c r="E117" s="138" t="s">
        <v>495</v>
      </c>
      <c r="F117" s="139" t="s">
        <v>496</v>
      </c>
      <c r="G117" s="140" t="s">
        <v>101</v>
      </c>
      <c r="H117" s="141" t="s">
        <v>98</v>
      </c>
      <c r="I117" s="141" t="s">
        <v>96</v>
      </c>
      <c r="J117" s="141" t="s">
        <v>715</v>
      </c>
      <c r="K117" s="216" t="s">
        <v>716</v>
      </c>
      <c r="L117" s="217">
        <v>0</v>
      </c>
      <c r="M117" s="218">
        <v>1</v>
      </c>
      <c r="N117" s="218">
        <v>2</v>
      </c>
      <c r="O117" s="218">
        <v>3</v>
      </c>
      <c r="P117" s="219" t="s">
        <v>1367</v>
      </c>
      <c r="T117" s="66"/>
    </row>
    <row r="118" spans="1:21" s="65" customFormat="1">
      <c r="A118" s="398" t="s">
        <v>1892</v>
      </c>
      <c r="B118" s="267">
        <f>IFERROR(VLOOKUP(A118,'ИПП (2)'!$B$32:$J$45,4,0),"")</f>
        <v>135</v>
      </c>
      <c r="C118" s="146">
        <f>IFERROR(VLOOKUP(A118,'ИПП (2)'!$B$32:$J$45,5,0),"")</f>
        <v>12610844</v>
      </c>
      <c r="D118" s="145">
        <f>SUMIFS(sept20212223373839[м2],sept20212223373839[МОП],$A118,sept20212223373839[№ дома],$C$116,sept20212223373839[Комнатность],"&lt;&gt;Офис")</f>
        <v>0</v>
      </c>
      <c r="E118" s="146">
        <f>SUMIFS(sept20212223373839[Сумма без отделки],sept20212223373839[МОП],$A118,sept20212223373839[№ дома],$C$116,sept20212223373839[Комнатность],"&lt;&gt;Офис")</f>
        <v>0</v>
      </c>
      <c r="F118" s="147">
        <f>COUNTIFS(sept20212223373839[МОП],$A118,sept20212223373839[№ дома],$C$116,sept20212223373839[Комнатность],"&lt;&gt;Офис")</f>
        <v>0</v>
      </c>
      <c r="G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H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4">
        <f t="shared" ref="J118:K124" si="0">IFERROR(G118/B118,"")</f>
        <v>0</v>
      </c>
      <c r="K118" s="225">
        <f t="shared" si="0"/>
        <v>0</v>
      </c>
      <c r="L118" s="202">
        <f>COUNTIFS(РД[Тип кв],L$117,РД[МОП],$A118,РД[Дом],$C$116,РД[Дата подачи на регистрацию],"&lt;="&amp;$A$1,РД[Дата подачи на регистрацию],"&gt;="&amp;DATE(YEAR($A$1),MONTH($A$1),1))</f>
        <v>0</v>
      </c>
      <c r="M118" s="226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6">
        <f>COUNTIFS(РД[Тип кв],N$117,РД[МОП],$A118,РД[Дом],$C$116,РД[Дата подачи на регистрацию],"&lt;="&amp;$A$1,РД[Дата подачи на регистрацию],"&gt;="&amp;DATE(YEAR($A$1),MONTH($A$1),1))</f>
        <v>0</v>
      </c>
      <c r="O118" s="226">
        <f>COUNTIFS(РД[Тип кв],O$117,РД[МОП],$A118,РД[Дом],$C$116,РД[Дата подачи на регистрацию],"&lt;="&amp;$A$1,РД[Дата подачи на регистрацию],"&gt;="&amp;DATE(YEAR($A$1),MONTH($A$1),1))</f>
        <v>0</v>
      </c>
      <c r="P118" s="227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42" t="s">
        <v>8</v>
      </c>
      <c r="B119" s="267">
        <f>IFERROR(VLOOKUP(A119,'ИПП (2)'!$B$32:$J$45,4,0),"")</f>
        <v>263</v>
      </c>
      <c r="C119" s="146">
        <f>IFERROR(VLOOKUP(A119,'ИПП (2)'!$B$32:$J$45,5,0),"")</f>
        <v>24380964</v>
      </c>
      <c r="D119" s="145">
        <f>SUMIFS(sept20212223373839[м2],sept20212223373839[МОП],$A119,sept20212223373839[№ дома],$C$116,sept20212223373839[Комнатность],"&lt;&gt;Офис")</f>
        <v>39.74</v>
      </c>
      <c r="E119" s="146">
        <f>SUMIFS(sept20212223373839[Сумма без отделки],sept20212223373839[МОП],$A119,sept20212223373839[№ дома],$C$116,sept20212223373839[Комнатность],"&lt;&gt;Офис")</f>
        <v>4604900</v>
      </c>
      <c r="F119" s="147">
        <f>COUNTIFS(sept20212223373839[МОП],$A119,sept20212223373839[№ дома],$C$116,sept20212223373839[Комнатность],"&lt;&gt;Офис")</f>
        <v>1</v>
      </c>
      <c r="G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39.74</v>
      </c>
      <c r="H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4604900</v>
      </c>
      <c r="I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1</v>
      </c>
      <c r="J119" s="221">
        <f t="shared" si="0"/>
        <v>0.15110266159695818</v>
      </c>
      <c r="K119" s="222">
        <f t="shared" si="0"/>
        <v>0.18887276155282456</v>
      </c>
      <c r="L119" s="148">
        <f>COUNTIFS(РД[Тип кв],L$117,РД[МОП],$A119,РД[Дом],$C$116,РД[Дата подачи на регистрацию],"&lt;="&amp;$A$1,РД[Дата подачи на регистрацию],"&gt;="&amp;DATE(YEAR($A$1),MONTH($A$1),1))</f>
        <v>0</v>
      </c>
      <c r="M119" s="220">
        <f>COUNTIFS(РД[Тип кв],M$117,РД[МОП],$A119,РД[Дом],$C$116,РД[Дата подачи на регистрацию],"&lt;="&amp;$A$1,РД[Дата подачи на регистрацию],"&gt;="&amp;DATE(YEAR($A$1),MONTH($A$1),1))</f>
        <v>1</v>
      </c>
      <c r="N119" s="220">
        <f>COUNTIFS(РД[Тип кв],N$117,РД[МОП],$A119,РД[Дом],$C$116,РД[Дата подачи на регистрацию],"&lt;="&amp;$A$1,РД[Дата подачи на регистрацию],"&gt;="&amp;DATE(YEAR($A$1),MONTH($A$1),1))</f>
        <v>0</v>
      </c>
      <c r="O119" s="220">
        <f>COUNTIFS(РД[Тип кв],O$117,РД[МОП],$A119,РД[Дом],$C$116,РД[Дата подачи на регистрацию],"&lt;="&amp;$A$1,РД[Дата подачи на регистрацию],"&gt;="&amp;DATE(YEAR($A$1),MONTH($A$1),1))</f>
        <v>0</v>
      </c>
      <c r="P119" s="223">
        <f>COUNTIFS(РД[Тип кв],P$117,РД[МОП],$A119,РД[Дом],$C$116,РД[Дата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20</v>
      </c>
      <c r="B120" s="267">
        <f>IFERROR(VLOOKUP(A120,'ИПП (2)'!$B$32:$J$45,4,0),"")</f>
        <v>272</v>
      </c>
      <c r="C120" s="146">
        <f>IFERROR(VLOOKUP(A120,'ИПП (2)'!$B$32:$J$45,5,0),"")</f>
        <v>25221687</v>
      </c>
      <c r="D120" s="145">
        <f>SUMIFS(sept20212223373839[м2],sept20212223373839[МОП],$A120,sept20212223373839[№ дома],$C$116,sept20212223373839[Комнатность],"&lt;&gt;Офис")</f>
        <v>67.95</v>
      </c>
      <c r="E120" s="146">
        <f>SUMIFS(sept20212223373839[Сумма без отделки],sept20212223373839[МОП],$A120,sept20212223373839[№ дома],$C$116,sept20212223373839[Комнатность],"&lt;&gt;Офис")</f>
        <v>6448000</v>
      </c>
      <c r="F120" s="147">
        <f>COUNTIFS(sept20212223373839[МОП],$A120,sept20212223373839[№ дома],$C$116,sept20212223373839[Комнатность],"&lt;&gt;Офис")</f>
        <v>1</v>
      </c>
      <c r="G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67.95</v>
      </c>
      <c r="H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6448000</v>
      </c>
      <c r="I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1</v>
      </c>
      <c r="J120" s="224">
        <f t="shared" si="0"/>
        <v>0.24981617647058824</v>
      </c>
      <c r="K120" s="225">
        <f t="shared" si="0"/>
        <v>0.25565300211678943</v>
      </c>
      <c r="L120" s="202">
        <f>COUNTIFS(РД[Тип кв],L$117,РД[МОП],$A120,РД[Дом],$C$116,РД[Дата подачи на регистрацию],"&lt;="&amp;$A$1,РД[Дата подачи на регистрацию],"&gt;="&amp;DATE(YEAR($A$1),MONTH($A$1),1))</f>
        <v>0</v>
      </c>
      <c r="M120" s="226">
        <f>COUNTIFS(РД[Тип кв],M$117,РД[МОП],$A120,РД[Дом],$C$116,РД[Дата подачи на регистрацию],"&lt;="&amp;$A$1,РД[Дата подачи на регистрацию],"&gt;="&amp;DATE(YEAR($A$1),MONTH($A$1),1))</f>
        <v>0</v>
      </c>
      <c r="N120" s="226">
        <f>COUNTIFS(РД[Тип кв],N$117,РД[МОП],$A120,РД[Дом],$C$116,РД[Дата подачи на регистрацию],"&lt;="&amp;$A$1,РД[Дата подачи на регистрацию],"&gt;="&amp;DATE(YEAR($A$1),MONTH($A$1),1))</f>
        <v>1</v>
      </c>
      <c r="O120" s="226">
        <f>COUNTIFS(РД[Тип кв],O$117,РД[МОП],$A120,РД[Дом],$C$116,РД[Дата подачи на регистрацию],"&lt;="&amp;$A$1,РД[Дата подачи на регистрацию],"&gt;="&amp;DATE(YEAR($A$1),MONTH($A$1),1))</f>
        <v>0</v>
      </c>
      <c r="P120" s="227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T120" s="66"/>
    </row>
    <row r="121" spans="1:21" s="65" customFormat="1">
      <c r="A121" s="153" t="s">
        <v>14</v>
      </c>
      <c r="B121" s="267">
        <f>IFERROR(VLOOKUP(A121,'ИПП (2)'!$B$32:$J$45,4,0),"")</f>
        <v>235</v>
      </c>
      <c r="C121" s="146">
        <f>IFERROR(VLOOKUP(A121,'ИПП (2)'!$B$32:$J$45,5,0),"")</f>
        <v>21858796</v>
      </c>
      <c r="D121" s="328">
        <f>SUMIFS(sept20212223373839[м2],sept20212223373839[МОП],$A121,sept20212223373839[№ дома],$C$116,sept20212223373839[Комнатность],"&lt;&gt;Офис")</f>
        <v>243.54000000000002</v>
      </c>
      <c r="E121" s="403">
        <f>SUMIFS(sept20212223373839[Сумма без отделки],sept20212223373839[МОП],$A121,sept20212223373839[№ дома],$C$116,sept20212223373839[Комнатность],"&lt;&gt;Офис")</f>
        <v>26173300</v>
      </c>
      <c r="F121" s="404">
        <f>COUNTIFS(sept20212223373839[МОП],$A121,sept20212223373839[№ дома],$C$116,sept20212223373839[Комнатность],"&lt;&gt;Офис")</f>
        <v>5</v>
      </c>
      <c r="G121" s="187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279.99</v>
      </c>
      <c r="H121" s="188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30595200</v>
      </c>
      <c r="I121" s="247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6</v>
      </c>
      <c r="J121" s="360">
        <f t="shared" si="0"/>
        <v>1.1914468085106384</v>
      </c>
      <c r="K121" s="361">
        <f t="shared" si="0"/>
        <v>1.3996745291918182</v>
      </c>
      <c r="L121" s="358">
        <f>COUNTIFS(РД[Тип кв],L$117,РД[МОП],$A121,РД[Дом],$C$116,РД[Дата подачи на регистрацию],"&lt;="&amp;$A$1,РД[Дата подачи на регистрацию],"&gt;="&amp;DATE(YEAR($A$1),MONTH($A$1),1))</f>
        <v>1</v>
      </c>
      <c r="M121" s="330">
        <f>COUNTIFS(РД[Тип кв],M$117,РД[МОП],$A121,РД[Дом],$C$116,РД[Дата подачи на регистрацию],"&lt;="&amp;$A$1,РД[Дата подачи на регистрацию],"&gt;="&amp;DATE(YEAR($A$1),MONTH($A$1),1))</f>
        <v>3</v>
      </c>
      <c r="N121" s="330">
        <f>COUNTIFS(РД[Тип кв],N$117,РД[МОП],$A121,РД[Дом],$C$116,РД[Дата подачи на регистрацию],"&lt;="&amp;$A$1,РД[Дата подачи на регистрацию],"&gt;="&amp;DATE(YEAR($A$1),MONTH($A$1),1))</f>
        <v>2</v>
      </c>
      <c r="O121" s="330">
        <f>COUNTIFS(РД[Тип кв],O$117,РД[МОП],$A121,РД[Дом],$C$116,РД[Дата подачи на регистрацию],"&lt;="&amp;$A$1,РД[Дата подачи на регистрацию],"&gt;="&amp;DATE(YEAR($A$1),MONTH($A$1),1))</f>
        <v>0</v>
      </c>
      <c r="P121" s="331">
        <f>COUNTIFS(РД[Тип кв],P$117,РД[МОП],$A121,РД[Дом],$C$116,РД[Дата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54" t="s">
        <v>29</v>
      </c>
      <c r="B122" s="274" t="str">
        <f>IFERROR(VLOOKUP(A122,'Индивидуальный план'!$R$3:$T$14,2,0),"")</f>
        <v/>
      </c>
      <c r="C122" s="277" t="str">
        <f>IFERROR(VLOOKUP(A122,'Индивидуальный план'!$R$3:$T$14,3,0),"")</f>
        <v/>
      </c>
      <c r="D122" s="341">
        <f>SUMIFS(sept20212223373839[м2],sept20212223373839[МОП],$A122,sept20212223373839[№ дома],$C$116,sept20212223373839[Комнатность],"&lt;&gt;Офис")</f>
        <v>0</v>
      </c>
      <c r="E122" s="277">
        <f>SUMIFS(sept20212223373839[Сумма без отделки],sept20212223373839[МОП],$A122,sept20212223373839[№ дома],$C$116,sept20212223373839[Комнатность],"&lt;&gt;Офис")</f>
        <v>0</v>
      </c>
      <c r="F122" s="405">
        <f>COUNTIFS(sept20212223373839[МОП],$A122,sept20212223373839[№ дома],$C$116,sept20212223373839[Комнатность],"&lt;&gt;Офис")</f>
        <v>0</v>
      </c>
      <c r="G122" s="159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0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8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9" t="str">
        <f t="shared" si="0"/>
        <v/>
      </c>
      <c r="K122" s="230" t="str">
        <f t="shared" si="0"/>
        <v/>
      </c>
      <c r="L122" s="159">
        <f>COUNTIFS(РД[Тип кв],L$117,РД[МОП],$A122,РД[Дом],$C$116,РД[Дата подачи на регистрацию],"&lt;="&amp;$A$1,РД[Дата подачи на регистрацию],"&gt;="&amp;DATE(YEAR($A$1),MONTH($A$1),1))</f>
        <v>0</v>
      </c>
      <c r="M122" s="228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228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228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231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1" t="s">
        <v>1919</v>
      </c>
      <c r="B123" s="278" t="str">
        <f>IFERROR(VLOOKUP(A123,'Индивидуальный план'!$R$3:$T$14,2,0),"")</f>
        <v/>
      </c>
      <c r="C123" s="281" t="str">
        <f>IFERROR(VLOOKUP(A123,'Индивидуальный план'!$R$3:$T$14,3,0),"")</f>
        <v/>
      </c>
      <c r="D123" s="406">
        <f>SUMIFS(sept20212223373839[м2],sept20212223373839[МОП],$A123,sept20212223373839[№ дома],$C$116,sept20212223373839[Комнатность],"&lt;&gt;Офис")</f>
        <v>36.450000000000003</v>
      </c>
      <c r="E123" s="281">
        <f>SUMIFS(sept20212223373839[Сумма без отделки],sept20212223373839[МОП],$A123,sept20212223373839[№ дома],$C$116,sept20212223373839[Комнатность],"&lt;&gt;Офис")</f>
        <v>4421900</v>
      </c>
      <c r="F123" s="407">
        <f>COUNTIFS(sept20212223373839[МОП],$A123,sept20212223373839[№ дома],$C$116,sept20212223373839[Комнатность],"&lt;&gt;Офис")</f>
        <v>1</v>
      </c>
      <c r="G123" s="166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H123" s="167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232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3" t="str">
        <f t="shared" si="0"/>
        <v/>
      </c>
      <c r="K123" s="234" t="str">
        <f t="shared" si="0"/>
        <v/>
      </c>
      <c r="L123" s="235">
        <f>COUNTIFS(РД[Тип кв],L$117,РД[МОП],$A123,РД[Дом],$C$116,РД[Дата подачи на регистрацию],"&lt;="&amp;$A$1,РД[Дата подачи на регистрацию],"&gt;="&amp;DATE(YEAR($A$1),MONTH($A$1),1))</f>
        <v>0</v>
      </c>
      <c r="M123" s="236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36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36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7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T123" s="66"/>
    </row>
    <row r="124" spans="1:21" s="65" customFormat="1">
      <c r="A124" s="168" t="s">
        <v>114</v>
      </c>
      <c r="B124" s="172">
        <f t="shared" ref="B124:I124" si="1">SUM(B118:B123)</f>
        <v>905</v>
      </c>
      <c r="C124" s="173">
        <f t="shared" si="1"/>
        <v>84072291</v>
      </c>
      <c r="D124" s="173">
        <f t="shared" si="1"/>
        <v>387.68</v>
      </c>
      <c r="E124" s="173">
        <f t="shared" si="1"/>
        <v>41648100</v>
      </c>
      <c r="F124" s="171">
        <f t="shared" si="1"/>
        <v>8</v>
      </c>
      <c r="G124" s="172">
        <f t="shared" si="1"/>
        <v>387.68</v>
      </c>
      <c r="H124" s="173">
        <f t="shared" si="1"/>
        <v>41648100</v>
      </c>
      <c r="I124" s="170">
        <f t="shared" si="1"/>
        <v>8</v>
      </c>
      <c r="J124" s="238">
        <f t="shared" si="0"/>
        <v>0.42837569060773484</v>
      </c>
      <c r="K124" s="239">
        <f t="shared" si="0"/>
        <v>0.49538438294728998</v>
      </c>
      <c r="L124" s="240">
        <f>SUM(L118:L123)</f>
        <v>1</v>
      </c>
      <c r="M124" s="241">
        <f>SUM(M118:M123)</f>
        <v>4</v>
      </c>
      <c r="N124" s="241">
        <f>SUM(N118:N123)</f>
        <v>3</v>
      </c>
      <c r="O124" s="241">
        <f>SUM(O118:O123)</f>
        <v>0</v>
      </c>
      <c r="P124" s="242">
        <f>SUM(P118:P123)</f>
        <v>0</v>
      </c>
      <c r="T124" s="66"/>
    </row>
    <row r="125" spans="1:21" s="65" customFormat="1" ht="22.5" customHeight="1">
      <c r="A125" s="135" t="s">
        <v>115</v>
      </c>
      <c r="B125" s="135" t="s">
        <v>100</v>
      </c>
      <c r="C125" s="136" t="s">
        <v>97</v>
      </c>
      <c r="D125" s="295" t="s">
        <v>494</v>
      </c>
      <c r="E125" s="138" t="s">
        <v>495</v>
      </c>
      <c r="F125" s="470" t="s">
        <v>496</v>
      </c>
      <c r="G125" s="140" t="s">
        <v>101</v>
      </c>
      <c r="H125" s="141" t="s">
        <v>98</v>
      </c>
      <c r="I125" s="141" t="s">
        <v>96</v>
      </c>
      <c r="J125" s="495" t="s">
        <v>715</v>
      </c>
      <c r="K125" s="496" t="s">
        <v>716</v>
      </c>
      <c r="L125" s="217">
        <v>0</v>
      </c>
      <c r="M125" s="218">
        <v>1</v>
      </c>
      <c r="N125" s="218">
        <v>2</v>
      </c>
      <c r="O125" s="218">
        <v>3</v>
      </c>
      <c r="P125" s="219" t="s">
        <v>1367</v>
      </c>
      <c r="T125" s="66"/>
    </row>
    <row r="126" spans="1:21" s="65" customFormat="1">
      <c r="A126" s="177" t="s">
        <v>22</v>
      </c>
      <c r="B126" s="291">
        <f>IFERROR(VLOOKUP(A126,'ИПП (2)'!$B$32:$J$45,4,0),"")</f>
        <v>438</v>
      </c>
      <c r="C126" s="292">
        <f>IFERROR(VLOOKUP(A126,'ИПП (2)'!$B$32:$J$45,5,0),"")</f>
        <v>40733025</v>
      </c>
      <c r="D126" s="145">
        <f>SUMIFS(sept20212223373839[м2],sept20212223373839[ИМ],A126,sept20212223373839[№ дома],$C$116,sept20212223373839[Комнатность],"&lt;&gt;Офис")</f>
        <v>149.19</v>
      </c>
      <c r="E126" s="149">
        <f>SUMIFS(sept20212223373839[Сумма без отделки],sept20212223373839[ИМ],$A126,sept20212223373839[№ дома],$C$116,sept20212223373839[Комнатность],"&lt;&gt;Офис")</f>
        <v>17653000</v>
      </c>
      <c r="F126" s="147">
        <f>COUNTIFS(sept20212223373839[ИМ],$A126,sept20212223373839[№ дома],$C$116,sept20212223373839[Комнатность],"&lt;&gt;Офис")</f>
        <v>4</v>
      </c>
      <c r="G126" s="183">
        <f>SUMIFS(РД[S],РД[Дом],$C$116,РД[ИМ],A126,РД[Дата подачи на регистрацию],"&lt;="&amp;$A$1,РД[Дата подачи на регистрацию],"&gt;="&amp;DATE(YEAR($A$1),MONTH($A$1),1),РД[Состояние],"Продажа")</f>
        <v>149.19</v>
      </c>
      <c r="H126" s="184">
        <f>SUMIFS(РД[Стоимость без отделки итог],РД[Дом],$C$116,РД[ИМ],A126,РД[Дата подачи на регистрацию],"&lt;="&amp;$A$1,РД[Дата подачи на регистрацию],"&gt;="&amp;DATE(YEAR($A$1),MONTH($A$1),1),РД[Состояние],"Продажа")</f>
        <v>17653000</v>
      </c>
      <c r="I126" s="243">
        <f>COUNTIFS(РД[Дом],$C$116,РД[ИМ],A126,РД[Дата подачи на регистрацию],"&lt;="&amp;$A$1,РД[Дата подачи на регистрацию],"&gt;="&amp;DATE(YEAR($A$1),MONTH($A$1),1),РД[Состояние],"Продажа")</f>
        <v>4</v>
      </c>
      <c r="J126" s="244">
        <f t="shared" ref="J126:K128" si="2">IFERROR(G126/B126,"")</f>
        <v>0.3406164383561644</v>
      </c>
      <c r="K126" s="245">
        <f t="shared" si="2"/>
        <v>0.43338298591867408</v>
      </c>
      <c r="L126" s="183">
        <f>COUNTIFS(РД[Тип кв],L117,РД[ИМ],$A126,РД[Дом],$C$116,РД[Дата подачи на регистрацию],"&lt;="&amp;$A$1,РД[Дата подачи на регистрацию],"&gt;="&amp;DATE(YEAR($A$1),MONTH($A$1),1))</f>
        <v>1</v>
      </c>
      <c r="M126" s="243">
        <f>COUNTIFS(РД[Тип кв],M117,РД[ИМ],$A126,РД[Дом],$C$116,РД[Дата подачи на регистрацию],"&lt;="&amp;$A$1,РД[Дата подачи на регистрацию],"&gt;="&amp;DATE(YEAR($A$1),MONTH($A$1),1))</f>
        <v>3</v>
      </c>
      <c r="N126" s="243">
        <f>COUNTIFS(РД[Тип кв],N117,РД[ИМ],$A126,РД[Дом],$C$116,РД[Дата подачи на регистрацию],"&lt;="&amp;$A$1,РД[Дата подачи на регистрацию],"&gt;="&amp;DATE(YEAR($A$1),MONTH($A$1),1))</f>
        <v>0</v>
      </c>
      <c r="O126" s="243">
        <f>COUNTIFS(РД[Тип кв],O117,РД[ИМ],$A126,РД[Дом],$C$116,РД[Дата подачи на регистрацию],"&lt;="&amp;$A$1,РД[Дата подачи на регистрацию],"&gt;="&amp;DATE(YEAR($A$1),MONTH($A$1),1))</f>
        <v>0</v>
      </c>
      <c r="P126" s="246">
        <f>COUNTIFS(РД[Тип кв],P117,РД[ИМ],$A126,РД[Дом],$C$116,РД[Дата подачи на регистрацию],"&lt;="&amp;$A$1,РД[Дата подачи на регистрацию],"&gt;="&amp;DATE(YEAR($A$1),MONTH($A$1),1))</f>
        <v>0</v>
      </c>
      <c r="T126" s="66"/>
    </row>
    <row r="127" spans="1:21" s="65" customFormat="1">
      <c r="A127" s="189" t="s">
        <v>16</v>
      </c>
      <c r="B127" s="293">
        <f>IFERROR(VLOOKUP(A127,'ИПП (2)'!$B$32:$J$45,4,0),"")</f>
        <v>331</v>
      </c>
      <c r="C127" s="294">
        <f>IFERROR(VLOOKUP(A127,'ИПП (2)'!$B$32:$J$45,5,0),"")</f>
        <v>30728422</v>
      </c>
      <c r="D127" s="145">
        <f>SUMIFS(sept20212223373839[м2],sept20212223373839[ИМ],A127,sept20212223373839[№ дома],$C$116,sept20212223373839[Комнатность],"&lt;&gt;Офис")</f>
        <v>238.49</v>
      </c>
      <c r="E127" s="149">
        <f>SUMIFS(sept20212223373839[Сумма без отделки],sept20212223373839[ИМ],$A127,sept20212223373839[№ дома],$C$116,sept20212223373839[Комнатность],"&lt;&gt;Офис")</f>
        <v>23995100</v>
      </c>
      <c r="F127" s="147">
        <f>COUNTIFS(sept20212223373839[ИМ],$A127,sept20212223373839[№ дома],$C$116,sept20212223373839[Комнатность],"&lt;&gt;Офис")</f>
        <v>4</v>
      </c>
      <c r="G127" s="195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238.49</v>
      </c>
      <c r="H127" s="196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23995100</v>
      </c>
      <c r="I127" s="251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4</v>
      </c>
      <c r="J127" s="252">
        <f t="shared" si="2"/>
        <v>0.7205135951661632</v>
      </c>
      <c r="K127" s="253">
        <f t="shared" si="2"/>
        <v>0.78087641467563806</v>
      </c>
      <c r="L127" s="195">
        <f>COUNTIFS(РД[Тип кв],L117,РД[ИМ],$A127,РД[Дом],$C$116,РД[Дата подачи на регистрацию],"&lt;="&amp;$A$1,РД[Дата подачи на регистрацию],"&gt;="&amp;DATE(YEAR($A$1),MONTH($A$1),1))</f>
        <v>0</v>
      </c>
      <c r="M127" s="251">
        <f>COUNTIFS(РД[Тип кв],M117,РД[ИМ],$A127,РД[Дом],$C$116,РД[Дата подачи на регистрацию],"&lt;="&amp;$A$1,РД[Дата подачи на регистрацию],"&gt;="&amp;DATE(YEAR($A$1),MONTH($A$1),1))</f>
        <v>1</v>
      </c>
      <c r="N127" s="251">
        <f>COUNTIFS(РД[Тип кв],N117,РД[ИМ],$A127,РД[Дом],$C$116,РД[Дата подачи на регистрацию],"&lt;="&amp;$A$1,РД[Дата подачи на регистрацию],"&gt;="&amp;DATE(YEAR($A$1),MONTH($A$1),1))</f>
        <v>3</v>
      </c>
      <c r="O127" s="251">
        <f>COUNTIFS(РД[Тип кв],O117,РД[ИМ],$A127,РД[Дом],$C$116,РД[Дата подачи на регистрацию],"&lt;="&amp;$A$1,РД[Дата подачи на регистрацию],"&gt;="&amp;DATE(YEAR($A$1),MONTH($A$1),1))</f>
        <v>0</v>
      </c>
      <c r="P127" s="254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T127" s="66"/>
    </row>
    <row r="128" spans="1:21" s="65" customFormat="1">
      <c r="A128" s="168" t="s">
        <v>114</v>
      </c>
      <c r="B128" s="172">
        <f t="shared" ref="B128:P128" si="3">SUM(B126:B127)</f>
        <v>769</v>
      </c>
      <c r="C128" s="173">
        <f t="shared" si="3"/>
        <v>71461447</v>
      </c>
      <c r="D128" s="484">
        <f t="shared" si="3"/>
        <v>387.68</v>
      </c>
      <c r="E128" s="429">
        <f t="shared" si="3"/>
        <v>41648100</v>
      </c>
      <c r="F128" s="485">
        <f t="shared" si="3"/>
        <v>8</v>
      </c>
      <c r="G128" s="473">
        <f t="shared" si="3"/>
        <v>387.68</v>
      </c>
      <c r="H128" s="429">
        <f t="shared" si="3"/>
        <v>41648100</v>
      </c>
      <c r="I128" s="494">
        <f t="shared" si="3"/>
        <v>8</v>
      </c>
      <c r="J128" s="419">
        <f t="shared" si="2"/>
        <v>0.50413524057217163</v>
      </c>
      <c r="K128" s="420">
        <f t="shared" si="2"/>
        <v>0.58280515926300791</v>
      </c>
      <c r="L128" s="473">
        <f t="shared" si="3"/>
        <v>1</v>
      </c>
      <c r="M128" s="494">
        <f t="shared" si="3"/>
        <v>4</v>
      </c>
      <c r="N128" s="494">
        <f t="shared" si="3"/>
        <v>3</v>
      </c>
      <c r="O128" s="494">
        <f t="shared" si="3"/>
        <v>0</v>
      </c>
      <c r="P128" s="497">
        <f t="shared" si="3"/>
        <v>0</v>
      </c>
      <c r="T128" s="66"/>
    </row>
    <row r="129" spans="1:21" s="65" customFormat="1">
      <c r="A129" s="134"/>
      <c r="B129" s="197"/>
      <c r="C129" s="197"/>
      <c r="D129" s="198"/>
      <c r="E129" s="134"/>
      <c r="F129" s="44"/>
      <c r="G129" s="134"/>
      <c r="H129" s="134"/>
      <c r="I129" s="44"/>
      <c r="J129" s="134"/>
      <c r="K129" s="255"/>
      <c r="L129" s="256"/>
      <c r="M129" s="134"/>
      <c r="N129" s="134"/>
      <c r="O129" s="134"/>
      <c r="P129" s="134"/>
      <c r="Q129" s="134"/>
      <c r="U129" s="66"/>
    </row>
    <row r="130" spans="1:21" s="65" customFormat="1">
      <c r="A130" s="2327" t="s">
        <v>713</v>
      </c>
      <c r="B130" s="2328"/>
      <c r="C130" s="474" t="s">
        <v>13</v>
      </c>
      <c r="D130" s="475"/>
      <c r="E130" s="475"/>
      <c r="F130" s="475"/>
      <c r="G130" s="476"/>
      <c r="H130" s="476"/>
      <c r="I130" s="476"/>
      <c r="J130" s="476"/>
      <c r="K130" s="476"/>
      <c r="L130" s="475"/>
      <c r="M130" s="475"/>
      <c r="N130" s="475"/>
      <c r="O130" s="475"/>
      <c r="P130" s="498"/>
      <c r="T130" s="66"/>
    </row>
    <row r="131" spans="1:21" s="65" customFormat="1" ht="22.5" customHeight="1">
      <c r="A131" s="135" t="s">
        <v>1</v>
      </c>
      <c r="B131" s="135" t="s">
        <v>100</v>
      </c>
      <c r="C131" s="136" t="s">
        <v>97</v>
      </c>
      <c r="D131" s="295" t="s">
        <v>494</v>
      </c>
      <c r="E131" s="477" t="s">
        <v>495</v>
      </c>
      <c r="F131" s="478" t="s">
        <v>496</v>
      </c>
      <c r="G131" s="479" t="s">
        <v>101</v>
      </c>
      <c r="H131" s="479" t="s">
        <v>98</v>
      </c>
      <c r="I131" s="479" t="s">
        <v>96</v>
      </c>
      <c r="J131" s="479" t="s">
        <v>715</v>
      </c>
      <c r="K131" s="479" t="s">
        <v>716</v>
      </c>
      <c r="L131" s="499">
        <v>0</v>
      </c>
      <c r="M131" s="340">
        <v>1</v>
      </c>
      <c r="N131" s="340">
        <v>2</v>
      </c>
      <c r="O131" s="340">
        <v>3</v>
      </c>
      <c r="P131" s="500" t="s">
        <v>1367</v>
      </c>
      <c r="T131" s="66"/>
    </row>
    <row r="132" spans="1:21" s="65" customFormat="1">
      <c r="A132" s="142" t="s">
        <v>1892</v>
      </c>
      <c r="B132" s="267">
        <f>IFERROR(VLOOKUP(A132,'ИПП (2)'!$B$32:$J$45,6,0),"")</f>
        <v>300</v>
      </c>
      <c r="C132" s="268">
        <f>IFERROR(VLOOKUP(A132,'ИПП (2)'!$B$32:$J$45,7,0),"")</f>
        <v>28588795</v>
      </c>
      <c r="D132" s="257">
        <f>SUMIFS(sept20212223373839[м2],sept20212223373839[МОП],$A132,sept20212223373839[№ дома],$C$130,sept20212223373839[Комнатность],"&lt;&gt;Офис")</f>
        <v>130.48000000000002</v>
      </c>
      <c r="E132" s="52">
        <f>SUMIFS(sept20212223373839[Сумма без отделки],sept20212223373839[МОП],$A132,sept20212223373839[№ дома],$C$130,sept20212223373839[Комнатность],"&lt;&gt;Офис")</f>
        <v>13611292</v>
      </c>
      <c r="F132" s="413">
        <f>COUNTIFS(sept20212223373839[МОП],$A132,sept20212223373839[№ дома],$C$130,sept20212223373839[Комнатность],"&lt;&gt;Офис")</f>
        <v>3</v>
      </c>
      <c r="G132" s="202">
        <f>SUMIFS(РД[S],РД[Дом],$C$130,РД[МОП],A132,РД[Дата подачи на регистрацию],"&lt;="&amp;$A$1,РД[Дата подачи на регистрацию],"&gt;="&amp;DATE(YEAR($A$1),MONTH($A$1),1),РД[Состояние],"Продажа")</f>
        <v>130.48000000000002</v>
      </c>
      <c r="H132" s="203">
        <f>SUMIFS(РД[Стоимость без отделки итог],РД[Дом],$C$130,РД[МОП],A132,РД[Дата подачи на регистрацию],"&lt;="&amp;$A$1,РД[Дата подачи на регистрацию],"&gt;="&amp;DATE(YEAR($A$1),MONTH($A$1),1),РД[Состояние],"Продажа")</f>
        <v>13611292</v>
      </c>
      <c r="I132" s="226">
        <f>COUNTIFS(РД[Дом],$C$130,РД[МОП],A132,РД[Дата подачи на регистрацию],"&lt;="&amp;$A$1,РД[Дата подачи на регистрацию],"&gt;="&amp;DATE(YEAR($A$1),MONTH($A$1),1),РД[Состояние],"Продажа")</f>
        <v>3</v>
      </c>
      <c r="J132" s="224">
        <f t="shared" ref="J132:K137" si="4">IFERROR(G132/B132,)</f>
        <v>0.43493333333333339</v>
      </c>
      <c r="K132" s="225">
        <f t="shared" si="4"/>
        <v>0.47610583097328868</v>
      </c>
      <c r="L132" s="257">
        <f>COUNTIFS(РД[Тип кв],L$131,РД[МОП],$A132,РД[Дом],$C$130,РД[Дата подачи на регистрацию],"&lt;="&amp;$A$1,РД[Дата подачи на регистрацию],"&gt;="&amp;DATE(YEAR($A$1),MONTH($A$1),1))</f>
        <v>1</v>
      </c>
      <c r="M132" s="226">
        <f>COUNTIFS(РД[Тип кв],M$131,РД[МОП],$A132,РД[Дом],$C$130,РД[Дата подачи на регистрацию],"&lt;="&amp;$A$1,РД[Дата подачи на регистрацию],"&gt;="&amp;DATE(YEAR($A$1),MONTH($A$1),1))</f>
        <v>0</v>
      </c>
      <c r="N132" s="226">
        <f>COUNTIFS(РД[Тип кв],N$131,РД[МОП],$A132,РД[Дом],$C$130,РД[Дата подачи на регистрацию],"&lt;="&amp;$A$1,РД[Дата подачи на регистрацию],"&gt;="&amp;DATE(YEAR($A$1),MONTH($A$1),1))</f>
        <v>2</v>
      </c>
      <c r="O132" s="226">
        <f>COUNTIFS(РД[Тип кв],O$131,РД[МОП],$A132,РД[Дом],$C$130,РД[Дата подачи на регистрацию],"&lt;="&amp;$A$1,РД[Дата подачи на регистрацию],"&gt;="&amp;DATE(YEAR($A$1),MONTH($A$1),1))</f>
        <v>0</v>
      </c>
      <c r="P132" s="227">
        <f>COUNTIFS(РД[Тип кв],P$131,РД[МОП],$A132,РД[Дом],$C$130,РД[Дата подачи на регистрацию],"&lt;="&amp;$A$1,РД[Дата подачи на регистрацию],"&gt;="&amp;DATE(YEAR($A$1),MONTH($A$1),1))</f>
        <v>0</v>
      </c>
      <c r="T132" s="66"/>
    </row>
    <row r="133" spans="1:21" s="65" customFormat="1">
      <c r="A133" s="398" t="s">
        <v>8</v>
      </c>
      <c r="B133" s="267">
        <f>IFERROR(VLOOKUP(A133,'ИПП (2)'!$B$32:$J$45,6,0),"")</f>
        <v>581</v>
      </c>
      <c r="C133" s="268">
        <f>IFERROR(VLOOKUP(A133,'ИПП (2)'!$B$32:$J$45,7,0),"")</f>
        <v>55271670</v>
      </c>
      <c r="D133" s="257">
        <f>SUMIFS(sept20212223373839[м2],sept20212223373839[МОП],$A133,sept20212223373839[№ дома],$C$130,sept20212223373839[Комнатность],"&lt;&gt;Офис")</f>
        <v>142.78</v>
      </c>
      <c r="E133" s="52">
        <f>SUMIFS(sept20212223373839[Сумма без отделки],sept20212223373839[МОП],$A133,sept20212223373839[№ дома],$C$130,sept20212223373839[Комнатность],"&lt;&gt;Офис")</f>
        <v>14649530</v>
      </c>
      <c r="F133" s="413">
        <f>COUNTIFS(sept20212223373839[МОП],$A133,sept20212223373839[№ дома],$C$130,sept20212223373839[Комнатность],"&lt;&gt;Офис")</f>
        <v>3</v>
      </c>
      <c r="G133" s="202">
        <f>SUMIFS(РД[S],РД[Дом],$C$130,РД[МОП],A133,РД[Дата подачи на регистрацию],"&lt;="&amp;$A$1,РД[Дата подачи на регистрацию],"&gt;="&amp;DATE(YEAR($A$1),MONTH($A$1),1),РД[Состояние],"Продажа")</f>
        <v>185.99</v>
      </c>
      <c r="H133" s="203">
        <f>SUMIFS(РД[Стоимость без отделки итог],РД[Дом],$C$130,РД[МОП],A133,РД[Дата подачи на регистрацию],"&lt;="&amp;$A$1,РД[Дата подачи на регистрацию],"&gt;="&amp;DATE(YEAR($A$1),MONTH($A$1),1),РД[Состояние],"Продажа")</f>
        <v>19192742</v>
      </c>
      <c r="I133" s="226">
        <f>COUNTIFS(РД[Дом],$C$130,РД[МОП],A133,РД[Дата подачи на регистрацию],"&lt;="&amp;$A$1,РД[Дата подачи на регистрацию],"&gt;="&amp;DATE(YEAR($A$1),MONTH($A$1),1),РД[Состояние],"Продажа")</f>
        <v>4</v>
      </c>
      <c r="J133" s="224">
        <f t="shared" si="4"/>
        <v>0.32012048192771086</v>
      </c>
      <c r="K133" s="225">
        <f t="shared" si="4"/>
        <v>0.34724375073161351</v>
      </c>
      <c r="L133" s="257">
        <f>COUNTIFS(РД[Тип кв],L$131,РД[МОП],$A133,РД[Дом],$C$130,РД[Дата подачи на регистрацию],"&lt;="&amp;$A$1,РД[Дата подачи на регистрацию],"&gt;="&amp;DATE(YEAR($A$1),MONTH($A$1),1))</f>
        <v>0</v>
      </c>
      <c r="M133" s="226">
        <f>COUNTIFS(РД[Тип кв],M$131,РД[МОП],$A133,РД[Дом],$C$130,РД[Дата подачи на регистрацию],"&lt;="&amp;$A$1,РД[Дата подачи на регистрацию],"&gt;="&amp;DATE(YEAR($A$1),MONTH($A$1),1))</f>
        <v>3</v>
      </c>
      <c r="N133" s="226">
        <f>COUNTIFS(РД[Тип кв],N$131,РД[МОП],$A133,РД[Дом],$C$130,РД[Дата подачи на регистрацию],"&lt;="&amp;$A$1,РД[Дата подачи на регистрацию],"&gt;="&amp;DATE(YEAR($A$1),MONTH($A$1),1))</f>
        <v>1</v>
      </c>
      <c r="O133" s="226">
        <f>COUNTIFS(РД[Тип кв],O$131,РД[МОП],$A133,РД[Дом],$C$130,РД[Дата подачи на регистрацию],"&lt;="&amp;$A$1,РД[Дата подачи на регистрацию],"&gt;="&amp;DATE(YEAR($A$1),MONTH($A$1),1))</f>
        <v>0</v>
      </c>
      <c r="P133" s="227">
        <f>COUNTIFS(РД[Тип кв],P$131,РД[МОП],$A133,РД[Дом],$C$130,РД[Дата подачи на регистрацию],"&lt;="&amp;$A$1,РД[Дата подачи на регистрацию],"&gt;="&amp;DATE(YEAR($A$1),MONTH($A$1),1))</f>
        <v>0</v>
      </c>
      <c r="T133" s="66"/>
    </row>
    <row r="134" spans="1:21" s="65" customFormat="1">
      <c r="A134" s="153" t="s">
        <v>20</v>
      </c>
      <c r="B134" s="267">
        <f>IFERROR(VLOOKUP(A134,'ИПП (2)'!$B$32:$J$45,6,0),"")</f>
        <v>602</v>
      </c>
      <c r="C134" s="268">
        <f>IFERROR(VLOOKUP(A134,'ИПП (2)'!$B$32:$J$45,7,0),"")</f>
        <v>57177590</v>
      </c>
      <c r="D134" s="257">
        <f>SUMIFS(sept20212223373839[м2],sept20212223373839[МОП],$A134,sept20212223373839[№ дома],$C$130,sept20212223373839[Комнатность],"&lt;&gt;Офис")</f>
        <v>289.20999999999998</v>
      </c>
      <c r="E134" s="52">
        <f>SUMIFS(sept20212223373839[Сумма без отделки],sept20212223373839[МОП],$A134,sept20212223373839[№ дома],$C$130,sept20212223373839[Комнатность],"&lt;&gt;Офис")</f>
        <v>27986504</v>
      </c>
      <c r="F134" s="413">
        <f>COUNTIFS(sept20212223373839[МОП],$A134,sept20212223373839[№ дома],$C$130,sept20212223373839[Комнатность],"&lt;&gt;Офис")</f>
        <v>5</v>
      </c>
      <c r="G134" s="202">
        <f>SUMIFS(РД[S],РД[Дом],$C$130,РД[МОП],A134,РД[Дата подачи на регистрацию],"&lt;="&amp;$A$1,РД[Дата подачи на регистрацию],"&gt;="&amp;DATE(YEAR($A$1),MONTH($A$1),1),РД[Состояние],"Продажа")</f>
        <v>370.18</v>
      </c>
      <c r="H134" s="203">
        <f>SUMIFS(РД[Стоимость без отделки итог],РД[Дом],$C$130,РД[МОП],A134,РД[Дата подачи на регистрацию],"&lt;="&amp;$A$1,РД[Дата подачи на регистрацию],"&gt;="&amp;DATE(YEAR($A$1),MONTH($A$1),1),РД[Состояние],"Продажа")</f>
        <v>34922224</v>
      </c>
      <c r="I134" s="226">
        <f>COUNTIFS(РД[Дом],$C$130,РД[МОП],A134,РД[Дата подачи на регистрацию],"&lt;="&amp;$A$1,РД[Дата подачи на регистрацию],"&gt;="&amp;DATE(YEAR($A$1),MONTH($A$1),1),РД[Состояние],"Продажа")</f>
        <v>6</v>
      </c>
      <c r="J134" s="224">
        <f t="shared" si="4"/>
        <v>0.61491694352159465</v>
      </c>
      <c r="K134" s="225">
        <f t="shared" si="4"/>
        <v>0.61076768013482208</v>
      </c>
      <c r="L134" s="257">
        <f>COUNTIFS(РД[Тип кв],L$131,РД[МОП],$A134,РД[Дом],$C$130,РД[Дата подачи на регистрацию],"&lt;="&amp;$A$1,РД[Дата подачи на регистрацию],"&gt;="&amp;DATE(YEAR($A$1),MONTH($A$1),1))</f>
        <v>0</v>
      </c>
      <c r="M134" s="226">
        <f>COUNTIFS(РД[Тип кв],M$131,РД[МОП],$A134,РД[Дом],$C$130,РД[Дата подачи на регистрацию],"&lt;="&amp;$A$1,РД[Дата подачи на регистрацию],"&gt;="&amp;DATE(YEAR($A$1),MONTH($A$1),1))</f>
        <v>1</v>
      </c>
      <c r="N134" s="226">
        <f>COUNTIFS(РД[Тип кв],N$131,РД[МОП],$A134,РД[Дом],$C$130,РД[Дата подачи на регистрацию],"&lt;="&amp;$A$1,РД[Дата подачи на регистрацию],"&gt;="&amp;DATE(YEAR($A$1),MONTH($A$1),1))</f>
        <v>3</v>
      </c>
      <c r="O134" s="226">
        <f>COUNTIFS(РД[Тип кв],O$131,РД[МОП],$A134,РД[Дом],$C$130,РД[Дата подачи на регистрацию],"&lt;="&amp;$A$1,РД[Дата подачи на регистрацию],"&gt;="&amp;DATE(YEAR($A$1),MONTH($A$1),1))</f>
        <v>2</v>
      </c>
      <c r="P134" s="227">
        <f>COUNTIFS(РД[Тип кв],P$131,РД[МОП],$A134,РД[Дом],$C$130,РД[Дата подачи на регистрацию],"&lt;="&amp;$A$1,РД[Дата подачи на регистрацию],"&gt;="&amp;DATE(YEAR($A$1),MONTH($A$1),1))</f>
        <v>0</v>
      </c>
      <c r="T134" s="66"/>
    </row>
    <row r="135" spans="1:21" s="65" customFormat="1">
      <c r="A135" s="153" t="s">
        <v>14</v>
      </c>
      <c r="B135" s="293">
        <f>IFERROR(VLOOKUP(A135,'ИПП (2)'!$B$32:$J$45,6,0),"")</f>
        <v>521</v>
      </c>
      <c r="C135" s="556">
        <f>IFERROR(VLOOKUP(A135,'ИПП (2)'!$B$32:$J$45,7,0),"")</f>
        <v>49553913</v>
      </c>
      <c r="D135" s="329">
        <f>SUMIFS(sept20212223373839[м2],sept20212223373839[МОП],$A135,sept20212223373839[№ дома],$C$130,sept20212223373839[Комнатность],"&lt;&gt;Офис")</f>
        <v>415.34000000000003</v>
      </c>
      <c r="E135" s="363">
        <f>SUMIFS(sept20212223373839[Сумма без отделки],sept20212223373839[МОП],$A135,sept20212223373839[№ дома],$C$130,sept20212223373839[Комнатность],"&lt;&gt;Офис")</f>
        <v>38590512</v>
      </c>
      <c r="F135" s="414">
        <f>COUNTIFS(sept20212223373839[МОП],$A135,sept20212223373839[№ дома],$C$130,sept20212223373839[Комнатность],"&lt;&gt;Офис")</f>
        <v>6</v>
      </c>
      <c r="G135" s="358">
        <f>SUMIFS(РД[S],РД[Дом],$C$130,РД[МОП],A135,РД[Дата подачи на регистрацию],"&lt;="&amp;$A$1,РД[Дата подачи на регистрацию],"&gt;="&amp;DATE(YEAR($A$1),MONTH($A$1),1),РД[Состояние],"Продажа")</f>
        <v>415.34000000000003</v>
      </c>
      <c r="H135" s="359">
        <f>SUMIFS(РД[Стоимость без отделки итог],РД[Дом],$C$130,РД[МОП],A135,РД[Дата подачи на регистрацию],"&lt;="&amp;$A$1,РД[Дата подачи на регистрацию],"&gt;="&amp;DATE(YEAR($A$1),MONTH($A$1),1),РД[Состояние],"Продажа")</f>
        <v>38590512</v>
      </c>
      <c r="I135" s="330">
        <f>COUNTIFS(РД[Дом],$C$130,РД[МОП],A135,РД[Дата подачи на регистрацию],"&lt;="&amp;$A$1,РД[Дата подачи на регистрацию],"&gt;="&amp;DATE(YEAR($A$1),MONTH($A$1),1),РД[Состояние],"Продажа")</f>
        <v>6</v>
      </c>
      <c r="J135" s="360">
        <f t="shared" si="4"/>
        <v>0.79719769673704421</v>
      </c>
      <c r="K135" s="361">
        <f t="shared" si="4"/>
        <v>0.77875811744674939</v>
      </c>
      <c r="L135" s="329">
        <f>COUNTIFS(РД[Тип кв],L$131,РД[МОП],$A135,РД[Дом],$C$130,РД[Дата подачи на регистрацию],"&lt;="&amp;$A$1,РД[Дата подачи на регистрацию],"&gt;="&amp;DATE(YEAR($A$1),MONTH($A$1),1))</f>
        <v>0</v>
      </c>
      <c r="M135" s="330">
        <f>COUNTIFS(РД[Тип кв],M$131,РД[МОП],$A135,РД[Дом],$C$130,РД[Дата подачи на регистрацию],"&lt;="&amp;$A$1,РД[Дата подачи на регистрацию],"&gt;="&amp;DATE(YEAR($A$1),MONTH($A$1),1))</f>
        <v>0</v>
      </c>
      <c r="N135" s="330">
        <f>COUNTIFS(РД[Тип кв],N$131,РД[МОП],$A135,РД[Дом],$C$130,РД[Дата подачи на регистрацию],"&lt;="&amp;$A$1,РД[Дата подачи на регистрацию],"&gt;="&amp;DATE(YEAR($A$1),MONTH($A$1),1))</f>
        <v>3</v>
      </c>
      <c r="O135" s="330">
        <f>COUNTIFS(РД[Тип кв],O$131,РД[МОП],$A135,РД[Дом],$C$130,РД[Дата подачи на регистрацию],"&lt;="&amp;$A$1,РД[Дата подачи на регистрацию],"&gt;="&amp;DATE(YEAR($A$1),MONTH($A$1),1))</f>
        <v>3</v>
      </c>
      <c r="P135" s="331">
        <f>COUNTIFS(РД[Тип кв],P$131,РД[МОП],$A135,РД[Дом],$C$130,РД[Дата подачи на регистрацию],"&lt;="&amp;$A$1,РД[Дата подачи на регистрацию],"&gt;="&amp;DATE(YEAR($A$1),MONTH($A$1),1))</f>
        <v>0</v>
      </c>
      <c r="T135" s="66"/>
    </row>
    <row r="136" spans="1:21" s="65" customFormat="1">
      <c r="A136" s="154" t="s">
        <v>29</v>
      </c>
      <c r="B136" s="274" t="str">
        <f>IFERROR(VLOOKUP(A136,'Индивидуальный план'!$R$3:$T$14,2,0),"")</f>
        <v/>
      </c>
      <c r="C136" s="275" t="str">
        <f>IFERROR(VLOOKUP(A136,'Индивидуальный план'!$R$3:$T$14,3,0),"")</f>
        <v/>
      </c>
      <c r="D136" s="341">
        <f>SUMIFS(sept20212223373839[м2],sept20212223373839[МОП],$A136,sept20212223373839[№ дома],$C$130,sept20212223373839[Комнатность],"&lt;&gt;Офис")</f>
        <v>0</v>
      </c>
      <c r="E136" s="277">
        <f>SUMIFS(sept20212223373839[Сумма без отделки],sept20212223373839[МОП],$A136,sept20212223373839[№ дома],$C$130,sept20212223373839[Комнатность],"&lt;&gt;Офис")</f>
        <v>0</v>
      </c>
      <c r="F136" s="405">
        <f>COUNTIFS(sept20212223373839[МОП],$A136,sept20212223373839[№ дома],$C$130,sept20212223373839[Комнатность],"&lt;&gt;Офис")</f>
        <v>0</v>
      </c>
      <c r="G136" s="159">
        <f>SUMIFS(РД[S],РД[Дом],$C$130,РД[МОП],A136,РД[Дата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H136" s="160">
        <f>SUMIFS(РД[Стоимость без отделки итог],РД[Дом],$C$130,РД[МОП],A136,РД[Дата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228">
        <f>COUNTIFS(РД[Дом],$C$130,РД[МОП],A136,РД[Дата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9">
        <f t="shared" si="4"/>
        <v>0</v>
      </c>
      <c r="K136" s="230">
        <f t="shared" si="4"/>
        <v>0</v>
      </c>
      <c r="L136" s="341">
        <f>COUNTIFS(РД[Тип кв],L$131,РД[МОП],$A136,РД[Дом],$C$130,РД[Дата подачи на регистрацию],"&lt;="&amp;$A$1,РД[Дата подачи на регистрацию],"&gt;="&amp;DATE(YEAR($A$1),MONTH($A$1),1))</f>
        <v>0</v>
      </c>
      <c r="M136" s="228">
        <f>COUNTIFS(РД[Тип кв],M$131,РД[МОП],$A136,РД[Дом],$C$130,РД[Дата подачи на регистрацию],"&lt;="&amp;$A$1,РД[Дата подачи на регистрацию],"&gt;="&amp;DATE(YEAR($A$1),MONTH($A$1),1))</f>
        <v>0</v>
      </c>
      <c r="N136" s="228">
        <f>COUNTIFS(РД[Тип кв],N$131,РД[МОП],$A136,РД[Дом],$C$130,РД[Дата подачи на регистрацию],"&lt;="&amp;$A$1,РД[Дата подачи на регистрацию],"&gt;="&amp;DATE(YEAR($A$1),MONTH($A$1),1))</f>
        <v>0</v>
      </c>
      <c r="O136" s="228">
        <f>COUNTIFS(РД[Тип кв],O$131,РД[МОП],$A136,РД[Дом],$C$130,РД[Дата подачи на регистрацию],"&lt;="&amp;$A$1,РД[Дата подачи на регистрацию],"&gt;="&amp;DATE(YEAR($A$1),MONTH($A$1),1))</f>
        <v>0</v>
      </c>
      <c r="P136" s="231">
        <f>COUNTIFS(РД[Тип кв],P$131,РД[МОП],$A136,РД[Дом],$C$130,РД[Дата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61" t="s">
        <v>1919</v>
      </c>
      <c r="B137" s="278" t="str">
        <f>IFERROR(VLOOKUP(A137,'Индивидуальный план'!$R$3:$T$14,2,0),"")</f>
        <v/>
      </c>
      <c r="C137" s="279" t="str">
        <f>IFERROR(VLOOKUP(A137,'Индивидуальный план'!$R$3:$T$14,3,0),"")</f>
        <v/>
      </c>
      <c r="D137" s="406">
        <f>SUMIFS(sept20212223373839[м2],sept20212223373839[МОП],$A137,sept20212223373839[№ дома],$C$130,sept20212223373839[Комнатность],"&lt;&gt;Офис")</f>
        <v>124.18</v>
      </c>
      <c r="E137" s="281">
        <f>SUMIFS(sept20212223373839[Сумма без отделки],sept20212223373839[МОП],$A137,sept20212223373839[№ дома],$C$130,sept20212223373839[Комнатность],"&lt;&gt;Офис")</f>
        <v>12035012</v>
      </c>
      <c r="F137" s="407">
        <f>COUNTIFS(sept20212223373839[МОП],$A137,sept20212223373839[№ дома],$C$130,sept20212223373839[Комнатность],"&lt;&gt;Офис")</f>
        <v>2</v>
      </c>
      <c r="G137" s="166">
        <f>SUMIFS(РД[S],РД[Дом],$C$130,РД[МОП],A137,РД[Дата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H137" s="167">
        <f>SUMIFS(РД[Стоимость без отделки итог],РД[Дом],$C$130,РД[МОП],A137,РД[Дата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232">
        <f>COUNTIFS(РД[Дом],$C$130,РД[МОП],A137,РД[Дата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3">
        <f t="shared" si="4"/>
        <v>0</v>
      </c>
      <c r="K137" s="234">
        <f t="shared" si="4"/>
        <v>0</v>
      </c>
      <c r="L137" s="406">
        <f>COUNTIFS(РД[Тип кв],L$131,РД[МОП],$A137,РД[Дом],$C$130,РД[Дата подачи на регистрацию],"&lt;="&amp;$A$1,РД[Дата подачи на регистрацию],"&gt;="&amp;DATE(YEAR($A$1),MONTH($A$1),1))</f>
        <v>0</v>
      </c>
      <c r="M137" s="232">
        <f>COUNTIFS(РД[Тип кв],M$131,РД[МОП],$A137,РД[Дом],$C$130,РД[Дата подачи на регистрацию],"&lt;="&amp;$A$1,РД[Дата подачи на регистрацию],"&gt;="&amp;DATE(YEAR($A$1),MONTH($A$1),1))</f>
        <v>0</v>
      </c>
      <c r="N137" s="232">
        <f>COUNTIFS(РД[Тип кв],N$131,РД[МОП],$A137,РД[Дом],$C$130,РД[Дата подачи на регистрацию],"&lt;="&amp;$A$1,РД[Дата подачи на регистрацию],"&gt;="&amp;DATE(YEAR($A$1),MONTH($A$1),1))</f>
        <v>0</v>
      </c>
      <c r="O137" s="232">
        <f>COUNTIFS(РД[Тип кв],O$131,РД[МОП],$A137,РД[Дом],$C$130,РД[Дата подачи на регистрацию],"&lt;="&amp;$A$1,РД[Дата подачи на регистрацию],"&gt;="&amp;DATE(YEAR($A$1),MONTH($A$1),1))</f>
        <v>0</v>
      </c>
      <c r="P137" s="337">
        <f>COUNTIFS(РД[Тип кв],P$131,РД[МОП],$A137,РД[Дом],$C$130,РД[Дата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68" t="s">
        <v>114</v>
      </c>
      <c r="B138" s="172">
        <f t="shared" ref="B138:I138" si="5">SUM(B132:B137)</f>
        <v>2004</v>
      </c>
      <c r="C138" s="480">
        <f t="shared" si="5"/>
        <v>190591968</v>
      </c>
      <c r="D138" s="173">
        <f t="shared" si="5"/>
        <v>1101.99</v>
      </c>
      <c r="E138" s="173">
        <f t="shared" si="5"/>
        <v>106872850</v>
      </c>
      <c r="F138" s="171">
        <f t="shared" si="5"/>
        <v>19</v>
      </c>
      <c r="G138" s="172">
        <f t="shared" si="5"/>
        <v>1101.9900000000002</v>
      </c>
      <c r="H138" s="173">
        <f t="shared" si="5"/>
        <v>106316770</v>
      </c>
      <c r="I138" s="170">
        <f t="shared" si="5"/>
        <v>19</v>
      </c>
      <c r="J138" s="238">
        <f>IFERROR(G138/B138,"")</f>
        <v>0.54989520958083848</v>
      </c>
      <c r="K138" s="501">
        <f>IFERROR(H138/C138,"")</f>
        <v>0.55782397923505356</v>
      </c>
      <c r="L138" s="171">
        <f>SUM(L132:L137)</f>
        <v>1</v>
      </c>
      <c r="M138" s="171">
        <f>SUM(M132:M137)</f>
        <v>4</v>
      </c>
      <c r="N138" s="171">
        <f>SUM(N132:N137)</f>
        <v>9</v>
      </c>
      <c r="O138" s="171">
        <f>SUM(O132:O137)</f>
        <v>5</v>
      </c>
      <c r="P138" s="171">
        <f>SUM(P132:P137)</f>
        <v>0</v>
      </c>
      <c r="T138" s="66"/>
    </row>
    <row r="139" spans="1:21" s="65" customFormat="1" ht="22.5" customHeight="1">
      <c r="A139" s="135" t="s">
        <v>115</v>
      </c>
      <c r="B139" s="135" t="s">
        <v>100</v>
      </c>
      <c r="C139" s="136" t="s">
        <v>97</v>
      </c>
      <c r="D139" s="295" t="s">
        <v>494</v>
      </c>
      <c r="E139" s="138" t="s">
        <v>495</v>
      </c>
      <c r="F139" s="470" t="s">
        <v>496</v>
      </c>
      <c r="G139" s="481" t="s">
        <v>101</v>
      </c>
      <c r="H139" s="482" t="s">
        <v>98</v>
      </c>
      <c r="I139" s="482" t="s">
        <v>96</v>
      </c>
      <c r="J139" s="502" t="s">
        <v>715</v>
      </c>
      <c r="K139" s="503" t="s">
        <v>716</v>
      </c>
      <c r="L139" s="504">
        <v>0</v>
      </c>
      <c r="M139" s="505">
        <v>1</v>
      </c>
      <c r="N139" s="505">
        <v>2</v>
      </c>
      <c r="O139" s="505">
        <v>3</v>
      </c>
      <c r="P139" s="506" t="s">
        <v>1367</v>
      </c>
      <c r="T139" s="66"/>
    </row>
    <row r="140" spans="1:21" s="65" customFormat="1">
      <c r="A140" s="177" t="s">
        <v>22</v>
      </c>
      <c r="B140" s="267">
        <f>IFERROR(VLOOKUP(A140,'ИПП (2)'!$B$32:$J$45,6,0),"")</f>
        <v>971</v>
      </c>
      <c r="C140" s="268">
        <f>IFERROR(VLOOKUP(A140,'ИПП (2)'!$B$32:$J$45,7,0),"")</f>
        <v>92341807</v>
      </c>
      <c r="D140" s="145">
        <f>SUMIFS(sept20212223373839[м2],sept20212223373839[ИМ],A140,sept20212223373839[№ дома],$C$130,sept20212223373839[Комнатность],"&lt;&gt;Офис")</f>
        <v>618.57000000000005</v>
      </c>
      <c r="E140" s="149">
        <f>SUMIFS(sept20212223373839[Сумма без отделки],sept20212223373839[ИМ],$A140,sept20212223373839[№ дома],$C$130,sept20212223373839[Комнатность],"&lt;&gt;Офис")</f>
        <v>58347310</v>
      </c>
      <c r="F140" s="147">
        <f>COUNTIFS(sept20212223373839[ИМ],$A140,sept20212223373839[№ дома],$C$130,sept20212223373839[Комнатность],"&lt;&gt;Офис")</f>
        <v>9</v>
      </c>
      <c r="G140" s="183">
        <f>SUMIFS(РД[S],РД[Дом],$C$130,РД[ИМ],A140,РД[Дата подачи на регистрацию],"&lt;="&amp;$A$1,РД[Дата подачи на регистрацию],"&gt;="&amp;DATE(YEAR($A$1),MONTH($A$1),1),РД[Состояние],"Продажа")</f>
        <v>618.56999999999994</v>
      </c>
      <c r="H140" s="184">
        <f>SUMIFS(РД[Стоимость без отделки итог],РД[Дом],$C$130,РД[ИМ],A140,РД[Дата подачи на регистрацию],"&lt;="&amp;$A$1,РД[Дата подачи на регистрацию],"&gt;="&amp;DATE(YEAR($A$1),MONTH($A$1),1),РД[Состояние],"Продажа")</f>
        <v>57791230</v>
      </c>
      <c r="I140" s="243">
        <f>COUNTIFS(РД[Дом],$C$130,РД[ИМ],A140,РД[Дата подачи на регистрацию],"&lt;="&amp;$A$1,РД[Дата подачи на регистрацию],"&gt;="&amp;DATE(YEAR($A$1),MONTH($A$1),1),РД[Состояние],"Продажа")</f>
        <v>9</v>
      </c>
      <c r="J140" s="244">
        <f>IFERROR(G140/B140,"")</f>
        <v>0.63704428424304838</v>
      </c>
      <c r="K140" s="245">
        <f>IFERROR(H140/C140,"")</f>
        <v>0.6258403628596958</v>
      </c>
      <c r="L140" s="183">
        <f>COUNTIFS(РД[Тип кв],L131,РД[ИМ],$A140,РД[Дом],$C$130,РД[Дата подачи на регистрацию],"&lt;="&amp;$A$1,РД[Дата подачи на регистрацию],"&gt;="&amp;DATE(YEAR($A$1),MONTH($A$1),1))</f>
        <v>0</v>
      </c>
      <c r="M140" s="243">
        <f>COUNTIFS(РД[Тип кв],M131,РД[ИМ],$A140,РД[Дом],$C$130,РД[Дата подачи на регистрацию],"&lt;="&amp;$A$1,РД[Дата подачи на регистрацию],"&gt;="&amp;DATE(YEAR($A$1),MONTH($A$1),1))</f>
        <v>1</v>
      </c>
      <c r="N140" s="243">
        <f>COUNTIFS(РД[Тип кв],N131,РД[ИМ],$A140,РД[Дом],$C$130,РД[Дата подачи на регистрацию],"&lt;="&amp;$A$1,РД[Дата подачи на регистрацию],"&gt;="&amp;DATE(YEAR($A$1),MONTH($A$1),1))</f>
        <v>3</v>
      </c>
      <c r="O140" s="243">
        <f>COUNTIFS(РД[Тип кв],O131,РД[ИМ],$A140,РД[Дом],$C$130,РД[Дата подачи на регистрацию],"&lt;="&amp;$A$1,РД[Дата подачи на регистрацию],"&gt;="&amp;DATE(YEAR($A$1),MONTH($A$1),1))</f>
        <v>5</v>
      </c>
      <c r="P140" s="246">
        <f>COUNTIFS(РД[Тип кв],P131,РД[ИМ],$A140,РД[Дом],$C$130,РД[Дата подачи на регистрацию],"&lt;="&amp;$A$1,РД[Дата подачи на регистрацию],"&gt;="&amp;DATE(YEAR($A$1),MONTH($A$1),1))</f>
        <v>0</v>
      </c>
      <c r="T140" s="66"/>
    </row>
    <row r="141" spans="1:21" s="65" customFormat="1">
      <c r="A141" s="189" t="s">
        <v>16</v>
      </c>
      <c r="B141" s="267">
        <f>IFERROR(VLOOKUP(A141,'ИПП (2)'!$B$32:$J$45,6,0),"")</f>
        <v>732</v>
      </c>
      <c r="C141" s="268">
        <f>IFERROR(VLOOKUP(A141,'ИПП (2)'!$B$32:$J$45,7,0),"")</f>
        <v>69661365</v>
      </c>
      <c r="D141" s="329">
        <f>SUMIFS(sept20212223373839[м2],sept20212223373839[ИМ],A141,sept20212223373839[№ дома],$C$130,sept20212223373839[Комнатность],"&lt;&gt;Офис")</f>
        <v>483.42</v>
      </c>
      <c r="E141" s="359">
        <f>SUMIFS(sept20212223373839[Сумма без отделки],sept20212223373839[ИМ],$A141,sept20212223373839[№ дома],$C$130,sept20212223373839[Комнатность],"&lt;&gt;Офис")</f>
        <v>48525540</v>
      </c>
      <c r="F141" s="414">
        <f>COUNTIFS(sept20212223373839[ИМ],$A141,sept20212223373839[№ дома],$C$130,sept20212223373839[Комнатность],"&lt;&gt;Офис")</f>
        <v>10</v>
      </c>
      <c r="G141" s="358">
        <f>SUMIFS(РД[S],РД[Дом],$C$130,РД[ИМ],A141,РД[Дата подачи на регистрацию],"&lt;="&amp;$A$1,РД[Дата подачи на регистрацию],"&gt;="&amp;DATE(YEAR($A$1),MONTH($A$1),1),РД[Состояние],"Продажа")</f>
        <v>483.42</v>
      </c>
      <c r="H141" s="359">
        <f>SUMIFS(РД[Стоимость без отделки итог],РД[Дом],$C$130,РД[ИМ],A141,РД[Дата подачи на регистрацию],"&lt;="&amp;$A$1,РД[Дата подачи на регистрацию],"&gt;="&amp;DATE(YEAR($A$1),MONTH($A$1),1),РД[Состояние],"Продажа")</f>
        <v>48525540</v>
      </c>
      <c r="I141" s="330">
        <f>COUNTIFS(РД[Дом],$C$130,РД[ИМ],A141,РД[Дата подачи на регистрацию],"&lt;="&amp;$A$1,РД[Дата подачи на регистрацию],"&gt;="&amp;DATE(YEAR($A$1),MONTH($A$1),1),РД[Состояние],"Продажа")</f>
        <v>10</v>
      </c>
      <c r="J141" s="360">
        <f>IFERROR(G141/B141,"")</f>
        <v>0.6604098360655738</v>
      </c>
      <c r="K141" s="367">
        <f>IFERROR(H141/C141,"")</f>
        <v>0.69659186264868622</v>
      </c>
      <c r="L141" s="195">
        <f>COUNTIFS(РД[Тип кв],L$131,РД[ИМ],$A141,РД[Дом],$C$130,РД[Дата подачи на регистрацию],"&lt;="&amp;$A$1,РД[Дата подачи на регистрацию],"&gt;="&amp;DATE(YEAR($A$1),MONTH($A$1),1))</f>
        <v>1</v>
      </c>
      <c r="M141" s="251">
        <f>COUNTIFS(РД[Тип кв],M$131,РД[ИМ],$A141,РД[Дом],$C$130,РД[Дата подачи на регистрацию],"&lt;="&amp;$A$1,РД[Дата подачи на регистрацию],"&gt;="&amp;DATE(YEAR($A$1),MONTH($A$1),1))</f>
        <v>3</v>
      </c>
      <c r="N141" s="251">
        <f>COUNTIFS(РД[Тип кв],N$131,РД[ИМ],$A141,РД[Дом],$C$130,РД[Дата подачи на регистрацию],"&lt;="&amp;$A$1,РД[Дата подачи на регистрацию],"&gt;="&amp;DATE(YEAR($A$1),MONTH($A$1),1))</f>
        <v>6</v>
      </c>
      <c r="O141" s="251">
        <f>COUNTIFS(РД[Тип кв],O$131,РД[ИМ],$A141,РД[Дом],$C$130,РД[Дата подачи на регистрацию],"&lt;="&amp;$A$1,РД[Дата подачи на регистрацию],"&gt;="&amp;DATE(YEAR($A$1),MONTH($A$1),1))</f>
        <v>0</v>
      </c>
      <c r="P141" s="254">
        <f>COUNTIFS(РД[Тип кв],P$131,РД[ИМ],$A141,РД[Дом],$C$130,РД[Дата подачи на регистрацию],"&lt;="&amp;$A$1,РД[Дата подачи на регистрацию],"&gt;="&amp;DATE(YEAR($A$1),MONTH($A$1),1))</f>
        <v>0</v>
      </c>
      <c r="Q141" s="86"/>
      <c r="R141" s="86"/>
      <c r="S141" s="86"/>
      <c r="T141" s="66"/>
    </row>
    <row r="142" spans="1:21" s="65" customFormat="1">
      <c r="A142" s="317" t="s">
        <v>114</v>
      </c>
      <c r="B142" s="410">
        <f t="shared" ref="B142:I142" si="6">SUM(B140:B141)</f>
        <v>1703</v>
      </c>
      <c r="C142" s="483">
        <f t="shared" si="6"/>
        <v>162003172</v>
      </c>
      <c r="D142" s="484">
        <f t="shared" si="6"/>
        <v>1101.99</v>
      </c>
      <c r="E142" s="429">
        <f t="shared" si="6"/>
        <v>106872850</v>
      </c>
      <c r="F142" s="485">
        <f t="shared" si="6"/>
        <v>19</v>
      </c>
      <c r="G142" s="473">
        <f t="shared" si="6"/>
        <v>1101.99</v>
      </c>
      <c r="H142" s="429">
        <f t="shared" si="6"/>
        <v>106316770</v>
      </c>
      <c r="I142" s="494">
        <f t="shared" si="6"/>
        <v>19</v>
      </c>
      <c r="J142" s="419">
        <f>IFERROR(G142/B142,)</f>
        <v>0.64708749266001175</v>
      </c>
      <c r="K142" s="507">
        <f>IFERROR(H142/C142,)</f>
        <v>0.65626350822315993</v>
      </c>
      <c r="L142" s="317">
        <f t="shared" ref="L142:P142" si="7">SUM(L140:L141)</f>
        <v>1</v>
      </c>
      <c r="M142" s="485">
        <f t="shared" si="7"/>
        <v>4</v>
      </c>
      <c r="N142" s="485">
        <f t="shared" si="7"/>
        <v>9</v>
      </c>
      <c r="O142" s="485">
        <f t="shared" si="7"/>
        <v>5</v>
      </c>
      <c r="P142" s="497">
        <f t="shared" si="7"/>
        <v>0</v>
      </c>
      <c r="Q142" s="86"/>
      <c r="R142" s="86"/>
      <c r="S142" s="86"/>
      <c r="T142" s="66"/>
    </row>
    <row r="143" spans="1:21" s="65" customFormat="1">
      <c r="A143" s="134"/>
      <c r="B143" s="211"/>
      <c r="C143" s="211"/>
      <c r="D143" s="212"/>
      <c r="E143" s="134"/>
      <c r="F143" s="134"/>
      <c r="G143" s="134"/>
      <c r="H143" s="134"/>
      <c r="I143" s="134"/>
      <c r="J143" s="134"/>
      <c r="K143" s="134"/>
      <c r="L143" s="261"/>
      <c r="M143" s="134"/>
      <c r="N143" s="134"/>
      <c r="O143" s="134"/>
      <c r="P143" s="262"/>
      <c r="Q143" s="134"/>
      <c r="U143" s="66"/>
    </row>
    <row r="144" spans="1:21" s="65" customFormat="1">
      <c r="A144" s="2327" t="s">
        <v>713</v>
      </c>
      <c r="B144" s="2328"/>
      <c r="C144" s="474" t="s">
        <v>718</v>
      </c>
      <c r="D144" s="476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134"/>
      <c r="T144" s="66"/>
    </row>
    <row r="145" spans="1:21" s="65" customFormat="1" ht="22.5" customHeight="1">
      <c r="A145" s="135" t="s">
        <v>1</v>
      </c>
      <c r="B145" s="135" t="s">
        <v>100</v>
      </c>
      <c r="C145" s="136" t="s">
        <v>97</v>
      </c>
      <c r="D145" s="486" t="s">
        <v>494</v>
      </c>
      <c r="E145" s="487" t="s">
        <v>495</v>
      </c>
      <c r="F145" s="488" t="s">
        <v>496</v>
      </c>
      <c r="G145" s="489" t="s">
        <v>101</v>
      </c>
      <c r="H145" s="490" t="s">
        <v>98</v>
      </c>
      <c r="I145" s="490" t="s">
        <v>96</v>
      </c>
      <c r="J145" s="490" t="s">
        <v>715</v>
      </c>
      <c r="K145" s="508" t="s">
        <v>716</v>
      </c>
      <c r="L145" s="217">
        <v>0</v>
      </c>
      <c r="M145" s="218">
        <v>1</v>
      </c>
      <c r="N145" s="218">
        <v>2</v>
      </c>
      <c r="O145" s="218">
        <v>3</v>
      </c>
      <c r="P145" s="219" t="s">
        <v>1367</v>
      </c>
      <c r="T145" s="66"/>
    </row>
    <row r="146" spans="1:21" s="65" customFormat="1">
      <c r="A146" s="142" t="s">
        <v>1892</v>
      </c>
      <c r="B146" s="267">
        <f>IFERROR(VLOOKUP(A146,'ИПП (2)'!$B$32:$J$45,8,0),"")</f>
        <v>435</v>
      </c>
      <c r="C146" s="268">
        <f>IFERROR(VLOOKUP(A146,'ИПП (2)'!$B$32:$J$45,9,0),"")</f>
        <v>41199639</v>
      </c>
      <c r="D146" s="257">
        <f>SUMIFS(sept20212223373839[м2],sept20212223373839[МОП],$A146,sept20212223373839[Комнатность],"&lt;&gt;Офис")</f>
        <v>130.48000000000002</v>
      </c>
      <c r="E146" s="52">
        <f>SUMIFS(sept20212223373839[Сумма без отделки],sept20212223373839[МОП],$A146,sept20212223373839[Комнатность],"&lt;&gt;Офис")</f>
        <v>13611292</v>
      </c>
      <c r="F146" s="413">
        <f>COUNTIFS(sept20212223373839[МОП],$A146,sept20212223373839[Комнатность],"&lt;&gt;Офис")</f>
        <v>3</v>
      </c>
      <c r="G146" s="202">
        <f>SUMIFS(РД[S],РД[МОП],A146,РД[Дата подачи на регистрацию],"&lt;="&amp;$A$1,РД[Дата подачи на регистрацию],"&gt;="&amp;DATE(YEAR($A$1),MONTH($A$1),1),РД[Состояние],"Продажа")</f>
        <v>130.48000000000002</v>
      </c>
      <c r="H146" s="203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13611292</v>
      </c>
      <c r="I146" s="226">
        <f>COUNTIFS(РД[МОП],A146,РД[Дата подачи на регистрацию],"&lt;="&amp;$A$1,РД[Дата подачи на регистрацию],"&gt;="&amp;DATE(YEAR($A$1),MONTH($A$1),1),РД[Состояние],"Продажа")</f>
        <v>3</v>
      </c>
      <c r="J146" s="224">
        <f t="shared" ref="J146:K151" si="8">IFERROR(G146/B146,"")</f>
        <v>0.29995402298850576</v>
      </c>
      <c r="K146" s="225">
        <f t="shared" si="8"/>
        <v>0.33037405983096113</v>
      </c>
      <c r="L146" s="325">
        <f>L132+L119</f>
        <v>1</v>
      </c>
      <c r="M146" s="326">
        <f>M132+M119</f>
        <v>1</v>
      </c>
      <c r="N146" s="326">
        <f>N132+N119</f>
        <v>2</v>
      </c>
      <c r="O146" s="326">
        <f>O132+O119</f>
        <v>0</v>
      </c>
      <c r="P146" s="327">
        <f>P132+P119</f>
        <v>0</v>
      </c>
      <c r="T146" s="66"/>
    </row>
    <row r="147" spans="1:21" s="65" customFormat="1">
      <c r="A147" s="398" t="s">
        <v>8</v>
      </c>
      <c r="B147" s="267">
        <f>IFERROR(VLOOKUP(A147,'ИПП (2)'!$B$32:$J$45,8,0),"")</f>
        <v>844</v>
      </c>
      <c r="C147" s="268">
        <f>IFERROR(VLOOKUP(A147,'ИПП (2)'!$B$32:$J$45,9,0),"")</f>
        <v>79652634</v>
      </c>
      <c r="D147" s="257">
        <f>SUMIFS(sept20212223373839[м2],sept20212223373839[МОП],$A147,sept20212223373839[Комнатность],"&lt;&gt;Офис")</f>
        <v>182.52</v>
      </c>
      <c r="E147" s="52">
        <f>SUMIFS(sept20212223373839[Сумма без отделки],sept20212223373839[МОП],$A147,sept20212223373839[Комнатность],"&lt;&gt;Офис")</f>
        <v>19254430</v>
      </c>
      <c r="F147" s="413">
        <f>COUNTIFS(sept20212223373839[МОП],$A147,sept20212223373839[Комнатность],"&lt;&gt;Офис")</f>
        <v>4</v>
      </c>
      <c r="G147" s="202">
        <f>SUMIFS(РД[S],РД[МОП],A147,РД[Дата подачи на регистрацию],"&lt;="&amp;$A$1,РД[Дата подачи на регистрацию],"&gt;="&amp;DATE(YEAR($A$1),MONTH($A$1),1),РД[Состояние],"Продажа")</f>
        <v>225.73000000000002</v>
      </c>
      <c r="H147" s="203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23797642</v>
      </c>
      <c r="I147" s="226">
        <f>COUNTIFS(РД[МОП],A147,РД[Дата подачи на регистрацию],"&lt;="&amp;$A$1,РД[Дата подачи на регистрацию],"&gt;="&amp;DATE(YEAR($A$1),MONTH($A$1),1),РД[Состояние],"Продажа")</f>
        <v>5</v>
      </c>
      <c r="J147" s="224">
        <f t="shared" si="8"/>
        <v>0.26745260663507109</v>
      </c>
      <c r="K147" s="225">
        <f t="shared" si="8"/>
        <v>0.29876779718295315</v>
      </c>
      <c r="L147" s="325">
        <f>L133+L118</f>
        <v>0</v>
      </c>
      <c r="M147" s="326">
        <f>M133+M118</f>
        <v>3</v>
      </c>
      <c r="N147" s="326">
        <f>N133+N118</f>
        <v>1</v>
      </c>
      <c r="O147" s="326">
        <f>O133+O118</f>
        <v>0</v>
      </c>
      <c r="P147" s="327">
        <f>P133+P118</f>
        <v>0</v>
      </c>
      <c r="T147" s="66"/>
    </row>
    <row r="148" spans="1:21" s="65" customFormat="1">
      <c r="A148" s="153" t="s">
        <v>20</v>
      </c>
      <c r="B148" s="267">
        <f>IFERROR(VLOOKUP(A148,'ИПП (2)'!$B$32:$J$45,8,0),"")</f>
        <v>874</v>
      </c>
      <c r="C148" s="268">
        <f>IFERROR(VLOOKUP(A148,'ИПП (2)'!$B$32:$J$45,9,0),"")</f>
        <v>82399277</v>
      </c>
      <c r="D148" s="257">
        <f>SUMIFS(sept20212223373839[м2],sept20212223373839[МОП],$A148,sept20212223373839[Комнатность],"&lt;&gt;Офис")</f>
        <v>357.15999999999997</v>
      </c>
      <c r="E148" s="52">
        <f>SUMIFS(sept20212223373839[Сумма без отделки],sept20212223373839[МОП],$A148,sept20212223373839[Комнатность],"&lt;&gt;Офис")</f>
        <v>34434504</v>
      </c>
      <c r="F148" s="413">
        <f>COUNTIFS(sept20212223373839[МОП],$A148,sept20212223373839[Комнатность],"&lt;&gt;Офис")</f>
        <v>6</v>
      </c>
      <c r="G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438.13</v>
      </c>
      <c r="H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41370224</v>
      </c>
      <c r="I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7</v>
      </c>
      <c r="J148" s="224">
        <f t="shared" si="8"/>
        <v>0.50129290617848965</v>
      </c>
      <c r="K148" s="225">
        <f t="shared" si="8"/>
        <v>0.50207023054340638</v>
      </c>
      <c r="L148" s="325">
        <f>L135+L121</f>
        <v>1</v>
      </c>
      <c r="M148" s="326">
        <f>M135+M121</f>
        <v>3</v>
      </c>
      <c r="N148" s="326">
        <f>N135+N121</f>
        <v>5</v>
      </c>
      <c r="O148" s="326">
        <f>O135+O121</f>
        <v>3</v>
      </c>
      <c r="P148" s="327">
        <f>P135+P121</f>
        <v>0</v>
      </c>
      <c r="T148" s="66"/>
    </row>
    <row r="149" spans="1:21" s="65" customFormat="1">
      <c r="A149" s="153" t="s">
        <v>14</v>
      </c>
      <c r="B149" s="267">
        <f>IFERROR(VLOOKUP(A149,'ИПП (2)'!$B$32:$J$45,8,0),"")</f>
        <v>756</v>
      </c>
      <c r="C149" s="268">
        <f>IFERROR(VLOOKUP(A149,'ИПП (2)'!$B$32:$J$45,9,0),"")</f>
        <v>71412709</v>
      </c>
      <c r="D149" s="329">
        <f>SUMIFS(sept20212223373839[м2],sept20212223373839[МОП],$A149,sept20212223373839[Комнатность],"&lt;&gt;Офис")</f>
        <v>658.88000000000011</v>
      </c>
      <c r="E149" s="363">
        <f>SUMIFS(sept20212223373839[Сумма без отделки],sept20212223373839[МОП],$A149,sept20212223373839[Комнатность],"&lt;&gt;Офис")</f>
        <v>64763812</v>
      </c>
      <c r="F149" s="414">
        <f>COUNTIFS(sept20212223373839[МОП],$A149,sept20212223373839[Комнатность],"&lt;&gt;Офис")</f>
        <v>11</v>
      </c>
      <c r="G149" s="358">
        <f>SUMIFS(РД[S],РД[МОП],A149,РД[Дата подачи на регистрацию],"&lt;="&amp;$A$1,РД[Дата подачи на регистрацию],"&gt;="&amp;DATE(YEAR($A$1),MONTH($A$1),1),РД[Состояние],"Продажа")</f>
        <v>695.33</v>
      </c>
      <c r="H149" s="359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69185712</v>
      </c>
      <c r="I149" s="330">
        <f>COUNTIFS(РД[МОП],A149,РД[Дата подачи на регистрацию],"&lt;="&amp;$A$1,РД[Дата подачи на регистрацию],"&gt;="&amp;DATE(YEAR($A$1),MONTH($A$1),1),РД[Состояние],"Продажа")</f>
        <v>12</v>
      </c>
      <c r="J149" s="360">
        <f t="shared" si="8"/>
        <v>0.91974867724867726</v>
      </c>
      <c r="K149" s="361">
        <f t="shared" si="8"/>
        <v>0.96881511664821451</v>
      </c>
      <c r="L149" s="364">
        <f t="shared" ref="L149:P151" si="9">L135+L121</f>
        <v>1</v>
      </c>
      <c r="M149" s="365">
        <f t="shared" si="9"/>
        <v>3</v>
      </c>
      <c r="N149" s="365">
        <f t="shared" si="9"/>
        <v>5</v>
      </c>
      <c r="O149" s="365">
        <f t="shared" si="9"/>
        <v>3</v>
      </c>
      <c r="P149" s="366">
        <f t="shared" si="9"/>
        <v>0</v>
      </c>
      <c r="Q149" s="86"/>
      <c r="R149" s="86"/>
      <c r="S149" s="86"/>
      <c r="T149" s="66"/>
    </row>
    <row r="150" spans="1:21" s="65" customFormat="1">
      <c r="A150" s="154" t="s">
        <v>29</v>
      </c>
      <c r="B150" s="274"/>
      <c r="C150" s="275"/>
      <c r="D150" s="341">
        <f>SUMIFS(sept20212223373839[м2],sept20212223373839[МОП],$A150,sept20212223373839[Комнатность],"&lt;&gt;Офис")</f>
        <v>0</v>
      </c>
      <c r="E150" s="277">
        <f>SUMIFS(sept20212223373839[Сумма без отделки],sept20212223373839[МОП],$A150,sept20212223373839[Комнатность],"&lt;&gt;Офис")</f>
        <v>0</v>
      </c>
      <c r="F150" s="405">
        <f>COUNTIFS(sept20212223373839[МОП],$A150,sept20212223373839[Комнатность],"&lt;&gt;Офис")</f>
        <v>0</v>
      </c>
      <c r="G150" s="159">
        <f>SUMIFS(РД[S],РД[МОП],A150,РД[Дата подачи на регистрацию],"&lt;="&amp;$A$1,РД[Дата подачи на регистрацию],"&gt;="&amp;DATE(YEAR($A$1),MONTH($A$1),1),РД[Состояние],"Продажа")</f>
        <v>0</v>
      </c>
      <c r="H150" s="160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0</v>
      </c>
      <c r="I150" s="228">
        <f>COUNTIFS(РД[МОП],A150,РД[Дата подачи на регистрацию],"&lt;="&amp;$A$1,РД[Дата подачи на регистрацию],"&gt;="&amp;DATE(YEAR($A$1),MONTH($A$1),1),РД[Состояние],"Продажа")</f>
        <v>0</v>
      </c>
      <c r="J150" s="229" t="str">
        <f t="shared" si="8"/>
        <v/>
      </c>
      <c r="K150" s="230" t="str">
        <f t="shared" si="8"/>
        <v/>
      </c>
      <c r="L150" s="159">
        <f t="shared" si="9"/>
        <v>0</v>
      </c>
      <c r="M150" s="228">
        <f t="shared" si="9"/>
        <v>0</v>
      </c>
      <c r="N150" s="228">
        <f t="shared" si="9"/>
        <v>0</v>
      </c>
      <c r="O150" s="228">
        <f t="shared" si="9"/>
        <v>0</v>
      </c>
      <c r="P150" s="231">
        <f t="shared" si="9"/>
        <v>0</v>
      </c>
      <c r="T150" s="66"/>
    </row>
    <row r="151" spans="1:21" s="65" customFormat="1">
      <c r="A151" s="161" t="s">
        <v>1919</v>
      </c>
      <c r="B151" s="278"/>
      <c r="C151" s="279"/>
      <c r="D151" s="406">
        <f>SUMIFS(sept20212223373839[м2],sept20212223373839[МОП],$A151,sept20212223373839[Комнатность],"&lt;&gt;Офис")</f>
        <v>160.63</v>
      </c>
      <c r="E151" s="281">
        <f>SUMIFS(sept20212223373839[Сумма без отделки],sept20212223373839[МОП],$A151,sept20212223373839[Комнатность],"&lt;&gt;Офис")</f>
        <v>16456912</v>
      </c>
      <c r="F151" s="407">
        <f>COUNTIFS(sept20212223373839[МОП],$A151,sept20212223373839[Комнатность],"&lt;&gt;Офис")</f>
        <v>3</v>
      </c>
      <c r="G151" s="166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H151" s="16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232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33" t="str">
        <f t="shared" si="8"/>
        <v/>
      </c>
      <c r="K151" s="234" t="str">
        <f t="shared" si="8"/>
        <v/>
      </c>
      <c r="L151" s="509">
        <f t="shared" si="9"/>
        <v>0</v>
      </c>
      <c r="M151" s="510">
        <f t="shared" si="9"/>
        <v>0</v>
      </c>
      <c r="N151" s="510">
        <f t="shared" si="9"/>
        <v>0</v>
      </c>
      <c r="O151" s="510">
        <f t="shared" si="9"/>
        <v>0</v>
      </c>
      <c r="P151" s="511">
        <f t="shared" si="9"/>
        <v>0</v>
      </c>
      <c r="T151" s="66"/>
    </row>
    <row r="152" spans="1:21" s="65" customFormat="1">
      <c r="A152" s="168" t="s">
        <v>114</v>
      </c>
      <c r="B152" s="172">
        <f t="shared" ref="B152:I152" si="10">SUM(B146:B151)</f>
        <v>2909</v>
      </c>
      <c r="C152" s="491">
        <f t="shared" si="10"/>
        <v>274664259</v>
      </c>
      <c r="D152" s="173">
        <f t="shared" si="10"/>
        <v>1489.67</v>
      </c>
      <c r="E152" s="492">
        <f t="shared" si="10"/>
        <v>148520950</v>
      </c>
      <c r="F152" s="493">
        <f t="shared" si="10"/>
        <v>27</v>
      </c>
      <c r="G152" s="172">
        <f t="shared" si="10"/>
        <v>1489.67</v>
      </c>
      <c r="H152" s="492">
        <f t="shared" si="10"/>
        <v>147964870</v>
      </c>
      <c r="I152" s="493">
        <f t="shared" si="10"/>
        <v>27</v>
      </c>
      <c r="J152" s="238">
        <f>IFERROR(G152/B152,)</f>
        <v>0.51209006531454115</v>
      </c>
      <c r="K152" s="501">
        <f>IFERROR(H152/C152,)</f>
        <v>0.5387117731979828</v>
      </c>
      <c r="L152" s="471">
        <f>SUM(L146:L151)</f>
        <v>3</v>
      </c>
      <c r="M152" s="471">
        <f>SUM(M146:M151)</f>
        <v>10</v>
      </c>
      <c r="N152" s="471">
        <f>SUM(N146:N151)</f>
        <v>13</v>
      </c>
      <c r="O152" s="471">
        <f>SUM(O146:O151)</f>
        <v>6</v>
      </c>
      <c r="P152" s="471">
        <f>SUM(P146:P151)</f>
        <v>0</v>
      </c>
      <c r="T152" s="66"/>
    </row>
    <row r="153" spans="1:21" s="65" customFormat="1" ht="22.5" customHeight="1">
      <c r="A153" s="135" t="s">
        <v>115</v>
      </c>
      <c r="B153" s="135" t="s">
        <v>100</v>
      </c>
      <c r="C153" s="136" t="s">
        <v>97</v>
      </c>
      <c r="D153" s="295" t="s">
        <v>494</v>
      </c>
      <c r="E153" s="138" t="s">
        <v>495</v>
      </c>
      <c r="F153" s="470" t="s">
        <v>496</v>
      </c>
      <c r="G153" s="140" t="s">
        <v>101</v>
      </c>
      <c r="H153" s="141" t="s">
        <v>98</v>
      </c>
      <c r="I153" s="141" t="s">
        <v>96</v>
      </c>
      <c r="J153" s="141" t="s">
        <v>715</v>
      </c>
      <c r="K153" s="216" t="s">
        <v>716</v>
      </c>
      <c r="L153" s="512">
        <v>0</v>
      </c>
      <c r="M153" s="218">
        <v>1</v>
      </c>
      <c r="N153" s="218">
        <v>2</v>
      </c>
      <c r="O153" s="218">
        <v>3</v>
      </c>
      <c r="P153" s="219" t="s">
        <v>1367</v>
      </c>
      <c r="T153" s="66"/>
    </row>
    <row r="154" spans="1:21" s="65" customFormat="1">
      <c r="A154" s="177" t="s">
        <v>22</v>
      </c>
      <c r="B154" s="291">
        <f>IFERROR(VLOOKUP(A154,'ИПП (2)'!$B$32:$J$45,8,0),"")</f>
        <v>1409</v>
      </c>
      <c r="C154" s="312">
        <f>IFERROR(VLOOKUP(A154,'ИПП (2)'!$B$32:$J$45,9,0),"")</f>
        <v>133074832</v>
      </c>
      <c r="D154" s="145">
        <f>SUMIFS(sept20212223373839[м2],sept20212223373839[ИМ],A154,sept20212223373839[Комнатность],"&lt;&gt;Офис")</f>
        <v>767.76</v>
      </c>
      <c r="E154" s="149">
        <f>SUMIFS(sept20212223373839[Сумма без отделки],sept20212223373839[ИМ],$A154,sept20212223373839[Комнатность],"&lt;&gt;Офис")</f>
        <v>76000310</v>
      </c>
      <c r="F154" s="147">
        <f>COUNTIFS(sept20212223373839[ИМ],A154,sept20212223373839[Комнатность],"&lt;&gt;Офис")</f>
        <v>13</v>
      </c>
      <c r="G154" s="183">
        <f>SUMIFS(РД[S],РД[ИМ],A154,РД[Дата подачи на регистрацию],"&lt;="&amp;$A$1,РД[Дата подачи на регистрацию],"&gt;="&amp;DATE(YEAR($A$1),MONTH($A$1),1),РД[Состояние],"Продажа")</f>
        <v>767.7600000000001</v>
      </c>
      <c r="H154" s="184">
        <f>SUMIFS(РД[Стоимость без отделки итог],РД[ИМ],A154,РД[Дата подачи на регистрацию],"&lt;="&amp;$A$1,РД[Дата подачи на регистрацию],"&gt;="&amp;DATE(YEAR($A$1),MONTH($A$1),1),РД[Состояние],"Продажа")</f>
        <v>75444230</v>
      </c>
      <c r="I154" s="243">
        <f>COUNTIFS(РД[ИМ],A154,РД[Дата подачи на регистрацию],"&lt;="&amp;$A$1,РД[Дата подачи на регистрацию],"&gt;="&amp;DATE(YEAR($A$1),MONTH($A$1),1),РД[Состояние],"Продажа")</f>
        <v>13</v>
      </c>
      <c r="J154" s="244">
        <f t="shared" ref="J154:K156" si="11">IFERROR(G154/B154,"")</f>
        <v>0.54489709013484744</v>
      </c>
      <c r="K154" s="258">
        <f t="shared" si="11"/>
        <v>0.56693086788942926</v>
      </c>
      <c r="L154" s="346">
        <f t="shared" ref="L154:P155" si="12">L140+L126</f>
        <v>1</v>
      </c>
      <c r="M154" s="243">
        <f t="shared" si="12"/>
        <v>4</v>
      </c>
      <c r="N154" s="243">
        <f t="shared" si="12"/>
        <v>3</v>
      </c>
      <c r="O154" s="243">
        <f t="shared" si="12"/>
        <v>5</v>
      </c>
      <c r="P154" s="246">
        <f t="shared" si="12"/>
        <v>0</v>
      </c>
      <c r="Q154" s="66"/>
      <c r="R154" s="66"/>
      <c r="S154" s="66"/>
      <c r="T154" s="66"/>
    </row>
    <row r="155" spans="1:21" s="65" customFormat="1">
      <c r="A155" s="189" t="s">
        <v>16</v>
      </c>
      <c r="B155" s="293">
        <f>IFERROR(VLOOKUP(A155,'ИПП (2)'!$B$32:$J$45,8,0),"")</f>
        <v>1063</v>
      </c>
      <c r="C155" s="556">
        <f>IFERROR(VLOOKUP(A155,'ИПП (2)'!$B$32:$J$45,9,0),"")</f>
        <v>100389787</v>
      </c>
      <c r="D155" s="145">
        <f>SUMIFS(sept20212223373839[м2],sept20212223373839[ИМ],A155,sept20212223373839[Комнатность],"&lt;&gt;Офис")</f>
        <v>721.91</v>
      </c>
      <c r="E155" s="149">
        <f>SUMIFS(sept20212223373839[Сумма без отделки],sept20212223373839[ИМ],$A155,sept20212223373839[Комнатность],"&lt;&gt;Офис")</f>
        <v>72520640</v>
      </c>
      <c r="F155" s="147">
        <f>COUNTIFS(sept20212223373839[ИМ],$A155,sept20212223373839[Комнатность],"&lt;&gt;Офис")</f>
        <v>14</v>
      </c>
      <c r="G155" s="195">
        <f>SUMIFS(РД[S],РД[ИМ],A155,РД[Дата подачи на регистрацию],"&lt;="&amp;$A$1,РД[Дата подачи на регистрацию],"&gt;="&amp;DATE(YEAR($A$1),MONTH($A$1),1),РД[Состояние],"Продажа")</f>
        <v>721.91</v>
      </c>
      <c r="H155" s="196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регистрацию],"&gt;="&amp;DATE(YEAR($A$1),MONTH($A$1),1),РД[Состояние],"Продажа")</f>
        <v>72520640</v>
      </c>
      <c r="I155" s="251">
        <f>COUNTIFS(РД[ИМ],A155,РД[Дата подачи на регистрацию],"&lt;="&amp;$A$1,РД[Дата подачи на регистрацию],"&gt;="&amp;DATE(YEAR($A$1),MONTH($A$1),1),РД[Состояние],"Продажа")</f>
        <v>14</v>
      </c>
      <c r="J155" s="252">
        <f t="shared" si="11"/>
        <v>0.67912511759172156</v>
      </c>
      <c r="K155" s="260">
        <f t="shared" si="11"/>
        <v>0.72239061529237036</v>
      </c>
      <c r="L155" s="329">
        <f t="shared" si="12"/>
        <v>1</v>
      </c>
      <c r="M155" s="330">
        <f t="shared" si="12"/>
        <v>4</v>
      </c>
      <c r="N155" s="330">
        <f t="shared" si="12"/>
        <v>9</v>
      </c>
      <c r="O155" s="330">
        <f t="shared" si="12"/>
        <v>0</v>
      </c>
      <c r="P155" s="331">
        <f t="shared" si="12"/>
        <v>0</v>
      </c>
      <c r="Q155" s="66"/>
      <c r="R155" s="66"/>
      <c r="S155" s="66"/>
      <c r="T155" s="66"/>
    </row>
    <row r="156" spans="1:21" s="65" customFormat="1">
      <c r="A156" s="168" t="s">
        <v>114</v>
      </c>
      <c r="B156" s="172">
        <f>SUM(B154:B155)</f>
        <v>2472</v>
      </c>
      <c r="C156" s="491">
        <f>SUM(C154:C155)</f>
        <v>233464619</v>
      </c>
      <c r="D156" s="484">
        <f t="shared" ref="D156:P156" si="13">SUM(D154:D155)</f>
        <v>1489.67</v>
      </c>
      <c r="E156" s="429">
        <f t="shared" si="13"/>
        <v>148520950</v>
      </c>
      <c r="F156" s="485">
        <f t="shared" si="13"/>
        <v>27</v>
      </c>
      <c r="G156" s="473">
        <f t="shared" si="13"/>
        <v>1489.67</v>
      </c>
      <c r="H156" s="494">
        <f t="shared" si="13"/>
        <v>147964870</v>
      </c>
      <c r="I156" s="494">
        <f t="shared" si="13"/>
        <v>27</v>
      </c>
      <c r="J156" s="419">
        <f t="shared" si="11"/>
        <v>0.6026173139158576</v>
      </c>
      <c r="K156" s="420">
        <f t="shared" si="11"/>
        <v>0.63377855982537556</v>
      </c>
      <c r="L156" s="473">
        <f t="shared" si="13"/>
        <v>2</v>
      </c>
      <c r="M156" s="494">
        <f t="shared" si="13"/>
        <v>8</v>
      </c>
      <c r="N156" s="494">
        <f t="shared" si="13"/>
        <v>12</v>
      </c>
      <c r="O156" s="494">
        <f t="shared" si="13"/>
        <v>5</v>
      </c>
      <c r="P156" s="497">
        <f t="shared" si="13"/>
        <v>0</v>
      </c>
      <c r="Q156" s="66"/>
      <c r="R156" s="66"/>
      <c r="S156" s="66"/>
      <c r="T156" s="66"/>
    </row>
    <row r="157" spans="1:21" s="65" customFormat="1">
      <c r="A157" s="134"/>
      <c r="B157" s="44"/>
      <c r="C157" s="44"/>
      <c r="D157" s="134"/>
      <c r="E157" s="134"/>
      <c r="F157" s="44"/>
      <c r="G157" s="134"/>
      <c r="H157" s="134"/>
      <c r="I157" s="134"/>
      <c r="J157" s="134"/>
      <c r="K157" s="255"/>
      <c r="L157" s="256"/>
      <c r="M157" s="134"/>
      <c r="N157" s="134"/>
      <c r="O157" s="134"/>
      <c r="P157" s="134"/>
      <c r="Q157" s="134"/>
      <c r="T157" s="66"/>
      <c r="U157" s="66"/>
    </row>
    <row r="158" spans="1:21" s="65" customFormat="1" ht="15">
      <c r="A158" s="2314" t="s">
        <v>1368</v>
      </c>
      <c r="B158" s="2315"/>
      <c r="C158" s="2315"/>
      <c r="D158" s="2315"/>
      <c r="E158" s="2315"/>
      <c r="F158" s="2315"/>
      <c r="G158" s="2315"/>
      <c r="H158" s="2315"/>
      <c r="I158" s="2315"/>
      <c r="J158" s="2315"/>
      <c r="K158" s="2315"/>
      <c r="L158" s="2315"/>
      <c r="M158" s="2315"/>
      <c r="N158" s="2316"/>
      <c r="O158" s="339"/>
      <c r="P158" s="66"/>
      <c r="S158" s="66"/>
      <c r="T158" s="66"/>
    </row>
    <row r="159" spans="1:21" s="65" customFormat="1" ht="22.5" customHeight="1">
      <c r="A159" s="135" t="s">
        <v>1</v>
      </c>
      <c r="B159" s="135" t="s">
        <v>100</v>
      </c>
      <c r="C159" s="136" t="s">
        <v>97</v>
      </c>
      <c r="D159" s="264" t="s">
        <v>494</v>
      </c>
      <c r="E159" s="265" t="s">
        <v>495</v>
      </c>
      <c r="F159" s="266" t="s">
        <v>496</v>
      </c>
      <c r="G159" s="140" t="s">
        <v>101</v>
      </c>
      <c r="H159" s="141" t="s">
        <v>98</v>
      </c>
      <c r="I159" s="141" t="s">
        <v>96</v>
      </c>
      <c r="J159" s="141" t="s">
        <v>715</v>
      </c>
      <c r="K159" s="216" t="s">
        <v>716</v>
      </c>
      <c r="L159" s="332" t="s">
        <v>121</v>
      </c>
      <c r="M159" s="218" t="s">
        <v>27</v>
      </c>
      <c r="N159" s="219" t="s">
        <v>7</v>
      </c>
      <c r="O159" s="545"/>
      <c r="P159" s="66"/>
      <c r="S159" s="66"/>
      <c r="T159" s="66"/>
    </row>
    <row r="160" spans="1:21" s="65" customFormat="1">
      <c r="A160" s="142" t="s">
        <v>8</v>
      </c>
      <c r="B160" s="267"/>
      <c r="C160" s="268"/>
      <c r="D160" s="416">
        <f>SUMIFS(sept20212223373839[м2],sept20212223373839[МОП],A160,sept20212223373839[Комнатность],"Офис")</f>
        <v>0</v>
      </c>
      <c r="E160" s="146">
        <f>SUMIFS(sept20212223373839[Сумма без отделки],sept20212223373839[МОП],$A160,sept20212223373839[Комнатность],"оФИС")</f>
        <v>0</v>
      </c>
      <c r="F160" s="417">
        <f>COUNTIFS(sept20212223373839[МОП],$A160,sept20212223373839[Комнатность],"Офис")</f>
        <v>0</v>
      </c>
      <c r="G160" s="267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H160" s="146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21" t="str">
        <f t="shared" ref="J160:K166" si="14">IFERROR(G160/B160,"")</f>
        <v/>
      </c>
      <c r="K160" s="333" t="str">
        <f t="shared" si="14"/>
        <v/>
      </c>
      <c r="L160" s="148">
        <f>COUNTIFS(РД[Дом],L$159,РД[МОП],$A160,РД[Дата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M160" s="220">
        <f>COUNTIFS(РД[Дом],M$159,РД[МОП],$A160,РД[Дата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3">
        <f>COUNTIFS(РД[Дом],N$159,РД[МОП],$A160,РД[Дата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339"/>
      <c r="S160" s="66"/>
      <c r="T160" s="66"/>
    </row>
    <row r="161" spans="1:21" s="65" customFormat="1">
      <c r="A161" s="398" t="s">
        <v>77</v>
      </c>
      <c r="B161" s="271"/>
      <c r="C161" s="272"/>
      <c r="D161" s="416">
        <f>SUMIFS(sept20212223373839[м2],sept20212223373839[МОП],A161,sept20212223373839[Комнатность],"Офис")</f>
        <v>0</v>
      </c>
      <c r="E161" s="52">
        <f>SUMIFS(sept20212223373839[Сумма без отделки],sept20212223373839[МОП],$A161,sept20212223373839[Комнатность],"оФИС")</f>
        <v>0</v>
      </c>
      <c r="F161" s="421">
        <f>COUNTIFS(sept20212223373839[МОП],$A161,sept20212223373839[Комнатность],"Офис")</f>
        <v>0</v>
      </c>
      <c r="G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H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52" t="str">
        <f t="shared" si="14"/>
        <v/>
      </c>
      <c r="K161" s="546" t="str">
        <f t="shared" si="14"/>
        <v/>
      </c>
      <c r="L161" s="202">
        <f>COUNTIFS(РД[Дом],L$159,РД[МОП],$A161,РД[Дата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6">
        <f>COUNTIFS(РД[Дом],M$159,РД[МОП],$A161,РД[Дата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7">
        <f>COUNTIFS(РД[Дом],N$159,РД[МОП],$A161,РД[Дата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339"/>
      <c r="S161" s="66"/>
      <c r="T161" s="66"/>
    </row>
    <row r="162" spans="1:21" s="65" customFormat="1">
      <c r="A162" s="153" t="s">
        <v>20</v>
      </c>
      <c r="B162" s="271"/>
      <c r="C162" s="272"/>
      <c r="D162" s="416">
        <f>SUMIFS(sept20212223373839[м2],sept20212223373839[МОП],A162,sept20212223373839[Комнатность],"Офис")</f>
        <v>0</v>
      </c>
      <c r="E162" s="52">
        <f>SUMIFS(sept20212223373839[Сумма без отделки],sept20212223373839[МОП],$A162,sept20212223373839[Комнатность],"оФИС")</f>
        <v>0</v>
      </c>
      <c r="F162" s="421">
        <f>COUNTIFS(sept20212223373839[МОП],$A162,sept20212223373839[Комнатность],"Офис")</f>
        <v>0</v>
      </c>
      <c r="G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H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24" t="str">
        <f t="shared" si="14"/>
        <v/>
      </c>
      <c r="K162" s="334" t="str">
        <f t="shared" si="14"/>
        <v/>
      </c>
      <c r="L162" s="202">
        <f>COUNTIFS(РД[Дом],L$159,РД[МОП],$A162,РД[Дата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6">
        <f>COUNTIFS(РД[Дом],M$159,РД[МОП],$A162,РД[Дата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7">
        <f>COUNTIFS(РД[Дом],N$159,РД[МОП],$A162,РД[Дата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339"/>
      <c r="S162" s="66"/>
      <c r="T162" s="66"/>
    </row>
    <row r="163" spans="1:21" s="65" customFormat="1">
      <c r="A163" s="153" t="s">
        <v>14</v>
      </c>
      <c r="B163" s="315"/>
      <c r="C163" s="316"/>
      <c r="D163" s="422">
        <f>SUMIFS(sept20212223373839[м2],sept20212223373839[МОП],A163,sept20212223373839[Комнатность],"Офис")</f>
        <v>0</v>
      </c>
      <c r="E163" s="363">
        <f>SUMIFS(sept20212223373839[Сумма без отделки],sept20212223373839[МОП],$A163,sept20212223373839[Комнатность],"оФИС")</f>
        <v>0</v>
      </c>
      <c r="F163" s="414">
        <f>COUNTIFS(sept20212223373839[МОП],$A163,sept20212223373839[Комнатность],"Офис")</f>
        <v>0</v>
      </c>
      <c r="G163" s="315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H163" s="363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47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360" t="str">
        <f t="shared" si="14"/>
        <v/>
      </c>
      <c r="K163" s="367" t="str">
        <f t="shared" si="14"/>
        <v/>
      </c>
      <c r="L163" s="358">
        <f>COUNTIFS(РД[Дом],L$159,РД[МОП],$A163,РД[Дата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330">
        <f>COUNTIFS(РД[Дом],M$159,РД[МОП],$A163,РД[Дата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331">
        <f>COUNTIFS(РД[Дом],N$159,РД[МОП],$A163,РД[Дата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339"/>
      <c r="S163" s="66"/>
      <c r="T163" s="66"/>
    </row>
    <row r="164" spans="1:21" s="65" customFormat="1">
      <c r="A164" s="154" t="s">
        <v>29</v>
      </c>
      <c r="B164" s="274"/>
      <c r="C164" s="275"/>
      <c r="D164" s="423">
        <f>SUMIFS(sept20212223373839[м2],sept20212223373839[МОП],A164,sept20212223373839[Комнатность],"Офис")</f>
        <v>0</v>
      </c>
      <c r="E164" s="277">
        <f>SUMIFS(sept20212223373839[Сумма без отделки],sept20212223373839[МОП],$A164,sept20212223373839[Комнатность],"оФИС")</f>
        <v>0</v>
      </c>
      <c r="F164" s="405">
        <f>COUNTIFS(sept20212223373839[МОП],$A164,sept20212223373839[Комнатность],"Офис")</f>
        <v>0</v>
      </c>
      <c r="G164" s="274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H164" s="277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28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29" t="str">
        <f t="shared" si="14"/>
        <v/>
      </c>
      <c r="K164" s="335" t="str">
        <f t="shared" si="14"/>
        <v/>
      </c>
      <c r="L164" s="159">
        <f>COUNTIFS(РД[Дом],L$159,РД[МОП],$A164,РД[Дата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28">
        <f>COUNTIFS(РД[Дом],M$159,РД[МОП],$A164,РД[Дата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31">
        <f>COUNTIFS(РД[Дом],N$159,РД[МОП],$A164,РД[Дата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339"/>
      <c r="S164" s="66"/>
      <c r="T164" s="66"/>
    </row>
    <row r="165" spans="1:21" s="65" customFormat="1">
      <c r="A165" s="161" t="s">
        <v>1919</v>
      </c>
      <c r="B165" s="278"/>
      <c r="C165" s="279"/>
      <c r="D165" s="424">
        <f>SUMIFS(sept20212223373839[м2],sept20212223373839[МОП],A165,sept20212223373839[Комнатность],"Офис")</f>
        <v>0</v>
      </c>
      <c r="E165" s="281">
        <f>SUMIFS(sept20212223373839[Сумма без отделки],sept20212223373839[МОП],$A165,sept20212223373839[Комнатность],"оФИС")</f>
        <v>0</v>
      </c>
      <c r="F165" s="407">
        <f>COUNTIFS(sept20212223373839[МОП],$A165,sept20212223373839[Комнатность],"Офис")</f>
        <v>0</v>
      </c>
      <c r="G165" s="278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H165" s="281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32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33" t="str">
        <f t="shared" si="14"/>
        <v/>
      </c>
      <c r="K165" s="336" t="str">
        <f t="shared" si="14"/>
        <v/>
      </c>
      <c r="L165" s="166">
        <f>COUNTIFS(РД[Дом],L$159,РД[МОП],$A165,РД[Дата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M165" s="232">
        <f>COUNTIFS(РД[Дом],M$159,РД[МОП],$A165,РД[Дата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337">
        <f>COUNTIFS(РД[Дом],N$159,РД[МОП],$A165,РД[Дата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9"/>
      <c r="S165" s="66"/>
      <c r="T165" s="66"/>
    </row>
    <row r="166" spans="1:21" s="65" customFormat="1">
      <c r="A166" s="513" t="s">
        <v>114</v>
      </c>
      <c r="B166" s="282">
        <f t="shared" ref="B166:I166" si="15">SUM(B160:B165)</f>
        <v>0</v>
      </c>
      <c r="C166" s="283">
        <f t="shared" si="15"/>
        <v>0</v>
      </c>
      <c r="D166" s="425">
        <f t="shared" si="15"/>
        <v>0</v>
      </c>
      <c r="E166" s="287">
        <f t="shared" si="15"/>
        <v>0</v>
      </c>
      <c r="F166" s="286">
        <f t="shared" si="15"/>
        <v>0</v>
      </c>
      <c r="G166" s="282">
        <f t="shared" si="15"/>
        <v>0</v>
      </c>
      <c r="H166" s="287">
        <f t="shared" si="15"/>
        <v>0</v>
      </c>
      <c r="I166" s="287">
        <f t="shared" si="15"/>
        <v>0</v>
      </c>
      <c r="J166" s="238" t="str">
        <f t="shared" si="14"/>
        <v/>
      </c>
      <c r="K166" s="338" t="str">
        <f t="shared" si="14"/>
        <v/>
      </c>
      <c r="L166" s="282">
        <f>SUM(L160:L165)</f>
        <v>0</v>
      </c>
      <c r="M166" s="287">
        <f>SUM(M160:M165)</f>
        <v>0</v>
      </c>
      <c r="N166" s="287">
        <f>SUM(N160:N165)</f>
        <v>0</v>
      </c>
      <c r="O166" s="339"/>
      <c r="S166" s="66"/>
      <c r="T166" s="66"/>
    </row>
    <row r="167" spans="1:21" s="65" customFormat="1" ht="22.5" customHeight="1">
      <c r="A167" s="135" t="s">
        <v>115</v>
      </c>
      <c r="B167" s="135" t="s">
        <v>100</v>
      </c>
      <c r="C167" s="136" t="s">
        <v>97</v>
      </c>
      <c r="D167" s="264" t="s">
        <v>494</v>
      </c>
      <c r="E167" s="265" t="s">
        <v>495</v>
      </c>
      <c r="F167" s="266" t="s">
        <v>496</v>
      </c>
      <c r="G167" s="140" t="s">
        <v>101</v>
      </c>
      <c r="H167" s="141" t="s">
        <v>98</v>
      </c>
      <c r="I167" s="141" t="s">
        <v>96</v>
      </c>
      <c r="J167" s="141" t="s">
        <v>715</v>
      </c>
      <c r="K167" s="526" t="s">
        <v>716</v>
      </c>
      <c r="L167" s="332" t="s">
        <v>121</v>
      </c>
      <c r="M167" s="218" t="s">
        <v>27</v>
      </c>
      <c r="N167" s="219" t="s">
        <v>7</v>
      </c>
      <c r="O167" s="339"/>
      <c r="T167" s="66"/>
    </row>
    <row r="168" spans="1:21" s="65" customFormat="1">
      <c r="A168" s="177" t="s">
        <v>22</v>
      </c>
      <c r="B168" s="291"/>
      <c r="C168" s="312"/>
      <c r="D168" s="514">
        <f>SUMIFS(sept20212223373839[м2],sept20212223373839[ИМ],A168,sept20212223373839[Комнатность],"Офис")</f>
        <v>0</v>
      </c>
      <c r="E168" s="146">
        <f>SUMIFS(sept20212223373839[Сумма без отделки],sept20212223373839[ИМ],$A168,sept20212223373839[Комнатность],"оФИС")</f>
        <v>0</v>
      </c>
      <c r="F168" s="417">
        <f>COUNTIFS(sept20212223373839[ИМ],$A168,sept20212223373839[Комнатность],"Офис")</f>
        <v>0</v>
      </c>
      <c r="G168" s="26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H168" s="146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0">
        <f>COUNTIFS(РД[ИМ],A168,РД[Дата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4" t="str">
        <f t="shared" ref="J168:K170" si="16">IFERROR(G168/B168,"")</f>
        <v/>
      </c>
      <c r="K168" s="334" t="str">
        <f t="shared" si="16"/>
        <v/>
      </c>
      <c r="L168" s="148">
        <f>COUNTIFS(РД[Дом],L$159,РД[ИМ],$A168,РД[Дата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M168" s="220">
        <f>COUNTIFS(РД[Дом],M$159,РД[ИМ],$A168,РД[Дата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3">
        <f>COUNTIFS(РД[Дом],N$159,РД[ИМ],$A168,РД[Дата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339"/>
      <c r="T168" s="66"/>
    </row>
    <row r="169" spans="1:21" s="65" customFormat="1">
      <c r="A169" s="189" t="s">
        <v>16</v>
      </c>
      <c r="B169" s="516"/>
      <c r="C169" s="517"/>
      <c r="D169" s="422">
        <f>SUMIFS(sept20212223373839[м2],sept20212223373839[ИМ],A169,sept20212223373839[Комнатность],"Офис")</f>
        <v>0</v>
      </c>
      <c r="E169" s="363">
        <f>SUMIFS(sept20212223373839[Сумма без отделки],sept20212223373839[ИМ],$A169,sept20212223373839[Комнатность],"оФИС")</f>
        <v>0</v>
      </c>
      <c r="F169" s="518">
        <f>COUNTIFS(sept20212223373839[ИМ],$A169,sept20212223373839[Комнатность],"Офис")</f>
        <v>0</v>
      </c>
      <c r="G169" s="31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H169" s="363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20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52" t="str">
        <f t="shared" si="16"/>
        <v/>
      </c>
      <c r="K169" s="253" t="str">
        <f t="shared" si="16"/>
        <v/>
      </c>
      <c r="L169" s="202">
        <f>COUNTIFS(РД[Дом],L$159,РД[ИМ],$A169,РД[Дата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M169" s="226">
        <f>COUNTIFS(РД[Дом],M$159,РД[ИМ],$A169,РД[Дата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7">
        <f>COUNTIFS(РД[Дом],N$159,РД[ИМ],$A169,РД[Дата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339"/>
      <c r="T169" s="66"/>
    </row>
    <row r="170" spans="1:21" s="65" customFormat="1">
      <c r="A170" s="513" t="s">
        <v>114</v>
      </c>
      <c r="B170" s="282">
        <f>SUM(B168:B169)</f>
        <v>0</v>
      </c>
      <c r="C170" s="283">
        <f>SUM(C168:C169)</f>
        <v>0</v>
      </c>
      <c r="D170" s="428">
        <f t="shared" ref="D170:I170" si="17">SUM(D168:D169)</f>
        <v>0</v>
      </c>
      <c r="E170" s="429">
        <f t="shared" si="17"/>
        <v>0</v>
      </c>
      <c r="F170" s="322">
        <f t="shared" si="17"/>
        <v>0</v>
      </c>
      <c r="G170" s="323">
        <f t="shared" si="17"/>
        <v>0</v>
      </c>
      <c r="H170" s="429">
        <f t="shared" si="17"/>
        <v>0</v>
      </c>
      <c r="I170" s="429">
        <f t="shared" si="17"/>
        <v>0</v>
      </c>
      <c r="J170" s="419" t="str">
        <f t="shared" si="16"/>
        <v/>
      </c>
      <c r="K170" s="527" t="str">
        <f t="shared" si="16"/>
        <v/>
      </c>
      <c r="L170" s="318">
        <f>SUM(L168:L169)</f>
        <v>0</v>
      </c>
      <c r="M170" s="321">
        <f>SUM(M168:M169)</f>
        <v>0</v>
      </c>
      <c r="N170" s="319">
        <f>SUM(N168:N169)</f>
        <v>0</v>
      </c>
      <c r="O170" s="339"/>
      <c r="T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134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321" t="s">
        <v>945</v>
      </c>
      <c r="B172" s="2322"/>
      <c r="C172" s="2322"/>
      <c r="D172" s="2322"/>
      <c r="E172" s="2322"/>
      <c r="F172" s="2322"/>
      <c r="G172" s="2322"/>
      <c r="H172" s="2322"/>
      <c r="I172" s="2322"/>
      <c r="J172" s="2322"/>
      <c r="K172" s="2322"/>
      <c r="L172" s="2322"/>
      <c r="M172" s="2399"/>
      <c r="N172" s="339"/>
      <c r="O172" s="339"/>
      <c r="P172" s="86"/>
      <c r="T172" s="66"/>
    </row>
    <row r="173" spans="1:21" s="65" customFormat="1" ht="22.5" customHeight="1">
      <c r="A173" s="135" t="s">
        <v>1</v>
      </c>
      <c r="B173" s="135" t="s">
        <v>101</v>
      </c>
      <c r="C173" s="136" t="s">
        <v>98</v>
      </c>
      <c r="D173" s="295" t="s">
        <v>494</v>
      </c>
      <c r="E173" s="138" t="s">
        <v>495</v>
      </c>
      <c r="F173" s="296" t="s">
        <v>496</v>
      </c>
      <c r="G173" s="140" t="s">
        <v>946</v>
      </c>
      <c r="H173" s="141" t="s">
        <v>947</v>
      </c>
      <c r="I173" s="217">
        <v>0</v>
      </c>
      <c r="J173" s="218">
        <v>1</v>
      </c>
      <c r="K173" s="340">
        <v>2</v>
      </c>
      <c r="L173" s="218">
        <v>3</v>
      </c>
      <c r="M173" s="219" t="s">
        <v>1367</v>
      </c>
      <c r="N173" s="339"/>
      <c r="O173" s="339"/>
      <c r="P173" s="86"/>
      <c r="T173" s="66"/>
    </row>
    <row r="174" spans="1:21" s="65" customFormat="1">
      <c r="A174" s="142" t="s">
        <v>8</v>
      </c>
      <c r="B174" s="267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43.21</v>
      </c>
      <c r="C174" s="268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4543212</v>
      </c>
      <c r="D174" s="329">
        <f>SUMIFS(sept20212223373839[м2],sept20212223373839[МОП],$A174,sept20212223373839[№ дома],#REF!)</f>
        <v>0</v>
      </c>
      <c r="E174" s="363">
        <f>SUMIFS(sept20212223373839[Сумма без отделки],sept20212223373839[МОП],$A174,sept20212223373839[№ дома],#REF!)</f>
        <v>0</v>
      </c>
      <c r="F174" s="414">
        <f>COUNTIFS(sept20212223373839[МОП],$A174,sept20212223373839[№ дома],#REF!)</f>
        <v>0</v>
      </c>
      <c r="G174" s="267">
        <f>SUMIFS(РД[S],РД[МОП],A174,РД[Дата подачи на регистрацию],"&lt;="&amp;$A$1,РД[Дата подачи на регистрацию],"&gt;="&amp;DATE(YEAR($A$1),MONTH($A$1),1),РД[Источник рекламы],"Н -*")/2</f>
        <v>21.605</v>
      </c>
      <c r="H174" s="549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-*")/2</f>
        <v>2271606</v>
      </c>
      <c r="I174" s="148">
        <f>COUNTIFS(РД[Тип кв],I$173,РД[МОП],$A174,РД[Дата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J174" s="220">
        <f>COUNTIFS(РД[Тип кв],J$173,РД[МОП],$A174,РД[Дата подачи на регистрацию],"&lt;="&amp;$A$1,РД[Дата подачи на регистрацию],"&gt;="&amp;DATE(YEAR($A$1),MONTH($A$1),1),РД[Источник рекламы],"Н -*")</f>
        <v>1</v>
      </c>
      <c r="K174" s="220">
        <f>COUNTIFS(РД[Тип кв],K$173,РД[МОП],$A174,РД[Дата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L174" s="220">
        <f>COUNTIFS(РД[Тип кв],L$173,РД[МОП],$A174,РД[Дата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4" s="223">
        <f>COUNTIFS(РД[Тип кв],S$170,РД[МОП],$A174,РД[Дата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4" s="339"/>
      <c r="O174" s="339"/>
      <c r="P174" s="86"/>
      <c r="T174" s="66"/>
    </row>
    <row r="175" spans="1:21" s="65" customFormat="1">
      <c r="A175" s="398" t="s">
        <v>1867</v>
      </c>
      <c r="B175" s="271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C175" s="272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0</v>
      </c>
      <c r="D175" s="329">
        <f>SUMIFS(sept20212223373839[м2],sept20212223373839[МОП],$A175,sept20212223373839[№ дома],#REF!)</f>
        <v>0</v>
      </c>
      <c r="E175" s="363">
        <f>SUMIFS(sept20212223373839[Сумма без отделки],sept20212223373839[МОП],$A175,sept20212223373839[№ дома],#REF!)</f>
        <v>0</v>
      </c>
      <c r="F175" s="414">
        <f>COUNTIFS(sept20212223373839[МОП],$A175,sept20212223373839[№ дома],#REF!)</f>
        <v>0</v>
      </c>
      <c r="G175" s="271">
        <f>SUMIFS(РД[S],РД[МОП],A175,РД[Дата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H175" s="546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-*")/2</f>
        <v>0</v>
      </c>
      <c r="I175" s="202">
        <f>COUNTIFS(РД[Тип кв],I$173,РД[МОП],$A175,РД[Дата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J175" s="226">
        <f>COUNTIFS(РД[Тип кв],J$173,РД[МОП],$A175,РД[Дата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K175" s="226">
        <f>COUNTIFS(РД[Тип кв],K$173,РД[МОП],$A175,РД[Дата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L175" s="226">
        <f>COUNTIFS(РД[Тип кв],L$173,РД[МОП],$A175,РД[Дата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5" s="227">
        <f>COUNTIFS(РД[Тип кв],S$170,РД[МОП],$A175,РД[Дата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5" s="339"/>
      <c r="O175" s="339"/>
      <c r="P175" s="86"/>
      <c r="T175" s="66"/>
    </row>
    <row r="176" spans="1:21" s="65" customFormat="1">
      <c r="A176" s="153" t="s">
        <v>20</v>
      </c>
      <c r="B176" s="271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80.97</v>
      </c>
      <c r="C176" s="27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7491800</v>
      </c>
      <c r="D176" s="329">
        <f>SUMIFS(sept20212223373839[м2],sept20212223373839[МОП],$A176,sept20212223373839[№ дома],#REF!)</f>
        <v>0</v>
      </c>
      <c r="E176" s="363">
        <f>SUMIFS(sept20212223373839[Сумма без отделки],sept20212223373839[МОП],$A176,sept20212223373839[№ дома],#REF!)</f>
        <v>0</v>
      </c>
      <c r="F176" s="414">
        <f>COUNTIFS(sept20212223373839[МОП],$A176,sept20212223373839[№ дома],#REF!)</f>
        <v>0</v>
      </c>
      <c r="G176" s="271">
        <f>SUMIFS(РД[S],РД[МОП],A176,РД[Дата подачи на регистрацию],"&lt;="&amp;$A$1,РД[Дата подачи на регистрацию],"&gt;="&amp;DATE(YEAR($A$1),MONTH($A$1),1),РД[Источник рекламы],"Н -*")/2</f>
        <v>40.484999999999999</v>
      </c>
      <c r="H176" s="546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-*")/2</f>
        <v>3745900</v>
      </c>
      <c r="I176" s="202">
        <f>COUNTIFS(РД[Тип кв],I$173,РД[МОП],$A176,РД[Дата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J176" s="226">
        <f>COUNTIFS(РД[Тип кв],J$173,РД[МОП],$A176,РД[Дата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26">
        <f>COUNTIFS(РД[Тип кв],K$173,РД[МОП],$A176,РД[Дата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26">
        <f>COUNTIFS(РД[Тип кв],L$173,РД[МОП],$A176,РД[Дата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6" s="227">
        <f>COUNTIFS(РД[Тип кв],S$170,РД[МОП],$A176,РД[Дата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6" s="339"/>
      <c r="O176" s="339"/>
      <c r="P176" s="86"/>
      <c r="T176" s="66"/>
    </row>
    <row r="177" spans="1:21" s="65" customFormat="1">
      <c r="A177" s="153" t="s">
        <v>14</v>
      </c>
      <c r="B177" s="315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36.450000000000003</v>
      </c>
      <c r="C177" s="316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4421900</v>
      </c>
      <c r="D177" s="329">
        <f>SUMIFS(sept20212223373839[м2],sept20212223373839[МОП],$A177,sept20212223373839[№ дома],#REF!)</f>
        <v>0</v>
      </c>
      <c r="E177" s="363">
        <f>SUMIFS(sept20212223373839[Сумма без отделки],sept20212223373839[МОП],$A177,sept20212223373839[№ дома],#REF!)</f>
        <v>0</v>
      </c>
      <c r="F177" s="414">
        <f>COUNTIFS(sept20212223373839[МОП],$A177,sept20212223373839[№ дома],#REF!)</f>
        <v>0</v>
      </c>
      <c r="G177" s="315">
        <f>SUMIFS(РД[S],РД[МОП],A177,РД[Дата подачи на регистрацию],"&lt;="&amp;$A$1,РД[Дата подачи на регистрацию],"&gt;="&amp;DATE(YEAR($A$1),MONTH($A$1),1),РД[Источник рекламы],"Н -*")/2</f>
        <v>18.225000000000001</v>
      </c>
      <c r="H177" s="550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-*")/2</f>
        <v>2210950</v>
      </c>
      <c r="I177" s="358">
        <f>COUNTIFS(РД[Тип кв],I$173,РД[МОП],$A177,РД[Дата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J177" s="330">
        <f>COUNTIFS(РД[Тип кв],J$173,РД[МОП],$A177,РД[Дата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330">
        <f>COUNTIFS(РД[Тип кв],K$173,РД[МОП],$A177,РД[Дата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L177" s="330">
        <f>COUNTIFS(РД[Тип кв],L$173,РД[МОП],$A177,РД[Дата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7" s="331">
        <f>COUNTIFS(РД[Тип кв],S$170,РД[МОП],$A177,РД[Дата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7" s="339"/>
      <c r="O177" s="339"/>
      <c r="P177" s="86"/>
      <c r="T177" s="66"/>
    </row>
    <row r="178" spans="1:21" s="65" customFormat="1">
      <c r="A178" s="154" t="s">
        <v>29</v>
      </c>
      <c r="B178" s="274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C178" s="275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0</v>
      </c>
      <c r="D178" s="341">
        <f>SUMIFS(sept20212223373839[м2],sept20212223373839[МОП],$A178,sept20212223373839[№ дома],#REF!)</f>
        <v>0</v>
      </c>
      <c r="E178" s="277">
        <f>SUMIFS(sept20212223373839[Сумма без отделки],sept20212223373839[МОП],$A178,sept20212223373839[№ дома],#REF!)</f>
        <v>0</v>
      </c>
      <c r="F178" s="405">
        <f>COUNTIFS(sept20212223373839[МОП],$A178,sept20212223373839[№ дома],#REF!)</f>
        <v>0</v>
      </c>
      <c r="G178" s="274">
        <f>SUMIFS(РД[S],РД[МОП],A178,РД[Дата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H178" s="277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-*")/2</f>
        <v>0</v>
      </c>
      <c r="I178" s="228">
        <f>COUNTIFS(РД[Тип кв],I$173,РД[МОП],$A178,РД[Дата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228">
        <f>COUNTIFS(РД[Тип кв],J$173,РД[МОП],$A178,РД[Дата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228">
        <f>COUNTIFS(РД[Тип кв],K$173,РД[МОП],$A178,РД[Дата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228">
        <f>COUNTIFS(РД[Тип кв],L$173,РД[МОП],$A178,РД[Дата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8" s="231">
        <f>COUNTIFS(РД[Тип кв],S$170,РД[МОП],$A178,РД[Дата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9"/>
      <c r="O178" s="339"/>
      <c r="P178" s="86"/>
      <c r="T178" s="66"/>
    </row>
    <row r="179" spans="1:21" s="65" customFormat="1">
      <c r="A179" s="161" t="s">
        <v>1919</v>
      </c>
      <c r="B179" s="278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C179" s="279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0</v>
      </c>
      <c r="D179" s="406">
        <f>SUMIFS(sept20212223373839[м2],sept20212223373839[МОП],$A179,sept20212223373839[№ дома],#REF!)</f>
        <v>0</v>
      </c>
      <c r="E179" s="281">
        <f>SUMIFS(sept20212223373839[Сумма без отделки],sept20212223373839[МОП],$A179,sept20212223373839[№ дома],#REF!)</f>
        <v>0</v>
      </c>
      <c r="F179" s="407">
        <f>COUNTIFS(sept20212223373839[МОП],$A179,sept20212223373839[№ дома],#REF!)</f>
        <v>0</v>
      </c>
      <c r="G179" s="278">
        <f>SUMIFS(РД[S],РД[МОП],A179,РД[Дата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H179" s="281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-*")/2</f>
        <v>0</v>
      </c>
      <c r="I179" s="232">
        <f>COUNTIFS(РД[Тип кв],I$173,РД[МОП],$A179,РД[Дата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J179" s="232">
        <f>COUNTIFS(РД[Тип кв],J$173,РД[МОП],$A179,РД[Дата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232">
        <f>COUNTIFS(РД[Тип кв],K$173,РД[МОП],$A179,РД[Дата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32">
        <f>COUNTIFS(РД[Тип кв],L$173,РД[МОП],$A179,РД[Дата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9" s="337">
        <f>COUNTIFS(РД[Тип кв],S$170,РД[МОП],$A179,РД[Дата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339"/>
      <c r="O179" s="339"/>
      <c r="P179" s="86"/>
      <c r="T179" s="66"/>
    </row>
    <row r="180" spans="1:21" s="65" customFormat="1">
      <c r="A180" s="513" t="s">
        <v>114</v>
      </c>
      <c r="B180" s="282">
        <f t="shared" ref="B180:L180" si="18">SUM(B174:B177)</f>
        <v>160.63</v>
      </c>
      <c r="C180" s="283">
        <f t="shared" si="18"/>
        <v>16456912</v>
      </c>
      <c r="D180" s="425">
        <f t="shared" si="18"/>
        <v>0</v>
      </c>
      <c r="E180" s="287">
        <f t="shared" si="18"/>
        <v>0</v>
      </c>
      <c r="F180" s="286">
        <f t="shared" si="18"/>
        <v>0</v>
      </c>
      <c r="G180" s="282">
        <f t="shared" si="18"/>
        <v>80.314999999999998</v>
      </c>
      <c r="H180" s="283">
        <f t="shared" si="18"/>
        <v>8228456</v>
      </c>
      <c r="I180" s="284">
        <f t="shared" si="18"/>
        <v>1</v>
      </c>
      <c r="J180" s="285">
        <f t="shared" si="18"/>
        <v>1</v>
      </c>
      <c r="K180" s="285">
        <f t="shared" si="18"/>
        <v>0</v>
      </c>
      <c r="L180" s="285">
        <f t="shared" si="18"/>
        <v>0</v>
      </c>
      <c r="M180" s="305">
        <f>SUM(T172:T173)</f>
        <v>0</v>
      </c>
      <c r="N180" s="339"/>
      <c r="O180" s="339"/>
      <c r="P180" s="86"/>
      <c r="T180" s="66"/>
    </row>
    <row r="181" spans="1:21" s="65" customFormat="1" ht="22.5" customHeight="1">
      <c r="A181" s="135" t="s">
        <v>115</v>
      </c>
      <c r="B181" s="135" t="s">
        <v>101</v>
      </c>
      <c r="C181" s="136" t="s">
        <v>98</v>
      </c>
      <c r="D181" s="486" t="s">
        <v>494</v>
      </c>
      <c r="E181" s="487" t="s">
        <v>495</v>
      </c>
      <c r="F181" s="524" t="s">
        <v>496</v>
      </c>
      <c r="G181" s="489" t="s">
        <v>946</v>
      </c>
      <c r="H181" s="525" t="s">
        <v>947</v>
      </c>
      <c r="I181" s="217">
        <v>0</v>
      </c>
      <c r="J181" s="218">
        <v>1</v>
      </c>
      <c r="K181" s="340">
        <v>2</v>
      </c>
      <c r="L181" s="218">
        <v>3</v>
      </c>
      <c r="M181" s="219" t="s">
        <v>1367</v>
      </c>
      <c r="N181" s="339"/>
      <c r="O181" s="339"/>
      <c r="P181" s="86"/>
      <c r="T181" s="66"/>
    </row>
    <row r="182" spans="1:21" s="65" customFormat="1">
      <c r="A182" s="177" t="s">
        <v>16</v>
      </c>
      <c r="B182" s="291">
        <f>SUMIFS(РД[S],РД[ИМ],A182,РД[Дата подачи на регистрацию],"&lt;="&amp;$A$1,РД[Дата подачи на регистрацию],"&gt;="&amp;DATE(YEAR($A$1),MONTH($A$1),1),РД[Источник рекламы],"Н -*")</f>
        <v>43.21</v>
      </c>
      <c r="C182" s="312">
        <f>SUMIFS(РД[Стоимость без отделки итог],РД[ИМ],A182,РД[Дата подачи на регистрацию],"&lt;="&amp;$A$1,РД[Дата подачи на регистрацию],"&gt;="&amp;DATE(YEAR($A$1),MONTH($A$1),1),РД[Источник рекламы],"Н -*")</f>
        <v>4543212</v>
      </c>
      <c r="D182" s="551"/>
      <c r="E182" s="292"/>
      <c r="F182" s="552"/>
      <c r="G182" s="291">
        <f>SUMIFS(РД[S],РД[ИМ],A182,РД[Дата подачи на регистрацию],"&lt;="&amp;$A$1,РД[Дата подачи на регистрацию],"&gt;="&amp;DATE(YEAR($A$1),MONTH($A$1),1),РД[Источник рекламы],"Н -*")/2</f>
        <v>21.605</v>
      </c>
      <c r="H182" s="312">
        <f>SUMIFS(РД[Стоимость без отделки итог],РД[ИМ],A182,РД[Дата подачи на регистрацию],"&lt;="&amp;$A$1,РД[Дата подачи на регистрацию],"&gt;="&amp;DATE(YEAR($A$1),MONTH($A$1),1),РД[Источник рекламы],"Н -*")/2</f>
        <v>2271606</v>
      </c>
      <c r="I182" s="346">
        <f>COUNTIFS(РД[Тип кв],I$173,РД[ИМ],$A182,РД[Дата подачи на регистрацию],"&lt;="&amp;$A$1,РД[Дата подачи на регистрацию],"&gt;="&amp;DATE(YEAR($A$1),MONTH($A$1),1),РД[Источник рекламы],"Н -*")</f>
        <v>0</v>
      </c>
      <c r="J182" s="243">
        <f>COUNTIFS(РД[Тип кв],J$173,РД[ИМ],$A182,РД[Дата подачи на регистрацию],"&lt;="&amp;$A$1,РД[Дата подачи на регистрацию],"&gt;="&amp;DATE(YEAR($A$1),MONTH($A$1),1),РД[Источник рекламы],"Н -*")</f>
        <v>1</v>
      </c>
      <c r="K182" s="243">
        <f>COUNTIFS(РД[Тип кв],K$173,РД[ИМ],$A182,РД[Дата подачи на регистрацию],"&lt;="&amp;$A$1,РД[Дата подачи на регистрацию],"&gt;="&amp;DATE(YEAR($A$1),MONTH($A$1),1),РД[Источник рекламы],"Н -*")</f>
        <v>0</v>
      </c>
      <c r="L182" s="243">
        <f>COUNTIFS(РД[Тип кв],L$173,РД[ИМ],$A182,РД[Дата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2" s="246">
        <f>COUNTIFS(РД[Тип кв],S$170,РД[ИМ],$A182,РД[Дата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2" s="339"/>
      <c r="O182" s="339"/>
      <c r="P182" s="86"/>
      <c r="T182" s="66"/>
    </row>
    <row r="183" spans="1:21" s="65" customFormat="1">
      <c r="A183" s="189" t="s">
        <v>22</v>
      </c>
      <c r="B183" s="516">
        <f>SUMIFS(РД[S],РД[ИМ],A183,РД[Дата подачи на регистрацию],"&lt;="&amp;$A$1,РД[Дата подачи на регистрацию],"&gt;="&amp;DATE(YEAR($A$1),MONTH($A$1),1),РД[Источник рекламы],"Н -*")</f>
        <v>117.42</v>
      </c>
      <c r="C183" s="517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11913700</v>
      </c>
      <c r="D183" s="553"/>
      <c r="E183" s="554"/>
      <c r="F183" s="555"/>
      <c r="G183" s="516">
        <f>SUMIFS(РД[S],РД[ИМ],A183,РД[Дата подачи на регистрацию],"&lt;="&amp;$A$1,РД[Дата подачи на регистрацию],"&gt;="&amp;DATE(YEAR($A$1),MONTH($A$1),1),РД[Источник рекламы],"Н -*")/2</f>
        <v>58.71</v>
      </c>
      <c r="H183" s="517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-*")/2</f>
        <v>5956850</v>
      </c>
      <c r="I183" s="426">
        <f>COUNTIFS(РД[Тип кв],I$173,РД[ИМ],$A183,РД[Дата подачи на регистрацию],"&lt;="&amp;$A$1,РД[Дата подачи на регистрацию],"&gt;="&amp;DATE(YEAR($A$1),MONTH($A$1),1),РД[Источник рекламы],"Н -*")</f>
        <v>1</v>
      </c>
      <c r="J183" s="251">
        <f>COUNTIFS(РД[Тип кв],J$173,РД[ИМ],$A183,РД[Дата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K183" s="251">
        <f>COUNTIFS(РД[Тип кв],K$173,РД[ИМ],$A183,РД[Дата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L183" s="251">
        <f>COUNTIFS(РД[Тип кв],L$173,РД[ИМ],$A183,РД[Дата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3" s="254">
        <f>COUNTIFS(РД[Тип кв],S$170,РД[ИМ],$A183,РД[Дата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339"/>
      <c r="O183" s="339"/>
      <c r="P183" s="86"/>
      <c r="T183" s="66"/>
    </row>
    <row r="184" spans="1:21" s="65" customFormat="1">
      <c r="A184" s="513" t="s">
        <v>114</v>
      </c>
      <c r="B184" s="282">
        <f>SUM(B182:B183)</f>
        <v>160.63</v>
      </c>
      <c r="C184" s="283">
        <f>SUM(C182:C183)</f>
        <v>16456912</v>
      </c>
      <c r="D184" s="425">
        <f t="shared" ref="D184:L184" si="19">SUM(D182:D183)</f>
        <v>0</v>
      </c>
      <c r="E184" s="287">
        <f t="shared" si="19"/>
        <v>0</v>
      </c>
      <c r="F184" s="286">
        <f t="shared" si="19"/>
        <v>0</v>
      </c>
      <c r="G184" s="282">
        <f t="shared" si="19"/>
        <v>80.314999999999998</v>
      </c>
      <c r="H184" s="283">
        <f t="shared" si="19"/>
        <v>8228456</v>
      </c>
      <c r="I184" s="284">
        <f t="shared" si="19"/>
        <v>1</v>
      </c>
      <c r="J184" s="285">
        <f t="shared" si="19"/>
        <v>1</v>
      </c>
      <c r="K184" s="285">
        <f t="shared" si="19"/>
        <v>0</v>
      </c>
      <c r="L184" s="285">
        <f t="shared" si="19"/>
        <v>0</v>
      </c>
      <c r="M184" s="305">
        <f>SUM(S178:S179)</f>
        <v>0</v>
      </c>
      <c r="N184" s="339"/>
      <c r="O184" s="339"/>
      <c r="P184" s="86"/>
      <c r="T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86"/>
      <c r="R221" s="65"/>
      <c r="S221" s="65"/>
    </row>
    <row r="222" spans="1:2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86"/>
      <c r="R222" s="65"/>
      <c r="S222" s="65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R309" s="66"/>
      <c r="S309" s="66"/>
      <c r="U309" s="66"/>
    </row>
    <row r="310" spans="17:21" s="65" customFormat="1">
      <c r="Q310" s="86"/>
      <c r="R310" s="66"/>
      <c r="S310" s="66"/>
      <c r="U310" s="66"/>
    </row>
    <row r="311" spans="17:21" s="65" customFormat="1">
      <c r="Q311" s="86"/>
      <c r="R311" s="66"/>
      <c r="S311" s="66"/>
      <c r="U311" s="66"/>
    </row>
    <row r="312" spans="17:21" s="65" customFormat="1">
      <c r="Q312" s="86"/>
      <c r="R312" s="66"/>
      <c r="S312" s="66"/>
      <c r="U312" s="66"/>
    </row>
  </sheetData>
  <sheetProtection algorithmName="SHA-512" hashValue="PVYJhJQ7/tGCqkVCZr26m5qhaZu6moScXFRfYWVtGwun81HIodGEHuuQu57R0YnI1oXtU035ZBYPK8XkReqiIw==" saltValue="mcHPhLEahiP8F3vcbJShiQ==" spinCount="100000" sheet="1" formatCells="0" formatColumns="0" formatRows="0" sort="0" autoFilter="0" pivotTables="0"/>
  <mergeCells count="6">
    <mergeCell ref="A172:M172"/>
    <mergeCell ref="A1:U1"/>
    <mergeCell ref="A116:B116"/>
    <mergeCell ref="A130:B130"/>
    <mergeCell ref="A144:B144"/>
    <mergeCell ref="A158:N158"/>
  </mergeCells>
  <pageMargins left="0.25" right="0.25" top="0.75" bottom="0.75" header="0.3" footer="0.3"/>
  <pageSetup paperSize="9" scale="2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3000-000000000000}">
          <x14:formula1>
            <xm:f>Списки!$C$2:$C$27</xm:f>
          </x14:formula1>
          <xm:sqref>T8 T24 J3:J110 S3:T7 S9:T23 S25:T110</xm:sqref>
        </x14:dataValidation>
        <x14:dataValidation type="list" allowBlank="1" showInputMessage="1" showErrorMessage="1" xr:uid="{00000000-0002-0000-3000-000001000000}">
          <x14:formula1>
            <xm:f>Списки!$B$2:$B$5</xm:f>
          </x14:formula1>
          <xm:sqref>C3:C110 G113:G114</xm:sqref>
        </x14:dataValidation>
        <x14:dataValidation type="list" allowBlank="1" showInputMessage="1" showErrorMessage="1" xr:uid="{00000000-0002-0000-3000-000002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3000-000003000000}">
          <x14:formula1>
            <xm:f>Списки!$D$2:$D$7</xm:f>
          </x14:formula1>
          <xm:sqref>F113:F114 G3:G110</xm:sqref>
        </x14:dataValidation>
        <x14:dataValidation type="list" allowBlank="1" showInputMessage="1" showErrorMessage="1" xr:uid="{00000000-0002-0000-3000-000004000000}">
          <x14:formula1>
            <xm:f>Списки!$E$2:$E$7</xm:f>
          </x14:formula1>
          <xm:sqref>H113:H114 K3:K110</xm:sqref>
        </x14:dataValidation>
        <x14:dataValidation type="list" allowBlank="1" showInputMessage="1" showErrorMessage="1" xr:uid="{00000000-0002-0000-3000-000005000000}">
          <x14:formula1>
            <xm:f>Списки!$G$2:$G$3</xm:f>
          </x14:formula1>
          <xm:sqref>L113:L114 M3:M110</xm:sqref>
        </x14:dataValidation>
        <x14:dataValidation type="list" allowBlank="1" showInputMessage="1" showErrorMessage="1" xr:uid="{00000000-0002-0000-3000-000006000000}">
          <x14:formula1>
            <xm:f>Списки!$F$2:$F$3</xm:f>
          </x14:formula1>
          <xm:sqref>N113:N114 O3:O4 O6:O69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V317"/>
  <sheetViews>
    <sheetView view="pageBreakPreview" zoomScale="80" zoomScaleNormal="85" workbookViewId="0">
      <pane ySplit="2" topLeftCell="A11" activePane="bottomLeft" state="frozen"/>
      <selection pane="bottomLeft" activeCell="B133" sqref="B133"/>
    </sheetView>
  </sheetViews>
  <sheetFormatPr defaultColWidth="12.28515625" defaultRowHeight="12.75"/>
  <cols>
    <col min="1" max="1" width="9.28515625" style="66" customWidth="1"/>
    <col min="2" max="2" width="13.140625" style="66" customWidth="1"/>
    <col min="3" max="3" width="14.28515625" style="66" customWidth="1"/>
    <col min="4" max="4" width="10.42578125" style="66" customWidth="1"/>
    <col min="5" max="5" width="14.140625" style="66" customWidth="1"/>
    <col min="6" max="6" width="10.28515625" style="66" customWidth="1"/>
    <col min="7" max="7" width="13.85546875" style="66" customWidth="1"/>
    <col min="8" max="8" width="14.28515625" style="66" customWidth="1"/>
    <col min="9" max="9" width="12.7109375" style="66" customWidth="1"/>
    <col min="10" max="10" width="18.5703125" style="66" customWidth="1"/>
    <col min="11" max="11" width="17.140625" style="66" customWidth="1"/>
    <col min="12" max="12" width="15" style="66" customWidth="1"/>
    <col min="13" max="13" width="13.85546875" style="66" customWidth="1"/>
    <col min="14" max="14" width="10.7109375" style="66" customWidth="1"/>
    <col min="15" max="15" width="11.5703125" style="66" customWidth="1"/>
    <col min="16" max="16" width="21.85546875" style="66" customWidth="1"/>
    <col min="17" max="17" width="19.5703125" style="66" customWidth="1"/>
    <col min="18" max="18" width="22.42578125" style="66" customWidth="1"/>
    <col min="19" max="19" width="18.5703125" style="66" customWidth="1"/>
    <col min="20" max="20" width="13.28515625" style="65" customWidth="1"/>
    <col min="21" max="21" width="14.140625" style="66" customWidth="1"/>
    <col min="22" max="16384" width="12.28515625" style="66"/>
  </cols>
  <sheetData>
    <row r="1" spans="1:21">
      <c r="A1" s="2297">
        <v>45443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21" ht="38.2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2036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21" s="61" customFormat="1">
      <c r="A3" s="62">
        <v>1</v>
      </c>
      <c r="B3" s="75">
        <v>31560</v>
      </c>
      <c r="C3" s="62" t="s">
        <v>13</v>
      </c>
      <c r="D3" s="75">
        <v>319</v>
      </c>
      <c r="E3" s="62">
        <v>1</v>
      </c>
      <c r="F3" s="62">
        <v>34.81</v>
      </c>
      <c r="G3" s="62" t="s">
        <v>25</v>
      </c>
      <c r="H3" s="62">
        <v>20000</v>
      </c>
      <c r="I3" s="95">
        <v>4908500</v>
      </c>
      <c r="J3" s="117" t="s">
        <v>41</v>
      </c>
      <c r="K3" s="62" t="s">
        <v>22</v>
      </c>
      <c r="L3" s="62" t="s">
        <v>583</v>
      </c>
      <c r="M3" s="62" t="s">
        <v>18</v>
      </c>
      <c r="N3" s="92">
        <v>45419</v>
      </c>
      <c r="O3" s="117" t="s">
        <v>17</v>
      </c>
      <c r="P3" s="62" t="s">
        <v>2037</v>
      </c>
      <c r="Q3" s="76" t="s">
        <v>67</v>
      </c>
      <c r="R3" s="113" t="s">
        <v>67</v>
      </c>
      <c r="S3" s="117" t="s">
        <v>41</v>
      </c>
      <c r="T3" s="117" t="s">
        <v>20</v>
      </c>
      <c r="U3" s="114">
        <f>sept2021222337383940[[#This Row],[сумма]]-sept2021222337383940[[#This Row],[Цена м2 отделки]]*sept2021222337383940[[#This Row],[м2]]</f>
        <v>4212300</v>
      </c>
    </row>
    <row r="4" spans="1:21" s="61" customFormat="1">
      <c r="A4" s="62">
        <v>2</v>
      </c>
      <c r="B4" s="75">
        <v>24697</v>
      </c>
      <c r="C4" s="62" t="s">
        <v>13</v>
      </c>
      <c r="D4" s="75">
        <v>443</v>
      </c>
      <c r="E4" s="349">
        <v>3</v>
      </c>
      <c r="F4" s="62">
        <v>79.44</v>
      </c>
      <c r="G4" s="62" t="s">
        <v>25</v>
      </c>
      <c r="H4" s="348">
        <v>20000</v>
      </c>
      <c r="I4" s="352">
        <v>8738700</v>
      </c>
      <c r="J4" s="348" t="s">
        <v>8</v>
      </c>
      <c r="K4" s="62" t="s">
        <v>22</v>
      </c>
      <c r="L4" s="62" t="s">
        <v>583</v>
      </c>
      <c r="M4" s="62" t="s">
        <v>12</v>
      </c>
      <c r="N4" s="92">
        <v>45432</v>
      </c>
      <c r="O4" s="117" t="s">
        <v>17</v>
      </c>
      <c r="P4" s="62" t="s">
        <v>2038</v>
      </c>
      <c r="Q4" s="113" t="s">
        <v>67</v>
      </c>
      <c r="R4" s="113" t="s">
        <v>1777</v>
      </c>
      <c r="S4" s="62" t="s">
        <v>8</v>
      </c>
      <c r="T4" s="62" t="s">
        <v>8</v>
      </c>
      <c r="U4" s="114">
        <f>sept2021222337383940[[#This Row],[сумма]]-sept2021222337383940[[#This Row],[Цена м2 отделки]]*sept2021222337383940[[#This Row],[м2]]</f>
        <v>7149900</v>
      </c>
    </row>
    <row r="5" spans="1:21" s="61" customFormat="1" ht="15">
      <c r="A5" s="62">
        <v>3</v>
      </c>
      <c r="B5" s="75">
        <v>31501</v>
      </c>
      <c r="C5" s="62" t="s">
        <v>13</v>
      </c>
      <c r="D5" s="75">
        <v>509</v>
      </c>
      <c r="E5" s="62">
        <v>0</v>
      </c>
      <c r="F5" s="62">
        <v>29.4</v>
      </c>
      <c r="G5" s="62" t="s">
        <v>25</v>
      </c>
      <c r="H5" s="62">
        <v>20000</v>
      </c>
      <c r="I5" s="95">
        <v>3970700</v>
      </c>
      <c r="J5" s="117" t="s">
        <v>20</v>
      </c>
      <c r="K5" s="62" t="s">
        <v>22</v>
      </c>
      <c r="L5" s="62" t="s">
        <v>583</v>
      </c>
      <c r="M5" s="62" t="s">
        <v>18</v>
      </c>
      <c r="N5" s="92">
        <v>45427</v>
      </c>
      <c r="O5" s="117" t="s">
        <v>17</v>
      </c>
      <c r="P5" s="547" t="s">
        <v>2039</v>
      </c>
      <c r="Q5" s="113" t="s">
        <v>67</v>
      </c>
      <c r="R5" s="113" t="s">
        <v>67</v>
      </c>
      <c r="S5" s="117" t="s">
        <v>20</v>
      </c>
      <c r="T5" s="117" t="s">
        <v>20</v>
      </c>
      <c r="U5" s="114">
        <f>sept2021222337383940[[#This Row],[сумма]]-sept2021222337383940[[#This Row],[Цена м2 отделки]]*sept2021222337383940[[#This Row],[м2]]</f>
        <v>3382700</v>
      </c>
    </row>
    <row r="6" spans="1:21" s="61" customFormat="1">
      <c r="A6" s="62">
        <v>4</v>
      </c>
      <c r="B6" s="74">
        <v>31255</v>
      </c>
      <c r="C6" s="62" t="s">
        <v>13</v>
      </c>
      <c r="D6" s="75">
        <v>371</v>
      </c>
      <c r="E6" s="62">
        <v>2</v>
      </c>
      <c r="F6" s="62">
        <v>56.58</v>
      </c>
      <c r="G6" s="117" t="s">
        <v>25</v>
      </c>
      <c r="H6" s="117">
        <v>20000</v>
      </c>
      <c r="I6" s="95">
        <v>6941300</v>
      </c>
      <c r="J6" s="117" t="s">
        <v>41</v>
      </c>
      <c r="K6" s="62" t="s">
        <v>22</v>
      </c>
      <c r="L6" s="62" t="s">
        <v>583</v>
      </c>
      <c r="M6" s="62" t="s">
        <v>18</v>
      </c>
      <c r="N6" s="92">
        <v>45429</v>
      </c>
      <c r="O6" s="117" t="s">
        <v>17</v>
      </c>
      <c r="P6" s="62" t="s">
        <v>2040</v>
      </c>
      <c r="Q6" s="113" t="s">
        <v>67</v>
      </c>
      <c r="R6" s="113" t="s">
        <v>67</v>
      </c>
      <c r="S6" s="117" t="s">
        <v>41</v>
      </c>
      <c r="T6" s="117" t="s">
        <v>20</v>
      </c>
      <c r="U6" s="114">
        <f>sept2021222337383940[[#This Row],[сумма]]-sept2021222337383940[[#This Row],[Цена м2 отделки]]*sept2021222337383940[[#This Row],[м2]]</f>
        <v>5809700</v>
      </c>
    </row>
    <row r="7" spans="1:21" s="61" customFormat="1">
      <c r="A7" s="62">
        <v>5</v>
      </c>
      <c r="B7" s="75">
        <v>31466</v>
      </c>
      <c r="C7" s="62" t="s">
        <v>7</v>
      </c>
      <c r="D7" s="75">
        <v>96</v>
      </c>
      <c r="E7" s="62">
        <v>0</v>
      </c>
      <c r="F7" s="62">
        <v>21.73</v>
      </c>
      <c r="G7" s="62" t="s">
        <v>25</v>
      </c>
      <c r="H7" s="62">
        <v>20000</v>
      </c>
      <c r="I7" s="95">
        <v>3532860</v>
      </c>
      <c r="J7" s="117" t="s">
        <v>41</v>
      </c>
      <c r="K7" s="62" t="s">
        <v>22</v>
      </c>
      <c r="L7" s="62" t="s">
        <v>583</v>
      </c>
      <c r="M7" s="62" t="s">
        <v>18</v>
      </c>
      <c r="N7" s="92">
        <v>45425</v>
      </c>
      <c r="O7" s="117" t="s">
        <v>17</v>
      </c>
      <c r="P7" s="62" t="s">
        <v>2041</v>
      </c>
      <c r="Q7" s="76" t="s">
        <v>67</v>
      </c>
      <c r="R7" s="76"/>
      <c r="S7" s="117" t="s">
        <v>41</v>
      </c>
      <c r="T7" s="117" t="s">
        <v>1892</v>
      </c>
      <c r="U7" s="114">
        <f>sept2021222337383940[[#This Row],[сумма]]-sept2021222337383940[[#This Row],[Цена м2 отделки]]*sept2021222337383940[[#This Row],[м2]]</f>
        <v>3098260</v>
      </c>
    </row>
    <row r="8" spans="1:21" s="61" customFormat="1">
      <c r="A8" s="62">
        <v>6</v>
      </c>
      <c r="B8" s="81">
        <v>31435</v>
      </c>
      <c r="C8" s="62" t="s">
        <v>13</v>
      </c>
      <c r="D8" s="75">
        <v>179</v>
      </c>
      <c r="E8" s="349">
        <v>3</v>
      </c>
      <c r="F8" s="62">
        <v>84.99</v>
      </c>
      <c r="G8" s="62" t="s">
        <v>9</v>
      </c>
      <c r="H8" s="348"/>
      <c r="I8" s="95">
        <v>7366200</v>
      </c>
      <c r="J8" s="348" t="s">
        <v>8</v>
      </c>
      <c r="K8" s="62" t="s">
        <v>16</v>
      </c>
      <c r="L8" s="117" t="s">
        <v>583</v>
      </c>
      <c r="M8" s="62" t="s">
        <v>12</v>
      </c>
      <c r="N8" s="92">
        <v>45427</v>
      </c>
      <c r="O8" s="62" t="s">
        <v>17</v>
      </c>
      <c r="P8" s="377" t="s">
        <v>2042</v>
      </c>
      <c r="Q8" s="113" t="s">
        <v>67</v>
      </c>
      <c r="R8" s="113" t="s">
        <v>1777</v>
      </c>
      <c r="S8" s="117" t="s">
        <v>8</v>
      </c>
      <c r="T8" s="117" t="s">
        <v>8</v>
      </c>
      <c r="U8" s="114">
        <f>sept2021222337383940[[#This Row],[сумма]]-sept2021222337383940[[#This Row],[Цена м2 отделки]]*sept2021222337383940[[#This Row],[м2]]</f>
        <v>7366200</v>
      </c>
    </row>
    <row r="9" spans="1:21" s="61" customFormat="1">
      <c r="A9" s="62">
        <v>7</v>
      </c>
      <c r="B9" s="75">
        <v>32001</v>
      </c>
      <c r="C9" s="62" t="s">
        <v>7</v>
      </c>
      <c r="D9" s="75">
        <v>323</v>
      </c>
      <c r="E9" s="349">
        <v>3</v>
      </c>
      <c r="F9" s="62">
        <v>72.510000000000005</v>
      </c>
      <c r="G9" s="76" t="s">
        <v>15</v>
      </c>
      <c r="H9" s="348">
        <v>7500</v>
      </c>
      <c r="I9" s="352">
        <v>7523848</v>
      </c>
      <c r="J9" s="348" t="s">
        <v>20</v>
      </c>
      <c r="K9" s="62" t="s">
        <v>22</v>
      </c>
      <c r="L9" s="62" t="s">
        <v>583</v>
      </c>
      <c r="M9" s="62" t="s">
        <v>18</v>
      </c>
      <c r="N9" s="92">
        <v>45434</v>
      </c>
      <c r="O9" s="62" t="s">
        <v>17</v>
      </c>
      <c r="P9" s="76" t="s">
        <v>2043</v>
      </c>
      <c r="Q9" s="76" t="s">
        <v>67</v>
      </c>
      <c r="R9" s="113" t="s">
        <v>67</v>
      </c>
      <c r="S9" s="62" t="s">
        <v>20</v>
      </c>
      <c r="T9" s="62" t="s">
        <v>8</v>
      </c>
      <c r="U9" s="114">
        <f>sept2021222337383940[[#This Row],[сумма]]-sept2021222337383940[[#This Row],[Цена м2 отделки]]*sept2021222337383940[[#This Row],[м2]]</f>
        <v>6980023</v>
      </c>
    </row>
    <row r="10" spans="1:21" s="61" customFormat="1">
      <c r="A10" s="62">
        <v>8</v>
      </c>
      <c r="B10" s="75">
        <v>31619</v>
      </c>
      <c r="C10" s="62" t="s">
        <v>13</v>
      </c>
      <c r="D10" s="75">
        <v>23</v>
      </c>
      <c r="E10" s="62">
        <v>1</v>
      </c>
      <c r="F10" s="62">
        <v>37.729999999999997</v>
      </c>
      <c r="G10" s="62" t="s">
        <v>25</v>
      </c>
      <c r="H10" s="348">
        <v>20000</v>
      </c>
      <c r="I10" s="95">
        <v>5182000</v>
      </c>
      <c r="J10" s="117" t="s">
        <v>41</v>
      </c>
      <c r="K10" s="62" t="s">
        <v>16</v>
      </c>
      <c r="L10" s="62" t="s">
        <v>583</v>
      </c>
      <c r="M10" s="62" t="s">
        <v>18</v>
      </c>
      <c r="N10" s="539">
        <v>45433</v>
      </c>
      <c r="O10" s="62" t="s">
        <v>17</v>
      </c>
      <c r="P10" s="348" t="s">
        <v>2044</v>
      </c>
      <c r="Q10" s="113" t="s">
        <v>67</v>
      </c>
      <c r="R10" s="113" t="s">
        <v>67</v>
      </c>
      <c r="S10" s="62" t="s">
        <v>41</v>
      </c>
      <c r="T10" s="62" t="s">
        <v>20</v>
      </c>
      <c r="U10" s="114">
        <f>sept2021222337383940[[#This Row],[сумма]]-sept2021222337383940[[#This Row],[Цена м2 отделки]]*sept2021222337383940[[#This Row],[м2]]</f>
        <v>4427400</v>
      </c>
    </row>
    <row r="11" spans="1:21" s="61" customFormat="1" ht="12.75" customHeight="1">
      <c r="A11" s="62">
        <v>9</v>
      </c>
      <c r="B11" s="75">
        <v>31618</v>
      </c>
      <c r="C11" s="62" t="s">
        <v>7</v>
      </c>
      <c r="D11" s="75">
        <v>112</v>
      </c>
      <c r="E11" s="62">
        <v>0</v>
      </c>
      <c r="F11" s="62">
        <v>21.73</v>
      </c>
      <c r="G11" s="62" t="s">
        <v>15</v>
      </c>
      <c r="H11" s="62">
        <v>7500</v>
      </c>
      <c r="I11" s="95">
        <v>3126131</v>
      </c>
      <c r="J11" s="117" t="s">
        <v>20</v>
      </c>
      <c r="K11" s="62" t="s">
        <v>10</v>
      </c>
      <c r="L11" s="62" t="s">
        <v>514</v>
      </c>
      <c r="M11" s="62" t="s">
        <v>18</v>
      </c>
      <c r="N11" s="92">
        <v>45436</v>
      </c>
      <c r="O11" s="117" t="s">
        <v>17</v>
      </c>
      <c r="P11" s="62" t="s">
        <v>2045</v>
      </c>
      <c r="Q11" s="113" t="s">
        <v>67</v>
      </c>
      <c r="R11" s="113" t="s">
        <v>67</v>
      </c>
      <c r="S11" s="117" t="s">
        <v>20</v>
      </c>
      <c r="T11" s="117" t="s">
        <v>20</v>
      </c>
      <c r="U11" s="114">
        <f>sept2021222337383940[[#This Row],[сумма]]-sept2021222337383940[[#This Row],[Цена м2 отделки]]*sept2021222337383940[[#This Row],[м2]]</f>
        <v>2963156</v>
      </c>
    </row>
    <row r="12" spans="1:21" s="61" customFormat="1">
      <c r="A12" s="62">
        <v>10</v>
      </c>
      <c r="B12" s="75">
        <v>30467</v>
      </c>
      <c r="C12" s="62" t="s">
        <v>7</v>
      </c>
      <c r="D12" s="75">
        <v>299</v>
      </c>
      <c r="E12" s="62">
        <v>0</v>
      </c>
      <c r="F12" s="62">
        <v>36.450000000000003</v>
      </c>
      <c r="G12" s="62" t="s">
        <v>25</v>
      </c>
      <c r="H12" s="62">
        <v>22000</v>
      </c>
      <c r="I12" s="95">
        <v>5122800</v>
      </c>
      <c r="J12" s="117" t="s">
        <v>20</v>
      </c>
      <c r="K12" s="62" t="s">
        <v>16</v>
      </c>
      <c r="L12" s="62" t="s">
        <v>583</v>
      </c>
      <c r="M12" s="62" t="s">
        <v>18</v>
      </c>
      <c r="N12" s="92">
        <v>45443</v>
      </c>
      <c r="O12" s="117" t="s">
        <v>17</v>
      </c>
      <c r="P12" s="62" t="s">
        <v>2046</v>
      </c>
      <c r="Q12" s="113" t="s">
        <v>67</v>
      </c>
      <c r="R12" s="113" t="s">
        <v>67</v>
      </c>
      <c r="S12" s="117" t="s">
        <v>20</v>
      </c>
      <c r="T12" s="117" t="s">
        <v>20</v>
      </c>
      <c r="U12" s="114">
        <f>sept2021222337383940[[#This Row],[сумма]]-sept2021222337383940[[#This Row],[Цена м2 отделки]]*sept2021222337383940[[#This Row],[м2]]</f>
        <v>4320900</v>
      </c>
    </row>
    <row r="13" spans="1:21" s="61" customFormat="1" ht="25.5">
      <c r="A13" s="62">
        <v>11</v>
      </c>
      <c r="B13" s="74">
        <v>32120</v>
      </c>
      <c r="C13" s="62" t="s">
        <v>13</v>
      </c>
      <c r="D13" s="75">
        <v>266</v>
      </c>
      <c r="E13" s="62">
        <v>2</v>
      </c>
      <c r="F13" s="62">
        <v>56.58</v>
      </c>
      <c r="G13" s="76" t="s">
        <v>21</v>
      </c>
      <c r="H13" s="76">
        <v>7000</v>
      </c>
      <c r="I13" s="91">
        <v>5880760</v>
      </c>
      <c r="J13" s="117" t="s">
        <v>37</v>
      </c>
      <c r="K13" s="62" t="s">
        <v>16</v>
      </c>
      <c r="L13" s="62" t="s">
        <v>583</v>
      </c>
      <c r="M13" s="62" t="s">
        <v>18</v>
      </c>
      <c r="N13" s="92">
        <v>45436</v>
      </c>
      <c r="O13" s="117" t="s">
        <v>17</v>
      </c>
      <c r="P13" s="76" t="s">
        <v>2047</v>
      </c>
      <c r="Q13" s="113" t="s">
        <v>67</v>
      </c>
      <c r="R13" s="113" t="s">
        <v>67</v>
      </c>
      <c r="S13" s="117" t="s">
        <v>37</v>
      </c>
      <c r="T13" s="117" t="s">
        <v>20</v>
      </c>
      <c r="U13" s="114">
        <f>sept2021222337383940[[#This Row],[сумма]]-sept2021222337383940[[#This Row],[Цена м2 отделки]]*sept2021222337383940[[#This Row],[м2]]</f>
        <v>5484700</v>
      </c>
    </row>
    <row r="14" spans="1:21" s="61" customFormat="1">
      <c r="A14" s="62">
        <v>12</v>
      </c>
      <c r="B14" s="74">
        <v>30209</v>
      </c>
      <c r="C14" s="62" t="s">
        <v>13</v>
      </c>
      <c r="D14" s="75">
        <v>325</v>
      </c>
      <c r="E14" s="62">
        <v>3</v>
      </c>
      <c r="F14" s="62">
        <v>80.97</v>
      </c>
      <c r="G14" s="62" t="s">
        <v>21</v>
      </c>
      <c r="H14" s="62">
        <v>7000</v>
      </c>
      <c r="I14" s="95">
        <v>7457185</v>
      </c>
      <c r="J14" s="348" t="s">
        <v>8</v>
      </c>
      <c r="K14" s="62" t="s">
        <v>16</v>
      </c>
      <c r="L14" s="62" t="s">
        <v>583</v>
      </c>
      <c r="M14" s="62" t="s">
        <v>18</v>
      </c>
      <c r="N14" s="92">
        <v>45419</v>
      </c>
      <c r="O14" s="117" t="s">
        <v>17</v>
      </c>
      <c r="P14" s="76" t="s">
        <v>2048</v>
      </c>
      <c r="Q14" s="113" t="s">
        <v>67</v>
      </c>
      <c r="R14" s="113" t="s">
        <v>2049</v>
      </c>
      <c r="S14" s="117" t="s">
        <v>8</v>
      </c>
      <c r="T14" s="117" t="s">
        <v>8</v>
      </c>
      <c r="U14" s="114">
        <f>sept2021222337383940[[#This Row],[сумма]]-sept2021222337383940[[#This Row],[Цена м2 отделки]]*sept2021222337383940[[#This Row],[м2]]</f>
        <v>6890395</v>
      </c>
    </row>
    <row r="15" spans="1:21" s="61" customFormat="1">
      <c r="A15" s="62">
        <v>13</v>
      </c>
      <c r="B15" s="75">
        <v>31519</v>
      </c>
      <c r="C15" s="62" t="s">
        <v>13</v>
      </c>
      <c r="D15" s="75">
        <v>498</v>
      </c>
      <c r="E15" s="62">
        <v>1</v>
      </c>
      <c r="F15" s="62">
        <v>38.299999999999997</v>
      </c>
      <c r="G15" s="62" t="s">
        <v>21</v>
      </c>
      <c r="H15" s="62">
        <v>7000</v>
      </c>
      <c r="I15" s="95">
        <v>4471500</v>
      </c>
      <c r="J15" s="117" t="s">
        <v>41</v>
      </c>
      <c r="K15" s="62" t="s">
        <v>16</v>
      </c>
      <c r="L15" s="62" t="s">
        <v>583</v>
      </c>
      <c r="M15" s="62" t="s">
        <v>18</v>
      </c>
      <c r="N15" s="92">
        <v>45420</v>
      </c>
      <c r="O15" s="117" t="s">
        <v>17</v>
      </c>
      <c r="P15" s="62" t="s">
        <v>2050</v>
      </c>
      <c r="Q15" s="113" t="s">
        <v>67</v>
      </c>
      <c r="R15" s="113" t="s">
        <v>2051</v>
      </c>
      <c r="S15" s="62" t="s">
        <v>41</v>
      </c>
      <c r="T15" s="117" t="s">
        <v>77</v>
      </c>
      <c r="U15" s="114">
        <f>sept2021222337383940[[#This Row],[сумма]]-sept2021222337383940[[#This Row],[Цена м2 отделки]]*sept2021222337383940[[#This Row],[м2]]</f>
        <v>4203400</v>
      </c>
    </row>
    <row r="16" spans="1:21" s="61" customFormat="1">
      <c r="A16" s="62">
        <v>14</v>
      </c>
      <c r="B16" s="75">
        <v>32115</v>
      </c>
      <c r="C16" s="62" t="s">
        <v>13</v>
      </c>
      <c r="D16" s="75">
        <v>34</v>
      </c>
      <c r="E16" s="62">
        <v>1</v>
      </c>
      <c r="F16" s="62">
        <v>42.75</v>
      </c>
      <c r="G16" s="62" t="s">
        <v>9</v>
      </c>
      <c r="H16" s="62"/>
      <c r="I16" s="95">
        <v>4629800</v>
      </c>
      <c r="J16" s="117" t="s">
        <v>41</v>
      </c>
      <c r="K16" s="62" t="s">
        <v>16</v>
      </c>
      <c r="L16" s="62" t="s">
        <v>583</v>
      </c>
      <c r="M16" s="62" t="s">
        <v>18</v>
      </c>
      <c r="N16" s="92"/>
      <c r="O16" s="117" t="s">
        <v>17</v>
      </c>
      <c r="P16" s="62" t="s">
        <v>2052</v>
      </c>
      <c r="Q16" s="113" t="s">
        <v>67</v>
      </c>
      <c r="R16" s="113" t="s">
        <v>1777</v>
      </c>
      <c r="S16" s="117" t="s">
        <v>41</v>
      </c>
      <c r="T16" s="117" t="s">
        <v>77</v>
      </c>
      <c r="U16" s="114">
        <f>sept2021222337383940[[#This Row],[сумма]]-sept2021222337383940[[#This Row],[Цена м2 отделки]]*sept2021222337383940[[#This Row],[м2]]</f>
        <v>4629800</v>
      </c>
    </row>
    <row r="17" spans="1:21" s="61" customFormat="1">
      <c r="A17" s="62">
        <v>15</v>
      </c>
      <c r="B17" s="74">
        <v>31601</v>
      </c>
      <c r="C17" s="62" t="s">
        <v>13</v>
      </c>
      <c r="D17" s="75">
        <v>549</v>
      </c>
      <c r="E17" s="62">
        <v>0</v>
      </c>
      <c r="F17" s="62">
        <v>29.4</v>
      </c>
      <c r="G17" s="62" t="s">
        <v>25</v>
      </c>
      <c r="H17" s="62">
        <v>20000</v>
      </c>
      <c r="I17" s="95">
        <v>4236000</v>
      </c>
      <c r="J17" s="117" t="s">
        <v>77</v>
      </c>
      <c r="K17" s="62" t="s">
        <v>16</v>
      </c>
      <c r="L17" s="62" t="s">
        <v>583</v>
      </c>
      <c r="M17" s="62" t="s">
        <v>18</v>
      </c>
      <c r="N17" s="92">
        <v>45436</v>
      </c>
      <c r="O17" s="117" t="s">
        <v>17</v>
      </c>
      <c r="P17" s="62" t="s">
        <v>1601</v>
      </c>
      <c r="Q17" s="113" t="s">
        <v>67</v>
      </c>
      <c r="R17" s="113" t="s">
        <v>1912</v>
      </c>
      <c r="S17" s="117" t="s">
        <v>77</v>
      </c>
      <c r="T17" s="117" t="s">
        <v>1892</v>
      </c>
      <c r="U17" s="114">
        <f>sept2021222337383940[[#This Row],[сумма]]-sept2021222337383940[[#This Row],[Цена м2 отделки]]*sept2021222337383940[[#This Row],[м2]]</f>
        <v>3648000</v>
      </c>
    </row>
    <row r="18" spans="1:21" s="61" customFormat="1">
      <c r="A18" s="62">
        <v>16</v>
      </c>
      <c r="B18" s="74">
        <v>31755</v>
      </c>
      <c r="C18" s="62" t="s">
        <v>13</v>
      </c>
      <c r="D18" s="75">
        <v>62</v>
      </c>
      <c r="E18" s="62">
        <v>2</v>
      </c>
      <c r="F18" s="62">
        <v>58.24</v>
      </c>
      <c r="G18" s="76" t="s">
        <v>21</v>
      </c>
      <c r="H18" s="76">
        <v>7000</v>
      </c>
      <c r="I18" s="91">
        <v>6185776</v>
      </c>
      <c r="J18" s="117" t="s">
        <v>40</v>
      </c>
      <c r="K18" s="62" t="s">
        <v>10</v>
      </c>
      <c r="L18" s="371">
        <v>1</v>
      </c>
      <c r="M18" s="62" t="s">
        <v>18</v>
      </c>
      <c r="N18" s="92">
        <v>45428</v>
      </c>
      <c r="O18" s="117" t="s">
        <v>17</v>
      </c>
      <c r="P18" s="76" t="s">
        <v>2053</v>
      </c>
      <c r="Q18" s="113" t="s">
        <v>67</v>
      </c>
      <c r="R18" s="113" t="s">
        <v>2054</v>
      </c>
      <c r="S18" s="117" t="s">
        <v>40</v>
      </c>
      <c r="T18" s="117" t="s">
        <v>77</v>
      </c>
      <c r="U18" s="114">
        <f>sept2021222337383940[[#This Row],[сумма]]-sept2021222337383940[[#This Row],[Цена м2 отделки]]*sept2021222337383940[[#This Row],[м2]]</f>
        <v>5778096</v>
      </c>
    </row>
    <row r="19" spans="1:21" s="61" customFormat="1" ht="14.25" customHeight="1">
      <c r="A19" s="62">
        <v>17</v>
      </c>
      <c r="B19" s="75">
        <v>31447</v>
      </c>
      <c r="C19" s="62" t="s">
        <v>13</v>
      </c>
      <c r="D19" s="75">
        <v>273</v>
      </c>
      <c r="E19" s="62">
        <v>2</v>
      </c>
      <c r="F19" s="62">
        <v>56.58</v>
      </c>
      <c r="G19" s="62" t="s">
        <v>21</v>
      </c>
      <c r="H19" s="62">
        <v>7000</v>
      </c>
      <c r="I19" s="95">
        <v>5788760</v>
      </c>
      <c r="J19" s="117" t="s">
        <v>14</v>
      </c>
      <c r="K19" s="62" t="s">
        <v>16</v>
      </c>
      <c r="L19" s="62" t="s">
        <v>583</v>
      </c>
      <c r="M19" s="62" t="s">
        <v>12</v>
      </c>
      <c r="N19" s="92">
        <v>45439</v>
      </c>
      <c r="O19" s="117" t="s">
        <v>17</v>
      </c>
      <c r="P19" s="76" t="s">
        <v>2055</v>
      </c>
      <c r="Q19" s="113" t="s">
        <v>67</v>
      </c>
      <c r="R19" s="113" t="s">
        <v>1912</v>
      </c>
      <c r="S19" s="117" t="s">
        <v>14</v>
      </c>
      <c r="T19" s="117" t="s">
        <v>1892</v>
      </c>
      <c r="U19" s="114">
        <f>sept2021222337383940[[#This Row],[сумма]]-sept2021222337383940[[#This Row],[Цена м2 отделки]]*sept2021222337383940[[#This Row],[м2]]</f>
        <v>5392700</v>
      </c>
    </row>
    <row r="20" spans="1:21" s="61" customFormat="1">
      <c r="A20" s="62">
        <v>18</v>
      </c>
      <c r="B20" s="75">
        <v>31849</v>
      </c>
      <c r="C20" s="62" t="s">
        <v>7</v>
      </c>
      <c r="D20" s="75">
        <v>347</v>
      </c>
      <c r="E20" s="62">
        <v>2</v>
      </c>
      <c r="F20" s="62">
        <v>67.95</v>
      </c>
      <c r="G20" s="62" t="s">
        <v>15</v>
      </c>
      <c r="H20" s="62">
        <v>7500</v>
      </c>
      <c r="I20" s="95">
        <v>6797068</v>
      </c>
      <c r="J20" s="117" t="s">
        <v>20</v>
      </c>
      <c r="K20" s="62" t="s">
        <v>10</v>
      </c>
      <c r="L20" s="62" t="s">
        <v>514</v>
      </c>
      <c r="M20" s="62" t="s">
        <v>18</v>
      </c>
      <c r="N20" s="92">
        <v>45428</v>
      </c>
      <c r="O20" s="117" t="s">
        <v>17</v>
      </c>
      <c r="P20" s="76" t="s">
        <v>2056</v>
      </c>
      <c r="Q20" s="113" t="s">
        <v>67</v>
      </c>
      <c r="R20" s="113" t="s">
        <v>67</v>
      </c>
      <c r="S20" s="117" t="s">
        <v>20</v>
      </c>
      <c r="T20" s="117" t="s">
        <v>20</v>
      </c>
      <c r="U20" s="114">
        <f>sept2021222337383940[[#This Row],[сумма]]-sept2021222337383940[[#This Row],[Цена м2 отделки]]*sept2021222337383940[[#This Row],[м2]]</f>
        <v>6287443</v>
      </c>
    </row>
    <row r="21" spans="1:21" s="61" customFormat="1">
      <c r="A21" s="62">
        <v>19</v>
      </c>
      <c r="B21" s="74">
        <v>30621</v>
      </c>
      <c r="C21" s="62" t="s">
        <v>13</v>
      </c>
      <c r="D21" s="75">
        <v>444</v>
      </c>
      <c r="E21" s="62">
        <v>1</v>
      </c>
      <c r="F21" s="62">
        <v>39.69</v>
      </c>
      <c r="G21" s="62" t="s">
        <v>21</v>
      </c>
      <c r="H21" s="62">
        <v>7000</v>
      </c>
      <c r="I21" s="95">
        <v>4638630</v>
      </c>
      <c r="J21" s="117" t="s">
        <v>41</v>
      </c>
      <c r="K21" s="62" t="s">
        <v>16</v>
      </c>
      <c r="L21" s="62" t="s">
        <v>583</v>
      </c>
      <c r="M21" s="62" t="s">
        <v>18</v>
      </c>
      <c r="N21" s="92">
        <v>45441</v>
      </c>
      <c r="O21" s="117" t="s">
        <v>17</v>
      </c>
      <c r="P21" s="76" t="s">
        <v>2057</v>
      </c>
      <c r="Q21" s="113" t="s">
        <v>67</v>
      </c>
      <c r="R21" s="113" t="s">
        <v>67</v>
      </c>
      <c r="S21" s="117" t="s">
        <v>41</v>
      </c>
      <c r="T21" s="117" t="s">
        <v>20</v>
      </c>
      <c r="U21" s="114">
        <f>sept2021222337383940[[#This Row],[сумма]]-sept2021222337383940[[#This Row],[Цена м2 отделки]]*sept2021222337383940[[#This Row],[м2]]</f>
        <v>4360800</v>
      </c>
    </row>
    <row r="22" spans="1:21" s="61" customFormat="1">
      <c r="A22" s="62">
        <v>20</v>
      </c>
      <c r="B22" s="75">
        <v>31880</v>
      </c>
      <c r="C22" s="62" t="s">
        <v>7</v>
      </c>
      <c r="D22" s="75">
        <v>302</v>
      </c>
      <c r="E22" s="62">
        <v>3</v>
      </c>
      <c r="F22" s="62">
        <v>72.510000000000005</v>
      </c>
      <c r="G22" s="62" t="s">
        <v>15</v>
      </c>
      <c r="H22" s="62">
        <v>7500</v>
      </c>
      <c r="I22" s="95">
        <v>7739725</v>
      </c>
      <c r="J22" s="117" t="s">
        <v>20</v>
      </c>
      <c r="K22" s="62" t="s">
        <v>16</v>
      </c>
      <c r="L22" s="62" t="s">
        <v>583</v>
      </c>
      <c r="M22" s="62" t="s">
        <v>18</v>
      </c>
      <c r="N22" s="92">
        <v>45443</v>
      </c>
      <c r="O22" s="117" t="s">
        <v>17</v>
      </c>
      <c r="P22" s="62" t="s">
        <v>2058</v>
      </c>
      <c r="Q22" s="113" t="s">
        <v>67</v>
      </c>
      <c r="R22" s="113" t="s">
        <v>67</v>
      </c>
      <c r="S22" s="117" t="s">
        <v>20</v>
      </c>
      <c r="T22" s="117" t="s">
        <v>77</v>
      </c>
      <c r="U22" s="114">
        <f>sept2021222337383940[[#This Row],[сумма]]-sept2021222337383940[[#This Row],[Цена м2 отделки]]*sept2021222337383940[[#This Row],[м2]]</f>
        <v>7195900</v>
      </c>
    </row>
    <row r="23" spans="1:21" s="61" customFormat="1">
      <c r="A23" s="62">
        <v>21</v>
      </c>
      <c r="B23" s="75">
        <v>31578</v>
      </c>
      <c r="C23" s="62" t="s">
        <v>13</v>
      </c>
      <c r="D23" s="75">
        <v>455</v>
      </c>
      <c r="E23" s="62">
        <v>0</v>
      </c>
      <c r="F23" s="62">
        <v>24.5</v>
      </c>
      <c r="G23" s="62" t="s">
        <v>25</v>
      </c>
      <c r="H23" s="62">
        <v>20000</v>
      </c>
      <c r="I23" s="95">
        <v>3364200</v>
      </c>
      <c r="J23" s="117" t="s">
        <v>20</v>
      </c>
      <c r="K23" s="62" t="s">
        <v>22</v>
      </c>
      <c r="L23" s="62" t="s">
        <v>583</v>
      </c>
      <c r="M23" s="62" t="s">
        <v>18</v>
      </c>
      <c r="N23" s="92">
        <v>45440</v>
      </c>
      <c r="O23" s="117" t="s">
        <v>17</v>
      </c>
      <c r="P23" s="62" t="s">
        <v>2059</v>
      </c>
      <c r="Q23" s="113" t="s">
        <v>67</v>
      </c>
      <c r="R23" s="113" t="s">
        <v>67</v>
      </c>
      <c r="S23" s="117" t="s">
        <v>20</v>
      </c>
      <c r="T23" s="117" t="s">
        <v>8</v>
      </c>
      <c r="U23" s="114">
        <f>sept2021222337383940[[#This Row],[сумма]]-sept2021222337383940[[#This Row],[Цена м2 отделки]]*sept2021222337383940[[#This Row],[м2]]</f>
        <v>2874200</v>
      </c>
    </row>
    <row r="24" spans="1:21">
      <c r="A24" s="65">
        <v>22</v>
      </c>
      <c r="B24" s="79"/>
      <c r="C24" s="65"/>
      <c r="D24" s="79"/>
      <c r="E24" s="65"/>
      <c r="F24" s="65"/>
      <c r="G24" s="65"/>
      <c r="H24" s="65"/>
      <c r="I24" s="93"/>
      <c r="J24" s="80"/>
      <c r="K24" s="65"/>
      <c r="L24" s="65"/>
      <c r="M24" s="65"/>
      <c r="N24" s="98"/>
      <c r="O24" s="80"/>
      <c r="P24" s="65"/>
      <c r="Q24" s="118"/>
      <c r="R24" s="118"/>
      <c r="S24" s="80"/>
      <c r="T24" s="80"/>
      <c r="U24" s="115">
        <f>sept2021222337383940[[#This Row],[сумма]]-sept2021222337383940[[#This Row],[Цена м2 отделки]]*sept2021222337383940[[#This Row],[м2]]</f>
        <v>0</v>
      </c>
    </row>
    <row r="25" spans="1:21" s="61" customFormat="1">
      <c r="A25" s="65">
        <v>23</v>
      </c>
      <c r="B25" s="79"/>
      <c r="C25" s="65"/>
      <c r="D25" s="79"/>
      <c r="E25" s="65"/>
      <c r="F25" s="65"/>
      <c r="G25" s="65"/>
      <c r="H25" s="65"/>
      <c r="I25" s="93"/>
      <c r="J25" s="80"/>
      <c r="K25" s="65"/>
      <c r="L25" s="65"/>
      <c r="M25" s="65"/>
      <c r="N25" s="98"/>
      <c r="O25" s="80"/>
      <c r="P25" s="65"/>
      <c r="Q25" s="118"/>
      <c r="R25" s="118"/>
      <c r="S25" s="80"/>
      <c r="T25" s="80"/>
      <c r="U25" s="115">
        <f>sept2021222337383940[[#This Row],[сумма]]-sept2021222337383940[[#This Row],[Цена м2 отделки]]*sept2021222337383940[[#This Row],[м2]]</f>
        <v>0</v>
      </c>
    </row>
    <row r="26" spans="1:21" s="61" customFormat="1">
      <c r="A26" s="62">
        <v>24</v>
      </c>
      <c r="B26" s="75">
        <v>31863</v>
      </c>
      <c r="C26" s="62" t="s">
        <v>7</v>
      </c>
      <c r="D26" s="75">
        <v>281</v>
      </c>
      <c r="E26" s="349">
        <v>3</v>
      </c>
      <c r="F26" s="62">
        <v>72.510000000000005</v>
      </c>
      <c r="G26" s="62" t="s">
        <v>15</v>
      </c>
      <c r="H26" s="348">
        <v>7500</v>
      </c>
      <c r="I26" s="352">
        <v>7675025</v>
      </c>
      <c r="J26" s="348" t="s">
        <v>20</v>
      </c>
      <c r="K26" s="62" t="s">
        <v>22</v>
      </c>
      <c r="L26" s="62" t="s">
        <v>583</v>
      </c>
      <c r="M26" s="62" t="s">
        <v>18</v>
      </c>
      <c r="N26" s="92">
        <v>45439</v>
      </c>
      <c r="O26" s="62" t="s">
        <v>17</v>
      </c>
      <c r="P26" s="62" t="s">
        <v>2060</v>
      </c>
      <c r="Q26" s="377" t="s">
        <v>67</v>
      </c>
      <c r="R26" s="377" t="s">
        <v>67</v>
      </c>
      <c r="S26" s="62" t="s">
        <v>20</v>
      </c>
      <c r="T26" s="62" t="s">
        <v>20</v>
      </c>
      <c r="U26" s="114">
        <f>sept2021222337383940[[#This Row],[сумма]]-sept2021222337383940[[#This Row],[Цена м2 отделки]]*sept2021222337383940[[#This Row],[м2]]</f>
        <v>7131200</v>
      </c>
    </row>
    <row r="27" spans="1:21" s="61" customFormat="1">
      <c r="A27" s="62">
        <v>25</v>
      </c>
      <c r="B27" s="75">
        <v>31914</v>
      </c>
      <c r="C27" s="62" t="s">
        <v>7</v>
      </c>
      <c r="D27" s="75">
        <v>274</v>
      </c>
      <c r="E27" s="349">
        <v>3</v>
      </c>
      <c r="F27" s="62">
        <v>75.510000000000005</v>
      </c>
      <c r="G27" s="62" t="s">
        <v>9</v>
      </c>
      <c r="H27" s="348"/>
      <c r="I27" s="352">
        <v>6980023</v>
      </c>
      <c r="J27" s="348" t="s">
        <v>8</v>
      </c>
      <c r="K27" s="62" t="s">
        <v>22</v>
      </c>
      <c r="L27" s="117" t="s">
        <v>583</v>
      </c>
      <c r="M27" s="62" t="s">
        <v>18</v>
      </c>
      <c r="N27" s="92">
        <v>45432</v>
      </c>
      <c r="O27" s="62" t="s">
        <v>17</v>
      </c>
      <c r="P27" s="117" t="s">
        <v>2061</v>
      </c>
      <c r="Q27" s="377" t="s">
        <v>67</v>
      </c>
      <c r="R27" s="113" t="s">
        <v>67</v>
      </c>
      <c r="S27" s="62" t="s">
        <v>8</v>
      </c>
      <c r="T27" s="62" t="s">
        <v>8</v>
      </c>
      <c r="U27" s="114">
        <f>sept2021222337383940[[#This Row],[сумма]]-sept2021222337383940[[#This Row],[Цена м2 отделки]]*sept2021222337383940[[#This Row],[м2]]</f>
        <v>6980023</v>
      </c>
    </row>
    <row r="28" spans="1:21" s="61" customFormat="1">
      <c r="A28" s="62">
        <v>26</v>
      </c>
      <c r="B28" s="74">
        <v>31724</v>
      </c>
      <c r="C28" s="62" t="s">
        <v>13</v>
      </c>
      <c r="D28" s="75">
        <v>188</v>
      </c>
      <c r="E28" s="62">
        <v>2</v>
      </c>
      <c r="F28" s="62">
        <v>60.22</v>
      </c>
      <c r="G28" s="62" t="s">
        <v>21</v>
      </c>
      <c r="H28" s="62">
        <v>7000</v>
      </c>
      <c r="I28" s="95">
        <v>6303340</v>
      </c>
      <c r="J28" s="117" t="s">
        <v>8</v>
      </c>
      <c r="K28" s="62" t="s">
        <v>22</v>
      </c>
      <c r="L28" s="62" t="s">
        <v>583</v>
      </c>
      <c r="M28" s="62" t="s">
        <v>18</v>
      </c>
      <c r="N28" s="92">
        <v>45432</v>
      </c>
      <c r="O28" s="117" t="s">
        <v>17</v>
      </c>
      <c r="P28" s="62" t="s">
        <v>2062</v>
      </c>
      <c r="Q28" s="377" t="s">
        <v>67</v>
      </c>
      <c r="R28" s="113" t="s">
        <v>67</v>
      </c>
      <c r="S28" s="117" t="s">
        <v>8</v>
      </c>
      <c r="T28" s="117" t="s">
        <v>8</v>
      </c>
      <c r="U28" s="114">
        <f>sept2021222337383940[[#This Row],[сумма]]-sept2021222337383940[[#This Row],[Цена м2 отделки]]*sept2021222337383940[[#This Row],[м2]]</f>
        <v>5881800</v>
      </c>
    </row>
    <row r="29" spans="1:21">
      <c r="A29" s="62">
        <v>27</v>
      </c>
      <c r="B29" s="74">
        <v>31950</v>
      </c>
      <c r="C29" s="62" t="s">
        <v>7</v>
      </c>
      <c r="D29" s="75">
        <v>226</v>
      </c>
      <c r="E29" s="62">
        <v>2</v>
      </c>
      <c r="F29" s="62">
        <v>68.75</v>
      </c>
      <c r="G29" s="62" t="s">
        <v>15</v>
      </c>
      <c r="H29" s="62">
        <v>7500</v>
      </c>
      <c r="I29" s="95">
        <v>7463425</v>
      </c>
      <c r="J29" s="117" t="s">
        <v>1892</v>
      </c>
      <c r="K29" s="62" t="s">
        <v>16</v>
      </c>
      <c r="L29" s="62" t="s">
        <v>583</v>
      </c>
      <c r="M29" s="62" t="s">
        <v>18</v>
      </c>
      <c r="N29" s="92">
        <v>45432</v>
      </c>
      <c r="O29" s="117" t="s">
        <v>17</v>
      </c>
      <c r="P29" s="62" t="s">
        <v>2063</v>
      </c>
      <c r="Q29" s="113" t="s">
        <v>67</v>
      </c>
      <c r="R29" s="113" t="s">
        <v>67</v>
      </c>
      <c r="S29" s="117" t="s">
        <v>1892</v>
      </c>
      <c r="T29" s="117" t="s">
        <v>1892</v>
      </c>
      <c r="U29" s="114">
        <f>sept2021222337383940[[#This Row],[сумма]]-sept2021222337383940[[#This Row],[Цена м2 отделки]]*sept2021222337383940[[#This Row],[м2]]</f>
        <v>6947800</v>
      </c>
    </row>
    <row r="30" spans="1:21" s="61" customFormat="1">
      <c r="A30" s="62">
        <v>28</v>
      </c>
      <c r="B30" s="75">
        <v>31923</v>
      </c>
      <c r="C30" s="62" t="s">
        <v>13</v>
      </c>
      <c r="D30" s="75">
        <v>41</v>
      </c>
      <c r="E30" s="62">
        <v>1</v>
      </c>
      <c r="F30" s="62">
        <v>42.75</v>
      </c>
      <c r="G30" s="62" t="s">
        <v>21</v>
      </c>
      <c r="H30" s="62">
        <v>7000</v>
      </c>
      <c r="I30" s="95">
        <v>4929050</v>
      </c>
      <c r="J30" s="117" t="s">
        <v>1892</v>
      </c>
      <c r="K30" s="62" t="s">
        <v>22</v>
      </c>
      <c r="L30" s="62" t="s">
        <v>583</v>
      </c>
      <c r="M30" s="62" t="s">
        <v>18</v>
      </c>
      <c r="N30" s="92">
        <v>45440</v>
      </c>
      <c r="O30" s="117" t="s">
        <v>17</v>
      </c>
      <c r="P30" s="62" t="s">
        <v>2064</v>
      </c>
      <c r="Q30" s="113" t="s">
        <v>67</v>
      </c>
      <c r="R30" s="113" t="s">
        <v>67</v>
      </c>
      <c r="S30" s="117" t="s">
        <v>1892</v>
      </c>
      <c r="T30" s="117" t="s">
        <v>1892</v>
      </c>
      <c r="U30" s="114">
        <f>sept2021222337383940[[#This Row],[сумма]]-sept2021222337383940[[#This Row],[Цена м2 отделки]]*sept2021222337383940[[#This Row],[м2]]</f>
        <v>4629800</v>
      </c>
    </row>
    <row r="31" spans="1:21" s="61" customFormat="1">
      <c r="A31" s="62">
        <v>29</v>
      </c>
      <c r="B31" s="75">
        <v>31693</v>
      </c>
      <c r="C31" s="62" t="s">
        <v>13</v>
      </c>
      <c r="D31" s="75">
        <v>51</v>
      </c>
      <c r="E31" s="62">
        <v>1</v>
      </c>
      <c r="F31" s="62">
        <v>37.729999999999997</v>
      </c>
      <c r="G31" s="62" t="s">
        <v>25</v>
      </c>
      <c r="H31" s="62">
        <v>20000</v>
      </c>
      <c r="I31" s="95">
        <v>5141400</v>
      </c>
      <c r="J31" s="117" t="s">
        <v>1892</v>
      </c>
      <c r="K31" s="62" t="s">
        <v>22</v>
      </c>
      <c r="L31" s="62" t="s">
        <v>583</v>
      </c>
      <c r="M31" s="62" t="s">
        <v>18</v>
      </c>
      <c r="N31" s="92">
        <v>45321</v>
      </c>
      <c r="O31" s="117" t="s">
        <v>17</v>
      </c>
      <c r="P31" s="62" t="s">
        <v>2065</v>
      </c>
      <c r="Q31" s="113" t="s">
        <v>67</v>
      </c>
      <c r="R31" s="113" t="s">
        <v>67</v>
      </c>
      <c r="S31" s="117" t="s">
        <v>1892</v>
      </c>
      <c r="T31" s="117" t="s">
        <v>1892</v>
      </c>
      <c r="U31" s="114">
        <f>sept2021222337383940[[#This Row],[сумма]]-sept2021222337383940[[#This Row],[Цена м2 отделки]]*sept2021222337383940[[#This Row],[м2]]</f>
        <v>4386800</v>
      </c>
    </row>
    <row r="32" spans="1:21">
      <c r="A32" s="369"/>
      <c r="B32" s="440"/>
      <c r="C32" s="369"/>
      <c r="D32" s="440"/>
      <c r="E32" s="449"/>
      <c r="F32" s="440"/>
      <c r="G32" s="369"/>
      <c r="H32" s="460"/>
      <c r="I32" s="450"/>
      <c r="J32" s="369"/>
      <c r="K32" s="369"/>
      <c r="L32" s="369"/>
      <c r="M32" s="369"/>
      <c r="N32" s="451"/>
      <c r="O32" s="456"/>
      <c r="P32" s="369"/>
      <c r="Q32" s="372"/>
      <c r="R32" s="372"/>
      <c r="S32" s="369"/>
      <c r="T32" s="369"/>
      <c r="U32" s="373">
        <f>sept2021222337383940[[#This Row],[сумма]]-sept2021222337383940[[#This Row],[Цена м2 отделки]]*sept2021222337383940[[#This Row],[м2]]</f>
        <v>0</v>
      </c>
    </row>
    <row r="33" spans="1:22">
      <c r="A33" s="65">
        <v>31</v>
      </c>
      <c r="B33" s="79"/>
      <c r="C33" s="65"/>
      <c r="D33" s="79"/>
      <c r="E33" s="65"/>
      <c r="F33" s="65"/>
      <c r="G33" s="65"/>
      <c r="H33" s="65"/>
      <c r="I33" s="548" t="s">
        <v>2066</v>
      </c>
      <c r="J33" s="65"/>
      <c r="K33" s="65"/>
      <c r="L33" s="65"/>
      <c r="M33" s="65"/>
      <c r="N33" s="98"/>
      <c r="O33" s="80"/>
      <c r="P33" s="65"/>
      <c r="Q33" s="118"/>
      <c r="R33" s="118"/>
      <c r="S33" s="80"/>
      <c r="T33" s="80"/>
      <c r="U33" s="115" t="e">
        <f>sept2021222337383940[[#This Row],[сумма]]-sept2021222337383940[[#This Row],[Цена м2 отделки]]*sept2021222337383940[[#This Row],[м2]]</f>
        <v>#VALUE!</v>
      </c>
    </row>
    <row r="34" spans="1:22" s="61" customFormat="1">
      <c r="A34" s="62"/>
      <c r="B34" s="75">
        <v>32403</v>
      </c>
      <c r="C34" s="62" t="s">
        <v>13</v>
      </c>
      <c r="D34" s="75">
        <v>58</v>
      </c>
      <c r="E34" s="62">
        <v>1</v>
      </c>
      <c r="F34" s="62">
        <v>37.729999999999997</v>
      </c>
      <c r="G34" s="62" t="s">
        <v>25</v>
      </c>
      <c r="H34" s="62"/>
      <c r="I34" s="95">
        <v>5229200</v>
      </c>
      <c r="J34" s="117" t="s">
        <v>77</v>
      </c>
      <c r="K34" s="62" t="s">
        <v>16</v>
      </c>
      <c r="L34" s="62" t="s">
        <v>583</v>
      </c>
      <c r="M34" s="62" t="s">
        <v>18</v>
      </c>
      <c r="N34" s="92">
        <v>45443</v>
      </c>
      <c r="O34" s="117" t="s">
        <v>17</v>
      </c>
      <c r="P34" s="62" t="s">
        <v>2067</v>
      </c>
      <c r="Q34" s="113" t="s">
        <v>67</v>
      </c>
      <c r="R34" s="113" t="s">
        <v>67</v>
      </c>
      <c r="S34" s="62" t="s">
        <v>77</v>
      </c>
      <c r="T34" s="62" t="s">
        <v>77</v>
      </c>
      <c r="U34" s="114">
        <f>sept2021222337383940[[#This Row],[сумма]]-sept2021222337383940[[#This Row],[Цена м2 отделки]]*sept2021222337383940[[#This Row],[м2]]</f>
        <v>5229200</v>
      </c>
    </row>
    <row r="35" spans="1:22">
      <c r="A35" s="65">
        <v>33</v>
      </c>
      <c r="B35" s="77"/>
      <c r="C35" s="65"/>
      <c r="D35" s="65"/>
      <c r="E35" s="65"/>
      <c r="F35" s="79"/>
      <c r="G35" s="65"/>
      <c r="H35" s="65"/>
      <c r="I35" s="93"/>
      <c r="J35" s="65"/>
      <c r="K35" s="65"/>
      <c r="L35" s="65"/>
      <c r="M35" s="65"/>
      <c r="N35" s="98"/>
      <c r="O35" s="80"/>
      <c r="P35" s="65"/>
      <c r="Q35" s="86"/>
      <c r="R35" s="86"/>
      <c r="S35" s="65"/>
      <c r="T35" s="65" t="s">
        <v>77</v>
      </c>
      <c r="U35" s="115">
        <f>sept2021222337383940[[#This Row],[сумма]]-sept2021222337383940[[#This Row],[Цена м2 отделки]]*sept2021222337383940[[#This Row],[м2]]</f>
        <v>0</v>
      </c>
    </row>
    <row r="36" spans="1:22">
      <c r="A36" s="62">
        <v>34</v>
      </c>
      <c r="B36" s="75">
        <v>31640</v>
      </c>
      <c r="C36" s="62" t="s">
        <v>13</v>
      </c>
      <c r="D36" s="75">
        <v>100</v>
      </c>
      <c r="E36" s="62">
        <v>1</v>
      </c>
      <c r="F36" s="62">
        <v>37.729999999999997</v>
      </c>
      <c r="G36" s="62" t="s">
        <v>25</v>
      </c>
      <c r="H36" s="62">
        <v>20000</v>
      </c>
      <c r="I36" s="95">
        <v>5141400</v>
      </c>
      <c r="J36" s="117" t="s">
        <v>40</v>
      </c>
      <c r="K36" s="62" t="s">
        <v>22</v>
      </c>
      <c r="L36" s="62" t="s">
        <v>583</v>
      </c>
      <c r="M36" s="62" t="s">
        <v>18</v>
      </c>
      <c r="N36" s="92">
        <v>45432</v>
      </c>
      <c r="O36" s="117" t="s">
        <v>1089</v>
      </c>
      <c r="P36" s="62" t="s">
        <v>2068</v>
      </c>
      <c r="Q36" s="113" t="s">
        <v>67</v>
      </c>
      <c r="R36" s="113" t="s">
        <v>67</v>
      </c>
      <c r="S36" s="117" t="s">
        <v>40</v>
      </c>
      <c r="T36" s="117" t="s">
        <v>14</v>
      </c>
      <c r="U36" s="114">
        <f>sept2021222337383940[[#This Row],[сумма]]-sept2021222337383940[[#This Row],[Цена м2 отделки]]*sept2021222337383940[[#This Row],[м2]]</f>
        <v>4386800</v>
      </c>
    </row>
    <row r="37" spans="1:22" s="61" customFormat="1">
      <c r="A37" s="62">
        <v>35</v>
      </c>
      <c r="B37" s="74">
        <v>32232</v>
      </c>
      <c r="C37" s="62" t="s">
        <v>13</v>
      </c>
      <c r="D37" s="75">
        <v>258</v>
      </c>
      <c r="E37" s="62">
        <v>0</v>
      </c>
      <c r="F37" s="62">
        <v>24.53</v>
      </c>
      <c r="G37" s="62" t="s">
        <v>25</v>
      </c>
      <c r="H37" s="81">
        <v>20000</v>
      </c>
      <c r="I37" s="95">
        <v>3594200</v>
      </c>
      <c r="J37" s="117" t="s">
        <v>31</v>
      </c>
      <c r="K37" s="62" t="s">
        <v>16</v>
      </c>
      <c r="L37" s="62" t="s">
        <v>583</v>
      </c>
      <c r="M37" s="62" t="s">
        <v>18</v>
      </c>
      <c r="N37" s="92">
        <v>45441</v>
      </c>
      <c r="O37" s="117" t="s">
        <v>17</v>
      </c>
      <c r="P37" s="62" t="s">
        <v>2069</v>
      </c>
      <c r="Q37" s="113" t="s">
        <v>67</v>
      </c>
      <c r="R37" s="113" t="s">
        <v>67</v>
      </c>
      <c r="S37" s="117" t="s">
        <v>31</v>
      </c>
      <c r="T37" s="117" t="s">
        <v>8</v>
      </c>
      <c r="U37" s="114">
        <f>sept2021222337383940[[#This Row],[сумма]]-sept2021222337383940[[#This Row],[Цена м2 отделки]]*sept2021222337383940[[#This Row],[м2]]</f>
        <v>3103600</v>
      </c>
    </row>
    <row r="38" spans="1:22" s="61" customFormat="1">
      <c r="A38" s="62">
        <v>36</v>
      </c>
      <c r="B38" s="75">
        <v>32263</v>
      </c>
      <c r="C38" s="62" t="s">
        <v>13</v>
      </c>
      <c r="D38" s="75">
        <v>211</v>
      </c>
      <c r="E38" s="62">
        <v>2</v>
      </c>
      <c r="F38" s="62">
        <v>57.6</v>
      </c>
      <c r="G38" s="62" t="s">
        <v>25</v>
      </c>
      <c r="H38" s="62">
        <v>20000</v>
      </c>
      <c r="I38" s="95">
        <v>6619800</v>
      </c>
      <c r="J38" s="117" t="s">
        <v>77</v>
      </c>
      <c r="K38" s="62" t="s">
        <v>16</v>
      </c>
      <c r="L38" s="62" t="s">
        <v>583</v>
      </c>
      <c r="M38" s="62" t="s">
        <v>18</v>
      </c>
      <c r="N38" s="92">
        <v>45440</v>
      </c>
      <c r="O38" s="117" t="s">
        <v>17</v>
      </c>
      <c r="P38" s="62" t="s">
        <v>2070</v>
      </c>
      <c r="Q38" s="113" t="s">
        <v>67</v>
      </c>
      <c r="R38" s="113" t="s">
        <v>67</v>
      </c>
      <c r="S38" s="62" t="s">
        <v>77</v>
      </c>
      <c r="T38" s="62" t="s">
        <v>77</v>
      </c>
      <c r="U38" s="114">
        <f>sept2021222337383940[[#This Row],[сумма]]-sept2021222337383940[[#This Row],[Цена м2 отделки]]*sept2021222337383940[[#This Row],[м2]]</f>
        <v>5467800</v>
      </c>
    </row>
    <row r="39" spans="1:22" s="61" customFormat="1">
      <c r="A39" s="62">
        <v>38</v>
      </c>
      <c r="B39" s="75">
        <v>32352</v>
      </c>
      <c r="C39" s="62" t="s">
        <v>13</v>
      </c>
      <c r="D39" s="75">
        <v>303</v>
      </c>
      <c r="E39" s="62">
        <v>1</v>
      </c>
      <c r="F39" s="62">
        <v>37.81</v>
      </c>
      <c r="G39" s="62" t="s">
        <v>21</v>
      </c>
      <c r="H39" s="62">
        <v>7500</v>
      </c>
      <c r="I39" s="95">
        <v>4695570</v>
      </c>
      <c r="J39" s="117" t="s">
        <v>40</v>
      </c>
      <c r="K39" s="62" t="s">
        <v>16</v>
      </c>
      <c r="L39" s="62" t="s">
        <v>583</v>
      </c>
      <c r="M39" s="431" t="s">
        <v>18</v>
      </c>
      <c r="N39" s="92">
        <v>45440</v>
      </c>
      <c r="O39" s="117" t="s">
        <v>17</v>
      </c>
      <c r="P39" s="62" t="s">
        <v>2071</v>
      </c>
      <c r="Q39" s="113" t="s">
        <v>67</v>
      </c>
      <c r="R39" s="113" t="s">
        <v>67</v>
      </c>
      <c r="S39" s="117" t="s">
        <v>40</v>
      </c>
      <c r="T39" s="117" t="s">
        <v>8</v>
      </c>
      <c r="U39" s="114">
        <f>sept2021222337383940[[#This Row],[сумма]]-sept2021222337383940[[#This Row],[Цена м2 отделки]]*sept2021222337383940[[#This Row],[м2]]</f>
        <v>4411995</v>
      </c>
    </row>
    <row r="40" spans="1:22" ht="12" customHeight="1">
      <c r="A40" s="62">
        <v>39</v>
      </c>
      <c r="B40" s="74">
        <v>32337</v>
      </c>
      <c r="C40" s="62" t="s">
        <v>13</v>
      </c>
      <c r="D40" s="75">
        <v>461</v>
      </c>
      <c r="E40" s="62">
        <v>0</v>
      </c>
      <c r="F40" s="62">
        <v>29.4</v>
      </c>
      <c r="G40" s="62" t="s">
        <v>25</v>
      </c>
      <c r="H40" s="62">
        <v>22000</v>
      </c>
      <c r="I40" s="95">
        <v>4063300</v>
      </c>
      <c r="J40" s="117" t="s">
        <v>8</v>
      </c>
      <c r="K40" s="62" t="s">
        <v>16</v>
      </c>
      <c r="L40" s="62" t="s">
        <v>583</v>
      </c>
      <c r="M40" s="62" t="s">
        <v>18</v>
      </c>
      <c r="N40" s="92">
        <v>45441</v>
      </c>
      <c r="O40" s="117" t="s">
        <v>17</v>
      </c>
      <c r="P40" s="62" t="s">
        <v>2072</v>
      </c>
      <c r="Q40" s="113" t="s">
        <v>67</v>
      </c>
      <c r="R40" s="113" t="s">
        <v>67</v>
      </c>
      <c r="S40" s="117" t="s">
        <v>8</v>
      </c>
      <c r="T40" s="117" t="s">
        <v>8</v>
      </c>
      <c r="U40" s="114">
        <f>sept2021222337383940[[#This Row],[сумма]]-sept2021222337383940[[#This Row],[Цена м2 отделки]]*sept2021222337383940[[#This Row],[м2]]</f>
        <v>3416500</v>
      </c>
    </row>
    <row r="41" spans="1:22" s="61" customFormat="1">
      <c r="A41" s="62">
        <v>40</v>
      </c>
      <c r="B41" s="75">
        <v>32322</v>
      </c>
      <c r="C41" s="62" t="s">
        <v>7</v>
      </c>
      <c r="D41" s="75">
        <v>103</v>
      </c>
      <c r="E41" s="62">
        <v>0</v>
      </c>
      <c r="F41" s="62">
        <v>21.75</v>
      </c>
      <c r="G41" s="62" t="s">
        <v>25</v>
      </c>
      <c r="H41" s="62">
        <v>22000</v>
      </c>
      <c r="I41" s="95">
        <v>3536100</v>
      </c>
      <c r="J41" s="62" t="s">
        <v>31</v>
      </c>
      <c r="K41" s="62" t="s">
        <v>16</v>
      </c>
      <c r="L41" s="62" t="s">
        <v>583</v>
      </c>
      <c r="M41" s="62" t="s">
        <v>18</v>
      </c>
      <c r="N41" s="92">
        <v>45442</v>
      </c>
      <c r="O41" s="117" t="s">
        <v>17</v>
      </c>
      <c r="P41" s="76" t="s">
        <v>2073</v>
      </c>
      <c r="Q41" s="113" t="s">
        <v>67</v>
      </c>
      <c r="R41" s="113" t="s">
        <v>67</v>
      </c>
      <c r="S41" s="62" t="s">
        <v>31</v>
      </c>
      <c r="T41" s="62" t="s">
        <v>8</v>
      </c>
      <c r="U41" s="114">
        <f>sept2021222337383940[[#This Row],[сумма]]-sept2021222337383940[[#This Row],[Цена м2 отделки]]*sept2021222337383940[[#This Row],[м2]]</f>
        <v>3057600</v>
      </c>
      <c r="V41" s="66"/>
    </row>
    <row r="42" spans="1:22" s="61" customFormat="1">
      <c r="A42" s="62">
        <v>41</v>
      </c>
      <c r="B42" s="74">
        <v>32196</v>
      </c>
      <c r="C42" s="62" t="s">
        <v>13</v>
      </c>
      <c r="D42" s="75">
        <v>198</v>
      </c>
      <c r="E42" s="62">
        <v>2</v>
      </c>
      <c r="F42" s="62">
        <v>58.31</v>
      </c>
      <c r="G42" s="62" t="s">
        <v>25</v>
      </c>
      <c r="H42" s="62">
        <v>20000</v>
      </c>
      <c r="I42" s="95">
        <v>6560370</v>
      </c>
      <c r="J42" s="117" t="s">
        <v>8</v>
      </c>
      <c r="K42" s="62" t="s">
        <v>16</v>
      </c>
      <c r="L42" s="62" t="s">
        <v>583</v>
      </c>
      <c r="M42" s="62" t="s">
        <v>18</v>
      </c>
      <c r="N42" s="92">
        <v>45441</v>
      </c>
      <c r="O42" s="117" t="s">
        <v>17</v>
      </c>
      <c r="P42" s="62" t="s">
        <v>2074</v>
      </c>
      <c r="Q42" s="113" t="s">
        <v>67</v>
      </c>
      <c r="R42" s="113" t="s">
        <v>67</v>
      </c>
      <c r="S42" s="117" t="s">
        <v>8</v>
      </c>
      <c r="T42" s="117" t="s">
        <v>8</v>
      </c>
      <c r="U42" s="114">
        <f>sept2021222337383940[[#This Row],[сумма]]-sept2021222337383940[[#This Row],[Цена м2 отделки]]*sept2021222337383940[[#This Row],[м2]]</f>
        <v>5394170</v>
      </c>
      <c r="V42" s="66"/>
    </row>
    <row r="43" spans="1:22" s="61" customFormat="1">
      <c r="A43" s="62">
        <v>42</v>
      </c>
      <c r="B43" s="74">
        <v>30500</v>
      </c>
      <c r="C43" s="62" t="s">
        <v>7</v>
      </c>
      <c r="D43" s="75">
        <v>333</v>
      </c>
      <c r="E43" s="62">
        <v>2</v>
      </c>
      <c r="F43" s="62">
        <v>67.95</v>
      </c>
      <c r="G43" s="392" t="s">
        <v>15</v>
      </c>
      <c r="H43" s="392">
        <v>7500</v>
      </c>
      <c r="I43" s="95">
        <v>6797068</v>
      </c>
      <c r="J43" s="117" t="s">
        <v>8</v>
      </c>
      <c r="K43" s="62" t="s">
        <v>16</v>
      </c>
      <c r="L43" s="62" t="s">
        <v>583</v>
      </c>
      <c r="M43" s="62" t="s">
        <v>18</v>
      </c>
      <c r="N43" s="92">
        <v>45443</v>
      </c>
      <c r="O43" s="117" t="s">
        <v>17</v>
      </c>
      <c r="P43" s="62" t="s">
        <v>2075</v>
      </c>
      <c r="Q43" s="113" t="s">
        <v>67</v>
      </c>
      <c r="R43" s="113" t="s">
        <v>67</v>
      </c>
      <c r="S43" s="117" t="s">
        <v>8</v>
      </c>
      <c r="T43" s="117" t="s">
        <v>8</v>
      </c>
      <c r="U43" s="114">
        <f>sept2021222337383940[[#This Row],[сумма]]-sept2021222337383940[[#This Row],[Цена м2 отделки]]*sept2021222337383940[[#This Row],[м2]]</f>
        <v>6287443</v>
      </c>
    </row>
    <row r="44" spans="1:22" s="61" customFormat="1">
      <c r="A44" s="62">
        <v>43</v>
      </c>
      <c r="B44" s="75">
        <v>32459</v>
      </c>
      <c r="C44" s="62" t="s">
        <v>13</v>
      </c>
      <c r="D44" s="75">
        <v>393</v>
      </c>
      <c r="E44" s="62">
        <v>2</v>
      </c>
      <c r="F44" s="62">
        <v>58.24</v>
      </c>
      <c r="G44" s="62" t="s">
        <v>9</v>
      </c>
      <c r="H44" s="62"/>
      <c r="I44" s="95">
        <v>6119900</v>
      </c>
      <c r="J44" s="117" t="s">
        <v>8</v>
      </c>
      <c r="K44" s="62" t="s">
        <v>16</v>
      </c>
      <c r="L44" s="62" t="s">
        <v>583</v>
      </c>
      <c r="M44" s="62" t="s">
        <v>18</v>
      </c>
      <c r="N44" s="92">
        <v>45443</v>
      </c>
      <c r="O44" s="62" t="s">
        <v>17</v>
      </c>
      <c r="P44" s="62" t="s">
        <v>2076</v>
      </c>
      <c r="Q44" s="113" t="s">
        <v>67</v>
      </c>
      <c r="R44" s="113" t="s">
        <v>67</v>
      </c>
      <c r="S44" s="117" t="s">
        <v>8</v>
      </c>
      <c r="T44" s="117" t="s">
        <v>20</v>
      </c>
      <c r="U44" s="114">
        <f>sept2021222337383940[[#This Row],[сумма]]-sept2021222337383940[[#This Row],[Цена м2 отделки]]*sept2021222337383940[[#This Row],[м2]]</f>
        <v>6119900</v>
      </c>
    </row>
    <row r="45" spans="1:22" s="61" customFormat="1">
      <c r="A45" s="62">
        <v>44</v>
      </c>
      <c r="B45" s="75">
        <v>30214</v>
      </c>
      <c r="C45" s="62" t="s">
        <v>13</v>
      </c>
      <c r="D45" s="75">
        <v>405</v>
      </c>
      <c r="E45" s="62">
        <v>0</v>
      </c>
      <c r="F45" s="62">
        <v>29.4</v>
      </c>
      <c r="G45" s="62" t="s">
        <v>9</v>
      </c>
      <c r="H45" s="62"/>
      <c r="I45" s="95">
        <v>3450000</v>
      </c>
      <c r="J45" s="117" t="s">
        <v>31</v>
      </c>
      <c r="K45" s="62" t="s">
        <v>16</v>
      </c>
      <c r="L45" s="62" t="s">
        <v>583</v>
      </c>
      <c r="M45" s="62" t="s">
        <v>18</v>
      </c>
      <c r="N45" s="92">
        <v>45443</v>
      </c>
      <c r="O45" s="62" t="s">
        <v>17</v>
      </c>
      <c r="P45" s="62" t="s">
        <v>2077</v>
      </c>
      <c r="Q45" s="113" t="s">
        <v>67</v>
      </c>
      <c r="R45" s="113" t="s">
        <v>67</v>
      </c>
      <c r="S45" s="117" t="s">
        <v>31</v>
      </c>
      <c r="T45" s="117" t="s">
        <v>14</v>
      </c>
      <c r="U45" s="114">
        <f>sept2021222337383940[[#This Row],[сумма]]-sept2021222337383940[[#This Row],[Цена м2 отделки]]*sept2021222337383940[[#This Row],[м2]]</f>
        <v>3450000</v>
      </c>
    </row>
    <row r="46" spans="1:22" s="61" customFormat="1">
      <c r="A46" s="65"/>
      <c r="B46" s="78"/>
      <c r="C46" s="65"/>
      <c r="D46" s="79"/>
      <c r="E46" s="65"/>
      <c r="F46" s="65"/>
      <c r="G46" s="65"/>
      <c r="H46" s="77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sept2021222337383940[[#This Row],[сумма]]-sept2021222337383940[[#This Row],[Цена м2 отделки]]*sept2021222337383940[[#This Row],[м2]]</f>
        <v>0</v>
      </c>
      <c r="V46" s="66"/>
    </row>
    <row r="47" spans="1:22" s="61" customFormat="1">
      <c r="A47" s="65"/>
      <c r="B47" s="79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sept2021222337383940[[#This Row],[сумма]]-sept2021222337383940[[#This Row],[Цена м2 отделки]]*sept2021222337383940[[#This Row],[м2]]</f>
        <v>0</v>
      </c>
      <c r="V47" s="66"/>
    </row>
    <row r="48" spans="1:22" s="61" customFormat="1">
      <c r="A48" s="65"/>
      <c r="B48" s="78"/>
      <c r="C48" s="65"/>
      <c r="D48" s="79"/>
      <c r="E48" s="65"/>
      <c r="F48" s="65"/>
      <c r="G48" s="65"/>
      <c r="H48" s="65"/>
      <c r="I48" s="93"/>
      <c r="J48" s="80"/>
      <c r="K48" s="65"/>
      <c r="L48" s="65"/>
      <c r="M48" s="65"/>
      <c r="N48" s="98"/>
      <c r="O48" s="65"/>
      <c r="P48" s="65"/>
      <c r="Q48" s="118"/>
      <c r="R48" s="118"/>
      <c r="S48" s="80"/>
      <c r="T48" s="80"/>
      <c r="U48" s="115">
        <f>sept2021222337383940[[#This Row],[сумма]]-sept2021222337383940[[#This Row],[Цена м2 отделки]]*sept2021222337383940[[#This Row],[м2]]</f>
        <v>0</v>
      </c>
      <c r="V48" s="66"/>
    </row>
    <row r="49" spans="1:22">
      <c r="A49" s="65"/>
      <c r="B49" s="79"/>
      <c r="C49" s="65"/>
      <c r="D49" s="79"/>
      <c r="E49" s="65"/>
      <c r="F49" s="65"/>
      <c r="G49" s="80"/>
      <c r="H49" s="80"/>
      <c r="I49" s="93"/>
      <c r="J49" s="80"/>
      <c r="K49" s="65"/>
      <c r="L49" s="65"/>
      <c r="M49" s="65"/>
      <c r="N49" s="98"/>
      <c r="O49" s="80"/>
      <c r="P49" s="86"/>
      <c r="Q49" s="86"/>
      <c r="R49" s="86"/>
      <c r="S49" s="80"/>
      <c r="T49" s="80"/>
      <c r="U49" s="115">
        <f>sept2021222337383940[[#This Row],[сумма]]-sept2021222337383940[[#This Row],[Цена м2 отделки]]*sept2021222337383940[[#This Row],[м2]]</f>
        <v>0</v>
      </c>
    </row>
    <row r="50" spans="1:22" s="368" customFormat="1">
      <c r="A50" s="65"/>
      <c r="B50" s="79"/>
      <c r="C50" s="65"/>
      <c r="D50" s="79"/>
      <c r="E50" s="65"/>
      <c r="F50" s="65"/>
      <c r="G50" s="80"/>
      <c r="H50" s="80"/>
      <c r="I50" s="93"/>
      <c r="J50" s="80"/>
      <c r="K50" s="65"/>
      <c r="L50" s="65"/>
      <c r="M50" s="65"/>
      <c r="N50" s="98"/>
      <c r="O50" s="80"/>
      <c r="P50" s="65"/>
      <c r="Q50" s="86"/>
      <c r="R50" s="86"/>
      <c r="S50" s="80"/>
      <c r="T50" s="80"/>
      <c r="U50" s="115">
        <f>sept2021222337383940[[#This Row],[сумма]]-sept2021222337383940[[#This Row],[Цена м2 отделки]]*sept2021222337383940[[#This Row],[м2]]</f>
        <v>0</v>
      </c>
      <c r="V50" s="66"/>
    </row>
    <row r="51" spans="1:22">
      <c r="A51" s="65"/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86"/>
      <c r="R51" s="86"/>
      <c r="S51" s="80"/>
      <c r="T51" s="80"/>
      <c r="U51" s="115">
        <f>sept2021222337383940[[#This Row],[сумма]]-sept2021222337383940[[#This Row],[Цена м2 отделки]]*sept2021222337383940[[#This Row],[м2]]</f>
        <v>0</v>
      </c>
    </row>
    <row r="52" spans="1:22" s="61" customFormat="1">
      <c r="A52" s="65"/>
      <c r="B52" s="79"/>
      <c r="C52" s="65"/>
      <c r="D52" s="79"/>
      <c r="E52" s="65"/>
      <c r="F52" s="65"/>
      <c r="G52" s="65"/>
      <c r="H52" s="65"/>
      <c r="I52" s="93"/>
      <c r="J52" s="80"/>
      <c r="K52" s="65"/>
      <c r="L52" s="65"/>
      <c r="M52" s="65"/>
      <c r="N52" s="98"/>
      <c r="O52" s="80"/>
      <c r="P52" s="65"/>
      <c r="Q52" s="118"/>
      <c r="R52" s="86"/>
      <c r="S52" s="80"/>
      <c r="T52" s="80"/>
      <c r="U52" s="115">
        <f>sept2021222337383940[[#This Row],[сумма]]-sept2021222337383940[[#This Row],[Цена м2 отделки]]*sept2021222337383940[[#This Row],[м2]]</f>
        <v>0</v>
      </c>
      <c r="V52" s="66"/>
    </row>
    <row r="53" spans="1:22" s="61" customFormat="1">
      <c r="A53" s="65"/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108"/>
      <c r="N53" s="98"/>
      <c r="O53" s="80"/>
      <c r="P53" s="65"/>
      <c r="Q53" s="86"/>
      <c r="R53" s="86"/>
      <c r="S53" s="80"/>
      <c r="T53" s="80"/>
      <c r="U53" s="115">
        <f>sept2021222337383940[[#This Row],[сумма]]-sept2021222337383940[[#This Row],[Цена м2 отделки]]*sept2021222337383940[[#This Row],[м2]]</f>
        <v>0</v>
      </c>
      <c r="V53" s="66"/>
    </row>
    <row r="54" spans="1:22" s="368" customFormat="1">
      <c r="A54" s="65"/>
      <c r="B54" s="79"/>
      <c r="C54" s="65"/>
      <c r="D54" s="79"/>
      <c r="E54" s="65"/>
      <c r="F54" s="65"/>
      <c r="G54" s="65"/>
      <c r="H54" s="65"/>
      <c r="I54" s="93"/>
      <c r="J54" s="80"/>
      <c r="K54" s="65"/>
      <c r="L54" s="65"/>
      <c r="M54" s="65"/>
      <c r="N54" s="98"/>
      <c r="O54" s="80"/>
      <c r="P54" s="86"/>
      <c r="Q54" s="86"/>
      <c r="R54" s="86"/>
      <c r="S54" s="80"/>
      <c r="T54" s="80"/>
      <c r="U54" s="115">
        <f>sept2021222337383940[[#This Row],[сумма]]-sept2021222337383940[[#This Row],[Цена м2 отделки]]*sept2021222337383940[[#This Row],[м2]]</f>
        <v>0</v>
      </c>
      <c r="V54" s="66"/>
    </row>
    <row r="55" spans="1:22">
      <c r="A55" s="65"/>
      <c r="B55" s="79"/>
      <c r="C55" s="65"/>
      <c r="D55" s="79"/>
      <c r="E55" s="65"/>
      <c r="F55" s="65"/>
      <c r="G55" s="65"/>
      <c r="H55" s="65"/>
      <c r="I55" s="93"/>
      <c r="J55" s="80"/>
      <c r="K55" s="65"/>
      <c r="L55" s="65"/>
      <c r="M55" s="65"/>
      <c r="N55" s="109"/>
      <c r="O55" s="80"/>
      <c r="P55" s="86"/>
      <c r="Q55" s="86"/>
      <c r="R55" s="86"/>
      <c r="S55" s="80"/>
      <c r="T55" s="80"/>
      <c r="U55" s="115">
        <f>sept2021222337383940[[#This Row],[сумма]]-sept2021222337383940[[#This Row],[Цена м2 отделки]]*sept2021222337383940[[#This Row],[м2]]</f>
        <v>0</v>
      </c>
    </row>
    <row r="56" spans="1:22">
      <c r="A56" s="65"/>
      <c r="B56" s="79"/>
      <c r="C56" s="80"/>
      <c r="D56" s="79"/>
      <c r="E56" s="65"/>
      <c r="F56" s="65"/>
      <c r="G56" s="86"/>
      <c r="H56" s="86"/>
      <c r="I56" s="104"/>
      <c r="J56" s="80"/>
      <c r="K56" s="80"/>
      <c r="L56" s="80"/>
      <c r="M56" s="80"/>
      <c r="N56" s="109"/>
      <c r="O56" s="80"/>
      <c r="P56" s="86"/>
      <c r="Q56" s="86"/>
      <c r="R56" s="86"/>
      <c r="S56" s="80"/>
      <c r="T56" s="80"/>
      <c r="U56" s="115">
        <f>sept2021222337383940[[#This Row],[сумма]]-sept2021222337383940[[#This Row],[Цена м2 отделки]]*sept2021222337383940[[#This Row],[м2]]</f>
        <v>0</v>
      </c>
    </row>
    <row r="57" spans="1:22" s="368" customFormat="1">
      <c r="A57" s="65"/>
      <c r="B57" s="79"/>
      <c r="C57" s="65"/>
      <c r="D57" s="79"/>
      <c r="E57" s="65"/>
      <c r="F57" s="65"/>
      <c r="G57" s="65"/>
      <c r="H57" s="65"/>
      <c r="I57" s="93"/>
      <c r="J57" s="80"/>
      <c r="K57" s="65"/>
      <c r="L57" s="65"/>
      <c r="M57" s="65"/>
      <c r="N57" s="109"/>
      <c r="O57" s="80"/>
      <c r="P57" s="65"/>
      <c r="Q57" s="118"/>
      <c r="R57" s="86"/>
      <c r="S57" s="80"/>
      <c r="T57" s="80"/>
      <c r="U57" s="115">
        <f>sept2021222337383940[[#This Row],[сумма]]-sept2021222337383940[[#This Row],[Цена м2 отделки]]*sept2021222337383940[[#This Row],[м2]]</f>
        <v>0</v>
      </c>
      <c r="V57" s="66"/>
    </row>
    <row r="58" spans="1:22">
      <c r="A58" s="65"/>
      <c r="B58" s="78"/>
      <c r="C58" s="65"/>
      <c r="D58" s="79"/>
      <c r="E58" s="65"/>
      <c r="F58" s="65"/>
      <c r="G58" s="65"/>
      <c r="H58" s="65"/>
      <c r="I58" s="93"/>
      <c r="J58" s="80"/>
      <c r="K58" s="65"/>
      <c r="L58" s="65"/>
      <c r="M58" s="65"/>
      <c r="N58" s="98"/>
      <c r="O58" s="80"/>
      <c r="P58" s="65"/>
      <c r="Q58" s="118"/>
      <c r="R58" s="118"/>
      <c r="S58" s="80"/>
      <c r="T58" s="80"/>
      <c r="U58" s="115">
        <f>sept2021222337383940[[#This Row],[сумма]]-sept2021222337383940[[#This Row],[Цена м2 отделки]]*sept2021222337383940[[#This Row],[м2]]</f>
        <v>0</v>
      </c>
    </row>
    <row r="59" spans="1:22">
      <c r="A59" s="65"/>
      <c r="B59" s="79"/>
      <c r="C59" s="65"/>
      <c r="D59" s="79"/>
      <c r="E59" s="65"/>
      <c r="F59" s="65"/>
      <c r="G59" s="65"/>
      <c r="H59" s="65"/>
      <c r="I59" s="93"/>
      <c r="J59" s="80"/>
      <c r="K59" s="65"/>
      <c r="L59" s="65"/>
      <c r="M59" s="65"/>
      <c r="N59" s="98"/>
      <c r="O59" s="80"/>
      <c r="P59" s="65"/>
      <c r="Q59" s="118"/>
      <c r="R59" s="86"/>
      <c r="S59" s="80"/>
      <c r="T59" s="80"/>
      <c r="U59" s="115">
        <f>sept2021222337383940[[#This Row],[сумма]]-sept2021222337383940[[#This Row],[Цена м2 отделки]]*sept2021222337383940[[#This Row],[м2]]</f>
        <v>0</v>
      </c>
    </row>
    <row r="60" spans="1:22">
      <c r="A60" s="65"/>
      <c r="B60" s="79"/>
      <c r="C60" s="65"/>
      <c r="D60" s="79"/>
      <c r="E60" s="65"/>
      <c r="F60" s="65"/>
      <c r="G60" s="65"/>
      <c r="H60" s="65"/>
      <c r="I60" s="93"/>
      <c r="J60" s="65"/>
      <c r="K60" s="65"/>
      <c r="L60" s="65"/>
      <c r="M60" s="65"/>
      <c r="N60" s="98"/>
      <c r="O60" s="65"/>
      <c r="P60" s="65"/>
      <c r="Q60" s="86"/>
      <c r="R60" s="86"/>
      <c r="S60" s="65"/>
      <c r="U60" s="115">
        <f>sept2021222337383940[[#This Row],[сумма]]-sept2021222337383940[[#This Row],[Цена м2 отделки]]*sept2021222337383940[[#This Row],[м2]]</f>
        <v>0</v>
      </c>
    </row>
    <row r="61" spans="1:22">
      <c r="A61" s="65"/>
      <c r="B61" s="79"/>
      <c r="C61" s="65"/>
      <c r="D61" s="79"/>
      <c r="E61" s="65"/>
      <c r="F61" s="65"/>
      <c r="G61" s="65"/>
      <c r="H61" s="72"/>
      <c r="I61" s="93"/>
      <c r="J61" s="80"/>
      <c r="K61" s="65"/>
      <c r="L61" s="65"/>
      <c r="M61" s="65"/>
      <c r="N61" s="110"/>
      <c r="O61" s="65"/>
      <c r="P61" s="72"/>
      <c r="Q61" s="118"/>
      <c r="R61" s="118"/>
      <c r="S61" s="80"/>
      <c r="T61" s="80"/>
      <c r="U61" s="115">
        <f>sept2021222337383940[[#This Row],[сумма]]-sept2021222337383940[[#This Row],[Цена м2 отделки]]*sept2021222337383940[[#This Row],[м2]]</f>
        <v>0</v>
      </c>
    </row>
    <row r="62" spans="1:22">
      <c r="A62" s="65"/>
      <c r="B62" s="79"/>
      <c r="C62" s="65"/>
      <c r="D62" s="79"/>
      <c r="E62" s="65"/>
      <c r="F62" s="65"/>
      <c r="G62" s="65"/>
      <c r="H62" s="65"/>
      <c r="I62" s="93"/>
      <c r="J62" s="80"/>
      <c r="K62" s="65"/>
      <c r="L62" s="65"/>
      <c r="M62" s="65"/>
      <c r="N62" s="98"/>
      <c r="O62" s="65"/>
      <c r="P62" s="65"/>
      <c r="Q62" s="118"/>
      <c r="R62" s="118"/>
      <c r="S62" s="80"/>
      <c r="T62" s="80"/>
      <c r="U62" s="115">
        <f>sept2021222337383940[[#This Row],[сумма]]-sept2021222337383940[[#This Row],[Цена м2 отделки]]*sept2021222337383940[[#This Row],[м2]]</f>
        <v>0</v>
      </c>
    </row>
    <row r="63" spans="1:22">
      <c r="A63" s="65"/>
      <c r="B63" s="79"/>
      <c r="C63" s="65"/>
      <c r="D63" s="79"/>
      <c r="E63" s="65"/>
      <c r="F63" s="65"/>
      <c r="G63" s="65"/>
      <c r="H63" s="72"/>
      <c r="I63" s="93"/>
      <c r="J63" s="80"/>
      <c r="K63" s="65"/>
      <c r="L63" s="65"/>
      <c r="M63" s="65"/>
      <c r="N63" s="98"/>
      <c r="O63" s="65"/>
      <c r="P63" s="65"/>
      <c r="Q63" s="118"/>
      <c r="R63" s="86"/>
      <c r="S63" s="80"/>
      <c r="T63" s="80"/>
      <c r="U63" s="115">
        <f>sept2021222337383940[[#This Row],[сумма]]-sept2021222337383940[[#This Row],[Цена м2 отделки]]*sept2021222337383940[[#This Row],[м2]]</f>
        <v>0</v>
      </c>
    </row>
    <row r="64" spans="1:22">
      <c r="A64" s="65"/>
      <c r="B64" s="79"/>
      <c r="C64" s="65"/>
      <c r="D64" s="79"/>
      <c r="E64" s="65"/>
      <c r="F64" s="65"/>
      <c r="G64" s="65"/>
      <c r="H64" s="72"/>
      <c r="I64" s="93"/>
      <c r="J64" s="80"/>
      <c r="K64" s="65"/>
      <c r="L64" s="65"/>
      <c r="M64" s="65"/>
      <c r="N64" s="110"/>
      <c r="O64" s="65"/>
      <c r="P64" s="65"/>
      <c r="Q64" s="118"/>
      <c r="R64" s="118"/>
      <c r="S64" s="80"/>
      <c r="T64" s="80"/>
      <c r="U64" s="115">
        <f>sept2021222337383940[[#This Row],[сумма]]-sept2021222337383940[[#This Row],[Цена м2 отделки]]*sept2021222337383940[[#This Row],[м2]]</f>
        <v>0</v>
      </c>
    </row>
    <row r="65" spans="1:21">
      <c r="A65" s="65"/>
      <c r="B65" s="79"/>
      <c r="C65" s="65"/>
      <c r="D65" s="79"/>
      <c r="E65" s="65"/>
      <c r="F65" s="65"/>
      <c r="G65" s="65"/>
      <c r="H65" s="65"/>
      <c r="I65" s="93"/>
      <c r="J65" s="65"/>
      <c r="K65" s="65"/>
      <c r="L65" s="65"/>
      <c r="M65" s="65"/>
      <c r="N65" s="98"/>
      <c r="O65" s="65"/>
      <c r="P65" s="65"/>
      <c r="Q65" s="118"/>
      <c r="R65" s="118"/>
      <c r="S65" s="65"/>
      <c r="U65" s="115">
        <f>sept2021222337383940[[#This Row],[сумма]]-sept2021222337383940[[#This Row],[Цена м2 отделки]]*sept2021222337383940[[#This Row],[м2]]</f>
        <v>0</v>
      </c>
    </row>
    <row r="66" spans="1:21">
      <c r="A66" s="65"/>
      <c r="B66" s="79"/>
      <c r="C66" s="65"/>
      <c r="D66" s="79"/>
      <c r="E66" s="65"/>
      <c r="F66" s="65"/>
      <c r="G66" s="86"/>
      <c r="H66" s="86"/>
      <c r="I66" s="104"/>
      <c r="J66" s="80"/>
      <c r="K66" s="65"/>
      <c r="L66" s="65"/>
      <c r="M66" s="65"/>
      <c r="N66" s="98"/>
      <c r="O66" s="80"/>
      <c r="P66" s="86"/>
      <c r="Q66" s="118"/>
      <c r="R66" s="118"/>
      <c r="S66" s="80"/>
      <c r="T66" s="80"/>
      <c r="U66" s="115">
        <f>sept2021222337383940[[#This Row],[сумма]]-sept2021222337383940[[#This Row],[Цена м2 отделки]]*sept2021222337383940[[#This Row],[м2]]</f>
        <v>0</v>
      </c>
    </row>
    <row r="67" spans="1:21">
      <c r="A67" s="65"/>
      <c r="B67" s="79"/>
      <c r="C67" s="65"/>
      <c r="D67" s="79"/>
      <c r="E67" s="65"/>
      <c r="F67" s="65"/>
      <c r="G67" s="65"/>
      <c r="H67" s="65"/>
      <c r="I67" s="93"/>
      <c r="J67" s="80"/>
      <c r="K67" s="65"/>
      <c r="L67" s="65"/>
      <c r="M67" s="65"/>
      <c r="N67" s="98"/>
      <c r="O67" s="80"/>
      <c r="P67" s="65"/>
      <c r="Q67" s="86"/>
      <c r="R67" s="86"/>
      <c r="S67" s="80"/>
      <c r="T67" s="80"/>
      <c r="U67" s="115">
        <f>sept2021222337383940[[#This Row],[сумма]]-sept2021222337383940[[#This Row],[Цена м2 отделки]]*sept2021222337383940[[#This Row],[м2]]</f>
        <v>0</v>
      </c>
    </row>
    <row r="68" spans="1:21">
      <c r="A68" s="65"/>
      <c r="B68" s="79"/>
      <c r="C68" s="65"/>
      <c r="D68" s="79"/>
      <c r="E68" s="65"/>
      <c r="F68" s="65"/>
      <c r="G68" s="65"/>
      <c r="H68" s="65"/>
      <c r="I68" s="93"/>
      <c r="J68" s="80"/>
      <c r="K68" s="65"/>
      <c r="L68" s="65"/>
      <c r="M68" s="65"/>
      <c r="N68" s="98"/>
      <c r="O68" s="80"/>
      <c r="P68" s="65"/>
      <c r="Q68" s="86"/>
      <c r="R68" s="86"/>
      <c r="S68" s="80"/>
      <c r="T68" s="80"/>
      <c r="U68" s="115">
        <f>sept2021222337383940[[#This Row],[сумма]]-sept2021222337383940[[#This Row],[Цена м2 отделки]]*sept2021222337383940[[#This Row],[м2]]</f>
        <v>0</v>
      </c>
    </row>
    <row r="69" spans="1:21">
      <c r="A69" s="65"/>
      <c r="B69" s="79"/>
      <c r="C69" s="65"/>
      <c r="D69" s="79"/>
      <c r="E69" s="65"/>
      <c r="F69" s="65"/>
      <c r="G69" s="65"/>
      <c r="H69" s="65"/>
      <c r="I69" s="93"/>
      <c r="J69" s="80"/>
      <c r="K69" s="65"/>
      <c r="L69" s="65"/>
      <c r="M69" s="65"/>
      <c r="N69" s="98"/>
      <c r="O69" s="80"/>
      <c r="P69" s="65"/>
      <c r="Q69" s="118"/>
      <c r="R69" s="118"/>
      <c r="S69" s="65"/>
      <c r="U69" s="115">
        <f>sept2021222337383940[[#This Row],[сумма]]-sept2021222337383940[[#This Row],[Цена м2 отделки]]*sept2021222337383940[[#This Row],[м2]]</f>
        <v>0</v>
      </c>
    </row>
    <row r="70" spans="1:21">
      <c r="A70" s="65"/>
      <c r="B70" s="79"/>
      <c r="C70" s="65"/>
      <c r="D70" s="65"/>
      <c r="E70" s="87"/>
      <c r="F70" s="65"/>
      <c r="G70" s="65"/>
      <c r="H70" s="72"/>
      <c r="I70" s="93"/>
      <c r="J70" s="72"/>
      <c r="K70" s="65"/>
      <c r="L70" s="65"/>
      <c r="M70" s="65"/>
      <c r="N70" s="98"/>
      <c r="O70" s="65"/>
      <c r="P70" s="65"/>
      <c r="Q70" s="86"/>
      <c r="R70" s="86"/>
      <c r="S70" s="65"/>
      <c r="U70" s="115">
        <f>sept2021222337383940[[#This Row],[сумма]]-sept2021222337383940[[#This Row],[Цена м2 отделки]]*sept2021222337383940[[#This Row],[м2]]</f>
        <v>0</v>
      </c>
    </row>
    <row r="71" spans="1:21">
      <c r="A71" s="65"/>
      <c r="B71" s="79"/>
      <c r="C71" s="65"/>
      <c r="D71" s="79"/>
      <c r="E71" s="87"/>
      <c r="F71" s="65"/>
      <c r="G71" s="65"/>
      <c r="H71" s="72"/>
      <c r="I71" s="105"/>
      <c r="J71" s="72"/>
      <c r="K71" s="65"/>
      <c r="L71" s="65"/>
      <c r="M71" s="65"/>
      <c r="N71" s="98"/>
      <c r="O71" s="65"/>
      <c r="P71" s="65"/>
      <c r="Q71" s="86"/>
      <c r="R71" s="86"/>
      <c r="S71" s="65"/>
      <c r="U71" s="115">
        <f>sept2021222337383940[[#This Row],[сумма]]-sept2021222337383940[[#This Row],[Цена м2 отделки]]*sept2021222337383940[[#This Row],[м2]]</f>
        <v>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sept2021222337383940[[#This Row],[сумма]]-sept2021222337383940[[#This Row],[Цена м2 отделки]]*sept2021222337383940[[#This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sept2021222337383940[[#This Row],[сумма]]-sept2021222337383940[[#This Row],[Цена м2 отделки]]*sept2021222337383940[[#This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sept2021222337383940[[#This Row],[сумма]]-sept2021222337383940[[#This Row],[Цена м2 отделки]]*sept2021222337383940[[#This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sept2021222337383940[[#This Row],[сумма]]-sept2021222337383940[[#This Row],[Цена м2 отделки]]*sept2021222337383940[[#This Row],[м2]]</f>
        <v>0</v>
      </c>
    </row>
    <row r="76" spans="1:21">
      <c r="A76" s="65"/>
      <c r="B76" s="79"/>
      <c r="C76" s="65"/>
      <c r="D76" s="79"/>
      <c r="E76" s="87"/>
      <c r="F76" s="65"/>
      <c r="G76" s="65"/>
      <c r="H76" s="72"/>
      <c r="I76" s="105"/>
      <c r="J76" s="72"/>
      <c r="K76" s="65"/>
      <c r="L76" s="65"/>
      <c r="M76" s="65"/>
      <c r="N76" s="98"/>
      <c r="O76" s="65"/>
      <c r="P76" s="65"/>
      <c r="Q76" s="86"/>
      <c r="R76" s="86"/>
      <c r="S76" s="65"/>
      <c r="U76" s="115">
        <f>sept2021222337383940[[#This Row],[сумма]]-sept2021222337383940[[#This Row],[Цена м2 отделки]]*sept2021222337383940[[#This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sept2021222337383940[[#This Row],[сумма]]-sept2021222337383940[[#This Row],[Цена м2 отделки]]*sept2021222337383940[[#This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sept2021222337383940[[#This Row],[сумма]]-sept2021222337383940[[#This Row],[Цена м2 отделки]]*sept2021222337383940[[#This Row],[м2]]</f>
        <v>0</v>
      </c>
    </row>
    <row r="79" spans="1:21">
      <c r="A79" s="65"/>
      <c r="B79" s="87"/>
      <c r="C79" s="65"/>
      <c r="D79" s="65"/>
      <c r="E79" s="87"/>
      <c r="F79" s="65"/>
      <c r="G79" s="65"/>
      <c r="H79" s="72"/>
      <c r="I79" s="105"/>
      <c r="J79" s="72"/>
      <c r="K79" s="65"/>
      <c r="L79" s="65"/>
      <c r="M79" s="65"/>
      <c r="N79" s="94"/>
      <c r="O79" s="65"/>
      <c r="P79" s="65"/>
      <c r="Q79" s="86"/>
      <c r="R79" s="86"/>
      <c r="S79" s="65"/>
      <c r="U79" s="115">
        <f>sept2021222337383940[[#This Row],[сумма]]-sept2021222337383940[[#This Row],[Цена м2 отделки]]*sept2021222337383940[[#This Row],[м2]]</f>
        <v>0</v>
      </c>
    </row>
    <row r="80" spans="1:21">
      <c r="A80" s="65"/>
      <c r="B80" s="79"/>
      <c r="C80" s="65"/>
      <c r="D80" s="79"/>
      <c r="E80" s="87"/>
      <c r="F80" s="65"/>
      <c r="G80" s="65"/>
      <c r="H80" s="72"/>
      <c r="I80" s="93"/>
      <c r="J80" s="65"/>
      <c r="K80" s="65"/>
      <c r="L80" s="65"/>
      <c r="M80" s="65"/>
      <c r="N80" s="118"/>
      <c r="O80" s="65"/>
      <c r="P80" s="65"/>
      <c r="Q80" s="86"/>
      <c r="R80" s="86"/>
      <c r="S80" s="65"/>
      <c r="U80" s="115">
        <f>sept2021222337383940[[#This Row],[сумма]]-sept2021222337383940[[#This Row],[Цена м2 отделки]]*sept2021222337383940[[#This Row],[м2]]</f>
        <v>0</v>
      </c>
    </row>
    <row r="81" spans="1:21">
      <c r="A81" s="65"/>
      <c r="B81" s="87"/>
      <c r="C81" s="65"/>
      <c r="D81" s="65"/>
      <c r="E81" s="87"/>
      <c r="F81" s="65"/>
      <c r="G81" s="65"/>
      <c r="H81" s="72"/>
      <c r="I81" s="105"/>
      <c r="J81" s="72"/>
      <c r="K81" s="65"/>
      <c r="L81" s="65"/>
      <c r="M81" s="65"/>
      <c r="N81" s="94"/>
      <c r="O81" s="65"/>
      <c r="P81" s="65"/>
      <c r="Q81" s="86"/>
      <c r="R81" s="86"/>
      <c r="S81" s="65"/>
      <c r="U81" s="115">
        <f>sept2021222337383940[[#This Row],[сумма]]-sept2021222337383940[[#This Row],[Цена м2 отделки]]*sept2021222337383940[[#This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sept2021222337383940[[#This Row],[сумма]]-sept2021222337383940[[#This Row],[Цена м2 отделки]]*sept2021222337383940[[#This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86"/>
      <c r="R83" s="86"/>
      <c r="S83" s="65"/>
      <c r="U83" s="115">
        <f>sept2021222337383940[[#This Row],[сумма]]-sept2021222337383940[[#This Row],[Цена м2 отделки]]*sept2021222337383940[[#This Row],[м2]]</f>
        <v>0</v>
      </c>
    </row>
    <row r="84" spans="1:21">
      <c r="A84" s="65"/>
      <c r="B84" s="88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94"/>
      <c r="R84" s="86"/>
      <c r="S84" s="65"/>
      <c r="U84" s="115">
        <f>sept2021222337383940[[#This Row],[сумма]]-sept2021222337383940[[#This Row],[Цена м2 отделки]]*sept2021222337383940[[#This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sept2021222337383940[[#This Row],[сумма]]-sept2021222337383940[[#This Row],[Цена м2 отделки]]*sept2021222337383940[[#This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93"/>
      <c r="J86" s="65"/>
      <c r="K86" s="65"/>
      <c r="L86" s="65"/>
      <c r="M86" s="65"/>
      <c r="N86" s="98"/>
      <c r="O86" s="65"/>
      <c r="P86" s="65"/>
      <c r="Q86" s="65"/>
      <c r="R86" s="86"/>
      <c r="S86" s="65"/>
      <c r="U86" s="115">
        <f>sept2021222337383940[[#This Row],[сумма]]-sept2021222337383940[[#This Row],[Цена м2 отделки]]*sept2021222337383940[[#This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sept2021222337383940[[#This Row],[сумма]]-sept2021222337383940[[#This Row],[Цена м2 отделки]]*sept2021222337383940[[#This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sept2021222337383940[[#This Row],[сумма]]-sept2021222337383940[[#This Row],[Цена м2 отделки]]*sept2021222337383940[[#This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sept2021222337383940[[#This Row],[сумма]]-sept2021222337383940[[#This Row],[Цена м2 отделки]]*sept2021222337383940[[#This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sept2021222337383940[[#This Row],[сумма]]-sept2021222337383940[[#This Row],[Цена м2 отделки]]*sept2021222337383940[[#This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sept2021222337383940[[#This Row],[сумма]]-sept2021222337383940[[#This Row],[Цена м2 отделки]]*sept2021222337383940[[#This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65"/>
      <c r="S92" s="65"/>
      <c r="U92" s="115">
        <f>sept2021222337383940[[#This Row],[сумма]]-sept2021222337383940[[#This Row],[Цена м2 отделки]]*sept2021222337383940[[#This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86"/>
      <c r="S93" s="65"/>
      <c r="U93" s="115">
        <f>sept2021222337383940[[#This Row],[сумма]]-sept2021222337383940[[#This Row],[Цена м2 отделки]]*sept2021222337383940[[#This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65"/>
      <c r="S94" s="65"/>
      <c r="U94" s="115">
        <f>sept2021222337383940[[#This Row],[сумма]]-sept2021222337383940[[#This Row],[Цена м2 отделки]]*sept2021222337383940[[#This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sept2021222337383940[[#This Row],[сумма]]-sept2021222337383940[[#This Row],[Цена м2 отделки]]*sept2021222337383940[[#This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105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sept2021222337383940[[#This Row],[сумма]]-sept2021222337383940[[#This Row],[Цена м2 отделки]]*sept2021222337383940[[#This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544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sept2021222337383940[[#This Row],[сумма]]-sept2021222337383940[[#This Row],[Цена м2 отделки]]*sept2021222337383940[[#This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sept2021222337383940[[#This Row],[сумма]]-sept2021222337383940[[#This Row],[Цена м2 отделки]]*sept2021222337383940[[#This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sept2021222337383940[[#This Row],[сумма]]-sept2021222337383940[[#This Row],[Цена м2 отделки]]*sept2021222337383940[[#This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sept2021222337383940[[#This Row],[сумма]]-sept2021222337383940[[#This Row],[Цена м2 отделки]]*sept2021222337383940[[#This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sept2021222337383940[[#This Row],[сумма]]-sept2021222337383940[[#This Row],[Цена м2 отделки]]*sept2021222337383940[[#This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sept2021222337383940[[#This Row],[сумма]]-sept2021222337383940[[#This Row],[Цена м2 отделки]]*sept2021222337383940[[#This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sept2021222337383940[[#This Row],[сумма]]-sept2021222337383940[[#This Row],[Цена м2 отделки]]*sept2021222337383940[[#This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sept2021222337383940[[#This Row],[сумма]]-sept2021222337383940[[#This Row],[Цена м2 отделки]]*sept2021222337383940[[#This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sept2021222337383940[[#This Row],[сумма]]-sept2021222337383940[[#This Row],[Цена м2 отделки]]*sept2021222337383940[[#This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sept2021222337383940[[#This Row],[сумма]]-sept2021222337383940[[#This Row],[Цена м2 отделки]]*sept2021222337383940[[#This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sept2021222337383940[[#This Row],[сумма]]-sept2021222337383940[[#This Row],[Цена м2 отделки]]*sept2021222337383940[[#This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sept2021222337383940[[#This Row],[сумма]]-sept2021222337383940[[#This Row],[Цена м2 отделки]]*sept2021222337383940[[#This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sept2021222337383940[[#This Row],[сумма]]-sept2021222337383940[[#This Row],[Цена м2 отделки]]*sept2021222337383940[[#This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86"/>
      <c r="S110" s="65"/>
      <c r="U110" s="115">
        <f>sept2021222337383940[[#This Row],[сумма]]-sept2021222337383940[[#This Row],[Цена м2 отделки]]*sept2021222337383940[[#This Row],[м2]]</f>
        <v>0</v>
      </c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  <c r="T111" s="93"/>
    </row>
    <row r="112" spans="1:21">
      <c r="A112" s="65"/>
      <c r="B112" s="87"/>
      <c r="C112" s="65"/>
      <c r="D112" s="65"/>
      <c r="E112" s="87"/>
      <c r="F112" s="65"/>
      <c r="G112" s="65"/>
      <c r="H112" s="72"/>
      <c r="I112" s="105"/>
      <c r="J112" s="72"/>
      <c r="K112" s="65"/>
      <c r="L112" s="65"/>
      <c r="M112" s="65"/>
      <c r="N112" s="98"/>
      <c r="O112" s="65"/>
      <c r="P112" s="65"/>
      <c r="Q112" s="65"/>
      <c r="R112" s="65"/>
      <c r="S112" s="65"/>
    </row>
    <row r="113" spans="1:21" s="65" customFormat="1">
      <c r="B113" s="79"/>
      <c r="D113" s="79"/>
      <c r="I113" s="93"/>
      <c r="J113" s="80"/>
      <c r="N113" s="98"/>
      <c r="O113" s="80"/>
      <c r="Q113" s="86"/>
      <c r="U113" s="66"/>
    </row>
    <row r="114" spans="1:21" s="65" customFormat="1">
      <c r="B114" s="79"/>
      <c r="C114" s="79"/>
      <c r="D114" s="80"/>
      <c r="F114" s="72"/>
      <c r="I114" s="105"/>
      <c r="M114" s="110"/>
      <c r="O114" s="72"/>
      <c r="P114" s="86"/>
      <c r="Q114" s="86"/>
      <c r="U114" s="66"/>
    </row>
    <row r="115" spans="1:21" s="65" customFormat="1">
      <c r="U115" s="66"/>
    </row>
    <row r="116" spans="1:21" s="65" customFormat="1">
      <c r="A116" s="2325" t="s">
        <v>713</v>
      </c>
      <c r="B116" s="2326"/>
      <c r="C116" s="133" t="s">
        <v>7</v>
      </c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T116" s="66"/>
    </row>
    <row r="117" spans="1:21" s="65" customFormat="1" ht="22.5" customHeight="1">
      <c r="A117" s="135" t="s">
        <v>1</v>
      </c>
      <c r="B117" s="135" t="s">
        <v>100</v>
      </c>
      <c r="C117" s="136" t="s">
        <v>97</v>
      </c>
      <c r="D117" s="137" t="s">
        <v>494</v>
      </c>
      <c r="E117" s="138" t="s">
        <v>495</v>
      </c>
      <c r="F117" s="139" t="s">
        <v>496</v>
      </c>
      <c r="G117" s="140" t="s">
        <v>101</v>
      </c>
      <c r="H117" s="141" t="s">
        <v>98</v>
      </c>
      <c r="I117" s="141" t="s">
        <v>96</v>
      </c>
      <c r="J117" s="141" t="s">
        <v>715</v>
      </c>
      <c r="K117" s="216" t="s">
        <v>716</v>
      </c>
      <c r="L117" s="217">
        <v>0</v>
      </c>
      <c r="M117" s="218">
        <v>1</v>
      </c>
      <c r="N117" s="218">
        <v>2</v>
      </c>
      <c r="O117" s="218">
        <v>3</v>
      </c>
      <c r="P117" s="219" t="s">
        <v>1367</v>
      </c>
      <c r="T117" s="66"/>
    </row>
    <row r="118" spans="1:21" s="65" customFormat="1">
      <c r="A118" s="398" t="s">
        <v>1892</v>
      </c>
      <c r="B118" s="267">
        <f>IFERROR(VLOOKUP(A118,'ИПП 2кв24'!$B$23:$J$34,4,0),"")</f>
        <v>117</v>
      </c>
      <c r="C118" s="146">
        <f>IFERROR(VLOOKUP(A118,'ИПП 2кв24'!$B$23:$J$34,5,0),"")</f>
        <v>12030842</v>
      </c>
      <c r="D118" s="145">
        <f>SUMIFS(sept2021222337383940[м2],sept2021222337383940[МОП],$A118,sept2021222337383940[№ дома],$C$116,sept2021222337383940[Комнатность],"&lt;&gt;Офис")</f>
        <v>68.75</v>
      </c>
      <c r="E118" s="146">
        <f>SUMIFS(sept2021222337383940[Сумма без отделки],sept2021222337383940[МОП],$A118,sept2021222337383940[№ дома],$C$116,sept2021222337383940[Комнатность],"&lt;&gt;Офис")</f>
        <v>6947800</v>
      </c>
      <c r="F118" s="147">
        <f>COUNTIFS(sept2021222337383940[МОП],$A118,sept2021222337383940[№ дома],$C$116,sept2021222337383940[Комнатность],"&lt;&gt;Офис")</f>
        <v>1</v>
      </c>
      <c r="G118" s="148">
        <f>SUMIFS(РД[S],РД[Дом],$C$116,РД[МОП],A118,РД[Дата подачи на регистрацию],"&lt;="&amp;$A$1,РД[Дата подачи на регистрацию],"&gt;="&amp;DATE(YEAR($A$1),MONTH($A$1),1),РД[Состояние],"Продажа")</f>
        <v>90.48</v>
      </c>
      <c r="H118" s="149">
        <f>SUMIFS(РД[Стоимость без отделки итог],РД[Дом],$C$116,РД[МОП],A118,РД[Дата подачи на регистрацию],"&lt;="&amp;$A$1,РД[Дата подачи на регистрацию],"&gt;="&amp;DATE(YEAR($A$1),MONTH($A$1),1),РД[Состояние],"Продажа")</f>
        <v>10002600</v>
      </c>
      <c r="I118" s="220">
        <f>COUNTIFS(РД[Дом],$C$116,РД[МОП],A118,РД[Дата подачи на регистрацию],"&lt;="&amp;$A$1,РД[Дата подачи на регистрацию],"&gt;="&amp;DATE(YEAR($A$1),MONTH($A$1),1),РД[Состояние],"Продажа")</f>
        <v>2</v>
      </c>
      <c r="J118" s="224">
        <f t="shared" ref="J118:K125" si="0">IFERROR(G118/B118,"")</f>
        <v>0.77333333333333332</v>
      </c>
      <c r="K118" s="225">
        <f t="shared" si="0"/>
        <v>0.83141312968784731</v>
      </c>
      <c r="L118" s="202">
        <f>COUNTIFS(РД[Тип кв],L$117,РД[МОП],$A118,РД[Дом],$C$116,РД[Дата подачи на регистрацию],"&lt;="&amp;$A$1,РД[Дата подачи на регистрацию],"&gt;="&amp;DATE(YEAR($A$1),MONTH($A$1),1))</f>
        <v>1</v>
      </c>
      <c r="M118" s="226">
        <f>COUNTIFS(РД[Тип кв],M$117,РД[МОП],$A118,РД[Дом],$C$116,РД[Дата подачи на регистрацию],"&lt;="&amp;$A$1,РД[Дата подачи на регистрацию],"&gt;="&amp;DATE(YEAR($A$1),MONTH($A$1),1))</f>
        <v>0</v>
      </c>
      <c r="N118" s="226">
        <f>COUNTIFS(РД[Тип кв],N$117,РД[МОП],$A118,РД[Дом],$C$116,РД[Дата подачи на регистрацию],"&lt;="&amp;$A$1,РД[Дата подачи на регистрацию],"&gt;="&amp;DATE(YEAR($A$1),MONTH($A$1),1))</f>
        <v>1</v>
      </c>
      <c r="O118" s="226">
        <f>COUNTIFS(РД[Тип кв],O$117,РД[МОП],$A118,РД[Дом],$C$116,РД[Дата подачи на регистрацию],"&lt;="&amp;$A$1,РД[Дата подачи на регистрацию],"&gt;="&amp;DATE(YEAR($A$1),MONTH($A$1),1))</f>
        <v>0</v>
      </c>
      <c r="P118" s="227">
        <f>COUNTIFS(РД[Тип кв],P$117,РД[МОП],$A118,РД[Дом],$C$116,РД[Дата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42" t="s">
        <v>8</v>
      </c>
      <c r="B119" s="267">
        <f>IFERROR(VLOOKUP(A119,'ИПП 2кв24'!$B$23:$J$34,4,0),"")</f>
        <v>117</v>
      </c>
      <c r="C119" s="146">
        <f>IFERROR(VLOOKUP(A119,'ИПП 2кв24'!$B$23:$J$34,5,0),"")</f>
        <v>12030842</v>
      </c>
      <c r="D119" s="145">
        <f>SUMIFS(sept2021222337383940[м2],sept2021222337383940[МОП],$A119,sept2021222337383940[№ дома],$C$116,sept2021222337383940[Комнатность],"&lt;&gt;Офис")</f>
        <v>143.46</v>
      </c>
      <c r="E119" s="146">
        <f>SUMIFS(sept2021222337383940[Сумма без отделки],sept2021222337383940[МОП],$A119,sept2021222337383940[№ дома],$C$116,sept2021222337383940[Комнатность],"&lt;&gt;Офис")</f>
        <v>13267466</v>
      </c>
      <c r="F119" s="147">
        <f>COUNTIFS(sept2021222337383940[МОП],$A119,sept2021222337383940[№ дома],$C$116,sept2021222337383940[Комнатность],"&lt;&gt;Офис")</f>
        <v>2</v>
      </c>
      <c r="G119" s="148">
        <f>SUMIFS(РД[S],РД[Дом],$C$116,РД[МОП],A119,РД[Дата подачи на регистрацию],"&lt;="&amp;$A$1,РД[Дата подачи на регистрацию],"&gt;="&amp;DATE(YEAR($A$1),MONTH($A$1),1),РД[Состояние],"Продажа")</f>
        <v>162.21</v>
      </c>
      <c r="H119" s="149">
        <f>SUMIFS(РД[Стоимость без отделки итог],РД[Дом],$C$116,РД[МОП],A119,РД[Дата подачи на регистрацию],"&lt;="&amp;$A$1,РД[Дата подачи на регистрацию],"&gt;="&amp;DATE(YEAR($A$1),MONTH($A$1),1),РД[Состояние],"Продажа")</f>
        <v>16325066</v>
      </c>
      <c r="I119" s="220">
        <f>COUNTIFS(РД[Дом],$C$116,РД[МОП],A119,РД[Дата подачи на регистрацию],"&lt;="&amp;$A$1,РД[Дата подачи на регистрацию],"&gt;="&amp;DATE(YEAR($A$1),MONTH($A$1),1),РД[Состояние],"Продажа")</f>
        <v>3</v>
      </c>
      <c r="J119" s="221">
        <f t="shared" si="0"/>
        <v>1.3864102564102565</v>
      </c>
      <c r="K119" s="222">
        <f t="shared" si="0"/>
        <v>1.3569346185412459</v>
      </c>
      <c r="L119" s="148">
        <f>COUNTIFS(РД[Тип кв],L$117,РД[МОП],$A119,РД[Дом],$C$116,РД[Дата подачи на регистрацию],"&lt;="&amp;$A$1,РД[Дата подачи на регистрацию],"&gt;="&amp;DATE(YEAR($A$1),MONTH($A$1),1))</f>
        <v>1</v>
      </c>
      <c r="M119" s="220">
        <f>COUNTIFS(РД[Тип кв],M$117,РД[МОП],$A119,РД[Дом],$C$116,РД[Дата подачи на регистрацию],"&lt;="&amp;$A$1,РД[Дата подачи на регистрацию],"&gt;="&amp;DATE(YEAR($A$1),MONTH($A$1),1))</f>
        <v>0</v>
      </c>
      <c r="N119" s="220">
        <f>COUNTIFS(РД[Тип кв],N$117,РД[МОП],$A119,РД[Дом],$C$116,РД[Дата подачи на регистрацию],"&lt;="&amp;$A$1,РД[Дата подачи на регистрацию],"&gt;="&amp;DATE(YEAR($A$1),MONTH($A$1),1))</f>
        <v>1</v>
      </c>
      <c r="O119" s="220">
        <f>COUNTIFS(РД[Тип кв],O$117,РД[МОП],$A119,РД[Дом],$C$116,РД[Дата подачи на регистрацию],"&lt;="&amp;$A$1,РД[Дата подачи на регистрацию],"&gt;="&amp;DATE(YEAR($A$1),MONTH($A$1),1))</f>
        <v>1</v>
      </c>
      <c r="P119" s="223">
        <f>COUNTIFS(РД[Тип кв],P$117,РД[МОП],$A119,РД[Дом],$C$116,РД[Дата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0" t="s">
        <v>77</v>
      </c>
      <c r="B120" s="267">
        <f>IFERROR(VLOOKUP(A120,'ИПП 2кв24'!$B$23:$J$34,4,0),"")</f>
        <v>119</v>
      </c>
      <c r="C120" s="146">
        <f>IFERROR(VLOOKUP(A120,'ИПП 2кв24'!$B$23:$J$34,5,0),"")</f>
        <v>12253635</v>
      </c>
      <c r="D120" s="145">
        <f>SUMIFS(sept2021222337383940[м2],sept2021222337383940[МОП],$A120,sept2021222337383940[№ дома],$C$116,sept2021222337383940[Комнатность],"&lt;&gt;Офис")</f>
        <v>0</v>
      </c>
      <c r="E120" s="146">
        <f>SUMIFS(sept2021222337383940[Сумма без отделки],sept2021222337383940[МОП],$A120,sept2021222337383940[№ дома],$C$116,sept2021222337383940[Комнатность],"&lt;&gt;Офис")</f>
        <v>0</v>
      </c>
      <c r="F120" s="147">
        <f>COUNTIFS(sept2021222337383940[МОП],$A120,sept2021222337383940[№ дома],$C$116,sept2021222337383940[Комнатность],"&lt;&gt;Офис")</f>
        <v>0</v>
      </c>
      <c r="G120" s="148">
        <f>SUMIFS(РД[S],РД[Дом],$C$116,РД[МОП],A120,РД[Дата подачи на регистрацию],"&lt;="&amp;$A$1,РД[Дата подачи на регистрацию],"&gt;="&amp;DATE(YEAR($A$1),MONTH($A$1),1),РД[Состояние],"Продажа")</f>
        <v>59.87</v>
      </c>
      <c r="H120" s="149">
        <f>SUMIFS(РД[Стоимость без отделки итог],РД[Дом],$C$116,РД[МОП],A120,РД[Дата подачи на регистрацию],"&lt;="&amp;$A$1,РД[Дата подачи на регистрацию],"&gt;="&amp;DATE(YEAR($A$1),MONTH($A$1),1),РД[Состояние],"Продажа")</f>
        <v>6040093</v>
      </c>
      <c r="I120" s="220">
        <f>COUNTIFS(РД[Дом],$C$116,РД[МОП],A120,РД[Дата подачи на регистрацию],"&lt;="&amp;$A$1,РД[Дата подачи на регистрацию],"&gt;="&amp;DATE(YEAR($A$1),MONTH($A$1),1),РД[Состояние],"Продажа")</f>
        <v>1</v>
      </c>
      <c r="J120" s="221">
        <f t="shared" ref="J120" si="1">IFERROR(G120/B120,"")</f>
        <v>0.503109243697479</v>
      </c>
      <c r="K120" s="222">
        <f t="shared" ref="K120" si="2">IFERROR(H120/C120,"")</f>
        <v>0.49292254910481664</v>
      </c>
      <c r="L120" s="148">
        <f>COUNTIFS(РД[Тип кв],L$117,РД[МОП],$A120,РД[Дом],$C$116,РД[Дата подачи на регистрацию],"&lt;="&amp;$A$1,РД[Дата подачи на регистрацию],"&gt;="&amp;DATE(YEAR($A$1),MONTH($A$1),1))</f>
        <v>0</v>
      </c>
      <c r="M120" s="220">
        <f>COUNTIFS(РД[Тип кв],M$117,РД[МОП],$A120,РД[Дом],$C$116,РД[Дата подачи на регистрацию],"&lt;="&amp;$A$1,РД[Дата подачи на регистрацию],"&gt;="&amp;DATE(YEAR($A$1),MONTH($A$1),1))</f>
        <v>0</v>
      </c>
      <c r="N120" s="220">
        <f>COUNTIFS(РД[Тип кв],N$117,РД[МОП],$A120,РД[Дом],$C$116,РД[Дата подачи на регистрацию],"&lt;="&amp;$A$1,РД[Дата подачи на регистрацию],"&gt;="&amp;DATE(YEAR($A$1),MONTH($A$1),1))</f>
        <v>1</v>
      </c>
      <c r="O120" s="220">
        <f>COUNTIFS(РД[Тип кв],O$117,РД[МОП],$A120,РД[Дом],$C$116,РД[Дата подачи на регистрацию],"&lt;="&amp;$A$1,РД[Дата подачи на регистрацию],"&gt;="&amp;DATE(YEAR($A$1),MONTH($A$1),1))</f>
        <v>0</v>
      </c>
      <c r="P120" s="223">
        <f>COUNTIFS(РД[Тип кв],P$117,РД[МОП],$A120,РД[Дом],$C$116,РД[Дата подачи на регистрацию],"&lt;="&amp;$A$1,РД[Дата подачи на регистрацию],"&gt;="&amp;DATE(YEAR($A$1),MONTH($A$1),1))</f>
        <v>0</v>
      </c>
      <c r="T120" s="66"/>
    </row>
    <row r="121" spans="1:21" s="65" customFormat="1">
      <c r="A121" s="153" t="s">
        <v>20</v>
      </c>
      <c r="B121" s="267">
        <f>IFERROR(VLOOKUP(A121,'ИПП 2кв24'!$B$23:$J$34,4,0),"")</f>
        <v>123</v>
      </c>
      <c r="C121" s="146">
        <f>IFERROR(VLOOKUP(A121,'ИПП 2кв24'!$B$23:$J$34,5,0),"")</f>
        <v>12699222</v>
      </c>
      <c r="D121" s="145">
        <f>SUMIFS(sept2021222337383940[м2],sept2021222337383940[МОП],$A121,sept2021222337383940[№ дома],$C$116,sept2021222337383940[Комнатность],"&lt;&gt;Офис")</f>
        <v>343.65999999999997</v>
      </c>
      <c r="E121" s="146">
        <f>SUMIFS(sept2021222337383940[Сумма без отделки],sept2021222337383940[МОП],$A121,sept2021222337383940[№ дома],$C$116,sept2021222337383940[Комнатность],"&lt;&gt;Офис")</f>
        <v>34878622</v>
      </c>
      <c r="F121" s="147">
        <f>COUNTIFS(sept2021222337383940[МОП],$A121,sept2021222337383940[№ дома],$C$116,sept2021222337383940[Комнатность],"&lt;&gt;Офис")</f>
        <v>6</v>
      </c>
      <c r="G121" s="148">
        <f>SUMIFS(РД[S],РД[Дом],$C$116,РД[МОП],A121,РД[Дата подачи на регистрацию],"&lt;="&amp;$A$1,РД[Дата подачи на регистрацию],"&gt;="&amp;DATE(YEAR($A$1),MONTH($A$1),1),РД[Состояние],"Продажа")</f>
        <v>343.65999999999997</v>
      </c>
      <c r="H121" s="149">
        <f>SUMIFS(РД[Стоимость без отделки итог],РД[Дом],$C$116,РД[МОП],A121,РД[Дата подачи на регистрацию],"&lt;="&amp;$A$1,РД[Дата подачи на регистрацию],"&gt;="&amp;DATE(YEAR($A$1),MONTH($A$1),1),РД[Состояние],"Продажа")</f>
        <v>34878622</v>
      </c>
      <c r="I121" s="220">
        <f>COUNTIFS(РД[Дом],$C$116,РД[МОП],A121,РД[Дата подачи на регистрацию],"&lt;="&amp;$A$1,РД[Дата подачи на регистрацию],"&gt;="&amp;DATE(YEAR($A$1),MONTH($A$1),1),РД[Состояние],"Продажа")</f>
        <v>6</v>
      </c>
      <c r="J121" s="224">
        <f t="shared" si="0"/>
        <v>2.7939837398373979</v>
      </c>
      <c r="K121" s="225">
        <f t="shared" si="0"/>
        <v>2.7465164401409785</v>
      </c>
      <c r="L121" s="202">
        <f>COUNTIFS(РД[Тип кв],L$117,РД[МОП],$A121,РД[Дом],$C$116,РД[Дата подачи на регистрацию],"&lt;="&amp;$A$1,РД[Дата подачи на регистрацию],"&gt;="&amp;DATE(YEAR($A$1),MONTH($A$1),1))</f>
        <v>2</v>
      </c>
      <c r="M121" s="226">
        <f>COUNTIFS(РД[Тип кв],M$117,РД[МОП],$A121,РД[Дом],$C$116,РД[Дата подачи на регистрацию],"&lt;="&amp;$A$1,РД[Дата подачи на регистрацию],"&gt;="&amp;DATE(YEAR($A$1),MONTH($A$1),1))</f>
        <v>0</v>
      </c>
      <c r="N121" s="226">
        <f>COUNTIFS(РД[Тип кв],N$117,РД[МОП],$A121,РД[Дом],$C$116,РД[Дата подачи на регистрацию],"&lt;="&amp;$A$1,РД[Дата подачи на регистрацию],"&gt;="&amp;DATE(YEAR($A$1),MONTH($A$1),1))</f>
        <v>1</v>
      </c>
      <c r="O121" s="226">
        <f>COUNTIFS(РД[Тип кв],O$117,РД[МОП],$A121,РД[Дом],$C$116,РД[Дата подачи на регистрацию],"&lt;="&amp;$A$1,РД[Дата подачи на регистрацию],"&gt;="&amp;DATE(YEAR($A$1),MONTH($A$1),1))</f>
        <v>3</v>
      </c>
      <c r="P121" s="227">
        <f>COUNTIFS(РД[Тип кв],P$117,РД[МОП],$A121,РД[Дом],$C$116,РД[Дата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53" t="s">
        <v>14</v>
      </c>
      <c r="B122" s="267">
        <f>IFERROR(VLOOKUP(A122,'ИПП 2кв24'!$B$23:$J$34,4,0),"")</f>
        <v>91</v>
      </c>
      <c r="C122" s="146">
        <f>IFERROR(VLOOKUP(A122,'ИПП 2кв24'!$B$23:$J$34,5,0),"")</f>
        <v>9357322</v>
      </c>
      <c r="D122" s="328">
        <f>SUMIFS(sept2021222337383940[м2],sept2021222337383940[МОП],$A122,sept2021222337383940[№ дома],$C$116,sept2021222337383940[Комнатность],"&lt;&gt;Офис")</f>
        <v>0</v>
      </c>
      <c r="E122" s="403">
        <f>SUMIFS(sept2021222337383940[Сумма без отделки],sept2021222337383940[МОП],$A122,sept2021222337383940[№ дома],$C$116,sept2021222337383940[Комнатность],"&lt;&gt;Офис")</f>
        <v>0</v>
      </c>
      <c r="F122" s="404">
        <f>COUNTIFS(sept2021222337383940[МОП],$A122,sept2021222337383940[№ дома],$C$116,sept2021222337383940[Комнатность],"&lt;&gt;Офис")</f>
        <v>0</v>
      </c>
      <c r="G122" s="187">
        <f>SUMIFS(РД[S],РД[Дом],$C$116,РД[МОП],A122,РД[Дата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88">
        <f>SUMIFS(РД[Стоимость без отделки итог],РД[Дом],$C$116,РД[МОП],A122,РД[Дата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47">
        <f>COUNTIFS(РД[Дом],$C$116,РД[МОП],A122,РД[Дата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360">
        <f t="shared" si="0"/>
        <v>0</v>
      </c>
      <c r="K122" s="361">
        <f t="shared" si="0"/>
        <v>0</v>
      </c>
      <c r="L122" s="358">
        <f>COUNTIFS(РД[Тип кв],L$117,РД[МОП],$A122,РД[Дом],$C$116,РД[Дата подачи на регистрацию],"&lt;="&amp;$A$1,РД[Дата подачи на регистрацию],"&gt;="&amp;DATE(YEAR($A$1),MONTH($A$1),1))</f>
        <v>0</v>
      </c>
      <c r="M122" s="330">
        <f>COUNTIFS(РД[Тип кв],M$117,РД[МОП],$A122,РД[Дом],$C$116,РД[Дата подачи на регистрацию],"&lt;="&amp;$A$1,РД[Дата подачи на регистрацию],"&gt;="&amp;DATE(YEAR($A$1),MONTH($A$1),1))</f>
        <v>0</v>
      </c>
      <c r="N122" s="330">
        <f>COUNTIFS(РД[Тип кв],N$117,РД[МОП],$A122,РД[Дом],$C$116,РД[Дата подачи на регистрацию],"&lt;="&amp;$A$1,РД[Дата подачи на регистрацию],"&gt;="&amp;DATE(YEAR($A$1),MONTH($A$1),1))</f>
        <v>0</v>
      </c>
      <c r="O122" s="330">
        <f>COUNTIFS(РД[Тип кв],O$117,РД[МОП],$A122,РД[Дом],$C$116,РД[Дата подачи на регистрацию],"&lt;="&amp;$A$1,РД[Дата подачи на регистрацию],"&gt;="&amp;DATE(YEAR($A$1),MONTH($A$1),1))</f>
        <v>0</v>
      </c>
      <c r="P122" s="331">
        <f>COUNTIFS(РД[Тип кв],P$117,РД[МОП],$A122,РД[Дом],$C$116,РД[Дата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54" t="s">
        <v>29</v>
      </c>
      <c r="B123" s="274"/>
      <c r="C123" s="277"/>
      <c r="D123" s="341">
        <f>SUMIFS(sept2021222337383940[м2],sept2021222337383940[МОП],$A123,sept2021222337383940[№ дома],$C$116,sept2021222337383940[Комнатность],"&lt;&gt;Офис")</f>
        <v>0</v>
      </c>
      <c r="E123" s="277">
        <f>SUMIFS(sept2021222337383940[Сумма без отделки],sept2021222337383940[МОП],$A123,sept2021222337383940[№ дома],$C$116,sept2021222337383940[Комнатность],"&lt;&gt;Офис")</f>
        <v>0</v>
      </c>
      <c r="F123" s="405">
        <f>COUNTIFS(sept2021222337383940[МОП],$A123,sept2021222337383940[№ дома],$C$116,sept2021222337383940[Комнатность],"&lt;&gt;Офис")</f>
        <v>0</v>
      </c>
      <c r="G123" s="159">
        <f>SUMIFS(РД[S],РД[Дом],$C$116,РД[МОП],A123,РД[Дата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H123" s="160">
        <f>SUMIFS(РД[Стоимость без отделки итог],РД[Дом],$C$116,РД[МОП],A123,РД[Дата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228">
        <f>COUNTIFS(РД[Дом],$C$116,РД[МОП],A123,РД[Дата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29" t="str">
        <f t="shared" si="0"/>
        <v/>
      </c>
      <c r="K123" s="230" t="str">
        <f t="shared" si="0"/>
        <v/>
      </c>
      <c r="L123" s="159">
        <f>COUNTIFS(РД[Тип кв],L$117,РД[МОП],$A123,РД[Дом],$C$116,РД[Дата подачи на регистрацию],"&lt;="&amp;$A$1,РД[Дата подачи на регистрацию],"&gt;="&amp;DATE(YEAR($A$1),MONTH($A$1),1))</f>
        <v>0</v>
      </c>
      <c r="M123" s="228">
        <f>COUNTIFS(РД[Тип кв],M$117,РД[МОП],$A123,РД[Дом],$C$116,РД[Дата подачи на регистрацию],"&lt;="&amp;$A$1,РД[Дата подачи на регистрацию],"&gt;="&amp;DATE(YEAR($A$1),MONTH($A$1),1))</f>
        <v>0</v>
      </c>
      <c r="N123" s="228">
        <f>COUNTIFS(РД[Тип кв],N$117,РД[МОП],$A123,РД[Дом],$C$116,РД[Дата подачи на регистрацию],"&lt;="&amp;$A$1,РД[Дата подачи на регистрацию],"&gt;="&amp;DATE(YEAR($A$1),MONTH($A$1),1))</f>
        <v>0</v>
      </c>
      <c r="O123" s="228">
        <f>COUNTIFS(РД[Тип кв],O$117,РД[МОП],$A123,РД[Дом],$C$116,РД[Дата подачи на регистрацию],"&lt;="&amp;$A$1,РД[Дата подачи на регистрацию],"&gt;="&amp;DATE(YEAR($A$1),MONTH($A$1),1))</f>
        <v>0</v>
      </c>
      <c r="P123" s="231">
        <f>COUNTIFS(РД[Тип кв],P$117,РД[МОП],$A123,РД[Дом],$C$116,РД[Дата подачи на регистрацию],"&lt;="&amp;$A$1,РД[Дата подачи на регистрацию],"&gt;="&amp;DATE(YEAR($A$1),MONTH($A$1),1))</f>
        <v>0</v>
      </c>
      <c r="T123" s="66"/>
    </row>
    <row r="124" spans="1:21" s="65" customFormat="1">
      <c r="A124" s="161" t="s">
        <v>1919</v>
      </c>
      <c r="B124" s="278"/>
      <c r="C124" s="281"/>
      <c r="D124" s="406">
        <f>SUMIFS(sept2021222337383940[м2],sept2021222337383940[МОП],$A124,sept2021222337383940[№ дома],$C$116,sept2021222337383940[Комнатность],"&lt;&gt;Офис")</f>
        <v>43.480000000000004</v>
      </c>
      <c r="E124" s="281">
        <f>SUMIFS(sept2021222337383940[Сумма без отделки],sept2021222337383940[МОП],$A124,sept2021222337383940[№ дома],$C$116,sept2021222337383940[Комнатность],"&lt;&gt;Офис")</f>
        <v>6155860</v>
      </c>
      <c r="F124" s="407">
        <f>COUNTIFS(sept2021222337383940[МОП],$A124,sept2021222337383940[№ дома],$C$116,sept2021222337383940[Комнатность],"&lt;&gt;Офис")</f>
        <v>2</v>
      </c>
      <c r="G124" s="166">
        <f>SUMIFS(РД[S],РД[Дом],$C$116,РД[МОП],A124,РД[Дата подачи на регистрацию],"&lt;="&amp;$A$1,РД[Дата подачи на регистрацию],"&gt;="&amp;DATE(YEAR($A$1),MONTH($A$1),1),РД[Состояние],"Продажа")</f>
        <v>0</v>
      </c>
      <c r="H124" s="167">
        <f>SUMIFS(РД[Стоимость без отделки итог],РД[Дом],$C$116,РД[МОП],A124,РД[Дата подачи на регистрацию],"&lt;="&amp;$A$1,РД[Дата подачи на регистрацию],"&gt;="&amp;DATE(YEAR($A$1),MONTH($A$1),1),РД[Состояние],"Продажа")</f>
        <v>0</v>
      </c>
      <c r="I124" s="232">
        <f>COUNTIFS(РД[Дом],$C$116,РД[МОП],A124,РД[Дата подачи на регистрацию],"&lt;="&amp;$A$1,РД[Дата подачи на регистрацию],"&gt;="&amp;DATE(YEAR($A$1),MONTH($A$1),1),РД[Состояние],"Продажа")</f>
        <v>0</v>
      </c>
      <c r="J124" s="233" t="str">
        <f t="shared" si="0"/>
        <v/>
      </c>
      <c r="K124" s="234" t="str">
        <f t="shared" si="0"/>
        <v/>
      </c>
      <c r="L124" s="235">
        <f>COUNTIFS(РД[Тип кв],L$117,РД[МОП],$A124,РД[Дом],$C$116,РД[Дата подачи на регистрацию],"&lt;="&amp;$A$1,РД[Дата подачи на регистрацию],"&gt;="&amp;DATE(YEAR($A$1),MONTH($A$1),1))</f>
        <v>0</v>
      </c>
      <c r="M124" s="236">
        <f>COUNTIFS(РД[Тип кв],M$117,РД[МОП],$A124,РД[Дом],$C$116,РД[Дата подачи на регистрацию],"&lt;="&amp;$A$1,РД[Дата подачи на регистрацию],"&gt;="&amp;DATE(YEAR($A$1),MONTH($A$1),1))</f>
        <v>0</v>
      </c>
      <c r="N124" s="236">
        <f>COUNTIFS(РД[Тип кв],N$117,РД[МОП],$A124,РД[Дом],$C$116,РД[Дата подачи на регистрацию],"&lt;="&amp;$A$1,РД[Дата подачи на регистрацию],"&gt;="&amp;DATE(YEAR($A$1),MONTH($A$1),1))</f>
        <v>0</v>
      </c>
      <c r="O124" s="236">
        <f>COUNTIFS(РД[Тип кв],O$117,РД[МОП],$A124,РД[Дом],$C$116,РД[Дата подачи на регистрацию],"&lt;="&amp;$A$1,РД[Дата подачи на регистрацию],"&gt;="&amp;DATE(YEAR($A$1),MONTH($A$1),1))</f>
        <v>0</v>
      </c>
      <c r="P124" s="237">
        <f>COUNTIFS(РД[Тип кв],P$117,РД[МОП],$A124,РД[Дом],$C$116,РД[Дата подачи на регистрацию],"&lt;="&amp;$A$1,РД[Дата подачи на регистрацию],"&gt;="&amp;DATE(YEAR($A$1),MONTH($A$1),1))</f>
        <v>0</v>
      </c>
      <c r="T124" s="66"/>
    </row>
    <row r="125" spans="1:21" s="65" customFormat="1">
      <c r="A125" s="168" t="s">
        <v>114</v>
      </c>
      <c r="B125" s="172">
        <f t="shared" ref="B125:I125" si="3">SUM(B118:B124)</f>
        <v>567</v>
      </c>
      <c r="C125" s="173">
        <f t="shared" si="3"/>
        <v>58371863</v>
      </c>
      <c r="D125" s="173">
        <f t="shared" si="3"/>
        <v>599.35</v>
      </c>
      <c r="E125" s="173">
        <f t="shared" si="3"/>
        <v>61249748</v>
      </c>
      <c r="F125" s="171">
        <f t="shared" si="3"/>
        <v>11</v>
      </c>
      <c r="G125" s="172">
        <f t="shared" si="3"/>
        <v>656.22</v>
      </c>
      <c r="H125" s="173">
        <f t="shared" si="3"/>
        <v>67246381</v>
      </c>
      <c r="I125" s="170">
        <f t="shared" si="3"/>
        <v>12</v>
      </c>
      <c r="J125" s="238">
        <f t="shared" si="0"/>
        <v>1.1573544973544974</v>
      </c>
      <c r="K125" s="239">
        <f t="shared" si="0"/>
        <v>1.1520341744103662</v>
      </c>
      <c r="L125" s="240">
        <f>SUM(L118:L124)</f>
        <v>4</v>
      </c>
      <c r="M125" s="241">
        <f>SUM(M118:M124)</f>
        <v>0</v>
      </c>
      <c r="N125" s="241">
        <f>SUM(N118:N124)</f>
        <v>4</v>
      </c>
      <c r="O125" s="241">
        <f>SUM(O118:O124)</f>
        <v>4</v>
      </c>
      <c r="P125" s="242">
        <f>SUM(P118:P124)</f>
        <v>0</v>
      </c>
      <c r="T125" s="66"/>
    </row>
    <row r="126" spans="1:21" s="65" customFormat="1" ht="22.5" customHeight="1">
      <c r="A126" s="135" t="s">
        <v>115</v>
      </c>
      <c r="B126" s="135" t="s">
        <v>100</v>
      </c>
      <c r="C126" s="136" t="s">
        <v>97</v>
      </c>
      <c r="D126" s="295" t="s">
        <v>494</v>
      </c>
      <c r="E126" s="138" t="s">
        <v>495</v>
      </c>
      <c r="F126" s="470" t="s">
        <v>496</v>
      </c>
      <c r="G126" s="140" t="s">
        <v>101</v>
      </c>
      <c r="H126" s="141" t="s">
        <v>98</v>
      </c>
      <c r="I126" s="141" t="s">
        <v>96</v>
      </c>
      <c r="J126" s="495" t="s">
        <v>715</v>
      </c>
      <c r="K126" s="496" t="s">
        <v>716</v>
      </c>
      <c r="L126" s="217">
        <v>0</v>
      </c>
      <c r="M126" s="218">
        <v>1</v>
      </c>
      <c r="N126" s="218">
        <v>2</v>
      </c>
      <c r="O126" s="218">
        <v>3</v>
      </c>
      <c r="P126" s="219" t="s">
        <v>1367</v>
      </c>
      <c r="T126" s="66"/>
    </row>
    <row r="127" spans="1:21" s="65" customFormat="1">
      <c r="A127" s="177" t="s">
        <v>22</v>
      </c>
      <c r="B127" s="267">
        <f>IFERROR(VLOOKUP(A127,'ИПП 2кв24'!$B$23:$J$34,4,0),"")</f>
        <v>194.94606741573034</v>
      </c>
      <c r="C127" s="146">
        <f>IFERROR(VLOOKUP(A127,'ИПП 2кв24'!$B$23:$J$34,5,0),"")</f>
        <v>20069427.053932581</v>
      </c>
      <c r="D127" s="145">
        <f>SUMIFS(sept2021222337383940[м2],sept2021222337383940[ИМ],A127,sept2021222337383940[№ дома],$C$116,sept2021222337383940[Комнатность],"&lt;&gt;Офис")</f>
        <v>242.26</v>
      </c>
      <c r="E127" s="149">
        <f>SUMIFS(sept2021222337383940[Сумма без отделки],sept2021222337383940[ИМ],$A127,sept2021222337383940[№ дома],$C$116,sept2021222337383940[Комнатность],"&lt;&gt;Офис")</f>
        <v>24189506</v>
      </c>
      <c r="F127" s="147">
        <f>COUNTIFS(sept2021222337383940[ИМ],$A127,sept2021222337383940[№ дома],$C$116,sept2021222337383940[Комнатность],"&lt;&gt;Офис")</f>
        <v>4</v>
      </c>
      <c r="G127" s="183">
        <f>SUMIFS(РД[S],РД[Дом],$C$116,РД[ИМ],A127,РД[Дата подачи на регистрацию],"&lt;="&amp;$A$1,РД[Дата подачи на регистрацию],"&gt;="&amp;DATE(YEAR($A$1),MONTH($A$1),1),РД[Состояние],"Продажа")</f>
        <v>239.26</v>
      </c>
      <c r="H127" s="184">
        <f>SUMIFS(РД[Стоимость без отделки итог],РД[Дом],$C$116,РД[ИМ],A127,РД[Дата подачи на регистрацию],"&lt;="&amp;$A$1,РД[Дата подачи на регистрацию],"&gt;="&amp;DATE(YEAR($A$1),MONTH($A$1),1),РД[Состояние],"Продажа")</f>
        <v>24146046</v>
      </c>
      <c r="I127" s="243">
        <f>COUNTIFS(РД[Дом],$C$116,РД[ИМ],A127,РД[Дата подачи на регистрацию],"&lt;="&amp;$A$1,РД[Дата подачи на регистрацию],"&gt;="&amp;DATE(YEAR($A$1),MONTH($A$1),1),РД[Состояние],"Продажа")</f>
        <v>4</v>
      </c>
      <c r="J127" s="244">
        <f t="shared" ref="J127:K129" si="4">IFERROR(G127/B127,"")</f>
        <v>1.2273138061809086</v>
      </c>
      <c r="K127" s="245">
        <f t="shared" si="4"/>
        <v>1.2031258259198092</v>
      </c>
      <c r="L127" s="183">
        <f>COUNTIFS(РД[Тип кв],L117,РД[ИМ],$A127,РД[Дом],$C$116,РД[Дата подачи на регистрацию],"&lt;="&amp;$A$1,РД[Дата подачи на регистрацию],"&gt;="&amp;DATE(YEAR($A$1),MONTH($A$1),1))</f>
        <v>1</v>
      </c>
      <c r="M127" s="243">
        <f>COUNTIFS(РД[Тип кв],M117,РД[ИМ],$A127,РД[Дом],$C$116,РД[Дата подачи на регистрацию],"&lt;="&amp;$A$1,РД[Дата подачи на регистрацию],"&gt;="&amp;DATE(YEAR($A$1),MONTH($A$1),1))</f>
        <v>0</v>
      </c>
      <c r="N127" s="243">
        <f>COUNTIFS(РД[Тип кв],N117,РД[ИМ],$A127,РД[Дом],$C$116,РД[Дата подачи на регистрацию],"&lt;="&amp;$A$1,РД[Дата подачи на регистрацию],"&gt;="&amp;DATE(YEAR($A$1),MONTH($A$1),1))</f>
        <v>0</v>
      </c>
      <c r="O127" s="243">
        <f>COUNTIFS(РД[Тип кв],O117,РД[ИМ],$A127,РД[Дом],$C$116,РД[Дата подачи на регистрацию],"&lt;="&amp;$A$1,РД[Дата подачи на регистрацию],"&gt;="&amp;DATE(YEAR($A$1),MONTH($A$1),1))</f>
        <v>3</v>
      </c>
      <c r="P127" s="246">
        <f>COUNTIFS(РД[Тип кв],P117,РД[ИМ],$A127,РД[Дом],$C$116,РД[Дата подачи на регистрацию],"&lt;="&amp;$A$1,РД[Дата подачи на регистрацию],"&gt;="&amp;DATE(YEAR($A$1),MONTH($A$1),1))</f>
        <v>0</v>
      </c>
      <c r="T127" s="66"/>
    </row>
    <row r="128" spans="1:21" s="65" customFormat="1">
      <c r="A128" s="189" t="s">
        <v>16</v>
      </c>
      <c r="B128" s="267">
        <f>IFERROR(VLOOKUP(A128,'ИПП 2кв24'!$B$23:$J$34,4,0),"")</f>
        <v>287.00393258426965</v>
      </c>
      <c r="C128" s="146">
        <f>IFERROR(VLOOKUP(A128,'ИПП 2кв24'!$B$23:$J$34,5,0),"")</f>
        <v>29546656.496067416</v>
      </c>
      <c r="D128" s="145">
        <f>SUMIFS(sept2021222337383940[м2],sept2021222337383940[ИМ],A128,sept2021222337383940[№ дома],$C$116,sept2021222337383940[Комнатность],"&lt;&gt;Офис")</f>
        <v>267.41000000000003</v>
      </c>
      <c r="E128" s="149">
        <f>SUMIFS(sept2021222337383940[Сумма без отделки],sept2021222337383940[ИМ],$A128,sept2021222337383940[№ дома],$C$116,sept2021222337383940[Комнатность],"&lt;&gt;Офис")</f>
        <v>27809643</v>
      </c>
      <c r="F128" s="147">
        <f>COUNTIFS(sept2021222337383940[ИМ],$A128,sept2021222337383940[№ дома],$C$116,sept2021222337383940[Комнатность],"&lt;&gt;Офис")</f>
        <v>5</v>
      </c>
      <c r="G128" s="195">
        <f>SUMIFS(РД[S],РД[Дом],$C$116,РД[ИМ],A128,РД[Дата подачи на регистрацию],"&lt;="&amp;$A$1,РД[Дата подачи на регистрацию],"&gt;="&amp;DATE(YEAR($A$1),MONTH($A$1),1),РД[Состояние],"Продажа")</f>
        <v>267.40999999999997</v>
      </c>
      <c r="H128" s="196">
        <f>SUMIFS(РД[Стоимость без отделки итог],РД[Дом],$C$116,РД[ИМ],A128,РД[Дата подачи на регистрацию],"&lt;="&amp;$A$1,РД[Дата подачи на регистрацию],"&gt;="&amp;DATE(YEAR($A$1),MONTH($A$1),1),РД[Состояние],"Продажа")</f>
        <v>27809643</v>
      </c>
      <c r="I128" s="251">
        <f>COUNTIFS(РД[Дом],$C$116,РД[ИМ],A128,РД[Дата подачи на регистрацию],"&lt;="&amp;$A$1,РД[Дата подачи на регистрацию],"&gt;="&amp;DATE(YEAR($A$1),MONTH($A$1),1),РД[Состояние],"Продажа")</f>
        <v>5</v>
      </c>
      <c r="J128" s="252">
        <f t="shared" si="4"/>
        <v>0.93172939336461347</v>
      </c>
      <c r="K128" s="253">
        <f t="shared" si="4"/>
        <v>0.94121116559165985</v>
      </c>
      <c r="L128" s="195">
        <f>COUNTIFS(РД[Тип кв],L117,РД[ИМ],$A128,РД[Дом],$C$116,РД[Дата подачи на регистрацию],"&lt;="&amp;$A$1,РД[Дата подачи на регистрацию],"&gt;="&amp;DATE(YEAR($A$1),MONTH($A$1),1))</f>
        <v>2</v>
      </c>
      <c r="M128" s="251">
        <f>COUNTIFS(РД[Тип кв],M117,РД[ИМ],$A128,РД[Дом],$C$116,РД[Дата подачи на регистрацию],"&lt;="&amp;$A$1,РД[Дата подачи на регистрацию],"&gt;="&amp;DATE(YEAR($A$1),MONTH($A$1),1))</f>
        <v>0</v>
      </c>
      <c r="N128" s="251">
        <f>COUNTIFS(РД[Тип кв],N117,РД[ИМ],$A128,РД[Дом],$C$116,РД[Дата подачи на регистрацию],"&lt;="&amp;$A$1,РД[Дата подачи на регистрацию],"&gt;="&amp;DATE(YEAR($A$1),MONTH($A$1),1))</f>
        <v>2</v>
      </c>
      <c r="O128" s="251">
        <f>COUNTIFS(РД[Тип кв],O117,РД[ИМ],$A128,РД[Дом],$C$116,РД[Дата подачи на регистрацию],"&lt;="&amp;$A$1,РД[Дата подачи на регистрацию],"&gt;="&amp;DATE(YEAR($A$1),MONTH($A$1),1))</f>
        <v>1</v>
      </c>
      <c r="P128" s="254">
        <f>COUNTIFS(РД[Тип кв],P117,РД[ИМ],$A128,РД[Дом],$C$116,РД[Дата подачи на регистрацию],"&lt;="&amp;$A$1,РД[Дата подачи на регистрацию],"&gt;="&amp;DATE(YEAR($A$1),MONTH($A$1),1))</f>
        <v>0</v>
      </c>
      <c r="T128" s="66"/>
    </row>
    <row r="129" spans="1:21" s="65" customFormat="1">
      <c r="A129" s="168" t="s">
        <v>114</v>
      </c>
      <c r="B129" s="172">
        <f t="shared" ref="B129:P129" si="5">SUM(B127:B128)</f>
        <v>481.95</v>
      </c>
      <c r="C129" s="173">
        <f t="shared" si="5"/>
        <v>49616083.549999997</v>
      </c>
      <c r="D129" s="484">
        <f t="shared" si="5"/>
        <v>509.67</v>
      </c>
      <c r="E129" s="429">
        <f t="shared" si="5"/>
        <v>51999149</v>
      </c>
      <c r="F129" s="485">
        <f t="shared" si="5"/>
        <v>9</v>
      </c>
      <c r="G129" s="473">
        <f t="shared" si="5"/>
        <v>506.66999999999996</v>
      </c>
      <c r="H129" s="429">
        <f t="shared" si="5"/>
        <v>51955689</v>
      </c>
      <c r="I129" s="494">
        <f t="shared" si="5"/>
        <v>9</v>
      </c>
      <c r="J129" s="419">
        <f t="shared" si="4"/>
        <v>1.051291627762216</v>
      </c>
      <c r="K129" s="420">
        <f t="shared" si="4"/>
        <v>1.0471541742637203</v>
      </c>
      <c r="L129" s="473">
        <f t="shared" si="5"/>
        <v>3</v>
      </c>
      <c r="M129" s="494">
        <f t="shared" si="5"/>
        <v>0</v>
      </c>
      <c r="N129" s="494">
        <f t="shared" si="5"/>
        <v>2</v>
      </c>
      <c r="O129" s="494">
        <f t="shared" si="5"/>
        <v>4</v>
      </c>
      <c r="P129" s="497">
        <f t="shared" si="5"/>
        <v>0</v>
      </c>
      <c r="T129" s="66"/>
    </row>
    <row r="130" spans="1:21" s="65" customFormat="1">
      <c r="A130" s="134"/>
      <c r="B130" s="197"/>
      <c r="C130" s="197"/>
      <c r="D130" s="198"/>
      <c r="E130" s="134"/>
      <c r="F130" s="44"/>
      <c r="G130" s="134"/>
      <c r="H130" s="134"/>
      <c r="I130" s="44"/>
      <c r="J130" s="134"/>
      <c r="K130" s="255"/>
      <c r="L130" s="256"/>
      <c r="M130" s="134"/>
      <c r="N130" s="134"/>
      <c r="O130" s="134"/>
      <c r="P130" s="134"/>
      <c r="Q130" s="134"/>
      <c r="U130" s="66"/>
    </row>
    <row r="131" spans="1:21" s="65" customFormat="1">
      <c r="A131" s="2327" t="s">
        <v>713</v>
      </c>
      <c r="B131" s="2328"/>
      <c r="C131" s="474" t="s">
        <v>13</v>
      </c>
      <c r="D131" s="475"/>
      <c r="E131" s="475"/>
      <c r="F131" s="475"/>
      <c r="G131" s="476"/>
      <c r="H131" s="476"/>
      <c r="I131" s="476"/>
      <c r="J131" s="476"/>
      <c r="K131" s="476"/>
      <c r="L131" s="475"/>
      <c r="M131" s="475"/>
      <c r="N131" s="475"/>
      <c r="O131" s="475"/>
      <c r="P131" s="498"/>
      <c r="T131" s="66"/>
    </row>
    <row r="132" spans="1:21" s="65" customFormat="1" ht="22.5" customHeight="1">
      <c r="A132" s="135" t="s">
        <v>1</v>
      </c>
      <c r="B132" s="135" t="s">
        <v>100</v>
      </c>
      <c r="C132" s="136" t="s">
        <v>97</v>
      </c>
      <c r="D132" s="295" t="s">
        <v>494</v>
      </c>
      <c r="E132" s="477" t="s">
        <v>495</v>
      </c>
      <c r="F132" s="478" t="s">
        <v>496</v>
      </c>
      <c r="G132" s="479" t="s">
        <v>101</v>
      </c>
      <c r="H132" s="479" t="s">
        <v>98</v>
      </c>
      <c r="I132" s="479" t="s">
        <v>96</v>
      </c>
      <c r="J132" s="479" t="s">
        <v>715</v>
      </c>
      <c r="K132" s="479" t="s">
        <v>716</v>
      </c>
      <c r="L132" s="499">
        <v>0</v>
      </c>
      <c r="M132" s="340">
        <v>1</v>
      </c>
      <c r="N132" s="340">
        <v>2</v>
      </c>
      <c r="O132" s="340">
        <v>3</v>
      </c>
      <c r="P132" s="500" t="s">
        <v>1367</v>
      </c>
      <c r="T132" s="66"/>
    </row>
    <row r="133" spans="1:21" s="65" customFormat="1">
      <c r="A133" s="142" t="s">
        <v>1892</v>
      </c>
      <c r="B133" s="267">
        <f>IFERROR(VLOOKUP(A133,'ИПП 2кв24'!$B$23:$J$34,6,0),"")</f>
        <v>225</v>
      </c>
      <c r="C133" s="146">
        <f>IFERROR(VLOOKUP(A133,'ИПП 2кв24'!$B$23:$J$34,7,0),"")</f>
        <v>22539038</v>
      </c>
      <c r="D133" s="257">
        <f>SUMIFS(sept2021222337383940[м2],sept2021222337383940[МОП],$A133,sept2021222337383940[№ дома],$C$131,sept2021222337383940[Комнатность],"&lt;&gt;Офис")</f>
        <v>80.47999999999999</v>
      </c>
      <c r="E133" s="52">
        <f>SUMIFS(sept2021222337383940[Сумма без отделки],sept2021222337383940[МОП],$A133,sept2021222337383940[№ дома],$C$131,sept2021222337383940[Комнатность],"&lt;&gt;Офис")</f>
        <v>9016600</v>
      </c>
      <c r="F133" s="413">
        <f>COUNTIFS(sept2021222337383940[МОП],$A133,sept2021222337383940[№ дома],$C$131,sept2021222337383940[Комнатность],"&lt;&gt;Офис")</f>
        <v>2</v>
      </c>
      <c r="G133" s="202">
        <f>SUMIFS(РД[S],РД[Дом],$C$131,РД[МОП],A133,РД[Дата подачи на регистрацию],"&lt;="&amp;$A$1,РД[Дата подачи на регистрацию],"&gt;="&amp;DATE(YEAR($A$1),MONTH($A$1),1),РД[Состояние],"Продажа")</f>
        <v>80.47999999999999</v>
      </c>
      <c r="H133" s="203">
        <f>SUMIFS(РД[Стоимость без отделки итог],РД[Дом],$C$131,РД[МОП],A133,РД[Дата подачи на регистрацию],"&lt;="&amp;$A$1,РД[Дата подачи на регистрацию],"&gt;="&amp;DATE(YEAR($A$1),MONTH($A$1),1),РД[Состояние],"Продажа")</f>
        <v>9016600</v>
      </c>
      <c r="I133" s="226">
        <f>COUNTIFS(РД[Дом],$C$131,РД[МОП],A133,РД[Дата подачи на регистрацию],"&lt;="&amp;$A$1,РД[Дата подачи на регистрацию],"&gt;="&amp;DATE(YEAR($A$1),MONTH($A$1),1),РД[Состояние],"Продажа")</f>
        <v>2</v>
      </c>
      <c r="J133" s="224">
        <f t="shared" ref="J133:K137" si="6">IFERROR(G133/B133,)</f>
        <v>0.35768888888888883</v>
      </c>
      <c r="K133" s="225">
        <f t="shared" si="6"/>
        <v>0.40004369308042342</v>
      </c>
      <c r="L133" s="257">
        <f>COUNTIFS(РД[Тип кв],L$132,РД[МОП],$A133,РД[Дом],$C$131,РД[Дата подачи на регистрацию],"&lt;="&amp;$A$1,РД[Дата подачи на регистрацию],"&gt;="&amp;DATE(YEAR($A$1),MONTH($A$1),1))</f>
        <v>0</v>
      </c>
      <c r="M133" s="226">
        <f>COUNTIFS(РД[Тип кв],M$132,РД[МОП],$A133,РД[Дом],$C$131,РД[Дата подачи на регистрацию],"&lt;="&amp;$A$1,РД[Дата подачи на регистрацию],"&gt;="&amp;DATE(YEAR($A$1),MONTH($A$1),1))</f>
        <v>2</v>
      </c>
      <c r="N133" s="226">
        <f>COUNTIFS(РД[Тип кв],N$132,РД[МОП],$A133,РД[Дом],$C$131,РД[Дата подачи на регистрацию],"&lt;="&amp;$A$1,РД[Дата подачи на регистрацию],"&gt;="&amp;DATE(YEAR($A$1),MONTH($A$1),1))</f>
        <v>0</v>
      </c>
      <c r="O133" s="226">
        <f>COUNTIFS(РД[Тип кв],O$132,РД[МОП],$A133,РД[Дом],$C$131,РД[Дата подачи на регистрацию],"&lt;="&amp;$A$1,РД[Дата подачи на регистрацию],"&gt;="&amp;DATE(YEAR($A$1),MONTH($A$1),1))</f>
        <v>0</v>
      </c>
      <c r="P133" s="227">
        <f>COUNTIFS(РД[Тип кв],P$132,РД[МОП],$A133,РД[Дом],$C$131,РД[Дата подачи на регистрацию],"&lt;="&amp;$A$1,РД[Дата подачи на регистрацию],"&gt;="&amp;DATE(YEAR($A$1),MONTH($A$1),1))</f>
        <v>0</v>
      </c>
      <c r="T133" s="66"/>
    </row>
    <row r="134" spans="1:21" s="65" customFormat="1">
      <c r="A134" s="398" t="s">
        <v>8</v>
      </c>
      <c r="B134" s="267">
        <f>IFERROR(VLOOKUP(A134,'ИПП 2кв24'!$B$23:$J$34,6,0),"")</f>
        <v>225</v>
      </c>
      <c r="C134" s="146">
        <f>IFERROR(VLOOKUP(A134,'ИПП 2кв24'!$B$23:$J$34,7,0),"")</f>
        <v>22539038</v>
      </c>
      <c r="D134" s="257">
        <f>SUMIFS(sept2021222337383940[м2],sept2021222337383940[МОП],$A134,sept2021222337383940[№ дома],$C$131,sept2021222337383940[Комнатность],"&lt;&gt;Офис")</f>
        <v>451.57</v>
      </c>
      <c r="E134" s="52">
        <f>SUMIFS(sept2021222337383940[Сумма без отделки],sept2021222337383940[МОП],$A134,sept2021222337383940[№ дома],$C$131,sept2021222337383940[Комнатность],"&lt;&gt;Офис")</f>
        <v>42218865</v>
      </c>
      <c r="F134" s="413">
        <f>COUNTIFS(sept2021222337383940[МОП],$A134,sept2021222337383940[№ дома],$C$131,sept2021222337383940[Комнатность],"&lt;&gt;Офис")</f>
        <v>7</v>
      </c>
      <c r="G134" s="202">
        <f>SUMIFS(РД[S],РД[Дом],$C$131,РД[МОП],A134,РД[Дата подачи на регистрацию],"&lt;="&amp;$A$1,РД[Дата подачи на регистрацию],"&gt;="&amp;DATE(YEAR($A$1),MONTH($A$1),1),РД[Состояние],"Продажа")</f>
        <v>513.91</v>
      </c>
      <c r="H134" s="203">
        <f>SUMIFS(РД[Стоимость без отделки итог],РД[Дом],$C$131,РД[МОП],A134,РД[Дата подачи на регистрацию],"&lt;="&amp;$A$1,РД[Дата подачи на регистрацию],"&gt;="&amp;DATE(YEAR($A$1),MONTH($A$1),1),РД[Состояние],"Продажа")</f>
        <v>49812165</v>
      </c>
      <c r="I134" s="226">
        <f>COUNTIFS(РД[Дом],$C$131,РД[МОП],A134,РД[Дата подачи на регистрацию],"&lt;="&amp;$A$1,РД[Дата подачи на регистрацию],"&gt;="&amp;DATE(YEAR($A$1),MONTH($A$1),1),РД[Состояние],"Продажа")</f>
        <v>9</v>
      </c>
      <c r="J134" s="224">
        <f t="shared" si="6"/>
        <v>2.2840444444444441</v>
      </c>
      <c r="K134" s="225">
        <f t="shared" si="6"/>
        <v>2.2100395322994708</v>
      </c>
      <c r="L134" s="257">
        <f>COUNTIFS(РД[Тип кв],L$132,РД[МОП],$A134,РД[Дом],$C$131,РД[Дата подачи на регистрацию],"&lt;="&amp;$A$1,РД[Дата подачи на регистрацию],"&gt;="&amp;DATE(YEAR($A$1),MONTH($A$1),1))</f>
        <v>2</v>
      </c>
      <c r="M134" s="226">
        <f>COUNTIFS(РД[Тип кв],M$132,РД[МОП],$A134,РД[Дом],$C$131,РД[Дата подачи на регистрацию],"&lt;="&amp;$A$1,РД[Дата подачи на регистрацию],"&gt;="&amp;DATE(YEAR($A$1),MONTH($A$1),1))</f>
        <v>1</v>
      </c>
      <c r="N134" s="226">
        <f>COUNTIFS(РД[Тип кв],N$132,РД[МОП],$A134,РД[Дом],$C$131,РД[Дата подачи на регистрацию],"&lt;="&amp;$A$1,РД[Дата подачи на регистрацию],"&gt;="&amp;DATE(YEAR($A$1),MONTH($A$1),1))</f>
        <v>3</v>
      </c>
      <c r="O134" s="226">
        <f>COUNTIFS(РД[Тип кв],O$132,РД[МОП],$A134,РД[Дом],$C$131,РД[Дата подачи на регистрацию],"&lt;="&amp;$A$1,РД[Дата подачи на регистрацию],"&gt;="&amp;DATE(YEAR($A$1),MONTH($A$1),1))</f>
        <v>3</v>
      </c>
      <c r="P134" s="227">
        <f>COUNTIFS(РД[Тип кв],P$132,РД[МОП],$A134,РД[Дом],$C$131,РД[Дата подачи на регистрацию],"&lt;="&amp;$A$1,РД[Дата подачи на регистрацию],"&gt;="&amp;DATE(YEAR($A$1),MONTH($A$1),1))</f>
        <v>0</v>
      </c>
      <c r="T134" s="66"/>
    </row>
    <row r="135" spans="1:21" s="65" customFormat="1">
      <c r="A135" s="153" t="s">
        <v>77</v>
      </c>
      <c r="B135" s="267">
        <f>IFERROR(VLOOKUP(A135,'ИПП 2кв24'!$B$23:$J$34,6,0),"")</f>
        <v>229</v>
      </c>
      <c r="C135" s="146">
        <f>IFERROR(VLOOKUP(A135,'ИПП 2кв24'!$B$23:$J$34,7,0),"")</f>
        <v>22956428</v>
      </c>
      <c r="D135" s="257">
        <f>SUMIFS(sept2021222337383940[м2],sept2021222337383940[МОП],$A135,sept2021222337383940[№ дома],$C$131,sept2021222337383940[Комнатность],"&lt;&gt;Офис")</f>
        <v>124.72999999999999</v>
      </c>
      <c r="E135" s="52">
        <f>SUMIFS(sept2021222337383940[Сумма без отделки],sept2021222337383940[МОП],$A135,sept2021222337383940[№ дома],$C$131,sept2021222337383940[Комнатность],"&lt;&gt;Офис")</f>
        <v>14345000</v>
      </c>
      <c r="F135" s="413">
        <f>COUNTIFS(sept2021222337383940[МОП],$A135,sept2021222337383940[№ дома],$C$131,sept2021222337383940[Комнатность],"&lt;&gt;Офис")</f>
        <v>3</v>
      </c>
      <c r="G135" s="202">
        <f>SUMIFS(РД[S],РД[Дом],$C$131,РД[МОП],A135,РД[Дата подачи на регистрацию],"&lt;="&amp;$A$1,РД[Дата подачи на регистрацию],"&gt;="&amp;DATE(YEAR($A$1),MONTH($A$1),1),РД[Состояние],"Продажа")</f>
        <v>205.77999999999997</v>
      </c>
      <c r="H135" s="203">
        <f>SUMIFS(РД[Стоимость без отделки итог],РД[Дом],$C$131,РД[МОП],A135,РД[Дата подачи на регистрацию],"&lt;="&amp;$A$1,РД[Дата подачи на регистрацию],"&gt;="&amp;DATE(YEAR($A$1),MONTH($A$1),1),РД[Состояние],"Продажа")</f>
        <v>22423600</v>
      </c>
      <c r="I135" s="226">
        <f>COUNTIFS(РД[Дом],$C$131,РД[МОП],A135,РД[Дата подачи на регистрацию],"&lt;="&amp;$A$1,РД[Дата подачи на регистрацию],"&gt;="&amp;DATE(YEAR($A$1),MONTH($A$1),1),РД[Состояние],"Продажа")</f>
        <v>5</v>
      </c>
      <c r="J135" s="224">
        <f t="shared" ref="J135" si="7">IFERROR(G135/B135,)</f>
        <v>0.89860262008733616</v>
      </c>
      <c r="K135" s="225">
        <f t="shared" ref="K135" si="8">IFERROR(H135/C135,)</f>
        <v>0.97678959461811743</v>
      </c>
      <c r="L135" s="257">
        <f>COUNTIFS(РД[Тип кв],L$132,РД[МОП],$A135,РД[Дом],$C$131,РД[Дата подачи на регистрацию],"&lt;="&amp;$A$1,РД[Дата подачи на регистрацию],"&gt;="&amp;DATE(YEAR($A$1),MONTH($A$1),1))</f>
        <v>1</v>
      </c>
      <c r="M135" s="226">
        <f>COUNTIFS(РД[Тип кв],M$132,РД[МОП],$A135,РД[Дом],$C$131,РД[Дата подачи на регистрацию],"&lt;="&amp;$A$1,РД[Дата подачи на регистрацию],"&gt;="&amp;DATE(YEAR($A$1),MONTH($A$1),1))</f>
        <v>3</v>
      </c>
      <c r="N135" s="226">
        <f>COUNTIFS(РД[Тип кв],N$132,РД[МОП],$A135,РД[Дом],$C$131,РД[Дата подачи на регистрацию],"&lt;="&amp;$A$1,РД[Дата подачи на регистрацию],"&gt;="&amp;DATE(YEAR($A$1),MONTH($A$1),1))</f>
        <v>1</v>
      </c>
      <c r="O135" s="226">
        <f>COUNTIFS(РД[Тип кв],O$132,РД[МОП],$A135,РД[Дом],$C$131,РД[Дата подачи на регистрацию],"&lt;="&amp;$A$1,РД[Дата подачи на регистрацию],"&gt;="&amp;DATE(YEAR($A$1),MONTH($A$1),1))</f>
        <v>0</v>
      </c>
      <c r="P135" s="227">
        <f>COUNTIFS(РД[Тип кв],P$132,РД[МОП],$A135,РД[Дом],$C$131,РД[Дата подачи на регистрацию],"&lt;="&amp;$A$1,РД[Дата подачи на регистрацию],"&gt;="&amp;DATE(YEAR($A$1),MONTH($A$1),1))</f>
        <v>0</v>
      </c>
      <c r="T135" s="66"/>
    </row>
    <row r="136" spans="1:21" s="65" customFormat="1">
      <c r="A136" s="153" t="s">
        <v>20</v>
      </c>
      <c r="B136" s="267">
        <f>IFERROR(VLOOKUP(A136,'ИПП 2кв24'!$B$23:$J$34,6,0),"")</f>
        <v>237</v>
      </c>
      <c r="C136" s="146">
        <f>IFERROR(VLOOKUP(A136,'ИПП 2кв24'!$B$23:$J$34,7,0),"")</f>
        <v>23791207</v>
      </c>
      <c r="D136" s="257">
        <f>SUMIFS(sept2021222337383940[м2],sept2021222337383940[МОП],$A136,sept2021222337383940[№ дома],$C$131,sept2021222337383940[Комнатность],"&lt;&gt;Офис")</f>
        <v>53.9</v>
      </c>
      <c r="E136" s="52">
        <f>SUMIFS(sept2021222337383940[Сумма без отделки],sept2021222337383940[МОП],$A136,sept2021222337383940[№ дома],$C$131,sept2021222337383940[Комнатность],"&lt;&gt;Офис")</f>
        <v>6256900</v>
      </c>
      <c r="F136" s="413">
        <f>COUNTIFS(sept2021222337383940[МОП],$A136,sept2021222337383940[№ дома],$C$131,sept2021222337383940[Комнатность],"&lt;&gt;Офис")</f>
        <v>2</v>
      </c>
      <c r="G136" s="202">
        <f>SUMIFS(РД[S],РД[Дом],$C$131,РД[МОП],A136,РД[Дата подачи на регистрацию],"&lt;="&amp;$A$1,РД[Дата подачи на регистрацию],"&gt;="&amp;DATE(YEAR($A$1),MONTH($A$1),1),РД[Состояние],"Продажа")</f>
        <v>279.29000000000002</v>
      </c>
      <c r="H136" s="203">
        <f>SUMIFS(РД[Стоимость без отделки итог],РД[Дом],$C$131,РД[МОП],A136,РД[Дата подачи на регистрацию],"&lt;="&amp;$A$1,РД[Дата подачи на регистрацию],"&gt;="&amp;DATE(YEAR($A$1),MONTH($A$1),1),РД[Состояние],"Продажа")</f>
        <v>30551800</v>
      </c>
      <c r="I136" s="226">
        <f>COUNTIFS(РД[Дом],$C$131,РД[МОП],A136,РД[Дата подачи на регистрацию],"&lt;="&amp;$A$1,РД[Дата подачи на регистрацию],"&gt;="&amp;DATE(YEAR($A$1),MONTH($A$1),1),РД[Состояние],"Продажа")</f>
        <v>7</v>
      </c>
      <c r="J136" s="224">
        <f t="shared" si="6"/>
        <v>1.1784388185654009</v>
      </c>
      <c r="K136" s="225">
        <f t="shared" si="6"/>
        <v>1.2841635146968373</v>
      </c>
      <c r="L136" s="257">
        <f>COUNTIFS(РД[Тип кв],L$132,РД[МОП],$A136,РД[Дом],$C$131,РД[Дата подачи на регистрацию],"&lt;="&amp;$A$1,РД[Дата подачи на регистрацию],"&gt;="&amp;DATE(YEAR($A$1),MONTH($A$1),1))</f>
        <v>2</v>
      </c>
      <c r="M136" s="226">
        <f>COUNTIFS(РД[Тип кв],M$132,РД[МОП],$A136,РД[Дом],$C$131,РД[Дата подачи на регистрацию],"&lt;="&amp;$A$1,РД[Дата подачи на регистрацию],"&gt;="&amp;DATE(YEAR($A$1),MONTH($A$1),1))</f>
        <v>3</v>
      </c>
      <c r="N136" s="226">
        <f>COUNTIFS(РД[Тип кв],N$132,РД[МОП],$A136,РД[Дом],$C$131,РД[Дата подачи на регистрацию],"&lt;="&amp;$A$1,РД[Дата подачи на регистрацию],"&gt;="&amp;DATE(YEAR($A$1),MONTH($A$1),1))</f>
        <v>2</v>
      </c>
      <c r="O136" s="226">
        <f>COUNTIFS(РД[Тип кв],O$132,РД[МОП],$A136,РД[Дом],$C$131,РД[Дата подачи на регистрацию],"&lt;="&amp;$A$1,РД[Дата подачи на регистрацию],"&gt;="&amp;DATE(YEAR($A$1),MONTH($A$1),1))</f>
        <v>0</v>
      </c>
      <c r="P136" s="227">
        <f>COUNTIFS(РД[Тип кв],P$132,РД[МОП],$A136,РД[Дом],$C$131,РД[Дата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53" t="s">
        <v>14</v>
      </c>
      <c r="B137" s="267">
        <f>IFERROR(VLOOKUP(A137,'ИПП 2кв24'!$B$23:$J$34,6,0),"")</f>
        <v>175</v>
      </c>
      <c r="C137" s="146">
        <f>IFERROR(VLOOKUP(A137,'ИПП 2кв24'!$B$23:$J$34,7,0),"")</f>
        <v>17530363</v>
      </c>
      <c r="D137" s="329">
        <f>SUMIFS(sept2021222337383940[м2],sept2021222337383940[МОП],$A137,sept2021222337383940[№ дома],$C$131,sept2021222337383940[Комнатность],"&lt;&gt;Офис")</f>
        <v>56.58</v>
      </c>
      <c r="E137" s="363">
        <f>SUMIFS(sept2021222337383940[Сумма без отделки],sept2021222337383940[МОП],$A137,sept2021222337383940[№ дома],$C$131,sept2021222337383940[Комнатность],"&lt;&gt;Офис")</f>
        <v>5392700</v>
      </c>
      <c r="F137" s="414">
        <f>COUNTIFS(sept2021222337383940[МОП],$A137,sept2021222337383940[№ дома],$C$131,sept2021222337383940[Комнатность],"&lt;&gt;Офис")</f>
        <v>1</v>
      </c>
      <c r="G137" s="358">
        <f>SUMIFS(РД[S],РД[Дом],$C$131,РД[МОП],A137,РД[Дата подачи на регистрацию],"&lt;="&amp;$A$1,РД[Дата подачи на регистрацию],"&gt;="&amp;DATE(YEAR($A$1),MONTH($A$1),1),РД[Состояние],"Продажа")</f>
        <v>123.71000000000001</v>
      </c>
      <c r="H137" s="359">
        <f>SUMIFS(РД[Стоимость без отделки итог],РД[Дом],$C$131,РД[МОП],A137,РД[Дата подачи на регистрацию],"&lt;="&amp;$A$1,РД[Дата подачи на регистрацию],"&gt;="&amp;DATE(YEAR($A$1),MONTH($A$1),1),РД[Состояние],"Продажа")</f>
        <v>13229500</v>
      </c>
      <c r="I137" s="330">
        <f>COUNTIFS(РД[Дом],$C$131,РД[МОП],A137,РД[Дата подачи на регистрацию],"&lt;="&amp;$A$1,РД[Дата подачи на регистрацию],"&gt;="&amp;DATE(YEAR($A$1),MONTH($A$1),1),РД[Состояние],"Продажа")</f>
        <v>3</v>
      </c>
      <c r="J137" s="360">
        <f t="shared" si="6"/>
        <v>0.70691428571428572</v>
      </c>
      <c r="K137" s="361">
        <f t="shared" si="6"/>
        <v>0.75466206832111804</v>
      </c>
      <c r="L137" s="329">
        <f>COUNTIFS(РД[Тип кв],L$132,РД[МОП],$A137,РД[Дом],$C$131,РД[Дата подачи на регистрацию],"&lt;="&amp;$A$1,РД[Дата подачи на регистрацию],"&gt;="&amp;DATE(YEAR($A$1),MONTH($A$1),1))</f>
        <v>1</v>
      </c>
      <c r="M137" s="330">
        <f>COUNTIFS(РД[Тип кв],M$132,РД[МОП],$A137,РД[Дом],$C$131,РД[Дата подачи на регистрацию],"&lt;="&amp;$A$1,РД[Дата подачи на регистрацию],"&gt;="&amp;DATE(YEAR($A$1),MONTH($A$1),1))</f>
        <v>1</v>
      </c>
      <c r="N137" s="330">
        <f>COUNTIFS(РД[Тип кв],N$132,РД[МОП],$A137,РД[Дом],$C$131,РД[Дата подачи на регистрацию],"&lt;="&amp;$A$1,РД[Дата подачи на регистрацию],"&gt;="&amp;DATE(YEAR($A$1),MONTH($A$1),1))</f>
        <v>1</v>
      </c>
      <c r="O137" s="330">
        <f>COUNTIFS(РД[Тип кв],O$132,РД[МОП],$A137,РД[Дом],$C$131,РД[Дата подачи на регистрацию],"&lt;="&amp;$A$1,РД[Дата подачи на регистрацию],"&gt;="&amp;DATE(YEAR($A$1),MONTH($A$1),1))</f>
        <v>0</v>
      </c>
      <c r="P137" s="331">
        <f>COUNTIFS(РД[Тип кв],P$132,РД[МОП],$A137,РД[Дом],$C$131,РД[Дата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54" t="s">
        <v>29</v>
      </c>
      <c r="B138" s="274"/>
      <c r="C138" s="275"/>
      <c r="D138" s="341">
        <f>SUMIFS(sept2021222337383940[м2],sept2021222337383940[МОП],$A138,sept2021222337383940[№ дома],$C$131,sept2021222337383940[Комнатность],"&lt;&gt;Офис")</f>
        <v>0</v>
      </c>
      <c r="E138" s="277">
        <f>SUMIFS(sept2021222337383940[Сумма без отделки],sept2021222337383940[МОП],$A138,sept2021222337383940[№ дома],$C$131,sept2021222337383940[Комнатность],"&lt;&gt;Офис")</f>
        <v>0</v>
      </c>
      <c r="F138" s="405">
        <f>COUNTIFS(sept2021222337383940[МОП],$A138,sept2021222337383940[№ дома],$C$131,sept2021222337383940[Комнатность],"&lt;&gt;Офис")</f>
        <v>0</v>
      </c>
      <c r="G138" s="159">
        <f>SUMIFS(РД[S],РД[Дом],$C$131,РД[МОП],A138,РД[Дата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H138" s="160">
        <f>SUMIFS(РД[Стоимость без отделки итог],РД[Дом],$C$131,РД[МОП],A138,РД[Дата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I138" s="228">
        <f>COUNTIFS(РД[Дом],$C$131,РД[МОП],A138,РД[Дата подачи на регистрацию],"&lt;="&amp;$A$1,РД[Дата подачи на регистрацию],"&gt;="&amp;DATE(YEAR($A$1),MONTH($A$1),1),РД[Состояние],"Продажа")</f>
        <v>0</v>
      </c>
      <c r="J138" s="229">
        <f t="shared" ref="J138:K139" si="9">IFERROR(G138/B138,)</f>
        <v>0</v>
      </c>
      <c r="K138" s="230">
        <f t="shared" si="9"/>
        <v>0</v>
      </c>
      <c r="L138" s="341">
        <f>COUNTIFS(РД[Тип кв],L$132,РД[МОП],$A138,РД[Дом],$C$131,РД[Дата подачи на регистрацию],"&lt;="&amp;$A$1,РД[Дата подачи на регистрацию],"&gt;="&amp;DATE(YEAR($A$1),MONTH($A$1),1))</f>
        <v>0</v>
      </c>
      <c r="M138" s="228">
        <f>COUNTIFS(РД[Тип кв],M$132,РД[МОП],$A138,РД[Дом],$C$131,РД[Дата подачи на регистрацию],"&lt;="&amp;$A$1,РД[Дата подачи на регистрацию],"&gt;="&amp;DATE(YEAR($A$1),MONTH($A$1),1))</f>
        <v>0</v>
      </c>
      <c r="N138" s="228">
        <f>COUNTIFS(РД[Тип кв],N$132,РД[МОП],$A138,РД[Дом],$C$131,РД[Дата подачи на регистрацию],"&lt;="&amp;$A$1,РД[Дата подачи на регистрацию],"&gt;="&amp;DATE(YEAR($A$1),MONTH($A$1),1))</f>
        <v>0</v>
      </c>
      <c r="O138" s="228">
        <f>COUNTIFS(РД[Тип кв],O$132,РД[МОП],$A138,РД[Дом],$C$131,РД[Дата подачи на регистрацию],"&lt;="&amp;$A$1,РД[Дата подачи на регистрацию],"&gt;="&amp;DATE(YEAR($A$1),MONTH($A$1),1))</f>
        <v>0</v>
      </c>
      <c r="P138" s="231">
        <f>COUNTIFS(РД[Тип кв],P$132,РД[МОП],$A138,РД[Дом],$C$131,РД[Дата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61" t="s">
        <v>1919</v>
      </c>
      <c r="B139" s="278"/>
      <c r="C139" s="279"/>
      <c r="D139" s="406">
        <f>SUMIFS(sept2021222337383940[м2],sept2021222337383940[МОП],$A139,sept2021222337383940[№ дома],$C$131,sept2021222337383940[Комнатность],"&lt;&gt;Офис")</f>
        <v>494.15000000000003</v>
      </c>
      <c r="E139" s="281">
        <f>SUMIFS(sept2021222337383940[Сумма без отделки],sept2021222337383940[МОП],$A139,sept2021222337383940[№ дома],$C$131,sept2021222337383940[Комнатность],"&lt;&gt;Офис")</f>
        <v>54258591</v>
      </c>
      <c r="F139" s="407">
        <f>COUNTIFS(sept2021222337383940[МОП],$A139,sept2021222337383940[№ дома],$C$131,sept2021222337383940[Комнатность],"&lt;&gt;Офис")</f>
        <v>12</v>
      </c>
      <c r="G139" s="166">
        <f>SUMIFS(РД[S],РД[Дом],$C$131,РД[МОП],A139,РД[Дата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H139" s="167">
        <f>SUMIFS(РД[Стоимость без отделки итог],РД[Дом],$C$131,РД[МОП],A139,РД[Дата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I139" s="232">
        <f>COUNTIFS(РД[Дом],$C$131,РД[МОП],A139,РД[Дата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J139" s="233">
        <f t="shared" si="9"/>
        <v>0</v>
      </c>
      <c r="K139" s="234">
        <f t="shared" si="9"/>
        <v>0</v>
      </c>
      <c r="L139" s="406">
        <f>COUNTIFS(РД[Тип кв],L$132,РД[МОП],$A139,РД[Дом],$C$131,РД[Дата подачи на регистрацию],"&lt;="&amp;$A$1,РД[Дата подачи на регистрацию],"&gt;="&amp;DATE(YEAR($A$1),MONTH($A$1),1))</f>
        <v>0</v>
      </c>
      <c r="M139" s="232">
        <f>COUNTIFS(РД[Тип кв],M$132,РД[МОП],$A139,РД[Дом],$C$131,РД[Дата подачи на регистрацию],"&lt;="&amp;$A$1,РД[Дата подачи на регистрацию],"&gt;="&amp;DATE(YEAR($A$1),MONTH($A$1),1))</f>
        <v>0</v>
      </c>
      <c r="N139" s="232">
        <f>COUNTIFS(РД[Тип кв],N$132,РД[МОП],$A139,РД[Дом],$C$131,РД[Дата подачи на регистрацию],"&lt;="&amp;$A$1,РД[Дата подачи на регистрацию],"&gt;="&amp;DATE(YEAR($A$1),MONTH($A$1),1))</f>
        <v>0</v>
      </c>
      <c r="O139" s="232">
        <f>COUNTIFS(РД[Тип кв],O$132,РД[МОП],$A139,РД[Дом],$C$131,РД[Дата подачи на регистрацию],"&lt;="&amp;$A$1,РД[Дата подачи на регистрацию],"&gt;="&amp;DATE(YEAR($A$1),MONTH($A$1),1))</f>
        <v>0</v>
      </c>
      <c r="P139" s="337">
        <f>COUNTIFS(РД[Тип кв],P$132,РД[МОП],$A139,РД[Дом],$C$131,РД[Дата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68" t="s">
        <v>114</v>
      </c>
      <c r="B140" s="172">
        <f t="shared" ref="B140:I140" si="10">SUM(B133:B139)</f>
        <v>1091</v>
      </c>
      <c r="C140" s="480">
        <f t="shared" si="10"/>
        <v>109356074</v>
      </c>
      <c r="D140" s="173">
        <f t="shared" si="10"/>
        <v>1261.4100000000001</v>
      </c>
      <c r="E140" s="173">
        <f t="shared" si="10"/>
        <v>131488656</v>
      </c>
      <c r="F140" s="171">
        <f t="shared" si="10"/>
        <v>27</v>
      </c>
      <c r="G140" s="172">
        <f t="shared" si="10"/>
        <v>1203.17</v>
      </c>
      <c r="H140" s="173">
        <f t="shared" si="10"/>
        <v>125033665</v>
      </c>
      <c r="I140" s="170">
        <f t="shared" si="10"/>
        <v>26</v>
      </c>
      <c r="J140" s="238">
        <f>IFERROR(G140/B140,"")</f>
        <v>1.1028139321723189</v>
      </c>
      <c r="K140" s="501">
        <f>IFERROR(H140/C140,"")</f>
        <v>1.1433627820252581</v>
      </c>
      <c r="L140" s="171">
        <f>SUM(L133:L139)</f>
        <v>6</v>
      </c>
      <c r="M140" s="171">
        <f>SUM(M133:M139)</f>
        <v>10</v>
      </c>
      <c r="N140" s="171">
        <f>SUM(N133:N139)</f>
        <v>7</v>
      </c>
      <c r="O140" s="171">
        <f>SUM(O133:O139)</f>
        <v>3</v>
      </c>
      <c r="P140" s="171">
        <f>SUM(P133:P139)</f>
        <v>0</v>
      </c>
      <c r="T140" s="66"/>
    </row>
    <row r="141" spans="1:21" s="65" customFormat="1" ht="22.5" customHeight="1">
      <c r="A141" s="135" t="s">
        <v>115</v>
      </c>
      <c r="B141" s="135" t="s">
        <v>100</v>
      </c>
      <c r="C141" s="136" t="s">
        <v>97</v>
      </c>
      <c r="D141" s="295" t="s">
        <v>494</v>
      </c>
      <c r="E141" s="138" t="s">
        <v>495</v>
      </c>
      <c r="F141" s="470" t="s">
        <v>496</v>
      </c>
      <c r="G141" s="481" t="s">
        <v>101</v>
      </c>
      <c r="H141" s="482" t="s">
        <v>98</v>
      </c>
      <c r="I141" s="482" t="s">
        <v>96</v>
      </c>
      <c r="J141" s="502" t="s">
        <v>715</v>
      </c>
      <c r="K141" s="503" t="s">
        <v>716</v>
      </c>
      <c r="L141" s="504">
        <v>0</v>
      </c>
      <c r="M141" s="505">
        <v>1</v>
      </c>
      <c r="N141" s="505">
        <v>2</v>
      </c>
      <c r="O141" s="505">
        <v>3</v>
      </c>
      <c r="P141" s="506" t="s">
        <v>1367</v>
      </c>
      <c r="T141" s="66"/>
    </row>
    <row r="142" spans="1:21" s="65" customFormat="1">
      <c r="A142" s="177" t="s">
        <v>22</v>
      </c>
      <c r="B142" s="267">
        <f>IFERROR(VLOOKUP(A142,'ИПП 2кв24'!$B$23:$J$34,6,0),"")</f>
        <v>375.10786516853932</v>
      </c>
      <c r="C142" s="146">
        <f>IFERROR(VLOOKUP(A142,'ИПП 2кв24'!$B$23:$J$34,7,0),"")</f>
        <v>37598829.937078647</v>
      </c>
      <c r="D142" s="145">
        <f>SUMIFS(sept2021222337383940[м2],sept2021222337383940[ИМ],A142,sept2021222337383940[№ дома],$C$131,sept2021222337383940[Комнатность],"&lt;&gt;Офис")</f>
        <v>403.16000000000008</v>
      </c>
      <c r="E142" s="149">
        <f>SUMIFS(sept2021222337383940[Сумма без отделки],sept2021222337383940[ИМ],$A142,sept2021222337383940[№ дома],$C$131,sept2021222337383940[Комнатность],"&lt;&gt;Офис")</f>
        <v>42714000</v>
      </c>
      <c r="F142" s="147">
        <f>COUNTIFS(sept2021222337383940[ИМ],$A142,sept2021222337383940[№ дома],$C$131,sept2021222337383940[Комнатность],"&lt;&gt;Офис")</f>
        <v>9</v>
      </c>
      <c r="G142" s="183">
        <f>SUMIFS(РД[S],РД[Дом],$C$131,РД[ИМ],A142,РД[Дата подачи на регистрацию],"&lt;="&amp;$A$1,РД[Дата подачи на регистрацию],"&gt;="&amp;DATE(YEAR($A$1),MONTH($A$1),1),РД[Состояние],"Продажа")</f>
        <v>403.16000000000008</v>
      </c>
      <c r="H142" s="184">
        <f>SUMIFS(РД[Стоимость без отделки итог],РД[Дом],$C$131,РД[ИМ],A142,РД[Дата подачи на регистрацию],"&lt;="&amp;$A$1,РД[Дата подачи на регистрацию],"&gt;="&amp;DATE(YEAR($A$1),MONTH($A$1),1),РД[Состояние],"Продажа")</f>
        <v>42714000</v>
      </c>
      <c r="I142" s="243">
        <f>COUNTIFS(РД[Дом],$C$131,РД[ИМ],A142,РД[Дата подачи на регистрацию],"&lt;="&amp;$A$1,РД[Дата подачи на регистрацию],"&gt;="&amp;DATE(YEAR($A$1),MONTH($A$1),1),РД[Состояние],"Продажа")</f>
        <v>9</v>
      </c>
      <c r="J142" s="244">
        <f>IFERROR(G142/B142,"")</f>
        <v>1.0747841819281947</v>
      </c>
      <c r="K142" s="245">
        <f>IFERROR(H142/C142,"")</f>
        <v>1.136045990566237</v>
      </c>
      <c r="L142" s="183">
        <f>COUNTIFS(РД[Тип кв],L132,РД[ИМ],$A142,РД[Дом],$C$131,РД[Дата подачи на регистрацию],"&lt;="&amp;$A$1,РД[Дата подачи на регистрацию],"&gt;="&amp;DATE(YEAR($A$1),MONTH($A$1),1))</f>
        <v>2</v>
      </c>
      <c r="M142" s="243">
        <f>COUNTIFS(РД[Тип кв],M132,РД[ИМ],$A142,РД[Дом],$C$131,РД[Дата подачи на регистрацию],"&lt;="&amp;$A$1,РД[Дата подачи на регистрацию],"&gt;="&amp;DATE(YEAR($A$1),MONTH($A$1),1))</f>
        <v>4</v>
      </c>
      <c r="N142" s="243">
        <f>COUNTIFS(РД[Тип кв],N132,РД[ИМ],$A142,РД[Дом],$C$131,РД[Дата подачи на регистрацию],"&lt;="&amp;$A$1,РД[Дата подачи на регистрацию],"&gt;="&amp;DATE(YEAR($A$1),MONTH($A$1),1))</f>
        <v>2</v>
      </c>
      <c r="O142" s="243">
        <f>COUNTIFS(РД[Тип кв],O132,РД[ИМ],$A142,РД[Дом],$C$131,РД[Дата подачи на регистрацию],"&lt;="&amp;$A$1,РД[Дата подачи на регистрацию],"&gt;="&amp;DATE(YEAR($A$1),MONTH($A$1),1))</f>
        <v>1</v>
      </c>
      <c r="P142" s="246">
        <f>COUNTIFS(РД[Тип кв],P132,РД[ИМ],$A142,РД[Дом],$C$131,РД[Дата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89" t="s">
        <v>16</v>
      </c>
      <c r="B143" s="267">
        <f>IFERROR(VLOOKUP(A143,'ИПП 2кв24'!$B$23:$J$34,6,0),"")</f>
        <v>552.2421348314607</v>
      </c>
      <c r="C143" s="146">
        <f>IFERROR(VLOOKUP(A143,'ИПП 2кв24'!$B$23:$J$34,7,0),"")</f>
        <v>55353832.962921344</v>
      </c>
      <c r="D143" s="329">
        <f>SUMIFS(sept2021222337383940[м2],sept2021222337383940[ИМ],A143,sept2021222337383940[№ дома],$C$131,sept2021222337383940[Комнатность],"&lt;&gt;Офис")</f>
        <v>800.0100000000001</v>
      </c>
      <c r="E143" s="359">
        <f>SUMIFS(sept2021222337383940[Сумма без отделки],sept2021222337383940[ИМ],$A143,sept2021222337383940[№ дома],$C$131,sept2021222337383940[Комнатность],"&lt;&gt;Офис")</f>
        <v>82996560</v>
      </c>
      <c r="F143" s="414">
        <f>COUNTIFS(sept2021222337383940[ИМ],$A143,sept2021222337383940[№ дома],$C$131,sept2021222337383940[Комнатность],"&lt;&gt;Офис")</f>
        <v>17</v>
      </c>
      <c r="G143" s="358">
        <f>SUMIFS(РД[S],РД[Дом],$C$131,РД[ИМ],A143,РД[Дата подачи на регистрацию],"&lt;="&amp;$A$1,РД[Дата подачи на регистрацию],"&gt;="&amp;DATE(YEAR($A$1),MONTH($A$1),1),РД[Состояние],"Продажа")</f>
        <v>800.0100000000001</v>
      </c>
      <c r="H143" s="359">
        <f>SUMIFS(РД[Стоимость без отделки итог],РД[Дом],$C$131,РД[ИМ],A143,РД[Дата подачи на регистрацию],"&lt;="&amp;$A$1,РД[Дата подачи на регистрацию],"&gt;="&amp;DATE(YEAR($A$1),MONTH($A$1),1),РД[Состояние],"Продажа")</f>
        <v>82319665</v>
      </c>
      <c r="I143" s="330">
        <f>COUNTIFS(РД[Дом],$C$131,РД[ИМ],A143,РД[Дата подачи на регистрацию],"&lt;="&amp;$A$1,РД[Дата подачи на регистрацию],"&gt;="&amp;DATE(YEAR($A$1),MONTH($A$1),1),РД[Состояние],"Продажа")</f>
        <v>17</v>
      </c>
      <c r="J143" s="360">
        <f>IFERROR(G143/B143,"")</f>
        <v>1.4486580243359299</v>
      </c>
      <c r="K143" s="367">
        <f>IFERROR(H143/C143,"")</f>
        <v>1.487153835492145</v>
      </c>
      <c r="L143" s="195">
        <f>COUNTIFS(РД[Тип кв],L$132,РД[ИМ],$A143,РД[Дом],$C$131,РД[Дата подачи на регистрацию],"&lt;="&amp;$A$1,РД[Дата подачи на регистрацию],"&gt;="&amp;DATE(YEAR($A$1),MONTH($A$1),1))</f>
        <v>4</v>
      </c>
      <c r="M143" s="251">
        <f>COUNTIFS(РД[Тип кв],M$132,РД[ИМ],$A143,РД[Дом],$C$131,РД[Дата подачи на регистрацию],"&lt;="&amp;$A$1,РД[Дата подачи на регистрацию],"&gt;="&amp;DATE(YEAR($A$1),MONTH($A$1),1))</f>
        <v>6</v>
      </c>
      <c r="N143" s="251">
        <f>COUNTIFS(РД[Тип кв],N$132,РД[ИМ],$A143,РД[Дом],$C$131,РД[Дата подачи на регистрацию],"&lt;="&amp;$A$1,РД[Дата подачи на регистрацию],"&gt;="&amp;DATE(YEAR($A$1),MONTH($A$1),1))</f>
        <v>5</v>
      </c>
      <c r="O143" s="251">
        <f>COUNTIFS(РД[Тип кв],O$132,РД[ИМ],$A143,РД[Дом],$C$131,РД[Дата подачи на регистрацию],"&lt;="&amp;$A$1,РД[Дата подачи на регистрацию],"&gt;="&amp;DATE(YEAR($A$1),MONTH($A$1),1))</f>
        <v>2</v>
      </c>
      <c r="P143" s="254">
        <f>COUNTIFS(РД[Тип кв],P$132,РД[ИМ],$A143,РД[Дом],$C$131,РД[Дата подачи на регистрацию],"&lt;="&amp;$A$1,РД[Дата подачи на регистрацию],"&gt;="&amp;DATE(YEAR($A$1),MONTH($A$1),1))</f>
        <v>0</v>
      </c>
      <c r="Q143" s="86"/>
      <c r="R143" s="86"/>
      <c r="S143" s="86"/>
      <c r="T143" s="66"/>
    </row>
    <row r="144" spans="1:21" s="65" customFormat="1">
      <c r="A144" s="317" t="s">
        <v>114</v>
      </c>
      <c r="B144" s="410">
        <f t="shared" ref="B144:I144" si="11">SUM(B142:B143)</f>
        <v>927.35</v>
      </c>
      <c r="C144" s="483">
        <f t="shared" si="11"/>
        <v>92952662.899999991</v>
      </c>
      <c r="D144" s="484">
        <f t="shared" si="11"/>
        <v>1203.17</v>
      </c>
      <c r="E144" s="429">
        <f t="shared" si="11"/>
        <v>125710560</v>
      </c>
      <c r="F144" s="485">
        <f t="shared" si="11"/>
        <v>26</v>
      </c>
      <c r="G144" s="473">
        <f t="shared" si="11"/>
        <v>1203.17</v>
      </c>
      <c r="H144" s="429">
        <f t="shared" si="11"/>
        <v>125033665</v>
      </c>
      <c r="I144" s="494">
        <f t="shared" si="11"/>
        <v>26</v>
      </c>
      <c r="J144" s="419">
        <f>IFERROR(G144/B144,)</f>
        <v>1.2974281554968459</v>
      </c>
      <c r="K144" s="507">
        <f>IFERROR(H144/C144,)</f>
        <v>1.345132684735598</v>
      </c>
      <c r="L144" s="317">
        <f t="shared" ref="L144:P144" si="12">SUM(L142:L143)</f>
        <v>6</v>
      </c>
      <c r="M144" s="485">
        <f t="shared" si="12"/>
        <v>10</v>
      </c>
      <c r="N144" s="485">
        <f t="shared" si="12"/>
        <v>7</v>
      </c>
      <c r="O144" s="485">
        <f t="shared" si="12"/>
        <v>3</v>
      </c>
      <c r="P144" s="497">
        <f t="shared" si="12"/>
        <v>0</v>
      </c>
      <c r="Q144" s="86"/>
      <c r="R144" s="86"/>
      <c r="S144" s="86"/>
      <c r="T144" s="66"/>
    </row>
    <row r="145" spans="1:21" s="65" customFormat="1">
      <c r="A145" s="134"/>
      <c r="B145" s="211"/>
      <c r="C145" s="211"/>
      <c r="D145" s="212"/>
      <c r="E145" s="134"/>
      <c r="F145" s="134"/>
      <c r="G145" s="134"/>
      <c r="H145" s="134"/>
      <c r="I145" s="134"/>
      <c r="J145" s="134"/>
      <c r="K145" s="134"/>
      <c r="L145" s="261"/>
      <c r="M145" s="134"/>
      <c r="N145" s="134"/>
      <c r="O145" s="134"/>
      <c r="P145" s="262"/>
      <c r="Q145" s="134"/>
      <c r="U145" s="66"/>
    </row>
    <row r="146" spans="1:21" s="65" customFormat="1">
      <c r="A146" s="2327" t="s">
        <v>713</v>
      </c>
      <c r="B146" s="2328"/>
      <c r="C146" s="474" t="s">
        <v>718</v>
      </c>
      <c r="D146" s="476"/>
      <c r="E146" s="476"/>
      <c r="F146" s="476"/>
      <c r="G146" s="476"/>
      <c r="H146" s="476"/>
      <c r="I146" s="476"/>
      <c r="J146" s="476"/>
      <c r="K146" s="476"/>
      <c r="L146" s="476"/>
      <c r="M146" s="476"/>
      <c r="N146" s="476"/>
      <c r="O146" s="476"/>
      <c r="P146" s="134"/>
      <c r="T146" s="66"/>
    </row>
    <row r="147" spans="1:21" s="65" customFormat="1" ht="22.5" customHeight="1">
      <c r="A147" s="135" t="s">
        <v>1</v>
      </c>
      <c r="B147" s="135" t="s">
        <v>100</v>
      </c>
      <c r="C147" s="136" t="s">
        <v>97</v>
      </c>
      <c r="D147" s="486" t="s">
        <v>494</v>
      </c>
      <c r="E147" s="487" t="s">
        <v>495</v>
      </c>
      <c r="F147" s="488" t="s">
        <v>496</v>
      </c>
      <c r="G147" s="489" t="s">
        <v>101</v>
      </c>
      <c r="H147" s="490" t="s">
        <v>98</v>
      </c>
      <c r="I147" s="490" t="s">
        <v>96</v>
      </c>
      <c r="J147" s="490" t="s">
        <v>715</v>
      </c>
      <c r="K147" s="508" t="s">
        <v>716</v>
      </c>
      <c r="L147" s="217">
        <v>0</v>
      </c>
      <c r="M147" s="218">
        <v>1</v>
      </c>
      <c r="N147" s="218">
        <v>2</v>
      </c>
      <c r="O147" s="218">
        <v>3</v>
      </c>
      <c r="P147" s="219" t="s">
        <v>1367</v>
      </c>
      <c r="T147" s="66"/>
    </row>
    <row r="148" spans="1:21" s="65" customFormat="1">
      <c r="A148" s="142" t="s">
        <v>1892</v>
      </c>
      <c r="B148" s="267">
        <f>IFERROR(VLOOKUP(A148,'ИПП 2кв24'!$B$23:$J$34,8,0),"")</f>
        <v>342</v>
      </c>
      <c r="C148" s="146">
        <f>IFERROR(VLOOKUP(A148,'ИПП 2кв24'!$B$23:$J$34,9,0),"")</f>
        <v>34569880</v>
      </c>
      <c r="D148" s="257">
        <f>SUMIFS(sept2021222337383940[м2],sept2021222337383940[МОП],$A148,sept2021222337383940[Комнатность],"&lt;&gt;Офис")</f>
        <v>149.22999999999999</v>
      </c>
      <c r="E148" s="52">
        <f>SUMIFS(sept2021222337383940[Сумма без отделки],sept2021222337383940[МОП],$A148,sept2021222337383940[Комнатность],"&lt;&gt;Офис")</f>
        <v>15964400</v>
      </c>
      <c r="F148" s="413">
        <f>COUNTIFS(sept2021222337383940[МОП],$A148,sept2021222337383940[Комнатность],"&lt;&gt;Офис")</f>
        <v>3</v>
      </c>
      <c r="G148" s="202">
        <f>SUMIFS(РД[S],РД[МОП],A148,РД[Дата подачи на регистрацию],"&lt;="&amp;$A$1,РД[Дата подачи на регистрацию],"&gt;="&amp;DATE(YEAR($A$1),MONTH($A$1),1),РД[Состояние],"Продажа")</f>
        <v>170.96</v>
      </c>
      <c r="H148" s="203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регистрацию],"&gt;="&amp;DATE(YEAR($A$1),MONTH($A$1),1),РД[Состояние],"Продажа")</f>
        <v>19019200</v>
      </c>
      <c r="I148" s="226">
        <f>COUNTIFS(РД[МОП],A148,РД[Дата подачи на регистрацию],"&lt;="&amp;$A$1,РД[Дата подачи на регистрацию],"&gt;="&amp;DATE(YEAR($A$1),MONTH($A$1),1),РД[Состояние],"Продажа")</f>
        <v>4</v>
      </c>
      <c r="J148" s="224">
        <f t="shared" ref="J148:K152" si="13">IFERROR(G148/B148,"")</f>
        <v>0.49988304093567254</v>
      </c>
      <c r="K148" s="225">
        <f t="shared" si="13"/>
        <v>0.55016679259517243</v>
      </c>
      <c r="L148" s="325">
        <f>L133+L119</f>
        <v>1</v>
      </c>
      <c r="M148" s="326">
        <f>M133+M119</f>
        <v>2</v>
      </c>
      <c r="N148" s="326">
        <f>N133+N119</f>
        <v>1</v>
      </c>
      <c r="O148" s="326">
        <f>O133+O119</f>
        <v>1</v>
      </c>
      <c r="P148" s="327">
        <f>P133+P119</f>
        <v>0</v>
      </c>
      <c r="T148" s="66"/>
    </row>
    <row r="149" spans="1:21" s="65" customFormat="1">
      <c r="A149" s="398" t="s">
        <v>8</v>
      </c>
      <c r="B149" s="267">
        <f>IFERROR(VLOOKUP(A149,'ИПП 2кв24'!$B$23:$J$34,8,0),"")</f>
        <v>342</v>
      </c>
      <c r="C149" s="146">
        <f>IFERROR(VLOOKUP(A149,'ИПП 2кв24'!$B$23:$J$34,9,0),"")</f>
        <v>34569880</v>
      </c>
      <c r="D149" s="257">
        <f>SUMIFS(sept2021222337383940[м2],sept2021222337383940[МОП],$A149,sept2021222337383940[Комнатность],"&lt;&gt;Офис")</f>
        <v>595.03</v>
      </c>
      <c r="E149" s="52">
        <f>SUMIFS(sept2021222337383940[Сумма без отделки],sept2021222337383940[МОП],$A149,sept2021222337383940[Комнатность],"&lt;&gt;Офис")</f>
        <v>55486331</v>
      </c>
      <c r="F149" s="413">
        <f>COUNTIFS(sept2021222337383940[МОП],$A149,sept2021222337383940[Комнатность],"&lt;&gt;Офис")</f>
        <v>9</v>
      </c>
      <c r="G149" s="202">
        <f>SUMIFS(РД[S],РД[МОП],A149,РД[Дата подачи на регистрацию],"&lt;="&amp;$A$1,РД[Дата подачи на регистрацию],"&gt;="&amp;DATE(YEAR($A$1),MONTH($A$1),1),РД[Состояние],"Продажа")</f>
        <v>676.12000000000012</v>
      </c>
      <c r="H149" s="203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66137231</v>
      </c>
      <c r="I149" s="226">
        <f>COUNTIFS(РД[МОП],A149,РД[Дата подачи на регистрацию],"&lt;="&amp;$A$1,РД[Дата подачи на регистрацию],"&gt;="&amp;DATE(YEAR($A$1),MONTH($A$1),1),РД[Состояние],"Продажа")</f>
        <v>12</v>
      </c>
      <c r="J149" s="224">
        <f t="shared" si="13"/>
        <v>1.9769590643274857</v>
      </c>
      <c r="K149" s="225">
        <f t="shared" si="13"/>
        <v>1.9131460971226975</v>
      </c>
      <c r="L149" s="325">
        <f t="shared" ref="L149:P150" si="14">L134+L118</f>
        <v>3</v>
      </c>
      <c r="M149" s="326">
        <f t="shared" si="14"/>
        <v>1</v>
      </c>
      <c r="N149" s="326">
        <f t="shared" si="14"/>
        <v>4</v>
      </c>
      <c r="O149" s="326">
        <f t="shared" si="14"/>
        <v>3</v>
      </c>
      <c r="P149" s="327">
        <f t="shared" si="14"/>
        <v>0</v>
      </c>
      <c r="T149" s="66"/>
    </row>
    <row r="150" spans="1:21" s="65" customFormat="1">
      <c r="A150" s="153" t="s">
        <v>77</v>
      </c>
      <c r="B150" s="267">
        <f>IFERROR(VLOOKUP(A150,'ИПП 2кв24'!$B$23:$J$34,8,0),"")</f>
        <v>348</v>
      </c>
      <c r="C150" s="146">
        <f>IFERROR(VLOOKUP(A150,'ИПП 2кв24'!$B$23:$J$34,9,0),"")</f>
        <v>35210063</v>
      </c>
      <c r="D150" s="257">
        <f>SUMIFS(sept2021222337383940[м2],sept2021222337383940[МОП],$A150,sept2021222337383940[Комнатность],"&lt;&gt;Офис")</f>
        <v>124.72999999999999</v>
      </c>
      <c r="E150" s="52">
        <f>SUMIFS(sept2021222337383940[Сумма без отделки],sept2021222337383940[МОП],$A150,sept2021222337383940[Комнатность],"&lt;&gt;Офис")</f>
        <v>14345000</v>
      </c>
      <c r="F150" s="413">
        <f>COUNTIFS(sept2021222337383940[МОП],$A150,sept2021222337383940[Комнатность],"&lt;&gt;Офис")</f>
        <v>3</v>
      </c>
      <c r="G150" s="202">
        <f>SUMIFS(РД[S],РД[МОП],A150,РД[Дата подачи на регистрацию],"&lt;="&amp;$A$1,РД[Дата подачи на регистрацию],"&gt;="&amp;DATE(YEAR($A$1),MONTH($A$1),1),РД[Состояние],"Продажа")</f>
        <v>265.64999999999998</v>
      </c>
      <c r="H150" s="203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28463693</v>
      </c>
      <c r="I150" s="226">
        <f>COUNTIFS(РД[МОП],A150,РД[Дата подачи на регистрацию],"&lt;="&amp;$A$1,РД[Дата подачи на регистрацию],"&gt;="&amp;DATE(YEAR($A$1),MONTH($A$1),1),РД[Состояние],"Продажа")</f>
        <v>6</v>
      </c>
      <c r="J150" s="224">
        <f t="shared" ref="J150" si="15">IFERROR(G150/B150,"")</f>
        <v>0.76336206896551717</v>
      </c>
      <c r="K150" s="225">
        <f t="shared" ref="K150" si="16">IFERROR(H150/C150,"")</f>
        <v>0.80839653709225112</v>
      </c>
      <c r="L150" s="325">
        <f t="shared" si="14"/>
        <v>2</v>
      </c>
      <c r="M150" s="326">
        <f t="shared" si="14"/>
        <v>3</v>
      </c>
      <c r="N150" s="326">
        <f t="shared" si="14"/>
        <v>2</v>
      </c>
      <c r="O150" s="326">
        <f t="shared" si="14"/>
        <v>1</v>
      </c>
      <c r="P150" s="327">
        <f t="shared" si="14"/>
        <v>0</v>
      </c>
      <c r="T150" s="66"/>
    </row>
    <row r="151" spans="1:21" s="65" customFormat="1">
      <c r="A151" s="153" t="s">
        <v>20</v>
      </c>
      <c r="B151" s="267">
        <f>IFERROR(VLOOKUP(A151,'ИПП 2кв24'!$B$23:$J$34,8,0),"")</f>
        <v>360</v>
      </c>
      <c r="C151" s="146">
        <f>IFERROR(VLOOKUP(A151,'ИПП 2кв24'!$B$23:$J$34,9,0),"")</f>
        <v>36490429</v>
      </c>
      <c r="D151" s="257">
        <f>SUMIFS(sept2021222337383940[м2],sept2021222337383940[МОП],$A151,sept2021222337383940[Комнатность],"&lt;&gt;Офис")</f>
        <v>397.56</v>
      </c>
      <c r="E151" s="52">
        <f>SUMIFS(sept2021222337383940[Сумма без отделки],sept2021222337383940[МОП],$A151,sept2021222337383940[Комнатность],"&lt;&gt;Офис")</f>
        <v>41135522</v>
      </c>
      <c r="F151" s="413">
        <f>COUNTIFS(sept2021222337383940[МОП],$A151,sept2021222337383940[Комнатность],"&lt;&gt;Офис")</f>
        <v>8</v>
      </c>
      <c r="G151" s="202">
        <f>SUMIFS(РД[S],РД[МОП],A151,РД[Дата подачи на регистрацию],"&lt;="&amp;$A$1,РД[Дата подачи на регистрацию],"&gt;="&amp;DATE(YEAR($A$1),MONTH($A$1),1),РД[Состояние],"Продажа")</f>
        <v>622.95000000000005</v>
      </c>
      <c r="H151" s="203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65430422</v>
      </c>
      <c r="I151" s="226">
        <f>COUNTIFS(РД[МОП],A151,РД[Дата подачи на регистрацию],"&lt;="&amp;$A$1,РД[Дата подачи на регистрацию],"&gt;="&amp;DATE(YEAR($A$1),MONTH($A$1),1),РД[Состояние],"Продажа")</f>
        <v>13</v>
      </c>
      <c r="J151" s="224">
        <f t="shared" si="13"/>
        <v>1.7304166666666667</v>
      </c>
      <c r="K151" s="225">
        <f t="shared" si="13"/>
        <v>1.7930844825090986</v>
      </c>
      <c r="L151" s="325">
        <f>L137+L122</f>
        <v>1</v>
      </c>
      <c r="M151" s="326">
        <f>M137+M122</f>
        <v>1</v>
      </c>
      <c r="N151" s="326">
        <f>N137+N122</f>
        <v>1</v>
      </c>
      <c r="O151" s="326">
        <f>O137+O122</f>
        <v>0</v>
      </c>
      <c r="P151" s="327">
        <f>P137+P122</f>
        <v>0</v>
      </c>
      <c r="T151" s="66"/>
    </row>
    <row r="152" spans="1:21" s="65" customFormat="1">
      <c r="A152" s="153" t="s">
        <v>14</v>
      </c>
      <c r="B152" s="267">
        <f>IFERROR(VLOOKUP(A152,'ИПП 2кв24'!$B$23:$J$34,8,0),"")</f>
        <v>266</v>
      </c>
      <c r="C152" s="146">
        <f>IFERROR(VLOOKUP(A152,'ИПП 2кв24'!$B$23:$J$34,9,0),"")</f>
        <v>26887685</v>
      </c>
      <c r="D152" s="329">
        <f>SUMIFS(sept2021222337383940[м2],sept2021222337383940[МОП],$A152,sept2021222337383940[Комнатность],"&lt;&gt;Офис")</f>
        <v>56.58</v>
      </c>
      <c r="E152" s="363">
        <f>SUMIFS(sept2021222337383940[Сумма без отделки],sept2021222337383940[МОП],$A152,sept2021222337383940[Комнатность],"&lt;&gt;Офис")</f>
        <v>5392700</v>
      </c>
      <c r="F152" s="414">
        <f>COUNTIFS(sept2021222337383940[МОП],$A152,sept2021222337383940[Комнатность],"&lt;&gt;Офис")</f>
        <v>1</v>
      </c>
      <c r="G152" s="358">
        <f>SUMIFS(РД[S],РД[МОП],A152,РД[Дата подачи на регистрацию],"&lt;="&amp;$A$1,РД[Дата подачи на регистрацию],"&gt;="&amp;DATE(YEAR($A$1),MONTH($A$1),1),РД[Состояние],"Продажа")</f>
        <v>123.71000000000001</v>
      </c>
      <c r="H152" s="359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регистрацию],"&gt;="&amp;DATE(YEAR($A$1),MONTH($A$1),1),РД[Состояние],"Продажа")</f>
        <v>13229500</v>
      </c>
      <c r="I152" s="330">
        <f>COUNTIFS(РД[МОП],A152,РД[Дата подачи на регистрацию],"&lt;="&amp;$A$1,РД[Дата подачи на регистрацию],"&gt;="&amp;DATE(YEAR($A$1),MONTH($A$1),1),РД[Состояние],"Продажа")</f>
        <v>3</v>
      </c>
      <c r="J152" s="360">
        <f t="shared" si="13"/>
        <v>0.46507518796992486</v>
      </c>
      <c r="K152" s="361">
        <f t="shared" si="13"/>
        <v>0.4920282277927609</v>
      </c>
      <c r="L152" s="364">
        <f t="shared" ref="L152:P154" si="17">L137+L122</f>
        <v>1</v>
      </c>
      <c r="M152" s="365">
        <f t="shared" si="17"/>
        <v>1</v>
      </c>
      <c r="N152" s="365">
        <f t="shared" si="17"/>
        <v>1</v>
      </c>
      <c r="O152" s="365">
        <f t="shared" si="17"/>
        <v>0</v>
      </c>
      <c r="P152" s="366">
        <f t="shared" si="17"/>
        <v>0</v>
      </c>
      <c r="Q152" s="86"/>
      <c r="R152" s="86"/>
      <c r="S152" s="86"/>
      <c r="T152" s="66"/>
    </row>
    <row r="153" spans="1:21" s="65" customFormat="1">
      <c r="A153" s="154" t="s">
        <v>29</v>
      </c>
      <c r="B153" s="274"/>
      <c r="C153" s="275"/>
      <c r="D153" s="341">
        <f>SUMIFS(sept2021222337383940[м2],sept2021222337383940[МОП],$A153,sept2021222337383940[Комнатность],"&lt;&gt;Офис")</f>
        <v>0</v>
      </c>
      <c r="E153" s="277">
        <f>SUMIFS(sept2021222337383940[Сумма без отделки],sept2021222337383940[МОП],$A153,sept2021222337383940[Комнатность],"&lt;&gt;Офис")</f>
        <v>0</v>
      </c>
      <c r="F153" s="405">
        <f>COUNTIFS(sept2021222337383940[МОП],$A153,sept2021222337383940[Комнатность],"&lt;&gt;Офис")</f>
        <v>0</v>
      </c>
      <c r="G153" s="159">
        <f>SUMIFS(РД[S],РД[МОП],A153,РД[Дата подачи на регистрацию],"&lt;="&amp;$A$1,РД[Дата подачи на регистрацию],"&gt;="&amp;DATE(YEAR($A$1),MONTH($A$1),1),РД[Состояние],"Продажа")</f>
        <v>0</v>
      </c>
      <c r="H153" s="160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0</v>
      </c>
      <c r="I153" s="228">
        <f>COUNTIFS(РД[МОП],A153,РД[Дата подачи на регистрацию],"&lt;="&amp;$A$1,РД[Дата подачи на регистрацию],"&gt;="&amp;DATE(YEAR($A$1),MONTH($A$1),1),РД[Состояние],"Продажа")</f>
        <v>0</v>
      </c>
      <c r="J153" s="229" t="str">
        <f t="shared" ref="J153:K154" si="18">IFERROR(G153/B153,"")</f>
        <v/>
      </c>
      <c r="K153" s="230" t="str">
        <f t="shared" si="18"/>
        <v/>
      </c>
      <c r="L153" s="159">
        <f t="shared" si="17"/>
        <v>0</v>
      </c>
      <c r="M153" s="228">
        <f t="shared" si="17"/>
        <v>0</v>
      </c>
      <c r="N153" s="228">
        <f t="shared" si="17"/>
        <v>0</v>
      </c>
      <c r="O153" s="228">
        <f t="shared" si="17"/>
        <v>0</v>
      </c>
      <c r="P153" s="231">
        <f t="shared" si="17"/>
        <v>0</v>
      </c>
      <c r="T153" s="66"/>
    </row>
    <row r="154" spans="1:21" s="65" customFormat="1">
      <c r="A154" s="161" t="s">
        <v>1919</v>
      </c>
      <c r="B154" s="278"/>
      <c r="C154" s="279"/>
      <c r="D154" s="406">
        <f>SUMIFS(sept2021222337383940[м2],sept2021222337383940[МОП],$A154,sept2021222337383940[Комнатность],"&lt;&gt;Офис")</f>
        <v>537.63000000000011</v>
      </c>
      <c r="E154" s="281">
        <f>SUMIFS(sept2021222337383940[Сумма без отделки],sept2021222337383940[МОП],$A154,sept2021222337383940[Комнатность],"&lt;&gt;Офис")</f>
        <v>60414451</v>
      </c>
      <c r="F154" s="407">
        <f>COUNTIFS(sept2021222337383940[МОП],$A154,sept2021222337383940[Комнатность],"&lt;&gt;Офис")</f>
        <v>14</v>
      </c>
      <c r="G154" s="166">
        <f>SUMIFS(РД[S],РД[МОП],A154,РД[Дата подачи на регистрацию],"&lt;="&amp;$A$1,РД[Дата подачи на регистрацию],"&gt;="&amp;DATE(YEAR($A$1),MONTH($A$1),1),РД[Состояние],"Продажа")</f>
        <v>0</v>
      </c>
      <c r="H154" s="167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0</v>
      </c>
      <c r="I154" s="232">
        <f>COUNTIFS(РД[МОП],A154,РД[Дата подачи на регистрацию],"&lt;="&amp;$A$1,РД[Дата подачи на регистрацию],"&gt;="&amp;DATE(YEAR($A$1),MONTH($A$1),1),РД[Состояние],"Продажа")</f>
        <v>0</v>
      </c>
      <c r="J154" s="233" t="str">
        <f t="shared" si="18"/>
        <v/>
      </c>
      <c r="K154" s="234" t="str">
        <f t="shared" si="18"/>
        <v/>
      </c>
      <c r="L154" s="509">
        <f t="shared" si="17"/>
        <v>0</v>
      </c>
      <c r="M154" s="510">
        <f t="shared" si="17"/>
        <v>0</v>
      </c>
      <c r="N154" s="510">
        <f t="shared" si="17"/>
        <v>0</v>
      </c>
      <c r="O154" s="510">
        <f t="shared" si="17"/>
        <v>0</v>
      </c>
      <c r="P154" s="511">
        <f t="shared" si="17"/>
        <v>0</v>
      </c>
      <c r="T154" s="66"/>
    </row>
    <row r="155" spans="1:21" s="65" customFormat="1">
      <c r="A155" s="168" t="s">
        <v>114</v>
      </c>
      <c r="B155" s="172">
        <f t="shared" ref="B155:I155" si="19">SUM(B148:B154)</f>
        <v>1658</v>
      </c>
      <c r="C155" s="491">
        <f t="shared" si="19"/>
        <v>167727937</v>
      </c>
      <c r="D155" s="173">
        <f t="shared" si="19"/>
        <v>1860.76</v>
      </c>
      <c r="E155" s="492">
        <f t="shared" si="19"/>
        <v>192738404</v>
      </c>
      <c r="F155" s="493">
        <f t="shared" si="19"/>
        <v>38</v>
      </c>
      <c r="G155" s="172">
        <f t="shared" si="19"/>
        <v>1859.39</v>
      </c>
      <c r="H155" s="492">
        <f t="shared" si="19"/>
        <v>192280046</v>
      </c>
      <c r="I155" s="493">
        <f t="shared" si="19"/>
        <v>38</v>
      </c>
      <c r="J155" s="238">
        <f>IFERROR(G155/B155,)</f>
        <v>1.1214656212303982</v>
      </c>
      <c r="K155" s="501">
        <f>IFERROR(H155/C155,)</f>
        <v>1.1463805579388959</v>
      </c>
      <c r="L155" s="471">
        <f>SUM(L148:L154)</f>
        <v>8</v>
      </c>
      <c r="M155" s="471">
        <f>SUM(M148:M154)</f>
        <v>8</v>
      </c>
      <c r="N155" s="471">
        <f>SUM(N148:N154)</f>
        <v>9</v>
      </c>
      <c r="O155" s="471">
        <f>SUM(O148:O154)</f>
        <v>5</v>
      </c>
      <c r="P155" s="471">
        <f>SUM(P148:P154)</f>
        <v>0</v>
      </c>
      <c r="T155" s="66"/>
    </row>
    <row r="156" spans="1:21" s="65" customFormat="1" ht="22.5" customHeight="1">
      <c r="A156" s="135" t="s">
        <v>115</v>
      </c>
      <c r="B156" s="135" t="s">
        <v>100</v>
      </c>
      <c r="C156" s="136" t="s">
        <v>97</v>
      </c>
      <c r="D156" s="295" t="s">
        <v>494</v>
      </c>
      <c r="E156" s="138" t="s">
        <v>495</v>
      </c>
      <c r="F156" s="470" t="s">
        <v>496</v>
      </c>
      <c r="G156" s="140" t="s">
        <v>101</v>
      </c>
      <c r="H156" s="141" t="s">
        <v>98</v>
      </c>
      <c r="I156" s="141" t="s">
        <v>96</v>
      </c>
      <c r="J156" s="141" t="s">
        <v>715</v>
      </c>
      <c r="K156" s="216" t="s">
        <v>716</v>
      </c>
      <c r="L156" s="512">
        <v>0</v>
      </c>
      <c r="M156" s="218">
        <v>1</v>
      </c>
      <c r="N156" s="218">
        <v>2</v>
      </c>
      <c r="O156" s="218">
        <v>3</v>
      </c>
      <c r="P156" s="219" t="s">
        <v>1367</v>
      </c>
      <c r="T156" s="66"/>
    </row>
    <row r="157" spans="1:21" s="65" customFormat="1">
      <c r="A157" s="177" t="s">
        <v>22</v>
      </c>
      <c r="B157" s="267">
        <f>IFERROR(VLOOKUP(A157,'ИПП 2кв24'!$B$23:$J$34,8,0),"")</f>
        <v>570.05393258426966</v>
      </c>
      <c r="C157" s="146">
        <f>IFERROR(VLOOKUP(A157,'ИПП 2кв24'!$B$23:$J$34,9,0),"")</f>
        <v>57668256.991011232</v>
      </c>
      <c r="D157" s="145">
        <f>SUMIFS(sept2021222337383940[м2],sept2021222337383940[ИМ],A157,sept2021222337383940[Комнатность],"&lt;&gt;Офис")</f>
        <v>645.42000000000007</v>
      </c>
      <c r="E157" s="149">
        <f>SUMIFS(sept2021222337383940[Сумма без отделки],sept2021222337383940[ИМ],$A157,sept2021222337383940[Комнатность],"&lt;&gt;Офис")</f>
        <v>66903506</v>
      </c>
      <c r="F157" s="147">
        <f>COUNTIFS(sept2021222337383940[ИМ],A157,sept2021222337383940[Комнатность],"&lt;&gt;Офис")</f>
        <v>13</v>
      </c>
      <c r="G157" s="183">
        <f>SUMIFS(РД[S],РД[ИМ],A157,РД[Дата подачи на регистрацию],"&lt;="&amp;$A$1,РД[Дата подачи на регистрацию],"&gt;="&amp;DATE(YEAR($A$1),MONTH($A$1),1),РД[Состояние],"Продажа")</f>
        <v>642.41999999999996</v>
      </c>
      <c r="H157" s="184">
        <f>SUMIFS(РД[Стоимость без отделки итог],РД[ИМ],A157,РД[Дата подачи на регистрацию],"&lt;="&amp;$A$1,РД[Дата подачи на регистрацию],"&gt;="&amp;DATE(YEAR($A$1),MONTH($A$1),1),РД[Состояние],"Продажа")</f>
        <v>66860046</v>
      </c>
      <c r="I157" s="243">
        <f>COUNTIFS(РД[ИМ],A157,РД[Дата подачи на регистрацию],"&lt;="&amp;$A$1,РД[Дата подачи на регистрацию],"&gt;="&amp;DATE(YEAR($A$1),MONTH($A$1),1),РД[Состояние],"Продажа")</f>
        <v>13</v>
      </c>
      <c r="J157" s="244">
        <f t="shared" ref="J157:K159" si="20">IFERROR(G157/B157,"")</f>
        <v>1.1269460015610586</v>
      </c>
      <c r="K157" s="258">
        <f t="shared" si="20"/>
        <v>1.1593907894670978</v>
      </c>
      <c r="L157" s="346">
        <f t="shared" ref="L157:P158" si="21">L142+L127</f>
        <v>3</v>
      </c>
      <c r="M157" s="243">
        <f t="shared" si="21"/>
        <v>4</v>
      </c>
      <c r="N157" s="243">
        <f t="shared" si="21"/>
        <v>2</v>
      </c>
      <c r="O157" s="243">
        <f t="shared" si="21"/>
        <v>4</v>
      </c>
      <c r="P157" s="246">
        <f t="shared" si="21"/>
        <v>0</v>
      </c>
      <c r="Q157" s="66"/>
      <c r="R157" s="66"/>
      <c r="S157" s="66"/>
      <c r="T157" s="66"/>
    </row>
    <row r="158" spans="1:21" s="65" customFormat="1">
      <c r="A158" s="189" t="s">
        <v>16</v>
      </c>
      <c r="B158" s="267">
        <f>IFERROR(VLOOKUP(A158,'ИПП 2кв24'!$B$23:$J$34,8,0),"")</f>
        <v>839.24606741573029</v>
      </c>
      <c r="C158" s="146">
        <f>IFERROR(VLOOKUP(A158,'ИПП 2кв24'!$B$23:$J$34,9,0),"")</f>
        <v>84900489.458988756</v>
      </c>
      <c r="D158" s="145">
        <f>SUMIFS(sept2021222337383940[м2],sept2021222337383940[ИМ],A158,sept2021222337383940[Комнатность],"&lt;&gt;Офис")</f>
        <v>1067.4200000000003</v>
      </c>
      <c r="E158" s="149">
        <f>SUMIFS(sept2021222337383940[Сумма без отделки],sept2021222337383940[ИМ],$A158,sept2021222337383940[Комнатность],"&lt;&gt;Офис")</f>
        <v>110806203</v>
      </c>
      <c r="F158" s="147">
        <f>COUNTIFS(sept2021222337383940[ИМ],$A158,sept2021222337383940[Комнатность],"&lt;&gt;Офис")</f>
        <v>22</v>
      </c>
      <c r="G158" s="195">
        <f>SUMIFS(РД[S],РД[ИМ],A158,РД[Дата подачи на регистрацию],"&lt;="&amp;$A$1,РД[Дата подачи на регистрацию],"&gt;="&amp;DATE(YEAR($A$1),MONTH($A$1),1),РД[Состояние],"Продажа")</f>
        <v>1067.4200000000003</v>
      </c>
      <c r="H158" s="196">
        <f>SUMIFS(РД[Стоимость без отделки итог],РД[ИМ],A158,РД[Дата подачи на регистрацию],"&lt;="&amp;$A$1,РД[Дата подачи на регистрацию],"&gt;="&amp;DATE(YEAR($A$1),MONTH($A$1),1),РД[Состояние],"Продажа")</f>
        <v>110129308</v>
      </c>
      <c r="I158" s="251">
        <f>COUNTIFS(РД[ИМ],A158,РД[Дата подачи на регистрацию],"&lt;="&amp;$A$1,РД[Дата подачи на регистрацию],"&gt;="&amp;DATE(YEAR($A$1),MONTH($A$1),1),РД[Состояние],"Продажа")</f>
        <v>22</v>
      </c>
      <c r="J158" s="252">
        <f t="shared" si="20"/>
        <v>1.2718796565670905</v>
      </c>
      <c r="K158" s="260">
        <f t="shared" si="20"/>
        <v>1.2971575158373856</v>
      </c>
      <c r="L158" s="329">
        <f t="shared" si="21"/>
        <v>6</v>
      </c>
      <c r="M158" s="330">
        <f t="shared" si="21"/>
        <v>6</v>
      </c>
      <c r="N158" s="330">
        <f t="shared" si="21"/>
        <v>7</v>
      </c>
      <c r="O158" s="330">
        <f t="shared" si="21"/>
        <v>3</v>
      </c>
      <c r="P158" s="331">
        <f t="shared" si="21"/>
        <v>0</v>
      </c>
      <c r="Q158" s="66"/>
      <c r="R158" s="66"/>
      <c r="S158" s="66"/>
      <c r="T158" s="66"/>
    </row>
    <row r="159" spans="1:21" s="65" customFormat="1">
      <c r="A159" s="168" t="s">
        <v>114</v>
      </c>
      <c r="B159" s="172">
        <f>SUM(B157:B158)</f>
        <v>1409.3</v>
      </c>
      <c r="C159" s="491">
        <f>SUM(C157:C158)</f>
        <v>142568746.44999999</v>
      </c>
      <c r="D159" s="484">
        <f t="shared" ref="D159:P159" si="22">SUM(D157:D158)</f>
        <v>1712.8400000000004</v>
      </c>
      <c r="E159" s="429">
        <f t="shared" si="22"/>
        <v>177709709</v>
      </c>
      <c r="F159" s="485">
        <f t="shared" si="22"/>
        <v>35</v>
      </c>
      <c r="G159" s="473">
        <f t="shared" si="22"/>
        <v>1709.8400000000001</v>
      </c>
      <c r="H159" s="494">
        <f t="shared" si="22"/>
        <v>176989354</v>
      </c>
      <c r="I159" s="494">
        <f t="shared" si="22"/>
        <v>35</v>
      </c>
      <c r="J159" s="419">
        <f t="shared" si="20"/>
        <v>1.2132548073511673</v>
      </c>
      <c r="K159" s="420">
        <f t="shared" si="20"/>
        <v>1.2414316489909771</v>
      </c>
      <c r="L159" s="473">
        <f t="shared" si="22"/>
        <v>9</v>
      </c>
      <c r="M159" s="494">
        <f t="shared" si="22"/>
        <v>10</v>
      </c>
      <c r="N159" s="494">
        <f t="shared" si="22"/>
        <v>9</v>
      </c>
      <c r="O159" s="494">
        <f t="shared" si="22"/>
        <v>7</v>
      </c>
      <c r="P159" s="497">
        <f t="shared" si="22"/>
        <v>0</v>
      </c>
      <c r="Q159" s="66"/>
      <c r="R159" s="66"/>
      <c r="S159" s="66"/>
      <c r="T159" s="66"/>
    </row>
    <row r="160" spans="1:21" s="65" customFormat="1">
      <c r="A160" s="134"/>
      <c r="B160" s="44"/>
      <c r="C160" s="44"/>
      <c r="D160" s="134"/>
      <c r="E160" s="134"/>
      <c r="F160" s="44"/>
      <c r="G160" s="134"/>
      <c r="H160" s="134"/>
      <c r="I160" s="134"/>
      <c r="J160" s="134"/>
      <c r="K160" s="255"/>
      <c r="L160" s="256"/>
      <c r="M160" s="134"/>
      <c r="N160" s="134"/>
      <c r="O160" s="134"/>
      <c r="P160" s="134"/>
      <c r="Q160" s="134"/>
      <c r="T160" s="66"/>
      <c r="U160" s="66"/>
    </row>
    <row r="161" spans="1:21" s="65" customFormat="1" ht="15">
      <c r="A161" s="2314" t="s">
        <v>1368</v>
      </c>
      <c r="B161" s="2315"/>
      <c r="C161" s="2315"/>
      <c r="D161" s="2315"/>
      <c r="E161" s="2315"/>
      <c r="F161" s="2315"/>
      <c r="G161" s="2315"/>
      <c r="H161" s="2315"/>
      <c r="I161" s="2315"/>
      <c r="J161" s="2315"/>
      <c r="K161" s="2315"/>
      <c r="L161" s="2315"/>
      <c r="M161" s="2315"/>
      <c r="N161" s="2316"/>
      <c r="O161" s="339"/>
      <c r="P161" s="66"/>
      <c r="S161" s="66"/>
      <c r="T161" s="66"/>
    </row>
    <row r="162" spans="1:21" s="65" customFormat="1" ht="22.5" customHeight="1">
      <c r="A162" s="135" t="s">
        <v>1</v>
      </c>
      <c r="B162" s="135" t="s">
        <v>100</v>
      </c>
      <c r="C162" s="136" t="s">
        <v>97</v>
      </c>
      <c r="D162" s="264" t="s">
        <v>494</v>
      </c>
      <c r="E162" s="265" t="s">
        <v>495</v>
      </c>
      <c r="F162" s="266" t="s">
        <v>496</v>
      </c>
      <c r="G162" s="140" t="s">
        <v>101</v>
      </c>
      <c r="H162" s="141" t="s">
        <v>98</v>
      </c>
      <c r="I162" s="141" t="s">
        <v>96</v>
      </c>
      <c r="J162" s="141" t="s">
        <v>715</v>
      </c>
      <c r="K162" s="216" t="s">
        <v>716</v>
      </c>
      <c r="L162" s="332" t="s">
        <v>121</v>
      </c>
      <c r="M162" s="218" t="s">
        <v>27</v>
      </c>
      <c r="N162" s="219" t="s">
        <v>7</v>
      </c>
      <c r="O162" s="545"/>
      <c r="P162" s="66"/>
      <c r="S162" s="66"/>
      <c r="T162" s="66"/>
    </row>
    <row r="163" spans="1:21" s="65" customFormat="1">
      <c r="A163" s="142" t="s">
        <v>1892</v>
      </c>
      <c r="B163" s="267"/>
      <c r="C163" s="268"/>
      <c r="D163" s="416">
        <f>SUMIFS(sept2021222337383940[м2],sept2021222337383940[МОП],A163,sept2021222337383940[Комнатность],"Офис")</f>
        <v>0</v>
      </c>
      <c r="E163" s="146">
        <f>SUMIFS(sept2021222337383940[Сумма без отделки],sept2021222337383940[МОП],$A163,sept2021222337383940[Комнатность],"оФИС")</f>
        <v>0</v>
      </c>
      <c r="F163" s="417">
        <f>COUNTIFS(sept2021222337383940[МОП],$A163,sept2021222337383940[Комнатность],"Офис")</f>
        <v>0</v>
      </c>
      <c r="G163" s="267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46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20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21" t="str">
        <f t="shared" ref="J163" si="23">IFERROR(G163/B163,"")</f>
        <v/>
      </c>
      <c r="K163" s="333" t="str">
        <f t="shared" ref="K163" si="24">IFERROR(H163/C163,"")</f>
        <v/>
      </c>
      <c r="L163" s="148">
        <f>COUNTIFS(РД[Дом],L$162,РД[МОП],$A163,РД[Дата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0">
        <f>COUNTIFS(РД[Дом],M$162,РД[МОП],$A163,РД[Дата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3">
        <f>COUNTIFS(РД[Дом],N$162,РД[МОП],$A163,РД[Дата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545"/>
      <c r="P163" s="66"/>
      <c r="S163" s="66"/>
      <c r="T163" s="66"/>
    </row>
    <row r="164" spans="1:21" s="65" customFormat="1">
      <c r="A164" s="142" t="s">
        <v>8</v>
      </c>
      <c r="B164" s="267"/>
      <c r="C164" s="268"/>
      <c r="D164" s="416">
        <f>SUMIFS(sept2021222337383940[м2],sept2021222337383940[МОП],A164,sept2021222337383940[Комнатность],"Офис")</f>
        <v>0</v>
      </c>
      <c r="E164" s="146">
        <f>SUMIFS(sept2021222337383940[Сумма без отделки],sept2021222337383940[МОП],$A164,sept2021222337383940[Комнатность],"оФИС")</f>
        <v>0</v>
      </c>
      <c r="F164" s="417">
        <f>COUNTIFS(sept2021222337383940[МОП],$A164,sept2021222337383940[Комнатность],"Офис")</f>
        <v>0</v>
      </c>
      <c r="G164" s="267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H164" s="146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20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21" t="str">
        <f t="shared" ref="J164:K170" si="25">IFERROR(G164/B164,"")</f>
        <v/>
      </c>
      <c r="K164" s="333" t="str">
        <f t="shared" si="25"/>
        <v/>
      </c>
      <c r="L164" s="148">
        <f>COUNTIFS(РД[Дом],L$162,РД[МОП],$A164,РД[Дата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20">
        <f>COUNTIFS(РД[Дом],M$162,РД[МОП],$A164,РД[Дата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3">
        <f>COUNTIFS(РД[Дом],N$162,РД[МОП],$A164,РД[Дата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339"/>
      <c r="S164" s="66"/>
      <c r="T164" s="66"/>
    </row>
    <row r="165" spans="1:21" s="65" customFormat="1">
      <c r="A165" s="398" t="s">
        <v>77</v>
      </c>
      <c r="B165" s="271"/>
      <c r="C165" s="272"/>
      <c r="D165" s="416">
        <f>SUMIFS(sept2021222337383940[м2],sept2021222337383940[МОП],A165,sept2021222337383940[Комнатность],"Офис")</f>
        <v>0</v>
      </c>
      <c r="E165" s="52">
        <f>SUMIFS(sept2021222337383940[Сумма без отделки],sept2021222337383940[МОП],$A165,sept2021222337383940[Комнатность],"оФИС")</f>
        <v>0</v>
      </c>
      <c r="F165" s="421">
        <f>COUNTIFS(sept2021222337383940[МОП],$A165,sept2021222337383940[Комнатность],"Офис")</f>
        <v>0</v>
      </c>
      <c r="G165" s="271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H165" s="52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20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52" t="str">
        <f t="shared" si="25"/>
        <v/>
      </c>
      <c r="K165" s="546" t="str">
        <f t="shared" si="25"/>
        <v/>
      </c>
      <c r="L165" s="202">
        <f>COUNTIFS(РД[Дом],L$162,РД[МОП],$A165,РД[Дата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M165" s="226">
        <f>COUNTIFS(РД[Дом],M$162,РД[МОП],$A165,РД[Дата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27">
        <f>COUNTIFS(РД[Дом],N$162,РД[МОП],$A165,РД[Дата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339"/>
      <c r="S165" s="66"/>
      <c r="T165" s="66"/>
    </row>
    <row r="166" spans="1:21" s="65" customFormat="1">
      <c r="A166" s="153" t="s">
        <v>20</v>
      </c>
      <c r="B166" s="271"/>
      <c r="C166" s="272"/>
      <c r="D166" s="416">
        <f>SUMIFS(sept2021222337383940[м2],sept2021222337383940[МОП],A166,sept2021222337383940[Комнатность],"Офис")</f>
        <v>0</v>
      </c>
      <c r="E166" s="52">
        <f>SUMIFS(sept2021222337383940[Сумма без отделки],sept2021222337383940[МОП],$A166,sept2021222337383940[Комнатность],"оФИС")</f>
        <v>0</v>
      </c>
      <c r="F166" s="421">
        <f>COUNTIFS(sept2021222337383940[МОП],$A166,sept2021222337383940[Комнатность],"Офис")</f>
        <v>0</v>
      </c>
      <c r="G166" s="271">
        <f>SUMIFS(РД[S],РД[МОП],A166,РД[Дата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H166" s="52">
        <f>SUMIFS(РД[Стоимость без отделки итог],РД[МОП],A166,РД[Дата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I166" s="220">
        <f>COUNTIFS(РД[МОП],A166,РД[Дата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J166" s="224" t="str">
        <f t="shared" si="25"/>
        <v/>
      </c>
      <c r="K166" s="334" t="str">
        <f t="shared" si="25"/>
        <v/>
      </c>
      <c r="L166" s="202">
        <f>COUNTIFS(РД[Дом],L$162,РД[МОП],$A166,РД[Дата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M166" s="226">
        <f>COUNTIFS(РД[Дом],M$162,РД[МОП],$A166,РД[Дата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N166" s="227">
        <f>COUNTIFS(РД[Дом],N$162,РД[МОП],$A166,РД[Дата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O166" s="339"/>
      <c r="S166" s="66"/>
      <c r="T166" s="66"/>
    </row>
    <row r="167" spans="1:21" s="65" customFormat="1">
      <c r="A167" s="153" t="s">
        <v>14</v>
      </c>
      <c r="B167" s="315"/>
      <c r="C167" s="316"/>
      <c r="D167" s="422">
        <f>SUMIFS(sept2021222337383940[м2],sept2021222337383940[МОП],A167,sept2021222337383940[Комнатность],"Офис")</f>
        <v>0</v>
      </c>
      <c r="E167" s="363">
        <f>SUMIFS(sept2021222337383940[Сумма без отделки],sept2021222337383940[МОП],$A167,sept2021222337383940[Комнатность],"оФИС")</f>
        <v>0</v>
      </c>
      <c r="F167" s="414">
        <f>COUNTIFS(sept2021222337383940[МОП],$A167,sept2021222337383940[Комнатность],"Офис")</f>
        <v>0</v>
      </c>
      <c r="G167" s="315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H167" s="363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I167" s="247">
        <f>COUNTIFS(РД[МОП],A167,РД[Дата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J167" s="360" t="str">
        <f t="shared" si="25"/>
        <v/>
      </c>
      <c r="K167" s="367" t="str">
        <f t="shared" si="25"/>
        <v/>
      </c>
      <c r="L167" s="358">
        <f>COUNTIFS(РД[Дом],L$162,РД[МОП],$A167,РД[Дата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M167" s="330">
        <f>COUNTIFS(РД[Дом],M$162,РД[МОП],$A167,РД[Дата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N167" s="331">
        <f>COUNTIFS(РД[Дом],N$162,РД[МОП],$A167,РД[Дата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O167" s="339"/>
      <c r="S167" s="66"/>
      <c r="T167" s="66"/>
    </row>
    <row r="168" spans="1:21" s="65" customFormat="1">
      <c r="A168" s="154" t="s">
        <v>29</v>
      </c>
      <c r="B168" s="274"/>
      <c r="C168" s="275"/>
      <c r="D168" s="423">
        <f>SUMIFS(sept2021222337383940[м2],sept2021222337383940[МОП],A168,sept2021222337383940[Комнатность],"Офис")</f>
        <v>0</v>
      </c>
      <c r="E168" s="277">
        <f>SUMIFS(sept2021222337383940[Сумма без отделки],sept2021222337383940[МОП],$A168,sept2021222337383940[Комнатность],"оФИС")</f>
        <v>0</v>
      </c>
      <c r="F168" s="405">
        <f>COUNTIFS(sept2021222337383940[МОП],$A168,sept2021222337383940[Комнатность],"Офис")</f>
        <v>0</v>
      </c>
      <c r="G168" s="274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H168" s="277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8">
        <f>COUNTIFS(РД[МОП],A168,РД[Дата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9" t="str">
        <f t="shared" si="25"/>
        <v/>
      </c>
      <c r="K168" s="335" t="str">
        <f t="shared" si="25"/>
        <v/>
      </c>
      <c r="L168" s="159">
        <f>COUNTIFS(РД[Дом],L$162,РД[МОП],$A168,РД[Дата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M168" s="228">
        <f>COUNTIFS(РД[Дом],M$162,РД[МОП],$A168,РД[Дата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31">
        <f>COUNTIFS(РД[Дом],N$162,РД[МОП],$A168,РД[Дата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339"/>
      <c r="S168" s="66"/>
      <c r="T168" s="66"/>
    </row>
    <row r="169" spans="1:21" s="65" customFormat="1">
      <c r="A169" s="161" t="s">
        <v>1919</v>
      </c>
      <c r="B169" s="278"/>
      <c r="C169" s="279"/>
      <c r="D169" s="424">
        <f>SUMIFS(sept2021222337383940[м2],sept2021222337383940[МОП],A169,sept2021222337383940[Комнатность],"Офис")</f>
        <v>0</v>
      </c>
      <c r="E169" s="281">
        <f>SUMIFS(sept2021222337383940[Сумма без отделки],sept2021222337383940[МОП],$A169,sept2021222337383940[Комнатность],"оФИС")</f>
        <v>0</v>
      </c>
      <c r="F169" s="407">
        <f>COUNTIFS(sept2021222337383940[МОП],$A169,sept2021222337383940[Комнатность],"Офис")</f>
        <v>0</v>
      </c>
      <c r="G169" s="278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H169" s="281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32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33" t="str">
        <f t="shared" si="25"/>
        <v/>
      </c>
      <c r="K169" s="336" t="str">
        <f t="shared" si="25"/>
        <v/>
      </c>
      <c r="L169" s="166">
        <f>COUNTIFS(РД[Дом],L$162,РД[МОП],$A169,РД[Дата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M169" s="232">
        <f>COUNTIFS(РД[Дом],M$162,РД[МОП],$A169,РД[Дата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337">
        <f>COUNTIFS(РД[Дом],N$162,РД[МОП],$A169,РД[Дата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339"/>
      <c r="S169" s="66"/>
      <c r="T169" s="66"/>
    </row>
    <row r="170" spans="1:21" s="65" customFormat="1">
      <c r="A170" s="513" t="s">
        <v>114</v>
      </c>
      <c r="B170" s="282">
        <f t="shared" ref="B170:I170" si="26">SUM(B164:B169)</f>
        <v>0</v>
      </c>
      <c r="C170" s="283">
        <f t="shared" si="26"/>
        <v>0</v>
      </c>
      <c r="D170" s="425">
        <f t="shared" si="26"/>
        <v>0</v>
      </c>
      <c r="E170" s="287">
        <f t="shared" si="26"/>
        <v>0</v>
      </c>
      <c r="F170" s="286">
        <f t="shared" si="26"/>
        <v>0</v>
      </c>
      <c r="G170" s="282">
        <f t="shared" si="26"/>
        <v>0</v>
      </c>
      <c r="H170" s="287">
        <f t="shared" si="26"/>
        <v>0</v>
      </c>
      <c r="I170" s="287">
        <f t="shared" si="26"/>
        <v>0</v>
      </c>
      <c r="J170" s="238" t="str">
        <f t="shared" si="25"/>
        <v/>
      </c>
      <c r="K170" s="338" t="str">
        <f t="shared" si="25"/>
        <v/>
      </c>
      <c r="L170" s="282">
        <f>SUM(L164:L169)</f>
        <v>0</v>
      </c>
      <c r="M170" s="287">
        <f>SUM(M164:M169)</f>
        <v>0</v>
      </c>
      <c r="N170" s="287">
        <f>SUM(N164:N169)</f>
        <v>0</v>
      </c>
      <c r="O170" s="339"/>
      <c r="S170" s="66"/>
      <c r="T170" s="66"/>
    </row>
    <row r="171" spans="1:21" s="65" customFormat="1" ht="22.5" customHeight="1">
      <c r="A171" s="135" t="s">
        <v>115</v>
      </c>
      <c r="B171" s="135" t="s">
        <v>100</v>
      </c>
      <c r="C171" s="136" t="s">
        <v>97</v>
      </c>
      <c r="D171" s="264" t="s">
        <v>494</v>
      </c>
      <c r="E171" s="265" t="s">
        <v>495</v>
      </c>
      <c r="F171" s="266" t="s">
        <v>496</v>
      </c>
      <c r="G171" s="140" t="s">
        <v>101</v>
      </c>
      <c r="H171" s="141" t="s">
        <v>98</v>
      </c>
      <c r="I171" s="141" t="s">
        <v>96</v>
      </c>
      <c r="J171" s="141" t="s">
        <v>715</v>
      </c>
      <c r="K171" s="526" t="s">
        <v>716</v>
      </c>
      <c r="L171" s="332" t="s">
        <v>121</v>
      </c>
      <c r="M171" s="218" t="s">
        <v>27</v>
      </c>
      <c r="N171" s="219" t="s">
        <v>7</v>
      </c>
      <c r="O171" s="339"/>
      <c r="T171" s="66"/>
    </row>
    <row r="172" spans="1:21" s="65" customFormat="1">
      <c r="A172" s="177" t="s">
        <v>22</v>
      </c>
      <c r="B172" s="291"/>
      <c r="C172" s="312"/>
      <c r="D172" s="514">
        <f>SUMIFS(sept2021222337383940[м2],sept2021222337383940[ИМ],A172,sept2021222337383940[Комнатность],"Офис")</f>
        <v>0</v>
      </c>
      <c r="E172" s="146">
        <f>SUMIFS(sept2021222337383940[Сумма без отделки],sept2021222337383940[ИМ],$A172,sept2021222337383940[Комнатность],"оФИС")</f>
        <v>0</v>
      </c>
      <c r="F172" s="417">
        <f>COUNTIFS(sept2021222337383940[ИМ],$A172,sept2021222337383940[Комнатность],"Офис")</f>
        <v>0</v>
      </c>
      <c r="G172" s="267">
        <f>SUMIFS(РД[S],РД[ИМ],A172,РД[Дата подачи на регистрацию],"&lt;="&amp;$A$1,РД[Дата подачи на регистрацию],"&gt;="&amp;DATE(YEAR($A$1),MONTH($A$1),1),РД[Состояние],"Коммерция")</f>
        <v>0</v>
      </c>
      <c r="H172" s="146">
        <f>SUMIFS(РД[Стоимость без отделки итог],РД[ИМ],A172,РД[Дата подачи на регистрацию],"&lt;="&amp;$A$1,РД[Дата подачи на регистрацию],"&gt;="&amp;DATE(YEAR($A$1),MONTH($A$1),1),РД[Состояние],"Коммерция")</f>
        <v>0</v>
      </c>
      <c r="I172" s="220">
        <f>COUNTIFS(РД[ИМ],A172,РД[Дата подачи на регистрацию],"&lt;="&amp;$A$1,РД[Дата подачи на регистрацию],"&gt;="&amp;DATE(YEAR($A$1),MONTH($A$1),1),РД[Состояние],"Коммерция")</f>
        <v>0</v>
      </c>
      <c r="J172" s="224" t="str">
        <f t="shared" ref="J172:K174" si="27">IFERROR(G172/B172,"")</f>
        <v/>
      </c>
      <c r="K172" s="334" t="str">
        <f t="shared" si="27"/>
        <v/>
      </c>
      <c r="L172" s="148">
        <f>COUNTIFS(РД[Дом],L$162,РД[ИМ],$A172,РД[Дата подачи на регистрацию],"&lt;="&amp;$A$1,РД[Дата подачи на регистрацию],"&gt;="&amp;DATE(YEAR($A$1),MONTH($A$1),1),РД[Состояние],"Коммерция")</f>
        <v>0</v>
      </c>
      <c r="M172" s="220">
        <f>COUNTIFS(РД[Дом],M$162,РД[ИМ],$A172,РД[Дата подачи на регистрацию],"&lt;="&amp;$A$1,РД[Дата подачи на регистрацию],"&gt;="&amp;DATE(YEAR($A$1),MONTH($A$1),1),РД[Состояние],"Коммерция")</f>
        <v>0</v>
      </c>
      <c r="N172" s="223">
        <f>COUNTIFS(РД[Дом],N$162,РД[ИМ],$A172,РД[Дата подачи на регистрацию],"&lt;="&amp;$A$1,РД[Дата подачи на регистрацию],"&gt;="&amp;DATE(YEAR($A$1),MONTH($A$1),1),РД[Состояние],"Коммерция")</f>
        <v>0</v>
      </c>
      <c r="O172" s="339"/>
      <c r="T172" s="66"/>
    </row>
    <row r="173" spans="1:21" s="65" customFormat="1">
      <c r="A173" s="189" t="s">
        <v>16</v>
      </c>
      <c r="B173" s="516"/>
      <c r="C173" s="517"/>
      <c r="D173" s="422">
        <f>SUMIFS(sept2021222337383940[м2],sept2021222337383940[ИМ],A173,sept2021222337383940[Комнатность],"Офис")</f>
        <v>0</v>
      </c>
      <c r="E173" s="363">
        <f>SUMIFS(sept2021222337383940[Сумма без отделки],sept2021222337383940[ИМ],$A173,sept2021222337383940[Комнатность],"оФИС")</f>
        <v>0</v>
      </c>
      <c r="F173" s="518">
        <f>COUNTIFS(sept2021222337383940[ИМ],$A173,sept2021222337383940[Комнатность],"Офис")</f>
        <v>0</v>
      </c>
      <c r="G173" s="315">
        <f>SUMIFS(РД[S],РД[ИМ],A173,РД[Дата подачи на регистрацию],"&lt;="&amp;$A$1,РД[Дата подачи на регистрацию],"&gt;="&amp;DATE(YEAR($A$1),MONTH($A$1),1),РД[Состояние],"Коммерция")</f>
        <v>0</v>
      </c>
      <c r="H173" s="363">
        <f>SUMIFS(РД[Стоимость без отделки итог],РД[ИМ],A173,РД[Дата подачи на регистрацию],"&lt;="&amp;$A$1,РД[Дата подачи на регистрацию],"&gt;="&amp;DATE(YEAR($A$1),MONTH($A$1),1),РД[Состояние],"Коммерция")</f>
        <v>0</v>
      </c>
      <c r="I173" s="220">
        <f>COUNTIFS(РД[ИМ],A173,РД[Дата подачи на регистрацию],"&lt;="&amp;$A$1,РД[Дата подачи на регистрацию],"&gt;="&amp;DATE(YEAR($A$1),MONTH($A$1),1),РД[Состояние],"Коммерция")</f>
        <v>0</v>
      </c>
      <c r="J173" s="252" t="str">
        <f t="shared" si="27"/>
        <v/>
      </c>
      <c r="K173" s="253" t="str">
        <f t="shared" si="27"/>
        <v/>
      </c>
      <c r="L173" s="202">
        <f>COUNTIFS(РД[Дом],L$162,РД[ИМ],$A173,РД[Дата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M173" s="226">
        <f>COUNTIFS(РД[Дом],M$162,РД[ИМ],$A173,РД[Дата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N173" s="227">
        <f>COUNTIFS(РД[Дом],N$162,РД[ИМ],$A173,РД[Дата подачи на регистрацию],"&lt;="&amp;$A$1,РД[Дата подачи на регистрацию],"&gt;="&amp;DATE(YEAR($A$1),MONTH($A$1),1),РД[Состояние],"Коммерция")</f>
        <v>0</v>
      </c>
      <c r="O173" s="339"/>
      <c r="T173" s="66"/>
    </row>
    <row r="174" spans="1:21" s="65" customFormat="1">
      <c r="A174" s="513" t="s">
        <v>114</v>
      </c>
      <c r="B174" s="282">
        <f>SUM(B172:B173)</f>
        <v>0</v>
      </c>
      <c r="C174" s="283">
        <f>SUM(C172:C173)</f>
        <v>0</v>
      </c>
      <c r="D174" s="428">
        <f t="shared" ref="D174:I174" si="28">SUM(D172:D173)</f>
        <v>0</v>
      </c>
      <c r="E174" s="429">
        <f t="shared" si="28"/>
        <v>0</v>
      </c>
      <c r="F174" s="322">
        <f t="shared" si="28"/>
        <v>0</v>
      </c>
      <c r="G174" s="323">
        <f t="shared" si="28"/>
        <v>0</v>
      </c>
      <c r="H174" s="429">
        <f t="shared" si="28"/>
        <v>0</v>
      </c>
      <c r="I174" s="429">
        <f t="shared" si="28"/>
        <v>0</v>
      </c>
      <c r="J174" s="419" t="str">
        <f t="shared" si="27"/>
        <v/>
      </c>
      <c r="K174" s="527" t="str">
        <f t="shared" si="27"/>
        <v/>
      </c>
      <c r="L174" s="318">
        <f>SUM(L172:L173)</f>
        <v>0</v>
      </c>
      <c r="M174" s="321">
        <f>SUM(M172:M173)</f>
        <v>0</v>
      </c>
      <c r="N174" s="319">
        <f>SUM(N172:N173)</f>
        <v>0</v>
      </c>
      <c r="O174" s="339"/>
      <c r="T174" s="66"/>
    </row>
    <row r="175" spans="1:21" s="65" customFormat="1">
      <c r="A175" s="134"/>
      <c r="B175" s="44"/>
      <c r="C175" s="44"/>
      <c r="D175" s="134"/>
      <c r="E175" s="134"/>
      <c r="F175" s="44"/>
      <c r="G175" s="134"/>
      <c r="H175" s="134"/>
      <c r="I175" s="134"/>
      <c r="J175" s="134"/>
      <c r="K175" s="255"/>
      <c r="L175" s="256"/>
      <c r="M175" s="134"/>
      <c r="N175" s="134"/>
      <c r="O175" s="134"/>
      <c r="P175" s="134"/>
      <c r="Q175" s="72"/>
      <c r="U175" s="66"/>
    </row>
    <row r="176" spans="1:21" s="65" customFormat="1" ht="15">
      <c r="A176" s="2321" t="s">
        <v>945</v>
      </c>
      <c r="B176" s="2322"/>
      <c r="C176" s="2322"/>
      <c r="D176" s="2322"/>
      <c r="E176" s="2322"/>
      <c r="F176" s="2322"/>
      <c r="G176" s="2322"/>
      <c r="H176" s="2322"/>
      <c r="I176" s="2322"/>
      <c r="J176" s="2322"/>
      <c r="K176" s="2322"/>
      <c r="L176" s="2322"/>
      <c r="M176" s="2399"/>
      <c r="N176" s="339"/>
      <c r="O176" s="339"/>
      <c r="P176" s="86"/>
      <c r="T176" s="66"/>
    </row>
    <row r="177" spans="1:21" s="65" customFormat="1" ht="22.5" customHeight="1">
      <c r="A177" s="135" t="s">
        <v>1</v>
      </c>
      <c r="B177" s="135" t="s">
        <v>101</v>
      </c>
      <c r="C177" s="136" t="s">
        <v>98</v>
      </c>
      <c r="D177" s="295" t="s">
        <v>494</v>
      </c>
      <c r="E177" s="138" t="s">
        <v>495</v>
      </c>
      <c r="F177" s="296" t="s">
        <v>496</v>
      </c>
      <c r="G177" s="140" t="s">
        <v>946</v>
      </c>
      <c r="H177" s="141" t="s">
        <v>947</v>
      </c>
      <c r="I177" s="217">
        <v>0</v>
      </c>
      <c r="J177" s="218">
        <v>1</v>
      </c>
      <c r="K177" s="340">
        <v>2</v>
      </c>
      <c r="L177" s="218">
        <v>3</v>
      </c>
      <c r="M177" s="219" t="s">
        <v>1367</v>
      </c>
      <c r="N177" s="339"/>
      <c r="O177" s="339"/>
      <c r="P177" s="86"/>
      <c r="T177" s="66"/>
    </row>
    <row r="178" spans="1:21" s="65" customFormat="1">
      <c r="A178" s="142" t="s">
        <v>1892</v>
      </c>
      <c r="B178" s="267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21.73</v>
      </c>
      <c r="C178" s="268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3054800</v>
      </c>
      <c r="D178" s="329">
        <f>SUMIFS(sept2021222337383940[м2],sept2021222337383940[МОП],$A178,sept2021222337383940[№ дома],#REF!)</f>
        <v>0</v>
      </c>
      <c r="E178" s="363">
        <f>SUMIFS(sept2021222337383940[Сумма без отделки],sept2021222337383940[МОП],$A178,sept2021222337383940[№ дома],#REF!)</f>
        <v>0</v>
      </c>
      <c r="F178" s="414">
        <f>COUNTIFS(sept2021222337383940[МОП],$A178,sept2021222337383940[№ дома],#REF!)</f>
        <v>0</v>
      </c>
      <c r="G178" s="267">
        <f>SUMIFS(РД[S],РД[МОП],A178,РД[Дата подачи на регистрацию],"&lt;="&amp;$A$1,РД[Дата подачи на регистрацию],"&gt;="&amp;DATE(YEAR($A$1),MONTH($A$1),1),РД[Источник рекламы],"Н -*")/2</f>
        <v>10.865</v>
      </c>
      <c r="H178" s="549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-*")/2</f>
        <v>1527400</v>
      </c>
      <c r="I178" s="148">
        <f>COUNTIFS(РД[Тип кв],I$177,РД[МОП],$A178,РД[Дата подачи на регистрацию],"&lt;="&amp;$A$1,РД[Дата подачи на регистрацию],"&gt;="&amp;DATE(YEAR($A$1),MONTH($A$1),1),РД[Источник рекламы],"Н -*")</f>
        <v>1</v>
      </c>
      <c r="J178" s="220">
        <f>COUNTIFS(РД[Тип кв],J$177,РД[МОП],$A178,РД[Дата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220">
        <f>COUNTIFS(РД[Тип кв],K$177,РД[МОП],$A178,РД[Дата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220">
        <f>COUNTIFS(РД[Тип кв],L$177,РД[МОП],$A178,РД[Дата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8" s="223">
        <f>COUNTIFS(РД[Тип кв],S$174,РД[МОП],$A178,РД[Дата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8" s="339"/>
      <c r="O178" s="339"/>
      <c r="P178" s="86"/>
      <c r="T178" s="66"/>
    </row>
    <row r="179" spans="1:21" s="65" customFormat="1">
      <c r="A179" s="398" t="s">
        <v>8</v>
      </c>
      <c r="B179" s="271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84.09</v>
      </c>
      <c r="C179" s="272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10592100</v>
      </c>
      <c r="D179" s="329">
        <f>SUMIFS(sept2021222337383940[м2],sept2021222337383940[МОП],$A179,sept2021222337383940[№ дома],#REF!)</f>
        <v>0</v>
      </c>
      <c r="E179" s="363">
        <f>SUMIFS(sept2021222337383940[Сумма без отделки],sept2021222337383940[МОП],$A179,sept2021222337383940[№ дома],#REF!)</f>
        <v>0</v>
      </c>
      <c r="F179" s="414">
        <f>COUNTIFS(sept2021222337383940[МОП],$A179,sept2021222337383940[№ дома],#REF!)</f>
        <v>0</v>
      </c>
      <c r="G179" s="271">
        <f>SUMIFS(РД[S],РД[МОП],A179,РД[Дата подачи на регистрацию],"&lt;="&amp;$A$1,РД[Дата подачи на регистрацию],"&gt;="&amp;DATE(YEAR($A$1),MONTH($A$1),1),РД[Источник рекламы],"Н -*")/2</f>
        <v>42.045000000000002</v>
      </c>
      <c r="H179" s="546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-*")/2</f>
        <v>5296050</v>
      </c>
      <c r="I179" s="202">
        <f>COUNTIFS(РД[Тип кв],I$177,РД[МОП],$A179,РД[Дата подачи на регистрацию],"&lt;="&amp;$A$1,РД[Дата подачи на регистрацию],"&gt;="&amp;DATE(YEAR($A$1),MONTH($A$1),1),РД[Источник рекламы],"Н -*")</f>
        <v>2</v>
      </c>
      <c r="J179" s="226">
        <f>COUNTIFS(РД[Тип кв],J$177,РД[МОП],$A179,РД[Дата подачи на регистрацию],"&lt;="&amp;$A$1,РД[Дата подачи на регистрацию],"&gt;="&amp;DATE(YEAR($A$1),MONTH($A$1),1),РД[Источник рекламы],"Н -*")</f>
        <v>1</v>
      </c>
      <c r="K179" s="226">
        <f>COUNTIFS(РД[Тип кв],K$177,РД[МОП],$A179,РД[Дата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26">
        <f>COUNTIFS(РД[Тип кв],L$177,РД[МОП],$A179,РД[Дата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79" s="227">
        <f>COUNTIFS(РД[Тип кв],S$174,РД[МОП],$A179,РД[Дата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79" s="339"/>
      <c r="O179" s="339"/>
      <c r="P179" s="86"/>
      <c r="T179" s="66"/>
    </row>
    <row r="180" spans="1:21" s="65" customFormat="1">
      <c r="A180" s="153" t="s">
        <v>77</v>
      </c>
      <c r="B180" s="271">
        <f>SUMIFS(РД[S],РД[МОП],A180,РД[Дата подачи на регистрацию],"&lt;="&amp;$A$1,РД[Дата подачи на регистрацию],"&gt;="&amp;DATE(YEAR($A$1),MONTH($A$1),1),РД[Источник рекламы],"Н -*")</f>
        <v>140.91999999999999</v>
      </c>
      <c r="C180" s="272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</f>
        <v>14873293</v>
      </c>
      <c r="D180" s="329">
        <f>SUMIFS(sept2021222337383940[м2],sept2021222337383940[МОП],$A180,sept2021222337383940[№ дома],#REF!)</f>
        <v>0</v>
      </c>
      <c r="E180" s="363">
        <f>SUMIFS(sept2021222337383940[Сумма без отделки],sept2021222337383940[МОП],$A180,sept2021222337383940[№ дома],#REF!)</f>
        <v>0</v>
      </c>
      <c r="F180" s="414">
        <f>COUNTIFS(sept2021222337383940[МОП],$A180,sept2021222337383940[№ дома],#REF!)</f>
        <v>0</v>
      </c>
      <c r="G180" s="271">
        <f>SUMIFS(РД[S],РД[МОП],A180,РД[Дата подачи на регистрацию],"&lt;="&amp;$A$1,РД[Дата подачи на регистрацию],"&gt;="&amp;DATE(YEAR($A$1),MONTH($A$1),1),РД[Источник рекламы],"Н -*")/2</f>
        <v>70.459999999999994</v>
      </c>
      <c r="H180" s="546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-*")/2</f>
        <v>7436646.5</v>
      </c>
      <c r="I180" s="202">
        <f>COUNTIFS(РД[Тип кв],I$177,РД[МОП],$A180,РД[Дата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J180" s="226">
        <f>COUNTIFS(РД[Тип кв],J$177,РД[МОП],$A180,РД[Дата подачи на регистрацию],"&lt;="&amp;$A$1,РД[Дата подачи на регистрацию],"&gt;="&amp;DATE(YEAR($A$1),MONTH($A$1),1),РД[Источник рекламы],"Н -*")</f>
        <v>2</v>
      </c>
      <c r="K180" s="226">
        <f>COUNTIFS(РД[Тип кв],K$177,РД[МОП],$A180,РД[Дата подачи на регистрацию],"&lt;="&amp;$A$1,РД[Дата подачи на регистрацию],"&gt;="&amp;DATE(YEAR($A$1),MONTH($A$1),1),РД[Источник рекламы],"Н -*")</f>
        <v>1</v>
      </c>
      <c r="L180" s="226">
        <f>COUNTIFS(РД[Тип кв],L$177,РД[МОП],$A180,РД[Дата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0" s="227">
        <f>COUNTIFS(РД[Тип кв],S$174,РД[МОП],$A180,РД[Дата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0" s="339"/>
      <c r="O180" s="339"/>
      <c r="P180" s="86"/>
      <c r="T180" s="66"/>
    </row>
    <row r="181" spans="1:21" s="65" customFormat="1">
      <c r="A181" s="153" t="s">
        <v>20</v>
      </c>
      <c r="B181" s="271">
        <f>SUMIFS(РД[S],РД[МОП],A181,РД[Дата подачи на регистрацию],"&lt;="&amp;$A$1,РД[Дата подачи на регистрацию],"&gt;="&amp;DATE(YEAR($A$1),MONTH($A$1),1),РД[Источник рекламы],"Н -*")</f>
        <v>225.39</v>
      </c>
      <c r="C181" s="272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</f>
        <v>24294900</v>
      </c>
      <c r="D181" s="329">
        <f>SUMIFS(sept2021222337383940[м2],sept2021222337383940[МОП],$A181,sept2021222337383940[№ дома],#REF!)</f>
        <v>0</v>
      </c>
      <c r="E181" s="363">
        <f>SUMIFS(sept2021222337383940[Сумма без отделки],sept2021222337383940[МОП],$A181,sept2021222337383940[№ дома],#REF!)</f>
        <v>0</v>
      </c>
      <c r="F181" s="414">
        <f>COUNTIFS(sept2021222337383940[МОП],$A181,sept2021222337383940[№ дома],#REF!)</f>
        <v>0</v>
      </c>
      <c r="G181" s="271">
        <f>SUMIFS(РД[S],РД[МОП],A181,РД[Дата подачи на регистрацию],"&lt;="&amp;$A$1,РД[Дата подачи на регистрацию],"&gt;="&amp;DATE(YEAR($A$1),MONTH($A$1),1),РД[Источник рекламы],"Н -*")/2</f>
        <v>112.69499999999999</v>
      </c>
      <c r="H181" s="546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-*")/2</f>
        <v>12147450</v>
      </c>
      <c r="I181" s="202">
        <f>COUNTIFS(РД[Тип кв],I$177,РД[МОП],$A181,РД[Дата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J181" s="226">
        <f>COUNTIFS(РД[Тип кв],J$177,РД[МОП],$A181,РД[Дата подачи на регистрацию],"&lt;="&amp;$A$1,РД[Дата подачи на регистрацию],"&gt;="&amp;DATE(YEAR($A$1),MONTH($A$1),1),РД[Источник рекламы],"Н -*")</f>
        <v>3</v>
      </c>
      <c r="K181" s="226">
        <f>COUNTIFS(РД[Тип кв],K$177,РД[МОП],$A181,РД[Дата подачи на регистрацию],"&lt;="&amp;$A$1,РД[Дата подачи на регистрацию],"&gt;="&amp;DATE(YEAR($A$1),MONTH($A$1),1),РД[Источник рекламы],"Н -*")</f>
        <v>2</v>
      </c>
      <c r="L181" s="226">
        <f>COUNTIFS(РД[Тип кв],L$177,РД[МОП],$A181,РД[Дата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1" s="227">
        <f>COUNTIFS(РД[Тип кв],S$174,РД[МОП],$A181,РД[Дата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1" s="339"/>
      <c r="O181" s="339"/>
      <c r="P181" s="86"/>
      <c r="T181" s="66"/>
    </row>
    <row r="182" spans="1:21" s="65" customFormat="1">
      <c r="A182" s="153" t="s">
        <v>14</v>
      </c>
      <c r="B182" s="315">
        <f>SUMIFS(РД[S],РД[МОП],A182,РД[Дата подачи на регистрацию],"&lt;="&amp;$A$1,РД[Дата подачи на регистрацию],"&gt;="&amp;DATE(YEAR($A$1),MONTH($A$1),1),РД[Источник рекламы],"Н -*")</f>
        <v>67.13</v>
      </c>
      <c r="C182" s="316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</f>
        <v>7836800</v>
      </c>
      <c r="D182" s="329">
        <f>SUMIFS(sept2021222337383940[м2],sept2021222337383940[МОП],$A182,sept2021222337383940[№ дома],#REF!)</f>
        <v>0</v>
      </c>
      <c r="E182" s="363">
        <f>SUMIFS(sept2021222337383940[Сумма без отделки],sept2021222337383940[МОП],$A182,sept2021222337383940[№ дома],#REF!)</f>
        <v>0</v>
      </c>
      <c r="F182" s="414">
        <f>COUNTIFS(sept2021222337383940[МОП],$A182,sept2021222337383940[№ дома],#REF!)</f>
        <v>0</v>
      </c>
      <c r="G182" s="315">
        <f>SUMIFS(РД[S],РД[МОП],A182,РД[Дата подачи на регистрацию],"&lt;="&amp;$A$1,РД[Дата подачи на регистрацию],"&gt;="&amp;DATE(YEAR($A$1),MONTH($A$1),1),РД[Источник рекламы],"Н -*")/2</f>
        <v>33.564999999999998</v>
      </c>
      <c r="H182" s="550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-*")/2</f>
        <v>3918400</v>
      </c>
      <c r="I182" s="358">
        <f>COUNTIFS(РД[Тип кв],I$177,РД[МОП],$A182,РД[Дата подачи на регистрацию],"&lt;="&amp;$A$1,РД[Дата подачи на регистрацию],"&gt;="&amp;DATE(YEAR($A$1),MONTH($A$1),1),РД[Источник рекламы],"Н -*")</f>
        <v>1</v>
      </c>
      <c r="J182" s="330">
        <f>COUNTIFS(РД[Тип кв],J$177,РД[МОП],$A182,РД[Дата подачи на регистрацию],"&lt;="&amp;$A$1,РД[Дата подачи на регистрацию],"&gt;="&amp;DATE(YEAR($A$1),MONTH($A$1),1),РД[Источник рекламы],"Н -*")</f>
        <v>1</v>
      </c>
      <c r="K182" s="330">
        <f>COUNTIFS(РД[Тип кв],K$177,РД[МОП],$A182,РД[Дата подачи на регистрацию],"&lt;="&amp;$A$1,РД[Дата подачи на регистрацию],"&gt;="&amp;DATE(YEAR($A$1),MONTH($A$1),1),РД[Источник рекламы],"Н -*")</f>
        <v>0</v>
      </c>
      <c r="L182" s="330">
        <f>COUNTIFS(РД[Тип кв],L$177,РД[МОП],$A182,РД[Дата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2" s="331">
        <f>COUNTIFS(РД[Тип кв],S$174,РД[МОП],$A182,РД[Дата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2" s="339"/>
      <c r="O182" s="339"/>
      <c r="P182" s="86"/>
      <c r="T182" s="66"/>
    </row>
    <row r="183" spans="1:21" s="65" customFormat="1">
      <c r="A183" s="154" t="s">
        <v>29</v>
      </c>
      <c r="B183" s="274">
        <f>SUMIFS(РД[S],РД[МОП],A183,РД[Дата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C183" s="275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D183" s="341">
        <f>SUMIFS(sept2021222337383940[м2],sept2021222337383940[МОП],$A183,sept2021222337383940[№ дома],#REF!)</f>
        <v>0</v>
      </c>
      <c r="E183" s="277">
        <f>SUMIFS(sept2021222337383940[Сумма без отделки],sept2021222337383940[МОП],$A183,sept2021222337383940[№ дома],#REF!)</f>
        <v>0</v>
      </c>
      <c r="F183" s="405">
        <f>COUNTIFS(sept2021222337383940[МОП],$A183,sept2021222337383940[№ дома],#REF!)</f>
        <v>0</v>
      </c>
      <c r="G183" s="274">
        <f>SUMIFS(РД[S],РД[МОП],A183,РД[Дата подачи на регистрацию],"&lt;="&amp;$A$1,РД[Дата подачи на регистрацию],"&gt;="&amp;DATE(YEAR($A$1),MONTH($A$1),1),РД[Источник рекламы],"Н -*")/2</f>
        <v>0</v>
      </c>
      <c r="H183" s="277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-*")/2</f>
        <v>0</v>
      </c>
      <c r="I183" s="228">
        <f>COUNTIFS(РД[Тип кв],I$177,РД[МОП],$A183,РД[Дата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J183" s="228">
        <f>COUNTIFS(РД[Тип кв],J$177,РД[МОП],$A183,РД[Дата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K183" s="228">
        <f>COUNTIFS(РД[Тип кв],K$177,РД[МОП],$A183,РД[Дата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L183" s="228">
        <f>COUNTIFS(РД[Тип кв],L$177,РД[МОП],$A183,РД[Дата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3" s="231">
        <f>COUNTIFS(РД[Тип кв],S$174,РД[МОП],$A183,РД[Дата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3" s="339"/>
      <c r="O183" s="339"/>
      <c r="P183" s="86"/>
      <c r="T183" s="66"/>
    </row>
    <row r="184" spans="1:21" s="65" customFormat="1">
      <c r="A184" s="161" t="s">
        <v>1919</v>
      </c>
      <c r="B184" s="278">
        <f>SUMIFS(РД[S],РД[МОП],A184,РД[Дата подачи на регистрацию],"&lt;="&amp;$A$1,РД[Дата подачи на регистрацию],"&gt;="&amp;DATE(YEAR($A$1),MONTH($A$1),1),РД[Источник рекламы],"Н -*")</f>
        <v>0</v>
      </c>
      <c r="C184" s="279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</f>
        <v>0</v>
      </c>
      <c r="D184" s="406">
        <f>SUMIFS(sept2021222337383940[м2],sept2021222337383940[МОП],$A184,sept2021222337383940[№ дома],#REF!)</f>
        <v>0</v>
      </c>
      <c r="E184" s="281">
        <f>SUMIFS(sept2021222337383940[Сумма без отделки],sept2021222337383940[МОП],$A184,sept2021222337383940[№ дома],#REF!)</f>
        <v>0</v>
      </c>
      <c r="F184" s="407">
        <f>COUNTIFS(sept2021222337383940[МОП],$A184,sept2021222337383940[№ дома],#REF!)</f>
        <v>0</v>
      </c>
      <c r="G184" s="278">
        <f>SUMIFS(РД[S],РД[МОП],A184,РД[Дата подачи на регистрацию],"&lt;="&amp;$A$1,РД[Дата подачи на регистрацию],"&gt;="&amp;DATE(YEAR($A$1),MONTH($A$1),1),РД[Источник рекламы],"Н -*")/2</f>
        <v>0</v>
      </c>
      <c r="H184" s="281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-*")/2</f>
        <v>0</v>
      </c>
      <c r="I184" s="232">
        <f>COUNTIFS(РД[Тип кв],I$177,РД[МОП],$A184,РД[Дата подачи на регистрацию],"&lt;="&amp;$A$1,РД[Дата подачи на регистрацию],"&gt;="&amp;DATE(YEAR($A$1),MONTH($A$1),1),РД[Источник рекламы],"Н -*")</f>
        <v>0</v>
      </c>
      <c r="J184" s="232">
        <f>COUNTIFS(РД[Тип кв],J$177,РД[МОП],$A184,РД[Дата подачи на регистрацию],"&lt;="&amp;$A$1,РД[Дата подачи на регистрацию],"&gt;="&amp;DATE(YEAR($A$1),MONTH($A$1),1),РД[Источник рекламы],"Н -*")</f>
        <v>0</v>
      </c>
      <c r="K184" s="232">
        <f>COUNTIFS(РД[Тип кв],K$177,РД[МОП],$A184,РД[Дата подачи на регистрацию],"&lt;="&amp;$A$1,РД[Дата подачи на регистрацию],"&gt;="&amp;DATE(YEAR($A$1),MONTH($A$1),1),РД[Источник рекламы],"Н -*")</f>
        <v>0</v>
      </c>
      <c r="L184" s="232">
        <f>COUNTIFS(РД[Тип кв],L$177,РД[МОП],$A184,РД[Дата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4" s="337">
        <f>COUNTIFS(РД[Тип кв],S$174,РД[МОП],$A184,РД[Дата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4" s="339"/>
      <c r="O184" s="339"/>
      <c r="P184" s="86"/>
      <c r="T184" s="66"/>
    </row>
    <row r="185" spans="1:21" s="65" customFormat="1">
      <c r="A185" s="513" t="s">
        <v>114</v>
      </c>
      <c r="B185" s="282">
        <f t="shared" ref="B185:L185" si="29">SUM(B178:B182)</f>
        <v>539.26</v>
      </c>
      <c r="C185" s="283">
        <f t="shared" si="29"/>
        <v>60651893</v>
      </c>
      <c r="D185" s="425">
        <f t="shared" si="29"/>
        <v>0</v>
      </c>
      <c r="E185" s="287">
        <f t="shared" si="29"/>
        <v>0</v>
      </c>
      <c r="F185" s="286">
        <f t="shared" si="29"/>
        <v>0</v>
      </c>
      <c r="G185" s="282">
        <f t="shared" si="29"/>
        <v>269.63</v>
      </c>
      <c r="H185" s="283">
        <f t="shared" si="29"/>
        <v>30325946.5</v>
      </c>
      <c r="I185" s="284">
        <f t="shared" si="29"/>
        <v>4</v>
      </c>
      <c r="J185" s="285">
        <f t="shared" si="29"/>
        <v>7</v>
      </c>
      <c r="K185" s="285">
        <f t="shared" si="29"/>
        <v>3</v>
      </c>
      <c r="L185" s="285">
        <f t="shared" si="29"/>
        <v>0</v>
      </c>
      <c r="M185" s="305">
        <f>SUM(T176:T177)</f>
        <v>0</v>
      </c>
      <c r="N185" s="339"/>
      <c r="O185" s="339"/>
      <c r="P185" s="86"/>
      <c r="T185" s="66"/>
    </row>
    <row r="186" spans="1:21" s="65" customFormat="1" ht="22.5" customHeight="1">
      <c r="A186" s="135" t="s">
        <v>115</v>
      </c>
      <c r="B186" s="135" t="s">
        <v>101</v>
      </c>
      <c r="C186" s="136" t="s">
        <v>98</v>
      </c>
      <c r="D186" s="486" t="s">
        <v>494</v>
      </c>
      <c r="E186" s="487" t="s">
        <v>495</v>
      </c>
      <c r="F186" s="524" t="s">
        <v>496</v>
      </c>
      <c r="G186" s="489" t="s">
        <v>946</v>
      </c>
      <c r="H186" s="525" t="s">
        <v>947</v>
      </c>
      <c r="I186" s="217">
        <v>0</v>
      </c>
      <c r="J186" s="218">
        <v>1</v>
      </c>
      <c r="K186" s="340">
        <v>2</v>
      </c>
      <c r="L186" s="218">
        <v>3</v>
      </c>
      <c r="M186" s="219" t="s">
        <v>1367</v>
      </c>
      <c r="N186" s="339"/>
      <c r="O186" s="339"/>
      <c r="P186" s="86"/>
      <c r="T186" s="66"/>
    </row>
    <row r="187" spans="1:21" s="65" customFormat="1">
      <c r="A187" s="177" t="s">
        <v>16</v>
      </c>
      <c r="B187" s="291">
        <f>SUMIFS(РД[S],РД[ИМ],A187,РД[Дата подачи на регистрацию],"&lt;="&amp;$A$1,РД[Дата подачи на регистрацию],"&gt;="&amp;DATE(YEAR($A$1),MONTH($A$1),1),РД[Источник рекламы],"Н -*")</f>
        <v>328.53999999999996</v>
      </c>
      <c r="C187" s="312">
        <f>SUMIFS(РД[Стоимость без отделки итог],РД[ИМ],A187,РД[Дата подачи на регистрацию],"&lt;="&amp;$A$1,РД[Дата подачи на регистрацию],"&gt;="&amp;DATE(YEAR($A$1),MONTH($A$1),1),РД[Источник рекламы],"Н -*")</f>
        <v>37148200</v>
      </c>
      <c r="D187" s="551"/>
      <c r="E187" s="292"/>
      <c r="F187" s="552"/>
      <c r="G187" s="291">
        <f>SUMIFS(РД[S],РД[ИМ],A187,РД[Дата подачи на регистрацию],"&lt;="&amp;$A$1,РД[Дата подачи на регистрацию],"&gt;="&amp;DATE(YEAR($A$1),MONTH($A$1),1),РД[Источник рекламы],"Н -*")/2</f>
        <v>164.26999999999998</v>
      </c>
      <c r="H187" s="312">
        <f>SUMIFS(РД[Стоимость без отделки итог],РД[ИМ],A187,РД[Дата подачи на регистрацию],"&lt;="&amp;$A$1,РД[Дата подачи на регистрацию],"&gt;="&amp;DATE(YEAR($A$1),MONTH($A$1),1),РД[Источник рекламы],"Н -*")/2</f>
        <v>18574100</v>
      </c>
      <c r="I187" s="346">
        <f>COUNTIFS(РД[Тип кв],I$177,РД[ИМ],$A187,РД[Дата подачи на регистрацию],"&lt;="&amp;$A$1,РД[Дата подачи на регистрацию],"&gt;="&amp;DATE(YEAR($A$1),MONTH($A$1),1),РД[Источник рекламы],"Н -*")</f>
        <v>3</v>
      </c>
      <c r="J187" s="243">
        <f>COUNTIFS(РД[Тип кв],J$177,РД[ИМ],$A187,РД[Дата подачи на регистрацию],"&lt;="&amp;$A$1,РД[Дата подачи на регистрацию],"&gt;="&amp;DATE(YEAR($A$1),MONTH($A$1),1),РД[Источник рекламы],"Н -*")</f>
        <v>5</v>
      </c>
      <c r="K187" s="243">
        <f>COUNTIFS(РД[Тип кв],K$177,РД[ИМ],$A187,РД[Дата подачи на регистрацию],"&lt;="&amp;$A$1,РД[Дата подачи на регистрацию],"&gt;="&amp;DATE(YEAR($A$1),MONTH($A$1),1),РД[Источник рекламы],"Н -*")</f>
        <v>1</v>
      </c>
      <c r="L187" s="243">
        <f>COUNTIFS(РД[Тип кв],L$177,РД[ИМ],$A187,РД[Дата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7" s="246">
        <f>COUNTIFS(РД[Тип кв],S$174,РД[ИМ],$A187,РД[Дата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7" s="339"/>
      <c r="O187" s="339"/>
      <c r="P187" s="86"/>
      <c r="T187" s="66"/>
    </row>
    <row r="188" spans="1:21" s="65" customFormat="1">
      <c r="A188" s="189" t="s">
        <v>22</v>
      </c>
      <c r="B188" s="516">
        <f>SUMIFS(РД[S],РД[ИМ],A188,РД[Дата подачи на регистрацию],"&lt;="&amp;$A$1,РД[Дата подачи на регистрацию],"&gt;="&amp;DATE(YEAR($A$1),MONTH($A$1),1),РД[Источник рекламы],"Н -*")</f>
        <v>150.85</v>
      </c>
      <c r="C188" s="517">
        <f>SUMIFS(РД[Стоимость без отделки итог],РД[ИМ],A188,РД[Дата подачи на регистрацию],"&lt;="&amp;$A$1,РД[Дата подачи на регистрацию],"&gt;="&amp;DATE(YEAR($A$1),MONTH($A$1),1),РД[Источник рекламы],"Н -*")</f>
        <v>17463600</v>
      </c>
      <c r="D188" s="553"/>
      <c r="E188" s="554"/>
      <c r="F188" s="555"/>
      <c r="G188" s="516">
        <f>SUMIFS(РД[S],РД[ИМ],A188,РД[Дата подачи на регистрацию],"&lt;="&amp;$A$1,РД[Дата подачи на регистрацию],"&gt;="&amp;DATE(YEAR($A$1),MONTH($A$1),1),РД[Источник рекламы],"Н -*")/2</f>
        <v>75.424999999999997</v>
      </c>
      <c r="H188" s="517">
        <f>SUMIFS(РД[Стоимость без отделки итог],РД[ИМ],A188,РД[Дата подачи на регистрацию],"&lt;="&amp;$A$1,РД[Дата подачи на регистрацию],"&gt;="&amp;DATE(YEAR($A$1),MONTH($A$1),1),РД[Источник рекламы],"Н -*")/2</f>
        <v>8731800</v>
      </c>
      <c r="I188" s="426">
        <f>COUNTIFS(РД[Тип кв],I$177,РД[ИМ],$A188,РД[Дата подачи на регистрацию],"&lt;="&amp;$A$1,РД[Дата подачи на регистрацию],"&gt;="&amp;DATE(YEAR($A$1),MONTH($A$1),1),РД[Источник рекламы],"Н -*")</f>
        <v>1</v>
      </c>
      <c r="J188" s="251">
        <f>COUNTIFS(РД[Тип кв],J$177,РД[ИМ],$A188,РД[Дата подачи на регистрацию],"&lt;="&amp;$A$1,РД[Дата подачи на регистрацию],"&gt;="&amp;DATE(YEAR($A$1),MONTH($A$1),1),РД[Источник рекламы],"Н -*")</f>
        <v>2</v>
      </c>
      <c r="K188" s="251">
        <f>COUNTIFS(РД[Тип кв],K$177,РД[ИМ],$A188,РД[Дата подачи на регистрацию],"&lt;="&amp;$A$1,РД[Дата подачи на регистрацию],"&gt;="&amp;DATE(YEAR($A$1),MONTH($A$1),1),РД[Источник рекламы],"Н -*")</f>
        <v>1</v>
      </c>
      <c r="L188" s="251">
        <f>COUNTIFS(РД[Тип кв],L$177,РД[ИМ],$A188,РД[Дата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M188" s="254">
        <f>COUNTIFS(РД[Тип кв],S$174,РД[ИМ],$A188,РД[Дата подачи на регистрацию],"&lt;="&amp;$A$1,РД[Дата подачи на регистрацию],"&gt;="&amp;DATE(YEAR($A$1),MONTH($A$1),1),РД[Источник рекламы],"Партнерство - Агентство Все метры")</f>
        <v>0</v>
      </c>
      <c r="N188" s="339"/>
      <c r="O188" s="339"/>
      <c r="P188" s="86"/>
      <c r="T188" s="66"/>
    </row>
    <row r="189" spans="1:21" s="65" customFormat="1">
      <c r="A189" s="513" t="s">
        <v>114</v>
      </c>
      <c r="B189" s="282">
        <f>SUM(B187:B188)</f>
        <v>479.39</v>
      </c>
      <c r="C189" s="283">
        <f>SUM(C187:C188)</f>
        <v>54611800</v>
      </c>
      <c r="D189" s="425">
        <f t="shared" ref="D189:L189" si="30">SUM(D187:D188)</f>
        <v>0</v>
      </c>
      <c r="E189" s="287">
        <f t="shared" si="30"/>
        <v>0</v>
      </c>
      <c r="F189" s="286">
        <f t="shared" si="30"/>
        <v>0</v>
      </c>
      <c r="G189" s="282">
        <f t="shared" si="30"/>
        <v>239.69499999999999</v>
      </c>
      <c r="H189" s="283">
        <f t="shared" si="30"/>
        <v>27305900</v>
      </c>
      <c r="I189" s="284">
        <f t="shared" si="30"/>
        <v>4</v>
      </c>
      <c r="J189" s="285">
        <f t="shared" si="30"/>
        <v>7</v>
      </c>
      <c r="K189" s="285">
        <f t="shared" si="30"/>
        <v>2</v>
      </c>
      <c r="L189" s="285">
        <f t="shared" si="30"/>
        <v>0</v>
      </c>
      <c r="M189" s="305">
        <f>SUM(S183:S184)</f>
        <v>0</v>
      </c>
      <c r="N189" s="339"/>
      <c r="O189" s="339"/>
      <c r="P189" s="86"/>
      <c r="T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:21" s="65" customFormat="1">
      <c r="Q225" s="86"/>
      <c r="U225" s="66"/>
    </row>
    <row r="226" spans="1:2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86"/>
      <c r="R226" s="65"/>
      <c r="S226" s="65"/>
    </row>
    <row r="227" spans="1:2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86"/>
      <c r="R227" s="65"/>
      <c r="S227" s="65"/>
    </row>
    <row r="228" spans="1:21" s="65" customFormat="1">
      <c r="Q228" s="86"/>
      <c r="U228" s="66"/>
    </row>
    <row r="229" spans="1:21" s="65" customFormat="1">
      <c r="Q229" s="86"/>
      <c r="U229" s="66"/>
    </row>
    <row r="230" spans="1:21" s="65" customFormat="1">
      <c r="Q230" s="86"/>
      <c r="U230" s="66"/>
    </row>
    <row r="231" spans="1:21" s="65" customFormat="1">
      <c r="Q231" s="86"/>
      <c r="U231" s="66"/>
    </row>
    <row r="232" spans="1:21" s="65" customFormat="1">
      <c r="Q232" s="86"/>
      <c r="U232" s="66"/>
    </row>
    <row r="233" spans="1:21" s="65" customFormat="1">
      <c r="Q233" s="86"/>
      <c r="U233" s="66"/>
    </row>
    <row r="234" spans="1:21" s="65" customFormat="1">
      <c r="Q234" s="86"/>
      <c r="U234" s="66"/>
    </row>
    <row r="235" spans="1:21" s="65" customFormat="1">
      <c r="Q235" s="86"/>
      <c r="U235" s="66"/>
    </row>
    <row r="236" spans="1:21" s="65" customFormat="1">
      <c r="Q236" s="86"/>
      <c r="U236" s="66"/>
    </row>
    <row r="237" spans="1:21" s="65" customFormat="1">
      <c r="Q237" s="86"/>
      <c r="U237" s="66"/>
    </row>
    <row r="238" spans="1:21" s="65" customFormat="1">
      <c r="Q238" s="86"/>
      <c r="U238" s="66"/>
    </row>
    <row r="239" spans="1:21" s="65" customFormat="1">
      <c r="Q239" s="86"/>
      <c r="U239" s="66"/>
    </row>
    <row r="240" spans="1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U309" s="66"/>
    </row>
    <row r="310" spans="17:21" s="65" customFormat="1">
      <c r="Q310" s="86"/>
      <c r="U310" s="66"/>
    </row>
    <row r="311" spans="17:21" s="65" customFormat="1">
      <c r="Q311" s="86"/>
      <c r="U311" s="66"/>
    </row>
    <row r="312" spans="17:21" s="65" customFormat="1">
      <c r="Q312" s="86"/>
      <c r="U312" s="66"/>
    </row>
    <row r="313" spans="17:21" s="65" customFormat="1">
      <c r="Q313" s="86"/>
      <c r="U313" s="66"/>
    </row>
    <row r="314" spans="17:21" s="65" customFormat="1">
      <c r="Q314" s="86"/>
      <c r="R314" s="66"/>
      <c r="S314" s="66"/>
      <c r="U314" s="66"/>
    </row>
    <row r="315" spans="17:21" s="65" customFormat="1">
      <c r="Q315" s="86"/>
      <c r="R315" s="66"/>
      <c r="S315" s="66"/>
      <c r="U315" s="66"/>
    </row>
    <row r="316" spans="17:21" s="65" customFormat="1">
      <c r="Q316" s="86"/>
      <c r="R316" s="66"/>
      <c r="S316" s="66"/>
      <c r="U316" s="66"/>
    </row>
    <row r="317" spans="17:21" s="65" customFormat="1">
      <c r="Q317" s="86"/>
      <c r="R317" s="66"/>
      <c r="S317" s="66"/>
      <c r="U317" s="66"/>
    </row>
  </sheetData>
  <sheetProtection algorithmName="SHA-512" hashValue="6kAOdhDkDEXwAHDCXtyEDJd+AUFyp4Tv/GpgQEMp4yEMIejY+THyb+AQpCNCL4BW3QZCpgI953CHa8nntc3EQw==" saltValue="CHuY6mPSmy88iRpuSHyoKw==" spinCount="100000" sheet="1" formatCells="0" formatColumns="0" formatRows="0" sort="0" autoFilter="0" pivotTables="0"/>
  <mergeCells count="6">
    <mergeCell ref="A176:M176"/>
    <mergeCell ref="A1:U1"/>
    <mergeCell ref="A116:B116"/>
    <mergeCell ref="A131:B131"/>
    <mergeCell ref="A146:B146"/>
    <mergeCell ref="A161:N161"/>
  </mergeCells>
  <pageMargins left="0.25" right="0.25" top="0.75" bottom="0.75" header="0.3" footer="0.3"/>
  <pageSetup paperSize="9" scale="2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3100-000000000000}">
          <x14:formula1>
            <xm:f>Списки!$C$2:$C$27</xm:f>
          </x14:formula1>
          <xm:sqref>T8 T24 J3:J110 S3:T7 S9:T23 S25:T110</xm:sqref>
        </x14:dataValidation>
        <x14:dataValidation type="list" allowBlank="1" showInputMessage="1" showErrorMessage="1" xr:uid="{00000000-0002-0000-3100-000001000000}">
          <x14:formula1>
            <xm:f>Списки!$B$2:$B$5</xm:f>
          </x14:formula1>
          <xm:sqref>C3:C110 G113:G114</xm:sqref>
        </x14:dataValidation>
        <x14:dataValidation type="list" allowBlank="1" showInputMessage="1" showErrorMessage="1" xr:uid="{00000000-0002-0000-3100-000002000000}">
          <x14:formula1>
            <xm:f>Списки!$C$3:$C$4</xm:f>
          </x14:formula1>
          <xm:sqref>D113:D114</xm:sqref>
        </x14:dataValidation>
        <x14:dataValidation type="list" allowBlank="1" showInputMessage="1" showErrorMessage="1" xr:uid="{00000000-0002-0000-3100-000003000000}">
          <x14:formula1>
            <xm:f>Списки!$D$2:$D$7</xm:f>
          </x14:formula1>
          <xm:sqref>F113:F114 G3:G110</xm:sqref>
        </x14:dataValidation>
        <x14:dataValidation type="list" allowBlank="1" showInputMessage="1" showErrorMessage="1" xr:uid="{00000000-0002-0000-3100-000004000000}">
          <x14:formula1>
            <xm:f>Списки!$E$2:$E$7</xm:f>
          </x14:formula1>
          <xm:sqref>H113:H114 K3:K110</xm:sqref>
        </x14:dataValidation>
        <x14:dataValidation type="list" allowBlank="1" showInputMessage="1" showErrorMessage="1" xr:uid="{00000000-0002-0000-3100-000005000000}">
          <x14:formula1>
            <xm:f>Списки!$G$2:$G$3</xm:f>
          </x14:formula1>
          <xm:sqref>L113:L114 M3:M110</xm:sqref>
        </x14:dataValidation>
        <x14:dataValidation type="list" allowBlank="1" showInputMessage="1" showErrorMessage="1" xr:uid="{00000000-0002-0000-3100-000006000000}">
          <x14:formula1>
            <xm:f>Списки!$F$2:$F$3</xm:f>
          </x14:formula1>
          <xm:sqref>N113:N114 O3:O4 O6:O69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AE320"/>
  <sheetViews>
    <sheetView view="pageBreakPreview" zoomScaleNormal="85" workbookViewId="0">
      <pane ySplit="2" topLeftCell="A7" activePane="bottomLeft" state="frozen"/>
      <selection pane="bottomLeft" activeCell="B133" sqref="B133"/>
    </sheetView>
  </sheetViews>
  <sheetFormatPr defaultColWidth="13.28515625" defaultRowHeight="12.75"/>
  <cols>
    <col min="1" max="1" width="11.7109375" style="66" customWidth="1"/>
    <col min="2" max="2" width="13.140625" style="66" customWidth="1"/>
    <col min="3" max="3" width="13.42578125" style="66" customWidth="1"/>
    <col min="4" max="4" width="10.42578125" style="66" customWidth="1"/>
    <col min="5" max="5" width="15.7109375" style="66" customWidth="1"/>
    <col min="6" max="6" width="10.28515625" style="66" customWidth="1"/>
    <col min="7" max="7" width="13.85546875" style="66" customWidth="1"/>
    <col min="8" max="8" width="14" style="66" customWidth="1"/>
    <col min="9" max="9" width="11.28515625" style="66" customWidth="1"/>
    <col min="10" max="10" width="18" style="66" customWidth="1"/>
    <col min="11" max="11" width="20.140625" style="66" customWidth="1"/>
    <col min="12" max="12" width="14.42578125" style="66" customWidth="1"/>
    <col min="13" max="13" width="13.85546875" style="66" customWidth="1"/>
    <col min="14" max="14" width="15.5703125" style="66" customWidth="1"/>
    <col min="15" max="15" width="16" style="66" customWidth="1"/>
    <col min="16" max="16" width="25.5703125" style="66" customWidth="1"/>
    <col min="17" max="17" width="19.28515625" style="66" customWidth="1"/>
    <col min="18" max="18" width="21.140625" style="66" customWidth="1"/>
    <col min="19" max="19" width="18" style="66" customWidth="1"/>
    <col min="20" max="20" width="13.28515625" style="65"/>
    <col min="21" max="21" width="14.140625" style="66" customWidth="1"/>
    <col min="22" max="16384" width="13.28515625" style="66"/>
  </cols>
  <sheetData>
    <row r="1" spans="1:31">
      <c r="A1" s="2297">
        <v>45473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31" ht="31.5">
      <c r="A2" s="70" t="s">
        <v>719</v>
      </c>
      <c r="B2" s="70" t="s">
        <v>49</v>
      </c>
      <c r="C2" s="70" t="s">
        <v>120</v>
      </c>
      <c r="D2" s="70" t="s">
        <v>1580</v>
      </c>
      <c r="E2" s="70" t="s">
        <v>1581</v>
      </c>
      <c r="F2" s="72" t="s">
        <v>53</v>
      </c>
      <c r="G2" s="439" t="s">
        <v>576</v>
      </c>
      <c r="H2" s="439" t="s">
        <v>2036</v>
      </c>
      <c r="I2" s="70" t="s">
        <v>54</v>
      </c>
      <c r="J2" s="70" t="s">
        <v>1</v>
      </c>
      <c r="K2" s="70" t="s">
        <v>3</v>
      </c>
      <c r="L2" s="70" t="s">
        <v>55</v>
      </c>
      <c r="M2" s="72" t="s">
        <v>56</v>
      </c>
      <c r="N2" s="70" t="s">
        <v>57</v>
      </c>
      <c r="O2" s="70" t="s">
        <v>58</v>
      </c>
      <c r="P2" s="70" t="s">
        <v>59</v>
      </c>
      <c r="Q2" s="70" t="s">
        <v>60</v>
      </c>
      <c r="R2" s="70" t="s">
        <v>265</v>
      </c>
      <c r="S2" s="70" t="s">
        <v>62</v>
      </c>
      <c r="T2" s="70" t="s">
        <v>500</v>
      </c>
      <c r="U2" s="462" t="s">
        <v>1584</v>
      </c>
    </row>
    <row r="3" spans="1:31" s="61" customFormat="1" ht="25.5">
      <c r="A3" s="62">
        <v>1</v>
      </c>
      <c r="B3" s="75">
        <v>18192</v>
      </c>
      <c r="C3" s="62" t="s">
        <v>13</v>
      </c>
      <c r="D3" s="75">
        <v>408</v>
      </c>
      <c r="E3" s="62">
        <v>2</v>
      </c>
      <c r="F3" s="62">
        <v>58.24</v>
      </c>
      <c r="G3" s="62" t="s">
        <v>25</v>
      </c>
      <c r="H3" s="62">
        <v>20000</v>
      </c>
      <c r="I3" s="95">
        <v>6655900</v>
      </c>
      <c r="J3" s="62" t="s">
        <v>20</v>
      </c>
      <c r="K3" s="62" t="s">
        <v>22</v>
      </c>
      <c r="L3" s="62" t="s">
        <v>583</v>
      </c>
      <c r="M3" s="62" t="s">
        <v>12</v>
      </c>
      <c r="N3" s="92">
        <v>45467</v>
      </c>
      <c r="O3" s="62" t="s">
        <v>17</v>
      </c>
      <c r="P3" s="62" t="s">
        <v>2078</v>
      </c>
      <c r="Q3" s="113" t="s">
        <v>67</v>
      </c>
      <c r="R3" s="113" t="s">
        <v>2079</v>
      </c>
      <c r="S3" s="62" t="s">
        <v>20</v>
      </c>
      <c r="T3" s="62" t="s">
        <v>20</v>
      </c>
      <c r="U3" s="114">
        <f>июнь24[[#This Row],[сумма]]-июнь24[[#This Row],[Цена м2 отделки]]*июнь24[[#This Row],[м2]]</f>
        <v>5491100</v>
      </c>
    </row>
    <row r="4" spans="1:31">
      <c r="A4" s="65">
        <v>2</v>
      </c>
      <c r="B4" s="78"/>
      <c r="C4" s="65"/>
      <c r="D4" s="79"/>
      <c r="E4" s="65"/>
      <c r="F4" s="65"/>
      <c r="G4" s="86"/>
      <c r="H4" s="65"/>
      <c r="I4" s="104"/>
      <c r="J4" s="65"/>
      <c r="K4" s="65"/>
      <c r="L4" s="65"/>
      <c r="M4" s="65"/>
      <c r="N4" s="98"/>
      <c r="O4" s="65"/>
      <c r="P4" s="86"/>
      <c r="Q4" s="118"/>
      <c r="R4" s="118"/>
      <c r="S4" s="65"/>
      <c r="U4" s="115">
        <f>июнь24[[#This Row],[сумма]]-июнь24[[#This Row],[Цена м2 отделки]]*июнь24[[#This Row],[м2]]</f>
        <v>0</v>
      </c>
    </row>
    <row r="5" spans="1:31" s="61" customFormat="1">
      <c r="A5" s="62">
        <v>3</v>
      </c>
      <c r="B5" s="75">
        <v>31936</v>
      </c>
      <c r="C5" s="62" t="s">
        <v>13</v>
      </c>
      <c r="D5" s="75">
        <v>336</v>
      </c>
      <c r="E5" s="62">
        <v>2</v>
      </c>
      <c r="F5" s="62">
        <v>56.58</v>
      </c>
      <c r="G5" s="62" t="s">
        <v>25</v>
      </c>
      <c r="H5" s="62">
        <v>20000</v>
      </c>
      <c r="I5" s="95">
        <v>6451856</v>
      </c>
      <c r="J5" s="62" t="s">
        <v>41</v>
      </c>
      <c r="K5" s="62"/>
      <c r="L5" s="62" t="s">
        <v>514</v>
      </c>
      <c r="M5" s="62" t="s">
        <v>18</v>
      </c>
      <c r="N5" s="92">
        <v>45468</v>
      </c>
      <c r="O5" s="62" t="s">
        <v>17</v>
      </c>
      <c r="P5" s="62" t="s">
        <v>2080</v>
      </c>
      <c r="Q5" s="113" t="s">
        <v>67</v>
      </c>
      <c r="R5" s="113"/>
      <c r="S5" s="62" t="s">
        <v>41</v>
      </c>
      <c r="T5" s="62" t="s">
        <v>8</v>
      </c>
      <c r="U5" s="114">
        <f>июнь24[[#This Row],[сумма]]-июнь24[[#This Row],[Цена м2 отделки]]*июнь24[[#This Row],[м2]]</f>
        <v>5320256</v>
      </c>
    </row>
    <row r="6" spans="1:31">
      <c r="A6" s="65">
        <v>4</v>
      </c>
      <c r="B6" s="79"/>
      <c r="C6" s="65"/>
      <c r="D6" s="79"/>
      <c r="E6" s="87"/>
      <c r="F6" s="65"/>
      <c r="G6" s="65"/>
      <c r="H6" s="65"/>
      <c r="I6" s="93"/>
      <c r="J6" s="65"/>
      <c r="K6" s="65"/>
      <c r="L6" s="65"/>
      <c r="M6" s="65"/>
      <c r="N6" s="98"/>
      <c r="O6" s="65"/>
      <c r="P6" s="65"/>
      <c r="Q6" s="118"/>
      <c r="R6" s="118"/>
      <c r="S6" s="65"/>
      <c r="U6" s="115">
        <f>июнь24[[#This Row],[сумма]]-июнь24[[#This Row],[Цена м2 отделки]]*июнь24[[#This Row],[м2]]</f>
        <v>0</v>
      </c>
    </row>
    <row r="7" spans="1:31" s="61" customFormat="1" ht="25.5">
      <c r="A7" s="62">
        <v>5</v>
      </c>
      <c r="B7" s="75">
        <v>31814</v>
      </c>
      <c r="C7" s="62" t="s">
        <v>13</v>
      </c>
      <c r="D7" s="75">
        <v>84</v>
      </c>
      <c r="E7" s="62">
        <v>1</v>
      </c>
      <c r="F7" s="62">
        <v>34.39</v>
      </c>
      <c r="G7" s="62" t="s">
        <v>9</v>
      </c>
      <c r="H7" s="62"/>
      <c r="I7" s="95">
        <v>4023400</v>
      </c>
      <c r="J7" s="62" t="s">
        <v>8</v>
      </c>
      <c r="K7" s="62" t="s">
        <v>16</v>
      </c>
      <c r="L7" s="62" t="s">
        <v>583</v>
      </c>
      <c r="M7" s="62" t="s">
        <v>12</v>
      </c>
      <c r="N7" s="92">
        <v>45457</v>
      </c>
      <c r="O7" s="62" t="s">
        <v>17</v>
      </c>
      <c r="P7" s="62" t="s">
        <v>2081</v>
      </c>
      <c r="Q7" s="76" t="s">
        <v>67</v>
      </c>
      <c r="R7" s="76" t="s">
        <v>2082</v>
      </c>
      <c r="S7" s="62" t="s">
        <v>8</v>
      </c>
      <c r="T7" s="62" t="s">
        <v>8</v>
      </c>
      <c r="U7" s="114">
        <f>июнь24[[#This Row],[сумма]]-июнь24[[#This Row],[Цена м2 отделки]]*июнь24[[#This Row],[м2]]</f>
        <v>4023400</v>
      </c>
    </row>
    <row r="8" spans="1:31" s="61" customFormat="1" ht="25.5">
      <c r="A8" s="62">
        <v>6</v>
      </c>
      <c r="B8" s="81">
        <v>32505</v>
      </c>
      <c r="C8" s="62" t="s">
        <v>13</v>
      </c>
      <c r="D8" s="75">
        <v>567</v>
      </c>
      <c r="E8" s="349">
        <v>0</v>
      </c>
      <c r="F8" s="62">
        <v>24.5</v>
      </c>
      <c r="G8" s="62" t="s">
        <v>25</v>
      </c>
      <c r="H8" s="62">
        <v>20000</v>
      </c>
      <c r="I8" s="95">
        <v>3616300</v>
      </c>
      <c r="J8" s="62" t="s">
        <v>31</v>
      </c>
      <c r="K8" s="62" t="s">
        <v>16</v>
      </c>
      <c r="L8" s="62" t="s">
        <v>583</v>
      </c>
      <c r="M8" s="62" t="s">
        <v>18</v>
      </c>
      <c r="N8" s="92">
        <v>45453</v>
      </c>
      <c r="O8" s="62" t="s">
        <v>17</v>
      </c>
      <c r="P8" s="377" t="s">
        <v>2083</v>
      </c>
      <c r="Q8" s="113" t="s">
        <v>67</v>
      </c>
      <c r="R8" s="113" t="s">
        <v>2084</v>
      </c>
      <c r="S8" s="62" t="s">
        <v>31</v>
      </c>
      <c r="T8" s="62" t="s">
        <v>20</v>
      </c>
      <c r="U8" s="114">
        <f>июнь24[[#This Row],[сумма]]-июнь24[[#This Row],[Цена м2 отделки]]*июнь24[[#This Row],[м2]]</f>
        <v>3126300</v>
      </c>
    </row>
    <row r="9" spans="1:31" s="61" customFormat="1" ht="25.5">
      <c r="A9" s="62">
        <v>7</v>
      </c>
      <c r="B9" s="75">
        <v>32411</v>
      </c>
      <c r="C9" s="62" t="s">
        <v>13</v>
      </c>
      <c r="D9" s="75">
        <v>134</v>
      </c>
      <c r="E9" s="62">
        <v>2</v>
      </c>
      <c r="F9" s="62">
        <v>57.6</v>
      </c>
      <c r="G9" s="62" t="s">
        <v>25</v>
      </c>
      <c r="H9" s="62">
        <v>20000</v>
      </c>
      <c r="I9" s="95">
        <v>6611742</v>
      </c>
      <c r="J9" s="62" t="s">
        <v>20</v>
      </c>
      <c r="K9" s="62" t="s">
        <v>16</v>
      </c>
      <c r="L9" s="62" t="s">
        <v>583</v>
      </c>
      <c r="M9" s="62" t="s">
        <v>18</v>
      </c>
      <c r="N9" s="92">
        <v>45464</v>
      </c>
      <c r="O9" s="62" t="s">
        <v>17</v>
      </c>
      <c r="P9" s="62" t="s">
        <v>2085</v>
      </c>
      <c r="Q9" s="113" t="s">
        <v>67</v>
      </c>
      <c r="R9" s="113" t="s">
        <v>2084</v>
      </c>
      <c r="S9" s="62" t="s">
        <v>20</v>
      </c>
      <c r="T9" s="62" t="s">
        <v>20</v>
      </c>
      <c r="U9" s="114">
        <f>июнь24[[#This Row],[сумма]]-июнь24[[#This Row],[Цена м2 отделки]]*июнь24[[#This Row],[м2]]</f>
        <v>5459742</v>
      </c>
    </row>
    <row r="10" spans="1:31" ht="12.75" customHeight="1">
      <c r="A10" s="62">
        <v>8</v>
      </c>
      <c r="B10" s="75">
        <v>2014</v>
      </c>
      <c r="C10" s="62" t="s">
        <v>13</v>
      </c>
      <c r="D10" s="75">
        <v>68</v>
      </c>
      <c r="E10" s="62">
        <v>2</v>
      </c>
      <c r="F10" s="62">
        <v>58.16</v>
      </c>
      <c r="G10" s="62" t="s">
        <v>25</v>
      </c>
      <c r="H10" s="62">
        <v>20000</v>
      </c>
      <c r="I10" s="95">
        <v>6817000</v>
      </c>
      <c r="J10" s="62" t="s">
        <v>8</v>
      </c>
      <c r="K10" s="62" t="s">
        <v>22</v>
      </c>
      <c r="L10" s="62" t="s">
        <v>583</v>
      </c>
      <c r="M10" s="62" t="s">
        <v>12</v>
      </c>
      <c r="N10" s="92">
        <v>45447</v>
      </c>
      <c r="O10" s="62" t="s">
        <v>17</v>
      </c>
      <c r="P10" s="62" t="s">
        <v>2086</v>
      </c>
      <c r="Q10" s="113" t="s">
        <v>67</v>
      </c>
      <c r="R10" s="113" t="s">
        <v>2084</v>
      </c>
      <c r="S10" s="62" t="s">
        <v>8</v>
      </c>
      <c r="T10" s="62" t="s">
        <v>8</v>
      </c>
      <c r="U10" s="114">
        <f>июнь24[[#This Row],[сумма]]-июнь24[[#This Row],[Цена м2 отделки]]*июнь24[[#This Row],[м2]]</f>
        <v>5653800</v>
      </c>
    </row>
    <row r="11" spans="1:31" s="61" customFormat="1" ht="25.5">
      <c r="A11" s="62">
        <v>9</v>
      </c>
      <c r="B11" s="74">
        <v>32327</v>
      </c>
      <c r="C11" s="62" t="s">
        <v>7</v>
      </c>
      <c r="D11" s="75">
        <v>6</v>
      </c>
      <c r="E11" s="62">
        <v>2</v>
      </c>
      <c r="F11" s="62">
        <v>59.87</v>
      </c>
      <c r="G11" s="62" t="s">
        <v>15</v>
      </c>
      <c r="H11" s="62">
        <v>7500</v>
      </c>
      <c r="I11" s="91">
        <v>6611825</v>
      </c>
      <c r="J11" s="62" t="s">
        <v>8</v>
      </c>
      <c r="K11" s="62" t="s">
        <v>16</v>
      </c>
      <c r="L11" s="62" t="s">
        <v>583</v>
      </c>
      <c r="M11" s="62" t="s">
        <v>12</v>
      </c>
      <c r="N11" s="92">
        <v>45457</v>
      </c>
      <c r="O11" s="62" t="s">
        <v>17</v>
      </c>
      <c r="P11" s="62" t="s">
        <v>2087</v>
      </c>
      <c r="Q11" s="113" t="s">
        <v>67</v>
      </c>
      <c r="R11" s="113" t="s">
        <v>2084</v>
      </c>
      <c r="S11" s="62" t="s">
        <v>8</v>
      </c>
      <c r="T11" s="62" t="s">
        <v>8</v>
      </c>
      <c r="U11" s="114">
        <f>июнь24[[#This Row],[сумма]]-июнь24[[#This Row],[Цена м2 отделки]]*июнь24[[#This Row],[м2]]</f>
        <v>6162800</v>
      </c>
    </row>
    <row r="12" spans="1:31" s="61" customFormat="1" ht="25.5">
      <c r="A12" s="62">
        <v>10</v>
      </c>
      <c r="B12" s="74">
        <v>32375</v>
      </c>
      <c r="C12" s="62" t="s">
        <v>13</v>
      </c>
      <c r="D12" s="75">
        <v>430</v>
      </c>
      <c r="E12" s="62">
        <v>1</v>
      </c>
      <c r="F12" s="62">
        <v>43.21</v>
      </c>
      <c r="G12" s="76" t="s">
        <v>21</v>
      </c>
      <c r="H12" s="76">
        <v>7000</v>
      </c>
      <c r="I12" s="91">
        <v>4980970</v>
      </c>
      <c r="J12" s="62" t="s">
        <v>8</v>
      </c>
      <c r="K12" s="62" t="s">
        <v>16</v>
      </c>
      <c r="L12" s="62" t="s">
        <v>583</v>
      </c>
      <c r="M12" s="62" t="s">
        <v>18</v>
      </c>
      <c r="N12" s="92">
        <v>45447</v>
      </c>
      <c r="O12" s="62" t="s">
        <v>17</v>
      </c>
      <c r="P12" s="76" t="s">
        <v>2088</v>
      </c>
      <c r="Q12" s="113" t="s">
        <v>67</v>
      </c>
      <c r="R12" s="113" t="s">
        <v>2084</v>
      </c>
      <c r="S12" s="62" t="s">
        <v>8</v>
      </c>
      <c r="T12" s="62" t="s">
        <v>14</v>
      </c>
      <c r="U12" s="114">
        <f>июнь24[[#This Row],[сумма]]-июнь24[[#This Row],[Цена м2 отделки]]*июнь24[[#This Row],[м2]]</f>
        <v>4678500</v>
      </c>
      <c r="V12" s="66"/>
    </row>
    <row r="13" spans="1:31" s="61" customFormat="1" ht="25.5">
      <c r="A13" s="62">
        <v>11</v>
      </c>
      <c r="B13" s="74">
        <v>29534</v>
      </c>
      <c r="C13" s="62" t="s">
        <v>13</v>
      </c>
      <c r="D13" s="75">
        <v>109</v>
      </c>
      <c r="E13" s="62">
        <v>2</v>
      </c>
      <c r="F13" s="62">
        <v>62.17</v>
      </c>
      <c r="G13" s="62" t="s">
        <v>9</v>
      </c>
      <c r="H13" s="62"/>
      <c r="I13" s="95">
        <v>6076900</v>
      </c>
      <c r="J13" s="62" t="s">
        <v>1892</v>
      </c>
      <c r="K13" s="62" t="s">
        <v>22</v>
      </c>
      <c r="L13" s="62" t="s">
        <v>583</v>
      </c>
      <c r="M13" s="62" t="s">
        <v>18</v>
      </c>
      <c r="N13" s="92">
        <v>45456</v>
      </c>
      <c r="O13" s="62" t="s">
        <v>17</v>
      </c>
      <c r="P13" s="76" t="s">
        <v>2089</v>
      </c>
      <c r="Q13" s="113" t="s">
        <v>67</v>
      </c>
      <c r="R13" s="113" t="s">
        <v>2084</v>
      </c>
      <c r="S13" s="62" t="s">
        <v>1892</v>
      </c>
      <c r="T13" s="62" t="s">
        <v>8</v>
      </c>
      <c r="U13" s="114">
        <f>июнь24[[#This Row],[сумма]]-июнь24[[#This Row],[Цена м2 отделки]]*июнь24[[#This Row],[м2]]</f>
        <v>6076900</v>
      </c>
      <c r="AE13" s="543"/>
    </row>
    <row r="14" spans="1:31" s="61" customFormat="1" ht="25.5">
      <c r="A14" s="62">
        <v>12</v>
      </c>
      <c r="B14" s="75">
        <v>32552</v>
      </c>
      <c r="C14" s="62" t="s">
        <v>13</v>
      </c>
      <c r="D14" s="75">
        <v>458</v>
      </c>
      <c r="E14" s="62">
        <v>1</v>
      </c>
      <c r="F14" s="62">
        <v>38.299999999999997</v>
      </c>
      <c r="G14" s="62" t="s">
        <v>21</v>
      </c>
      <c r="H14" s="62">
        <v>7000</v>
      </c>
      <c r="I14" s="95">
        <v>4386138</v>
      </c>
      <c r="J14" s="62" t="s">
        <v>20</v>
      </c>
      <c r="K14" s="62" t="s">
        <v>1892</v>
      </c>
      <c r="L14" s="62" t="s">
        <v>583</v>
      </c>
      <c r="M14" s="62" t="s">
        <v>18</v>
      </c>
      <c r="N14" s="92">
        <v>45454</v>
      </c>
      <c r="O14" s="62" t="s">
        <v>17</v>
      </c>
      <c r="P14" s="62" t="s">
        <v>2090</v>
      </c>
      <c r="Q14" s="113" t="s">
        <v>67</v>
      </c>
      <c r="R14" s="113" t="s">
        <v>2079</v>
      </c>
      <c r="S14" s="62" t="s">
        <v>20</v>
      </c>
      <c r="T14" s="62" t="s">
        <v>20</v>
      </c>
      <c r="U14" s="114">
        <f>июнь24[[#This Row],[сумма]]-июнь24[[#This Row],[Цена м2 отделки]]*июнь24[[#This Row],[м2]]</f>
        <v>4118038</v>
      </c>
    </row>
    <row r="15" spans="1:31">
      <c r="A15" s="65">
        <v>13</v>
      </c>
      <c r="B15" s="79"/>
      <c r="C15" s="65"/>
      <c r="D15" s="79"/>
      <c r="E15" s="65"/>
      <c r="F15" s="65"/>
      <c r="G15" s="65"/>
      <c r="H15" s="65"/>
      <c r="I15" s="93"/>
      <c r="J15" s="65"/>
      <c r="K15" s="65"/>
      <c r="L15" s="65"/>
      <c r="M15" s="65"/>
      <c r="N15" s="98"/>
      <c r="O15" s="65"/>
      <c r="P15" s="65"/>
      <c r="Q15" s="118"/>
      <c r="R15" s="118"/>
      <c r="S15" s="65"/>
      <c r="U15" s="115">
        <f>июнь24[[#This Row],[сумма]]-июнь24[[#This Row],[Цена м2 отделки]]*июнь24[[#This Row],[м2]]</f>
        <v>0</v>
      </c>
    </row>
    <row r="16" spans="1:31" ht="25.5">
      <c r="A16" s="62">
        <v>14</v>
      </c>
      <c r="B16" s="74">
        <v>32617</v>
      </c>
      <c r="C16" s="62" t="s">
        <v>13</v>
      </c>
      <c r="D16" s="75">
        <v>311</v>
      </c>
      <c r="E16" s="62">
        <v>3</v>
      </c>
      <c r="F16" s="62">
        <v>80.97</v>
      </c>
      <c r="G16" s="62" t="s">
        <v>9</v>
      </c>
      <c r="H16" s="62"/>
      <c r="I16" s="95">
        <v>7174500</v>
      </c>
      <c r="J16" s="62" t="s">
        <v>20</v>
      </c>
      <c r="K16" s="62" t="s">
        <v>22</v>
      </c>
      <c r="L16" s="62" t="s">
        <v>583</v>
      </c>
      <c r="M16" s="62" t="s">
        <v>18</v>
      </c>
      <c r="N16" s="92">
        <v>45448</v>
      </c>
      <c r="O16" s="62" t="s">
        <v>17</v>
      </c>
      <c r="P16" s="62" t="s">
        <v>2091</v>
      </c>
      <c r="Q16" s="113" t="s">
        <v>67</v>
      </c>
      <c r="R16" s="113" t="s">
        <v>2079</v>
      </c>
      <c r="S16" s="62" t="s">
        <v>20</v>
      </c>
      <c r="T16" s="62" t="s">
        <v>20</v>
      </c>
      <c r="U16" s="114">
        <f>июнь24[[#This Row],[сумма]]-июнь24[[#This Row],[Цена м2 отделки]]*июнь24[[#This Row],[м2]]</f>
        <v>7174500</v>
      </c>
    </row>
    <row r="17" spans="1:22" s="61" customFormat="1" ht="25.5">
      <c r="A17" s="62">
        <v>15</v>
      </c>
      <c r="B17" s="74">
        <v>32747</v>
      </c>
      <c r="C17" s="62" t="s">
        <v>13</v>
      </c>
      <c r="D17" s="75">
        <v>222</v>
      </c>
      <c r="E17" s="62">
        <v>1</v>
      </c>
      <c r="F17" s="62">
        <v>42.28</v>
      </c>
      <c r="G17" s="76" t="s">
        <v>25</v>
      </c>
      <c r="H17" s="76">
        <v>20000</v>
      </c>
      <c r="I17" s="91">
        <v>5514400</v>
      </c>
      <c r="J17" s="62" t="s">
        <v>8</v>
      </c>
      <c r="K17" s="62" t="s">
        <v>16</v>
      </c>
      <c r="L17" s="62" t="s">
        <v>583</v>
      </c>
      <c r="M17" s="62" t="s">
        <v>18</v>
      </c>
      <c r="N17" s="92">
        <v>45465</v>
      </c>
      <c r="O17" s="62" t="s">
        <v>17</v>
      </c>
      <c r="P17" s="76" t="s">
        <v>2092</v>
      </c>
      <c r="Q17" s="113" t="s">
        <v>67</v>
      </c>
      <c r="R17" s="113" t="s">
        <v>2084</v>
      </c>
      <c r="S17" s="62" t="s">
        <v>8</v>
      </c>
      <c r="T17" s="62" t="s">
        <v>8</v>
      </c>
      <c r="U17" s="114">
        <f>июнь24[[#This Row],[сумма]]-июнь24[[#This Row],[Цена м2 отделки]]*июнь24[[#This Row],[м2]]</f>
        <v>4668800</v>
      </c>
    </row>
    <row r="18" spans="1:22" s="61" customFormat="1" ht="14.25" customHeight="1">
      <c r="A18" s="62">
        <v>16</v>
      </c>
      <c r="B18" s="75">
        <v>32500</v>
      </c>
      <c r="C18" s="62" t="s">
        <v>13</v>
      </c>
      <c r="D18" s="75">
        <v>98</v>
      </c>
      <c r="E18" s="62">
        <v>1</v>
      </c>
      <c r="F18" s="62">
        <v>34.39</v>
      </c>
      <c r="G18" s="62" t="s">
        <v>9</v>
      </c>
      <c r="H18" s="62"/>
      <c r="I18" s="95">
        <v>4344630</v>
      </c>
      <c r="J18" s="62" t="s">
        <v>37</v>
      </c>
      <c r="K18" s="62" t="s">
        <v>16</v>
      </c>
      <c r="L18" s="62" t="s">
        <v>583</v>
      </c>
      <c r="M18" s="62" t="s">
        <v>18</v>
      </c>
      <c r="N18" s="92">
        <v>45465</v>
      </c>
      <c r="O18" s="62" t="s">
        <v>17</v>
      </c>
      <c r="P18" s="76" t="s">
        <v>2093</v>
      </c>
      <c r="Q18" s="113" t="s">
        <v>67</v>
      </c>
      <c r="R18" s="62" t="s">
        <v>2084</v>
      </c>
      <c r="S18" s="62" t="s">
        <v>37</v>
      </c>
      <c r="T18" s="62" t="s">
        <v>8</v>
      </c>
      <c r="U18" s="114">
        <f>июнь24[[#This Row],[сумма]]-июнь24[[#This Row],[Цена м2 отделки]]*июнь24[[#This Row],[м2]]</f>
        <v>4344630</v>
      </c>
    </row>
    <row r="19" spans="1:22">
      <c r="A19" s="65" t="s">
        <v>118</v>
      </c>
      <c r="B19" s="79"/>
      <c r="C19" s="65"/>
      <c r="D19" s="79"/>
      <c r="E19" s="65"/>
      <c r="F19" s="65"/>
      <c r="G19" s="65"/>
      <c r="H19" s="65"/>
      <c r="I19" s="93"/>
      <c r="J19" s="65"/>
      <c r="K19" s="65"/>
      <c r="L19" s="65"/>
      <c r="M19" s="65"/>
      <c r="N19" s="98"/>
      <c r="O19" s="65"/>
      <c r="P19" s="86"/>
      <c r="Q19" s="118"/>
      <c r="R19" s="118"/>
      <c r="S19" s="65"/>
      <c r="U19" s="115">
        <f>июнь24[[#This Row],[сумма]]-июнь24[[#This Row],[Цена м2 отделки]]*июнь24[[#This Row],[м2]]</f>
        <v>0</v>
      </c>
    </row>
    <row r="20" spans="1:22">
      <c r="A20" s="65"/>
      <c r="B20" s="79"/>
      <c r="C20" s="65"/>
      <c r="D20" s="79"/>
      <c r="E20" s="65"/>
      <c r="F20" s="65"/>
      <c r="G20" s="65"/>
      <c r="H20" s="65"/>
      <c r="I20" s="93"/>
      <c r="J20" s="65"/>
      <c r="K20" s="65"/>
      <c r="L20" s="65"/>
      <c r="M20" s="65"/>
      <c r="N20" s="98"/>
      <c r="O20" s="65"/>
      <c r="P20" s="86"/>
      <c r="Q20" s="118"/>
      <c r="R20" s="118"/>
      <c r="S20" s="65"/>
      <c r="U20" s="115">
        <f>июнь24[[#This Row],[сумма]]-июнь24[[#This Row],[Цена м2 отделки]]*июнь24[[#This Row],[м2]]</f>
        <v>0</v>
      </c>
    </row>
    <row r="21" spans="1:22" s="61" customFormat="1" ht="25.5">
      <c r="A21" s="62">
        <v>19</v>
      </c>
      <c r="B21" s="75">
        <v>32624</v>
      </c>
      <c r="C21" s="62" t="s">
        <v>7</v>
      </c>
      <c r="D21" s="75">
        <v>14</v>
      </c>
      <c r="E21" s="62">
        <v>2</v>
      </c>
      <c r="F21" s="62">
        <v>59.87</v>
      </c>
      <c r="G21" s="62" t="s">
        <v>15</v>
      </c>
      <c r="H21" s="62">
        <v>7500</v>
      </c>
      <c r="I21" s="95">
        <v>6611825</v>
      </c>
      <c r="J21" s="62" t="s">
        <v>20</v>
      </c>
      <c r="K21" s="62" t="s">
        <v>22</v>
      </c>
      <c r="L21" s="62" t="s">
        <v>583</v>
      </c>
      <c r="M21" s="62" t="s">
        <v>18</v>
      </c>
      <c r="N21" s="92">
        <v>45465</v>
      </c>
      <c r="O21" s="62" t="s">
        <v>17</v>
      </c>
      <c r="P21" s="62" t="s">
        <v>2094</v>
      </c>
      <c r="Q21" s="113" t="s">
        <v>67</v>
      </c>
      <c r="R21" s="113" t="s">
        <v>2084</v>
      </c>
      <c r="S21" s="62" t="s">
        <v>20</v>
      </c>
      <c r="T21" s="62" t="s">
        <v>20</v>
      </c>
      <c r="U21" s="114">
        <f>июнь24[[#This Row],[сумма]]-июнь24[[#This Row],[Цена м2 отделки]]*июнь24[[#This Row],[м2]]</f>
        <v>6162800</v>
      </c>
    </row>
    <row r="22" spans="1:22" s="61" customFormat="1" ht="25.5">
      <c r="A22" s="62">
        <v>20</v>
      </c>
      <c r="B22" s="75">
        <v>32565</v>
      </c>
      <c r="C22" s="62" t="s">
        <v>13</v>
      </c>
      <c r="D22" s="75">
        <v>404</v>
      </c>
      <c r="E22" s="62">
        <v>1</v>
      </c>
      <c r="F22" s="62">
        <v>39.69</v>
      </c>
      <c r="G22" s="62" t="s">
        <v>25</v>
      </c>
      <c r="H22" s="62">
        <v>20000</v>
      </c>
      <c r="I22" s="95">
        <v>5196400</v>
      </c>
      <c r="J22" s="62" t="s">
        <v>14</v>
      </c>
      <c r="K22" s="62" t="s">
        <v>1892</v>
      </c>
      <c r="L22" s="62" t="s">
        <v>583</v>
      </c>
      <c r="M22" s="62" t="s">
        <v>18</v>
      </c>
      <c r="N22" s="92">
        <v>45453</v>
      </c>
      <c r="O22" s="62" t="s">
        <v>17</v>
      </c>
      <c r="P22" s="62" t="s">
        <v>2095</v>
      </c>
      <c r="Q22" s="113" t="s">
        <v>67</v>
      </c>
      <c r="R22" s="113" t="s">
        <v>2079</v>
      </c>
      <c r="S22" s="62" t="s">
        <v>14</v>
      </c>
      <c r="T22" s="62" t="s">
        <v>14</v>
      </c>
      <c r="U22" s="114">
        <f>июнь24[[#This Row],[сумма]]-июнь24[[#This Row],[Цена м2 отделки]]*июнь24[[#This Row],[м2]]</f>
        <v>4402600</v>
      </c>
    </row>
    <row r="23" spans="1:22" s="61" customFormat="1" ht="25.5">
      <c r="A23" s="62">
        <v>21</v>
      </c>
      <c r="B23" s="75">
        <v>32331</v>
      </c>
      <c r="C23" s="62" t="s">
        <v>13</v>
      </c>
      <c r="D23" s="75">
        <v>459</v>
      </c>
      <c r="E23" s="62">
        <v>3</v>
      </c>
      <c r="F23" s="62">
        <v>79.44</v>
      </c>
      <c r="G23" s="62" t="s">
        <v>21</v>
      </c>
      <c r="H23" s="62">
        <v>7000</v>
      </c>
      <c r="I23" s="95">
        <v>7931766</v>
      </c>
      <c r="J23" s="62" t="s">
        <v>8</v>
      </c>
      <c r="K23" s="62" t="s">
        <v>16</v>
      </c>
      <c r="L23" s="62" t="s">
        <v>583</v>
      </c>
      <c r="M23" s="62" t="s">
        <v>18</v>
      </c>
      <c r="N23" s="92">
        <v>45449</v>
      </c>
      <c r="O23" s="62" t="s">
        <v>17</v>
      </c>
      <c r="P23" s="62" t="s">
        <v>2096</v>
      </c>
      <c r="Q23" s="113" t="s">
        <v>67</v>
      </c>
      <c r="R23" s="113" t="s">
        <v>2084</v>
      </c>
      <c r="S23" s="62" t="s">
        <v>8</v>
      </c>
      <c r="T23" s="62" t="s">
        <v>8</v>
      </c>
      <c r="U23" s="114">
        <f>июнь24[[#This Row],[сумма]]-июнь24[[#This Row],[Цена м2 отделки]]*июнь24[[#This Row],[м2]]</f>
        <v>7375686</v>
      </c>
    </row>
    <row r="24" spans="1:22" s="61" customFormat="1" ht="25.5">
      <c r="A24" s="62">
        <v>22</v>
      </c>
      <c r="B24" s="75">
        <v>32075</v>
      </c>
      <c r="C24" s="62" t="s">
        <v>13</v>
      </c>
      <c r="D24" s="75">
        <v>315</v>
      </c>
      <c r="E24" s="62">
        <v>2</v>
      </c>
      <c r="F24" s="62">
        <v>56.58</v>
      </c>
      <c r="G24" s="62" t="s">
        <v>25</v>
      </c>
      <c r="H24" s="62">
        <v>20000</v>
      </c>
      <c r="I24" s="95">
        <v>6669100</v>
      </c>
      <c r="J24" s="62" t="s">
        <v>8</v>
      </c>
      <c r="K24" s="62" t="s">
        <v>16</v>
      </c>
      <c r="L24" s="62" t="s">
        <v>583</v>
      </c>
      <c r="M24" s="62" t="s">
        <v>18</v>
      </c>
      <c r="N24" s="92">
        <v>45469</v>
      </c>
      <c r="O24" s="62" t="s">
        <v>17</v>
      </c>
      <c r="P24" s="62" t="s">
        <v>2097</v>
      </c>
      <c r="Q24" s="113" t="s">
        <v>67</v>
      </c>
      <c r="R24" s="113" t="s">
        <v>2079</v>
      </c>
      <c r="S24" s="62" t="s">
        <v>8</v>
      </c>
      <c r="T24" s="62" t="s">
        <v>8</v>
      </c>
      <c r="U24" s="114">
        <f>июнь24[[#This Row],[сумма]]-июнь24[[#This Row],[Цена м2 отделки]]*июнь24[[#This Row],[м2]]</f>
        <v>5537500</v>
      </c>
    </row>
    <row r="25" spans="1:22" s="61" customFormat="1" ht="25.5">
      <c r="A25" s="62">
        <v>23</v>
      </c>
      <c r="B25" s="75">
        <v>32280</v>
      </c>
      <c r="C25" s="62" t="s">
        <v>13</v>
      </c>
      <c r="D25" s="75">
        <v>218</v>
      </c>
      <c r="E25" s="349">
        <v>2</v>
      </c>
      <c r="F25" s="62">
        <v>57.6</v>
      </c>
      <c r="G25" s="62" t="s">
        <v>21</v>
      </c>
      <c r="H25" s="348">
        <v>7000</v>
      </c>
      <c r="I25" s="352">
        <v>5978200</v>
      </c>
      <c r="J25" s="62" t="s">
        <v>20</v>
      </c>
      <c r="K25" s="62" t="s">
        <v>16</v>
      </c>
      <c r="L25" s="62" t="s">
        <v>583</v>
      </c>
      <c r="M25" s="62" t="s">
        <v>18</v>
      </c>
      <c r="N25" s="92">
        <v>45467</v>
      </c>
      <c r="O25" s="62" t="s">
        <v>17</v>
      </c>
      <c r="P25" s="62" t="s">
        <v>2098</v>
      </c>
      <c r="Q25" s="113" t="s">
        <v>67</v>
      </c>
      <c r="R25" s="113" t="s">
        <v>2079</v>
      </c>
      <c r="S25" s="62" t="s">
        <v>20</v>
      </c>
      <c r="T25" s="62" t="s">
        <v>20</v>
      </c>
      <c r="U25" s="114">
        <f>июнь24[[#This Row],[сумма]]-июнь24[[#This Row],[Цена м2 отделки]]*июнь24[[#This Row],[м2]]</f>
        <v>5575000</v>
      </c>
    </row>
    <row r="26" spans="1:22" s="61" customFormat="1" ht="25.5">
      <c r="A26" s="62">
        <v>24</v>
      </c>
      <c r="B26" s="75">
        <v>32685</v>
      </c>
      <c r="C26" s="62" t="s">
        <v>13</v>
      </c>
      <c r="D26" s="75">
        <v>92</v>
      </c>
      <c r="E26" s="349">
        <v>2</v>
      </c>
      <c r="F26" s="62">
        <v>68.5</v>
      </c>
      <c r="G26" s="62" t="s">
        <v>21</v>
      </c>
      <c r="H26" s="348">
        <v>7000</v>
      </c>
      <c r="I26" s="352">
        <v>7296600</v>
      </c>
      <c r="J26" s="348" t="s">
        <v>14</v>
      </c>
      <c r="K26" s="62" t="s">
        <v>16</v>
      </c>
      <c r="L26" s="117" t="s">
        <v>583</v>
      </c>
      <c r="M26" s="62" t="s">
        <v>18</v>
      </c>
      <c r="N26" s="92">
        <v>45453</v>
      </c>
      <c r="O26" s="62" t="s">
        <v>17</v>
      </c>
      <c r="P26" s="117" t="s">
        <v>2099</v>
      </c>
      <c r="Q26" s="377" t="s">
        <v>67</v>
      </c>
      <c r="R26" s="377" t="s">
        <v>2084</v>
      </c>
      <c r="S26" s="62" t="s">
        <v>14</v>
      </c>
      <c r="T26" s="62" t="s">
        <v>14</v>
      </c>
      <c r="U26" s="114">
        <f>июнь24[[#This Row],[сумма]]-июнь24[[#This Row],[Цена м2 отделки]]*июнь24[[#This Row],[м2]]</f>
        <v>6817100</v>
      </c>
    </row>
    <row r="27" spans="1:22" s="61" customFormat="1">
      <c r="A27" s="65">
        <v>25</v>
      </c>
      <c r="B27" s="529"/>
      <c r="C27" s="529"/>
      <c r="D27" s="529"/>
      <c r="E27" s="529"/>
      <c r="F27" s="529"/>
      <c r="G27" s="529"/>
      <c r="H27" s="529"/>
      <c r="I27" s="529"/>
      <c r="J27" s="529"/>
      <c r="K27" s="529"/>
      <c r="L27" s="529"/>
      <c r="M27" s="529"/>
      <c r="N27" s="529"/>
      <c r="O27" s="529"/>
      <c r="P27" s="529"/>
      <c r="Q27" s="529"/>
      <c r="R27" s="529"/>
      <c r="S27" s="529"/>
      <c r="T27" s="529"/>
      <c r="U27" s="115">
        <f>июнь24[[#This Row],[сумма]]-июнь24[[#This Row],[Цена м2 отделки]]*июнь24[[#This Row],[м2]]</f>
        <v>0</v>
      </c>
      <c r="V27" s="66"/>
    </row>
    <row r="28" spans="1:22" s="61" customFormat="1" ht="25.5">
      <c r="A28" s="62">
        <v>26</v>
      </c>
      <c r="B28" s="74">
        <v>27544</v>
      </c>
      <c r="C28" s="62" t="s">
        <v>13</v>
      </c>
      <c r="D28" s="75">
        <v>546</v>
      </c>
      <c r="E28" s="62">
        <v>1</v>
      </c>
      <c r="F28" s="62">
        <v>38.299999999999997</v>
      </c>
      <c r="G28" s="62" t="s">
        <v>21</v>
      </c>
      <c r="H28" s="62">
        <v>7000</v>
      </c>
      <c r="I28" s="95">
        <v>4782900</v>
      </c>
      <c r="J28" s="117" t="s">
        <v>1892</v>
      </c>
      <c r="K28" s="62" t="s">
        <v>1892</v>
      </c>
      <c r="L28" s="62" t="s">
        <v>583</v>
      </c>
      <c r="M28" s="62" t="s">
        <v>12</v>
      </c>
      <c r="N28" s="92">
        <v>45467</v>
      </c>
      <c r="O28" s="117" t="s">
        <v>17</v>
      </c>
      <c r="P28" s="62" t="s">
        <v>2100</v>
      </c>
      <c r="Q28" s="113" t="s">
        <v>67</v>
      </c>
      <c r="R28" s="113" t="s">
        <v>2084</v>
      </c>
      <c r="S28" s="117" t="s">
        <v>1892</v>
      </c>
      <c r="T28" s="117" t="s">
        <v>1892</v>
      </c>
      <c r="U28" s="114">
        <f>июнь24[[#This Row],[сумма]]-июнь24[[#This Row],[Цена м2 отделки]]*июнь24[[#This Row],[м2]]</f>
        <v>4514800</v>
      </c>
    </row>
    <row r="29" spans="1:22" s="61" customFormat="1">
      <c r="A29" s="62">
        <v>27</v>
      </c>
      <c r="B29" s="75">
        <v>23841</v>
      </c>
      <c r="C29" s="62" t="s">
        <v>13</v>
      </c>
      <c r="D29" s="75">
        <v>415</v>
      </c>
      <c r="E29" s="62">
        <v>0</v>
      </c>
      <c r="F29" s="62">
        <v>24.5</v>
      </c>
      <c r="G29" s="62" t="s">
        <v>21</v>
      </c>
      <c r="H29" s="62">
        <v>7000</v>
      </c>
      <c r="I29" s="95">
        <v>3014473</v>
      </c>
      <c r="J29" s="117" t="s">
        <v>8</v>
      </c>
      <c r="K29" s="62"/>
      <c r="L29" s="62" t="s">
        <v>514</v>
      </c>
      <c r="M29" s="62" t="s">
        <v>18</v>
      </c>
      <c r="N29" s="92">
        <v>45454</v>
      </c>
      <c r="O29" s="117" t="s">
        <v>17</v>
      </c>
      <c r="P29" s="62" t="s">
        <v>2101</v>
      </c>
      <c r="Q29" s="76" t="s">
        <v>67</v>
      </c>
      <c r="R29" s="76" t="s">
        <v>67</v>
      </c>
      <c r="S29" s="117" t="s">
        <v>8</v>
      </c>
      <c r="T29" s="117" t="s">
        <v>8</v>
      </c>
      <c r="U29" s="114">
        <f>июнь24[[#This Row],[сумма]]-июнь24[[#This Row],[Цена м2 отделки]]*июнь24[[#This Row],[м2]]</f>
        <v>2842973</v>
      </c>
    </row>
    <row r="30" spans="1:22" s="61" customFormat="1">
      <c r="A30" s="62">
        <v>28</v>
      </c>
      <c r="B30" s="75">
        <v>32072</v>
      </c>
      <c r="C30" s="62" t="s">
        <v>7</v>
      </c>
      <c r="D30" s="75">
        <v>507</v>
      </c>
      <c r="E30" s="349">
        <v>2</v>
      </c>
      <c r="F30" s="75">
        <v>67.489999999999995</v>
      </c>
      <c r="G30" s="62" t="s">
        <v>25</v>
      </c>
      <c r="H30" s="348">
        <v>22000</v>
      </c>
      <c r="I30" s="95">
        <v>8572480</v>
      </c>
      <c r="J30" s="117" t="s">
        <v>8</v>
      </c>
      <c r="K30" s="62" t="s">
        <v>22</v>
      </c>
      <c r="L30" s="62" t="s">
        <v>583</v>
      </c>
      <c r="M30" s="62" t="s">
        <v>18</v>
      </c>
      <c r="N30" s="92">
        <v>45443</v>
      </c>
      <c r="O30" s="117" t="s">
        <v>17</v>
      </c>
      <c r="P30" s="62" t="s">
        <v>2102</v>
      </c>
      <c r="Q30" s="113" t="s">
        <v>67</v>
      </c>
      <c r="R30" s="113" t="s">
        <v>2103</v>
      </c>
      <c r="S30" s="117" t="s">
        <v>8</v>
      </c>
      <c r="T30" s="117" t="s">
        <v>8</v>
      </c>
      <c r="U30" s="114">
        <f>июнь24[[#This Row],[сумма]]-июнь24[[#This Row],[Цена м2 отделки]]*июнь24[[#This Row],[м2]]</f>
        <v>7087700</v>
      </c>
    </row>
    <row r="31" spans="1:22" s="61" customFormat="1" ht="25.5">
      <c r="A31" s="62">
        <v>29</v>
      </c>
      <c r="B31" s="75">
        <v>32612</v>
      </c>
      <c r="C31" s="62" t="s">
        <v>7</v>
      </c>
      <c r="D31" s="75">
        <v>22</v>
      </c>
      <c r="E31" s="349">
        <v>2</v>
      </c>
      <c r="F31" s="75">
        <v>59.87</v>
      </c>
      <c r="G31" s="62" t="s">
        <v>15</v>
      </c>
      <c r="H31" s="348">
        <v>7500</v>
      </c>
      <c r="I31" s="95">
        <v>6675925</v>
      </c>
      <c r="J31" s="62" t="s">
        <v>14</v>
      </c>
      <c r="K31" s="62" t="s">
        <v>16</v>
      </c>
      <c r="L31" s="62" t="s">
        <v>583</v>
      </c>
      <c r="M31" s="62" t="s">
        <v>18</v>
      </c>
      <c r="N31" s="92">
        <v>45464</v>
      </c>
      <c r="O31" s="62" t="s">
        <v>17</v>
      </c>
      <c r="P31" s="62" t="s">
        <v>2104</v>
      </c>
      <c r="Q31" s="113" t="s">
        <v>67</v>
      </c>
      <c r="R31" s="113" t="s">
        <v>2079</v>
      </c>
      <c r="S31" s="62" t="s">
        <v>14</v>
      </c>
      <c r="T31" s="62" t="s">
        <v>14</v>
      </c>
      <c r="U31" s="114">
        <f>июнь24[[#This Row],[сумма]]-июнь24[[#This Row],[Цена м2 отделки]]*июнь24[[#This Row],[м2]]</f>
        <v>6226900</v>
      </c>
    </row>
    <row r="32" spans="1:22" s="61" customFormat="1" ht="25.5">
      <c r="A32" s="62">
        <v>30</v>
      </c>
      <c r="B32" s="75">
        <v>32576</v>
      </c>
      <c r="C32" s="62" t="s">
        <v>7</v>
      </c>
      <c r="D32" s="75">
        <v>517</v>
      </c>
      <c r="E32" s="62">
        <v>2</v>
      </c>
      <c r="F32" s="62">
        <v>63.74</v>
      </c>
      <c r="G32" s="62" t="s">
        <v>9</v>
      </c>
      <c r="H32" s="62"/>
      <c r="I32" s="351">
        <v>6362900</v>
      </c>
      <c r="J32" s="117" t="s">
        <v>14</v>
      </c>
      <c r="K32" s="62" t="s">
        <v>1892</v>
      </c>
      <c r="L32" s="62" t="s">
        <v>583</v>
      </c>
      <c r="M32" s="62" t="s">
        <v>18</v>
      </c>
      <c r="N32" s="92">
        <v>45463</v>
      </c>
      <c r="O32" s="117" t="s">
        <v>17</v>
      </c>
      <c r="P32" s="62" t="s">
        <v>2105</v>
      </c>
      <c r="Q32" s="113" t="s">
        <v>67</v>
      </c>
      <c r="R32" s="113" t="s">
        <v>2079</v>
      </c>
      <c r="S32" s="117" t="s">
        <v>14</v>
      </c>
      <c r="T32" s="117" t="s">
        <v>14</v>
      </c>
      <c r="U32" s="114">
        <f>июнь24[[#This Row],[сумма]]-июнь24[[#This Row],[Цена м2 отделки]]*июнь24[[#This Row],[м2]]</f>
        <v>6362900</v>
      </c>
    </row>
    <row r="33" spans="1:22" s="61" customFormat="1" ht="25.5">
      <c r="A33" s="62">
        <v>31</v>
      </c>
      <c r="B33" s="75">
        <v>26542</v>
      </c>
      <c r="C33" s="62" t="s">
        <v>13</v>
      </c>
      <c r="D33" s="75">
        <v>271</v>
      </c>
      <c r="E33" s="62">
        <v>2</v>
      </c>
      <c r="F33" s="62">
        <v>73.7</v>
      </c>
      <c r="G33" s="62" t="s">
        <v>21</v>
      </c>
      <c r="H33" s="62">
        <v>7000</v>
      </c>
      <c r="I33" s="95">
        <v>7578500</v>
      </c>
      <c r="J33" s="117" t="s">
        <v>14</v>
      </c>
      <c r="K33" s="62" t="s">
        <v>22</v>
      </c>
      <c r="L33" s="371" t="s">
        <v>583</v>
      </c>
      <c r="M33" s="62" t="s">
        <v>18</v>
      </c>
      <c r="N33" s="92">
        <v>45460</v>
      </c>
      <c r="O33" s="117" t="s">
        <v>17</v>
      </c>
      <c r="P33" s="62" t="s">
        <v>2106</v>
      </c>
      <c r="Q33" s="113" t="s">
        <v>67</v>
      </c>
      <c r="R33" s="377" t="s">
        <v>2079</v>
      </c>
      <c r="S33" s="117" t="s">
        <v>14</v>
      </c>
      <c r="T33" s="117" t="s">
        <v>8</v>
      </c>
      <c r="U33" s="114">
        <f>июнь24[[#This Row],[сумма]]-июнь24[[#This Row],[Цена м2 отделки]]*июнь24[[#This Row],[м2]]</f>
        <v>7062600</v>
      </c>
    </row>
    <row r="34" spans="1:22" s="61" customFormat="1" ht="25.5">
      <c r="A34" s="62">
        <v>32</v>
      </c>
      <c r="B34" s="81">
        <v>32671</v>
      </c>
      <c r="C34" s="62" t="s">
        <v>13</v>
      </c>
      <c r="D34" s="62">
        <v>183</v>
      </c>
      <c r="E34" s="62">
        <v>2</v>
      </c>
      <c r="F34" s="75">
        <v>57.6</v>
      </c>
      <c r="G34" s="62" t="s">
        <v>25</v>
      </c>
      <c r="H34" s="62">
        <v>20000</v>
      </c>
      <c r="I34" s="95">
        <v>6619800</v>
      </c>
      <c r="J34" s="62" t="s">
        <v>31</v>
      </c>
      <c r="K34" s="62" t="s">
        <v>1892</v>
      </c>
      <c r="L34" s="62" t="s">
        <v>583</v>
      </c>
      <c r="M34" s="62" t="s">
        <v>18</v>
      </c>
      <c r="N34" s="92">
        <v>45464</v>
      </c>
      <c r="O34" s="117" t="s">
        <v>17</v>
      </c>
      <c r="P34" s="62" t="s">
        <v>2107</v>
      </c>
      <c r="Q34" s="76" t="s">
        <v>67</v>
      </c>
      <c r="R34" s="76" t="s">
        <v>2084</v>
      </c>
      <c r="S34" s="117" t="s">
        <v>31</v>
      </c>
      <c r="T34" s="117" t="s">
        <v>14</v>
      </c>
      <c r="U34" s="114">
        <f>июнь24[[#This Row],[сумма]]-июнь24[[#This Row],[Цена м2 отделки]]*июнь24[[#This Row],[м2]]</f>
        <v>5467800</v>
      </c>
    </row>
    <row r="35" spans="1:22" s="61" customFormat="1" ht="25.5">
      <c r="A35" s="62">
        <v>33</v>
      </c>
      <c r="B35" s="75">
        <v>30868</v>
      </c>
      <c r="C35" s="62" t="s">
        <v>13</v>
      </c>
      <c r="D35" s="75">
        <v>150</v>
      </c>
      <c r="E35" s="62">
        <v>1</v>
      </c>
      <c r="F35" s="62">
        <v>37.86</v>
      </c>
      <c r="G35" s="62" t="s">
        <v>9</v>
      </c>
      <c r="H35" s="62"/>
      <c r="I35" s="95">
        <v>4422500</v>
      </c>
      <c r="J35" s="117" t="s">
        <v>8</v>
      </c>
      <c r="K35" s="62" t="s">
        <v>16</v>
      </c>
      <c r="L35" s="62" t="s">
        <v>583</v>
      </c>
      <c r="M35" s="62" t="s">
        <v>18</v>
      </c>
      <c r="N35" s="92">
        <v>45454</v>
      </c>
      <c r="O35" s="117" t="s">
        <v>17</v>
      </c>
      <c r="P35" s="62" t="s">
        <v>2108</v>
      </c>
      <c r="Q35" s="113" t="s">
        <v>67</v>
      </c>
      <c r="R35" s="113" t="s">
        <v>2084</v>
      </c>
      <c r="S35" s="117" t="s">
        <v>8</v>
      </c>
      <c r="T35" s="117" t="s">
        <v>8</v>
      </c>
      <c r="U35" s="114">
        <f>июнь24[[#This Row],[сумма]]-июнь24[[#This Row],[Цена м2 отделки]]*июнь24[[#This Row],[м2]]</f>
        <v>4422500</v>
      </c>
    </row>
    <row r="36" spans="1:22" s="61" customFormat="1" ht="25.5">
      <c r="A36" s="62">
        <v>34</v>
      </c>
      <c r="B36" s="75">
        <v>31573</v>
      </c>
      <c r="C36" s="62" t="s">
        <v>13</v>
      </c>
      <c r="D36" s="75">
        <v>138</v>
      </c>
      <c r="E36" s="62">
        <v>1</v>
      </c>
      <c r="F36" s="62">
        <v>42.28</v>
      </c>
      <c r="G36" s="62" t="s">
        <v>25</v>
      </c>
      <c r="H36" s="62">
        <v>20000</v>
      </c>
      <c r="I36" s="95">
        <v>5558600</v>
      </c>
      <c r="J36" s="117" t="s">
        <v>41</v>
      </c>
      <c r="K36" s="62" t="s">
        <v>22</v>
      </c>
      <c r="L36" s="62" t="s">
        <v>583</v>
      </c>
      <c r="M36" s="62" t="s">
        <v>18</v>
      </c>
      <c r="N36" s="92">
        <v>45457</v>
      </c>
      <c r="O36" s="117" t="s">
        <v>17</v>
      </c>
      <c r="P36" s="62" t="s">
        <v>2109</v>
      </c>
      <c r="Q36" s="113" t="s">
        <v>67</v>
      </c>
      <c r="R36" s="113" t="s">
        <v>2084</v>
      </c>
      <c r="S36" s="117" t="s">
        <v>41</v>
      </c>
      <c r="T36" s="117" t="s">
        <v>8</v>
      </c>
      <c r="U36" s="114">
        <f>июнь24[[#This Row],[сумма]]-июнь24[[#This Row],[Цена м2 отделки]]*июнь24[[#This Row],[м2]]</f>
        <v>4713000</v>
      </c>
    </row>
    <row r="37" spans="1:22" s="61" customFormat="1" ht="25.5">
      <c r="A37" s="62">
        <v>35</v>
      </c>
      <c r="B37" s="75">
        <v>26878</v>
      </c>
      <c r="C37" s="62" t="s">
        <v>13</v>
      </c>
      <c r="D37" s="75">
        <v>21</v>
      </c>
      <c r="E37" s="62">
        <v>1</v>
      </c>
      <c r="F37" s="62">
        <v>34.39</v>
      </c>
      <c r="G37" s="62" t="s">
        <v>21</v>
      </c>
      <c r="H37" s="62">
        <v>7000</v>
      </c>
      <c r="I37" s="95">
        <v>4303630</v>
      </c>
      <c r="J37" s="117" t="s">
        <v>8</v>
      </c>
      <c r="K37" s="62" t="s">
        <v>22</v>
      </c>
      <c r="L37" s="62" t="s">
        <v>583</v>
      </c>
      <c r="M37" s="62" t="s">
        <v>18</v>
      </c>
      <c r="N37" s="92">
        <v>45461</v>
      </c>
      <c r="O37" s="117" t="s">
        <v>17</v>
      </c>
      <c r="P37" s="62" t="s">
        <v>2110</v>
      </c>
      <c r="Q37" s="113" t="s">
        <v>67</v>
      </c>
      <c r="R37" s="113" t="s">
        <v>2084</v>
      </c>
      <c r="S37" s="117" t="s">
        <v>8</v>
      </c>
      <c r="T37" s="117" t="s">
        <v>8</v>
      </c>
      <c r="U37" s="114">
        <f>июнь24[[#This Row],[сумма]]-июнь24[[#This Row],[Цена м2 отделки]]*июнь24[[#This Row],[м2]]</f>
        <v>4062900</v>
      </c>
    </row>
    <row r="38" spans="1:22">
      <c r="A38" s="65"/>
      <c r="B38" s="79"/>
      <c r="C38" s="65"/>
      <c r="D38" s="79"/>
      <c r="E38" s="65"/>
      <c r="F38" s="65"/>
      <c r="G38" s="65"/>
      <c r="H38" s="65"/>
      <c r="I38" s="93"/>
      <c r="J38" s="80"/>
      <c r="K38" s="65"/>
      <c r="L38" s="65"/>
      <c r="M38" s="108"/>
      <c r="N38" s="98"/>
      <c r="O38" s="80" t="s">
        <v>17</v>
      </c>
      <c r="P38" s="65"/>
      <c r="Q38" s="86"/>
      <c r="R38" s="118"/>
      <c r="S38" s="80"/>
      <c r="T38" s="80"/>
      <c r="U38" s="115">
        <f>июнь24[[#This Row],[сумма]]-июнь24[[#This Row],[Цена м2 отделки]]*июнь24[[#This Row],[м2]]</f>
        <v>0</v>
      </c>
    </row>
    <row r="39" spans="1:22" s="61" customFormat="1" ht="25.5">
      <c r="A39" s="62">
        <v>37</v>
      </c>
      <c r="B39" s="74">
        <v>32688</v>
      </c>
      <c r="C39" s="62" t="s">
        <v>13</v>
      </c>
      <c r="D39" s="75">
        <v>64</v>
      </c>
      <c r="E39" s="62">
        <v>2</v>
      </c>
      <c r="F39" s="62">
        <v>68.5</v>
      </c>
      <c r="G39" s="62" t="s">
        <v>21</v>
      </c>
      <c r="H39" s="62">
        <v>7000</v>
      </c>
      <c r="I39" s="95">
        <v>7196600</v>
      </c>
      <c r="J39" s="117" t="s">
        <v>14</v>
      </c>
      <c r="K39" s="62" t="s">
        <v>22</v>
      </c>
      <c r="L39" s="62" t="s">
        <v>583</v>
      </c>
      <c r="M39" s="62" t="s">
        <v>18</v>
      </c>
      <c r="N39" s="92">
        <v>45464</v>
      </c>
      <c r="O39" s="117" t="s">
        <v>17</v>
      </c>
      <c r="P39" s="62" t="s">
        <v>2111</v>
      </c>
      <c r="Q39" s="113" t="s">
        <v>67</v>
      </c>
      <c r="R39" s="113" t="s">
        <v>2084</v>
      </c>
      <c r="S39" s="117" t="s">
        <v>14</v>
      </c>
      <c r="T39" s="117" t="s">
        <v>14</v>
      </c>
      <c r="U39" s="114">
        <f>июнь24[[#This Row],[сумма]]-июнь24[[#This Row],[Цена м2 отделки]]*июнь24[[#This Row],[м2]]</f>
        <v>6717100</v>
      </c>
    </row>
    <row r="40" spans="1:22" s="438" customFormat="1" ht="25.5">
      <c r="A40" s="530">
        <v>38</v>
      </c>
      <c r="B40" s="531">
        <v>32830</v>
      </c>
      <c r="C40" s="530" t="s">
        <v>13</v>
      </c>
      <c r="D40" s="531">
        <v>506</v>
      </c>
      <c r="E40" s="530">
        <v>1</v>
      </c>
      <c r="F40" s="530">
        <v>38.299999999999997</v>
      </c>
      <c r="G40" s="530" t="s">
        <v>9</v>
      </c>
      <c r="H40" s="530"/>
      <c r="I40" s="533">
        <v>4266700</v>
      </c>
      <c r="J40" s="530" t="s">
        <v>20</v>
      </c>
      <c r="K40" s="530" t="s">
        <v>1892</v>
      </c>
      <c r="L40" s="530" t="s">
        <v>583</v>
      </c>
      <c r="M40" s="530" t="s">
        <v>18</v>
      </c>
      <c r="N40" s="534">
        <v>45468</v>
      </c>
      <c r="O40" s="535" t="s">
        <v>17</v>
      </c>
      <c r="P40" s="536" t="s">
        <v>2112</v>
      </c>
      <c r="Q40" s="541" t="s">
        <v>67</v>
      </c>
      <c r="R40" s="541" t="s">
        <v>2079</v>
      </c>
      <c r="S40" s="530" t="s">
        <v>20</v>
      </c>
      <c r="T40" s="530" t="s">
        <v>14</v>
      </c>
      <c r="U40" s="542">
        <f>июнь24[[#This Row],[сумма]]-июнь24[[#This Row],[Цена м2 отделки]]*июнь24[[#This Row],[м2]]</f>
        <v>4266700</v>
      </c>
    </row>
    <row r="41" spans="1:22" s="61" customFormat="1" ht="25.5">
      <c r="A41" s="62">
        <v>39</v>
      </c>
      <c r="B41" s="75">
        <v>32750</v>
      </c>
      <c r="C41" s="62" t="s">
        <v>13</v>
      </c>
      <c r="D41" s="75">
        <v>423</v>
      </c>
      <c r="E41" s="62">
        <v>0</v>
      </c>
      <c r="F41" s="62">
        <v>24.5</v>
      </c>
      <c r="G41" s="62" t="s">
        <v>25</v>
      </c>
      <c r="H41" s="62">
        <v>20000</v>
      </c>
      <c r="I41" s="95">
        <v>3387500</v>
      </c>
      <c r="J41" s="117" t="s">
        <v>8</v>
      </c>
      <c r="K41" s="62" t="s">
        <v>1892</v>
      </c>
      <c r="L41" s="62" t="s">
        <v>583</v>
      </c>
      <c r="M41" s="62" t="s">
        <v>18</v>
      </c>
      <c r="N41" s="92">
        <v>45460</v>
      </c>
      <c r="O41" s="117" t="s">
        <v>17</v>
      </c>
      <c r="P41" s="62" t="s">
        <v>2113</v>
      </c>
      <c r="Q41" s="113" t="s">
        <v>67</v>
      </c>
      <c r="R41" s="113" t="s">
        <v>2084</v>
      </c>
      <c r="S41" s="117" t="s">
        <v>8</v>
      </c>
      <c r="T41" s="117" t="s">
        <v>8</v>
      </c>
      <c r="U41" s="114">
        <f>июнь24[[#This Row],[сумма]]-июнь24[[#This Row],[Цена м2 отделки]]*июнь24[[#This Row],[м2]]</f>
        <v>2897500</v>
      </c>
    </row>
    <row r="42" spans="1:22" s="368" customFormat="1" ht="25.5" customHeight="1">
      <c r="A42" s="369">
        <v>40</v>
      </c>
      <c r="B42" s="445">
        <v>32826</v>
      </c>
      <c r="C42" s="369" t="s">
        <v>13</v>
      </c>
      <c r="D42" s="440">
        <v>249</v>
      </c>
      <c r="E42" s="369">
        <v>1</v>
      </c>
      <c r="F42" s="369">
        <v>34.81</v>
      </c>
      <c r="G42" s="532" t="s">
        <v>25</v>
      </c>
      <c r="H42" s="532">
        <v>20000</v>
      </c>
      <c r="I42" s="450">
        <v>4948400</v>
      </c>
      <c r="J42" s="456" t="s">
        <v>20</v>
      </c>
      <c r="K42" s="369" t="s">
        <v>22</v>
      </c>
      <c r="L42" s="369" t="s">
        <v>583</v>
      </c>
      <c r="M42" s="369" t="s">
        <v>18</v>
      </c>
      <c r="N42" s="451">
        <v>45470</v>
      </c>
      <c r="O42" s="456" t="s">
        <v>17</v>
      </c>
      <c r="P42" s="369" t="s">
        <v>2114</v>
      </c>
      <c r="Q42" s="372" t="s">
        <v>67</v>
      </c>
      <c r="R42" s="372" t="s">
        <v>2079</v>
      </c>
      <c r="S42" s="456" t="s">
        <v>20</v>
      </c>
      <c r="T42" s="456" t="s">
        <v>20</v>
      </c>
      <c r="U42" s="373">
        <f>июнь24[[#This Row],[сумма]]-июнь24[[#This Row],[Цена м2 отделки]]*июнь24[[#This Row],[м2]]</f>
        <v>4252200</v>
      </c>
    </row>
    <row r="43" spans="1:22" s="61" customFormat="1" ht="25.5">
      <c r="A43" s="62">
        <v>41</v>
      </c>
      <c r="B43" s="75">
        <v>32683</v>
      </c>
      <c r="C43" s="62" t="s">
        <v>13</v>
      </c>
      <c r="D43" s="75">
        <v>367</v>
      </c>
      <c r="E43" s="62">
        <v>3</v>
      </c>
      <c r="F43" s="62">
        <v>80.97</v>
      </c>
      <c r="G43" s="62" t="s">
        <v>9</v>
      </c>
      <c r="H43" s="62"/>
      <c r="I43" s="95">
        <v>7688026</v>
      </c>
      <c r="J43" s="117" t="s">
        <v>14</v>
      </c>
      <c r="K43" s="62" t="s">
        <v>16</v>
      </c>
      <c r="L43" s="62" t="s">
        <v>583</v>
      </c>
      <c r="M43" s="62" t="s">
        <v>18</v>
      </c>
      <c r="N43" s="92">
        <v>45464</v>
      </c>
      <c r="O43" s="62" t="s">
        <v>17</v>
      </c>
      <c r="P43" s="62" t="s">
        <v>2115</v>
      </c>
      <c r="Q43" s="113" t="s">
        <v>67</v>
      </c>
      <c r="R43" s="113" t="s">
        <v>2079</v>
      </c>
      <c r="S43" s="117" t="s">
        <v>14</v>
      </c>
      <c r="T43" s="117" t="s">
        <v>14</v>
      </c>
      <c r="U43" s="114">
        <f>июнь24[[#This Row],[сумма]]-июнь24[[#This Row],[Цена м2 отделки]]*июнь24[[#This Row],[м2]]</f>
        <v>7688026</v>
      </c>
    </row>
    <row r="44" spans="1:22" s="61" customFormat="1" ht="25.5">
      <c r="A44" s="62">
        <v>42</v>
      </c>
      <c r="B44" s="75">
        <v>32714</v>
      </c>
      <c r="C44" s="62" t="s">
        <v>13</v>
      </c>
      <c r="D44" s="75">
        <v>297</v>
      </c>
      <c r="E44" s="62">
        <v>3</v>
      </c>
      <c r="F44" s="62">
        <v>80.97</v>
      </c>
      <c r="G44" s="62" t="s">
        <v>25</v>
      </c>
      <c r="H44" s="62">
        <v>20000</v>
      </c>
      <c r="I44" s="95">
        <v>8829800</v>
      </c>
      <c r="J44" s="117" t="s">
        <v>20</v>
      </c>
      <c r="K44" s="62" t="s">
        <v>22</v>
      </c>
      <c r="L44" s="62" t="s">
        <v>583</v>
      </c>
      <c r="M44" s="62" t="s">
        <v>18</v>
      </c>
      <c r="N44" s="92">
        <v>45471</v>
      </c>
      <c r="O44" s="62" t="s">
        <v>17</v>
      </c>
      <c r="P44" s="62" t="s">
        <v>2116</v>
      </c>
      <c r="Q44" s="113" t="s">
        <v>67</v>
      </c>
      <c r="R44" s="113" t="s">
        <v>2079</v>
      </c>
      <c r="S44" s="117" t="s">
        <v>20</v>
      </c>
      <c r="T44" s="117" t="s">
        <v>20</v>
      </c>
      <c r="U44" s="114">
        <f>июнь24[[#This Row],[сумма]]-июнь24[[#This Row],[Цена м2 отделки]]*июнь24[[#This Row],[м2]]</f>
        <v>7210400</v>
      </c>
    </row>
    <row r="45" spans="1:22" s="61" customFormat="1" ht="25.5">
      <c r="A45" s="62">
        <v>43</v>
      </c>
      <c r="B45" s="74">
        <v>32711</v>
      </c>
      <c r="C45" s="62" t="s">
        <v>7</v>
      </c>
      <c r="D45" s="75">
        <v>459</v>
      </c>
      <c r="E45" s="62">
        <v>1</v>
      </c>
      <c r="F45" s="62">
        <v>36.5</v>
      </c>
      <c r="G45" s="62" t="s">
        <v>25</v>
      </c>
      <c r="H45" s="81">
        <v>22000</v>
      </c>
      <c r="I45" s="95">
        <v>5350600</v>
      </c>
      <c r="J45" s="117" t="s">
        <v>20</v>
      </c>
      <c r="K45" s="62" t="s">
        <v>22</v>
      </c>
      <c r="L45" s="62" t="s">
        <v>583</v>
      </c>
      <c r="M45" s="62" t="s">
        <v>18</v>
      </c>
      <c r="N45" s="92">
        <v>45465</v>
      </c>
      <c r="O45" s="62" t="s">
        <v>17</v>
      </c>
      <c r="P45" s="62" t="s">
        <v>2117</v>
      </c>
      <c r="Q45" s="113" t="s">
        <v>67</v>
      </c>
      <c r="R45" s="113" t="s">
        <v>2084</v>
      </c>
      <c r="S45" s="117" t="s">
        <v>20</v>
      </c>
      <c r="T45" s="117" t="s">
        <v>20</v>
      </c>
      <c r="U45" s="114">
        <f>июнь24[[#This Row],[сумма]]-июнь24[[#This Row],[Цена м2 отделки]]*июнь24[[#This Row],[м2]]</f>
        <v>4547600</v>
      </c>
    </row>
    <row r="46" spans="1:22" s="61" customFormat="1">
      <c r="A46" s="65">
        <v>44</v>
      </c>
      <c r="B46" s="79"/>
      <c r="C46" s="65"/>
      <c r="D46" s="79"/>
      <c r="E46" s="65"/>
      <c r="F46" s="65"/>
      <c r="G46" s="65"/>
      <c r="H46" s="65"/>
      <c r="I46" s="93"/>
      <c r="J46" s="80"/>
      <c r="K46" s="65"/>
      <c r="L46" s="65"/>
      <c r="M46" s="65"/>
      <c r="N46" s="98"/>
      <c r="O46" s="65"/>
      <c r="P46" s="65"/>
      <c r="Q46" s="118"/>
      <c r="R46" s="118"/>
      <c r="S46" s="80"/>
      <c r="T46" s="80"/>
      <c r="U46" s="115">
        <f>июнь24[[#This Row],[сумма]]-июнь24[[#This Row],[Цена м2 отделки]]*июнь24[[#This Row],[м2]]</f>
        <v>0</v>
      </c>
      <c r="V46" s="66"/>
    </row>
    <row r="47" spans="1:22" s="61" customFormat="1">
      <c r="A47" s="65">
        <v>45</v>
      </c>
      <c r="B47" s="78"/>
      <c r="C47" s="65"/>
      <c r="D47" s="79"/>
      <c r="E47" s="65"/>
      <c r="F47" s="65"/>
      <c r="G47" s="65"/>
      <c r="H47" s="65"/>
      <c r="I47" s="93"/>
      <c r="J47" s="80"/>
      <c r="K47" s="65"/>
      <c r="L47" s="65"/>
      <c r="M47" s="65"/>
      <c r="N47" s="98"/>
      <c r="O47" s="65"/>
      <c r="P47" s="65"/>
      <c r="Q47" s="118"/>
      <c r="R47" s="118"/>
      <c r="S47" s="80"/>
      <c r="T47" s="80"/>
      <c r="U47" s="115">
        <f>июнь24[[#This Row],[сумма]]-июнь24[[#This Row],[Цена м2 отделки]]*июнь24[[#This Row],[м2]]</f>
        <v>0</v>
      </c>
      <c r="V47" s="66"/>
    </row>
    <row r="48" spans="1:22">
      <c r="A48" s="65">
        <v>46</v>
      </c>
      <c r="B48" s="79"/>
      <c r="C48" s="65"/>
      <c r="D48" s="79"/>
      <c r="E48" s="65"/>
      <c r="F48" s="65"/>
      <c r="G48" s="80"/>
      <c r="H48" s="80"/>
      <c r="I48" s="93"/>
      <c r="J48" s="80"/>
      <c r="K48" s="65"/>
      <c r="L48" s="65"/>
      <c r="M48" s="65"/>
      <c r="N48" s="98"/>
      <c r="O48" s="80"/>
      <c r="P48" s="86"/>
      <c r="Q48" s="86"/>
      <c r="R48" s="86"/>
      <c r="S48" s="80"/>
      <c r="T48" s="80"/>
      <c r="U48" s="115">
        <f>июнь24[[#This Row],[сумма]]-июнь24[[#This Row],[Цена м2 отделки]]*июнь24[[#This Row],[м2]]</f>
        <v>0</v>
      </c>
    </row>
    <row r="49" spans="1:22" s="61" customFormat="1" ht="25.5">
      <c r="A49" s="62">
        <v>47</v>
      </c>
      <c r="B49" s="75">
        <v>32817</v>
      </c>
      <c r="C49" s="62" t="s">
        <v>13</v>
      </c>
      <c r="D49" s="75">
        <v>87</v>
      </c>
      <c r="E49" s="62">
        <v>2</v>
      </c>
      <c r="F49" s="62">
        <v>59.09</v>
      </c>
      <c r="G49" s="117" t="s">
        <v>21</v>
      </c>
      <c r="H49" s="117">
        <v>7000</v>
      </c>
      <c r="I49" s="95">
        <v>6132830</v>
      </c>
      <c r="J49" s="117" t="s">
        <v>34</v>
      </c>
      <c r="K49" s="62" t="s">
        <v>22</v>
      </c>
      <c r="L49" s="62" t="s">
        <v>583</v>
      </c>
      <c r="M49" s="62" t="s">
        <v>18</v>
      </c>
      <c r="N49" s="92">
        <v>45469</v>
      </c>
      <c r="O49" s="117" t="s">
        <v>17</v>
      </c>
      <c r="P49" s="62" t="s">
        <v>2118</v>
      </c>
      <c r="Q49" s="76" t="s">
        <v>67</v>
      </c>
      <c r="R49" s="76" t="s">
        <v>2084</v>
      </c>
      <c r="S49" s="117" t="s">
        <v>34</v>
      </c>
      <c r="T49" s="117" t="s">
        <v>14</v>
      </c>
      <c r="U49" s="114">
        <f>июнь24[[#This Row],[сумма]]-июнь24[[#This Row],[Цена м2 отделки]]*июнь24[[#This Row],[м2]]</f>
        <v>5719200</v>
      </c>
    </row>
    <row r="50" spans="1:22" s="61" customFormat="1" ht="25.5">
      <c r="A50" s="62">
        <v>48</v>
      </c>
      <c r="B50" s="75">
        <v>33079</v>
      </c>
      <c r="C50" s="62" t="s">
        <v>13</v>
      </c>
      <c r="D50" s="75">
        <v>127</v>
      </c>
      <c r="E50" s="62">
        <v>2</v>
      </c>
      <c r="F50" s="62">
        <v>57.6</v>
      </c>
      <c r="G50" s="62" t="s">
        <v>9</v>
      </c>
      <c r="H50" s="62"/>
      <c r="I50" s="95">
        <v>5521400</v>
      </c>
      <c r="J50" s="117" t="s">
        <v>14</v>
      </c>
      <c r="K50" s="62" t="s">
        <v>22</v>
      </c>
      <c r="L50" s="62" t="s">
        <v>583</v>
      </c>
      <c r="M50" s="62" t="s">
        <v>18</v>
      </c>
      <c r="N50" s="92">
        <v>45471</v>
      </c>
      <c r="O50" s="117" t="s">
        <v>17</v>
      </c>
      <c r="P50" s="62" t="s">
        <v>2119</v>
      </c>
      <c r="Q50" s="76" t="s">
        <v>67</v>
      </c>
      <c r="R50" s="76" t="s">
        <v>2079</v>
      </c>
      <c r="S50" s="117" t="s">
        <v>14</v>
      </c>
      <c r="T50" s="117" t="s">
        <v>14</v>
      </c>
      <c r="U50" s="114">
        <f>июнь24[[#This Row],[сумма]]-июнь24[[#This Row],[Цена м2 отделки]]*июнь24[[#This Row],[м2]]</f>
        <v>5521400</v>
      </c>
    </row>
    <row r="51" spans="1:22" s="61" customFormat="1">
      <c r="A51" s="65">
        <v>49</v>
      </c>
      <c r="B51" s="79"/>
      <c r="C51" s="65"/>
      <c r="D51" s="79"/>
      <c r="E51" s="65"/>
      <c r="F51" s="65"/>
      <c r="G51" s="65"/>
      <c r="H51" s="65"/>
      <c r="I51" s="93"/>
      <c r="J51" s="80"/>
      <c r="K51" s="65"/>
      <c r="L51" s="65"/>
      <c r="M51" s="65"/>
      <c r="N51" s="98"/>
      <c r="O51" s="80"/>
      <c r="P51" s="65"/>
      <c r="Q51" s="118"/>
      <c r="R51" s="86"/>
      <c r="S51" s="80"/>
      <c r="T51" s="80"/>
      <c r="U51" s="115">
        <f>июнь24[[#This Row],[сумма]]-июнь24[[#This Row],[Цена м2 отделки]]*июнь24[[#This Row],[м2]]</f>
        <v>0</v>
      </c>
      <c r="V51" s="66"/>
    </row>
    <row r="52" spans="1:22" s="61" customFormat="1" ht="25.5">
      <c r="A52" s="62">
        <v>50</v>
      </c>
      <c r="B52" s="75">
        <v>32874</v>
      </c>
      <c r="C52" s="62" t="s">
        <v>13</v>
      </c>
      <c r="D52" s="75">
        <v>79</v>
      </c>
      <c r="E52" s="62">
        <v>1</v>
      </c>
      <c r="F52" s="62">
        <v>37.729999999999997</v>
      </c>
      <c r="G52" s="62" t="s">
        <v>25</v>
      </c>
      <c r="H52" s="62">
        <v>20000</v>
      </c>
      <c r="I52" s="95">
        <v>5273900</v>
      </c>
      <c r="J52" s="117" t="s">
        <v>8</v>
      </c>
      <c r="K52" s="62" t="s">
        <v>22</v>
      </c>
      <c r="L52" s="62" t="s">
        <v>583</v>
      </c>
      <c r="M52" s="431" t="s">
        <v>18</v>
      </c>
      <c r="N52" s="92">
        <v>45463</v>
      </c>
      <c r="O52" s="117" t="s">
        <v>17</v>
      </c>
      <c r="P52" s="62" t="s">
        <v>2120</v>
      </c>
      <c r="Q52" s="76" t="s">
        <v>67</v>
      </c>
      <c r="R52" s="76" t="s">
        <v>2084</v>
      </c>
      <c r="S52" s="117" t="s">
        <v>8</v>
      </c>
      <c r="T52" s="117" t="s">
        <v>8</v>
      </c>
      <c r="U52" s="114">
        <f>июнь24[[#This Row],[сумма]]-июнь24[[#This Row],[Цена м2 отделки]]*июнь24[[#This Row],[м2]]</f>
        <v>4519300</v>
      </c>
    </row>
    <row r="53" spans="1:22" s="368" customFormat="1">
      <c r="A53" s="65">
        <v>51</v>
      </c>
      <c r="B53" s="79"/>
      <c r="C53" s="65"/>
      <c r="D53" s="79"/>
      <c r="E53" s="65"/>
      <c r="F53" s="65"/>
      <c r="G53" s="65"/>
      <c r="H53" s="65"/>
      <c r="I53" s="93"/>
      <c r="J53" s="80"/>
      <c r="K53" s="65"/>
      <c r="L53" s="65"/>
      <c r="M53" s="65"/>
      <c r="N53" s="98"/>
      <c r="O53" s="80"/>
      <c r="P53" s="86"/>
      <c r="Q53" s="86"/>
      <c r="R53" s="86"/>
      <c r="S53" s="80"/>
      <c r="T53" s="80"/>
      <c r="U53" s="115">
        <f>июнь24[[#This Row],[сумма]]-июнь24[[#This Row],[Цена м2 отделки]]*июнь24[[#This Row],[м2]]</f>
        <v>0</v>
      </c>
      <c r="V53" s="66"/>
    </row>
    <row r="54" spans="1:22" s="61" customFormat="1" ht="25.5">
      <c r="A54" s="62">
        <v>52</v>
      </c>
      <c r="B54" s="75">
        <v>32672</v>
      </c>
      <c r="C54" s="62" t="s">
        <v>13</v>
      </c>
      <c r="D54" s="75">
        <v>345</v>
      </c>
      <c r="E54" s="62">
        <v>1</v>
      </c>
      <c r="F54" s="62">
        <v>37.81</v>
      </c>
      <c r="G54" s="62" t="s">
        <v>9</v>
      </c>
      <c r="H54" s="62"/>
      <c r="I54" s="95">
        <v>4330900</v>
      </c>
      <c r="J54" s="117" t="s">
        <v>14</v>
      </c>
      <c r="K54" s="62" t="s">
        <v>16</v>
      </c>
      <c r="L54" s="62" t="s">
        <v>583</v>
      </c>
      <c r="M54" s="62" t="s">
        <v>18</v>
      </c>
      <c r="N54" s="537">
        <v>45471</v>
      </c>
      <c r="O54" s="117" t="s">
        <v>17</v>
      </c>
      <c r="P54" s="76" t="s">
        <v>2121</v>
      </c>
      <c r="Q54" s="76" t="s">
        <v>67</v>
      </c>
      <c r="R54" s="76" t="s">
        <v>2079</v>
      </c>
      <c r="S54" s="117" t="s">
        <v>14</v>
      </c>
      <c r="T54" s="117" t="s">
        <v>14</v>
      </c>
      <c r="U54" s="114">
        <f>июнь24[[#This Row],[сумма]]-июнь24[[#This Row],[Цена м2 отделки]]*июнь24[[#This Row],[м2]]</f>
        <v>4330900</v>
      </c>
    </row>
    <row r="55" spans="1:22" s="368" customFormat="1" ht="25.5">
      <c r="A55" s="369">
        <v>53</v>
      </c>
      <c r="B55" s="440">
        <v>31808</v>
      </c>
      <c r="C55" s="456" t="s">
        <v>13</v>
      </c>
      <c r="D55" s="440">
        <v>26</v>
      </c>
      <c r="E55" s="369">
        <v>2</v>
      </c>
      <c r="F55" s="369">
        <v>58.16</v>
      </c>
      <c r="G55" s="446" t="s">
        <v>9</v>
      </c>
      <c r="H55" s="446"/>
      <c r="I55" s="457">
        <v>5764500</v>
      </c>
      <c r="J55" s="456" t="s">
        <v>14</v>
      </c>
      <c r="K55" s="456" t="s">
        <v>22</v>
      </c>
      <c r="L55" s="456" t="s">
        <v>583</v>
      </c>
      <c r="M55" s="456" t="s">
        <v>18</v>
      </c>
      <c r="N55" s="538">
        <v>45469</v>
      </c>
      <c r="O55" s="456" t="s">
        <v>17</v>
      </c>
      <c r="P55" s="446" t="s">
        <v>2122</v>
      </c>
      <c r="Q55" s="446" t="s">
        <v>67</v>
      </c>
      <c r="R55" s="446" t="s">
        <v>2079</v>
      </c>
      <c r="S55" s="456" t="s">
        <v>14</v>
      </c>
      <c r="T55" s="456" t="s">
        <v>14</v>
      </c>
      <c r="U55" s="373">
        <f>июнь24[[#This Row],[сумма]]-июнь24[[#This Row],[Цена м2 отделки]]*июнь24[[#This Row],[м2]]</f>
        <v>5764500</v>
      </c>
    </row>
    <row r="56" spans="1:22" s="61" customFormat="1" ht="25.5">
      <c r="A56" s="62">
        <v>54</v>
      </c>
      <c r="B56" s="75">
        <v>17902</v>
      </c>
      <c r="C56" s="62" t="s">
        <v>13</v>
      </c>
      <c r="D56" s="75">
        <v>395</v>
      </c>
      <c r="E56" s="62">
        <v>3</v>
      </c>
      <c r="F56" s="62">
        <v>79.44</v>
      </c>
      <c r="G56" s="62" t="s">
        <v>9</v>
      </c>
      <c r="H56" s="62"/>
      <c r="I56" s="95">
        <v>8531500</v>
      </c>
      <c r="J56" s="117" t="s">
        <v>8</v>
      </c>
      <c r="K56" s="62" t="s">
        <v>22</v>
      </c>
      <c r="L56" s="62" t="s">
        <v>583</v>
      </c>
      <c r="M56" s="62" t="s">
        <v>18</v>
      </c>
      <c r="N56" s="537">
        <v>45467</v>
      </c>
      <c r="O56" s="117" t="s">
        <v>17</v>
      </c>
      <c r="P56" s="62" t="s">
        <v>2123</v>
      </c>
      <c r="Q56" s="113" t="s">
        <v>67</v>
      </c>
      <c r="R56" s="76" t="s">
        <v>2079</v>
      </c>
      <c r="S56" s="117" t="s">
        <v>8</v>
      </c>
      <c r="T56" s="117" t="s">
        <v>8</v>
      </c>
      <c r="U56" s="114">
        <f>июнь24[[#This Row],[сумма]]-июнь24[[#This Row],[Цена м2 отделки]]*июнь24[[#This Row],[м2]]</f>
        <v>8531500</v>
      </c>
    </row>
    <row r="57" spans="1:22" s="61" customFormat="1" ht="25.5">
      <c r="A57" s="62">
        <v>55</v>
      </c>
      <c r="B57" s="74">
        <v>33245</v>
      </c>
      <c r="C57" s="62" t="s">
        <v>13</v>
      </c>
      <c r="D57" s="75">
        <v>207</v>
      </c>
      <c r="E57" s="62">
        <v>3</v>
      </c>
      <c r="F57" s="62">
        <v>84.99</v>
      </c>
      <c r="G57" s="62" t="s">
        <v>9</v>
      </c>
      <c r="H57" s="62"/>
      <c r="I57" s="95">
        <v>7450861</v>
      </c>
      <c r="J57" s="117" t="s">
        <v>31</v>
      </c>
      <c r="K57" s="62" t="s">
        <v>1892</v>
      </c>
      <c r="L57" s="62" t="s">
        <v>583</v>
      </c>
      <c r="M57" s="62" t="s">
        <v>18</v>
      </c>
      <c r="N57" s="92">
        <v>45472</v>
      </c>
      <c r="O57" s="117" t="s">
        <v>17</v>
      </c>
      <c r="P57" s="62" t="s">
        <v>2124</v>
      </c>
      <c r="Q57" s="113" t="s">
        <v>67</v>
      </c>
      <c r="R57" s="113" t="s">
        <v>2079</v>
      </c>
      <c r="S57" s="117" t="s">
        <v>31</v>
      </c>
      <c r="T57" s="117" t="s">
        <v>14</v>
      </c>
      <c r="U57" s="114">
        <f>июнь24[[#This Row],[сумма]]-июнь24[[#This Row],[Цена м2 отделки]]*июнь24[[#This Row],[м2]]</f>
        <v>7450861</v>
      </c>
    </row>
    <row r="58" spans="1:22" s="61" customFormat="1" ht="25.5">
      <c r="A58" s="62">
        <v>56</v>
      </c>
      <c r="B58" s="75">
        <v>32799</v>
      </c>
      <c r="C58" s="62" t="s">
        <v>13</v>
      </c>
      <c r="D58" s="75">
        <v>277</v>
      </c>
      <c r="E58" s="62">
        <v>1</v>
      </c>
      <c r="F58" s="62">
        <v>34.81</v>
      </c>
      <c r="G58" s="62" t="s">
        <v>9</v>
      </c>
      <c r="H58" s="62"/>
      <c r="I58" s="95">
        <v>4212300</v>
      </c>
      <c r="J58" s="117" t="s">
        <v>8</v>
      </c>
      <c r="K58" s="62" t="s">
        <v>1892</v>
      </c>
      <c r="L58" s="62" t="s">
        <v>583</v>
      </c>
      <c r="M58" s="62" t="s">
        <v>18</v>
      </c>
      <c r="N58" s="92">
        <v>45464</v>
      </c>
      <c r="O58" s="117" t="s">
        <v>17</v>
      </c>
      <c r="P58" s="62" t="s">
        <v>2125</v>
      </c>
      <c r="Q58" s="113" t="s">
        <v>67</v>
      </c>
      <c r="R58" s="76" t="s">
        <v>2084</v>
      </c>
      <c r="S58" s="117" t="s">
        <v>8</v>
      </c>
      <c r="T58" s="117" t="s">
        <v>8</v>
      </c>
      <c r="U58" s="114">
        <f>июнь24[[#This Row],[сумма]]-июнь24[[#This Row],[Цена м2 отделки]]*июнь24[[#This Row],[м2]]</f>
        <v>4212300</v>
      </c>
    </row>
    <row r="59" spans="1:22" s="61" customFormat="1" ht="25.5">
      <c r="A59" s="62">
        <v>57</v>
      </c>
      <c r="B59" s="75">
        <v>33046</v>
      </c>
      <c r="C59" s="62" t="s">
        <v>13</v>
      </c>
      <c r="D59" s="75">
        <v>289</v>
      </c>
      <c r="E59" s="62">
        <v>1</v>
      </c>
      <c r="F59" s="62">
        <v>37.81</v>
      </c>
      <c r="G59" s="62" t="s">
        <v>9</v>
      </c>
      <c r="H59" s="62"/>
      <c r="I59" s="95">
        <v>4430900</v>
      </c>
      <c r="J59" s="62" t="s">
        <v>8</v>
      </c>
      <c r="K59" s="62" t="s">
        <v>1892</v>
      </c>
      <c r="L59" s="62" t="s">
        <v>583</v>
      </c>
      <c r="M59" s="62" t="s">
        <v>18</v>
      </c>
      <c r="N59" s="92">
        <v>45467</v>
      </c>
      <c r="O59" s="62" t="s">
        <v>17</v>
      </c>
      <c r="P59" s="62" t="s">
        <v>2126</v>
      </c>
      <c r="Q59" s="76" t="s">
        <v>67</v>
      </c>
      <c r="R59" s="76" t="s">
        <v>2084</v>
      </c>
      <c r="S59" s="62" t="s">
        <v>8</v>
      </c>
      <c r="T59" s="62" t="s">
        <v>8</v>
      </c>
      <c r="U59" s="114">
        <f>июнь24[[#This Row],[сумма]]-июнь24[[#This Row],[Цена м2 отделки]]*июнь24[[#This Row],[м2]]</f>
        <v>4430900</v>
      </c>
    </row>
    <row r="60" spans="1:22" s="61" customFormat="1" ht="25.5">
      <c r="A60" s="62">
        <v>58</v>
      </c>
      <c r="B60" s="75">
        <v>33009</v>
      </c>
      <c r="C60" s="62" t="s">
        <v>13</v>
      </c>
      <c r="D60" s="75">
        <v>436</v>
      </c>
      <c r="E60" s="62">
        <v>1</v>
      </c>
      <c r="F60" s="62">
        <v>39.69</v>
      </c>
      <c r="G60" s="62" t="s">
        <v>25</v>
      </c>
      <c r="H60" s="348">
        <v>20000</v>
      </c>
      <c r="I60" s="95">
        <v>5154600</v>
      </c>
      <c r="J60" s="117" t="s">
        <v>8</v>
      </c>
      <c r="K60" s="62" t="s">
        <v>1892</v>
      </c>
      <c r="L60" s="62" t="s">
        <v>583</v>
      </c>
      <c r="M60" s="62" t="s">
        <v>18</v>
      </c>
      <c r="N60" s="539">
        <v>45464</v>
      </c>
      <c r="O60" s="62" t="s">
        <v>17</v>
      </c>
      <c r="P60" s="348" t="s">
        <v>2127</v>
      </c>
      <c r="Q60" s="113" t="s">
        <v>67</v>
      </c>
      <c r="R60" s="113" t="s">
        <v>2084</v>
      </c>
      <c r="S60" s="117" t="s">
        <v>8</v>
      </c>
      <c r="T60" s="117" t="s">
        <v>8</v>
      </c>
      <c r="U60" s="114">
        <f>июнь24[[#This Row],[сумма]]-июнь24[[#This Row],[Цена м2 отделки]]*июнь24[[#This Row],[м2]]</f>
        <v>4360800</v>
      </c>
    </row>
    <row r="61" spans="1:22" s="61" customFormat="1" ht="25.5">
      <c r="A61" s="62">
        <v>59</v>
      </c>
      <c r="B61" s="75">
        <v>33020</v>
      </c>
      <c r="C61" s="62" t="s">
        <v>13</v>
      </c>
      <c r="D61" s="75">
        <v>173</v>
      </c>
      <c r="E61" s="62">
        <v>1</v>
      </c>
      <c r="F61" s="62">
        <v>42.28</v>
      </c>
      <c r="G61" s="62" t="s">
        <v>21</v>
      </c>
      <c r="H61" s="62">
        <v>7500</v>
      </c>
      <c r="I61" s="95">
        <v>4876260</v>
      </c>
      <c r="J61" s="117" t="s">
        <v>8</v>
      </c>
      <c r="K61" s="62" t="s">
        <v>1892</v>
      </c>
      <c r="L61" s="62" t="s">
        <v>583</v>
      </c>
      <c r="M61" s="62" t="s">
        <v>18</v>
      </c>
      <c r="N61" s="92">
        <v>45467</v>
      </c>
      <c r="O61" s="62" t="s">
        <v>17</v>
      </c>
      <c r="P61" s="62" t="s">
        <v>2128</v>
      </c>
      <c r="Q61" s="113" t="s">
        <v>67</v>
      </c>
      <c r="R61" s="113" t="s">
        <v>2084</v>
      </c>
      <c r="S61" s="117" t="s">
        <v>8</v>
      </c>
      <c r="T61" s="117" t="s">
        <v>8</v>
      </c>
      <c r="U61" s="114">
        <f>июнь24[[#This Row],[сумма]]-июнь24[[#This Row],[Цена м2 отделки]]*июнь24[[#This Row],[м2]]</f>
        <v>4559160</v>
      </c>
    </row>
    <row r="62" spans="1:22" s="61" customFormat="1" ht="25.5">
      <c r="A62" s="62">
        <v>60</v>
      </c>
      <c r="B62" s="75">
        <v>32885</v>
      </c>
      <c r="C62" s="62" t="s">
        <v>13</v>
      </c>
      <c r="D62" s="75">
        <v>456</v>
      </c>
      <c r="E62" s="62">
        <v>2</v>
      </c>
      <c r="F62" s="62">
        <v>58.24</v>
      </c>
      <c r="G62" s="62" t="s">
        <v>21</v>
      </c>
      <c r="H62" s="348">
        <v>7000</v>
      </c>
      <c r="I62" s="95">
        <v>5990380</v>
      </c>
      <c r="J62" s="117" t="s">
        <v>14</v>
      </c>
      <c r="K62" s="62" t="s">
        <v>22</v>
      </c>
      <c r="L62" s="62" t="s">
        <v>583</v>
      </c>
      <c r="M62" s="62" t="s">
        <v>18</v>
      </c>
      <c r="N62" s="92">
        <v>45471</v>
      </c>
      <c r="O62" s="62" t="s">
        <v>17</v>
      </c>
      <c r="P62" s="62" t="s">
        <v>2129</v>
      </c>
      <c r="Q62" s="113" t="s">
        <v>67</v>
      </c>
      <c r="R62" s="76" t="s">
        <v>2130</v>
      </c>
      <c r="S62" s="117" t="s">
        <v>14</v>
      </c>
      <c r="T62" s="117" t="s">
        <v>20</v>
      </c>
      <c r="U62" s="114">
        <f>июнь24[[#This Row],[сумма]]-июнь24[[#This Row],[Цена м2 отделки]]*июнь24[[#This Row],[м2]]</f>
        <v>5582700</v>
      </c>
    </row>
    <row r="63" spans="1:22" s="368" customFormat="1" ht="25.5">
      <c r="A63" s="369">
        <v>61</v>
      </c>
      <c r="B63" s="440">
        <v>25872</v>
      </c>
      <c r="C63" s="369" t="s">
        <v>13</v>
      </c>
      <c r="D63" s="440">
        <v>35</v>
      </c>
      <c r="E63" s="369">
        <v>1</v>
      </c>
      <c r="F63" s="369">
        <v>34.39</v>
      </c>
      <c r="G63" s="369" t="s">
        <v>25</v>
      </c>
      <c r="H63" s="460">
        <v>20000</v>
      </c>
      <c r="I63" s="450">
        <v>4791700</v>
      </c>
      <c r="J63" s="456" t="s">
        <v>41</v>
      </c>
      <c r="K63" s="369" t="s">
        <v>22</v>
      </c>
      <c r="L63" s="369" t="s">
        <v>583</v>
      </c>
      <c r="M63" s="369" t="s">
        <v>18</v>
      </c>
      <c r="N63" s="540">
        <v>45470</v>
      </c>
      <c r="O63" s="369" t="s">
        <v>17</v>
      </c>
      <c r="P63" s="369" t="s">
        <v>2131</v>
      </c>
      <c r="Q63" s="372" t="s">
        <v>67</v>
      </c>
      <c r="R63" s="372" t="s">
        <v>2132</v>
      </c>
      <c r="S63" s="456" t="s">
        <v>41</v>
      </c>
      <c r="T63" s="456" t="s">
        <v>20</v>
      </c>
      <c r="U63" s="373">
        <f>июнь24[[#This Row],[сумма]]-июнь24[[#This Row],[Цена м2 отделки]]*июнь24[[#This Row],[м2]]</f>
        <v>4103900</v>
      </c>
    </row>
    <row r="64" spans="1:22" s="61" customFormat="1" ht="25.5">
      <c r="A64" s="62">
        <v>62</v>
      </c>
      <c r="B64" s="75">
        <v>33103</v>
      </c>
      <c r="C64" s="62" t="s">
        <v>7</v>
      </c>
      <c r="D64" s="75">
        <v>162</v>
      </c>
      <c r="E64" s="62">
        <v>2</v>
      </c>
      <c r="F64" s="62">
        <v>68.75</v>
      </c>
      <c r="G64" s="62" t="s">
        <v>15</v>
      </c>
      <c r="H64" s="62">
        <v>7500</v>
      </c>
      <c r="I64" s="95">
        <v>7463425</v>
      </c>
      <c r="J64" s="62" t="s">
        <v>31</v>
      </c>
      <c r="K64" s="62" t="s">
        <v>22</v>
      </c>
      <c r="L64" s="62" t="s">
        <v>583</v>
      </c>
      <c r="M64" s="62" t="s">
        <v>18</v>
      </c>
      <c r="N64" s="92"/>
      <c r="O64" s="62" t="s">
        <v>17</v>
      </c>
      <c r="P64" s="62" t="s">
        <v>2133</v>
      </c>
      <c r="Q64" s="113" t="s">
        <v>67</v>
      </c>
      <c r="R64" s="113" t="s">
        <v>2130</v>
      </c>
      <c r="S64" s="62" t="s">
        <v>31</v>
      </c>
      <c r="T64" s="62" t="s">
        <v>20</v>
      </c>
      <c r="U64" s="114">
        <f>июнь24[[#This Row],[сумма]]-июнь24[[#This Row],[Цена м2 отделки]]*июнь24[[#This Row],[м2]]</f>
        <v>6947800</v>
      </c>
    </row>
    <row r="65" spans="1:21" s="368" customFormat="1" ht="25.5">
      <c r="A65" s="369">
        <v>63</v>
      </c>
      <c r="B65" s="445">
        <v>33163</v>
      </c>
      <c r="C65" s="369" t="s">
        <v>13</v>
      </c>
      <c r="D65" s="440">
        <v>233</v>
      </c>
      <c r="E65" s="369">
        <v>1</v>
      </c>
      <c r="F65" s="369">
        <v>37.81</v>
      </c>
      <c r="G65" s="446" t="s">
        <v>21</v>
      </c>
      <c r="H65" s="446">
        <v>7000</v>
      </c>
      <c r="I65" s="457">
        <v>4655470</v>
      </c>
      <c r="J65" s="456" t="s">
        <v>8</v>
      </c>
      <c r="K65" s="369" t="s">
        <v>1892</v>
      </c>
      <c r="L65" s="369" t="s">
        <v>583</v>
      </c>
      <c r="M65" s="369" t="s">
        <v>18</v>
      </c>
      <c r="N65" s="451">
        <v>45470</v>
      </c>
      <c r="O65" s="456" t="s">
        <v>17</v>
      </c>
      <c r="P65" s="446" t="s">
        <v>2134</v>
      </c>
      <c r="Q65" s="372" t="s">
        <v>67</v>
      </c>
      <c r="R65" s="372" t="s">
        <v>2079</v>
      </c>
      <c r="S65" s="456" t="s">
        <v>8</v>
      </c>
      <c r="T65" s="456" t="s">
        <v>8</v>
      </c>
      <c r="U65" s="373">
        <f>июнь24[[#This Row],[сумма]]-июнь24[[#This Row],[Цена м2 отделки]]*июнь24[[#This Row],[м2]]</f>
        <v>4390800</v>
      </c>
    </row>
    <row r="66" spans="1:21" s="61" customFormat="1" ht="25.5">
      <c r="A66" s="62">
        <v>64</v>
      </c>
      <c r="B66" s="74">
        <v>33026</v>
      </c>
      <c r="C66" s="62" t="s">
        <v>13</v>
      </c>
      <c r="D66" s="75">
        <v>194</v>
      </c>
      <c r="E66" s="62">
        <v>1</v>
      </c>
      <c r="F66" s="62">
        <v>42.28</v>
      </c>
      <c r="G66" s="62" t="s">
        <v>21</v>
      </c>
      <c r="H66" s="62">
        <v>7000</v>
      </c>
      <c r="I66" s="95">
        <v>4964760</v>
      </c>
      <c r="J66" s="117" t="s">
        <v>8</v>
      </c>
      <c r="K66" s="62" t="s">
        <v>1892</v>
      </c>
      <c r="L66" s="62" t="s">
        <v>583</v>
      </c>
      <c r="M66" s="62" t="s">
        <v>18</v>
      </c>
      <c r="N66" s="92">
        <v>45468</v>
      </c>
      <c r="O66" s="117" t="s">
        <v>17</v>
      </c>
      <c r="P66" s="62" t="s">
        <v>2135</v>
      </c>
      <c r="Q66" s="76" t="s">
        <v>2136</v>
      </c>
      <c r="R66" s="76" t="s">
        <v>2079</v>
      </c>
      <c r="S66" s="117" t="s">
        <v>8</v>
      </c>
      <c r="T66" s="117" t="s">
        <v>8</v>
      </c>
      <c r="U66" s="114">
        <f>июнь24[[#This Row],[сумма]]-июнь24[[#This Row],[Цена м2 отделки]]*июнь24[[#This Row],[м2]]</f>
        <v>4668800</v>
      </c>
    </row>
    <row r="67" spans="1:21" s="61" customFormat="1" ht="25.5">
      <c r="A67" s="62">
        <v>65</v>
      </c>
      <c r="B67" s="75">
        <v>32865</v>
      </c>
      <c r="C67" s="62" t="s">
        <v>13</v>
      </c>
      <c r="D67" s="75">
        <v>521</v>
      </c>
      <c r="E67" s="62">
        <v>2</v>
      </c>
      <c r="F67" s="62">
        <v>57.8</v>
      </c>
      <c r="G67" s="62" t="s">
        <v>25</v>
      </c>
      <c r="H67" s="62">
        <v>20000</v>
      </c>
      <c r="I67" s="95">
        <v>6669700</v>
      </c>
      <c r="J67" s="117" t="s">
        <v>8</v>
      </c>
      <c r="K67" s="62" t="s">
        <v>1892</v>
      </c>
      <c r="L67" s="62" t="s">
        <v>583</v>
      </c>
      <c r="M67" s="62" t="s">
        <v>18</v>
      </c>
      <c r="N67" s="92">
        <v>45471</v>
      </c>
      <c r="O67" s="117" t="s">
        <v>17</v>
      </c>
      <c r="P67" s="62" t="s">
        <v>2137</v>
      </c>
      <c r="Q67" s="76" t="s">
        <v>67</v>
      </c>
      <c r="R67" s="76" t="s">
        <v>2079</v>
      </c>
      <c r="S67" s="117" t="s">
        <v>8</v>
      </c>
      <c r="T67" s="117" t="s">
        <v>8</v>
      </c>
      <c r="U67" s="114">
        <f>июнь24[[#This Row],[сумма]]-июнь24[[#This Row],[Цена м2 отделки]]*июнь24[[#This Row],[м2]]</f>
        <v>5513700</v>
      </c>
    </row>
    <row r="68" spans="1:21" s="61" customFormat="1" ht="25.5">
      <c r="A68" s="62">
        <v>66</v>
      </c>
      <c r="B68" s="74">
        <v>32748</v>
      </c>
      <c r="C68" s="62" t="s">
        <v>13</v>
      </c>
      <c r="D68" s="75">
        <v>209</v>
      </c>
      <c r="E68" s="62">
        <v>2</v>
      </c>
      <c r="F68" s="62">
        <v>60.22</v>
      </c>
      <c r="G68" s="62" t="s">
        <v>9</v>
      </c>
      <c r="H68" s="62"/>
      <c r="I68" s="95">
        <v>5770900</v>
      </c>
      <c r="J68" s="117" t="s">
        <v>8</v>
      </c>
      <c r="K68" s="62" t="s">
        <v>1892</v>
      </c>
      <c r="L68" s="62" t="s">
        <v>583</v>
      </c>
      <c r="M68" s="62" t="s">
        <v>18</v>
      </c>
      <c r="N68" s="92">
        <v>45468</v>
      </c>
      <c r="O68" s="117" t="s">
        <v>17</v>
      </c>
      <c r="P68" s="62" t="s">
        <v>2138</v>
      </c>
      <c r="Q68" s="113" t="s">
        <v>2136</v>
      </c>
      <c r="R68" s="113" t="s">
        <v>2079</v>
      </c>
      <c r="S68" s="62" t="s">
        <v>8</v>
      </c>
      <c r="T68" s="62" t="s">
        <v>8</v>
      </c>
      <c r="U68" s="114">
        <f>июнь24[[#This Row],[сумма]]-июнь24[[#This Row],[Цена м2 отделки]]*июнь24[[#This Row],[м2]]</f>
        <v>5770900</v>
      </c>
    </row>
    <row r="69" spans="1:21" s="61" customFormat="1">
      <c r="A69" s="62">
        <v>67</v>
      </c>
      <c r="B69" s="75">
        <v>33030</v>
      </c>
      <c r="C69" s="62" t="s">
        <v>74</v>
      </c>
      <c r="D69" s="62">
        <v>45</v>
      </c>
      <c r="E69" s="349">
        <v>2</v>
      </c>
      <c r="F69" s="62">
        <v>61.41</v>
      </c>
      <c r="G69" s="62" t="s">
        <v>9</v>
      </c>
      <c r="H69" s="348"/>
      <c r="I69" s="95">
        <v>7409584</v>
      </c>
      <c r="J69" s="348" t="s">
        <v>8</v>
      </c>
      <c r="K69" s="62" t="s">
        <v>22</v>
      </c>
      <c r="L69" s="62" t="s">
        <v>583</v>
      </c>
      <c r="M69" s="62" t="s">
        <v>18</v>
      </c>
      <c r="N69" s="92">
        <v>45465</v>
      </c>
      <c r="O69" s="117" t="s">
        <v>17</v>
      </c>
      <c r="P69" s="62" t="s">
        <v>2139</v>
      </c>
      <c r="Q69" s="76" t="s">
        <v>67</v>
      </c>
      <c r="R69" s="76" t="s">
        <v>2140</v>
      </c>
      <c r="S69" s="62" t="s">
        <v>8</v>
      </c>
      <c r="T69" s="62" t="s">
        <v>8</v>
      </c>
      <c r="U69" s="114">
        <f>июнь24[[#This Row],[сумма]]-июнь24[[#This Row],[Цена м2 отделки]]*июнь24[[#This Row],[м2]]</f>
        <v>7409584</v>
      </c>
    </row>
    <row r="70" spans="1:21" s="368" customFormat="1" ht="24" customHeight="1">
      <c r="A70" s="369">
        <v>68</v>
      </c>
      <c r="B70" s="440">
        <v>31602</v>
      </c>
      <c r="C70" s="369" t="s">
        <v>7</v>
      </c>
      <c r="D70" s="440">
        <v>344</v>
      </c>
      <c r="E70" s="449">
        <v>3</v>
      </c>
      <c r="F70" s="369">
        <v>72.510000000000005</v>
      </c>
      <c r="G70" s="369" t="s">
        <v>15</v>
      </c>
      <c r="H70" s="460">
        <v>7500</v>
      </c>
      <c r="I70" s="461">
        <v>7595807</v>
      </c>
      <c r="J70" s="460" t="s">
        <v>1892</v>
      </c>
      <c r="K70" s="369" t="s">
        <v>16</v>
      </c>
      <c r="L70" s="369" t="s">
        <v>583</v>
      </c>
      <c r="M70" s="369" t="s">
        <v>12</v>
      </c>
      <c r="N70" s="451">
        <v>45470</v>
      </c>
      <c r="O70" s="369" t="s">
        <v>17</v>
      </c>
      <c r="P70" s="369" t="s">
        <v>2141</v>
      </c>
      <c r="Q70" s="446" t="s">
        <v>67</v>
      </c>
      <c r="R70" s="446" t="s">
        <v>2079</v>
      </c>
      <c r="S70" s="369" t="s">
        <v>1892</v>
      </c>
      <c r="T70" s="369" t="s">
        <v>1892</v>
      </c>
      <c r="U70" s="373">
        <f>июнь24[[#This Row],[сумма]]-июнь24[[#This Row],[Цена м2 отделки]]*июнь24[[#This Row],[м2]]</f>
        <v>7051982</v>
      </c>
    </row>
    <row r="71" spans="1:21" s="368" customFormat="1" ht="26.25" customHeight="1">
      <c r="A71" s="369">
        <v>69</v>
      </c>
      <c r="B71" s="440">
        <v>31701</v>
      </c>
      <c r="C71" s="369" t="s">
        <v>13</v>
      </c>
      <c r="D71" s="440">
        <v>108</v>
      </c>
      <c r="E71" s="449">
        <v>2</v>
      </c>
      <c r="F71" s="369">
        <v>59.09</v>
      </c>
      <c r="G71" s="369" t="s">
        <v>25</v>
      </c>
      <c r="H71" s="460">
        <v>20000</v>
      </c>
      <c r="I71" s="461">
        <v>6901000</v>
      </c>
      <c r="J71" s="460" t="s">
        <v>8</v>
      </c>
      <c r="K71" s="369" t="s">
        <v>1892</v>
      </c>
      <c r="L71" s="369" t="s">
        <v>583</v>
      </c>
      <c r="M71" s="369" t="s">
        <v>18</v>
      </c>
      <c r="N71" s="451">
        <v>45470</v>
      </c>
      <c r="O71" s="369" t="s">
        <v>17</v>
      </c>
      <c r="P71" s="369" t="s">
        <v>2142</v>
      </c>
      <c r="Q71" s="446" t="s">
        <v>67</v>
      </c>
      <c r="R71" s="446" t="s">
        <v>2079</v>
      </c>
      <c r="S71" s="369" t="s">
        <v>8</v>
      </c>
      <c r="T71" s="369" t="s">
        <v>8</v>
      </c>
      <c r="U71" s="373">
        <f>июнь24[[#This Row],[сумма]]-июнь24[[#This Row],[Цена м2 отделки]]*июнь24[[#This Row],[м2]]</f>
        <v>5719200</v>
      </c>
    </row>
    <row r="72" spans="1:21">
      <c r="A72" s="65"/>
      <c r="B72" s="79"/>
      <c r="C72" s="65"/>
      <c r="D72" s="79"/>
      <c r="E72" s="87"/>
      <c r="F72" s="65"/>
      <c r="G72" s="65"/>
      <c r="H72" s="72"/>
      <c r="I72" s="105"/>
      <c r="J72" s="72"/>
      <c r="K72" s="65"/>
      <c r="L72" s="65"/>
      <c r="M72" s="65"/>
      <c r="N72" s="98"/>
      <c r="O72" s="65"/>
      <c r="P72" s="65"/>
      <c r="Q72" s="86"/>
      <c r="R72" s="86"/>
      <c r="S72" s="65"/>
      <c r="U72" s="115">
        <f>июнь24[[#This Row],[сумма]]-июнь24[[#This Row],[Цена м2 отделки]]*июнь24[[#This Row],[м2]]</f>
        <v>0</v>
      </c>
    </row>
    <row r="73" spans="1:21">
      <c r="A73" s="65"/>
      <c r="B73" s="79"/>
      <c r="C73" s="65"/>
      <c r="D73" s="79"/>
      <c r="E73" s="87"/>
      <c r="F73" s="65"/>
      <c r="G73" s="65"/>
      <c r="H73" s="72"/>
      <c r="I73" s="105"/>
      <c r="J73" s="72"/>
      <c r="K73" s="65"/>
      <c r="L73" s="65"/>
      <c r="M73" s="65"/>
      <c r="N73" s="98"/>
      <c r="O73" s="65"/>
      <c r="P73" s="65"/>
      <c r="Q73" s="86"/>
      <c r="R73" s="86"/>
      <c r="S73" s="65"/>
      <c r="U73" s="115">
        <f>июнь24[[#This Row],[сумма]]-июнь24[[#This Row],[Цена м2 отделки]]*июнь24[[#This Row],[м2]]</f>
        <v>0</v>
      </c>
    </row>
    <row r="74" spans="1:21">
      <c r="A74" s="65"/>
      <c r="B74" s="79"/>
      <c r="C74" s="65"/>
      <c r="D74" s="79"/>
      <c r="E74" s="87"/>
      <c r="F74" s="65"/>
      <c r="G74" s="65"/>
      <c r="H74" s="72"/>
      <c r="I74" s="105"/>
      <c r="J74" s="72"/>
      <c r="K74" s="65"/>
      <c r="L74" s="65"/>
      <c r="M74" s="65"/>
      <c r="N74" s="98"/>
      <c r="O74" s="65"/>
      <c r="P74" s="65"/>
      <c r="Q74" s="86"/>
      <c r="R74" s="86"/>
      <c r="S74" s="65"/>
      <c r="U74" s="115">
        <f>июнь24[[#This Row],[сумма]]-июнь24[[#This Row],[Цена м2 отделки]]*июнь24[[#This Row],[м2]]</f>
        <v>0</v>
      </c>
    </row>
    <row r="75" spans="1:21">
      <c r="A75" s="65"/>
      <c r="B75" s="79"/>
      <c r="C75" s="65"/>
      <c r="D75" s="79"/>
      <c r="E75" s="87"/>
      <c r="F75" s="65"/>
      <c r="G75" s="65"/>
      <c r="H75" s="72"/>
      <c r="I75" s="105"/>
      <c r="J75" s="72"/>
      <c r="K75" s="65"/>
      <c r="L75" s="65"/>
      <c r="M75" s="65"/>
      <c r="N75" s="98"/>
      <c r="O75" s="65"/>
      <c r="P75" s="65"/>
      <c r="Q75" s="86"/>
      <c r="R75" s="86"/>
      <c r="S75" s="65"/>
      <c r="U75" s="115">
        <f>июнь24[[#This Row],[сумма]]-июнь24[[#This Row],[Цена м2 отделки]]*июнь24[[#This Row],[м2]]</f>
        <v>0</v>
      </c>
    </row>
    <row r="76" spans="1:21">
      <c r="A76" s="65"/>
      <c r="B76" s="87"/>
      <c r="C76" s="65"/>
      <c r="D76" s="65"/>
      <c r="E76" s="87"/>
      <c r="F76" s="65"/>
      <c r="G76" s="65"/>
      <c r="H76" s="72"/>
      <c r="I76" s="105"/>
      <c r="J76" s="72"/>
      <c r="K76" s="65"/>
      <c r="L76" s="65"/>
      <c r="M76" s="65"/>
      <c r="N76" s="94"/>
      <c r="O76" s="65"/>
      <c r="P76" s="65"/>
      <c r="Q76" s="86"/>
      <c r="R76" s="86"/>
      <c r="S76" s="65"/>
      <c r="U76" s="115">
        <f>июнь24[[#This Row],[сумма]]-июнь24[[#This Row],[Цена м2 отделки]]*июнь24[[#This Row],[м2]]</f>
        <v>0</v>
      </c>
    </row>
    <row r="77" spans="1:21">
      <c r="A77" s="65"/>
      <c r="B77" s="87"/>
      <c r="C77" s="65"/>
      <c r="D77" s="65"/>
      <c r="E77" s="87"/>
      <c r="F77" s="65"/>
      <c r="G77" s="65"/>
      <c r="H77" s="72"/>
      <c r="I77" s="105"/>
      <c r="J77" s="72"/>
      <c r="K77" s="65"/>
      <c r="L77" s="65"/>
      <c r="M77" s="65"/>
      <c r="N77" s="94"/>
      <c r="O77" s="65"/>
      <c r="P77" s="65"/>
      <c r="Q77" s="86"/>
      <c r="R77" s="86"/>
      <c r="S77" s="65"/>
      <c r="U77" s="115">
        <f>июнь24[[#This Row],[сумма]]-июнь24[[#This Row],[Цена м2 отделки]]*июнь24[[#This Row],[м2]]</f>
        <v>0</v>
      </c>
    </row>
    <row r="78" spans="1:21">
      <c r="A78" s="65"/>
      <c r="B78" s="87"/>
      <c r="C78" s="65"/>
      <c r="D78" s="65"/>
      <c r="E78" s="87"/>
      <c r="F78" s="65"/>
      <c r="G78" s="65"/>
      <c r="H78" s="72"/>
      <c r="I78" s="105"/>
      <c r="J78" s="72"/>
      <c r="K78" s="65"/>
      <c r="L78" s="65"/>
      <c r="M78" s="65"/>
      <c r="N78" s="94"/>
      <c r="O78" s="65"/>
      <c r="P78" s="65"/>
      <c r="Q78" s="86"/>
      <c r="R78" s="86"/>
      <c r="S78" s="65"/>
      <c r="U78" s="115">
        <f>июнь24[[#This Row],[сумма]]-июнь24[[#This Row],[Цена м2 отделки]]*июнь24[[#This Row],[м2]]</f>
        <v>0</v>
      </c>
    </row>
    <row r="79" spans="1:21">
      <c r="A79" s="65"/>
      <c r="B79" s="79"/>
      <c r="C79" s="65"/>
      <c r="D79" s="79"/>
      <c r="E79" s="87"/>
      <c r="F79" s="65"/>
      <c r="G79" s="65"/>
      <c r="H79" s="72"/>
      <c r="I79" s="93"/>
      <c r="J79" s="65"/>
      <c r="K79" s="65"/>
      <c r="L79" s="65"/>
      <c r="M79" s="65"/>
      <c r="N79" s="118"/>
      <c r="O79" s="65"/>
      <c r="P79" s="65"/>
      <c r="Q79" s="86"/>
      <c r="R79" s="86"/>
      <c r="S79" s="65"/>
      <c r="U79" s="115">
        <f>июнь24[[#This Row],[сумма]]-июнь24[[#This Row],[Цена м2 отделки]]*июнь24[[#This Row],[м2]]</f>
        <v>0</v>
      </c>
    </row>
    <row r="80" spans="1:21">
      <c r="A80" s="65"/>
      <c r="B80" s="87"/>
      <c r="C80" s="65"/>
      <c r="D80" s="65"/>
      <c r="E80" s="87"/>
      <c r="F80" s="65"/>
      <c r="G80" s="65"/>
      <c r="H80" s="72"/>
      <c r="I80" s="105"/>
      <c r="J80" s="72"/>
      <c r="K80" s="65"/>
      <c r="L80" s="65"/>
      <c r="M80" s="65"/>
      <c r="N80" s="94"/>
      <c r="O80" s="65"/>
      <c r="P80" s="65"/>
      <c r="Q80" s="86"/>
      <c r="R80" s="86"/>
      <c r="S80" s="65"/>
      <c r="U80" s="115">
        <f>июнь24[[#This Row],[сумма]]-июнь24[[#This Row],[Цена м2 отделки]]*июнь24[[#This Row],[м2]]</f>
        <v>0</v>
      </c>
    </row>
    <row r="81" spans="1:21">
      <c r="A81" s="65"/>
      <c r="B81" s="88"/>
      <c r="C81" s="65"/>
      <c r="D81" s="65"/>
      <c r="E81" s="87"/>
      <c r="F81" s="65"/>
      <c r="G81" s="65"/>
      <c r="H81" s="72"/>
      <c r="I81" s="93"/>
      <c r="J81" s="65"/>
      <c r="K81" s="65"/>
      <c r="L81" s="65"/>
      <c r="M81" s="65"/>
      <c r="N81" s="98"/>
      <c r="O81" s="65"/>
      <c r="P81" s="65"/>
      <c r="Q81" s="86"/>
      <c r="R81" s="86"/>
      <c r="S81" s="65"/>
      <c r="U81" s="115">
        <f>июнь24[[#This Row],[сумма]]-июнь24[[#This Row],[Цена м2 отделки]]*июнь24[[#This Row],[м2]]</f>
        <v>0</v>
      </c>
    </row>
    <row r="82" spans="1:21">
      <c r="A82" s="65"/>
      <c r="B82" s="88"/>
      <c r="C82" s="65"/>
      <c r="D82" s="65"/>
      <c r="E82" s="87"/>
      <c r="F82" s="65"/>
      <c r="G82" s="65"/>
      <c r="H82" s="72"/>
      <c r="I82" s="93"/>
      <c r="J82" s="65"/>
      <c r="K82" s="65"/>
      <c r="L82" s="65"/>
      <c r="M82" s="65"/>
      <c r="N82" s="98"/>
      <c r="O82" s="65"/>
      <c r="P82" s="65"/>
      <c r="Q82" s="86"/>
      <c r="R82" s="86"/>
      <c r="S82" s="65"/>
      <c r="U82" s="115">
        <f>июнь24[[#This Row],[сумма]]-июнь24[[#This Row],[Цена м2 отделки]]*июнь24[[#This Row],[м2]]</f>
        <v>0</v>
      </c>
    </row>
    <row r="83" spans="1:21">
      <c r="A83" s="65"/>
      <c r="B83" s="88"/>
      <c r="C83" s="65"/>
      <c r="D83" s="65"/>
      <c r="E83" s="87"/>
      <c r="F83" s="65"/>
      <c r="G83" s="65"/>
      <c r="H83" s="72"/>
      <c r="I83" s="93"/>
      <c r="J83" s="65"/>
      <c r="K83" s="65"/>
      <c r="L83" s="65"/>
      <c r="M83" s="65"/>
      <c r="N83" s="98"/>
      <c r="O83" s="65"/>
      <c r="P83" s="65"/>
      <c r="Q83" s="94"/>
      <c r="R83" s="86"/>
      <c r="S83" s="65"/>
      <c r="U83" s="115">
        <f>июнь24[[#This Row],[сумма]]-июнь24[[#This Row],[Цена м2 отделки]]*июнь24[[#This Row],[м2]]</f>
        <v>0</v>
      </c>
    </row>
    <row r="84" spans="1:21">
      <c r="A84" s="65"/>
      <c r="B84" s="87"/>
      <c r="C84" s="65"/>
      <c r="D84" s="65"/>
      <c r="E84" s="87"/>
      <c r="F84" s="65"/>
      <c r="G84" s="65"/>
      <c r="H84" s="72"/>
      <c r="I84" s="93"/>
      <c r="J84" s="65"/>
      <c r="K84" s="65"/>
      <c r="L84" s="65"/>
      <c r="M84" s="65"/>
      <c r="N84" s="98"/>
      <c r="O84" s="65"/>
      <c r="P84" s="65"/>
      <c r="Q84" s="65"/>
      <c r="R84" s="86"/>
      <c r="S84" s="65"/>
      <c r="U84" s="115">
        <f>июнь24[[#This Row],[сумма]]-июнь24[[#This Row],[Цена м2 отделки]]*июнь24[[#This Row],[м2]]</f>
        <v>0</v>
      </c>
    </row>
    <row r="85" spans="1:21">
      <c r="A85" s="65"/>
      <c r="B85" s="87"/>
      <c r="C85" s="65"/>
      <c r="D85" s="65"/>
      <c r="E85" s="87"/>
      <c r="F85" s="65"/>
      <c r="G85" s="65"/>
      <c r="H85" s="72"/>
      <c r="I85" s="93"/>
      <c r="J85" s="65"/>
      <c r="K85" s="65"/>
      <c r="L85" s="65"/>
      <c r="M85" s="65"/>
      <c r="N85" s="98"/>
      <c r="O85" s="65"/>
      <c r="P85" s="65"/>
      <c r="Q85" s="65"/>
      <c r="R85" s="86"/>
      <c r="S85" s="65"/>
      <c r="U85" s="115">
        <f>июнь24[[#This Row],[сумма]]-июнь24[[#This Row],[Цена м2 отделки]]*июнь24[[#This Row],[м2]]</f>
        <v>0</v>
      </c>
    </row>
    <row r="86" spans="1:21">
      <c r="A86" s="65"/>
      <c r="B86" s="87"/>
      <c r="C86" s="65"/>
      <c r="D86" s="65"/>
      <c r="E86" s="87"/>
      <c r="F86" s="65"/>
      <c r="G86" s="65"/>
      <c r="H86" s="72"/>
      <c r="I86" s="105"/>
      <c r="J86" s="72"/>
      <c r="K86" s="65"/>
      <c r="L86" s="65"/>
      <c r="M86" s="65"/>
      <c r="N86" s="98"/>
      <c r="O86" s="65"/>
      <c r="P86" s="65"/>
      <c r="Q86" s="65"/>
      <c r="R86" s="65"/>
      <c r="S86" s="65"/>
      <c r="U86" s="115">
        <f>июнь24[[#This Row],[сумма]]-июнь24[[#This Row],[Цена м2 отделки]]*июнь24[[#This Row],[м2]]</f>
        <v>0</v>
      </c>
    </row>
    <row r="87" spans="1:21">
      <c r="A87" s="65"/>
      <c r="B87" s="87"/>
      <c r="C87" s="65"/>
      <c r="D87" s="65"/>
      <c r="E87" s="87"/>
      <c r="F87" s="65"/>
      <c r="G87" s="65"/>
      <c r="H87" s="72"/>
      <c r="I87" s="105"/>
      <c r="J87" s="72"/>
      <c r="K87" s="65"/>
      <c r="L87" s="65"/>
      <c r="M87" s="65"/>
      <c r="N87" s="98"/>
      <c r="O87" s="65"/>
      <c r="P87" s="65"/>
      <c r="Q87" s="65"/>
      <c r="R87" s="65"/>
      <c r="S87" s="65"/>
      <c r="U87" s="115">
        <f>июнь24[[#This Row],[сумма]]-июнь24[[#This Row],[Цена м2 отделки]]*июнь24[[#This Row],[м2]]</f>
        <v>0</v>
      </c>
    </row>
    <row r="88" spans="1:21">
      <c r="A88" s="65"/>
      <c r="B88" s="87"/>
      <c r="C88" s="65"/>
      <c r="D88" s="65"/>
      <c r="E88" s="87"/>
      <c r="F88" s="65"/>
      <c r="G88" s="65"/>
      <c r="H88" s="72"/>
      <c r="I88" s="105"/>
      <c r="J88" s="72"/>
      <c r="K88" s="65"/>
      <c r="L88" s="65"/>
      <c r="M88" s="65"/>
      <c r="N88" s="98"/>
      <c r="O88" s="65"/>
      <c r="P88" s="65"/>
      <c r="Q88" s="65"/>
      <c r="R88" s="65"/>
      <c r="S88" s="65"/>
      <c r="U88" s="115">
        <f>июнь24[[#This Row],[сумма]]-июнь24[[#This Row],[Цена м2 отделки]]*июнь24[[#This Row],[м2]]</f>
        <v>0</v>
      </c>
    </row>
    <row r="89" spans="1:21">
      <c r="A89" s="65"/>
      <c r="B89" s="87"/>
      <c r="C89" s="65"/>
      <c r="D89" s="65"/>
      <c r="E89" s="87"/>
      <c r="F89" s="65"/>
      <c r="G89" s="65"/>
      <c r="H89" s="72"/>
      <c r="I89" s="105"/>
      <c r="J89" s="72"/>
      <c r="K89" s="65"/>
      <c r="L89" s="65"/>
      <c r="M89" s="65"/>
      <c r="N89" s="98"/>
      <c r="O89" s="65"/>
      <c r="P89" s="65"/>
      <c r="Q89" s="65"/>
      <c r="R89" s="65"/>
      <c r="S89" s="65"/>
      <c r="U89" s="115">
        <f>июнь24[[#This Row],[сумма]]-июнь24[[#This Row],[Цена м2 отделки]]*июнь24[[#This Row],[м2]]</f>
        <v>0</v>
      </c>
    </row>
    <row r="90" spans="1:21">
      <c r="A90" s="65"/>
      <c r="B90" s="87"/>
      <c r="C90" s="65"/>
      <c r="D90" s="65"/>
      <c r="E90" s="87"/>
      <c r="F90" s="65"/>
      <c r="G90" s="65"/>
      <c r="H90" s="72"/>
      <c r="I90" s="105"/>
      <c r="J90" s="72"/>
      <c r="K90" s="65"/>
      <c r="L90" s="65"/>
      <c r="M90" s="65"/>
      <c r="N90" s="98"/>
      <c r="O90" s="65"/>
      <c r="P90" s="65"/>
      <c r="Q90" s="65"/>
      <c r="R90" s="65"/>
      <c r="S90" s="65"/>
      <c r="U90" s="115">
        <f>июнь24[[#This Row],[сумма]]-июнь24[[#This Row],[Цена м2 отделки]]*июнь24[[#This Row],[м2]]</f>
        <v>0</v>
      </c>
    </row>
    <row r="91" spans="1:21">
      <c r="A91" s="65"/>
      <c r="B91" s="87"/>
      <c r="C91" s="65"/>
      <c r="D91" s="65"/>
      <c r="E91" s="87"/>
      <c r="F91" s="65"/>
      <c r="G91" s="65"/>
      <c r="H91" s="72"/>
      <c r="I91" s="105"/>
      <c r="J91" s="72"/>
      <c r="K91" s="65"/>
      <c r="L91" s="65"/>
      <c r="M91" s="65"/>
      <c r="N91" s="98"/>
      <c r="O91" s="65"/>
      <c r="P91" s="65"/>
      <c r="Q91" s="65"/>
      <c r="R91" s="65"/>
      <c r="S91" s="65"/>
      <c r="U91" s="115">
        <f>июнь24[[#This Row],[сумма]]-июнь24[[#This Row],[Цена м2 отделки]]*июнь24[[#This Row],[м2]]</f>
        <v>0</v>
      </c>
    </row>
    <row r="92" spans="1:21">
      <c r="A92" s="65"/>
      <c r="B92" s="87"/>
      <c r="C92" s="65"/>
      <c r="D92" s="65"/>
      <c r="E92" s="87"/>
      <c r="F92" s="65"/>
      <c r="G92" s="65"/>
      <c r="H92" s="72"/>
      <c r="I92" s="105"/>
      <c r="J92" s="72"/>
      <c r="K92" s="65"/>
      <c r="L92" s="65"/>
      <c r="M92" s="65"/>
      <c r="N92" s="98"/>
      <c r="O92" s="65"/>
      <c r="P92" s="65"/>
      <c r="Q92" s="65"/>
      <c r="R92" s="86"/>
      <c r="S92" s="65"/>
      <c r="U92" s="115">
        <f>июнь24[[#This Row],[сумма]]-июнь24[[#This Row],[Цена м2 отделки]]*июнь24[[#This Row],[м2]]</f>
        <v>0</v>
      </c>
    </row>
    <row r="93" spans="1:21">
      <c r="A93" s="65"/>
      <c r="B93" s="87"/>
      <c r="C93" s="65"/>
      <c r="D93" s="65"/>
      <c r="E93" s="87"/>
      <c r="F93" s="65"/>
      <c r="G93" s="65"/>
      <c r="H93" s="72"/>
      <c r="I93" s="105"/>
      <c r="J93" s="72"/>
      <c r="K93" s="65"/>
      <c r="L93" s="65"/>
      <c r="M93" s="65"/>
      <c r="N93" s="98"/>
      <c r="O93" s="65"/>
      <c r="P93" s="65"/>
      <c r="Q93" s="65"/>
      <c r="R93" s="65"/>
      <c r="S93" s="65"/>
      <c r="U93" s="115">
        <f>июнь24[[#This Row],[сумма]]-июнь24[[#This Row],[Цена м2 отделки]]*июнь24[[#This Row],[м2]]</f>
        <v>0</v>
      </c>
    </row>
    <row r="94" spans="1:21">
      <c r="A94" s="65"/>
      <c r="B94" s="87"/>
      <c r="C94" s="65"/>
      <c r="D94" s="65"/>
      <c r="E94" s="87"/>
      <c r="F94" s="65"/>
      <c r="G94" s="65"/>
      <c r="H94" s="72"/>
      <c r="I94" s="105"/>
      <c r="J94" s="72"/>
      <c r="K94" s="65"/>
      <c r="L94" s="65"/>
      <c r="M94" s="65"/>
      <c r="N94" s="98"/>
      <c r="O94" s="65"/>
      <c r="P94" s="65"/>
      <c r="Q94" s="65"/>
      <c r="R94" s="86"/>
      <c r="S94" s="65"/>
      <c r="U94" s="115">
        <f>июнь24[[#This Row],[сумма]]-июнь24[[#This Row],[Цена м2 отделки]]*июнь24[[#This Row],[м2]]</f>
        <v>0</v>
      </c>
    </row>
    <row r="95" spans="1:21">
      <c r="A95" s="65"/>
      <c r="B95" s="87"/>
      <c r="C95" s="65"/>
      <c r="D95" s="65"/>
      <c r="E95" s="87"/>
      <c r="F95" s="65"/>
      <c r="G95" s="65"/>
      <c r="H95" s="72"/>
      <c r="I95" s="105"/>
      <c r="J95" s="72"/>
      <c r="K95" s="65"/>
      <c r="L95" s="65"/>
      <c r="M95" s="65"/>
      <c r="N95" s="98"/>
      <c r="O95" s="65"/>
      <c r="P95" s="65"/>
      <c r="Q95" s="65"/>
      <c r="R95" s="86"/>
      <c r="S95" s="65"/>
      <c r="U95" s="115">
        <f>июнь24[[#This Row],[сумма]]-июнь24[[#This Row],[Цена м2 отделки]]*июнь24[[#This Row],[м2]]</f>
        <v>0</v>
      </c>
    </row>
    <row r="96" spans="1:21">
      <c r="A96" s="65"/>
      <c r="B96" s="87"/>
      <c r="C96" s="65"/>
      <c r="D96" s="65"/>
      <c r="E96" s="87"/>
      <c r="F96" s="65"/>
      <c r="G96" s="65"/>
      <c r="H96" s="72"/>
      <c r="I96" s="544"/>
      <c r="J96" s="72"/>
      <c r="K96" s="65"/>
      <c r="L96" s="65"/>
      <c r="M96" s="65"/>
      <c r="N96" s="98"/>
      <c r="O96" s="65"/>
      <c r="P96" s="65"/>
      <c r="Q96" s="65"/>
      <c r="R96" s="86"/>
      <c r="S96" s="65"/>
      <c r="U96" s="115">
        <f>июнь24[[#This Row],[сумма]]-июнь24[[#This Row],[Цена м2 отделки]]*июнь24[[#This Row],[м2]]</f>
        <v>0</v>
      </c>
    </row>
    <row r="97" spans="1:21">
      <c r="A97" s="65"/>
      <c r="B97" s="87"/>
      <c r="C97" s="65"/>
      <c r="D97" s="65"/>
      <c r="E97" s="87"/>
      <c r="F97" s="65"/>
      <c r="G97" s="65"/>
      <c r="H97" s="72"/>
      <c r="I97" s="105"/>
      <c r="J97" s="72"/>
      <c r="K97" s="65"/>
      <c r="L97" s="65"/>
      <c r="M97" s="65"/>
      <c r="N97" s="98"/>
      <c r="O97" s="65"/>
      <c r="P97" s="65"/>
      <c r="Q97" s="65"/>
      <c r="R97" s="86"/>
      <c r="S97" s="65"/>
      <c r="U97" s="115">
        <f>июнь24[[#This Row],[сумма]]-июнь24[[#This Row],[Цена м2 отделки]]*июнь24[[#This Row],[м2]]</f>
        <v>0</v>
      </c>
    </row>
    <row r="98" spans="1:21">
      <c r="A98" s="65"/>
      <c r="B98" s="87"/>
      <c r="C98" s="65"/>
      <c r="D98" s="65"/>
      <c r="E98" s="87"/>
      <c r="F98" s="65"/>
      <c r="G98" s="65"/>
      <c r="H98" s="72"/>
      <c r="I98" s="105"/>
      <c r="J98" s="72"/>
      <c r="K98" s="65"/>
      <c r="L98" s="65"/>
      <c r="M98" s="65"/>
      <c r="N98" s="98"/>
      <c r="O98" s="65"/>
      <c r="P98" s="65"/>
      <c r="Q98" s="65"/>
      <c r="R98" s="86"/>
      <c r="S98" s="65"/>
      <c r="U98" s="115">
        <f>июнь24[[#This Row],[сумма]]-июнь24[[#This Row],[Цена м2 отделки]]*июнь24[[#This Row],[м2]]</f>
        <v>0</v>
      </c>
    </row>
    <row r="99" spans="1:21">
      <c r="A99" s="65"/>
      <c r="B99" s="87"/>
      <c r="C99" s="65"/>
      <c r="D99" s="65"/>
      <c r="E99" s="87"/>
      <c r="F99" s="65"/>
      <c r="G99" s="65"/>
      <c r="H99" s="72"/>
      <c r="I99" s="105"/>
      <c r="J99" s="72"/>
      <c r="K99" s="65"/>
      <c r="L99" s="65"/>
      <c r="M99" s="65"/>
      <c r="N99" s="98"/>
      <c r="O99" s="65"/>
      <c r="P99" s="65"/>
      <c r="Q99" s="65"/>
      <c r="R99" s="86"/>
      <c r="S99" s="65"/>
      <c r="U99" s="115">
        <f>июнь24[[#This Row],[сумма]]-июнь24[[#This Row],[Цена м2 отделки]]*июнь24[[#This Row],[м2]]</f>
        <v>0</v>
      </c>
    </row>
    <row r="100" spans="1:21">
      <c r="A100" s="65"/>
      <c r="B100" s="87"/>
      <c r="C100" s="65"/>
      <c r="D100" s="65"/>
      <c r="E100" s="87"/>
      <c r="F100" s="65"/>
      <c r="G100" s="65"/>
      <c r="H100" s="72"/>
      <c r="I100" s="105"/>
      <c r="J100" s="72"/>
      <c r="K100" s="65"/>
      <c r="L100" s="65"/>
      <c r="M100" s="65"/>
      <c r="N100" s="98"/>
      <c r="O100" s="65"/>
      <c r="P100" s="65"/>
      <c r="Q100" s="65"/>
      <c r="R100" s="86"/>
      <c r="S100" s="65"/>
      <c r="U100" s="115">
        <f>июнь24[[#This Row],[сумма]]-июнь24[[#This Row],[Цена м2 отделки]]*июнь24[[#This Row],[м2]]</f>
        <v>0</v>
      </c>
    </row>
    <row r="101" spans="1:21">
      <c r="A101" s="65"/>
      <c r="B101" s="87"/>
      <c r="C101" s="65"/>
      <c r="D101" s="65"/>
      <c r="E101" s="87"/>
      <c r="F101" s="65"/>
      <c r="G101" s="65"/>
      <c r="H101" s="72"/>
      <c r="I101" s="105"/>
      <c r="J101" s="72"/>
      <c r="K101" s="65"/>
      <c r="L101" s="65"/>
      <c r="M101" s="65"/>
      <c r="N101" s="98"/>
      <c r="O101" s="65"/>
      <c r="P101" s="65"/>
      <c r="Q101" s="65"/>
      <c r="R101" s="86"/>
      <c r="S101" s="65"/>
      <c r="U101" s="115">
        <f>июнь24[[#This Row],[сумма]]-июнь24[[#This Row],[Цена м2 отделки]]*июнь24[[#This Row],[м2]]</f>
        <v>0</v>
      </c>
    </row>
    <row r="102" spans="1:21">
      <c r="A102" s="65"/>
      <c r="B102" s="87"/>
      <c r="C102" s="65"/>
      <c r="D102" s="65"/>
      <c r="E102" s="87"/>
      <c r="F102" s="65"/>
      <c r="G102" s="65"/>
      <c r="H102" s="72"/>
      <c r="I102" s="105"/>
      <c r="J102" s="72"/>
      <c r="K102" s="65"/>
      <c r="L102" s="65"/>
      <c r="M102" s="65"/>
      <c r="N102" s="98"/>
      <c r="O102" s="65"/>
      <c r="P102" s="65"/>
      <c r="Q102" s="65"/>
      <c r="R102" s="86"/>
      <c r="S102" s="65"/>
      <c r="U102" s="115">
        <f>июнь24[[#This Row],[сумма]]-июнь24[[#This Row],[Цена м2 отделки]]*июнь24[[#This Row],[м2]]</f>
        <v>0</v>
      </c>
    </row>
    <row r="103" spans="1:21">
      <c r="A103" s="65"/>
      <c r="B103" s="87"/>
      <c r="C103" s="65"/>
      <c r="D103" s="65"/>
      <c r="E103" s="87"/>
      <c r="F103" s="65"/>
      <c r="G103" s="65"/>
      <c r="H103" s="72"/>
      <c r="I103" s="105"/>
      <c r="J103" s="72"/>
      <c r="K103" s="65"/>
      <c r="L103" s="65"/>
      <c r="M103" s="65"/>
      <c r="N103" s="98"/>
      <c r="O103" s="65"/>
      <c r="P103" s="65"/>
      <c r="Q103" s="65"/>
      <c r="R103" s="86"/>
      <c r="S103" s="65"/>
      <c r="U103" s="115">
        <f>июнь24[[#This Row],[сумма]]-июнь24[[#This Row],[Цена м2 отделки]]*июнь24[[#This Row],[м2]]</f>
        <v>0</v>
      </c>
    </row>
    <row r="104" spans="1:21">
      <c r="A104" s="65"/>
      <c r="B104" s="87"/>
      <c r="C104" s="65"/>
      <c r="D104" s="65"/>
      <c r="E104" s="87"/>
      <c r="F104" s="65"/>
      <c r="G104" s="65"/>
      <c r="H104" s="72"/>
      <c r="I104" s="105"/>
      <c r="J104" s="72"/>
      <c r="K104" s="65"/>
      <c r="L104" s="65"/>
      <c r="M104" s="65"/>
      <c r="N104" s="98"/>
      <c r="O104" s="65"/>
      <c r="P104" s="65"/>
      <c r="Q104" s="65"/>
      <c r="R104" s="86"/>
      <c r="S104" s="65"/>
      <c r="U104" s="115">
        <f>июнь24[[#This Row],[сумма]]-июнь24[[#This Row],[Цена м2 отделки]]*июнь24[[#This Row],[м2]]</f>
        <v>0</v>
      </c>
    </row>
    <row r="105" spans="1:21">
      <c r="A105" s="65"/>
      <c r="B105" s="87"/>
      <c r="C105" s="65"/>
      <c r="D105" s="65"/>
      <c r="E105" s="87"/>
      <c r="F105" s="65"/>
      <c r="G105" s="65"/>
      <c r="H105" s="72"/>
      <c r="I105" s="105"/>
      <c r="J105" s="72"/>
      <c r="K105" s="65"/>
      <c r="L105" s="65"/>
      <c r="M105" s="65"/>
      <c r="N105" s="98"/>
      <c r="O105" s="65"/>
      <c r="P105" s="65"/>
      <c r="Q105" s="65"/>
      <c r="R105" s="86"/>
      <c r="S105" s="65"/>
      <c r="U105" s="115">
        <f>июнь24[[#This Row],[сумма]]-июнь24[[#This Row],[Цена м2 отделки]]*июнь24[[#This Row],[м2]]</f>
        <v>0</v>
      </c>
    </row>
    <row r="106" spans="1:21">
      <c r="A106" s="65"/>
      <c r="B106" s="87"/>
      <c r="C106" s="65"/>
      <c r="D106" s="65"/>
      <c r="E106" s="87"/>
      <c r="F106" s="65"/>
      <c r="G106" s="65"/>
      <c r="H106" s="72"/>
      <c r="I106" s="105"/>
      <c r="J106" s="72"/>
      <c r="K106" s="65"/>
      <c r="L106" s="65"/>
      <c r="M106" s="65"/>
      <c r="N106" s="98"/>
      <c r="O106" s="65"/>
      <c r="P106" s="65"/>
      <c r="Q106" s="65"/>
      <c r="R106" s="86"/>
      <c r="S106" s="65"/>
      <c r="U106" s="115">
        <f>июнь24[[#This Row],[сумма]]-июнь24[[#This Row],[Цена м2 отделки]]*июнь24[[#This Row],[м2]]</f>
        <v>0</v>
      </c>
    </row>
    <row r="107" spans="1:21">
      <c r="A107" s="65"/>
      <c r="B107" s="87"/>
      <c r="C107" s="65"/>
      <c r="D107" s="65"/>
      <c r="E107" s="87"/>
      <c r="F107" s="65"/>
      <c r="G107" s="65"/>
      <c r="H107" s="72"/>
      <c r="I107" s="105"/>
      <c r="J107" s="72"/>
      <c r="K107" s="65"/>
      <c r="L107" s="65"/>
      <c r="M107" s="65"/>
      <c r="N107" s="98"/>
      <c r="O107" s="65"/>
      <c r="P107" s="65"/>
      <c r="Q107" s="65"/>
      <c r="R107" s="86"/>
      <c r="S107" s="65"/>
      <c r="U107" s="115">
        <f>июнь24[[#This Row],[сумма]]-июнь24[[#This Row],[Цена м2 отделки]]*июнь24[[#This Row],[м2]]</f>
        <v>0</v>
      </c>
    </row>
    <row r="108" spans="1:21">
      <c r="A108" s="65"/>
      <c r="B108" s="87"/>
      <c r="C108" s="65"/>
      <c r="D108" s="65"/>
      <c r="E108" s="87"/>
      <c r="F108" s="65"/>
      <c r="G108" s="65"/>
      <c r="H108" s="72"/>
      <c r="I108" s="105"/>
      <c r="J108" s="72"/>
      <c r="K108" s="65"/>
      <c r="L108" s="65"/>
      <c r="M108" s="65"/>
      <c r="N108" s="98"/>
      <c r="O108" s="65"/>
      <c r="P108" s="65"/>
      <c r="Q108" s="65"/>
      <c r="R108" s="86"/>
      <c r="S108" s="65"/>
      <c r="U108" s="115">
        <f>июнь24[[#This Row],[сумма]]-июнь24[[#This Row],[Цена м2 отделки]]*июнь24[[#This Row],[м2]]</f>
        <v>0</v>
      </c>
    </row>
    <row r="109" spans="1:21">
      <c r="A109" s="65"/>
      <c r="B109" s="87"/>
      <c r="C109" s="65"/>
      <c r="D109" s="65"/>
      <c r="E109" s="87"/>
      <c r="F109" s="65"/>
      <c r="G109" s="65"/>
      <c r="H109" s="72"/>
      <c r="I109" s="105"/>
      <c r="J109" s="72"/>
      <c r="K109" s="65"/>
      <c r="L109" s="65"/>
      <c r="M109" s="65"/>
      <c r="N109" s="98"/>
      <c r="O109" s="65"/>
      <c r="P109" s="65"/>
      <c r="Q109" s="65"/>
      <c r="R109" s="86"/>
      <c r="S109" s="65"/>
      <c r="U109" s="115">
        <f>июнь24[[#This Row],[сумма]]-июнь24[[#This Row],[Цена м2 отделки]]*июнь24[[#This Row],[м2]]</f>
        <v>0</v>
      </c>
    </row>
    <row r="110" spans="1:21">
      <c r="A110" s="65"/>
      <c r="B110" s="87"/>
      <c r="C110" s="65"/>
      <c r="D110" s="65"/>
      <c r="E110" s="87"/>
      <c r="F110" s="65"/>
      <c r="G110" s="65"/>
      <c r="H110" s="72"/>
      <c r="I110" s="105"/>
      <c r="J110" s="72"/>
      <c r="K110" s="65"/>
      <c r="L110" s="65"/>
      <c r="M110" s="65"/>
      <c r="N110" s="98"/>
      <c r="O110" s="65"/>
      <c r="P110" s="65"/>
      <c r="Q110" s="65"/>
      <c r="R110" s="65"/>
      <c r="S110" s="65"/>
      <c r="T110" s="93"/>
    </row>
    <row r="111" spans="1:21">
      <c r="A111" s="65"/>
      <c r="B111" s="87"/>
      <c r="C111" s="65"/>
      <c r="D111" s="65"/>
      <c r="E111" s="87"/>
      <c r="F111" s="65"/>
      <c r="G111" s="65"/>
      <c r="H111" s="72"/>
      <c r="I111" s="105"/>
      <c r="J111" s="72"/>
      <c r="K111" s="65"/>
      <c r="L111" s="65"/>
      <c r="M111" s="65"/>
      <c r="N111" s="98"/>
      <c r="O111" s="65"/>
      <c r="P111" s="65"/>
      <c r="Q111" s="65"/>
      <c r="R111" s="65"/>
      <c r="S111" s="65"/>
    </row>
    <row r="112" spans="1:21" s="65" customFormat="1">
      <c r="B112" s="79"/>
      <c r="D112" s="79"/>
      <c r="I112" s="93"/>
      <c r="J112" s="80"/>
      <c r="N112" s="98"/>
      <c r="O112" s="80"/>
      <c r="Q112" s="86"/>
      <c r="U112" s="66"/>
    </row>
    <row r="113" spans="1:21" s="65" customFormat="1">
      <c r="B113" s="79"/>
      <c r="C113" s="79"/>
      <c r="D113" s="80"/>
      <c r="F113" s="72"/>
      <c r="I113" s="105"/>
      <c r="M113" s="110"/>
      <c r="O113" s="72"/>
      <c r="P113" s="86"/>
      <c r="Q113" s="86"/>
      <c r="U113" s="66"/>
    </row>
    <row r="114" spans="1:21" s="65" customFormat="1">
      <c r="U114" s="66"/>
    </row>
    <row r="115" spans="1:21" s="65" customFormat="1">
      <c r="A115" s="2325" t="s">
        <v>713</v>
      </c>
      <c r="B115" s="2326"/>
      <c r="C115" s="133" t="s">
        <v>7</v>
      </c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T115" s="66"/>
    </row>
    <row r="116" spans="1:21" s="65" customFormat="1" ht="22.5" customHeight="1">
      <c r="A116" s="135" t="s">
        <v>1</v>
      </c>
      <c r="B116" s="135" t="s">
        <v>100</v>
      </c>
      <c r="C116" s="136" t="s">
        <v>97</v>
      </c>
      <c r="D116" s="137" t="s">
        <v>494</v>
      </c>
      <c r="E116" s="138" t="s">
        <v>495</v>
      </c>
      <c r="F116" s="139" t="s">
        <v>496</v>
      </c>
      <c r="G116" s="140" t="s">
        <v>101</v>
      </c>
      <c r="H116" s="141" t="s">
        <v>98</v>
      </c>
      <c r="I116" s="141" t="s">
        <v>96</v>
      </c>
      <c r="J116" s="141" t="s">
        <v>715</v>
      </c>
      <c r="K116" s="216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T116" s="66"/>
    </row>
    <row r="117" spans="1:21" s="65" customFormat="1">
      <c r="A117" s="398" t="s">
        <v>1892</v>
      </c>
      <c r="B117" s="267">
        <f>IFERROR(VLOOKUP(A117,'ИПП 2кв24'!$B$41:$J$52,4,0),"")</f>
        <v>37</v>
      </c>
      <c r="C117" s="146">
        <f>IFERROR(VLOOKUP(A117,'ИПП 2кв24'!$B$41:$J$52,5,0),"")</f>
        <v>3715966</v>
      </c>
      <c r="D117" s="145">
        <f>SUMIFS(июнь24[м2],июнь24[МОП],$A117,июнь24[№ дома],$C$115,июнь24[Комнатность],"&lt;&gt;Офис")</f>
        <v>72.510000000000005</v>
      </c>
      <c r="E117" s="146">
        <f>SUMIFS(июнь24[Сумма без отделки],июнь24[МОП],$A117,июнь24[№ дома],$C$115,июнь24[Комнатность],"&lt;&gt;Офис")</f>
        <v>7051982</v>
      </c>
      <c r="F117" s="147">
        <f>COUNTIFS(июнь24[МОП],$A117,июнь24[№ дома],$C$115,июнь24[Комнатность],"&lt;&gt;Офис")</f>
        <v>1</v>
      </c>
      <c r="G117" s="148">
        <f>SUMIFS(РД[S],РД[Дом],$C$115,РД[МОП],A117,РД[Дата подачи на регистрацию],"&lt;="&amp;$A$1,РД[Дата подачи на регистрацию],"&gt;="&amp;DATE(YEAR($A$1),MONTH($A$1),1),РД[Состояние],"Продажа")</f>
        <v>72.510000000000005</v>
      </c>
      <c r="H117" s="149">
        <f>SUMIFS(РД[Стоимость без отделки итог],РД[Дом],$C$115,РД[МОП],A117,РД[Дата подачи на регистрацию],"&lt;="&amp;$A$1,РД[Дата подачи на регистрацию],"&gt;="&amp;DATE(YEAR($A$1),MONTH($A$1),1),РД[Состояние],"Продажа")</f>
        <v>7051982</v>
      </c>
      <c r="I117" s="220">
        <f>COUNTIFS(РД[Дом],$C$115,РД[МОП],A117,РД[Дата подачи на регистрацию],"&lt;="&amp;$A$1,РД[Дата подачи на регистрацию],"&gt;="&amp;DATE(YEAR($A$1),MONTH($A$1),1),РД[Состояние],"Продажа")</f>
        <v>1</v>
      </c>
      <c r="J117" s="224">
        <f t="shared" ref="J117:K124" si="0">IFERROR(G117/B117,"")</f>
        <v>1.9597297297297298</v>
      </c>
      <c r="K117" s="225">
        <f t="shared" si="0"/>
        <v>1.8977520246417756</v>
      </c>
      <c r="L117" s="202">
        <f>COUNTIFS(РД[Тип кв],L$116,РД[МОП],$A117,РД[Дом],$C$115,РД[Дата подачи на регистрацию],"&lt;="&amp;$A$1,РД[Дата подачи на регистрацию],"&gt;="&amp;DATE(YEAR($A$1),MONTH($A$1),1))</f>
        <v>0</v>
      </c>
      <c r="M117" s="226">
        <f>COUNTIFS(РД[Тип кв],M$116,РД[МОП],$A117,РД[Дом],$C$115,РД[Дата подачи на регистрацию],"&lt;="&amp;$A$1,РД[Дата подачи на регистрацию],"&gt;="&amp;DATE(YEAR($A$1),MONTH($A$1),1))</f>
        <v>0</v>
      </c>
      <c r="N117" s="226">
        <f>COUNTIFS(РД[Тип кв],N$116,РД[МОП],$A117,РД[Дом],$C$115,РД[Дата подачи на регистрацию],"&lt;="&amp;$A$1,РД[Дата подачи на регистрацию],"&gt;="&amp;DATE(YEAR($A$1),MONTH($A$1),1))</f>
        <v>0</v>
      </c>
      <c r="O117" s="226">
        <f>COUNTIFS(РД[Тип кв],O$116,РД[МОП],$A117,РД[Дом],$C$115,РД[Дата подачи на регистрацию],"&lt;="&amp;$A$1,РД[Дата подачи на регистрацию],"&gt;="&amp;DATE(YEAR($A$1),MONTH($A$1),1))</f>
        <v>1</v>
      </c>
      <c r="P117" s="227">
        <f>COUNTIFS(РД[Тип кв],P$116,РД[МОП],$A117,РД[Дом],$C$115,РД[Дата подачи на регистрацию],"&lt;="&amp;$A$1,РД[Дата подачи на регистрацию],"&gt;="&amp;DATE(YEAR($A$1),MONTH($A$1),1))</f>
        <v>0</v>
      </c>
      <c r="T117" s="66"/>
    </row>
    <row r="118" spans="1:21" s="65" customFormat="1">
      <c r="A118" s="142" t="s">
        <v>8</v>
      </c>
      <c r="B118" s="267">
        <f>IFERROR(VLOOKUP(A118,'ИПП 2кв24'!$B$41:$J$52,4,0),"")</f>
        <v>165</v>
      </c>
      <c r="C118" s="146">
        <f>IFERROR(VLOOKUP(A118,'ИПП 2кв24'!$B$41:$J$52,5,0),"")</f>
        <v>16721846</v>
      </c>
      <c r="D118" s="145">
        <f>SUMIFS(июнь24[м2],июнь24[МОП],$A118,июнь24[№ дома],$C$115,июнь24[Комнатность],"&lt;&gt;Офис")</f>
        <v>127.35999999999999</v>
      </c>
      <c r="E118" s="146">
        <f>SUMIFS(июнь24[Сумма без отделки],июнь24[МОП],$A118,июнь24[№ дома],$C$115,июнь24[Комнатность],"&lt;&gt;Офис")</f>
        <v>13250500</v>
      </c>
      <c r="F118" s="147">
        <f>COUNTIFS(июнь24[МОП],$A118,июнь24[№ дома],$C$115,июнь24[Комнатность],"&lt;&gt;Офис")</f>
        <v>2</v>
      </c>
      <c r="G118" s="148">
        <f>SUMIFS(РД[S],РД[Дом],$C$115,РД[МОП],A118,РД[Дата подачи на регистрацию],"&lt;="&amp;$A$1,РД[Дата подачи на регистрацию],"&gt;="&amp;DATE(YEAR($A$1),MONTH($A$1),1),РД[Состояние],"Продажа")</f>
        <v>127.35999999999999</v>
      </c>
      <c r="H118" s="149">
        <f>SUMIFS(РД[Стоимость без отделки итог],РД[Дом],$C$115,РД[МОП],A118,РД[Дата подачи на регистрацию],"&lt;="&amp;$A$1,РД[Дата подачи на регистрацию],"&gt;="&amp;DATE(YEAR($A$1),MONTH($A$1),1),РД[Состояние],"Продажа")</f>
        <v>13108746</v>
      </c>
      <c r="I118" s="220">
        <f>COUNTIFS(РД[Дом],$C$115,РД[МОП],A118,РД[Дата подачи на регистрацию],"&lt;="&amp;$A$1,РД[Дата подачи на регистрацию],"&gt;="&amp;DATE(YEAR($A$1),MONTH($A$1),1),РД[Состояние],"Продажа")</f>
        <v>2</v>
      </c>
      <c r="J118" s="221">
        <f t="shared" si="0"/>
        <v>0.77187878787878783</v>
      </c>
      <c r="K118" s="222">
        <f t="shared" si="0"/>
        <v>0.78392935803858022</v>
      </c>
      <c r="L118" s="148">
        <f>COUNTIFS(РД[Тип кв],L$116,РД[МОП],$A118,РД[Дом],$C$115,РД[Дата подачи на регистрацию],"&lt;="&amp;$A$1,РД[Дата подачи на регистрацию],"&gt;="&amp;DATE(YEAR($A$1),MONTH($A$1),1))</f>
        <v>0</v>
      </c>
      <c r="M118" s="220">
        <f>COUNTIFS(РД[Тип кв],M$116,РД[МОП],$A118,РД[Дом],$C$115,РД[Дата подачи на регистрацию],"&lt;="&amp;$A$1,РД[Дата подачи на регистрацию],"&gt;="&amp;DATE(YEAR($A$1),MONTH($A$1),1))</f>
        <v>0</v>
      </c>
      <c r="N118" s="220">
        <f>COUNTIFS(РД[Тип кв],N$116,РД[МОП],$A118,РД[Дом],$C$115,РД[Дата подачи на регистрацию],"&lt;="&amp;$A$1,РД[Дата подачи на регистрацию],"&gt;="&amp;DATE(YEAR($A$1),MONTH($A$1),1))</f>
        <v>2</v>
      </c>
      <c r="O118" s="220">
        <f>COUNTIFS(РД[Тип кв],O$116,РД[МОП],$A118,РД[Дом],$C$115,РД[Дата подачи на регистрацию],"&lt;="&amp;$A$1,РД[Дата подачи на регистрацию],"&gt;="&amp;DATE(YEAR($A$1),MONTH($A$1),1))</f>
        <v>0</v>
      </c>
      <c r="P118" s="223">
        <f>COUNTIFS(РД[Тип кв],P$116,РД[МОП],$A118,РД[Дом],$C$115,РД[Дата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50" t="s">
        <v>77</v>
      </c>
      <c r="B119" s="267">
        <f>IFERROR(VLOOKUP(A119,'ИПП 2кв24'!$B$41:$J$52,4,0),"")</f>
        <v>0</v>
      </c>
      <c r="C119" s="146">
        <f>IFERROR(VLOOKUP(A119,'ИПП 2кв24'!$B$41:$J$52,5,0),"")</f>
        <v>0</v>
      </c>
      <c r="D119" s="145">
        <f>SUMIFS(июнь24[м2],июнь24[МОП],$A119,июнь24[№ дома],$C$115,июнь24[Комнатность],"&lt;&gt;Офис")</f>
        <v>0</v>
      </c>
      <c r="E119" s="146">
        <f>SUMIFS(июнь24[Сумма без отделки],июнь24[МОП],$A119,июнь24[№ дома],$C$115,июнь24[Комнатность],"&lt;&gt;Офис")</f>
        <v>0</v>
      </c>
      <c r="F119" s="147">
        <f>COUNTIFS(июнь24[МОП],$A119,июнь24[№ дома],$C$115,июнь24[Комнатность],"&lt;&gt;Офис")</f>
        <v>0</v>
      </c>
      <c r="G119" s="148">
        <f>SUMIFS(РД[S],РД[Дом],$C$115,РД[МОП],A119,РД[Дата подачи на регистрацию],"&lt;="&amp;$A$1,РД[Дата подачи на регистрацию],"&gt;="&amp;DATE(YEAR($A$1),MONTH($A$1),1),РД[Состояние],"Продажа")</f>
        <v>0</v>
      </c>
      <c r="H119" s="149">
        <f>SUMIFS(РД[Стоимость без отделки итог],РД[Дом],$C$115,РД[МОП],A119,РД[Дата подачи на регистрацию],"&lt;="&amp;$A$1,РД[Дата подачи на регистрацию],"&gt;="&amp;DATE(YEAR($A$1),MONTH($A$1),1),РД[Состояние],"Продажа")</f>
        <v>0</v>
      </c>
      <c r="I119" s="220">
        <f>COUNTIFS(РД[Дом],$C$115,РД[МОП],A119,РД[Дата подачи на регистрацию],"&lt;="&amp;$A$1,РД[Дата подачи на регистрацию],"&gt;="&amp;DATE(YEAR($A$1),MONTH($A$1),1),РД[Состояние],"Продажа")</f>
        <v>0</v>
      </c>
      <c r="J119" s="221" t="str">
        <f t="shared" si="0"/>
        <v/>
      </c>
      <c r="K119" s="222" t="str">
        <f t="shared" si="0"/>
        <v/>
      </c>
      <c r="L119" s="148">
        <f>COUNTIFS(РД[Тип кв],L$116,РД[МОП],$A119,РД[Дом],$C$115,РД[Дата подачи на регистрацию],"&lt;="&amp;$A$1,РД[Дата подачи на регистрацию],"&gt;="&amp;DATE(YEAR($A$1),MONTH($A$1),1))</f>
        <v>0</v>
      </c>
      <c r="M119" s="220">
        <f>COUNTIFS(РД[Тип кв],M$116,РД[МОП],$A119,РД[Дом],$C$115,РД[Дата подачи на регистрацию],"&lt;="&amp;$A$1,РД[Дата подачи на регистрацию],"&gt;="&amp;DATE(YEAR($A$1),MONTH($A$1),1))</f>
        <v>0</v>
      </c>
      <c r="N119" s="220">
        <f>COUNTIFS(РД[Тип кв],N$116,РД[МОП],$A119,РД[Дом],$C$115,РД[Дата подачи на регистрацию],"&lt;="&amp;$A$1,РД[Дата подачи на регистрацию],"&gt;="&amp;DATE(YEAR($A$1),MONTH($A$1),1))</f>
        <v>0</v>
      </c>
      <c r="O119" s="220">
        <f>COUNTIFS(РД[Тип кв],O$116,РД[МОП],$A119,РД[Дом],$C$115,РД[Дата подачи на регистрацию],"&lt;="&amp;$A$1,РД[Дата подачи на регистрацию],"&gt;="&amp;DATE(YEAR($A$1),MONTH($A$1),1))</f>
        <v>0</v>
      </c>
      <c r="P119" s="223">
        <f>COUNTIFS(РД[Тип кв],P$116,РД[МОП],$A119,РД[Дом],$C$115,РД[Дата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20</v>
      </c>
      <c r="B120" s="267">
        <f>IFERROR(VLOOKUP(A120,'ИПП 2кв24'!$B$41:$J$52,4,0),"")</f>
        <v>143</v>
      </c>
      <c r="C120" s="146">
        <f>IFERROR(VLOOKUP(A120,'ИПП 2кв24'!$B$41:$J$52,5,0),"")</f>
        <v>14492266</v>
      </c>
      <c r="D120" s="145">
        <f>SUMIFS(июнь24[м2],июнь24[МОП],$A120,июнь24[№ дома],$C$115,июнь24[Комнатность],"&lt;&gt;Офис")</f>
        <v>96.37</v>
      </c>
      <c r="E120" s="146">
        <f>SUMIFS(июнь24[Сумма без отделки],июнь24[МОП],$A120,июнь24[№ дома],$C$115,июнь24[Комнатность],"&lt;&gt;Офис")</f>
        <v>10710400</v>
      </c>
      <c r="F120" s="147">
        <f>COUNTIFS(июнь24[МОП],$A120,июнь24[№ дома],$C$115,июнь24[Комнатность],"&lt;&gt;Офис")</f>
        <v>2</v>
      </c>
      <c r="G120" s="148">
        <f>SUMIFS(РД[S],РД[Дом],$C$115,РД[МОП],A120,РД[Дата подачи на регистрацию],"&lt;="&amp;$A$1,РД[Дата подачи на регистрацию],"&gt;="&amp;DATE(YEAR($A$1),MONTH($A$1),1),РД[Состояние],"Продажа")</f>
        <v>165.12</v>
      </c>
      <c r="H120" s="149">
        <f>SUMIFS(РД[Стоимость без отделки итог],РД[Дом],$C$115,РД[МОП],A120,РД[Дата подачи на регистрацию],"&lt;="&amp;$A$1,РД[Дата подачи на регистрацию],"&gt;="&amp;DATE(YEAR($A$1),MONTH($A$1),1),РД[Состояние],"Продажа")</f>
        <v>17658200</v>
      </c>
      <c r="I120" s="220">
        <f>COUNTIFS(РД[Дом],$C$115,РД[МОП],A120,РД[Дата подачи на регистрацию],"&lt;="&amp;$A$1,РД[Дата подачи на регистрацию],"&gt;="&amp;DATE(YEAR($A$1),MONTH($A$1),1),РД[Состояние],"Продажа")</f>
        <v>3</v>
      </c>
      <c r="J120" s="224">
        <f t="shared" si="0"/>
        <v>1.1546853146853147</v>
      </c>
      <c r="K120" s="225">
        <f t="shared" si="0"/>
        <v>1.2184567961973649</v>
      </c>
      <c r="L120" s="202">
        <f>COUNTIFS(РД[Тип кв],L$116,РД[МОП],$A120,РД[Дом],$C$115,РД[Дата подачи на регистрацию],"&lt;="&amp;$A$1,РД[Дата подачи на регистрацию],"&gt;="&amp;DATE(YEAR($A$1),MONTH($A$1),1))</f>
        <v>0</v>
      </c>
      <c r="M120" s="226">
        <f>COUNTIFS(РД[Тип кв],M$116,РД[МОП],$A120,РД[Дом],$C$115,РД[Дата подачи на регистрацию],"&lt;="&amp;$A$1,РД[Дата подачи на регистрацию],"&gt;="&amp;DATE(YEAR($A$1),MONTH($A$1),1))</f>
        <v>1</v>
      </c>
      <c r="N120" s="226">
        <f>COUNTIFS(РД[Тип кв],N$116,РД[МОП],$A120,РД[Дом],$C$115,РД[Дата подачи на регистрацию],"&lt;="&amp;$A$1,РД[Дата подачи на регистрацию],"&gt;="&amp;DATE(YEAR($A$1),MONTH($A$1),1))</f>
        <v>2</v>
      </c>
      <c r="O120" s="226">
        <f>COUNTIFS(РД[Тип кв],O$116,РД[МОП],$A120,РД[Дом],$C$115,РД[Дата подачи на регистрацию],"&lt;="&amp;$A$1,РД[Дата подачи на регистрацию],"&gt;="&amp;DATE(YEAR($A$1),MONTH($A$1),1))</f>
        <v>0</v>
      </c>
      <c r="P120" s="227">
        <f>COUNTIFS(РД[Тип кв],P$116,РД[МОП],$A120,РД[Дом],$C$115,РД[Дата подачи на регистрацию],"&lt;="&amp;$A$1,РД[Дата подачи на регистрацию],"&gt;="&amp;DATE(YEAR($A$1),MONTH($A$1),1))</f>
        <v>0</v>
      </c>
      <c r="T120" s="66"/>
    </row>
    <row r="121" spans="1:21" s="65" customFormat="1">
      <c r="A121" s="153" t="s">
        <v>14</v>
      </c>
      <c r="B121" s="267">
        <f>IFERROR(VLOOKUP(A121,'ИПП 2кв24'!$B$41:$J$52,4,0),"")</f>
        <v>165</v>
      </c>
      <c r="C121" s="146">
        <f>IFERROR(VLOOKUP(A121,'ИПП 2кв24'!$B$41:$J$52,5,0),"")</f>
        <v>16721846</v>
      </c>
      <c r="D121" s="328">
        <f>SUMIFS(июнь24[м2],июнь24[МОП],$A121,июнь24[№ дома],$C$115,июнь24[Комнатность],"&lt;&gt;Офис")</f>
        <v>123.61</v>
      </c>
      <c r="E121" s="403">
        <f>SUMIFS(июнь24[Сумма без отделки],июнь24[МОП],$A121,июнь24[№ дома],$C$115,июнь24[Комнатность],"&lt;&gt;Офис")</f>
        <v>12589800</v>
      </c>
      <c r="F121" s="404">
        <f>COUNTIFS(июнь24[МОП],$A121,июнь24[№ дома],$C$115,июнь24[Комнатность],"&lt;&gt;Офис")</f>
        <v>2</v>
      </c>
      <c r="G121" s="187">
        <f>SUMIFS(РД[S],РД[Дом],$C$115,РД[МОП],A121,РД[Дата подачи на регистрацию],"&lt;="&amp;$A$1,РД[Дата подачи на регистрацию],"&gt;="&amp;DATE(YEAR($A$1),MONTH($A$1),1),РД[Состояние],"Продажа")</f>
        <v>123.61</v>
      </c>
      <c r="H121" s="188">
        <f>SUMIFS(РД[Стоимость без отделки итог],РД[Дом],$C$115,РД[МОП],A121,РД[Дата подачи на регистрацию],"&lt;="&amp;$A$1,РД[Дата подачи на регистрацию],"&gt;="&amp;DATE(YEAR($A$1),MONTH($A$1),1),РД[Состояние],"Продажа")</f>
        <v>12589800</v>
      </c>
      <c r="I121" s="247">
        <f>COUNTIFS(РД[Дом],$C$115,РД[МОП],A121,РД[Дата подачи на регистрацию],"&lt;="&amp;$A$1,РД[Дата подачи на регистрацию],"&gt;="&amp;DATE(YEAR($A$1),MONTH($A$1),1),РД[Состояние],"Продажа")</f>
        <v>2</v>
      </c>
      <c r="J121" s="360">
        <f t="shared" si="0"/>
        <v>0.74915151515151512</v>
      </c>
      <c r="K121" s="361">
        <f t="shared" si="0"/>
        <v>0.75289534421020265</v>
      </c>
      <c r="L121" s="358">
        <f>COUNTIFS(РД[Тип кв],L$116,РД[МОП],$A121,РД[Дом],$C$115,РД[Дата подачи на регистрацию],"&lt;="&amp;$A$1,РД[Дата подачи на регистрацию],"&gt;="&amp;DATE(YEAR($A$1),MONTH($A$1),1))</f>
        <v>0</v>
      </c>
      <c r="M121" s="330">
        <f>COUNTIFS(РД[Тип кв],M$116,РД[МОП],$A121,РД[Дом],$C$115,РД[Дата подачи на регистрацию],"&lt;="&amp;$A$1,РД[Дата подачи на регистрацию],"&gt;="&amp;DATE(YEAR($A$1),MONTH($A$1),1))</f>
        <v>0</v>
      </c>
      <c r="N121" s="330">
        <f>COUNTIFS(РД[Тип кв],N$116,РД[МОП],$A121,РД[Дом],$C$115,РД[Дата подачи на регистрацию],"&lt;="&amp;$A$1,РД[Дата подачи на регистрацию],"&gt;="&amp;DATE(YEAR($A$1),MONTH($A$1),1))</f>
        <v>2</v>
      </c>
      <c r="O121" s="330">
        <f>COUNTIFS(РД[Тип кв],O$116,РД[МОП],$A121,РД[Дом],$C$115,РД[Дата подачи на регистрацию],"&lt;="&amp;$A$1,РД[Дата подачи на регистрацию],"&gt;="&amp;DATE(YEAR($A$1),MONTH($A$1),1))</f>
        <v>0</v>
      </c>
      <c r="P121" s="331">
        <f>COUNTIFS(РД[Тип кв],P$116,РД[МОП],$A121,РД[Дом],$C$115,РД[Дата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54" t="s">
        <v>29</v>
      </c>
      <c r="B122" s="274"/>
      <c r="C122" s="277"/>
      <c r="D122" s="341">
        <f>SUMIFS(июнь24[м2],июнь24[МОП],$A122,июнь24[№ дома],$C$115,июнь24[Комнатность],"&lt;&gt;Офис")</f>
        <v>0</v>
      </c>
      <c r="E122" s="277">
        <f>SUMIFS(июнь24[Сумма без отделки],июнь24[МОП],$A122,июнь24[№ дома],$C$115,июнь24[Комнатность],"&lt;&gt;Офис")</f>
        <v>0</v>
      </c>
      <c r="F122" s="405">
        <f>COUNTIFS(июнь24[МОП],$A122,июнь24[№ дома],$C$115,июнь24[Комнатность],"&lt;&gt;Офис")</f>
        <v>0</v>
      </c>
      <c r="G122" s="159">
        <f>SUMIFS(РД[S],РД[Дом],$C$115,РД[МОП],A122,РД[Дата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0">
        <f>SUMIFS(РД[Стоимость без отделки итог],РД[Дом],$C$115,РД[МОП],A122,РД[Дата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8">
        <f>COUNTIFS(РД[Дом],$C$115,РД[МОП],A122,РД[Дата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9" t="str">
        <f t="shared" si="0"/>
        <v/>
      </c>
      <c r="K122" s="230" t="str">
        <f t="shared" si="0"/>
        <v/>
      </c>
      <c r="L122" s="159">
        <f>COUNTIFS(РД[Тип кв],L$116,РД[МОП],$A122,РД[Дом],$C$115,РД[Дата подачи на регистрацию],"&lt;="&amp;$A$1,РД[Дата подачи на регистрацию],"&gt;="&amp;DATE(YEAR($A$1),MONTH($A$1),1))</f>
        <v>0</v>
      </c>
      <c r="M122" s="228">
        <f>COUNTIFS(РД[Тип кв],M$116,РД[МОП],$A122,РД[Дом],$C$115,РД[Дата подачи на регистрацию],"&lt;="&amp;$A$1,РД[Дата подачи на регистрацию],"&gt;="&amp;DATE(YEAR($A$1),MONTH($A$1),1))</f>
        <v>0</v>
      </c>
      <c r="N122" s="228">
        <f>COUNTIFS(РД[Тип кв],N$116,РД[МОП],$A122,РД[Дом],$C$115,РД[Дата подачи на регистрацию],"&lt;="&amp;$A$1,РД[Дата подачи на регистрацию],"&gt;="&amp;DATE(YEAR($A$1),MONTH($A$1),1))</f>
        <v>0</v>
      </c>
      <c r="O122" s="228">
        <f>COUNTIFS(РД[Тип кв],O$116,РД[МОП],$A122,РД[Дом],$C$115,РД[Дата подачи на регистрацию],"&lt;="&amp;$A$1,РД[Дата подачи на регистрацию],"&gt;="&amp;DATE(YEAR($A$1),MONTH($A$1),1))</f>
        <v>0</v>
      </c>
      <c r="P122" s="231">
        <f>COUNTIFS(РД[Тип кв],P$116,РД[МОП],$A122,РД[Дом],$C$115,РД[Дата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1" t="s">
        <v>1919</v>
      </c>
      <c r="B123" s="278"/>
      <c r="C123" s="281"/>
      <c r="D123" s="406">
        <f>SUMIFS(июнь24[м2],июнь24[МОП],$A123,июнь24[№ дома],$C$115,июнь24[Комнатность],"&lt;&gt;Офис")</f>
        <v>68.75</v>
      </c>
      <c r="E123" s="281">
        <f>SUMIFS(июнь24[Сумма без отделки],июнь24[МОП],$A123,июнь24[№ дома],$C$115,июнь24[Комнатность],"&lt;&gt;Офис")</f>
        <v>6947800</v>
      </c>
      <c r="F123" s="407">
        <f>COUNTIFS(июнь24[МОП],$A123,июнь24[№ дома],$C$115,июнь24[Комнатность],"&lt;&gt;Офис")</f>
        <v>1</v>
      </c>
      <c r="G123" s="166">
        <f>SUMIFS(РД[S],РД[Дом],$C$115,РД[МОП],A123,РД[Дата подачи на регистрацию],"&lt;="&amp;$A$1,РД[Дата подачи на регистрацию],"&gt;="&amp;DATE(YEAR($A$1),MONTH($A$1),1),РД[Состояние],"Продажа")</f>
        <v>0</v>
      </c>
      <c r="H123" s="167">
        <f>SUMIFS(РД[Стоимость без отделки итог],РД[Дом],$C$115,РД[МОП],A123,РД[Дата подачи на регистрацию],"&lt;="&amp;$A$1,РД[Дата подачи на регистрацию],"&gt;="&amp;DATE(YEAR($A$1),MONTH($A$1),1),РД[Состояние],"Продажа")</f>
        <v>0</v>
      </c>
      <c r="I123" s="232">
        <f>COUNTIFS(РД[Дом],$C$115,РД[МОП],A123,РД[Дата подачи на регистрацию],"&lt;="&amp;$A$1,РД[Дата подачи на регистрацию],"&gt;="&amp;DATE(YEAR($A$1),MONTH($A$1),1),РД[Состояние],"Продажа")</f>
        <v>0</v>
      </c>
      <c r="J123" s="233" t="str">
        <f t="shared" si="0"/>
        <v/>
      </c>
      <c r="K123" s="234" t="str">
        <f t="shared" si="0"/>
        <v/>
      </c>
      <c r="L123" s="235">
        <f>COUNTIFS(РД[Тип кв],L$116,РД[МОП],$A123,РД[Дом],$C$115,РД[Дата подачи на регистрацию],"&lt;="&amp;$A$1,РД[Дата подачи на регистрацию],"&gt;="&amp;DATE(YEAR($A$1),MONTH($A$1),1))</f>
        <v>0</v>
      </c>
      <c r="M123" s="236">
        <f>COUNTIFS(РД[Тип кв],M$116,РД[МОП],$A123,РД[Дом],$C$115,РД[Дата подачи на регистрацию],"&lt;="&amp;$A$1,РД[Дата подачи на регистрацию],"&gt;="&amp;DATE(YEAR($A$1),MONTH($A$1),1))</f>
        <v>0</v>
      </c>
      <c r="N123" s="236">
        <f>COUNTIFS(РД[Тип кв],N$116,РД[МОП],$A123,РД[Дом],$C$115,РД[Дата подачи на регистрацию],"&lt;="&amp;$A$1,РД[Дата подачи на регистрацию],"&gt;="&amp;DATE(YEAR($A$1),MONTH($A$1),1))</f>
        <v>0</v>
      </c>
      <c r="O123" s="236">
        <f>COUNTIFS(РД[Тип кв],O$116,РД[МОП],$A123,РД[Дом],$C$115,РД[Дата подачи на регистрацию],"&lt;="&amp;$A$1,РД[Дата подачи на регистрацию],"&gt;="&amp;DATE(YEAR($A$1),MONTH($A$1),1))</f>
        <v>0</v>
      </c>
      <c r="P123" s="237">
        <f>COUNTIFS(РД[Тип кв],P$116,РД[МОП],$A123,РД[Дом],$C$115,РД[Дата подачи на регистрацию],"&lt;="&amp;$A$1,РД[Дата подачи на регистрацию],"&gt;="&amp;DATE(YEAR($A$1),MONTH($A$1),1))</f>
        <v>0</v>
      </c>
      <c r="T123" s="66"/>
    </row>
    <row r="124" spans="1:21" s="65" customFormat="1">
      <c r="A124" s="168" t="s">
        <v>114</v>
      </c>
      <c r="B124" s="172">
        <f t="shared" ref="B124:I124" si="1">SUM(B117:B123)</f>
        <v>510</v>
      </c>
      <c r="C124" s="173">
        <f t="shared" si="1"/>
        <v>51651924</v>
      </c>
      <c r="D124" s="173">
        <f t="shared" si="1"/>
        <v>488.6</v>
      </c>
      <c r="E124" s="173">
        <f t="shared" si="1"/>
        <v>50550482</v>
      </c>
      <c r="F124" s="171">
        <f t="shared" si="1"/>
        <v>8</v>
      </c>
      <c r="G124" s="172">
        <f t="shared" si="1"/>
        <v>488.6</v>
      </c>
      <c r="H124" s="173">
        <f t="shared" si="1"/>
        <v>50408728</v>
      </c>
      <c r="I124" s="170">
        <f t="shared" si="1"/>
        <v>8</v>
      </c>
      <c r="J124" s="238">
        <f t="shared" si="0"/>
        <v>0.95803921568627459</v>
      </c>
      <c r="K124" s="239">
        <f t="shared" si="0"/>
        <v>0.97593127411865621</v>
      </c>
      <c r="L124" s="240">
        <f>SUM(L117:L123)</f>
        <v>0</v>
      </c>
      <c r="M124" s="241">
        <f>SUM(M117:M123)</f>
        <v>1</v>
      </c>
      <c r="N124" s="241">
        <f>SUM(N117:N123)</f>
        <v>6</v>
      </c>
      <c r="O124" s="241">
        <f>SUM(O117:O123)</f>
        <v>1</v>
      </c>
      <c r="P124" s="242">
        <f>SUM(P117:P123)</f>
        <v>0</v>
      </c>
      <c r="T124" s="66"/>
    </row>
    <row r="125" spans="1:21" s="65" customFormat="1" ht="22.5" customHeight="1">
      <c r="A125" s="135" t="s">
        <v>115</v>
      </c>
      <c r="B125" s="135" t="s">
        <v>100</v>
      </c>
      <c r="C125" s="136" t="s">
        <v>97</v>
      </c>
      <c r="D125" s="295" t="s">
        <v>494</v>
      </c>
      <c r="E125" s="138" t="s">
        <v>495</v>
      </c>
      <c r="F125" s="470" t="s">
        <v>496</v>
      </c>
      <c r="G125" s="140" t="s">
        <v>101</v>
      </c>
      <c r="H125" s="141" t="s">
        <v>98</v>
      </c>
      <c r="I125" s="141" t="s">
        <v>96</v>
      </c>
      <c r="J125" s="495" t="s">
        <v>715</v>
      </c>
      <c r="K125" s="496" t="s">
        <v>716</v>
      </c>
      <c r="L125" s="217">
        <v>0</v>
      </c>
      <c r="M125" s="218">
        <v>1</v>
      </c>
      <c r="N125" s="218">
        <v>2</v>
      </c>
      <c r="O125" s="218">
        <v>3</v>
      </c>
      <c r="P125" s="219" t="s">
        <v>1367</v>
      </c>
      <c r="T125" s="66"/>
    </row>
    <row r="126" spans="1:21" s="65" customFormat="1">
      <c r="A126" s="177" t="s">
        <v>1892</v>
      </c>
      <c r="B126" s="267">
        <f>IFERROR(VLOOKUP(A126,'ИПП 2кв24'!$B$49:$J$52,4,0),"")</f>
        <v>155.61538461538461</v>
      </c>
      <c r="C126" s="146">
        <f>IFERROR(VLOOKUP(A126,'ИПП 2кв24'!$B$49:$J$52,5,0),"")</f>
        <v>15760458.86153846</v>
      </c>
      <c r="D126" s="145">
        <f>SUMIFS(июнь24[м2],июнь24[ИМ],A126,июнь24[№ дома],$C$115,июнь24[Комнатность],"&lt;&gt;Офис")</f>
        <v>63.74</v>
      </c>
      <c r="E126" s="149">
        <f>SUMIFS(июнь24[Сумма без отделки],июнь24[ИМ],$A126,июнь24[№ дома],$C$115,июнь24[Комнатность],"&lt;&gt;Офис")</f>
        <v>6362900</v>
      </c>
      <c r="F126" s="147">
        <f>COUNTIFS(июнь24[ИМ],$A126,июнь24[№ дома],$C$115,июнь24[Комнатность],"&lt;&gt;Офис")</f>
        <v>1</v>
      </c>
      <c r="G126" s="183">
        <f>SUMIFS(РД[S],РД[Дом],$C$115,РД[ИМ],A126,РД[Дата подачи на регистрацию],"&lt;="&amp;$A$1,РД[Дата подачи на регистрацию],"&gt;="&amp;DATE(YEAR($A$1),MONTH($A$1),1),РД[Состояние],"Продажа")</f>
        <v>63.74</v>
      </c>
      <c r="H126" s="184">
        <f>SUMIFS(РД[Стоимость без отделки итог],РД[Дом],$C$115,РД[ИМ],A126,РД[Дата подачи на регистрацию],"&lt;="&amp;$A$1,РД[Дата подачи на регистрацию],"&gt;="&amp;DATE(YEAR($A$1),MONTH($A$1),1),РД[Состояние],"Продажа")</f>
        <v>6362900</v>
      </c>
      <c r="I126" s="243">
        <f>COUNTIFS(РД[Дом],$C$115,РД[ИМ],A126,РД[Дата подачи на регистрацию],"&lt;="&amp;$A$1,РД[Дата подачи на регистрацию],"&gt;="&amp;DATE(YEAR($A$1),MONTH($A$1),1),РД[Состояние],"Продажа")</f>
        <v>1</v>
      </c>
      <c r="J126" s="244">
        <f t="shared" ref="J126:K129" si="2">IFERROR(G126/B126,"")</f>
        <v>0.40959960454770145</v>
      </c>
      <c r="K126" s="245">
        <f t="shared" si="2"/>
        <v>0.40372555494103707</v>
      </c>
      <c r="L126" s="183">
        <f>COUNTIFS(РД[Тип кв],L116,РД[ИМ],$A126,РД[Дом],$C$115,РД[Дата подачи на регистрацию],"&lt;="&amp;$A$1,РД[Дата подачи на регистрацию],"&gt;="&amp;DATE(YEAR($A$1),MONTH($A$1),1))</f>
        <v>0</v>
      </c>
      <c r="M126" s="243">
        <f>COUNTIFS(РД[Тип кв],M116,РД[ИМ],$A126,РД[Дом],$C$115,РД[Дата подачи на регистрацию],"&lt;="&amp;$A$1,РД[Дата подачи на регистрацию],"&gt;="&amp;DATE(YEAR($A$1),MONTH($A$1),1))</f>
        <v>0</v>
      </c>
      <c r="N126" s="243">
        <f>COUNTIFS(РД[Тип кв],N116,РД[ИМ],$A126,РД[Дом],$C$115,РД[Дата подачи на регистрацию],"&lt;="&amp;$A$1,РД[Дата подачи на регистрацию],"&gt;="&amp;DATE(YEAR($A$1),MONTH($A$1),1))</f>
        <v>1</v>
      </c>
      <c r="O126" s="243">
        <f>COUNTIFS(РД[Тип кв],O116,РД[ИМ],$A126,РД[Дом],$C$115,РД[Дата подачи на регистрацию],"&lt;="&amp;$A$1,РД[Дата подачи на регистрацию],"&gt;="&amp;DATE(YEAR($A$1),MONTH($A$1),1))</f>
        <v>0</v>
      </c>
      <c r="P126" s="246">
        <f>COUNTIFS(РД[Тип кв],P116,РД[ИМ],$A126,РД[Дом],$C$115,РД[Дата подачи на регистрацию],"&lt;="&amp;$A$1,РД[Дата подачи на регистрацию],"&gt;="&amp;DATE(YEAR($A$1),MONTH($A$1),1))</f>
        <v>0</v>
      </c>
      <c r="T126" s="66"/>
    </row>
    <row r="127" spans="1:21" s="65" customFormat="1">
      <c r="A127" s="150" t="s">
        <v>22</v>
      </c>
      <c r="B127" s="267">
        <f>IFERROR(VLOOKUP(A127,'ИПП 2кв24'!$B$49:$J$52,4,0),"")</f>
        <v>155.61538461538461</v>
      </c>
      <c r="C127" s="146">
        <f>IFERROR(VLOOKUP(A127,'ИПП 2кв24'!$B$49:$J$52,5,0),"")</f>
        <v>15760458.86153846</v>
      </c>
      <c r="D127" s="145">
        <f>SUMIFS(июнь24[м2],июнь24[ИМ],A127,июнь24[№ дома],$C$115,июнь24[Комнатность],"&lt;&gt;Офис")</f>
        <v>232.60999999999999</v>
      </c>
      <c r="E127" s="149">
        <f>SUMIFS(июнь24[Сумма без отделки],июнь24[ИМ],$A127,июнь24[№ дома],$C$115,июнь24[Комнатность],"&lt;&gt;Офис")</f>
        <v>24745900</v>
      </c>
      <c r="F127" s="147">
        <f>COUNTIFS(июнь24[ИМ],$A127,июнь24[№ дома],$C$115,июнь24[Комнатность],"&lt;&gt;Офис")</f>
        <v>4</v>
      </c>
      <c r="G127" s="187">
        <f>SUMIFS(РД[S],РД[Дом],$C$115,РД[ИМ],A127,РД[Дата подачи на регистрацию],"&lt;="&amp;$A$1,РД[Дата подачи на регистрацию],"&gt;="&amp;DATE(YEAR($A$1),MONTH($A$1),1),РД[Состояние],"Продажа")</f>
        <v>232.60999999999999</v>
      </c>
      <c r="H127" s="188">
        <f>SUMIFS(РД[Стоимость без отделки итог],РД[Дом],$C$115,РД[ИМ],A127,РД[Дата подачи на регистрацию],"&lt;="&amp;$A$1,РД[Дата подачи на регистрацию],"&gt;="&amp;DATE(YEAR($A$1),MONTH($A$1),1),РД[Состояние],"Продажа")</f>
        <v>24604146</v>
      </c>
      <c r="I127" s="247">
        <f>COUNTIFS(РД[Дом],$C$115,РД[ИМ],A127,РД[Дата подачи на регистрацию],"&lt;="&amp;$A$1,РД[Дата подачи на регистрацию],"&gt;="&amp;DATE(YEAR($A$1),MONTH($A$1),1),РД[Состояние],"Продажа")</f>
        <v>4</v>
      </c>
      <c r="J127" s="248">
        <f t="shared" ref="J127" si="3">IFERROR(G127/B127,"")</f>
        <v>1.4947750865051903</v>
      </c>
      <c r="K127" s="249">
        <f t="shared" ref="K127" si="4">IFERROR(H127/C127,"")</f>
        <v>1.5611313234060409</v>
      </c>
      <c r="L127" s="187">
        <f>COUNTIFS(РД[Тип кв],L117,РД[ИМ],$A127,РД[Дом],$C$115,РД[Дата подачи на регистрацию],"&lt;="&amp;$A$1,РД[Дата подачи на регистрацию],"&gt;="&amp;DATE(YEAR($A$1),MONTH($A$1),1))</f>
        <v>0</v>
      </c>
      <c r="M127" s="247">
        <f>COUNTIFS(РД[Тип кв],M117,РД[ИМ],$A127,РД[Дом],$C$115,РД[Дата подачи на регистрацию],"&lt;="&amp;$A$1,РД[Дата подачи на регистрацию],"&gt;="&amp;DATE(YEAR($A$1),MONTH($A$1),1))</f>
        <v>0</v>
      </c>
      <c r="N127" s="247">
        <f>COUNTIFS(РД[Тип кв],N117,РД[ИМ],$A127,РД[Дом],$C$115,РД[Дата подачи на регистрацию],"&lt;="&amp;$A$1,РД[Дата подачи на регистрацию],"&gt;="&amp;DATE(YEAR($A$1),MONTH($A$1),1))</f>
        <v>0</v>
      </c>
      <c r="O127" s="247">
        <f>COUNTIFS(РД[Тип кв],O117,РД[ИМ],$A127,РД[Дом],$C$115,РД[Дата подачи на регистрацию],"&lt;="&amp;$A$1,РД[Дата подачи на регистрацию],"&gt;="&amp;DATE(YEAR($A$1),MONTH($A$1),1))</f>
        <v>1</v>
      </c>
      <c r="P127" s="250">
        <f>COUNTIFS(РД[Тип кв],P117,РД[ИМ],$A127,РД[Дом],$C$115,РД[Дата подачи на регистрацию],"&lt;="&amp;$A$1,РД[Дата подачи на регистрацию],"&gt;="&amp;DATE(YEAR($A$1),MONTH($A$1),1))</f>
        <v>0</v>
      </c>
      <c r="T127" s="66"/>
    </row>
    <row r="128" spans="1:21" s="65" customFormat="1">
      <c r="A128" s="189" t="s">
        <v>16</v>
      </c>
      <c r="B128" s="267">
        <f>IFERROR(VLOOKUP(A128,'ИПП 2кв24'!$B$49:$J$52,4,0),"")</f>
        <v>122.26923076923077</v>
      </c>
      <c r="C128" s="146">
        <f>IFERROR(VLOOKUP(A128,'ИПП 2кв24'!$B$49:$J$52,5,0),"")</f>
        <v>12383217.676923076</v>
      </c>
      <c r="D128" s="145">
        <f>SUMIFS(июнь24[м2],июнь24[ИМ],A128,июнь24[№ дома],$C$115,июнь24[Комнатность],"&lt;&gt;Офис")</f>
        <v>192.25</v>
      </c>
      <c r="E128" s="149">
        <f>SUMIFS(июнь24[Сумма без отделки],июнь24[ИМ],$A128,июнь24[№ дома],$C$115,июнь24[Комнатность],"&lt;&gt;Офис")</f>
        <v>19441682</v>
      </c>
      <c r="F128" s="147">
        <f>COUNTIFS(июнь24[ИМ],$A128,июнь24[№ дома],$C$115,июнь24[Комнатность],"&lt;&gt;Офис")</f>
        <v>3</v>
      </c>
      <c r="G128" s="195">
        <f>SUMIFS(РД[S],РД[Дом],$C$115,РД[ИМ],A128,РД[Дата подачи на регистрацию],"&lt;="&amp;$A$1,РД[Дата подачи на регистрацию],"&gt;="&amp;DATE(YEAR($A$1),MONTH($A$1),1),РД[Состояние],"Продажа")</f>
        <v>192.25</v>
      </c>
      <c r="H128" s="196">
        <f>SUMIFS(РД[Стоимость без отделки итог],РД[Дом],$C$115,РД[ИМ],A128,РД[Дата подачи на регистрацию],"&lt;="&amp;$A$1,РД[Дата подачи на регистрацию],"&gt;="&amp;DATE(YEAR($A$1),MONTH($A$1),1),РД[Состояние],"Продажа")</f>
        <v>19441682</v>
      </c>
      <c r="I128" s="251">
        <f>COUNTIFS(РД[Дом],$C$115,РД[ИМ],A128,РД[Дата подачи на регистрацию],"&lt;="&amp;$A$1,РД[Дата подачи на регистрацию],"&gt;="&amp;DATE(YEAR($A$1),MONTH($A$1),1),РД[Состояние],"Продажа")</f>
        <v>3</v>
      </c>
      <c r="J128" s="252">
        <f t="shared" si="2"/>
        <v>1.5723497955331864</v>
      </c>
      <c r="K128" s="253">
        <f t="shared" si="2"/>
        <v>1.5700024425986492</v>
      </c>
      <c r="L128" s="195">
        <f>COUNTIFS(РД[Тип кв],L116,РД[ИМ],$A128,РД[Дом],$C$115,РД[Дата подачи на регистрацию],"&lt;="&amp;$A$1,РД[Дата подачи на регистрацию],"&gt;="&amp;DATE(YEAR($A$1),MONTH($A$1),1))</f>
        <v>0</v>
      </c>
      <c r="M128" s="251">
        <f>COUNTIFS(РД[Тип кв],M116,РД[ИМ],$A128,РД[Дом],$C$115,РД[Дата подачи на регистрацию],"&lt;="&amp;$A$1,РД[Дата подачи на регистрацию],"&gt;="&amp;DATE(YEAR($A$1),MONTH($A$1),1))</f>
        <v>0</v>
      </c>
      <c r="N128" s="251">
        <f>COUNTIFS(РД[Тип кв],N116,РД[ИМ],$A128,РД[Дом],$C$115,РД[Дата подачи на регистрацию],"&lt;="&amp;$A$1,РД[Дата подачи на регистрацию],"&gt;="&amp;DATE(YEAR($A$1),MONTH($A$1),1))</f>
        <v>2</v>
      </c>
      <c r="O128" s="251">
        <f>COUNTIFS(РД[Тип кв],O116,РД[ИМ],$A128,РД[Дом],$C$115,РД[Дата подачи на регистрацию],"&lt;="&amp;$A$1,РД[Дата подачи на регистрацию],"&gt;="&amp;DATE(YEAR($A$1),MONTH($A$1),1))</f>
        <v>1</v>
      </c>
      <c r="P128" s="254">
        <f>COUNTIFS(РД[Тип кв],P116,РД[ИМ],$A128,РД[Дом],$C$115,РД[Дата подачи на регистрацию],"&lt;="&amp;$A$1,РД[Дата подачи на регистрацию],"&gt;="&amp;DATE(YEAR($A$1),MONTH($A$1),1))</f>
        <v>0</v>
      </c>
      <c r="T128" s="66"/>
    </row>
    <row r="129" spans="1:21" s="65" customFormat="1">
      <c r="A129" s="168" t="s">
        <v>114</v>
      </c>
      <c r="B129" s="172">
        <f t="shared" ref="B129:P129" si="5">SUM(B126:B128)</f>
        <v>433.5</v>
      </c>
      <c r="C129" s="173">
        <f t="shared" si="5"/>
        <v>43904135.399999999</v>
      </c>
      <c r="D129" s="484">
        <f t="shared" si="5"/>
        <v>488.59999999999997</v>
      </c>
      <c r="E129" s="429">
        <f t="shared" si="5"/>
        <v>50550482</v>
      </c>
      <c r="F129" s="485">
        <f t="shared" si="5"/>
        <v>8</v>
      </c>
      <c r="G129" s="473">
        <f t="shared" si="5"/>
        <v>488.59999999999997</v>
      </c>
      <c r="H129" s="429">
        <f t="shared" si="5"/>
        <v>50408728</v>
      </c>
      <c r="I129" s="494">
        <f t="shared" si="5"/>
        <v>8</v>
      </c>
      <c r="J129" s="419">
        <f t="shared" si="2"/>
        <v>1.1271049596309111</v>
      </c>
      <c r="K129" s="420">
        <f t="shared" si="2"/>
        <v>1.1481544401395956</v>
      </c>
      <c r="L129" s="473">
        <f t="shared" si="5"/>
        <v>0</v>
      </c>
      <c r="M129" s="494">
        <f t="shared" si="5"/>
        <v>0</v>
      </c>
      <c r="N129" s="494">
        <f t="shared" si="5"/>
        <v>3</v>
      </c>
      <c r="O129" s="494">
        <f t="shared" si="5"/>
        <v>2</v>
      </c>
      <c r="P129" s="497">
        <f t="shared" si="5"/>
        <v>0</v>
      </c>
      <c r="T129" s="66"/>
    </row>
    <row r="130" spans="1:21" s="65" customFormat="1">
      <c r="A130" s="134"/>
      <c r="B130" s="197"/>
      <c r="C130" s="197"/>
      <c r="D130" s="198"/>
      <c r="E130" s="134"/>
      <c r="F130" s="44"/>
      <c r="G130" s="134"/>
      <c r="H130" s="134"/>
      <c r="I130" s="44"/>
      <c r="J130" s="134"/>
      <c r="K130" s="255"/>
      <c r="L130" s="256"/>
      <c r="M130" s="134"/>
      <c r="N130" s="134"/>
      <c r="O130" s="134"/>
      <c r="P130" s="134"/>
      <c r="Q130" s="134"/>
      <c r="U130" s="66"/>
    </row>
    <row r="131" spans="1:21" s="65" customFormat="1">
      <c r="A131" s="2327" t="s">
        <v>713</v>
      </c>
      <c r="B131" s="2328"/>
      <c r="C131" s="474" t="s">
        <v>13</v>
      </c>
      <c r="D131" s="475"/>
      <c r="E131" s="475"/>
      <c r="F131" s="475"/>
      <c r="G131" s="476"/>
      <c r="H131" s="476"/>
      <c r="I131" s="476"/>
      <c r="J131" s="476"/>
      <c r="K131" s="476"/>
      <c r="L131" s="475"/>
      <c r="M131" s="475"/>
      <c r="N131" s="475"/>
      <c r="O131" s="475"/>
      <c r="P131" s="498"/>
      <c r="T131" s="66"/>
    </row>
    <row r="132" spans="1:21" s="65" customFormat="1" ht="22.5" customHeight="1">
      <c r="A132" s="135" t="s">
        <v>1</v>
      </c>
      <c r="B132" s="135" t="s">
        <v>100</v>
      </c>
      <c r="C132" s="136" t="s">
        <v>97</v>
      </c>
      <c r="D132" s="295" t="s">
        <v>494</v>
      </c>
      <c r="E132" s="477" t="s">
        <v>495</v>
      </c>
      <c r="F132" s="478" t="s">
        <v>496</v>
      </c>
      <c r="G132" s="479" t="s">
        <v>101</v>
      </c>
      <c r="H132" s="479" t="s">
        <v>98</v>
      </c>
      <c r="I132" s="479" t="s">
        <v>96</v>
      </c>
      <c r="J132" s="479" t="s">
        <v>715</v>
      </c>
      <c r="K132" s="479" t="s">
        <v>716</v>
      </c>
      <c r="L132" s="499">
        <v>0</v>
      </c>
      <c r="M132" s="340">
        <v>1</v>
      </c>
      <c r="N132" s="340">
        <v>2</v>
      </c>
      <c r="O132" s="340">
        <v>3</v>
      </c>
      <c r="P132" s="500" t="s">
        <v>1367</v>
      </c>
      <c r="T132" s="66"/>
    </row>
    <row r="133" spans="1:21" s="65" customFormat="1">
      <c r="A133" s="142" t="s">
        <v>1892</v>
      </c>
      <c r="B133" s="267">
        <f>IFERROR(VLOOKUP(A133,'ИПП 2кв24'!$B$41:$J$52,6,0),"")</f>
        <v>61</v>
      </c>
      <c r="C133" s="146">
        <f>IFERROR(VLOOKUP(A133,'ИПП 2кв24'!$B$41:$J$52,7,0),"")</f>
        <v>6266266</v>
      </c>
      <c r="D133" s="257">
        <f>SUMIFS(июнь24[м2],июнь24[МОП],$A133,июнь24[№ дома],$C$131,июнь24[Комнатность],"&lt;&gt;Офис")</f>
        <v>100.47</v>
      </c>
      <c r="E133" s="52">
        <f>SUMIFS(июнь24[Сумма без отделки],июнь24[МОП],$A133,июнь24[№ дома],$C$131,июнь24[Комнатность],"&lt;&gt;Офис")</f>
        <v>10591700</v>
      </c>
      <c r="F133" s="413">
        <f>COUNTIFS(июнь24[МОП],$A133,июнь24[№ дома],$C$131,июнь24[Комнатность],"&lt;&gt;Офис")</f>
        <v>2</v>
      </c>
      <c r="G133" s="202">
        <f>SUMIFS(РД[S],РД[Дом],$C$131,РД[МОП],A133,РД[Дата подачи на регистрацию],"&lt;="&amp;$A$1,РД[Дата подачи на регистрацию],"&gt;="&amp;DATE(YEAR($A$1),MONTH($A$1),1),РД[Состояние],"Продажа")</f>
        <v>100.47</v>
      </c>
      <c r="H133" s="203">
        <f>SUMIFS(РД[Стоимость без отделки итог],РД[Дом],$C$131,РД[МОП],A133,РД[Дата подачи на регистрацию],"&lt;="&amp;$A$1,РД[Дата подачи на регистрацию],"&gt;="&amp;DATE(YEAR($A$1),MONTH($A$1),1),РД[Состояние],"Продажа")</f>
        <v>10591700</v>
      </c>
      <c r="I133" s="226">
        <f>COUNTIFS(РД[Дом],$C$131,РД[МОП],A133,РД[Дата подачи на регистрацию],"&lt;="&amp;$A$1,РД[Дата подачи на регистрацию],"&gt;="&amp;DATE(YEAR($A$1),MONTH($A$1),1),РД[Состояние],"Продажа")</f>
        <v>2</v>
      </c>
      <c r="J133" s="224">
        <f t="shared" ref="J133:K139" si="6">IFERROR(G133/B133,)</f>
        <v>1.6470491803278688</v>
      </c>
      <c r="K133" s="225">
        <f t="shared" si="6"/>
        <v>1.6902729631969022</v>
      </c>
      <c r="L133" s="257">
        <f>COUNTIFS(РД[Тип кв],L$132,РД[МОП],$A133,РД[Дом],$C$131,РД[Дата подачи на регистрацию],"&lt;="&amp;$A$1,РД[Дата подачи на регистрацию],"&gt;="&amp;DATE(YEAR($A$1),MONTH($A$1),1))</f>
        <v>0</v>
      </c>
      <c r="M133" s="226">
        <f>COUNTIFS(РД[Тип кв],M$132,РД[МОП],$A133,РД[Дом],$C$131,РД[Дата подачи на регистрацию],"&lt;="&amp;$A$1,РД[Дата подачи на регистрацию],"&gt;="&amp;DATE(YEAR($A$1),MONTH($A$1),1))</f>
        <v>1</v>
      </c>
      <c r="N133" s="226">
        <f>COUNTIFS(РД[Тип кв],N$132,РД[МОП],$A133,РД[Дом],$C$131,РД[Дата подачи на регистрацию],"&lt;="&amp;$A$1,РД[Дата подачи на регистрацию],"&gt;="&amp;DATE(YEAR($A$1),MONTH($A$1),1))</f>
        <v>1</v>
      </c>
      <c r="O133" s="226">
        <f>COUNTIFS(РД[Тип кв],O$132,РД[МОП],$A133,РД[Дом],$C$131,РД[Дата подачи на регистрацию],"&lt;="&amp;$A$1,РД[Дата подачи на регистрацию],"&gt;="&amp;DATE(YEAR($A$1),MONTH($A$1),1))</f>
        <v>0</v>
      </c>
      <c r="P133" s="227">
        <f>COUNTIFS(РД[Тип кв],P$132,РД[МОП],$A133,РД[Дом],$C$131,РД[Дата подачи на регистрацию],"&lt;="&amp;$A$1,РД[Дата подачи на регистрацию],"&gt;="&amp;DATE(YEAR($A$1),MONTH($A$1),1))</f>
        <v>0</v>
      </c>
      <c r="T133" s="66"/>
    </row>
    <row r="134" spans="1:21" s="65" customFormat="1">
      <c r="A134" s="398" t="s">
        <v>8</v>
      </c>
      <c r="B134" s="267">
        <f>IFERROR(VLOOKUP(A134,'ИПП 2кв24'!$B$41:$J$52,6,0),"")</f>
        <v>274</v>
      </c>
      <c r="C134" s="146">
        <f>IFERROR(VLOOKUP(A134,'ИПП 2кв24'!$B$41:$J$52,7,0),"")</f>
        <v>28198196</v>
      </c>
      <c r="D134" s="257">
        <f>SUMIFS(июнь24[м2],июнь24[МОП],$A134,июнь24[№ дома],$C$131,июнь24[Комнатность],"&lt;&gt;Офис")</f>
        <v>964.26999999999987</v>
      </c>
      <c r="E134" s="52">
        <f>SUMIFS(июнь24[Сумма без отделки],июнь24[МОП],$A134,июнь24[№ дома],$C$131,июнь24[Комнатность],"&lt;&gt;Офис")</f>
        <v>102840919</v>
      </c>
      <c r="F134" s="413">
        <f>COUNTIFS(июнь24[МОП],$A134,июнь24[№ дома],$C$131,июнь24[Комнатность],"&lt;&gt;Офис")</f>
        <v>21</v>
      </c>
      <c r="G134" s="202">
        <f>SUMIFS(РД[S],РД[Дом],$C$131,РД[МОП],A134,РД[Дата подачи на регистрацию],"&lt;="&amp;$A$1,РД[Дата подачи на регистрацию],"&gt;="&amp;DATE(YEAR($A$1),MONTH($A$1),1),РД[Состояние],"Продажа")</f>
        <v>1038.43</v>
      </c>
      <c r="H134" s="203">
        <f>SUMIFS(РД[Стоимость без отделки итог],РД[Дом],$C$131,РД[МОП],A134,РД[Дата подачи на регистрацию],"&lt;="&amp;$A$1,РД[Дата подачи на регистрацию],"&gt;="&amp;DATE(YEAR($A$1),MONTH($A$1),1),РД[Состояние],"Продажа")</f>
        <v>111280015</v>
      </c>
      <c r="I134" s="226">
        <f>COUNTIFS(РД[Дом],$C$131,РД[МОП],A134,РД[Дата подачи на регистрацию],"&lt;="&amp;$A$1,РД[Дата подачи на регистрацию],"&gt;="&amp;DATE(YEAR($A$1),MONTH($A$1),1),РД[Состояние],"Продажа")</f>
        <v>23</v>
      </c>
      <c r="J134" s="224">
        <f t="shared" si="6"/>
        <v>3.7898905109489052</v>
      </c>
      <c r="K134" s="225">
        <f t="shared" si="6"/>
        <v>3.9463522772875259</v>
      </c>
      <c r="L134" s="257">
        <f>COUNTIFS(РД[Тип кв],L$132,РД[МОП],$A134,РД[Дом],$C$131,РД[Дата подачи на регистрацию],"&lt;="&amp;$A$1,РД[Дата подачи на регистрацию],"&gt;="&amp;DATE(YEAR($A$1),MONTH($A$1),1))</f>
        <v>2</v>
      </c>
      <c r="M134" s="226">
        <f>COUNTIFS(РД[Тип кв],M$132,РД[МОП],$A134,РД[Дом],$C$131,РД[Дата подачи на регистрацию],"&lt;="&amp;$A$1,РД[Дата подачи на регистрацию],"&gt;="&amp;DATE(YEAR($A$1),MONTH($A$1),1))</f>
        <v>14</v>
      </c>
      <c r="N134" s="226">
        <f>COUNTIFS(РД[Тип кв],N$132,РД[МОП],$A134,РД[Дом],$C$131,РД[Дата подачи на регистрацию],"&lt;="&amp;$A$1,РД[Дата подачи на регистрацию],"&gt;="&amp;DATE(YEAR($A$1),MONTH($A$1),1))</f>
        <v>6</v>
      </c>
      <c r="O134" s="226">
        <f>COUNTIFS(РД[Тип кв],O$132,РД[МОП],$A134,РД[Дом],$C$131,РД[Дата подачи на регистрацию],"&lt;="&amp;$A$1,РД[Дата подачи на регистрацию],"&gt;="&amp;DATE(YEAR($A$1),MONTH($A$1),1))</f>
        <v>2</v>
      </c>
      <c r="P134" s="227">
        <f>COUNTIFS(РД[Тип кв],P$132,РД[МОП],$A134,РД[Дом],$C$131,РД[Дата подачи на регистрацию],"&lt;="&amp;$A$1,РД[Дата подачи на регистрацию],"&gt;="&amp;DATE(YEAR($A$1),MONTH($A$1),1))</f>
        <v>0</v>
      </c>
      <c r="T134" s="66"/>
    </row>
    <row r="135" spans="1:21" s="65" customFormat="1">
      <c r="A135" s="153" t="s">
        <v>77</v>
      </c>
      <c r="B135" s="267">
        <f>IFERROR(VLOOKUP(A135,'ИПП 2кв24'!$B$41:$J$52,6,0),"")</f>
        <v>0</v>
      </c>
      <c r="C135" s="146">
        <f>IFERROR(VLOOKUP(A135,'ИПП 2кв24'!$B$41:$J$52,7,0),"")</f>
        <v>0</v>
      </c>
      <c r="D135" s="257">
        <f>SUMIFS(июнь24[м2],июнь24[МОП],$A135,июнь24[№ дома],$C$131,июнь24[Комнатность],"&lt;&gt;Офис")</f>
        <v>0</v>
      </c>
      <c r="E135" s="52">
        <f>SUMIFS(июнь24[Сумма без отделки],июнь24[МОП],$A135,июнь24[№ дома],$C$131,июнь24[Комнатность],"&lt;&gt;Офис")</f>
        <v>0</v>
      </c>
      <c r="F135" s="413">
        <f>COUNTIFS(июнь24[МОП],$A135,июнь24[№ дома],$C$131,июнь24[Комнатность],"&lt;&gt;Офис")</f>
        <v>0</v>
      </c>
      <c r="G135" s="202">
        <f>SUMIFS(РД[S],РД[Дом],$C$131,РД[МОП],A135,РД[Дата подачи на регистрацию],"&lt;="&amp;$A$1,РД[Дата подачи на регистрацию],"&gt;="&amp;DATE(YEAR($A$1),MONTH($A$1),1),РД[Состояние],"Продажа")</f>
        <v>0</v>
      </c>
      <c r="H135" s="203">
        <f>SUMIFS(РД[Стоимость без отделки итог],РД[Дом],$C$131,РД[МОП],A135,РД[Дата подачи на регистрацию],"&lt;="&amp;$A$1,РД[Дата подачи на регистрацию],"&gt;="&amp;DATE(YEAR($A$1),MONTH($A$1),1),РД[Состояние],"Продажа")</f>
        <v>0</v>
      </c>
      <c r="I135" s="226">
        <f>COUNTIFS(РД[Дом],$C$131,РД[МОП],A135,РД[Дата подачи на регистрацию],"&lt;="&amp;$A$1,РД[Дата подачи на регистрацию],"&gt;="&amp;DATE(YEAR($A$1),MONTH($A$1),1),РД[Состояние],"Продажа")</f>
        <v>0</v>
      </c>
      <c r="J135" s="224">
        <f t="shared" si="6"/>
        <v>0</v>
      </c>
      <c r="K135" s="225">
        <f t="shared" si="6"/>
        <v>0</v>
      </c>
      <c r="L135" s="257">
        <f>COUNTIFS(РД[Тип кв],L$132,РД[МОП],$A135,РД[Дом],$C$131,РД[Дата подачи на регистрацию],"&lt;="&amp;$A$1,РД[Дата подачи на регистрацию],"&gt;="&amp;DATE(YEAR($A$1),MONTH($A$1),1))</f>
        <v>0</v>
      </c>
      <c r="M135" s="226">
        <f>COUNTIFS(РД[Тип кв],M$132,РД[МОП],$A135,РД[Дом],$C$131,РД[Дата подачи на регистрацию],"&lt;="&amp;$A$1,РД[Дата подачи на регистрацию],"&gt;="&amp;DATE(YEAR($A$1),MONTH($A$1),1))</f>
        <v>0</v>
      </c>
      <c r="N135" s="226">
        <f>COUNTIFS(РД[Тип кв],N$132,РД[МОП],$A135,РД[Дом],$C$131,РД[Дата подачи на регистрацию],"&lt;="&amp;$A$1,РД[Дата подачи на регистрацию],"&gt;="&amp;DATE(YEAR($A$1),MONTH($A$1),1))</f>
        <v>0</v>
      </c>
      <c r="O135" s="226">
        <f>COUNTIFS(РД[Тип кв],O$132,РД[МОП],$A135,РД[Дом],$C$131,РД[Дата подачи на регистрацию],"&lt;="&amp;$A$1,РД[Дата подачи на регистрацию],"&gt;="&amp;DATE(YEAR($A$1),MONTH($A$1),1))</f>
        <v>0</v>
      </c>
      <c r="P135" s="227">
        <f>COUNTIFS(РД[Тип кв],P$132,РД[МОП],$A135,РД[Дом],$C$131,РД[Дата подачи на регистрацию],"&lt;="&amp;$A$1,РД[Дата подачи на регистрацию],"&gt;="&amp;DATE(YEAR($A$1),MONTH($A$1),1))</f>
        <v>0</v>
      </c>
      <c r="T135" s="66"/>
    </row>
    <row r="136" spans="1:21" s="65" customFormat="1">
      <c r="A136" s="153" t="s">
        <v>20</v>
      </c>
      <c r="B136" s="267">
        <f>IFERROR(VLOOKUP(A136,'ИПП 2кв24'!$B$41:$J$52,6,0),"")</f>
        <v>237</v>
      </c>
      <c r="C136" s="146">
        <f>IFERROR(VLOOKUP(A136,'ИПП 2кв24'!$B$41:$J$52,7,0),"")</f>
        <v>24438436</v>
      </c>
      <c r="D136" s="257">
        <f>SUMIFS(июнь24[м2],июнь24[МОП],$A136,июнь24[№ дома],$C$131,июнь24[Комнатность],"&lt;&gt;Офис")</f>
        <v>446.78999999999996</v>
      </c>
      <c r="E136" s="52">
        <f>SUMIFS(июнь24[Сумма без отделки],июнь24[МОП],$A136,июнь24[№ дома],$C$131,июнь24[Комнатность],"&lt;&gt;Офис")</f>
        <v>43547680</v>
      </c>
      <c r="F136" s="413">
        <f>COUNTIFS(июнь24[МОП],$A136,июнь24[№ дома],$C$131,июнь24[Комнатность],"&lt;&gt;Офис")</f>
        <v>8</v>
      </c>
      <c r="G136" s="202">
        <f>SUMIFS(РД[S],РД[Дом],$C$131,РД[МОП],A136,РД[Дата подачи на регистрацию],"&lt;="&amp;$A$1,РД[Дата подачи на регистрацию],"&gt;="&amp;DATE(YEAR($A$1),MONTH($A$1),1),РД[Состояние],"Продажа")</f>
        <v>471.28999999999996</v>
      </c>
      <c r="H136" s="203">
        <f>SUMIFS(РД[Стоимость без отделки итог],РД[Дом],$C$131,РД[МОП],A136,РД[Дата подачи на регистрацию],"&lt;="&amp;$A$1,РД[Дата подачи на регистрацию],"&gt;="&amp;DATE(YEAR($A$1),MONTH($A$1),1),РД[Состояние],"Продажа")</f>
        <v>46673980</v>
      </c>
      <c r="I136" s="226">
        <f>COUNTIFS(РД[Дом],$C$131,РД[МОП],A136,РД[Дата подачи на регистрацию],"&lt;="&amp;$A$1,РД[Дата подачи на регистрацию],"&gt;="&amp;DATE(YEAR($A$1),MONTH($A$1),1),РД[Состояние],"Продажа")</f>
        <v>9</v>
      </c>
      <c r="J136" s="224">
        <f t="shared" si="6"/>
        <v>1.9885654008438818</v>
      </c>
      <c r="K136" s="225">
        <f t="shared" si="6"/>
        <v>1.9098595343826421</v>
      </c>
      <c r="L136" s="257">
        <f>COUNTIFS(РД[Тип кв],L$132,РД[МОП],$A136,РД[Дом],$C$131,РД[Дата подачи на регистрацию],"&lt;="&amp;$A$1,РД[Дата подачи на регистрацию],"&gt;="&amp;DATE(YEAR($A$1),MONTH($A$1),1))</f>
        <v>1</v>
      </c>
      <c r="M136" s="226">
        <f>COUNTIFS(РД[Тип кв],M$132,РД[МОП],$A136,РД[Дом],$C$131,РД[Дата подачи на регистрацию],"&lt;="&amp;$A$1,РД[Дата подачи на регистрацию],"&gt;="&amp;DATE(YEAR($A$1),MONTH($A$1),1))</f>
        <v>4</v>
      </c>
      <c r="N136" s="226">
        <f>COUNTIFS(РД[Тип кв],N$132,РД[МОП],$A136,РД[Дом],$C$131,РД[Дата подачи на регистрацию],"&lt;="&amp;$A$1,РД[Дата подачи на регистрацию],"&gt;="&amp;DATE(YEAR($A$1),MONTH($A$1),1))</f>
        <v>3</v>
      </c>
      <c r="O136" s="226">
        <f>COUNTIFS(РД[Тип кв],O$132,РД[МОП],$A136,РД[Дом],$C$131,РД[Дата подачи на регистрацию],"&lt;="&amp;$A$1,РД[Дата подачи на регистрацию],"&gt;="&amp;DATE(YEAR($A$1),MONTH($A$1),1))</f>
        <v>2</v>
      </c>
      <c r="P136" s="227">
        <f>COUNTIFS(РД[Тип кв],P$132,РД[МОП],$A136,РД[Дом],$C$131,РД[Дата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53" t="s">
        <v>14</v>
      </c>
      <c r="B137" s="267">
        <f>IFERROR(VLOOKUP(A137,'ИПП 2кв24'!$B$41:$J$52,6,0),"")</f>
        <v>274</v>
      </c>
      <c r="C137" s="146">
        <f>IFERROR(VLOOKUP(A137,'ИПП 2кв24'!$B$41:$J$52,7,0),"")</f>
        <v>28198196</v>
      </c>
      <c r="D137" s="329">
        <f>SUMIFS(июнь24[м2],июнь24[МОП],$A137,июнь24[№ дома],$C$131,июнь24[Комнатность],"&lt;&gt;Офис")</f>
        <v>543.17000000000007</v>
      </c>
      <c r="E137" s="363">
        <f>SUMIFS(июнь24[Сумма без отделки],июнь24[МОП],$A137,июнь24[№ дома],$C$131,июнь24[Комнатность],"&lt;&gt;Офис")</f>
        <v>53886926</v>
      </c>
      <c r="F137" s="414">
        <f>COUNTIFS(июнь24[МОП],$A137,июнь24[№ дома],$C$131,июнь24[Комнатность],"&lt;&gt;Офис")</f>
        <v>9</v>
      </c>
      <c r="G137" s="358">
        <f>SUMIFS(РД[S],РД[Дом],$C$131,РД[МОП],A137,РД[Дата подачи на регистрацию],"&lt;="&amp;$A$1,РД[Дата подачи на регистрацию],"&gt;="&amp;DATE(YEAR($A$1),MONTH($A$1),1),РД[Состояние],"Продажа")</f>
        <v>744.85000000000014</v>
      </c>
      <c r="H137" s="359">
        <f>SUMIFS(РД[Стоимость без отделки итог],РД[Дом],$C$131,РД[МОП],A137,РД[Дата подачи на регистрацию],"&lt;="&amp;$A$1,РД[Дата подачи на регистрацию],"&gt;="&amp;DATE(YEAR($A$1),MONTH($A$1),1),РД[Состояние],"Продажа")</f>
        <v>72451852</v>
      </c>
      <c r="I137" s="330">
        <f>COUNTIFS(РД[Дом],$C$131,РД[МОП],A137,РД[Дата подачи на регистрацию],"&lt;="&amp;$A$1,РД[Дата подачи на регистрацию],"&gt;="&amp;DATE(YEAR($A$1),MONTH($A$1),1),РД[Состояние],"Продажа")</f>
        <v>12</v>
      </c>
      <c r="J137" s="360">
        <f t="shared" si="6"/>
        <v>2.7184306569343071</v>
      </c>
      <c r="K137" s="361">
        <f t="shared" si="6"/>
        <v>2.5693789772934412</v>
      </c>
      <c r="L137" s="329">
        <f>COUNTIFS(РД[Тип кв],L$132,РД[МОП],$A137,РД[Дом],$C$131,РД[Дата подачи на регистрацию],"&lt;="&amp;$A$1,РД[Дата подачи на регистрацию],"&gt;="&amp;DATE(YEAR($A$1),MONTH($A$1),1))</f>
        <v>0</v>
      </c>
      <c r="M137" s="330">
        <f>COUNTIFS(РД[Тип кв],M$132,РД[МОП],$A137,РД[Дом],$C$131,РД[Дата подачи на регистрацию],"&lt;="&amp;$A$1,РД[Дата подачи на регистрацию],"&gt;="&amp;DATE(YEAR($A$1),MONTH($A$1),1))</f>
        <v>2</v>
      </c>
      <c r="N137" s="330">
        <f>COUNTIFS(РД[Тип кв],N$132,РД[МОП],$A137,РД[Дом],$C$131,РД[Дата подачи на регистрацию],"&lt;="&amp;$A$1,РД[Дата подачи на регистрацию],"&gt;="&amp;DATE(YEAR($A$1),MONTH($A$1),1))</f>
        <v>8</v>
      </c>
      <c r="O137" s="330">
        <f>COUNTIFS(РД[Тип кв],O$132,РД[МОП],$A137,РД[Дом],$C$131,РД[Дата подачи на регистрацию],"&lt;="&amp;$A$1,РД[Дата подачи на регистрацию],"&gt;="&amp;DATE(YEAR($A$1),MONTH($A$1),1))</f>
        <v>2</v>
      </c>
      <c r="P137" s="331">
        <f>COUNTIFS(РД[Тип кв],P$132,РД[МОП],$A137,РД[Дом],$C$131,РД[Дата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54" t="s">
        <v>29</v>
      </c>
      <c r="B138" s="274"/>
      <c r="C138" s="275"/>
      <c r="D138" s="341">
        <f>SUMIFS(июнь24[м2],июнь24[МОП],$A138,июнь24[№ дома],$C$131,июнь24[Комнатность],"&lt;&gt;Офис")</f>
        <v>0</v>
      </c>
      <c r="E138" s="277">
        <f>SUMIFS(июнь24[Сумма без отделки],июнь24[МОП],$A138,июнь24[№ дома],$C$131,июнь24[Комнатность],"&lt;&gt;Офис")</f>
        <v>0</v>
      </c>
      <c r="F138" s="405">
        <f>COUNTIFS(июнь24[МОП],$A138,июнь24[№ дома],$C$131,июнь24[Комнатность],"&lt;&gt;Офис")</f>
        <v>0</v>
      </c>
      <c r="G138" s="159">
        <f>SUMIFS(РД[S],РД[Дом],$C$131,РД[МОП],A138,РД[Дата подачи на регистрацию],"&lt;="&amp;$A$1,РД[Дата подачи на регистрацию],"&gt;="&amp;DATE(YEAR($A$1),MONTH($A$1),1),РД[Состояние],"Продажа")</f>
        <v>68.5</v>
      </c>
      <c r="H138" s="160">
        <f>SUMIFS(РД[Стоимость без отделки итог],РД[Дом],$C$131,РД[МОП],A138,РД[Дата подачи на регистрацию],"&lt;="&amp;$A$1,РД[Дата подачи на регистрацию],"&gt;="&amp;DATE(YEAR($A$1),MONTH($A$1),1),РД[Состояние],"Продажа")</f>
        <v>6117100</v>
      </c>
      <c r="I138" s="228">
        <f>COUNTIFS(РД[Дом],$C$131,РД[МОП],A138,РД[Дата подачи на регистрацию],"&lt;="&amp;$A$1,РД[Дата подачи на регистрацию],"&gt;="&amp;DATE(YEAR($A$1),MONTH($A$1),1),РД[Состояние],"Продажа")</f>
        <v>1</v>
      </c>
      <c r="J138" s="229">
        <f t="shared" si="6"/>
        <v>0</v>
      </c>
      <c r="K138" s="230">
        <f t="shared" si="6"/>
        <v>0</v>
      </c>
      <c r="L138" s="341">
        <f>COUNTIFS(РД[Тип кв],L$132,РД[МОП],$A138,РД[Дом],$C$131,РД[Дата подачи на регистрацию],"&lt;="&amp;$A$1,РД[Дата подачи на регистрацию],"&gt;="&amp;DATE(YEAR($A$1),MONTH($A$1),1))</f>
        <v>0</v>
      </c>
      <c r="M138" s="228">
        <f>COUNTIFS(РД[Тип кв],M$132,РД[МОП],$A138,РД[Дом],$C$131,РД[Дата подачи на регистрацию],"&lt;="&amp;$A$1,РД[Дата подачи на регистрацию],"&gt;="&amp;DATE(YEAR($A$1),MONTH($A$1),1))</f>
        <v>0</v>
      </c>
      <c r="N138" s="228">
        <f>COUNTIFS(РД[Тип кв],N$132,РД[МОП],$A138,РД[Дом],$C$131,РД[Дата подачи на регистрацию],"&lt;="&amp;$A$1,РД[Дата подачи на регистрацию],"&gt;="&amp;DATE(YEAR($A$1),MONTH($A$1),1))</f>
        <v>1</v>
      </c>
      <c r="O138" s="228">
        <f>COUNTIFS(РД[Тип кв],O$132,РД[МОП],$A138,РД[Дом],$C$131,РД[Дата подачи на регистрацию],"&lt;="&amp;$A$1,РД[Дата подачи на регистрацию],"&gt;="&amp;DATE(YEAR($A$1),MONTH($A$1),1))</f>
        <v>0</v>
      </c>
      <c r="P138" s="231">
        <f>COUNTIFS(РД[Тип кв],P$132,РД[МОП],$A138,РД[Дом],$C$131,РД[Дата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61" t="s">
        <v>1919</v>
      </c>
      <c r="B139" s="278"/>
      <c r="C139" s="279"/>
      <c r="D139" s="406">
        <f>SUMIFS(июнь24[м2],июнь24[МОП],$A139,июнь24[№ дома],$C$131,июнь24[Комнатность],"&lt;&gt;Офис")</f>
        <v>393.82</v>
      </c>
      <c r="E139" s="281">
        <f>SUMIFS(июнь24[Сумма без отделки],июнь24[МОП],$A139,июнь24[№ дома],$C$131,июнь24[Комнатность],"&lt;&gt;Офис")</f>
        <v>40245947</v>
      </c>
      <c r="F139" s="407">
        <f>COUNTIFS(июнь24[МОП],$A139,июнь24[№ дома],$C$131,июнь24[Комнатность],"&lt;&gt;Офис")</f>
        <v>8</v>
      </c>
      <c r="G139" s="166">
        <f>SUMIFS(РД[S],РД[Дом],$C$131,РД[МОП],A139,РД[Дата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H139" s="167">
        <f>SUMIFS(РД[Стоимость без отделки итог],РД[Дом],$C$131,РД[МОП],A139,РД[Дата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I139" s="232">
        <f>COUNTIFS(РД[Дом],$C$131,РД[МОП],A139,РД[Дата подачи на регистрацию],"&lt;="&amp;$A$1,РД[Дата подачи на регистрацию],"&gt;="&amp;DATE(YEAR($A$1),MONTH($A$1),1),РД[Состояние],"Продажа")</f>
        <v>0</v>
      </c>
      <c r="J139" s="233">
        <f t="shared" si="6"/>
        <v>0</v>
      </c>
      <c r="K139" s="234">
        <f t="shared" si="6"/>
        <v>0</v>
      </c>
      <c r="L139" s="406">
        <f>COUNTIFS(РД[Тип кв],L$132,РД[МОП],$A139,РД[Дом],$C$131,РД[Дата подачи на регистрацию],"&lt;="&amp;$A$1,РД[Дата подачи на регистрацию],"&gt;="&amp;DATE(YEAR($A$1),MONTH($A$1),1))</f>
        <v>0</v>
      </c>
      <c r="M139" s="232">
        <f>COUNTIFS(РД[Тип кв],M$132,РД[МОП],$A139,РД[Дом],$C$131,РД[Дата подачи на регистрацию],"&lt;="&amp;$A$1,РД[Дата подачи на регистрацию],"&gt;="&amp;DATE(YEAR($A$1),MONTH($A$1),1))</f>
        <v>0</v>
      </c>
      <c r="N139" s="232">
        <f>COUNTIFS(РД[Тип кв],N$132,РД[МОП],$A139,РД[Дом],$C$131,РД[Дата подачи на регистрацию],"&lt;="&amp;$A$1,РД[Дата подачи на регистрацию],"&gt;="&amp;DATE(YEAR($A$1),MONTH($A$1),1))</f>
        <v>0</v>
      </c>
      <c r="O139" s="232">
        <f>COUNTIFS(РД[Тип кв],O$132,РД[МОП],$A139,РД[Дом],$C$131,РД[Дата подачи на регистрацию],"&lt;="&amp;$A$1,РД[Дата подачи на регистрацию],"&gt;="&amp;DATE(YEAR($A$1),MONTH($A$1),1))</f>
        <v>0</v>
      </c>
      <c r="P139" s="337">
        <f>COUNTIFS(РД[Тип кв],P$132,РД[МОП],$A139,РД[Дом],$C$131,РД[Дата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68" t="s">
        <v>114</v>
      </c>
      <c r="B140" s="172">
        <f t="shared" ref="B140:I140" si="7">SUM(B133:B139)</f>
        <v>846</v>
      </c>
      <c r="C140" s="480">
        <f t="shared" si="7"/>
        <v>87101094</v>
      </c>
      <c r="D140" s="173">
        <f t="shared" si="7"/>
        <v>2448.52</v>
      </c>
      <c r="E140" s="173">
        <f t="shared" si="7"/>
        <v>251113172</v>
      </c>
      <c r="F140" s="171">
        <f t="shared" si="7"/>
        <v>48</v>
      </c>
      <c r="G140" s="172">
        <f t="shared" si="7"/>
        <v>2423.54</v>
      </c>
      <c r="H140" s="173">
        <f t="shared" si="7"/>
        <v>247114647</v>
      </c>
      <c r="I140" s="170">
        <f t="shared" si="7"/>
        <v>47</v>
      </c>
      <c r="J140" s="238">
        <f>IFERROR(G140/B140,"")</f>
        <v>2.8647044917257682</v>
      </c>
      <c r="K140" s="501">
        <f>IFERROR(H140/C140,"")</f>
        <v>2.8371015294021449</v>
      </c>
      <c r="L140" s="171">
        <f>SUM(L133:L139)</f>
        <v>3</v>
      </c>
      <c r="M140" s="171">
        <f>SUM(M133:M139)</f>
        <v>21</v>
      </c>
      <c r="N140" s="171">
        <f>SUM(N133:N139)</f>
        <v>19</v>
      </c>
      <c r="O140" s="171">
        <f>SUM(O133:O139)</f>
        <v>6</v>
      </c>
      <c r="P140" s="171">
        <f>SUM(P133:P139)</f>
        <v>0</v>
      </c>
      <c r="T140" s="66"/>
    </row>
    <row r="141" spans="1:21" s="65" customFormat="1" ht="22.5" customHeight="1">
      <c r="A141" s="135" t="s">
        <v>115</v>
      </c>
      <c r="B141" s="135" t="s">
        <v>100</v>
      </c>
      <c r="C141" s="136" t="s">
        <v>97</v>
      </c>
      <c r="D141" s="295" t="s">
        <v>494</v>
      </c>
      <c r="E141" s="138" t="s">
        <v>495</v>
      </c>
      <c r="F141" s="470" t="s">
        <v>496</v>
      </c>
      <c r="G141" s="481" t="s">
        <v>101</v>
      </c>
      <c r="H141" s="482" t="s">
        <v>98</v>
      </c>
      <c r="I141" s="482" t="s">
        <v>96</v>
      </c>
      <c r="J141" s="502" t="s">
        <v>715</v>
      </c>
      <c r="K141" s="503" t="s">
        <v>716</v>
      </c>
      <c r="L141" s="504">
        <v>0</v>
      </c>
      <c r="M141" s="505">
        <v>1</v>
      </c>
      <c r="N141" s="505">
        <v>2</v>
      </c>
      <c r="O141" s="505">
        <v>3</v>
      </c>
      <c r="P141" s="506" t="s">
        <v>1367</v>
      </c>
      <c r="T141" s="66"/>
    </row>
    <row r="142" spans="1:21" s="65" customFormat="1">
      <c r="A142" s="177" t="s">
        <v>1892</v>
      </c>
      <c r="B142" s="267">
        <f>IFERROR(VLOOKUP(A142,'ИПП 2кв24'!$B$49:$J$52,6,0),"")</f>
        <v>258.13846153846157</v>
      </c>
      <c r="C142" s="146">
        <f>IFERROR(VLOOKUP(A142,'ИПП 2кв24'!$B$49:$J$52,7,0),"")</f>
        <v>26577000.476923075</v>
      </c>
      <c r="D142" s="145">
        <f>SUMIFS(июнь24[м2],июнь24[ИМ],A142,июнь24[№ дома],$C$131,июнь24[Комнатность],"&lt;&gt;Офис")</f>
        <v>733.46999999999991</v>
      </c>
      <c r="E142" s="149">
        <f>SUMIFS(июнь24[Сумма без отделки],июнь24[ИМ],$A142,июнь24[№ дома],$C$131,июнь24[Комнатность],"&lt;&gt;Офис")</f>
        <v>76744859</v>
      </c>
      <c r="F142" s="147">
        <f>COUNTIFS(июнь24[ИМ],$A142,июнь24[№ дома],$C$131,июнь24[Комнатность],"&lt;&gt;Офис")</f>
        <v>16</v>
      </c>
      <c r="G142" s="183">
        <f>SUMIFS(РД[S],РД[Дом],$C$131,РД[ИМ],A142,РД[Дата подачи на регистрацию],"&lt;="&amp;$A$1,РД[Дата подачи на регистрацию],"&gt;="&amp;DATE(YEAR($A$1),MONTH($A$1),1),РД[Состояние],"Продажа")</f>
        <v>674.38000000000011</v>
      </c>
      <c r="H142" s="184">
        <f>SUMIFS(РД[Стоимость без отделки итог],РД[Дом],$C$131,РД[ИМ],A142,РД[Дата подачи на регистрацию],"&lt;="&amp;$A$1,РД[Дата подачи на регистрацию],"&gt;="&amp;DATE(YEAR($A$1),MONTH($A$1),1),РД[Состояние],"Продажа")</f>
        <v>71046799</v>
      </c>
      <c r="I142" s="243">
        <f>COUNTIFS(РД[Дом],$C$131,РД[ИМ],A142,РД[Дата подачи на регистрацию],"&lt;="&amp;$A$1,РД[Дата подачи на регистрацию],"&gt;="&amp;DATE(YEAR($A$1),MONTH($A$1),1),РД[Состояние],"Продажа")</f>
        <v>15</v>
      </c>
      <c r="J142" s="244">
        <f t="shared" ref="J142:K144" si="8">IFERROR(G142/B142,"")</f>
        <v>2.6124739257405092</v>
      </c>
      <c r="K142" s="245">
        <f t="shared" si="8"/>
        <v>2.6732436966199495</v>
      </c>
      <c r="L142" s="183">
        <f>COUNTIFS(РД[Тип кв],L132,РД[ИМ],$A142,РД[Дом],$C$131,РД[Дата подачи на регистрацию],"&lt;="&amp;$A$1,РД[Дата подачи на регистрацию],"&gt;="&amp;DATE(YEAR($A$1),MONTH($A$1),1))</f>
        <v>1</v>
      </c>
      <c r="M142" s="243">
        <f>COUNTIFS(РД[Тип кв],M132,РД[ИМ],$A142,РД[Дом],$C$131,РД[Дата подачи на регистрацию],"&lt;="&amp;$A$1,РД[Дата подачи на регистрацию],"&gt;="&amp;DATE(YEAR($A$1),MONTH($A$1),1))</f>
        <v>10</v>
      </c>
      <c r="N142" s="243">
        <f>COUNTIFS(РД[Тип кв],N132,РД[ИМ],$A142,РД[Дом],$C$131,РД[Дата подачи на регистрацию],"&lt;="&amp;$A$1,РД[Дата подачи на регистрацию],"&gt;="&amp;DATE(YEAR($A$1),MONTH($A$1),1))</f>
        <v>4</v>
      </c>
      <c r="O142" s="243">
        <f>COUNTIFS(РД[Тип кв],O132,РД[ИМ],$A142,РД[Дом],$C$131,РД[Дата подачи на регистрацию],"&lt;="&amp;$A$1,РД[Дата подачи на регистрацию],"&gt;="&amp;DATE(YEAR($A$1),MONTH($A$1),1))</f>
        <v>1</v>
      </c>
      <c r="P142" s="246">
        <f>COUNTIFS(РД[Тип кв],P132,РД[ИМ],$A142,РД[Дом],$C$131,РД[Дата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50" t="s">
        <v>22</v>
      </c>
      <c r="B143" s="267">
        <f>IFERROR(VLOOKUP(A143,'ИПП 2кв24'!$B$49:$J$52,6,0),"")</f>
        <v>258.13846153846157</v>
      </c>
      <c r="C143" s="146">
        <f>IFERROR(VLOOKUP(A143,'ИПП 2кв24'!$B$49:$J$52,7,0),"")</f>
        <v>26577000.476923075</v>
      </c>
      <c r="D143" s="328">
        <f>SUMIFS(июнь24[м2],июнь24[ИМ],A143,июнь24[№ дома],$C$131,июнь24[Комнатность],"&lt;&gt;Офис")</f>
        <v>978.84</v>
      </c>
      <c r="E143" s="188">
        <f>SUMIFS(июнь24[Сумма без отделки],июнь24[ИМ],$A143,июнь24[№ дома],$C$131,июнь24[Комнатность],"&lt;&gt;Офис")</f>
        <v>98157000</v>
      </c>
      <c r="F143" s="404">
        <f>COUNTIFS(июнь24[ИМ],$A143,июнь24[№ дома],$C$131,июнь24[Комнатность],"&lt;&gt;Офис")</f>
        <v>17</v>
      </c>
      <c r="G143" s="187">
        <f>SUMIFS(РД[S],РД[Дом],$C$131,РД[ИМ],A143,РД[Дата подачи на регистрацию],"&lt;="&amp;$A$1,РД[Дата подачи на регистрацию],"&gt;="&amp;DATE(YEAR($A$1),MONTH($A$1),1),РД[Состояние],"Продажа")</f>
        <v>944.45000000000016</v>
      </c>
      <c r="H143" s="188">
        <f>SUMIFS(РД[Стоимость без отделки итог],РД[Дом],$C$131,РД[ИМ],A143,РД[Дата подачи на регистрацию],"&lt;="&amp;$A$1,РД[Дата подачи на регистрацию],"&gt;="&amp;DATE(YEAR($A$1),MONTH($A$1),1),РД[Состояние],"Продажа")</f>
        <v>93880165</v>
      </c>
      <c r="I143" s="247">
        <f>COUNTIFS(РД[Дом],$C$131,РД[ИМ],A143,РД[Дата подачи на регистрацию],"&lt;="&amp;$A$1,РД[Дата подачи на регистрацию],"&gt;="&amp;DATE(YEAR($A$1),MONTH($A$1),1),РД[Состояние],"Продажа")</f>
        <v>16</v>
      </c>
      <c r="J143" s="248">
        <f t="shared" si="8"/>
        <v>3.6586953930508375</v>
      </c>
      <c r="K143" s="249">
        <f t="shared" si="8"/>
        <v>3.5323837647335918</v>
      </c>
      <c r="L143" s="187">
        <f>COUNTIFS(РД[Тип кв],L$132,РД[ИМ],$A143,РД[Дом],$C$131,РД[Дата подачи на регистрацию],"&lt;="&amp;$A$1,РД[Дата подачи на регистрацию],"&gt;="&amp;DATE(YEAR($A$1),MONTH($A$1),1))</f>
        <v>0</v>
      </c>
      <c r="M143" s="247">
        <f>COUNTIFS(РД[Тип кв],M$132,РД[ИМ],$A143,РД[Дом],$C$131,РД[Дата подачи на регистрацию],"&lt;="&amp;$A$1,РД[Дата подачи на регистрацию],"&gt;="&amp;DATE(YEAR($A$1),MONTH($A$1),1))</f>
        <v>5</v>
      </c>
      <c r="N143" s="247">
        <f>COUNTIFS(РД[Тип кв],N$132,РД[ИМ],$A143,РД[Дом],$C$131,РД[Дата подачи на регистрацию],"&lt;="&amp;$A$1,РД[Дата подачи на регистрацию],"&gt;="&amp;DATE(YEAR($A$1),MONTH($A$1),1))</f>
        <v>9</v>
      </c>
      <c r="O143" s="247">
        <f>COUNTIFS(РД[Тип кв],O$132,РД[ИМ],$A143,РД[Дом],$C$131,РД[Дата подачи на регистрацию],"&lt;="&amp;$A$1,РД[Дата подачи на регистрацию],"&gt;="&amp;DATE(YEAR($A$1),MONTH($A$1),1))</f>
        <v>3</v>
      </c>
      <c r="P143" s="250">
        <f>COUNTIFS(РД[Тип кв],P$132,РД[ИМ],$A143,РД[Дом],$C$131,РД[Дата подачи на регистрацию],"&lt;="&amp;$A$1,РД[Дата подачи на регистрацию],"&gt;="&amp;DATE(YEAR($A$1),MONTH($A$1),1))</f>
        <v>0</v>
      </c>
      <c r="T143" s="66"/>
    </row>
    <row r="144" spans="1:21" s="65" customFormat="1">
      <c r="A144" s="189" t="s">
        <v>16</v>
      </c>
      <c r="B144" s="267">
        <f>IFERROR(VLOOKUP(A144,'ИПП 2кв24'!$B$49:$J$52,6,0),"")</f>
        <v>202.82307692307694</v>
      </c>
      <c r="C144" s="146">
        <f>IFERROR(VLOOKUP(A144,'ИПП 2кв24'!$B$49:$J$52,7,0),"")</f>
        <v>20881928.946153842</v>
      </c>
      <c r="D144" s="329">
        <f>SUMIFS(июнь24[м2],июнь24[ИМ],A144,июнь24[№ дома],$C$131,июнь24[Комнатность],"&lt;&gt;Офис")</f>
        <v>655.13000000000011</v>
      </c>
      <c r="E144" s="359">
        <f>SUMIFS(июнь24[Сумма без отделки],июнь24[ИМ],$A144,июнь24[№ дома],$C$131,июнь24[Комнатность],"&lt;&gt;Офис")</f>
        <v>68048084</v>
      </c>
      <c r="F144" s="414">
        <f>COUNTIFS(июнь24[ИМ],$A144,июнь24[№ дома],$C$131,июнь24[Комнатность],"&lt;&gt;Офис")</f>
        <v>13</v>
      </c>
      <c r="G144" s="358">
        <f>SUMIFS(РД[S],РД[Дом],$C$131,РД[ИМ],A144,РД[Дата подачи на регистрацию],"&lt;="&amp;$A$1,РД[Дата подачи на регистрацию],"&gt;="&amp;DATE(YEAR($A$1),MONTH($A$1),1),РД[Состояние],"Продажа")</f>
        <v>723.63000000000011</v>
      </c>
      <c r="H144" s="359">
        <f>SUMIFS(РД[Стоимость без отделки итог],РД[Дом],$C$131,РД[ИМ],A144,РД[Дата подачи на регистрацию],"&lt;="&amp;$A$1,РД[Дата подачи на регистрацию],"&gt;="&amp;DATE(YEAR($A$1),MONTH($A$1),1),РД[Состояние],"Продажа")</f>
        <v>74024454</v>
      </c>
      <c r="I144" s="330">
        <f>COUNTIFS(РД[Дом],$C$131,РД[ИМ],A144,РД[Дата подачи на регистрацию],"&lt;="&amp;$A$1,РД[Дата подачи на регистрацию],"&gt;="&amp;DATE(YEAR($A$1),MONTH($A$1),1),РД[Состояние],"Продажа")</f>
        <v>14</v>
      </c>
      <c r="J144" s="360">
        <f t="shared" si="8"/>
        <v>3.5677892820571171</v>
      </c>
      <c r="K144" s="367">
        <f t="shared" si="8"/>
        <v>3.5449049841554157</v>
      </c>
      <c r="L144" s="195">
        <f>COUNTIFS(РД[Тип кв],L$132,РД[ИМ],$A144,РД[Дом],$C$131,РД[Дата подачи на регистрацию],"&lt;="&amp;$A$1,РД[Дата подачи на регистрацию],"&gt;="&amp;DATE(YEAR($A$1),MONTH($A$1),1))</f>
        <v>1</v>
      </c>
      <c r="M144" s="251">
        <f>COUNTIFS(РД[Тип кв],M$132,РД[ИМ],$A144,РД[Дом],$C$131,РД[Дата подачи на регистрацию],"&lt;="&amp;$A$1,РД[Дата подачи на регистрацию],"&gt;="&amp;DATE(YEAR($A$1),MONTH($A$1),1))</f>
        <v>6</v>
      </c>
      <c r="N144" s="251">
        <f>COUNTIFS(РД[Тип кв],N$132,РД[ИМ],$A144,РД[Дом],$C$131,РД[Дата подачи на регистрацию],"&lt;="&amp;$A$1,РД[Дата подачи на регистрацию],"&gt;="&amp;DATE(YEAR($A$1),MONTH($A$1),1))</f>
        <v>5</v>
      </c>
      <c r="O144" s="251">
        <f>COUNTIFS(РД[Тип кв],O$132,РД[ИМ],$A144,РД[Дом],$C$131,РД[Дата подачи на регистрацию],"&lt;="&amp;$A$1,РД[Дата подачи на регистрацию],"&gt;="&amp;DATE(YEAR($A$1),MONTH($A$1),1))</f>
        <v>2</v>
      </c>
      <c r="P144" s="254">
        <f>COUNTIFS(РД[Тип кв],P$132,РД[ИМ],$A144,РД[Дом],$C$131,РД[Дата подачи на регистрацию],"&lt;="&amp;$A$1,РД[Дата подачи на регистрацию],"&gt;="&amp;DATE(YEAR($A$1),MONTH($A$1),1))</f>
        <v>0</v>
      </c>
      <c r="Q144" s="86"/>
      <c r="R144" s="86"/>
      <c r="S144" s="86"/>
      <c r="T144" s="66"/>
    </row>
    <row r="145" spans="1:21" s="65" customFormat="1">
      <c r="A145" s="317" t="s">
        <v>114</v>
      </c>
      <c r="B145" s="410">
        <f t="shared" ref="B145:I145" si="9">SUM(B142:B144)</f>
        <v>719.10000000000014</v>
      </c>
      <c r="C145" s="483">
        <f t="shared" si="9"/>
        <v>74035929.899999991</v>
      </c>
      <c r="D145" s="484">
        <f t="shared" si="9"/>
        <v>2367.44</v>
      </c>
      <c r="E145" s="429">
        <f t="shared" si="9"/>
        <v>242949943</v>
      </c>
      <c r="F145" s="485">
        <f t="shared" si="9"/>
        <v>46</v>
      </c>
      <c r="G145" s="473">
        <f t="shared" si="9"/>
        <v>2342.4600000000005</v>
      </c>
      <c r="H145" s="429">
        <f t="shared" si="9"/>
        <v>238951418</v>
      </c>
      <c r="I145" s="494">
        <f t="shared" si="9"/>
        <v>45</v>
      </c>
      <c r="J145" s="419">
        <f>IFERROR(G145/B145,)</f>
        <v>3.2574885273258238</v>
      </c>
      <c r="K145" s="507">
        <f>IFERROR(H145/C145,)</f>
        <v>3.2275061355040808</v>
      </c>
      <c r="L145" s="317">
        <f t="shared" ref="L145:P145" si="10">SUM(L142:L144)</f>
        <v>2</v>
      </c>
      <c r="M145" s="485">
        <f t="shared" si="10"/>
        <v>21</v>
      </c>
      <c r="N145" s="485">
        <f t="shared" si="10"/>
        <v>18</v>
      </c>
      <c r="O145" s="485">
        <f t="shared" si="10"/>
        <v>6</v>
      </c>
      <c r="P145" s="497">
        <f t="shared" si="10"/>
        <v>0</v>
      </c>
      <c r="Q145" s="86"/>
      <c r="R145" s="86"/>
      <c r="S145" s="86"/>
      <c r="T145" s="66"/>
    </row>
    <row r="146" spans="1:21" s="65" customFormat="1">
      <c r="A146" s="134"/>
      <c r="B146" s="211"/>
      <c r="C146" s="211"/>
      <c r="D146" s="212"/>
      <c r="E146" s="134"/>
      <c r="F146" s="134"/>
      <c r="G146" s="134"/>
      <c r="H146" s="134"/>
      <c r="I146" s="134"/>
      <c r="J146" s="134"/>
      <c r="K146" s="134"/>
      <c r="L146" s="261"/>
      <c r="M146" s="134"/>
      <c r="N146" s="134"/>
      <c r="O146" s="134"/>
      <c r="P146" s="262"/>
      <c r="Q146" s="134"/>
      <c r="U146" s="66"/>
    </row>
    <row r="147" spans="1:21" s="65" customFormat="1">
      <c r="A147" s="2327" t="s">
        <v>713</v>
      </c>
      <c r="B147" s="2328"/>
      <c r="C147" s="474" t="s">
        <v>718</v>
      </c>
      <c r="D147" s="476"/>
      <c r="E147" s="476"/>
      <c r="F147" s="476"/>
      <c r="G147" s="476"/>
      <c r="H147" s="476"/>
      <c r="I147" s="476"/>
      <c r="J147" s="476"/>
      <c r="K147" s="476"/>
      <c r="L147" s="476"/>
      <c r="M147" s="476"/>
      <c r="N147" s="476"/>
      <c r="O147" s="476"/>
      <c r="P147" s="134"/>
      <c r="T147" s="66"/>
    </row>
    <row r="148" spans="1:21" s="65" customFormat="1" ht="22.5" customHeight="1">
      <c r="A148" s="135" t="s">
        <v>1</v>
      </c>
      <c r="B148" s="135" t="s">
        <v>100</v>
      </c>
      <c r="C148" s="136" t="s">
        <v>97</v>
      </c>
      <c r="D148" s="486" t="s">
        <v>494</v>
      </c>
      <c r="E148" s="487" t="s">
        <v>495</v>
      </c>
      <c r="F148" s="488" t="s">
        <v>496</v>
      </c>
      <c r="G148" s="489" t="s">
        <v>101</v>
      </c>
      <c r="H148" s="490" t="s">
        <v>98</v>
      </c>
      <c r="I148" s="490" t="s">
        <v>96</v>
      </c>
      <c r="J148" s="490" t="s">
        <v>715</v>
      </c>
      <c r="K148" s="508" t="s">
        <v>716</v>
      </c>
      <c r="L148" s="217">
        <v>0</v>
      </c>
      <c r="M148" s="218">
        <v>1</v>
      </c>
      <c r="N148" s="218">
        <v>2</v>
      </c>
      <c r="O148" s="218">
        <v>3</v>
      </c>
      <c r="P148" s="219" t="s">
        <v>1367</v>
      </c>
      <c r="T148" s="66"/>
    </row>
    <row r="149" spans="1:21" s="65" customFormat="1">
      <c r="A149" s="142" t="s">
        <v>1892</v>
      </c>
      <c r="B149" s="267">
        <f>IFERROR(VLOOKUP(A149,'ИПП 2кв24'!$B$41:$J$52,8,0),"")</f>
        <v>98</v>
      </c>
      <c r="C149" s="146">
        <f>IFERROR(VLOOKUP(A149,'ИПП 2кв24'!$B$41:$J$52,9,0),"")</f>
        <v>9982232</v>
      </c>
      <c r="D149" s="257">
        <f>SUMIFS(июнь24[м2],июнь24[МОП],$A149,июнь24[Комнатность],"&lt;&gt;Офис")</f>
        <v>172.98000000000002</v>
      </c>
      <c r="E149" s="52">
        <f>SUMIFS(июнь24[Сумма без отделки],июнь24[МОП],$A149,июнь24[Комнатность],"&lt;&gt;Офис")</f>
        <v>17643682</v>
      </c>
      <c r="F149" s="413">
        <f>COUNTIFS(июнь24[МОП],$A149,июнь24[Комнатность],"&lt;&gt;Офис")</f>
        <v>3</v>
      </c>
      <c r="G149" s="202">
        <f>SUMIFS(РД[S],РД[МОП],A149,РД[Дата подачи на регистрацию],"&lt;="&amp;$A$1,РД[Дата подачи на регистрацию],"&gt;="&amp;DATE(YEAR($A$1),MONTH($A$1),1),РД[Состояние],"Продажа")</f>
        <v>172.98000000000002</v>
      </c>
      <c r="H149" s="203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регистрацию],"&gt;="&amp;DATE(YEAR($A$1),MONTH($A$1),1),РД[Состояние],"Продажа")</f>
        <v>17643682</v>
      </c>
      <c r="I149" s="226">
        <f>COUNTIFS(РД[МОП],A149,РД[Дата подачи на регистрацию],"&lt;="&amp;$A$1,РД[Дата подачи на регистрацию],"&gt;="&amp;DATE(YEAR($A$1),MONTH($A$1),1),РД[Состояние],"Продажа")</f>
        <v>3</v>
      </c>
      <c r="J149" s="224">
        <f t="shared" ref="J149:K155" si="11">IFERROR(G149/B149,"")</f>
        <v>1.7651020408163267</v>
      </c>
      <c r="K149" s="225">
        <f t="shared" si="11"/>
        <v>1.7675087094749953</v>
      </c>
      <c r="L149" s="325">
        <f>L133+L118</f>
        <v>0</v>
      </c>
      <c r="M149" s="326">
        <f>M133+M118</f>
        <v>1</v>
      </c>
      <c r="N149" s="326">
        <f>N133+N118</f>
        <v>3</v>
      </c>
      <c r="O149" s="326">
        <f>O133+O118</f>
        <v>0</v>
      </c>
      <c r="P149" s="327">
        <f>P133+P118</f>
        <v>0</v>
      </c>
      <c r="T149" s="66"/>
    </row>
    <row r="150" spans="1:21" s="65" customFormat="1">
      <c r="A150" s="398" t="s">
        <v>8</v>
      </c>
      <c r="B150" s="267">
        <f>IFERROR(VLOOKUP(A150,'ИПП 2кв24'!$B$41:$J$52,8,0),"")</f>
        <v>439</v>
      </c>
      <c r="C150" s="146">
        <f>IFERROR(VLOOKUP(A150,'ИПП 2кв24'!$B$41:$J$52,9,0),"")</f>
        <v>44920042</v>
      </c>
      <c r="D150" s="257">
        <f>SUMIFS(июнь24[м2],июнь24[МОП],$A150,июнь24[Комнатность],"&lt;&gt;Офис")</f>
        <v>1153.04</v>
      </c>
      <c r="E150" s="52">
        <f>SUMIFS(июнь24[Сумма без отделки],июнь24[МОП],$A150,июнь24[Комнатность],"&lt;&gt;Офис")</f>
        <v>123501003</v>
      </c>
      <c r="F150" s="413">
        <f>COUNTIFS(июнь24[МОП],$A150,июнь24[Комнатность],"&lt;&gt;Офис")</f>
        <v>24</v>
      </c>
      <c r="G150" s="202">
        <f>SUMIFS(РД[S],РД[МОП],A150,РД[Дата подачи на регистрацию],"&lt;="&amp;$A$1,РД[Дата подачи на регистрацию],"&gt;="&amp;DATE(YEAR($A$1),MONTH($A$1),1),РД[Состояние],"Продажа")</f>
        <v>1227.1999999999998</v>
      </c>
      <c r="H150" s="203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регистрацию],"&gt;="&amp;DATE(YEAR($A$1),MONTH($A$1),1),РД[Состояние],"Продажа")</f>
        <v>131798345</v>
      </c>
      <c r="I150" s="226">
        <f>COUNTIFS(РД[МОП],A150,РД[Дата подачи на регистрацию],"&lt;="&amp;$A$1,РД[Дата подачи на регистрацию],"&gt;="&amp;DATE(YEAR($A$1),MONTH($A$1),1),РД[Состояние],"Продажа")</f>
        <v>26</v>
      </c>
      <c r="J150" s="224">
        <f t="shared" si="11"/>
        <v>2.7954441913439632</v>
      </c>
      <c r="K150" s="225">
        <f t="shared" si="11"/>
        <v>2.9340654890750102</v>
      </c>
      <c r="L150" s="325">
        <f t="shared" ref="L150:P151" si="12">L134+L117</f>
        <v>2</v>
      </c>
      <c r="M150" s="326">
        <f t="shared" si="12"/>
        <v>14</v>
      </c>
      <c r="N150" s="326">
        <f t="shared" si="12"/>
        <v>6</v>
      </c>
      <c r="O150" s="326">
        <f t="shared" si="12"/>
        <v>3</v>
      </c>
      <c r="P150" s="327">
        <f t="shared" si="12"/>
        <v>0</v>
      </c>
      <c r="T150" s="66"/>
    </row>
    <row r="151" spans="1:21" s="65" customFormat="1">
      <c r="A151" s="153" t="s">
        <v>77</v>
      </c>
      <c r="B151" s="267">
        <f>IFERROR(VLOOKUP(A151,'ИПП 2кв24'!$B$41:$J$52,8,0),"")</f>
        <v>0</v>
      </c>
      <c r="C151" s="146">
        <f>IFERROR(VLOOKUP(A151,'ИПП 2кв24'!$B$41:$J$52,9,0),"")</f>
        <v>0</v>
      </c>
      <c r="D151" s="257">
        <f>SUMIFS(июнь24[м2],июнь24[МОП],$A151,июнь24[Комнатность],"&lt;&gt;Офис")</f>
        <v>0</v>
      </c>
      <c r="E151" s="52">
        <f>SUMIFS(июнь24[Сумма без отделки],июнь24[МОП],$A151,июнь24[Комнатность],"&lt;&gt;Офис")</f>
        <v>0</v>
      </c>
      <c r="F151" s="413">
        <f>COUNTIFS(июнь24[МОП],$A151,июнь24[Комнатность],"&lt;&gt;Офис")</f>
        <v>0</v>
      </c>
      <c r="G151" s="202">
        <f>SUMIFS(РД[S],РД[МОП],A151,РД[Дата подачи на регистрацию],"&lt;="&amp;$A$1,РД[Дата подачи на регистрацию],"&gt;="&amp;DATE(YEAR($A$1),MONTH($A$1),1),РД[Состояние],"Продажа")</f>
        <v>0</v>
      </c>
      <c r="H151" s="203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регистрацию],"&gt;="&amp;DATE(YEAR($A$1),MONTH($A$1),1),РД[Состояние],"Продажа")</f>
        <v>0</v>
      </c>
      <c r="I151" s="226">
        <f>COUNTIFS(РД[МОП],A151,РД[Дата подачи на регистрацию],"&lt;="&amp;$A$1,РД[Дата подачи на регистрацию],"&gt;="&amp;DATE(YEAR($A$1),MONTH($A$1),1),РД[Состояние],"Продажа")</f>
        <v>0</v>
      </c>
      <c r="J151" s="224" t="str">
        <f t="shared" si="11"/>
        <v/>
      </c>
      <c r="K151" s="225" t="str">
        <f t="shared" si="11"/>
        <v/>
      </c>
      <c r="L151" s="325">
        <f t="shared" si="12"/>
        <v>0</v>
      </c>
      <c r="M151" s="326">
        <f t="shared" si="12"/>
        <v>0</v>
      </c>
      <c r="N151" s="326">
        <f t="shared" si="12"/>
        <v>2</v>
      </c>
      <c r="O151" s="326">
        <f t="shared" si="12"/>
        <v>0</v>
      </c>
      <c r="P151" s="327">
        <f t="shared" si="12"/>
        <v>0</v>
      </c>
      <c r="T151" s="66"/>
    </row>
    <row r="152" spans="1:21" s="65" customFormat="1">
      <c r="A152" s="153" t="s">
        <v>20</v>
      </c>
      <c r="B152" s="267">
        <f>IFERROR(VLOOKUP(A152,'ИПП 2кв24'!$B$41:$J$52,8,0),"")</f>
        <v>380</v>
      </c>
      <c r="C152" s="146">
        <f>IFERROR(VLOOKUP(A152,'ИПП 2кв24'!$B$41:$J$52,9,0),"")</f>
        <v>38930702</v>
      </c>
      <c r="D152" s="257">
        <f>SUMIFS(июнь24[м2],июнь24[МОП],$A152,июнь24[Комнатность],"&lt;&gt;Офис")</f>
        <v>543.16</v>
      </c>
      <c r="E152" s="52">
        <f>SUMIFS(июнь24[Сумма без отделки],июнь24[МОП],$A152,июнь24[Комнатность],"&lt;&gt;Офис")</f>
        <v>54258080</v>
      </c>
      <c r="F152" s="413">
        <f>COUNTIFS(июнь24[МОП],$A152,июнь24[Комнатность],"&lt;&gt;Офис")</f>
        <v>10</v>
      </c>
      <c r="G152" s="202">
        <f>SUMIFS(РД[S],РД[МОП],A152,РД[Дата подачи на регистрацию],"&lt;="&amp;$A$1,РД[Дата подачи на регистрацию],"&gt;="&amp;DATE(YEAR($A$1),MONTH($A$1),1),РД[Состояние],"Продажа")</f>
        <v>636.41000000000008</v>
      </c>
      <c r="H152" s="203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регистрацию],"&gt;="&amp;DATE(YEAR($A$1),MONTH($A$1),1),РД[Состояние],"Продажа")</f>
        <v>64332180</v>
      </c>
      <c r="I152" s="226">
        <f>COUNTIFS(РД[МОП],A152,РД[Дата подачи на регистрацию],"&lt;="&amp;$A$1,РД[Дата подачи на регистрацию],"&gt;="&amp;DATE(YEAR($A$1),MONTH($A$1),1),РД[Состояние],"Продажа")</f>
        <v>12</v>
      </c>
      <c r="J152" s="224">
        <f t="shared" si="11"/>
        <v>1.6747631578947371</v>
      </c>
      <c r="K152" s="225">
        <f t="shared" si="11"/>
        <v>1.6524793208198507</v>
      </c>
      <c r="L152" s="325">
        <f>L137+L121</f>
        <v>0</v>
      </c>
      <c r="M152" s="326">
        <f>M137+M121</f>
        <v>2</v>
      </c>
      <c r="N152" s="326">
        <f>N137+N121</f>
        <v>10</v>
      </c>
      <c r="O152" s="326">
        <f>O137+O121</f>
        <v>2</v>
      </c>
      <c r="P152" s="327">
        <f>P137+P121</f>
        <v>0</v>
      </c>
      <c r="T152" s="66"/>
    </row>
    <row r="153" spans="1:21" s="65" customFormat="1">
      <c r="A153" s="153" t="s">
        <v>14</v>
      </c>
      <c r="B153" s="267">
        <f>IFERROR(VLOOKUP(A153,'ИПП 2кв24'!$B$41:$J$52,8,0),"")</f>
        <v>439</v>
      </c>
      <c r="C153" s="146">
        <f>IFERROR(VLOOKUP(A153,'ИПП 2кв24'!$B$41:$J$52,9,0),"")</f>
        <v>44920042</v>
      </c>
      <c r="D153" s="329">
        <f>SUMIFS(июнь24[м2],июнь24[МОП],$A153,июнь24[Комнатность],"&lt;&gt;Офис")</f>
        <v>666.78000000000009</v>
      </c>
      <c r="E153" s="363">
        <f>SUMIFS(июнь24[Сумма без отделки],июнь24[МОП],$A153,июнь24[Комнатность],"&lt;&gt;Офис")</f>
        <v>66476726</v>
      </c>
      <c r="F153" s="414">
        <f>COUNTIFS(июнь24[МОП],$A153,июнь24[Комнатность],"&lt;&gt;Офис")</f>
        <v>11</v>
      </c>
      <c r="G153" s="358">
        <f>SUMIFS(РД[S],РД[МОП],A153,РД[Дата подачи на регистрацию],"&lt;="&amp;$A$1,РД[Дата подачи на регистрацию],"&gt;="&amp;DATE(YEAR($A$1),MONTH($A$1),1),РД[Состояние],"Продажа")</f>
        <v>868.46</v>
      </c>
      <c r="H153" s="359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85041652</v>
      </c>
      <c r="I153" s="330">
        <f>COUNTIFS(РД[МОП],A153,РД[Дата подачи на регистрацию],"&lt;="&amp;$A$1,РД[Дата подачи на регистрацию],"&gt;="&amp;DATE(YEAR($A$1),MONTH($A$1),1),РД[Состояние],"Продажа")</f>
        <v>14</v>
      </c>
      <c r="J153" s="360">
        <f t="shared" si="11"/>
        <v>1.9782687927107063</v>
      </c>
      <c r="K153" s="361">
        <f t="shared" si="11"/>
        <v>1.8931783723621629</v>
      </c>
      <c r="L153" s="364">
        <f t="shared" ref="L153:P155" si="13">L137+L121</f>
        <v>0</v>
      </c>
      <c r="M153" s="365">
        <f t="shared" si="13"/>
        <v>2</v>
      </c>
      <c r="N153" s="365">
        <f t="shared" si="13"/>
        <v>10</v>
      </c>
      <c r="O153" s="365">
        <f t="shared" si="13"/>
        <v>2</v>
      </c>
      <c r="P153" s="366">
        <f t="shared" si="13"/>
        <v>0</v>
      </c>
      <c r="Q153" s="86"/>
      <c r="R153" s="86"/>
      <c r="S153" s="86"/>
      <c r="T153" s="66"/>
    </row>
    <row r="154" spans="1:21" s="65" customFormat="1">
      <c r="A154" s="154" t="s">
        <v>29</v>
      </c>
      <c r="B154" s="274"/>
      <c r="C154" s="275"/>
      <c r="D154" s="341">
        <f>SUMIFS(июнь24[м2],июнь24[МОП],$A154,июнь24[Комнатность],"&lt;&gt;Офис")</f>
        <v>0</v>
      </c>
      <c r="E154" s="277">
        <f>SUMIFS(июнь24[Сумма без отделки],июнь24[МОП],$A154,июнь24[Комнатность],"&lt;&gt;Офис")</f>
        <v>0</v>
      </c>
      <c r="F154" s="405">
        <f>COUNTIFS(июнь24[МОП],$A154,июнь24[Комнатность],"&lt;&gt;Офис")</f>
        <v>0</v>
      </c>
      <c r="G154" s="159">
        <f>SUMIFS(РД[S],РД[МОП],A154,РД[Дата подачи на регистрацию],"&lt;="&amp;$A$1,РД[Дата подачи на регистрацию],"&gt;="&amp;DATE(YEAR($A$1),MONTH($A$1),1),РД[Состояние],"Продажа")</f>
        <v>68.5</v>
      </c>
      <c r="H154" s="160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6117100</v>
      </c>
      <c r="I154" s="228">
        <f>COUNTIFS(РД[МОП],A154,РД[Дата подачи на регистрацию],"&lt;="&amp;$A$1,РД[Дата подачи на регистрацию],"&gt;="&amp;DATE(YEAR($A$1),MONTH($A$1),1),РД[Состояние],"Продажа")</f>
        <v>1</v>
      </c>
      <c r="J154" s="229" t="str">
        <f t="shared" si="11"/>
        <v/>
      </c>
      <c r="K154" s="230" t="str">
        <f t="shared" si="11"/>
        <v/>
      </c>
      <c r="L154" s="159">
        <f t="shared" si="13"/>
        <v>0</v>
      </c>
      <c r="M154" s="228">
        <f t="shared" si="13"/>
        <v>0</v>
      </c>
      <c r="N154" s="228">
        <f t="shared" si="13"/>
        <v>1</v>
      </c>
      <c r="O154" s="228">
        <f t="shared" si="13"/>
        <v>0</v>
      </c>
      <c r="P154" s="231">
        <f t="shared" si="13"/>
        <v>0</v>
      </c>
      <c r="T154" s="66"/>
    </row>
    <row r="155" spans="1:21" s="65" customFormat="1">
      <c r="A155" s="161" t="s">
        <v>1919</v>
      </c>
      <c r="B155" s="278"/>
      <c r="C155" s="279"/>
      <c r="D155" s="406">
        <f>SUMIFS(июнь24[м2],июнь24[МОП],$A155,июнь24[Комнатность],"&lt;&gt;Офис")</f>
        <v>462.57</v>
      </c>
      <c r="E155" s="281">
        <f>SUMIFS(июнь24[Сумма без отделки],июнь24[МОП],$A155,июнь24[Комнатность],"&lt;&gt;Офис")</f>
        <v>47193747</v>
      </c>
      <c r="F155" s="407">
        <f>COUNTIFS(июнь24[МОП],$A155,июнь24[Комнатность],"&lt;&gt;Офис")</f>
        <v>9</v>
      </c>
      <c r="G155" s="166">
        <f>SUMIFS(РД[S],РД[МОП],A155,РД[Дата подачи на регистрацию],"&lt;="&amp;$A$1,РД[Дата подачи на регистрацию],"&gt;="&amp;DATE(YEAR($A$1),MONTH($A$1),1),РД[Состояние],"Продажа")</f>
        <v>0</v>
      </c>
      <c r="H155" s="167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регистрацию],"&gt;="&amp;DATE(YEAR($A$1),MONTH($A$1),1),РД[Состояние],"Продажа")</f>
        <v>0</v>
      </c>
      <c r="I155" s="232">
        <f>COUNTIFS(РД[МОП],A155,РД[Дата подачи на регистрацию],"&lt;="&amp;$A$1,РД[Дата подачи на регистрацию],"&gt;="&amp;DATE(YEAR($A$1),MONTH($A$1),1),РД[Состояние],"Продажа")</f>
        <v>0</v>
      </c>
      <c r="J155" s="233" t="str">
        <f t="shared" si="11"/>
        <v/>
      </c>
      <c r="K155" s="234" t="str">
        <f t="shared" si="11"/>
        <v/>
      </c>
      <c r="L155" s="509">
        <f t="shared" si="13"/>
        <v>0</v>
      </c>
      <c r="M155" s="510">
        <f t="shared" si="13"/>
        <v>0</v>
      </c>
      <c r="N155" s="510">
        <f t="shared" si="13"/>
        <v>0</v>
      </c>
      <c r="O155" s="510">
        <f t="shared" si="13"/>
        <v>0</v>
      </c>
      <c r="P155" s="511">
        <f t="shared" si="13"/>
        <v>0</v>
      </c>
      <c r="T155" s="66"/>
    </row>
    <row r="156" spans="1:21" s="65" customFormat="1">
      <c r="A156" s="168" t="s">
        <v>114</v>
      </c>
      <c r="B156" s="172">
        <f t="shared" ref="B156:I156" si="14">SUM(B149:B155)</f>
        <v>1356</v>
      </c>
      <c r="C156" s="491">
        <f t="shared" si="14"/>
        <v>138753018</v>
      </c>
      <c r="D156" s="173">
        <f t="shared" si="14"/>
        <v>2998.53</v>
      </c>
      <c r="E156" s="492">
        <f t="shared" si="14"/>
        <v>309073238</v>
      </c>
      <c r="F156" s="493">
        <f t="shared" si="14"/>
        <v>57</v>
      </c>
      <c r="G156" s="172">
        <f t="shared" si="14"/>
        <v>2973.55</v>
      </c>
      <c r="H156" s="492">
        <f t="shared" si="14"/>
        <v>304932959</v>
      </c>
      <c r="I156" s="493">
        <f t="shared" si="14"/>
        <v>56</v>
      </c>
      <c r="J156" s="238">
        <f>IFERROR(G156/B156,)</f>
        <v>2.1928834808259587</v>
      </c>
      <c r="K156" s="501">
        <f>IFERROR(H156/C156,)</f>
        <v>2.1976672175880165</v>
      </c>
      <c r="L156" s="471">
        <f>SUM(L149:L155)</f>
        <v>2</v>
      </c>
      <c r="M156" s="471">
        <f>SUM(M149:M155)</f>
        <v>19</v>
      </c>
      <c r="N156" s="471">
        <f>SUM(N149:N155)</f>
        <v>32</v>
      </c>
      <c r="O156" s="471">
        <f>SUM(O149:O155)</f>
        <v>7</v>
      </c>
      <c r="P156" s="471">
        <f>SUM(P149:P155)</f>
        <v>0</v>
      </c>
      <c r="T156" s="66"/>
    </row>
    <row r="157" spans="1:21" s="65" customFormat="1" ht="22.5" customHeight="1">
      <c r="A157" s="135" t="s">
        <v>115</v>
      </c>
      <c r="B157" s="135" t="s">
        <v>100</v>
      </c>
      <c r="C157" s="136" t="s">
        <v>97</v>
      </c>
      <c r="D157" s="295" t="s">
        <v>494</v>
      </c>
      <c r="E157" s="138" t="s">
        <v>495</v>
      </c>
      <c r="F157" s="470" t="s">
        <v>496</v>
      </c>
      <c r="G157" s="140" t="s">
        <v>101</v>
      </c>
      <c r="H157" s="141" t="s">
        <v>98</v>
      </c>
      <c r="I157" s="141" t="s">
        <v>96</v>
      </c>
      <c r="J157" s="141" t="s">
        <v>715</v>
      </c>
      <c r="K157" s="216" t="s">
        <v>716</v>
      </c>
      <c r="L157" s="512">
        <v>0</v>
      </c>
      <c r="M157" s="218">
        <v>1</v>
      </c>
      <c r="N157" s="218">
        <v>2</v>
      </c>
      <c r="O157" s="218">
        <v>3</v>
      </c>
      <c r="P157" s="219" t="s">
        <v>1367</v>
      </c>
      <c r="T157" s="66"/>
    </row>
    <row r="158" spans="1:21" s="65" customFormat="1">
      <c r="A158" s="177" t="s">
        <v>1892</v>
      </c>
      <c r="B158" s="267">
        <f>IFERROR(VLOOKUP(A158,'ИПП 2кв24'!$B$49:$J$52,8,0),"")</f>
        <v>413.75384615384621</v>
      </c>
      <c r="C158" s="268">
        <f>IFERROR(VLOOKUP(A158,'ИПП 2кв24'!$B$49:$J$52,9,0),"")</f>
        <v>42337459.338461533</v>
      </c>
      <c r="D158" s="145">
        <f>SUMIFS(июнь24[м2],июнь24[ИМ],A158,июнь24[Комнатность],"&lt;&gt;Офис")</f>
        <v>797.20999999999992</v>
      </c>
      <c r="E158" s="149">
        <f>SUMIFS(июнь24[Сумма без отделки],июнь24[ИМ],$A158,июнь24[Комнатность],"&lt;&gt;Офис")</f>
        <v>83107759</v>
      </c>
      <c r="F158" s="147">
        <f>COUNTIFS(июнь24[ИМ],A158,июнь24[Комнатность],"&lt;&gt;Офис")</f>
        <v>17</v>
      </c>
      <c r="G158" s="183">
        <f>SUMIFS(РД[S],РД[ИМ],A158,РД[Дата подачи на регистрацию],"&lt;="&amp;$A$1,РД[Дата подачи на регистрацию],"&gt;="&amp;DATE(YEAR($A$1),MONTH($A$1),1),РД[Состояние],"Продажа")</f>
        <v>738.12000000000012</v>
      </c>
      <c r="H158" s="184">
        <f>SUMIFS(РД[Стоимость без отделки итог],РД[ИМ],A158,РД[Дата подачи на регистрацию],"&lt;="&amp;$A$1,РД[Дата подачи на регистрацию],"&gt;="&amp;DATE(YEAR($A$1),MONTH($A$1),1),РД[Состояние],"Продажа")</f>
        <v>77409699</v>
      </c>
      <c r="I158" s="243">
        <f>COUNTIFS(РД[ИМ],A158,РД[Дата подачи на регистрацию],"&lt;="&amp;$A$1,РД[Дата подачи на регистрацию],"&gt;="&amp;DATE(YEAR($A$1),MONTH($A$1),1),РД[Состояние],"Продажа")</f>
        <v>16</v>
      </c>
      <c r="J158" s="244">
        <f t="shared" ref="J158:K161" si="15">IFERROR(G158/B158,"")</f>
        <v>1.7839592474157806</v>
      </c>
      <c r="K158" s="258">
        <f t="shared" si="15"/>
        <v>1.8283973627505095</v>
      </c>
      <c r="L158" s="346">
        <f t="shared" ref="L158:P160" si="16">L142+L126</f>
        <v>1</v>
      </c>
      <c r="M158" s="243">
        <f t="shared" si="16"/>
        <v>10</v>
      </c>
      <c r="N158" s="243">
        <f t="shared" si="16"/>
        <v>5</v>
      </c>
      <c r="O158" s="243">
        <f t="shared" si="16"/>
        <v>1</v>
      </c>
      <c r="P158" s="246">
        <f t="shared" si="16"/>
        <v>0</v>
      </c>
      <c r="Q158" s="66"/>
      <c r="R158" s="66"/>
      <c r="S158" s="66"/>
      <c r="T158" s="66"/>
    </row>
    <row r="159" spans="1:21" s="65" customFormat="1">
      <c r="A159" s="150" t="s">
        <v>22</v>
      </c>
      <c r="B159" s="267">
        <f>IFERROR(VLOOKUP(A159,'ИПП 2кв24'!$B$49:$J$52,8,0),"")</f>
        <v>413.75384615384621</v>
      </c>
      <c r="C159" s="268">
        <f>IFERROR(VLOOKUP(A159,'ИПП 2кв24'!$B$49:$J$52,9,0),"")</f>
        <v>42337459.338461533</v>
      </c>
      <c r="D159" s="145">
        <f>SUMIFS(июнь24[м2],июнь24[ИМ],A159,июнь24[Комнатность],"&lt;&gt;Офис")</f>
        <v>1272.8600000000001</v>
      </c>
      <c r="E159" s="149">
        <f>SUMIFS(июнь24[Сумма без отделки],июнь24[ИМ],$A159,июнь24[Комнатность],"&lt;&gt;Офис")</f>
        <v>130312484</v>
      </c>
      <c r="F159" s="147">
        <f>COUNTIFS(июнь24[ИМ],$A159,июнь24[Комнатность],"&lt;&gt;Офис")</f>
        <v>22</v>
      </c>
      <c r="G159" s="187">
        <f>SUMIFS(РД[S],РД[ИМ],A159,РД[Дата подачи на регистрацию],"&lt;="&amp;$A$1,РД[Дата подачи на регистрацию],"&gt;="&amp;DATE(YEAR($A$1),MONTH($A$1),1),РД[Состояние],"Продажа")</f>
        <v>1238.47</v>
      </c>
      <c r="H159" s="188">
        <f>SUMIFS(РД[Стоимость без отделки итог],РД[ИМ],A159,РД[Дата подачи на регистрацию],"&lt;="&amp;$A$1,РД[Дата подачи на регистрацию],"&gt;="&amp;DATE(YEAR($A$1),MONTH($A$1),1),РД[Состояние],"Продажа")</f>
        <v>125893895</v>
      </c>
      <c r="I159" s="247">
        <f>COUNTIFS(РД[ИМ],A159,РД[Дата подачи на регистрацию],"&lt;="&amp;$A$1,РД[Дата подачи на регистрацию],"&gt;="&amp;DATE(YEAR($A$1),MONTH($A$1),1),РД[Состояние],"Продажа")</f>
        <v>21</v>
      </c>
      <c r="J159" s="248">
        <f t="shared" ref="J159" si="17">IFERROR(G159/B159,"")</f>
        <v>2.9932531419647503</v>
      </c>
      <c r="K159" s="259">
        <f t="shared" ref="K159" si="18">IFERROR(H159/C159,"")</f>
        <v>2.9735817162186557</v>
      </c>
      <c r="L159" s="328">
        <f t="shared" si="16"/>
        <v>0</v>
      </c>
      <c r="M159" s="247">
        <f t="shared" si="16"/>
        <v>5</v>
      </c>
      <c r="N159" s="247">
        <f t="shared" si="16"/>
        <v>9</v>
      </c>
      <c r="O159" s="247">
        <f t="shared" si="16"/>
        <v>4</v>
      </c>
      <c r="P159" s="250">
        <f t="shared" si="16"/>
        <v>0</v>
      </c>
      <c r="Q159" s="66"/>
      <c r="R159" s="66"/>
      <c r="S159" s="66"/>
      <c r="T159" s="66"/>
    </row>
    <row r="160" spans="1:21" s="65" customFormat="1">
      <c r="A160" s="189" t="s">
        <v>16</v>
      </c>
      <c r="B160" s="408">
        <f>IFERROR(VLOOKUP(A160,'ИПП 2кв24'!$B$49:$J$52,8,0),"")</f>
        <v>325.09230769230771</v>
      </c>
      <c r="C160" s="515">
        <f>IFERROR(VLOOKUP(A160,'ИПП 2кв24'!$B$49:$J$52,9,0),"")</f>
        <v>33265146.623076916</v>
      </c>
      <c r="D160" s="145">
        <f>SUMIFS(июнь24[м2],июнь24[ИМ],A160,июнь24[Комнатность],"&lt;&gt;Офис")</f>
        <v>847.38000000000011</v>
      </c>
      <c r="E160" s="149">
        <f>SUMIFS(июнь24[Сумма без отделки],июнь24[ИМ],$A160,июнь24[Комнатность],"&lt;&gt;Офис")</f>
        <v>87489766</v>
      </c>
      <c r="F160" s="147">
        <f>COUNTIFS(июнь24[ИМ],$A160,июнь24[Комнатность],"&lt;&gt;Офис")</f>
        <v>16</v>
      </c>
      <c r="G160" s="195">
        <f>SUMIFS(РД[S],РД[ИМ],A160,РД[Дата подачи на регистрацию],"&lt;="&amp;$A$1,РД[Дата подачи на регистрацию],"&gt;="&amp;DATE(YEAR($A$1),MONTH($A$1),1),РД[Состояние],"Продажа")</f>
        <v>915.88000000000011</v>
      </c>
      <c r="H160" s="196">
        <f>SUMIFS(РД[Стоимость без отделки итог],РД[ИМ],A160,РД[Дата подачи на регистрацию],"&lt;="&amp;$A$1,РД[Дата подачи на регистрацию],"&gt;="&amp;DATE(YEAR($A$1),MONTH($A$1),1),РД[Состояние],"Продажа")</f>
        <v>93466136</v>
      </c>
      <c r="I160" s="251">
        <f>COUNTIFS(РД[ИМ],A160,РД[Дата подачи на регистрацию],"&lt;="&amp;$A$1,РД[Дата подачи на регистрацию],"&gt;="&amp;DATE(YEAR($A$1),MONTH($A$1),1),РД[Состояние],"Продажа")</f>
        <v>17</v>
      </c>
      <c r="J160" s="252">
        <f t="shared" si="15"/>
        <v>2.8172921300459044</v>
      </c>
      <c r="K160" s="260">
        <f t="shared" si="15"/>
        <v>2.8097316707800126</v>
      </c>
      <c r="L160" s="329">
        <f t="shared" si="16"/>
        <v>1</v>
      </c>
      <c r="M160" s="330">
        <f t="shared" si="16"/>
        <v>6</v>
      </c>
      <c r="N160" s="330">
        <f t="shared" si="16"/>
        <v>7</v>
      </c>
      <c r="O160" s="330">
        <f t="shared" si="16"/>
        <v>3</v>
      </c>
      <c r="P160" s="331">
        <f t="shared" si="16"/>
        <v>0</v>
      </c>
      <c r="Q160" s="66"/>
      <c r="R160" s="66"/>
      <c r="S160" s="66"/>
      <c r="T160" s="66"/>
    </row>
    <row r="161" spans="1:21" s="65" customFormat="1">
      <c r="A161" s="168" t="s">
        <v>114</v>
      </c>
      <c r="B161" s="410">
        <f>SUM(B158:B160)</f>
        <v>1152.6000000000001</v>
      </c>
      <c r="C161" s="483">
        <f>SUM(C158:C160)</f>
        <v>117940065.29999998</v>
      </c>
      <c r="D161" s="484">
        <f t="shared" ref="D161:P161" si="19">SUM(D158:D160)</f>
        <v>2917.4500000000003</v>
      </c>
      <c r="E161" s="429">
        <f t="shared" si="19"/>
        <v>300910009</v>
      </c>
      <c r="F161" s="485">
        <f t="shared" si="19"/>
        <v>55</v>
      </c>
      <c r="G161" s="473">
        <f t="shared" si="19"/>
        <v>2892.4700000000003</v>
      </c>
      <c r="H161" s="494">
        <f t="shared" si="19"/>
        <v>296769730</v>
      </c>
      <c r="I161" s="494">
        <f t="shared" si="19"/>
        <v>54</v>
      </c>
      <c r="J161" s="419">
        <f t="shared" si="15"/>
        <v>2.5095176123546765</v>
      </c>
      <c r="K161" s="420">
        <f t="shared" si="15"/>
        <v>2.5162757816448322</v>
      </c>
      <c r="L161" s="473">
        <f t="shared" si="19"/>
        <v>2</v>
      </c>
      <c r="M161" s="494">
        <f t="shared" si="19"/>
        <v>21</v>
      </c>
      <c r="N161" s="494">
        <f t="shared" si="19"/>
        <v>21</v>
      </c>
      <c r="O161" s="494">
        <f t="shared" si="19"/>
        <v>8</v>
      </c>
      <c r="P161" s="497">
        <f t="shared" si="19"/>
        <v>0</v>
      </c>
      <c r="Q161" s="66"/>
      <c r="R161" s="66"/>
      <c r="S161" s="66"/>
      <c r="T161" s="66"/>
    </row>
    <row r="162" spans="1:21" s="65" customFormat="1">
      <c r="A162" s="134"/>
      <c r="B162" s="44"/>
      <c r="C162" s="44"/>
      <c r="D162" s="134"/>
      <c r="E162" s="134"/>
      <c r="F162" s="44"/>
      <c r="G162" s="134"/>
      <c r="H162" s="134"/>
      <c r="I162" s="134"/>
      <c r="J162" s="134"/>
      <c r="K162" s="255"/>
      <c r="L162" s="256"/>
      <c r="M162" s="134"/>
      <c r="N162" s="134"/>
      <c r="O162" s="134"/>
      <c r="P162" s="134"/>
      <c r="Q162" s="134"/>
      <c r="T162" s="66"/>
      <c r="U162" s="66"/>
    </row>
    <row r="163" spans="1:21" s="65" customFormat="1" ht="15">
      <c r="A163" s="2314" t="s">
        <v>1368</v>
      </c>
      <c r="B163" s="2315"/>
      <c r="C163" s="2315"/>
      <c r="D163" s="2315"/>
      <c r="E163" s="2315"/>
      <c r="F163" s="2315"/>
      <c r="G163" s="2315"/>
      <c r="H163" s="2315"/>
      <c r="I163" s="2315"/>
      <c r="J163" s="2315"/>
      <c r="K163" s="2315"/>
      <c r="L163" s="2315"/>
      <c r="M163" s="2315"/>
      <c r="N163" s="2316"/>
      <c r="O163" s="339"/>
      <c r="P163" s="66"/>
      <c r="S163" s="66"/>
      <c r="T163" s="66"/>
    </row>
    <row r="164" spans="1:21" s="65" customFormat="1" ht="22.5" customHeight="1">
      <c r="A164" s="135" t="s">
        <v>1</v>
      </c>
      <c r="B164" s="135" t="s">
        <v>100</v>
      </c>
      <c r="C164" s="136" t="s">
        <v>97</v>
      </c>
      <c r="D164" s="264" t="s">
        <v>494</v>
      </c>
      <c r="E164" s="265" t="s">
        <v>495</v>
      </c>
      <c r="F164" s="266" t="s">
        <v>496</v>
      </c>
      <c r="G164" s="140" t="s">
        <v>101</v>
      </c>
      <c r="H164" s="141" t="s">
        <v>98</v>
      </c>
      <c r="I164" s="141" t="s">
        <v>96</v>
      </c>
      <c r="J164" s="141" t="s">
        <v>715</v>
      </c>
      <c r="K164" s="216" t="s">
        <v>716</v>
      </c>
      <c r="L164" s="332" t="s">
        <v>121</v>
      </c>
      <c r="M164" s="218" t="s">
        <v>27</v>
      </c>
      <c r="N164" s="219" t="s">
        <v>7</v>
      </c>
      <c r="O164" s="545"/>
      <c r="P164" s="66"/>
      <c r="S164" s="66"/>
      <c r="T164" s="66"/>
    </row>
    <row r="165" spans="1:21" s="65" customFormat="1">
      <c r="A165" s="142" t="s">
        <v>1892</v>
      </c>
      <c r="B165" s="267"/>
      <c r="C165" s="268"/>
      <c r="D165" s="416">
        <f>SUMIFS(июнь24[м2],июнь24[МОП],A165,июнь24[Комнатность],"Офис")</f>
        <v>0</v>
      </c>
      <c r="E165" s="146">
        <f>SUMIFS(июнь24[Сумма без отделки],июнь24[МОП],$A165,июнь24[Комнатность],"оФИС")</f>
        <v>0</v>
      </c>
      <c r="F165" s="417">
        <f>COUNTIFS(июнь24[МОП],$A165,июнь24[Комнатность],"Офис")</f>
        <v>0</v>
      </c>
      <c r="G165" s="267">
        <f>SUMIFS(РД[S],РД[МОП],A165,РД[Дата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H165" s="146">
        <f>SUMIFS(РД[Стоимость без отделки итог],РД[МОП],A165,РД[Дата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I165" s="220">
        <f>COUNTIFS(РД[МОП],A165,РД[Дата подачи на регистрацию],"&lt;="&amp;$A$1,РД[Дата подачи на регистрацию],"&gt;="&amp;DATE(YEAR($A$1),MONTH($A$1),1),РД[Состояние],"Коммерция")</f>
        <v>0</v>
      </c>
      <c r="J165" s="221" t="str">
        <f t="shared" ref="J165:K172" si="20">IFERROR(G165/B165,"")</f>
        <v/>
      </c>
      <c r="K165" s="333" t="str">
        <f t="shared" si="20"/>
        <v/>
      </c>
      <c r="L165" s="148">
        <f>COUNTIFS(РД[Дом],L$164,РД[МОП],$A165,РД[Дата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M165" s="220">
        <f>COUNTIFS(РД[Дом],M$164,РД[МОП],$A165,РД[Дата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N165" s="223">
        <f>COUNTIFS(РД[Дом],N$164,РД[МОП],$A165,РД[Дата подачи на регистрацию],"&lt;="&amp;$A$1,РД[Дата подачи на регистрацию],"&gt;="&amp;DATE(YEAR($A$1),MONTH($A$1),1),РД[Состояние],"Коммерция")</f>
        <v>0</v>
      </c>
      <c r="O165" s="545"/>
      <c r="P165" s="66"/>
      <c r="S165" s="66"/>
      <c r="T165" s="66"/>
    </row>
    <row r="166" spans="1:21" s="65" customFormat="1">
      <c r="A166" s="142" t="s">
        <v>8</v>
      </c>
      <c r="B166" s="267"/>
      <c r="C166" s="268"/>
      <c r="D166" s="416">
        <f>SUMIFS(июнь24[м2],июнь24[МОП],A166,июнь24[Комнатность],"Офис")</f>
        <v>0</v>
      </c>
      <c r="E166" s="146">
        <f>SUMIFS(июнь24[Сумма без отделки],июнь24[МОП],$A166,июнь24[Комнатность],"оФИС")</f>
        <v>0</v>
      </c>
      <c r="F166" s="417">
        <f>COUNTIFS(июнь24[МОП],$A166,июнь24[Комнатность],"Офис")</f>
        <v>0</v>
      </c>
      <c r="G166" s="267">
        <f>SUMIFS(РД[S],РД[МОП],A166,РД[Дата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H166" s="146">
        <f>SUMIFS(РД[Стоимость без отделки итог],РД[МОП],A166,РД[Дата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I166" s="220">
        <f>COUNTIFS(РД[МОП],A166,РД[Дата подачи на регистрацию],"&lt;="&amp;$A$1,РД[Дата подачи на регистрацию],"&gt;="&amp;DATE(YEAR($A$1),MONTH($A$1),1),РД[Состояние],"Коммерция")</f>
        <v>0</v>
      </c>
      <c r="J166" s="221" t="str">
        <f t="shared" si="20"/>
        <v/>
      </c>
      <c r="K166" s="333" t="str">
        <f t="shared" si="20"/>
        <v/>
      </c>
      <c r="L166" s="148">
        <f>COUNTIFS(РД[Дом],L$164,РД[МОП],$A166,РД[Дата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M166" s="220">
        <f>COUNTIFS(РД[Дом],M$164,РД[МОП],$A166,РД[Дата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N166" s="223">
        <f>COUNTIFS(РД[Дом],N$164,РД[МОП],$A166,РД[Дата подачи на регистрацию],"&lt;="&amp;$A$1,РД[Дата подачи на регистрацию],"&gt;="&amp;DATE(YEAR($A$1),MONTH($A$1),1),РД[Состояние],"Коммерция")</f>
        <v>0</v>
      </c>
      <c r="O166" s="339"/>
      <c r="S166" s="66"/>
      <c r="T166" s="66"/>
    </row>
    <row r="167" spans="1:21" s="65" customFormat="1">
      <c r="A167" s="398" t="s">
        <v>77</v>
      </c>
      <c r="B167" s="271"/>
      <c r="C167" s="272"/>
      <c r="D167" s="416">
        <f>SUMIFS(июнь24[м2],июнь24[МОП],A167,июнь24[Комнатность],"Офис")</f>
        <v>0</v>
      </c>
      <c r="E167" s="52">
        <f>SUMIFS(июнь24[Сумма без отделки],июнь24[МОП],$A167,июнь24[Комнатность],"оФИС")</f>
        <v>0</v>
      </c>
      <c r="F167" s="421">
        <f>COUNTIFS(июнь24[МОП],$A167,июнь24[Комнатность],"Офис")</f>
        <v>0</v>
      </c>
      <c r="G167" s="271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H167" s="52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I167" s="220">
        <f>COUNTIFS(РД[МОП],A167,РД[Дата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J167" s="52" t="str">
        <f t="shared" si="20"/>
        <v/>
      </c>
      <c r="K167" s="546" t="str">
        <f t="shared" si="20"/>
        <v/>
      </c>
      <c r="L167" s="202">
        <f>COUNTIFS(РД[Дом],L$164,РД[МОП],$A167,РД[Дата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M167" s="226">
        <f>COUNTIFS(РД[Дом],M$164,РД[МОП],$A167,РД[Дата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N167" s="227">
        <f>COUNTIFS(РД[Дом],N$164,РД[МОП],$A167,РД[Дата подачи на регистрацию],"&lt;="&amp;$A$1,РД[Дата подачи на регистрацию],"&gt;="&amp;DATE(YEAR($A$1),MONTH($A$1),1),РД[Состояние],"Коммерция")</f>
        <v>0</v>
      </c>
      <c r="O167" s="339"/>
      <c r="S167" s="66"/>
      <c r="T167" s="66"/>
    </row>
    <row r="168" spans="1:21" s="65" customFormat="1">
      <c r="A168" s="153" t="s">
        <v>20</v>
      </c>
      <c r="B168" s="271"/>
      <c r="C168" s="272"/>
      <c r="D168" s="416">
        <f>SUMIFS(июнь24[м2],июнь24[МОП],A168,июнь24[Комнатность],"Офис")</f>
        <v>0</v>
      </c>
      <c r="E168" s="52">
        <f>SUMIFS(июнь24[Сумма без отделки],июнь24[МОП],$A168,июнь24[Комнатность],"оФИС")</f>
        <v>0</v>
      </c>
      <c r="F168" s="421">
        <f>COUNTIFS(июнь24[МОП],$A168,июнь24[Комнатность],"Офис")</f>
        <v>0</v>
      </c>
      <c r="G168" s="271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H168" s="52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0">
        <f>COUNTIFS(РД[МОП],A168,РД[Дата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4" t="str">
        <f t="shared" si="20"/>
        <v/>
      </c>
      <c r="K168" s="334" t="str">
        <f t="shared" si="20"/>
        <v/>
      </c>
      <c r="L168" s="202">
        <f>COUNTIFS(РД[Дом],L$164,РД[МОП],$A168,РД[Дата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M168" s="226">
        <f>COUNTIFS(РД[Дом],M$164,РД[МОП],$A168,РД[Дата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7">
        <f>COUNTIFS(РД[Дом],N$164,РД[МОП],$A168,РД[Дата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339"/>
      <c r="S168" s="66"/>
      <c r="T168" s="66"/>
    </row>
    <row r="169" spans="1:21" s="65" customFormat="1">
      <c r="A169" s="153" t="s">
        <v>14</v>
      </c>
      <c r="B169" s="315"/>
      <c r="C169" s="316"/>
      <c r="D169" s="422">
        <f>SUMIFS(июнь24[м2],июнь24[МОП],A169,июнь24[Комнатность],"Офис")</f>
        <v>0</v>
      </c>
      <c r="E169" s="363">
        <f>SUMIFS(июнь24[Сумма без отделки],июнь24[МОП],$A169,июнь24[Комнатность],"оФИС")</f>
        <v>0</v>
      </c>
      <c r="F169" s="414">
        <f>COUNTIFS(июнь24[МОП],$A169,июнь24[Комнатность],"Офис")</f>
        <v>0</v>
      </c>
      <c r="G169" s="315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H169" s="363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47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360" t="str">
        <f t="shared" si="20"/>
        <v/>
      </c>
      <c r="K169" s="367" t="str">
        <f t="shared" si="20"/>
        <v/>
      </c>
      <c r="L169" s="358">
        <f>COUNTIFS(РД[Дом],L$164,РД[МОП],$A169,РД[Дата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M169" s="330">
        <f>COUNTIFS(РД[Дом],M$164,РД[МОП],$A169,РД[Дата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331">
        <f>COUNTIFS(РД[Дом],N$164,РД[МОП],$A169,РД[Дата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339"/>
      <c r="S169" s="66"/>
      <c r="T169" s="66"/>
    </row>
    <row r="170" spans="1:21" s="65" customFormat="1">
      <c r="A170" s="154" t="s">
        <v>29</v>
      </c>
      <c r="B170" s="274"/>
      <c r="C170" s="275"/>
      <c r="D170" s="423">
        <f>SUMIFS(июнь24[м2],июнь24[МОП],A170,июнь24[Комнатность],"Офис")</f>
        <v>0</v>
      </c>
      <c r="E170" s="277">
        <f>SUMIFS(июнь24[Сумма без отделки],июнь24[МОП],$A170,июнь24[Комнатность],"оФИС")</f>
        <v>0</v>
      </c>
      <c r="F170" s="405">
        <f>COUNTIFS(июнь24[МОП],$A170,июнь24[Комнатность],"Офис")</f>
        <v>0</v>
      </c>
      <c r="G170" s="274">
        <f>SUMIFS(РД[S],РД[МОП],A170,РД[Дата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H170" s="277">
        <f>SUMIFS(РД[Стоимость без отделки итог],РД[МОП],A170,РД[Дата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I170" s="228">
        <f>COUNTIFS(РД[МОП],A170,РД[Дата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J170" s="229" t="str">
        <f t="shared" si="20"/>
        <v/>
      </c>
      <c r="K170" s="335" t="str">
        <f t="shared" si="20"/>
        <v/>
      </c>
      <c r="L170" s="159">
        <f>COUNTIFS(РД[Дом],L$164,РД[МОП],$A170,РД[Дата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M170" s="228">
        <f>COUNTIFS(РД[Дом],M$164,РД[МОП],$A170,РД[Дата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N170" s="231">
        <f>COUNTIFS(РД[Дом],N$164,РД[МОП],$A170,РД[Дата подачи на регистрацию],"&lt;="&amp;$A$1,РД[Дата подачи на регистрацию],"&gt;="&amp;DATE(YEAR($A$1),MONTH($A$1),1),РД[Состояние],"Коммерция")</f>
        <v>0</v>
      </c>
      <c r="O170" s="339"/>
      <c r="S170" s="66"/>
      <c r="T170" s="66"/>
    </row>
    <row r="171" spans="1:21" s="65" customFormat="1">
      <c r="A171" s="161" t="s">
        <v>1919</v>
      </c>
      <c r="B171" s="278"/>
      <c r="C171" s="279"/>
      <c r="D171" s="424">
        <f>SUMIFS(июнь24[м2],июнь24[МОП],A171,июнь24[Комнатность],"Офис")</f>
        <v>0</v>
      </c>
      <c r="E171" s="281">
        <f>SUMIFS(июнь24[Сумма без отделки],июнь24[МОП],$A171,июнь24[Комнатность],"оФИС")</f>
        <v>0</v>
      </c>
      <c r="F171" s="407">
        <f>COUNTIFS(июнь24[МОП],$A171,июнь24[Комнатность],"Офис")</f>
        <v>0</v>
      </c>
      <c r="G171" s="278">
        <f>SUMIFS(РД[S],РД[МОП],A171,РД[Дата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H171" s="281">
        <f>SUMIFS(РД[Стоимость без отделки итог],РД[МОП],A171,РД[Дата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I171" s="232">
        <f>COUNTIFS(РД[МОП],A171,РД[Дата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J171" s="233" t="str">
        <f t="shared" si="20"/>
        <v/>
      </c>
      <c r="K171" s="336" t="str">
        <f t="shared" si="20"/>
        <v/>
      </c>
      <c r="L171" s="166">
        <f>COUNTIFS(РД[Дом],L$164,РД[МОП],$A171,РД[Дата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M171" s="232">
        <f>COUNTIFS(РД[Дом],M$164,РД[МОП],$A171,РД[Дата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N171" s="337">
        <f>COUNTIFS(РД[Дом],N$164,РД[МОП],$A171,РД[Дата подачи на регистрацию],"&lt;="&amp;$A$1,РД[Дата подачи на регистрацию],"&gt;="&amp;DATE(YEAR($A$1),MONTH($A$1),1),РД[Состояние],"Коммерция")</f>
        <v>0</v>
      </c>
      <c r="O171" s="339"/>
      <c r="S171" s="66"/>
      <c r="T171" s="66"/>
    </row>
    <row r="172" spans="1:21" s="65" customFormat="1">
      <c r="A172" s="513" t="s">
        <v>114</v>
      </c>
      <c r="B172" s="282">
        <f t="shared" ref="B172:I172" si="21">SUM(B166:B171)</f>
        <v>0</v>
      </c>
      <c r="C172" s="283">
        <f t="shared" si="21"/>
        <v>0</v>
      </c>
      <c r="D172" s="425">
        <f t="shared" si="21"/>
        <v>0</v>
      </c>
      <c r="E172" s="287">
        <f t="shared" si="21"/>
        <v>0</v>
      </c>
      <c r="F172" s="286">
        <f t="shared" si="21"/>
        <v>0</v>
      </c>
      <c r="G172" s="282">
        <f t="shared" si="21"/>
        <v>0</v>
      </c>
      <c r="H172" s="287">
        <f t="shared" si="21"/>
        <v>0</v>
      </c>
      <c r="I172" s="287">
        <f t="shared" si="21"/>
        <v>0</v>
      </c>
      <c r="J172" s="238" t="str">
        <f t="shared" si="20"/>
        <v/>
      </c>
      <c r="K172" s="338" t="str">
        <f t="shared" si="20"/>
        <v/>
      </c>
      <c r="L172" s="318">
        <f>SUM(L166:L171)</f>
        <v>0</v>
      </c>
      <c r="M172" s="321">
        <f>SUM(M166:M171)</f>
        <v>0</v>
      </c>
      <c r="N172" s="319">
        <f>SUM(N166:N171)</f>
        <v>0</v>
      </c>
      <c r="O172" s="339"/>
      <c r="S172" s="66"/>
      <c r="T172" s="66"/>
    </row>
    <row r="173" spans="1:21" s="65" customFormat="1" ht="22.5" customHeight="1">
      <c r="A173" s="135" t="s">
        <v>115</v>
      </c>
      <c r="B173" s="135" t="s">
        <v>100</v>
      </c>
      <c r="C173" s="136" t="s">
        <v>97</v>
      </c>
      <c r="D173" s="264" t="s">
        <v>494</v>
      </c>
      <c r="E173" s="265" t="s">
        <v>495</v>
      </c>
      <c r="F173" s="266" t="s">
        <v>496</v>
      </c>
      <c r="G173" s="140" t="s">
        <v>101</v>
      </c>
      <c r="H173" s="141" t="s">
        <v>98</v>
      </c>
      <c r="I173" s="141" t="s">
        <v>96</v>
      </c>
      <c r="J173" s="141" t="s">
        <v>715</v>
      </c>
      <c r="K173" s="526" t="s">
        <v>716</v>
      </c>
      <c r="L173" s="332" t="s">
        <v>121</v>
      </c>
      <c r="M173" s="218" t="s">
        <v>27</v>
      </c>
      <c r="N173" s="219" t="s">
        <v>7</v>
      </c>
      <c r="O173" s="339"/>
      <c r="T173" s="66"/>
    </row>
    <row r="174" spans="1:21" s="65" customFormat="1">
      <c r="A174" s="177" t="s">
        <v>1892</v>
      </c>
      <c r="B174" s="291"/>
      <c r="C174" s="312"/>
      <c r="D174" s="514">
        <f>SUMIFS(июнь24[м2],июнь24[ИМ],A174,июнь24[Комнатность],"Офис")</f>
        <v>0</v>
      </c>
      <c r="E174" s="146">
        <f>SUMIFS(июнь24[Сумма без отделки],июнь24[ИМ],$A174,июнь24[Комнатность],"оФИС")</f>
        <v>0</v>
      </c>
      <c r="F174" s="417">
        <f>COUNTIFS(июнь24[ИМ],$A174,июнь24[Комнатность],"Офис")</f>
        <v>0</v>
      </c>
      <c r="G174" s="267">
        <f>SUMIFS(РД[S],РД[ИМ],A174,РД[Дата подачи на регистрацию],"&lt;="&amp;$A$1,РД[Дата подачи на регистрацию],"&gt;="&amp;DATE(YEAR($A$1),MONTH($A$1),1),РД[Состояние],"Коммерция")</f>
        <v>0</v>
      </c>
      <c r="H174" s="146">
        <f>SUMIFS(РД[Стоимость без отделки итог],РД[ИМ],A174,РД[Дата подачи на регистрацию],"&lt;="&amp;$A$1,РД[Дата подачи на регистрацию],"&gt;="&amp;DATE(YEAR($A$1),MONTH($A$1),1),РД[Состояние],"Коммерция")</f>
        <v>0</v>
      </c>
      <c r="I174" s="220">
        <f>COUNTIFS(РД[ИМ],A174,РД[Дата подачи на регистрацию],"&lt;="&amp;$A$1,РД[Дата подачи на регистрацию],"&gt;="&amp;DATE(YEAR($A$1),MONTH($A$1),1),РД[Состояние],"Коммерция")</f>
        <v>0</v>
      </c>
      <c r="J174" s="224" t="str">
        <f t="shared" ref="J174:K177" si="22">IFERROR(G174/B174,"")</f>
        <v/>
      </c>
      <c r="K174" s="334" t="str">
        <f t="shared" si="22"/>
        <v/>
      </c>
      <c r="L174" s="148">
        <f>COUNTIFS(РД[Дом],L$164,РД[ИМ],$A174,РД[Дата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M174" s="220">
        <f>COUNTIFS(РД[Дом],M$164,РД[ИМ],$A174,РД[Дата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N174" s="223">
        <f>COUNTIFS(РД[Дом],N$164,РД[ИМ],$A174,РД[Дата подачи на регистрацию],"&lt;="&amp;$A$1,РД[Дата подачи на регистрацию],"&gt;="&amp;DATE(YEAR($A$1),MONTH($A$1),1),РД[Состояние],"Коммерция")</f>
        <v>0</v>
      </c>
      <c r="O174" s="339"/>
      <c r="T174" s="66"/>
    </row>
    <row r="175" spans="1:21" s="65" customFormat="1">
      <c r="A175" s="150" t="s">
        <v>22</v>
      </c>
      <c r="B175" s="408"/>
      <c r="C175" s="515"/>
      <c r="D175" s="514">
        <f>SUMIFS(июнь24[м2],июнь24[ИМ],A175,июнь24[Комнатность],"Офис")</f>
        <v>0</v>
      </c>
      <c r="E175" s="146">
        <f>SUMIFS(июнь24[Сумма без отделки],июнь24[ИМ],$A175,июнь24[Комнатность],"оФИС")</f>
        <v>0</v>
      </c>
      <c r="F175" s="417">
        <f>COUNTIFS(июнь24[ИМ],$A175,июнь24[Комнатность],"Офис")</f>
        <v>0</v>
      </c>
      <c r="G175" s="267">
        <f>SUMIFS(РД[S],РД[ИМ],A175,РД[Дата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H175" s="146">
        <f>SUMIFS(РД[Стоимость без отделки итог],РД[ИМ],A175,РД[Дата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I175" s="220">
        <f>COUNTIFS(РД[ИМ],A175,РД[Дата подачи на регистрацию],"&lt;="&amp;$A$1,РД[Дата подачи на регистрацию],"&gt;="&amp;DATE(YEAR($A$1),MONTH($A$1),1),РД[Состояние],"Коммерция")</f>
        <v>0</v>
      </c>
      <c r="J175" s="224" t="str">
        <f t="shared" ref="J175" si="23">IFERROR(G175/B175,"")</f>
        <v/>
      </c>
      <c r="K175" s="334" t="str">
        <f t="shared" ref="K175" si="24">IFERROR(H175/C175,"")</f>
        <v/>
      </c>
      <c r="L175" s="148">
        <f>COUNTIFS(РД[Дом],L$164,РД[ИМ],$A175,РД[Дата подачи на регистрацию],"&lt;="&amp;$A$1,РД[Дата подачи на регистрацию],"&gt;="&amp;DATE(YEAR($A$1),MONTH($A$1),1),РД[Состояние],"Коммерция")</f>
        <v>0</v>
      </c>
      <c r="M175" s="220">
        <f>COUNTIFS(РД[Дом],M$164,РД[ИМ],$A175,РД[Дата подачи на регистрацию],"&lt;="&amp;$A$1,РД[Дата подачи на регистрацию],"&gt;="&amp;DATE(YEAR($A$1),MONTH($A$1),1),РД[Состояние],"Коммерция")</f>
        <v>0</v>
      </c>
      <c r="N175" s="223">
        <f>COUNTIFS(РД[Дом],N$164,РД[ИМ],$A175,РД[Дата подачи на регистрацию],"&lt;="&amp;$A$1,РД[Дата подачи на регистрацию],"&gt;="&amp;DATE(YEAR($A$1),MONTH($A$1),1),РД[Состояние],"Коммерция")</f>
        <v>0</v>
      </c>
      <c r="O175" s="339"/>
      <c r="T175" s="66"/>
    </row>
    <row r="176" spans="1:21" s="65" customFormat="1">
      <c r="A176" s="189" t="s">
        <v>16</v>
      </c>
      <c r="B176" s="516"/>
      <c r="C176" s="517"/>
      <c r="D176" s="422">
        <f>SUMIFS(июнь24[м2],июнь24[ИМ],A176,июнь24[Комнатность],"Офис")</f>
        <v>0</v>
      </c>
      <c r="E176" s="363">
        <f>SUMIFS(июнь24[Сумма без отделки],июнь24[ИМ],$A176,июнь24[Комнатность],"оФИС")</f>
        <v>0</v>
      </c>
      <c r="F176" s="518">
        <f>COUNTIFS(июнь24[ИМ],$A176,июнь24[Комнатность],"Офис")</f>
        <v>0</v>
      </c>
      <c r="G176" s="315">
        <f>SUMIFS(РД[S],РД[ИМ],A176,РД[Дата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H176" s="363">
        <f>SUMIFS(РД[Стоимость без отделки итог],РД[ИМ],A176,РД[Дата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I176" s="220">
        <f>COUNTIFS(РД[ИМ],A176,РД[Дата подачи на регистрацию],"&lt;="&amp;$A$1,РД[Дата подачи на регистрацию],"&gt;="&amp;DATE(YEAR($A$1),MONTH($A$1),1),РД[Состояние],"Коммерция")</f>
        <v>0</v>
      </c>
      <c r="J176" s="252" t="str">
        <f t="shared" si="22"/>
        <v/>
      </c>
      <c r="K176" s="253" t="str">
        <f t="shared" si="22"/>
        <v/>
      </c>
      <c r="L176" s="202">
        <f>COUNTIFS(РД[Дом],L$164,РД[ИМ],$A176,РД[Дата подачи на регистрацию],"&lt;="&amp;$A$1,РД[Дата подачи на регистрацию],"&gt;="&amp;DATE(YEAR($A$1),MONTH($A$1),1),РД[Состояние],"Коммерция")</f>
        <v>0</v>
      </c>
      <c r="M176" s="226">
        <f>COUNTIFS(РД[Дом],M$164,РД[ИМ],$A176,РД[Дата подачи на регистрацию],"&lt;="&amp;$A$1,РД[Дата подачи на регистрацию],"&gt;="&amp;DATE(YEAR($A$1),MONTH($A$1),1),РД[Состояние],"Коммерция")</f>
        <v>0</v>
      </c>
      <c r="N176" s="227">
        <f>COUNTIFS(РД[Дом],N$164,РД[ИМ],$A176,РД[Дата подачи на регистрацию],"&lt;="&amp;$A$1,РД[Дата подачи на регистрацию],"&gt;="&amp;DATE(YEAR($A$1),MONTH($A$1),1),РД[Состояние],"Коммерция")</f>
        <v>0</v>
      </c>
      <c r="O176" s="339"/>
      <c r="T176" s="66"/>
    </row>
    <row r="177" spans="1:21" s="65" customFormat="1">
      <c r="A177" s="317" t="s">
        <v>114</v>
      </c>
      <c r="B177" s="282">
        <f>SUM(B174:B176)</f>
        <v>0</v>
      </c>
      <c r="C177" s="283">
        <f>SUM(C174:C176)</f>
        <v>0</v>
      </c>
      <c r="D177" s="428">
        <f t="shared" ref="D177:I177" si="25">SUM(D174:D176)</f>
        <v>0</v>
      </c>
      <c r="E177" s="429">
        <f t="shared" si="25"/>
        <v>0</v>
      </c>
      <c r="F177" s="322">
        <f t="shared" si="25"/>
        <v>0</v>
      </c>
      <c r="G177" s="323">
        <f t="shared" si="25"/>
        <v>0</v>
      </c>
      <c r="H177" s="429">
        <f t="shared" si="25"/>
        <v>0</v>
      </c>
      <c r="I177" s="429">
        <f t="shared" si="25"/>
        <v>0</v>
      </c>
      <c r="J177" s="419" t="str">
        <f t="shared" si="22"/>
        <v/>
      </c>
      <c r="K177" s="527" t="str">
        <f t="shared" si="22"/>
        <v/>
      </c>
      <c r="L177" s="318">
        <f>SUM(L174:L176)</f>
        <v>0</v>
      </c>
      <c r="M177" s="321">
        <f>SUM(M174:M176)</f>
        <v>0</v>
      </c>
      <c r="N177" s="319">
        <f>SUM(N174:N176)</f>
        <v>0</v>
      </c>
      <c r="O177" s="339"/>
      <c r="T177" s="66"/>
    </row>
    <row r="178" spans="1:21" s="65" customFormat="1">
      <c r="A178" s="134"/>
      <c r="B178" s="44"/>
      <c r="C178" s="44"/>
      <c r="D178" s="134"/>
      <c r="E178" s="134"/>
      <c r="F178" s="44"/>
      <c r="G178" s="134"/>
      <c r="H178" s="134"/>
      <c r="I178" s="134"/>
      <c r="J178" s="134"/>
      <c r="K178" s="255"/>
      <c r="L178" s="256"/>
      <c r="M178" s="134"/>
      <c r="N178" s="134"/>
      <c r="O178" s="134"/>
      <c r="P178" s="134"/>
      <c r="Q178" s="72"/>
      <c r="U178" s="66"/>
    </row>
    <row r="179" spans="1:21" s="65" customFormat="1" ht="15">
      <c r="A179" s="2321" t="s">
        <v>945</v>
      </c>
      <c r="B179" s="2322"/>
      <c r="C179" s="2322"/>
      <c r="D179" s="2322"/>
      <c r="E179" s="2322"/>
      <c r="F179" s="2322"/>
      <c r="G179" s="2322"/>
      <c r="H179" s="2322"/>
      <c r="I179" s="2322"/>
      <c r="J179" s="2322"/>
      <c r="K179" s="2322"/>
      <c r="L179" s="2322"/>
      <c r="M179" s="2399"/>
      <c r="N179" s="339"/>
      <c r="O179" s="339"/>
      <c r="P179" s="86"/>
      <c r="T179" s="66"/>
    </row>
    <row r="180" spans="1:21" s="65" customFormat="1" ht="22.5" customHeight="1">
      <c r="A180" s="135" t="s">
        <v>1</v>
      </c>
      <c r="B180" s="135" t="s">
        <v>101</v>
      </c>
      <c r="C180" s="136" t="s">
        <v>98</v>
      </c>
      <c r="D180" s="295" t="s">
        <v>494</v>
      </c>
      <c r="E180" s="138" t="s">
        <v>495</v>
      </c>
      <c r="F180" s="296" t="s">
        <v>496</v>
      </c>
      <c r="G180" s="140" t="s">
        <v>946</v>
      </c>
      <c r="H180" s="141" t="s">
        <v>947</v>
      </c>
      <c r="I180" s="217">
        <v>0</v>
      </c>
      <c r="J180" s="218">
        <v>1</v>
      </c>
      <c r="K180" s="340">
        <v>2</v>
      </c>
      <c r="L180" s="218">
        <v>3</v>
      </c>
      <c r="M180" s="219" t="s">
        <v>1367</v>
      </c>
      <c r="N180" s="339"/>
      <c r="O180" s="339"/>
      <c r="P180" s="86"/>
      <c r="T180" s="66"/>
    </row>
    <row r="181" spans="1:21" s="65" customFormat="1">
      <c r="A181" s="142" t="s">
        <v>1892</v>
      </c>
      <c r="B181" s="267">
        <f>SUMIFS(РД[S],РД[МОП],A181,РД[Дата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C181" s="268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D181" s="329">
        <f>SUMIFS(июнь24[м2],июнь24[Столбец1],$A181,июнь24[КТУ],"АН -*")</f>
        <v>0</v>
      </c>
      <c r="E181" s="363">
        <f>SUMIFS(июнь24[Сумма без отделки],июнь24[Столбец1],$A181,июнь24[КТУ],"АН -*")</f>
        <v>0</v>
      </c>
      <c r="F181" s="414">
        <f>COUNTIFS(июнь24[Столбец1],$A181,июнь24[КТУ],"АН -*")</f>
        <v>0</v>
      </c>
      <c r="G181" s="291">
        <f>SUMIFS(РД[S],РД[МОП],A181,РД[Дата подачи на регистрацию],"&lt;="&amp;$A$1,РД[Дата подачи на регистрацию],"&gt;="&amp;DATE(YEAR($A$1),MONTH($A$1),1),РД[Источник рекламы],"Н -*")/2</f>
        <v>0</v>
      </c>
      <c r="H181" s="312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-*")/2</f>
        <v>0</v>
      </c>
      <c r="I181" s="145">
        <f>COUNTIFS(РД[Тип кв],I$180,РД[МОП],$A181,РД[Дата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J181" s="220">
        <f>COUNTIFS(РД[Тип кв],J$180,РД[МОП],$A181,РД[Дата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K181" s="220">
        <f>COUNTIFS(РД[Тип кв],K$180,РД[МОП],$A181,РД[Дата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L181" s="220">
        <f>COUNTIFS(РД[Тип кв],L$180,РД[МОП],$A181,РД[Дата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M181" s="223">
        <f>COUNTIFS(РД[Тип кв],M$180,РД[МОП],$A181,РД[Дата подачи на регистрацию],"&lt;="&amp;$A$1,РД[Дата подачи на регистрацию],"&gt;="&amp;DATE(YEAR($A$1),MONTH($A$1),1),РД[Источник рекламы],"Н -*")</f>
        <v>0</v>
      </c>
      <c r="N181" s="339"/>
      <c r="O181" s="339"/>
      <c r="P181" s="86"/>
      <c r="T181" s="66"/>
    </row>
    <row r="182" spans="1:21" s="65" customFormat="1">
      <c r="A182" s="398" t="s">
        <v>8</v>
      </c>
      <c r="B182" s="271">
        <f>SUMIFS(РД[S],РД[МОП],A182,РД[Дата подачи на регистрацию],"&lt;="&amp;$A$1,РД[Дата подачи на регистрацию],"&gt;="&amp;DATE(YEAR($A$1),MONTH($A$1),1),РД[Источник рекламы],"Н -*")</f>
        <v>133.25</v>
      </c>
      <c r="C182" s="272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</f>
        <v>14137156</v>
      </c>
      <c r="D182" s="329">
        <f>SUMIFS(июнь24[м2],июнь24[Столбец1],$A182,июнь24[КТУ],"АН -*")</f>
        <v>133.25</v>
      </c>
      <c r="E182" s="363">
        <f>SUMIFS(июнь24[Сумма без отделки],июнь24[Столбец1],$A182,июнь24[КТУ],"АН -*")</f>
        <v>14377886</v>
      </c>
      <c r="F182" s="414">
        <f>COUNTIFS(июнь24[Столбец1],$A182,июнь24[КТУ],"АН -*")</f>
        <v>3</v>
      </c>
      <c r="G182" s="271">
        <f>SUMIFS(РД[S],РД[МОП],A182,РД[Дата подачи на регистрацию],"&lt;="&amp;$A$1,РД[Дата подачи на регистрацию],"&gt;="&amp;DATE(YEAR($A$1),MONTH($A$1),1),РД[Источник рекламы],"Н -*")/2</f>
        <v>66.625</v>
      </c>
      <c r="H182" s="272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-*")/2</f>
        <v>7068578</v>
      </c>
      <c r="I182" s="257">
        <f>COUNTIFS(РД[Тип кв],I$180,РД[МОП],$A182,РД[Дата подачи на регистрацию],"&lt;="&amp;$A$1,РД[Дата подачи на регистрацию],"&gt;="&amp;DATE(YEAR($A$1),MONTH($A$1),1),РД[Источник рекламы],"Н -*")</f>
        <v>0</v>
      </c>
      <c r="J182" s="226">
        <f>COUNTIFS(РД[Тип кв],J$180,РД[МОП],$A182,РД[Дата подачи на регистрацию],"&lt;="&amp;$A$1,РД[Дата подачи на регистрацию],"&gt;="&amp;DATE(YEAR($A$1),MONTH($A$1),1),РД[Источник рекламы],"Н -*")</f>
        <v>2</v>
      </c>
      <c r="K182" s="226">
        <f>COUNTIFS(РД[Тип кв],K$180,РД[МОП],$A182,РД[Дата подачи на регистрацию],"&lt;="&amp;$A$1,РД[Дата подачи на регистрацию],"&gt;="&amp;DATE(YEAR($A$1),MONTH($A$1),1),РД[Источник рекламы],"Н -*")</f>
        <v>1</v>
      </c>
      <c r="L182" s="226">
        <f>COUNTIFS(РД[Тип кв],L$180,РД[МОП],$A182,РД[Дата подачи на регистрацию],"&lt;="&amp;$A$1,РД[Дата подачи на регистрацию],"&gt;="&amp;DATE(YEAR($A$1),MONTH($A$1),1),РД[Источник рекламы],"Н -*")</f>
        <v>0</v>
      </c>
      <c r="M182" s="227">
        <f>COUNTIFS(РД[Тип кв],M$180,РД[МОП],$A182,РД[Дата подачи на регистрацию],"&lt;="&amp;$A$1,РД[Дата подачи на регистрацию],"&gt;="&amp;DATE(YEAR($A$1),MONTH($A$1),1),РД[Источник рекламы],"Н -*")</f>
        <v>0</v>
      </c>
      <c r="N182" s="339"/>
      <c r="O182" s="339"/>
      <c r="P182" s="86"/>
      <c r="T182" s="66"/>
    </row>
    <row r="183" spans="1:21" s="65" customFormat="1">
      <c r="A183" s="153" t="s">
        <v>77</v>
      </c>
      <c r="B183" s="271">
        <f>SUMIFS(РД[S],РД[МОП],A183,РД[Дата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C183" s="272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D183" s="329">
        <f>SUMIFS(июнь24[м2],июнь24[Столбец1],$A183,июнь24[КТУ],"АН -*")</f>
        <v>0</v>
      </c>
      <c r="E183" s="363">
        <f>SUMIFS(июнь24[Сумма без отделки],июнь24[Столбец1],$A183,июнь24[КТУ],"АН -*")</f>
        <v>0</v>
      </c>
      <c r="F183" s="414">
        <f>COUNTIFS(июнь24[Столбец1],$A183,июнь24[КТУ],"АН -*")</f>
        <v>0</v>
      </c>
      <c r="G183" s="271">
        <f>SUMIFS(РД[S],РД[МОП],A183,РД[Дата подачи на регистрацию],"&lt;="&amp;$A$1,РД[Дата подачи на регистрацию],"&gt;="&amp;DATE(YEAR($A$1),MONTH($A$1),1),РД[Источник рекламы],"Н -*")/2</f>
        <v>0</v>
      </c>
      <c r="H183" s="272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-*")/2</f>
        <v>0</v>
      </c>
      <c r="I183" s="257">
        <f>COUNTIFS(РД[Тип кв],I$180,РД[МОП],$A183,РД[Дата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J183" s="226">
        <f>COUNTIFS(РД[Тип кв],J$180,РД[МОП],$A183,РД[Дата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K183" s="226">
        <f>COUNTIFS(РД[Тип кв],K$180,РД[МОП],$A183,РД[Дата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L183" s="226">
        <f>COUNTIFS(РД[Тип кв],L$180,РД[МОП],$A183,РД[Дата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M183" s="227">
        <f>COUNTIFS(РД[Тип кв],M$180,РД[МОП],$A183,РД[Дата подачи на регистрацию],"&lt;="&amp;$A$1,РД[Дата подачи на регистрацию],"&gt;="&amp;DATE(YEAR($A$1),MONTH($A$1),1),РД[Источник рекламы],"Н -*")</f>
        <v>0</v>
      </c>
      <c r="N183" s="339"/>
      <c r="O183" s="339"/>
      <c r="P183" s="86"/>
      <c r="T183" s="66"/>
    </row>
    <row r="184" spans="1:21" s="65" customFormat="1">
      <c r="A184" s="153" t="s">
        <v>20</v>
      </c>
      <c r="B184" s="271">
        <f>SUMIFS(РД[S],РД[МОП],A184,РД[Дата подачи на регистрацию],"&lt;="&amp;$A$1,РД[Дата подачи на регистрацию],"&gt;="&amp;DATE(YEAR($A$1),MONTH($A$1),1),РД[Источник рекламы],"Н -*")</f>
        <v>127.64</v>
      </c>
      <c r="C184" s="272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</f>
        <v>14178000</v>
      </c>
      <c r="D184" s="329">
        <f>SUMIFS(июнь24[м2],июнь24[Столбец1],$A184,июнь24[КТУ],"АН -*")</f>
        <v>127.64</v>
      </c>
      <c r="E184" s="363">
        <f>SUMIFS(июнь24[Сумма без отделки],июнь24[Столбец1],$A184,июнь24[КТУ],"АН -*")</f>
        <v>14178000</v>
      </c>
      <c r="F184" s="414">
        <f>COUNTIFS(июнь24[Столбец1],$A184,июнь24[КТУ],"АН -*")</f>
        <v>3</v>
      </c>
      <c r="G184" s="271">
        <f>SUMIFS(РД[S],РД[МОП],A184,РД[Дата подачи на регистрацию],"&lt;="&amp;$A$1,РД[Дата подачи на регистрацию],"&gt;="&amp;DATE(YEAR($A$1),MONTH($A$1),1),РД[Источник рекламы],"Н -*")/2</f>
        <v>63.82</v>
      </c>
      <c r="H184" s="272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-*")/2</f>
        <v>7089000</v>
      </c>
      <c r="I184" s="257">
        <f>COUNTIFS(РД[Тип кв],I$180,РД[МОП],$A184,РД[Дата подачи на регистрацию],"&lt;="&amp;$A$1,РД[Дата подачи на регистрацию],"&gt;="&amp;DATE(YEAR($A$1),MONTH($A$1),1),РД[Источник рекламы],"Н -*")</f>
        <v>1</v>
      </c>
      <c r="J184" s="226">
        <f>COUNTIFS(РД[Тип кв],J$180,РД[МОП],$A184,РД[Дата подачи на регистрацию],"&lt;="&amp;$A$1,РД[Дата подачи на регистрацию],"&gt;="&amp;DATE(YEAR($A$1),MONTH($A$1),1),РД[Источник рекламы],"Н -*")</f>
        <v>1</v>
      </c>
      <c r="K184" s="226">
        <f>COUNTIFS(РД[Тип кв],K$180,РД[МОП],$A184,РД[Дата подачи на регистрацию],"&lt;="&amp;$A$1,РД[Дата подачи на регистрацию],"&gt;="&amp;DATE(YEAR($A$1),MONTH($A$1),1),РД[Источник рекламы],"Н -*")</f>
        <v>1</v>
      </c>
      <c r="L184" s="226">
        <f>COUNTIFS(РД[Тип кв],L$180,РД[МОП],$A184,РД[Дата подачи на регистрацию],"&lt;="&amp;$A$1,РД[Дата подачи на регистрацию],"&gt;="&amp;DATE(YEAR($A$1),MONTH($A$1),1),РД[Источник рекламы],"Н -*")</f>
        <v>0</v>
      </c>
      <c r="M184" s="227">
        <f>COUNTIFS(РД[Тип кв],M$180,РД[МОП],$A184,РД[Дата подачи на регистрацию],"&lt;="&amp;$A$1,РД[Дата подачи на регистрацию],"&gt;="&amp;DATE(YEAR($A$1),MONTH($A$1),1),РД[Источник рекламы],"Н -*")</f>
        <v>0</v>
      </c>
      <c r="N184" s="339"/>
      <c r="O184" s="339"/>
      <c r="P184" s="86"/>
      <c r="T184" s="66"/>
    </row>
    <row r="185" spans="1:21" s="65" customFormat="1">
      <c r="A185" s="153" t="s">
        <v>14</v>
      </c>
      <c r="B185" s="315">
        <f>SUMIFS(РД[S],РД[МОП],A185,РД[Дата подачи на регистрацию],"&lt;="&amp;$A$1,РД[Дата подачи на регистрацию],"&gt;="&amp;DATE(YEAR($A$1),MONTH($A$1),1),РД[Источник рекламы],"Н -*")</f>
        <v>201.68</v>
      </c>
      <c r="C185" s="316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рекламы],"Н -*")</f>
        <v>18637861</v>
      </c>
      <c r="D185" s="329">
        <f>SUMIFS(июнь24[м2],июнь24[Столбец1],$A185,июнь24[КТУ],"АН -*")</f>
        <v>201.68</v>
      </c>
      <c r="E185" s="363">
        <f>SUMIFS(июнь24[Сумма без отделки],июнь24[Столбец1],$A185,июнь24[КТУ],"АН -*")</f>
        <v>18637861</v>
      </c>
      <c r="F185" s="414">
        <f>COUNTIFS(июнь24[Столбец1],$A185,июнь24[КТУ],"АН -*")</f>
        <v>3</v>
      </c>
      <c r="G185" s="315">
        <f>SUMIFS(РД[S],РД[МОП],A185,РД[Дата подачи на регистрацию],"&lt;="&amp;$A$1,РД[Дата подачи на регистрацию],"&gt;="&amp;DATE(YEAR($A$1),MONTH($A$1),1),РД[Источник рекламы],"Н -*")/2</f>
        <v>100.84</v>
      </c>
      <c r="H185" s="316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рекламы],"Н -*")/2</f>
        <v>9318930.5</v>
      </c>
      <c r="I185" s="329">
        <f>COUNTIFS(РД[Тип кв],I$180,РД[МОП],$A185,РД[Дата подачи на регистрацию],"&lt;="&amp;$A$1,РД[Дата подачи на регистрацию],"&gt;="&amp;DATE(YEAR($A$1),MONTH($A$1),1),РД[Источник рекламы],"Н -*")</f>
        <v>0</v>
      </c>
      <c r="J185" s="330">
        <f>COUNTIFS(РД[Тип кв],J$180,РД[МОП],$A185,РД[Дата подачи на регистрацию],"&lt;="&amp;$A$1,РД[Дата подачи на регистрацию],"&gt;="&amp;DATE(YEAR($A$1),MONTH($A$1),1),РД[Источник рекламы],"Н -*")</f>
        <v>0</v>
      </c>
      <c r="K185" s="330">
        <f>COUNTIFS(РД[Тип кв],K$180,РД[МОП],$A185,РД[Дата подачи на регистрацию],"&lt;="&amp;$A$1,РД[Дата подачи на регистрацию],"&gt;="&amp;DATE(YEAR($A$1),MONTH($A$1),1),РД[Источник рекламы],"Н -*")</f>
        <v>2</v>
      </c>
      <c r="L185" s="330">
        <f>COUNTIFS(РД[Тип кв],L$180,РД[МОП],$A185,РД[Дата подачи на регистрацию],"&lt;="&amp;$A$1,РД[Дата подачи на регистрацию],"&gt;="&amp;DATE(YEAR($A$1),MONTH($A$1),1),РД[Источник рекламы],"Н -*")</f>
        <v>1</v>
      </c>
      <c r="M185" s="331">
        <f>COUNTIFS(РД[Тип кв],M$180,РД[МОП],$A185,РД[Дата подачи на регистрацию],"&lt;="&amp;$A$1,РД[Дата подачи на регистрацию],"&gt;="&amp;DATE(YEAR($A$1),MONTH($A$1),1),РД[Источник рекламы],"Н -*")</f>
        <v>0</v>
      </c>
      <c r="N185" s="339"/>
      <c r="O185" s="339"/>
      <c r="P185" s="86"/>
      <c r="T185" s="66"/>
    </row>
    <row r="186" spans="1:21" s="65" customFormat="1">
      <c r="A186" s="154" t="s">
        <v>29</v>
      </c>
      <c r="B186" s="274">
        <f>SUMIFS(РД[S],РД[МОП],A186,РД[Дата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C186" s="275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D186" s="341">
        <f>SUMIFS(июнь24[м2],июнь24[Столбец1],$A186,июнь24[КТУ],"АН -*")</f>
        <v>0</v>
      </c>
      <c r="E186" s="277">
        <f>SUMIFS(июнь24[Сумма без отделки],июнь24[Столбец1],$A186,июнь24[КТУ],"АН -*")</f>
        <v>0</v>
      </c>
      <c r="F186" s="405">
        <f>COUNTIFS(июнь24[Столбец1],$A186,июнь24[КТУ],"АН -*")</f>
        <v>0</v>
      </c>
      <c r="G186" s="274">
        <f>SUMIFS(РД[S],РД[МОП],A186,РД[Дата подачи на регистрацию],"&lt;="&amp;$A$1,РД[Дата подачи на регистрацию],"&gt;="&amp;DATE(YEAR($A$1),MONTH($A$1),1),РД[Источник рекламы],"Н -*")/2</f>
        <v>0</v>
      </c>
      <c r="H186" s="275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рекламы],"Н -*")/2</f>
        <v>0</v>
      </c>
      <c r="I186" s="341">
        <f>COUNTIFS(РД[Тип кв],I$180,РД[МОП],$A186,РД[Дата подачи на регистрацию],"&lt;="&amp;$A$1,РД[Дата подачи на регистрацию],"&gt;="&amp;DATE(YEAR($A$1),MONTH($A$1),1),РД[Источник рекламы],"Н -*")</f>
        <v>0</v>
      </c>
      <c r="J186" s="228">
        <f>COUNTIFS(РД[Тип кв],J$180,РД[МОП],$A186,РД[Дата подачи на регистрацию],"&lt;="&amp;$A$1,РД[Дата подачи на регистрацию],"&gt;="&amp;DATE(YEAR($A$1),MONTH($A$1),1),РД[Источник рекламы],"Н -*")</f>
        <v>0</v>
      </c>
      <c r="K186" s="228">
        <f>COUNTIFS(РД[Тип кв],K$180,РД[МОП],$A186,РД[Дата подачи на регистрацию],"&lt;="&amp;$A$1,РД[Дата подачи на регистрацию],"&gt;="&amp;DATE(YEAR($A$1),MONTH($A$1),1),РД[Источник рекламы],"Н -*")</f>
        <v>0</v>
      </c>
      <c r="L186" s="228">
        <f>COUNTIFS(РД[Тип кв],L$180,РД[МОП],$A186,РД[Дата подачи на регистрацию],"&lt;="&amp;$A$1,РД[Дата подачи на регистрацию],"&gt;="&amp;DATE(YEAR($A$1),MONTH($A$1),1),РД[Источник рекламы],"Н -*")</f>
        <v>0</v>
      </c>
      <c r="M186" s="231">
        <f>COUNTIFS(РД[Тип кв],M$180,РД[МОП],$A186,РД[Дата подачи на регистрацию],"&lt;="&amp;$A$1,РД[Дата подачи на регистрацию],"&gt;="&amp;DATE(YEAR($A$1),MONTH($A$1),1),РД[Источник рекламы],"Н -*")</f>
        <v>0</v>
      </c>
      <c r="N186" s="339"/>
      <c r="O186" s="339"/>
      <c r="P186" s="86"/>
      <c r="T186" s="66"/>
    </row>
    <row r="187" spans="1:21" s="65" customFormat="1">
      <c r="A187" s="513" t="s">
        <v>114</v>
      </c>
      <c r="B187" s="282">
        <f t="shared" ref="B187:L187" si="26">SUM(B181:B185)</f>
        <v>462.57</v>
      </c>
      <c r="C187" s="283">
        <f t="shared" si="26"/>
        <v>46953017</v>
      </c>
      <c r="D187" s="425">
        <f t="shared" si="26"/>
        <v>462.57</v>
      </c>
      <c r="E187" s="287">
        <f t="shared" si="26"/>
        <v>47193747</v>
      </c>
      <c r="F187" s="286">
        <f t="shared" si="26"/>
        <v>9</v>
      </c>
      <c r="G187" s="282">
        <f t="shared" si="26"/>
        <v>231.285</v>
      </c>
      <c r="H187" s="283">
        <f t="shared" si="26"/>
        <v>23476508.5</v>
      </c>
      <c r="I187" s="284">
        <f t="shared" si="26"/>
        <v>1</v>
      </c>
      <c r="J187" s="285">
        <f t="shared" si="26"/>
        <v>3</v>
      </c>
      <c r="K187" s="285">
        <f t="shared" si="26"/>
        <v>4</v>
      </c>
      <c r="L187" s="285">
        <f t="shared" si="26"/>
        <v>1</v>
      </c>
      <c r="M187" s="305">
        <f>SUM(T179:T180)</f>
        <v>0</v>
      </c>
      <c r="N187" s="339"/>
      <c r="O187" s="339"/>
      <c r="P187" s="86"/>
      <c r="T187" s="66"/>
    </row>
    <row r="188" spans="1:21" s="65" customFormat="1" ht="24" customHeight="1">
      <c r="A188" s="521" t="s">
        <v>115</v>
      </c>
      <c r="B188" s="522" t="s">
        <v>101</v>
      </c>
      <c r="C188" s="523" t="s">
        <v>98</v>
      </c>
      <c r="D188" s="486" t="s">
        <v>494</v>
      </c>
      <c r="E188" s="487" t="s">
        <v>495</v>
      </c>
      <c r="F188" s="524" t="s">
        <v>496</v>
      </c>
      <c r="G188" s="489" t="s">
        <v>946</v>
      </c>
      <c r="H188" s="525" t="s">
        <v>947</v>
      </c>
      <c r="I188" s="504">
        <v>0</v>
      </c>
      <c r="J188" s="505">
        <v>1</v>
      </c>
      <c r="K188" s="528">
        <v>2</v>
      </c>
      <c r="L188" s="505">
        <v>3</v>
      </c>
      <c r="M188" s="506" t="s">
        <v>1367</v>
      </c>
      <c r="N188" s="339"/>
      <c r="O188" s="339"/>
      <c r="P188" s="86"/>
      <c r="T188" s="66"/>
    </row>
    <row r="189" spans="1:21" s="65" customFormat="1">
      <c r="A189" s="177" t="s">
        <v>1892</v>
      </c>
      <c r="B189" s="291">
        <f>SUMIFS(РД[S],РД[ИМ],A189,РД[Дата подачи на регистрацию],"&lt;="&amp;$A$1,РД[Дата подачи на регистрацию],"&gt;="&amp;DATE(YEAR($A$1),MONTH($A$1),1),РД[Источник рекламы],"Н -*")</f>
        <v>142.59</v>
      </c>
      <c r="C189" s="312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рекламы],"Н -*")</f>
        <v>12918661</v>
      </c>
      <c r="D189" s="346">
        <f>SUMIFS(июнь24[м2],июнь24[ИМ],$A189,июнь24[КТУ],"АН -*")</f>
        <v>142.59</v>
      </c>
      <c r="E189" s="292">
        <f>SUMIFS(июнь24[Сумма без отделки],июнь24[ИМ],$A189,июнь24[КТУ],"АН -*")</f>
        <v>12918661</v>
      </c>
      <c r="F189" s="415">
        <f>COUNTIFS(июнь24[ИМ],$A189,июнь24[КТУ],"АН -*")</f>
        <v>2</v>
      </c>
      <c r="G189" s="291">
        <f>SUMIFS(РД[S],РД[ИМ],A189,РД[Дата подачи на регистрацию],"&lt;="&amp;$A$1,РД[Дата подачи на регистрацию],"&gt;="&amp;DATE(YEAR($A$1),MONTH($A$1),1),РД[Источник рекламы],"Н -*")/2</f>
        <v>71.295000000000002</v>
      </c>
      <c r="H189" s="312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рекламы],"Н -*")/2</f>
        <v>6459330.5</v>
      </c>
      <c r="I189" s="346">
        <f>COUNTIFS(РД[Тип кв],I$180,РД[ИМ],$A189,РД[Дата подачи на регистрацию],"&lt;="&amp;$A$1,РД[Дата подачи на регистрацию],"&gt;="&amp;DATE(YEAR($A$1),MONTH($A$1),1),РД[Источник рекламы],"Н -*")</f>
        <v>0</v>
      </c>
      <c r="J189" s="243">
        <f>COUNTIFS(РД[Тип кв],J$180,РД[ИМ],$A189,РД[Дата подачи на регистрацию],"&lt;="&amp;$A$1,РД[Дата подачи на регистрацию],"&gt;="&amp;DATE(YEAR($A$1),MONTH($A$1),1),РД[Источник рекламы],"Н -*")</f>
        <v>0</v>
      </c>
      <c r="K189" s="243">
        <f>COUNTIFS(РД[Тип кв],K$180,РД[ИМ],$A189,РД[Дата подачи на регистрацию],"&lt;="&amp;$A$1,РД[Дата подачи на регистрацию],"&gt;="&amp;DATE(YEAR($A$1),MONTH($A$1),1),РД[Источник рекламы],"Н -*")</f>
        <v>1</v>
      </c>
      <c r="L189" s="243">
        <f>COUNTIFS(РД[Тип кв],L$180,РД[ИМ],$A189,РД[Дата подачи на регистрацию],"&lt;="&amp;$A$1,РД[Дата подачи на регистрацию],"&gt;="&amp;DATE(YEAR($A$1),MONTH($A$1),1),РД[Источник рекламы],"Н -*")</f>
        <v>1</v>
      </c>
      <c r="M189" s="246">
        <f>COUNTIFS(РД[Тип кв],M$180,РД[ИМ],$A189,РД[Дата подачи на регистрацию],"&lt;="&amp;$A$1,РД[Дата подачи на регистрацию],"&gt;="&amp;DATE(YEAR($A$1),MONTH($A$1),1),РД[Источник рекламы],"Н -*")</f>
        <v>0</v>
      </c>
      <c r="N189" s="339"/>
      <c r="O189" s="339"/>
      <c r="P189" s="86"/>
      <c r="T189" s="66"/>
    </row>
    <row r="190" spans="1:21" s="65" customFormat="1">
      <c r="A190" s="150" t="s">
        <v>22</v>
      </c>
      <c r="B190" s="271">
        <f>SUMIFS(РД[S],РД[ИМ],A190,РД[Дата подачи на регистрацию],"&lt;="&amp;$A$1,РД[Дата подачи на регистрацию],"&gt;="&amp;DATE(YEAR($A$1),MONTH($A$1),1),РД[Источник рекламы],"Н -*")</f>
        <v>204.51</v>
      </c>
      <c r="C190" s="272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рекламы],"Н -*")</f>
        <v>21483900</v>
      </c>
      <c r="D190" s="257">
        <f>SUMIFS(июнь24[м2],июнь24[ИМ],$A190,июнь24[КТУ],"АН -*")</f>
        <v>204.51</v>
      </c>
      <c r="E190" s="52">
        <f>SUMIFS(июнь24[Сумма без отделки],июнь24[ИМ],$A190,июнь24[КТУ],"АН -*")</f>
        <v>21483900</v>
      </c>
      <c r="F190" s="413">
        <f>COUNTIFS(июнь24[ИМ],$A190,июнь24[КТУ],"АН -*")</f>
        <v>4</v>
      </c>
      <c r="G190" s="271">
        <f>SUMIFS(РД[S],РД[ИМ],A190,РД[Дата подачи на регистрацию],"&lt;="&amp;$A$1,РД[Дата подачи на регистрацию],"&gt;="&amp;DATE(YEAR($A$1),MONTH($A$1),1),РД[Источник рекламы],"Н -*")/2</f>
        <v>102.255</v>
      </c>
      <c r="H190" s="272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рекламы],"Н -*")/2</f>
        <v>10741950</v>
      </c>
      <c r="I190" s="257">
        <f>COUNTIFS(РД[Тип кв],I$180,РД[ИМ],$A190,РД[Дата подачи на регистрацию],"&lt;="&amp;$A$1,РД[Дата подачи на регистрацию],"&gt;="&amp;DATE(YEAR($A$1),MONTH($A$1),1),РД[Источник рекламы],"Н -*")</f>
        <v>0</v>
      </c>
      <c r="J190" s="226">
        <f>COUNTIFS(РД[Тип кв],J$180,РД[ИМ],$A190,РД[Дата подачи на регистрацию],"&lt;="&amp;$A$1,РД[Дата подачи на регистрацию],"&gt;="&amp;DATE(YEAR($A$1),MONTH($A$1),1),РД[Источник рекламы],"Н -*")</f>
        <v>2</v>
      </c>
      <c r="K190" s="226">
        <f>COUNTIFS(РД[Тип кв],K$180,РД[ИМ],$A190,РД[Дата подачи на регистрацию],"&lt;="&amp;$A$1,РД[Дата подачи на регистрацию],"&gt;="&amp;DATE(YEAR($A$1),MONTH($A$1),1),РД[Источник рекламы],"Н -*")</f>
        <v>2</v>
      </c>
      <c r="L190" s="226">
        <f>COUNTIFS(РД[Тип кв],L$180,РД[ИМ],$A190,РД[Дата подачи на регистрацию],"&lt;="&amp;$A$1,РД[Дата подачи на регистрацию],"&gt;="&amp;DATE(YEAR($A$1),MONTH($A$1),1),РД[Источник рекламы],"Н -*")</f>
        <v>0</v>
      </c>
      <c r="M190" s="227">
        <f>COUNTIFS(РД[Тип кв],M$180,РД[ИМ],$A190,РД[Дата подачи на регистрацию],"&lt;="&amp;$A$1,РД[Дата подачи на регистрацию],"&gt;="&amp;DATE(YEAR($A$1),MONTH($A$1),1),РД[Источник рекламы],"Н -*")</f>
        <v>0</v>
      </c>
      <c r="N190" s="339"/>
      <c r="O190" s="339"/>
      <c r="P190" s="86"/>
      <c r="T190" s="66"/>
    </row>
    <row r="191" spans="1:21" s="65" customFormat="1">
      <c r="A191" s="189" t="s">
        <v>16</v>
      </c>
      <c r="B191" s="315">
        <f>SUMIFS(РД[S],РД[ИМ],A191,РД[Дата подачи на регистрацию],"&lt;="&amp;$A$1,РД[Дата подачи на регистрацию],"&gt;="&amp;DATE(YEAR($A$1),MONTH($A$1),1),РД[Источник рекламы],"Н -*")</f>
        <v>58.89</v>
      </c>
      <c r="C191" s="316">
        <f>SUMIFS(РД[Стоимость без отделки итог],РД[ИМ],A191,РД[Дата подачи на регистрацию],"&lt;="&amp;$A$1,РД[Дата подачи на регистрацию],"&gt;="&amp;DATE(YEAR($A$1),MONTH($A$1),1),РД[Источник рекламы],"Н -*")</f>
        <v>7230200</v>
      </c>
      <c r="D191" s="329">
        <f>SUMIFS(июнь24[м2],июнь24[ИМ],$A191,июнь24[КТУ],"АН -*")</f>
        <v>58.89</v>
      </c>
      <c r="E191" s="363">
        <f>SUMIFS(июнь24[Сумма без отделки],июнь24[ИМ],$A191,июнь24[КТУ],"АН -*")</f>
        <v>7470930</v>
      </c>
      <c r="F191" s="414">
        <f>COUNTIFS(июнь24[ИМ],$A191,июнь24[КТУ],"АН -*")</f>
        <v>2</v>
      </c>
      <c r="G191" s="315">
        <f>SUMIFS(РД[S],РД[ИМ],A191,РД[Дата подачи на регистрацию],"&lt;="&amp;$A$1,РД[Дата подачи на регистрацию],"&gt;="&amp;DATE(YEAR($A$1),MONTH($A$1),1),РД[Источник рекламы],"Н -*")/2</f>
        <v>29.445</v>
      </c>
      <c r="H191" s="316">
        <f>SUMIFS(РД[Стоимость без отделки итог],РД[ИМ],A191,РД[Дата подачи на регистрацию],"&lt;="&amp;$A$1,РД[Дата подачи на регистрацию],"&gt;="&amp;DATE(YEAR($A$1),MONTH($A$1),1),РД[Источник рекламы],"Н -*")/2</f>
        <v>3615100</v>
      </c>
      <c r="I191" s="329">
        <f>COUNTIFS(РД[Тип кв],I$180,РД[ИМ],$A191,РД[Дата подачи на регистрацию],"&lt;="&amp;$A$1,РД[Дата подачи на регистрацию],"&gt;="&amp;DATE(YEAR($A$1),MONTH($A$1),1),РД[Источник рекламы],"Н -*")</f>
        <v>1</v>
      </c>
      <c r="J191" s="330">
        <f>COUNTIFS(РД[Тип кв],J$180,РД[ИМ],$A191,РД[Дата подачи на регистрацию],"&lt;="&amp;$A$1,РД[Дата подачи на регистрацию],"&gt;="&amp;DATE(YEAR($A$1),MONTH($A$1),1),РД[Источник рекламы],"Н -*")</f>
        <v>1</v>
      </c>
      <c r="K191" s="330">
        <f>COUNTIFS(РД[Тип кв],K$180,РД[ИМ],$A191,РД[Дата подачи на регистрацию],"&lt;="&amp;$A$1,РД[Дата подачи на регистрацию],"&gt;="&amp;DATE(YEAR($A$1),MONTH($A$1),1),РД[Источник рекламы],"Н -*")</f>
        <v>0</v>
      </c>
      <c r="L191" s="330">
        <f>COUNTIFS(РД[Тип кв],L$180,РД[ИМ],$A191,РД[Дата подачи на регистрацию],"&lt;="&amp;$A$1,РД[Дата подачи на регистрацию],"&gt;="&amp;DATE(YEAR($A$1),MONTH($A$1),1),РД[Источник рекламы],"Н -*")</f>
        <v>0</v>
      </c>
      <c r="M191" s="331">
        <f>COUNTIFS(РД[Тип кв],M$180,РД[ИМ],$A191,РД[Дата подачи на регистрацию],"&lt;="&amp;$A$1,РД[Дата подачи на регистрацию],"&gt;="&amp;DATE(YEAR($A$1),MONTH($A$1),1),РД[Источник рекламы],"Н -*")</f>
        <v>0</v>
      </c>
      <c r="N191" s="339"/>
      <c r="O191" s="339"/>
      <c r="P191" s="86"/>
      <c r="T191" s="66"/>
    </row>
    <row r="192" spans="1:21" s="65" customFormat="1">
      <c r="A192" s="317" t="s">
        <v>114</v>
      </c>
      <c r="B192" s="323">
        <f>SUM(B189:B191)</f>
        <v>405.99</v>
      </c>
      <c r="C192" s="324">
        <f t="shared" ref="C192:M192" si="27">SUM(C189:C191)</f>
        <v>41632761</v>
      </c>
      <c r="D192" s="428">
        <f t="shared" si="27"/>
        <v>405.99</v>
      </c>
      <c r="E192" s="429">
        <f t="shared" si="27"/>
        <v>41873491</v>
      </c>
      <c r="F192" s="430">
        <f t="shared" si="27"/>
        <v>8</v>
      </c>
      <c r="G192" s="323">
        <f t="shared" si="27"/>
        <v>202.995</v>
      </c>
      <c r="H192" s="324">
        <f t="shared" si="27"/>
        <v>20816380.5</v>
      </c>
      <c r="I192" s="318">
        <f t="shared" si="27"/>
        <v>1</v>
      </c>
      <c r="J192" s="321">
        <f t="shared" si="27"/>
        <v>3</v>
      </c>
      <c r="K192" s="321">
        <f t="shared" si="27"/>
        <v>3</v>
      </c>
      <c r="L192" s="321">
        <f t="shared" si="27"/>
        <v>1</v>
      </c>
      <c r="M192" s="319">
        <f t="shared" si="27"/>
        <v>0</v>
      </c>
      <c r="N192" s="339"/>
      <c r="O192" s="339"/>
      <c r="P192" s="86"/>
      <c r="T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:21" s="65" customFormat="1">
      <c r="Q225" s="86"/>
      <c r="U225" s="66"/>
    </row>
    <row r="226" spans="1:21" s="65" customFormat="1">
      <c r="Q226" s="86"/>
      <c r="U226" s="66"/>
    </row>
    <row r="227" spans="1:21" s="65" customFormat="1">
      <c r="Q227" s="86"/>
      <c r="U227" s="66"/>
    </row>
    <row r="228" spans="1:21" s="65" customFormat="1">
      <c r="Q228" s="86"/>
      <c r="U228" s="66"/>
    </row>
    <row r="229" spans="1:2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86"/>
      <c r="R229" s="65"/>
      <c r="S229" s="65"/>
    </row>
    <row r="230" spans="1:2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86"/>
      <c r="R230" s="65"/>
      <c r="S230" s="65"/>
    </row>
    <row r="231" spans="1:21" s="65" customFormat="1">
      <c r="Q231" s="86"/>
      <c r="U231" s="66"/>
    </row>
    <row r="232" spans="1:21" s="65" customFormat="1">
      <c r="Q232" s="86"/>
      <c r="U232" s="66"/>
    </row>
    <row r="233" spans="1:21" s="65" customFormat="1">
      <c r="Q233" s="86"/>
      <c r="U233" s="66"/>
    </row>
    <row r="234" spans="1:21" s="65" customFormat="1">
      <c r="Q234" s="86"/>
      <c r="U234" s="66"/>
    </row>
    <row r="235" spans="1:21" s="65" customFormat="1">
      <c r="Q235" s="86"/>
      <c r="U235" s="66"/>
    </row>
    <row r="236" spans="1:21" s="65" customFormat="1">
      <c r="Q236" s="86"/>
      <c r="U236" s="66"/>
    </row>
    <row r="237" spans="1:21" s="65" customFormat="1">
      <c r="Q237" s="86"/>
      <c r="U237" s="66"/>
    </row>
    <row r="238" spans="1:21" s="65" customFormat="1">
      <c r="Q238" s="86"/>
      <c r="U238" s="66"/>
    </row>
    <row r="239" spans="1:21" s="65" customFormat="1">
      <c r="Q239" s="86"/>
      <c r="U239" s="66"/>
    </row>
    <row r="240" spans="1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U305" s="66"/>
    </row>
    <row r="306" spans="17:21" s="65" customFormat="1">
      <c r="Q306" s="86"/>
      <c r="U306" s="66"/>
    </row>
    <row r="307" spans="17:21" s="65" customFormat="1">
      <c r="Q307" s="86"/>
      <c r="U307" s="66"/>
    </row>
    <row r="308" spans="17:21" s="65" customFormat="1">
      <c r="Q308" s="86"/>
      <c r="U308" s="66"/>
    </row>
    <row r="309" spans="17:21" s="65" customFormat="1">
      <c r="Q309" s="86"/>
      <c r="U309" s="66"/>
    </row>
    <row r="310" spans="17:21" s="65" customFormat="1">
      <c r="Q310" s="86"/>
      <c r="U310" s="66"/>
    </row>
    <row r="311" spans="17:21" s="65" customFormat="1">
      <c r="Q311" s="86"/>
      <c r="U311" s="66"/>
    </row>
    <row r="312" spans="17:21" s="65" customFormat="1">
      <c r="Q312" s="86"/>
      <c r="U312" s="66"/>
    </row>
    <row r="313" spans="17:21" s="65" customFormat="1">
      <c r="Q313" s="86"/>
      <c r="U313" s="66"/>
    </row>
    <row r="314" spans="17:21" s="65" customFormat="1">
      <c r="Q314" s="86"/>
      <c r="U314" s="66"/>
    </row>
    <row r="315" spans="17:21" s="65" customFormat="1">
      <c r="Q315" s="86"/>
      <c r="U315" s="66"/>
    </row>
    <row r="316" spans="17:21" s="65" customFormat="1">
      <c r="Q316" s="86"/>
      <c r="U316" s="66"/>
    </row>
    <row r="317" spans="17:21" s="65" customFormat="1">
      <c r="Q317" s="86"/>
      <c r="R317" s="66"/>
      <c r="S317" s="66"/>
      <c r="U317" s="66"/>
    </row>
    <row r="318" spans="17:21" s="65" customFormat="1">
      <c r="Q318" s="86"/>
      <c r="R318" s="66"/>
      <c r="S318" s="66"/>
      <c r="U318" s="66"/>
    </row>
    <row r="319" spans="17:21" s="65" customFormat="1">
      <c r="Q319" s="86"/>
      <c r="R319" s="66"/>
      <c r="S319" s="66"/>
      <c r="U319" s="66"/>
    </row>
    <row r="320" spans="17:21" s="65" customFormat="1">
      <c r="Q320" s="86"/>
      <c r="R320" s="66"/>
      <c r="S320" s="66"/>
      <c r="U320" s="66"/>
    </row>
  </sheetData>
  <sheetProtection algorithmName="SHA-512" hashValue="A8VZYqgFACn+Go9JgeSH87irOzt/ZYF8HncZKRe9ZtOpw3Gc1Y6miJ6kcr8pk0X4oHBYrjnM0Kyu/YRP/EO2KA==" saltValue="oHWikXM6kM7OQx1Rxf/QSA==" spinCount="100000" sheet="1" formatCells="0" formatColumns="0" formatRows="0" sort="0" autoFilter="0" pivotTables="0"/>
  <mergeCells count="6">
    <mergeCell ref="A179:M179"/>
    <mergeCell ref="A1:U1"/>
    <mergeCell ref="A115:B115"/>
    <mergeCell ref="A131:B131"/>
    <mergeCell ref="A147:B147"/>
    <mergeCell ref="A163:N163"/>
  </mergeCells>
  <pageMargins left="0.25" right="0.25" top="0.75" bottom="0.75" header="0.3" footer="0.3"/>
  <pageSetup paperSize="9" scale="15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3200-000000000000}">
          <x14:formula1>
            <xm:f>Списки!$C$2:$C$27</xm:f>
          </x14:formula1>
          <xm:sqref>T8 T23 J3:J26 J28:J109 S3:T7 S9:T22 S24:T26 S28:T109</xm:sqref>
        </x14:dataValidation>
        <x14:dataValidation type="list" allowBlank="1" showInputMessage="1" showErrorMessage="1" xr:uid="{00000000-0002-0000-3200-000001000000}">
          <x14:formula1>
            <xm:f>Списки!$B$2:$B$5</xm:f>
          </x14:formula1>
          <xm:sqref>C3:C26 C28:C109 G112:G113</xm:sqref>
        </x14:dataValidation>
        <x14:dataValidation type="list" allowBlank="1" showInputMessage="1" showErrorMessage="1" xr:uid="{00000000-0002-0000-3200-000002000000}">
          <x14:formula1>
            <xm:f>Списки!$C$3:$C$4</xm:f>
          </x14:formula1>
          <xm:sqref>D112:D113</xm:sqref>
        </x14:dataValidation>
        <x14:dataValidation type="list" allowBlank="1" showInputMessage="1" showErrorMessage="1" xr:uid="{00000000-0002-0000-3200-000003000000}">
          <x14:formula1>
            <xm:f>Списки!$D$2:$D$7</xm:f>
          </x14:formula1>
          <xm:sqref>F112:F113 G3:G26 G28:G109</xm:sqref>
        </x14:dataValidation>
        <x14:dataValidation type="list" allowBlank="1" showInputMessage="1" showErrorMessage="1" xr:uid="{00000000-0002-0000-3200-000004000000}">
          <x14:formula1>
            <xm:f>Списки!$E$2:$E$7</xm:f>
          </x14:formula1>
          <xm:sqref>H112:H113 K3:K26 K28:K109</xm:sqref>
        </x14:dataValidation>
        <x14:dataValidation type="list" allowBlank="1" showInputMessage="1" showErrorMessage="1" xr:uid="{00000000-0002-0000-3200-000005000000}">
          <x14:formula1>
            <xm:f>Списки!$G$2:$G$3</xm:f>
          </x14:formula1>
          <xm:sqref>L112:L113 M3:M26 M28:M109</xm:sqref>
        </x14:dataValidation>
        <x14:dataValidation type="list" allowBlank="1" showInputMessage="1" showErrorMessage="1" xr:uid="{00000000-0002-0000-3200-000006000000}">
          <x14:formula1>
            <xm:f>Списки!$F$2:$F$3</xm:f>
          </x14:formula1>
          <xm:sqref>N112:N113 O3:O26 O28:O68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F285"/>
  <sheetViews>
    <sheetView view="pageBreakPreview" zoomScaleNormal="85" workbookViewId="0">
      <pane ySplit="2" topLeftCell="A3" activePane="bottomLeft" state="frozen"/>
      <selection pane="bottomLeft" activeCell="K92" sqref="K9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3.42578125" style="66" customWidth="1"/>
    <col min="4" max="4" width="14.28515625" style="66" customWidth="1"/>
    <col min="5" max="5" width="12.28515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710937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1.140625" style="66" customWidth="1"/>
    <col min="18" max="18" width="19.85546875" style="66" customWidth="1"/>
    <col min="19" max="19" width="32.85546875" style="66" customWidth="1"/>
    <col min="20" max="20" width="8.425781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297">
        <v>45504</v>
      </c>
      <c r="B1" s="2298"/>
      <c r="C1" s="2298"/>
      <c r="D1" s="2298"/>
      <c r="E1" s="2298"/>
      <c r="F1" s="2298"/>
      <c r="G1" s="2298"/>
      <c r="H1" s="2298"/>
      <c r="I1" s="2298"/>
      <c r="J1" s="2298"/>
      <c r="K1" s="2298"/>
      <c r="L1" s="2298"/>
      <c r="M1" s="2298"/>
      <c r="N1" s="2298"/>
      <c r="O1" s="2298"/>
      <c r="P1" s="2298"/>
      <c r="Q1" s="2298"/>
      <c r="R1" s="2298"/>
      <c r="S1" s="2298"/>
      <c r="T1" s="2298"/>
      <c r="U1" s="2298"/>
    </row>
    <row r="2" spans="1:32" ht="31.5">
      <c r="A2" s="70" t="s">
        <v>719</v>
      </c>
      <c r="B2" s="70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439" t="s">
        <v>576</v>
      </c>
      <c r="I2" s="439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500</v>
      </c>
      <c r="V2" s="462" t="s">
        <v>1584</v>
      </c>
    </row>
    <row r="3" spans="1:32" s="368" customFormat="1" ht="16.5" customHeight="1">
      <c r="A3" s="369">
        <v>1</v>
      </c>
      <c r="B3" s="440"/>
      <c r="C3" s="369">
        <v>33398</v>
      </c>
      <c r="D3" s="440" t="s">
        <v>7</v>
      </c>
      <c r="E3" s="369">
        <v>535</v>
      </c>
      <c r="F3" s="369">
        <v>2</v>
      </c>
      <c r="G3" s="369">
        <v>62.18</v>
      </c>
      <c r="H3" s="369" t="s">
        <v>25</v>
      </c>
      <c r="I3" s="369">
        <v>22000</v>
      </c>
      <c r="J3" s="450">
        <v>7631329</v>
      </c>
      <c r="K3" s="369" t="s">
        <v>20</v>
      </c>
      <c r="L3" s="369" t="s">
        <v>22</v>
      </c>
      <c r="M3" s="369" t="s">
        <v>583</v>
      </c>
      <c r="N3" s="369" t="s">
        <v>18</v>
      </c>
      <c r="O3" s="451">
        <v>45488</v>
      </c>
      <c r="P3" s="369" t="s">
        <v>17</v>
      </c>
      <c r="Q3" s="446" t="s">
        <v>2143</v>
      </c>
      <c r="R3" s="372" t="s">
        <v>2136</v>
      </c>
      <c r="S3" s="372" t="s">
        <v>67</v>
      </c>
      <c r="T3" s="369" t="s">
        <v>20</v>
      </c>
      <c r="U3" s="369" t="s">
        <v>8</v>
      </c>
      <c r="V3" s="373">
        <f>июнь2442[[#This Row],[сумма]]-июнь2442[[#This Row],[Цена м2 отделки]]*июнь2442[[#This Row],[м2]]</f>
        <v>6263369</v>
      </c>
    </row>
    <row r="4" spans="1:32">
      <c r="A4" s="65">
        <v>2</v>
      </c>
      <c r="B4" s="65"/>
      <c r="C4" s="78"/>
      <c r="D4" s="65"/>
      <c r="E4" s="79"/>
      <c r="F4" s="65"/>
      <c r="G4" s="65"/>
      <c r="H4" s="86"/>
      <c r="I4" s="65"/>
      <c r="J4" s="104"/>
      <c r="K4" s="65"/>
      <c r="L4" s="65"/>
      <c r="M4" s="65"/>
      <c r="N4" s="65"/>
      <c r="O4" s="98"/>
      <c r="P4" s="65"/>
      <c r="Q4" s="86"/>
      <c r="R4" s="118"/>
      <c r="S4" s="118"/>
      <c r="U4" s="65"/>
      <c r="V4" s="115">
        <f>июнь2442[[#This Row],[сумма]]-июнь2442[[#This Row],[Цена м2 отделки]]*июнь2442[[#This Row],[м2]]</f>
        <v>0</v>
      </c>
    </row>
    <row r="5" spans="1:32" s="61" customFormat="1" ht="25.5">
      <c r="A5" s="65">
        <v>3</v>
      </c>
      <c r="B5" s="65"/>
      <c r="C5" s="441">
        <v>31647</v>
      </c>
      <c r="D5" s="442" t="s">
        <v>13</v>
      </c>
      <c r="E5" s="441">
        <v>575</v>
      </c>
      <c r="F5" s="442">
        <v>0</v>
      </c>
      <c r="G5" s="442">
        <v>24.5</v>
      </c>
      <c r="H5" s="442" t="s">
        <v>25</v>
      </c>
      <c r="I5" s="442">
        <v>20000</v>
      </c>
      <c r="J5" s="452"/>
      <c r="K5" s="442" t="s">
        <v>20</v>
      </c>
      <c r="L5" s="442" t="s">
        <v>22</v>
      </c>
      <c r="M5" s="442" t="s">
        <v>583</v>
      </c>
      <c r="N5" s="442" t="s">
        <v>12</v>
      </c>
      <c r="O5" s="453"/>
      <c r="P5" s="442" t="s">
        <v>17</v>
      </c>
      <c r="Q5" s="463" t="s">
        <v>2144</v>
      </c>
      <c r="R5" s="464" t="s">
        <v>2145</v>
      </c>
      <c r="S5" s="464" t="s">
        <v>2146</v>
      </c>
      <c r="T5" s="442" t="s">
        <v>20</v>
      </c>
      <c r="U5" s="442" t="s">
        <v>20</v>
      </c>
      <c r="V5" s="115">
        <f>июнь2442[[#This Row],[сумма]]-июнь2442[[#This Row],[Цена м2 отделки]]*июнь2442[[#This Row],[м2]]</f>
        <v>-490000</v>
      </c>
    </row>
    <row r="6" spans="1:32" ht="25.5">
      <c r="A6" s="65">
        <v>4</v>
      </c>
      <c r="B6" s="65"/>
      <c r="C6" s="443">
        <v>31745</v>
      </c>
      <c r="D6" s="97" t="s">
        <v>27</v>
      </c>
      <c r="E6" s="443">
        <v>193</v>
      </c>
      <c r="F6" s="443">
        <v>0</v>
      </c>
      <c r="G6" s="97">
        <v>25.1</v>
      </c>
      <c r="H6" s="97" t="s">
        <v>25</v>
      </c>
      <c r="I6" s="97">
        <v>22000</v>
      </c>
      <c r="J6" s="454" t="s">
        <v>118</v>
      </c>
      <c r="K6" s="97" t="s">
        <v>20</v>
      </c>
      <c r="L6" s="97" t="s">
        <v>10</v>
      </c>
      <c r="M6" s="97" t="s">
        <v>514</v>
      </c>
      <c r="N6" s="97" t="s">
        <v>12</v>
      </c>
      <c r="O6" s="455"/>
      <c r="P6" s="97" t="s">
        <v>17</v>
      </c>
      <c r="Q6" s="465" t="s">
        <v>2144</v>
      </c>
      <c r="R6" s="393"/>
      <c r="S6" s="393" t="s">
        <v>2146</v>
      </c>
      <c r="T6" s="97" t="s">
        <v>20</v>
      </c>
      <c r="U6" s="97" t="s">
        <v>20</v>
      </c>
      <c r="V6" s="115" t="e">
        <f>июнь2442[[#This Row],[сумма]]-июнь2442[[#This Row],[Цена м2 отделки]]*июнь2442[[#This Row],[м2]]</f>
        <v>#VALUE!</v>
      </c>
    </row>
    <row r="7" spans="1:32" s="61" customFormat="1">
      <c r="A7" s="65"/>
      <c r="B7" s="65"/>
      <c r="C7" s="444"/>
      <c r="D7" s="97"/>
      <c r="E7" s="97"/>
      <c r="F7" s="97"/>
      <c r="G7" s="97"/>
      <c r="H7" s="97"/>
      <c r="I7" s="97"/>
      <c r="J7" s="454"/>
      <c r="K7" s="119"/>
      <c r="L7" s="97"/>
      <c r="M7" s="97"/>
      <c r="N7" s="97"/>
      <c r="O7" s="455"/>
      <c r="P7" s="119"/>
      <c r="Q7" s="465"/>
      <c r="R7" s="465"/>
      <c r="S7" s="465"/>
      <c r="T7" s="119"/>
      <c r="U7" s="119"/>
      <c r="V7" s="115">
        <f>июнь2442[[#This Row],[сумма]]-июнь2442[[#This Row],[Цена м2 отделки]]*июнь2442[[#This Row],[м2]]</f>
        <v>0</v>
      </c>
    </row>
    <row r="8" spans="1:32" s="61" customFormat="1">
      <c r="A8" s="65">
        <v>6</v>
      </c>
      <c r="B8" s="65"/>
      <c r="C8" s="79">
        <v>30117</v>
      </c>
      <c r="D8" s="65" t="s">
        <v>7</v>
      </c>
      <c r="E8" s="79">
        <v>213</v>
      </c>
      <c r="F8" s="65">
        <v>1</v>
      </c>
      <c r="G8" s="65">
        <v>36.700000000000003</v>
      </c>
      <c r="H8" s="80" t="s">
        <v>25</v>
      </c>
      <c r="I8" s="80">
        <v>22000</v>
      </c>
      <c r="J8" s="93"/>
      <c r="K8" s="80" t="s">
        <v>20</v>
      </c>
      <c r="L8" s="65" t="s">
        <v>10</v>
      </c>
      <c r="M8" s="65" t="s">
        <v>514</v>
      </c>
      <c r="N8" s="65" t="s">
        <v>18</v>
      </c>
      <c r="O8" s="98"/>
      <c r="P8" s="80" t="s">
        <v>17</v>
      </c>
      <c r="Q8" s="86" t="s">
        <v>2147</v>
      </c>
      <c r="R8" s="86"/>
      <c r="S8" s="86" t="s">
        <v>2148</v>
      </c>
      <c r="T8" s="80" t="s">
        <v>20</v>
      </c>
      <c r="U8" s="80" t="s">
        <v>20</v>
      </c>
      <c r="V8" s="115">
        <f>июнь2442[[#This Row],[сумма]]-июнь2442[[#This Row],[Цена м2 отделки]]*июнь2442[[#This Row],[м2]]</f>
        <v>-807400.00000000012</v>
      </c>
    </row>
    <row r="9" spans="1:32" s="61" customFormat="1">
      <c r="A9" s="65">
        <v>7</v>
      </c>
      <c r="B9" s="65"/>
      <c r="C9" s="78"/>
      <c r="D9" s="65"/>
      <c r="E9" s="79"/>
      <c r="F9" s="65"/>
      <c r="G9" s="65"/>
      <c r="H9" s="86"/>
      <c r="I9" s="65"/>
      <c r="J9" s="104"/>
      <c r="K9" s="65"/>
      <c r="L9" s="65"/>
      <c r="M9" s="65"/>
      <c r="N9" s="65"/>
      <c r="O9" s="98"/>
      <c r="P9" s="65"/>
      <c r="Q9" s="86"/>
      <c r="R9" s="118"/>
      <c r="S9" s="118" t="s">
        <v>2149</v>
      </c>
      <c r="T9" s="65" t="s">
        <v>20</v>
      </c>
      <c r="U9" s="65" t="s">
        <v>8</v>
      </c>
      <c r="V9" s="115">
        <f>июнь2442[[#This Row],[сумма]]-июнь2442[[#This Row],[Цена м2 отделки]]*июнь2442[[#This Row],[м2]]</f>
        <v>0</v>
      </c>
    </row>
    <row r="10" spans="1:32" ht="12.75" customHeight="1">
      <c r="A10" s="65">
        <v>8</v>
      </c>
      <c r="B10" s="65"/>
      <c r="C10" s="78"/>
      <c r="D10" s="65"/>
      <c r="E10" s="79"/>
      <c r="F10" s="65"/>
      <c r="G10" s="65"/>
      <c r="H10" s="65"/>
      <c r="I10" s="65"/>
      <c r="J10" s="93"/>
      <c r="K10" s="80"/>
      <c r="L10" s="65"/>
      <c r="M10" s="65"/>
      <c r="N10" s="65"/>
      <c r="O10" s="98"/>
      <c r="P10" s="65"/>
      <c r="Q10" s="65"/>
      <c r="R10" s="118"/>
      <c r="S10" s="118"/>
      <c r="T10" s="80"/>
      <c r="U10" s="80"/>
      <c r="V10" s="115">
        <f>июнь2442[[#This Row],[сумма]]-июнь2442[[#This Row],[Цена м2 отделки]]*июнь2442[[#This Row],[м2]]</f>
        <v>0</v>
      </c>
    </row>
    <row r="11" spans="1:32" s="368" customFormat="1" ht="12.75" customHeight="1">
      <c r="A11" s="369">
        <v>9</v>
      </c>
      <c r="B11" s="369" t="s">
        <v>6</v>
      </c>
      <c r="C11" s="440">
        <v>32625</v>
      </c>
      <c r="D11" s="369" t="s">
        <v>7</v>
      </c>
      <c r="E11" s="440">
        <v>404</v>
      </c>
      <c r="F11" s="369">
        <v>3</v>
      </c>
      <c r="G11" s="369">
        <v>74.28</v>
      </c>
      <c r="H11" s="369" t="s">
        <v>25</v>
      </c>
      <c r="I11" s="369">
        <v>22000</v>
      </c>
      <c r="J11" s="450">
        <v>9301778</v>
      </c>
      <c r="K11" s="456" t="s">
        <v>8</v>
      </c>
      <c r="L11" s="369" t="s">
        <v>22</v>
      </c>
      <c r="M11" s="369" t="s">
        <v>583</v>
      </c>
      <c r="N11" s="369" t="s">
        <v>18</v>
      </c>
      <c r="O11" s="451">
        <v>45486</v>
      </c>
      <c r="P11" s="369" t="s">
        <v>17</v>
      </c>
      <c r="Q11" s="369" t="s">
        <v>2150</v>
      </c>
      <c r="R11" s="446"/>
      <c r="S11" s="372" t="s">
        <v>67</v>
      </c>
      <c r="T11" s="456" t="s">
        <v>8</v>
      </c>
      <c r="U11" s="456" t="s">
        <v>8</v>
      </c>
      <c r="V11" s="373">
        <f>июнь2442[[#This Row],[сумма]]-июнь2442[[#This Row],[Цена м2 отделки]]*июнь2442[[#This Row],[м2]]</f>
        <v>7667618</v>
      </c>
    </row>
    <row r="12" spans="1:32" s="368" customFormat="1">
      <c r="A12" s="369">
        <v>10</v>
      </c>
      <c r="B12" s="369" t="s">
        <v>6</v>
      </c>
      <c r="C12" s="445">
        <v>17298</v>
      </c>
      <c r="D12" s="369" t="s">
        <v>13</v>
      </c>
      <c r="E12" s="440">
        <v>50</v>
      </c>
      <c r="F12" s="369">
        <v>2</v>
      </c>
      <c r="G12" s="369">
        <v>68.5</v>
      </c>
      <c r="H12" s="446" t="s">
        <v>9</v>
      </c>
      <c r="I12" s="446"/>
      <c r="J12" s="457">
        <v>6717100</v>
      </c>
      <c r="K12" s="369" t="s">
        <v>8</v>
      </c>
      <c r="L12" s="369" t="s">
        <v>1892</v>
      </c>
      <c r="M12" s="369" t="s">
        <v>583</v>
      </c>
      <c r="N12" s="369" t="s">
        <v>18</v>
      </c>
      <c r="O12" s="451">
        <v>45474</v>
      </c>
      <c r="P12" s="369" t="s">
        <v>17</v>
      </c>
      <c r="Q12" s="446" t="s">
        <v>2151</v>
      </c>
      <c r="R12" s="372" t="s">
        <v>2136</v>
      </c>
      <c r="S12" s="372" t="s">
        <v>67</v>
      </c>
      <c r="T12" s="369" t="s">
        <v>8</v>
      </c>
      <c r="U12" s="369" t="s">
        <v>8</v>
      </c>
      <c r="V12" s="373">
        <f>июнь2442[[#This Row],[сумма]]-июнь2442[[#This Row],[Цена м2 отделки]]*июнь2442[[#This Row],[м2]]</f>
        <v>6717100</v>
      </c>
    </row>
    <row r="13" spans="1:32" s="368" customFormat="1">
      <c r="A13" s="369">
        <v>11</v>
      </c>
      <c r="B13" s="369" t="s">
        <v>6</v>
      </c>
      <c r="C13" s="445">
        <v>29401</v>
      </c>
      <c r="D13" s="369" t="s">
        <v>13</v>
      </c>
      <c r="E13" s="440">
        <v>20</v>
      </c>
      <c r="F13" s="369">
        <v>1</v>
      </c>
      <c r="G13" s="369">
        <v>42.75</v>
      </c>
      <c r="H13" s="369" t="s">
        <v>25</v>
      </c>
      <c r="I13" s="369">
        <v>20000</v>
      </c>
      <c r="J13" s="450">
        <v>5389362</v>
      </c>
      <c r="K13" s="369" t="s">
        <v>8</v>
      </c>
      <c r="L13" s="369" t="s">
        <v>22</v>
      </c>
      <c r="M13" s="369" t="s">
        <v>1970</v>
      </c>
      <c r="N13" s="369" t="s">
        <v>12</v>
      </c>
      <c r="O13" s="451">
        <v>45488</v>
      </c>
      <c r="P13" s="369" t="s">
        <v>17</v>
      </c>
      <c r="Q13" s="446" t="s">
        <v>2152</v>
      </c>
      <c r="R13" s="372" t="s">
        <v>1970</v>
      </c>
      <c r="S13" s="372" t="s">
        <v>67</v>
      </c>
      <c r="T13" s="369" t="s">
        <v>8</v>
      </c>
      <c r="U13" s="369" t="s">
        <v>8</v>
      </c>
      <c r="V13" s="373">
        <f>июнь2442[[#This Row],[сумма]]-июнь2442[[#This Row],[Цена м2 отделки]]*июнь2442[[#This Row],[м2]]</f>
        <v>4534362</v>
      </c>
      <c r="AF13" s="469"/>
    </row>
    <row r="14" spans="1:32" s="368" customFormat="1">
      <c r="A14" s="369">
        <v>12</v>
      </c>
      <c r="B14" s="369" t="s">
        <v>6</v>
      </c>
      <c r="C14" s="440">
        <v>32783</v>
      </c>
      <c r="D14" s="369" t="s">
        <v>13</v>
      </c>
      <c r="E14" s="440">
        <v>182</v>
      </c>
      <c r="F14" s="369">
        <v>0</v>
      </c>
      <c r="G14" s="369">
        <v>24.28</v>
      </c>
      <c r="H14" s="369" t="s">
        <v>25</v>
      </c>
      <c r="I14" s="369">
        <v>20000</v>
      </c>
      <c r="J14" s="450">
        <v>3430326</v>
      </c>
      <c r="K14" s="369" t="s">
        <v>8</v>
      </c>
      <c r="L14" s="369"/>
      <c r="M14" s="369" t="s">
        <v>514</v>
      </c>
      <c r="N14" s="369" t="s">
        <v>18</v>
      </c>
      <c r="O14" s="451"/>
      <c r="P14" s="369" t="s">
        <v>17</v>
      </c>
      <c r="Q14" s="369" t="s">
        <v>2153</v>
      </c>
      <c r="R14" s="372"/>
      <c r="S14" s="372" t="s">
        <v>67</v>
      </c>
      <c r="T14" s="369" t="s">
        <v>8</v>
      </c>
      <c r="U14" s="369" t="s">
        <v>8</v>
      </c>
      <c r="V14" s="373">
        <f>июнь2442[[#This Row],[сумма]]-июнь2442[[#This Row],[Цена м2 отделки]]*июнь2442[[#This Row],[м2]]</f>
        <v>2944726</v>
      </c>
    </row>
    <row r="15" spans="1:32" s="437" customFormat="1">
      <c r="A15" s="447">
        <v>13</v>
      </c>
      <c r="B15" s="447"/>
      <c r="C15" s="448">
        <v>33476</v>
      </c>
      <c r="D15" s="447" t="s">
        <v>13</v>
      </c>
      <c r="E15" s="448">
        <v>139</v>
      </c>
      <c r="F15" s="447">
        <v>2</v>
      </c>
      <c r="G15" s="447">
        <v>60.22</v>
      </c>
      <c r="H15" s="447" t="s">
        <v>21</v>
      </c>
      <c r="I15" s="447">
        <v>7000</v>
      </c>
      <c r="J15" s="458">
        <v>6278940</v>
      </c>
      <c r="K15" s="447" t="s">
        <v>14</v>
      </c>
      <c r="L15" s="447" t="s">
        <v>22</v>
      </c>
      <c r="M15" s="447" t="s">
        <v>583</v>
      </c>
      <c r="N15" s="447" t="s">
        <v>18</v>
      </c>
      <c r="O15" s="459">
        <v>45492</v>
      </c>
      <c r="P15" s="447" t="s">
        <v>17</v>
      </c>
      <c r="Q15" s="447" t="s">
        <v>2154</v>
      </c>
      <c r="R15" s="466" t="s">
        <v>2136</v>
      </c>
      <c r="S15" s="466" t="s">
        <v>67</v>
      </c>
      <c r="T15" s="447" t="s">
        <v>14</v>
      </c>
      <c r="U15" s="447" t="s">
        <v>14</v>
      </c>
      <c r="V15" s="467">
        <f>июнь2442[[#This Row],[сумма]]-июнь2442[[#This Row],[Цена м2 отделки]]*июнь2442[[#This Row],[м2]]</f>
        <v>5857400</v>
      </c>
    </row>
    <row r="16" spans="1:32" s="368" customFormat="1">
      <c r="A16" s="369">
        <v>14</v>
      </c>
      <c r="B16" s="369" t="s">
        <v>6</v>
      </c>
      <c r="C16" s="445">
        <v>33688</v>
      </c>
      <c r="D16" s="369" t="s">
        <v>13</v>
      </c>
      <c r="E16" s="440">
        <v>252</v>
      </c>
      <c r="F16" s="369">
        <v>2</v>
      </c>
      <c r="G16" s="369">
        <v>56.58</v>
      </c>
      <c r="H16" s="369" t="s">
        <v>21</v>
      </c>
      <c r="I16" s="369">
        <v>7000</v>
      </c>
      <c r="J16" s="450">
        <v>5964060</v>
      </c>
      <c r="K16" s="369" t="s">
        <v>8</v>
      </c>
      <c r="L16" s="369" t="s">
        <v>1892</v>
      </c>
      <c r="M16" s="369" t="s">
        <v>583</v>
      </c>
      <c r="N16" s="369" t="s">
        <v>18</v>
      </c>
      <c r="O16" s="451">
        <v>45490</v>
      </c>
      <c r="P16" s="369" t="s">
        <v>17</v>
      </c>
      <c r="Q16" s="369" t="s">
        <v>2155</v>
      </c>
      <c r="R16" s="372" t="s">
        <v>2136</v>
      </c>
      <c r="S16" s="372" t="s">
        <v>67</v>
      </c>
      <c r="T16" s="369" t="s">
        <v>8</v>
      </c>
      <c r="U16" s="369" t="s">
        <v>8</v>
      </c>
      <c r="V16" s="373">
        <f>июнь2442[[#This Row],[сумма]]-июнь2442[[#This Row],[Цена м2 отделки]]*июнь2442[[#This Row],[м2]]</f>
        <v>5568000</v>
      </c>
    </row>
    <row r="17" spans="1:23" s="368" customFormat="1">
      <c r="A17" s="369">
        <v>15</v>
      </c>
      <c r="B17" s="369" t="s">
        <v>6</v>
      </c>
      <c r="C17" s="445">
        <v>32660</v>
      </c>
      <c r="D17" s="369" t="s">
        <v>13</v>
      </c>
      <c r="E17" s="440">
        <v>481</v>
      </c>
      <c r="F17" s="369">
        <v>2</v>
      </c>
      <c r="G17" s="369">
        <v>57.8</v>
      </c>
      <c r="H17" s="446" t="s">
        <v>25</v>
      </c>
      <c r="I17" s="446">
        <v>20000</v>
      </c>
      <c r="J17" s="457">
        <v>6669700</v>
      </c>
      <c r="K17" s="369" t="s">
        <v>14</v>
      </c>
      <c r="L17" s="369" t="s">
        <v>1892</v>
      </c>
      <c r="M17" s="369" t="s">
        <v>583</v>
      </c>
      <c r="N17" s="369" t="s">
        <v>18</v>
      </c>
      <c r="O17" s="451">
        <v>45493</v>
      </c>
      <c r="P17" s="369" t="s">
        <v>17</v>
      </c>
      <c r="Q17" s="446" t="s">
        <v>2156</v>
      </c>
      <c r="R17" s="372" t="s">
        <v>2136</v>
      </c>
      <c r="S17" s="372" t="s">
        <v>67</v>
      </c>
      <c r="T17" s="369" t="s">
        <v>14</v>
      </c>
      <c r="U17" s="369" t="s">
        <v>14</v>
      </c>
      <c r="V17" s="373">
        <f>июнь2442[[#This Row],[сумма]]-июнь2442[[#This Row],[Цена м2 отделки]]*июнь2442[[#This Row],[м2]]</f>
        <v>5513700</v>
      </c>
    </row>
    <row r="18" spans="1:23" s="368" customFormat="1" ht="14.25" customHeight="1">
      <c r="A18" s="369">
        <v>16</v>
      </c>
      <c r="B18" s="369" t="s">
        <v>6</v>
      </c>
      <c r="C18" s="440">
        <v>33735</v>
      </c>
      <c r="D18" s="369" t="s">
        <v>13</v>
      </c>
      <c r="E18" s="440">
        <v>516</v>
      </c>
      <c r="F18" s="369">
        <v>1</v>
      </c>
      <c r="G18" s="369">
        <v>39.69</v>
      </c>
      <c r="H18" s="369" t="s">
        <v>21</v>
      </c>
      <c r="I18" s="369">
        <v>7000</v>
      </c>
      <c r="J18" s="450">
        <v>4660430</v>
      </c>
      <c r="K18" s="369" t="s">
        <v>14</v>
      </c>
      <c r="L18" s="369" t="s">
        <v>1892</v>
      </c>
      <c r="M18" s="369" t="s">
        <v>583</v>
      </c>
      <c r="N18" s="369" t="s">
        <v>18</v>
      </c>
      <c r="O18" s="451">
        <v>45495</v>
      </c>
      <c r="P18" s="369" t="s">
        <v>17</v>
      </c>
      <c r="Q18" s="446" t="s">
        <v>2157</v>
      </c>
      <c r="R18" s="372" t="s">
        <v>67</v>
      </c>
      <c r="S18" s="369" t="s">
        <v>67</v>
      </c>
      <c r="T18" s="369" t="s">
        <v>14</v>
      </c>
      <c r="U18" s="369" t="s">
        <v>14</v>
      </c>
      <c r="V18" s="373">
        <f>июнь2442[[#This Row],[сумма]]-июнь2442[[#This Row],[Цена м2 отделки]]*июнь2442[[#This Row],[м2]]</f>
        <v>4382600</v>
      </c>
    </row>
    <row r="19" spans="1:23" s="368" customFormat="1">
      <c r="A19" s="369">
        <v>17</v>
      </c>
      <c r="B19" s="369" t="s">
        <v>6</v>
      </c>
      <c r="C19" s="440">
        <v>33238</v>
      </c>
      <c r="D19" s="369" t="s">
        <v>13</v>
      </c>
      <c r="E19" s="440">
        <v>106</v>
      </c>
      <c r="F19" s="369">
        <v>2</v>
      </c>
      <c r="G19" s="369">
        <v>68.5</v>
      </c>
      <c r="H19" s="369" t="s">
        <v>25</v>
      </c>
      <c r="I19" s="369">
        <v>20000</v>
      </c>
      <c r="J19" s="450">
        <v>8021200</v>
      </c>
      <c r="K19" s="369" t="s">
        <v>8</v>
      </c>
      <c r="L19" s="369" t="s">
        <v>1892</v>
      </c>
      <c r="M19" s="369" t="s">
        <v>583</v>
      </c>
      <c r="N19" s="369" t="s">
        <v>18</v>
      </c>
      <c r="O19" s="451">
        <v>45498</v>
      </c>
      <c r="P19" s="369" t="s">
        <v>17</v>
      </c>
      <c r="Q19" s="446" t="s">
        <v>2158</v>
      </c>
      <c r="R19" s="372" t="s">
        <v>2136</v>
      </c>
      <c r="S19" s="372" t="s">
        <v>1777</v>
      </c>
      <c r="T19" s="369" t="s">
        <v>8</v>
      </c>
      <c r="U19" s="369" t="s">
        <v>8</v>
      </c>
      <c r="V19" s="373">
        <f>июнь2442[[#This Row],[сумма]]-июнь2442[[#This Row],[Цена м2 отделки]]*июнь2442[[#This Row],[м2]]</f>
        <v>6651200</v>
      </c>
    </row>
    <row r="20" spans="1:23" s="61" customFormat="1">
      <c r="A20" s="62">
        <v>18</v>
      </c>
      <c r="B20" s="62" t="s">
        <v>6</v>
      </c>
      <c r="C20" s="75">
        <v>32544</v>
      </c>
      <c r="D20" s="62" t="s">
        <v>13</v>
      </c>
      <c r="E20" s="75">
        <v>262</v>
      </c>
      <c r="F20" s="62">
        <v>3</v>
      </c>
      <c r="G20" s="62">
        <v>80.97</v>
      </c>
      <c r="H20" s="62" t="s">
        <v>9</v>
      </c>
      <c r="I20" s="62"/>
      <c r="J20" s="95">
        <v>7537400</v>
      </c>
      <c r="K20" s="62" t="s">
        <v>14</v>
      </c>
      <c r="L20" s="62" t="s">
        <v>22</v>
      </c>
      <c r="M20" s="62" t="s">
        <v>583</v>
      </c>
      <c r="N20" s="62" t="s">
        <v>18</v>
      </c>
      <c r="O20" s="92">
        <v>45499</v>
      </c>
      <c r="P20" s="62" t="s">
        <v>17</v>
      </c>
      <c r="Q20" s="76" t="s">
        <v>2159</v>
      </c>
      <c r="R20" s="113" t="s">
        <v>67</v>
      </c>
      <c r="S20" s="113">
        <v>45499</v>
      </c>
      <c r="T20" s="62" t="s">
        <v>14</v>
      </c>
      <c r="U20" s="62" t="s">
        <v>14</v>
      </c>
      <c r="V20" s="114">
        <f>июнь2442[[#This Row],[сумма]]-июнь2442[[#This Row],[Цена м2 отделки]]*июнь2442[[#This Row],[м2]]</f>
        <v>7537400</v>
      </c>
    </row>
    <row r="21" spans="1:23" s="368" customFormat="1">
      <c r="A21" s="369">
        <v>19</v>
      </c>
      <c r="B21" s="369" t="s">
        <v>6</v>
      </c>
      <c r="C21" s="440">
        <v>33755</v>
      </c>
      <c r="D21" s="369" t="s">
        <v>13</v>
      </c>
      <c r="E21" s="440">
        <v>47</v>
      </c>
      <c r="F21" s="369">
        <v>2</v>
      </c>
      <c r="G21" s="369">
        <v>58.16</v>
      </c>
      <c r="H21" s="369" t="s">
        <v>21</v>
      </c>
      <c r="I21" s="369">
        <v>7000</v>
      </c>
      <c r="J21" s="450">
        <v>6203120</v>
      </c>
      <c r="K21" s="369" t="s">
        <v>14</v>
      </c>
      <c r="L21" s="369" t="s">
        <v>22</v>
      </c>
      <c r="M21" s="369" t="s">
        <v>583</v>
      </c>
      <c r="N21" s="369" t="s">
        <v>18</v>
      </c>
      <c r="O21" s="451">
        <v>45502</v>
      </c>
      <c r="P21" s="369" t="s">
        <v>17</v>
      </c>
      <c r="Q21" s="369" t="s">
        <v>2160</v>
      </c>
      <c r="R21" s="372" t="s">
        <v>2136</v>
      </c>
      <c r="S21" s="372" t="s">
        <v>67</v>
      </c>
      <c r="T21" s="369" t="s">
        <v>14</v>
      </c>
      <c r="U21" s="369" t="s">
        <v>14</v>
      </c>
      <c r="V21" s="373">
        <f>июнь2442[[#This Row],[сумма]]-июнь2442[[#This Row],[Цена м2 отделки]]*июнь2442[[#This Row],[м2]]</f>
        <v>5796000</v>
      </c>
    </row>
    <row r="22" spans="1:23" s="61" customFormat="1">
      <c r="A22" s="65"/>
      <c r="B22" s="65"/>
      <c r="C22" s="79"/>
      <c r="D22" s="65"/>
      <c r="E22" s="79"/>
      <c r="F22" s="65"/>
      <c r="G22" s="65"/>
      <c r="H22" s="65"/>
      <c r="I22" s="65"/>
      <c r="J22" s="93"/>
      <c r="K22" s="65"/>
      <c r="L22" s="65"/>
      <c r="M22" s="65"/>
      <c r="N22" s="65"/>
      <c r="O22" s="98"/>
      <c r="P22" s="65"/>
      <c r="Q22" s="65"/>
      <c r="R22" s="118"/>
      <c r="S22" s="118"/>
      <c r="T22" s="65"/>
      <c r="U22" s="65"/>
      <c r="V22" s="115">
        <f>июнь2442[[#This Row],[сумма]]-июнь2442[[#This Row],[Цена м2 отделки]]*июнь2442[[#This Row],[м2]]</f>
        <v>0</v>
      </c>
    </row>
    <row r="23" spans="1:23" s="61" customFormat="1">
      <c r="A23" s="65"/>
      <c r="B23" s="65"/>
      <c r="C23" s="79"/>
      <c r="D23" s="65"/>
      <c r="E23" s="79"/>
      <c r="F23" s="65"/>
      <c r="G23" s="65"/>
      <c r="H23" s="65"/>
      <c r="I23" s="65"/>
      <c r="J23" s="93"/>
      <c r="K23" s="65"/>
      <c r="L23" s="65"/>
      <c r="M23" s="65"/>
      <c r="N23" s="65"/>
      <c r="O23" s="98"/>
      <c r="P23" s="65"/>
      <c r="Q23" s="65"/>
      <c r="R23" s="118"/>
      <c r="S23" s="118"/>
      <c r="T23" s="65"/>
      <c r="U23" s="65"/>
      <c r="V23" s="115">
        <f>июнь2442[[#This Row],[сумма]]-июнь2442[[#This Row],[Цена м2 отделки]]*июнь2442[[#This Row],[м2]]</f>
        <v>0</v>
      </c>
    </row>
    <row r="24" spans="1:23">
      <c r="A24" s="65"/>
      <c r="B24" s="65"/>
      <c r="C24" s="79">
        <v>33624</v>
      </c>
      <c r="D24" s="65" t="s">
        <v>19</v>
      </c>
      <c r="E24" s="79">
        <v>63</v>
      </c>
      <c r="F24" s="65">
        <v>2</v>
      </c>
      <c r="G24" s="65">
        <v>54.07</v>
      </c>
      <c r="H24" s="65" t="s">
        <v>21</v>
      </c>
      <c r="I24" s="65"/>
      <c r="J24" s="93"/>
      <c r="K24" s="65" t="s">
        <v>14</v>
      </c>
      <c r="L24" s="65" t="s">
        <v>10</v>
      </c>
      <c r="M24" s="65" t="s">
        <v>118</v>
      </c>
      <c r="N24" s="65" t="s">
        <v>18</v>
      </c>
      <c r="O24" s="98"/>
      <c r="P24" s="65" t="s">
        <v>17</v>
      </c>
      <c r="Q24" s="65" t="s">
        <v>2161</v>
      </c>
      <c r="R24" s="118"/>
      <c r="S24" s="118" t="s">
        <v>2162</v>
      </c>
      <c r="T24" s="65" t="s">
        <v>14</v>
      </c>
      <c r="U24" s="65" t="s">
        <v>14</v>
      </c>
      <c r="V24" s="115">
        <f>июнь2442[[#This Row],[сумма]]-июнь2442[[#This Row],[Цена м2 отделки]]*июнь2442[[#This Row],[м2]]</f>
        <v>0</v>
      </c>
    </row>
    <row r="25" spans="1:23" s="61" customFormat="1" ht="12" customHeight="1">
      <c r="A25" s="62">
        <v>20</v>
      </c>
      <c r="B25" s="62" t="s">
        <v>6</v>
      </c>
      <c r="C25" s="75">
        <v>33882</v>
      </c>
      <c r="D25" s="62" t="s">
        <v>13</v>
      </c>
      <c r="E25" s="75">
        <v>441</v>
      </c>
      <c r="F25" s="349">
        <v>2</v>
      </c>
      <c r="G25" s="62">
        <v>57.8</v>
      </c>
      <c r="H25" s="62" t="s">
        <v>21</v>
      </c>
      <c r="I25" s="348">
        <v>7000</v>
      </c>
      <c r="J25" s="352">
        <v>6001000</v>
      </c>
      <c r="K25" s="62" t="s">
        <v>8</v>
      </c>
      <c r="L25" s="62" t="s">
        <v>22</v>
      </c>
      <c r="M25" s="62" t="s">
        <v>583</v>
      </c>
      <c r="N25" s="62" t="s">
        <v>18</v>
      </c>
      <c r="O25" s="92">
        <v>45500</v>
      </c>
      <c r="P25" s="62" t="s">
        <v>17</v>
      </c>
      <c r="Q25" s="62" t="s">
        <v>2163</v>
      </c>
      <c r="R25" s="113" t="s">
        <v>67</v>
      </c>
      <c r="S25" s="113"/>
      <c r="T25" s="62" t="s">
        <v>8</v>
      </c>
      <c r="U25" s="62" t="s">
        <v>8</v>
      </c>
      <c r="V25" s="114">
        <f>июнь2442[[#This Row],[сумма]]-июнь2442[[#This Row],[Цена м2 отделки]]*июнь2442[[#This Row],[м2]]</f>
        <v>5596400</v>
      </c>
    </row>
    <row r="26" spans="1:23" s="368" customFormat="1">
      <c r="A26" s="369">
        <v>21</v>
      </c>
      <c r="B26" s="369" t="s">
        <v>6</v>
      </c>
      <c r="C26" s="440">
        <v>33035</v>
      </c>
      <c r="D26" s="369" t="s">
        <v>13</v>
      </c>
      <c r="E26" s="440">
        <v>83</v>
      </c>
      <c r="F26" s="449">
        <v>1</v>
      </c>
      <c r="G26" s="369">
        <v>42.75</v>
      </c>
      <c r="H26" s="369" t="s">
        <v>21</v>
      </c>
      <c r="I26" s="460">
        <v>7000</v>
      </c>
      <c r="J26" s="461">
        <v>4972050</v>
      </c>
      <c r="K26" s="460" t="s">
        <v>8</v>
      </c>
      <c r="L26" s="369" t="s">
        <v>1892</v>
      </c>
      <c r="M26" s="456" t="s">
        <v>583</v>
      </c>
      <c r="N26" s="369" t="s">
        <v>18</v>
      </c>
      <c r="O26" s="451">
        <v>45503</v>
      </c>
      <c r="P26" s="369" t="s">
        <v>17</v>
      </c>
      <c r="Q26" s="456" t="s">
        <v>2164</v>
      </c>
      <c r="R26" s="468" t="s">
        <v>2136</v>
      </c>
      <c r="S26" s="468" t="s">
        <v>2165</v>
      </c>
      <c r="T26" s="369" t="s">
        <v>8</v>
      </c>
      <c r="U26" s="369" t="s">
        <v>8</v>
      </c>
      <c r="V26" s="373">
        <f>июнь2442[[#This Row],[сумма]]-июнь2442[[#This Row],[Цена м2 отделки]]*июнь2442[[#This Row],[м2]]</f>
        <v>4672800</v>
      </c>
    </row>
    <row r="27" spans="1:23" s="61" customFormat="1">
      <c r="A27" s="65"/>
      <c r="B27" s="65"/>
      <c r="C27" s="66"/>
      <c r="D27" s="66"/>
      <c r="E27" s="66"/>
      <c r="F27" s="66"/>
      <c r="G27" s="66"/>
      <c r="H27" s="369" t="s">
        <v>25</v>
      </c>
      <c r="I27" s="66"/>
      <c r="J27" s="66"/>
      <c r="K27" s="72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115">
        <f>июнь2442[[#This Row],[сумма]]-июнь2442[[#This Row],[Цена м2 отделки]]*июнь2442[[#This Row],[м2]]</f>
        <v>0</v>
      </c>
      <c r="W27" s="66"/>
    </row>
    <row r="28" spans="1:23" s="368" customFormat="1">
      <c r="A28" s="369">
        <v>22</v>
      </c>
      <c r="B28" s="369" t="s">
        <v>6</v>
      </c>
      <c r="C28" s="445">
        <v>32761</v>
      </c>
      <c r="D28" s="369" t="s">
        <v>13</v>
      </c>
      <c r="E28" s="440">
        <v>475</v>
      </c>
      <c r="F28" s="369">
        <v>3</v>
      </c>
      <c r="G28" s="369">
        <v>79.44</v>
      </c>
      <c r="H28" s="369" t="s">
        <v>25</v>
      </c>
      <c r="I28" s="369">
        <v>20000</v>
      </c>
      <c r="J28" s="450">
        <v>9300106</v>
      </c>
      <c r="K28" s="369" t="s">
        <v>8</v>
      </c>
      <c r="L28" s="369" t="s">
        <v>1892</v>
      </c>
      <c r="M28" s="369" t="s">
        <v>583</v>
      </c>
      <c r="N28" s="369" t="s">
        <v>18</v>
      </c>
      <c r="O28" s="451"/>
      <c r="P28" s="456" t="s">
        <v>17</v>
      </c>
      <c r="Q28" s="369" t="s">
        <v>2166</v>
      </c>
      <c r="R28" s="372" t="s">
        <v>2136</v>
      </c>
      <c r="S28" s="372" t="s">
        <v>2167</v>
      </c>
      <c r="T28" s="456" t="s">
        <v>8</v>
      </c>
      <c r="U28" s="456" t="s">
        <v>8</v>
      </c>
      <c r="V28" s="373">
        <f>июнь2442[[#This Row],[сумма]]-июнь2442[[#This Row],[Цена м2 отделки]]*июнь2442[[#This Row],[м2]]</f>
        <v>7711306</v>
      </c>
    </row>
    <row r="29" spans="1:23" s="368" customFormat="1">
      <c r="A29" s="369">
        <v>23</v>
      </c>
      <c r="B29" s="369" t="s">
        <v>6</v>
      </c>
      <c r="C29" s="440">
        <v>34021</v>
      </c>
      <c r="D29" s="369" t="s">
        <v>13</v>
      </c>
      <c r="E29" s="440">
        <v>210</v>
      </c>
      <c r="F29" s="369">
        <v>0</v>
      </c>
      <c r="G29" s="369">
        <v>24.28</v>
      </c>
      <c r="H29" s="369" t="s">
        <v>25</v>
      </c>
      <c r="I29" s="369">
        <v>20000</v>
      </c>
      <c r="J29" s="450">
        <v>3567000</v>
      </c>
      <c r="K29" s="456" t="s">
        <v>14</v>
      </c>
      <c r="L29" s="369" t="s">
        <v>1892</v>
      </c>
      <c r="M29" s="369" t="s">
        <v>583</v>
      </c>
      <c r="N29" s="369" t="s">
        <v>12</v>
      </c>
      <c r="O29" s="451"/>
      <c r="P29" s="456" t="s">
        <v>17</v>
      </c>
      <c r="Q29" s="369" t="s">
        <v>2168</v>
      </c>
      <c r="R29" s="446" t="s">
        <v>2136</v>
      </c>
      <c r="S29" s="446" t="s">
        <v>2167</v>
      </c>
      <c r="T29" s="456" t="s">
        <v>14</v>
      </c>
      <c r="U29" s="456" t="s">
        <v>14</v>
      </c>
      <c r="V29" s="373">
        <f>июнь2442[[#This Row],[сумма]]-июнь2442[[#This Row],[Цена м2 отделки]]*июнь2442[[#This Row],[м2]]</f>
        <v>3081400</v>
      </c>
    </row>
    <row r="30" spans="1:23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июнь2442[[#This Row],[сумма]]-июнь2442[[#This Row],[Цена м2 отделки]]*июнь2442[[#This Row],[м2]]</f>
        <v>0</v>
      </c>
    </row>
    <row r="31" spans="1:23" s="61" customFormat="1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июнь2442[[#This Row],[сумма]]-июнь2442[[#This Row],[Цена м2 отделки]]*июнь2442[[#This Row],[м2]]</f>
        <v>0</v>
      </c>
    </row>
    <row r="32" spans="1:23" s="61" customFormat="1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июнь2442[[#This Row],[сумма]]-июнь2442[[#This Row],[Цена м2 отделки]]*июнь2442[[#This Row],[м2]]</f>
        <v>0</v>
      </c>
    </row>
    <row r="33" spans="1:23" s="61" customFormat="1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июнь2442[[#This Row],[сумма]]-июнь2442[[#This Row],[Цена м2 отделки]]*июнь2442[[#This Row],[м2]]</f>
        <v>0</v>
      </c>
    </row>
    <row r="34" spans="1:23" s="61" customFormat="1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июнь2442[[#This Row],[сумма]]-июнь2442[[#This Row],[Цена м2 отделки]]*июнь2442[[#This Row],[м2]]</f>
        <v>0</v>
      </c>
    </row>
    <row r="35" spans="1:23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июнь2442[[#This Row],[сумма]]-июнь2442[[#This Row],[Цена м2 отделки]]*июнь2442[[#This Row],[м2]]</f>
        <v>0</v>
      </c>
    </row>
    <row r="36" spans="1:23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июнь2442[[#This Row],[сумма]]-июнь2442[[#This Row],[Цена м2 отделки]]*июнь2442[[#This Row],[м2]]</f>
        <v>0</v>
      </c>
    </row>
    <row r="37" spans="1:23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июнь2442[[#This Row],[сумма]]-июнь2442[[#This Row],[Цена м2 отделки]]*июнь2442[[#This Row],[м2]]</f>
        <v>0</v>
      </c>
    </row>
    <row r="38" spans="1:23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июнь2442[[#This Row],[сумма]]-июнь2442[[#This Row],[Цена м2 отделки]]*июнь2442[[#This Row],[м2]]</f>
        <v>0</v>
      </c>
    </row>
    <row r="39" spans="1:23" s="61" customFormat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июнь2442[[#This Row],[сумма]]-июнь2442[[#This Row],[Цена м2 отделки]]*июнь2442[[#This Row],[м2]]</f>
        <v>0</v>
      </c>
    </row>
    <row r="40" spans="1:23" s="438" customFormat="1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T40" s="65"/>
      <c r="U40" s="65"/>
      <c r="V40" s="115">
        <f>июнь2442[[#This Row],[сумма]]-июнь2442[[#This Row],[Цена м2 отделки]]*июнь2442[[#This Row],[м2]]</f>
        <v>0</v>
      </c>
    </row>
    <row r="41" spans="1:23" s="61" customFormat="1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июнь2442[[#This Row],[сумма]]-июнь2442[[#This Row],[Цена м2 отделки]]*июнь2442[[#This Row],[м2]]</f>
        <v>0</v>
      </c>
    </row>
    <row r="42" spans="1:23" s="61" customFormat="1" ht="11.25" customHeight="1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июнь2442[[#This Row],[сумма]]-июнь2442[[#This Row],[Цена м2 отделки]]*июнь2442[[#This Row],[м2]]</f>
        <v>0</v>
      </c>
      <c r="W42" s="66"/>
    </row>
    <row r="43" spans="1:23" s="61" customFormat="1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июнь2442[[#This Row],[сумма]]-июнь2442[[#This Row],[Цена м2 отделки]]*июнь2442[[#This Row],[м2]]</f>
        <v>0</v>
      </c>
    </row>
    <row r="44" spans="1:23" s="61" customFormat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июнь2442[[#This Row],[сумма]]-июнь2442[[#This Row],[Цена м2 отделки]]*июнь2442[[#This Row],[м2]]</f>
        <v>0</v>
      </c>
      <c r="W44" s="66"/>
    </row>
    <row r="45" spans="1:23" s="61" customFormat="1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июнь2442[[#This Row],[сумма]]-июнь2442[[#This Row],[Цена м2 отделки]]*июнь2442[[#This Row],[м2]]</f>
        <v>0</v>
      </c>
    </row>
    <row r="46" spans="1:23" s="61" customFormat="1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июнь2442[[#This Row],[сумма]]-июнь2442[[#This Row],[Цена м2 отделки]]*июнь2442[[#This Row],[м2]]</f>
        <v>0</v>
      </c>
      <c r="W46" s="66"/>
    </row>
    <row r="47" spans="1:23" s="61" customFormat="1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июнь2442[[#This Row],[сумма]]-июнь2442[[#This Row],[Цена м2 отделки]]*июнь2442[[#This Row],[м2]]</f>
        <v>0</v>
      </c>
      <c r="W47" s="66"/>
    </row>
    <row r="48" spans="1:23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июнь2442[[#This Row],[сумма]]-июнь2442[[#This Row],[Цена м2 отделки]]*июнь2442[[#This Row],[м2]]</f>
        <v>0</v>
      </c>
    </row>
    <row r="49" spans="1:23" s="61" customFormat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июнь2442[[#This Row],[сумма]]-июнь2442[[#This Row],[Цена м2 отделки]]*июнь2442[[#This Row],[м2]]</f>
        <v>0</v>
      </c>
    </row>
    <row r="50" spans="1:23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июнь2442[[#This Row],[сумма]]-июнь2442[[#This Row],[Цена м2 отделки]]*июнь2442[[#This Row],[м2]]</f>
        <v>0</v>
      </c>
    </row>
    <row r="51" spans="1:23" s="61" customFormat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июнь2442[[#This Row],[сумма]]-июнь2442[[#This Row],[Цена м2 отделки]]*июнь2442[[#This Row],[м2]]</f>
        <v>0</v>
      </c>
      <c r="W51" s="66"/>
    </row>
    <row r="52" spans="1:23" s="61" customFormat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июнь2442[[#This Row],[сумма]]-июнь2442[[#This Row],[Цена м2 отделки]]*июнь2442[[#This Row],[м2]]</f>
        <v>0</v>
      </c>
    </row>
    <row r="53" spans="1:23" s="368" customFormat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июнь2442[[#This Row],[сумма]]-июнь2442[[#This Row],[Цена м2 отделки]]*июнь2442[[#This Row],[м2]]</f>
        <v>0</v>
      </c>
      <c r="W53" s="66"/>
    </row>
    <row r="54" spans="1:23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июнь2442[[#This Row],[сумма]]-июнь2442[[#This Row],[Цена м2 отделки]]*июнь2442[[#This Row],[м2]]</f>
        <v>0</v>
      </c>
    </row>
    <row r="55" spans="1:23">
      <c r="A55" s="65"/>
      <c r="B55" s="65"/>
      <c r="C55" s="79"/>
      <c r="D55" s="80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июнь2442[[#This Row],[сумма]]-июнь2442[[#This Row],[Цена м2 отделки]]*июнь2442[[#This Row],[м2]]</f>
        <v>0</v>
      </c>
    </row>
    <row r="56" spans="1:23" s="61" customFormat="1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июнь2442[[#This Row],[сумма]]-июнь2442[[#This Row],[Цена м2 отделки]]*июнь2442[[#This Row],[м2]]</f>
        <v>0</v>
      </c>
    </row>
    <row r="57" spans="1:23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июнь2442[[#This Row],[сумма]]-июнь2442[[#This Row],[Цена м2 отделки]]*июнь2442[[#This Row],[м2]]</f>
        <v>0</v>
      </c>
    </row>
    <row r="58" spans="1:23" s="61" customFormat="1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июнь2442[[#This Row],[сумма]]-июнь2442[[#This Row],[Цена м2 отделки]]*июнь2442[[#This Row],[м2]]</f>
        <v>0</v>
      </c>
    </row>
    <row r="59" spans="1:23" s="61" customFormat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T59" s="65"/>
      <c r="U59" s="65"/>
      <c r="V59" s="115">
        <f>июнь2442[[#This Row],[сумма]]-июнь2442[[#This Row],[Цена м2 отделки]]*июнь2442[[#This Row],[м2]]</f>
        <v>0</v>
      </c>
    </row>
    <row r="60" spans="1:23" s="61" customFormat="1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июнь2442[[#This Row],[сумма]]-июнь2442[[#This Row],[Цена м2 отделки]]*июнь2442[[#This Row],[м2]]</f>
        <v>0</v>
      </c>
    </row>
    <row r="61" spans="1:23" s="61" customFormat="1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июнь2442[[#This Row],[сумма]]-июнь2442[[#This Row],[Цена м2 отделки]]*июнь2442[[#This Row],[м2]]</f>
        <v>0</v>
      </c>
    </row>
    <row r="62" spans="1:23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июнь2442[[#This Row],[сумма]]-июнь2442[[#This Row],[Цена м2 отделки]]*июнь2442[[#This Row],[м2]]</f>
        <v>0</v>
      </c>
    </row>
    <row r="63" spans="1:23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июнь2442[[#This Row],[сумма]]-июнь2442[[#This Row],[Цена м2 отделки]]*июнь2442[[#This Row],[м2]]</f>
        <v>0</v>
      </c>
    </row>
    <row r="64" spans="1:23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июнь2442[[#This Row],[сумма]]-июнь2442[[#This Row],[Цена м2 отделки]]*июнь2442[[#This Row],[м2]]</f>
        <v>0</v>
      </c>
    </row>
    <row r="65" spans="1:21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1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</row>
    <row r="67" spans="1:21" s="65" customFormat="1">
      <c r="B67" s="79"/>
      <c r="D67" s="79"/>
      <c r="I67" s="93"/>
      <c r="J67" s="80"/>
      <c r="N67" s="98"/>
      <c r="O67" s="80"/>
      <c r="Q67" s="86"/>
      <c r="U67" s="66"/>
    </row>
    <row r="68" spans="1:21" s="65" customFormat="1">
      <c r="B68" s="79"/>
      <c r="C68" s="79"/>
      <c r="D68" s="80"/>
      <c r="F68" s="72"/>
      <c r="I68" s="105"/>
      <c r="M68" s="110"/>
      <c r="O68" s="72"/>
      <c r="P68" s="86"/>
      <c r="Q68" s="86"/>
      <c r="U68" s="66"/>
    </row>
    <row r="69" spans="1:21" s="65" customFormat="1">
      <c r="U69" s="66"/>
    </row>
    <row r="70" spans="1:21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1" s="65" customFormat="1" ht="22.5" customHeigh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1" s="65" customFormat="1">
      <c r="A72" s="142" t="s">
        <v>8</v>
      </c>
      <c r="B72" s="267">
        <f>IFERROR(VLOOKUP(A72,'ИПП 3кв24'!$B$6:$L$16,4,0),"")</f>
        <v>183</v>
      </c>
      <c r="C72" s="146">
        <f>IFERROR(VLOOKUP(A72,'ИПП 3кв24'!$B$5:$L$16,5,0),"")</f>
        <v>19547210</v>
      </c>
      <c r="D72" s="145">
        <f>SUMIFS(июнь2442[м2],июнь2442[МОП],$A72,июнь2442[№ дома],$C$70,июнь2442[Комнатность],"&lt;&gt;Офис")</f>
        <v>74.28</v>
      </c>
      <c r="E72" s="146">
        <f>SUMIFS(июнь2442[Сумма без отделки],июнь2442[МОП],$A72,июнь2442[№ дома],$C$70,июнь2442[Комнатность],"&lt;&gt;Офис")</f>
        <v>7667618</v>
      </c>
      <c r="F72" s="147">
        <f>COUNTIFS(июнь2442[МОП],$A72,июнь2442[№ дома],$C$70,июнь2442[Комнатность],"&lt;&gt;Офис")</f>
        <v>1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74.28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7667618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1</v>
      </c>
      <c r="J72" s="221">
        <f t="shared" ref="J72:K78" si="0">IFERROR(G72/B72,"")</f>
        <v>0.40590163934426232</v>
      </c>
      <c r="K72" s="222">
        <f t="shared" si="0"/>
        <v>0.39226150432721602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1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1" s="65" customFormat="1">
      <c r="A73" s="150" t="s">
        <v>46</v>
      </c>
      <c r="B73" s="267">
        <f>IFERROR(VLOOKUP(A73,'ИПП 3кв24'!$B$6:$L$16,4,0),"")</f>
        <v>0</v>
      </c>
      <c r="C73" s="146">
        <f>IFERROR(VLOOKUP(A73,'ИПП 3кв24'!$B$5:$L$16,5,0),"")</f>
        <v>0</v>
      </c>
      <c r="D73" s="145">
        <f>SUMIFS(июнь2442[м2],июнь2442[МОП],$A73,июнь2442[№ дома],$C$70,июнь2442[Комнатность],"&lt;&gt;Офис")</f>
        <v>0</v>
      </c>
      <c r="E73" s="146">
        <f>SUMIFS(июнь2442[Сумма без отделки],июнь2442[МОП],$A73,июнь2442[№ дома],$C$70,июнь2442[Комнатность],"&lt;&gt;Офис")</f>
        <v>0</v>
      </c>
      <c r="F73" s="147">
        <f>COUNTIFS(июнь2442[МОП],$A73,июнь2442[№ дома],$C$70,июнь2442[Комнатность],"&lt;&gt;Офис")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 t="str">
        <f t="shared" ref="J73" si="1">IFERROR(G73/B73,"")</f>
        <v/>
      </c>
      <c r="K73" s="222" t="str">
        <f t="shared" ref="K73" si="2">IFERROR(H73/C73,"")</f>
        <v/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1" s="65" customFormat="1">
      <c r="A74" s="153" t="s">
        <v>20</v>
      </c>
      <c r="B74" s="267">
        <f>IFERROR(VLOOKUP(A74,'ИПП 3кв24'!$B$5:$L$16,4,0),"")</f>
        <v>73</v>
      </c>
      <c r="C74" s="146">
        <f>IFERROR(VLOOKUP(A74,'ИПП 3кв24'!$B$5:$L$16,5,0),"")</f>
        <v>7818884</v>
      </c>
      <c r="D74" s="145">
        <f>SUMIFS(июнь2442[м2],июнь2442[МОП],$A74,июнь2442[№ дома],$C$70,июнь2442[Комнатность],"&lt;&gt;Офис")</f>
        <v>98.88</v>
      </c>
      <c r="E74" s="146">
        <f>SUMIFS(июнь2442[Сумма без отделки],июнь2442[МОП],$A74,июнь2442[№ дома],$C$70,июнь2442[Комнатность],"&lt;&gt;Офис")</f>
        <v>5455969</v>
      </c>
      <c r="F74" s="147">
        <f>COUNTIFS(июнь2442[МОП],$A74,июнь2442[№ дома],$C$70,июнь2442[Комнатность],"&lt;&gt;Офис")</f>
        <v>2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63.74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6229049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1</v>
      </c>
      <c r="J74" s="224">
        <f t="shared" si="0"/>
        <v>0.87315068493150683</v>
      </c>
      <c r="K74" s="225">
        <f t="shared" si="0"/>
        <v>0.79666727374392565</v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1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1" s="65" customFormat="1">
      <c r="A75" s="153" t="s">
        <v>14</v>
      </c>
      <c r="B75" s="267">
        <f>IFERROR(VLOOKUP(A75,'ИПП 3кв24'!$B$5:$L$16,4,0),"")</f>
        <v>183</v>
      </c>
      <c r="C75" s="146">
        <f>IFERROR(VLOOKUP(A75,'ИПП 3кв24'!$B$5:$L$16,5,0),"")</f>
        <v>19547210</v>
      </c>
      <c r="D75" s="328">
        <f>SUMIFS(июнь2442[м2],июнь2442[МОП],$A75,июнь2442[№ дома],$C$70,июнь2442[Комнатность],"&lt;&gt;Офис")</f>
        <v>0</v>
      </c>
      <c r="E75" s="403">
        <f>SUMIFS(июнь2442[Сумма без отделки],июнь2442[МОП],$A75,июнь2442[№ дома],$C$70,июнь2442[Комнатность],"&lt;&gt;Офис")</f>
        <v>0</v>
      </c>
      <c r="F75" s="404">
        <f>COUNTIFS(июнь2442[МОП],$A75,июнь2442[№ дома],$C$70,июнь2442[Комнатность],"&lt;&gt;Офис")</f>
        <v>0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360">
        <f t="shared" si="0"/>
        <v>0</v>
      </c>
      <c r="K75" s="361">
        <f t="shared" si="0"/>
        <v>0</v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1" s="65" customFormat="1">
      <c r="A76" s="154" t="s">
        <v>29</v>
      </c>
      <c r="B76" s="274"/>
      <c r="C76" s="277"/>
      <c r="D76" s="341">
        <f>SUMIFS(июнь2442[м2],июнь2442[МОП],$A76,июнь2442[№ дома],$C$70,июнь2442[Комнатность],"&lt;&gt;Офис")</f>
        <v>0</v>
      </c>
      <c r="E76" s="277">
        <f>SUMIFS(июнь2442[Сумма без отделки],июнь2442[МОП],$A76,июнь2442[№ дома],$C$70,июнь2442[Комнатность],"&lt;&gt;Офис")</f>
        <v>0</v>
      </c>
      <c r="F76" s="405">
        <f>COUNTIFS(июнь2442[МОП],$A76,июнь2442[№ дома],$C$70,июнь2442[Комнатность],"&lt;&gt;Офис")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1" s="65" customFormat="1">
      <c r="A77" s="161" t="s">
        <v>1919</v>
      </c>
      <c r="B77" s="278"/>
      <c r="C77" s="281"/>
      <c r="D77" s="406">
        <f>SUMIFS(июнь2442[м2],июнь2442[МОП],$A77,июнь2442[№ дома],$C$70,июнь2442[Комнатность],"&lt;&gt;Офис")</f>
        <v>0</v>
      </c>
      <c r="E77" s="281">
        <f>SUMIFS(июнь2442[Сумма без отделки],июнь2442[МОП],$A77,июнь2442[№ дома],$C$70,июнь2442[Комнатность],"&lt;&gt;Офис")</f>
        <v>0</v>
      </c>
      <c r="F77" s="407">
        <f>COUNTIFS(июнь2442[МОП],$A77,июнь2442[№ дома],$C$70,июнь2442[Комнатность],"&lt;&gt;Офис")</f>
        <v>0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1" s="65" customFormat="1">
      <c r="A78" s="168" t="s">
        <v>114</v>
      </c>
      <c r="B78" s="172">
        <f t="shared" ref="B78:I78" si="3">SUM(B72:B77)</f>
        <v>439</v>
      </c>
      <c r="C78" s="173">
        <f t="shared" si="3"/>
        <v>46913304</v>
      </c>
      <c r="D78" s="173">
        <f t="shared" si="3"/>
        <v>173.16</v>
      </c>
      <c r="E78" s="173">
        <f t="shared" si="3"/>
        <v>13123587</v>
      </c>
      <c r="F78" s="171">
        <f t="shared" si="3"/>
        <v>3</v>
      </c>
      <c r="G78" s="172">
        <f t="shared" si="3"/>
        <v>138.02000000000001</v>
      </c>
      <c r="H78" s="173">
        <f t="shared" si="3"/>
        <v>13896667</v>
      </c>
      <c r="I78" s="170">
        <f t="shared" si="3"/>
        <v>2</v>
      </c>
      <c r="J78" s="238">
        <f t="shared" si="0"/>
        <v>0.3143963553530752</v>
      </c>
      <c r="K78" s="239">
        <f t="shared" si="0"/>
        <v>0.29622017242699428</v>
      </c>
      <c r="L78" s="240">
        <f>SUM(L72:L77)</f>
        <v>0</v>
      </c>
      <c r="M78" s="241">
        <f>SUM(M72:M77)</f>
        <v>0</v>
      </c>
      <c r="N78" s="241">
        <f>SUM(N72:N77)</f>
        <v>1</v>
      </c>
      <c r="O78" s="241">
        <f>SUM(O72:O77)</f>
        <v>1</v>
      </c>
      <c r="P78" s="242">
        <f>SUM(P72:P77)</f>
        <v>0</v>
      </c>
      <c r="T78" s="66"/>
    </row>
    <row r="79" spans="1:21" s="65" customFormat="1" ht="22.5" customHeight="1">
      <c r="A79" s="135" t="s">
        <v>115</v>
      </c>
      <c r="B79" s="135" t="s">
        <v>100</v>
      </c>
      <c r="C79" s="136" t="s">
        <v>97</v>
      </c>
      <c r="D79" s="295" t="s">
        <v>494</v>
      </c>
      <c r="E79" s="138" t="s">
        <v>495</v>
      </c>
      <c r="F79" s="470" t="s">
        <v>496</v>
      </c>
      <c r="G79" s="140" t="s">
        <v>101</v>
      </c>
      <c r="H79" s="141" t="s">
        <v>98</v>
      </c>
      <c r="I79" s="141" t="s">
        <v>96</v>
      </c>
      <c r="J79" s="495" t="s">
        <v>715</v>
      </c>
      <c r="K79" s="49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1" s="65" customFormat="1">
      <c r="A80" s="177" t="s">
        <v>1892</v>
      </c>
      <c r="B80" s="291">
        <f>IFERROR(VLOOKUP(A80,'ИПП 3кв24'!$B$5:$L$16,4,0),"")</f>
        <v>169.61363636363635</v>
      </c>
      <c r="C80" s="292">
        <f>IFERROR(VLOOKUP(A80,'ИПП 3кв24'!$B$5:$L$16,5,0),"")</f>
        <v>18125594.727272727</v>
      </c>
      <c r="D80" s="346">
        <f>SUMIFS(июнь2442[м2],июнь2442[ИМ],A80,июнь2442[№ дома],$C$70,июнь2442[Комнатность],"&lt;&gt;Офис")</f>
        <v>0</v>
      </c>
      <c r="E80" s="184">
        <f>SUMIFS(июнь2442[Сумма без отделки],июнь2442[ИМ],$A80,июнь2442[№ дома],$C$70,июнь2442[Комнатность],"&lt;&gt;Офис")</f>
        <v>0</v>
      </c>
      <c r="F80" s="246">
        <f>COUNTIFS(июнь2442[ИМ],$A80,июнь2442[№ дома],$C$70,июнь2442[Комнатность],"&lt;&gt;Офис")</f>
        <v>0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J80" s="244">
        <f t="shared" ref="J80:K83" si="4">IFERROR(G80/B80,"")</f>
        <v>0</v>
      </c>
      <c r="K80" s="245">
        <f t="shared" si="4"/>
        <v>0</v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0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 t="s">
        <v>22</v>
      </c>
      <c r="B81" s="267">
        <f>IFERROR(VLOOKUP(A81,'ИПП 3кв24'!$B$5:$L$16,4,0),"")</f>
        <v>169.61363636363635</v>
      </c>
      <c r="C81" s="146">
        <f>IFERROR(VLOOKUP(A81,'ИПП 3кв24'!$B$5:$L$16,5,0),"")</f>
        <v>18125594.727272727</v>
      </c>
      <c r="D81" s="145">
        <f>SUMIFS(июнь2442[м2],июнь2442[ИМ],A81,июнь2442[№ дома],$C$70,июнь2442[Комнатность],"&lt;&gt;Офис")</f>
        <v>136.46</v>
      </c>
      <c r="E81" s="149">
        <f>SUMIFS(июнь2442[Сумма без отделки],июнь2442[ИМ],$A81,июнь2442[№ дома],$C$70,июнь2442[Комнатность],"&lt;&gt;Офис")</f>
        <v>13930987</v>
      </c>
      <c r="F81" s="223">
        <f>COUNTIFS(июнь2442[ИМ],$A81,июнь2442[№ дома],$C$70,июнь2442[Комнатность],"&lt;&gt;Офис")</f>
        <v>2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138.02000000000001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13896667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2</v>
      </c>
      <c r="J81" s="248">
        <f t="shared" si="4"/>
        <v>0.81373174326678299</v>
      </c>
      <c r="K81" s="249">
        <f t="shared" si="4"/>
        <v>0.7666875051051617</v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89" t="s">
        <v>16</v>
      </c>
      <c r="B82" s="293">
        <f>IFERROR(VLOOKUP(A82,'ИПП 3кв24'!$B$5:$L$16,4,0),"")</f>
        <v>33.922727272727272</v>
      </c>
      <c r="C82" s="294">
        <f>IFERROR(VLOOKUP(A82,'ИПП 3кв24'!$B$5:$L$16,5,0),"")</f>
        <v>3625118.9454545453</v>
      </c>
      <c r="D82" s="432">
        <f>SUMIFS(июнь2442[м2],июнь2442[ИМ],A82,июнь2442[№ дома],$C$70,июнь2442[Комнатность],"&lt;&gt;Офис")</f>
        <v>0</v>
      </c>
      <c r="E82" s="433">
        <f>SUMIFS(июнь2442[Сумма без отделки],июнь2442[ИМ],$A82,июнь2442[№ дома],$C$70,июнь2442[Комнатность],"&lt;&gt;Офис")</f>
        <v>0</v>
      </c>
      <c r="F82" s="434">
        <f>COUNTIFS(июнь2442[ИМ],$A82,июнь2442[№ дома],$C$70,июнь2442[Комнатность],"&lt;&gt;Офис")</f>
        <v>0</v>
      </c>
      <c r="G82" s="195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96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51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52">
        <f t="shared" si="4"/>
        <v>0</v>
      </c>
      <c r="K82" s="253">
        <f t="shared" si="4"/>
        <v>0</v>
      </c>
      <c r="L82" s="195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51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51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51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54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68" t="s">
        <v>114</v>
      </c>
      <c r="B83" s="172">
        <f t="shared" ref="B83:P83" si="5">SUM(B80:B82)</f>
        <v>373.15</v>
      </c>
      <c r="C83" s="173">
        <f t="shared" si="5"/>
        <v>39876308.399999999</v>
      </c>
      <c r="D83" s="471">
        <f t="shared" si="5"/>
        <v>136.46</v>
      </c>
      <c r="E83" s="287">
        <f t="shared" si="5"/>
        <v>13930987</v>
      </c>
      <c r="F83" s="472">
        <f t="shared" si="5"/>
        <v>2</v>
      </c>
      <c r="G83" s="473">
        <f t="shared" si="5"/>
        <v>138.02000000000001</v>
      </c>
      <c r="H83" s="429">
        <f t="shared" si="5"/>
        <v>13896667</v>
      </c>
      <c r="I83" s="494">
        <f t="shared" si="5"/>
        <v>2</v>
      </c>
      <c r="J83" s="419">
        <f t="shared" si="4"/>
        <v>0.36987806512126498</v>
      </c>
      <c r="K83" s="420">
        <f t="shared" si="4"/>
        <v>0.34849432050234619</v>
      </c>
      <c r="L83" s="473">
        <f t="shared" si="5"/>
        <v>0</v>
      </c>
      <c r="M83" s="494">
        <f t="shared" si="5"/>
        <v>0</v>
      </c>
      <c r="N83" s="494">
        <f t="shared" si="5"/>
        <v>0</v>
      </c>
      <c r="O83" s="494">
        <f t="shared" si="5"/>
        <v>0</v>
      </c>
      <c r="P83" s="497">
        <f t="shared" si="5"/>
        <v>0</v>
      </c>
      <c r="T83" s="66"/>
    </row>
    <row r="84" spans="1:21" s="65" customFormat="1">
      <c r="A84" s="134"/>
      <c r="B84" s="197"/>
      <c r="C84" s="197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U84" s="66"/>
    </row>
    <row r="85" spans="1:21" s="65" customFormat="1">
      <c r="A85" s="2327" t="s">
        <v>713</v>
      </c>
      <c r="B85" s="2328"/>
      <c r="C85" s="474" t="s">
        <v>13</v>
      </c>
      <c r="D85" s="475"/>
      <c r="E85" s="475"/>
      <c r="F85" s="475"/>
      <c r="G85" s="476"/>
      <c r="H85" s="476"/>
      <c r="I85" s="476"/>
      <c r="J85" s="476"/>
      <c r="K85" s="476"/>
      <c r="L85" s="475"/>
      <c r="M85" s="475"/>
      <c r="N85" s="475"/>
      <c r="O85" s="475"/>
      <c r="P85" s="498"/>
      <c r="T85" s="66"/>
    </row>
    <row r="86" spans="1:21" s="65" customFormat="1" ht="22.5" customHeight="1">
      <c r="A86" s="135" t="s">
        <v>1</v>
      </c>
      <c r="B86" s="135" t="s">
        <v>100</v>
      </c>
      <c r="C86" s="136" t="s">
        <v>97</v>
      </c>
      <c r="D86" s="295" t="s">
        <v>494</v>
      </c>
      <c r="E86" s="477" t="s">
        <v>495</v>
      </c>
      <c r="F86" s="478" t="s">
        <v>496</v>
      </c>
      <c r="G86" s="479" t="s">
        <v>101</v>
      </c>
      <c r="H86" s="479" t="s">
        <v>98</v>
      </c>
      <c r="I86" s="479" t="s">
        <v>96</v>
      </c>
      <c r="J86" s="479" t="s">
        <v>715</v>
      </c>
      <c r="K86" s="479" t="s">
        <v>716</v>
      </c>
      <c r="L86" s="499">
        <v>0</v>
      </c>
      <c r="M86" s="340">
        <v>1</v>
      </c>
      <c r="N86" s="340">
        <v>2</v>
      </c>
      <c r="O86" s="340">
        <v>3</v>
      </c>
      <c r="P86" s="500" t="s">
        <v>1367</v>
      </c>
      <c r="T86" s="66"/>
    </row>
    <row r="87" spans="1:21" s="65" customFormat="1">
      <c r="A87" s="398" t="s">
        <v>8</v>
      </c>
      <c r="B87" s="267">
        <f>IFERROR(VLOOKUP(A87,'ИПП 3кв24'!$B$5:$L$16,6,0),"")</f>
        <v>370</v>
      </c>
      <c r="C87" s="146">
        <f>IFERROR(VLOOKUP(A87,'ИПП 3кв24'!$B$5:$L$16,7,0),"")</f>
        <v>38653622</v>
      </c>
      <c r="D87" s="257">
        <f>SUMIFS(июнь2442[м2],июнь2442[МОП],$A87,июнь2442[№ дома],$C$85,июнь2442[Комнатность],"&lt;&gt;Офис")</f>
        <v>440.6</v>
      </c>
      <c r="E87" s="52">
        <f>SUMIFS(июнь2442[Сумма без отделки],июнь2442[МОП],$A87,июнь2442[№ дома],$C$85,июнь2442[Комнатность],"&lt;&gt;Офис")</f>
        <v>44395894</v>
      </c>
      <c r="F87" s="413">
        <f>COUNTIFS(июнь2442[МОП],$A87,июнь2442[№ дома],$C$85,июнь2442[Комнатность],"&lt;&gt;Офис")</f>
        <v>8</v>
      </c>
      <c r="G87" s="202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440.6</v>
      </c>
      <c r="H87" s="203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44395894</v>
      </c>
      <c r="I87" s="226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8</v>
      </c>
      <c r="J87" s="224">
        <f t="shared" ref="J87:K92" si="6">IFERROR(G87/B87,)</f>
        <v>1.1908108108108109</v>
      </c>
      <c r="K87" s="225">
        <f t="shared" si="6"/>
        <v>1.1485571520309275</v>
      </c>
      <c r="L87" s="257">
        <f>COUNTIFS(РД[Тип кв],L$86,РД[МОП],$A87,РД[Дом],$C$85,РД[Дата подачи на регистрацию],"&lt;="&amp;$A$1,РД[Дата подачи на регистрацию],"&gt;="&amp;DATE(YEAR($A$1),MONTH($A$1),1))</f>
        <v>1</v>
      </c>
      <c r="M87" s="226">
        <f>COUNTIFS(РД[Тип кв],M$86,РД[МОП],$A87,РД[Дом],$C$85,РД[Дата подачи на регистрацию],"&lt;="&amp;$A$1,РД[Дата подачи на регистрацию],"&gt;="&amp;DATE(YEAR($A$1),MONTH($A$1),1))</f>
        <v>2</v>
      </c>
      <c r="N87" s="226">
        <f>COUNTIFS(РД[Тип кв],N$86,РД[МОП],$A87,РД[Дом],$C$85,РД[Дата подачи на регистрацию],"&lt;="&amp;$A$1,РД[Дата подачи на регистрацию],"&gt;="&amp;DATE(YEAR($A$1),MONTH($A$1),1))</f>
        <v>4</v>
      </c>
      <c r="O87" s="226">
        <f>COUNTIFS(РД[Тип кв],O$86,РД[МОП],$A87,РД[Дом],$C$85,РД[Дата подачи на регистрацию],"&lt;="&amp;$A$1,РД[Дата подачи на регистрацию],"&gt;="&amp;DATE(YEAR($A$1),MONTH($A$1),1))</f>
        <v>1</v>
      </c>
      <c r="P87" s="227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0" t="s">
        <v>46</v>
      </c>
      <c r="B88" s="267">
        <f>IFERROR(VLOOKUP(A88,'ИПП 3кв24'!$B$5:$L$16,6,0),"")</f>
        <v>0</v>
      </c>
      <c r="C88" s="146">
        <f>IFERROR(VLOOKUP(A88,'ИПП 3кв24'!$B$5:$L$16,7,0),"")</f>
        <v>0</v>
      </c>
      <c r="D88" s="257">
        <f>SUMIFS(июнь2442[м2],июнь2442[МОП],$A88,июнь2442[№ дома],$C$85,июнь2442[Комнатность],"&lt;&gt;Офис")</f>
        <v>0</v>
      </c>
      <c r="E88" s="52">
        <f>SUMIFS(июнь2442[Сумма без отделки],июнь2442[МОП],$A88,июнь2442[№ дома],$C$85,июнь2442[Комнатность],"&lt;&gt;Офис")</f>
        <v>0</v>
      </c>
      <c r="F88" s="413">
        <f>COUNTIFS(июнь2442[МОП],$A88,июнь2442[№ дома],$C$85,июнь2442[Комнатность],"&lt;&gt;Офис")</f>
        <v>0</v>
      </c>
      <c r="G88" s="202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03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">
        <f t="shared" ref="J88" si="7">IFERROR(G88/B88,)</f>
        <v>0</v>
      </c>
      <c r="K88" s="225">
        <f t="shared" ref="K88" si="8">IFERROR(H88/C88,)</f>
        <v>0</v>
      </c>
      <c r="L88" s="257">
        <f>COUNTIFS(РД[Тип кв],L$86,РД[МОП],$A88,РД[Дом],$C$85,РД[Дата подачи на регистрацию],"&lt;="&amp;$A$1,РД[Дата подачи на регистрацию],"&gt;="&amp;DATE(YEAR($A$1),MONTH($A$1),1))</f>
        <v>0</v>
      </c>
      <c r="M88" s="226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0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7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20</v>
      </c>
      <c r="B89" s="267">
        <f>IFERROR(VLOOKUP(A89,'ИПП 3кв24'!$B$5:$L$16,6,0),"")</f>
        <v>148</v>
      </c>
      <c r="C89" s="146">
        <f>IFERROR(VLOOKUP(A89,'ИПП 3кв24'!$B$5:$L$16,7,0),"")</f>
        <v>15461449</v>
      </c>
      <c r="D89" s="257">
        <f>SUMIFS(июнь2442[м2],июнь2442[МОП],$A89,июнь2442[№ дома],$C$85,июнь2442[Комнатность],"&lt;&gt;Офис")</f>
        <v>24.5</v>
      </c>
      <c r="E89" s="52">
        <f>SUMIFS(июнь2442[Сумма без отделки],июнь2442[МОП],$A89,июнь2442[№ дома],$C$85,июнь2442[Комнатность],"&lt;&gt;Офис")</f>
        <v>-490000</v>
      </c>
      <c r="F89" s="413">
        <f>COUNTIFS(июнь2442[МОП],$A89,июнь2442[№ дома],$C$85,июнь2442[Комнатность],"&lt;&gt;Офис")</f>
        <v>1</v>
      </c>
      <c r="G89" s="202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H89" s="203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I89" s="226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0</v>
      </c>
      <c r="J89" s="224">
        <f t="shared" si="6"/>
        <v>0</v>
      </c>
      <c r="K89" s="225">
        <f t="shared" si="6"/>
        <v>0</v>
      </c>
      <c r="L89" s="257">
        <f>COUNTIFS(РД[Тип кв],L$86,РД[МОП],$A89,РД[Дом],$C$85,РД[Дата подачи на регистрацию],"&lt;="&amp;$A$1,РД[Дата подачи на регистрацию],"&gt;="&amp;DATE(YEAR($A$1),MONTH($A$1),1))</f>
        <v>0</v>
      </c>
      <c r="M89" s="226">
        <f>COUNTIFS(РД[Тип кв],M$86,РД[МОП],$A89,РД[Дом],$C$85,РД[Дата подачи на регистрацию],"&lt;="&amp;$A$1,РД[Дата подачи на регистрацию],"&gt;="&amp;DATE(YEAR($A$1),MONTH($A$1),1))</f>
        <v>0</v>
      </c>
      <c r="N89" s="226">
        <f>COUNTIFS(РД[Тип кв],N$86,РД[МОП],$A89,РД[Дом],$C$85,РД[Дата подачи на регистрацию],"&lt;="&amp;$A$1,РД[Дата подачи на регистрацию],"&gt;="&amp;DATE(YEAR($A$1),MONTH($A$1),1))</f>
        <v>0</v>
      </c>
      <c r="O89" s="226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227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3" t="s">
        <v>14</v>
      </c>
      <c r="B90" s="267">
        <f>IFERROR(VLOOKUP(A90,'ИПП 3кв24'!$B$5:$L$16,6,0),"")</f>
        <v>370</v>
      </c>
      <c r="C90" s="146">
        <f>IFERROR(VLOOKUP(A90,'ИПП 3кв24'!$B$5:$L$16,7,0),"")</f>
        <v>38653622</v>
      </c>
      <c r="D90" s="329">
        <f>SUMIFS(июнь2442[м2],июнь2442[МОП],$A90,июнь2442[№ дома],$C$85,июнь2442[Комнатность],"&lt;&gt;Офис")</f>
        <v>321.12</v>
      </c>
      <c r="E90" s="363">
        <f>SUMIFS(июнь2442[Сумма без отделки],июнь2442[МОП],$A90,июнь2442[№ дома],$C$85,июнь2442[Комнатность],"&lt;&gt;Офис")</f>
        <v>32168500</v>
      </c>
      <c r="F90" s="414">
        <f>COUNTIFS(июнь2442[МОП],$A90,июнь2442[№ дома],$C$85,июнь2442[Комнатность],"&lt;&gt;Офис")</f>
        <v>6</v>
      </c>
      <c r="G90" s="358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321.12</v>
      </c>
      <c r="H90" s="35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32168500</v>
      </c>
      <c r="I90" s="33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6</v>
      </c>
      <c r="J90" s="360">
        <f t="shared" si="6"/>
        <v>0.86789189189189186</v>
      </c>
      <c r="K90" s="361">
        <f t="shared" si="6"/>
        <v>0.8322247265728423</v>
      </c>
      <c r="L90" s="329">
        <f>COUNTIFS(РД[Тип кв],L$86,РД[МОП],$A90,РД[Дом],$C$85,РД[Дата подачи на регистрацию],"&lt;="&amp;$A$1,РД[Дата подачи на регистрацию],"&gt;="&amp;DATE(YEAR($A$1),MONTH($A$1),1))</f>
        <v>1</v>
      </c>
      <c r="M90" s="330">
        <f>COUNTIFS(РД[Тип кв],M$86,РД[МОП],$A90,РД[Дом],$C$85,РД[Дата подачи на регистрацию],"&lt;="&amp;$A$1,РД[Дата подачи на регистрацию],"&gt;="&amp;DATE(YEAR($A$1),MONTH($A$1),1))</f>
        <v>1</v>
      </c>
      <c r="N90" s="330">
        <f>COUNTIFS(РД[Тип кв],N$86,РД[МОП],$A90,РД[Дом],$C$85,РД[Дата подачи на регистрацию],"&lt;="&amp;$A$1,РД[Дата подачи на регистрацию],"&gt;="&amp;DATE(YEAR($A$1),MONTH($A$1),1))</f>
        <v>3</v>
      </c>
      <c r="O90" s="330">
        <f>COUNTIFS(РД[Тип кв],O$86,РД[МОП],$A90,РД[Дом],$C$85,РД[Дата подачи на регистрацию],"&lt;="&amp;$A$1,РД[Дата подачи на регистрацию],"&gt;="&amp;DATE(YEAR($A$1),MONTH($A$1),1))</f>
        <v>1</v>
      </c>
      <c r="P90" s="33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4" t="s">
        <v>29</v>
      </c>
      <c r="B91" s="274"/>
      <c r="C91" s="275"/>
      <c r="D91" s="341">
        <f>SUMIFS(июнь2442[м2],июнь2442[МОП],$A91,июнь2442[№ дома],$C$85,июнь2442[Комнатность],"&lt;&gt;Офис")</f>
        <v>0</v>
      </c>
      <c r="E91" s="277">
        <f>SUMIFS(июнь2442[Сумма без отделки],июнь2442[МОП],$A91,июнь2442[№ дома],$C$85,июнь2442[Комнатность],"&lt;&gt;Офис")</f>
        <v>0</v>
      </c>
      <c r="F91" s="405">
        <f>COUNTIFS(июнь2442[МОП],$A91,июнь2442[№ дома],$C$85,июнь2442[Комнатность],"&lt;&gt;Офис")</f>
        <v>0</v>
      </c>
      <c r="G91" s="159">
        <f>SUMIFS(РД[S],РД[Дом],$C$85,РД[МОП],A91,РД[Дата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0">
        <f>SUMIFS(РД[Стоимость без отделки итог],РД[Дом],$C$85,РД[МОП],A91,РД[Дата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8">
        <f>COUNTIFS(РД[Дом],$C$85,РД[МОП],A91,РД[Дата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9">
        <f t="shared" si="6"/>
        <v>0</v>
      </c>
      <c r="K91" s="230">
        <f t="shared" si="6"/>
        <v>0</v>
      </c>
      <c r="L91" s="341">
        <f>COUNTIFS(РД[Тип кв],L$86,РД[МОП],$A91,РД[Дом],$C$85,РД[Дата подачи на регистрацию],"&lt;="&amp;$A$1,РД[Дата подачи на регистрацию],"&gt;="&amp;DATE(YEAR($A$1),MONTH($A$1),1))</f>
        <v>0</v>
      </c>
      <c r="M91" s="228">
        <f>COUNTIFS(РД[Тип кв],M$86,РД[МОП],$A91,РД[Дом],$C$85,РД[Дата подачи на регистрацию],"&lt;="&amp;$A$1,РД[Дата подачи на регистрацию],"&gt;="&amp;DATE(YEAR($A$1),MONTH($A$1),1))</f>
        <v>0</v>
      </c>
      <c r="N91" s="228">
        <f>COUNTIFS(РД[Тип кв],N$86,РД[МОП],$A91,РД[Дом],$C$85,РД[Дата подачи на регистрацию],"&lt;="&amp;$A$1,РД[Дата подачи на регистрацию],"&gt;="&amp;DATE(YEAR($A$1),MONTH($A$1),1))</f>
        <v>0</v>
      </c>
      <c r="O91" s="228">
        <f>COUNTIFS(РД[Тип кв],O$86,РД[МОП],$A91,РД[Дом],$C$85,РД[Дата подачи на регистрацию],"&lt;="&amp;$A$1,РД[Дата подачи на регистрацию],"&gt;="&amp;DATE(YEAR($A$1),MONTH($A$1),1))</f>
        <v>0</v>
      </c>
      <c r="P91" s="231">
        <f>COUNTIFS(РД[Тип кв],P$86,РД[МОП],$A91,РД[Дом],$C$85,РД[Дата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1" t="s">
        <v>1919</v>
      </c>
      <c r="B92" s="278"/>
      <c r="C92" s="279"/>
      <c r="D92" s="406">
        <f>SUMIFS(июнь2442[м2],июнь2442[МОП],$A92,июнь2442[№ дома],$C$85,июнь2442[Комнатность],"&lt;&gt;Офис")</f>
        <v>0</v>
      </c>
      <c r="E92" s="281">
        <f>SUMIFS(июнь2442[Сумма без отделки],июнь2442[МОП],$A92,июнь2442[№ дома],$C$85,июнь2442[Комнатность],"&lt;&gt;Офис")</f>
        <v>0</v>
      </c>
      <c r="F92" s="407">
        <f>COUNTIFS(июнь2442[МОП],$A92,июнь2442[№ дома],$C$85,июнь2442[Комнатность],"&lt;&gt;Офис")</f>
        <v>0</v>
      </c>
      <c r="G92" s="166">
        <f>SUMIFS(РД[S],РД[Дом],$C$85,РД[МОП],A92,РД[Дата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H92" s="167">
        <f>SUMIFS(РД[Стоимость без отделки итог],РД[Дом],$C$85,РД[МОП],A92,РД[Дата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I92" s="232">
        <f>COUNTIFS(РД[Дом],$C$85,РД[МОП],A92,РД[Дата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J92" s="233">
        <f t="shared" si="6"/>
        <v>0</v>
      </c>
      <c r="K92" s="234">
        <f t="shared" si="6"/>
        <v>0</v>
      </c>
      <c r="L92" s="406">
        <f>COUNTIFS(РД[Тип кв],L$86,РД[МОП],$A92,РД[Дом],$C$85,РД[Дата подачи на регистрацию],"&lt;="&amp;$A$1,РД[Дата подачи на регистрацию],"&gt;="&amp;DATE(YEAR($A$1),MONTH($A$1),1))</f>
        <v>0</v>
      </c>
      <c r="M92" s="232">
        <f>COUNTIFS(РД[Тип кв],M$86,РД[МОП],$A92,РД[Дом],$C$85,РД[Дата подачи на регистрацию],"&lt;="&amp;$A$1,РД[Дата подачи на регистрацию],"&gt;="&amp;DATE(YEAR($A$1),MONTH($A$1),1))</f>
        <v>0</v>
      </c>
      <c r="N92" s="232">
        <f>COUNTIFS(РД[Тип кв],N$86,РД[МОП],$A92,РД[Дом],$C$85,РД[Дата подачи на регистрацию],"&lt;="&amp;$A$1,РД[Дата подачи на регистрацию],"&gt;="&amp;DATE(YEAR($A$1),MONTH($A$1),1))</f>
        <v>0</v>
      </c>
      <c r="O92" s="232">
        <f>COUNTIFS(РД[Тип кв],O$86,РД[МОП],$A92,РД[Дом],$C$85,РД[Дата подачи на регистрацию],"&lt;="&amp;$A$1,РД[Дата подачи на регистрацию],"&gt;="&amp;DATE(YEAR($A$1),MONTH($A$1),1))</f>
        <v>0</v>
      </c>
      <c r="P92" s="337">
        <f>COUNTIFS(РД[Тип кв],P$86,РД[МОП],$A92,РД[Дом],$C$85,РД[Дата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68" t="s">
        <v>114</v>
      </c>
      <c r="B93" s="172">
        <f t="shared" ref="B93:I93" si="9">SUM(B87:B92)</f>
        <v>888</v>
      </c>
      <c r="C93" s="480">
        <f t="shared" si="9"/>
        <v>92768693</v>
      </c>
      <c r="D93" s="173">
        <f t="shared" si="9"/>
        <v>786.22</v>
      </c>
      <c r="E93" s="173">
        <f t="shared" si="9"/>
        <v>76074394</v>
      </c>
      <c r="F93" s="171">
        <f t="shared" si="9"/>
        <v>15</v>
      </c>
      <c r="G93" s="172">
        <f t="shared" si="9"/>
        <v>761.72</v>
      </c>
      <c r="H93" s="173">
        <f t="shared" si="9"/>
        <v>76564394</v>
      </c>
      <c r="I93" s="170">
        <f t="shared" si="9"/>
        <v>14</v>
      </c>
      <c r="J93" s="238">
        <f>IFERROR(G93/B93,"")</f>
        <v>0.85779279279279286</v>
      </c>
      <c r="K93" s="501">
        <f>IFERROR(H93/C93,"")</f>
        <v>0.82532578097225107</v>
      </c>
      <c r="L93" s="171">
        <f>SUM(L87:L92)</f>
        <v>2</v>
      </c>
      <c r="M93" s="171">
        <f>SUM(M87:M92)</f>
        <v>3</v>
      </c>
      <c r="N93" s="171">
        <f>SUM(N87:N92)</f>
        <v>7</v>
      </c>
      <c r="O93" s="171">
        <f>SUM(O87:O92)</f>
        <v>2</v>
      </c>
      <c r="P93" s="171">
        <f>SUM(P87:P92)</f>
        <v>0</v>
      </c>
      <c r="T93" s="66"/>
    </row>
    <row r="94" spans="1:21" s="65" customFormat="1" ht="22.5" customHeight="1">
      <c r="A94" s="135" t="s">
        <v>115</v>
      </c>
      <c r="B94" s="135" t="s">
        <v>100</v>
      </c>
      <c r="C94" s="136" t="s">
        <v>97</v>
      </c>
      <c r="D94" s="295" t="s">
        <v>494</v>
      </c>
      <c r="E94" s="138" t="s">
        <v>495</v>
      </c>
      <c r="F94" s="470" t="s">
        <v>496</v>
      </c>
      <c r="G94" s="481" t="s">
        <v>101</v>
      </c>
      <c r="H94" s="482" t="s">
        <v>98</v>
      </c>
      <c r="I94" s="482" t="s">
        <v>96</v>
      </c>
      <c r="J94" s="502" t="s">
        <v>715</v>
      </c>
      <c r="K94" s="503" t="s">
        <v>716</v>
      </c>
      <c r="L94" s="504">
        <v>0</v>
      </c>
      <c r="M94" s="505">
        <v>1</v>
      </c>
      <c r="N94" s="505">
        <v>2</v>
      </c>
      <c r="O94" s="505">
        <v>3</v>
      </c>
      <c r="P94" s="506" t="s">
        <v>1367</v>
      </c>
      <c r="T94" s="66"/>
    </row>
    <row r="95" spans="1:21" s="65" customFormat="1">
      <c r="A95" s="177" t="s">
        <v>1892</v>
      </c>
      <c r="B95" s="267">
        <f>IFERROR(VLOOKUP(A95,'ИПП 3кв24'!$B$5:$L$16,6,0),"")</f>
        <v>343.09090909090907</v>
      </c>
      <c r="C95" s="146">
        <f>IFERROR(VLOOKUP(A95,'ИПП 3кв24'!$B$5:$L$16,7,0),"")</f>
        <v>35842449.568181813</v>
      </c>
      <c r="D95" s="145">
        <f>SUMIFS(июнь2442[м2],июнь2442[ИМ],A95,июнь2442[№ дома],$C$85,июнь2442[Комнатность],"&lt;&gt;Офис")</f>
        <v>437.53999999999996</v>
      </c>
      <c r="E95" s="149">
        <f>SUMIFS(июнь2442[Сумма без отделки],июнь2442[ИМ],$A95,июнь2442[№ дома],$C$85,июнь2442[Комнатность],"&lt;&gt;Офис")</f>
        <v>44298106</v>
      </c>
      <c r="F95" s="147">
        <f>COUNTIFS(июнь2442[ИМ],$A95,июнь2442[№ дома],$C$85,июнь2442[Комнатность],"&lt;&gt;Офис")</f>
        <v>8</v>
      </c>
      <c r="G95" s="183">
        <f>SUMIFS(РД[S],РД[Дом],$C$85,РД[ИМ],A95,РД[Дата подачи на регистрацию],"&lt;="&amp;$A$1,РД[Дата подачи на регистрацию],"&gt;="&amp;DATE(YEAR($A$1),MONTH($A$1),1),РД[Состояние],"Продажа")</f>
        <v>437.53999999999996</v>
      </c>
      <c r="H95" s="184">
        <f>SUMIFS(РД[Стоимость без отделки итог],РД[Дом],$C$85,РД[ИМ],A95,РД[Дата подачи на регистрацию],"&lt;="&amp;$A$1,РД[Дата подачи на регистрацию],"&gt;="&amp;DATE(YEAR($A$1),MONTH($A$1),1),РД[Состояние],"Продажа")</f>
        <v>44298106</v>
      </c>
      <c r="I95" s="243">
        <f>COUNTIFS(РД[Дом],$C$85,РД[ИМ],A95,РД[Дата подачи на регистрацию],"&lt;="&amp;$A$1,РД[Дата подачи на регистрацию],"&gt;="&amp;DATE(YEAR($A$1),MONTH($A$1),1),РД[Состояние],"Продажа")</f>
        <v>8</v>
      </c>
      <c r="J95" s="244">
        <f t="shared" ref="J95:K97" si="10">IFERROR(G95/B95,"")</f>
        <v>1.2752888182299946</v>
      </c>
      <c r="K95" s="245">
        <f t="shared" si="10"/>
        <v>1.2359117898940835</v>
      </c>
      <c r="L95" s="183">
        <f>COUNTIFS(РД[Тип кв],L86,РД[ИМ],$A95,РД[Дом],$C$85,РД[Дата подачи на регистрацию],"&lt;="&amp;$A$1,РД[Дата подачи на регистрацию],"&gt;="&amp;DATE(YEAR($A$1),MONTH($A$1),1))</f>
        <v>1</v>
      </c>
      <c r="M95" s="243">
        <f>COUNTIFS(РД[Тип кв],M86,РД[ИМ],$A95,РД[Дом],$C$85,РД[Дата подачи на регистрацию],"&lt;="&amp;$A$1,РД[Дата подачи на регистрацию],"&gt;="&amp;DATE(YEAR($A$1),MONTH($A$1),1))</f>
        <v>2</v>
      </c>
      <c r="N95" s="243">
        <f>COUNTIFS(РД[Тип кв],N86,РД[ИМ],$A95,РД[Дом],$C$85,РД[Дата подачи на регистрацию],"&lt;="&amp;$A$1,РД[Дата подачи на регистрацию],"&gt;="&amp;DATE(YEAR($A$1),MONTH($A$1),1))</f>
        <v>4</v>
      </c>
      <c r="O95" s="243">
        <f>COUNTIFS(РД[Тип кв],O86,РД[ИМ],$A95,РД[Дом],$C$85,РД[Дата подачи на регистрацию],"&lt;="&amp;$A$1,РД[Дата подачи на регистрацию],"&gt;="&amp;DATE(YEAR($A$1),MONTH($A$1),1))</f>
        <v>1</v>
      </c>
      <c r="P95" s="246">
        <f>COUNTIFS(РД[Тип кв],P86,РД[ИМ],$A95,РД[Дом],$C$85,РД[Дата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50" t="s">
        <v>22</v>
      </c>
      <c r="B96" s="267">
        <f>IFERROR(VLOOKUP(A96,'ИПП 3кв24'!$B$5:$L$16,6,0),"")</f>
        <v>343.09090909090907</v>
      </c>
      <c r="C96" s="146">
        <f>IFERROR(VLOOKUP(A96,'ИПП 3кв24'!$B$5:$L$16,7,0),"")</f>
        <v>35842449.568181813</v>
      </c>
      <c r="D96" s="328">
        <f>SUMIFS(июнь2442[м2],июнь2442[ИМ],A96,июнь2442[№ дома],$C$85,июнь2442[Комнатность],"&lt;&gt;Офис")</f>
        <v>324.40000000000003</v>
      </c>
      <c r="E96" s="188">
        <f>SUMIFS(июнь2442[Сумма без отделки],июнь2442[ИМ],$A96,июнь2442[№ дома],$C$85,июнь2442[Комнатность],"&lt;&gt;Офис")</f>
        <v>28831562</v>
      </c>
      <c r="F96" s="404">
        <f>COUNTIFS(июнь2442[ИМ],$A96,июнь2442[№ дома],$C$85,июнь2442[Комнатность],"&lt;&gt;Офис")</f>
        <v>6</v>
      </c>
      <c r="G96" s="187">
        <f>SUMIFS(РД[S],РД[Дом],$C$85,РД[ИМ],A96,РД[Дата подачи на регистрацию],"&lt;="&amp;$A$1,РД[Дата подачи на регистрацию],"&gt;="&amp;DATE(YEAR($A$1),MONTH($A$1),1),РД[Состояние],"Продажа")</f>
        <v>299.89999999999998</v>
      </c>
      <c r="H96" s="188">
        <f>SUMIFS(РД[Стоимость без отделки итог],РД[Дом],$C$85,РД[ИМ],A96,РД[Дата подачи на регистрацию],"&lt;="&amp;$A$1,РД[Дата подачи на регистрацию],"&gt;="&amp;DATE(YEAR($A$1),MONTH($A$1),1),РД[Состояние],"Продажа")</f>
        <v>29321562</v>
      </c>
      <c r="I96" s="247">
        <f>COUNTIFS(РД[Дом],$C$85,РД[ИМ],A96,РД[Дата подачи на регистрацию],"&lt;="&amp;$A$1,РД[Дата подачи на регистрацию],"&gt;="&amp;DATE(YEAR($A$1),MONTH($A$1),1),РД[Состояние],"Продажа")</f>
        <v>5</v>
      </c>
      <c r="J96" s="248">
        <f t="shared" si="10"/>
        <v>0.87411234764175938</v>
      </c>
      <c r="K96" s="249">
        <f t="shared" si="10"/>
        <v>0.81806802696960312</v>
      </c>
      <c r="L96" s="187">
        <f>COUNTIFS(РД[Тип кв],L$86,РД[ИМ],$A96,РД[Дом],$C$85,РД[Дата подачи на регистрацию],"&lt;="&amp;$A$1,РД[Дата подачи на регистрацию],"&gt;="&amp;DATE(YEAR($A$1),MONTH($A$1),1))</f>
        <v>0</v>
      </c>
      <c r="M96" s="247">
        <f>COUNTIFS(РД[Тип кв],M$86,РД[ИМ],$A96,РД[Дом],$C$85,РД[Дата подачи на регистрацию],"&lt;="&amp;$A$1,РД[Дата подачи на регистрацию],"&gt;="&amp;DATE(YEAR($A$1),MONTH($A$1),1))</f>
        <v>1</v>
      </c>
      <c r="N96" s="247">
        <f>COUNTIFS(РД[Тип кв],N$86,РД[ИМ],$A96,РД[Дом],$C$85,РД[Дата подачи на регистрацию],"&lt;="&amp;$A$1,РД[Дата подачи на регистрацию],"&gt;="&amp;DATE(YEAR($A$1),MONTH($A$1),1))</f>
        <v>3</v>
      </c>
      <c r="O96" s="247">
        <f>COUNTIFS(РД[Тип кв],O$86,РД[ИМ],$A96,РД[Дом],$C$85,РД[Дата подачи на регистрацию],"&lt;="&amp;$A$1,РД[Дата подачи на регистрацию],"&gt;="&amp;DATE(YEAR($A$1),MONTH($A$1),1))</f>
        <v>1</v>
      </c>
      <c r="P96" s="250">
        <f>COUNTIFS(РД[Тип кв],P$86,РД[ИМ],$A96,РД[Дом],$C$85,РД[Дата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189" t="s">
        <v>16</v>
      </c>
      <c r="B97" s="267">
        <f>IFERROR(VLOOKUP(A97,'ИПП 3кв24'!$B$5:$L$16,6,0),"")</f>
        <v>68.61818181818181</v>
      </c>
      <c r="C97" s="146">
        <f>IFERROR(VLOOKUP(A97,'ИПП 3кв24'!$B$5:$L$16,7,0),"")</f>
        <v>7168489.9136363631</v>
      </c>
      <c r="D97" s="329">
        <f>SUMIFS(июнь2442[м2],июнь2442[ИМ],A97,июнь2442[№ дома],$C$85,июнь2442[Комнатность],"&lt;&gt;Офис")</f>
        <v>0</v>
      </c>
      <c r="E97" s="359">
        <f>SUMIFS(июнь2442[Сумма без отделки],июнь2442[ИМ],$A97,июнь2442[№ дома],$C$85,июнь2442[Комнатность],"&lt;&gt;Офис")</f>
        <v>0</v>
      </c>
      <c r="F97" s="414">
        <f>COUNTIFS(июнь2442[ИМ],$A97,июнь2442[№ дома],$C$85,июнь2442[Комнатность],"&lt;&gt;Офис")</f>
        <v>0</v>
      </c>
      <c r="G97" s="358">
        <f>SUMIFS(РД[S],РД[Дом],$C$85,РД[ИМ],A97,РД[Дата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H97" s="359">
        <f>SUMIFS(РД[Стоимость без отделки итог],РД[Дом],$C$85,РД[ИМ],A97,РД[Дата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I97" s="330">
        <f>COUNTIFS(РД[Дом],$C$85,РД[ИМ],A97,РД[Дата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J97" s="360">
        <f t="shared" si="10"/>
        <v>0</v>
      </c>
      <c r="K97" s="367">
        <f t="shared" si="10"/>
        <v>0</v>
      </c>
      <c r="L97" s="195">
        <f>COUNTIFS(РД[Тип кв],L$86,РД[ИМ],$A97,РД[Дом],$C$85,РД[Дата подачи на регистрацию],"&lt;="&amp;$A$1,РД[Дата подачи на регистрацию],"&gt;="&amp;DATE(YEAR($A$1),MONTH($A$1),1))</f>
        <v>0</v>
      </c>
      <c r="M97" s="251">
        <f>COUNTIFS(РД[Тип кв],M$86,РД[ИМ],$A97,РД[Дом],$C$85,РД[Дата подачи на регистрацию],"&lt;="&amp;$A$1,РД[Дата подачи на регистрацию],"&gt;="&amp;DATE(YEAR($A$1),MONTH($A$1),1))</f>
        <v>0</v>
      </c>
      <c r="N97" s="251">
        <f>COUNTIFS(РД[Тип кв],N$86,РД[ИМ],$A97,РД[Дом],$C$85,РД[Дата подачи на регистрацию],"&lt;="&amp;$A$1,РД[Дата подачи на регистрацию],"&gt;="&amp;DATE(YEAR($A$1),MONTH($A$1),1))</f>
        <v>0</v>
      </c>
      <c r="O97" s="251">
        <f>COUNTIFS(РД[Тип кв],O$86,РД[ИМ],$A97,РД[Дом],$C$85,РД[Дата подачи на регистрацию],"&lt;="&amp;$A$1,РД[Дата подачи на регистрацию],"&gt;="&amp;DATE(YEAR($A$1),MONTH($A$1),1))</f>
        <v>0</v>
      </c>
      <c r="P97" s="254">
        <f>COUNTIFS(РД[Тип кв],P$86,РД[ИМ],$A97,РД[Дом],$C$85,РД[Дата подачи на регистрацию],"&lt;="&amp;$A$1,РД[Дата подачи на регистрацию],"&gt;="&amp;DATE(YEAR($A$1),MONTH($A$1),1))</f>
        <v>0</v>
      </c>
      <c r="Q97" s="86"/>
      <c r="R97" s="86"/>
      <c r="S97" s="86"/>
      <c r="T97" s="66"/>
    </row>
    <row r="98" spans="1:21" s="65" customFormat="1">
      <c r="A98" s="317" t="s">
        <v>114</v>
      </c>
      <c r="B98" s="410">
        <f t="shared" ref="B98:I98" si="11">SUM(B95:B97)</f>
        <v>754.8</v>
      </c>
      <c r="C98" s="483">
        <f t="shared" si="11"/>
        <v>78853389.049999982</v>
      </c>
      <c r="D98" s="484">
        <f t="shared" si="11"/>
        <v>761.94</v>
      </c>
      <c r="E98" s="429">
        <f t="shared" si="11"/>
        <v>73129668</v>
      </c>
      <c r="F98" s="485">
        <f t="shared" si="11"/>
        <v>14</v>
      </c>
      <c r="G98" s="473">
        <f t="shared" si="11"/>
        <v>737.43999999999994</v>
      </c>
      <c r="H98" s="429">
        <f t="shared" si="11"/>
        <v>73619668</v>
      </c>
      <c r="I98" s="494">
        <f t="shared" si="11"/>
        <v>13</v>
      </c>
      <c r="J98" s="419">
        <f>IFERROR(G98/B98,)</f>
        <v>0.97700052994170639</v>
      </c>
      <c r="K98" s="507">
        <f>IFERROR(H98/C98,)</f>
        <v>0.93362718948349399</v>
      </c>
      <c r="L98" s="317">
        <f t="shared" ref="L98:P98" si="12">SUM(L95:L97)</f>
        <v>1</v>
      </c>
      <c r="M98" s="485">
        <f t="shared" si="12"/>
        <v>3</v>
      </c>
      <c r="N98" s="485">
        <f t="shared" si="12"/>
        <v>7</v>
      </c>
      <c r="O98" s="485">
        <f t="shared" si="12"/>
        <v>2</v>
      </c>
      <c r="P98" s="497">
        <f t="shared" si="12"/>
        <v>0</v>
      </c>
      <c r="Q98" s="86"/>
      <c r="R98" s="86"/>
      <c r="S98" s="86"/>
      <c r="T98" s="66"/>
    </row>
    <row r="99" spans="1:21" s="65" customFormat="1">
      <c r="A99" s="134"/>
      <c r="B99" s="211"/>
      <c r="C99" s="211"/>
      <c r="D99" s="212"/>
      <c r="E99" s="134"/>
      <c r="F99" s="134"/>
      <c r="G99" s="134"/>
      <c r="H99" s="134"/>
      <c r="I99" s="134"/>
      <c r="J99" s="134"/>
      <c r="K99" s="134"/>
      <c r="L99" s="261"/>
      <c r="M99" s="134"/>
      <c r="N99" s="134"/>
      <c r="O99" s="134"/>
      <c r="P99" s="262"/>
      <c r="Q99" s="134"/>
      <c r="U99" s="66"/>
    </row>
    <row r="100" spans="1:21" s="65" customFormat="1">
      <c r="A100" s="2327" t="s">
        <v>713</v>
      </c>
      <c r="B100" s="2328"/>
      <c r="C100" s="474" t="s">
        <v>19</v>
      </c>
      <c r="D100" s="475"/>
      <c r="E100" s="475"/>
      <c r="F100" s="475"/>
      <c r="G100" s="476"/>
      <c r="H100" s="476"/>
      <c r="I100" s="476"/>
      <c r="J100" s="476"/>
      <c r="K100" s="476"/>
      <c r="L100" s="475"/>
      <c r="M100" s="475"/>
      <c r="N100" s="475"/>
      <c r="O100" s="475"/>
      <c r="P100" s="498"/>
      <c r="Q100" s="134"/>
      <c r="U100" s="66"/>
    </row>
    <row r="101" spans="1:21" s="65" customFormat="1">
      <c r="A101" s="135" t="s">
        <v>1</v>
      </c>
      <c r="B101" s="135" t="s">
        <v>100</v>
      </c>
      <c r="C101" s="136" t="s">
        <v>97</v>
      </c>
      <c r="D101" s="295" t="s">
        <v>494</v>
      </c>
      <c r="E101" s="477" t="s">
        <v>495</v>
      </c>
      <c r="F101" s="478" t="s">
        <v>496</v>
      </c>
      <c r="G101" s="479" t="s">
        <v>101</v>
      </c>
      <c r="H101" s="479" t="s">
        <v>98</v>
      </c>
      <c r="I101" s="479" t="s">
        <v>96</v>
      </c>
      <c r="J101" s="479" t="s">
        <v>715</v>
      </c>
      <c r="K101" s="479" t="s">
        <v>716</v>
      </c>
      <c r="L101" s="499">
        <v>0</v>
      </c>
      <c r="M101" s="340">
        <v>1</v>
      </c>
      <c r="N101" s="340">
        <v>2</v>
      </c>
      <c r="O101" s="340">
        <v>3</v>
      </c>
      <c r="P101" s="500" t="s">
        <v>1367</v>
      </c>
      <c r="Q101" s="134"/>
      <c r="U101" s="66"/>
    </row>
    <row r="102" spans="1:21" s="65" customFormat="1">
      <c r="A102" s="398" t="s">
        <v>8</v>
      </c>
      <c r="B102" s="267">
        <f>IFERROR(VLOOKUP(A102,'ИПП 3кв24'!$B$5:$L$16,8,0),"")</f>
        <v>0</v>
      </c>
      <c r="C102" s="146">
        <f>IFERROR(VLOOKUP(A102,'ИПП 3кв24'!$B$5:$L$16,9,0),"")</f>
        <v>0</v>
      </c>
      <c r="D102" s="257">
        <f>SUMIFS(июнь2442[м2],июнь2442[МОП],$A102,июнь2442[№ дома],$C$100,июнь2442[Комнатность],"&lt;&gt;Офис")</f>
        <v>0</v>
      </c>
      <c r="E102" s="52">
        <f>SUMIFS(июнь2442[Сумма без отделки],июнь2442[МОП],$A102,июнь2442[№ дома],$C$100,июнь2442[Комнатность],"&lt;&gt;Офис")</f>
        <v>0</v>
      </c>
      <c r="F102" s="413">
        <f>COUNTIFS(июнь2442[МОП],$A102,июнь2442[№ дома],$C$100,июнь2442[Комнатность],"&lt;&gt;Офис")</f>
        <v>0</v>
      </c>
      <c r="G102" s="202">
        <f>SUMIFS(РД[S],РД[Дом],$C$100,РД[МОП],A102,РД[Дата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03">
        <f>SUMIFS(РД[Стоимость без отделки итог],РД[Дом],$C$100,РД[МОП],A102,РД[Дата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">
        <f t="shared" ref="J102:J107" si="13">IFERROR(G102/B102,)</f>
        <v>0</v>
      </c>
      <c r="K102" s="225">
        <f t="shared" ref="K102:K107" si="14">IFERROR(H102/C102,)</f>
        <v>0</v>
      </c>
      <c r="L102" s="257">
        <f>COUNTIFS(РД[Тип кв],L$86,РД[МОП],$A102,РД[Дом],$C$100,РД[Дата подачи на регистрацию],"&lt;="&amp;$A$1,РД[Дата подачи на регистрацию],"&gt;="&amp;DATE(YEAR($A$1),MONTH($A$1),1))</f>
        <v>0</v>
      </c>
      <c r="M102" s="226">
        <f>COUNTIFS(РД[Тип кв],M$86,РД[МОП],$A102,РД[Дом],$C$100,РД[Дата подачи на регистрацию],"&lt;="&amp;$A$1,РД[Дата подачи на регистрацию],"&gt;="&amp;DATE(YEAR($A$1),MONTH($A$1),1))</f>
        <v>0</v>
      </c>
      <c r="N102" s="226">
        <f>COUNTIFS(РД[Тип кв],N$86,РД[МОП],$A102,РД[Дом],$C$100,РД[Дата подачи на регистрацию],"&lt;="&amp;$A$1,РД[Дата подачи на регистрацию],"&gt;="&amp;DATE(YEAR($A$1),MONTH($A$1),1))</f>
        <v>0</v>
      </c>
      <c r="O102" s="226">
        <f>COUNTIFS(РД[Тип кв],O$86,РД[МОП],$A102,РД[Дом],$C$100,РД[Дата подачи на регистрацию],"&lt;="&amp;$A$1,РД[Дата подачи на регистрацию],"&gt;="&amp;DATE(YEAR($A$1),MONTH($A$1),1))</f>
        <v>0</v>
      </c>
      <c r="P102" s="227">
        <f>COUNTIFS(РД[Тип кв],P$86,РД[МОП],$A102,РД[Дом],$C$100,РД[Дата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0" t="s">
        <v>46</v>
      </c>
      <c r="B103" s="267">
        <f>IFERROR(VLOOKUP(A103,'ИПП 3кв24'!$B$5:$L$16,8,0),"")</f>
        <v>0</v>
      </c>
      <c r="C103" s="146">
        <f>IFERROR(VLOOKUP(A103,'ИПП 3кв24'!$B$5:$L$16,9,0),"")</f>
        <v>0</v>
      </c>
      <c r="D103" s="257">
        <f>SUMIFS(июнь2442[м2],июнь2442[МОП],$A103,июнь2442[№ дома],$C$100,июнь2442[Комнатность],"&lt;&gt;Офис")</f>
        <v>0</v>
      </c>
      <c r="E103" s="52">
        <f>SUMIFS(июнь2442[Сумма без отделки],июнь2442[МОП],$A103,июнь2442[№ дома],$C$100,июнь2442[Комнатность],"&lt;&gt;Офис")</f>
        <v>0</v>
      </c>
      <c r="F103" s="413">
        <f>COUNTIFS(июнь2442[МОП],$A103,июнь2442[№ дома],$C$100,июнь2442[Комнатность],"&lt;&gt;Офис")</f>
        <v>0</v>
      </c>
      <c r="G103" s="202">
        <f>SUMIFS(РД[S],РД[Дом],$C$100,РД[МОП],A103,РД[Дата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H103" s="203">
        <f>SUMIFS(РД[Стоимость без отделки итог],РД[Дом],$C$100,РД[МОП],A103,РД[Дата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I103" s="226">
        <f>COUNTIFS(РД[Дом],$C$100,РД[МОП],A103,РД[Дата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J103" s="224">
        <f t="shared" ref="J103" si="15">IFERROR(G103/B103,)</f>
        <v>0</v>
      </c>
      <c r="K103" s="225">
        <f t="shared" ref="K103" si="16">IFERROR(H103/C103,)</f>
        <v>0</v>
      </c>
      <c r="L103" s="257">
        <f>COUNTIFS(РД[Тип кв],L$86,РД[МОП],$A103,РД[Дом],$C$100,РД[Дата подачи на регистрацию],"&lt;="&amp;$A$1,РД[Дата подачи на регистрацию],"&gt;="&amp;DATE(YEAR($A$1),MONTH($A$1),1))</f>
        <v>0</v>
      </c>
      <c r="M103" s="226">
        <f>COUNTIFS(РД[Тип кв],M$86,РД[МОП],$A103,РД[Дом],$C$100,РД[Дата подачи на регистрацию],"&lt;="&amp;$A$1,РД[Дата подачи на регистрацию],"&gt;="&amp;DATE(YEAR($A$1),MONTH($A$1),1))</f>
        <v>0</v>
      </c>
      <c r="N103" s="226">
        <f>COUNTIFS(РД[Тип кв],N$86,РД[МОП],$A103,РД[Дом],$C$100,РД[Дата подачи на регистрацию],"&lt;="&amp;$A$1,РД[Дата подачи на регистрацию],"&gt;="&amp;DATE(YEAR($A$1),MONTH($A$1),1))</f>
        <v>0</v>
      </c>
      <c r="O103" s="226">
        <f>COUNTIFS(РД[Тип кв],O$86,РД[МОП],$A103,РД[Дом],$C$100,РД[Дата подачи на регистрацию],"&lt;="&amp;$A$1,РД[Дата подачи на регистрацию],"&gt;="&amp;DATE(YEAR($A$1),MONTH($A$1),1))</f>
        <v>0</v>
      </c>
      <c r="P103" s="227">
        <f>COUNTIFS(РД[Тип кв],P$86,РД[МОП],$A103,РД[Дом],$C$100,РД[Дата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3" t="s">
        <v>20</v>
      </c>
      <c r="B104" s="267">
        <f>IFERROR(VLOOKUP(A104,'ИПП 3кв24'!$B$5:$L$16,8,0),"")</f>
        <v>0</v>
      </c>
      <c r="C104" s="146">
        <f>IFERROR(VLOOKUP(A104,'ИПП 3кв24'!$B$5:$L$16,9,0),"")</f>
        <v>0</v>
      </c>
      <c r="D104" s="257">
        <f>SUMIFS(июнь2442[м2],июнь2442[МОП],$A104,июнь2442[№ дома],$C$100,июнь2442[Комнатность],"&lt;&gt;Офис")</f>
        <v>0</v>
      </c>
      <c r="E104" s="52">
        <f>SUMIFS(июнь2442[Сумма без отделки],июнь2442[МОП],$A104,июнь2442[№ дома],$C$100,июнь2442[Комнатность],"&lt;&gt;Офис")</f>
        <v>0</v>
      </c>
      <c r="F104" s="413">
        <f>COUNTIFS(июнь2442[МОП],$A104,июнь2442[№ дома],$C$100,июнь2442[Комнатность],"&lt;&gt;Офис")</f>
        <v>0</v>
      </c>
      <c r="G104" s="202">
        <f>SUMIFS(РД[S],РД[Дом],$C$100,РД[МОП],A104,РД[Дата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si="13"/>
        <v>0</v>
      </c>
      <c r="K104" s="225">
        <f t="shared" si="14"/>
        <v>0</v>
      </c>
      <c r="L104" s="257">
        <f>COUNTIFS(РД[Тип кв],L$86,РД[МОП],$A104,РД[Дом],$C$100,РД[Дата подачи на регистрацию],"&lt;="&amp;$A$1,РД[Дата подачи на регистрацию],"&gt;="&amp;DATE(YEAR($A$1),MONTH($A$1),1))</f>
        <v>0</v>
      </c>
      <c r="M104" s="226">
        <f>COUNTIFS(РД[Тип кв],M$86,РД[МОП],$A104,РД[Дом],$C$100,РД[Дата подачи на регистрацию],"&lt;="&amp;$A$1,РД[Дата подачи на регистрацию],"&gt;="&amp;DATE(YEAR($A$1),MONTH($A$1),1))</f>
        <v>0</v>
      </c>
      <c r="N104" s="226">
        <f>COUNTIFS(РД[Тип кв],N$86,РД[МОП],$A104,РД[Дом],$C$100,РД[Дата подачи на регистрацию],"&lt;="&amp;$A$1,РД[Дата подачи на регистрацию],"&gt;="&amp;DATE(YEAR($A$1),MONTH($A$1),1))</f>
        <v>0</v>
      </c>
      <c r="O104" s="226">
        <f>COUNTIFS(РД[Тип кв],O$86,РД[МОП],$A104,РД[Дом],$C$100,РД[Дата подачи на регистрацию],"&lt;="&amp;$A$1,РД[Дата подачи на регистрацию],"&gt;="&amp;DATE(YEAR($A$1),MONTH($A$1),1))</f>
        <v>0</v>
      </c>
      <c r="P104" s="227">
        <f>COUNTIFS(РД[Тип кв],P$86,РД[МОП],$A104,РД[Дом],$C$100,РД[Дата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53" t="s">
        <v>14</v>
      </c>
      <c r="B105" s="267">
        <f>IFERROR(VLOOKUP(A105,'ИПП 3кв24'!$B$5:$L$16,8,0),"")</f>
        <v>0</v>
      </c>
      <c r="C105" s="146">
        <f>IFERROR(VLOOKUP(A105,'ИПП 3кв24'!$B$5:$L$16,9,0),"")</f>
        <v>0</v>
      </c>
      <c r="D105" s="329">
        <f>SUMIFS(июнь2442[м2],июнь2442[МОП],$A105,июнь2442[№ дома],$C$100,июнь2442[Комнатность],"&lt;&gt;Офис")</f>
        <v>54.07</v>
      </c>
      <c r="E105" s="363">
        <f>SUMIFS(июнь2442[Сумма без отделки],июнь2442[МОП],$A105,июнь2442[№ дома],$C$100,июнь2442[Комнатность],"&lt;&gt;Офис")</f>
        <v>0</v>
      </c>
      <c r="F105" s="414">
        <f>COUNTIFS(июнь2442[МОП],$A105,июнь2442[№ дома],$C$100,июнь2442[Комнатность],"&lt;&gt;Офис")</f>
        <v>1</v>
      </c>
      <c r="G105" s="358">
        <f>SUMIFS(РД[S],РД[Дом],$C$100,РД[МОП],A105,РД[Дата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359">
        <f>SUMIFS(РД[Стоимость без отделки итог],РД[Дом],$C$100,РД[МОП],A105,РД[Дата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330">
        <f>COUNTIFS(РД[Дом],$C$100,РД[МОП],A105,РД[Дата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360">
        <f t="shared" si="13"/>
        <v>0</v>
      </c>
      <c r="K105" s="361">
        <f t="shared" si="14"/>
        <v>0</v>
      </c>
      <c r="L105" s="329">
        <f>COUNTIFS(РД[Тип кв],L$86,РД[МОП],$A105,РД[Дом],$C$100,РД[Дата подачи на регистрацию],"&lt;="&amp;$A$1,РД[Дата подачи на регистрацию],"&gt;="&amp;DATE(YEAR($A$1),MONTH($A$1),1))</f>
        <v>0</v>
      </c>
      <c r="M105" s="330">
        <f>COUNTIFS(РД[Тип кв],M$86,РД[МОП],$A105,РД[Дом],$C$100,РД[Дата подачи на регистрацию],"&lt;="&amp;$A$1,РД[Дата подачи на регистрацию],"&gt;="&amp;DATE(YEAR($A$1),MONTH($A$1),1))</f>
        <v>0</v>
      </c>
      <c r="N105" s="330">
        <f>COUNTIFS(РД[Тип кв],N$86,РД[МОП],$A105,РД[Дом],$C$100,РД[Дата подачи на регистрацию],"&lt;="&amp;$A$1,РД[Дата подачи на регистрацию],"&gt;="&amp;DATE(YEAR($A$1),MONTH($A$1),1))</f>
        <v>0</v>
      </c>
      <c r="O105" s="330">
        <f>COUNTIFS(РД[Тип кв],O$86,РД[МОП],$A105,РД[Дом],$C$100,РД[Дата подачи на регистрацию],"&lt;="&amp;$A$1,РД[Дата подачи на регистрацию],"&gt;="&amp;DATE(YEAR($A$1),MONTH($A$1),1))</f>
        <v>0</v>
      </c>
      <c r="P105" s="331">
        <f>COUNTIFS(РД[Тип кв],P$86,РД[МОП],$A105,РД[Дом],$C$100,РД[Дата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4" t="s">
        <v>29</v>
      </c>
      <c r="B106" s="274"/>
      <c r="C106" s="275"/>
      <c r="D106" s="341">
        <f>SUMIFS(июнь2442[м2],июнь2442[МОП],$A106,июнь2442[№ дома],$C$100,июнь2442[Комнатность],"&lt;&gt;Офис")</f>
        <v>0</v>
      </c>
      <c r="E106" s="277">
        <f>SUMIFS(июнь2442[Сумма без отделки],июнь2442[МОП],$A106,июнь2442[№ дома],$C$100,июнь2442[Комнатность],"&lt;&gt;Офис")</f>
        <v>0</v>
      </c>
      <c r="F106" s="405">
        <f>COUNTIFS(июнь2442[МОП],$A106,июнь2442[№ дома],$C$100,июнь2442[Комнатность],"&lt;&gt;Офис")</f>
        <v>0</v>
      </c>
      <c r="G106" s="159">
        <f>SUMIFS(РД[S],РД[Дом],$C$100,РД[МОП],A106,РД[Дата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160">
        <f>SUMIFS(РД[Стоимость без отделки итог],РД[Дом],$C$100,РД[МОП],A106,РД[Дата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8">
        <f>COUNTIFS(РД[Дом],$C$100,РД[МОП],A106,РД[Дата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9">
        <f t="shared" si="13"/>
        <v>0</v>
      </c>
      <c r="K106" s="230">
        <f t="shared" si="14"/>
        <v>0</v>
      </c>
      <c r="L106" s="341">
        <f>COUNTIFS(РД[Тип кв],L$86,РД[МОП],$A106,РД[Дом],$C$100,РД[Дата подачи на регистрацию],"&lt;="&amp;$A$1,РД[Дата подачи на регистрацию],"&gt;="&amp;DATE(YEAR($A$1),MONTH($A$1),1))</f>
        <v>0</v>
      </c>
      <c r="M106" s="228">
        <f>COUNTIFS(РД[Тип кв],M$86,РД[МОП],$A106,РД[Дом],$C$100,РД[Дата подачи на регистрацию],"&lt;="&amp;$A$1,РД[Дата подачи на регистрацию],"&gt;="&amp;DATE(YEAR($A$1),MONTH($A$1),1))</f>
        <v>0</v>
      </c>
      <c r="N106" s="228">
        <f>COUNTIFS(РД[Тип кв],N$86,РД[МОП],$A106,РД[Дом],$C$100,РД[Дата подачи на регистрацию],"&lt;="&amp;$A$1,РД[Дата подачи на регистрацию],"&gt;="&amp;DATE(YEAR($A$1),MONTH($A$1),1))</f>
        <v>0</v>
      </c>
      <c r="O106" s="228">
        <f>COUNTIFS(РД[Тип кв],O$86,РД[МОП],$A106,РД[Дом],$C$100,РД[Дата подачи на регистрацию],"&lt;="&amp;$A$1,РД[Дата подачи на регистрацию],"&gt;="&amp;DATE(YEAR($A$1),MONTH($A$1),1))</f>
        <v>0</v>
      </c>
      <c r="P106" s="231">
        <f>COUNTIFS(РД[Тип кв],P$86,РД[МОП],$A106,РД[Дом],$C$100,РД[Дата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61" t="s">
        <v>1919</v>
      </c>
      <c r="B107" s="278"/>
      <c r="C107" s="279"/>
      <c r="D107" s="406">
        <f>SUMIFS(июнь2442[м2],июнь2442[МОП],$A107,июнь2442[№ дома],$C$100,июнь2442[Комнатность],"&lt;&gt;Офис")</f>
        <v>0</v>
      </c>
      <c r="E107" s="281">
        <f>SUMIFS(июнь2442[Сумма без отделки],июнь2442[МОП],$A107,июнь2442[№ дома],$C$100,июнь2442[Комнатность],"&lt;&gt;Офис")</f>
        <v>0</v>
      </c>
      <c r="F107" s="407">
        <f>COUNTIFS(июнь2442[МОП],$A107,июнь2442[№ дома],$C$100,июнь2442[Комнатность],"&lt;&gt;Офис")</f>
        <v>0</v>
      </c>
      <c r="G107" s="166">
        <f>SUMIFS(РД[S],РД[Дом],$C$100,РД[МОП],A107,РД[Дата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167">
        <f>SUMIFS(РД[Стоимость без отделки итог],РД[Дом],$C$100,РД[МОП],A107,РД[Дата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32">
        <f>COUNTIFS(РД[Дом],$C$100,РД[МОП],A107,РД[Дата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33">
        <f t="shared" si="13"/>
        <v>0</v>
      </c>
      <c r="K107" s="234">
        <f t="shared" si="14"/>
        <v>0</v>
      </c>
      <c r="L107" s="406">
        <f>COUNTIFS(РД[Тип кв],L$86,РД[МОП],$A107,РД[Дом],$C$100,РД[Дата подачи на регистрацию],"&lt;="&amp;$A$1,РД[Дата подачи на регистрацию],"&gt;="&amp;DATE(YEAR($A$1),MONTH($A$1),1))</f>
        <v>0</v>
      </c>
      <c r="M107" s="232">
        <f>COUNTIFS(РД[Тип кв],M$86,РД[МОП],$A107,РД[Дом],$C$100,РД[Дата подачи на регистрацию],"&lt;="&amp;$A$1,РД[Дата подачи на регистрацию],"&gt;="&amp;DATE(YEAR($A$1),MONTH($A$1),1))</f>
        <v>0</v>
      </c>
      <c r="N107" s="232">
        <f>COUNTIFS(РД[Тип кв],N$86,РД[МОП],$A107,РД[Дом],$C$100,РД[Дата подачи на регистрацию],"&lt;="&amp;$A$1,РД[Дата подачи на регистрацию],"&gt;="&amp;DATE(YEAR($A$1),MONTH($A$1),1))</f>
        <v>0</v>
      </c>
      <c r="O107" s="232">
        <f>COUNTIFS(РД[Тип кв],O$86,РД[МОП],$A107,РД[Дом],$C$100,РД[Дата подачи на регистрацию],"&lt;="&amp;$A$1,РД[Дата подачи на регистрацию],"&gt;="&amp;DATE(YEAR($A$1),MONTH($A$1),1))</f>
        <v>0</v>
      </c>
      <c r="P107" s="337">
        <f>COUNTIFS(РД[Тип кв],P$86,РД[МОП],$A107,РД[Дом],$C$100,РД[Дата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68" t="s">
        <v>114</v>
      </c>
      <c r="B108" s="172">
        <f t="shared" ref="B108:I108" si="17">SUM(B102:B107)</f>
        <v>0</v>
      </c>
      <c r="C108" s="480">
        <f t="shared" si="17"/>
        <v>0</v>
      </c>
      <c r="D108" s="173">
        <f t="shared" si="17"/>
        <v>54.07</v>
      </c>
      <c r="E108" s="173">
        <f t="shared" si="17"/>
        <v>0</v>
      </c>
      <c r="F108" s="171">
        <f t="shared" si="17"/>
        <v>1</v>
      </c>
      <c r="G108" s="172">
        <f t="shared" si="17"/>
        <v>0</v>
      </c>
      <c r="H108" s="173">
        <f t="shared" si="17"/>
        <v>0</v>
      </c>
      <c r="I108" s="170">
        <f t="shared" si="17"/>
        <v>0</v>
      </c>
      <c r="J108" s="238" t="str">
        <f>IFERROR(G108/B108,"")</f>
        <v/>
      </c>
      <c r="K108" s="501" t="str">
        <f>IFERROR(H108/C108,"")</f>
        <v/>
      </c>
      <c r="L108" s="171">
        <f>SUM(L102:L107)</f>
        <v>0</v>
      </c>
      <c r="M108" s="171">
        <f>SUM(M102:M107)</f>
        <v>0</v>
      </c>
      <c r="N108" s="171">
        <f>SUM(N102:N107)</f>
        <v>0</v>
      </c>
      <c r="O108" s="171">
        <f>SUM(O102:O107)</f>
        <v>0</v>
      </c>
      <c r="P108" s="171">
        <f>SUM(P102:P107)</f>
        <v>0</v>
      </c>
      <c r="Q108" s="134"/>
      <c r="U108" s="66"/>
    </row>
    <row r="109" spans="1:21" s="65" customFormat="1">
      <c r="A109" s="135" t="s">
        <v>115</v>
      </c>
      <c r="B109" s="135" t="s">
        <v>100</v>
      </c>
      <c r="C109" s="136" t="s">
        <v>97</v>
      </c>
      <c r="D109" s="295" t="s">
        <v>494</v>
      </c>
      <c r="E109" s="138" t="s">
        <v>495</v>
      </c>
      <c r="F109" s="470" t="s">
        <v>496</v>
      </c>
      <c r="G109" s="481" t="s">
        <v>101</v>
      </c>
      <c r="H109" s="482" t="s">
        <v>98</v>
      </c>
      <c r="I109" s="482" t="s">
        <v>96</v>
      </c>
      <c r="J109" s="502" t="s">
        <v>715</v>
      </c>
      <c r="K109" s="503" t="s">
        <v>716</v>
      </c>
      <c r="L109" s="504">
        <v>0</v>
      </c>
      <c r="M109" s="505">
        <v>1</v>
      </c>
      <c r="N109" s="505">
        <v>2</v>
      </c>
      <c r="O109" s="505">
        <v>3</v>
      </c>
      <c r="P109" s="506" t="s">
        <v>1367</v>
      </c>
      <c r="Q109" s="134"/>
      <c r="U109" s="66"/>
    </row>
    <row r="110" spans="1:21" s="65" customFormat="1">
      <c r="A110" s="177" t="s">
        <v>1892</v>
      </c>
      <c r="B110" s="267">
        <f>IFERROR(VLOOKUP(A110,'ИПП 3кв24'!$B$5:$L$16,8,0),"")</f>
        <v>0</v>
      </c>
      <c r="C110" s="146">
        <f>IFERROR(VLOOKUP(A110,'ИПП 3кв24'!$B$5:$L$16,9,0),"")</f>
        <v>0</v>
      </c>
      <c r="D110" s="145">
        <f>SUMIFS(июнь2442[м2],июнь2442[ИМ],A110,июнь2442[№ дома],$C$100,июнь2442[Комнатность],"&lt;&gt;Офис")</f>
        <v>0</v>
      </c>
      <c r="E110" s="149">
        <f>SUMIFS(июнь2442[Сумма без отделки],июнь2442[ИМ],$A110,июнь2442[№ дома],$C$100,июнь2442[Комнатность],"&lt;&gt;Офис")</f>
        <v>0</v>
      </c>
      <c r="F110" s="147">
        <f>COUNTIFS(июнь2442[ИМ],$A110,июнь2442[№ дома],$C$100,июнь2442[Комнатность],"&lt;&gt;Офис")</f>
        <v>0</v>
      </c>
      <c r="G110" s="183">
        <f>SUMIFS(РД[S],РД[Дом],$C$100,РД[ИМ],A110,РД[Дата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H110" s="184">
        <f>SUMIFS(РД[Стоимость без отделки итог],РД[Дом],$C$100,РД[ИМ],A110,РД[Дата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I110" s="243">
        <f>COUNTIFS(РД[Дом],$C$100,РД[ИМ],A110,РД[Дата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J110" s="244" t="str">
        <f t="shared" ref="J110:J112" si="18">IFERROR(G110/B110,"")</f>
        <v/>
      </c>
      <c r="K110" s="245" t="str">
        <f t="shared" ref="K110:K112" si="19">IFERROR(H110/C110,"")</f>
        <v/>
      </c>
      <c r="L110" s="183">
        <f>COUNTIFS(РД[Тип кв],L101,РД[ИМ],$A110,РД[Дом],$C$100,РД[Дата подачи на регистрацию],"&lt;="&amp;$A$1,РД[Дата подачи на регистрацию],"&gt;="&amp;DATE(YEAR($A$1),MONTH($A$1),1))</f>
        <v>0</v>
      </c>
      <c r="M110" s="243">
        <f>COUNTIFS(РД[Тип кв],M101,РД[ИМ],$A110,РД[Дом],$C$100,РД[Дата подачи на регистрацию],"&lt;="&amp;$A$1,РД[Дата подачи на регистрацию],"&gt;="&amp;DATE(YEAR($A$1),MONTH($A$1),1))</f>
        <v>0</v>
      </c>
      <c r="N110" s="243">
        <f>COUNTIFS(РД[Тип кв],N101,РД[ИМ],$A110,РД[Дом],$C$100,РД[Дата подачи на регистрацию],"&lt;="&amp;$A$1,РД[Дата подачи на регистрацию],"&gt;="&amp;DATE(YEAR($A$1),MONTH($A$1),1))</f>
        <v>0</v>
      </c>
      <c r="O110" s="243">
        <f>COUNTIFS(РД[Тип кв],O101,РД[ИМ],$A110,РД[Дом],$C$100,РД[Дата подачи на регистрацию],"&lt;="&amp;$A$1,РД[Дата подачи на регистрацию],"&gt;="&amp;DATE(YEAR($A$1),MONTH($A$1),1))</f>
        <v>0</v>
      </c>
      <c r="P110" s="246">
        <f>COUNTIFS(РД[Тип кв],P101,РД[ИМ],$A110,РД[Дом],$C$100,РД[Дата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50" t="s">
        <v>22</v>
      </c>
      <c r="B111" s="267">
        <f>IFERROR(VLOOKUP(A111,'ИПП 3кв24'!$B$5:$L$16,8,0),"")</f>
        <v>0</v>
      </c>
      <c r="C111" s="146">
        <f>IFERROR(VLOOKUP(A111,'ИПП 3кв24'!$B$5:$L$16,9,0),"")</f>
        <v>0</v>
      </c>
      <c r="D111" s="328">
        <f>SUMIFS(июнь2442[м2],июнь2442[ИМ],A111,июнь2442[№ дома],$C$100,июнь2442[Комнатность],"&lt;&gt;Офис")</f>
        <v>0</v>
      </c>
      <c r="E111" s="188">
        <f>SUMIFS(июнь2442[Сумма без отделки],июнь2442[ИМ],$A111,июнь2442[№ дома],$C$100,июнь2442[Комнатность],"&lt;&gt;Офис")</f>
        <v>0</v>
      </c>
      <c r="F111" s="404">
        <f>COUNTIFS(июнь2442[ИМ],$A111,июнь2442[№ дома],$C$100,июнь2442[Комнатность],"&lt;&gt;Офис")</f>
        <v>0</v>
      </c>
      <c r="G111" s="187">
        <f>SUMIFS(РД[S],РД[Дом],$C$100,РД[ИМ],A111,РД[Дата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H111" s="188">
        <f>SUMIFS(РД[Стоимость без отделки итог],РД[Дом],$C$100,РД[ИМ],A111,РД[Дата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I111" s="247">
        <f>COUNTIFS(РД[Дом],$C$100,РД[ИМ],A111,РД[Дата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J111" s="248" t="str">
        <f t="shared" si="18"/>
        <v/>
      </c>
      <c r="K111" s="249" t="str">
        <f t="shared" si="19"/>
        <v/>
      </c>
      <c r="L111" s="187">
        <f>COUNTIFS(РД[Тип кв],L$86,РД[ИМ],$A111,РД[Дом],$C$100,РД[Дата подачи на регистрацию],"&lt;="&amp;$A$1,РД[Дата подачи на регистрацию],"&gt;="&amp;DATE(YEAR($A$1),MONTH($A$1),1))</f>
        <v>0</v>
      </c>
      <c r="M111" s="247">
        <f>COUNTIFS(РД[Тип кв],M$86,РД[ИМ],$A111,РД[Дом],$C$100,РД[Дата подачи на регистрацию],"&lt;="&amp;$A$1,РД[Дата подачи на регистрацию],"&gt;="&amp;DATE(YEAR($A$1),MONTH($A$1),1))</f>
        <v>0</v>
      </c>
      <c r="N111" s="247">
        <f>COUNTIFS(РД[Тип кв],N$86,РД[ИМ],$A111,РД[Дом],$C$100,РД[Дата подачи на регистрацию],"&lt;="&amp;$A$1,РД[Дата подачи на регистрацию],"&gt;="&amp;DATE(YEAR($A$1),MONTH($A$1),1))</f>
        <v>0</v>
      </c>
      <c r="O111" s="247">
        <f>COUNTIFS(РД[Тип кв],O$86,РД[ИМ],$A111,РД[Дом],$C$100,РД[Дата подачи на регистрацию],"&lt;="&amp;$A$1,РД[Дата подачи на регистрацию],"&gt;="&amp;DATE(YEAR($A$1),MONTH($A$1),1))</f>
        <v>0</v>
      </c>
      <c r="P111" s="250">
        <f>COUNTIFS(РД[Тип кв],P$86,РД[ИМ],$A111,РД[Дом],$C$100,РД[Дата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89" t="s">
        <v>16</v>
      </c>
      <c r="B112" s="267">
        <f>IFERROR(VLOOKUP(A112,'ИПП 3кв24'!$B$5:$L$16,8,0),"")</f>
        <v>0</v>
      </c>
      <c r="C112" s="146">
        <f>IFERROR(VLOOKUP(A112,'ИПП 3кв24'!$B$5:$L$16,9,0),"")</f>
        <v>0</v>
      </c>
      <c r="D112" s="329">
        <f>SUMIFS(июнь2442[м2],июнь2442[ИМ],A112,июнь2442[№ дома],$C$100,июнь2442[Комнатность],"&lt;&gt;Офис")</f>
        <v>0</v>
      </c>
      <c r="E112" s="359">
        <f>SUMIFS(июнь2442[Сумма без отделки],июнь2442[ИМ],$A112,июнь2442[№ дома],$C$100,июнь2442[Комнатность],"&lt;&gt;Офис")</f>
        <v>0</v>
      </c>
      <c r="F112" s="414">
        <f>COUNTIFS(июнь2442[ИМ],$A112,июнь2442[№ дома],$C$100,июнь2442[Комнатность],"&lt;&gt;Офис")</f>
        <v>0</v>
      </c>
      <c r="G112" s="358">
        <f>SUMIFS(РД[S],РД[Дом],$C$100,РД[ИМ],A112,РД[Дата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H112" s="359">
        <f>SUMIFS(РД[Стоимость без отделки итог],РД[Дом],$C$100,РД[ИМ],A112,РД[Дата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I112" s="330">
        <f>COUNTIFS(РД[Дом],$C$100,РД[ИМ],A112,РД[Дата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J112" s="360" t="str">
        <f t="shared" si="18"/>
        <v/>
      </c>
      <c r="K112" s="367" t="str">
        <f t="shared" si="19"/>
        <v/>
      </c>
      <c r="L112" s="195">
        <f>COUNTIFS(РД[Тип кв],L$86,РД[ИМ],$A112,РД[Дом],$C$100,РД[Дата подачи на регистрацию],"&lt;="&amp;$A$1,РД[Дата подачи на регистрацию],"&gt;="&amp;DATE(YEAR($A$1),MONTH($A$1),1))</f>
        <v>0</v>
      </c>
      <c r="M112" s="251">
        <f>COUNTIFS(РД[Тип кв],M$86,РД[ИМ],$A112,РД[Дом],$C$100,РД[Дата подачи на регистрацию],"&lt;="&amp;$A$1,РД[Дата подачи на регистрацию],"&gt;="&amp;DATE(YEAR($A$1),MONTH($A$1),1))</f>
        <v>0</v>
      </c>
      <c r="N112" s="251">
        <f>COUNTIFS(РД[Тип кв],N$86,РД[ИМ],$A112,РД[Дом],$C$100,РД[Дата подачи на регистрацию],"&lt;="&amp;$A$1,РД[Дата подачи на регистрацию],"&gt;="&amp;DATE(YEAR($A$1),MONTH($A$1),1))</f>
        <v>0</v>
      </c>
      <c r="O112" s="251">
        <f>COUNTIFS(РД[Тип кв],O$86,РД[ИМ],$A112,РД[Дом],$C$100,РД[Дата подачи на регистрацию],"&lt;="&amp;$A$1,РД[Дата подачи на регистрацию],"&gt;="&amp;DATE(YEAR($A$1),MONTH($A$1),1))</f>
        <v>0</v>
      </c>
      <c r="P112" s="254">
        <f>COUNTIFS(РД[Тип кв],P$86,РД[ИМ],$A112,РД[Дом],$C$100,РД[Дата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317" t="s">
        <v>114</v>
      </c>
      <c r="B113" s="410">
        <f t="shared" ref="B113:I113" si="20">SUM(B110:B112)</f>
        <v>0</v>
      </c>
      <c r="C113" s="483">
        <f t="shared" si="20"/>
        <v>0</v>
      </c>
      <c r="D113" s="484">
        <f t="shared" si="20"/>
        <v>0</v>
      </c>
      <c r="E113" s="429">
        <f t="shared" si="20"/>
        <v>0</v>
      </c>
      <c r="F113" s="485">
        <f t="shared" si="20"/>
        <v>0</v>
      </c>
      <c r="G113" s="473">
        <f t="shared" si="20"/>
        <v>0</v>
      </c>
      <c r="H113" s="429">
        <f t="shared" si="20"/>
        <v>0</v>
      </c>
      <c r="I113" s="494">
        <f t="shared" si="20"/>
        <v>0</v>
      </c>
      <c r="J113" s="419">
        <f>IFERROR(G113/B113,)</f>
        <v>0</v>
      </c>
      <c r="K113" s="507">
        <f>IFERROR(H113/C113,)</f>
        <v>0</v>
      </c>
      <c r="L113" s="317">
        <f t="shared" ref="L113:P113" si="21">SUM(L110:L112)</f>
        <v>0</v>
      </c>
      <c r="M113" s="485">
        <f t="shared" si="21"/>
        <v>0</v>
      </c>
      <c r="N113" s="485">
        <f t="shared" si="21"/>
        <v>0</v>
      </c>
      <c r="O113" s="485">
        <f t="shared" si="21"/>
        <v>0</v>
      </c>
      <c r="P113" s="497">
        <f t="shared" si="21"/>
        <v>0</v>
      </c>
      <c r="Q113" s="134"/>
      <c r="U113" s="66"/>
    </row>
    <row r="114" spans="1:21" s="65" customFormat="1" ht="13.5" customHeight="1">
      <c r="A114" s="134"/>
      <c r="B114" s="211"/>
      <c r="C114" s="211"/>
      <c r="D114" s="212"/>
      <c r="E114" s="134"/>
      <c r="F114" s="134"/>
      <c r="G114" s="134"/>
      <c r="H114" s="134"/>
      <c r="I114" s="134"/>
      <c r="J114" s="134"/>
      <c r="K114" s="134"/>
      <c r="L114" s="261"/>
      <c r="M114" s="134"/>
      <c r="N114" s="134"/>
      <c r="O114" s="134"/>
      <c r="P114" s="262"/>
      <c r="Q114" s="134"/>
      <c r="U114" s="66"/>
    </row>
    <row r="115" spans="1:21" s="65" customFormat="1">
      <c r="A115" s="2327" t="s">
        <v>713</v>
      </c>
      <c r="B115" s="2328"/>
      <c r="C115" s="474" t="s">
        <v>718</v>
      </c>
      <c r="D115" s="476"/>
      <c r="E115" s="476"/>
      <c r="F115" s="476"/>
      <c r="G115" s="476"/>
      <c r="H115" s="476"/>
      <c r="I115" s="476"/>
      <c r="J115" s="476"/>
      <c r="K115" s="476"/>
      <c r="L115" s="476"/>
      <c r="M115" s="476"/>
      <c r="N115" s="476"/>
      <c r="O115" s="476"/>
      <c r="P115" s="134"/>
      <c r="T115" s="66"/>
    </row>
    <row r="116" spans="1:21" s="65" customFormat="1" ht="22.5" customHeight="1">
      <c r="A116" s="135" t="s">
        <v>1</v>
      </c>
      <c r="B116" s="135" t="s">
        <v>100</v>
      </c>
      <c r="C116" s="136" t="s">
        <v>97</v>
      </c>
      <c r="D116" s="486" t="s">
        <v>494</v>
      </c>
      <c r="E116" s="487" t="s">
        <v>495</v>
      </c>
      <c r="F116" s="488" t="s">
        <v>496</v>
      </c>
      <c r="G116" s="489" t="s">
        <v>101</v>
      </c>
      <c r="H116" s="490" t="s">
        <v>98</v>
      </c>
      <c r="I116" s="490" t="s">
        <v>96</v>
      </c>
      <c r="J116" s="490" t="s">
        <v>715</v>
      </c>
      <c r="K116" s="508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T116" s="66"/>
    </row>
    <row r="117" spans="1:21" s="65" customFormat="1">
      <c r="A117" s="398" t="s">
        <v>8</v>
      </c>
      <c r="B117" s="267">
        <f>IFERROR(VLOOKUP(A117,'ИПП 3кв24'!$B$5:$L$16,10,0),"")</f>
        <v>553</v>
      </c>
      <c r="C117" s="146">
        <f>IFERROR(VLOOKUP(A117,'ИПП 3кв24'!$B$5:$L$16,11,0),"")</f>
        <v>58200832</v>
      </c>
      <c r="D117" s="257">
        <f>SUMIFS(июнь2442[м2],июнь2442[МОП],$A117,июнь2442[Комнатность],"&lt;&gt;Офис")</f>
        <v>514.88</v>
      </c>
      <c r="E117" s="52">
        <f>SUMIFS(июнь2442[Сумма без отделки],июнь2442[МОП],$A117,июнь2442[Комнатность],"&lt;&gt;Офис")</f>
        <v>52063512</v>
      </c>
      <c r="F117" s="413">
        <f>COUNTIFS(июнь2442[МОП],$A117,июнь2442[Комнатность],"&lt;&gt;Офис")</f>
        <v>9</v>
      </c>
      <c r="G117" s="202">
        <f>SUMIFS(РД[S],РД[МОП],A117,РД[Дата подачи на регистрацию],"&lt;="&amp;$A$1,РД[Дата подачи на регистрацию],"&gt;="&amp;DATE(YEAR($A$1),MONTH($A$1),1),РД[Состояние],"Продажа")</f>
        <v>514.88</v>
      </c>
      <c r="H117" s="203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регистрацию],"&gt;="&amp;DATE(YEAR($A$1),MONTH($A$1),1),РД[Состояние],"Продажа")</f>
        <v>52063512</v>
      </c>
      <c r="I117" s="226">
        <f>COUNTIFS(РД[МОП],A117,РД[Дата подачи на регистрацию],"&lt;="&amp;$A$1,РД[Дата подачи на регистрацию],"&gt;="&amp;DATE(YEAR($A$1),MONTH($A$1),1),РД[Состояние],"Продажа")</f>
        <v>9</v>
      </c>
      <c r="J117" s="224">
        <f t="shared" ref="J117:K122" si="22">IFERROR(G117/B117,"")</f>
        <v>0.9310669077757685</v>
      </c>
      <c r="K117" s="225">
        <f t="shared" si="22"/>
        <v>0.89454927379732307</v>
      </c>
      <c r="L117" s="257">
        <f>COUNTIFS(РД[Тип кв],L$86,РД[МОП],$A117,РД[Дата подачи на регистрацию],"&lt;="&amp;$A$1,РД[Дата подачи на регистрацию],"&gt;="&amp;DATE(YEAR($A$1),MONTH($A$1),1))</f>
        <v>1</v>
      </c>
      <c r="M117" s="226">
        <f>COUNTIFS(РД[Тип кв],M$86,РД[МОП],$A117,РД[Дата подачи на регистрацию],"&lt;="&amp;$A$1,РД[Дата подачи на регистрацию],"&gt;="&amp;DATE(YEAR($A$1),MONTH($A$1),1))</f>
        <v>2</v>
      </c>
      <c r="N117" s="226">
        <f>COUNTIFS(РД[Тип кв],N$86,РД[МОП],$A117,РД[Дата подачи на регистрацию],"&lt;="&amp;$A$1,РД[Дата подачи на регистрацию],"&gt;="&amp;DATE(YEAR($A$1),MONTH($A$1),1))</f>
        <v>4</v>
      </c>
      <c r="O117" s="226">
        <f>COUNTIFS(РД[Тип кв],O$86,РД[МОП],$A117,РД[Дата подачи на регистрацию],"&lt;="&amp;$A$1,РД[Дата подачи на регистрацию],"&gt;="&amp;DATE(YEAR($A$1),MONTH($A$1),1))</f>
        <v>2</v>
      </c>
      <c r="P117" s="227">
        <f>COUNTIFS(РД[Тип кв],P$86,РД[МОП],$A117,РД[Дата подачи на регистрацию],"&lt;="&amp;$A$1,РД[Дата подачи на регистрацию],"&gt;="&amp;DATE(YEAR($A$1),MONTH($A$1),1))</f>
        <v>0</v>
      </c>
      <c r="T117" s="66"/>
    </row>
    <row r="118" spans="1:21" s="65" customFormat="1">
      <c r="A118" s="150" t="s">
        <v>46</v>
      </c>
      <c r="B118" s="267">
        <f>IFERROR(VLOOKUP(A118,'ИПП 3кв24'!$B$5:$L$16,10,0),"")</f>
        <v>0</v>
      </c>
      <c r="C118" s="146">
        <f>IFERROR(VLOOKUP(A118,'ИПП 3кв24'!$B$5:$L$16,11,0),"")</f>
        <v>0</v>
      </c>
      <c r="D118" s="257">
        <f>SUMIFS(июнь2442[м2],июнь2442[МОП],$A118,июнь2442[Комнатность],"&lt;&gt;Офис")</f>
        <v>0</v>
      </c>
      <c r="E118" s="52">
        <f>SUMIFS(июнь2442[Сумма без отделки],июнь2442[МОП],$A118,июнь2442[Комнатность],"&lt;&gt;Офис")</f>
        <v>0</v>
      </c>
      <c r="F118" s="413">
        <f>COUNTIFS(июнь2442[МОП],$A118,июнь2442[Комнатность],"&lt;&gt;Офис")</f>
        <v>0</v>
      </c>
      <c r="G118" s="202">
        <f>SUMIFS(РД[S],РД[МОП],A118,РД[Дата подачи на регистрацию],"&lt;="&amp;$A$1,РД[Дата подачи на регистрацию],"&gt;="&amp;DATE(YEAR($A$1),MONTH($A$1),1),РД[Состояние],"Продажа")</f>
        <v>0</v>
      </c>
      <c r="H118" s="203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226">
        <f>COUNTIFS(РД[МОП],A118,РД[Дата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4" t="str">
        <f t="shared" ref="J118" si="23">IFERROR(G118/B118,"")</f>
        <v/>
      </c>
      <c r="K118" s="225" t="str">
        <f t="shared" ref="K118" si="24">IFERROR(H118/C118,"")</f>
        <v/>
      </c>
      <c r="L118" s="257">
        <f>COUNTIFS(РД[Тип кв],L$86,РД[МОП],$A118,РД[Дата подачи на регистрацию],"&lt;="&amp;$A$1,РД[Дата подачи на регистрацию],"&gt;="&amp;DATE(YEAR($A$1),MONTH($A$1),1))</f>
        <v>0</v>
      </c>
      <c r="M118" s="226">
        <f>COUNTIFS(РД[Тип кв],M$86,РД[МОП],$A118,РД[Дата подачи на регистрацию],"&lt;="&amp;$A$1,РД[Дата подачи на регистрацию],"&gt;="&amp;DATE(YEAR($A$1),MONTH($A$1),1))</f>
        <v>0</v>
      </c>
      <c r="N118" s="226">
        <f>COUNTIFS(РД[Тип кв],N$86,РД[МОП],$A118,РД[Дата подачи на регистрацию],"&lt;="&amp;$A$1,РД[Дата подачи на регистрацию],"&gt;="&amp;DATE(YEAR($A$1),MONTH($A$1),1))</f>
        <v>0</v>
      </c>
      <c r="O118" s="226">
        <f>COUNTIFS(РД[Тип кв],O$86,РД[МОП],$A118,РД[Дата подачи на регистрацию],"&lt;="&amp;$A$1,РД[Дата подачи на регистрацию],"&gt;="&amp;DATE(YEAR($A$1),MONTH($A$1),1))</f>
        <v>0</v>
      </c>
      <c r="P118" s="227">
        <f>COUNTIFS(РД[Тип кв],P$86,РД[МОП],$A118,РД[Дата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53" t="s">
        <v>20</v>
      </c>
      <c r="B119" s="267">
        <f>IFERROR(VLOOKUP(A119,'ИПП 3кв24'!$B$5:$L$16,10,0),"")</f>
        <v>221</v>
      </c>
      <c r="C119" s="146">
        <f>IFERROR(VLOOKUP(A119,'ИПП 3кв24'!$B$5:$L$16,11,0),"")</f>
        <v>23280333</v>
      </c>
      <c r="D119" s="257">
        <f>SUMIFS(июнь2442[м2],июнь2442[МОП],$A119,июнь2442[Комнатность],"&lt;&gt;Офис")</f>
        <v>148.48000000000002</v>
      </c>
      <c r="E119" s="52" t="e">
        <f>SUMIFS(июнь2442[Сумма без отделки],июнь2442[МОП],$A119,июнь2442[Комнатность],"&lt;&gt;Офис")</f>
        <v>#VALUE!</v>
      </c>
      <c r="F119" s="413">
        <f>COUNTIFS(июнь2442[МОП],$A119,июнь2442[Комнатность],"&lt;&gt;Офис")</f>
        <v>4</v>
      </c>
      <c r="G119" s="202">
        <f>SUMIFS(РД[S],РД[МОП],A119,РД[Дата подачи на регистрацию],"&lt;="&amp;$A$1,РД[Дата подачи на регистрацию],"&gt;="&amp;DATE(YEAR($A$1),MONTH($A$1),1),РД[Состояние],"Продажа")</f>
        <v>63.74</v>
      </c>
      <c r="H119" s="203">
        <f>SUMIFS(РД[Стоимость без отделки итог],РД[МОП],A119,РД[Дата подачи на регистрацию],"&lt;="&amp;$A$1,РД[Дата подачи на регистрацию],"&gt;="&amp;DATE(YEAR($A$1),MONTH($A$1),1),РД[Состояние],"Продажа")</f>
        <v>6229049</v>
      </c>
      <c r="I119" s="226">
        <f>COUNTIFS(РД[МОП],A119,РД[Дата подачи на регистрацию],"&lt;="&amp;$A$1,РД[Дата подачи на регистрацию],"&gt;="&amp;DATE(YEAR($A$1),MONTH($A$1),1),РД[Состояние],"Продажа")</f>
        <v>1</v>
      </c>
      <c r="J119" s="224">
        <f t="shared" si="22"/>
        <v>0.28841628959276017</v>
      </c>
      <c r="K119" s="225">
        <f t="shared" si="22"/>
        <v>0.26756700602177813</v>
      </c>
      <c r="L119" s="325">
        <f>COUNTIFS(РД[Тип кв],L$86,РД[МОП],$A119,РД[Дата подачи на регистрацию],"&lt;="&amp;$A$1,РД[Дата подачи на регистрацию],"&gt;="&amp;DATE(YEAR($A$1),MONTH($A$1),1))</f>
        <v>0</v>
      </c>
      <c r="M119" s="326">
        <f>COUNTIFS(РД[Тип кв],M$86,РД[МОП],$A119,РД[Дата подачи на регистрацию],"&lt;="&amp;$A$1,РД[Дата подачи на регистрацию],"&gt;="&amp;DATE(YEAR($A$1),MONTH($A$1),1))</f>
        <v>0</v>
      </c>
      <c r="N119" s="326">
        <f>COUNTIFS(РД[Тип кв],N$86,РД[МОП],$A119,РД[Дата подачи на регистрацию],"&lt;="&amp;$A$1,РД[Дата подачи на регистрацию],"&gt;="&amp;DATE(YEAR($A$1),MONTH($A$1),1))</f>
        <v>1</v>
      </c>
      <c r="O119" s="326">
        <f>COUNTIFS(РД[Тип кв],O$86,РД[МОП],$A119,РД[Дата подачи на регистрацию],"&lt;="&amp;$A$1,РД[Дата подачи на регистрацию],"&gt;="&amp;DATE(YEAR($A$1),MONTH($A$1),1))</f>
        <v>0</v>
      </c>
      <c r="P119" s="327">
        <f>COUNTIFS(РД[Тип кв],P$86,РД[МОП],$A119,РД[Дата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14</v>
      </c>
      <c r="B120" s="267">
        <f>IFERROR(VLOOKUP(A120,'ИПП 3кв24'!$B$5:$L$16,10,0),"")</f>
        <v>553</v>
      </c>
      <c r="C120" s="146">
        <f>IFERROR(VLOOKUP(A120,'ИПП 3кв24'!$B$5:$L$16,11,0),"")</f>
        <v>58200832</v>
      </c>
      <c r="D120" s="329">
        <f>SUMIFS(июнь2442[м2],июнь2442[МОП],$A120,июнь2442[Комнатность],"&lt;&gt;Офис")</f>
        <v>375.18999999999994</v>
      </c>
      <c r="E120" s="363">
        <f>SUMIFS(июнь2442[Сумма без отделки],июнь2442[МОП],$A120,июнь2442[Комнатность],"&lt;&gt;Офис")</f>
        <v>32168500</v>
      </c>
      <c r="F120" s="414">
        <f>COUNTIFS(июнь2442[МОП],$A120,июнь2442[Комнатность],"&lt;&gt;Офис")</f>
        <v>7</v>
      </c>
      <c r="G120" s="358">
        <f>SUMIFS(РД[S],РД[МОП],A120,РД[Дата подачи на регистрацию],"&lt;="&amp;$A$1,РД[Дата подачи на регистрацию],"&gt;="&amp;DATE(YEAR($A$1),MONTH($A$1),1),РД[Состояние],"Продажа")</f>
        <v>321.12</v>
      </c>
      <c r="H120" s="359">
        <f>SUMIFS(РД[Стоимость без отделки итог],РД[МОП],A120,РД[Дата подачи на регистрацию],"&lt;="&amp;$A$1,РД[Дата подачи на регистрацию],"&gt;="&amp;DATE(YEAR($A$1),MONTH($A$1),1),РД[Состояние],"Продажа")</f>
        <v>32168500</v>
      </c>
      <c r="I120" s="330">
        <f>COUNTIFS(РД[МОП],A120,РД[Дата подачи на регистрацию],"&lt;="&amp;$A$1,РД[Дата подачи на регистрацию],"&gt;="&amp;DATE(YEAR($A$1),MONTH($A$1),1),РД[Состояние],"Продажа")</f>
        <v>6</v>
      </c>
      <c r="J120" s="360">
        <f t="shared" si="22"/>
        <v>0.58068716094032546</v>
      </c>
      <c r="K120" s="361">
        <f t="shared" si="22"/>
        <v>0.55271546633560154</v>
      </c>
      <c r="L120" s="364">
        <f>COUNTIFS(РД[Тип кв],L$86,РД[МОП],$A120,РД[Дата подачи на регистрацию],"&lt;="&amp;$A$1,РД[Дата подачи на регистрацию],"&gt;="&amp;DATE(YEAR($A$1),MONTH($A$1),1))</f>
        <v>1</v>
      </c>
      <c r="M120" s="365">
        <f>COUNTIFS(РД[Тип кв],M$86,РД[МОП],$A120,РД[Дата подачи на регистрацию],"&lt;="&amp;$A$1,РД[Дата подачи на регистрацию],"&gt;="&amp;DATE(YEAR($A$1),MONTH($A$1),1))</f>
        <v>1</v>
      </c>
      <c r="N120" s="365">
        <f>COUNTIFS(РД[Тип кв],N$86,РД[МОП],$A120,РД[Дата подачи на регистрацию],"&lt;="&amp;$A$1,РД[Дата подачи на регистрацию],"&gt;="&amp;DATE(YEAR($A$1),MONTH($A$1),1))</f>
        <v>3</v>
      </c>
      <c r="O120" s="365">
        <f>COUNTIFS(РД[Тип кв],O$86,РД[МОП],$A120,РД[Дата подачи на регистрацию],"&lt;="&amp;$A$1,РД[Дата подачи на регистрацию],"&gt;="&amp;DATE(YEAR($A$1),MONTH($A$1),1))</f>
        <v>1</v>
      </c>
      <c r="P120" s="366">
        <f>COUNTIFS(РД[Тип кв],P$86,РД[МОП],$A120,РД[Дата подачи на регистрацию],"&lt;="&amp;$A$1,РД[Дата подачи на регистрацию],"&gt;="&amp;DATE(YEAR($A$1),MONTH($A$1),1))</f>
        <v>0</v>
      </c>
      <c r="Q120" s="86"/>
      <c r="R120" s="86"/>
      <c r="S120" s="86"/>
      <c r="T120" s="66"/>
    </row>
    <row r="121" spans="1:21" s="65" customFormat="1">
      <c r="A121" s="154" t="s">
        <v>29</v>
      </c>
      <c r="B121" s="274"/>
      <c r="C121" s="275"/>
      <c r="D121" s="341">
        <f>SUMIFS(июнь2442[м2],июнь2442[МОП],$A121,июнь2442[Комнатность],"&lt;&gt;Офис")</f>
        <v>0</v>
      </c>
      <c r="E121" s="277">
        <f>SUMIFS(июнь2442[Сумма без отделки],июнь2442[МОП],$A121,июнь2442[Комнатность],"&lt;&gt;Офис")</f>
        <v>0</v>
      </c>
      <c r="F121" s="405">
        <f>COUNTIFS(июнь2442[МОП],$A121,июнь2442[Комнатность],"&lt;&gt;Офис")</f>
        <v>0</v>
      </c>
      <c r="G121" s="159">
        <f>SUMIFS(РД[S],РД[МОП],A121,РД[Дата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160">
        <f>SUMIFS(РД[Стоимость без отделки итог],РД[МОП],A121,РД[Дата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8">
        <f>COUNTIFS(РД[МОП],A121,РД[Дата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9" t="str">
        <f t="shared" si="22"/>
        <v/>
      </c>
      <c r="K121" s="230" t="str">
        <f t="shared" si="22"/>
        <v/>
      </c>
      <c r="L121" s="159">
        <f>COUNTIFS(РД[Тип кв],L$86,РД[МОП],$A121,РД[Дата подачи на регистрацию],"&lt;="&amp;$A$1,РД[Дата подачи на регистрацию],"&gt;="&amp;DATE(YEAR($A$1),MONTH($A$1),1))</f>
        <v>0</v>
      </c>
      <c r="M121" s="228">
        <f>COUNTIFS(РД[Тип кв],M$86,РД[МОП],$A121,РД[Дата подачи на регистрацию],"&lt;="&amp;$A$1,РД[Дата подачи на регистрацию],"&gt;="&amp;DATE(YEAR($A$1),MONTH($A$1),1))</f>
        <v>0</v>
      </c>
      <c r="N121" s="228">
        <f>COUNTIFS(РД[Тип кв],N$86,РД[МОП],$A121,РД[Дата подачи на регистрацию],"&lt;="&amp;$A$1,РД[Дата подачи на регистрацию],"&gt;="&amp;DATE(YEAR($A$1),MONTH($A$1),1))</f>
        <v>0</v>
      </c>
      <c r="O121" s="228">
        <f>COUNTIFS(РД[Тип кв],O$86,РД[МОП],$A121,РД[Дата подачи на регистрацию],"&lt;="&amp;$A$1,РД[Дата подачи на регистрацию],"&gt;="&amp;DATE(YEAR($A$1),MONTH($A$1),1))</f>
        <v>0</v>
      </c>
      <c r="P121" s="231">
        <f>COUNTIFS(РД[Тип кв],P$86,РД[МОП],$A121,РД[Дата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61" t="s">
        <v>1919</v>
      </c>
      <c r="B122" s="278"/>
      <c r="C122" s="279"/>
      <c r="D122" s="406">
        <f>SUMIFS(июнь2442[м2],июнь2442[МОП],$A122,июнь2442[Комнатность],"&lt;&gt;Офис")</f>
        <v>0</v>
      </c>
      <c r="E122" s="281">
        <f>SUMIFS(июнь2442[Сумма без отделки],июнь2442[МОП],$A122,июнь2442[Комнатность],"&lt;&gt;Офис")</f>
        <v>0</v>
      </c>
      <c r="F122" s="407">
        <f>COUNTIFS(июнь2442[МОП],$A122,июнь2442[Комнатность],"&lt;&gt;Офис")</f>
        <v>0</v>
      </c>
      <c r="G122" s="166">
        <f>SUMIFS(РД[S],РД[МОП],A122,РД[Дата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7">
        <f>SUMIFS(РД[Стоимость без отделки итог],РД[МОП],A122,РД[Дата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32">
        <f>COUNTIFS(РД[МОП],A122,РД[Дата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33" t="str">
        <f t="shared" si="22"/>
        <v/>
      </c>
      <c r="K122" s="234" t="str">
        <f t="shared" si="22"/>
        <v/>
      </c>
      <c r="L122" s="509">
        <f>COUNTIFS(РД[Тип кв],L$86,РД[МОП],$A122,РД[Дата подачи на регистрацию],"&lt;="&amp;$A$1,РД[Дата подачи на регистрацию],"&gt;="&amp;DATE(YEAR($A$1),MONTH($A$1),1))</f>
        <v>0</v>
      </c>
      <c r="M122" s="510">
        <f>COUNTIFS(РД[Тип кв],M$86,РД[МОП],$A122,РД[Дата подачи на регистрацию],"&lt;="&amp;$A$1,РД[Дата подачи на регистрацию],"&gt;="&amp;DATE(YEAR($A$1),MONTH($A$1),1))</f>
        <v>0</v>
      </c>
      <c r="N122" s="510">
        <f>COUNTIFS(РД[Тип кв],N$86,РД[МОП],$A122,РД[Дата подачи на регистрацию],"&lt;="&amp;$A$1,РД[Дата подачи на регистрацию],"&gt;="&amp;DATE(YEAR($A$1),MONTH($A$1),1))</f>
        <v>0</v>
      </c>
      <c r="O122" s="510">
        <f>COUNTIFS(РД[Тип кв],O$86,РД[МОП],$A122,РД[Дата подачи на регистрацию],"&lt;="&amp;$A$1,РД[Дата подачи на регистрацию],"&gt;="&amp;DATE(YEAR($A$1),MONTH($A$1),1))</f>
        <v>0</v>
      </c>
      <c r="P122" s="511">
        <f>COUNTIFS(РД[Тип кв],P$86,РД[МОП],$A122,РД[Дата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8" t="s">
        <v>114</v>
      </c>
      <c r="B123" s="172">
        <f t="shared" ref="B123:I123" si="25">SUM(B117:B122)</f>
        <v>1327</v>
      </c>
      <c r="C123" s="491">
        <f t="shared" si="25"/>
        <v>139681997</v>
      </c>
      <c r="D123" s="173">
        <f t="shared" si="25"/>
        <v>1038.55</v>
      </c>
      <c r="E123" s="492" t="e">
        <f t="shared" si="25"/>
        <v>#VALUE!</v>
      </c>
      <c r="F123" s="493">
        <f t="shared" si="25"/>
        <v>20</v>
      </c>
      <c r="G123" s="172">
        <f t="shared" si="25"/>
        <v>899.74</v>
      </c>
      <c r="H123" s="492">
        <f t="shared" si="25"/>
        <v>90461061</v>
      </c>
      <c r="I123" s="493">
        <f t="shared" si="25"/>
        <v>16</v>
      </c>
      <c r="J123" s="238">
        <f>IFERROR(G123/B123,)</f>
        <v>0.67802562170308966</v>
      </c>
      <c r="K123" s="501">
        <f>IFERROR(H123/C123,)</f>
        <v>0.64762147551484395</v>
      </c>
      <c r="L123" s="471">
        <f>SUM(L117:L122)</f>
        <v>2</v>
      </c>
      <c r="M123" s="471">
        <f>SUM(M117:M122)</f>
        <v>3</v>
      </c>
      <c r="N123" s="471">
        <f>SUM(N117:N122)</f>
        <v>8</v>
      </c>
      <c r="O123" s="471">
        <f>SUM(O117:O122)</f>
        <v>3</v>
      </c>
      <c r="P123" s="471">
        <f>SUM(P117:P122)</f>
        <v>0</v>
      </c>
      <c r="T123" s="66"/>
    </row>
    <row r="124" spans="1:21" s="65" customFormat="1" ht="22.5" customHeight="1">
      <c r="A124" s="135" t="s">
        <v>115</v>
      </c>
      <c r="B124" s="135" t="s">
        <v>100</v>
      </c>
      <c r="C124" s="136" t="s">
        <v>97</v>
      </c>
      <c r="D124" s="295" t="s">
        <v>494</v>
      </c>
      <c r="E124" s="138" t="s">
        <v>495</v>
      </c>
      <c r="F124" s="470" t="s">
        <v>496</v>
      </c>
      <c r="G124" s="140" t="s">
        <v>101</v>
      </c>
      <c r="H124" s="141" t="s">
        <v>98</v>
      </c>
      <c r="I124" s="141" t="s">
        <v>96</v>
      </c>
      <c r="J124" s="141" t="s">
        <v>715</v>
      </c>
      <c r="K124" s="216" t="s">
        <v>716</v>
      </c>
      <c r="L124" s="512">
        <v>0</v>
      </c>
      <c r="M124" s="218">
        <v>1</v>
      </c>
      <c r="N124" s="218">
        <v>2</v>
      </c>
      <c r="O124" s="218">
        <v>3</v>
      </c>
      <c r="P124" s="219" t="s">
        <v>1367</v>
      </c>
      <c r="T124" s="66"/>
    </row>
    <row r="125" spans="1:21" s="65" customFormat="1">
      <c r="A125" s="177" t="s">
        <v>1892</v>
      </c>
      <c r="B125" s="267">
        <f>IFERROR(VLOOKUP(A125,'ИПП 3кв24'!$B$5:$L$16,10,0),"")</f>
        <v>512.70454545454538</v>
      </c>
      <c r="C125" s="146">
        <f>IFERROR(VLOOKUP(A125,'ИПП 3кв24'!$B$5:$L$16,11,0),"")</f>
        <v>53968044.295454539</v>
      </c>
      <c r="D125" s="145">
        <f>SUMIFS(июнь2442[м2],июнь2442[ИМ],A125,июнь2442[Комнатность],"&lt;&gt;Офис")</f>
        <v>437.53999999999996</v>
      </c>
      <c r="E125" s="149">
        <f>SUMIFS(июнь2442[Сумма без отделки],июнь2442[ИМ],$A125,июнь2442[Комнатность],"&lt;&gt;Офис")</f>
        <v>44298106</v>
      </c>
      <c r="F125" s="147">
        <f>COUNTIFS(июнь2442[ИМ],A125,июнь2442[Комнатность],"&lt;&gt;Офис")</f>
        <v>8</v>
      </c>
      <c r="G125" s="183">
        <f>SUMIFS(РД[S],РД[ИМ],A125,РД[Дата подачи на регистрацию],"&lt;="&amp;$A$1,РД[Дата подачи на регистрацию],"&gt;="&amp;DATE(YEAR($A$1),MONTH($A$1),1),РД[Состояние],"Продажа")</f>
        <v>437.53999999999996</v>
      </c>
      <c r="H125" s="184">
        <f>SUMIFS(РД[Стоимость без отделки итог],РД[ИМ],A125,РД[Дата подачи на регистрацию],"&lt;="&amp;$A$1,РД[Дата подачи на регистрацию],"&gt;="&amp;DATE(YEAR($A$1),MONTH($A$1),1),РД[Состояние],"Продажа")</f>
        <v>44298106</v>
      </c>
      <c r="I125" s="243">
        <f>COUNTIFS(РД[ИМ],A125,РД[Дата подачи на регистрацию],"&lt;="&amp;$A$1,РД[Дата подачи на регистрацию],"&gt;="&amp;DATE(YEAR($A$1),MONTH($A$1),1),РД[Состояние],"Продажа")</f>
        <v>8</v>
      </c>
      <c r="J125" s="244">
        <f t="shared" ref="J125:K128" si="26">IFERROR(G125/B125,"")</f>
        <v>0.85339598386453308</v>
      </c>
      <c r="K125" s="258">
        <f t="shared" si="26"/>
        <v>0.8208210354535862</v>
      </c>
      <c r="L125" s="183">
        <f>COUNTIFS(РД[Тип кв],L116,РД[ИМ],$A125,РД[Дата подачи на регистрацию],"&lt;="&amp;$A$1,РД[Дата подачи на регистрацию],"&gt;="&amp;DATE(YEAR($A$1),MONTH($A$1),1))</f>
        <v>1</v>
      </c>
      <c r="M125" s="243">
        <f>COUNTIFS(РД[Тип кв],M116,РД[ИМ],$A125,РД[Дата подачи на регистрацию],"&lt;="&amp;$A$1,РД[Дата подачи на регистрацию],"&gt;="&amp;DATE(YEAR($A$1),MONTH($A$1),1))</f>
        <v>2</v>
      </c>
      <c r="N125" s="243">
        <f>COUNTIFS(РД[Тип кв],N116,РД[ИМ],$A125,РД[Дата подачи на регистрацию],"&lt;="&amp;$A$1,РД[Дата подачи на регистрацию],"&gt;="&amp;DATE(YEAR($A$1),MONTH($A$1),1))</f>
        <v>4</v>
      </c>
      <c r="O125" s="243">
        <f>COUNTIFS(РД[Тип кв],O116,РД[ИМ],$A125,РД[Дата подачи на регистрацию],"&lt;="&amp;$A$1,РД[Дата подачи на регистрацию],"&gt;="&amp;DATE(YEAR($A$1),MONTH($A$1),1))</f>
        <v>1</v>
      </c>
      <c r="P125" s="246">
        <f>COUNTIFS(РД[Тип кв],P116,РД[ИМ],$A125,РД[Дата подачи на регистрацию],"&lt;="&amp;$A$1,РД[Дата подачи на регистрацию],"&gt;="&amp;DATE(YEAR($A$1),MONTH($A$1),1))</f>
        <v>0</v>
      </c>
      <c r="Q125" s="66"/>
      <c r="R125" s="66"/>
      <c r="S125" s="66"/>
      <c r="T125" s="66"/>
    </row>
    <row r="126" spans="1:21" s="65" customFormat="1">
      <c r="A126" s="150" t="s">
        <v>22</v>
      </c>
      <c r="B126" s="267">
        <f>IFERROR(VLOOKUP(A126,'ИПП 3кв24'!$B$5:$L$16,10,0),"")</f>
        <v>512.70454545454538</v>
      </c>
      <c r="C126" s="146">
        <f>IFERROR(VLOOKUP(A126,'ИПП 3кв24'!$B$5:$L$16,11,0),"")</f>
        <v>53968044.295454539</v>
      </c>
      <c r="D126" s="145">
        <f>SUMIFS(июнь2442[м2],июнь2442[ИМ],A126,июнь2442[Комнатность],"&lt;&gt;Офис")</f>
        <v>460.85999999999996</v>
      </c>
      <c r="E126" s="149">
        <f>SUMIFS(июнь2442[Сумма без отделки],июнь2442[ИМ],$A126,июнь2442[Комнатность],"&lt;&gt;Офис")</f>
        <v>42762549</v>
      </c>
      <c r="F126" s="147">
        <f>COUNTIFS(июнь2442[ИМ],$A126,июнь2442[Комнатность],"&lt;&gt;Офис")</f>
        <v>8</v>
      </c>
      <c r="G126" s="187">
        <f>SUMIFS(РД[S],РД[ИМ],A126,РД[Дата подачи на регистрацию],"&lt;="&amp;$A$1,РД[Дата подачи на регистрацию],"&gt;="&amp;DATE(YEAR($A$1),MONTH($A$1),1),РД[Состояние],"Продажа")</f>
        <v>437.92</v>
      </c>
      <c r="H126" s="188">
        <f>SUMIFS(РД[Стоимость без отделки итог],РД[ИМ],A126,РД[Дата подачи на регистрацию],"&lt;="&amp;$A$1,РД[Дата подачи на регистрацию],"&gt;="&amp;DATE(YEAR($A$1),MONTH($A$1),1),РД[Состояние],"Продажа")</f>
        <v>43218229</v>
      </c>
      <c r="I126" s="247">
        <f>COUNTIFS(РД[ИМ],A126,РД[Дата подачи на регистрацию],"&lt;="&amp;$A$1,РД[Дата подачи на регистрацию],"&gt;="&amp;DATE(YEAR($A$1),MONTH($A$1),1),РД[Состояние],"Продажа")</f>
        <v>7</v>
      </c>
      <c r="J126" s="248">
        <f t="shared" si="26"/>
        <v>0.85413715146948022</v>
      </c>
      <c r="K126" s="259">
        <f t="shared" si="26"/>
        <v>0.80081147212592352</v>
      </c>
      <c r="L126" s="328">
        <f>COUNTIFS(РД[Тип кв],L117,РД[ИМ],$A126,РД[Дата подачи на регистрацию],"&lt;="&amp;$A$1,РД[Дата подачи на регистрацию],"&gt;="&amp;DATE(YEAR($A$1),MONTH($A$1),1))</f>
        <v>1</v>
      </c>
      <c r="M126" s="247">
        <f>COUNTIFS(РД[Тип кв],M117,РД[ИМ],$A126,РД[Дата подачи на регистрацию],"&lt;="&amp;$A$1,РД[Дата подачи на регистрацию],"&gt;="&amp;DATE(YEAR($A$1),MONTH($A$1),1))</f>
        <v>4</v>
      </c>
      <c r="N126" s="247">
        <f>COUNTIFS(РД[Тип кв],N117,РД[ИМ],$A126,РД[Дата подачи на регистрацию],"&lt;="&amp;$A$1,РД[Дата подачи на регистрацию],"&gt;="&amp;DATE(YEAR($A$1),MONTH($A$1),1))</f>
        <v>0</v>
      </c>
      <c r="O126" s="247">
        <f>COUNTIFS(РД[Тип кв],O117,РД[ИМ],$A126,РД[Дата подачи на регистрацию],"&lt;="&amp;$A$1,РД[Дата подачи на регистрацию],"&gt;="&amp;DATE(YEAR($A$1),MONTH($A$1),1))</f>
        <v>4</v>
      </c>
      <c r="P126" s="250">
        <f>COUNTIFS(РД[Тип кв],P117,РД[ИМ],$A126,РД[Дата подачи на регистрацию],"&lt;="&amp;$A$1,РД[Дата подачи на регистрацию],"&gt;="&amp;DATE(YEAR($A$1),MONTH($A$1),1))</f>
        <v>0</v>
      </c>
      <c r="Q126" s="66"/>
      <c r="R126" s="66"/>
      <c r="S126" s="66"/>
      <c r="T126" s="66"/>
    </row>
    <row r="127" spans="1:21" s="65" customFormat="1">
      <c r="A127" s="189" t="s">
        <v>16</v>
      </c>
      <c r="B127" s="267">
        <f>IFERROR(VLOOKUP(A127,'ИПП 3кв24'!$B$5:$L$16,10,0),"")</f>
        <v>102.54090909090908</v>
      </c>
      <c r="C127" s="146">
        <f>IFERROR(VLOOKUP(A127,'ИПП 3кв24'!$B$5:$L$16,11,0),"")</f>
        <v>10793608.859090909</v>
      </c>
      <c r="D127" s="145">
        <f>SUMIFS(июнь2442[м2],июнь2442[ИМ],A127,июнь2442[Комнатность],"&lt;&gt;Офис")</f>
        <v>0</v>
      </c>
      <c r="E127" s="149">
        <f>SUMIFS(июнь2442[Сумма без отделки],июнь2442[ИМ],$A127,июнь2442[Комнатность],"&lt;&gt;Офис")</f>
        <v>0</v>
      </c>
      <c r="F127" s="147">
        <f>COUNTIFS(июнь2442[ИМ],$A127,июнь2442[Комнатность],"&lt;&gt;Офис")</f>
        <v>0</v>
      </c>
      <c r="G127" s="195">
        <f>SUMIFS(РД[S],РД[ИМ],A127,РД[Дата подачи на регистрацию],"&lt;="&amp;$A$1,РД[Дата подачи на регистрацию],"&gt;="&amp;DATE(YEAR($A$1),MONTH($A$1),1),РД[Состояние],"Продажа")</f>
        <v>0</v>
      </c>
      <c r="H127" s="196">
        <f>SUMIFS(РД[Стоимость без отделки итог],РД[ИМ],A127,РД[Дата подачи на регистрацию],"&lt;="&amp;$A$1,РД[Дата подачи на регистрацию],"&gt;="&amp;DATE(YEAR($A$1),MONTH($A$1),1),РД[Состояние],"Продажа")</f>
        <v>0</v>
      </c>
      <c r="I127" s="251">
        <f>COUNTIFS(РД[ИМ],A127,РД[Дата подачи на регистрацию],"&lt;="&amp;$A$1,РД[Дата подачи на регистрацию],"&gt;="&amp;DATE(YEAR($A$1),MONTH($A$1),1),РД[Состояние],"Продажа")</f>
        <v>0</v>
      </c>
      <c r="J127" s="252">
        <f t="shared" si="26"/>
        <v>0</v>
      </c>
      <c r="K127" s="260">
        <f t="shared" si="26"/>
        <v>0</v>
      </c>
      <c r="L127" s="329">
        <f>COUNTIFS(РД[Тип кв],L119,РД[ИМ],$A127,РД[Дата подачи на регистрацию],"&lt;="&amp;$A$1,РД[Дата подачи на регистрацию],"&gt;="&amp;DATE(YEAR($A$1),MONTH($A$1),1))</f>
        <v>0</v>
      </c>
      <c r="M127" s="330">
        <f>COUNTIFS(РД[Тип кв],M119,РД[ИМ],$A127,РД[Дата подачи на регистрацию],"&lt;="&amp;$A$1,РД[Дата подачи на регистрацию],"&gt;="&amp;DATE(YEAR($A$1),MONTH($A$1),1))</f>
        <v>0</v>
      </c>
      <c r="N127" s="330">
        <f>COUNTIFS(РД[Тип кв],N119,РД[ИМ],$A127,РД[Дата подачи на регистрацию],"&lt;="&amp;$A$1,РД[Дата подачи на регистрацию],"&gt;="&amp;DATE(YEAR($A$1),MONTH($A$1),1))</f>
        <v>0</v>
      </c>
      <c r="O127" s="330">
        <f>COUNTIFS(РД[Тип кв],O119,РД[ИМ],$A127,РД[Дата подачи на регистрацию],"&lt;="&amp;$A$1,РД[Дата подачи на регистрацию],"&gt;="&amp;DATE(YEAR($A$1),MONTH($A$1),1))</f>
        <v>0</v>
      </c>
      <c r="P127" s="331">
        <f>COUNTIFS(РД[Тип кв],P119,РД[ИМ],$A127,РД[Дата подачи на регистрацию],"&lt;="&amp;$A$1,РД[Дата подачи на регистрацию],"&gt;="&amp;DATE(YEAR($A$1),MONTH($A$1),1))</f>
        <v>0</v>
      </c>
      <c r="Q127" s="66"/>
      <c r="R127" s="66"/>
      <c r="S127" s="66"/>
      <c r="T127" s="66"/>
    </row>
    <row r="128" spans="1:21" s="65" customFormat="1">
      <c r="A128" s="168" t="s">
        <v>114</v>
      </c>
      <c r="B128" s="410">
        <f>SUM(B125:B127)</f>
        <v>1127.9499999999998</v>
      </c>
      <c r="C128" s="483">
        <f>SUM(C125:C127)</f>
        <v>118729697.44999999</v>
      </c>
      <c r="D128" s="484">
        <f t="shared" ref="D128:P128" si="27">SUM(D125:D127)</f>
        <v>898.39999999999986</v>
      </c>
      <c r="E128" s="429">
        <f t="shared" si="27"/>
        <v>87060655</v>
      </c>
      <c r="F128" s="485">
        <f t="shared" si="27"/>
        <v>16</v>
      </c>
      <c r="G128" s="473">
        <f t="shared" si="27"/>
        <v>875.46</v>
      </c>
      <c r="H128" s="494">
        <f t="shared" si="27"/>
        <v>87516335</v>
      </c>
      <c r="I128" s="494">
        <f t="shared" si="27"/>
        <v>15</v>
      </c>
      <c r="J128" s="419">
        <f t="shared" si="26"/>
        <v>0.77615142515182423</v>
      </c>
      <c r="K128" s="420">
        <f t="shared" si="26"/>
        <v>0.73710568526341347</v>
      </c>
      <c r="L128" s="473">
        <f t="shared" si="27"/>
        <v>2</v>
      </c>
      <c r="M128" s="494">
        <f t="shared" si="27"/>
        <v>6</v>
      </c>
      <c r="N128" s="494">
        <f t="shared" si="27"/>
        <v>4</v>
      </c>
      <c r="O128" s="494">
        <f t="shared" si="27"/>
        <v>5</v>
      </c>
      <c r="P128" s="497">
        <f t="shared" si="27"/>
        <v>0</v>
      </c>
      <c r="Q128" s="66"/>
      <c r="R128" s="66"/>
      <c r="S128" s="66"/>
      <c r="T128" s="66"/>
    </row>
    <row r="129" spans="1:21" s="65" customFormat="1">
      <c r="A129" s="134"/>
      <c r="B129" s="44"/>
      <c r="C129" s="44"/>
      <c r="D129" s="134"/>
      <c r="E129" s="134"/>
      <c r="F129" s="44"/>
      <c r="G129" s="134"/>
      <c r="H129" s="134"/>
      <c r="I129" s="134"/>
      <c r="J129" s="134"/>
      <c r="K129" s="255"/>
      <c r="L129" s="256"/>
      <c r="M129" s="134"/>
      <c r="N129" s="134"/>
      <c r="O129" s="134"/>
      <c r="P129" s="134"/>
      <c r="Q129" s="134"/>
      <c r="T129" s="66"/>
      <c r="U129" s="66"/>
    </row>
    <row r="130" spans="1:21" s="65" customFormat="1" ht="15">
      <c r="A130" s="2400" t="s">
        <v>1368</v>
      </c>
      <c r="B130" s="2401"/>
      <c r="C130" s="2401"/>
      <c r="D130" s="2401"/>
      <c r="E130" s="2401"/>
      <c r="F130" s="2401"/>
      <c r="G130" s="2401"/>
      <c r="H130" s="2401"/>
      <c r="I130" s="2401"/>
      <c r="J130" s="2401"/>
      <c r="K130" s="2401"/>
      <c r="L130" s="2401"/>
      <c r="M130" s="2401"/>
      <c r="N130" s="2401"/>
      <c r="O130" s="2401"/>
      <c r="P130" s="66"/>
      <c r="S130" s="66"/>
      <c r="T130" s="66"/>
    </row>
    <row r="131" spans="1:21" s="65" customFormat="1" ht="22.5" customHeight="1">
      <c r="A131" s="135" t="s">
        <v>1</v>
      </c>
      <c r="B131" s="135" t="s">
        <v>100</v>
      </c>
      <c r="C131" s="136" t="s">
        <v>97</v>
      </c>
      <c r="D131" s="264" t="s">
        <v>494</v>
      </c>
      <c r="E131" s="265" t="s">
        <v>495</v>
      </c>
      <c r="F131" s="266" t="s">
        <v>496</v>
      </c>
      <c r="G131" s="140" t="s">
        <v>101</v>
      </c>
      <c r="H131" s="141" t="s">
        <v>98</v>
      </c>
      <c r="I131" s="141" t="s">
        <v>96</v>
      </c>
      <c r="J131" s="141" t="s">
        <v>715</v>
      </c>
      <c r="K131" s="216" t="s">
        <v>716</v>
      </c>
      <c r="L131" s="332" t="s">
        <v>121</v>
      </c>
      <c r="M131" s="218" t="s">
        <v>27</v>
      </c>
      <c r="N131" s="219" t="s">
        <v>7</v>
      </c>
      <c r="O131" s="219" t="s">
        <v>19</v>
      </c>
      <c r="P131" s="66"/>
      <c r="S131" s="66"/>
      <c r="T131" s="66"/>
    </row>
    <row r="132" spans="1:21" s="65" customFormat="1">
      <c r="A132" s="142" t="s">
        <v>8</v>
      </c>
      <c r="B132" s="267"/>
      <c r="C132" s="268"/>
      <c r="D132" s="416">
        <f>SUMIFS(июнь2442[м2],июнь2442[МОП],A132,июнь2442[Комнатность],"Офис")</f>
        <v>0</v>
      </c>
      <c r="E132" s="146">
        <f>SUMIFS(июнь2442[Сумма без отделки],июнь2442[МОП],$A132,июнь2442[Комнатность],"оФИС")</f>
        <v>0</v>
      </c>
      <c r="F132" s="417">
        <f>COUNTIFS(июнь2442[МОП],$A132,июнь2442[Комнатность],"Офис")</f>
        <v>0</v>
      </c>
      <c r="G132" s="267">
        <f>SUMIFS(РД[S],РД[МОП],A132,РД[Дата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H132" s="146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I132" s="220">
        <f>COUNTIFS(РД[МОП],A132,РД[Дата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J132" s="221" t="str">
        <f t="shared" ref="J132:K138" si="28">IFERROR(G132/B132,"")</f>
        <v/>
      </c>
      <c r="K132" s="333" t="str">
        <f t="shared" si="28"/>
        <v/>
      </c>
      <c r="L132" s="148">
        <f>COUNTIFS(РД[Дом],L$131,РД[МОП],$A132,РД[Дата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M132" s="220">
        <f>COUNTIFS(РД[Дом],M$131,РД[МОП],$A132,РД[Дата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N132" s="223">
        <f>COUNTIFS(РД[Дом],N$131,РД[МОП],$A132,РД[Дата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O132" s="223">
        <f>COUNTIFS(РД[Дом],O$131,РД[МОП],$A132,РД[Дата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S132" s="66"/>
      <c r="T132" s="66"/>
    </row>
    <row r="133" spans="1:21" s="65" customFormat="1">
      <c r="A133" s="150" t="s">
        <v>46</v>
      </c>
      <c r="B133" s="267"/>
      <c r="C133" s="268"/>
      <c r="D133" s="416">
        <f>SUMIFS(июнь2442[м2],июнь2442[МОП],A133,июнь2442[Комнатность],"Офис")</f>
        <v>0</v>
      </c>
      <c r="E133" s="146">
        <f>SUMIFS(июнь2442[Сумма без отделки],июнь2442[МОП],$A133,июнь2442[Комнатность],"оФИС")</f>
        <v>0</v>
      </c>
      <c r="F133" s="417">
        <f>COUNTIFS(июнь2442[МОП],$A133,июнь2442[Комнатность],"Офис")</f>
        <v>0</v>
      </c>
      <c r="G133" s="267">
        <f>SUMIFS(РД[S],РД[МОП],A133,РД[Дата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H133" s="146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I133" s="220">
        <f>COUNTIFS(РД[МОП],A133,РД[Дата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J133" s="221" t="str">
        <f t="shared" ref="J133" si="29">IFERROR(G133/B133,"")</f>
        <v/>
      </c>
      <c r="K133" s="333" t="str">
        <f t="shared" ref="K133" si="30">IFERROR(H133/C133,"")</f>
        <v/>
      </c>
      <c r="L133" s="148">
        <f>COUNTIFS(РД[Дом],L$131,РД[МОП],$A133,РД[Дата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M133" s="220">
        <f>COUNTIFS(РД[Дом],M$131,РД[МОП],$A133,РД[Дата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N133" s="223">
        <f>COUNTIFS(РД[Дом],N$131,РД[МОП],$A133,РД[Дата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O133" s="223">
        <f>COUNTIFS(РД[Дом],O$131,РД[МОП],$A133,РД[Дата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S133" s="66"/>
      <c r="T133" s="66"/>
    </row>
    <row r="134" spans="1:21" s="65" customFormat="1">
      <c r="A134" s="153" t="s">
        <v>20</v>
      </c>
      <c r="B134" s="271"/>
      <c r="C134" s="272"/>
      <c r="D134" s="416">
        <f>SUMIFS(июнь2442[м2],июнь2442[МОП],A134,июнь2442[Комнатность],"Офис")</f>
        <v>0</v>
      </c>
      <c r="E134" s="52">
        <f>SUMIFS(июнь2442[Сумма без отделки],июнь2442[МОП],$A134,июнь2442[Комнатность],"оФИС")</f>
        <v>0</v>
      </c>
      <c r="F134" s="421">
        <f>COUNTIFS(июнь2442[МОП],$A134,июнь2442[Комнатность],"Офис")</f>
        <v>0</v>
      </c>
      <c r="G134" s="271">
        <f>SUMIFS(РД[S],РД[МОП],A134,РД[Дата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H134" s="52">
        <f>SUMIFS(РД[Стоимость без отделки итог],РД[МОП],A134,РД[Дата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I134" s="220">
        <f>COUNTIFS(РД[МОП],A134,РД[Дата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J134" s="224" t="str">
        <f t="shared" si="28"/>
        <v/>
      </c>
      <c r="K134" s="334" t="str">
        <f t="shared" si="28"/>
        <v/>
      </c>
      <c r="L134" s="202">
        <f>COUNTIFS(РД[Дом],L$131,РД[МОП],$A134,РД[Дата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M134" s="226">
        <f>COUNTIFS(РД[Дом],M$131,РД[МОП],$A134,РД[Дата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N134" s="227">
        <f>COUNTIFS(РД[Дом],N$131,РД[МОП],$A134,РД[Дата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O134" s="227">
        <f>COUNTIFS(РД[Дом],O$131,РД[МОП],$A134,РД[Дата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S134" s="66"/>
      <c r="T134" s="66"/>
    </row>
    <row r="135" spans="1:21" s="65" customFormat="1">
      <c r="A135" s="153" t="s">
        <v>14</v>
      </c>
      <c r="B135" s="315"/>
      <c r="C135" s="316"/>
      <c r="D135" s="422">
        <f>SUMIFS(июнь2442[м2],июнь2442[МОП],A135,июнь2442[Комнатность],"Офис")</f>
        <v>0</v>
      </c>
      <c r="E135" s="363">
        <f>SUMIFS(июнь2442[Сумма без отделки],июнь2442[МОП],$A135,июнь2442[Комнатность],"оФИС")</f>
        <v>0</v>
      </c>
      <c r="F135" s="414">
        <f>COUNTIFS(июнь2442[МОП],$A135,июнь2442[Комнатность],"Офис")</f>
        <v>0</v>
      </c>
      <c r="G135" s="315">
        <f>SUMIFS(РД[S],РД[МОП],A135,РД[Дата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H135" s="363">
        <f>SUMIFS(РД[Стоимость без отделки итог],РД[МОП],A135,РД[Дата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I135" s="247">
        <f>COUNTIFS(РД[МОП],A135,РД[Дата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J135" s="360" t="str">
        <f t="shared" si="28"/>
        <v/>
      </c>
      <c r="K135" s="367" t="str">
        <f t="shared" si="28"/>
        <v/>
      </c>
      <c r="L135" s="358">
        <f>COUNTIFS(РД[Дом],L$131,РД[МОП],$A135,РД[Дата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M135" s="330">
        <f>COUNTIFS(РД[Дом],M$131,РД[МОП],$A135,РД[Дата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N135" s="331">
        <f>COUNTIFS(РД[Дом],N$131,РД[МОП],$A135,РД[Дата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O135" s="331">
        <f>COUNTIFS(РД[Дом],O$131,РД[МОП],$A135,РД[Дата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S135" s="66"/>
      <c r="T135" s="66"/>
    </row>
    <row r="136" spans="1:21" s="65" customFormat="1">
      <c r="A136" s="154" t="s">
        <v>29</v>
      </c>
      <c r="B136" s="274"/>
      <c r="C136" s="275"/>
      <c r="D136" s="423">
        <f>SUMIFS(июнь2442[м2],июнь2442[МОП],A136,июнь2442[Комнатность],"Офис")</f>
        <v>0</v>
      </c>
      <c r="E136" s="277">
        <f>SUMIFS(июнь2442[Сумма без отделки],июнь2442[МОП],$A136,июнь2442[Комнатность],"оФИС")</f>
        <v>0</v>
      </c>
      <c r="F136" s="405">
        <f>COUNTIFS(июнь2442[МОП],$A136,июнь2442[Комнатность],"Офис")</f>
        <v>0</v>
      </c>
      <c r="G136" s="274">
        <f>SUMIFS(РД[S],РД[МОП],A136,РД[Дата подачи на регистрацию],"&lt;="&amp;$A$1,РД[Дата подачи на регистрацию],"&gt;="&amp;DATE(YEAR($A$1),MONTH($A$1),1),РД[Состояние],"Коммерция")</f>
        <v>320.87</v>
      </c>
      <c r="H136" s="277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регистрацию],"&gt;="&amp;DATE(YEAR($A$1),MONTH($A$1),1),РД[Состояние],"Коммерция")</f>
        <v>38504400</v>
      </c>
      <c r="I136" s="228">
        <f>COUNTIFS(РД[МОП],A136,РД[Дата подачи на регистрацию],"&lt;="&amp;$A$1,РД[Дата подачи на регистрацию],"&gt;="&amp;DATE(YEAR($A$1),MONTH($A$1),1),РД[Состояние],"Коммерция")</f>
        <v>1</v>
      </c>
      <c r="J136" s="229" t="str">
        <f t="shared" si="28"/>
        <v/>
      </c>
      <c r="K136" s="335" t="str">
        <f t="shared" si="28"/>
        <v/>
      </c>
      <c r="L136" s="159">
        <f>COUNTIFS(РД[Дом],L$131,РД[МОП],$A136,РД[Дата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M136" s="228">
        <f>COUNTIFS(РД[Дом],M$131,РД[МОП],$A136,РД[Дата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N136" s="231">
        <f>COUNTIFS(РД[Дом],N$131,РД[МОП],$A136,РД[Дата подачи на регистрацию],"&lt;="&amp;$A$1,РД[Дата подачи на регистрацию],"&gt;="&amp;DATE(YEAR($A$1),MONTH($A$1),1),РД[Состояние],"Коммерция")</f>
        <v>1</v>
      </c>
      <c r="O136" s="231">
        <f>COUNTIFS(РД[Дом],O$131,РД[МОП],$A136,РД[Дата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S136" s="66"/>
      <c r="T136" s="66"/>
    </row>
    <row r="137" spans="1:21" s="65" customFormat="1">
      <c r="A137" s="161" t="s">
        <v>1919</v>
      </c>
      <c r="B137" s="278"/>
      <c r="C137" s="279"/>
      <c r="D137" s="424">
        <f>SUMIFS(июнь2442[м2],июнь2442[МОП],A137,июнь2442[Комнатность],"Офис")</f>
        <v>0</v>
      </c>
      <c r="E137" s="281">
        <f>SUMIFS(июнь2442[Сумма без отделки],июнь2442[МОП],$A137,июнь2442[Комнатность],"оФИС")</f>
        <v>0</v>
      </c>
      <c r="F137" s="407">
        <f>COUNTIFS(июнь2442[МОП],$A137,июнь2442[Комнатность],"Офис")</f>
        <v>0</v>
      </c>
      <c r="G137" s="278">
        <f>SUMIFS(РД[S],РД[МОП],A137,РД[Дата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H137" s="281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I137" s="232">
        <f>COUNTIFS(РД[МОП],A137,РД[Дата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J137" s="233" t="str">
        <f t="shared" si="28"/>
        <v/>
      </c>
      <c r="K137" s="336" t="str">
        <f t="shared" si="28"/>
        <v/>
      </c>
      <c r="L137" s="166">
        <f>COUNTIFS(РД[Дом],L$131,РД[МОП],$A137,РД[Дата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M137" s="232">
        <f>COUNTIFS(РД[Дом],M$131,РД[МОП],$A137,РД[Дата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N137" s="337">
        <f>COUNTIFS(РД[Дом],N$131,РД[МОП],$A137,РД[Дата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O137" s="337">
        <f>COUNTIFS(РД[Дом],O$131,РД[МОП],$A137,РД[Дата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S137" s="66"/>
      <c r="T137" s="66"/>
    </row>
    <row r="138" spans="1:21" s="65" customFormat="1">
      <c r="A138" s="513" t="s">
        <v>114</v>
      </c>
      <c r="B138" s="282">
        <f t="shared" ref="B138:I138" si="31">SUM(B132:B137)</f>
        <v>0</v>
      </c>
      <c r="C138" s="283">
        <f t="shared" si="31"/>
        <v>0</v>
      </c>
      <c r="D138" s="425">
        <f t="shared" si="31"/>
        <v>0</v>
      </c>
      <c r="E138" s="287">
        <f t="shared" si="31"/>
        <v>0</v>
      </c>
      <c r="F138" s="286">
        <f t="shared" si="31"/>
        <v>0</v>
      </c>
      <c r="G138" s="282">
        <f t="shared" si="31"/>
        <v>320.87</v>
      </c>
      <c r="H138" s="287">
        <f t="shared" si="31"/>
        <v>38504400</v>
      </c>
      <c r="I138" s="287">
        <f t="shared" si="31"/>
        <v>1</v>
      </c>
      <c r="J138" s="238" t="str">
        <f t="shared" si="28"/>
        <v/>
      </c>
      <c r="K138" s="338" t="str">
        <f t="shared" si="28"/>
        <v/>
      </c>
      <c r="L138" s="318">
        <f>SUM(L132:L137)</f>
        <v>0</v>
      </c>
      <c r="M138" s="321">
        <f>SUM(M132:M137)</f>
        <v>0</v>
      </c>
      <c r="N138" s="319">
        <f>SUM(N132:N137)</f>
        <v>1</v>
      </c>
      <c r="O138" s="319">
        <f>SUM(O132:O137)</f>
        <v>0</v>
      </c>
      <c r="S138" s="66"/>
      <c r="T138" s="66"/>
    </row>
    <row r="139" spans="1:21" s="65" customFormat="1" ht="22.5" customHeight="1">
      <c r="A139" s="135" t="s">
        <v>115</v>
      </c>
      <c r="B139" s="135" t="s">
        <v>100</v>
      </c>
      <c r="C139" s="136" t="s">
        <v>97</v>
      </c>
      <c r="D139" s="264" t="s">
        <v>494</v>
      </c>
      <c r="E139" s="265" t="s">
        <v>495</v>
      </c>
      <c r="F139" s="266" t="s">
        <v>496</v>
      </c>
      <c r="G139" s="140" t="s">
        <v>101</v>
      </c>
      <c r="H139" s="141" t="s">
        <v>98</v>
      </c>
      <c r="I139" s="141" t="s">
        <v>96</v>
      </c>
      <c r="J139" s="141" t="s">
        <v>715</v>
      </c>
      <c r="K139" s="526" t="s">
        <v>716</v>
      </c>
      <c r="L139" s="332" t="s">
        <v>121</v>
      </c>
      <c r="M139" s="218" t="s">
        <v>27</v>
      </c>
      <c r="N139" s="219" t="s">
        <v>7</v>
      </c>
      <c r="O139" s="219" t="s">
        <v>7</v>
      </c>
      <c r="T139" s="66"/>
    </row>
    <row r="140" spans="1:21" s="65" customFormat="1">
      <c r="A140" s="177" t="s">
        <v>1892</v>
      </c>
      <c r="B140" s="291"/>
      <c r="C140" s="312"/>
      <c r="D140" s="514">
        <f>SUMIFS(июнь2442[м2],июнь2442[ИМ],A140,июнь2442[Комнатность],"Офис")</f>
        <v>0</v>
      </c>
      <c r="E140" s="146">
        <f>SUMIFS(июнь2442[Сумма без отделки],июнь2442[ИМ],$A140,июнь2442[Комнатность],"оФИС")</f>
        <v>0</v>
      </c>
      <c r="F140" s="417">
        <f>COUNTIFS(июнь2442[ИМ],$A140,июнь2442[Комнатность],"Офис")</f>
        <v>0</v>
      </c>
      <c r="G140" s="267">
        <f>SUMIFS(РД[S],РД[ИМ],A140,РД[Дата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H140" s="146">
        <f>SUMIFS(РД[Стоимость без отделки итог],РД[ИМ],A140,РД[Дата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I140" s="220">
        <f>COUNTIFS(РД[ИМ],A140,РД[Дата подачи на регистрацию],"&lt;="&amp;$A$1,РД[Дата подачи на регистрацию],"&gt;="&amp;DATE(YEAR($A$1),MONTH($A$1),1),РД[Состояние],"Коммерция")</f>
        <v>0</v>
      </c>
      <c r="J140" s="224" t="str">
        <f t="shared" ref="J140:K143" si="32">IFERROR(G140/B140,"")</f>
        <v/>
      </c>
      <c r="K140" s="334" t="str">
        <f t="shared" si="32"/>
        <v/>
      </c>
      <c r="L140" s="148">
        <f>COUNTIFS(РД[Дом],L$131,РД[ИМ],$A140,РД[Дата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M140" s="220">
        <f>COUNTIFS(РД[Дом],M$131,РД[ИМ],$A140,РД[Дата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N140" s="223">
        <f>COUNTIFS(РД[Дом],N$131,РД[ИМ],$A140,РД[Дата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O140" s="223">
        <f>COUNTIFS(РД[Дом],O$131,РД[ИМ],$A140,РД[Дата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T140" s="66"/>
    </row>
    <row r="141" spans="1:21" s="65" customFormat="1">
      <c r="A141" s="150" t="s">
        <v>22</v>
      </c>
      <c r="B141" s="408"/>
      <c r="C141" s="515"/>
      <c r="D141" s="514">
        <f>SUMIFS(июнь2442[м2],июнь2442[ИМ],A141,июнь2442[Комнатность],"Офис")</f>
        <v>0</v>
      </c>
      <c r="E141" s="146">
        <f>SUMIFS(июнь2442[Сумма без отделки],июнь2442[ИМ],$A141,июнь2442[Комнатность],"оФИС")</f>
        <v>0</v>
      </c>
      <c r="F141" s="417">
        <f>COUNTIFS(июнь2442[ИМ],$A141,июнь2442[Комнатность],"Офис")</f>
        <v>0</v>
      </c>
      <c r="G141" s="267">
        <f>SUMIFS(РД[S],РД[ИМ],A141,РД[Дата подачи на регистрацию],"&lt;="&amp;$A$1,РД[Дата подачи на регистрацию],"&gt;="&amp;DATE(YEAR($A$1),MONTH($A$1),1),РД[Состояние],"Коммерция")</f>
        <v>320.87</v>
      </c>
      <c r="H141" s="146">
        <f>SUMIFS(РД[Стоимость без отделки итог],РД[ИМ],A141,РД[Дата подачи на регистрацию],"&lt;="&amp;$A$1,РД[Дата подачи на регистрацию],"&gt;="&amp;DATE(YEAR($A$1),MONTH($A$1),1),РД[Состояние],"Коммерция")</f>
        <v>38504400</v>
      </c>
      <c r="I141" s="220">
        <f>COUNTIFS(РД[ИМ],A141,РД[Дата подачи на регистрацию],"&lt;="&amp;$A$1,РД[Дата подачи на регистрацию],"&gt;="&amp;DATE(YEAR($A$1),MONTH($A$1),1),РД[Состояние],"Коммерция")</f>
        <v>1</v>
      </c>
      <c r="J141" s="224" t="str">
        <f t="shared" si="32"/>
        <v/>
      </c>
      <c r="K141" s="334" t="str">
        <f t="shared" si="32"/>
        <v/>
      </c>
      <c r="L141" s="148">
        <f>COUNTIFS(РД[Дом],L$131,РД[ИМ],$A141,РД[Дата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M141" s="220">
        <f>COUNTIFS(РД[Дом],M$131,РД[ИМ],$A141,РД[Дата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N141" s="223">
        <f>COUNTIFS(РД[Дом],N$131,РД[ИМ],$A141,РД[Дата подачи на регистрацию],"&lt;="&amp;$A$1,РД[Дата подачи на регистрацию],"&gt;="&amp;DATE(YEAR($A$1),MONTH($A$1),1),РД[Состояние],"Коммерция")</f>
        <v>1</v>
      </c>
      <c r="O141" s="223">
        <f>COUNTIFS(РД[Дом],O$131,РД[ИМ],$A141,РД[Дата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T141" s="66"/>
    </row>
    <row r="142" spans="1:21" s="65" customFormat="1">
      <c r="A142" s="189" t="s">
        <v>16</v>
      </c>
      <c r="B142" s="516"/>
      <c r="C142" s="517"/>
      <c r="D142" s="422">
        <f>SUMIFS(июнь2442[м2],июнь2442[ИМ],A142,июнь2442[Комнатность],"Офис")</f>
        <v>0</v>
      </c>
      <c r="E142" s="363">
        <f>SUMIFS(июнь2442[Сумма без отделки],июнь2442[ИМ],$A142,июнь2442[Комнатность],"оФИС")</f>
        <v>0</v>
      </c>
      <c r="F142" s="518">
        <f>COUNTIFS(июнь2442[ИМ],$A142,июнь2442[Комнатность],"Офис")</f>
        <v>0</v>
      </c>
      <c r="G142" s="315">
        <f>SUMIFS(РД[S],РД[ИМ],A142,РД[Дата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H142" s="363">
        <f>SUMIFS(РД[Стоимость без отделки итог],РД[ИМ],A142,РД[Дата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I142" s="220">
        <f>COUNTIFS(РД[ИМ],A142,РД[Дата подачи на регистрацию],"&lt;="&amp;$A$1,РД[Дата подачи на регистрацию],"&gt;="&amp;DATE(YEAR($A$1),MONTH($A$1),1),РД[Состояние],"Коммерция")</f>
        <v>0</v>
      </c>
      <c r="J142" s="252" t="str">
        <f t="shared" si="32"/>
        <v/>
      </c>
      <c r="K142" s="253" t="str">
        <f t="shared" si="32"/>
        <v/>
      </c>
      <c r="L142" s="202">
        <f>COUNTIFS(РД[Дом],L$131,РД[ИМ],$A142,РД[Дата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M142" s="226">
        <f>COUNTIFS(РД[Дом],M$131,РД[ИМ],$A142,РД[Дата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N142" s="227">
        <f>COUNTIFS(РД[Дом],N$131,РД[ИМ],$A142,РД[Дата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O142" s="227">
        <f>COUNTIFS(РД[Дом],O$131,РД[ИМ],$A142,РД[Дата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T142" s="66"/>
    </row>
    <row r="143" spans="1:21" s="65" customFormat="1">
      <c r="A143" s="317" t="s">
        <v>114</v>
      </c>
      <c r="B143" s="282">
        <f>SUM(B140:B142)</f>
        <v>0</v>
      </c>
      <c r="C143" s="283">
        <f>SUM(C140:C142)</f>
        <v>0</v>
      </c>
      <c r="D143" s="428">
        <f t="shared" ref="D143:I143" si="33">SUM(D140:D142)</f>
        <v>0</v>
      </c>
      <c r="E143" s="429">
        <f t="shared" si="33"/>
        <v>0</v>
      </c>
      <c r="F143" s="322">
        <f t="shared" si="33"/>
        <v>0</v>
      </c>
      <c r="G143" s="323">
        <f t="shared" si="33"/>
        <v>320.87</v>
      </c>
      <c r="H143" s="429">
        <f t="shared" si="33"/>
        <v>38504400</v>
      </c>
      <c r="I143" s="429">
        <f t="shared" si="33"/>
        <v>1</v>
      </c>
      <c r="J143" s="419" t="str">
        <f t="shared" si="32"/>
        <v/>
      </c>
      <c r="K143" s="527" t="str">
        <f t="shared" si="32"/>
        <v/>
      </c>
      <c r="L143" s="318">
        <f>SUM(L140:L142)</f>
        <v>0</v>
      </c>
      <c r="M143" s="321">
        <f>SUM(M140:M142)</f>
        <v>0</v>
      </c>
      <c r="N143" s="319">
        <f>SUM(N140:N142)</f>
        <v>1</v>
      </c>
      <c r="O143" s="319">
        <f>SUM(O140:O142)</f>
        <v>0</v>
      </c>
      <c r="T143" s="66"/>
    </row>
    <row r="144" spans="1:21" s="65" customFormat="1">
      <c r="A144" s="134"/>
      <c r="B144" s="44"/>
      <c r="C144" s="44"/>
      <c r="D144" s="134"/>
      <c r="E144" s="134"/>
      <c r="F144" s="44"/>
      <c r="G144" s="134"/>
      <c r="H144" s="134"/>
      <c r="I144" s="134"/>
      <c r="J144" s="134"/>
      <c r="K144" s="255"/>
      <c r="L144" s="256"/>
      <c r="M144" s="134"/>
      <c r="N144" s="134"/>
      <c r="O144" s="134"/>
      <c r="P144" s="134"/>
      <c r="Q144" s="72"/>
      <c r="U144" s="66"/>
    </row>
    <row r="145" spans="1:21" s="65" customFormat="1" ht="15">
      <c r="A145" s="2321" t="s">
        <v>945</v>
      </c>
      <c r="B145" s="2322"/>
      <c r="C145" s="2322"/>
      <c r="D145" s="2322"/>
      <c r="E145" s="2322"/>
      <c r="F145" s="2322"/>
      <c r="G145" s="2322"/>
      <c r="H145" s="2322"/>
      <c r="I145" s="2322"/>
      <c r="J145" s="2322"/>
      <c r="K145" s="2322"/>
      <c r="L145" s="2322"/>
      <c r="M145" s="2399"/>
      <c r="N145" s="339"/>
      <c r="O145" s="339"/>
      <c r="P145" s="86"/>
      <c r="T145" s="66"/>
    </row>
    <row r="146" spans="1:21" s="65" customFormat="1" ht="22.5" customHeight="1">
      <c r="A146" s="135" t="s">
        <v>1</v>
      </c>
      <c r="B146" s="135" t="s">
        <v>101</v>
      </c>
      <c r="C146" s="136" t="s">
        <v>98</v>
      </c>
      <c r="D146" s="295" t="s">
        <v>494</v>
      </c>
      <c r="E146" s="138" t="s">
        <v>495</v>
      </c>
      <c r="F146" s="296" t="s">
        <v>496</v>
      </c>
      <c r="G146" s="140" t="s">
        <v>946</v>
      </c>
      <c r="H146" s="141" t="s">
        <v>947</v>
      </c>
      <c r="I146" s="217">
        <v>0</v>
      </c>
      <c r="J146" s="218">
        <v>1</v>
      </c>
      <c r="K146" s="340">
        <v>2</v>
      </c>
      <c r="L146" s="218">
        <v>3</v>
      </c>
      <c r="M146" s="219" t="s">
        <v>1367</v>
      </c>
      <c r="N146" s="339"/>
      <c r="O146" s="339"/>
      <c r="P146" s="86"/>
      <c r="T146" s="66"/>
    </row>
    <row r="147" spans="1:21" s="65" customFormat="1">
      <c r="A147" s="398" t="s">
        <v>8</v>
      </c>
      <c r="B147" s="271">
        <f>SUMIFS(РД[S],РД[МОП],A147,РД[Дата подачи на регистрацию],"&lt;="&amp;$A$1,РД[Дата подачи на регистрацию],"&gt;="&amp;DATE(YEAR($A$1),MONTH($A$1),1),РД[Источник рекламы],"Н -*")</f>
        <v>0</v>
      </c>
      <c r="C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</f>
        <v>0</v>
      </c>
      <c r="D147" s="329">
        <f>SUMIFS(июнь2442[м2],июнь2442[Столбец1],$A147,июнь2442[КТУ],"АН -*")</f>
        <v>0</v>
      </c>
      <c r="E147" s="363">
        <f>SUMIFS(июнь2442[Сумма без отделки],июнь2442[Столбец1],$A147,июнь2442[КТУ],"АН -*")</f>
        <v>0</v>
      </c>
      <c r="F147" s="414">
        <f>COUNTIFS(июнь2442[Столбец1],$A147,июнь2442[КТУ],"АН -*")</f>
        <v>0</v>
      </c>
      <c r="G147" s="271">
        <f>SUMIFS(РД[S],РД[МОП],A147,РД[Дата подачи на регистрацию],"&lt;="&amp;$A$1,РД[Дата подачи на регистрацию],"&gt;="&amp;DATE(YEAR($A$1),MONTH($A$1),1),РД[Источник рекламы],"Н -*")/2</f>
        <v>0</v>
      </c>
      <c r="H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-*")/2</f>
        <v>0</v>
      </c>
      <c r="I147" s="257">
        <f>COUNTIFS(РД[Тип кв],I$146,РД[МОП],$A147,РД[Дата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J147" s="226">
        <f>COUNTIFS(РД[Тип кв],J$146,РД[МОП],$A147,РД[Дата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K147" s="226">
        <f>COUNTIFS(РД[Тип кв],K$146,РД[МОП],$A147,РД[Дата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L147" s="226">
        <f>COUNTIFS(РД[Тип кв],L$146,РД[МОП],$A147,РД[Дата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M147" s="227">
        <f>COUNTIFS(РД[Тип кв],M$146,РД[МОП],$A147,РД[Дата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N147" s="339"/>
      <c r="O147" s="339"/>
      <c r="P147" s="86"/>
      <c r="T147" s="66"/>
    </row>
    <row r="148" spans="1:21" s="65" customFormat="1">
      <c r="A148" s="153" t="s">
        <v>46</v>
      </c>
      <c r="B148" s="271">
        <f>SUMIFS(РД[S],РД[МОП],A148,РД[Дата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C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D148" s="329">
        <f>SUMIFS(июнь2442[м2],июнь2442[Столбец1],$A148,июнь2442[КТУ],"АН -*")</f>
        <v>0</v>
      </c>
      <c r="E148" s="363">
        <f>SUMIFS(июнь2442[Сумма без отделки],июнь2442[Столбец1],$A148,июнь2442[КТУ],"АН -*")</f>
        <v>0</v>
      </c>
      <c r="F148" s="414">
        <f>COUNTIFS(июнь2442[Столбец1],$A148,июнь2442[КТУ],"АН -*")</f>
        <v>0</v>
      </c>
      <c r="G148" s="271">
        <f>SUMIFS(РД[S],РД[МОП],A148,РД[Дата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H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I148" s="257">
        <f>COUNTIFS(РД[Тип кв],I$146,РД[МОП],$A148,РД[Дата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J148" s="226">
        <f>COUNTIFS(РД[Тип кв],J$146,РД[МОП],$A148,РД[Дата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K148" s="226">
        <f>COUNTIFS(РД[Тип кв],K$146,РД[МОП],$A148,РД[Дата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L148" s="226">
        <f>COUNTIFS(РД[Тип кв],L$146,РД[МОП],$A148,РД[Дата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M148" s="227">
        <f>COUNTIFS(РД[Тип кв],M$146,РД[МОП],$A148,РД[Дата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N148" s="339"/>
      <c r="O148" s="339"/>
      <c r="P148" s="86"/>
      <c r="T148" s="66"/>
    </row>
    <row r="149" spans="1:21" s="65" customFormat="1">
      <c r="A149" s="153" t="s">
        <v>20</v>
      </c>
      <c r="B149" s="271">
        <f>SUMIFS(РД[S],РД[МОП],A149,РД[Дата подачи на регистрацию],"&lt;="&amp;$A$1,РД[Дата подачи на регистрацию],"&gt;="&amp;DATE(YEAR($A$1),MONTH($A$1),1),РД[Источник рекламы],"Н -*")</f>
        <v>0</v>
      </c>
      <c r="C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</f>
        <v>0</v>
      </c>
      <c r="D149" s="329">
        <f>SUMIFS(июнь2442[м2],июнь2442[Столбец1],$A149,июнь2442[КТУ],"АН -*")</f>
        <v>0</v>
      </c>
      <c r="E149" s="363">
        <f>SUMIFS(июнь2442[Сумма без отделки],июнь2442[Столбец1],$A149,июнь2442[КТУ],"АН -*")</f>
        <v>0</v>
      </c>
      <c r="F149" s="414">
        <f>COUNTIFS(июнь2442[Столбец1],$A149,июнь2442[КТУ],"АН -*")</f>
        <v>0</v>
      </c>
      <c r="G149" s="271">
        <f>SUMIFS(РД[S],РД[МОП],A149,РД[Дата подачи на регистрацию],"&lt;="&amp;$A$1,РД[Дата подачи на регистрацию],"&gt;="&amp;DATE(YEAR($A$1),MONTH($A$1),1),РД[Источник рекламы],"Н -*")/2</f>
        <v>0</v>
      </c>
      <c r="H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-*")/2</f>
        <v>0</v>
      </c>
      <c r="I149" s="257">
        <f>COUNTIFS(РД[Тип кв],I$146,РД[МОП],$A149,РД[Дата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J149" s="226">
        <f>COUNTIFS(РД[Тип кв],J$146,РД[МОП],$A149,РД[Дата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K149" s="226">
        <f>COUNTIFS(РД[Тип кв],K$146,РД[МОП],$A149,РД[Дата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L149" s="226">
        <f>COUNTIFS(РД[Тип кв],L$146,РД[МОП],$A149,РД[Дата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M149" s="227">
        <f>COUNTIFS(РД[Тип кв],M$146,РД[МОП],$A149,РД[Дата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N149" s="339"/>
      <c r="O149" s="339"/>
      <c r="P149" s="86"/>
      <c r="T149" s="66"/>
    </row>
    <row r="150" spans="1:21" s="65" customFormat="1">
      <c r="A150" s="153" t="s">
        <v>14</v>
      </c>
      <c r="B150" s="315">
        <f>SUMIFS(РД[S],РД[МОП],A150,РД[Дата подачи на регистрацию],"&lt;="&amp;$A$1,РД[Дата подачи на регистрацию],"&gt;="&amp;DATE(YEAR($A$1),MONTH($A$1),1),РД[Источник рекламы],"Н -*")</f>
        <v>0</v>
      </c>
      <c r="C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</f>
        <v>0</v>
      </c>
      <c r="D150" s="329">
        <f>SUMIFS(июнь2442[м2],июнь2442[Столбец1],$A150,июнь2442[КТУ],"АН -*")</f>
        <v>0</v>
      </c>
      <c r="E150" s="363">
        <f>SUMIFS(июнь2442[Сумма без отделки],июнь2442[Столбец1],$A150,июнь2442[КТУ],"АН -*")</f>
        <v>0</v>
      </c>
      <c r="F150" s="414">
        <f>COUNTIFS(июнь2442[Столбец1],$A150,июнь2442[КТУ],"АН -*")</f>
        <v>0</v>
      </c>
      <c r="G150" s="315">
        <f>SUMIFS(РД[S],РД[МОП],A150,РД[Дата подачи на регистрацию],"&lt;="&amp;$A$1,РД[Дата подачи на регистрацию],"&gt;="&amp;DATE(YEAR($A$1),MONTH($A$1),1),РД[Источник рекламы],"Н -*")/2</f>
        <v>0</v>
      </c>
      <c r="H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-*")/2</f>
        <v>0</v>
      </c>
      <c r="I150" s="329">
        <f>COUNTIFS(РД[Тип кв],I$146,РД[МОП],$A150,РД[Дата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J150" s="330">
        <f>COUNTIFS(РД[Тип кв],J$146,РД[МОП],$A150,РД[Дата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K150" s="330">
        <f>COUNTIFS(РД[Тип кв],K$146,РД[МОП],$A150,РД[Дата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L150" s="330">
        <f>COUNTIFS(РД[Тип кв],L$146,РД[МОП],$A150,РД[Дата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M150" s="331">
        <f>COUNTIFS(РД[Тип кв],M$146,РД[МОП],$A150,РД[Дата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N150" s="339"/>
      <c r="O150" s="339"/>
      <c r="P150" s="86"/>
      <c r="T150" s="66"/>
    </row>
    <row r="151" spans="1:21" s="65" customFormat="1">
      <c r="A151" s="154" t="s">
        <v>29</v>
      </c>
      <c r="B151" s="274">
        <f>SUMIFS(РД[S],РД[МОП],A151,РД[Дата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C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D151" s="341">
        <f>SUMIFS(июнь2442[м2],июнь2442[Столбец1],$A151,июнь2442[КТУ],"АН -*")</f>
        <v>0</v>
      </c>
      <c r="E151" s="277">
        <f>SUMIFS(июнь2442[Сумма без отделки],июнь2442[Столбец1],$A151,июнь2442[КТУ],"АН -*")</f>
        <v>0</v>
      </c>
      <c r="F151" s="405">
        <f>COUNTIFS(июнь2442[Столбец1],$A151,июнь2442[КТУ],"АН -*")</f>
        <v>0</v>
      </c>
      <c r="G151" s="274">
        <f>SUMIFS(РД[S],РД[МОП],A151,РД[Дата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H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I151" s="341">
        <f>COUNTIFS(РД[Тип кв],I$146,РД[МОП],$A151,РД[Дата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J151" s="228">
        <f>COUNTIFS(РД[Тип кв],J$146,РД[МОП],$A151,РД[Дата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K151" s="228">
        <f>COUNTIFS(РД[Тип кв],K$146,РД[МОП],$A151,РД[Дата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L151" s="228">
        <f>COUNTIFS(РД[Тип кв],L$146,РД[МОП],$A151,РД[Дата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M151" s="231">
        <f>COUNTIFS(РД[Тип кв],M$146,РД[МОП],$A151,РД[Дата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N151" s="339"/>
      <c r="O151" s="339"/>
      <c r="P151" s="86"/>
      <c r="T151" s="66"/>
    </row>
    <row r="152" spans="1:21" s="65" customFormat="1">
      <c r="A152" s="513" t="s">
        <v>114</v>
      </c>
      <c r="B152" s="282">
        <f t="shared" ref="B152:L152" si="34">SUM(B147:B150)</f>
        <v>0</v>
      </c>
      <c r="C152" s="283">
        <f t="shared" si="34"/>
        <v>0</v>
      </c>
      <c r="D152" s="425">
        <f t="shared" si="34"/>
        <v>0</v>
      </c>
      <c r="E152" s="287">
        <f t="shared" si="34"/>
        <v>0</v>
      </c>
      <c r="F152" s="286">
        <f t="shared" si="34"/>
        <v>0</v>
      </c>
      <c r="G152" s="282">
        <f t="shared" si="34"/>
        <v>0</v>
      </c>
      <c r="H152" s="283">
        <f t="shared" si="34"/>
        <v>0</v>
      </c>
      <c r="I152" s="284">
        <f t="shared" si="34"/>
        <v>0</v>
      </c>
      <c r="J152" s="285">
        <f t="shared" si="34"/>
        <v>0</v>
      </c>
      <c r="K152" s="285">
        <f t="shared" si="34"/>
        <v>0</v>
      </c>
      <c r="L152" s="285">
        <f t="shared" si="34"/>
        <v>0</v>
      </c>
      <c r="M152" s="305">
        <f>SUM(T145:T146)</f>
        <v>0</v>
      </c>
      <c r="N152" s="339"/>
      <c r="O152" s="339"/>
      <c r="P152" s="86"/>
      <c r="T152" s="66"/>
    </row>
    <row r="153" spans="1:21" s="65" customFormat="1" ht="24" customHeight="1">
      <c r="A153" s="521" t="s">
        <v>115</v>
      </c>
      <c r="B153" s="522" t="s">
        <v>101</v>
      </c>
      <c r="C153" s="523" t="s">
        <v>98</v>
      </c>
      <c r="D153" s="486" t="s">
        <v>494</v>
      </c>
      <c r="E153" s="487" t="s">
        <v>495</v>
      </c>
      <c r="F153" s="524" t="s">
        <v>496</v>
      </c>
      <c r="G153" s="489" t="s">
        <v>946</v>
      </c>
      <c r="H153" s="525" t="s">
        <v>947</v>
      </c>
      <c r="I153" s="504">
        <v>0</v>
      </c>
      <c r="J153" s="505">
        <v>1</v>
      </c>
      <c r="K153" s="528">
        <v>2</v>
      </c>
      <c r="L153" s="505">
        <v>3</v>
      </c>
      <c r="M153" s="506" t="s">
        <v>1367</v>
      </c>
      <c r="N153" s="339"/>
      <c r="O153" s="339"/>
      <c r="P153" s="86"/>
      <c r="T153" s="66"/>
    </row>
    <row r="154" spans="1:21" s="65" customFormat="1">
      <c r="A154" s="177" t="s">
        <v>1892</v>
      </c>
      <c r="B154" s="291">
        <f>SUMIFS(РД[S],РД[ИМ],A154,РД[Дата подачи на регистрацию],"&lt;="&amp;$A$1,РД[Дата подачи на регистрацию],"&gt;="&amp;DATE(YEAR($A$1),MONTH($A$1),1),РД[Источник рекламы],"Н -*")</f>
        <v>0</v>
      </c>
      <c r="C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</f>
        <v>0</v>
      </c>
      <c r="D154" s="346">
        <f>SUMIFS(июнь2442[м2],июнь2442[ИМ],$A154,июнь2442[КТУ],"АН -*")</f>
        <v>0</v>
      </c>
      <c r="E154" s="292">
        <f>SUMIFS(июнь2442[Сумма без отделки],июнь2442[ИМ],$A154,июнь2442[КТУ],"АН -*")</f>
        <v>0</v>
      </c>
      <c r="F154" s="415">
        <f>COUNTIFS(июнь2442[ИМ],$A154,июнь2442[КТУ],"АН -*")</f>
        <v>0</v>
      </c>
      <c r="G154" s="291">
        <f>SUMIFS(РД[S],РД[ИМ],A154,РД[Дата подачи на регистрацию],"&lt;="&amp;$A$1,РД[Дата подачи на регистрацию],"&gt;="&amp;DATE(YEAR($A$1),MONTH($A$1),1),РД[Источник рекламы],"Н -*")/2</f>
        <v>0</v>
      </c>
      <c r="H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-*")/2</f>
        <v>0</v>
      </c>
      <c r="I154" s="346">
        <f>COUNTIFS(РД[Тип кв],I$146,РД[ИМ],$A154,РД[Дата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J154" s="243">
        <f>COUNTIFS(РД[Тип кв],J$146,РД[ИМ],$A154,РД[Дата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K154" s="243">
        <f>COUNTIFS(РД[Тип кв],K$146,РД[ИМ],$A154,РД[Дата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L154" s="243">
        <f>COUNTIFS(РД[Тип кв],L$146,РД[ИМ],$A154,РД[Дата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M154" s="246">
        <f>COUNTIFS(РД[Тип кв],M$146,РД[ИМ],$A154,РД[Дата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N154" s="339"/>
      <c r="O154" s="339"/>
      <c r="P154" s="86"/>
      <c r="T154" s="66"/>
    </row>
    <row r="155" spans="1:21" s="65" customFormat="1">
      <c r="A155" s="150" t="s">
        <v>22</v>
      </c>
      <c r="B155" s="271">
        <f>SUMIFS(РД[S],РД[ИМ],A155,РД[Дата подачи на регистрацию],"&lt;="&amp;$A$1,РД[Дата подачи на регистрацию],"&gt;="&amp;DATE(YEAR($A$1),MONTH($A$1),1),РД[Источник рекламы],"Н -*")</f>
        <v>0</v>
      </c>
      <c r="C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</f>
        <v>0</v>
      </c>
      <c r="D155" s="257">
        <f>SUMIFS(июнь2442[м2],июнь2442[ИМ],$A155,июнь2442[КТУ],"АН -*")</f>
        <v>0</v>
      </c>
      <c r="E155" s="52">
        <f>SUMIFS(июнь2442[Сумма без отделки],июнь2442[ИМ],$A155,июнь2442[КТУ],"АН -*")</f>
        <v>0</v>
      </c>
      <c r="F155" s="413">
        <f>COUNTIFS(июнь2442[ИМ],$A155,июнь2442[КТУ],"АН -*")</f>
        <v>0</v>
      </c>
      <c r="G155" s="271">
        <f>SUMIFS(РД[S],РД[ИМ],A155,РД[Дата подачи на регистрацию],"&lt;="&amp;$A$1,РД[Дата подачи на регистрацию],"&gt;="&amp;DATE(YEAR($A$1),MONTH($A$1),1),РД[Источник рекламы],"Н -*")/2</f>
        <v>0</v>
      </c>
      <c r="H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-*")/2</f>
        <v>0</v>
      </c>
      <c r="I155" s="257">
        <f>COUNTIFS(РД[Тип кв],I$146,РД[ИМ],$A155,РД[Дата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J155" s="226">
        <f>COUNTIFS(РД[Тип кв],J$146,РД[ИМ],$A155,РД[Дата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K155" s="226">
        <f>COUNTIFS(РД[Тип кв],K$146,РД[ИМ],$A155,РД[Дата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L155" s="226">
        <f>COUNTIFS(РД[Тип кв],L$146,РД[ИМ],$A155,РД[Дата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M155" s="227">
        <f>COUNTIFS(РД[Тип кв],M$146,РД[ИМ],$A155,РД[Дата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N155" s="339"/>
      <c r="O155" s="339"/>
      <c r="P155" s="86"/>
      <c r="T155" s="66"/>
    </row>
    <row r="156" spans="1:21" s="65" customFormat="1">
      <c r="A156" s="189" t="s">
        <v>16</v>
      </c>
      <c r="B156" s="315">
        <f>SUMIFS(РД[S],РД[ИМ],A156,РД[Дата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C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D156" s="329">
        <f>SUMIFS(июнь2442[м2],июнь2442[ИМ],$A156,июнь2442[КТУ],"АН -*")</f>
        <v>0</v>
      </c>
      <c r="E156" s="363">
        <f>SUMIFS(июнь2442[Сумма без отделки],июнь2442[ИМ],$A156,июнь2442[КТУ],"АН -*")</f>
        <v>0</v>
      </c>
      <c r="F156" s="414">
        <f>COUNTIFS(июнь2442[ИМ],$A156,июнь2442[КТУ],"АН -*")</f>
        <v>0</v>
      </c>
      <c r="G156" s="315">
        <f>SUMIFS(РД[S],РД[ИМ],A156,РД[Дата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H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I156" s="329">
        <f>COUNTIFS(РД[Тип кв],I$146,РД[ИМ],$A156,РД[Дата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J156" s="330">
        <f>COUNTIFS(РД[Тип кв],J$146,РД[ИМ],$A156,РД[Дата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K156" s="330">
        <f>COUNTIFS(РД[Тип кв],K$146,РД[ИМ],$A156,РД[Дата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L156" s="330">
        <f>COUNTIFS(РД[Тип кв],L$146,РД[ИМ],$A156,РД[Дата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M156" s="331">
        <f>COUNTIFS(РД[Тип кв],M$146,РД[ИМ],$A156,РД[Дата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N156" s="339"/>
      <c r="O156" s="339"/>
      <c r="P156" s="86"/>
      <c r="T156" s="66"/>
    </row>
    <row r="157" spans="1:21" s="65" customFormat="1">
      <c r="A157" s="317" t="s">
        <v>114</v>
      </c>
      <c r="B157" s="323">
        <f>SUM(B154:B156)</f>
        <v>0</v>
      </c>
      <c r="C157" s="324">
        <f t="shared" ref="C157:M157" si="35">SUM(C154:C156)</f>
        <v>0</v>
      </c>
      <c r="D157" s="428">
        <f t="shared" si="35"/>
        <v>0</v>
      </c>
      <c r="E157" s="429">
        <f t="shared" si="35"/>
        <v>0</v>
      </c>
      <c r="F157" s="430">
        <f t="shared" si="35"/>
        <v>0</v>
      </c>
      <c r="G157" s="323">
        <f t="shared" si="35"/>
        <v>0</v>
      </c>
      <c r="H157" s="324">
        <f t="shared" si="35"/>
        <v>0</v>
      </c>
      <c r="I157" s="318">
        <f t="shared" si="35"/>
        <v>0</v>
      </c>
      <c r="J157" s="321">
        <f t="shared" si="35"/>
        <v>0</v>
      </c>
      <c r="K157" s="321">
        <f t="shared" si="35"/>
        <v>0</v>
      </c>
      <c r="L157" s="321">
        <f t="shared" si="35"/>
        <v>0</v>
      </c>
      <c r="M157" s="319">
        <f t="shared" si="35"/>
        <v>0</v>
      </c>
      <c r="N157" s="339"/>
      <c r="O157" s="339"/>
      <c r="P157" s="86"/>
      <c r="T157" s="66"/>
    </row>
    <row r="158" spans="1:21" s="65" customFormat="1">
      <c r="Q158" s="86"/>
      <c r="U158" s="66"/>
    </row>
    <row r="159" spans="1:21" s="65" customFormat="1">
      <c r="Q159" s="86"/>
      <c r="U159" s="66"/>
    </row>
    <row r="160" spans="1:21" s="65" customFormat="1">
      <c r="Q160" s="86"/>
      <c r="U160" s="66"/>
    </row>
    <row r="161" spans="17:21" s="65" customFormat="1">
      <c r="Q161" s="86"/>
      <c r="U161" s="66"/>
    </row>
    <row r="162" spans="17:21" s="65" customFormat="1">
      <c r="Q162" s="86"/>
      <c r="U162" s="66"/>
    </row>
    <row r="163" spans="17:21" s="65" customFormat="1">
      <c r="Q163" s="86"/>
      <c r="U163" s="66"/>
    </row>
    <row r="164" spans="17:21" s="65" customFormat="1">
      <c r="Q164" s="86"/>
      <c r="U164" s="66"/>
    </row>
    <row r="165" spans="17:21" s="65" customFormat="1">
      <c r="Q165" s="86"/>
      <c r="U165" s="66"/>
    </row>
    <row r="166" spans="17:21" s="65" customFormat="1">
      <c r="Q166" s="86"/>
      <c r="U166" s="66"/>
    </row>
    <row r="167" spans="17:21" s="65" customFormat="1">
      <c r="Q167" s="86"/>
      <c r="U167" s="66"/>
    </row>
    <row r="168" spans="17:21" s="65" customFormat="1">
      <c r="Q168" s="86"/>
      <c r="U168" s="66"/>
    </row>
    <row r="169" spans="17:21" s="65" customFormat="1">
      <c r="Q169" s="86"/>
      <c r="U169" s="66"/>
    </row>
    <row r="170" spans="17:21" s="65" customFormat="1">
      <c r="Q170" s="86"/>
      <c r="U170" s="66"/>
    </row>
    <row r="171" spans="17:21" s="65" customFormat="1">
      <c r="Q171" s="86"/>
      <c r="U171" s="66"/>
    </row>
    <row r="172" spans="17:21" s="65" customFormat="1">
      <c r="Q172" s="86"/>
      <c r="U172" s="66"/>
    </row>
    <row r="173" spans="17:21" s="65" customFormat="1">
      <c r="Q173" s="86"/>
      <c r="U173" s="66"/>
    </row>
    <row r="174" spans="17:21" s="65" customFormat="1">
      <c r="Q174" s="86"/>
      <c r="U174" s="66"/>
    </row>
    <row r="175" spans="17:21" s="65" customFormat="1">
      <c r="Q175" s="86"/>
      <c r="U175" s="66"/>
    </row>
    <row r="176" spans="17:21" s="65" customFormat="1">
      <c r="Q176" s="86"/>
      <c r="U176" s="66"/>
    </row>
    <row r="177" spans="17:21" s="65" customFormat="1">
      <c r="Q177" s="86"/>
      <c r="U177" s="66"/>
    </row>
    <row r="178" spans="17:21" s="65" customFormat="1">
      <c r="Q178" s="86"/>
      <c r="U178" s="66"/>
    </row>
    <row r="179" spans="17:21" s="65" customFormat="1">
      <c r="Q179" s="86"/>
      <c r="U179" s="66"/>
    </row>
    <row r="180" spans="17:21" s="65" customFormat="1">
      <c r="Q180" s="86"/>
      <c r="U180" s="66"/>
    </row>
    <row r="181" spans="17:21" s="65" customFormat="1">
      <c r="Q181" s="86"/>
      <c r="U181" s="66"/>
    </row>
    <row r="182" spans="17:21" s="65" customFormat="1">
      <c r="Q182" s="86"/>
      <c r="U182" s="66"/>
    </row>
    <row r="183" spans="17:21" s="65" customFormat="1">
      <c r="Q183" s="86"/>
      <c r="U183" s="66"/>
    </row>
    <row r="184" spans="17:21" s="65" customFormat="1">
      <c r="Q184" s="86"/>
      <c r="U184" s="66"/>
    </row>
    <row r="185" spans="17:21" s="65" customFormat="1">
      <c r="Q185" s="86"/>
      <c r="U185" s="66"/>
    </row>
    <row r="186" spans="17:21" s="65" customFormat="1">
      <c r="Q186" s="86"/>
      <c r="U186" s="66"/>
    </row>
    <row r="187" spans="17:21" s="65" customFormat="1">
      <c r="Q187" s="86"/>
      <c r="U187" s="66"/>
    </row>
    <row r="188" spans="17:21" s="65" customFormat="1">
      <c r="Q188" s="86"/>
      <c r="U188" s="66"/>
    </row>
    <row r="189" spans="17:21" s="65" customFormat="1">
      <c r="Q189" s="86"/>
      <c r="U189" s="66"/>
    </row>
    <row r="190" spans="17:21" s="65" customFormat="1">
      <c r="Q190" s="86"/>
      <c r="U190" s="66"/>
    </row>
    <row r="191" spans="17:21" s="65" customFormat="1">
      <c r="Q191" s="86"/>
      <c r="U191" s="66"/>
    </row>
    <row r="192" spans="17:21" s="65" customFormat="1">
      <c r="Q192" s="86"/>
      <c r="U192" s="66"/>
    </row>
    <row r="193" spans="1:21" s="65" customFormat="1">
      <c r="Q193" s="86"/>
      <c r="U193" s="66"/>
    </row>
    <row r="194" spans="1:2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86"/>
      <c r="R194" s="65"/>
      <c r="S194" s="65"/>
    </row>
    <row r="195" spans="1:2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86"/>
      <c r="R195" s="65"/>
      <c r="S195" s="65"/>
    </row>
    <row r="196" spans="1:21" s="65" customFormat="1">
      <c r="Q196" s="86"/>
      <c r="U196" s="66"/>
    </row>
    <row r="197" spans="1:21" s="65" customFormat="1">
      <c r="Q197" s="86"/>
      <c r="U197" s="66"/>
    </row>
    <row r="198" spans="1:21" s="65" customFormat="1">
      <c r="Q198" s="86"/>
      <c r="U198" s="66"/>
    </row>
    <row r="199" spans="1:21" s="65" customFormat="1">
      <c r="Q199" s="86"/>
      <c r="U199" s="66"/>
    </row>
    <row r="200" spans="1:21" s="65" customFormat="1">
      <c r="Q200" s="86"/>
      <c r="U200" s="66"/>
    </row>
    <row r="201" spans="1:21" s="65" customFormat="1">
      <c r="Q201" s="86"/>
      <c r="U201" s="66"/>
    </row>
    <row r="202" spans="1:21" s="65" customFormat="1">
      <c r="Q202" s="86"/>
      <c r="U202" s="66"/>
    </row>
    <row r="203" spans="1:21" s="65" customFormat="1">
      <c r="Q203" s="86"/>
      <c r="U203" s="66"/>
    </row>
    <row r="204" spans="1:21" s="65" customFormat="1">
      <c r="Q204" s="86"/>
      <c r="U204" s="66"/>
    </row>
    <row r="205" spans="1:21" s="65" customFormat="1">
      <c r="Q205" s="86"/>
      <c r="U205" s="66"/>
    </row>
    <row r="206" spans="1:21" s="65" customFormat="1">
      <c r="Q206" s="86"/>
      <c r="U206" s="66"/>
    </row>
    <row r="207" spans="1:21" s="65" customFormat="1">
      <c r="Q207" s="86"/>
      <c r="U207" s="66"/>
    </row>
    <row r="208" spans="1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R282" s="66"/>
      <c r="S282" s="66"/>
      <c r="U282" s="66"/>
    </row>
    <row r="283" spans="17:21" s="65" customFormat="1">
      <c r="Q283" s="86"/>
      <c r="R283" s="66"/>
      <c r="S283" s="66"/>
      <c r="U283" s="66"/>
    </row>
    <row r="284" spans="17:21" s="65" customFormat="1">
      <c r="Q284" s="86"/>
      <c r="R284" s="66"/>
      <c r="S284" s="66"/>
      <c r="U284" s="66"/>
    </row>
    <row r="285" spans="17:21" s="65" customFormat="1">
      <c r="Q285" s="86"/>
      <c r="R285" s="66"/>
      <c r="S285" s="66"/>
      <c r="U285" s="66"/>
    </row>
  </sheetData>
  <sheetProtection formatCells="0" formatColumns="0" formatRows="0" sort="0" autoFilter="0" pivotTables="0"/>
  <mergeCells count="7">
    <mergeCell ref="A130:O130"/>
    <mergeCell ref="A145:M145"/>
    <mergeCell ref="A1:U1"/>
    <mergeCell ref="A70:B70"/>
    <mergeCell ref="A85:B85"/>
    <mergeCell ref="A100:B100"/>
    <mergeCell ref="A115:B115"/>
  </mergeCells>
  <pageMargins left="0.25" right="0.25" top="0.75" bottom="0.75" header="0.3" footer="0.3"/>
  <pageSetup paperSize="9" scale="23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300-000000000000}">
          <x14:formula1>
            <xm:f>Списки!$C$2:$C$27</xm:f>
          </x14:formula1>
          <xm:sqref>U8 U23 K3:K26 K28:K64 T3:U7 T9:U22 T24:U26 T28:U64</xm:sqref>
        </x14:dataValidation>
        <x14:dataValidation type="list" allowBlank="1" showInputMessage="1" showErrorMessage="1" xr:uid="{00000000-0002-0000-33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300-000002000000}">
          <x14:formula1>
            <xm:f>Списки!$B$2:$B$5</xm:f>
          </x14:formula1>
          <xm:sqref>D3:D26 D28:D64 G67:G68</xm:sqref>
        </x14:dataValidation>
        <x14:dataValidation type="list" allowBlank="1" showInputMessage="1" showErrorMessage="1" xr:uid="{00000000-0002-0000-33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300-000004000000}">
          <x14:formula1>
            <xm:f>Списки!$D$2:$D$7</xm:f>
          </x14:formula1>
          <xm:sqref>F67:F68 H3:H26 H28:H64</xm:sqref>
        </x14:dataValidation>
        <x14:dataValidation type="list" allowBlank="1" showInputMessage="1" showErrorMessage="1" xr:uid="{00000000-0002-0000-3300-000005000000}">
          <x14:formula1>
            <xm:f>Списки!$E$2:$E$7</xm:f>
          </x14:formula1>
          <xm:sqref>H67:H68 L3:L26 L28:L64</xm:sqref>
        </x14:dataValidation>
        <x14:dataValidation type="list" allowBlank="1" showInputMessage="1" showErrorMessage="1" xr:uid="{00000000-0002-0000-3300-000006000000}">
          <x14:formula1>
            <xm:f>Списки!$G$2:$G$3</xm:f>
          </x14:formula1>
          <xm:sqref>L67:L68 N3:N26 N28:N64</xm:sqref>
        </x14:dataValidation>
        <x14:dataValidation type="list" allowBlank="1" showInputMessage="1" showErrorMessage="1" xr:uid="{00000000-0002-0000-3300-000007000000}">
          <x14:formula1>
            <xm:f>Списки!$F$2:$F$3</xm:f>
          </x14:formula1>
          <xm:sqref>N67:N68 P3:P26 P28:P64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AF285"/>
  <sheetViews>
    <sheetView view="pageBreakPreview" topLeftCell="E1" zoomScale="90" zoomScaleNormal="85" workbookViewId="0">
      <pane ySplit="2" topLeftCell="A3" activePane="bottomLeft" state="frozen"/>
      <selection pane="bottomLeft" activeCell="K92" sqref="K9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3.42578125" style="66" customWidth="1"/>
    <col min="4" max="4" width="14.28515625" style="66" customWidth="1"/>
    <col min="5" max="5" width="12.28515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8.425781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45535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0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500</v>
      </c>
      <c r="V2" s="111" t="s">
        <v>1584</v>
      </c>
    </row>
    <row r="3" spans="1:32" s="61" customFormat="1">
      <c r="A3" s="62">
        <v>1</v>
      </c>
      <c r="B3" s="75"/>
      <c r="C3" s="62">
        <v>33976</v>
      </c>
      <c r="D3" s="75" t="s">
        <v>13</v>
      </c>
      <c r="E3" s="62">
        <v>267</v>
      </c>
      <c r="F3" s="62">
        <v>2</v>
      </c>
      <c r="G3" s="62">
        <v>60.24</v>
      </c>
      <c r="H3" s="62" t="s">
        <v>21</v>
      </c>
      <c r="I3" s="62">
        <v>7000</v>
      </c>
      <c r="J3" s="95">
        <v>6362780</v>
      </c>
      <c r="K3" s="62" t="s">
        <v>14</v>
      </c>
      <c r="L3" s="62" t="s">
        <v>1892</v>
      </c>
      <c r="M3" s="62" t="s">
        <v>583</v>
      </c>
      <c r="N3" s="62" t="s">
        <v>18</v>
      </c>
      <c r="O3" s="92">
        <v>45533</v>
      </c>
      <c r="P3" s="62" t="s">
        <v>17</v>
      </c>
      <c r="Q3" s="76" t="s">
        <v>1641</v>
      </c>
      <c r="R3" s="113" t="s">
        <v>67</v>
      </c>
      <c r="S3" s="113"/>
      <c r="T3" s="62" t="s">
        <v>14</v>
      </c>
      <c r="U3" s="62" t="s">
        <v>14</v>
      </c>
      <c r="V3" s="114">
        <f>июнь244243[[#This Row],[сумма]]-июнь244243[[#This Row],[Цена м2 отделки]]*июнь244243[[#This Row],[м2]]</f>
        <v>5941100</v>
      </c>
    </row>
    <row r="4" spans="1:32" ht="25.5" hidden="1">
      <c r="A4" s="65">
        <v>2</v>
      </c>
      <c r="B4" s="65"/>
      <c r="C4" s="78">
        <v>33242</v>
      </c>
      <c r="D4" s="65" t="s">
        <v>13</v>
      </c>
      <c r="E4" s="79">
        <v>241</v>
      </c>
      <c r="F4" s="65">
        <v>3</v>
      </c>
      <c r="G4" s="65">
        <v>80.97</v>
      </c>
      <c r="H4" s="86" t="s">
        <v>25</v>
      </c>
      <c r="I4" s="65"/>
      <c r="J4" s="104"/>
      <c r="K4" s="65" t="s">
        <v>14</v>
      </c>
      <c r="L4" s="65" t="s">
        <v>1892</v>
      </c>
      <c r="M4" s="65" t="s">
        <v>583</v>
      </c>
      <c r="N4" s="65" t="s">
        <v>18</v>
      </c>
      <c r="O4" s="98"/>
      <c r="P4" s="65" t="s">
        <v>17</v>
      </c>
      <c r="Q4" s="86" t="s">
        <v>2169</v>
      </c>
      <c r="R4" s="118" t="s">
        <v>2170</v>
      </c>
      <c r="S4" s="118"/>
      <c r="T4" s="65" t="s">
        <v>14</v>
      </c>
      <c r="U4" s="65" t="s">
        <v>14</v>
      </c>
      <c r="V4" s="115">
        <f>июнь244243[[#This Row],[сумма]]-июнь244243[[#This Row],[Цена м2 отделки]]*июнь244243[[#This Row],[м2]]</f>
        <v>0</v>
      </c>
    </row>
    <row r="5" spans="1:32">
      <c r="A5" s="62">
        <v>3</v>
      </c>
      <c r="B5" s="62" t="s">
        <v>6</v>
      </c>
      <c r="C5" s="383">
        <v>34575</v>
      </c>
      <c r="D5" s="102" t="s">
        <v>7</v>
      </c>
      <c r="E5" s="102">
        <v>522</v>
      </c>
      <c r="F5" s="102">
        <v>1</v>
      </c>
      <c r="G5" s="102">
        <v>36.5</v>
      </c>
      <c r="H5" s="102" t="s">
        <v>15</v>
      </c>
      <c r="I5" s="102">
        <v>7500</v>
      </c>
      <c r="J5" s="384">
        <v>4865550</v>
      </c>
      <c r="K5" s="354" t="s">
        <v>20</v>
      </c>
      <c r="L5" s="102" t="s">
        <v>22</v>
      </c>
      <c r="M5" s="102" t="s">
        <v>583</v>
      </c>
      <c r="N5" s="102" t="s">
        <v>18</v>
      </c>
      <c r="O5" s="385">
        <v>45517</v>
      </c>
      <c r="P5" s="354" t="s">
        <v>17</v>
      </c>
      <c r="Q5" s="391" t="s">
        <v>2171</v>
      </c>
      <c r="R5" s="391" t="s">
        <v>67</v>
      </c>
      <c r="S5" s="391"/>
      <c r="T5" s="354" t="s">
        <v>20</v>
      </c>
      <c r="U5" s="354" t="s">
        <v>20</v>
      </c>
      <c r="V5" s="114">
        <f>июнь244243[[#This Row],[сумма]]-июнь244243[[#This Row],[Цена м2 отделки]]*июнь244243[[#This Row],[м2]]</f>
        <v>4591800</v>
      </c>
    </row>
    <row r="6" spans="1:32" s="61" customFormat="1">
      <c r="A6" s="62">
        <v>4</v>
      </c>
      <c r="B6" s="62" t="s">
        <v>6</v>
      </c>
      <c r="C6" s="74">
        <v>30624</v>
      </c>
      <c r="D6" s="62" t="s">
        <v>13</v>
      </c>
      <c r="E6" s="75">
        <v>428</v>
      </c>
      <c r="F6" s="62">
        <v>1</v>
      </c>
      <c r="G6" s="62">
        <v>39.69</v>
      </c>
      <c r="H6" s="76" t="s">
        <v>25</v>
      </c>
      <c r="I6" s="62">
        <v>20000</v>
      </c>
      <c r="J6" s="91">
        <v>5154600</v>
      </c>
      <c r="K6" s="62" t="s">
        <v>20</v>
      </c>
      <c r="L6" s="62" t="s">
        <v>22</v>
      </c>
      <c r="M6" s="62" t="s">
        <v>1970</v>
      </c>
      <c r="N6" s="62" t="s">
        <v>12</v>
      </c>
      <c r="O6" s="92">
        <v>45505</v>
      </c>
      <c r="P6" s="62" t="s">
        <v>17</v>
      </c>
      <c r="Q6" s="76" t="s">
        <v>2172</v>
      </c>
      <c r="R6" s="113" t="s">
        <v>67</v>
      </c>
      <c r="S6" s="382"/>
      <c r="T6" s="354" t="s">
        <v>20</v>
      </c>
      <c r="U6" s="102" t="s">
        <v>8</v>
      </c>
      <c r="V6" s="114">
        <f>июнь244243[[#This Row],[сумма]]-июнь244243[[#This Row],[Цена м2 отделки]]*июнь244243[[#This Row],[м2]]</f>
        <v>4360800</v>
      </c>
    </row>
    <row r="7" spans="1:32" s="61" customFormat="1">
      <c r="A7" s="62">
        <v>5</v>
      </c>
      <c r="B7" s="62" t="s">
        <v>6</v>
      </c>
      <c r="C7" s="383"/>
      <c r="D7" s="102" t="s">
        <v>13</v>
      </c>
      <c r="E7" s="102">
        <v>286</v>
      </c>
      <c r="F7" s="102">
        <v>0</v>
      </c>
      <c r="G7" s="102">
        <v>24.53</v>
      </c>
      <c r="H7" s="102" t="s">
        <v>9</v>
      </c>
      <c r="I7" s="102"/>
      <c r="J7" s="384">
        <v>3226700</v>
      </c>
      <c r="K7" s="354" t="s">
        <v>14</v>
      </c>
      <c r="L7" s="102" t="s">
        <v>22</v>
      </c>
      <c r="M7" s="102" t="s">
        <v>583</v>
      </c>
      <c r="N7" s="102" t="s">
        <v>18</v>
      </c>
      <c r="O7" s="385">
        <v>45507</v>
      </c>
      <c r="P7" s="354" t="s">
        <v>17</v>
      </c>
      <c r="Q7" s="391" t="s">
        <v>2173</v>
      </c>
      <c r="R7" s="391" t="s">
        <v>67</v>
      </c>
      <c r="S7" s="391"/>
      <c r="T7" s="354" t="s">
        <v>14</v>
      </c>
      <c r="U7" s="102" t="s">
        <v>8</v>
      </c>
      <c r="V7" s="114">
        <f>июнь244243[[#This Row],[сумма]]-июнь244243[[#This Row],[Цена м2 отделки]]*июнь244243[[#This Row],[м2]]</f>
        <v>3226700</v>
      </c>
    </row>
    <row r="8" spans="1:32" s="61" customFormat="1">
      <c r="A8" s="62">
        <v>6</v>
      </c>
      <c r="B8" s="62" t="s">
        <v>6</v>
      </c>
      <c r="C8" s="75">
        <v>34203</v>
      </c>
      <c r="D8" s="62" t="s">
        <v>13</v>
      </c>
      <c r="E8" s="75">
        <v>487</v>
      </c>
      <c r="F8" s="62">
        <v>0</v>
      </c>
      <c r="G8" s="62">
        <v>24.5</v>
      </c>
      <c r="H8" s="117" t="s">
        <v>9</v>
      </c>
      <c r="I8" s="117"/>
      <c r="J8" s="95">
        <v>2990400</v>
      </c>
      <c r="K8" s="117" t="s">
        <v>8</v>
      </c>
      <c r="L8" s="62"/>
      <c r="M8" s="62" t="s">
        <v>286</v>
      </c>
      <c r="N8" s="62" t="s">
        <v>18</v>
      </c>
      <c r="O8" s="92">
        <v>45507</v>
      </c>
      <c r="P8" s="117" t="s">
        <v>17</v>
      </c>
      <c r="Q8" s="392" t="s">
        <v>2174</v>
      </c>
      <c r="R8" s="76" t="s">
        <v>67</v>
      </c>
      <c r="S8" s="76"/>
      <c r="T8" s="102" t="s">
        <v>8</v>
      </c>
      <c r="U8" s="102" t="s">
        <v>8</v>
      </c>
      <c r="V8" s="114">
        <f>июнь244243[[#This Row],[сумма]]-июнь244243[[#This Row],[Цена м2 отделки]]*июнь244243[[#This Row],[м2]]</f>
        <v>2990400</v>
      </c>
    </row>
    <row r="9" spans="1:32" s="61" customFormat="1">
      <c r="A9" s="62">
        <v>7</v>
      </c>
      <c r="B9" s="62"/>
      <c r="C9" s="74">
        <v>34179</v>
      </c>
      <c r="D9" s="62" t="s">
        <v>13</v>
      </c>
      <c r="E9" s="75">
        <v>532</v>
      </c>
      <c r="F9" s="62">
        <v>1</v>
      </c>
      <c r="G9" s="62">
        <v>39.69</v>
      </c>
      <c r="H9" s="76" t="s">
        <v>9</v>
      </c>
      <c r="I9" s="62"/>
      <c r="J9" s="91">
        <v>4466500</v>
      </c>
      <c r="K9" s="62" t="s">
        <v>42</v>
      </c>
      <c r="L9" s="62" t="s">
        <v>22</v>
      </c>
      <c r="M9" s="62" t="s">
        <v>583</v>
      </c>
      <c r="N9" s="62" t="s">
        <v>18</v>
      </c>
      <c r="O9" s="92">
        <v>45512</v>
      </c>
      <c r="P9" s="62" t="s">
        <v>17</v>
      </c>
      <c r="Q9" s="76" t="s">
        <v>2175</v>
      </c>
      <c r="R9" s="113" t="s">
        <v>67</v>
      </c>
      <c r="S9" s="113"/>
      <c r="T9" s="62" t="s">
        <v>42</v>
      </c>
      <c r="U9" s="62" t="s">
        <v>8</v>
      </c>
      <c r="V9" s="114">
        <f>июнь244243[[#This Row],[сумма]]-июнь244243[[#This Row],[Цена м2 отделки]]*июнь244243[[#This Row],[м2]]</f>
        <v>4466500</v>
      </c>
    </row>
    <row r="10" spans="1:32" s="61" customFormat="1">
      <c r="A10" s="62">
        <v>8</v>
      </c>
      <c r="B10" s="62"/>
      <c r="C10" s="75">
        <v>33624</v>
      </c>
      <c r="D10" s="62" t="s">
        <v>19</v>
      </c>
      <c r="E10" s="75">
        <v>63</v>
      </c>
      <c r="F10" s="62">
        <v>2</v>
      </c>
      <c r="G10" s="62">
        <v>54.07</v>
      </c>
      <c r="H10" s="62" t="s">
        <v>21</v>
      </c>
      <c r="I10" s="62">
        <v>7000</v>
      </c>
      <c r="J10" s="95">
        <v>6847500</v>
      </c>
      <c r="K10" s="62" t="s">
        <v>14</v>
      </c>
      <c r="L10" s="62" t="s">
        <v>10</v>
      </c>
      <c r="M10" s="62" t="s">
        <v>286</v>
      </c>
      <c r="N10" s="62" t="s">
        <v>18</v>
      </c>
      <c r="O10" s="92">
        <v>45512</v>
      </c>
      <c r="P10" s="62" t="s">
        <v>17</v>
      </c>
      <c r="Q10" s="62" t="s">
        <v>2161</v>
      </c>
      <c r="R10" s="113" t="s">
        <v>67</v>
      </c>
      <c r="S10" s="113" t="s">
        <v>2162</v>
      </c>
      <c r="T10" s="62" t="s">
        <v>14</v>
      </c>
      <c r="U10" s="62" t="s">
        <v>14</v>
      </c>
      <c r="V10" s="114">
        <f>июнь244243[[#This Row],[сумма]]-июнь244243[[#This Row],[Цена м2 отделки]]*июнь244243[[#This Row],[м2]]</f>
        <v>6469010</v>
      </c>
    </row>
    <row r="11" spans="1:32" s="61" customFormat="1">
      <c r="A11" s="62">
        <v>9</v>
      </c>
      <c r="B11" s="62" t="s">
        <v>6</v>
      </c>
      <c r="C11" s="75">
        <v>30117</v>
      </c>
      <c r="D11" s="62" t="s">
        <v>7</v>
      </c>
      <c r="E11" s="75">
        <v>213</v>
      </c>
      <c r="F11" s="62">
        <v>1</v>
      </c>
      <c r="G11" s="62">
        <v>36.700000000000003</v>
      </c>
      <c r="H11" s="117" t="s">
        <v>25</v>
      </c>
      <c r="I11" s="117">
        <v>22000</v>
      </c>
      <c r="J11" s="95">
        <v>5328958</v>
      </c>
      <c r="K11" s="117" t="s">
        <v>20</v>
      </c>
      <c r="L11" s="62" t="s">
        <v>10</v>
      </c>
      <c r="M11" s="62" t="s">
        <v>514</v>
      </c>
      <c r="N11" s="62" t="s">
        <v>18</v>
      </c>
      <c r="O11" s="92">
        <v>45516</v>
      </c>
      <c r="P11" s="117" t="s">
        <v>17</v>
      </c>
      <c r="Q11" s="76" t="s">
        <v>2147</v>
      </c>
      <c r="R11" s="76" t="s">
        <v>67</v>
      </c>
      <c r="S11" s="76" t="s">
        <v>2176</v>
      </c>
      <c r="T11" s="117" t="s">
        <v>20</v>
      </c>
      <c r="U11" s="117" t="s">
        <v>20</v>
      </c>
      <c r="V11" s="114">
        <f>июнь244243[[#This Row],[сумма]]-июнь244243[[#This Row],[Цена м2 отделки]]*июнь244243[[#This Row],[м2]]</f>
        <v>4521558</v>
      </c>
    </row>
    <row r="12" spans="1:32" s="61" customFormat="1">
      <c r="A12" s="62">
        <v>10</v>
      </c>
      <c r="B12" s="62" t="s">
        <v>6</v>
      </c>
      <c r="C12" s="74">
        <v>29602</v>
      </c>
      <c r="D12" s="62" t="s">
        <v>13</v>
      </c>
      <c r="E12" s="75">
        <v>425</v>
      </c>
      <c r="F12" s="62">
        <v>2</v>
      </c>
      <c r="G12" s="62">
        <v>57.8</v>
      </c>
      <c r="H12" s="76" t="s">
        <v>9</v>
      </c>
      <c r="I12" s="76"/>
      <c r="J12" s="91">
        <v>5596400</v>
      </c>
      <c r="K12" s="62" t="s">
        <v>8</v>
      </c>
      <c r="L12" s="62" t="s">
        <v>22</v>
      </c>
      <c r="M12" s="62" t="s">
        <v>583</v>
      </c>
      <c r="N12" s="62" t="s">
        <v>18</v>
      </c>
      <c r="O12" s="92">
        <v>45516</v>
      </c>
      <c r="P12" s="62" t="s">
        <v>17</v>
      </c>
      <c r="Q12" s="76" t="s">
        <v>2177</v>
      </c>
      <c r="R12" s="113" t="s">
        <v>67</v>
      </c>
      <c r="S12" s="113"/>
      <c r="T12" s="62" t="s">
        <v>8</v>
      </c>
      <c r="U12" s="62" t="s">
        <v>8</v>
      </c>
      <c r="V12" s="114">
        <f>июнь244243[[#This Row],[сумма]]-июнь244243[[#This Row],[Цена м2 отделки]]*июнь244243[[#This Row],[м2]]</f>
        <v>5596400</v>
      </c>
    </row>
    <row r="13" spans="1:32" s="61" customFormat="1">
      <c r="A13" s="62">
        <v>11</v>
      </c>
      <c r="B13" s="62" t="s">
        <v>6</v>
      </c>
      <c r="C13" s="74">
        <v>33252</v>
      </c>
      <c r="D13" s="62" t="s">
        <v>13</v>
      </c>
      <c r="E13" s="75">
        <v>409</v>
      </c>
      <c r="F13" s="62">
        <v>2</v>
      </c>
      <c r="G13" s="62">
        <v>57.8</v>
      </c>
      <c r="H13" s="62" t="s">
        <v>21</v>
      </c>
      <c r="I13" s="62">
        <v>7000</v>
      </c>
      <c r="J13" s="95">
        <v>5871070</v>
      </c>
      <c r="K13" s="62" t="s">
        <v>8</v>
      </c>
      <c r="L13" s="62" t="s">
        <v>22</v>
      </c>
      <c r="M13" s="62" t="s">
        <v>583</v>
      </c>
      <c r="N13" s="62" t="s">
        <v>18</v>
      </c>
      <c r="O13" s="92">
        <v>45514</v>
      </c>
      <c r="P13" s="62" t="s">
        <v>17</v>
      </c>
      <c r="Q13" s="76" t="s">
        <v>2178</v>
      </c>
      <c r="R13" s="113" t="s">
        <v>67</v>
      </c>
      <c r="S13" s="113"/>
      <c r="T13" s="62" t="s">
        <v>8</v>
      </c>
      <c r="U13" s="62" t="s">
        <v>8</v>
      </c>
      <c r="V13" s="114">
        <f>июнь244243[[#This Row],[сумма]]-июнь244243[[#This Row],[Цена м2 отделки]]*июнь244243[[#This Row],[м2]]</f>
        <v>5466470</v>
      </c>
      <c r="AF13" s="132"/>
    </row>
    <row r="14" spans="1:32">
      <c r="A14" s="62">
        <v>12</v>
      </c>
      <c r="B14" s="62" t="s">
        <v>6</v>
      </c>
      <c r="C14" s="75">
        <v>33928</v>
      </c>
      <c r="D14" s="62" t="s">
        <v>13</v>
      </c>
      <c r="E14" s="75">
        <v>36</v>
      </c>
      <c r="F14" s="62">
        <v>2</v>
      </c>
      <c r="G14" s="62">
        <v>68.5</v>
      </c>
      <c r="H14" s="62" t="s">
        <v>21</v>
      </c>
      <c r="I14" s="62">
        <v>7000</v>
      </c>
      <c r="J14" s="95">
        <v>7330700</v>
      </c>
      <c r="K14" s="62" t="s">
        <v>8</v>
      </c>
      <c r="L14" s="62" t="s">
        <v>1892</v>
      </c>
      <c r="M14" s="62" t="s">
        <v>583</v>
      </c>
      <c r="N14" s="62" t="s">
        <v>18</v>
      </c>
      <c r="O14" s="92">
        <v>45516</v>
      </c>
      <c r="P14" s="62" t="s">
        <v>17</v>
      </c>
      <c r="Q14" s="62" t="s">
        <v>2179</v>
      </c>
      <c r="R14" s="113" t="s">
        <v>67</v>
      </c>
      <c r="S14" s="113"/>
      <c r="T14" s="62" t="s">
        <v>8</v>
      </c>
      <c r="U14" s="62" t="s">
        <v>14</v>
      </c>
      <c r="V14" s="114">
        <f>июнь244243[[#This Row],[сумма]]-июнь244243[[#This Row],[Цена м2 отделки]]*июнь244243[[#This Row],[м2]]</f>
        <v>6851200</v>
      </c>
    </row>
    <row r="15" spans="1:32" s="64" customFormat="1">
      <c r="A15" s="120">
        <v>13</v>
      </c>
      <c r="B15" s="120" t="s">
        <v>6</v>
      </c>
      <c r="C15" s="347">
        <v>34634</v>
      </c>
      <c r="D15" s="120" t="s">
        <v>13</v>
      </c>
      <c r="E15" s="347">
        <v>333</v>
      </c>
      <c r="F15" s="120">
        <v>1</v>
      </c>
      <c r="G15" s="120">
        <v>34.81</v>
      </c>
      <c r="H15" s="120" t="s">
        <v>25</v>
      </c>
      <c r="I15" s="120">
        <v>20000</v>
      </c>
      <c r="J15" s="95">
        <v>4929500</v>
      </c>
      <c r="K15" s="120" t="s">
        <v>8</v>
      </c>
      <c r="L15" s="120" t="s">
        <v>22</v>
      </c>
      <c r="M15" s="120" t="s">
        <v>583</v>
      </c>
      <c r="N15" s="120" t="s">
        <v>18</v>
      </c>
      <c r="O15" s="370">
        <v>45527</v>
      </c>
      <c r="P15" s="120" t="s">
        <v>17</v>
      </c>
      <c r="Q15" s="120" t="s">
        <v>2180</v>
      </c>
      <c r="R15" s="355" t="s">
        <v>67</v>
      </c>
      <c r="S15" s="355"/>
      <c r="T15" s="120" t="s">
        <v>8</v>
      </c>
      <c r="U15" s="120" t="s">
        <v>8</v>
      </c>
      <c r="V15" s="356">
        <f>июнь244243[[#This Row],[сумма]]-июнь244243[[#This Row],[Цена м2 отделки]]*июнь244243[[#This Row],[м2]]</f>
        <v>4233300</v>
      </c>
    </row>
    <row r="16" spans="1:32" s="61" customFormat="1">
      <c r="A16" s="62">
        <v>14</v>
      </c>
      <c r="B16" s="62" t="s">
        <v>6</v>
      </c>
      <c r="C16" s="74">
        <v>34248</v>
      </c>
      <c r="D16" s="62" t="s">
        <v>7</v>
      </c>
      <c r="E16" s="75">
        <v>382</v>
      </c>
      <c r="F16" s="62">
        <v>2</v>
      </c>
      <c r="G16" s="62">
        <v>70.64</v>
      </c>
      <c r="H16" s="62" t="s">
        <v>15</v>
      </c>
      <c r="I16" s="62">
        <v>7500</v>
      </c>
      <c r="J16" s="436">
        <v>7190073</v>
      </c>
      <c r="K16" s="62" t="s">
        <v>46</v>
      </c>
      <c r="L16" s="62" t="s">
        <v>1892</v>
      </c>
      <c r="M16" s="62" t="s">
        <v>583</v>
      </c>
      <c r="N16" s="62" t="s">
        <v>18</v>
      </c>
      <c r="O16" s="92">
        <v>45527</v>
      </c>
      <c r="P16" s="62" t="s">
        <v>17</v>
      </c>
      <c r="Q16" s="62" t="s">
        <v>2181</v>
      </c>
      <c r="R16" s="113" t="s">
        <v>67</v>
      </c>
      <c r="S16" s="113"/>
      <c r="T16" s="62" t="s">
        <v>46</v>
      </c>
      <c r="U16" s="62" t="s">
        <v>46</v>
      </c>
      <c r="V16" s="114">
        <f>июнь244243[[#This Row],[сумма]]-июнь244243[[#This Row],[Цена м2 отделки]]*июнь244243[[#This Row],[м2]]</f>
        <v>6660273</v>
      </c>
    </row>
    <row r="17" spans="1:22" s="61" customFormat="1">
      <c r="A17" s="62">
        <v>15</v>
      </c>
      <c r="B17" s="62" t="s">
        <v>6</v>
      </c>
      <c r="C17" s="74">
        <v>34361</v>
      </c>
      <c r="D17" s="62" t="s">
        <v>13</v>
      </c>
      <c r="E17" s="75">
        <v>421</v>
      </c>
      <c r="F17" s="62">
        <v>0</v>
      </c>
      <c r="G17" s="62">
        <v>29.4</v>
      </c>
      <c r="H17" s="76" t="s">
        <v>25</v>
      </c>
      <c r="I17" s="76">
        <v>20000</v>
      </c>
      <c r="J17" s="91">
        <v>4055800</v>
      </c>
      <c r="K17" s="62" t="s">
        <v>8</v>
      </c>
      <c r="L17" s="62" t="s">
        <v>22</v>
      </c>
      <c r="M17" s="62" t="s">
        <v>583</v>
      </c>
      <c r="N17" s="62" t="s">
        <v>18</v>
      </c>
      <c r="O17" s="92">
        <v>45517</v>
      </c>
      <c r="P17" s="62" t="s">
        <v>17</v>
      </c>
      <c r="Q17" s="76" t="s">
        <v>2182</v>
      </c>
      <c r="R17" s="113" t="s">
        <v>67</v>
      </c>
      <c r="S17" s="113"/>
      <c r="T17" s="62" t="s">
        <v>8</v>
      </c>
      <c r="U17" s="62" t="s">
        <v>8</v>
      </c>
      <c r="V17" s="114">
        <f>июнь244243[[#This Row],[сумма]]-июнь244243[[#This Row],[Цена м2 отделки]]*июнь244243[[#This Row],[м2]]</f>
        <v>3467800</v>
      </c>
    </row>
    <row r="18" spans="1:22" s="61" customFormat="1">
      <c r="A18" s="62">
        <v>16</v>
      </c>
      <c r="B18" s="62" t="s">
        <v>6</v>
      </c>
      <c r="C18" s="75">
        <v>34488</v>
      </c>
      <c r="D18" s="62" t="s">
        <v>7</v>
      </c>
      <c r="E18" s="75">
        <v>470</v>
      </c>
      <c r="F18" s="62">
        <v>2</v>
      </c>
      <c r="G18" s="62">
        <v>58.62</v>
      </c>
      <c r="H18" s="62" t="s">
        <v>15</v>
      </c>
      <c r="I18" s="62">
        <v>7500</v>
      </c>
      <c r="J18" s="95">
        <v>6484250</v>
      </c>
      <c r="K18" s="62" t="s">
        <v>8</v>
      </c>
      <c r="L18" s="62" t="s">
        <v>22</v>
      </c>
      <c r="M18" s="62" t="s">
        <v>583</v>
      </c>
      <c r="N18" s="62" t="s">
        <v>18</v>
      </c>
      <c r="O18" s="92">
        <v>45527</v>
      </c>
      <c r="P18" s="62" t="s">
        <v>17</v>
      </c>
      <c r="Q18" s="76" t="s">
        <v>2183</v>
      </c>
      <c r="R18" s="113" t="s">
        <v>67</v>
      </c>
      <c r="S18" s="62"/>
      <c r="T18" s="62" t="s">
        <v>8</v>
      </c>
      <c r="U18" s="62" t="s">
        <v>8</v>
      </c>
      <c r="V18" s="114">
        <f>июнь244243[[#This Row],[сумма]]-июнь244243[[#This Row],[Цена м2 отделки]]*июнь244243[[#This Row],[м2]]</f>
        <v>6044600</v>
      </c>
    </row>
    <row r="19" spans="1:22" s="61" customFormat="1">
      <c r="A19" s="62">
        <v>17</v>
      </c>
      <c r="B19" s="62" t="s">
        <v>6</v>
      </c>
      <c r="C19" s="74">
        <v>33641</v>
      </c>
      <c r="D19" s="62" t="s">
        <v>13</v>
      </c>
      <c r="E19" s="75">
        <v>507</v>
      </c>
      <c r="F19" s="62">
        <v>3</v>
      </c>
      <c r="G19" s="62">
        <v>79.44</v>
      </c>
      <c r="H19" s="62" t="s">
        <v>25</v>
      </c>
      <c r="I19" s="62">
        <v>20000</v>
      </c>
      <c r="J19" s="95">
        <v>9538600</v>
      </c>
      <c r="K19" s="62" t="s">
        <v>8</v>
      </c>
      <c r="L19" s="62" t="s">
        <v>1892</v>
      </c>
      <c r="M19" s="62" t="s">
        <v>583</v>
      </c>
      <c r="N19" s="62" t="s">
        <v>18</v>
      </c>
      <c r="O19" s="92">
        <v>45565</v>
      </c>
      <c r="P19" s="62" t="s">
        <v>17</v>
      </c>
      <c r="Q19" s="76" t="s">
        <v>2184</v>
      </c>
      <c r="R19" s="113" t="s">
        <v>67</v>
      </c>
      <c r="S19" s="113"/>
      <c r="T19" s="62" t="s">
        <v>8</v>
      </c>
      <c r="U19" s="62" t="s">
        <v>8</v>
      </c>
      <c r="V19" s="114">
        <f>июнь244243[[#This Row],[сумма]]-июнь244243[[#This Row],[Цена м2 отделки]]*июнь244243[[#This Row],[м2]]</f>
        <v>7949800</v>
      </c>
    </row>
    <row r="20" spans="1:22" hidden="1">
      <c r="A20" s="65">
        <v>18</v>
      </c>
      <c r="B20" s="65"/>
      <c r="C20" s="79">
        <v>34740</v>
      </c>
      <c r="D20" s="65" t="s">
        <v>13</v>
      </c>
      <c r="E20" s="79">
        <v>401</v>
      </c>
      <c r="F20" s="65">
        <v>2</v>
      </c>
      <c r="G20" s="65">
        <v>57.8</v>
      </c>
      <c r="H20" s="65"/>
      <c r="I20" s="65"/>
      <c r="J20" s="93">
        <v>5481470</v>
      </c>
      <c r="K20" s="65" t="s">
        <v>14</v>
      </c>
      <c r="L20" s="65" t="s">
        <v>1892</v>
      </c>
      <c r="M20" s="65" t="s">
        <v>583</v>
      </c>
      <c r="N20" s="65" t="s">
        <v>18</v>
      </c>
      <c r="O20" s="98"/>
      <c r="P20" s="65" t="s">
        <v>17</v>
      </c>
      <c r="Q20" s="86" t="s">
        <v>2185</v>
      </c>
      <c r="R20" s="118"/>
      <c r="S20" s="118"/>
      <c r="T20" s="65" t="s">
        <v>14</v>
      </c>
      <c r="U20" s="65" t="s">
        <v>14</v>
      </c>
      <c r="V20" s="115">
        <f>июнь244243[[#This Row],[сумма]]-июнь244243[[#This Row],[Цена м2 отделки]]*июнь244243[[#This Row],[м2]]</f>
        <v>5481470</v>
      </c>
    </row>
    <row r="21" spans="1:22" s="61" customFormat="1">
      <c r="A21" s="62">
        <v>19</v>
      </c>
      <c r="B21" s="62" t="s">
        <v>6</v>
      </c>
      <c r="C21" s="74">
        <v>34746</v>
      </c>
      <c r="D21" s="62" t="s">
        <v>13</v>
      </c>
      <c r="E21" s="75">
        <v>321</v>
      </c>
      <c r="F21" s="62">
        <v>0</v>
      </c>
      <c r="G21" s="62">
        <v>24.53</v>
      </c>
      <c r="H21" s="62" t="s">
        <v>25</v>
      </c>
      <c r="I21" s="62">
        <v>20000</v>
      </c>
      <c r="J21" s="95">
        <v>3686900</v>
      </c>
      <c r="K21" s="62" t="s">
        <v>8</v>
      </c>
      <c r="L21" s="62" t="s">
        <v>1892</v>
      </c>
      <c r="M21" s="62" t="s">
        <v>583</v>
      </c>
      <c r="N21" s="62" t="s">
        <v>18</v>
      </c>
      <c r="O21" s="92">
        <v>45533</v>
      </c>
      <c r="P21" s="62" t="s">
        <v>17</v>
      </c>
      <c r="Q21" s="62" t="s">
        <v>2186</v>
      </c>
      <c r="R21" s="113" t="s">
        <v>67</v>
      </c>
      <c r="S21" s="113"/>
      <c r="T21" s="62" t="s">
        <v>8</v>
      </c>
      <c r="U21" s="62" t="s">
        <v>8</v>
      </c>
      <c r="V21" s="114">
        <f>июнь244243[[#This Row],[сумма]]-июнь244243[[#This Row],[Цена м2 отделки]]*июнь244243[[#This Row],[м2]]</f>
        <v>3196300</v>
      </c>
    </row>
    <row r="22" spans="1:22" s="61" customFormat="1">
      <c r="A22" s="62">
        <v>20</v>
      </c>
      <c r="B22" s="62" t="s">
        <v>6</v>
      </c>
      <c r="C22" s="75">
        <v>34487</v>
      </c>
      <c r="D22" s="62" t="s">
        <v>7</v>
      </c>
      <c r="E22" s="75">
        <v>366</v>
      </c>
      <c r="F22" s="62">
        <v>1</v>
      </c>
      <c r="G22" s="62">
        <v>33.840000000000003</v>
      </c>
      <c r="H22" s="62" t="s">
        <v>25</v>
      </c>
      <c r="I22" s="62">
        <v>22000</v>
      </c>
      <c r="J22" s="95">
        <v>5468080</v>
      </c>
      <c r="K22" s="62" t="s">
        <v>40</v>
      </c>
      <c r="L22" s="62" t="s">
        <v>22</v>
      </c>
      <c r="M22" s="62" t="s">
        <v>583</v>
      </c>
      <c r="N22" s="62" t="s">
        <v>18</v>
      </c>
      <c r="O22" s="92">
        <v>45527</v>
      </c>
      <c r="P22" s="62" t="s">
        <v>17</v>
      </c>
      <c r="Q22" s="62" t="s">
        <v>2187</v>
      </c>
      <c r="R22" s="113" t="s">
        <v>67</v>
      </c>
      <c r="S22" s="113"/>
      <c r="T22" s="62" t="s">
        <v>40</v>
      </c>
      <c r="U22" s="62" t="s">
        <v>8</v>
      </c>
      <c r="V22" s="114">
        <f>июнь244243[[#This Row],[сумма]]-июнь244243[[#This Row],[Цена м2 отделки]]*июнь244243[[#This Row],[м2]]</f>
        <v>4723600</v>
      </c>
    </row>
    <row r="23" spans="1:22" s="61" customFormat="1">
      <c r="A23" s="62">
        <v>21</v>
      </c>
      <c r="B23" s="62" t="s">
        <v>6</v>
      </c>
      <c r="C23" s="75">
        <v>29793</v>
      </c>
      <c r="D23" s="62" t="s">
        <v>7</v>
      </c>
      <c r="E23" s="75">
        <v>368</v>
      </c>
      <c r="F23" s="62">
        <v>2</v>
      </c>
      <c r="G23" s="62">
        <v>67.95</v>
      </c>
      <c r="H23" s="62" t="s">
        <v>15</v>
      </c>
      <c r="I23" s="62">
        <v>7500</v>
      </c>
      <c r="J23" s="95">
        <v>7259661</v>
      </c>
      <c r="K23" s="62" t="s">
        <v>14</v>
      </c>
      <c r="L23" s="62" t="s">
        <v>22</v>
      </c>
      <c r="M23" s="62" t="s">
        <v>583</v>
      </c>
      <c r="N23" s="62" t="s">
        <v>18</v>
      </c>
      <c r="O23" s="92">
        <v>45535</v>
      </c>
      <c r="P23" s="62" t="s">
        <v>17</v>
      </c>
      <c r="Q23" s="62" t="s">
        <v>2188</v>
      </c>
      <c r="R23" s="113" t="s">
        <v>67</v>
      </c>
      <c r="S23" s="113"/>
      <c r="T23" s="62" t="s">
        <v>14</v>
      </c>
      <c r="U23" s="62" t="s">
        <v>14</v>
      </c>
      <c r="V23" s="114">
        <f>июнь244243[[#This Row],[сумма]]-июнь244243[[#This Row],[Цена м2 отделки]]*июнь244243[[#This Row],[м2]]</f>
        <v>6750036</v>
      </c>
    </row>
    <row r="24" spans="1:22" hidden="1">
      <c r="A24" s="65">
        <v>22</v>
      </c>
      <c r="B24" s="65"/>
      <c r="C24" s="79"/>
      <c r="D24" s="65"/>
      <c r="E24" s="79"/>
      <c r="F24" s="65"/>
      <c r="G24" s="65"/>
      <c r="H24" s="65"/>
      <c r="I24" s="65"/>
      <c r="J24" s="93"/>
      <c r="K24" s="65"/>
      <c r="L24" s="65"/>
      <c r="M24" s="65"/>
      <c r="N24" s="65"/>
      <c r="O24" s="98"/>
      <c r="P24" s="65"/>
      <c r="Q24" s="65"/>
      <c r="R24" s="118"/>
      <c r="S24" s="118"/>
      <c r="U24" s="65"/>
      <c r="V24" s="115">
        <f>июнь244243[[#This Row],[сумма]]-июнь244243[[#This Row],[Цена м2 отделки]]*июнь244243[[#This Row],[м2]]</f>
        <v>0</v>
      </c>
    </row>
    <row r="25" spans="1:22" hidden="1">
      <c r="A25" s="65">
        <v>23</v>
      </c>
      <c r="B25" s="65"/>
      <c r="C25" s="79"/>
      <c r="D25" s="65"/>
      <c r="E25" s="79"/>
      <c r="F25" s="87"/>
      <c r="G25" s="65"/>
      <c r="H25" s="65"/>
      <c r="I25" s="72"/>
      <c r="J25" s="105"/>
      <c r="K25" s="65"/>
      <c r="L25" s="65"/>
      <c r="M25" s="65"/>
      <c r="N25" s="65"/>
      <c r="O25" s="98"/>
      <c r="P25" s="65"/>
      <c r="Q25" s="65"/>
      <c r="R25" s="118"/>
      <c r="S25" s="118"/>
      <c r="U25" s="65"/>
      <c r="V25" s="115">
        <f>июнь244243[[#This Row],[сумма]]-июнь244243[[#This Row],[Цена м2 отделки]]*июнь244243[[#This Row],[м2]]</f>
        <v>0</v>
      </c>
    </row>
    <row r="26" spans="1:22" s="61" customFormat="1">
      <c r="A26" s="62">
        <v>24</v>
      </c>
      <c r="B26" s="62" t="s">
        <v>6</v>
      </c>
      <c r="C26" s="75">
        <v>23928</v>
      </c>
      <c r="D26" s="62" t="s">
        <v>13</v>
      </c>
      <c r="E26" s="75">
        <v>346</v>
      </c>
      <c r="F26" s="349">
        <v>3</v>
      </c>
      <c r="G26" s="62">
        <v>80.97</v>
      </c>
      <c r="H26" s="62" t="s">
        <v>9</v>
      </c>
      <c r="I26" s="348"/>
      <c r="J26" s="95">
        <v>7311278</v>
      </c>
      <c r="K26" s="348" t="s">
        <v>8</v>
      </c>
      <c r="L26" s="62" t="s">
        <v>22</v>
      </c>
      <c r="M26" s="117" t="s">
        <v>583</v>
      </c>
      <c r="N26" s="62" t="s">
        <v>18</v>
      </c>
      <c r="O26" s="92">
        <v>45535</v>
      </c>
      <c r="P26" s="62" t="s">
        <v>17</v>
      </c>
      <c r="Q26" s="117" t="s">
        <v>2189</v>
      </c>
      <c r="R26" s="377" t="s">
        <v>67</v>
      </c>
      <c r="S26" s="377"/>
      <c r="T26" s="62" t="s">
        <v>8</v>
      </c>
      <c r="U26" s="62" t="s">
        <v>8</v>
      </c>
      <c r="V26" s="114">
        <f>июнь244243[[#This Row],[сумма]]-июнь244243[[#This Row],[Цена м2 отделки]]*июнь244243[[#This Row],[м2]]</f>
        <v>7311278</v>
      </c>
    </row>
    <row r="27" spans="1:22" hidden="1">
      <c r="A27" s="65"/>
      <c r="B27" s="65"/>
      <c r="C27" s="65"/>
      <c r="D27" s="65"/>
      <c r="H27" s="65"/>
      <c r="K27" s="72"/>
      <c r="T27" s="66"/>
      <c r="V27" s="115">
        <f>июнь244243[[#This Row],[сумма]]-июнь244243[[#This Row],[Цена м2 отделки]]*июнь244243[[#This Row],[м2]]</f>
        <v>0</v>
      </c>
    </row>
    <row r="28" spans="1:22" s="61" customFormat="1">
      <c r="A28" s="62">
        <v>25</v>
      </c>
      <c r="B28" s="62" t="s">
        <v>6</v>
      </c>
      <c r="C28" s="74">
        <v>34899</v>
      </c>
      <c r="D28" s="62" t="s">
        <v>13</v>
      </c>
      <c r="E28" s="75">
        <v>446</v>
      </c>
      <c r="F28" s="62">
        <v>1</v>
      </c>
      <c r="G28" s="62">
        <v>43.21</v>
      </c>
      <c r="H28" s="62" t="s">
        <v>25</v>
      </c>
      <c r="I28" s="62">
        <v>20000</v>
      </c>
      <c r="J28" s="95">
        <v>5659600</v>
      </c>
      <c r="K28" s="62" t="s">
        <v>41</v>
      </c>
      <c r="L28" s="62" t="s">
        <v>22</v>
      </c>
      <c r="M28" s="62" t="s">
        <v>583</v>
      </c>
      <c r="N28" s="62" t="s">
        <v>18</v>
      </c>
      <c r="O28" s="92">
        <v>45533</v>
      </c>
      <c r="P28" s="117" t="s">
        <v>17</v>
      </c>
      <c r="Q28" s="62" t="s">
        <v>2190</v>
      </c>
      <c r="R28" s="113" t="s">
        <v>67</v>
      </c>
      <c r="S28" s="113"/>
      <c r="T28" s="117" t="s">
        <v>41</v>
      </c>
      <c r="U28" s="117" t="s">
        <v>20</v>
      </c>
      <c r="V28" s="114">
        <f>июнь244243[[#This Row],[сумма]]-июнь244243[[#This Row],[Цена м2 отделки]]*июнь244243[[#This Row],[м2]]</f>
        <v>4795400</v>
      </c>
    </row>
    <row r="29" spans="1:22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июнь244243[[#This Row],[сумма]]-июнь244243[[#This Row],[Цена м2 отделки]]*июнь244243[[#This Row],[м2]]</f>
        <v>0</v>
      </c>
    </row>
    <row r="30" spans="1:22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июнь244243[[#This Row],[сумма]]-июнь244243[[#This Row],[Цена м2 отделки]]*июнь244243[[#This Row],[м2]]</f>
        <v>0</v>
      </c>
    </row>
    <row r="31" spans="1:22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U31" s="65"/>
      <c r="V31" s="115">
        <f>июнь244243[[#This Row],[сумма]]-июнь244243[[#This Row],[Цена м2 отделки]]*июнь244243[[#This Row],[м2]]</f>
        <v>0</v>
      </c>
    </row>
    <row r="32" spans="1:22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июнь244243[[#This Row],[сумма]]-июнь244243[[#This Row],[Цена м2 отделки]]*июнь244243[[#This Row],[м2]]</f>
        <v>0</v>
      </c>
    </row>
    <row r="33" spans="1:22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июнь244243[[#This Row],[сумма]]-июнь244243[[#This Row],[Цена м2 отделки]]*июнь244243[[#This Row],[м2]]</f>
        <v>0</v>
      </c>
    </row>
    <row r="34" spans="1:22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июнь244243[[#This Row],[сумма]]-июнь244243[[#This Row],[Цена м2 отделки]]*июнь244243[[#This Row],[м2]]</f>
        <v>0</v>
      </c>
    </row>
    <row r="35" spans="1:22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июнь244243[[#This Row],[сумма]]-июнь244243[[#This Row],[Цена м2 отделки]]*июнь244243[[#This Row],[м2]]</f>
        <v>0</v>
      </c>
    </row>
    <row r="36" spans="1:22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июнь244243[[#This Row],[сумма]]-июнь244243[[#This Row],[Цена м2 отделки]]*июнь244243[[#This Row],[м2]]</f>
        <v>0</v>
      </c>
    </row>
    <row r="37" spans="1:22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июнь244243[[#This Row],[сумма]]-июнь244243[[#This Row],[Цена м2 отделки]]*июнь244243[[#This Row],[м2]]</f>
        <v>0</v>
      </c>
    </row>
    <row r="38" spans="1:22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июнь244243[[#This Row],[сумма]]-июнь244243[[#This Row],[Цена м2 отделки]]*июнь244243[[#This Row],[м2]]</f>
        <v>0</v>
      </c>
    </row>
    <row r="39" spans="1:22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июнь244243[[#This Row],[сумма]]-июнь244243[[#This Row],[Цена м2 отделки]]*июнь244243[[#This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июнь244243[[#This Row],[сумма]]-июнь244243[[#This Row],[Цена м2 отделки]]*июнь244243[[#This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июнь244243[[#This Row],[сумма]]-июнь244243[[#This Row],[Цена м2 отделки]]*июнь244243[[#This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июнь244243[[#This Row],[сумма]]-июнь244243[[#This Row],[Цена м2 отделки]]*июнь244243[[#This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июнь244243[[#This Row],[сумма]]-июнь244243[[#This Row],[Цена м2 отделки]]*июнь244243[[#This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июнь244243[[#This Row],[сумма]]-июнь244243[[#This Row],[Цена м2 отделки]]*июнь244243[[#This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июнь244243[[#This Row],[сумма]]-июнь244243[[#This Row],[Цена м2 отделки]]*июнь244243[[#This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июнь244243[[#This Row],[сумма]]-июнь244243[[#This Row],[Цена м2 отделки]]*июнь244243[[#This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июнь244243[[#This Row],[сумма]]-июнь244243[[#This Row],[Цена м2 отделки]]*июнь244243[[#This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июнь244243[[#This Row],[сумма]]-июнь244243[[#This Row],[Цена м2 отделки]]*июнь244243[[#This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июнь244243[[#This Row],[сумма]]-июнь244243[[#This Row],[Цена м2 отделки]]*июнь244243[[#This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июнь244243[[#This Row],[сумма]]-июнь244243[[#This Row],[Цена м2 отделки]]*июнь244243[[#This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июнь244243[[#This Row],[сумма]]-июнь244243[[#This Row],[Цена м2 отделки]]*июнь244243[[#This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июнь244243[[#This Row],[сумма]]-июнь244243[[#This Row],[Цена м2 отделки]]*июнь244243[[#This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июнь244243[[#This Row],[сумма]]-июнь244243[[#This Row],[Цена м2 отделки]]*июнь244243[[#This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июнь244243[[#This Row],[сумма]]-июнь244243[[#This Row],[Цена м2 отделки]]*июнь244243[[#This Row],[м2]]</f>
        <v>0</v>
      </c>
    </row>
    <row r="55" spans="1:22">
      <c r="A55" s="65"/>
      <c r="B55" s="65"/>
      <c r="C55" s="79"/>
      <c r="D55" s="80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июнь244243[[#This Row],[сумма]]-июнь244243[[#This Row],[Цена м2 отделки]]*июнь244243[[#This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июнь244243[[#This Row],[сумма]]-июнь244243[[#This Row],[Цена м2 отделки]]*июнь244243[[#This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июнь244243[[#This Row],[сумма]]-июнь244243[[#This Row],[Цена м2 отделки]]*июнь244243[[#This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июнь244243[[#This Row],[сумма]]-июнь244243[[#This Row],[Цена м2 отделки]]*июнь244243[[#This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июнь244243[[#This Row],[сумма]]-июнь244243[[#This Row],[Цена м2 отделки]]*июнь244243[[#This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июнь244243[[#This Row],[сумма]]-июнь244243[[#This Row],[Цена м2 отделки]]*июнь244243[[#This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июнь244243[[#This Row],[сумма]]-июнь244243[[#This Row],[Цена м2 отделки]]*июнь244243[[#This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июнь244243[[#This Row],[сумма]]-июнь244243[[#This Row],[Цена м2 отделки]]*июнь244243[[#This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июнь244243[[#This Row],[сумма]]-июнь244243[[#This Row],[Цена м2 отделки]]*июнь244243[[#This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июнь244243[[#This Row],[сумма]]-июнь244243[[#This Row],[Цена м2 отделки]]*июнь244243[[#This Row],[м2]]</f>
        <v>0</v>
      </c>
    </row>
    <row r="65" spans="1:21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1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</row>
    <row r="67" spans="1:21" s="65" customFormat="1">
      <c r="B67" s="79"/>
      <c r="D67" s="79"/>
      <c r="I67" s="93"/>
      <c r="J67" s="80"/>
      <c r="N67" s="98"/>
      <c r="O67" s="80"/>
      <c r="Q67" s="86"/>
      <c r="U67" s="66"/>
    </row>
    <row r="68" spans="1:21" s="65" customFormat="1">
      <c r="B68" s="79"/>
      <c r="C68" s="79"/>
      <c r="D68" s="80"/>
      <c r="F68" s="72"/>
      <c r="I68" s="105"/>
      <c r="M68" s="110"/>
      <c r="O68" s="72"/>
      <c r="P68" s="86"/>
      <c r="Q68" s="86"/>
      <c r="U68" s="66"/>
    </row>
    <row r="69" spans="1:21" s="65" customFormat="1">
      <c r="U69" s="66"/>
    </row>
    <row r="70" spans="1:21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1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1" s="65" customFormat="1">
      <c r="A72" s="142" t="s">
        <v>8</v>
      </c>
      <c r="B72" s="267">
        <f>IFERROR(VLOOKUP(A72,'ИПП 3кв24'!$B$22:$L$32,4,0),"")</f>
        <v>163</v>
      </c>
      <c r="C72" s="146">
        <f>IFERROR(VLOOKUP(A72,'ИПП 3кв24'!$B$22:$L$32,5,0),"")</f>
        <v>5958719</v>
      </c>
      <c r="D72" s="145">
        <f>SUMIFS(июнь244243[м2],июнь244243[МОП],$A72,июнь244243[№ дома],$C$70,июнь244243[Комнатность],"&lt;&gt;Офис")</f>
        <v>58.62</v>
      </c>
      <c r="E72" s="146">
        <f>SUMIFS(июнь244243[Сумма без отделки],июнь244243[МОП],$A72,июнь244243[№ дома],$C$70,июнь244243[Комнатность],"&lt;&gt;Офис")</f>
        <v>6044600</v>
      </c>
      <c r="F72" s="147">
        <f>COUNTIFS(июнь244243[МОП],$A72,июнь244243[№ дома],$C$70,июнь244243[Комнатность],"&lt;&gt;Офис")</f>
        <v>1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58.62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6044600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1</v>
      </c>
      <c r="J72" s="221">
        <f t="shared" ref="J72:K78" si="0">IFERROR(G72/B72,"")</f>
        <v>0.35963190184049076</v>
      </c>
      <c r="K72" s="222">
        <f t="shared" si="0"/>
        <v>1.014412661513322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1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1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1" s="65" customFormat="1">
      <c r="A73" s="150" t="s">
        <v>46</v>
      </c>
      <c r="B73" s="267">
        <f>IFERROR(VLOOKUP(A73,'ИПП 3кв24'!$B$22:$L$32,4,0),"")</f>
        <v>48</v>
      </c>
      <c r="C73" s="146">
        <f>IFERROR(VLOOKUP(A73,'ИПП 3кв24'!$B$22:$L$32,5,0),"")</f>
        <v>1773428</v>
      </c>
      <c r="D73" s="145">
        <f>SUMIFS(июнь244243[м2],июнь244243[МОП],$A73,июнь244243[№ дома],$C$70,июнь244243[Комнатность],"&lt;&gt;Офис")</f>
        <v>70.64</v>
      </c>
      <c r="E73" s="146">
        <f>SUMIFS(июнь244243[Сумма без отделки],июнь244243[МОП],$A73,июнь244243[№ дома],$C$70,июнь244243[Комнатность],"&lt;&gt;Офис")</f>
        <v>6660273</v>
      </c>
      <c r="F73" s="147">
        <f>COUNTIFS(июнь244243[МОП],$A73,июнь244243[№ дома],$C$70,июнь244243[Комнатность],"&lt;&gt;Офис")</f>
        <v>1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67.95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6680448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1</v>
      </c>
      <c r="J73" s="221">
        <f t="shared" si="0"/>
        <v>1.4156250000000001</v>
      </c>
      <c r="K73" s="222">
        <f t="shared" si="0"/>
        <v>3.766968830987218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1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1" s="65" customFormat="1">
      <c r="A74" s="153" t="s">
        <v>20</v>
      </c>
      <c r="B74" s="267">
        <f>IFERROR(VLOOKUP(A74,'ИПП 3кв24'!$B$22:$L$32,4,0),"")</f>
        <v>143</v>
      </c>
      <c r="C74" s="146">
        <f>IFERROR(VLOOKUP(A74,'ИПП 3кв24'!$B$22:$L$32,5,0),"")</f>
        <v>5249347</v>
      </c>
      <c r="D74" s="145">
        <f>SUMIFS(июнь244243[м2],июнь244243[МОП],$A74,июнь244243[№ дома],$C$70,июнь244243[Комнатность],"&lt;&gt;Офис")</f>
        <v>73.2</v>
      </c>
      <c r="E74" s="146">
        <f>SUMIFS(июнь244243[Сумма без отделки],июнь244243[МОП],$A74,июнь244243[№ дома],$C$70,июнь244243[Комнатность],"&lt;&gt;Офис")</f>
        <v>9113358</v>
      </c>
      <c r="F74" s="147">
        <f>COUNTIFS(июнь244243[МОП],$A74,июнь244243[№ дома],$C$70,июнь244243[Комнатность],"&lt;&gt;Офис")</f>
        <v>2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73.2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9113358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2</v>
      </c>
      <c r="J74" s="224">
        <f t="shared" si="0"/>
        <v>0.5118881118881119</v>
      </c>
      <c r="K74" s="225">
        <f t="shared" si="0"/>
        <v>1.7360936512674814</v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2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1" s="65" customFormat="1">
      <c r="A75" s="153" t="s">
        <v>14</v>
      </c>
      <c r="B75" s="267">
        <f>IFERROR(VLOOKUP(A75,'ИПП 3кв24'!$B$22:$L$32,4,0),"")</f>
        <v>84</v>
      </c>
      <c r="C75" s="146">
        <f>IFERROR(VLOOKUP(A75,'ИПП 3кв24'!$B$22:$L$32,5,0),"")</f>
        <v>3085765</v>
      </c>
      <c r="D75" s="328">
        <f>SUMIFS(июнь244243[м2],июнь244243[МОП],$A75,июнь244243[№ дома],$C$70,июнь244243[Комнатность],"&lt;&gt;Офис")</f>
        <v>67.95</v>
      </c>
      <c r="E75" s="403">
        <f>SUMIFS(июнь244243[Сумма без отделки],июнь244243[МОП],$A75,июнь244243[№ дома],$C$70,июнь244243[Комнатность],"&lt;&gt;Офис")</f>
        <v>6750036</v>
      </c>
      <c r="F75" s="404">
        <f>COUNTIFS(июнь244243[МОП],$A75,июнь244243[№ дома],$C$70,июнь244243[Комнатность],"&lt;&gt;Офис")</f>
        <v>1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67.95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6750036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1</v>
      </c>
      <c r="J75" s="360">
        <f t="shared" si="0"/>
        <v>0.80892857142857144</v>
      </c>
      <c r="K75" s="361">
        <f t="shared" si="0"/>
        <v>2.1874757150982007</v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1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1" s="65" customFormat="1">
      <c r="A76" s="154" t="s">
        <v>29</v>
      </c>
      <c r="B76" s="274"/>
      <c r="C76" s="277"/>
      <c r="D76" s="341">
        <f>SUMIFS(июнь244243[м2],июнь244243[МОП],$A76,июнь244243[№ дома],$C$70,июнь244243[Комнатность],"&lt;&gt;Офис")</f>
        <v>0</v>
      </c>
      <c r="E76" s="277">
        <f>SUMIFS(июнь244243[Сумма без отделки],июнь244243[МОП],$A76,июнь244243[№ дома],$C$70,июнь244243[Комнатность],"&lt;&gt;Офис")</f>
        <v>0</v>
      </c>
      <c r="F76" s="405">
        <f>COUNTIFS(июнь244243[МОП],$A76,июнь244243[№ дома],$C$70,июнь244243[Комнатность],"&lt;&gt;Офис")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1" s="65" customFormat="1">
      <c r="A77" s="161" t="s">
        <v>1919</v>
      </c>
      <c r="B77" s="278"/>
      <c r="C77" s="281"/>
      <c r="D77" s="406">
        <f>SUMIFS(июнь244243[м2],июнь244243[МОП],$A77,июнь244243[№ дома],$C$70,июнь244243[Комнатность],"&lt;&gt;Офис")</f>
        <v>33.840000000000003</v>
      </c>
      <c r="E77" s="281">
        <f>SUMIFS(июнь244243[Сумма без отделки],июнь244243[МОП],$A77,июнь244243[№ дома],$C$70,июнь244243[Комнатность],"&lt;&gt;Офис")</f>
        <v>4723600</v>
      </c>
      <c r="F77" s="407">
        <f>COUNTIFS(июнь244243[МОП],$A77,июнь244243[№ дома],$C$70,июнь244243[Комнатность],"&lt;&gt;Офис")</f>
        <v>1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1" s="65" customFormat="1">
      <c r="A78" s="168" t="s">
        <v>114</v>
      </c>
      <c r="B78" s="172">
        <f t="shared" ref="B78:I78" si="1">SUM(B72:B77)</f>
        <v>438</v>
      </c>
      <c r="C78" s="173">
        <f t="shared" si="1"/>
        <v>16067259</v>
      </c>
      <c r="D78" s="173">
        <f t="shared" si="1"/>
        <v>304.25</v>
      </c>
      <c r="E78" s="173">
        <f t="shared" si="1"/>
        <v>33291867</v>
      </c>
      <c r="F78" s="171">
        <f t="shared" si="1"/>
        <v>6</v>
      </c>
      <c r="G78" s="172">
        <f t="shared" si="1"/>
        <v>267.71999999999997</v>
      </c>
      <c r="H78" s="173">
        <f t="shared" si="1"/>
        <v>28588442</v>
      </c>
      <c r="I78" s="170">
        <f t="shared" si="1"/>
        <v>5</v>
      </c>
      <c r="J78" s="238">
        <f t="shared" si="0"/>
        <v>0.61123287671232873</v>
      </c>
      <c r="K78" s="239">
        <f t="shared" si="0"/>
        <v>1.7792980121873929</v>
      </c>
      <c r="L78" s="240">
        <f>SUM(L72:L77)</f>
        <v>0</v>
      </c>
      <c r="M78" s="241">
        <f>SUM(M72:M77)</f>
        <v>3</v>
      </c>
      <c r="N78" s="241">
        <f>SUM(N72:N77)</f>
        <v>3</v>
      </c>
      <c r="O78" s="241">
        <f>SUM(O72:O77)</f>
        <v>0</v>
      </c>
      <c r="P78" s="242">
        <f>SUM(P72:P77)</f>
        <v>0</v>
      </c>
      <c r="T78" s="66"/>
    </row>
    <row r="79" spans="1:21" s="65" customFormat="1">
      <c r="A79" s="135" t="s">
        <v>115</v>
      </c>
      <c r="B79" s="135" t="s">
        <v>100</v>
      </c>
      <c r="C79" s="136" t="s">
        <v>97</v>
      </c>
      <c r="D79" s="137" t="s">
        <v>494</v>
      </c>
      <c r="E79" s="138" t="s">
        <v>495</v>
      </c>
      <c r="F79" s="139" t="s">
        <v>496</v>
      </c>
      <c r="G79" s="140" t="s">
        <v>101</v>
      </c>
      <c r="H79" s="141" t="s">
        <v>98</v>
      </c>
      <c r="I79" s="141" t="s">
        <v>96</v>
      </c>
      <c r="J79" s="141" t="s">
        <v>715</v>
      </c>
      <c r="K79" s="21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1" s="65" customFormat="1">
      <c r="A80" s="177" t="s">
        <v>1892</v>
      </c>
      <c r="B80" s="291">
        <f>IFERROR(VLOOKUP(A80,'ИПП 3кв24'!$B$22:$L$32,4,0),"")</f>
        <v>136.51</v>
      </c>
      <c r="C80" s="292">
        <f>IFERROR(VLOOKUP(A80,'ИПП 3кв24'!$B$22:$L$32,5,0),"")</f>
        <v>5007629.0549999997</v>
      </c>
      <c r="D80" s="346">
        <f>SUMIFS(июнь244243[м2],июнь244243[ИМ],A80,июнь244243[№ дома],$C$70,июнь244243[Комнатность],"&lt;&gt;Офис")</f>
        <v>70.64</v>
      </c>
      <c r="E80" s="184">
        <f>SUMIFS(июнь244243[Сумма без отделки],июнь244243[ИМ],$A80,июнь244243[№ дома],$C$70,июнь244243[Комнатность],"&lt;&gt;Офис")</f>
        <v>6660273</v>
      </c>
      <c r="F80" s="246">
        <f>COUNTIFS(июнь244243[ИМ],$A80,июнь244243[№ дома],$C$70,июнь244243[Комнатность],"&lt;&gt;Офис")</f>
        <v>1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67.95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6680448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1</v>
      </c>
      <c r="J80" s="244">
        <f t="shared" ref="J80:K83" si="2">IFERROR(G80/B80,"")</f>
        <v>0.4977657314482456</v>
      </c>
      <c r="K80" s="245">
        <f t="shared" si="2"/>
        <v>1.3340540856015943</v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1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 t="s">
        <v>22</v>
      </c>
      <c r="B81" s="267">
        <f>IFERROR(VLOOKUP(A81,'ИПП 3кв24'!$B$22:$L$32,4,0),"")</f>
        <v>235.79</v>
      </c>
      <c r="C81" s="146">
        <f>IFERROR(VLOOKUP(A81,'ИПП 3кв24'!$B$22:$L$32,5,0),"")</f>
        <v>8649541.0950000007</v>
      </c>
      <c r="D81" s="145">
        <f>SUMIFS(июнь244243[м2],июнь244243[ИМ],A81,июнь244243[№ дома],$C$70,июнь244243[Комнатность],"&lt;&gt;Офис")</f>
        <v>196.91000000000003</v>
      </c>
      <c r="E81" s="149">
        <f>SUMIFS(июнь244243[Сумма без отделки],июнь244243[ИМ],$A81,июнь244243[№ дома],$C$70,июнь244243[Комнатность],"&lt;&gt;Офис")</f>
        <v>22110036</v>
      </c>
      <c r="F81" s="223">
        <f>COUNTIFS(июнь244243[ИМ],$A81,июнь244243[№ дома],$C$70,июнь244243[Комнатность],"&lt;&gt;Офис")</f>
        <v>4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163.07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17386436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3</v>
      </c>
      <c r="J81" s="248">
        <f t="shared" si="2"/>
        <v>0.69158997412952206</v>
      </c>
      <c r="K81" s="249">
        <f t="shared" si="2"/>
        <v>2.010099242149447</v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89" t="s">
        <v>16</v>
      </c>
      <c r="B82" s="293">
        <f>IFERROR(VLOOKUP(A82,'ИПП 3кв24'!$B$22:$L$32,4,0),"")</f>
        <v>0</v>
      </c>
      <c r="C82" s="294">
        <f>IFERROR(VLOOKUP(A82,'ИПП 3кв24'!$B$22:$L$32,5,0),"")</f>
        <v>0</v>
      </c>
      <c r="D82" s="432">
        <f>SUMIFS(июнь244243[м2],июнь244243[ИМ],A82,июнь244243[№ дома],$C$70,июнь244243[Комнатность],"&lt;&gt;Офис")</f>
        <v>0</v>
      </c>
      <c r="E82" s="433">
        <f>SUMIFS(июнь244243[Сумма без отделки],июнь244243[ИМ],$A82,июнь244243[№ дома],$C$70,июнь244243[Комнатность],"&lt;&gt;Офис")</f>
        <v>0</v>
      </c>
      <c r="F82" s="434">
        <f>COUNTIFS(июнь244243[ИМ],$A82,июнь244243[№ дома],$C$70,июнь244243[Комнатность],"&lt;&gt;Офис")</f>
        <v>0</v>
      </c>
      <c r="G82" s="195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96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51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52" t="str">
        <f t="shared" si="2"/>
        <v/>
      </c>
      <c r="K82" s="253" t="str">
        <f t="shared" si="2"/>
        <v/>
      </c>
      <c r="L82" s="195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51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51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51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54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68" t="s">
        <v>114</v>
      </c>
      <c r="B83" s="172">
        <f t="shared" ref="B83:P83" si="3">SUM(B80:B82)</f>
        <v>372.29999999999995</v>
      </c>
      <c r="C83" s="173">
        <f t="shared" si="3"/>
        <v>13657170.15</v>
      </c>
      <c r="D83" s="173">
        <f t="shared" si="3"/>
        <v>267.55</v>
      </c>
      <c r="E83" s="173">
        <f t="shared" si="3"/>
        <v>28770309</v>
      </c>
      <c r="F83" s="171">
        <f t="shared" si="3"/>
        <v>5</v>
      </c>
      <c r="G83" s="172">
        <f t="shared" si="3"/>
        <v>231.01999999999998</v>
      </c>
      <c r="H83" s="173">
        <f t="shared" si="3"/>
        <v>24066884</v>
      </c>
      <c r="I83" s="170">
        <f t="shared" si="3"/>
        <v>4</v>
      </c>
      <c r="J83" s="238">
        <f t="shared" si="2"/>
        <v>0.62052108514638737</v>
      </c>
      <c r="K83" s="239">
        <f t="shared" si="2"/>
        <v>1.7622160180819011</v>
      </c>
      <c r="L83" s="240">
        <f t="shared" si="3"/>
        <v>0</v>
      </c>
      <c r="M83" s="241">
        <f t="shared" si="3"/>
        <v>0</v>
      </c>
      <c r="N83" s="241">
        <f t="shared" si="3"/>
        <v>1</v>
      </c>
      <c r="O83" s="241">
        <f t="shared" si="3"/>
        <v>0</v>
      </c>
      <c r="P83" s="242">
        <f t="shared" si="3"/>
        <v>0</v>
      </c>
      <c r="T83" s="66"/>
    </row>
    <row r="84" spans="1:21" s="65" customFormat="1">
      <c r="A84" s="134"/>
      <c r="B84" s="197"/>
      <c r="C84" s="197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U84" s="66"/>
    </row>
    <row r="85" spans="1:21" s="65" customFormat="1">
      <c r="A85" s="2325" t="s">
        <v>713</v>
      </c>
      <c r="B85" s="2326"/>
      <c r="C85" s="133" t="s">
        <v>13</v>
      </c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T85" s="66"/>
    </row>
    <row r="86" spans="1:21" s="65" customFormat="1">
      <c r="A86" s="135" t="s">
        <v>1</v>
      </c>
      <c r="B86" s="135" t="s">
        <v>100</v>
      </c>
      <c r="C86" s="136" t="s">
        <v>97</v>
      </c>
      <c r="D86" s="137" t="s">
        <v>494</v>
      </c>
      <c r="E86" s="138" t="s">
        <v>495</v>
      </c>
      <c r="F86" s="139" t="s">
        <v>496</v>
      </c>
      <c r="G86" s="140" t="s">
        <v>101</v>
      </c>
      <c r="H86" s="141" t="s">
        <v>98</v>
      </c>
      <c r="I86" s="141" t="s">
        <v>96</v>
      </c>
      <c r="J86" s="141" t="s">
        <v>715</v>
      </c>
      <c r="K86" s="216" t="s">
        <v>716</v>
      </c>
      <c r="L86" s="217">
        <v>0</v>
      </c>
      <c r="M86" s="218">
        <v>1</v>
      </c>
      <c r="N86" s="218">
        <v>2</v>
      </c>
      <c r="O86" s="218">
        <v>3</v>
      </c>
      <c r="P86" s="219" t="s">
        <v>1367</v>
      </c>
      <c r="T86" s="66"/>
    </row>
    <row r="87" spans="1:21" s="65" customFormat="1">
      <c r="A87" s="398" t="s">
        <v>8</v>
      </c>
      <c r="B87" s="267">
        <f>IFERROR(VLOOKUP(A87,'ИПП 3кв24'!$B$22:$L$32,6,0),"")</f>
        <v>330</v>
      </c>
      <c r="C87" s="146">
        <f>IFERROR(VLOOKUP(A87,'ИПП 3кв24'!$B$22:$L$32,7,0),"")</f>
        <v>34465840</v>
      </c>
      <c r="D87" s="257">
        <f>SUMIFS(июнь244243[м2],июнь244243[МОП],$A87,июнь244243[№ дома],$C$85,июнь244243[Комнатность],"&lt;&gt;Офис")</f>
        <v>457.75</v>
      </c>
      <c r="E87" s="52">
        <f>SUMIFS(июнь244243[Сумма без отделки],июнь244243[МОП],$A87,июнь244243[№ дома],$C$85,июнь244243[Комнатность],"&lt;&gt;Офис")</f>
        <v>47062948</v>
      </c>
      <c r="F87" s="413">
        <f>COUNTIFS(июнь244243[МОП],$A87,июнь244243[№ дома],$C$85,июнь244243[Комнатность],"&lt;&gt;Офис")</f>
        <v>9</v>
      </c>
      <c r="G87" s="202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472.93999999999994</v>
      </c>
      <c r="H87" s="203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48554048</v>
      </c>
      <c r="I87" s="226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9</v>
      </c>
      <c r="J87" s="224">
        <f t="shared" ref="J87:K92" si="4">IFERROR(G87/B87,)</f>
        <v>1.4331515151515151</v>
      </c>
      <c r="K87" s="225">
        <f t="shared" si="4"/>
        <v>1.4087585853122977</v>
      </c>
      <c r="L87" s="257">
        <f>COUNTIFS(РД[Тип кв],L$86,РД[МОП],$A87,РД[Дом],$C$85,РД[Дата подачи на регистрацию],"&lt;="&amp;$A$1,РД[Дата подачи на регистрацию],"&gt;="&amp;DATE(YEAR($A$1),MONTH($A$1),1))</f>
        <v>3</v>
      </c>
      <c r="M87" s="226">
        <f>COUNTIFS(РД[Тип кв],M$86,РД[МОП],$A87,РД[Дом],$C$85,РД[Дата подачи на регистрацию],"&lt;="&amp;$A$1,РД[Дата подачи на регистрацию],"&gt;="&amp;DATE(YEAR($A$1),MONTH($A$1),1))</f>
        <v>2</v>
      </c>
      <c r="N87" s="226">
        <f>COUNTIFS(РД[Тип кв],N$86,РД[МОП],$A87,РД[Дом],$C$85,РД[Дата подачи на регистрацию],"&lt;="&amp;$A$1,РД[Дата подачи на регистрацию],"&gt;="&amp;DATE(YEAR($A$1),MONTH($A$1),1))</f>
        <v>3</v>
      </c>
      <c r="O87" s="226">
        <f>COUNTIFS(РД[Тип кв],O$86,РД[МОП],$A87,РД[Дом],$C$85,РД[Дата подачи на регистрацию],"&lt;="&amp;$A$1,РД[Дата подачи на регистрацию],"&gt;="&amp;DATE(YEAR($A$1),MONTH($A$1),1))</f>
        <v>2</v>
      </c>
      <c r="P87" s="227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0" t="s">
        <v>46</v>
      </c>
      <c r="B88" s="267">
        <f>IFERROR(VLOOKUP(A88,'ИПП 3кв24'!$B$22:$L$32,6,0),"")</f>
        <v>98</v>
      </c>
      <c r="C88" s="146">
        <f>IFERROR(VLOOKUP(A88,'ИПП 3кв24'!$B$22:$L$32,7,0),"")</f>
        <v>10257691</v>
      </c>
      <c r="D88" s="257">
        <f>SUMIFS(июнь244243[м2],июнь244243[МОП],$A88,июнь244243[№ дома],$C$85,июнь244243[Комнатность],"&lt;&gt;Офис")</f>
        <v>0</v>
      </c>
      <c r="E88" s="52">
        <f>SUMIFS(июнь244243[Сумма без отделки],июнь244243[МОП],$A88,июнь244243[№ дома],$C$85,июнь244243[Комнатность],"&lt;&gt;Офис")</f>
        <v>0</v>
      </c>
      <c r="F88" s="413">
        <f>COUNTIFS(июнь244243[МОП],$A88,июнь244243[№ дома],$C$85,июнь244243[Комнатность],"&lt;&gt;Офис")</f>
        <v>0</v>
      </c>
      <c r="G88" s="202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03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">
        <f t="shared" si="4"/>
        <v>0</v>
      </c>
      <c r="K88" s="225">
        <f t="shared" si="4"/>
        <v>0</v>
      </c>
      <c r="L88" s="257">
        <f>COUNTIFS(РД[Тип кв],L$86,РД[МОП],$A88,РД[Дом],$C$85,РД[Дата подачи на регистрацию],"&lt;="&amp;$A$1,РД[Дата подачи на регистрацию],"&gt;="&amp;DATE(YEAR($A$1),MONTH($A$1),1))</f>
        <v>0</v>
      </c>
      <c r="M88" s="226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0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7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20</v>
      </c>
      <c r="B89" s="267">
        <f>IFERROR(VLOOKUP(A89,'ИПП 3кв24'!$B$22:$L$32,6,0),"")</f>
        <v>290</v>
      </c>
      <c r="C89" s="146">
        <f>IFERROR(VLOOKUP(A89,'ИПП 3кв24'!$B$22:$L$32,7,0),"")</f>
        <v>30362764</v>
      </c>
      <c r="D89" s="257">
        <f>SUMIFS(июнь244243[м2],июнь244243[МОП],$A89,июнь244243[№ дома],$C$85,июнь244243[Комнатность],"&lt;&gt;Офис")</f>
        <v>39.69</v>
      </c>
      <c r="E89" s="52">
        <f>SUMIFS(июнь244243[Сумма без отделки],июнь244243[МОП],$A89,июнь244243[№ дома],$C$85,июнь244243[Комнатность],"&lt;&gt;Офис")</f>
        <v>4360800</v>
      </c>
      <c r="F89" s="413">
        <f>COUNTIFS(июнь244243[МОП],$A89,июнь244243[№ дома],$C$85,июнь244243[Комнатность],"&lt;&gt;Офис")</f>
        <v>1</v>
      </c>
      <c r="G89" s="202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82.9</v>
      </c>
      <c r="H89" s="203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9156200</v>
      </c>
      <c r="I89" s="226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2</v>
      </c>
      <c r="J89" s="224">
        <f t="shared" si="4"/>
        <v>0.28586206896551725</v>
      </c>
      <c r="K89" s="225">
        <f t="shared" si="4"/>
        <v>0.30156016099193078</v>
      </c>
      <c r="L89" s="257">
        <f>COUNTIFS(РД[Тип кв],L$86,РД[МОП],$A89,РД[Дом],$C$85,РД[Дата подачи на регистрацию],"&lt;="&amp;$A$1,РД[Дата подачи на регистрацию],"&gt;="&amp;DATE(YEAR($A$1),MONTH($A$1),1))</f>
        <v>0</v>
      </c>
      <c r="M89" s="226">
        <f>COUNTIFS(РД[Тип кв],M$86,РД[МОП],$A89,РД[Дом],$C$85,РД[Дата подачи на регистрацию],"&lt;="&amp;$A$1,РД[Дата подачи на регистрацию],"&gt;="&amp;DATE(YEAR($A$1),MONTH($A$1),1))</f>
        <v>2</v>
      </c>
      <c r="N89" s="226">
        <f>COUNTIFS(РД[Тип кв],N$86,РД[МОП],$A89,РД[Дом],$C$85,РД[Дата подачи на регистрацию],"&lt;="&amp;$A$1,РД[Дата подачи на регистрацию],"&gt;="&amp;DATE(YEAR($A$1),MONTH($A$1),1))</f>
        <v>0</v>
      </c>
      <c r="O89" s="226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227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3" t="s">
        <v>14</v>
      </c>
      <c r="B90" s="267">
        <f>IFERROR(VLOOKUP(A90,'ИПП 3кв24'!$B$22:$L$32,6,0),"")</f>
        <v>171</v>
      </c>
      <c r="C90" s="146">
        <f>IFERROR(VLOOKUP(A90,'ИПП 3кв24'!$B$22:$L$32,7,0),"")</f>
        <v>17848381</v>
      </c>
      <c r="D90" s="329">
        <f>SUMIFS(июнь244243[м2],июнь244243[МОП],$A90,июнь244243[№ дома],$C$85,июнь244243[Комнатность],"&lt;&gt;Офис")</f>
        <v>223.54000000000002</v>
      </c>
      <c r="E90" s="363">
        <f>SUMIFS(июнь244243[Сумма без отделки],июнь244243[МОП],$A90,июнь244243[№ дома],$C$85,июнь244243[Комнатность],"&lt;&gt;Офис")</f>
        <v>14649270</v>
      </c>
      <c r="F90" s="414">
        <f>COUNTIFS(июнь244243[МОП],$A90,июнь244243[№ дома],$C$85,июнь244243[Комнатность],"&lt;&gt;Офис")</f>
        <v>4</v>
      </c>
      <c r="G90" s="358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84.77000000000001</v>
      </c>
      <c r="H90" s="35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9167800</v>
      </c>
      <c r="I90" s="33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2</v>
      </c>
      <c r="J90" s="360">
        <f t="shared" si="4"/>
        <v>0.49573099415204686</v>
      </c>
      <c r="K90" s="361">
        <f t="shared" si="4"/>
        <v>0.51364882898902708</v>
      </c>
      <c r="L90" s="329">
        <f>COUNTIFS(РД[Тип кв],L$86,РД[МОП],$A90,РД[Дом],$C$85,РД[Дата подачи на регистрацию],"&lt;="&amp;$A$1,РД[Дата подачи на регистрацию],"&gt;="&amp;DATE(YEAR($A$1),MONTH($A$1),1))</f>
        <v>1</v>
      </c>
      <c r="M90" s="330">
        <f>COUNTIFS(РД[Тип кв],M$86,РД[МОП],$A90,РД[Дом],$C$85,РД[Дата подачи на регистрацию],"&lt;="&amp;$A$1,РД[Дата подачи на регистрацию],"&gt;="&amp;DATE(YEAR($A$1),MONTH($A$1),1))</f>
        <v>0</v>
      </c>
      <c r="N90" s="330">
        <f>COUNTIFS(РД[Тип кв],N$86,РД[МОП],$A90,РД[Дом],$C$85,РД[Дата подачи на регистрацию],"&lt;="&amp;$A$1,РД[Дата подачи на регистрацию],"&gt;="&amp;DATE(YEAR($A$1),MONTH($A$1),1))</f>
        <v>1</v>
      </c>
      <c r="O90" s="330">
        <f>COUNTIFS(РД[Тип кв],O$86,РД[МОП],$A90,РД[Дом],$C$85,РД[Дата подачи на регистрацию],"&lt;="&amp;$A$1,РД[Дата подачи на регистрацию],"&gt;="&amp;DATE(YEAR($A$1),MONTH($A$1),1))</f>
        <v>0</v>
      </c>
      <c r="P90" s="33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4" t="s">
        <v>29</v>
      </c>
      <c r="B91" s="274"/>
      <c r="C91" s="277"/>
      <c r="D91" s="341">
        <f>SUMIFS(июнь244243[м2],июнь244243[МОП],$A91,июнь244243[№ дома],$C$85,июнь244243[Комнатность],"&lt;&gt;Офис")</f>
        <v>0</v>
      </c>
      <c r="E91" s="277">
        <f>SUMIFS(июнь244243[Сумма без отделки],июнь244243[МОП],$A91,июнь244243[№ дома],$C$85,июнь244243[Комнатность],"&lt;&gt;Офис")</f>
        <v>0</v>
      </c>
      <c r="F91" s="405">
        <f>COUNTIFS(июнь244243[МОП],$A91,июнь244243[№ дома],$C$85,июнь244243[Комнатность],"&lt;&gt;Офис")</f>
        <v>0</v>
      </c>
      <c r="G91" s="159">
        <f>SUMIFS(РД[S],РД[Дом],$C$85,РД[МОП],A91,РД[Дата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0">
        <f>SUMIFS(РД[Стоимость без отделки итог],РД[Дом],$C$85,РД[МОП],A91,РД[Дата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8">
        <f>COUNTIFS(РД[Дом],$C$85,РД[МОП],A91,РД[Дата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9">
        <f t="shared" si="4"/>
        <v>0</v>
      </c>
      <c r="K91" s="230">
        <f t="shared" si="4"/>
        <v>0</v>
      </c>
      <c r="L91" s="159">
        <f>COUNTIFS(РД[Тип кв],L$86,РД[МОП],$A91,РД[Дом],$C$85,РД[Дата подачи на регистрацию],"&lt;="&amp;$A$1,РД[Дата подачи на регистрацию],"&gt;="&amp;DATE(YEAR($A$1),MONTH($A$1),1))</f>
        <v>0</v>
      </c>
      <c r="M91" s="228">
        <f>COUNTIFS(РД[Тип кв],M$86,РД[МОП],$A91,РД[Дом],$C$85,РД[Дата подачи на регистрацию],"&lt;="&amp;$A$1,РД[Дата подачи на регистрацию],"&gt;="&amp;DATE(YEAR($A$1),MONTH($A$1),1))</f>
        <v>0</v>
      </c>
      <c r="N91" s="228">
        <f>COUNTIFS(РД[Тип кв],N$86,РД[МОП],$A91,РД[Дом],$C$85,РД[Дата подачи на регистрацию],"&lt;="&amp;$A$1,РД[Дата подачи на регистрацию],"&gt;="&amp;DATE(YEAR($A$1),MONTH($A$1),1))</f>
        <v>0</v>
      </c>
      <c r="O91" s="228">
        <f>COUNTIFS(РД[Тип кв],O$86,РД[МОП],$A91,РД[Дом],$C$85,РД[Дата подачи на регистрацию],"&lt;="&amp;$A$1,РД[Дата подачи на регистрацию],"&gt;="&amp;DATE(YEAR($A$1),MONTH($A$1),1))</f>
        <v>0</v>
      </c>
      <c r="P91" s="231">
        <f>COUNTIFS(РД[Тип кв],P$86,РД[МОП],$A91,РД[Дом],$C$85,РД[Дата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1" t="s">
        <v>1919</v>
      </c>
      <c r="B92" s="278"/>
      <c r="C92" s="281"/>
      <c r="D92" s="406">
        <f>SUMIFS(июнь244243[м2],июнь244243[МОП],$A92,июнь244243[№ дома],$C$85,июнь244243[Комнатность],"&lt;&gt;Офис")</f>
        <v>82.9</v>
      </c>
      <c r="E92" s="281">
        <f>SUMIFS(июнь244243[Сумма без отделки],июнь244243[МОП],$A92,июнь244243[№ дома],$C$85,июнь244243[Комнатность],"&lt;&gt;Офис")</f>
        <v>9261900</v>
      </c>
      <c r="F92" s="407">
        <f>COUNTIFS(июнь244243[МОП],$A92,июнь244243[№ дома],$C$85,июнь244243[Комнатность],"&lt;&gt;Офис")</f>
        <v>2</v>
      </c>
      <c r="G92" s="166">
        <f>SUMIFS(РД[S],РД[Дом],$C$85,РД[МОП],A92,РД[Дата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H92" s="167">
        <f>SUMIFS(РД[Стоимость без отделки итог],РД[Дом],$C$85,РД[МОП],A92,РД[Дата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I92" s="232">
        <f>COUNTIFS(РД[Дом],$C$85,РД[МОП],A92,РД[Дата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J92" s="233">
        <f t="shared" si="4"/>
        <v>0</v>
      </c>
      <c r="K92" s="234">
        <f t="shared" si="4"/>
        <v>0</v>
      </c>
      <c r="L92" s="235">
        <f>COUNTIFS(РД[Тип кв],L$86,РД[МОП],$A92,РД[Дом],$C$85,РД[Дата подачи на регистрацию],"&lt;="&amp;$A$1,РД[Дата подачи на регистрацию],"&gt;="&amp;DATE(YEAR($A$1),MONTH($A$1),1))</f>
        <v>0</v>
      </c>
      <c r="M92" s="236">
        <f>COUNTIFS(РД[Тип кв],M$86,РД[МОП],$A92,РД[Дом],$C$85,РД[Дата подачи на регистрацию],"&lt;="&amp;$A$1,РД[Дата подачи на регистрацию],"&gt;="&amp;DATE(YEAR($A$1),MONTH($A$1),1))</f>
        <v>0</v>
      </c>
      <c r="N92" s="236">
        <f>COUNTIFS(РД[Тип кв],N$86,РД[МОП],$A92,РД[Дом],$C$85,РД[Дата подачи на регистрацию],"&lt;="&amp;$A$1,РД[Дата подачи на регистрацию],"&gt;="&amp;DATE(YEAR($A$1),MONTH($A$1),1))</f>
        <v>0</v>
      </c>
      <c r="O92" s="236">
        <f>COUNTIFS(РД[Тип кв],O$86,РД[МОП],$A92,РД[Дом],$C$85,РД[Дата подачи на регистрацию],"&lt;="&amp;$A$1,РД[Дата подачи на регистрацию],"&gt;="&amp;DATE(YEAR($A$1),MONTH($A$1),1))</f>
        <v>0</v>
      </c>
      <c r="P92" s="237">
        <f>COUNTIFS(РД[Тип кв],P$86,РД[МОП],$A92,РД[Дом],$C$85,РД[Дата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68" t="s">
        <v>114</v>
      </c>
      <c r="B93" s="172">
        <f t="shared" ref="B93:I93" si="5">SUM(B87:B92)</f>
        <v>889</v>
      </c>
      <c r="C93" s="173">
        <f t="shared" si="5"/>
        <v>92934676</v>
      </c>
      <c r="D93" s="173">
        <f t="shared" si="5"/>
        <v>803.88</v>
      </c>
      <c r="E93" s="173">
        <f t="shared" si="5"/>
        <v>75334918</v>
      </c>
      <c r="F93" s="171">
        <f t="shared" si="5"/>
        <v>16</v>
      </c>
      <c r="G93" s="172">
        <f t="shared" si="5"/>
        <v>640.6099999999999</v>
      </c>
      <c r="H93" s="173">
        <f t="shared" si="5"/>
        <v>66878048</v>
      </c>
      <c r="I93" s="170">
        <f t="shared" si="5"/>
        <v>13</v>
      </c>
      <c r="J93" s="238">
        <f>IFERROR(G93/B93,"")</f>
        <v>0.72059617547806509</v>
      </c>
      <c r="K93" s="239">
        <f>IFERROR(H93/C93,"")</f>
        <v>0.71962426597366091</v>
      </c>
      <c r="L93" s="240">
        <f>SUM(L87:L92)</f>
        <v>4</v>
      </c>
      <c r="M93" s="241">
        <f>SUM(M87:M92)</f>
        <v>4</v>
      </c>
      <c r="N93" s="241">
        <f>SUM(N87:N92)</f>
        <v>4</v>
      </c>
      <c r="O93" s="241">
        <f>SUM(O87:O92)</f>
        <v>2</v>
      </c>
      <c r="P93" s="242">
        <f>SUM(P87:P92)</f>
        <v>0</v>
      </c>
      <c r="T93" s="66"/>
    </row>
    <row r="94" spans="1:21" s="65" customFormat="1">
      <c r="A94" s="135" t="s">
        <v>115</v>
      </c>
      <c r="B94" s="135" t="s">
        <v>100</v>
      </c>
      <c r="C94" s="136" t="s">
        <v>97</v>
      </c>
      <c r="D94" s="137" t="s">
        <v>494</v>
      </c>
      <c r="E94" s="138" t="s">
        <v>495</v>
      </c>
      <c r="F94" s="139" t="s">
        <v>496</v>
      </c>
      <c r="G94" s="140" t="s">
        <v>101</v>
      </c>
      <c r="H94" s="141" t="s">
        <v>98</v>
      </c>
      <c r="I94" s="141" t="s">
        <v>96</v>
      </c>
      <c r="J94" s="141" t="s">
        <v>715</v>
      </c>
      <c r="K94" s="216" t="s">
        <v>716</v>
      </c>
      <c r="L94" s="217">
        <v>0</v>
      </c>
      <c r="M94" s="218">
        <v>1</v>
      </c>
      <c r="N94" s="218">
        <v>2</v>
      </c>
      <c r="O94" s="218">
        <v>3</v>
      </c>
      <c r="P94" s="219" t="s">
        <v>1367</v>
      </c>
      <c r="T94" s="66"/>
    </row>
    <row r="95" spans="1:21" s="65" customFormat="1">
      <c r="A95" s="177" t="s">
        <v>1892</v>
      </c>
      <c r="B95" s="291">
        <f>IFERROR(VLOOKUP(A95,'ИПП 3кв24'!$B$22:$L$32,6,0),"")</f>
        <v>277.07166666666666</v>
      </c>
      <c r="C95" s="292">
        <f>IFERROR(VLOOKUP(A95,'ИПП 3кв24'!$B$22:$L$32,7,0),"")</f>
        <v>28964640.686666664</v>
      </c>
      <c r="D95" s="346">
        <f>SUMIFS(июнь244243[м2],июнь244243[ИМ],A95,июнь244243[№ дома],$C$85,июнь244243[Комнатность],"&lt;&gt;Офис")</f>
        <v>371.48</v>
      </c>
      <c r="E95" s="184">
        <f>SUMIFS(июнь244243[Сумма без отделки],июнь244243[ИМ],$A95,июнь244243[№ дома],$C$85,июнь244243[Комнатность],"&lt;&gt;Офис")</f>
        <v>29419870</v>
      </c>
      <c r="F95" s="415">
        <f>COUNTIFS(июнь244243[ИМ],$A95,июнь244243[№ дома],$C$85,июнь244243[Комнатность],"&lt;&gt;Офис")</f>
        <v>6</v>
      </c>
      <c r="G95" s="183">
        <f>SUMIFS(РД[S],РД[Дом],$C$85,РД[ИМ],A95,РД[Дата подачи на регистрацию],"&lt;="&amp;$A$1,РД[Дата подачи на регистрацию],"&gt;="&amp;DATE(YEAR($A$1),MONTH($A$1),1),РД[Состояние],"Продажа")</f>
        <v>232.71</v>
      </c>
      <c r="H95" s="184">
        <f>SUMIFS(РД[Стоимость без отделки итог],РД[Дом],$C$85,РД[ИМ],A95,РД[Дата подачи на регистрацию],"&lt;="&amp;$A$1,РД[Дата подачи на регистрацию],"&gt;="&amp;DATE(YEAR($A$1),MONTH($A$1),1),РД[Состояние],"Продажа")</f>
        <v>23938400</v>
      </c>
      <c r="I95" s="243">
        <f>COUNTIFS(РД[Дом],$C$85,РД[ИМ],A95,РД[Дата подачи на регистрацию],"&lt;="&amp;$A$1,РД[Дата подачи на регистрацию],"&gt;="&amp;DATE(YEAR($A$1),MONTH($A$1),1),РД[Состояние],"Продажа")</f>
        <v>4</v>
      </c>
      <c r="J95" s="244">
        <f t="shared" ref="J95:K97" si="6">IFERROR(G95/B95,"")</f>
        <v>0.83989100292944674</v>
      </c>
      <c r="K95" s="258">
        <f t="shared" si="6"/>
        <v>0.82646977253957787</v>
      </c>
      <c r="L95" s="183">
        <f>COUNTIFS(РД[Тип кв],L86,РД[ИМ],$A95,РД[Дом],$C$85,РД[Дата подачи на регистрацию],"&lt;="&amp;$A$1,РД[Дата подачи на регистрацию],"&gt;="&amp;DATE(YEAR($A$1),MONTH($A$1),1))</f>
        <v>1</v>
      </c>
      <c r="M95" s="243">
        <f>COUNTIFS(РД[Тип кв],M86,РД[ИМ],$A95,РД[Дом],$C$85,РД[Дата подачи на регистрацию],"&lt;="&amp;$A$1,РД[Дата подачи на регистрацию],"&gt;="&amp;DATE(YEAR($A$1),MONTH($A$1),1))</f>
        <v>0</v>
      </c>
      <c r="N95" s="243">
        <f>COUNTIFS(РД[Тип кв],N86,РД[ИМ],$A95,РД[Дом],$C$85,РД[Дата подачи на регистрацию],"&lt;="&amp;$A$1,РД[Дата подачи на регистрацию],"&gt;="&amp;DATE(YEAR($A$1),MONTH($A$1),1))</f>
        <v>2</v>
      </c>
      <c r="O95" s="243">
        <f>COUNTIFS(РД[Тип кв],O86,РД[ИМ],$A95,РД[Дом],$C$85,РД[Дата подачи на регистрацию],"&lt;="&amp;$A$1,РД[Дата подачи на регистрацию],"&gt;="&amp;DATE(YEAR($A$1),MONTH($A$1),1))</f>
        <v>1</v>
      </c>
      <c r="P95" s="246">
        <f>COUNTIFS(РД[Тип кв],P86,РД[ИМ],$A95,РД[Дом],$C$85,РД[Дата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50" t="s">
        <v>22</v>
      </c>
      <c r="B96" s="267">
        <f>IFERROR(VLOOKUP(A96,'ИПП 3кв24'!$B$22:$L$32,6,0),"")</f>
        <v>478.57833333333332</v>
      </c>
      <c r="C96" s="146">
        <f>IFERROR(VLOOKUP(A96,'ИПП 3кв24'!$B$22:$L$32,7,0),"")</f>
        <v>50029833.913333327</v>
      </c>
      <c r="D96" s="328">
        <f>SUMIFS(июнь244243[м2],июнь244243[ИМ],A96,июнь244243[№ дома],$C$85,июнь244243[Комнатность],"&lt;&gt;Офис")</f>
        <v>407.89999999999992</v>
      </c>
      <c r="E96" s="188">
        <f>SUMIFS(июнь244243[Сумма без отделки],июнь244243[ИМ],$A96,июнь244243[№ дома],$C$85,июнь244243[Комнатность],"&lt;&gt;Офис")</f>
        <v>42924648</v>
      </c>
      <c r="F96" s="404">
        <f>COUNTIFS(июнь244243[ИМ],$A96,июнь244243[№ дома],$C$85,июнь244243[Комнатность],"&lt;&gt;Офис")</f>
        <v>9</v>
      </c>
      <c r="G96" s="187">
        <f>SUMIFS(РД[S],РД[Дом],$C$85,РД[ИМ],A96,РД[Дата подачи на регистрацию],"&lt;="&amp;$A$1,РД[Дата подачи на регистрацию],"&gt;="&amp;DATE(YEAR($A$1),MONTH($A$1),1),РД[Состояние],"Продажа")</f>
        <v>407.9</v>
      </c>
      <c r="H96" s="188">
        <f>SUMIFS(РД[Стоимость без отделки итог],РД[Дом],$C$85,РД[ИМ],A96,РД[Дата подачи на регистрацию],"&lt;="&amp;$A$1,РД[Дата подачи на регистрацию],"&gt;="&amp;DATE(YEAR($A$1),MONTH($A$1),1),РД[Состояние],"Продажа")</f>
        <v>42939648</v>
      </c>
      <c r="I96" s="247">
        <f>COUNTIFS(РД[Дом],$C$85,РД[ИМ],A96,РД[Дата подачи на регистрацию],"&lt;="&amp;$A$1,РД[Дата подачи на регистрацию],"&gt;="&amp;DATE(YEAR($A$1),MONTH($A$1),1),РД[Состояние],"Продажа")</f>
        <v>9</v>
      </c>
      <c r="J96" s="248">
        <f t="shared" si="6"/>
        <v>0.85231606111155611</v>
      </c>
      <c r="K96" s="259">
        <f t="shared" si="6"/>
        <v>0.85828084247459913</v>
      </c>
      <c r="L96" s="187">
        <f>COUNTIFS(РД[Тип кв],L$86,РД[ИМ],$A96,РД[Дом],$C$85,РД[Дата подачи на регистрацию],"&lt;="&amp;$A$1,РД[Дата подачи на регистрацию],"&gt;="&amp;DATE(YEAR($A$1),MONTH($A$1),1))</f>
        <v>2</v>
      </c>
      <c r="M96" s="247">
        <f>COUNTIFS(РД[Тип кв],M$86,РД[ИМ],$A96,РД[Дом],$C$85,РД[Дата подачи на регистрацию],"&lt;="&amp;$A$1,РД[Дата подачи на регистрацию],"&gt;="&amp;DATE(YEAR($A$1),MONTH($A$1),1))</f>
        <v>4</v>
      </c>
      <c r="N96" s="247">
        <f>COUNTIFS(РД[Тип кв],N$86,РД[ИМ],$A96,РД[Дом],$C$85,РД[Дата подачи на регистрацию],"&lt;="&amp;$A$1,РД[Дата подачи на регистрацию],"&gt;="&amp;DATE(YEAR($A$1),MONTH($A$1),1))</f>
        <v>2</v>
      </c>
      <c r="O96" s="247">
        <f>COUNTIFS(РД[Тип кв],O$86,РД[ИМ],$A96,РД[Дом],$C$85,РД[Дата подачи на регистрацию],"&lt;="&amp;$A$1,РД[Дата подачи на регистрацию],"&gt;="&amp;DATE(YEAR($A$1),MONTH($A$1),1))</f>
        <v>1</v>
      </c>
      <c r="P96" s="250">
        <f>COUNTIFS(РД[Тип кв],P$86,РД[ИМ],$A96,РД[Дом],$C$85,РД[Дата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189" t="s">
        <v>16</v>
      </c>
      <c r="B97" s="293">
        <f>IFERROR(VLOOKUP(A97,'ИПП 3кв24'!$B$22:$L$32,6,0),"")</f>
        <v>0</v>
      </c>
      <c r="C97" s="294">
        <f>IFERROR(VLOOKUP(A97,'ИПП 3кв24'!$B$22:$L$32,7,0),"")</f>
        <v>0</v>
      </c>
      <c r="D97" s="426">
        <f>SUMIFS(июнь244243[м2],июнь244243[ИМ],A97,июнь244243[№ дома],$C$85,июнь244243[Комнатность],"&lt;&gt;Офис")</f>
        <v>0</v>
      </c>
      <c r="E97" s="196">
        <f>SUMIFS(июнь244243[Сумма без отделки],июнь244243[ИМ],$A97,июнь244243[№ дома],$C$85,июнь244243[Комнатность],"&lt;&gt;Офис")</f>
        <v>0</v>
      </c>
      <c r="F97" s="427">
        <f>COUNTIFS(июнь244243[ИМ],$A97,июнь244243[№ дома],$C$85,июнь244243[Комнатность],"&lt;&gt;Офис")</f>
        <v>0</v>
      </c>
      <c r="G97" s="195">
        <f>SUMIFS(РД[S],РД[Дом],$C$85,РД[ИМ],A97,РД[Дата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H97" s="196">
        <f>SUMIFS(РД[Стоимость без отделки итог],РД[Дом],$C$85,РД[ИМ],A97,РД[Дата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I97" s="251">
        <f>COUNTIFS(РД[Дом],$C$85,РД[ИМ],A97,РД[Дата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J97" s="252" t="str">
        <f t="shared" si="6"/>
        <v/>
      </c>
      <c r="K97" s="260" t="str">
        <f t="shared" si="6"/>
        <v/>
      </c>
      <c r="L97" s="195">
        <f>COUNTIFS(РД[Тип кв],L$86,РД[ИМ],$A97,РД[Дом],$C$85,РД[Дата подачи на регистрацию],"&lt;="&amp;$A$1,РД[Дата подачи на регистрацию],"&gt;="&amp;DATE(YEAR($A$1),MONTH($A$1),1))</f>
        <v>0</v>
      </c>
      <c r="M97" s="251">
        <f>COUNTIFS(РД[Тип кв],M$86,РД[ИМ],$A97,РД[Дом],$C$85,РД[Дата подачи на регистрацию],"&lt;="&amp;$A$1,РД[Дата подачи на регистрацию],"&gt;="&amp;DATE(YEAR($A$1),MONTH($A$1),1))</f>
        <v>0</v>
      </c>
      <c r="N97" s="251">
        <f>COUNTIFS(РД[Тип кв],N$86,РД[ИМ],$A97,РД[Дом],$C$85,РД[Дата подачи на регистрацию],"&lt;="&amp;$A$1,РД[Дата подачи на регистрацию],"&gt;="&amp;DATE(YEAR($A$1),MONTH($A$1),1))</f>
        <v>0</v>
      </c>
      <c r="O97" s="251">
        <f>COUNTIFS(РД[Тип кв],O$86,РД[ИМ],$A97,РД[Дом],$C$85,РД[Дата подачи на регистрацию],"&lt;="&amp;$A$1,РД[Дата подачи на регистрацию],"&gt;="&amp;DATE(YEAR($A$1),MONTH($A$1),1))</f>
        <v>0</v>
      </c>
      <c r="P97" s="254">
        <f>COUNTIFS(РД[Тип кв],P$86,РД[ИМ],$A97,РД[Дом],$C$85,РД[Дата подачи на регистрацию],"&lt;="&amp;$A$1,РД[Дата подачи на регистрацию],"&gt;="&amp;DATE(YEAR($A$1),MONTH($A$1),1))</f>
        <v>0</v>
      </c>
      <c r="Q97" s="86"/>
      <c r="R97" s="86"/>
      <c r="S97" s="86"/>
      <c r="T97" s="66"/>
    </row>
    <row r="98" spans="1:21" s="65" customFormat="1">
      <c r="A98" s="168" t="s">
        <v>114</v>
      </c>
      <c r="B98" s="172">
        <f t="shared" ref="B98:I98" si="7">SUM(B95:B97)</f>
        <v>755.65</v>
      </c>
      <c r="C98" s="173">
        <f t="shared" si="7"/>
        <v>78994474.599999994</v>
      </c>
      <c r="D98" s="173">
        <f t="shared" si="7"/>
        <v>779.37999999999988</v>
      </c>
      <c r="E98" s="173">
        <f t="shared" si="7"/>
        <v>72344518</v>
      </c>
      <c r="F98" s="171">
        <f t="shared" si="7"/>
        <v>15</v>
      </c>
      <c r="G98" s="172">
        <f t="shared" si="7"/>
        <v>640.61</v>
      </c>
      <c r="H98" s="173">
        <f t="shared" si="7"/>
        <v>66878048</v>
      </c>
      <c r="I98" s="170">
        <f t="shared" si="7"/>
        <v>13</v>
      </c>
      <c r="J98" s="238">
        <f>IFERROR(G98/B98,)</f>
        <v>0.84776020644478267</v>
      </c>
      <c r="K98" s="239">
        <f>IFERROR(H98/C98,)</f>
        <v>0.84661678349842462</v>
      </c>
      <c r="L98" s="240">
        <f t="shared" ref="L98:P98" si="8">SUM(L95:L97)</f>
        <v>3</v>
      </c>
      <c r="M98" s="241">
        <f t="shared" si="8"/>
        <v>4</v>
      </c>
      <c r="N98" s="241">
        <f t="shared" si="8"/>
        <v>4</v>
      </c>
      <c r="O98" s="241">
        <f t="shared" si="8"/>
        <v>2</v>
      </c>
      <c r="P98" s="242">
        <f t="shared" si="8"/>
        <v>0</v>
      </c>
      <c r="Q98" s="86"/>
      <c r="R98" s="86"/>
      <c r="S98" s="86"/>
      <c r="T98" s="66"/>
    </row>
    <row r="99" spans="1:21" s="65" customFormat="1">
      <c r="A99" s="134"/>
      <c r="B99" s="211"/>
      <c r="C99" s="211"/>
      <c r="D99" s="212"/>
      <c r="E99" s="134"/>
      <c r="F99" s="134"/>
      <c r="G99" s="134"/>
      <c r="H99" s="134"/>
      <c r="I99" s="134"/>
      <c r="J99" s="134"/>
      <c r="K99" s="134"/>
      <c r="L99" s="261"/>
      <c r="M99" s="134"/>
      <c r="N99" s="134"/>
      <c r="O99" s="134"/>
      <c r="P99" s="262"/>
      <c r="Q99" s="134"/>
      <c r="U99" s="66"/>
    </row>
    <row r="100" spans="1:21" s="65" customFormat="1">
      <c r="A100" s="2325" t="s">
        <v>713</v>
      </c>
      <c r="B100" s="2326"/>
      <c r="C100" s="133" t="s">
        <v>19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263"/>
      <c r="T100" s="66"/>
    </row>
    <row r="101" spans="1:21" s="65" customFormat="1">
      <c r="A101" s="135" t="s">
        <v>1</v>
      </c>
      <c r="B101" s="135" t="s">
        <v>100</v>
      </c>
      <c r="C101" s="136" t="s">
        <v>97</v>
      </c>
      <c r="D101" s="137" t="s">
        <v>494</v>
      </c>
      <c r="E101" s="138" t="s">
        <v>495</v>
      </c>
      <c r="F101" s="139" t="s">
        <v>496</v>
      </c>
      <c r="G101" s="140" t="s">
        <v>101</v>
      </c>
      <c r="H101" s="141" t="s">
        <v>98</v>
      </c>
      <c r="I101" s="141" t="s">
        <v>96</v>
      </c>
      <c r="J101" s="141" t="s">
        <v>715</v>
      </c>
      <c r="K101" s="216" t="s">
        <v>716</v>
      </c>
      <c r="L101" s="217">
        <v>0</v>
      </c>
      <c r="M101" s="218">
        <v>1</v>
      </c>
      <c r="N101" s="218">
        <v>2</v>
      </c>
      <c r="O101" s="218">
        <v>3</v>
      </c>
      <c r="P101" s="219" t="s">
        <v>1367</v>
      </c>
      <c r="Q101" s="134"/>
      <c r="U101" s="66"/>
    </row>
    <row r="102" spans="1:21" s="65" customFormat="1">
      <c r="A102" s="398" t="s">
        <v>8</v>
      </c>
      <c r="B102" s="267">
        <f>IFERROR(VLOOKUP(A102,'ИПП 3кв24'!$B$22:$L$32,8,0),"")</f>
        <v>152</v>
      </c>
      <c r="C102" s="146">
        <f>IFERROR(VLOOKUP(A102,'ИПП 3кв24'!$B$22:$L$32,9,0),"")</f>
        <v>18193233</v>
      </c>
      <c r="D102" s="257">
        <f>SUMIFS(июнь244243[м2],июнь244243[МОП],$A102,июнь244243[№ дома],$C$100,июнь244243[Комнатность],"&lt;&gt;Офис")</f>
        <v>0</v>
      </c>
      <c r="E102" s="52">
        <f>SUMIFS(июнь244243[Сумма без отделки],июнь244243[МОП],$A102,июнь244243[№ дома],$C$100,июнь244243[Комнатность],"&lt;&gt;Офис")</f>
        <v>0</v>
      </c>
      <c r="F102" s="413">
        <f>COUNTIFS(июнь244243[МОП],$A102,июнь244243[№ дома],$C$100,июнь244243[Комнатность],"&lt;&gt;Офис")</f>
        <v>0</v>
      </c>
      <c r="G102" s="202">
        <f>SUMIFS(РД[S],РД[Дом],$C$100,РД[МОП],A102,РД[Дата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03">
        <f>SUMIFS(РД[Стоимость без отделки итог],РД[Дом],$C$100,РД[МОП],A102,РД[Дата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">
        <f t="shared" ref="J102:K107" si="9">IFERROR(G102/B102,)</f>
        <v>0</v>
      </c>
      <c r="K102" s="225">
        <f t="shared" si="9"/>
        <v>0</v>
      </c>
      <c r="L102" s="257">
        <f>COUNTIFS(РД[Тип кв],L$86,РД[МОП],$A102,РД[Дом],$C$100,РД[Дата подачи на регистрацию],"&lt;="&amp;$A$1,РД[Дата подачи на регистрацию],"&gt;="&amp;DATE(YEAR($A$1),MONTH($A$1),1))</f>
        <v>0</v>
      </c>
      <c r="M102" s="226">
        <f>COUNTIFS(РД[Тип кв],M$86,РД[МОП],$A102,РД[Дом],$C$100,РД[Дата подачи на регистрацию],"&lt;="&amp;$A$1,РД[Дата подачи на регистрацию],"&gt;="&amp;DATE(YEAR($A$1),MONTH($A$1),1))</f>
        <v>0</v>
      </c>
      <c r="N102" s="226">
        <f>COUNTIFS(РД[Тип кв],N$86,РД[МОП],$A102,РД[Дом],$C$100,РД[Дата подачи на регистрацию],"&lt;="&amp;$A$1,РД[Дата подачи на регистрацию],"&gt;="&amp;DATE(YEAR($A$1),MONTH($A$1),1))</f>
        <v>0</v>
      </c>
      <c r="O102" s="226">
        <f>COUNTIFS(РД[Тип кв],O$86,РД[МОП],$A102,РД[Дом],$C$100,РД[Дата подачи на регистрацию],"&lt;="&amp;$A$1,РД[Дата подачи на регистрацию],"&gt;="&amp;DATE(YEAR($A$1),MONTH($A$1),1))</f>
        <v>0</v>
      </c>
      <c r="P102" s="227">
        <f>COUNTIFS(РД[Тип кв],P$86,РД[МОП],$A102,РД[Дом],$C$100,РД[Дата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0" t="s">
        <v>46</v>
      </c>
      <c r="B103" s="267">
        <f>IFERROR(VLOOKUP(A103,'ИПП 3кв24'!$B$22:$L$32,8,0),"")</f>
        <v>45</v>
      </c>
      <c r="C103" s="146">
        <f>IFERROR(VLOOKUP(A103,'ИПП 3кв24'!$B$22:$L$32,9,0),"")</f>
        <v>5414653</v>
      </c>
      <c r="D103" s="257">
        <f>SUMIFS(июнь244243[м2],июнь244243[МОП],$A103,июнь244243[№ дома],$C$100,июнь244243[Комнатность],"&lt;&gt;Офис")</f>
        <v>0</v>
      </c>
      <c r="E103" s="52">
        <f>SUMIFS(июнь244243[Сумма без отделки],июнь244243[МОП],$A103,июнь244243[№ дома],$C$100,июнь244243[Комнатность],"&lt;&gt;Офис")</f>
        <v>0</v>
      </c>
      <c r="F103" s="413">
        <f>COUNTIFS(июнь244243[МОП],$A103,июнь244243[№ дома],$C$100,июнь244243[Комнатность],"&lt;&gt;Офис")</f>
        <v>0</v>
      </c>
      <c r="G103" s="202">
        <f>SUMIFS(РД[S],РД[Дом],$C$100,РД[МОП],A103,РД[Дата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H103" s="203">
        <f>SUMIFS(РД[Стоимость без отделки итог],РД[Дом],$C$100,РД[МОП],A103,РД[Дата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I103" s="226">
        <f>COUNTIFS(РД[Дом],$C$100,РД[МОП],A103,РД[Дата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J103" s="224">
        <f t="shared" si="9"/>
        <v>0</v>
      </c>
      <c r="K103" s="225">
        <f t="shared" si="9"/>
        <v>0</v>
      </c>
      <c r="L103" s="257">
        <f>COUNTIFS(РД[Тип кв],L$86,РД[МОП],$A103,РД[Дом],$C$100,РД[Дата подачи на регистрацию],"&lt;="&amp;$A$1,РД[Дата подачи на регистрацию],"&gt;="&amp;DATE(YEAR($A$1),MONTH($A$1),1))</f>
        <v>0</v>
      </c>
      <c r="M103" s="226">
        <f>COUNTIFS(РД[Тип кв],M$86,РД[МОП],$A103,РД[Дом],$C$100,РД[Дата подачи на регистрацию],"&lt;="&amp;$A$1,РД[Дата подачи на регистрацию],"&gt;="&amp;DATE(YEAR($A$1),MONTH($A$1),1))</f>
        <v>0</v>
      </c>
      <c r="N103" s="226">
        <f>COUNTIFS(РД[Тип кв],N$86,РД[МОП],$A103,РД[Дом],$C$100,РД[Дата подачи на регистрацию],"&lt;="&amp;$A$1,РД[Дата подачи на регистрацию],"&gt;="&amp;DATE(YEAR($A$1),MONTH($A$1),1))</f>
        <v>0</v>
      </c>
      <c r="O103" s="226">
        <f>COUNTIFS(РД[Тип кв],O$86,РД[МОП],$A103,РД[Дом],$C$100,РД[Дата подачи на регистрацию],"&lt;="&amp;$A$1,РД[Дата подачи на регистрацию],"&gt;="&amp;DATE(YEAR($A$1),MONTH($A$1),1))</f>
        <v>0</v>
      </c>
      <c r="P103" s="227">
        <f>COUNTIFS(РД[Тип кв],P$86,РД[МОП],$A103,РД[Дом],$C$100,РД[Дата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3" t="s">
        <v>20</v>
      </c>
      <c r="B104" s="267">
        <f>IFERROR(VLOOKUP(A104,'ИПП 3кв24'!$B$22:$L$32,8,0),"")</f>
        <v>134</v>
      </c>
      <c r="C104" s="146">
        <f>IFERROR(VLOOKUP(A104,'ИПП 3кв24'!$B$22:$L$32,9,0),"")</f>
        <v>16027372</v>
      </c>
      <c r="D104" s="257">
        <f>SUMIFS(июнь244243[м2],июнь244243[МОП],$A104,июнь244243[№ дома],$C$100,июнь244243[Комнатность],"&lt;&gt;Офис")</f>
        <v>0</v>
      </c>
      <c r="E104" s="52">
        <f>SUMIFS(июнь244243[Сумма без отделки],июнь244243[МОП],$A104,июнь244243[№ дома],$C$100,июнь244243[Комнатность],"&lt;&gt;Офис")</f>
        <v>0</v>
      </c>
      <c r="F104" s="413">
        <f>COUNTIFS(июнь244243[МОП],$A104,июнь244243[№ дома],$C$100,июнь244243[Комнатность],"&lt;&gt;Офис")</f>
        <v>0</v>
      </c>
      <c r="G104" s="202">
        <f>SUMIFS(РД[S],РД[Дом],$C$100,РД[МОП],A104,РД[Дата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si="9"/>
        <v>0</v>
      </c>
      <c r="K104" s="225">
        <f t="shared" si="9"/>
        <v>0</v>
      </c>
      <c r="L104" s="257">
        <f>COUNTIFS(РД[Тип кв],L$86,РД[МОП],$A104,РД[Дом],$C$100,РД[Дата подачи на регистрацию],"&lt;="&amp;$A$1,РД[Дата подачи на регистрацию],"&gt;="&amp;DATE(YEAR($A$1),MONTH($A$1),1))</f>
        <v>0</v>
      </c>
      <c r="M104" s="226">
        <f>COUNTIFS(РД[Тип кв],M$86,РД[МОП],$A104,РД[Дом],$C$100,РД[Дата подачи на регистрацию],"&lt;="&amp;$A$1,РД[Дата подачи на регистрацию],"&gt;="&amp;DATE(YEAR($A$1),MONTH($A$1),1))</f>
        <v>0</v>
      </c>
      <c r="N104" s="226">
        <f>COUNTIFS(РД[Тип кв],N$86,РД[МОП],$A104,РД[Дом],$C$100,РД[Дата подачи на регистрацию],"&lt;="&amp;$A$1,РД[Дата подачи на регистрацию],"&gt;="&amp;DATE(YEAR($A$1),MONTH($A$1),1))</f>
        <v>0</v>
      </c>
      <c r="O104" s="226">
        <f>COUNTIFS(РД[Тип кв],O$86,РД[МОП],$A104,РД[Дом],$C$100,РД[Дата подачи на регистрацию],"&lt;="&amp;$A$1,РД[Дата подачи на регистрацию],"&gt;="&amp;DATE(YEAR($A$1),MONTH($A$1),1))</f>
        <v>0</v>
      </c>
      <c r="P104" s="227">
        <f>COUNTIFS(РД[Тип кв],P$86,РД[МОП],$A104,РД[Дом],$C$100,РД[Дата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53" t="s">
        <v>14</v>
      </c>
      <c r="B105" s="267">
        <f>IFERROR(VLOOKUP(A105,'ИПП 3кв24'!$B$22:$L$32,8,0),"")</f>
        <v>79</v>
      </c>
      <c r="C105" s="146">
        <f>IFERROR(VLOOKUP(A105,'ИПП 3кв24'!$B$22:$L$32,9,0),"")</f>
        <v>9421496</v>
      </c>
      <c r="D105" s="329">
        <f>SUMIFS(июнь244243[м2],июнь244243[МОП],$A105,июнь244243[№ дома],$C$100,июнь244243[Комнатность],"&lt;&gt;Офис")</f>
        <v>54.07</v>
      </c>
      <c r="E105" s="363">
        <f>SUMIFS(июнь244243[Сумма без отделки],июнь244243[МОП],$A105,июнь244243[№ дома],$C$100,июнь244243[Комнатность],"&lt;&gt;Офис")</f>
        <v>6469010</v>
      </c>
      <c r="F105" s="414">
        <f>COUNTIFS(июнь244243[МОП],$A105,июнь244243[№ дома],$C$100,июнь244243[Комнатность],"&lt;&gt;Офис")</f>
        <v>1</v>
      </c>
      <c r="G105" s="358">
        <f>SUMIFS(РД[S],РД[Дом],$C$100,РД[МОП],A105,РД[Дата подачи на регистрацию],"&lt;="&amp;$A$1,РД[Дата подачи на регистрацию],"&gt;="&amp;DATE(YEAR($A$1),MONTH($A$1),1),РД[Состояние],"Продажа")</f>
        <v>54.07</v>
      </c>
      <c r="H105" s="359">
        <f>SUMIFS(РД[Стоимость без отделки итог],РД[Дом],$C$100,РД[МОП],A105,РД[Дата подачи на регистрацию],"&lt;="&amp;$A$1,РД[Дата подачи на регистрацию],"&gt;="&amp;DATE(YEAR($A$1),MONTH($A$1),1),РД[Состояние],"Продажа")</f>
        <v>6306800</v>
      </c>
      <c r="I105" s="330">
        <f>COUNTIFS(РД[Дом],$C$100,РД[МОП],A105,РД[Дата подачи на регистрацию],"&lt;="&amp;$A$1,РД[Дата подачи на регистрацию],"&gt;="&amp;DATE(YEAR($A$1),MONTH($A$1),1),РД[Состояние],"Продажа")</f>
        <v>1</v>
      </c>
      <c r="J105" s="360">
        <f t="shared" si="9"/>
        <v>0.6844303797468354</v>
      </c>
      <c r="K105" s="361">
        <f t="shared" si="9"/>
        <v>0.6694053683194261</v>
      </c>
      <c r="L105" s="329">
        <f>COUNTIFS(РД[Тип кв],L$86,РД[МОП],$A105,РД[Дом],$C$100,РД[Дата подачи на регистрацию],"&lt;="&amp;$A$1,РД[Дата подачи на регистрацию],"&gt;="&amp;DATE(YEAR($A$1),MONTH($A$1),1))</f>
        <v>0</v>
      </c>
      <c r="M105" s="330">
        <f>COUNTIFS(РД[Тип кв],M$86,РД[МОП],$A105,РД[Дом],$C$100,РД[Дата подачи на регистрацию],"&lt;="&amp;$A$1,РД[Дата подачи на регистрацию],"&gt;="&amp;DATE(YEAR($A$1),MONTH($A$1),1))</f>
        <v>0</v>
      </c>
      <c r="N105" s="330">
        <f>COUNTIFS(РД[Тип кв],N$86,РД[МОП],$A105,РД[Дом],$C$100,РД[Дата подачи на регистрацию],"&lt;="&amp;$A$1,РД[Дата подачи на регистрацию],"&gt;="&amp;DATE(YEAR($A$1),MONTH($A$1),1))</f>
        <v>1</v>
      </c>
      <c r="O105" s="330">
        <f>COUNTIFS(РД[Тип кв],O$86,РД[МОП],$A105,РД[Дом],$C$100,РД[Дата подачи на регистрацию],"&lt;="&amp;$A$1,РД[Дата подачи на регистрацию],"&gt;="&amp;DATE(YEAR($A$1),MONTH($A$1),1))</f>
        <v>0</v>
      </c>
      <c r="P105" s="331">
        <f>COUNTIFS(РД[Тип кв],P$86,РД[МОП],$A105,РД[Дом],$C$100,РД[Дата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4" t="s">
        <v>29</v>
      </c>
      <c r="B106" s="274"/>
      <c r="C106" s="277"/>
      <c r="D106" s="341">
        <f>SUMIFS(июнь244243[м2],июнь244243[МОП],$A106,июнь244243[№ дома],$C$100,июнь244243[Комнатность],"&lt;&gt;Офис")</f>
        <v>0</v>
      </c>
      <c r="E106" s="277">
        <f>SUMIFS(июнь244243[Сумма без отделки],июнь244243[МОП],$A106,июнь244243[№ дома],$C$100,июнь244243[Комнатность],"&lt;&gt;Офис")</f>
        <v>0</v>
      </c>
      <c r="F106" s="405">
        <f>COUNTIFS(июнь244243[МОП],$A106,июнь244243[№ дома],$C$100,июнь244243[Комнатность],"&lt;&gt;Офис")</f>
        <v>0</v>
      </c>
      <c r="G106" s="159">
        <f>SUMIFS(РД[S],РД[Дом],$C$100,РД[МОП],A106,РД[Дата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160">
        <f>SUMIFS(РД[Стоимость без отделки итог],РД[Дом],$C$100,РД[МОП],A106,РД[Дата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8">
        <f>COUNTIFS(РД[Дом],$C$100,РД[МОП],A106,РД[Дата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9">
        <f t="shared" si="9"/>
        <v>0</v>
      </c>
      <c r="K106" s="230">
        <f t="shared" si="9"/>
        <v>0</v>
      </c>
      <c r="L106" s="159">
        <f>COUNTIFS(РД[Тип кв],L$86,РД[МОП],$A106,РД[Дом],$C$100,РД[Дата подачи на регистрацию],"&lt;="&amp;$A$1,РД[Дата подачи на регистрацию],"&gt;="&amp;DATE(YEAR($A$1),MONTH($A$1),1))</f>
        <v>0</v>
      </c>
      <c r="M106" s="228">
        <f>COUNTIFS(РД[Тип кв],M$86,РД[МОП],$A106,РД[Дом],$C$100,РД[Дата подачи на регистрацию],"&lt;="&amp;$A$1,РД[Дата подачи на регистрацию],"&gt;="&amp;DATE(YEAR($A$1),MONTH($A$1),1))</f>
        <v>0</v>
      </c>
      <c r="N106" s="228">
        <f>COUNTIFS(РД[Тип кв],N$86,РД[МОП],$A106,РД[Дом],$C$100,РД[Дата подачи на регистрацию],"&lt;="&amp;$A$1,РД[Дата подачи на регистрацию],"&gt;="&amp;DATE(YEAR($A$1),MONTH($A$1),1))</f>
        <v>0</v>
      </c>
      <c r="O106" s="228">
        <f>COUNTIFS(РД[Тип кв],O$86,РД[МОП],$A106,РД[Дом],$C$100,РД[Дата подачи на регистрацию],"&lt;="&amp;$A$1,РД[Дата подачи на регистрацию],"&gt;="&amp;DATE(YEAR($A$1),MONTH($A$1),1))</f>
        <v>0</v>
      </c>
      <c r="P106" s="231">
        <f>COUNTIFS(РД[Тип кв],P$86,РД[МОП],$A106,РД[Дом],$C$100,РД[Дата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61" t="s">
        <v>1919</v>
      </c>
      <c r="B107" s="278"/>
      <c r="C107" s="281"/>
      <c r="D107" s="406">
        <f>SUMIFS(июнь244243[м2],июнь244243[МОП],$A107,июнь244243[№ дома],$C$100,июнь244243[Комнатность],"&lt;&gt;Офис")</f>
        <v>0</v>
      </c>
      <c r="E107" s="281">
        <f>SUMIFS(июнь244243[Сумма без отделки],июнь244243[МОП],$A107,июнь244243[№ дома],$C$100,июнь244243[Комнатность],"&lt;&gt;Офис")</f>
        <v>0</v>
      </c>
      <c r="F107" s="407">
        <f>COUNTIFS(июнь244243[МОП],$A107,июнь244243[№ дома],$C$100,июнь244243[Комнатность],"&lt;&gt;Офис")</f>
        <v>0</v>
      </c>
      <c r="G107" s="166">
        <f>SUMIFS(РД[S],РД[Дом],$C$100,РД[МОП],A107,РД[Дата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167">
        <f>SUMIFS(РД[Стоимость без отделки итог],РД[Дом],$C$100,РД[МОП],A107,РД[Дата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32">
        <f>COUNTIFS(РД[Дом],$C$100,РД[МОП],A107,РД[Дата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33">
        <f t="shared" si="9"/>
        <v>0</v>
      </c>
      <c r="K107" s="234">
        <f t="shared" si="9"/>
        <v>0</v>
      </c>
      <c r="L107" s="235">
        <f>COUNTIFS(РД[Тип кв],L$86,РД[МОП],$A107,РД[Дом],$C$100,РД[Дата подачи на регистрацию],"&lt;="&amp;$A$1,РД[Дата подачи на регистрацию],"&gt;="&amp;DATE(YEAR($A$1),MONTH($A$1),1))</f>
        <v>0</v>
      </c>
      <c r="M107" s="236">
        <f>COUNTIFS(РД[Тип кв],M$86,РД[МОП],$A107,РД[Дом],$C$100,РД[Дата подачи на регистрацию],"&lt;="&amp;$A$1,РД[Дата подачи на регистрацию],"&gt;="&amp;DATE(YEAR($A$1),MONTH($A$1),1))</f>
        <v>0</v>
      </c>
      <c r="N107" s="236">
        <f>COUNTIFS(РД[Тип кв],N$86,РД[МОП],$A107,РД[Дом],$C$100,РД[Дата подачи на регистрацию],"&lt;="&amp;$A$1,РД[Дата подачи на регистрацию],"&gt;="&amp;DATE(YEAR($A$1),MONTH($A$1),1))</f>
        <v>0</v>
      </c>
      <c r="O107" s="236">
        <f>COUNTIFS(РД[Тип кв],O$86,РД[МОП],$A107,РД[Дом],$C$100,РД[Дата подачи на регистрацию],"&lt;="&amp;$A$1,РД[Дата подачи на регистрацию],"&gt;="&amp;DATE(YEAR($A$1),MONTH($A$1),1))</f>
        <v>0</v>
      </c>
      <c r="P107" s="237">
        <f>COUNTIFS(РД[Тип кв],P$86,РД[МОП],$A107,РД[Дом],$C$100,РД[Дата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68" t="s">
        <v>114</v>
      </c>
      <c r="B108" s="172">
        <f t="shared" ref="B108:I108" si="10">SUM(B102:B107)</f>
        <v>410</v>
      </c>
      <c r="C108" s="173">
        <f t="shared" si="10"/>
        <v>49056754</v>
      </c>
      <c r="D108" s="173">
        <f t="shared" si="10"/>
        <v>54.07</v>
      </c>
      <c r="E108" s="173">
        <f t="shared" si="10"/>
        <v>6469010</v>
      </c>
      <c r="F108" s="171">
        <f t="shared" si="10"/>
        <v>1</v>
      </c>
      <c r="G108" s="172">
        <f t="shared" si="10"/>
        <v>54.07</v>
      </c>
      <c r="H108" s="173">
        <f t="shared" si="10"/>
        <v>6306800</v>
      </c>
      <c r="I108" s="170">
        <f t="shared" si="10"/>
        <v>1</v>
      </c>
      <c r="J108" s="238">
        <f>IFERROR(G108/B108,"")</f>
        <v>0.13187804878048781</v>
      </c>
      <c r="K108" s="239">
        <f>IFERROR(H108/C108,"")</f>
        <v>0.12856129861343862</v>
      </c>
      <c r="L108" s="240">
        <f>SUM(L102:L107)</f>
        <v>0</v>
      </c>
      <c r="M108" s="241">
        <f>SUM(M102:M107)</f>
        <v>0</v>
      </c>
      <c r="N108" s="241">
        <f>SUM(N102:N107)</f>
        <v>1</v>
      </c>
      <c r="O108" s="241">
        <f>SUM(O102:O107)</f>
        <v>0</v>
      </c>
      <c r="P108" s="242">
        <f>SUM(P102:P107)</f>
        <v>0</v>
      </c>
      <c r="Q108" s="134"/>
      <c r="U108" s="66"/>
    </row>
    <row r="109" spans="1:21" s="65" customFormat="1">
      <c r="A109" s="135" t="s">
        <v>115</v>
      </c>
      <c r="B109" s="135" t="s">
        <v>100</v>
      </c>
      <c r="C109" s="136" t="s">
        <v>97</v>
      </c>
      <c r="D109" s="137" t="s">
        <v>494</v>
      </c>
      <c r="E109" s="138" t="s">
        <v>495</v>
      </c>
      <c r="F109" s="139" t="s">
        <v>496</v>
      </c>
      <c r="G109" s="140" t="s">
        <v>101</v>
      </c>
      <c r="H109" s="141" t="s">
        <v>98</v>
      </c>
      <c r="I109" s="141" t="s">
        <v>96</v>
      </c>
      <c r="J109" s="141" t="s">
        <v>715</v>
      </c>
      <c r="K109" s="216" t="s">
        <v>716</v>
      </c>
      <c r="L109" s="217">
        <v>0</v>
      </c>
      <c r="M109" s="218">
        <v>1</v>
      </c>
      <c r="N109" s="218">
        <v>2</v>
      </c>
      <c r="O109" s="218">
        <v>3</v>
      </c>
      <c r="P109" s="219" t="s">
        <v>1367</v>
      </c>
      <c r="Q109" s="134"/>
      <c r="U109" s="66"/>
    </row>
    <row r="110" spans="1:21" s="65" customFormat="1">
      <c r="A110" s="177" t="s">
        <v>1892</v>
      </c>
      <c r="B110" s="291">
        <f>IFERROR(VLOOKUP(A110,'ИПП 3кв24'!$B$22:$L$32,8,0),"")</f>
        <v>127.78333333333332</v>
      </c>
      <c r="C110" s="292">
        <f>IFERROR(VLOOKUP(A110,'ИПП 3кв24'!$B$22:$L$32,9,0),"")</f>
        <v>15289354.996666664</v>
      </c>
      <c r="D110" s="346">
        <f>SUMIFS(июнь244243[м2],июнь244243[ИМ],A110,июнь244243[№ дома],$C$100,июнь244243[Комнатность],"&lt;&gt;Офис")</f>
        <v>0</v>
      </c>
      <c r="E110" s="184">
        <f>SUMIFS(июнь244243[Сумма без отделки],июнь244243[ИМ],$A110,июнь244243[№ дома],$C$100,июнь244243[Комнатность],"&lt;&gt;Офис")</f>
        <v>0</v>
      </c>
      <c r="F110" s="415">
        <f>COUNTIFS(июнь244243[ИМ],$A110,июнь244243[№ дома],$C$100,июнь244243[Комнатность],"&lt;&gt;Офис")</f>
        <v>0</v>
      </c>
      <c r="G110" s="183">
        <f>SUMIFS(РД[S],РД[Дом],$C$100,РД[ИМ],A110,РД[Дата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H110" s="184">
        <f>SUMIFS(РД[Стоимость без отделки итог],РД[Дом],$C$100,РД[ИМ],A110,РД[Дата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I110" s="243">
        <f>COUNTIFS(РД[Дом],$C$100,РД[ИМ],A110,РД[Дата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J110" s="244">
        <f t="shared" ref="J110:K112" si="11">IFERROR(G110/B110,"")</f>
        <v>0</v>
      </c>
      <c r="K110" s="258">
        <f t="shared" si="11"/>
        <v>0</v>
      </c>
      <c r="L110" s="183">
        <f>COUNTIFS(РД[Тип кв],L101,РД[ИМ],$A110,РД[Дом],$C$100,РД[Дата подачи на регистрацию],"&lt;="&amp;$A$1,РД[Дата подачи на регистрацию],"&gt;="&amp;DATE(YEAR($A$1),MONTH($A$1),1))</f>
        <v>0</v>
      </c>
      <c r="M110" s="243">
        <f>COUNTIFS(РД[Тип кв],M101,РД[ИМ],$A110,РД[Дом],$C$100,РД[Дата подачи на регистрацию],"&lt;="&amp;$A$1,РД[Дата подачи на регистрацию],"&gt;="&amp;DATE(YEAR($A$1),MONTH($A$1),1))</f>
        <v>0</v>
      </c>
      <c r="N110" s="243">
        <f>COUNTIFS(РД[Тип кв],N101,РД[ИМ],$A110,РД[Дом],$C$100,РД[Дата подачи на регистрацию],"&lt;="&amp;$A$1,РД[Дата подачи на регистрацию],"&gt;="&amp;DATE(YEAR($A$1),MONTH($A$1),1))</f>
        <v>0</v>
      </c>
      <c r="O110" s="243">
        <f>COUNTIFS(РД[Тип кв],O101,РД[ИМ],$A110,РД[Дом],$C$100,РД[Дата подачи на регистрацию],"&lt;="&amp;$A$1,РД[Дата подачи на регистрацию],"&gt;="&amp;DATE(YEAR($A$1),MONTH($A$1),1))</f>
        <v>0</v>
      </c>
      <c r="P110" s="246">
        <f>COUNTIFS(РД[Тип кв],P101,РД[ИМ],$A110,РД[Дом],$C$100,РД[Дата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50" t="s">
        <v>22</v>
      </c>
      <c r="B111" s="267">
        <f>IFERROR(VLOOKUP(A111,'ИПП 3кв24'!$B$22:$L$32,8,0),"")</f>
        <v>220.71666666666667</v>
      </c>
      <c r="C111" s="146">
        <f>IFERROR(VLOOKUP(A111,'ИПП 3кв24'!$B$22:$L$32,9,0),"")</f>
        <v>26408885.903333332</v>
      </c>
      <c r="D111" s="328">
        <f>SUMIFS(июнь244243[м2],июнь244243[ИМ],A111,июнь244243[№ дома],$C$100,июнь244243[Комнатность],"&lt;&gt;Офис")</f>
        <v>0</v>
      </c>
      <c r="E111" s="188">
        <f>SUMIFS(июнь244243[Сумма без отделки],июнь244243[ИМ],$A111,июнь244243[№ дома],$C$100,июнь244243[Комнатность],"&lt;&gt;Офис")</f>
        <v>0</v>
      </c>
      <c r="F111" s="404">
        <f>COUNTIFS(июнь244243[ИМ],$A111,июнь244243[№ дома],$C$100,июнь244243[Комнатность],"&lt;&gt;Офис")</f>
        <v>0</v>
      </c>
      <c r="G111" s="187">
        <f>SUMIFS(РД[S],РД[Дом],$C$100,РД[ИМ],A111,РД[Дата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H111" s="188">
        <f>SUMIFS(РД[Стоимость без отделки итог],РД[Дом],$C$100,РД[ИМ],A111,РД[Дата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I111" s="247">
        <f>COUNTIFS(РД[Дом],$C$100,РД[ИМ],A111,РД[Дата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J111" s="248">
        <f t="shared" si="11"/>
        <v>0</v>
      </c>
      <c r="K111" s="259">
        <f t="shared" si="11"/>
        <v>0</v>
      </c>
      <c r="L111" s="187">
        <f>COUNTIFS(РД[Тип кв],L$86,РД[ИМ],$A111,РД[Дом],$C$100,РД[Дата подачи на регистрацию],"&lt;="&amp;$A$1,РД[Дата подачи на регистрацию],"&gt;="&amp;DATE(YEAR($A$1),MONTH($A$1),1))</f>
        <v>0</v>
      </c>
      <c r="M111" s="247">
        <f>COUNTIFS(РД[Тип кв],M$86,РД[ИМ],$A111,РД[Дом],$C$100,РД[Дата подачи на регистрацию],"&lt;="&amp;$A$1,РД[Дата подачи на регистрацию],"&gt;="&amp;DATE(YEAR($A$1),MONTH($A$1),1))</f>
        <v>0</v>
      </c>
      <c r="N111" s="247">
        <f>COUNTIFS(РД[Тип кв],N$86,РД[ИМ],$A111,РД[Дом],$C$100,РД[Дата подачи на регистрацию],"&lt;="&amp;$A$1,РД[Дата подачи на регистрацию],"&gt;="&amp;DATE(YEAR($A$1),MONTH($A$1),1))</f>
        <v>0</v>
      </c>
      <c r="O111" s="247">
        <f>COUNTIFS(РД[Тип кв],O$86,РД[ИМ],$A111,РД[Дом],$C$100,РД[Дата подачи на регистрацию],"&lt;="&amp;$A$1,РД[Дата подачи на регистрацию],"&gt;="&amp;DATE(YEAR($A$1),MONTH($A$1),1))</f>
        <v>0</v>
      </c>
      <c r="P111" s="250">
        <f>COUNTIFS(РД[Тип кв],P$86,РД[ИМ],$A111,РД[Дом],$C$100,РД[Дата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89" t="s">
        <v>16</v>
      </c>
      <c r="B112" s="293">
        <f>IFERROR(VLOOKUP(A112,'ИПП 3кв24'!$B$22:$L$32,8,0),"")</f>
        <v>0</v>
      </c>
      <c r="C112" s="294">
        <f>IFERROR(VLOOKUP(A112,'ИПП 3кв24'!$B$22:$L$32,9,0),"")</f>
        <v>0</v>
      </c>
      <c r="D112" s="426">
        <f>SUMIFS(июнь244243[м2],июнь244243[ИМ],A112,июнь244243[№ дома],$C$100,июнь244243[Комнатность],"&lt;&gt;Офис")</f>
        <v>0</v>
      </c>
      <c r="E112" s="196">
        <f>SUMIFS(июнь244243[Сумма без отделки],июнь244243[ИМ],$A112,июнь244243[№ дома],$C$100,июнь244243[Комнатность],"&lt;&gt;Офис")</f>
        <v>0</v>
      </c>
      <c r="F112" s="427">
        <f>COUNTIFS(июнь244243[ИМ],$A112,июнь244243[№ дома],$C$100,июнь244243[Комнатность],"&lt;&gt;Офис")</f>
        <v>0</v>
      </c>
      <c r="G112" s="195">
        <f>SUMIFS(РД[S],РД[Дом],$C$100,РД[ИМ],A112,РД[Дата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H112" s="196">
        <f>SUMIFS(РД[Стоимость без отделки итог],РД[Дом],$C$100,РД[ИМ],A112,РД[Дата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I112" s="251">
        <f>COUNTIFS(РД[Дом],$C$100,РД[ИМ],A112,РД[Дата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J112" s="252" t="str">
        <f t="shared" si="11"/>
        <v/>
      </c>
      <c r="K112" s="260" t="str">
        <f t="shared" si="11"/>
        <v/>
      </c>
      <c r="L112" s="195">
        <f>COUNTIFS(РД[Тип кв],L$86,РД[ИМ],$A112,РД[Дом],$C$100,РД[Дата подачи на регистрацию],"&lt;="&amp;$A$1,РД[Дата подачи на регистрацию],"&gt;="&amp;DATE(YEAR($A$1),MONTH($A$1),1))</f>
        <v>0</v>
      </c>
      <c r="M112" s="251">
        <f>COUNTIFS(РД[Тип кв],M$86,РД[ИМ],$A112,РД[Дом],$C$100,РД[Дата подачи на регистрацию],"&lt;="&amp;$A$1,РД[Дата подачи на регистрацию],"&gt;="&amp;DATE(YEAR($A$1),MONTH($A$1),1))</f>
        <v>0</v>
      </c>
      <c r="N112" s="251">
        <f>COUNTIFS(РД[Тип кв],N$86,РД[ИМ],$A112,РД[Дом],$C$100,РД[Дата подачи на регистрацию],"&lt;="&amp;$A$1,РД[Дата подачи на регистрацию],"&gt;="&amp;DATE(YEAR($A$1),MONTH($A$1),1))</f>
        <v>0</v>
      </c>
      <c r="O112" s="251">
        <f>COUNTIFS(РД[Тип кв],O$86,РД[ИМ],$A112,РД[Дом],$C$100,РД[Дата подачи на регистрацию],"&lt;="&amp;$A$1,РД[Дата подачи на регистрацию],"&gt;="&amp;DATE(YEAR($A$1),MONTH($A$1),1))</f>
        <v>0</v>
      </c>
      <c r="P112" s="254">
        <f>COUNTIFS(РД[Тип кв],P$86,РД[ИМ],$A112,РД[Дом],$C$100,РД[Дата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168" t="s">
        <v>114</v>
      </c>
      <c r="B113" s="172">
        <f t="shared" ref="B113:I113" si="12">SUM(B110:B112)</f>
        <v>348.5</v>
      </c>
      <c r="C113" s="173">
        <f t="shared" si="12"/>
        <v>41698240.899999999</v>
      </c>
      <c r="D113" s="173">
        <f t="shared" si="12"/>
        <v>0</v>
      </c>
      <c r="E113" s="173">
        <f t="shared" si="12"/>
        <v>0</v>
      </c>
      <c r="F113" s="171">
        <f t="shared" si="12"/>
        <v>0</v>
      </c>
      <c r="G113" s="172">
        <f t="shared" si="12"/>
        <v>0</v>
      </c>
      <c r="H113" s="173">
        <f t="shared" si="12"/>
        <v>0</v>
      </c>
      <c r="I113" s="170">
        <f t="shared" si="12"/>
        <v>0</v>
      </c>
      <c r="J113" s="238">
        <f>IFERROR(G113/B113,)</f>
        <v>0</v>
      </c>
      <c r="K113" s="239">
        <f>IFERROR(H113/C113,)</f>
        <v>0</v>
      </c>
      <c r="L113" s="240">
        <f t="shared" ref="L113:P113" si="13">SUM(L110:L112)</f>
        <v>0</v>
      </c>
      <c r="M113" s="241">
        <f t="shared" si="13"/>
        <v>0</v>
      </c>
      <c r="N113" s="241">
        <f t="shared" si="13"/>
        <v>0</v>
      </c>
      <c r="O113" s="241">
        <f t="shared" si="13"/>
        <v>0</v>
      </c>
      <c r="P113" s="242">
        <f t="shared" si="13"/>
        <v>0</v>
      </c>
      <c r="Q113" s="134"/>
      <c r="U113" s="66"/>
    </row>
    <row r="114" spans="1:21" s="65" customFormat="1">
      <c r="A114" s="134"/>
      <c r="B114" s="211"/>
      <c r="C114" s="211"/>
      <c r="D114" s="212"/>
      <c r="E114" s="134"/>
      <c r="F114" s="134"/>
      <c r="G114" s="134"/>
      <c r="H114" s="134"/>
      <c r="I114" s="134"/>
      <c r="J114" s="134"/>
      <c r="K114" s="134"/>
      <c r="L114" s="261"/>
      <c r="M114" s="134"/>
      <c r="N114" s="134"/>
      <c r="O114" s="134"/>
      <c r="P114" s="262"/>
      <c r="Q114" s="134"/>
      <c r="U114" s="66"/>
    </row>
    <row r="115" spans="1:21" s="65" customFormat="1">
      <c r="A115" s="2325" t="s">
        <v>713</v>
      </c>
      <c r="B115" s="2326"/>
      <c r="C115" s="133" t="s">
        <v>718</v>
      </c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T115" s="66"/>
    </row>
    <row r="116" spans="1:21" s="65" customFormat="1">
      <c r="A116" s="135" t="s">
        <v>1</v>
      </c>
      <c r="B116" s="135" t="s">
        <v>100</v>
      </c>
      <c r="C116" s="136" t="s">
        <v>97</v>
      </c>
      <c r="D116" s="137" t="s">
        <v>494</v>
      </c>
      <c r="E116" s="138" t="s">
        <v>495</v>
      </c>
      <c r="F116" s="139" t="s">
        <v>496</v>
      </c>
      <c r="G116" s="140" t="s">
        <v>101</v>
      </c>
      <c r="H116" s="141" t="s">
        <v>98</v>
      </c>
      <c r="I116" s="141" t="s">
        <v>96</v>
      </c>
      <c r="J116" s="141" t="s">
        <v>715</v>
      </c>
      <c r="K116" s="216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T116" s="66"/>
    </row>
    <row r="117" spans="1:21" s="65" customFormat="1">
      <c r="A117" s="398" t="s">
        <v>8</v>
      </c>
      <c r="B117" s="267">
        <f>IFERROR(VLOOKUP(A117,'ИПП 3кв24'!$B$22:$L$32,10,0),"")</f>
        <v>645</v>
      </c>
      <c r="C117" s="146">
        <f>IFERROR(VLOOKUP(A117,'ИПП 3кв24'!$B$22:$L$32,11,0),"")</f>
        <v>58617792</v>
      </c>
      <c r="D117" s="257">
        <f>SUMIFS(июнь244243[м2],июнь244243[МОП],$A117,июнь244243[Комнатность],"&lt;&gt;Офис")</f>
        <v>516.37</v>
      </c>
      <c r="E117" s="52">
        <f>SUMIFS(июнь244243[Сумма без отделки],июнь244243[МОП],$A117,июнь244243[Комнатность],"&lt;&gt;Офис")</f>
        <v>53107548</v>
      </c>
      <c r="F117" s="413">
        <f>COUNTIFS(июнь244243[МОП],$A117,июнь244243[Комнатность],"&lt;&gt;Офис")</f>
        <v>10</v>
      </c>
      <c r="G117" s="202">
        <f>SUMIFS(РД[S],РД[МОП],A117,РД[Дата подачи на регистрацию],"&lt;="&amp;$A$1,РД[Дата подачи на регистрацию],"&gt;="&amp;DATE(YEAR($A$1),MONTH($A$1),1),РД[Состояние],"Продажа")</f>
        <v>531.55999999999995</v>
      </c>
      <c r="H117" s="203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регистрацию],"&gt;="&amp;DATE(YEAR($A$1),MONTH($A$1),1),РД[Состояние],"Продажа")</f>
        <v>54598648</v>
      </c>
      <c r="I117" s="226">
        <f>COUNTIFS(РД[МОП],A117,РД[Дата подачи на регистрацию],"&lt;="&amp;$A$1,РД[Дата подачи на регистрацию],"&gt;="&amp;DATE(YEAR($A$1),MONTH($A$1),1),РД[Состояние],"Продажа")</f>
        <v>10</v>
      </c>
      <c r="J117" s="224">
        <f t="shared" ref="J117:K122" si="14">IFERROR(G117/B117,"")</f>
        <v>0.82412403100775189</v>
      </c>
      <c r="K117" s="225">
        <f t="shared" si="14"/>
        <v>0.93143474254369729</v>
      </c>
      <c r="L117" s="257">
        <f>COUNTIFS(РД[Тип кв],L$86,РД[МОП],$A117,РД[Дата подачи на регистрацию],"&lt;="&amp;$A$1,РД[Дата подачи на регистрацию],"&gt;="&amp;DATE(YEAR($A$1),MONTH($A$1),1))</f>
        <v>3</v>
      </c>
      <c r="M117" s="226">
        <f>COUNTIFS(РД[Тип кв],M$86,РД[МОП],$A117,РД[Дата подачи на регистрацию],"&lt;="&amp;$A$1,РД[Дата подачи на регистрацию],"&gt;="&amp;DATE(YEAR($A$1),MONTH($A$1),1))</f>
        <v>3</v>
      </c>
      <c r="N117" s="226">
        <f>COUNTIFS(РД[Тип кв],N$86,РД[МОП],$A117,РД[Дата подачи на регистрацию],"&lt;="&amp;$A$1,РД[Дата подачи на регистрацию],"&gt;="&amp;DATE(YEAR($A$1),MONTH($A$1),1))</f>
        <v>4</v>
      </c>
      <c r="O117" s="226">
        <f>COUNTIFS(РД[Тип кв],O$86,РД[МОП],$A117,РД[Дата подачи на регистрацию],"&lt;="&amp;$A$1,РД[Дата подачи на регистрацию],"&gt;="&amp;DATE(YEAR($A$1),MONTH($A$1),1))</f>
        <v>2</v>
      </c>
      <c r="P117" s="227">
        <f>COUNTIFS(РД[Тип кв],P$86,РД[МОП],$A117,РД[Дата подачи на регистрацию],"&lt;="&amp;$A$1,РД[Дата подачи на регистрацию],"&gt;="&amp;DATE(YEAR($A$1),MONTH($A$1),1))</f>
        <v>0</v>
      </c>
      <c r="T117" s="66"/>
    </row>
    <row r="118" spans="1:21" s="65" customFormat="1">
      <c r="A118" s="150" t="s">
        <v>46</v>
      </c>
      <c r="B118" s="267">
        <f>IFERROR(VLOOKUP(A118,'ИПП 3кв24'!$B$22:$L$32,10,0),"")</f>
        <v>191</v>
      </c>
      <c r="C118" s="146">
        <f>IFERROR(VLOOKUP(A118,'ИПП 3кв24'!$B$22:$L$32,11,0),"")</f>
        <v>17445772</v>
      </c>
      <c r="D118" s="257">
        <f>SUMIFS(июнь244243[м2],июнь244243[МОП],$A118,июнь244243[Комнатность],"&lt;&gt;Офис")</f>
        <v>70.64</v>
      </c>
      <c r="E118" s="52">
        <f>SUMIFS(июнь244243[Сумма без отделки],июнь244243[МОП],$A118,июнь244243[Комнатность],"&lt;&gt;Офис")</f>
        <v>6660273</v>
      </c>
      <c r="F118" s="413">
        <f>COUNTIFS(июнь244243[МОП],$A118,июнь244243[Комнатность],"&lt;&gt;Офис")</f>
        <v>1</v>
      </c>
      <c r="G118" s="202">
        <f>SUMIFS(РД[S],РД[МОП],A118,РД[Дата подачи на регистрацию],"&lt;="&amp;$A$1,РД[Дата подачи на регистрацию],"&gt;="&amp;DATE(YEAR($A$1),MONTH($A$1),1),РД[Состояние],"Продажа")</f>
        <v>67.95</v>
      </c>
      <c r="H118" s="203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регистрацию],"&gt;="&amp;DATE(YEAR($A$1),MONTH($A$1),1),РД[Состояние],"Продажа")</f>
        <v>6680448</v>
      </c>
      <c r="I118" s="226">
        <f>COUNTIFS(РД[МОП],A118,РД[Дата подачи на регистрацию],"&lt;="&amp;$A$1,РД[Дата подачи на регистрацию],"&gt;="&amp;DATE(YEAR($A$1),MONTH($A$1),1),РД[Состояние],"Продажа")</f>
        <v>1</v>
      </c>
      <c r="J118" s="224">
        <f t="shared" si="14"/>
        <v>0.35575916230366494</v>
      </c>
      <c r="K118" s="225">
        <f t="shared" si="14"/>
        <v>0.38292647639783439</v>
      </c>
      <c r="L118" s="257">
        <f>COUNTIFS(РД[Тип кв],L$86,РД[МОП],$A118,РД[Дата подачи на регистрацию],"&lt;="&amp;$A$1,РД[Дата подачи на регистрацию],"&gt;="&amp;DATE(YEAR($A$1),MONTH($A$1),1))</f>
        <v>0</v>
      </c>
      <c r="M118" s="226">
        <f>COUNTIFS(РД[Тип кв],M$86,РД[МОП],$A118,РД[Дата подачи на регистрацию],"&lt;="&amp;$A$1,РД[Дата подачи на регистрацию],"&gt;="&amp;DATE(YEAR($A$1),MONTH($A$1),1))</f>
        <v>0</v>
      </c>
      <c r="N118" s="226">
        <f>COUNTIFS(РД[Тип кв],N$86,РД[МОП],$A118,РД[Дата подачи на регистрацию],"&lt;="&amp;$A$1,РД[Дата подачи на регистрацию],"&gt;="&amp;DATE(YEAR($A$1),MONTH($A$1),1))</f>
        <v>1</v>
      </c>
      <c r="O118" s="226">
        <f>COUNTIFS(РД[Тип кв],O$86,РД[МОП],$A118,РД[Дата подачи на регистрацию],"&lt;="&amp;$A$1,РД[Дата подачи на регистрацию],"&gt;="&amp;DATE(YEAR($A$1),MONTH($A$1),1))</f>
        <v>0</v>
      </c>
      <c r="P118" s="227">
        <f>COUNTIFS(РД[Тип кв],P$86,РД[МОП],$A118,РД[Дата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53" t="s">
        <v>20</v>
      </c>
      <c r="B119" s="267">
        <f>IFERROR(VLOOKUP(A119,'ИПП 3кв24'!$B$22:$L$32,10,0),"")</f>
        <v>567</v>
      </c>
      <c r="C119" s="146">
        <f>IFERROR(VLOOKUP(A119,'ИПП 3кв24'!$B$22:$L$32,11,0),"")</f>
        <v>51639483</v>
      </c>
      <c r="D119" s="257">
        <f>SUMIFS(июнь244243[м2],июнь244243[МОП],$A119,июнь244243[Комнатность],"&lt;&gt;Офис")</f>
        <v>112.89</v>
      </c>
      <c r="E119" s="52">
        <f>SUMIFS(июнь244243[Сумма без отделки],июнь244243[МОП],$A119,июнь244243[Комнатность],"&lt;&gt;Офис")</f>
        <v>13474158</v>
      </c>
      <c r="F119" s="413">
        <f>COUNTIFS(июнь244243[МОП],$A119,июнь244243[Комнатность],"&lt;&gt;Офис")</f>
        <v>3</v>
      </c>
      <c r="G119" s="202">
        <f>SUMIFS(РД[S],РД[МОП],A119,РД[Дата подачи на регистрацию],"&lt;="&amp;$A$1,РД[Дата подачи на регистрацию],"&gt;="&amp;DATE(YEAR($A$1),MONTH($A$1),1),РД[Состояние],"Продажа")</f>
        <v>156.1</v>
      </c>
      <c r="H119" s="203">
        <f>SUMIFS(РД[Стоимость без отделки итог],РД[МОП],A119,РД[Дата подачи на регистрацию],"&lt;="&amp;$A$1,РД[Дата подачи на регистрацию],"&gt;="&amp;DATE(YEAR($A$1),MONTH($A$1),1),РД[Состояние],"Продажа")</f>
        <v>18269558</v>
      </c>
      <c r="I119" s="226">
        <f>COUNTIFS(РД[МОП],A119,РД[Дата подачи на регистрацию],"&lt;="&amp;$A$1,РД[Дата подачи на регистрацию],"&gt;="&amp;DATE(YEAR($A$1),MONTH($A$1),1),РД[Состояние],"Продажа")</f>
        <v>4</v>
      </c>
      <c r="J119" s="224">
        <f t="shared" si="14"/>
        <v>0.27530864197530863</v>
      </c>
      <c r="K119" s="225">
        <f t="shared" si="14"/>
        <v>0.35379049011780384</v>
      </c>
      <c r="L119" s="325">
        <f>COUNTIFS(РД[Тип кв],L$86,РД[МОП],$A119,РД[Дата подачи на регистрацию],"&lt;="&amp;$A$1,РД[Дата подачи на регистрацию],"&gt;="&amp;DATE(YEAR($A$1),MONTH($A$1),1))</f>
        <v>0</v>
      </c>
      <c r="M119" s="326">
        <f>COUNTIFS(РД[Тип кв],M$86,РД[МОП],$A119,РД[Дата подачи на регистрацию],"&lt;="&amp;$A$1,РД[Дата подачи на регистрацию],"&gt;="&amp;DATE(YEAR($A$1),MONTH($A$1),1))</f>
        <v>4</v>
      </c>
      <c r="N119" s="326">
        <f>COUNTIFS(РД[Тип кв],N$86,РД[МОП],$A119,РД[Дата подачи на регистрацию],"&lt;="&amp;$A$1,РД[Дата подачи на регистрацию],"&gt;="&amp;DATE(YEAR($A$1),MONTH($A$1),1))</f>
        <v>0</v>
      </c>
      <c r="O119" s="326">
        <f>COUNTIFS(РД[Тип кв],O$86,РД[МОП],$A119,РД[Дата подачи на регистрацию],"&lt;="&amp;$A$1,РД[Дата подачи на регистрацию],"&gt;="&amp;DATE(YEAR($A$1),MONTH($A$1),1))</f>
        <v>0</v>
      </c>
      <c r="P119" s="327">
        <f>COUNTIFS(РД[Тип кв],P$86,РД[МОП],$A119,РД[Дата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14</v>
      </c>
      <c r="B120" s="267">
        <f>IFERROR(VLOOKUP(A120,'ИПП 3кв24'!$B$22:$L$32,10,0),"")</f>
        <v>334</v>
      </c>
      <c r="C120" s="146">
        <f>IFERROR(VLOOKUP(A120,'ИПП 3кв24'!$B$22:$L$32,11,0),"")</f>
        <v>30355642</v>
      </c>
      <c r="D120" s="329">
        <f>SUMIFS(июнь244243[м2],июнь244243[МОП],$A120,июнь244243[Комнатность],"&lt;&gt;Офис")</f>
        <v>345.56</v>
      </c>
      <c r="E120" s="363">
        <f>SUMIFS(июнь244243[Сумма без отделки],июнь244243[МОП],$A120,июнь244243[Комнатность],"&lt;&gt;Офис")</f>
        <v>27868316</v>
      </c>
      <c r="F120" s="414">
        <f>COUNTIFS(июнь244243[МОП],$A120,июнь244243[Комнатность],"&lt;&gt;Офис")</f>
        <v>6</v>
      </c>
      <c r="G120" s="358">
        <f>SUMIFS(РД[S],РД[МОП],A120,РД[Дата подачи на регистрацию],"&lt;="&amp;$A$1,РД[Дата подачи на регистрацию],"&gt;="&amp;DATE(YEAR($A$1),MONTH($A$1),1),РД[Состояние],"Продажа")</f>
        <v>206.79000000000002</v>
      </c>
      <c r="H120" s="359">
        <f>SUMIFS(РД[Стоимость без отделки итог],РД[МОП],A120,РД[Дата подачи на регистрацию],"&lt;="&amp;$A$1,РД[Дата подачи на регистрацию],"&gt;="&amp;DATE(YEAR($A$1),MONTH($A$1),1),РД[Состояние],"Продажа")</f>
        <v>22224636</v>
      </c>
      <c r="I120" s="330">
        <f>COUNTIFS(РД[МОП],A120,РД[Дата подачи на регистрацию],"&lt;="&amp;$A$1,РД[Дата подачи на регистрацию],"&gt;="&amp;DATE(YEAR($A$1),MONTH($A$1),1),РД[Состояние],"Продажа")</f>
        <v>4</v>
      </c>
      <c r="J120" s="360">
        <f t="shared" si="14"/>
        <v>0.6191317365269462</v>
      </c>
      <c r="K120" s="361">
        <f t="shared" si="14"/>
        <v>0.73214185356382844</v>
      </c>
      <c r="L120" s="364">
        <f>COUNTIFS(РД[Тип кв],L$86,РД[МОП],$A120,РД[Дата подачи на регистрацию],"&lt;="&amp;$A$1,РД[Дата подачи на регистрацию],"&gt;="&amp;DATE(YEAR($A$1),MONTH($A$1),1))</f>
        <v>1</v>
      </c>
      <c r="M120" s="365">
        <f>COUNTIFS(РД[Тип кв],M$86,РД[МОП],$A120,РД[Дата подачи на регистрацию],"&lt;="&amp;$A$1,РД[Дата подачи на регистрацию],"&gt;="&amp;DATE(YEAR($A$1),MONTH($A$1),1))</f>
        <v>0</v>
      </c>
      <c r="N120" s="365">
        <f>COUNTIFS(РД[Тип кв],N$86,РД[МОП],$A120,РД[Дата подачи на регистрацию],"&lt;="&amp;$A$1,РД[Дата подачи на регистрацию],"&gt;="&amp;DATE(YEAR($A$1),MONTH($A$1),1))</f>
        <v>3</v>
      </c>
      <c r="O120" s="365">
        <f>COUNTIFS(РД[Тип кв],O$86,РД[МОП],$A120,РД[Дата подачи на регистрацию],"&lt;="&amp;$A$1,РД[Дата подачи на регистрацию],"&gt;="&amp;DATE(YEAR($A$1),MONTH($A$1),1))</f>
        <v>0</v>
      </c>
      <c r="P120" s="366">
        <f>COUNTIFS(РД[Тип кв],P$86,РД[МОП],$A120,РД[Дата подачи на регистрацию],"&lt;="&amp;$A$1,РД[Дата подачи на регистрацию],"&gt;="&amp;DATE(YEAR($A$1),MONTH($A$1),1))</f>
        <v>0</v>
      </c>
      <c r="Q120" s="86"/>
      <c r="R120" s="86"/>
      <c r="S120" s="86"/>
      <c r="T120" s="66"/>
    </row>
    <row r="121" spans="1:21" s="65" customFormat="1">
      <c r="A121" s="154" t="s">
        <v>29</v>
      </c>
      <c r="B121" s="274"/>
      <c r="C121" s="277"/>
      <c r="D121" s="341">
        <f>SUMIFS(июнь244243[м2],июнь244243[МОП],$A121,июнь244243[Комнатность],"&lt;&gt;Офис")</f>
        <v>0</v>
      </c>
      <c r="E121" s="277">
        <f>SUMIFS(июнь244243[Сумма без отделки],июнь244243[МОП],$A121,июнь244243[Комнатность],"&lt;&gt;Офис")</f>
        <v>0</v>
      </c>
      <c r="F121" s="405">
        <f>COUNTIFS(июнь244243[МОП],$A121,июнь244243[Комнатность],"&lt;&gt;Офис")</f>
        <v>0</v>
      </c>
      <c r="G121" s="159">
        <f>SUMIFS(РД[S],РД[МОП],A121,РД[Дата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160">
        <f>SUMIFS(РД[Стоимость без отделки итог],РД[МОП],A121,РД[Дата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8">
        <f>COUNTIFS(РД[МОП],A121,РД[Дата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9" t="str">
        <f t="shared" si="14"/>
        <v/>
      </c>
      <c r="K121" s="230" t="str">
        <f t="shared" si="14"/>
        <v/>
      </c>
      <c r="L121" s="159">
        <f>COUNTIFS(РД[Тип кв],L$86,РД[МОП],$A121,РД[Дата подачи на регистрацию],"&lt;="&amp;$A$1,РД[Дата подачи на регистрацию],"&gt;="&amp;DATE(YEAR($A$1),MONTH($A$1),1))</f>
        <v>0</v>
      </c>
      <c r="M121" s="228">
        <f>COUNTIFS(РД[Тип кв],M$86,РД[МОП],$A121,РД[Дата подачи на регистрацию],"&lt;="&amp;$A$1,РД[Дата подачи на регистрацию],"&gt;="&amp;DATE(YEAR($A$1),MONTH($A$1),1))</f>
        <v>0</v>
      </c>
      <c r="N121" s="228">
        <f>COUNTIFS(РД[Тип кв],N$86,РД[МОП],$A121,РД[Дата подачи на регистрацию],"&lt;="&amp;$A$1,РД[Дата подачи на регистрацию],"&gt;="&amp;DATE(YEAR($A$1),MONTH($A$1),1))</f>
        <v>0</v>
      </c>
      <c r="O121" s="228">
        <f>COUNTIFS(РД[Тип кв],O$86,РД[МОП],$A121,РД[Дата подачи на регистрацию],"&lt;="&amp;$A$1,РД[Дата подачи на регистрацию],"&gt;="&amp;DATE(YEAR($A$1),MONTH($A$1),1))</f>
        <v>0</v>
      </c>
      <c r="P121" s="231">
        <f>COUNTIFS(РД[Тип кв],P$86,РД[МОП],$A121,РД[Дата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61" t="s">
        <v>1919</v>
      </c>
      <c r="B122" s="278"/>
      <c r="C122" s="281"/>
      <c r="D122" s="406">
        <f>SUMIFS(июнь244243[м2],июнь244243[МОП],$A122,июнь244243[Комнатность],"&lt;&gt;Офис")</f>
        <v>116.74000000000001</v>
      </c>
      <c r="E122" s="281">
        <f>SUMIFS(июнь244243[Сумма без отделки],июнь244243[МОП],$A122,июнь244243[Комнатность],"&lt;&gt;Офис")</f>
        <v>13985500</v>
      </c>
      <c r="F122" s="407">
        <f>COUNTIFS(июнь244243[МОП],$A122,июнь244243[Комнатность],"&lt;&gt;Офис")</f>
        <v>3</v>
      </c>
      <c r="G122" s="166">
        <f>SUMIFS(РД[S],РД[МОП],A122,РД[Дата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7">
        <f>SUMIFS(РД[Стоимость без отделки итог],РД[МОП],A122,РД[Дата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32">
        <f>COUNTIFS(РД[МОП],A122,РД[Дата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33" t="str">
        <f t="shared" si="14"/>
        <v/>
      </c>
      <c r="K122" s="234" t="str">
        <f t="shared" si="14"/>
        <v/>
      </c>
      <c r="L122" s="235">
        <f>COUNTIFS(РД[Тип кв],L$86,РД[МОП],$A122,РД[Дата подачи на регистрацию],"&lt;="&amp;$A$1,РД[Дата подачи на регистрацию],"&gt;="&amp;DATE(YEAR($A$1),MONTH($A$1),1))</f>
        <v>0</v>
      </c>
      <c r="M122" s="236">
        <f>COUNTIFS(РД[Тип кв],M$86,РД[МОП],$A122,РД[Дата подачи на регистрацию],"&lt;="&amp;$A$1,РД[Дата подачи на регистрацию],"&gt;="&amp;DATE(YEAR($A$1),MONTH($A$1),1))</f>
        <v>0</v>
      </c>
      <c r="N122" s="236">
        <f>COUNTIFS(РД[Тип кв],N$86,РД[МОП],$A122,РД[Дата подачи на регистрацию],"&lt;="&amp;$A$1,РД[Дата подачи на регистрацию],"&gt;="&amp;DATE(YEAR($A$1),MONTH($A$1),1))</f>
        <v>0</v>
      </c>
      <c r="O122" s="236">
        <f>COUNTIFS(РД[Тип кв],O$86,РД[МОП],$A122,РД[Дата подачи на регистрацию],"&lt;="&amp;$A$1,РД[Дата подачи на регистрацию],"&gt;="&amp;DATE(YEAR($A$1),MONTH($A$1),1))</f>
        <v>0</v>
      </c>
      <c r="P122" s="237">
        <f>COUNTIFS(РД[Тип кв],P$86,РД[МОП],$A122,РД[Дата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8" t="s">
        <v>114</v>
      </c>
      <c r="B123" s="172">
        <f t="shared" ref="B123:I123" si="15">SUM(B117:B122)</f>
        <v>1737</v>
      </c>
      <c r="C123" s="173">
        <f t="shared" si="15"/>
        <v>158058689</v>
      </c>
      <c r="D123" s="173">
        <f t="shared" si="15"/>
        <v>1162.2</v>
      </c>
      <c r="E123" s="173">
        <f t="shared" si="15"/>
        <v>115095795</v>
      </c>
      <c r="F123" s="171">
        <f t="shared" si="15"/>
        <v>23</v>
      </c>
      <c r="G123" s="172">
        <f t="shared" si="15"/>
        <v>962.40000000000009</v>
      </c>
      <c r="H123" s="173">
        <f t="shared" si="15"/>
        <v>101773290</v>
      </c>
      <c r="I123" s="170">
        <f t="shared" si="15"/>
        <v>19</v>
      </c>
      <c r="J123" s="238">
        <f>IFERROR(G123/B123,)</f>
        <v>0.55405872193436967</v>
      </c>
      <c r="K123" s="239">
        <f>IFERROR(H123/C123,)</f>
        <v>0.64389557223266602</v>
      </c>
      <c r="L123" s="240">
        <f>SUM(L117:L122)</f>
        <v>4</v>
      </c>
      <c r="M123" s="241">
        <f>SUM(M117:M122)</f>
        <v>7</v>
      </c>
      <c r="N123" s="241">
        <f>SUM(N117:N122)</f>
        <v>8</v>
      </c>
      <c r="O123" s="241">
        <f>SUM(O117:O122)</f>
        <v>2</v>
      </c>
      <c r="P123" s="242">
        <f>SUM(P117:P122)</f>
        <v>0</v>
      </c>
      <c r="T123" s="66"/>
    </row>
    <row r="124" spans="1:21" s="65" customFormat="1">
      <c r="A124" s="135" t="s">
        <v>115</v>
      </c>
      <c r="B124" s="135" t="s">
        <v>100</v>
      </c>
      <c r="C124" s="136" t="s">
        <v>97</v>
      </c>
      <c r="D124" s="137" t="s">
        <v>494</v>
      </c>
      <c r="E124" s="138" t="s">
        <v>495</v>
      </c>
      <c r="F124" s="139" t="s">
        <v>496</v>
      </c>
      <c r="G124" s="140" t="s">
        <v>101</v>
      </c>
      <c r="H124" s="141" t="s">
        <v>98</v>
      </c>
      <c r="I124" s="141" t="s">
        <v>96</v>
      </c>
      <c r="J124" s="141" t="s">
        <v>715</v>
      </c>
      <c r="K124" s="216" t="s">
        <v>716</v>
      </c>
      <c r="L124" s="217">
        <v>0</v>
      </c>
      <c r="M124" s="218">
        <v>1</v>
      </c>
      <c r="N124" s="218">
        <v>2</v>
      </c>
      <c r="O124" s="218">
        <v>3</v>
      </c>
      <c r="P124" s="219" t="s">
        <v>1367</v>
      </c>
      <c r="T124" s="66"/>
    </row>
    <row r="125" spans="1:21" s="65" customFormat="1">
      <c r="A125" s="177" t="s">
        <v>1892</v>
      </c>
      <c r="B125" s="291">
        <f>IFERROR(VLOOKUP(A125,'ИПП 3кв24'!$B$22:$L$32,10,0),"")</f>
        <v>541.36500000000001</v>
      </c>
      <c r="C125" s="292">
        <f>IFERROR(VLOOKUP(A125,'ИПП 3кв24'!$B$22:$L$32,11,0),"")</f>
        <v>49261624.738333322</v>
      </c>
      <c r="D125" s="346">
        <f>SUMIFS(июнь244243[м2],июнь244243[ИМ],A125,июнь244243[Комнатность],"&lt;&gt;Офис")</f>
        <v>442.12</v>
      </c>
      <c r="E125" s="184">
        <f>SUMIFS(июнь244243[Сумма без отделки],июнь244243[ИМ],$A125,июнь244243[Комнатность],"&lt;&gt;Офис")</f>
        <v>36080143</v>
      </c>
      <c r="F125" s="415">
        <f>COUNTIFS(июнь244243[ИМ],A125,июнь244243[Комнатность],"&lt;&gt;Офис")</f>
        <v>7</v>
      </c>
      <c r="G125" s="183">
        <f>SUMIFS(РД[S],РД[ИМ],A125,РД[Дата подачи на регистрацию],"&lt;="&amp;$A$1,РД[Дата подачи на регистрацию],"&gt;="&amp;DATE(YEAR($A$1),MONTH($A$1),1),РД[Состояние],"Продажа")</f>
        <v>300.65999999999997</v>
      </c>
      <c r="H125" s="184">
        <f>SUMIFS(РД[Стоимость без отделки итог],РД[ИМ],A125,РД[Дата подачи на регистрацию],"&lt;="&amp;$A$1,РД[Дата подачи на регистрацию],"&gt;="&amp;DATE(YEAR($A$1),MONTH($A$1),1),РД[Состояние],"Продажа")</f>
        <v>30618848</v>
      </c>
      <c r="I125" s="243">
        <f>COUNTIFS(РД[ИМ],A125,РД[Дата подачи на регистрацию],"&lt;="&amp;$A$1,РД[Дата подачи на регистрацию],"&gt;="&amp;DATE(YEAR($A$1),MONTH($A$1),1),РД[Состояние],"Продажа")</f>
        <v>5</v>
      </c>
      <c r="J125" s="244">
        <f t="shared" ref="J125:K128" si="16">IFERROR(G125/B125,"")</f>
        <v>0.55537391593472052</v>
      </c>
      <c r="K125" s="258">
        <f t="shared" si="16"/>
        <v>0.62155578835737635</v>
      </c>
      <c r="L125" s="183">
        <f>COUNTIFS(РД[Тип кв],L116,РД[ИМ],$A125,РД[Дата подачи на регистрацию],"&lt;="&amp;$A$1,РД[Дата подачи на регистрацию],"&gt;="&amp;DATE(YEAR($A$1),MONTH($A$1),1))</f>
        <v>1</v>
      </c>
      <c r="M125" s="243">
        <f>COUNTIFS(РД[Тип кв],M116,РД[ИМ],$A125,РД[Дата подачи на регистрацию],"&lt;="&amp;$A$1,РД[Дата подачи на регистрацию],"&gt;="&amp;DATE(YEAR($A$1),MONTH($A$1),1))</f>
        <v>0</v>
      </c>
      <c r="N125" s="243">
        <f>COUNTIFS(РД[Тип кв],N116,РД[ИМ],$A125,РД[Дата подачи на регистрацию],"&lt;="&amp;$A$1,РД[Дата подачи на регистрацию],"&gt;="&amp;DATE(YEAR($A$1),MONTH($A$1),1))</f>
        <v>3</v>
      </c>
      <c r="O125" s="243">
        <f>COUNTIFS(РД[Тип кв],O116,РД[ИМ],$A125,РД[Дата подачи на регистрацию],"&lt;="&amp;$A$1,РД[Дата подачи на регистрацию],"&gt;="&amp;DATE(YEAR($A$1),MONTH($A$1),1))</f>
        <v>1</v>
      </c>
      <c r="P125" s="246">
        <f>COUNTIFS(РД[Тип кв],P116,РД[ИМ],$A125,РД[Дата подачи на регистрацию],"&lt;="&amp;$A$1,РД[Дата подачи на регистрацию],"&gt;="&amp;DATE(YEAR($A$1),MONTH($A$1),1))</f>
        <v>0</v>
      </c>
      <c r="Q125" s="66"/>
      <c r="R125" s="66"/>
      <c r="S125" s="66"/>
      <c r="T125" s="66"/>
    </row>
    <row r="126" spans="1:21" s="65" customFormat="1">
      <c r="A126" s="150" t="s">
        <v>22</v>
      </c>
      <c r="B126" s="267">
        <f>IFERROR(VLOOKUP(A126,'ИПП 3кв24'!$B$22:$L$32,10,0),"")</f>
        <v>935.08500000000004</v>
      </c>
      <c r="C126" s="146">
        <f>IFERROR(VLOOKUP(A126,'ИПП 3кв24'!$B$22:$L$32,11,0),"")</f>
        <v>85088260.911666662</v>
      </c>
      <c r="D126" s="328">
        <f>SUMIFS(июнь244243[м2],июнь244243[ИМ],A126,июнь244243[Комнатность],"&lt;&gt;Офис")</f>
        <v>604.80999999999995</v>
      </c>
      <c r="E126" s="188">
        <f>SUMIFS(июнь244243[Сумма без отделки],июнь244243[ИМ],$A126,июнь244243[Комнатность],"&lt;&gt;Офис")</f>
        <v>65034684</v>
      </c>
      <c r="F126" s="404">
        <f>COUNTIFS(июнь244243[ИМ],$A126,июнь244243[Комнатность],"&lt;&gt;Офис")</f>
        <v>13</v>
      </c>
      <c r="G126" s="187">
        <f>SUMIFS(РД[S],РД[ИМ],A126,РД[Дата подачи на регистрацию],"&lt;="&amp;$A$1,РД[Дата подачи на регистрацию],"&gt;="&amp;DATE(YEAR($A$1),MONTH($A$1),1),РД[Состояние],"Продажа")</f>
        <v>570.97</v>
      </c>
      <c r="H126" s="188">
        <f>SUMIFS(РД[Стоимость без отделки итог],РД[ИМ],A126,РД[Дата подачи на регистрацию],"&lt;="&amp;$A$1,РД[Дата подачи на регистрацию],"&gt;="&amp;DATE(YEAR($A$1),MONTH($A$1),1),РД[Состояние],"Продажа")</f>
        <v>60326084</v>
      </c>
      <c r="I126" s="247">
        <f>COUNTIFS(РД[ИМ],A126,РД[Дата подачи на регистрацию],"&lt;="&amp;$A$1,РД[Дата подачи на регистрацию],"&gt;="&amp;DATE(YEAR($A$1),MONTH($A$1),1),РД[Состояние],"Продажа")</f>
        <v>12</v>
      </c>
      <c r="J126" s="248">
        <f t="shared" si="16"/>
        <v>0.61060759182320323</v>
      </c>
      <c r="K126" s="259">
        <f t="shared" si="16"/>
        <v>0.70898245367391854</v>
      </c>
      <c r="L126" s="328">
        <f>COUNTIFS(РД[Тип кв],L117,РД[ИМ],$A126,РД[Дата подачи на регистрацию],"&lt;="&amp;$A$1,РД[Дата подачи на регистрацию],"&gt;="&amp;DATE(YEAR($A$1),MONTH($A$1),1))</f>
        <v>1</v>
      </c>
      <c r="M126" s="247">
        <f>COUNTIFS(РД[Тип кв],M117,РД[ИМ],$A126,РД[Дата подачи на регистрацию],"&lt;="&amp;$A$1,РД[Дата подачи на регистрацию],"&gt;="&amp;DATE(YEAR($A$1),MONTH($A$1),1))</f>
        <v>1</v>
      </c>
      <c r="N126" s="247">
        <f>COUNTIFS(РД[Тип кв],N117,РД[ИМ],$A126,РД[Дата подачи на регистрацию],"&lt;="&amp;$A$1,РД[Дата подачи на регистрацию],"&gt;="&amp;DATE(YEAR($A$1),MONTH($A$1),1))</f>
        <v>0</v>
      </c>
      <c r="O126" s="247">
        <f>COUNTIFS(РД[Тип кв],O117,РД[ИМ],$A126,РД[Дата подачи на регистрацию],"&lt;="&amp;$A$1,РД[Дата подачи на регистрацию],"&gt;="&amp;DATE(YEAR($A$1),MONTH($A$1),1))</f>
        <v>4</v>
      </c>
      <c r="P126" s="250">
        <f>COUNTIFS(РД[Тип кв],P117,РД[ИМ],$A126,РД[Дата подачи на регистрацию],"&lt;="&amp;$A$1,РД[Дата подачи на регистрацию],"&gt;="&amp;DATE(YEAR($A$1),MONTH($A$1),1))</f>
        <v>2</v>
      </c>
      <c r="Q126" s="66"/>
      <c r="R126" s="66"/>
      <c r="S126" s="66"/>
      <c r="T126" s="66"/>
    </row>
    <row r="127" spans="1:21" s="65" customFormat="1">
      <c r="A127" s="189" t="s">
        <v>16</v>
      </c>
      <c r="B127" s="293">
        <f>IFERROR(VLOOKUP(A127,'ИПП 3кв24'!$B$22:$L$32,10,0),"")</f>
        <v>0</v>
      </c>
      <c r="C127" s="294">
        <f>IFERROR(VLOOKUP(A127,'ИПП 3кв24'!$B$22:$L$32,11,0),"")</f>
        <v>0</v>
      </c>
      <c r="D127" s="426">
        <f>SUMIFS(июнь244243[м2],июнь244243[ИМ],A127,июнь244243[Комнатность],"&lt;&gt;Офис")</f>
        <v>0</v>
      </c>
      <c r="E127" s="196">
        <f>SUMIFS(июнь244243[Сумма без отделки],июнь244243[ИМ],$A127,июнь244243[Комнатность],"&lt;&gt;Офис")</f>
        <v>0</v>
      </c>
      <c r="F127" s="427">
        <f>COUNTIFS(июнь244243[ИМ],$A127,июнь244243[Комнатность],"&lt;&gt;Офис")</f>
        <v>0</v>
      </c>
      <c r="G127" s="195">
        <f>SUMIFS(РД[S],РД[ИМ],A127,РД[Дата подачи на регистрацию],"&lt;="&amp;$A$1,РД[Дата подачи на регистрацию],"&gt;="&amp;DATE(YEAR($A$1),MONTH($A$1),1),РД[Состояние],"Продажа")</f>
        <v>0</v>
      </c>
      <c r="H127" s="196">
        <f>SUMIFS(РД[Стоимость без отделки итог],РД[ИМ],A127,РД[Дата подачи на регистрацию],"&lt;="&amp;$A$1,РД[Дата подачи на регистрацию],"&gt;="&amp;DATE(YEAR($A$1),MONTH($A$1),1),РД[Состояние],"Продажа")</f>
        <v>0</v>
      </c>
      <c r="I127" s="251">
        <f>COUNTIFS(РД[ИМ],A127,РД[Дата подачи на регистрацию],"&lt;="&amp;$A$1,РД[Дата подачи на регистрацию],"&gt;="&amp;DATE(YEAR($A$1),MONTH($A$1),1),РД[Состояние],"Продажа")</f>
        <v>0</v>
      </c>
      <c r="J127" s="252" t="str">
        <f t="shared" si="16"/>
        <v/>
      </c>
      <c r="K127" s="260" t="str">
        <f t="shared" si="16"/>
        <v/>
      </c>
      <c r="L127" s="329">
        <f>COUNTIFS(РД[Тип кв],L119,РД[ИМ],$A127,РД[Дата подачи на регистрацию],"&lt;="&amp;$A$1,РД[Дата подачи на регистрацию],"&gt;="&amp;DATE(YEAR($A$1),MONTH($A$1),1))</f>
        <v>0</v>
      </c>
      <c r="M127" s="330">
        <f>COUNTIFS(РД[Тип кв],M119,РД[ИМ],$A127,РД[Дата подачи на регистрацию],"&lt;="&amp;$A$1,РД[Дата подачи на регистрацию],"&gt;="&amp;DATE(YEAR($A$1),MONTH($A$1),1))</f>
        <v>0</v>
      </c>
      <c r="N127" s="330">
        <f>COUNTIFS(РД[Тип кв],N119,РД[ИМ],$A127,РД[Дата подачи на регистрацию],"&lt;="&amp;$A$1,РД[Дата подачи на регистрацию],"&gt;="&amp;DATE(YEAR($A$1),MONTH($A$1),1))</f>
        <v>0</v>
      </c>
      <c r="O127" s="330">
        <f>COUNTIFS(РД[Тип кв],O119,РД[ИМ],$A127,РД[Дата подачи на регистрацию],"&lt;="&amp;$A$1,РД[Дата подачи на регистрацию],"&gt;="&amp;DATE(YEAR($A$1),MONTH($A$1),1))</f>
        <v>0</v>
      </c>
      <c r="P127" s="331">
        <f>COUNTIFS(РД[Тип кв],P119,РД[ИМ],$A127,РД[Дата подачи на регистрацию],"&lt;="&amp;$A$1,РД[Дата подачи на регистрацию],"&gt;="&amp;DATE(YEAR($A$1),MONTH($A$1),1))</f>
        <v>0</v>
      </c>
      <c r="Q127" s="66"/>
      <c r="R127" s="66"/>
      <c r="S127" s="66"/>
      <c r="T127" s="66"/>
    </row>
    <row r="128" spans="1:21" s="65" customFormat="1">
      <c r="A128" s="168" t="s">
        <v>114</v>
      </c>
      <c r="B128" s="172">
        <f>SUM(B125:B127)</f>
        <v>1476.45</v>
      </c>
      <c r="C128" s="173">
        <f>SUM(C125:C127)</f>
        <v>134349885.64999998</v>
      </c>
      <c r="D128" s="173">
        <f t="shared" ref="D128:P128" si="17">SUM(D125:D127)</f>
        <v>1046.9299999999998</v>
      </c>
      <c r="E128" s="173">
        <f t="shared" si="17"/>
        <v>101114827</v>
      </c>
      <c r="F128" s="171">
        <f t="shared" si="17"/>
        <v>20</v>
      </c>
      <c r="G128" s="172">
        <f t="shared" si="17"/>
        <v>871.63</v>
      </c>
      <c r="H128" s="173">
        <f t="shared" si="17"/>
        <v>90944932</v>
      </c>
      <c r="I128" s="170">
        <f t="shared" si="17"/>
        <v>17</v>
      </c>
      <c r="J128" s="238">
        <f t="shared" si="16"/>
        <v>0.59035524399742623</v>
      </c>
      <c r="K128" s="239">
        <f t="shared" si="16"/>
        <v>0.67692600972451977</v>
      </c>
      <c r="L128" s="240">
        <f t="shared" si="17"/>
        <v>2</v>
      </c>
      <c r="M128" s="241">
        <f t="shared" si="17"/>
        <v>1</v>
      </c>
      <c r="N128" s="241">
        <f t="shared" si="17"/>
        <v>3</v>
      </c>
      <c r="O128" s="241">
        <f t="shared" si="17"/>
        <v>5</v>
      </c>
      <c r="P128" s="242">
        <f t="shared" si="17"/>
        <v>2</v>
      </c>
      <c r="Q128" s="66"/>
      <c r="R128" s="66"/>
      <c r="S128" s="66"/>
      <c r="T128" s="66"/>
    </row>
    <row r="129" spans="1:21" s="65" customFormat="1">
      <c r="A129" s="134"/>
      <c r="B129" s="44"/>
      <c r="C129" s="44"/>
      <c r="D129" s="134"/>
      <c r="E129" s="134"/>
      <c r="F129" s="44"/>
      <c r="G129" s="134"/>
      <c r="H129" s="134"/>
      <c r="I129" s="134"/>
      <c r="J129" s="134"/>
      <c r="K129" s="255"/>
      <c r="L129" s="256"/>
      <c r="M129" s="134"/>
      <c r="N129" s="134"/>
      <c r="O129" s="134"/>
      <c r="P129" s="134"/>
      <c r="Q129" s="134"/>
      <c r="T129" s="66"/>
      <c r="U129" s="66"/>
    </row>
    <row r="130" spans="1:21" s="65" customFormat="1" ht="15">
      <c r="A130" s="2400" t="s">
        <v>1368</v>
      </c>
      <c r="B130" s="2401"/>
      <c r="C130" s="2401"/>
      <c r="D130" s="2401"/>
      <c r="E130" s="2401"/>
      <c r="F130" s="2401"/>
      <c r="G130" s="2401"/>
      <c r="H130" s="2401"/>
      <c r="I130" s="2401"/>
      <c r="J130" s="2401"/>
      <c r="K130" s="2401"/>
      <c r="L130" s="2401"/>
      <c r="M130" s="2401"/>
      <c r="N130" s="2401"/>
      <c r="O130" s="2401"/>
      <c r="P130" s="66"/>
      <c r="S130" s="66"/>
      <c r="T130" s="66"/>
    </row>
    <row r="131" spans="1:21" s="65" customFormat="1">
      <c r="A131" s="135" t="s">
        <v>1</v>
      </c>
      <c r="B131" s="135" t="s">
        <v>100</v>
      </c>
      <c r="C131" s="136" t="s">
        <v>97</v>
      </c>
      <c r="D131" s="264" t="s">
        <v>494</v>
      </c>
      <c r="E131" s="265" t="s">
        <v>495</v>
      </c>
      <c r="F131" s="266" t="s">
        <v>496</v>
      </c>
      <c r="G131" s="140" t="s">
        <v>101</v>
      </c>
      <c r="H131" s="141" t="s">
        <v>98</v>
      </c>
      <c r="I131" s="141" t="s">
        <v>96</v>
      </c>
      <c r="J131" s="141" t="s">
        <v>715</v>
      </c>
      <c r="K131" s="216" t="s">
        <v>716</v>
      </c>
      <c r="L131" s="332" t="s">
        <v>121</v>
      </c>
      <c r="M131" s="218" t="s">
        <v>27</v>
      </c>
      <c r="N131" s="219" t="s">
        <v>7</v>
      </c>
      <c r="O131" s="219" t="s">
        <v>19</v>
      </c>
      <c r="P131" s="66"/>
      <c r="S131" s="66"/>
      <c r="T131" s="66"/>
    </row>
    <row r="132" spans="1:21" s="65" customFormat="1">
      <c r="A132" s="142" t="s">
        <v>8</v>
      </c>
      <c r="B132" s="267"/>
      <c r="C132" s="268"/>
      <c r="D132" s="416">
        <f>SUMIFS(июнь244243[м2],июнь244243[МОП],A132,июнь244243[Комнатность],"Офис")</f>
        <v>0</v>
      </c>
      <c r="E132" s="146">
        <f>SUMIFS(июнь244243[Сумма без отделки],июнь244243[МОП],$A132,июнь244243[Комнатность],"оФИС")</f>
        <v>0</v>
      </c>
      <c r="F132" s="417">
        <f>COUNTIFS(июнь244243[МОП],$A132,июнь244243[Комнатность],"Офис")</f>
        <v>0</v>
      </c>
      <c r="G132" s="267">
        <f>SUMIFS(РД[S],РД[МОП],A132,РД[Дата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H132" s="146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I132" s="220">
        <f>COUNTIFS(РД[МОП],A132,РД[Дата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J132" s="221" t="str">
        <f t="shared" ref="J132:K138" si="18">IFERROR(G132/B132,"")</f>
        <v/>
      </c>
      <c r="K132" s="333" t="str">
        <f t="shared" si="18"/>
        <v/>
      </c>
      <c r="L132" s="148">
        <f>COUNTIFS(РД[Дом],L$131,РД[МОП],$A132,РД[Дата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M132" s="220">
        <f>COUNTIFS(РД[Дом],M$131,РД[МОП],$A132,РД[Дата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N132" s="223">
        <f>COUNTIFS(РД[Дом],N$131,РД[МОП],$A132,РД[Дата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O132" s="223">
        <f>COUNTIFS(РД[Дом],O$131,РД[МОП],$A132,РД[Дата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S132" s="66"/>
      <c r="T132" s="66"/>
    </row>
    <row r="133" spans="1:21" s="65" customFormat="1">
      <c r="A133" s="150" t="s">
        <v>46</v>
      </c>
      <c r="B133" s="267"/>
      <c r="C133" s="268"/>
      <c r="D133" s="416">
        <f>SUMIFS(июнь244243[м2],июнь244243[МОП],A133,июнь244243[Комнатность],"Офис")</f>
        <v>0</v>
      </c>
      <c r="E133" s="146">
        <f>SUMIFS(июнь244243[Сумма без отделки],июнь244243[МОП],$A133,июнь244243[Комнатность],"оФИС")</f>
        <v>0</v>
      </c>
      <c r="F133" s="417">
        <f>COUNTIFS(июнь244243[МОП],$A133,июнь244243[Комнатность],"Офис")</f>
        <v>0</v>
      </c>
      <c r="G133" s="267">
        <f>SUMIFS(РД[S],РД[МОП],A133,РД[Дата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H133" s="146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I133" s="220">
        <f>COUNTIFS(РД[МОП],A133,РД[Дата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J133" s="221" t="str">
        <f t="shared" si="18"/>
        <v/>
      </c>
      <c r="K133" s="333" t="str">
        <f t="shared" si="18"/>
        <v/>
      </c>
      <c r="L133" s="148">
        <f>COUNTIFS(РД[Дом],L$131,РД[МОП],$A133,РД[Дата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M133" s="220">
        <f>COUNTIFS(РД[Дом],M$131,РД[МОП],$A133,РД[Дата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N133" s="223">
        <f>COUNTIFS(РД[Дом],N$131,РД[МОП],$A133,РД[Дата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O133" s="223">
        <f>COUNTIFS(РД[Дом],O$131,РД[МОП],$A133,РД[Дата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S133" s="66"/>
      <c r="T133" s="66"/>
    </row>
    <row r="134" spans="1:21" s="65" customFormat="1">
      <c r="A134" s="153" t="s">
        <v>20</v>
      </c>
      <c r="B134" s="271"/>
      <c r="C134" s="272"/>
      <c r="D134" s="416">
        <f>SUMIFS(июнь244243[м2],июнь244243[МОП],A134,июнь244243[Комнатность],"Офис")</f>
        <v>0</v>
      </c>
      <c r="E134" s="52">
        <f>SUMIFS(июнь244243[Сумма без отделки],июнь244243[МОП],$A134,июнь244243[Комнатность],"оФИС")</f>
        <v>0</v>
      </c>
      <c r="F134" s="421">
        <f>COUNTIFS(июнь244243[МОП],$A134,июнь244243[Комнатность],"Офис")</f>
        <v>0</v>
      </c>
      <c r="G134" s="271">
        <f>SUMIFS(РД[S],РД[МОП],A134,РД[Дата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H134" s="52">
        <f>SUMIFS(РД[Стоимость без отделки итог],РД[МОП],A134,РД[Дата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I134" s="220">
        <f>COUNTIFS(РД[МОП],A134,РД[Дата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J134" s="224" t="str">
        <f t="shared" si="18"/>
        <v/>
      </c>
      <c r="K134" s="334" t="str">
        <f t="shared" si="18"/>
        <v/>
      </c>
      <c r="L134" s="202">
        <f>COUNTIFS(РД[Дом],L$131,РД[МОП],$A134,РД[Дата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M134" s="226">
        <f>COUNTIFS(РД[Дом],M$131,РД[МОП],$A134,РД[Дата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N134" s="227">
        <f>COUNTIFS(РД[Дом],N$131,РД[МОП],$A134,РД[Дата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O134" s="227">
        <f>COUNTIFS(РД[Дом],O$131,РД[МОП],$A134,РД[Дата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S134" s="66"/>
      <c r="T134" s="66"/>
    </row>
    <row r="135" spans="1:21" s="65" customFormat="1">
      <c r="A135" s="153" t="s">
        <v>14</v>
      </c>
      <c r="B135" s="315"/>
      <c r="C135" s="316"/>
      <c r="D135" s="422">
        <f>SUMIFS(июнь244243[м2],июнь244243[МОП],A135,июнь244243[Комнатность],"Офис")</f>
        <v>0</v>
      </c>
      <c r="E135" s="363">
        <f>SUMIFS(июнь244243[Сумма без отделки],июнь244243[МОП],$A135,июнь244243[Комнатность],"оФИС")</f>
        <v>0</v>
      </c>
      <c r="F135" s="414">
        <f>COUNTIFS(июнь244243[МОП],$A135,июнь244243[Комнатность],"Офис")</f>
        <v>0</v>
      </c>
      <c r="G135" s="315">
        <f>SUMIFS(РД[S],РД[МОП],A135,РД[Дата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H135" s="363">
        <f>SUMIFS(РД[Стоимость без отделки итог],РД[МОП],A135,РД[Дата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I135" s="247">
        <f>COUNTIFS(РД[МОП],A135,РД[Дата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J135" s="360" t="str">
        <f t="shared" si="18"/>
        <v/>
      </c>
      <c r="K135" s="367" t="str">
        <f t="shared" si="18"/>
        <v/>
      </c>
      <c r="L135" s="358">
        <f>COUNTIFS(РД[Дом],L$131,РД[МОП],$A135,РД[Дата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M135" s="330">
        <f>COUNTIFS(РД[Дом],M$131,РД[МОП],$A135,РД[Дата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N135" s="331">
        <f>COUNTIFS(РД[Дом],N$131,РД[МОП],$A135,РД[Дата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O135" s="331">
        <f>COUNTIFS(РД[Дом],O$131,РД[МОП],$A135,РД[Дата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S135" s="66"/>
      <c r="T135" s="66"/>
    </row>
    <row r="136" spans="1:21" s="65" customFormat="1">
      <c r="A136" s="154" t="s">
        <v>29</v>
      </c>
      <c r="B136" s="274"/>
      <c r="C136" s="275"/>
      <c r="D136" s="423">
        <f>SUMIFS(июнь244243[м2],июнь244243[МОП],A136,июнь244243[Комнатность],"Офис")</f>
        <v>0</v>
      </c>
      <c r="E136" s="277">
        <f>SUMIFS(июнь244243[Сумма без отделки],июнь244243[МОП],$A136,июнь244243[Комнатность],"оФИС")</f>
        <v>0</v>
      </c>
      <c r="F136" s="405">
        <f>COUNTIFS(июнь244243[МОП],$A136,июнь244243[Комнатность],"Офис")</f>
        <v>0</v>
      </c>
      <c r="G136" s="274">
        <f>SUMIFS(РД[S],РД[МОП],A136,РД[Дата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H136" s="277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I136" s="228">
        <f>COUNTIFS(РД[МОП],A136,РД[Дата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J136" s="229" t="str">
        <f t="shared" si="18"/>
        <v/>
      </c>
      <c r="K136" s="335" t="str">
        <f t="shared" si="18"/>
        <v/>
      </c>
      <c r="L136" s="159">
        <f>COUNTIFS(РД[Дом],L$131,РД[МОП],$A136,РД[Дата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M136" s="228">
        <f>COUNTIFS(РД[Дом],M$131,РД[МОП],$A136,РД[Дата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N136" s="231">
        <f>COUNTIFS(РД[Дом],N$131,РД[МОП],$A136,РД[Дата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O136" s="231">
        <f>COUNTIFS(РД[Дом],O$131,РД[МОП],$A136,РД[Дата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S136" s="66"/>
      <c r="T136" s="66"/>
    </row>
    <row r="137" spans="1:21" s="65" customFormat="1">
      <c r="A137" s="161" t="s">
        <v>1919</v>
      </c>
      <c r="B137" s="278"/>
      <c r="C137" s="279"/>
      <c r="D137" s="424">
        <f>SUMIFS(июнь244243[м2],июнь244243[МОП],A137,июнь244243[Комнатность],"Офис")</f>
        <v>0</v>
      </c>
      <c r="E137" s="281">
        <f>SUMIFS(июнь244243[Сумма без отделки],июнь244243[МОП],$A137,июнь244243[Комнатность],"оФИС")</f>
        <v>0</v>
      </c>
      <c r="F137" s="407">
        <f>COUNTIFS(июнь244243[МОП],$A137,июнь244243[Комнатность],"Офис")</f>
        <v>0</v>
      </c>
      <c r="G137" s="278">
        <f>SUMIFS(РД[S],РД[МОП],A137,РД[Дата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H137" s="281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I137" s="232">
        <f>COUNTIFS(РД[МОП],A137,РД[Дата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J137" s="233" t="str">
        <f t="shared" si="18"/>
        <v/>
      </c>
      <c r="K137" s="336" t="str">
        <f t="shared" si="18"/>
        <v/>
      </c>
      <c r="L137" s="166">
        <f>COUNTIFS(РД[Дом],L$131,РД[МОП],$A137,РД[Дата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M137" s="232">
        <f>COUNTIFS(РД[Дом],M$131,РД[МОП],$A137,РД[Дата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N137" s="337">
        <f>COUNTIFS(РД[Дом],N$131,РД[МОП],$A137,РД[Дата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O137" s="337">
        <f>COUNTIFS(РД[Дом],O$131,РД[МОП],$A137,РД[Дата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S137" s="66"/>
      <c r="T137" s="66"/>
    </row>
    <row r="138" spans="1:21" s="65" customFormat="1">
      <c r="A138" s="168" t="s">
        <v>114</v>
      </c>
      <c r="B138" s="282">
        <f t="shared" ref="B138:I138" si="19">SUM(B132:B137)</f>
        <v>0</v>
      </c>
      <c r="C138" s="283">
        <f t="shared" si="19"/>
        <v>0</v>
      </c>
      <c r="D138" s="425">
        <f t="shared" si="19"/>
        <v>0</v>
      </c>
      <c r="E138" s="287">
        <f t="shared" si="19"/>
        <v>0</v>
      </c>
      <c r="F138" s="286">
        <f t="shared" si="19"/>
        <v>0</v>
      </c>
      <c r="G138" s="282">
        <f t="shared" si="19"/>
        <v>0</v>
      </c>
      <c r="H138" s="287">
        <f t="shared" si="19"/>
        <v>0</v>
      </c>
      <c r="I138" s="287">
        <f t="shared" si="19"/>
        <v>0</v>
      </c>
      <c r="J138" s="238" t="str">
        <f t="shared" si="18"/>
        <v/>
      </c>
      <c r="K138" s="338" t="str">
        <f t="shared" si="18"/>
        <v/>
      </c>
      <c r="L138" s="318">
        <f>SUM(L132:L137)</f>
        <v>0</v>
      </c>
      <c r="M138" s="321">
        <f>SUM(M132:M137)</f>
        <v>0</v>
      </c>
      <c r="N138" s="319">
        <f>SUM(N132:N137)</f>
        <v>0</v>
      </c>
      <c r="O138" s="319">
        <f>SUM(O132:O137)</f>
        <v>0</v>
      </c>
      <c r="S138" s="66"/>
      <c r="T138" s="66"/>
    </row>
    <row r="139" spans="1:21" s="65" customFormat="1">
      <c r="A139" s="135" t="s">
        <v>115</v>
      </c>
      <c r="B139" s="135" t="s">
        <v>100</v>
      </c>
      <c r="C139" s="136" t="s">
        <v>97</v>
      </c>
      <c r="D139" s="264" t="s">
        <v>494</v>
      </c>
      <c r="E139" s="265" t="s">
        <v>495</v>
      </c>
      <c r="F139" s="266" t="s">
        <v>496</v>
      </c>
      <c r="G139" s="140" t="s">
        <v>101</v>
      </c>
      <c r="H139" s="141" t="s">
        <v>98</v>
      </c>
      <c r="I139" s="141" t="s">
        <v>96</v>
      </c>
      <c r="J139" s="141" t="s">
        <v>715</v>
      </c>
      <c r="K139" s="216" t="s">
        <v>716</v>
      </c>
      <c r="L139" s="332" t="s">
        <v>121</v>
      </c>
      <c r="M139" s="218" t="s">
        <v>27</v>
      </c>
      <c r="N139" s="219" t="s">
        <v>7</v>
      </c>
      <c r="O139" s="219" t="s">
        <v>7</v>
      </c>
      <c r="T139" s="66"/>
    </row>
    <row r="140" spans="1:21" s="65" customFormat="1">
      <c r="A140" s="177" t="s">
        <v>1892</v>
      </c>
      <c r="B140" s="291"/>
      <c r="C140" s="292"/>
      <c r="D140" s="346">
        <f>SUMIFS(июнь244243[м2],июнь244243[ИМ],A140,июнь244243[Комнатность],"Офис")</f>
        <v>0</v>
      </c>
      <c r="E140" s="184">
        <f>SUMIFS(июнь244243[Сумма без отделки],июнь244243[ИМ],$A140,июнь244243[Комнатность],"оФИС")</f>
        <v>0</v>
      </c>
      <c r="F140" s="415">
        <f>COUNTIFS(июнь244243[ИМ],$A140,июнь244243[Комнатность],"Офис")</f>
        <v>0</v>
      </c>
      <c r="G140" s="183">
        <f>SUMIFS(РД[S],РД[ИМ],A140,РД[Дата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H140" s="184">
        <f>SUMIFS(РД[Стоимость без отделки итог],РД[ИМ],A140,РД[Дата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I140" s="243">
        <f>COUNTIFS(РД[ИМ],A140,РД[Дата подачи на регистрацию],"&lt;="&amp;$A$1,РД[Дата подачи на регистрацию],"&gt;="&amp;DATE(YEAR($A$1),MONTH($A$1),1),РД[Состояние],"Коммерция")</f>
        <v>0</v>
      </c>
      <c r="J140" s="244" t="str">
        <f t="shared" ref="J140:K143" si="20">IFERROR(G140/B140,"")</f>
        <v/>
      </c>
      <c r="K140" s="258" t="str">
        <f t="shared" si="20"/>
        <v/>
      </c>
      <c r="L140" s="148">
        <f>COUNTIFS(РД[Дом],L$131,РД[ИМ],$A140,РД[Дата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M140" s="220">
        <f>COUNTIFS(РД[Дом],M$131,РД[ИМ],$A140,РД[Дата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N140" s="223">
        <f>COUNTIFS(РД[Дом],N$131,РД[ИМ],$A140,РД[Дата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O140" s="223">
        <f>COUNTIFS(РД[Дом],O$131,РД[ИМ],$A140,РД[Дата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T140" s="66"/>
    </row>
    <row r="141" spans="1:21" s="65" customFormat="1">
      <c r="A141" s="150" t="s">
        <v>22</v>
      </c>
      <c r="B141" s="267"/>
      <c r="C141" s="146"/>
      <c r="D141" s="328">
        <f>SUMIFS(июнь244243[м2],июнь244243[ИМ],A141,июнь244243[Комнатность],"Офис")</f>
        <v>0</v>
      </c>
      <c r="E141" s="188">
        <f>SUMIFS(июнь244243[Сумма без отделки],июнь244243[ИМ],$A141,июнь244243[Комнатность],"оФИС")</f>
        <v>0</v>
      </c>
      <c r="F141" s="404">
        <f>COUNTIFS(июнь244243[ИМ],$A141,июнь244243[Комнатность],"Офис")</f>
        <v>0</v>
      </c>
      <c r="G141" s="187">
        <f>SUMIFS(РД[S],РД[ИМ],A141,РД[Дата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H141" s="188">
        <f>SUMIFS(РД[Стоимость без отделки итог],РД[ИМ],A141,РД[Дата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I141" s="247">
        <f>COUNTIFS(РД[ИМ],A141,РД[Дата подачи на регистрацию],"&lt;="&amp;$A$1,РД[Дата подачи на регистрацию],"&gt;="&amp;DATE(YEAR($A$1),MONTH($A$1),1),РД[Состояние],"Коммерция")</f>
        <v>0</v>
      </c>
      <c r="J141" s="248" t="str">
        <f t="shared" si="20"/>
        <v/>
      </c>
      <c r="K141" s="259" t="str">
        <f t="shared" si="20"/>
        <v/>
      </c>
      <c r="L141" s="148">
        <f>COUNTIFS(РД[Дом],L$131,РД[ИМ],$A141,РД[Дата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M141" s="220">
        <f>COUNTIFS(РД[Дом],M$131,РД[ИМ],$A141,РД[Дата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N141" s="223">
        <f>COUNTIFS(РД[Дом],N$131,РД[ИМ],$A141,РД[Дата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O141" s="223">
        <f>COUNTIFS(РД[Дом],O$131,РД[ИМ],$A141,РД[Дата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T141" s="66"/>
    </row>
    <row r="142" spans="1:21" s="65" customFormat="1">
      <c r="A142" s="189" t="s">
        <v>16</v>
      </c>
      <c r="B142" s="293"/>
      <c r="C142" s="294"/>
      <c r="D142" s="426">
        <f>SUMIFS(июнь244243[м2],июнь244243[ИМ],A142,июнь244243[Комнатность],"Офис")</f>
        <v>0</v>
      </c>
      <c r="E142" s="196">
        <f>SUMIFS(июнь244243[Сумма без отделки],июнь244243[ИМ],$A142,июнь244243[Комнатность],"оФИС")</f>
        <v>0</v>
      </c>
      <c r="F142" s="427">
        <f>COUNTIFS(июнь244243[ИМ],$A142,июнь244243[Комнатность],"Офис")</f>
        <v>0</v>
      </c>
      <c r="G142" s="195">
        <f>SUMIFS(РД[S],РД[ИМ],A142,РД[Дата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H142" s="196">
        <f>SUMIFS(РД[Стоимость без отделки итог],РД[ИМ],A142,РД[Дата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I142" s="251">
        <f>COUNTIFS(РД[ИМ],A142,РД[Дата подачи на регистрацию],"&lt;="&amp;$A$1,РД[Дата подачи на регистрацию],"&gt;="&amp;DATE(YEAR($A$1),MONTH($A$1),1),РД[Состояние],"Коммерция")</f>
        <v>0</v>
      </c>
      <c r="J142" s="252" t="str">
        <f t="shared" si="20"/>
        <v/>
      </c>
      <c r="K142" s="260" t="str">
        <f t="shared" si="20"/>
        <v/>
      </c>
      <c r="L142" s="202">
        <f>COUNTIFS(РД[Дом],L$131,РД[ИМ],$A142,РД[Дата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M142" s="226">
        <f>COUNTIFS(РД[Дом],M$131,РД[ИМ],$A142,РД[Дата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N142" s="227">
        <f>COUNTIFS(РД[Дом],N$131,РД[ИМ],$A142,РД[Дата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O142" s="227">
        <f>COUNTIFS(РД[Дом],O$131,РД[ИМ],$A142,РД[Дата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T142" s="66"/>
    </row>
    <row r="143" spans="1:21" s="65" customFormat="1">
      <c r="A143" s="168" t="s">
        <v>114</v>
      </c>
      <c r="B143" s="282">
        <f>SUM(B140:B142)</f>
        <v>0</v>
      </c>
      <c r="C143" s="283">
        <f>SUM(C140:C142)</f>
        <v>0</v>
      </c>
      <c r="D143" s="425">
        <f t="shared" ref="D143:I143" si="21">SUM(D140:D142)</f>
        <v>0</v>
      </c>
      <c r="E143" s="287">
        <f t="shared" si="21"/>
        <v>0</v>
      </c>
      <c r="F143" s="286">
        <f t="shared" si="21"/>
        <v>0</v>
      </c>
      <c r="G143" s="282">
        <f t="shared" si="21"/>
        <v>0</v>
      </c>
      <c r="H143" s="287">
        <f t="shared" si="21"/>
        <v>0</v>
      </c>
      <c r="I143" s="287">
        <f t="shared" si="21"/>
        <v>0</v>
      </c>
      <c r="J143" s="238" t="str">
        <f t="shared" si="20"/>
        <v/>
      </c>
      <c r="K143" s="338" t="str">
        <f t="shared" si="20"/>
        <v/>
      </c>
      <c r="L143" s="318">
        <f>SUM(L140:L142)</f>
        <v>0</v>
      </c>
      <c r="M143" s="321">
        <f>SUM(M140:M142)</f>
        <v>0</v>
      </c>
      <c r="N143" s="319">
        <f>SUM(N140:N142)</f>
        <v>0</v>
      </c>
      <c r="O143" s="319">
        <f>SUM(O140:O142)</f>
        <v>0</v>
      </c>
      <c r="T143" s="66"/>
    </row>
    <row r="144" spans="1:21" s="65" customFormat="1">
      <c r="A144" s="134"/>
      <c r="B144" s="44"/>
      <c r="C144" s="44"/>
      <c r="D144" s="134"/>
      <c r="E144" s="134"/>
      <c r="F144" s="44"/>
      <c r="G144" s="134"/>
      <c r="H144" s="134"/>
      <c r="I144" s="134"/>
      <c r="J144" s="134"/>
      <c r="K144" s="255"/>
      <c r="L144" s="256"/>
      <c r="M144" s="134"/>
      <c r="N144" s="134"/>
      <c r="O144" s="134"/>
      <c r="P144" s="134"/>
      <c r="Q144" s="72"/>
      <c r="U144" s="66"/>
    </row>
    <row r="145" spans="1:21" s="65" customFormat="1" ht="15">
      <c r="A145" s="2402" t="s">
        <v>945</v>
      </c>
      <c r="B145" s="2403"/>
      <c r="C145" s="2403"/>
      <c r="D145" s="2403"/>
      <c r="E145" s="2403"/>
      <c r="F145" s="2403"/>
      <c r="G145" s="2403"/>
      <c r="H145" s="2403"/>
      <c r="I145" s="2403"/>
      <c r="J145" s="2403"/>
      <c r="K145" s="2403"/>
      <c r="L145" s="2403"/>
      <c r="M145" s="2404"/>
      <c r="N145" s="339"/>
      <c r="O145" s="339"/>
      <c r="P145" s="86"/>
      <c r="T145" s="66"/>
    </row>
    <row r="146" spans="1:21" s="65" customFormat="1">
      <c r="A146" s="135" t="s">
        <v>1</v>
      </c>
      <c r="B146" s="135" t="s">
        <v>101</v>
      </c>
      <c r="C146" s="136" t="s">
        <v>98</v>
      </c>
      <c r="D146" s="295" t="s">
        <v>494</v>
      </c>
      <c r="E146" s="138" t="s">
        <v>495</v>
      </c>
      <c r="F146" s="296" t="s">
        <v>496</v>
      </c>
      <c r="G146" s="140" t="s">
        <v>946</v>
      </c>
      <c r="H146" s="141" t="s">
        <v>947</v>
      </c>
      <c r="I146" s="217">
        <v>0</v>
      </c>
      <c r="J146" s="218">
        <v>1</v>
      </c>
      <c r="K146" s="340">
        <v>2</v>
      </c>
      <c r="L146" s="218">
        <v>3</v>
      </c>
      <c r="M146" s="219" t="s">
        <v>1367</v>
      </c>
      <c r="N146" s="339"/>
      <c r="O146" s="339"/>
      <c r="P146" s="86"/>
      <c r="T146" s="66"/>
    </row>
    <row r="147" spans="1:21" s="65" customFormat="1">
      <c r="A147" s="398" t="s">
        <v>8</v>
      </c>
      <c r="B147" s="271">
        <f>SUMIFS(РД[S],РД[МОП],A147,РД[Дата подачи на регистрацию],"&lt;="&amp;$A$1,РД[Дата подачи на регистрацию],"&gt;="&amp;DATE(YEAR($A$1),MONTH($A$1),1),РД[Источник рекламы],"Н -*")</f>
        <v>73.53</v>
      </c>
      <c r="C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</f>
        <v>9190100</v>
      </c>
      <c r="D147" s="329">
        <f>SUMIFS(июнь244243[м2],июнь244243[Столбец1],$A147,июнь244243[КТУ],"АН -*")</f>
        <v>73.53</v>
      </c>
      <c r="E147" s="363">
        <f>SUMIFS(июнь244243[Сумма без отделки],июнь244243[Столбец1],$A147,июнь244243[КТУ],"АН -*")</f>
        <v>9190100</v>
      </c>
      <c r="F147" s="414">
        <f>COUNTIFS(июнь244243[Столбец1],$A147,июнь244243[КТУ],"АН -*")</f>
        <v>2</v>
      </c>
      <c r="G147" s="271">
        <f>SUMIFS(РД[S],РД[МОП],A147,РД[Дата подачи на регистрацию],"&lt;="&amp;$A$1,РД[Дата подачи на регистрацию],"&gt;="&amp;DATE(YEAR($A$1),MONTH($A$1),1),РД[Источник рекламы],"Н -*")/2</f>
        <v>36.765000000000001</v>
      </c>
      <c r="H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-*")/2</f>
        <v>4595050</v>
      </c>
      <c r="I147" s="257">
        <f>COUNTIFS(РД[Тип кв],I$146,РД[МОП],$A147,РД[Дата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J147" s="226">
        <f>COUNTIFS(РД[Тип кв],J$146,РД[МОП],$A147,РД[Дата подачи на регистрацию],"&lt;="&amp;$A$1,РД[Дата подачи на регистрацию],"&gt;="&amp;DATE(YEAR($A$1),MONTH($A$1),1),РД[Источник рекламы],"Н -*")</f>
        <v>2</v>
      </c>
      <c r="K147" s="226">
        <f>COUNTIFS(РД[Тип кв],K$146,РД[МОП],$A147,РД[Дата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L147" s="226">
        <f>COUNTIFS(РД[Тип кв],L$146,РД[МОП],$A147,РД[Дата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M147" s="227">
        <f>COUNTIFS(РД[Тип кв],M$146,РД[МОП],$A147,РД[Дата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N147" s="339"/>
      <c r="O147" s="339"/>
      <c r="P147" s="86"/>
      <c r="T147" s="66"/>
    </row>
    <row r="148" spans="1:21" s="65" customFormat="1">
      <c r="A148" s="153" t="s">
        <v>46</v>
      </c>
      <c r="B148" s="271">
        <f>SUMIFS(РД[S],РД[МОП],A148,РД[Дата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C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D148" s="329">
        <f>SUMIFS(июнь244243[м2],июнь244243[Столбец1],$A148,июнь244243[КТУ],"АН -*")</f>
        <v>0</v>
      </c>
      <c r="E148" s="363">
        <f>SUMIFS(июнь244243[Сумма без отделки],июнь244243[Столбец1],$A148,июнь244243[КТУ],"АН -*")</f>
        <v>0</v>
      </c>
      <c r="F148" s="414">
        <f>COUNTIFS(июнь244243[Столбец1],$A148,июнь244243[КТУ],"АН -*")</f>
        <v>0</v>
      </c>
      <c r="G148" s="271">
        <f>SUMIFS(РД[S],РД[МОП],A148,РД[Дата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H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I148" s="257">
        <f>COUNTIFS(РД[Тип кв],I$146,РД[МОП],$A148,РД[Дата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J148" s="226">
        <f>COUNTIFS(РД[Тип кв],J$146,РД[МОП],$A148,РД[Дата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K148" s="226">
        <f>COUNTIFS(РД[Тип кв],K$146,РД[МОП],$A148,РД[Дата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L148" s="226">
        <f>COUNTIFS(РД[Тип кв],L$146,РД[МОП],$A148,РД[Дата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M148" s="227">
        <f>COUNTIFS(РД[Тип кв],M$146,РД[МОП],$A148,РД[Дата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N148" s="339"/>
      <c r="O148" s="339"/>
      <c r="P148" s="86"/>
      <c r="T148" s="66"/>
    </row>
    <row r="149" spans="1:21" s="65" customFormat="1">
      <c r="A149" s="153" t="s">
        <v>20</v>
      </c>
      <c r="B149" s="271">
        <f>SUMIFS(РД[S],РД[МОП],A149,РД[Дата подачи на регистрацию],"&lt;="&amp;$A$1,РД[Дата подачи на регистрацию],"&gt;="&amp;DATE(YEAR($A$1),MONTH($A$1),1),РД[Источник рекламы],"Н -*")</f>
        <v>43.21</v>
      </c>
      <c r="C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</f>
        <v>4795400</v>
      </c>
      <c r="D149" s="329">
        <f>SUMIFS(июнь244243[м2],июнь244243[Столбец1],$A149,июнь244243[КТУ],"АН -*")</f>
        <v>43.21</v>
      </c>
      <c r="E149" s="363">
        <f>SUMIFS(июнь244243[Сумма без отделки],июнь244243[Столбец1],$A149,июнь244243[КТУ],"АН -*")</f>
        <v>4795400</v>
      </c>
      <c r="F149" s="414">
        <f>COUNTIFS(июнь244243[Столбец1],$A149,июнь244243[КТУ],"АН -*")</f>
        <v>1</v>
      </c>
      <c r="G149" s="271">
        <f>SUMIFS(РД[S],РД[МОП],A149,РД[Дата подачи на регистрацию],"&lt;="&amp;$A$1,РД[Дата подачи на регистрацию],"&gt;="&amp;DATE(YEAR($A$1),MONTH($A$1),1),РД[Источник рекламы],"Н -*")/2</f>
        <v>21.605</v>
      </c>
      <c r="H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-*")/2</f>
        <v>2397700</v>
      </c>
      <c r="I149" s="257">
        <f>COUNTIFS(РД[Тип кв],I$146,РД[МОП],$A149,РД[Дата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J149" s="226">
        <f>COUNTIFS(РД[Тип кв],J$146,РД[МОП],$A149,РД[Дата подачи на регистрацию],"&lt;="&amp;$A$1,РД[Дата подачи на регистрацию],"&gt;="&amp;DATE(YEAR($A$1),MONTH($A$1),1),РД[Источник рекламы],"Н -*")</f>
        <v>1</v>
      </c>
      <c r="K149" s="226">
        <f>COUNTIFS(РД[Тип кв],K$146,РД[МОП],$A149,РД[Дата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L149" s="226">
        <f>COUNTIFS(РД[Тип кв],L$146,РД[МОП],$A149,РД[Дата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M149" s="227">
        <f>COUNTIFS(РД[Тип кв],M$146,РД[МОП],$A149,РД[Дата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N149" s="339"/>
      <c r="O149" s="339"/>
      <c r="P149" s="86"/>
      <c r="T149" s="66"/>
    </row>
    <row r="150" spans="1:21" s="65" customFormat="1">
      <c r="A150" s="153" t="s">
        <v>14</v>
      </c>
      <c r="B150" s="315">
        <f>SUMIFS(РД[S],РД[МОП],A150,РД[Дата подачи на регистрацию],"&lt;="&amp;$A$1,РД[Дата подачи на регистрацию],"&gt;="&amp;DATE(YEAR($A$1),MONTH($A$1),1),РД[Источник рекламы],"Н -*")</f>
        <v>0</v>
      </c>
      <c r="C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</f>
        <v>0</v>
      </c>
      <c r="D150" s="329">
        <f>SUMIFS(июнь244243[м2],июнь244243[Столбец1],$A150,июнь244243[КТУ],"АН -*")</f>
        <v>0</v>
      </c>
      <c r="E150" s="363">
        <f>SUMIFS(июнь244243[Сумма без отделки],июнь244243[Столбец1],$A150,июнь244243[КТУ],"АН -*")</f>
        <v>0</v>
      </c>
      <c r="F150" s="414">
        <f>COUNTIFS(июнь244243[Столбец1],$A150,июнь244243[КТУ],"АН -*")</f>
        <v>0</v>
      </c>
      <c r="G150" s="315">
        <f>SUMIFS(РД[S],РД[МОП],A150,РД[Дата подачи на регистрацию],"&lt;="&amp;$A$1,РД[Дата подачи на регистрацию],"&gt;="&amp;DATE(YEAR($A$1),MONTH($A$1),1),РД[Источник рекламы],"Н -*")/2</f>
        <v>0</v>
      </c>
      <c r="H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-*")/2</f>
        <v>0</v>
      </c>
      <c r="I150" s="329">
        <f>COUNTIFS(РД[Тип кв],I$146,РД[МОП],$A150,РД[Дата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J150" s="330">
        <f>COUNTIFS(РД[Тип кв],J$146,РД[МОП],$A150,РД[Дата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K150" s="330">
        <f>COUNTIFS(РД[Тип кв],K$146,РД[МОП],$A150,РД[Дата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L150" s="330">
        <f>COUNTIFS(РД[Тип кв],L$146,РД[МОП],$A150,РД[Дата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M150" s="331">
        <f>COUNTIFS(РД[Тип кв],M$146,РД[МОП],$A150,РД[Дата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N150" s="339"/>
      <c r="O150" s="339"/>
      <c r="P150" s="86"/>
      <c r="T150" s="66"/>
    </row>
    <row r="151" spans="1:21" s="65" customFormat="1">
      <c r="A151" s="154" t="s">
        <v>29</v>
      </c>
      <c r="B151" s="274">
        <f>SUMIFS(РД[S],РД[МОП],A151,РД[Дата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C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D151" s="341">
        <f>SUMIFS(июнь244243[м2],июнь244243[Столбец1],$A151,июнь244243[КТУ],"АН -*")</f>
        <v>0</v>
      </c>
      <c r="E151" s="277">
        <f>SUMIFS(июнь244243[Сумма без отделки],июнь244243[Столбец1],$A151,июнь244243[КТУ],"АН -*")</f>
        <v>0</v>
      </c>
      <c r="F151" s="405">
        <f>COUNTIFS(июнь244243[Столбец1],$A151,июнь244243[КТУ],"АН -*")</f>
        <v>0</v>
      </c>
      <c r="G151" s="274">
        <f>SUMIFS(РД[S],РД[МОП],A151,РД[Дата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H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I151" s="341">
        <f>COUNTIFS(РД[Тип кв],I$146,РД[МОП],$A151,РД[Дата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J151" s="228">
        <f>COUNTIFS(РД[Тип кв],J$146,РД[МОП],$A151,РД[Дата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K151" s="228">
        <f>COUNTIFS(РД[Тип кв],K$146,РД[МОП],$A151,РД[Дата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L151" s="228">
        <f>COUNTIFS(РД[Тип кв],L$146,РД[МОП],$A151,РД[Дата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M151" s="231">
        <f>COUNTIFS(РД[Тип кв],M$146,РД[МОП],$A151,РД[Дата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N151" s="339"/>
      <c r="O151" s="339"/>
      <c r="P151" s="86"/>
      <c r="T151" s="66"/>
    </row>
    <row r="152" spans="1:21" s="65" customFormat="1">
      <c r="A152" s="317" t="s">
        <v>114</v>
      </c>
      <c r="B152" s="282">
        <f t="shared" ref="B152:L152" si="22">SUM(B147:B150)</f>
        <v>116.74000000000001</v>
      </c>
      <c r="C152" s="283">
        <f t="shared" si="22"/>
        <v>13985500</v>
      </c>
      <c r="D152" s="425">
        <f t="shared" si="22"/>
        <v>116.74000000000001</v>
      </c>
      <c r="E152" s="287">
        <f t="shared" si="22"/>
        <v>13985500</v>
      </c>
      <c r="F152" s="286">
        <f t="shared" si="22"/>
        <v>3</v>
      </c>
      <c r="G152" s="282">
        <f t="shared" si="22"/>
        <v>58.370000000000005</v>
      </c>
      <c r="H152" s="283">
        <f t="shared" si="22"/>
        <v>6992750</v>
      </c>
      <c r="I152" s="284">
        <f t="shared" si="22"/>
        <v>0</v>
      </c>
      <c r="J152" s="285">
        <f t="shared" si="22"/>
        <v>3</v>
      </c>
      <c r="K152" s="285">
        <f t="shared" si="22"/>
        <v>0</v>
      </c>
      <c r="L152" s="285">
        <f t="shared" si="22"/>
        <v>0</v>
      </c>
      <c r="M152" s="305">
        <f>SUM(T145:T146)</f>
        <v>0</v>
      </c>
      <c r="N152" s="339"/>
      <c r="O152" s="339"/>
      <c r="P152" s="86"/>
      <c r="T152" s="66"/>
    </row>
    <row r="153" spans="1:21" s="65" customFormat="1">
      <c r="A153" s="135" t="s">
        <v>115</v>
      </c>
      <c r="B153" s="135" t="s">
        <v>101</v>
      </c>
      <c r="C153" s="136" t="s">
        <v>98</v>
      </c>
      <c r="D153" s="295" t="s">
        <v>494</v>
      </c>
      <c r="E153" s="138" t="s">
        <v>495</v>
      </c>
      <c r="F153" s="296" t="s">
        <v>496</v>
      </c>
      <c r="G153" s="140" t="s">
        <v>946</v>
      </c>
      <c r="H153" s="141" t="s">
        <v>947</v>
      </c>
      <c r="I153" s="217">
        <v>0</v>
      </c>
      <c r="J153" s="218">
        <v>1</v>
      </c>
      <c r="K153" s="340">
        <v>2</v>
      </c>
      <c r="L153" s="218">
        <v>3</v>
      </c>
      <c r="M153" s="219" t="s">
        <v>1367</v>
      </c>
      <c r="N153" s="339"/>
      <c r="O153" s="339"/>
      <c r="P153" s="86"/>
      <c r="T153" s="66"/>
    </row>
    <row r="154" spans="1:21" s="65" customFormat="1">
      <c r="A154" s="177" t="s">
        <v>1892</v>
      </c>
      <c r="B154" s="291">
        <f>SUMIFS(РД[S],РД[ИМ],A154,РД[Дата подачи на регистрацию],"&lt;="&amp;$A$1,РД[Дата подачи на регистрацию],"&gt;="&amp;DATE(YEAR($A$1),MONTH($A$1),1),РД[Источник рекламы],"Н -*")</f>
        <v>0</v>
      </c>
      <c r="C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</f>
        <v>0</v>
      </c>
      <c r="D154" s="346">
        <f>SUMIFS(июнь244243[м2],июнь244243[ИМ],$A154,июнь244243[КТУ],"АН -*")</f>
        <v>0</v>
      </c>
      <c r="E154" s="292">
        <f>SUMIFS(июнь244243[Сумма без отделки],июнь244243[ИМ],$A154,июнь244243[КТУ],"АН -*")</f>
        <v>0</v>
      </c>
      <c r="F154" s="415">
        <f>COUNTIFS(июнь244243[ИМ],$A154,июнь244243[КТУ],"АН -*")</f>
        <v>0</v>
      </c>
      <c r="G154" s="291">
        <f>SUMIFS(РД[S],РД[ИМ],A154,РД[Дата подачи на регистрацию],"&lt;="&amp;$A$1,РД[Дата подачи на регистрацию],"&gt;="&amp;DATE(YEAR($A$1),MONTH($A$1),1),РД[Источник рекламы],"Н -*")/2</f>
        <v>0</v>
      </c>
      <c r="H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-*")/2</f>
        <v>0</v>
      </c>
      <c r="I154" s="346">
        <f>COUNTIFS(РД[Тип кв],I$146,РД[ИМ],$A154,РД[Дата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J154" s="243">
        <f>COUNTIFS(РД[Тип кв],J$146,РД[ИМ],$A154,РД[Дата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K154" s="243">
        <f>COUNTIFS(РД[Тип кв],K$146,РД[ИМ],$A154,РД[Дата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L154" s="243">
        <f>COUNTIFS(РД[Тип кв],L$146,РД[ИМ],$A154,РД[Дата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M154" s="246">
        <f>COUNTIFS(РД[Тип кв],M$146,РД[ИМ],$A154,РД[Дата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N154" s="339"/>
      <c r="O154" s="339"/>
      <c r="P154" s="86"/>
      <c r="T154" s="66"/>
    </row>
    <row r="155" spans="1:21" s="65" customFormat="1">
      <c r="A155" s="150" t="s">
        <v>22</v>
      </c>
      <c r="B155" s="271">
        <f>SUMIFS(РД[S],РД[ИМ],A155,РД[Дата подачи на регистрацию],"&lt;="&amp;$A$1,РД[Дата подачи на регистрацию],"&gt;="&amp;DATE(YEAR($A$1),MONTH($A$1),1),РД[Источник рекламы],"Н -*")</f>
        <v>116.74000000000001</v>
      </c>
      <c r="C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</f>
        <v>13985500</v>
      </c>
      <c r="D155" s="257">
        <f>SUMIFS(июнь244243[м2],июнь244243[ИМ],$A155,июнь244243[КТУ],"АН -*")</f>
        <v>116.74000000000001</v>
      </c>
      <c r="E155" s="52">
        <f>SUMIFS(июнь244243[Сумма без отделки],июнь244243[ИМ],$A155,июнь244243[КТУ],"АН -*")</f>
        <v>13985500</v>
      </c>
      <c r="F155" s="413">
        <f>COUNTIFS(июнь244243[ИМ],$A155,июнь244243[КТУ],"АН -*")</f>
        <v>3</v>
      </c>
      <c r="G155" s="271">
        <f>SUMIFS(РД[S],РД[ИМ],A155,РД[Дата подачи на регистрацию],"&lt;="&amp;$A$1,РД[Дата подачи на регистрацию],"&gt;="&amp;DATE(YEAR($A$1),MONTH($A$1),1),РД[Источник рекламы],"Н -*")/2</f>
        <v>58.370000000000005</v>
      </c>
      <c r="H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-*")/2</f>
        <v>6992750</v>
      </c>
      <c r="I155" s="257">
        <f>COUNTIFS(РД[Тип кв],I$146,РД[ИМ],$A155,РД[Дата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J155" s="226">
        <f>COUNTIFS(РД[Тип кв],J$146,РД[ИМ],$A155,РД[Дата подачи на регистрацию],"&lt;="&amp;$A$1,РД[Дата подачи на регистрацию],"&gt;="&amp;DATE(YEAR($A$1),MONTH($A$1),1),РД[Источник рекламы],"Н -*")</f>
        <v>3</v>
      </c>
      <c r="K155" s="226">
        <f>COUNTIFS(РД[Тип кв],K$146,РД[ИМ],$A155,РД[Дата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L155" s="226">
        <f>COUNTIFS(РД[Тип кв],L$146,РД[ИМ],$A155,РД[Дата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M155" s="227">
        <f>COUNTIFS(РД[Тип кв],M$146,РД[ИМ],$A155,РД[Дата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N155" s="339"/>
      <c r="O155" s="339"/>
      <c r="P155" s="86"/>
      <c r="T155" s="66"/>
    </row>
    <row r="156" spans="1:21" s="65" customFormat="1">
      <c r="A156" s="189" t="s">
        <v>16</v>
      </c>
      <c r="B156" s="315">
        <f>SUMIFS(РД[S],РД[ИМ],A156,РД[Дата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C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D156" s="329">
        <f>SUMIFS(июнь244243[м2],июнь244243[ИМ],$A156,июнь244243[КТУ],"АН -*")</f>
        <v>0</v>
      </c>
      <c r="E156" s="363">
        <f>SUMIFS(июнь244243[Сумма без отделки],июнь244243[ИМ],$A156,июнь244243[КТУ],"АН -*")</f>
        <v>0</v>
      </c>
      <c r="F156" s="414">
        <f>COUNTIFS(июнь244243[ИМ],$A156,июнь244243[КТУ],"АН -*")</f>
        <v>0</v>
      </c>
      <c r="G156" s="315">
        <f>SUMIFS(РД[S],РД[ИМ],A156,РД[Дата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H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I156" s="329">
        <f>COUNTIFS(РД[Тип кв],I$146,РД[ИМ],$A156,РД[Дата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J156" s="330">
        <f>COUNTIFS(РД[Тип кв],J$146,РД[ИМ],$A156,РД[Дата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K156" s="330">
        <f>COUNTIFS(РД[Тип кв],K$146,РД[ИМ],$A156,РД[Дата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L156" s="330">
        <f>COUNTIFS(РД[Тип кв],L$146,РД[ИМ],$A156,РД[Дата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M156" s="331">
        <f>COUNTIFS(РД[Тип кв],M$146,РД[ИМ],$A156,РД[Дата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N156" s="339"/>
      <c r="O156" s="339"/>
      <c r="P156" s="86"/>
      <c r="T156" s="66"/>
    </row>
    <row r="157" spans="1:21" s="65" customFormat="1">
      <c r="A157" s="317" t="s">
        <v>114</v>
      </c>
      <c r="B157" s="323">
        <f>SUM(B154:B156)</f>
        <v>116.74000000000001</v>
      </c>
      <c r="C157" s="324">
        <f t="shared" ref="C157:M157" si="23">SUM(C154:C156)</f>
        <v>13985500</v>
      </c>
      <c r="D157" s="428">
        <f t="shared" si="23"/>
        <v>116.74000000000001</v>
      </c>
      <c r="E157" s="429">
        <f t="shared" si="23"/>
        <v>13985500</v>
      </c>
      <c r="F157" s="430">
        <f t="shared" si="23"/>
        <v>3</v>
      </c>
      <c r="G157" s="323">
        <f t="shared" si="23"/>
        <v>58.370000000000005</v>
      </c>
      <c r="H157" s="324">
        <f t="shared" si="23"/>
        <v>6992750</v>
      </c>
      <c r="I157" s="318">
        <f t="shared" si="23"/>
        <v>0</v>
      </c>
      <c r="J157" s="321">
        <f t="shared" si="23"/>
        <v>3</v>
      </c>
      <c r="K157" s="321">
        <f t="shared" si="23"/>
        <v>0</v>
      </c>
      <c r="L157" s="321">
        <f t="shared" si="23"/>
        <v>0</v>
      </c>
      <c r="M157" s="319">
        <f t="shared" si="23"/>
        <v>0</v>
      </c>
      <c r="N157" s="339"/>
      <c r="O157" s="339"/>
      <c r="P157" s="86"/>
      <c r="T157" s="66"/>
    </row>
    <row r="158" spans="1:21" s="65" customFormat="1">
      <c r="Q158" s="86"/>
      <c r="U158" s="66"/>
    </row>
    <row r="159" spans="1:21" s="65" customFormat="1">
      <c r="Q159" s="86"/>
      <c r="U159" s="66"/>
    </row>
    <row r="160" spans="1:21" s="65" customFormat="1">
      <c r="Q160" s="86"/>
      <c r="U160" s="66"/>
    </row>
    <row r="161" spans="17:21" s="65" customFormat="1">
      <c r="Q161" s="86"/>
      <c r="U161" s="66"/>
    </row>
    <row r="162" spans="17:21" s="65" customFormat="1">
      <c r="Q162" s="86"/>
      <c r="U162" s="66"/>
    </row>
    <row r="163" spans="17:21" s="65" customFormat="1">
      <c r="Q163" s="86"/>
      <c r="U163" s="66"/>
    </row>
    <row r="164" spans="17:21" s="65" customFormat="1">
      <c r="Q164" s="86"/>
      <c r="U164" s="66"/>
    </row>
    <row r="165" spans="17:21" s="65" customFormat="1">
      <c r="Q165" s="86"/>
      <c r="U165" s="66"/>
    </row>
    <row r="166" spans="17:21" s="65" customFormat="1">
      <c r="Q166" s="86"/>
      <c r="U166" s="66"/>
    </row>
    <row r="167" spans="17:21" s="65" customFormat="1">
      <c r="Q167" s="86"/>
      <c r="U167" s="66"/>
    </row>
    <row r="168" spans="17:21" s="65" customFormat="1">
      <c r="Q168" s="86"/>
      <c r="U168" s="66"/>
    </row>
    <row r="169" spans="17:21" s="65" customFormat="1">
      <c r="Q169" s="86"/>
      <c r="U169" s="66"/>
    </row>
    <row r="170" spans="17:21" s="65" customFormat="1">
      <c r="Q170" s="86"/>
      <c r="U170" s="66"/>
    </row>
    <row r="171" spans="17:21" s="65" customFormat="1">
      <c r="Q171" s="86"/>
      <c r="U171" s="66"/>
    </row>
    <row r="172" spans="17:21" s="65" customFormat="1">
      <c r="Q172" s="86"/>
      <c r="U172" s="66"/>
    </row>
    <row r="173" spans="17:21" s="65" customFormat="1">
      <c r="Q173" s="86"/>
      <c r="U173" s="66"/>
    </row>
    <row r="174" spans="17:21" s="65" customFormat="1">
      <c r="Q174" s="86"/>
      <c r="U174" s="66"/>
    </row>
    <row r="175" spans="17:21" s="65" customFormat="1">
      <c r="Q175" s="86"/>
      <c r="U175" s="66"/>
    </row>
    <row r="176" spans="17:21" s="65" customFormat="1">
      <c r="Q176" s="86"/>
      <c r="U176" s="66"/>
    </row>
    <row r="177" spans="17:21" s="65" customFormat="1">
      <c r="Q177" s="86"/>
      <c r="U177" s="66"/>
    </row>
    <row r="178" spans="17:21" s="65" customFormat="1">
      <c r="Q178" s="86"/>
      <c r="U178" s="66"/>
    </row>
    <row r="179" spans="17:21" s="65" customFormat="1">
      <c r="Q179" s="86"/>
      <c r="U179" s="66"/>
    </row>
    <row r="180" spans="17:21" s="65" customFormat="1">
      <c r="Q180" s="86"/>
      <c r="U180" s="66"/>
    </row>
    <row r="181" spans="17:21" s="65" customFormat="1">
      <c r="Q181" s="86"/>
      <c r="U181" s="66"/>
    </row>
    <row r="182" spans="17:21" s="65" customFormat="1">
      <c r="Q182" s="86"/>
      <c r="U182" s="66"/>
    </row>
    <row r="183" spans="17:21" s="65" customFormat="1">
      <c r="Q183" s="86"/>
      <c r="U183" s="66"/>
    </row>
    <row r="184" spans="17:21" s="65" customFormat="1">
      <c r="Q184" s="86"/>
      <c r="U184" s="66"/>
    </row>
    <row r="185" spans="17:21" s="65" customFormat="1">
      <c r="Q185" s="86"/>
      <c r="U185" s="66"/>
    </row>
    <row r="186" spans="17:21" s="65" customFormat="1">
      <c r="Q186" s="86"/>
      <c r="U186" s="66"/>
    </row>
    <row r="187" spans="17:21" s="65" customFormat="1">
      <c r="Q187" s="86"/>
      <c r="U187" s="66"/>
    </row>
    <row r="188" spans="17:21" s="65" customFormat="1">
      <c r="Q188" s="86"/>
      <c r="U188" s="66"/>
    </row>
    <row r="189" spans="17:21" s="65" customFormat="1">
      <c r="Q189" s="86"/>
      <c r="U189" s="66"/>
    </row>
    <row r="190" spans="17:21" s="65" customFormat="1">
      <c r="Q190" s="86"/>
      <c r="U190" s="66"/>
    </row>
    <row r="191" spans="17:21" s="65" customFormat="1">
      <c r="Q191" s="86"/>
      <c r="U191" s="66"/>
    </row>
    <row r="192" spans="17:21" s="65" customFormat="1">
      <c r="Q192" s="86"/>
      <c r="U192" s="66"/>
    </row>
    <row r="193" spans="1:21" s="65" customFormat="1">
      <c r="Q193" s="86"/>
      <c r="U193" s="66"/>
    </row>
    <row r="194" spans="1:2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86"/>
      <c r="R194" s="65"/>
      <c r="S194" s="65"/>
    </row>
    <row r="195" spans="1:2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86"/>
      <c r="R195" s="65"/>
      <c r="S195" s="65"/>
    </row>
    <row r="196" spans="1:21" s="65" customFormat="1">
      <c r="Q196" s="86"/>
      <c r="U196" s="66"/>
    </row>
    <row r="197" spans="1:21" s="65" customFormat="1">
      <c r="Q197" s="86"/>
      <c r="U197" s="66"/>
    </row>
    <row r="198" spans="1:21" s="65" customFormat="1">
      <c r="Q198" s="86"/>
      <c r="U198" s="66"/>
    </row>
    <row r="199" spans="1:21" s="65" customFormat="1">
      <c r="Q199" s="86"/>
      <c r="U199" s="66"/>
    </row>
    <row r="200" spans="1:21" s="65" customFormat="1">
      <c r="Q200" s="86"/>
      <c r="U200" s="66"/>
    </row>
    <row r="201" spans="1:21" s="65" customFormat="1">
      <c r="Q201" s="86"/>
      <c r="U201" s="66"/>
    </row>
    <row r="202" spans="1:21" s="65" customFormat="1">
      <c r="Q202" s="86"/>
      <c r="U202" s="66"/>
    </row>
    <row r="203" spans="1:21" s="65" customFormat="1">
      <c r="Q203" s="86"/>
      <c r="U203" s="66"/>
    </row>
    <row r="204" spans="1:21" s="65" customFormat="1">
      <c r="Q204" s="86"/>
      <c r="U204" s="66"/>
    </row>
    <row r="205" spans="1:21" s="65" customFormat="1">
      <c r="Q205" s="86"/>
      <c r="U205" s="66"/>
    </row>
    <row r="206" spans="1:21" s="65" customFormat="1">
      <c r="Q206" s="86"/>
      <c r="U206" s="66"/>
    </row>
    <row r="207" spans="1:21" s="65" customFormat="1">
      <c r="Q207" s="86"/>
      <c r="U207" s="66"/>
    </row>
    <row r="208" spans="1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R282" s="66"/>
      <c r="S282" s="66"/>
      <c r="U282" s="66"/>
    </row>
    <row r="283" spans="17:21" s="65" customFormat="1">
      <c r="Q283" s="86"/>
      <c r="R283" s="66"/>
      <c r="S283" s="66"/>
      <c r="U283" s="66"/>
    </row>
    <row r="284" spans="17:21" s="65" customFormat="1">
      <c r="Q284" s="86"/>
      <c r="R284" s="66"/>
      <c r="S284" s="66"/>
      <c r="U284" s="66"/>
    </row>
    <row r="285" spans="17:21" s="65" customFormat="1">
      <c r="Q285" s="86"/>
      <c r="R285" s="66"/>
      <c r="S285" s="66"/>
      <c r="U285" s="66"/>
    </row>
  </sheetData>
  <sheetProtection formatCells="0" formatColumns="0" formatRows="0" sort="0" autoFilter="0" pivotTables="0"/>
  <mergeCells count="7">
    <mergeCell ref="A130:O130"/>
    <mergeCell ref="A145:M145"/>
    <mergeCell ref="A1:U1"/>
    <mergeCell ref="A70:B70"/>
    <mergeCell ref="A85:B85"/>
    <mergeCell ref="A100:B100"/>
    <mergeCell ref="A115:B115"/>
  </mergeCells>
  <pageMargins left="0.25" right="0.25" top="0.75" bottom="0.75" header="0.3" footer="0.3"/>
  <pageSetup paperSize="9" scale="25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400-000000000000}">
          <x14:formula1>
            <xm:f>Списки!$C$2:$C$27</xm:f>
          </x14:formula1>
          <xm:sqref>U8 U23 K3:K26 K28:K64 T3:U7 T9:U22 T24:U26 T28:U64</xm:sqref>
        </x14:dataValidation>
        <x14:dataValidation type="list" allowBlank="1" showInputMessage="1" showErrorMessage="1" xr:uid="{00000000-0002-0000-34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400-000002000000}">
          <x14:formula1>
            <xm:f>Списки!$B$2:$B$5</xm:f>
          </x14:formula1>
          <xm:sqref>D3:D26 D28:D64 G67:G68</xm:sqref>
        </x14:dataValidation>
        <x14:dataValidation type="list" allowBlank="1" showInputMessage="1" showErrorMessage="1" xr:uid="{00000000-0002-0000-34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400-000004000000}">
          <x14:formula1>
            <xm:f>Списки!$D$2:$D$7</xm:f>
          </x14:formula1>
          <xm:sqref>F67:F68 H3:H26 H28:H64</xm:sqref>
        </x14:dataValidation>
        <x14:dataValidation type="list" allowBlank="1" showInputMessage="1" showErrorMessage="1" xr:uid="{00000000-0002-0000-3400-000005000000}">
          <x14:formula1>
            <xm:f>Списки!$E$2:$E$7</xm:f>
          </x14:formula1>
          <xm:sqref>H67:H68 L3:L26 L28:L64</xm:sqref>
        </x14:dataValidation>
        <x14:dataValidation type="list" allowBlank="1" showInputMessage="1" showErrorMessage="1" xr:uid="{00000000-0002-0000-3400-000006000000}">
          <x14:formula1>
            <xm:f>Списки!$G$2:$G$3</xm:f>
          </x14:formula1>
          <xm:sqref>L67:L68 N3:N26 N28:N64</xm:sqref>
        </x14:dataValidation>
        <x14:dataValidation type="list" allowBlank="1" showInputMessage="1" showErrorMessage="1" xr:uid="{00000000-0002-0000-3400-000007000000}">
          <x14:formula1>
            <xm:f>Списки!$F$2:$F$3</xm:f>
          </x14:formula1>
          <xm:sqref>N67:N68 P3:P26 P28:P64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AF285"/>
  <sheetViews>
    <sheetView view="pageBreakPreview" topLeftCell="G1" zoomScaleNormal="85" workbookViewId="0">
      <pane ySplit="2" topLeftCell="A8" activePane="bottomLeft" state="frozen"/>
      <selection pane="bottomLeft" activeCell="K92" sqref="K9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3.42578125" style="66" customWidth="1"/>
    <col min="4" max="4" width="14.28515625" style="66" customWidth="1"/>
    <col min="5" max="5" width="12.28515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45565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0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2191</v>
      </c>
      <c r="V2" s="111" t="s">
        <v>1584</v>
      </c>
    </row>
    <row r="3" spans="1:32" s="61" customFormat="1">
      <c r="A3" s="62">
        <v>1</v>
      </c>
      <c r="B3" s="75" t="s">
        <v>6</v>
      </c>
      <c r="C3" s="74">
        <v>34366</v>
      </c>
      <c r="D3" s="62" t="s">
        <v>7</v>
      </c>
      <c r="E3" s="75">
        <v>389</v>
      </c>
      <c r="F3" s="62">
        <v>2</v>
      </c>
      <c r="G3" s="62">
        <v>67.95</v>
      </c>
      <c r="H3" s="62" t="s">
        <v>25</v>
      </c>
      <c r="I3" s="348">
        <v>22000</v>
      </c>
      <c r="J3" s="95">
        <v>8453700</v>
      </c>
      <c r="K3" s="62" t="s">
        <v>8</v>
      </c>
      <c r="L3" s="62" t="s">
        <v>22</v>
      </c>
      <c r="M3" s="62" t="s">
        <v>583</v>
      </c>
      <c r="N3" s="62" t="s">
        <v>18</v>
      </c>
      <c r="O3" s="92">
        <v>45541</v>
      </c>
      <c r="P3" s="62"/>
      <c r="Q3" s="62" t="s">
        <v>2192</v>
      </c>
      <c r="R3" s="113" t="s">
        <v>67</v>
      </c>
      <c r="S3" s="113" t="s">
        <v>67</v>
      </c>
      <c r="T3" s="62" t="s">
        <v>8</v>
      </c>
      <c r="U3" s="62" t="s">
        <v>8</v>
      </c>
      <c r="V3" s="114">
        <f>сент24[[#This Row],[сумма]]-сент24[[#This Row],[Цена м2 отделки]]*сент24[[#This Row],[м2]]</f>
        <v>6958800</v>
      </c>
    </row>
    <row r="4" spans="1:32" s="61" customFormat="1">
      <c r="A4" s="62">
        <v>2</v>
      </c>
      <c r="B4" s="62" t="s">
        <v>6</v>
      </c>
      <c r="C4" s="74">
        <v>35267</v>
      </c>
      <c r="D4" s="62" t="s">
        <v>13</v>
      </c>
      <c r="E4" s="75">
        <v>377</v>
      </c>
      <c r="F4" s="62">
        <v>0</v>
      </c>
      <c r="G4" s="62">
        <v>24.53</v>
      </c>
      <c r="H4" s="62" t="s">
        <v>25</v>
      </c>
      <c r="I4" s="62">
        <v>20000</v>
      </c>
      <c r="J4" s="95">
        <v>3863600</v>
      </c>
      <c r="K4" s="62" t="s">
        <v>31</v>
      </c>
      <c r="L4" s="62" t="s">
        <v>22</v>
      </c>
      <c r="M4" s="62" t="s">
        <v>583</v>
      </c>
      <c r="N4" s="62" t="s">
        <v>18</v>
      </c>
      <c r="O4" s="92">
        <v>45544</v>
      </c>
      <c r="P4" s="62"/>
      <c r="Q4" s="62" t="s">
        <v>2193</v>
      </c>
      <c r="R4" s="113" t="s">
        <v>67</v>
      </c>
      <c r="S4" s="113" t="s">
        <v>67</v>
      </c>
      <c r="T4" s="62" t="s">
        <v>31</v>
      </c>
      <c r="U4" s="62" t="s">
        <v>8</v>
      </c>
      <c r="V4" s="114">
        <f>сент24[[#This Row],[сумма]]-сент24[[#This Row],[Цена м2 отделки]]*сент24[[#This Row],[м2]]</f>
        <v>3373000</v>
      </c>
    </row>
    <row r="5" spans="1:32" s="61" customFormat="1">
      <c r="A5" s="62">
        <v>3</v>
      </c>
      <c r="B5" s="62" t="s">
        <v>6</v>
      </c>
      <c r="C5" s="383">
        <v>34918</v>
      </c>
      <c r="D5" s="102" t="s">
        <v>7</v>
      </c>
      <c r="E5" s="102">
        <v>512</v>
      </c>
      <c r="F5" s="102">
        <v>3</v>
      </c>
      <c r="G5" s="102">
        <v>74.28</v>
      </c>
      <c r="H5" s="102" t="s">
        <v>9</v>
      </c>
      <c r="I5" s="102"/>
      <c r="J5" s="384">
        <v>7589377</v>
      </c>
      <c r="K5" s="354" t="s">
        <v>14</v>
      </c>
      <c r="L5" s="102" t="s">
        <v>84</v>
      </c>
      <c r="M5" s="102" t="s">
        <v>286</v>
      </c>
      <c r="N5" s="102" t="s">
        <v>18</v>
      </c>
      <c r="O5" s="385">
        <v>45565</v>
      </c>
      <c r="P5" s="354"/>
      <c r="Q5" s="391" t="s">
        <v>2194</v>
      </c>
      <c r="R5" s="391" t="s">
        <v>67</v>
      </c>
      <c r="S5" s="391" t="s">
        <v>67</v>
      </c>
      <c r="T5" s="354" t="s">
        <v>14</v>
      </c>
      <c r="U5" s="354" t="s">
        <v>14</v>
      </c>
      <c r="V5" s="114">
        <f>сент24[[#This Row],[сумма]]-сент24[[#This Row],[Цена м2 отделки]]*сент24[[#This Row],[м2]]</f>
        <v>7589377</v>
      </c>
    </row>
    <row r="6" spans="1:32" s="61" customFormat="1">
      <c r="A6" s="62">
        <v>4</v>
      </c>
      <c r="B6" s="62" t="s">
        <v>6</v>
      </c>
      <c r="C6" s="74">
        <v>35814</v>
      </c>
      <c r="D6" s="62" t="s">
        <v>13</v>
      </c>
      <c r="E6" s="75">
        <v>253</v>
      </c>
      <c r="F6" s="62">
        <v>2</v>
      </c>
      <c r="G6" s="62">
        <v>60.24</v>
      </c>
      <c r="H6" s="76" t="s">
        <v>25</v>
      </c>
      <c r="I6" s="62">
        <v>20000</v>
      </c>
      <c r="J6" s="91">
        <v>7090100</v>
      </c>
      <c r="K6" s="62" t="s">
        <v>46</v>
      </c>
      <c r="L6" s="62" t="s">
        <v>22</v>
      </c>
      <c r="M6" s="62" t="s">
        <v>583</v>
      </c>
      <c r="N6" s="62" t="s">
        <v>18</v>
      </c>
      <c r="O6" s="92">
        <v>45561</v>
      </c>
      <c r="P6" s="62"/>
      <c r="Q6" s="76" t="s">
        <v>2195</v>
      </c>
      <c r="R6" s="113" t="s">
        <v>67</v>
      </c>
      <c r="S6" s="382" t="s">
        <v>67</v>
      </c>
      <c r="T6" s="354" t="s">
        <v>46</v>
      </c>
      <c r="U6" s="102" t="s">
        <v>46</v>
      </c>
      <c r="V6" s="114">
        <f>сент24[[#This Row],[сумма]]-сент24[[#This Row],[Цена м2 отделки]]*сент24[[#This Row],[м2]]</f>
        <v>5885300</v>
      </c>
    </row>
    <row r="7" spans="1:32" s="61" customFormat="1">
      <c r="A7" s="62">
        <v>5</v>
      </c>
      <c r="B7" s="62" t="s">
        <v>6</v>
      </c>
      <c r="C7" s="383">
        <v>35232</v>
      </c>
      <c r="D7" s="102" t="s">
        <v>7</v>
      </c>
      <c r="E7" s="102">
        <v>363</v>
      </c>
      <c r="F7" s="102">
        <v>2</v>
      </c>
      <c r="G7" s="102">
        <v>58.55</v>
      </c>
      <c r="H7" s="102" t="s">
        <v>25</v>
      </c>
      <c r="I7" s="102">
        <v>22000</v>
      </c>
      <c r="J7" s="384">
        <v>7657799</v>
      </c>
      <c r="K7" s="354" t="s">
        <v>42</v>
      </c>
      <c r="L7" s="102" t="s">
        <v>1892</v>
      </c>
      <c r="M7" s="102" t="s">
        <v>583</v>
      </c>
      <c r="N7" s="102" t="s">
        <v>18</v>
      </c>
      <c r="O7" s="385">
        <v>45552</v>
      </c>
      <c r="P7" s="354"/>
      <c r="Q7" s="391" t="s">
        <v>2196</v>
      </c>
      <c r="R7" s="391" t="s">
        <v>67</v>
      </c>
      <c r="S7" s="391" t="s">
        <v>67</v>
      </c>
      <c r="T7" s="354" t="s">
        <v>42</v>
      </c>
      <c r="U7" s="102" t="s">
        <v>46</v>
      </c>
      <c r="V7" s="114">
        <f>сент24[[#This Row],[сумма]]-сент24[[#This Row],[Цена м2 отделки]]*сент24[[#This Row],[м2]]</f>
        <v>6369699</v>
      </c>
    </row>
    <row r="8" spans="1:32" s="61" customFormat="1">
      <c r="A8" s="62">
        <v>6</v>
      </c>
      <c r="B8" s="62" t="s">
        <v>6</v>
      </c>
      <c r="C8" s="75">
        <v>34451</v>
      </c>
      <c r="D8" s="62" t="s">
        <v>7</v>
      </c>
      <c r="E8" s="75">
        <v>316</v>
      </c>
      <c r="F8" s="62">
        <v>3</v>
      </c>
      <c r="G8" s="62">
        <v>72.510000000000005</v>
      </c>
      <c r="H8" s="117" t="s">
        <v>25</v>
      </c>
      <c r="I8" s="117">
        <v>22000</v>
      </c>
      <c r="J8" s="95">
        <v>8647202</v>
      </c>
      <c r="K8" s="117" t="s">
        <v>20</v>
      </c>
      <c r="L8" s="62" t="s">
        <v>22</v>
      </c>
      <c r="M8" s="62" t="s">
        <v>583</v>
      </c>
      <c r="N8" s="62" t="s">
        <v>18</v>
      </c>
      <c r="O8" s="92">
        <v>45545</v>
      </c>
      <c r="P8" s="117"/>
      <c r="Q8" s="392" t="s">
        <v>2197</v>
      </c>
      <c r="R8" s="76" t="s">
        <v>67</v>
      </c>
      <c r="S8" s="76" t="s">
        <v>67</v>
      </c>
      <c r="T8" s="354" t="s">
        <v>20</v>
      </c>
      <c r="U8" s="102" t="s">
        <v>20</v>
      </c>
      <c r="V8" s="114">
        <f>сент24[[#This Row],[сумма]]-сент24[[#This Row],[Цена м2 отделки]]*сент24[[#This Row],[м2]]</f>
        <v>7051982</v>
      </c>
    </row>
    <row r="9" spans="1:32" s="61" customFormat="1">
      <c r="A9" s="65">
        <v>7</v>
      </c>
      <c r="B9" s="65" t="s">
        <v>6</v>
      </c>
      <c r="C9" s="78">
        <v>35172</v>
      </c>
      <c r="D9" s="65" t="s">
        <v>13</v>
      </c>
      <c r="E9" s="79">
        <v>520</v>
      </c>
      <c r="F9" s="65">
        <v>2</v>
      </c>
      <c r="G9" s="65"/>
      <c r="H9" s="86"/>
      <c r="I9" s="65"/>
      <c r="J9" s="104"/>
      <c r="K9" s="65"/>
      <c r="L9" s="65"/>
      <c r="M9" s="65"/>
      <c r="N9" s="65"/>
      <c r="O9" s="98"/>
      <c r="P9" s="65"/>
      <c r="Q9" s="86"/>
      <c r="R9" s="118"/>
      <c r="S9" s="118"/>
      <c r="T9" s="65"/>
      <c r="U9" s="65"/>
      <c r="V9" s="115">
        <f>сент24[[#This Row],[сумма]]-сент24[[#This Row],[Цена м2 отделки]]*сент24[[#This Row],[м2]]</f>
        <v>0</v>
      </c>
    </row>
    <row r="10" spans="1:32" s="61" customFormat="1">
      <c r="A10" s="62">
        <v>7</v>
      </c>
      <c r="B10" s="62" t="s">
        <v>6</v>
      </c>
      <c r="C10" s="75">
        <v>35666</v>
      </c>
      <c r="D10" s="62" t="s">
        <v>13</v>
      </c>
      <c r="E10" s="75">
        <v>464</v>
      </c>
      <c r="F10" s="62">
        <v>2</v>
      </c>
      <c r="G10" s="62">
        <v>58.24</v>
      </c>
      <c r="H10" s="62" t="s">
        <v>25</v>
      </c>
      <c r="I10" s="62">
        <v>20000</v>
      </c>
      <c r="J10" s="95">
        <v>6661305</v>
      </c>
      <c r="K10" s="62" t="s">
        <v>20</v>
      </c>
      <c r="L10" s="62" t="s">
        <v>22</v>
      </c>
      <c r="M10" s="62" t="s">
        <v>583</v>
      </c>
      <c r="N10" s="62" t="s">
        <v>18</v>
      </c>
      <c r="O10" s="92">
        <v>45548</v>
      </c>
      <c r="P10" s="62"/>
      <c r="Q10" s="62" t="s">
        <v>2198</v>
      </c>
      <c r="R10" s="76" t="s">
        <v>67</v>
      </c>
      <c r="S10" s="76" t="s">
        <v>67</v>
      </c>
      <c r="T10" s="62" t="s">
        <v>20</v>
      </c>
      <c r="U10" s="62" t="s">
        <v>20</v>
      </c>
      <c r="V10" s="114">
        <f>сент24[[#This Row],[сумма]]-сент24[[#This Row],[Цена м2 отделки]]*сент24[[#This Row],[м2]]</f>
        <v>5496505</v>
      </c>
    </row>
    <row r="11" spans="1:32" s="61" customFormat="1">
      <c r="A11" s="62">
        <v>8</v>
      </c>
      <c r="B11" s="62" t="s">
        <v>6</v>
      </c>
      <c r="C11" s="75">
        <v>34893</v>
      </c>
      <c r="D11" s="62" t="s">
        <v>13</v>
      </c>
      <c r="E11" s="75">
        <v>512</v>
      </c>
      <c r="F11" s="62">
        <v>2</v>
      </c>
      <c r="G11" s="62">
        <v>58.24</v>
      </c>
      <c r="H11" s="117" t="s">
        <v>9</v>
      </c>
      <c r="I11" s="117"/>
      <c r="J11" s="95">
        <v>5496776.5999999996</v>
      </c>
      <c r="K11" s="117" t="s">
        <v>20</v>
      </c>
      <c r="L11" s="62" t="s">
        <v>10</v>
      </c>
      <c r="M11" s="62" t="s">
        <v>286</v>
      </c>
      <c r="N11" s="62" t="s">
        <v>18</v>
      </c>
      <c r="O11" s="92">
        <v>45555</v>
      </c>
      <c r="P11" s="117"/>
      <c r="Q11" s="76" t="s">
        <v>2199</v>
      </c>
      <c r="R11" s="76" t="s">
        <v>67</v>
      </c>
      <c r="S11" s="76" t="s">
        <v>67</v>
      </c>
      <c r="T11" s="117" t="s">
        <v>20</v>
      </c>
      <c r="U11" s="117" t="s">
        <v>20</v>
      </c>
      <c r="V11" s="114">
        <f>сент24[[#This Row],[сумма]]-сент24[[#This Row],[Цена м2 отделки]]*сент24[[#This Row],[м2]]</f>
        <v>5496776.5999999996</v>
      </c>
    </row>
    <row r="12" spans="1:32" s="61" customFormat="1">
      <c r="A12" s="62">
        <v>9</v>
      </c>
      <c r="B12" s="62" t="s">
        <v>6</v>
      </c>
      <c r="C12" s="74">
        <v>35518</v>
      </c>
      <c r="D12" s="62" t="s">
        <v>13</v>
      </c>
      <c r="E12" s="75">
        <v>49</v>
      </c>
      <c r="F12" s="62">
        <v>1</v>
      </c>
      <c r="G12" s="62">
        <v>34.39</v>
      </c>
      <c r="H12" s="76" t="s">
        <v>21</v>
      </c>
      <c r="I12" s="76">
        <v>7000</v>
      </c>
      <c r="J12" s="91">
        <v>4447230</v>
      </c>
      <c r="K12" s="62" t="s">
        <v>8</v>
      </c>
      <c r="L12" s="62" t="s">
        <v>22</v>
      </c>
      <c r="M12" s="62" t="s">
        <v>583</v>
      </c>
      <c r="N12" s="62" t="s">
        <v>18</v>
      </c>
      <c r="O12" s="92">
        <v>45559</v>
      </c>
      <c r="P12" s="62"/>
      <c r="Q12" s="397" t="s">
        <v>2200</v>
      </c>
      <c r="R12" s="113" t="s">
        <v>67</v>
      </c>
      <c r="S12" s="113" t="s">
        <v>67</v>
      </c>
      <c r="T12" s="62" t="s">
        <v>8</v>
      </c>
      <c r="U12" s="62" t="s">
        <v>8</v>
      </c>
      <c r="V12" s="114">
        <f>сент24[[#This Row],[сумма]]-сент24[[#This Row],[Цена м2 отделки]]*сент24[[#This Row],[м2]]</f>
        <v>4206500</v>
      </c>
    </row>
    <row r="13" spans="1:32" s="61" customFormat="1">
      <c r="A13" s="62">
        <v>10</v>
      </c>
      <c r="B13" s="62"/>
      <c r="C13" s="74">
        <v>33609</v>
      </c>
      <c r="D13" s="62" t="s">
        <v>7</v>
      </c>
      <c r="E13" s="75">
        <v>246</v>
      </c>
      <c r="F13" s="62">
        <v>2</v>
      </c>
      <c r="G13" s="62">
        <v>71.91</v>
      </c>
      <c r="H13" s="62" t="s">
        <v>9</v>
      </c>
      <c r="I13" s="62"/>
      <c r="J13" s="95">
        <v>7199600</v>
      </c>
      <c r="K13" s="62" t="s">
        <v>14</v>
      </c>
      <c r="L13" s="62" t="s">
        <v>10</v>
      </c>
      <c r="M13" s="62" t="s">
        <v>286</v>
      </c>
      <c r="N13" s="62" t="s">
        <v>18</v>
      </c>
      <c r="O13" s="92">
        <v>45565</v>
      </c>
      <c r="P13" s="62"/>
      <c r="Q13" s="76" t="s">
        <v>2201</v>
      </c>
      <c r="R13" s="113" t="s">
        <v>67</v>
      </c>
      <c r="S13" s="113" t="s">
        <v>67</v>
      </c>
      <c r="T13" s="62" t="s">
        <v>14</v>
      </c>
      <c r="U13" s="62" t="s">
        <v>14</v>
      </c>
      <c r="V13" s="114">
        <f>сент24[[#This Row],[сумма]]-сент24[[#This Row],[Цена м2 отделки]]*сент24[[#This Row],[м2]]</f>
        <v>7199600</v>
      </c>
      <c r="AF13" s="132"/>
    </row>
    <row r="14" spans="1:32" s="61" customFormat="1">
      <c r="A14" s="62">
        <v>11</v>
      </c>
      <c r="B14" s="62" t="s">
        <v>6</v>
      </c>
      <c r="C14" s="75">
        <v>35464</v>
      </c>
      <c r="D14" s="62" t="s">
        <v>13</v>
      </c>
      <c r="E14" s="75">
        <v>401</v>
      </c>
      <c r="F14" s="62">
        <v>2</v>
      </c>
      <c r="G14" s="62">
        <v>57.8</v>
      </c>
      <c r="H14" s="62" t="s">
        <v>25</v>
      </c>
      <c r="I14" s="62">
        <v>20000</v>
      </c>
      <c r="J14" s="95">
        <v>6835900</v>
      </c>
      <c r="K14" s="62" t="s">
        <v>37</v>
      </c>
      <c r="L14" s="62" t="s">
        <v>22</v>
      </c>
      <c r="M14" s="62" t="s">
        <v>583</v>
      </c>
      <c r="N14" s="62" t="s">
        <v>18</v>
      </c>
      <c r="O14" s="92">
        <v>45554</v>
      </c>
      <c r="P14" s="62"/>
      <c r="Q14" s="62" t="s">
        <v>2202</v>
      </c>
      <c r="R14" s="113" t="s">
        <v>67</v>
      </c>
      <c r="S14" s="113" t="s">
        <v>67</v>
      </c>
      <c r="T14" s="62" t="s">
        <v>37</v>
      </c>
      <c r="U14" s="62" t="s">
        <v>14</v>
      </c>
      <c r="V14" s="114">
        <f>сент24[[#This Row],[сумма]]-сент24[[#This Row],[Цена м2 отделки]]*сент24[[#This Row],[м2]]</f>
        <v>5679900</v>
      </c>
    </row>
    <row r="15" spans="1:32" s="64" customFormat="1">
      <c r="A15" s="120">
        <v>12</v>
      </c>
      <c r="B15" s="120" t="s">
        <v>6</v>
      </c>
      <c r="C15" s="347">
        <v>14388</v>
      </c>
      <c r="D15" s="120" t="s">
        <v>13</v>
      </c>
      <c r="E15" s="347">
        <v>234</v>
      </c>
      <c r="F15" s="120">
        <v>3</v>
      </c>
      <c r="G15" s="120">
        <v>80.97</v>
      </c>
      <c r="H15" s="120" t="s">
        <v>21</v>
      </c>
      <c r="I15" s="120">
        <v>20000</v>
      </c>
      <c r="J15" s="95">
        <v>7807743</v>
      </c>
      <c r="K15" s="120" t="s">
        <v>20</v>
      </c>
      <c r="L15" s="120" t="s">
        <v>22</v>
      </c>
      <c r="M15" s="120" t="s">
        <v>286</v>
      </c>
      <c r="N15" s="120" t="s">
        <v>18</v>
      </c>
      <c r="O15" s="370">
        <v>45563</v>
      </c>
      <c r="P15" s="120"/>
      <c r="Q15" s="120" t="s">
        <v>2203</v>
      </c>
      <c r="R15" s="355" t="s">
        <v>67</v>
      </c>
      <c r="S15" s="355" t="s">
        <v>67</v>
      </c>
      <c r="T15" s="120" t="s">
        <v>20</v>
      </c>
      <c r="U15" s="120" t="s">
        <v>20</v>
      </c>
      <c r="V15" s="356">
        <f>сент24[[#This Row],[сумма]]-сент24[[#This Row],[Цена м2 отделки]]*сент24[[#This Row],[м2]]</f>
        <v>6188343</v>
      </c>
    </row>
    <row r="16" spans="1:32" s="61" customFormat="1">
      <c r="A16" s="65"/>
      <c r="B16" s="65" t="s">
        <v>6</v>
      </c>
      <c r="C16" s="78"/>
      <c r="D16" s="65" t="s">
        <v>13</v>
      </c>
      <c r="E16" s="79"/>
      <c r="F16" s="65"/>
      <c r="G16" s="65"/>
      <c r="H16" s="65"/>
      <c r="I16" s="65"/>
      <c r="J16" s="435"/>
      <c r="K16" s="65"/>
      <c r="L16" s="65"/>
      <c r="M16" s="65"/>
      <c r="N16" s="65"/>
      <c r="O16" s="98"/>
      <c r="P16" s="65"/>
      <c r="Q16" s="65"/>
      <c r="R16" s="118"/>
      <c r="S16" s="118"/>
      <c r="T16" s="65" t="s">
        <v>14</v>
      </c>
      <c r="U16" s="65" t="s">
        <v>14</v>
      </c>
      <c r="V16" s="115">
        <f>сент24[[#This Row],[сумма]]-сент24[[#This Row],[Цена м2 отделки]]*сент24[[#This Row],[м2]]</f>
        <v>0</v>
      </c>
    </row>
    <row r="17" spans="1:22" s="61" customFormat="1">
      <c r="A17" s="62">
        <v>13</v>
      </c>
      <c r="B17" s="62" t="s">
        <v>6</v>
      </c>
      <c r="C17" s="74">
        <v>33880</v>
      </c>
      <c r="D17" s="62" t="s">
        <v>13</v>
      </c>
      <c r="E17" s="75">
        <v>160</v>
      </c>
      <c r="F17" s="62">
        <v>2</v>
      </c>
      <c r="G17" s="62">
        <v>60.22</v>
      </c>
      <c r="H17" s="76" t="s">
        <v>25</v>
      </c>
      <c r="I17" s="76">
        <v>20000</v>
      </c>
      <c r="J17" s="91">
        <v>7174500</v>
      </c>
      <c r="K17" s="62" t="s">
        <v>14</v>
      </c>
      <c r="L17" s="62" t="s">
        <v>1892</v>
      </c>
      <c r="M17" s="62" t="s">
        <v>583</v>
      </c>
      <c r="N17" s="62" t="s">
        <v>18</v>
      </c>
      <c r="O17" s="92">
        <v>45554</v>
      </c>
      <c r="P17" s="62"/>
      <c r="Q17" s="76" t="s">
        <v>2204</v>
      </c>
      <c r="R17" s="113" t="s">
        <v>67</v>
      </c>
      <c r="S17" s="113" t="s">
        <v>67</v>
      </c>
      <c r="T17" s="62" t="s">
        <v>14</v>
      </c>
      <c r="U17" s="62" t="s">
        <v>20</v>
      </c>
      <c r="V17" s="114">
        <f>сент24[[#This Row],[сумма]]-сент24[[#This Row],[Цена м2 отделки]]*сент24[[#This Row],[м2]]</f>
        <v>5970100</v>
      </c>
    </row>
    <row r="18" spans="1:22" s="61" customFormat="1" ht="18.75" customHeight="1">
      <c r="A18" s="62">
        <v>14</v>
      </c>
      <c r="B18" s="62" t="s">
        <v>6</v>
      </c>
      <c r="C18" s="74">
        <v>34047</v>
      </c>
      <c r="D18" s="62" t="s">
        <v>13</v>
      </c>
      <c r="E18" s="75">
        <v>148</v>
      </c>
      <c r="F18" s="62">
        <v>2</v>
      </c>
      <c r="G18" s="62">
        <v>57.6</v>
      </c>
      <c r="H18" s="62" t="s">
        <v>21</v>
      </c>
      <c r="I18" s="62">
        <v>7000</v>
      </c>
      <c r="J18" s="95">
        <v>5946168</v>
      </c>
      <c r="K18" s="62" t="s">
        <v>8</v>
      </c>
      <c r="L18" s="62" t="s">
        <v>22</v>
      </c>
      <c r="M18" s="62" t="s">
        <v>583</v>
      </c>
      <c r="N18" s="62" t="s">
        <v>18</v>
      </c>
      <c r="O18" s="92">
        <v>45555</v>
      </c>
      <c r="P18" s="62"/>
      <c r="Q18" s="76" t="s">
        <v>2205</v>
      </c>
      <c r="R18" s="113" t="s">
        <v>67</v>
      </c>
      <c r="S18" s="62" t="s">
        <v>67</v>
      </c>
      <c r="T18" s="62" t="s">
        <v>8</v>
      </c>
      <c r="U18" s="62" t="s">
        <v>8</v>
      </c>
      <c r="V18" s="114">
        <f>сент24[[#This Row],[сумма]]-сент24[[#This Row],[Цена м2 отделки]]*сент24[[#This Row],[м2]]</f>
        <v>5542968</v>
      </c>
    </row>
    <row r="19" spans="1:22" s="61" customFormat="1">
      <c r="A19" s="62">
        <v>15</v>
      </c>
      <c r="B19" s="62" t="s">
        <v>6</v>
      </c>
      <c r="C19" s="74">
        <v>36092</v>
      </c>
      <c r="D19" s="62" t="s">
        <v>13</v>
      </c>
      <c r="E19" s="75">
        <v>263</v>
      </c>
      <c r="F19" s="62">
        <v>1</v>
      </c>
      <c r="G19" s="62">
        <v>34.81</v>
      </c>
      <c r="H19" s="62" t="s">
        <v>25</v>
      </c>
      <c r="I19" s="62">
        <v>20000</v>
      </c>
      <c r="J19" s="95">
        <v>4884660</v>
      </c>
      <c r="K19" s="62" t="s">
        <v>8</v>
      </c>
      <c r="L19" s="62" t="s">
        <v>1892</v>
      </c>
      <c r="M19" s="62" t="s">
        <v>583</v>
      </c>
      <c r="N19" s="62" t="s">
        <v>18</v>
      </c>
      <c r="O19" s="92">
        <v>45555</v>
      </c>
      <c r="P19" s="62"/>
      <c r="Q19" s="76" t="s">
        <v>2206</v>
      </c>
      <c r="R19" s="113" t="s">
        <v>67</v>
      </c>
      <c r="S19" s="113" t="s">
        <v>67</v>
      </c>
      <c r="T19" s="62" t="s">
        <v>8</v>
      </c>
      <c r="U19" s="62" t="s">
        <v>8</v>
      </c>
      <c r="V19" s="114">
        <f>сент24[[#This Row],[сумма]]-сент24[[#This Row],[Цена м2 отделки]]*сент24[[#This Row],[м2]]</f>
        <v>4188460</v>
      </c>
    </row>
    <row r="20" spans="1:22" s="61" customFormat="1">
      <c r="A20" s="62">
        <v>16</v>
      </c>
      <c r="B20" s="62" t="s">
        <v>6</v>
      </c>
      <c r="C20" s="75">
        <v>35994</v>
      </c>
      <c r="D20" s="62" t="s">
        <v>13</v>
      </c>
      <c r="E20" s="75">
        <v>324</v>
      </c>
      <c r="F20" s="62">
        <v>1</v>
      </c>
      <c r="G20" s="62">
        <v>37.81</v>
      </c>
      <c r="H20" s="62" t="s">
        <v>9</v>
      </c>
      <c r="I20" s="62"/>
      <c r="J20" s="95">
        <v>4412700</v>
      </c>
      <c r="K20" s="62" t="s">
        <v>42</v>
      </c>
      <c r="L20" s="62" t="s">
        <v>1892</v>
      </c>
      <c r="M20" s="62" t="s">
        <v>583</v>
      </c>
      <c r="N20" s="62" t="s">
        <v>18</v>
      </c>
      <c r="O20" s="92">
        <v>45561</v>
      </c>
      <c r="P20" s="62"/>
      <c r="Q20" s="76" t="s">
        <v>2207</v>
      </c>
      <c r="R20" s="113" t="s">
        <v>67</v>
      </c>
      <c r="S20" s="113" t="s">
        <v>67</v>
      </c>
      <c r="T20" s="62" t="s">
        <v>42</v>
      </c>
      <c r="U20" s="62" t="s">
        <v>20</v>
      </c>
      <c r="V20" s="114">
        <f>сент24[[#This Row],[сумма]]-сент24[[#This Row],[Цена м2 отделки]]*сент24[[#This Row],[м2]]</f>
        <v>4412700</v>
      </c>
    </row>
    <row r="21" spans="1:22" s="61" customFormat="1" ht="25.5">
      <c r="A21" s="65">
        <v>17</v>
      </c>
      <c r="B21" s="65" t="s">
        <v>6</v>
      </c>
      <c r="C21" s="87">
        <v>36144</v>
      </c>
      <c r="D21" s="80"/>
      <c r="E21" s="65"/>
      <c r="F21" s="87"/>
      <c r="G21" s="65"/>
      <c r="H21" s="80" t="s">
        <v>21</v>
      </c>
      <c r="I21" s="72"/>
      <c r="J21" s="105"/>
      <c r="K21" s="388" t="s">
        <v>14</v>
      </c>
      <c r="L21" s="80" t="s">
        <v>22</v>
      </c>
      <c r="M21" s="80" t="s">
        <v>583</v>
      </c>
      <c r="N21" s="80"/>
      <c r="O21" s="98"/>
      <c r="P21" s="65"/>
      <c r="Q21" s="80"/>
      <c r="R21" s="118" t="s">
        <v>2208</v>
      </c>
      <c r="S21" s="118" t="s">
        <v>2209</v>
      </c>
      <c r="T21" s="65" t="s">
        <v>14</v>
      </c>
      <c r="U21" s="65" t="s">
        <v>14</v>
      </c>
      <c r="V21" s="115">
        <f>сент24[[#This Row],[сумма]]-сент24[[#This Row],[Цена м2 отделки]]*сент24[[#This Row],[м2]]</f>
        <v>0</v>
      </c>
    </row>
    <row r="22" spans="1:22" s="61" customFormat="1">
      <c r="A22" s="65">
        <v>18</v>
      </c>
      <c r="B22" s="65" t="s">
        <v>6</v>
      </c>
      <c r="C22" s="87"/>
      <c r="D22" s="80"/>
      <c r="E22" s="65"/>
      <c r="F22" s="87"/>
      <c r="G22" s="65"/>
      <c r="H22" s="80"/>
      <c r="I22" s="72"/>
      <c r="J22" s="105"/>
      <c r="K22" s="388" t="s">
        <v>14</v>
      </c>
      <c r="L22" s="80" t="s">
        <v>1892</v>
      </c>
      <c r="M22" s="80" t="s">
        <v>583</v>
      </c>
      <c r="N22" s="80" t="s">
        <v>515</v>
      </c>
      <c r="O22" s="98"/>
      <c r="P22" s="65"/>
      <c r="Q22" s="80" t="s">
        <v>2169</v>
      </c>
      <c r="R22" s="118"/>
      <c r="S22" s="118" t="s">
        <v>2210</v>
      </c>
      <c r="T22" s="65" t="s">
        <v>14</v>
      </c>
      <c r="U22" s="65" t="s">
        <v>14</v>
      </c>
      <c r="V22" s="115">
        <f>сент24[[#This Row],[сумма]]-сент24[[#This Row],[Цена м2 отделки]]*сент24[[#This Row],[м2]]</f>
        <v>0</v>
      </c>
    </row>
    <row r="23" spans="1:22" s="61" customFormat="1">
      <c r="A23" s="62">
        <v>17</v>
      </c>
      <c r="B23" s="62" t="s">
        <v>6</v>
      </c>
      <c r="C23" s="75">
        <v>30713</v>
      </c>
      <c r="D23" s="62" t="s">
        <v>13</v>
      </c>
      <c r="E23" s="75">
        <v>32</v>
      </c>
      <c r="F23" s="62">
        <v>2</v>
      </c>
      <c r="G23" s="62">
        <v>62.17</v>
      </c>
      <c r="H23" s="62" t="s">
        <v>21</v>
      </c>
      <c r="I23" s="62">
        <v>7000</v>
      </c>
      <c r="J23" s="95">
        <v>6755590</v>
      </c>
      <c r="K23" s="62" t="s">
        <v>8</v>
      </c>
      <c r="L23" s="62" t="s">
        <v>10</v>
      </c>
      <c r="M23" s="62" t="s">
        <v>286</v>
      </c>
      <c r="N23" s="62" t="s">
        <v>18</v>
      </c>
      <c r="O23" s="92">
        <v>45565</v>
      </c>
      <c r="P23" s="62"/>
      <c r="Q23" s="62" t="s">
        <v>2211</v>
      </c>
      <c r="R23" s="113" t="s">
        <v>67</v>
      </c>
      <c r="S23" s="113" t="s">
        <v>67</v>
      </c>
      <c r="T23" s="62" t="s">
        <v>8</v>
      </c>
      <c r="U23" s="62" t="s">
        <v>8</v>
      </c>
      <c r="V23" s="114">
        <f>сент24[[#This Row],[сумма]]-сент24[[#This Row],[Цена м2 отделки]]*сент24[[#This Row],[м2]]</f>
        <v>6320400</v>
      </c>
    </row>
    <row r="24" spans="1:22">
      <c r="R24" s="118"/>
      <c r="S24" s="118"/>
      <c r="U24" s="65"/>
      <c r="V24" s="115">
        <f>сент24[[#This Row],[сумма]]-сент24[[#This Row],[Цена м2 отделки]]*сент24[[#This Row],[м2]]</f>
        <v>0</v>
      </c>
    </row>
    <row r="25" spans="1:22" s="61" customFormat="1">
      <c r="A25" s="62">
        <v>18</v>
      </c>
      <c r="B25" s="62" t="s">
        <v>6</v>
      </c>
      <c r="C25" s="75">
        <v>20022</v>
      </c>
      <c r="D25" s="62" t="s">
        <v>7</v>
      </c>
      <c r="E25" s="75">
        <v>370</v>
      </c>
      <c r="F25" s="349">
        <v>2</v>
      </c>
      <c r="G25" s="62">
        <v>58.55</v>
      </c>
      <c r="H25" s="62" t="s">
        <v>15</v>
      </c>
      <c r="I25" s="348">
        <v>22000</v>
      </c>
      <c r="J25" s="352">
        <v>6835825</v>
      </c>
      <c r="K25" s="62" t="s">
        <v>14</v>
      </c>
      <c r="L25" s="62"/>
      <c r="M25" s="62" t="s">
        <v>286</v>
      </c>
      <c r="N25" s="62" t="s">
        <v>18</v>
      </c>
      <c r="O25" s="92">
        <v>45565</v>
      </c>
      <c r="P25" s="62"/>
      <c r="Q25" s="62" t="s">
        <v>2212</v>
      </c>
      <c r="R25" s="113" t="s">
        <v>67</v>
      </c>
      <c r="S25" s="113" t="s">
        <v>67</v>
      </c>
      <c r="T25" s="62" t="s">
        <v>14</v>
      </c>
      <c r="U25" s="62" t="s">
        <v>46</v>
      </c>
      <c r="V25" s="114">
        <f>сент24[[#This Row],[сумма]]-сент24[[#This Row],[Цена м2 отделки]]*сент24[[#This Row],[м2]]</f>
        <v>5547725</v>
      </c>
    </row>
    <row r="26" spans="1:22">
      <c r="A26" s="65"/>
      <c r="B26" s="65"/>
      <c r="C26" s="79"/>
      <c r="D26" s="65"/>
      <c r="E26" s="79"/>
      <c r="F26" s="87"/>
      <c r="G26" s="65"/>
      <c r="H26" s="65"/>
      <c r="I26" s="72"/>
      <c r="J26" s="93"/>
      <c r="K26" s="72"/>
      <c r="L26" s="65"/>
      <c r="M26" s="80"/>
      <c r="N26" s="65"/>
      <c r="O26" s="98"/>
      <c r="P26" s="65"/>
      <c r="Q26" s="80"/>
      <c r="R26" s="131"/>
      <c r="S26" s="131"/>
      <c r="U26" s="65"/>
      <c r="V26" s="115">
        <f>сент24[[#This Row],[сумма]]-сент24[[#This Row],[Цена м2 отделки]]*сент24[[#This Row],[м2]]</f>
        <v>0</v>
      </c>
    </row>
    <row r="27" spans="1:22">
      <c r="A27" s="65"/>
      <c r="B27" s="65"/>
      <c r="C27" s="65"/>
      <c r="D27" s="65"/>
      <c r="H27" s="65"/>
      <c r="K27" s="72"/>
      <c r="T27" s="66"/>
      <c r="V27" s="115">
        <f>сент24[[#This Row],[сумма]]-сент24[[#This Row],[Цена м2 отделки]]*сент24[[#This Row],[м2]]</f>
        <v>0</v>
      </c>
    </row>
    <row r="28" spans="1:22" s="61" customFormat="1">
      <c r="A28" s="65"/>
      <c r="B28" s="65"/>
      <c r="C28" s="78"/>
      <c r="D28" s="65"/>
      <c r="E28" s="79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сент24[[#This Row],[сумма]]-сент24[[#This Row],[Цена м2 отделки]]*сент24[[#This Row],[м2]]</f>
        <v>0</v>
      </c>
    </row>
    <row r="29" spans="1:22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сент24[[#This Row],[сумма]]-сент24[[#This Row],[Цена м2 отделки]]*сент24[[#This Row],[м2]]</f>
        <v>0</v>
      </c>
    </row>
    <row r="30" spans="1:22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сент24[[#This Row],[сумма]]-сент24[[#This Row],[Цена м2 отделки]]*сент24[[#This Row],[м2]]</f>
        <v>0</v>
      </c>
    </row>
    <row r="31" spans="1:22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U31" s="65"/>
      <c r="V31" s="115">
        <f>сент24[[#This Row],[сумма]]-сент24[[#This Row],[Цена м2 отделки]]*сент24[[#This Row],[м2]]</f>
        <v>0</v>
      </c>
    </row>
    <row r="32" spans="1:22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сент24[[#This Row],[сумма]]-сент24[[#This Row],[Цена м2 отделки]]*сент24[[#This Row],[м2]]</f>
        <v>0</v>
      </c>
    </row>
    <row r="33" spans="1:22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сент24[[#This Row],[сумма]]-сент24[[#This Row],[Цена м2 отделки]]*сент24[[#This Row],[м2]]</f>
        <v>0</v>
      </c>
    </row>
    <row r="34" spans="1:22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сент24[[#This Row],[сумма]]-сент24[[#This Row],[Цена м2 отделки]]*сент24[[#This Row],[м2]]</f>
        <v>0</v>
      </c>
    </row>
    <row r="35" spans="1:22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сент24[[#This Row],[сумма]]-сент24[[#This Row],[Цена м2 отделки]]*сент24[[#This Row],[м2]]</f>
        <v>0</v>
      </c>
    </row>
    <row r="36" spans="1:22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сент24[[#This Row],[сумма]]-сент24[[#This Row],[Цена м2 отделки]]*сент24[[#This Row],[м2]]</f>
        <v>0</v>
      </c>
    </row>
    <row r="37" spans="1:22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сент24[[#This Row],[сумма]]-сент24[[#This Row],[Цена м2 отделки]]*сент24[[#This Row],[м2]]</f>
        <v>0</v>
      </c>
    </row>
    <row r="38" spans="1:22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сент24[[#This Row],[сумма]]-сент24[[#This Row],[Цена м2 отделки]]*сент24[[#This Row],[м2]]</f>
        <v>0</v>
      </c>
    </row>
    <row r="39" spans="1:22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сент24[[#This Row],[сумма]]-сент24[[#This Row],[Цена м2 отделки]]*сент24[[#This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сент24[[#This Row],[сумма]]-сент24[[#This Row],[Цена м2 отделки]]*сент24[[#This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сент24[[#This Row],[сумма]]-сент24[[#This Row],[Цена м2 отделки]]*сент24[[#This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сент24[[#This Row],[сумма]]-сент24[[#This Row],[Цена м2 отделки]]*сент24[[#This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сент24[[#This Row],[сумма]]-сент24[[#This Row],[Цена м2 отделки]]*сент24[[#This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сент24[[#This Row],[сумма]]-сент24[[#This Row],[Цена м2 отделки]]*сент24[[#This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сент24[[#This Row],[сумма]]-сент24[[#This Row],[Цена м2 отделки]]*сент24[[#This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сент24[[#This Row],[сумма]]-сент24[[#This Row],[Цена м2 отделки]]*сент24[[#This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сент24[[#This Row],[сумма]]-сент24[[#This Row],[Цена м2 отделки]]*сент24[[#This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сент24[[#This Row],[сумма]]-сент24[[#This Row],[Цена м2 отделки]]*сент24[[#This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сент24[[#This Row],[сумма]]-сент24[[#This Row],[Цена м2 отделки]]*сент24[[#This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сент24[[#This Row],[сумма]]-сент24[[#This Row],[Цена м2 отделки]]*сент24[[#This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сент24[[#This Row],[сумма]]-сент24[[#This Row],[Цена м2 отделки]]*сент24[[#This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сент24[[#This Row],[сумма]]-сент24[[#This Row],[Цена м2 отделки]]*сент24[[#This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сент24[[#This Row],[сумма]]-сент24[[#This Row],[Цена м2 отделки]]*сент24[[#This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сент24[[#This Row],[сумма]]-сент24[[#This Row],[Цена м2 отделки]]*сент24[[#This Row],[м2]]</f>
        <v>0</v>
      </c>
    </row>
    <row r="55" spans="1:22">
      <c r="A55" s="65"/>
      <c r="B55" s="65"/>
      <c r="C55" s="79"/>
      <c r="D55" s="80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сент24[[#This Row],[сумма]]-сент24[[#This Row],[Цена м2 отделки]]*сент24[[#This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сент24[[#This Row],[сумма]]-сент24[[#This Row],[Цена м2 отделки]]*сент24[[#This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сент24[[#This Row],[сумма]]-сент24[[#This Row],[Цена м2 отделки]]*сент24[[#This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сент24[[#This Row],[сумма]]-сент24[[#This Row],[Цена м2 отделки]]*сент24[[#This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сент24[[#This Row],[сумма]]-сент24[[#This Row],[Цена м2 отделки]]*сент24[[#This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сент24[[#This Row],[сумма]]-сент24[[#This Row],[Цена м2 отделки]]*сент24[[#This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сент24[[#This Row],[сумма]]-сент24[[#This Row],[Цена м2 отделки]]*сент24[[#This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сент24[[#This Row],[сумма]]-сент24[[#This Row],[Цена м2 отделки]]*сент24[[#This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сент24[[#This Row],[сумма]]-сент24[[#This Row],[Цена м2 отделки]]*сент24[[#This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сент24[[#This Row],[сумма]]-сент24[[#This Row],[Цена м2 отделки]]*сент24[[#This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</row>
    <row r="67" spans="1:27" s="65" customFormat="1">
      <c r="B67" s="79"/>
      <c r="D67" s="79"/>
      <c r="I67" s="93"/>
      <c r="J67" s="80"/>
      <c r="U67" s="66"/>
      <c r="X67" s="98"/>
      <c r="Y67" s="80"/>
      <c r="AA67" s="86"/>
    </row>
    <row r="68" spans="1:27" s="65" customFormat="1">
      <c r="B68" s="79"/>
      <c r="C68" s="79"/>
      <c r="D68" s="80"/>
      <c r="F68" s="72"/>
      <c r="I68" s="105"/>
      <c r="U68" s="66"/>
      <c r="W68" s="110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8</v>
      </c>
      <c r="B72" s="267">
        <f>IFERROR(VLOOKUP(A72,'ИПП 3кв24'!$B$38:$L$48,4,0),"")</f>
        <v>0</v>
      </c>
      <c r="C72" s="146">
        <f>IFERROR(VLOOKUP(A72,'ИПП 3кв24'!$B$38:$L$48,5,0),"")</f>
        <v>0</v>
      </c>
      <c r="D72" s="145">
        <f>SUMIFS(сент24[м2],сент24[МОП],$A72,сент24[№ дома],$C$70,сент24[Комнатность],"&lt;&gt;Офис")</f>
        <v>67.95</v>
      </c>
      <c r="E72" s="146">
        <f>SUMIFS(сент24[Сумма без отделки],сент24[МОП],$A72,сент24[№ дома],$C$70,сент24[Комнатность],"&lt;&gt;Офис")</f>
        <v>6958800</v>
      </c>
      <c r="F72" s="147">
        <f>COUNTIFS(сент24[МОП],$A72,сент24[№ дома],$C$70,сент24[Комнатность],"&lt;&gt;Офис")</f>
        <v>1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67.95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6958800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1</v>
      </c>
      <c r="J72" s="221" t="str">
        <f t="shared" ref="J72:K78" si="0">IFERROR(G72/B72,"")</f>
        <v/>
      </c>
      <c r="K72" s="222" t="str">
        <f t="shared" si="0"/>
        <v/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1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50" t="s">
        <v>46</v>
      </c>
      <c r="B73" s="267">
        <f>IFERROR(VLOOKUP(A73,'ИПП 3кв24'!$B$38:$L$48,4,0),"")</f>
        <v>0</v>
      </c>
      <c r="C73" s="146">
        <f>IFERROR(VLOOKUP(A73,'ИПП 3кв24'!$B$38:$L$48,5,0),"")</f>
        <v>0</v>
      </c>
      <c r="D73" s="145">
        <f>SUMIFS(сент24[м2],сент24[МОП],$A73,сент24[№ дома],$C$70,сент24[Комнатность],"&lt;&gt;Офис")</f>
        <v>0</v>
      </c>
      <c r="E73" s="146">
        <f>SUMIFS(сент24[Сумма без отделки],сент24[МОП],$A73,сент24[№ дома],$C$70,сент24[Комнатность],"&lt;&gt;Офис")</f>
        <v>0</v>
      </c>
      <c r="F73" s="147">
        <f>COUNTIFS(сент24[МОП],$A73,сент24[№ дома],$C$70,сент24[Комнатность],"&lt;&gt;Офис")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58.55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6369699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1</v>
      </c>
      <c r="J73" s="221" t="str">
        <f t="shared" si="0"/>
        <v/>
      </c>
      <c r="K73" s="222" t="str">
        <f t="shared" si="0"/>
        <v/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1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3" t="s">
        <v>20</v>
      </c>
      <c r="B74" s="267">
        <f>IFERROR(VLOOKUP(A74,'ИПП 3кв24'!$B$38:$L$48,4,0),"")</f>
        <v>0</v>
      </c>
      <c r="C74" s="146">
        <f>IFERROR(VLOOKUP(A74,'ИПП 3кв24'!$B$38:$L$48,5,0),"")</f>
        <v>0</v>
      </c>
      <c r="D74" s="145">
        <f>SUMIFS(сент24[м2],сент24[МОП],$A74,сент24[№ дома],$C$70,сент24[Комнатность],"&lt;&gt;Офис")</f>
        <v>72.510000000000005</v>
      </c>
      <c r="E74" s="146">
        <f>SUMIFS(сент24[Сумма без отделки],сент24[МОП],$A74,сент24[№ дома],$C$70,сент24[Комнатность],"&lt;&gt;Офис")</f>
        <v>7051982</v>
      </c>
      <c r="F74" s="147">
        <f>COUNTIFS(сент24[МОП],$A74,сент24[№ дома],$C$70,сент24[Комнатность],"&lt;&gt;Офис")</f>
        <v>1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72.510000000000005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7051982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1</v>
      </c>
      <c r="J74" s="224" t="str">
        <f t="shared" si="0"/>
        <v/>
      </c>
      <c r="K74" s="225" t="str">
        <f t="shared" si="0"/>
        <v/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1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14</v>
      </c>
      <c r="B75" s="267">
        <f>IFERROR(VLOOKUP(A75,'ИПП 3кв24'!$B$38:$L$48,4,0),"")</f>
        <v>0</v>
      </c>
      <c r="C75" s="146">
        <f>IFERROR(VLOOKUP(A75,'ИПП 3кв24'!$B$38:$L$48,5,0),"")</f>
        <v>0</v>
      </c>
      <c r="D75" s="328">
        <f>SUMIFS(сент24[м2],сент24[МОП],$A75,сент24[№ дома],$C$70,сент24[Комнатность],"&lt;&gt;Офис")</f>
        <v>204.74</v>
      </c>
      <c r="E75" s="403">
        <f>SUMIFS(сент24[Сумма без отделки],сент24[МОП],$A75,сент24[№ дома],$C$70,сент24[Комнатность],"&lt;&gt;Офис")</f>
        <v>20336702</v>
      </c>
      <c r="F75" s="404">
        <f>COUNTIFS(сент24[МОП],$A75,сент24[№ дома],$C$70,сент24[Комнатность],"&lt;&gt;Офис")</f>
        <v>3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130.45999999999998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13975905.6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2</v>
      </c>
      <c r="J75" s="360" t="str">
        <f t="shared" si="0"/>
        <v/>
      </c>
      <c r="K75" s="361" t="str">
        <f t="shared" si="0"/>
        <v/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2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1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4" t="s">
        <v>29</v>
      </c>
      <c r="B76" s="274"/>
      <c r="C76" s="277"/>
      <c r="D76" s="341">
        <f>SUMIFS(сент24[м2],сент24[МОП],$A76,сент24[№ дома],$C$70,сент24[Комнатность],"&lt;&gt;Офис")</f>
        <v>0</v>
      </c>
      <c r="E76" s="277">
        <f>SUMIFS(сент24[Сумма без отделки],сент24[МОП],$A76,сент24[№ дома],$C$70,сент24[Комнатность],"&lt;&gt;Офис")</f>
        <v>0</v>
      </c>
      <c r="F76" s="405">
        <f>COUNTIFS(сент24[МОП],$A76,сент24[№ дома],$C$70,сент24[Комнатность],"&lt;&gt;Офис")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61" t="s">
        <v>1919</v>
      </c>
      <c r="B77" s="278"/>
      <c r="C77" s="281"/>
      <c r="D77" s="406">
        <f>SUMIFS(сент24[м2],сент24[МОП],$A77,сент24[№ дома],$C$70,сент24[Комнатность],"&lt;&gt;Офис")</f>
        <v>58.55</v>
      </c>
      <c r="E77" s="281">
        <f>SUMIFS(сент24[Сумма без отделки],сент24[МОП],$A77,сент24[№ дома],$C$70,сент24[Комнатность],"&lt;&gt;Офис")</f>
        <v>6369699</v>
      </c>
      <c r="F77" s="407">
        <f>COUNTIFS(сент24[МОП],$A77,сент24[№ дома],$C$70,сент24[Комнатность],"&lt;&gt;Офис")</f>
        <v>1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8" t="s">
        <v>114</v>
      </c>
      <c r="B78" s="172">
        <f t="shared" ref="B78:I78" si="1">SUM(B72:B77)</f>
        <v>0</v>
      </c>
      <c r="C78" s="173">
        <f t="shared" si="1"/>
        <v>0</v>
      </c>
      <c r="D78" s="173">
        <f t="shared" si="1"/>
        <v>403.75000000000006</v>
      </c>
      <c r="E78" s="173">
        <f t="shared" si="1"/>
        <v>40717183</v>
      </c>
      <c r="F78" s="171">
        <f t="shared" si="1"/>
        <v>6</v>
      </c>
      <c r="G78" s="172">
        <f t="shared" si="1"/>
        <v>329.46999999999997</v>
      </c>
      <c r="H78" s="173">
        <f t="shared" si="1"/>
        <v>34356386.600000001</v>
      </c>
      <c r="I78" s="170">
        <f t="shared" si="1"/>
        <v>5</v>
      </c>
      <c r="J78" s="238" t="str">
        <f t="shared" si="0"/>
        <v/>
      </c>
      <c r="K78" s="239" t="str">
        <f t="shared" si="0"/>
        <v/>
      </c>
      <c r="L78" s="240">
        <f>SUM(L72:L77)</f>
        <v>0</v>
      </c>
      <c r="M78" s="241">
        <f>SUM(M72:M77)</f>
        <v>0</v>
      </c>
      <c r="N78" s="241">
        <f>SUM(N72:N77)</f>
        <v>4</v>
      </c>
      <c r="O78" s="241">
        <f>SUM(O72:O77)</f>
        <v>2</v>
      </c>
      <c r="P78" s="242">
        <f>SUM(P72:P77)</f>
        <v>0</v>
      </c>
      <c r="T78" s="66"/>
    </row>
    <row r="79" spans="1:27" s="65" customFormat="1">
      <c r="A79" s="135" t="s">
        <v>115</v>
      </c>
      <c r="B79" s="135" t="s">
        <v>100</v>
      </c>
      <c r="C79" s="136" t="s">
        <v>97</v>
      </c>
      <c r="D79" s="137" t="s">
        <v>494</v>
      </c>
      <c r="E79" s="138" t="s">
        <v>495</v>
      </c>
      <c r="F79" s="139" t="s">
        <v>496</v>
      </c>
      <c r="G79" s="140" t="s">
        <v>101</v>
      </c>
      <c r="H79" s="141" t="s">
        <v>98</v>
      </c>
      <c r="I79" s="141" t="s">
        <v>96</v>
      </c>
      <c r="J79" s="141" t="s">
        <v>715</v>
      </c>
      <c r="K79" s="21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7" s="65" customFormat="1">
      <c r="A80" s="177" t="s">
        <v>1892</v>
      </c>
      <c r="B80" s="291">
        <f>IFERROR(VLOOKUP(A80,'ИПП 3кв24'!$B$38:$L$48,4,0),"")</f>
        <v>0</v>
      </c>
      <c r="C80" s="292">
        <f>IFERROR(VLOOKUP(A80,'ИПП 3кв24'!$B$38:$L$48,5,0),"")</f>
        <v>0</v>
      </c>
      <c r="D80" s="346">
        <f>SUMIFS(сент24[м2],сент24[ИМ],A80,сент24[№ дома],$C$70,сент24[Комнатность],"&lt;&gt;Офис")</f>
        <v>58.55</v>
      </c>
      <c r="E80" s="184">
        <f>SUMIFS(сент24[Сумма без отделки],сент24[ИМ],$A80,сент24[№ дома],$C$70,сент24[Комнатность],"&lt;&gt;Офис")</f>
        <v>6369699</v>
      </c>
      <c r="F80" s="246">
        <f>COUNTIFS(сент24[ИМ],$A80,сент24[№ дома],$C$70,сент24[Комнатность],"&lt;&gt;Офис")</f>
        <v>1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58.55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6369699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1</v>
      </c>
      <c r="J80" s="244" t="str">
        <f t="shared" ref="J80:K83" si="2">IFERROR(G80/B80,"")</f>
        <v/>
      </c>
      <c r="K80" s="245" t="str">
        <f t="shared" si="2"/>
        <v/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1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 t="s">
        <v>22</v>
      </c>
      <c r="B81" s="267">
        <f>IFERROR(VLOOKUP(A81,'ИПП 3кв24'!$B$38:$L$48,4,0),"")</f>
        <v>0</v>
      </c>
      <c r="C81" s="146">
        <f>IFERROR(VLOOKUP(A81,'ИПП 3кв24'!$B$38:$L$48,5,0),"")</f>
        <v>0</v>
      </c>
      <c r="D81" s="145">
        <f>SUMIFS(сент24[м2],сент24[ИМ],A81,сент24[№ дома],$C$70,сент24[Комнатность],"&lt;&gt;Офис")</f>
        <v>140.46</v>
      </c>
      <c r="E81" s="149">
        <f>SUMIFS(сент24[Сумма без отделки],сент24[ИМ],$A81,сент24[№ дома],$C$70,сент24[Комнатность],"&lt;&gt;Офис")</f>
        <v>14010782</v>
      </c>
      <c r="F81" s="223">
        <f>COUNTIFS(сент24[ИМ],$A81,сент24[№ дома],$C$70,сент24[Комнатность],"&lt;&gt;Офис")</f>
        <v>2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140.46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14010782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2</v>
      </c>
      <c r="J81" s="248" t="str">
        <f t="shared" si="2"/>
        <v/>
      </c>
      <c r="K81" s="249" t="str">
        <f t="shared" si="2"/>
        <v/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89" t="s">
        <v>16</v>
      </c>
      <c r="B82" s="293">
        <f>IFERROR(VLOOKUP(A82,'ИПП 3кв24'!$B$38:$L$48,4,0),"")</f>
        <v>0</v>
      </c>
      <c r="C82" s="294">
        <f>IFERROR(VLOOKUP(A82,'ИПП 3кв24'!$B$38:$L$48,5,0),"")</f>
        <v>0</v>
      </c>
      <c r="D82" s="432">
        <f>SUMIFS(сент24[м2],сент24[ИМ],A82,сент24[№ дома],$C$70,сент24[Комнатность],"&lt;&gt;Офис")</f>
        <v>0</v>
      </c>
      <c r="E82" s="433">
        <f>SUMIFS(сент24[Сумма без отделки],сент24[ИМ],$A82,сент24[№ дома],$C$70,сент24[Комнатность],"&lt;&gt;Офис")</f>
        <v>0</v>
      </c>
      <c r="F82" s="434">
        <f>COUNTIFS(сент24[ИМ],$A82,сент24[№ дома],$C$70,сент24[Комнатность],"&lt;&gt;Офис")</f>
        <v>0</v>
      </c>
      <c r="G82" s="195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96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51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52" t="str">
        <f t="shared" si="2"/>
        <v/>
      </c>
      <c r="K82" s="253" t="str">
        <f t="shared" si="2"/>
        <v/>
      </c>
      <c r="L82" s="195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51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51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51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54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68" t="s">
        <v>114</v>
      </c>
      <c r="B83" s="172">
        <f t="shared" ref="B83:P83" si="3">SUM(B80:B82)</f>
        <v>0</v>
      </c>
      <c r="C83" s="173">
        <f t="shared" si="3"/>
        <v>0</v>
      </c>
      <c r="D83" s="173">
        <f t="shared" si="3"/>
        <v>199.01</v>
      </c>
      <c r="E83" s="173">
        <f t="shared" si="3"/>
        <v>20380481</v>
      </c>
      <c r="F83" s="171">
        <f t="shared" si="3"/>
        <v>3</v>
      </c>
      <c r="G83" s="172">
        <f t="shared" si="3"/>
        <v>199.01</v>
      </c>
      <c r="H83" s="173">
        <f t="shared" si="3"/>
        <v>20380481</v>
      </c>
      <c r="I83" s="170">
        <f t="shared" si="3"/>
        <v>3</v>
      </c>
      <c r="J83" s="238" t="str">
        <f t="shared" si="2"/>
        <v/>
      </c>
      <c r="K83" s="239" t="str">
        <f t="shared" si="2"/>
        <v/>
      </c>
      <c r="L83" s="240">
        <f t="shared" si="3"/>
        <v>0</v>
      </c>
      <c r="M83" s="241">
        <f t="shared" si="3"/>
        <v>0</v>
      </c>
      <c r="N83" s="241">
        <f t="shared" si="3"/>
        <v>1</v>
      </c>
      <c r="O83" s="241">
        <f t="shared" si="3"/>
        <v>0</v>
      </c>
      <c r="P83" s="242">
        <f t="shared" si="3"/>
        <v>0</v>
      </c>
      <c r="T83" s="66"/>
    </row>
    <row r="84" spans="1:21" s="65" customFormat="1">
      <c r="A84" s="134"/>
      <c r="B84" s="197"/>
      <c r="C84" s="197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U84" s="66"/>
    </row>
    <row r="85" spans="1:21" s="65" customFormat="1">
      <c r="A85" s="2325" t="s">
        <v>713</v>
      </c>
      <c r="B85" s="2326"/>
      <c r="C85" s="133" t="s">
        <v>13</v>
      </c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T85" s="66"/>
    </row>
    <row r="86" spans="1:21" s="65" customFormat="1">
      <c r="A86" s="135" t="s">
        <v>1</v>
      </c>
      <c r="B86" s="135" t="s">
        <v>100</v>
      </c>
      <c r="C86" s="136" t="s">
        <v>97</v>
      </c>
      <c r="D86" s="137" t="s">
        <v>494</v>
      </c>
      <c r="E86" s="138" t="s">
        <v>495</v>
      </c>
      <c r="F86" s="139" t="s">
        <v>496</v>
      </c>
      <c r="G86" s="140" t="s">
        <v>101</v>
      </c>
      <c r="H86" s="141" t="s">
        <v>98</v>
      </c>
      <c r="I86" s="141" t="s">
        <v>96</v>
      </c>
      <c r="J86" s="141" t="s">
        <v>715</v>
      </c>
      <c r="K86" s="216" t="s">
        <v>716</v>
      </c>
      <c r="L86" s="217">
        <v>0</v>
      </c>
      <c r="M86" s="218">
        <v>1</v>
      </c>
      <c r="N86" s="218">
        <v>2</v>
      </c>
      <c r="O86" s="218">
        <v>3</v>
      </c>
      <c r="P86" s="219" t="s">
        <v>1367</v>
      </c>
      <c r="T86" s="66"/>
    </row>
    <row r="87" spans="1:21" s="65" customFormat="1">
      <c r="A87" s="398" t="s">
        <v>8</v>
      </c>
      <c r="B87" s="267">
        <f>IFERROR(VLOOKUP(A87,'ИПП 3кв24'!$B$38:$L$48,6,0),"")</f>
        <v>285</v>
      </c>
      <c r="C87" s="146">
        <f>IFERROR(VLOOKUP(A87,'ИПП 3кв24'!$B$38:$L$48,7,0),"")</f>
        <v>29855036</v>
      </c>
      <c r="D87" s="257">
        <f>SUMIFS(сент24[м2],сент24[МОП],$A87,сент24[№ дома],$C$85,сент24[Комнатность],"&lt;&gt;Офис")</f>
        <v>188.97000000000003</v>
      </c>
      <c r="E87" s="52">
        <f>SUMIFS(сент24[Сумма без отделки],сент24[МОП],$A87,сент24[№ дома],$C$85,сент24[Комнатность],"&lt;&gt;Офис")</f>
        <v>20258328</v>
      </c>
      <c r="F87" s="413">
        <f>COUNTIFS(сент24[МОП],$A87,сент24[№ дома],$C$85,сент24[Комнатность],"&lt;&gt;Офис")</f>
        <v>4</v>
      </c>
      <c r="G87" s="202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213.5</v>
      </c>
      <c r="H87" s="203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23631328</v>
      </c>
      <c r="I87" s="226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5</v>
      </c>
      <c r="J87" s="224">
        <f t="shared" ref="J87:K92" si="4">IFERROR(G87/B87,)</f>
        <v>0.74912280701754386</v>
      </c>
      <c r="K87" s="225">
        <f t="shared" si="4"/>
        <v>0.79153573956501011</v>
      </c>
      <c r="L87" s="257">
        <f>COUNTIFS(РД[Тип кв],L$86,РД[МОП],$A87,РД[Дом],$C$85,РД[Дата подачи на регистрацию],"&lt;="&amp;$A$1,РД[Дата подачи на регистрацию],"&gt;="&amp;DATE(YEAR($A$1),MONTH($A$1),1))</f>
        <v>1</v>
      </c>
      <c r="M87" s="226">
        <f>COUNTIFS(РД[Тип кв],M$86,РД[МОП],$A87,РД[Дом],$C$85,РД[Дата подачи на регистрацию],"&lt;="&amp;$A$1,РД[Дата подачи на регистрацию],"&gt;="&amp;DATE(YEAR($A$1),MONTH($A$1),1))</f>
        <v>2</v>
      </c>
      <c r="N87" s="226">
        <f>COUNTIFS(РД[Тип кв],N$86,РД[МОП],$A87,РД[Дом],$C$85,РД[Дата подачи на регистрацию],"&lt;="&amp;$A$1,РД[Дата подачи на регистрацию],"&gt;="&amp;DATE(YEAR($A$1),MONTH($A$1),1))</f>
        <v>2</v>
      </c>
      <c r="O87" s="226">
        <f>COUNTIFS(РД[Тип кв],O$86,РД[МОП],$A87,РД[Дом],$C$85,РД[Дата подачи на регистрацию],"&lt;="&amp;$A$1,РД[Дата подачи на регистрацию],"&gt;="&amp;DATE(YEAR($A$1),MONTH($A$1),1))</f>
        <v>0</v>
      </c>
      <c r="P87" s="227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0" t="s">
        <v>46</v>
      </c>
      <c r="B88" s="267">
        <f>IFERROR(VLOOKUP(A88,'ИПП 3кв24'!$B$38:$L$48,6,0),"")</f>
        <v>186</v>
      </c>
      <c r="C88" s="146">
        <f>IFERROR(VLOOKUP(A88,'ИПП 3кв24'!$B$38:$L$48,7,0),"")</f>
        <v>19547940</v>
      </c>
      <c r="D88" s="257">
        <f>SUMIFS(сент24[м2],сент24[МОП],$A88,сент24[№ дома],$C$85,сент24[Комнатность],"&lt;&gt;Офис")</f>
        <v>60.24</v>
      </c>
      <c r="E88" s="52">
        <f>SUMIFS(сент24[Сумма без отделки],сент24[МОП],$A88,сент24[№ дома],$C$85,сент24[Комнатность],"&lt;&gt;Офис")</f>
        <v>5885300</v>
      </c>
      <c r="F88" s="413">
        <f>COUNTIFS(сент24[МОП],$A88,сент24[№ дома],$C$85,сент24[Комнатность],"&lt;&gt;Офис")</f>
        <v>1</v>
      </c>
      <c r="G88" s="202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60.24</v>
      </c>
      <c r="H88" s="203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5885300</v>
      </c>
      <c r="I88" s="226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1</v>
      </c>
      <c r="J88" s="224">
        <f t="shared" si="4"/>
        <v>0.32387096774193547</v>
      </c>
      <c r="K88" s="225">
        <f t="shared" si="4"/>
        <v>0.30107008718054179</v>
      </c>
      <c r="L88" s="257">
        <f>COUNTIFS(РД[Тип кв],L$86,РД[МОП],$A88,РД[Дом],$C$85,РД[Дата подачи на регистрацию],"&lt;="&amp;$A$1,РД[Дата подачи на регистрацию],"&gt;="&amp;DATE(YEAR($A$1),MONTH($A$1),1))</f>
        <v>0</v>
      </c>
      <c r="M88" s="226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1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7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20</v>
      </c>
      <c r="B89" s="267">
        <f>IFERROR(VLOOKUP(A89,'ИПП 3кв24'!$B$38:$L$48,6,0),"")</f>
        <v>300</v>
      </c>
      <c r="C89" s="146">
        <f>IFERROR(VLOOKUP(A89,'ИПП 3кв24'!$B$38:$L$48,7,0),"")</f>
        <v>31454413</v>
      </c>
      <c r="D89" s="257">
        <f>SUMIFS(сент24[м2],сент24[МОП],$A89,сент24[№ дома],$C$85,сент24[Комнатность],"&lt;&gt;Офис")</f>
        <v>197.45</v>
      </c>
      <c r="E89" s="52">
        <f>SUMIFS(сент24[Сумма без отделки],сент24[МОП],$A89,сент24[№ дома],$C$85,сент24[Комнатность],"&lt;&gt;Офис")</f>
        <v>17181624.600000001</v>
      </c>
      <c r="F89" s="413">
        <f>COUNTIFS(сент24[МОП],$A89,сент24[№ дома],$C$85,сент24[Комнатность],"&lt;&gt;Офис")</f>
        <v>3</v>
      </c>
      <c r="G89" s="202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235.26000000000002</v>
      </c>
      <c r="H89" s="203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22646663</v>
      </c>
      <c r="I89" s="226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4</v>
      </c>
      <c r="J89" s="224">
        <f t="shared" si="4"/>
        <v>0.78420000000000012</v>
      </c>
      <c r="K89" s="225">
        <f t="shared" si="4"/>
        <v>0.71998364744559051</v>
      </c>
      <c r="L89" s="257">
        <f>COUNTIFS(РД[Тип кв],L$86,РД[МОП],$A89,РД[Дом],$C$85,РД[Дата подачи на регистрацию],"&lt;="&amp;$A$1,РД[Дата подачи на регистрацию],"&gt;="&amp;DATE(YEAR($A$1),MONTH($A$1),1))</f>
        <v>0</v>
      </c>
      <c r="M89" s="226">
        <f>COUNTIFS(РД[Тип кв],M$86,РД[МОП],$A89,РД[Дом],$C$85,РД[Дата подачи на регистрацию],"&lt;="&amp;$A$1,РД[Дата подачи на регистрацию],"&gt;="&amp;DATE(YEAR($A$1),MONTH($A$1),1))</f>
        <v>1</v>
      </c>
      <c r="N89" s="226">
        <f>COUNTIFS(РД[Тип кв],N$86,РД[МОП],$A89,РД[Дом],$C$85,РД[Дата подачи на регистрацию],"&lt;="&amp;$A$1,РД[Дата подачи на регистрацию],"&gt;="&amp;DATE(YEAR($A$1),MONTH($A$1),1))</f>
        <v>2</v>
      </c>
      <c r="O89" s="226">
        <f>COUNTIFS(РД[Тип кв],O$86,РД[МОП],$A89,РД[Дом],$C$85,РД[Дата подачи на регистрацию],"&lt;="&amp;$A$1,РД[Дата подачи на регистрацию],"&gt;="&amp;DATE(YEAR($A$1),MONTH($A$1),1))</f>
        <v>1</v>
      </c>
      <c r="P89" s="227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3" t="s">
        <v>14</v>
      </c>
      <c r="B90" s="267">
        <f>IFERROR(VLOOKUP(A90,'ИПП 3кв24'!$B$38:$L$48,6,0),"")</f>
        <v>300</v>
      </c>
      <c r="C90" s="146">
        <f>IFERROR(VLOOKUP(A90,'ИПП 3кв24'!$B$38:$L$48,7,0),"")</f>
        <v>31454413</v>
      </c>
      <c r="D90" s="329">
        <f>SUMIFS(сент24[м2],сент24[МОП],$A90,сент24[№ дома],$C$85,сент24[Комнатность],"&lt;&gt;Офис")</f>
        <v>60.22</v>
      </c>
      <c r="E90" s="363">
        <f>SUMIFS(сент24[Сумма без отделки],сент24[МОП],$A90,сент24[№ дома],$C$85,сент24[Комнатность],"&lt;&gt;Офис")</f>
        <v>5970100</v>
      </c>
      <c r="F90" s="414">
        <f>COUNTIFS(сент24[МОП],$A90,сент24[№ дома],$C$85,сент24[Комнатность],"&lt;&gt;Офис")</f>
        <v>1</v>
      </c>
      <c r="G90" s="358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118.02</v>
      </c>
      <c r="H90" s="35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11550000</v>
      </c>
      <c r="I90" s="33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2</v>
      </c>
      <c r="J90" s="360">
        <f t="shared" si="4"/>
        <v>0.39339999999999997</v>
      </c>
      <c r="K90" s="361">
        <f t="shared" si="4"/>
        <v>0.36719807805664662</v>
      </c>
      <c r="L90" s="329">
        <f>COUNTIFS(РД[Тип кв],L$86,РД[МОП],$A90,РД[Дом],$C$85,РД[Дата подачи на регистрацию],"&lt;="&amp;$A$1,РД[Дата подачи на регистрацию],"&gt;="&amp;DATE(YEAR($A$1),MONTH($A$1),1))</f>
        <v>0</v>
      </c>
      <c r="M90" s="330">
        <f>COUNTIFS(РД[Тип кв],M$86,РД[МОП],$A90,РД[Дом],$C$85,РД[Дата подачи на регистрацию],"&lt;="&amp;$A$1,РД[Дата подачи на регистрацию],"&gt;="&amp;DATE(YEAR($A$1),MONTH($A$1),1))</f>
        <v>0</v>
      </c>
      <c r="N90" s="330">
        <f>COUNTIFS(РД[Тип кв],N$86,РД[МОП],$A90,РД[Дом],$C$85,РД[Дата подачи на регистрацию],"&lt;="&amp;$A$1,РД[Дата подачи на регистрацию],"&gt;="&amp;DATE(YEAR($A$1),MONTH($A$1),1))</f>
        <v>2</v>
      </c>
      <c r="O90" s="330">
        <f>COUNTIFS(РД[Тип кв],O$86,РД[МОП],$A90,РД[Дом],$C$85,РД[Дата подачи на регистрацию],"&lt;="&amp;$A$1,РД[Дата подачи на регистрацию],"&gt;="&amp;DATE(YEAR($A$1),MONTH($A$1),1))</f>
        <v>0</v>
      </c>
      <c r="P90" s="33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4" t="s">
        <v>29</v>
      </c>
      <c r="B91" s="274"/>
      <c r="C91" s="277"/>
      <c r="D91" s="341">
        <f>SUMIFS(сент24[м2],сент24[МОП],$A91,сент24[№ дома],$C$85,сент24[Комнатность],"&lt;&gt;Офис")</f>
        <v>0</v>
      </c>
      <c r="E91" s="277">
        <f>SUMIFS(сент24[Сумма без отделки],сент24[МОП],$A91,сент24[№ дома],$C$85,сент24[Комнатность],"&lt;&gt;Офис")</f>
        <v>0</v>
      </c>
      <c r="F91" s="405">
        <f>COUNTIFS(сент24[МОП],$A91,сент24[№ дома],$C$85,сент24[Комнатность],"&lt;&gt;Офис")</f>
        <v>0</v>
      </c>
      <c r="G91" s="159">
        <f>SUMIFS(РД[S],РД[Дом],$C$85,РД[МОП],A91,РД[Дата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0">
        <f>SUMIFS(РД[Стоимость без отделки итог],РД[Дом],$C$85,РД[МОП],A91,РД[Дата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8">
        <f>COUNTIFS(РД[Дом],$C$85,РД[МОП],A91,РД[Дата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9">
        <f t="shared" si="4"/>
        <v>0</v>
      </c>
      <c r="K91" s="230">
        <f t="shared" si="4"/>
        <v>0</v>
      </c>
      <c r="L91" s="159">
        <f>COUNTIFS(РД[Тип кв],L$86,РД[МОП],$A91,РД[Дом],$C$85,РД[Дата подачи на регистрацию],"&lt;="&amp;$A$1,РД[Дата подачи на регистрацию],"&gt;="&amp;DATE(YEAR($A$1),MONTH($A$1),1))</f>
        <v>0</v>
      </c>
      <c r="M91" s="228">
        <f>COUNTIFS(РД[Тип кв],M$86,РД[МОП],$A91,РД[Дом],$C$85,РД[Дата подачи на регистрацию],"&lt;="&amp;$A$1,РД[Дата подачи на регистрацию],"&gt;="&amp;DATE(YEAR($A$1),MONTH($A$1),1))</f>
        <v>0</v>
      </c>
      <c r="N91" s="228">
        <f>COUNTIFS(РД[Тип кв],N$86,РД[МОП],$A91,РД[Дом],$C$85,РД[Дата подачи на регистрацию],"&lt;="&amp;$A$1,РД[Дата подачи на регистрацию],"&gt;="&amp;DATE(YEAR($A$1),MONTH($A$1),1))</f>
        <v>0</v>
      </c>
      <c r="O91" s="228">
        <f>COUNTIFS(РД[Тип кв],O$86,РД[МОП],$A91,РД[Дом],$C$85,РД[Дата подачи на регистрацию],"&lt;="&amp;$A$1,РД[Дата подачи на регистрацию],"&gt;="&amp;DATE(YEAR($A$1),MONTH($A$1),1))</f>
        <v>0</v>
      </c>
      <c r="P91" s="231">
        <f>COUNTIFS(РД[Тип кв],P$86,РД[МОП],$A91,РД[Дом],$C$85,РД[Дата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1" t="s">
        <v>1919</v>
      </c>
      <c r="B92" s="278"/>
      <c r="C92" s="281"/>
      <c r="D92" s="406">
        <f>SUMIFS(сент24[м2],сент24[МОП],$A92,сент24[№ дома],$C$85,сент24[Комнатность],"&lt;&gt;Офис")</f>
        <v>120.14</v>
      </c>
      <c r="E92" s="281">
        <f>SUMIFS(сент24[Сумма без отделки],сент24[МОП],$A92,сент24[№ дома],$C$85,сент24[Комнатность],"&lt;&gt;Офис")</f>
        <v>13465600</v>
      </c>
      <c r="F92" s="407">
        <f>COUNTIFS(сент24[МОП],$A92,сент24[№ дома],$C$85,сент24[Комнатность],"&lt;&gt;Офис")</f>
        <v>3</v>
      </c>
      <c r="G92" s="166">
        <f>SUMIFS(РД[S],РД[Дом],$C$85,РД[МОП],A92,РД[Дата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H92" s="167">
        <f>SUMIFS(РД[Стоимость без отделки итог],РД[Дом],$C$85,РД[МОП],A92,РД[Дата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I92" s="232">
        <f>COUNTIFS(РД[Дом],$C$85,РД[МОП],A92,РД[Дата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J92" s="233">
        <f t="shared" si="4"/>
        <v>0</v>
      </c>
      <c r="K92" s="234">
        <f t="shared" si="4"/>
        <v>0</v>
      </c>
      <c r="L92" s="235">
        <f>COUNTIFS(РД[Тип кв],L$86,РД[МОП],$A92,РД[Дом],$C$85,РД[Дата подачи на регистрацию],"&lt;="&amp;$A$1,РД[Дата подачи на регистрацию],"&gt;="&amp;DATE(YEAR($A$1),MONTH($A$1),1))</f>
        <v>0</v>
      </c>
      <c r="M92" s="236">
        <f>COUNTIFS(РД[Тип кв],M$86,РД[МОП],$A92,РД[Дом],$C$85,РД[Дата подачи на регистрацию],"&lt;="&amp;$A$1,РД[Дата подачи на регистрацию],"&gt;="&amp;DATE(YEAR($A$1),MONTH($A$1),1))</f>
        <v>0</v>
      </c>
      <c r="N92" s="236">
        <f>COUNTIFS(РД[Тип кв],N$86,РД[МОП],$A92,РД[Дом],$C$85,РД[Дата подачи на регистрацию],"&lt;="&amp;$A$1,РД[Дата подачи на регистрацию],"&gt;="&amp;DATE(YEAR($A$1),MONTH($A$1),1))</f>
        <v>0</v>
      </c>
      <c r="O92" s="236">
        <f>COUNTIFS(РД[Тип кв],O$86,РД[МОП],$A92,РД[Дом],$C$85,РД[Дата подачи на регистрацию],"&lt;="&amp;$A$1,РД[Дата подачи на регистрацию],"&gt;="&amp;DATE(YEAR($A$1),MONTH($A$1),1))</f>
        <v>0</v>
      </c>
      <c r="P92" s="237">
        <f>COUNTIFS(РД[Тип кв],P$86,РД[МОП],$A92,РД[Дом],$C$85,РД[Дата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68" t="s">
        <v>114</v>
      </c>
      <c r="B93" s="172">
        <f t="shared" ref="B93:I93" si="5">SUM(B87:B92)</f>
        <v>1071</v>
      </c>
      <c r="C93" s="173">
        <f t="shared" si="5"/>
        <v>112311802</v>
      </c>
      <c r="D93" s="173">
        <f t="shared" si="5"/>
        <v>627.02</v>
      </c>
      <c r="E93" s="173">
        <f t="shared" si="5"/>
        <v>62760952.600000001</v>
      </c>
      <c r="F93" s="171">
        <f t="shared" si="5"/>
        <v>12</v>
      </c>
      <c r="G93" s="172">
        <f t="shared" si="5"/>
        <v>627.02</v>
      </c>
      <c r="H93" s="173">
        <f t="shared" si="5"/>
        <v>63713291</v>
      </c>
      <c r="I93" s="170">
        <f t="shared" si="5"/>
        <v>12</v>
      </c>
      <c r="J93" s="238">
        <f>IFERROR(G93/B93,"")</f>
        <v>0.58545284780578899</v>
      </c>
      <c r="K93" s="239">
        <f>IFERROR(H93/C93,"")</f>
        <v>0.56728936643719774</v>
      </c>
      <c r="L93" s="240">
        <f>SUM(L87:L92)</f>
        <v>1</v>
      </c>
      <c r="M93" s="241">
        <f>SUM(M87:M92)</f>
        <v>3</v>
      </c>
      <c r="N93" s="241">
        <f>SUM(N87:N92)</f>
        <v>7</v>
      </c>
      <c r="O93" s="241">
        <f>SUM(O87:O92)</f>
        <v>1</v>
      </c>
      <c r="P93" s="242">
        <f>SUM(P87:P92)</f>
        <v>0</v>
      </c>
      <c r="T93" s="66"/>
    </row>
    <row r="94" spans="1:21" s="65" customFormat="1">
      <c r="A94" s="135" t="s">
        <v>115</v>
      </c>
      <c r="B94" s="135" t="s">
        <v>100</v>
      </c>
      <c r="C94" s="136" t="s">
        <v>97</v>
      </c>
      <c r="D94" s="137" t="s">
        <v>494</v>
      </c>
      <c r="E94" s="138" t="s">
        <v>495</v>
      </c>
      <c r="F94" s="139" t="s">
        <v>496</v>
      </c>
      <c r="G94" s="140" t="s">
        <v>101</v>
      </c>
      <c r="H94" s="141" t="s">
        <v>98</v>
      </c>
      <c r="I94" s="141" t="s">
        <v>96</v>
      </c>
      <c r="J94" s="141" t="s">
        <v>715</v>
      </c>
      <c r="K94" s="216" t="s">
        <v>716</v>
      </c>
      <c r="L94" s="217">
        <v>0</v>
      </c>
      <c r="M94" s="218">
        <v>1</v>
      </c>
      <c r="N94" s="218">
        <v>2</v>
      </c>
      <c r="O94" s="218">
        <v>3</v>
      </c>
      <c r="P94" s="219" t="s">
        <v>1367</v>
      </c>
      <c r="T94" s="66"/>
    </row>
    <row r="95" spans="1:21" s="65" customFormat="1">
      <c r="A95" s="177" t="s">
        <v>1892</v>
      </c>
      <c r="B95" s="291">
        <f>IFERROR(VLOOKUP(A95,'ИПП 3кв24'!$B$38:$L$48,6,0),"")</f>
        <v>467.04913043478263</v>
      </c>
      <c r="C95" s="292">
        <f>IFERROR(VLOOKUP(A95,'ИПП 3кв24'!$B$38:$L$48,7,0),"")</f>
        <v>48977711.915652178</v>
      </c>
      <c r="D95" s="346">
        <f>SUMIFS(сент24[м2],сент24[ИМ],A95,сент24[№ дома],$C$85,сент24[Комнатность],"&lt;&gt;Офис")</f>
        <v>132.84</v>
      </c>
      <c r="E95" s="184">
        <f>SUMIFS(сент24[Сумма без отделки],сент24[ИМ],$A95,сент24[№ дома],$C$85,сент24[Комнатность],"&lt;&gt;Офис")</f>
        <v>14571260</v>
      </c>
      <c r="F95" s="415">
        <f>COUNTIFS(сент24[ИМ],$A95,сент24[№ дома],$C$85,сент24[Комнатность],"&lt;&gt;Офис")</f>
        <v>3</v>
      </c>
      <c r="G95" s="183">
        <f>SUMIFS(РД[S],РД[Дом],$C$85,РД[ИМ],A95,РД[Дата подачи на регистрацию],"&lt;="&amp;$A$1,РД[Дата подачи на регистрацию],"&gt;="&amp;DATE(YEAR($A$1),MONTH($A$1),1),РД[Состояние],"Продажа")</f>
        <v>157.37</v>
      </c>
      <c r="H95" s="184">
        <f>SUMIFS(РД[Стоимость без отделки итог],РД[Дом],$C$85,РД[ИМ],A95,РД[Дата подачи на регистрацию],"&lt;="&amp;$A$1,РД[Дата подачи на регистрацию],"&gt;="&amp;DATE(YEAR($A$1),MONTH($A$1),1),РД[Состояние],"Продажа")</f>
        <v>17844260</v>
      </c>
      <c r="I95" s="243">
        <f>COUNTIFS(РД[Дом],$C$85,РД[ИМ],A95,РД[Дата подачи на регистрацию],"&lt;="&amp;$A$1,РД[Дата подачи на регистрацию],"&gt;="&amp;DATE(YEAR($A$1),MONTH($A$1),1),РД[Состояние],"Продажа")</f>
        <v>4</v>
      </c>
      <c r="J95" s="244">
        <f t="shared" ref="J95:K97" si="6">IFERROR(G95/B95,"")</f>
        <v>0.3369452799398257</v>
      </c>
      <c r="K95" s="258">
        <f t="shared" si="6"/>
        <v>0.36433429211088514</v>
      </c>
      <c r="L95" s="183">
        <f>COUNTIFS(РД[Тип кв],L86,РД[ИМ],$A95,РД[Дом],$C$85,РД[Дата подачи на регистрацию],"&lt;="&amp;$A$1,РД[Дата подачи на регистрацию],"&gt;="&amp;DATE(YEAR($A$1),MONTH($A$1),1))</f>
        <v>1</v>
      </c>
      <c r="M95" s="243">
        <f>COUNTIFS(РД[Тип кв],M86,РД[ИМ],$A95,РД[Дом],$C$85,РД[Дата подачи на регистрацию],"&lt;="&amp;$A$1,РД[Дата подачи на регистрацию],"&gt;="&amp;DATE(YEAR($A$1),MONTH($A$1),1))</f>
        <v>2</v>
      </c>
      <c r="N95" s="243">
        <f>COUNTIFS(РД[Тип кв],N86,РД[ИМ],$A95,РД[Дом],$C$85,РД[Дата подачи на регистрацию],"&lt;="&amp;$A$1,РД[Дата подачи на регистрацию],"&gt;="&amp;DATE(YEAR($A$1),MONTH($A$1),1))</f>
        <v>1</v>
      </c>
      <c r="O95" s="243">
        <f>COUNTIFS(РД[Тип кв],O86,РД[ИМ],$A95,РД[Дом],$C$85,РД[Дата подачи на регистрацию],"&lt;="&amp;$A$1,РД[Дата подачи на регистрацию],"&gt;="&amp;DATE(YEAR($A$1),MONTH($A$1),1))</f>
        <v>0</v>
      </c>
      <c r="P95" s="246">
        <f>COUNTIFS(РД[Тип кв],P86,РД[ИМ],$A95,РД[Дом],$C$85,РД[Дата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50" t="s">
        <v>22</v>
      </c>
      <c r="B96" s="267">
        <f>IFERROR(VLOOKUP(A96,'ИПП 3кв24'!$B$38:$L$48,6,0),"")</f>
        <v>443.3008695652174</v>
      </c>
      <c r="C96" s="146">
        <f>IFERROR(VLOOKUP(A96,'ИПП 3кв24'!$B$38:$L$48,7,0),"")</f>
        <v>46487319.784347832</v>
      </c>
      <c r="D96" s="328">
        <f>SUMIFS(сент24[м2],сент24[ИМ],A96,сент24[№ дома],$C$85,сент24[Комнатность],"&lt;&gt;Офис")</f>
        <v>373.7700000000001</v>
      </c>
      <c r="E96" s="188">
        <f>SUMIFS(сент24[Сумма без отделки],сент24[ИМ],$A96,сент24[№ дома],$C$85,сент24[Комнатность],"&lt;&gt;Офис")</f>
        <v>36372516</v>
      </c>
      <c r="F96" s="404">
        <f>COUNTIFS(сент24[ИМ],$A96,сент24[№ дома],$C$85,сент24[Комнатность],"&lt;&gt;Офис")</f>
        <v>7</v>
      </c>
      <c r="G96" s="187">
        <f>SUMIFS(РД[S],РД[Дом],$C$85,РД[ИМ],A96,РД[Дата подачи на регистрацию],"&lt;="&amp;$A$1,РД[Дата подачи на регистрацию],"&gt;="&amp;DATE(YEAR($A$1),MONTH($A$1),1),РД[Состояние],"Продажа")</f>
        <v>268.27</v>
      </c>
      <c r="H96" s="188">
        <f>SUMIFS(РД[Стоимость без отделки итог],РД[Дом],$C$85,РД[ИМ],A96,РД[Дата подачи на регистрацию],"&lt;="&amp;$A$1,РД[Дата подачи на регистрацию],"&gt;="&amp;DATE(YEAR($A$1),MONTH($A$1),1),РД[Состояние],"Продажа")</f>
        <v>26811173</v>
      </c>
      <c r="I96" s="247">
        <f>COUNTIFS(РД[Дом],$C$85,РД[ИМ],A96,РД[Дата подачи на регистрацию],"&lt;="&amp;$A$1,РД[Дата подачи на регистрацию],"&gt;="&amp;DATE(YEAR($A$1),MONTH($A$1),1),РД[Состояние],"Продажа")</f>
        <v>5</v>
      </c>
      <c r="J96" s="248">
        <f t="shared" si="6"/>
        <v>0.60516461486555406</v>
      </c>
      <c r="K96" s="259">
        <f t="shared" si="6"/>
        <v>0.57674163888939145</v>
      </c>
      <c r="L96" s="187">
        <f>COUNTIFS(РД[Тип кв],L$86,РД[ИМ],$A96,РД[Дом],$C$85,РД[Дата подачи на регистрацию],"&lt;="&amp;$A$1,РД[Дата подачи на регистрацию],"&gt;="&amp;DATE(YEAR($A$1),MONTH($A$1),1))</f>
        <v>0</v>
      </c>
      <c r="M96" s="247">
        <f>COUNTIFS(РД[Тип кв],M$86,РД[ИМ],$A96,РД[Дом],$C$85,РД[Дата подачи на регистрацию],"&lt;="&amp;$A$1,РД[Дата подачи на регистрацию],"&gt;="&amp;DATE(YEAR($A$1),MONTH($A$1),1))</f>
        <v>1</v>
      </c>
      <c r="N96" s="247">
        <f>COUNTIFS(РД[Тип кв],N$86,РД[ИМ],$A96,РД[Дом],$C$85,РД[Дата подачи на регистрацию],"&lt;="&amp;$A$1,РД[Дата подачи на регистрацию],"&gt;="&amp;DATE(YEAR($A$1),MONTH($A$1),1))</f>
        <v>4</v>
      </c>
      <c r="O96" s="247">
        <f>COUNTIFS(РД[Тип кв],O$86,РД[ИМ],$A96,РД[Дом],$C$85,РД[Дата подачи на регистрацию],"&lt;="&amp;$A$1,РД[Дата подачи на регистрацию],"&gt;="&amp;DATE(YEAR($A$1),MONTH($A$1),1))</f>
        <v>0</v>
      </c>
      <c r="P96" s="250">
        <f>COUNTIFS(РД[Тип кв],P$86,РД[ИМ],$A96,РД[Дом],$C$85,РД[Дата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189" t="s">
        <v>16</v>
      </c>
      <c r="B97" s="293">
        <f>IFERROR(VLOOKUP(A97,'ИПП 3кв24'!$B$38:$L$48,6,0),"")</f>
        <v>0</v>
      </c>
      <c r="C97" s="294">
        <f>IFERROR(VLOOKUP(A97,'ИПП 3кв24'!$B$38:$L$48,7,0),"")</f>
        <v>0</v>
      </c>
      <c r="D97" s="426">
        <f>SUMIFS(сент24[м2],сент24[ИМ],A97,сент24[№ дома],$C$85,сент24[Комнатность],"&lt;&gt;Офис")</f>
        <v>0</v>
      </c>
      <c r="E97" s="196">
        <f>SUMIFS(сент24[Сумма без отделки],сент24[ИМ],$A97,сент24[№ дома],$C$85,сент24[Комнатность],"&lt;&gt;Офис")</f>
        <v>0</v>
      </c>
      <c r="F97" s="427">
        <f>COUNTIFS(сент24[ИМ],$A97,сент24[№ дома],$C$85,сент24[Комнатность],"&lt;&gt;Офис")</f>
        <v>0</v>
      </c>
      <c r="G97" s="195">
        <f>SUMIFS(РД[S],РД[Дом],$C$85,РД[ИМ],A97,РД[Дата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H97" s="196">
        <f>SUMIFS(РД[Стоимость без отделки итог],РД[Дом],$C$85,РД[ИМ],A97,РД[Дата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I97" s="251">
        <f>COUNTIFS(РД[Дом],$C$85,РД[ИМ],A97,РД[Дата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J97" s="252" t="str">
        <f t="shared" si="6"/>
        <v/>
      </c>
      <c r="K97" s="260" t="str">
        <f t="shared" si="6"/>
        <v/>
      </c>
      <c r="L97" s="195">
        <f>COUNTIFS(РД[Тип кв],L$86,РД[ИМ],$A97,РД[Дом],$C$85,РД[Дата подачи на регистрацию],"&lt;="&amp;$A$1,РД[Дата подачи на регистрацию],"&gt;="&amp;DATE(YEAR($A$1),MONTH($A$1),1))</f>
        <v>0</v>
      </c>
      <c r="M97" s="251">
        <f>COUNTIFS(РД[Тип кв],M$86,РД[ИМ],$A97,РД[Дом],$C$85,РД[Дата подачи на регистрацию],"&lt;="&amp;$A$1,РД[Дата подачи на регистрацию],"&gt;="&amp;DATE(YEAR($A$1),MONTH($A$1),1))</f>
        <v>0</v>
      </c>
      <c r="N97" s="251">
        <f>COUNTIFS(РД[Тип кв],N$86,РД[ИМ],$A97,РД[Дом],$C$85,РД[Дата подачи на регистрацию],"&lt;="&amp;$A$1,РД[Дата подачи на регистрацию],"&gt;="&amp;DATE(YEAR($A$1),MONTH($A$1),1))</f>
        <v>0</v>
      </c>
      <c r="O97" s="251">
        <f>COUNTIFS(РД[Тип кв],O$86,РД[ИМ],$A97,РД[Дом],$C$85,РД[Дата подачи на регистрацию],"&lt;="&amp;$A$1,РД[Дата подачи на регистрацию],"&gt;="&amp;DATE(YEAR($A$1),MONTH($A$1),1))</f>
        <v>0</v>
      </c>
      <c r="P97" s="254">
        <f>COUNTIFS(РД[Тип кв],P$86,РД[ИМ],$A97,РД[Дом],$C$85,РД[Дата подачи на регистрацию],"&lt;="&amp;$A$1,РД[Дата подачи на регистрацию],"&gt;="&amp;DATE(YEAR($A$1),MONTH($A$1),1))</f>
        <v>0</v>
      </c>
      <c r="Q97" s="86"/>
      <c r="R97" s="86"/>
      <c r="S97" s="86"/>
      <c r="T97" s="66"/>
    </row>
    <row r="98" spans="1:21" s="65" customFormat="1">
      <c r="A98" s="168" t="s">
        <v>114</v>
      </c>
      <c r="B98" s="172">
        <f t="shared" ref="B98:I98" si="7">SUM(B95:B97)</f>
        <v>910.35</v>
      </c>
      <c r="C98" s="173">
        <f t="shared" si="7"/>
        <v>95465031.700000018</v>
      </c>
      <c r="D98" s="173">
        <f t="shared" si="7"/>
        <v>506.61000000000013</v>
      </c>
      <c r="E98" s="173">
        <f t="shared" si="7"/>
        <v>50943776</v>
      </c>
      <c r="F98" s="171">
        <f t="shared" si="7"/>
        <v>10</v>
      </c>
      <c r="G98" s="172">
        <f t="shared" si="7"/>
        <v>425.64</v>
      </c>
      <c r="H98" s="173">
        <f t="shared" si="7"/>
        <v>44655433</v>
      </c>
      <c r="I98" s="170">
        <f t="shared" si="7"/>
        <v>9</v>
      </c>
      <c r="J98" s="238">
        <f>IFERROR(G98/B98,)</f>
        <v>0.46755643433844124</v>
      </c>
      <c r="K98" s="239">
        <f>IFERROR(H98/C98,)</f>
        <v>0.46776743488998385</v>
      </c>
      <c r="L98" s="240">
        <f t="shared" ref="L98:P98" si="8">SUM(L95:L97)</f>
        <v>1</v>
      </c>
      <c r="M98" s="241">
        <f t="shared" si="8"/>
        <v>3</v>
      </c>
      <c r="N98" s="241">
        <f t="shared" si="8"/>
        <v>5</v>
      </c>
      <c r="O98" s="241">
        <f t="shared" si="8"/>
        <v>0</v>
      </c>
      <c r="P98" s="242">
        <f t="shared" si="8"/>
        <v>0</v>
      </c>
      <c r="Q98" s="86"/>
      <c r="R98" s="86"/>
      <c r="S98" s="86"/>
      <c r="T98" s="66"/>
    </row>
    <row r="99" spans="1:21" s="65" customFormat="1">
      <c r="A99" s="134"/>
      <c r="B99" s="211"/>
      <c r="C99" s="211"/>
      <c r="D99" s="212"/>
      <c r="E99" s="134"/>
      <c r="F99" s="134"/>
      <c r="G99" s="134"/>
      <c r="H99" s="134"/>
      <c r="I99" s="134"/>
      <c r="J99" s="134"/>
      <c r="K99" s="134"/>
      <c r="L99" s="261"/>
      <c r="M99" s="134"/>
      <c r="N99" s="134"/>
      <c r="O99" s="134"/>
      <c r="P99" s="262"/>
      <c r="Q99" s="134"/>
      <c r="U99" s="66"/>
    </row>
    <row r="100" spans="1:21" s="65" customFormat="1">
      <c r="A100" s="2325" t="s">
        <v>713</v>
      </c>
      <c r="B100" s="2326"/>
      <c r="C100" s="133" t="s">
        <v>19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263"/>
      <c r="T100" s="66"/>
    </row>
    <row r="101" spans="1:21" s="65" customFormat="1">
      <c r="A101" s="135" t="s">
        <v>1</v>
      </c>
      <c r="B101" s="135" t="s">
        <v>100</v>
      </c>
      <c r="C101" s="136" t="s">
        <v>97</v>
      </c>
      <c r="D101" s="137" t="s">
        <v>494</v>
      </c>
      <c r="E101" s="138" t="s">
        <v>495</v>
      </c>
      <c r="F101" s="139" t="s">
        <v>496</v>
      </c>
      <c r="G101" s="140" t="s">
        <v>101</v>
      </c>
      <c r="H101" s="141" t="s">
        <v>98</v>
      </c>
      <c r="I101" s="141" t="s">
        <v>96</v>
      </c>
      <c r="J101" s="141" t="s">
        <v>715</v>
      </c>
      <c r="K101" s="216" t="s">
        <v>716</v>
      </c>
      <c r="L101" s="217">
        <v>0</v>
      </c>
      <c r="M101" s="218">
        <v>1</v>
      </c>
      <c r="N101" s="218">
        <v>2</v>
      </c>
      <c r="O101" s="218">
        <v>3</v>
      </c>
      <c r="P101" s="219" t="s">
        <v>1367</v>
      </c>
      <c r="Q101" s="134"/>
      <c r="U101" s="66"/>
    </row>
    <row r="102" spans="1:21" s="65" customFormat="1">
      <c r="A102" s="398" t="s">
        <v>8</v>
      </c>
      <c r="B102" s="267">
        <f>IFERROR(VLOOKUP(A102,'ИПП 3кв24'!$B$38:$L$48,8,0),"")</f>
        <v>133</v>
      </c>
      <c r="C102" s="146">
        <f>IFERROR(VLOOKUP(A102,'ИПП 3кв24'!$B$38:$L$48,9,0),"")</f>
        <v>16084014</v>
      </c>
      <c r="D102" s="257">
        <f>SUMIFS(сент24[м2],сент24[МОП],$A102,сент24[№ дома],$C$100,сент24[Комнатность],"&lt;&gt;Офис")</f>
        <v>0</v>
      </c>
      <c r="E102" s="52">
        <f>SUMIFS(сент24[Сумма без отделки],сент24[МОП],$A102,сент24[№ дома],$C$100,сент24[Комнатность],"&lt;&gt;Офис")</f>
        <v>0</v>
      </c>
      <c r="F102" s="413">
        <f>COUNTIFS(сент24[МОП],$A102,сент24[№ дома],$C$100,сент24[Комнатность],"&lt;&gt;Офис")</f>
        <v>0</v>
      </c>
      <c r="G102" s="202">
        <f>SUMIFS(РД[S],РД[Дом],$C$100,РД[МОП],A102,РД[Дата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03">
        <f>SUMIFS(РД[Стоимость без отделки итог],РД[Дом],$C$100,РД[МОП],A102,РД[Дата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">
        <f t="shared" ref="J102:K107" si="9">IFERROR(G102/B102,)</f>
        <v>0</v>
      </c>
      <c r="K102" s="225">
        <f t="shared" si="9"/>
        <v>0</v>
      </c>
      <c r="L102" s="257">
        <f>COUNTIFS(РД[Тип кв],L$86,РД[МОП],$A102,РД[Дом],$C$100,РД[Дата подачи на регистрацию],"&lt;="&amp;$A$1,РД[Дата подачи на регистрацию],"&gt;="&amp;DATE(YEAR($A$1),MONTH($A$1),1))</f>
        <v>0</v>
      </c>
      <c r="M102" s="226">
        <f>COUNTIFS(РД[Тип кв],M$86,РД[МОП],$A102,РД[Дом],$C$100,РД[Дата подачи на регистрацию],"&lt;="&amp;$A$1,РД[Дата подачи на регистрацию],"&gt;="&amp;DATE(YEAR($A$1),MONTH($A$1),1))</f>
        <v>0</v>
      </c>
      <c r="N102" s="226">
        <f>COUNTIFS(РД[Тип кв],N$86,РД[МОП],$A102,РД[Дом],$C$100,РД[Дата подачи на регистрацию],"&lt;="&amp;$A$1,РД[Дата подачи на регистрацию],"&gt;="&amp;DATE(YEAR($A$1),MONTH($A$1),1))</f>
        <v>0</v>
      </c>
      <c r="O102" s="226">
        <f>COUNTIFS(РД[Тип кв],O$86,РД[МОП],$A102,РД[Дом],$C$100,РД[Дата подачи на регистрацию],"&lt;="&amp;$A$1,РД[Дата подачи на регистрацию],"&gt;="&amp;DATE(YEAR($A$1),MONTH($A$1),1))</f>
        <v>0</v>
      </c>
      <c r="P102" s="227">
        <f>COUNTIFS(РД[Тип кв],P$86,РД[МОП],$A102,РД[Дом],$C$100,РД[Дата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0" t="s">
        <v>46</v>
      </c>
      <c r="B103" s="267">
        <f>IFERROR(VLOOKUP(A103,'ИПП 3кв24'!$B$38:$L$48,8,0),"")</f>
        <v>87</v>
      </c>
      <c r="C103" s="146">
        <f>IFERROR(VLOOKUP(A103,'ИПП 3кв24'!$B$38:$L$48,9,0),"")</f>
        <v>10531199</v>
      </c>
      <c r="D103" s="257">
        <f>SUMIFS(сент24[м2],сент24[МОП],$A103,сент24[№ дома],$C$100,сент24[Комнатность],"&lt;&gt;Офис")</f>
        <v>0</v>
      </c>
      <c r="E103" s="52">
        <f>SUMIFS(сент24[Сумма без отделки],сент24[МОП],$A103,сент24[№ дома],$C$100,сент24[Комнатность],"&lt;&gt;Офис")</f>
        <v>0</v>
      </c>
      <c r="F103" s="413">
        <f>COUNTIFS(сент24[МОП],$A103,сент24[№ дома],$C$100,сент24[Комнатность],"&lt;&gt;Офис")</f>
        <v>0</v>
      </c>
      <c r="G103" s="202">
        <f>SUMIFS(РД[S],РД[Дом],$C$100,РД[МОП],A103,РД[Дата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H103" s="203">
        <f>SUMIFS(РД[Стоимость без отделки итог],РД[Дом],$C$100,РД[МОП],A103,РД[Дата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I103" s="226">
        <f>COUNTIFS(РД[Дом],$C$100,РД[МОП],A103,РД[Дата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J103" s="224">
        <f t="shared" si="9"/>
        <v>0</v>
      </c>
      <c r="K103" s="225">
        <f t="shared" si="9"/>
        <v>0</v>
      </c>
      <c r="L103" s="257">
        <f>COUNTIFS(РД[Тип кв],L$86,РД[МОП],$A103,РД[Дом],$C$100,РД[Дата подачи на регистрацию],"&lt;="&amp;$A$1,РД[Дата подачи на регистрацию],"&gt;="&amp;DATE(YEAR($A$1),MONTH($A$1),1))</f>
        <v>0</v>
      </c>
      <c r="M103" s="226">
        <f>COUNTIFS(РД[Тип кв],M$86,РД[МОП],$A103,РД[Дом],$C$100,РД[Дата подачи на регистрацию],"&lt;="&amp;$A$1,РД[Дата подачи на регистрацию],"&gt;="&amp;DATE(YEAR($A$1),MONTH($A$1),1))</f>
        <v>0</v>
      </c>
      <c r="N103" s="226">
        <f>COUNTIFS(РД[Тип кв],N$86,РД[МОП],$A103,РД[Дом],$C$100,РД[Дата подачи на регистрацию],"&lt;="&amp;$A$1,РД[Дата подачи на регистрацию],"&gt;="&amp;DATE(YEAR($A$1),MONTH($A$1),1))</f>
        <v>0</v>
      </c>
      <c r="O103" s="226">
        <f>COUNTIFS(РД[Тип кв],O$86,РД[МОП],$A103,РД[Дом],$C$100,РД[Дата подачи на регистрацию],"&lt;="&amp;$A$1,РД[Дата подачи на регистрацию],"&gt;="&amp;DATE(YEAR($A$1),MONTH($A$1),1))</f>
        <v>0</v>
      </c>
      <c r="P103" s="227">
        <f>COUNTIFS(РД[Тип кв],P$86,РД[МОП],$A103,РД[Дом],$C$100,РД[Дата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3" t="s">
        <v>20</v>
      </c>
      <c r="B104" s="267">
        <f>IFERROR(VLOOKUP(A104,'ИПП 3кв24'!$B$38:$L$48,8,0),"")</f>
        <v>140</v>
      </c>
      <c r="C104" s="146">
        <f>IFERROR(VLOOKUP(A104,'ИПП 3кв24'!$B$38:$L$48,9,0),"")</f>
        <v>16945657</v>
      </c>
      <c r="D104" s="257">
        <f>SUMIFS(сент24[м2],сент24[МОП],$A104,сент24[№ дома],$C$100,сент24[Комнатность],"&lt;&gt;Офис")</f>
        <v>0</v>
      </c>
      <c r="E104" s="52">
        <f>SUMIFS(сент24[Сумма без отделки],сент24[МОП],$A104,сент24[№ дома],$C$100,сент24[Комнатность],"&lt;&gt;Офис")</f>
        <v>0</v>
      </c>
      <c r="F104" s="413">
        <f>COUNTIFS(сент24[МОП],$A104,сент24[№ дома],$C$100,сент24[Комнатность],"&lt;&gt;Офис")</f>
        <v>0</v>
      </c>
      <c r="G104" s="202">
        <f>SUMIFS(РД[S],РД[Дом],$C$100,РД[МОП],A104,РД[Дата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si="9"/>
        <v>0</v>
      </c>
      <c r="K104" s="225">
        <f t="shared" si="9"/>
        <v>0</v>
      </c>
      <c r="L104" s="257">
        <f>COUNTIFS(РД[Тип кв],L$86,РД[МОП],$A104,РД[Дом],$C$100,РД[Дата подачи на регистрацию],"&lt;="&amp;$A$1,РД[Дата подачи на регистрацию],"&gt;="&amp;DATE(YEAR($A$1),MONTH($A$1),1))</f>
        <v>0</v>
      </c>
      <c r="M104" s="226">
        <f>COUNTIFS(РД[Тип кв],M$86,РД[МОП],$A104,РД[Дом],$C$100,РД[Дата подачи на регистрацию],"&lt;="&amp;$A$1,РД[Дата подачи на регистрацию],"&gt;="&amp;DATE(YEAR($A$1),MONTH($A$1),1))</f>
        <v>0</v>
      </c>
      <c r="N104" s="226">
        <f>COUNTIFS(РД[Тип кв],N$86,РД[МОП],$A104,РД[Дом],$C$100,РД[Дата подачи на регистрацию],"&lt;="&amp;$A$1,РД[Дата подачи на регистрацию],"&gt;="&amp;DATE(YEAR($A$1),MONTH($A$1),1))</f>
        <v>0</v>
      </c>
      <c r="O104" s="226">
        <f>COUNTIFS(РД[Тип кв],O$86,РД[МОП],$A104,РД[Дом],$C$100,РД[Дата подачи на регистрацию],"&lt;="&amp;$A$1,РД[Дата подачи на регистрацию],"&gt;="&amp;DATE(YEAR($A$1),MONTH($A$1),1))</f>
        <v>0</v>
      </c>
      <c r="P104" s="227">
        <f>COUNTIFS(РД[Тип кв],P$86,РД[МОП],$A104,РД[Дом],$C$100,РД[Дата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53" t="s">
        <v>14</v>
      </c>
      <c r="B105" s="267">
        <f>IFERROR(VLOOKUP(A105,'ИПП 3кв24'!$B$38:$L$48,8,0),"")</f>
        <v>140</v>
      </c>
      <c r="C105" s="146">
        <f>IFERROR(VLOOKUP(A105,'ИПП 3кв24'!$B$38:$L$48,9,0),"")</f>
        <v>16945657</v>
      </c>
      <c r="D105" s="329">
        <f>SUMIFS(сент24[м2],сент24[МОП],$A105,сент24[№ дома],$C$100,сент24[Комнатность],"&lt;&gt;Офис")</f>
        <v>0</v>
      </c>
      <c r="E105" s="363">
        <f>SUMIFS(сент24[Сумма без отделки],сент24[МОП],$A105,сент24[№ дома],$C$100,сент24[Комнатность],"&lt;&gt;Офис")</f>
        <v>0</v>
      </c>
      <c r="F105" s="414">
        <f>COUNTIFS(сент24[МОП],$A105,сент24[№ дома],$C$100,сент24[Комнатность],"&lt;&gt;Офис")</f>
        <v>0</v>
      </c>
      <c r="G105" s="358">
        <f>SUMIFS(РД[S],РД[Дом],$C$100,РД[МОП],A105,РД[Дата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359">
        <f>SUMIFS(РД[Стоимость без отделки итог],РД[Дом],$C$100,РД[МОП],A105,РД[Дата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330">
        <f>COUNTIFS(РД[Дом],$C$100,РД[МОП],A105,РД[Дата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360">
        <f t="shared" si="9"/>
        <v>0</v>
      </c>
      <c r="K105" s="361">
        <f t="shared" si="9"/>
        <v>0</v>
      </c>
      <c r="L105" s="329">
        <f>COUNTIFS(РД[Тип кв],L$86,РД[МОП],$A105,РД[Дом],$C$100,РД[Дата подачи на регистрацию],"&lt;="&amp;$A$1,РД[Дата подачи на регистрацию],"&gt;="&amp;DATE(YEAR($A$1),MONTH($A$1),1))</f>
        <v>0</v>
      </c>
      <c r="M105" s="330">
        <f>COUNTIFS(РД[Тип кв],M$86,РД[МОП],$A105,РД[Дом],$C$100,РД[Дата подачи на регистрацию],"&lt;="&amp;$A$1,РД[Дата подачи на регистрацию],"&gt;="&amp;DATE(YEAR($A$1),MONTH($A$1),1))</f>
        <v>0</v>
      </c>
      <c r="N105" s="330">
        <f>COUNTIFS(РД[Тип кв],N$86,РД[МОП],$A105,РД[Дом],$C$100,РД[Дата подачи на регистрацию],"&lt;="&amp;$A$1,РД[Дата подачи на регистрацию],"&gt;="&amp;DATE(YEAR($A$1),MONTH($A$1),1))</f>
        <v>0</v>
      </c>
      <c r="O105" s="330">
        <f>COUNTIFS(РД[Тип кв],O$86,РД[МОП],$A105,РД[Дом],$C$100,РД[Дата подачи на регистрацию],"&lt;="&amp;$A$1,РД[Дата подачи на регистрацию],"&gt;="&amp;DATE(YEAR($A$1),MONTH($A$1),1))</f>
        <v>0</v>
      </c>
      <c r="P105" s="331">
        <f>COUNTIFS(РД[Тип кв],P$86,РД[МОП],$A105,РД[Дом],$C$100,РД[Дата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4" t="s">
        <v>29</v>
      </c>
      <c r="B106" s="274"/>
      <c r="C106" s="277"/>
      <c r="D106" s="341">
        <f>SUMIFS(сент24[м2],сент24[МОП],$A106,сент24[№ дома],$C$100,сент24[Комнатность],"&lt;&gt;Офис")</f>
        <v>0</v>
      </c>
      <c r="E106" s="277">
        <f>SUMIFS(сент24[Сумма без отделки],сент24[МОП],$A106,сент24[№ дома],$C$100,сент24[Комнатность],"&lt;&gt;Офис")</f>
        <v>0</v>
      </c>
      <c r="F106" s="405">
        <f>COUNTIFS(сент24[МОП],$A106,сент24[№ дома],$C$100,сент24[Комнатность],"&lt;&gt;Офис")</f>
        <v>0</v>
      </c>
      <c r="G106" s="159">
        <f>SUMIFS(РД[S],РД[Дом],$C$100,РД[МОП],A106,РД[Дата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160">
        <f>SUMIFS(РД[Стоимость без отделки итог],РД[Дом],$C$100,РД[МОП],A106,РД[Дата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8">
        <f>COUNTIFS(РД[Дом],$C$100,РД[МОП],A106,РД[Дата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9">
        <f t="shared" si="9"/>
        <v>0</v>
      </c>
      <c r="K106" s="230">
        <f t="shared" si="9"/>
        <v>0</v>
      </c>
      <c r="L106" s="159">
        <f>COUNTIFS(РД[Тип кв],L$86,РД[МОП],$A106,РД[Дом],$C$100,РД[Дата подачи на регистрацию],"&lt;="&amp;$A$1,РД[Дата подачи на регистрацию],"&gt;="&amp;DATE(YEAR($A$1),MONTH($A$1),1))</f>
        <v>0</v>
      </c>
      <c r="M106" s="228">
        <f>COUNTIFS(РД[Тип кв],M$86,РД[МОП],$A106,РД[Дом],$C$100,РД[Дата подачи на регистрацию],"&lt;="&amp;$A$1,РД[Дата подачи на регистрацию],"&gt;="&amp;DATE(YEAR($A$1),MONTH($A$1),1))</f>
        <v>0</v>
      </c>
      <c r="N106" s="228">
        <f>COUNTIFS(РД[Тип кв],N$86,РД[МОП],$A106,РД[Дом],$C$100,РД[Дата подачи на регистрацию],"&lt;="&amp;$A$1,РД[Дата подачи на регистрацию],"&gt;="&amp;DATE(YEAR($A$1),MONTH($A$1),1))</f>
        <v>0</v>
      </c>
      <c r="O106" s="228">
        <f>COUNTIFS(РД[Тип кв],O$86,РД[МОП],$A106,РД[Дом],$C$100,РД[Дата подачи на регистрацию],"&lt;="&amp;$A$1,РД[Дата подачи на регистрацию],"&gt;="&amp;DATE(YEAR($A$1),MONTH($A$1),1))</f>
        <v>0</v>
      </c>
      <c r="P106" s="231">
        <f>COUNTIFS(РД[Тип кв],P$86,РД[МОП],$A106,РД[Дом],$C$100,РД[Дата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61" t="s">
        <v>1919</v>
      </c>
      <c r="B107" s="278"/>
      <c r="C107" s="281"/>
      <c r="D107" s="406">
        <f>SUMIFS(сент24[м2],сент24[МОП],$A107,сент24[№ дома],$C$100,сент24[Комнатность],"&lt;&gt;Офис")</f>
        <v>0</v>
      </c>
      <c r="E107" s="281">
        <f>SUMIFS(сент24[Сумма без отделки],сент24[МОП],$A107,сент24[№ дома],$C$100,сент24[Комнатность],"&lt;&gt;Офис")</f>
        <v>0</v>
      </c>
      <c r="F107" s="407">
        <f>COUNTIFS(сент24[МОП],$A107,сент24[№ дома],$C$100,сент24[Комнатность],"&lt;&gt;Офис")</f>
        <v>0</v>
      </c>
      <c r="G107" s="166">
        <f>SUMIFS(РД[S],РД[Дом],$C$100,РД[МОП],A107,РД[Дата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167">
        <f>SUMIFS(РД[Стоимость без отделки итог],РД[Дом],$C$100,РД[МОП],A107,РД[Дата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32">
        <f>COUNTIFS(РД[Дом],$C$100,РД[МОП],A107,РД[Дата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33">
        <f t="shared" si="9"/>
        <v>0</v>
      </c>
      <c r="K107" s="234">
        <f t="shared" si="9"/>
        <v>0</v>
      </c>
      <c r="L107" s="235">
        <f>COUNTIFS(РД[Тип кв],L$86,РД[МОП],$A107,РД[Дом],$C$100,РД[Дата подачи на регистрацию],"&lt;="&amp;$A$1,РД[Дата подачи на регистрацию],"&gt;="&amp;DATE(YEAR($A$1),MONTH($A$1),1))</f>
        <v>0</v>
      </c>
      <c r="M107" s="236">
        <f>COUNTIFS(РД[Тип кв],M$86,РД[МОП],$A107,РД[Дом],$C$100,РД[Дата подачи на регистрацию],"&lt;="&amp;$A$1,РД[Дата подачи на регистрацию],"&gt;="&amp;DATE(YEAR($A$1),MONTH($A$1),1))</f>
        <v>0</v>
      </c>
      <c r="N107" s="236">
        <f>COUNTIFS(РД[Тип кв],N$86,РД[МОП],$A107,РД[Дом],$C$100,РД[Дата подачи на регистрацию],"&lt;="&amp;$A$1,РД[Дата подачи на регистрацию],"&gt;="&amp;DATE(YEAR($A$1),MONTH($A$1),1))</f>
        <v>0</v>
      </c>
      <c r="O107" s="236">
        <f>COUNTIFS(РД[Тип кв],O$86,РД[МОП],$A107,РД[Дом],$C$100,РД[Дата подачи на регистрацию],"&lt;="&amp;$A$1,РД[Дата подачи на регистрацию],"&gt;="&amp;DATE(YEAR($A$1),MONTH($A$1),1))</f>
        <v>0</v>
      </c>
      <c r="P107" s="237">
        <f>COUNTIFS(РД[Тип кв],P$86,РД[МОП],$A107,РД[Дом],$C$100,РД[Дата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68" t="s">
        <v>114</v>
      </c>
      <c r="B108" s="172">
        <f t="shared" ref="B108:I108" si="10">SUM(B102:B107)</f>
        <v>500</v>
      </c>
      <c r="C108" s="173">
        <f t="shared" si="10"/>
        <v>60506527</v>
      </c>
      <c r="D108" s="173">
        <f t="shared" si="10"/>
        <v>0</v>
      </c>
      <c r="E108" s="173">
        <f t="shared" si="10"/>
        <v>0</v>
      </c>
      <c r="F108" s="171">
        <f t="shared" si="10"/>
        <v>0</v>
      </c>
      <c r="G108" s="172">
        <f t="shared" si="10"/>
        <v>0</v>
      </c>
      <c r="H108" s="173">
        <f t="shared" si="10"/>
        <v>0</v>
      </c>
      <c r="I108" s="170">
        <f t="shared" si="10"/>
        <v>0</v>
      </c>
      <c r="J108" s="238">
        <f>IFERROR(G108/B108,"")</f>
        <v>0</v>
      </c>
      <c r="K108" s="239">
        <f>IFERROR(H108/C108,"")</f>
        <v>0</v>
      </c>
      <c r="L108" s="240">
        <f>SUM(L102:L107)</f>
        <v>0</v>
      </c>
      <c r="M108" s="241">
        <f>SUM(M102:M107)</f>
        <v>0</v>
      </c>
      <c r="N108" s="241">
        <f>SUM(N102:N107)</f>
        <v>0</v>
      </c>
      <c r="O108" s="241">
        <f>SUM(O102:O107)</f>
        <v>0</v>
      </c>
      <c r="P108" s="242">
        <f>SUM(P102:P107)</f>
        <v>0</v>
      </c>
      <c r="Q108" s="134"/>
      <c r="U108" s="66"/>
    </row>
    <row r="109" spans="1:21" s="65" customFormat="1">
      <c r="A109" s="135" t="s">
        <v>115</v>
      </c>
      <c r="B109" s="135" t="s">
        <v>100</v>
      </c>
      <c r="C109" s="136" t="s">
        <v>97</v>
      </c>
      <c r="D109" s="137" t="s">
        <v>494</v>
      </c>
      <c r="E109" s="138" t="s">
        <v>495</v>
      </c>
      <c r="F109" s="139" t="s">
        <v>496</v>
      </c>
      <c r="G109" s="140" t="s">
        <v>101</v>
      </c>
      <c r="H109" s="141" t="s">
        <v>98</v>
      </c>
      <c r="I109" s="141" t="s">
        <v>96</v>
      </c>
      <c r="J109" s="141" t="s">
        <v>715</v>
      </c>
      <c r="K109" s="216" t="s">
        <v>716</v>
      </c>
      <c r="L109" s="217">
        <v>0</v>
      </c>
      <c r="M109" s="218">
        <v>1</v>
      </c>
      <c r="N109" s="218">
        <v>2</v>
      </c>
      <c r="O109" s="218">
        <v>3</v>
      </c>
      <c r="P109" s="219" t="s">
        <v>1367</v>
      </c>
      <c r="Q109" s="134"/>
      <c r="U109" s="66"/>
    </row>
    <row r="110" spans="1:21" s="65" customFormat="1">
      <c r="A110" s="177" t="s">
        <v>1892</v>
      </c>
      <c r="B110" s="291">
        <f>IFERROR(VLOOKUP(A110,'ИПП 3кв24'!$B$38:$L$48,8,0),"")</f>
        <v>218.04347826086959</v>
      </c>
      <c r="C110" s="292">
        <f>IFERROR(VLOOKUP(A110,'ИПП 3кв24'!$B$38:$L$48,9,0),"")</f>
        <v>26386107.209130436</v>
      </c>
      <c r="D110" s="346">
        <f>SUMIFS(сент24[м2],сент24[ИМ],A110,сент24[№ дома],$C$100,сент24[Комнатность],"&lt;&gt;Офис")</f>
        <v>0</v>
      </c>
      <c r="E110" s="184">
        <f>SUMIFS(сент24[Сумма без отделки],сент24[ИМ],$A110,сент24[№ дома],$C$100,сент24[Комнатность],"&lt;&gt;Офис")</f>
        <v>0</v>
      </c>
      <c r="F110" s="415">
        <f>COUNTIFS(сент24[ИМ],$A110,сент24[№ дома],$C$100,сент24[Комнатность],"&lt;&gt;Офис")</f>
        <v>0</v>
      </c>
      <c r="G110" s="183">
        <f>SUMIFS(РД[S],РД[Дом],$C$100,РД[ИМ],A110,РД[Дата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H110" s="184">
        <f>SUMIFS(РД[Стоимость без отделки итог],РД[Дом],$C$100,РД[ИМ],A110,РД[Дата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I110" s="243">
        <f>COUNTIFS(РД[Дом],$C$100,РД[ИМ],A110,РД[Дата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J110" s="244">
        <f t="shared" ref="J110:K112" si="11">IFERROR(G110/B110,"")</f>
        <v>0</v>
      </c>
      <c r="K110" s="258">
        <f t="shared" si="11"/>
        <v>0</v>
      </c>
      <c r="L110" s="183">
        <f>COUNTIFS(РД[Тип кв],L101,РД[ИМ],$A110,РД[Дом],$C$100,РД[Дата подачи на регистрацию],"&lt;="&amp;$A$1,РД[Дата подачи на регистрацию],"&gt;="&amp;DATE(YEAR($A$1),MONTH($A$1),1))</f>
        <v>0</v>
      </c>
      <c r="M110" s="243">
        <f>COUNTIFS(РД[Тип кв],M101,РД[ИМ],$A110,РД[Дом],$C$100,РД[Дата подачи на регистрацию],"&lt;="&amp;$A$1,РД[Дата подачи на регистрацию],"&gt;="&amp;DATE(YEAR($A$1),MONTH($A$1),1))</f>
        <v>0</v>
      </c>
      <c r="N110" s="243">
        <f>COUNTIFS(РД[Тип кв],N101,РД[ИМ],$A110,РД[Дом],$C$100,РД[Дата подачи на регистрацию],"&lt;="&amp;$A$1,РД[Дата подачи на регистрацию],"&gt;="&amp;DATE(YEAR($A$1),MONTH($A$1),1))</f>
        <v>0</v>
      </c>
      <c r="O110" s="243">
        <f>COUNTIFS(РД[Тип кв],O101,РД[ИМ],$A110,РД[Дом],$C$100,РД[Дата подачи на регистрацию],"&lt;="&amp;$A$1,РД[Дата подачи на регистрацию],"&gt;="&amp;DATE(YEAR($A$1),MONTH($A$1),1))</f>
        <v>0</v>
      </c>
      <c r="P110" s="246">
        <f>COUNTIFS(РД[Тип кв],P101,РД[ИМ],$A110,РД[Дом],$C$100,РД[Дата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50" t="s">
        <v>22</v>
      </c>
      <c r="B111" s="267">
        <f>IFERROR(VLOOKUP(A111,'ИПП 3кв24'!$B$38:$L$48,8,0),"")</f>
        <v>206.95652173913044</v>
      </c>
      <c r="C111" s="146">
        <f>IFERROR(VLOOKUP(A111,'ИПП 3кв24'!$B$38:$L$48,9,0),"")</f>
        <v>25044440.740869563</v>
      </c>
      <c r="D111" s="328">
        <f>SUMIFS(сент24[м2],сент24[ИМ],A111,сент24[№ дома],$C$100,сент24[Комнатность],"&lt;&gt;Офис")</f>
        <v>0</v>
      </c>
      <c r="E111" s="188">
        <f>SUMIFS(сент24[Сумма без отделки],сент24[ИМ],$A111,сент24[№ дома],$C$100,сент24[Комнатность],"&lt;&gt;Офис")</f>
        <v>0</v>
      </c>
      <c r="F111" s="404">
        <f>COUNTIFS(сент24[ИМ],$A111,сент24[№ дома],$C$100,сент24[Комнатность],"&lt;&gt;Офис")</f>
        <v>0</v>
      </c>
      <c r="G111" s="187">
        <f>SUMIFS(РД[S],РД[Дом],$C$100,РД[ИМ],A111,РД[Дата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H111" s="188">
        <f>SUMIFS(РД[Стоимость без отделки итог],РД[Дом],$C$100,РД[ИМ],A111,РД[Дата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I111" s="247">
        <f>COUNTIFS(РД[Дом],$C$100,РД[ИМ],A111,РД[Дата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J111" s="248">
        <f t="shared" si="11"/>
        <v>0</v>
      </c>
      <c r="K111" s="259">
        <f t="shared" si="11"/>
        <v>0</v>
      </c>
      <c r="L111" s="187">
        <f>COUNTIFS(РД[Тип кв],L$86,РД[ИМ],$A111,РД[Дом],$C$100,РД[Дата подачи на регистрацию],"&lt;="&amp;$A$1,РД[Дата подачи на регистрацию],"&gt;="&amp;DATE(YEAR($A$1),MONTH($A$1),1))</f>
        <v>0</v>
      </c>
      <c r="M111" s="247">
        <f>COUNTIFS(РД[Тип кв],M$86,РД[ИМ],$A111,РД[Дом],$C$100,РД[Дата подачи на регистрацию],"&lt;="&amp;$A$1,РД[Дата подачи на регистрацию],"&gt;="&amp;DATE(YEAR($A$1),MONTH($A$1),1))</f>
        <v>0</v>
      </c>
      <c r="N111" s="247">
        <f>COUNTIFS(РД[Тип кв],N$86,РД[ИМ],$A111,РД[Дом],$C$100,РД[Дата подачи на регистрацию],"&lt;="&amp;$A$1,РД[Дата подачи на регистрацию],"&gt;="&amp;DATE(YEAR($A$1),MONTH($A$1),1))</f>
        <v>0</v>
      </c>
      <c r="O111" s="247">
        <f>COUNTIFS(РД[Тип кв],O$86,РД[ИМ],$A111,РД[Дом],$C$100,РД[Дата подачи на регистрацию],"&lt;="&amp;$A$1,РД[Дата подачи на регистрацию],"&gt;="&amp;DATE(YEAR($A$1),MONTH($A$1),1))</f>
        <v>0</v>
      </c>
      <c r="P111" s="250">
        <f>COUNTIFS(РД[Тип кв],P$86,РД[ИМ],$A111,РД[Дом],$C$100,РД[Дата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89" t="s">
        <v>16</v>
      </c>
      <c r="B112" s="293">
        <f>IFERROR(VLOOKUP(A112,'ИПП 3кв24'!$B$38:$L$48,8,0),"")</f>
        <v>0</v>
      </c>
      <c r="C112" s="294">
        <f>IFERROR(VLOOKUP(A112,'ИПП 3кв24'!$B$38:$L$48,9,0),"")</f>
        <v>0</v>
      </c>
      <c r="D112" s="426">
        <f>SUMIFS(сент24[м2],сент24[ИМ],A112,сент24[№ дома],$C$100,сент24[Комнатность],"&lt;&gt;Офис")</f>
        <v>0</v>
      </c>
      <c r="E112" s="196">
        <f>SUMIFS(сент24[Сумма без отделки],сент24[ИМ],$A112,сент24[№ дома],$C$100,сент24[Комнатность],"&lt;&gt;Офис")</f>
        <v>0</v>
      </c>
      <c r="F112" s="427">
        <f>COUNTIFS(сент24[ИМ],$A112,сент24[№ дома],$C$100,сент24[Комнатность],"&lt;&gt;Офис")</f>
        <v>0</v>
      </c>
      <c r="G112" s="195">
        <f>SUMIFS(РД[S],РД[Дом],$C$100,РД[ИМ],A112,РД[Дата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H112" s="196">
        <f>SUMIFS(РД[Стоимость без отделки итог],РД[Дом],$C$100,РД[ИМ],A112,РД[Дата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I112" s="251">
        <f>COUNTIFS(РД[Дом],$C$100,РД[ИМ],A112,РД[Дата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J112" s="252" t="str">
        <f t="shared" si="11"/>
        <v/>
      </c>
      <c r="K112" s="260" t="str">
        <f t="shared" si="11"/>
        <v/>
      </c>
      <c r="L112" s="195">
        <f>COUNTIFS(РД[Тип кв],L$86,РД[ИМ],$A112,РД[Дом],$C$100,РД[Дата подачи на регистрацию],"&lt;="&amp;$A$1,РД[Дата подачи на регистрацию],"&gt;="&amp;DATE(YEAR($A$1),MONTH($A$1),1))</f>
        <v>0</v>
      </c>
      <c r="M112" s="251">
        <f>COUNTIFS(РД[Тип кв],M$86,РД[ИМ],$A112,РД[Дом],$C$100,РД[Дата подачи на регистрацию],"&lt;="&amp;$A$1,РД[Дата подачи на регистрацию],"&gt;="&amp;DATE(YEAR($A$1),MONTH($A$1),1))</f>
        <v>0</v>
      </c>
      <c r="N112" s="251">
        <f>COUNTIFS(РД[Тип кв],N$86,РД[ИМ],$A112,РД[Дом],$C$100,РД[Дата подачи на регистрацию],"&lt;="&amp;$A$1,РД[Дата подачи на регистрацию],"&gt;="&amp;DATE(YEAR($A$1),MONTH($A$1),1))</f>
        <v>0</v>
      </c>
      <c r="O112" s="251">
        <f>COUNTIFS(РД[Тип кв],O$86,РД[ИМ],$A112,РД[Дом],$C$100,РД[Дата подачи на регистрацию],"&lt;="&amp;$A$1,РД[Дата подачи на регистрацию],"&gt;="&amp;DATE(YEAR($A$1),MONTH($A$1),1))</f>
        <v>0</v>
      </c>
      <c r="P112" s="254">
        <f>COUNTIFS(РД[Тип кв],P$86,РД[ИМ],$A112,РД[Дом],$C$100,РД[Дата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168" t="s">
        <v>114</v>
      </c>
      <c r="B113" s="172">
        <f t="shared" ref="B113:I113" si="12">SUM(B110:B112)</f>
        <v>425</v>
      </c>
      <c r="C113" s="173">
        <f t="shared" si="12"/>
        <v>51430547.950000003</v>
      </c>
      <c r="D113" s="173">
        <f t="shared" si="12"/>
        <v>0</v>
      </c>
      <c r="E113" s="173">
        <f t="shared" si="12"/>
        <v>0</v>
      </c>
      <c r="F113" s="171">
        <f t="shared" si="12"/>
        <v>0</v>
      </c>
      <c r="G113" s="172">
        <f t="shared" si="12"/>
        <v>0</v>
      </c>
      <c r="H113" s="173">
        <f t="shared" si="12"/>
        <v>0</v>
      </c>
      <c r="I113" s="170">
        <f t="shared" si="12"/>
        <v>0</v>
      </c>
      <c r="J113" s="238">
        <f>IFERROR(G113/B113,)</f>
        <v>0</v>
      </c>
      <c r="K113" s="239">
        <f>IFERROR(H113/C113,)</f>
        <v>0</v>
      </c>
      <c r="L113" s="240">
        <f t="shared" ref="L113:P113" si="13">SUM(L110:L112)</f>
        <v>0</v>
      </c>
      <c r="M113" s="241">
        <f t="shared" si="13"/>
        <v>0</v>
      </c>
      <c r="N113" s="241">
        <f t="shared" si="13"/>
        <v>0</v>
      </c>
      <c r="O113" s="241">
        <f t="shared" si="13"/>
        <v>0</v>
      </c>
      <c r="P113" s="242">
        <f t="shared" si="13"/>
        <v>0</v>
      </c>
      <c r="Q113" s="134"/>
      <c r="U113" s="66"/>
    </row>
    <row r="114" spans="1:21" s="65" customFormat="1">
      <c r="A114" s="134"/>
      <c r="B114" s="211"/>
      <c r="C114" s="211"/>
      <c r="D114" s="212"/>
      <c r="E114" s="134"/>
      <c r="F114" s="134"/>
      <c r="G114" s="134"/>
      <c r="H114" s="134"/>
      <c r="I114" s="134"/>
      <c r="J114" s="134"/>
      <c r="K114" s="134"/>
      <c r="L114" s="261"/>
      <c r="M114" s="134"/>
      <c r="N114" s="134"/>
      <c r="O114" s="134"/>
      <c r="P114" s="262"/>
      <c r="Q114" s="134"/>
      <c r="U114" s="66"/>
    </row>
    <row r="115" spans="1:21" s="65" customFormat="1">
      <c r="A115" s="2325" t="s">
        <v>713</v>
      </c>
      <c r="B115" s="2326"/>
      <c r="C115" s="133" t="s">
        <v>718</v>
      </c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T115" s="66"/>
    </row>
    <row r="116" spans="1:21" s="65" customFormat="1">
      <c r="A116" s="135" t="s">
        <v>1</v>
      </c>
      <c r="B116" s="135" t="s">
        <v>100</v>
      </c>
      <c r="C116" s="136" t="s">
        <v>97</v>
      </c>
      <c r="D116" s="137" t="s">
        <v>494</v>
      </c>
      <c r="E116" s="138" t="s">
        <v>495</v>
      </c>
      <c r="F116" s="139" t="s">
        <v>496</v>
      </c>
      <c r="G116" s="140" t="s">
        <v>101</v>
      </c>
      <c r="H116" s="141" t="s">
        <v>98</v>
      </c>
      <c r="I116" s="141" t="s">
        <v>96</v>
      </c>
      <c r="J116" s="141" t="s">
        <v>715</v>
      </c>
      <c r="K116" s="216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T116" s="66"/>
    </row>
    <row r="117" spans="1:21" s="65" customFormat="1">
      <c r="A117" s="398" t="s">
        <v>8</v>
      </c>
      <c r="B117" s="267">
        <f>IFERROR(VLOOKUP(A117,'ИПП 3кв24'!$B$38:$L$48,10,0),"")</f>
        <v>418</v>
      </c>
      <c r="C117" s="146">
        <f>IFERROR(VLOOKUP(A117,'ИПП 3кв24'!$B$38:$L$48,11,0),"")</f>
        <v>45939050</v>
      </c>
      <c r="D117" s="257">
        <f>SUMIFS(сент24[м2],сент24[МОП],$A117,сент24[Комнатность],"&lt;&gt;Офис")</f>
        <v>256.92</v>
      </c>
      <c r="E117" s="52">
        <f>SUMIFS(сент24[Сумма без отделки],сент24[МОП],$A117,сент24[Комнатность],"&lt;&gt;Офис")</f>
        <v>27217128</v>
      </c>
      <c r="F117" s="413">
        <f>COUNTIFS(сент24[МОП],$A117,сент24[Комнатность],"&lt;&gt;Офис")</f>
        <v>5</v>
      </c>
      <c r="G117" s="202">
        <f>SUMIFS(РД[S],РД[МОП],A117,РД[Дата подачи на регистрацию],"&lt;="&amp;$A$1,РД[Дата подачи на регистрацию],"&gt;="&amp;DATE(YEAR($A$1),MONTH($A$1),1),РД[Состояние],"Продажа")</f>
        <v>281.45000000000005</v>
      </c>
      <c r="H117" s="203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регистрацию],"&gt;="&amp;DATE(YEAR($A$1),MONTH($A$1),1),РД[Состояние],"Продажа")</f>
        <v>30590128</v>
      </c>
      <c r="I117" s="226">
        <f>COUNTIFS(РД[МОП],A117,РД[Дата подачи на регистрацию],"&lt;="&amp;$A$1,РД[Дата подачи на регистрацию],"&gt;="&amp;DATE(YEAR($A$1),MONTH($A$1),1),РД[Состояние],"Продажа")</f>
        <v>6</v>
      </c>
      <c r="J117" s="224">
        <f t="shared" ref="J117:K122" si="14">IFERROR(G117/B117,"")</f>
        <v>0.67332535885167477</v>
      </c>
      <c r="K117" s="225">
        <f t="shared" si="14"/>
        <v>0.66588508034014637</v>
      </c>
      <c r="L117" s="257">
        <f>COUNTIFS(РД[Тип кв],L$86,РД[МОП],$A117,РД[Дата подачи на регистрацию],"&lt;="&amp;$A$1,РД[Дата подачи на регистрацию],"&gt;="&amp;DATE(YEAR($A$1),MONTH($A$1),1))</f>
        <v>1</v>
      </c>
      <c r="M117" s="226">
        <f>COUNTIFS(РД[Тип кв],M$86,РД[МОП],$A117,РД[Дата подачи на регистрацию],"&lt;="&amp;$A$1,РД[Дата подачи на регистрацию],"&gt;="&amp;DATE(YEAR($A$1),MONTH($A$1),1))</f>
        <v>2</v>
      </c>
      <c r="N117" s="226">
        <f>COUNTIFS(РД[Тип кв],N$86,РД[МОП],$A117,РД[Дата подачи на регистрацию],"&lt;="&amp;$A$1,РД[Дата подачи на регистрацию],"&gt;="&amp;DATE(YEAR($A$1),MONTH($A$1),1))</f>
        <v>3</v>
      </c>
      <c r="O117" s="226">
        <f>COUNTIFS(РД[Тип кв],O$86,РД[МОП],$A117,РД[Дата подачи на регистрацию],"&lt;="&amp;$A$1,РД[Дата подачи на регистрацию],"&gt;="&amp;DATE(YEAR($A$1),MONTH($A$1),1))</f>
        <v>0</v>
      </c>
      <c r="P117" s="227">
        <f>COUNTIFS(РД[Тип кв],P$86,РД[МОП],$A117,РД[Дата подачи на регистрацию],"&lt;="&amp;$A$1,РД[Дата подачи на регистрацию],"&gt;="&amp;DATE(YEAR($A$1),MONTH($A$1),1))</f>
        <v>0</v>
      </c>
      <c r="T117" s="66"/>
    </row>
    <row r="118" spans="1:21" s="65" customFormat="1">
      <c r="A118" s="150" t="s">
        <v>46</v>
      </c>
      <c r="B118" s="267">
        <f>IFERROR(VLOOKUP(A118,'ИПП 3кв24'!$B$38:$L$48,10,0),"")</f>
        <v>273</v>
      </c>
      <c r="C118" s="146">
        <f>IFERROR(VLOOKUP(A118,'ИПП 3кв24'!$B$38:$L$48,11,0),"")</f>
        <v>30079139</v>
      </c>
      <c r="D118" s="257">
        <f>SUMIFS(сент24[м2],сент24[МОП],$A118,сент24[Комнатность],"&lt;&gt;Офис")</f>
        <v>60.24</v>
      </c>
      <c r="E118" s="52">
        <f>SUMIFS(сент24[Сумма без отделки],сент24[МОП],$A118,сент24[Комнатность],"&lt;&gt;Офис")</f>
        <v>5885300</v>
      </c>
      <c r="F118" s="413">
        <f>COUNTIFS(сент24[МОП],$A118,сент24[Комнатность],"&lt;&gt;Офис")</f>
        <v>1</v>
      </c>
      <c r="G118" s="202">
        <f>SUMIFS(РД[S],РД[МОП],A118,РД[Дата подачи на регистрацию],"&lt;="&amp;$A$1,РД[Дата подачи на регистрацию],"&gt;="&amp;DATE(YEAR($A$1),MONTH($A$1),1),РД[Состояние],"Продажа")</f>
        <v>118.78999999999999</v>
      </c>
      <c r="H118" s="203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регистрацию],"&gt;="&amp;DATE(YEAR($A$1),MONTH($A$1),1),РД[Состояние],"Продажа")</f>
        <v>12254999</v>
      </c>
      <c r="I118" s="226">
        <f>COUNTIFS(РД[МОП],A118,РД[Дата подачи на регистрацию],"&lt;="&amp;$A$1,РД[Дата подачи на регистрацию],"&gt;="&amp;DATE(YEAR($A$1),MONTH($A$1),1),РД[Состояние],"Продажа")</f>
        <v>2</v>
      </c>
      <c r="J118" s="224">
        <f t="shared" si="14"/>
        <v>0.4351282051282051</v>
      </c>
      <c r="K118" s="225">
        <f t="shared" si="14"/>
        <v>0.40742519258945542</v>
      </c>
      <c r="L118" s="257">
        <f>COUNTIFS(РД[Тип кв],L$86,РД[МОП],$A118,РД[Дата подачи на регистрацию],"&lt;="&amp;$A$1,РД[Дата подачи на регистрацию],"&gt;="&amp;DATE(YEAR($A$1),MONTH($A$1),1))</f>
        <v>0</v>
      </c>
      <c r="M118" s="226">
        <f>COUNTIFS(РД[Тип кв],M$86,РД[МОП],$A118,РД[Дата подачи на регистрацию],"&lt;="&amp;$A$1,РД[Дата подачи на регистрацию],"&gt;="&amp;DATE(YEAR($A$1),MONTH($A$1),1))</f>
        <v>0</v>
      </c>
      <c r="N118" s="226">
        <f>COUNTIFS(РД[Тип кв],N$86,РД[МОП],$A118,РД[Дата подачи на регистрацию],"&lt;="&amp;$A$1,РД[Дата подачи на регистрацию],"&gt;="&amp;DATE(YEAR($A$1),MONTH($A$1),1))</f>
        <v>2</v>
      </c>
      <c r="O118" s="226">
        <f>COUNTIFS(РД[Тип кв],O$86,РД[МОП],$A118,РД[Дата подачи на регистрацию],"&lt;="&amp;$A$1,РД[Дата подачи на регистрацию],"&gt;="&amp;DATE(YEAR($A$1),MONTH($A$1),1))</f>
        <v>0</v>
      </c>
      <c r="P118" s="227">
        <f>COUNTIFS(РД[Тип кв],P$86,РД[МОП],$A118,РД[Дата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53" t="s">
        <v>20</v>
      </c>
      <c r="B119" s="267">
        <f>IFERROR(VLOOKUP(A119,'ИПП 3кв24'!$B$38:$L$48,10,0),"")</f>
        <v>440</v>
      </c>
      <c r="C119" s="146">
        <f>IFERROR(VLOOKUP(A119,'ИПП 3кв24'!$B$38:$L$48,11,0),"")</f>
        <v>48400070</v>
      </c>
      <c r="D119" s="257">
        <f>SUMIFS(сент24[м2],сент24[МОП],$A119,сент24[Комнатность],"&lt;&gt;Офис")</f>
        <v>269.96000000000004</v>
      </c>
      <c r="E119" s="52">
        <f>SUMIFS(сент24[Сумма без отделки],сент24[МОП],$A119,сент24[Комнатность],"&lt;&gt;Офис")</f>
        <v>24233606.600000001</v>
      </c>
      <c r="F119" s="413">
        <f>COUNTIFS(сент24[МОП],$A119,сент24[Комнатность],"&lt;&gt;Офис")</f>
        <v>4</v>
      </c>
      <c r="G119" s="202">
        <f>SUMIFS(РД[S],РД[МОП],A119,РД[Дата подачи на регистрацию],"&lt;="&amp;$A$1,РД[Дата подачи на регистрацию],"&gt;="&amp;DATE(YEAR($A$1),MONTH($A$1),1),РД[Состояние],"Продажа")</f>
        <v>307.77</v>
      </c>
      <c r="H119" s="203">
        <f>SUMIFS(РД[Стоимость без отделки итог],РД[МОП],A119,РД[Дата подачи на регистрацию],"&lt;="&amp;$A$1,РД[Дата подачи на регистрацию],"&gt;="&amp;DATE(YEAR($A$1),MONTH($A$1),1),РД[Состояние],"Продажа")</f>
        <v>29698645</v>
      </c>
      <c r="I119" s="226">
        <f>COUNTIFS(РД[МОП],A119,РД[Дата подачи на регистрацию],"&lt;="&amp;$A$1,РД[Дата подачи на регистрацию],"&gt;="&amp;DATE(YEAR($A$1),MONTH($A$1),1),РД[Состояние],"Продажа")</f>
        <v>5</v>
      </c>
      <c r="J119" s="224">
        <f t="shared" si="14"/>
        <v>0.69947727272727267</v>
      </c>
      <c r="K119" s="225">
        <f t="shared" si="14"/>
        <v>0.61360748031975987</v>
      </c>
      <c r="L119" s="325">
        <f>COUNTIFS(РД[Тип кв],L$86,РД[МОП],$A119,РД[Дата подачи на регистрацию],"&lt;="&amp;$A$1,РД[Дата подачи на регистрацию],"&gt;="&amp;DATE(YEAR($A$1),MONTH($A$1),1))</f>
        <v>0</v>
      </c>
      <c r="M119" s="326">
        <f>COUNTIFS(РД[Тип кв],M$86,РД[МОП],$A119,РД[Дата подачи на регистрацию],"&lt;="&amp;$A$1,РД[Дата подачи на регистрацию],"&gt;="&amp;DATE(YEAR($A$1),MONTH($A$1),1))</f>
        <v>1</v>
      </c>
      <c r="N119" s="326">
        <f>COUNTIFS(РД[Тип кв],N$86,РД[МОП],$A119,РД[Дата подачи на регистрацию],"&lt;="&amp;$A$1,РД[Дата подачи на регистрацию],"&gt;="&amp;DATE(YEAR($A$1),MONTH($A$1),1))</f>
        <v>2</v>
      </c>
      <c r="O119" s="326">
        <f>COUNTIFS(РД[Тип кв],O$86,РД[МОП],$A119,РД[Дата подачи на регистрацию],"&lt;="&amp;$A$1,РД[Дата подачи на регистрацию],"&gt;="&amp;DATE(YEAR($A$1),MONTH($A$1),1))</f>
        <v>2</v>
      </c>
      <c r="P119" s="327">
        <f>COUNTIFS(РД[Тип кв],P$86,РД[МОП],$A119,РД[Дата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14</v>
      </c>
      <c r="B120" s="267">
        <f>IFERROR(VLOOKUP(A120,'ИПП 3кв24'!$B$38:$L$48,10,0),"")</f>
        <v>440</v>
      </c>
      <c r="C120" s="146">
        <f>IFERROR(VLOOKUP(A120,'ИПП 3кв24'!$B$38:$L$48,11,0),"")</f>
        <v>48400070</v>
      </c>
      <c r="D120" s="329">
        <f>SUMIFS(сент24[м2],сент24[МОП],$A120,сент24[Комнатность],"&lt;&gt;Офис")</f>
        <v>264.95999999999998</v>
      </c>
      <c r="E120" s="363">
        <f>SUMIFS(сент24[Сумма без отделки],сент24[МОП],$A120,сент24[Комнатность],"&lt;&gt;Офис")</f>
        <v>26306802</v>
      </c>
      <c r="F120" s="414">
        <f>COUNTIFS(сент24[МОП],$A120,сент24[Комнатность],"&lt;&gt;Офис")</f>
        <v>6</v>
      </c>
      <c r="G120" s="358">
        <f>SUMIFS(РД[S],РД[МОП],A120,РД[Дата подачи на регистрацию],"&lt;="&amp;$A$1,РД[Дата подачи на регистрацию],"&gt;="&amp;DATE(YEAR($A$1),MONTH($A$1),1),РД[Состояние],"Продажа")</f>
        <v>248.48000000000002</v>
      </c>
      <c r="H120" s="359">
        <f>SUMIFS(РД[Стоимость без отделки итог],РД[МОП],A120,РД[Дата подачи на регистрацию],"&lt;="&amp;$A$1,РД[Дата подачи на регистрацию],"&gt;="&amp;DATE(YEAR($A$1),MONTH($A$1),1),РД[Состояние],"Продажа")</f>
        <v>25525905.600000001</v>
      </c>
      <c r="I120" s="330">
        <f>COUNTIFS(РД[МОП],A120,РД[Дата подачи на регистрацию],"&lt;="&amp;$A$1,РД[Дата подачи на регистрацию],"&gt;="&amp;DATE(YEAR($A$1),MONTH($A$1),1),РД[Состояние],"Продажа")</f>
        <v>4</v>
      </c>
      <c r="J120" s="360">
        <f t="shared" si="14"/>
        <v>0.56472727272727274</v>
      </c>
      <c r="K120" s="361">
        <f t="shared" si="14"/>
        <v>0.52739398104176294</v>
      </c>
      <c r="L120" s="364">
        <f>COUNTIFS(РД[Тип кв],L$86,РД[МОП],$A120,РД[Дата подачи на регистрацию],"&lt;="&amp;$A$1,РД[Дата подачи на регистрацию],"&gt;="&amp;DATE(YEAR($A$1),MONTH($A$1),1))</f>
        <v>0</v>
      </c>
      <c r="M120" s="365">
        <f>COUNTIFS(РД[Тип кв],M$86,РД[МОП],$A120,РД[Дата подачи на регистрацию],"&lt;="&amp;$A$1,РД[Дата подачи на регистрацию],"&gt;="&amp;DATE(YEAR($A$1),MONTH($A$1),1))</f>
        <v>0</v>
      </c>
      <c r="N120" s="365">
        <f>COUNTIFS(РД[Тип кв],N$86,РД[МОП],$A120,РД[Дата подачи на регистрацию],"&lt;="&amp;$A$1,РД[Дата подачи на регистрацию],"&gt;="&amp;DATE(YEAR($A$1),MONTH($A$1),1))</f>
        <v>4</v>
      </c>
      <c r="O120" s="365">
        <f>COUNTIFS(РД[Тип кв],O$86,РД[МОП],$A120,РД[Дата подачи на регистрацию],"&lt;="&amp;$A$1,РД[Дата подачи на регистрацию],"&gt;="&amp;DATE(YEAR($A$1),MONTH($A$1),1))</f>
        <v>1</v>
      </c>
      <c r="P120" s="366">
        <f>COUNTIFS(РД[Тип кв],P$86,РД[МОП],$A120,РД[Дата подачи на регистрацию],"&lt;="&amp;$A$1,РД[Дата подачи на регистрацию],"&gt;="&amp;DATE(YEAR($A$1),MONTH($A$1),1))</f>
        <v>0</v>
      </c>
      <c r="Q120" s="86"/>
      <c r="R120" s="86"/>
      <c r="S120" s="86"/>
      <c r="T120" s="66"/>
    </row>
    <row r="121" spans="1:21" s="65" customFormat="1">
      <c r="A121" s="154" t="s">
        <v>29</v>
      </c>
      <c r="B121" s="274"/>
      <c r="C121" s="277"/>
      <c r="D121" s="341">
        <f>SUMIFS(сент24[м2],сент24[МОП],$A121,сент24[Комнатность],"&lt;&gt;Офис")</f>
        <v>0</v>
      </c>
      <c r="E121" s="277">
        <f>SUMIFS(сент24[Сумма без отделки],сент24[МОП],$A121,сент24[Комнатность],"&lt;&gt;Офис")</f>
        <v>0</v>
      </c>
      <c r="F121" s="405">
        <f>COUNTIFS(сент24[МОП],$A121,сент24[Комнатность],"&lt;&gt;Офис")</f>
        <v>0</v>
      </c>
      <c r="G121" s="159">
        <f>SUMIFS(РД[S],РД[МОП],A121,РД[Дата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160">
        <f>SUMIFS(РД[Стоимость без отделки итог],РД[МОП],A121,РД[Дата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8">
        <f>COUNTIFS(РД[МОП],A121,РД[Дата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9" t="str">
        <f t="shared" si="14"/>
        <v/>
      </c>
      <c r="K121" s="230" t="str">
        <f t="shared" si="14"/>
        <v/>
      </c>
      <c r="L121" s="159">
        <f>COUNTIFS(РД[Тип кв],L$86,РД[МОП],$A121,РД[Дата подачи на регистрацию],"&lt;="&amp;$A$1,РД[Дата подачи на регистрацию],"&gt;="&amp;DATE(YEAR($A$1),MONTH($A$1),1))</f>
        <v>0</v>
      </c>
      <c r="M121" s="228">
        <f>COUNTIFS(РД[Тип кв],M$86,РД[МОП],$A121,РД[Дата подачи на регистрацию],"&lt;="&amp;$A$1,РД[Дата подачи на регистрацию],"&gt;="&amp;DATE(YEAR($A$1),MONTH($A$1),1))</f>
        <v>0</v>
      </c>
      <c r="N121" s="228">
        <f>COUNTIFS(РД[Тип кв],N$86,РД[МОП],$A121,РД[Дата подачи на регистрацию],"&lt;="&amp;$A$1,РД[Дата подачи на регистрацию],"&gt;="&amp;DATE(YEAR($A$1),MONTH($A$1),1))</f>
        <v>0</v>
      </c>
      <c r="O121" s="228">
        <f>COUNTIFS(РД[Тип кв],O$86,РД[МОП],$A121,РД[Дата подачи на регистрацию],"&lt;="&amp;$A$1,РД[Дата подачи на регистрацию],"&gt;="&amp;DATE(YEAR($A$1),MONTH($A$1),1))</f>
        <v>0</v>
      </c>
      <c r="P121" s="231">
        <f>COUNTIFS(РД[Тип кв],P$86,РД[МОП],$A121,РД[Дата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61" t="s">
        <v>1919</v>
      </c>
      <c r="B122" s="278"/>
      <c r="C122" s="281"/>
      <c r="D122" s="406">
        <f>SUMIFS(сент24[м2],сент24[МОП],$A122,сент24[Комнатность],"&lt;&gt;Офис")</f>
        <v>178.69</v>
      </c>
      <c r="E122" s="281">
        <f>SUMIFS(сент24[Сумма без отделки],сент24[МОП],$A122,сент24[Комнатность],"&lt;&gt;Офис")</f>
        <v>19835299</v>
      </c>
      <c r="F122" s="407">
        <f>COUNTIFS(сент24[МОП],$A122,сент24[Комнатность],"&lt;&gt;Офис")</f>
        <v>4</v>
      </c>
      <c r="G122" s="166">
        <f>SUMIFS(РД[S],РД[МОП],A122,РД[Дата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7">
        <f>SUMIFS(РД[Стоимость без отделки итог],РД[МОП],A122,РД[Дата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32">
        <f>COUNTIFS(РД[МОП],A122,РД[Дата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33" t="str">
        <f t="shared" si="14"/>
        <v/>
      </c>
      <c r="K122" s="234" t="str">
        <f t="shared" si="14"/>
        <v/>
      </c>
      <c r="L122" s="235">
        <f>COUNTIFS(РД[Тип кв],L$86,РД[МОП],$A122,РД[Дата подачи на регистрацию],"&lt;="&amp;$A$1,РД[Дата подачи на регистрацию],"&gt;="&amp;DATE(YEAR($A$1),MONTH($A$1),1))</f>
        <v>0</v>
      </c>
      <c r="M122" s="236">
        <f>COUNTIFS(РД[Тип кв],M$86,РД[МОП],$A122,РД[Дата подачи на регистрацию],"&lt;="&amp;$A$1,РД[Дата подачи на регистрацию],"&gt;="&amp;DATE(YEAR($A$1),MONTH($A$1),1))</f>
        <v>0</v>
      </c>
      <c r="N122" s="236">
        <f>COUNTIFS(РД[Тип кв],N$86,РД[МОП],$A122,РД[Дата подачи на регистрацию],"&lt;="&amp;$A$1,РД[Дата подачи на регистрацию],"&gt;="&amp;DATE(YEAR($A$1),MONTH($A$1),1))</f>
        <v>0</v>
      </c>
      <c r="O122" s="236">
        <f>COUNTIFS(РД[Тип кв],O$86,РД[МОП],$A122,РД[Дата подачи на регистрацию],"&lt;="&amp;$A$1,РД[Дата подачи на регистрацию],"&gt;="&amp;DATE(YEAR($A$1),MONTH($A$1),1))</f>
        <v>0</v>
      </c>
      <c r="P122" s="237">
        <f>COUNTIFS(РД[Тип кв],P$86,РД[МОП],$A122,РД[Дата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8" t="s">
        <v>114</v>
      </c>
      <c r="B123" s="172">
        <f t="shared" ref="B123:I123" si="15">SUM(B117:B122)</f>
        <v>1571</v>
      </c>
      <c r="C123" s="173">
        <f t="shared" si="15"/>
        <v>172818329</v>
      </c>
      <c r="D123" s="173">
        <f t="shared" si="15"/>
        <v>1030.7700000000002</v>
      </c>
      <c r="E123" s="173">
        <f t="shared" si="15"/>
        <v>103478135.59999999</v>
      </c>
      <c r="F123" s="171">
        <f t="shared" si="15"/>
        <v>20</v>
      </c>
      <c r="G123" s="172">
        <f t="shared" si="15"/>
        <v>956.49</v>
      </c>
      <c r="H123" s="173">
        <f t="shared" si="15"/>
        <v>98069677.599999994</v>
      </c>
      <c r="I123" s="170">
        <f t="shared" si="15"/>
        <v>17</v>
      </c>
      <c r="J123" s="238">
        <f>IFERROR(G123/B123,)</f>
        <v>0.60884150222788036</v>
      </c>
      <c r="K123" s="239">
        <f>IFERROR(H123/C123,)</f>
        <v>0.5674726643144431</v>
      </c>
      <c r="L123" s="240">
        <f>SUM(L117:L122)</f>
        <v>1</v>
      </c>
      <c r="M123" s="241">
        <f>SUM(M117:M122)</f>
        <v>3</v>
      </c>
      <c r="N123" s="241">
        <f>SUM(N117:N122)</f>
        <v>11</v>
      </c>
      <c r="O123" s="241">
        <f>SUM(O117:O122)</f>
        <v>3</v>
      </c>
      <c r="P123" s="242">
        <f>SUM(P117:P122)</f>
        <v>0</v>
      </c>
      <c r="T123" s="66"/>
    </row>
    <row r="124" spans="1:21" s="65" customFormat="1">
      <c r="A124" s="135" t="s">
        <v>115</v>
      </c>
      <c r="B124" s="135" t="s">
        <v>100</v>
      </c>
      <c r="C124" s="136" t="s">
        <v>97</v>
      </c>
      <c r="D124" s="137" t="s">
        <v>494</v>
      </c>
      <c r="E124" s="138" t="s">
        <v>495</v>
      </c>
      <c r="F124" s="139" t="s">
        <v>496</v>
      </c>
      <c r="G124" s="140" t="s">
        <v>101</v>
      </c>
      <c r="H124" s="141" t="s">
        <v>98</v>
      </c>
      <c r="I124" s="141" t="s">
        <v>96</v>
      </c>
      <c r="J124" s="141" t="s">
        <v>715</v>
      </c>
      <c r="K124" s="216" t="s">
        <v>716</v>
      </c>
      <c r="L124" s="217">
        <v>0</v>
      </c>
      <c r="M124" s="218">
        <v>1</v>
      </c>
      <c r="N124" s="218">
        <v>2</v>
      </c>
      <c r="O124" s="218">
        <v>3</v>
      </c>
      <c r="P124" s="219" t="s">
        <v>1367</v>
      </c>
      <c r="T124" s="66"/>
    </row>
    <row r="125" spans="1:21" s="65" customFormat="1">
      <c r="A125" s="177" t="s">
        <v>1892</v>
      </c>
      <c r="B125" s="291">
        <f>IFERROR(VLOOKUP(A125,'ИПП 3кв24'!$B$38:$L$48,10,0),"")</f>
        <v>685.09260869565219</v>
      </c>
      <c r="C125" s="292">
        <f>IFERROR(VLOOKUP(A125,'ИПП 3кв24'!$B$38:$L$48,11,0),"")</f>
        <v>75363819.124782622</v>
      </c>
      <c r="D125" s="346">
        <f>SUMIFS(сент24[м2],сент24[ИМ],A125,сент24[Комнатность],"&lt;&gt;Офис")</f>
        <v>191.39</v>
      </c>
      <c r="E125" s="184">
        <f>SUMIFS(сент24[Сумма без отделки],сент24[ИМ],$A125,сент24[Комнатность],"&lt;&gt;Офис")</f>
        <v>20940959</v>
      </c>
      <c r="F125" s="415">
        <f>COUNTIFS(сент24[ИМ],A125,сент24[Комнатность],"&lt;&gt;Офис")</f>
        <v>5</v>
      </c>
      <c r="G125" s="183">
        <f>SUMIFS(РД[S],РД[ИМ],A125,РД[Дата подачи на регистрацию],"&lt;="&amp;$A$1,РД[Дата подачи на регистрацию],"&gt;="&amp;DATE(YEAR($A$1),MONTH($A$1),1),РД[Состояние],"Продажа")</f>
        <v>215.92000000000002</v>
      </c>
      <c r="H125" s="184">
        <f>SUMIFS(РД[Стоимость без отделки итог],РД[ИМ],A125,РД[Дата подачи на регистрацию],"&lt;="&amp;$A$1,РД[Дата подачи на регистрацию],"&gt;="&amp;DATE(YEAR($A$1),MONTH($A$1),1),РД[Состояние],"Продажа")</f>
        <v>24213959</v>
      </c>
      <c r="I125" s="243">
        <f>COUNTIFS(РД[ИМ],A125,РД[Дата подачи на регистрацию],"&lt;="&amp;$A$1,РД[Дата подачи на регистрацию],"&gt;="&amp;DATE(YEAR($A$1),MONTH($A$1),1),РД[Состояние],"Продажа")</f>
        <v>5</v>
      </c>
      <c r="J125" s="244">
        <f t="shared" ref="J125:K128" si="16">IFERROR(G125/B125,"")</f>
        <v>0.31516906949425438</v>
      </c>
      <c r="K125" s="258">
        <f t="shared" si="16"/>
        <v>0.32129421360544463</v>
      </c>
      <c r="L125" s="183">
        <f>COUNTIFS(РД[Тип кв],L116,РД[ИМ],$A125,РД[Дата подачи на регистрацию],"&lt;="&amp;$A$1,РД[Дата подачи на регистрацию],"&gt;="&amp;DATE(YEAR($A$1),MONTH($A$1),1))</f>
        <v>1</v>
      </c>
      <c r="M125" s="243">
        <f>COUNTIFS(РД[Тип кв],M116,РД[ИМ],$A125,РД[Дата подачи на регистрацию],"&lt;="&amp;$A$1,РД[Дата подачи на регистрацию],"&gt;="&amp;DATE(YEAR($A$1),MONTH($A$1),1))</f>
        <v>2</v>
      </c>
      <c r="N125" s="243">
        <f>COUNTIFS(РД[Тип кв],N116,РД[ИМ],$A125,РД[Дата подачи на регистрацию],"&lt;="&amp;$A$1,РД[Дата подачи на регистрацию],"&gt;="&amp;DATE(YEAR($A$1),MONTH($A$1),1))</f>
        <v>2</v>
      </c>
      <c r="O125" s="243">
        <f>COUNTIFS(РД[Тип кв],O116,РД[ИМ],$A125,РД[Дата подачи на регистрацию],"&lt;="&amp;$A$1,РД[Дата подачи на регистрацию],"&gt;="&amp;DATE(YEAR($A$1),MONTH($A$1),1))</f>
        <v>0</v>
      </c>
      <c r="P125" s="246">
        <f>COUNTIFS(РД[Тип кв],P116,РД[ИМ],$A125,РД[Дата подачи на регистрацию],"&lt;="&amp;$A$1,РД[Дата подачи на регистрацию],"&gt;="&amp;DATE(YEAR($A$1),MONTH($A$1),1))</f>
        <v>0</v>
      </c>
      <c r="Q125" s="66"/>
      <c r="R125" s="66"/>
      <c r="S125" s="66"/>
      <c r="T125" s="66"/>
    </row>
    <row r="126" spans="1:21" s="65" customFormat="1">
      <c r="A126" s="150" t="s">
        <v>22</v>
      </c>
      <c r="B126" s="267">
        <f>IFERROR(VLOOKUP(A126,'ИПП 3кв24'!$B$38:$L$48,10,0),"")</f>
        <v>650.25739130434783</v>
      </c>
      <c r="C126" s="146">
        <f>IFERROR(VLOOKUP(A126,'ИПП 3кв24'!$B$38:$L$48,11,0),"")</f>
        <v>71531760.525217399</v>
      </c>
      <c r="D126" s="328">
        <f>SUMIFS(сент24[м2],сент24[ИМ],A126,сент24[Комнатность],"&lt;&gt;Офис")</f>
        <v>514.23</v>
      </c>
      <c r="E126" s="188">
        <f>SUMIFS(сент24[Сумма без отделки],сент24[ИМ],$A126,сент24[Комнатность],"&lt;&gt;Офис")</f>
        <v>50383298</v>
      </c>
      <c r="F126" s="404">
        <f>COUNTIFS(сент24[ИМ],$A126,сент24[Комнатность],"&lt;&gt;Офис")</f>
        <v>10</v>
      </c>
      <c r="G126" s="187">
        <f>SUMIFS(РД[S],РД[ИМ],A126,РД[Дата подачи на регистрацию],"&lt;="&amp;$A$1,РД[Дата подачи на регистрацию],"&gt;="&amp;DATE(YEAR($A$1),MONTH($A$1),1),РД[Состояние],"Продажа")</f>
        <v>408.73</v>
      </c>
      <c r="H126" s="188">
        <f>SUMIFS(РД[Стоимость без отделки итог],РД[ИМ],A126,РД[Дата подачи на регистрацию],"&lt;="&amp;$A$1,РД[Дата подачи на регистрацию],"&gt;="&amp;DATE(YEAR($A$1),MONTH($A$1),1),РД[Состояние],"Продажа")</f>
        <v>40821955</v>
      </c>
      <c r="I126" s="247">
        <f>COUNTIFS(РД[ИМ],A126,РД[Дата подачи на регистрацию],"&lt;="&amp;$A$1,РД[Дата подачи на регистрацию],"&gt;="&amp;DATE(YEAR($A$1),MONTH($A$1),1),РД[Состояние],"Продажа")</f>
        <v>7</v>
      </c>
      <c r="J126" s="248">
        <f t="shared" si="16"/>
        <v>0.62856648069794441</v>
      </c>
      <c r="K126" s="259">
        <f t="shared" si="16"/>
        <v>0.57068293440937834</v>
      </c>
      <c r="L126" s="328">
        <f>COUNTIFS(РД[Тип кв],L117,РД[ИМ],$A126,РД[Дата подачи на регистрацию],"&lt;="&amp;$A$1,РД[Дата подачи на регистрацию],"&gt;="&amp;DATE(YEAR($A$1),MONTH($A$1),1))</f>
        <v>1</v>
      </c>
      <c r="M126" s="247">
        <f>COUNTIFS(РД[Тип кв],M117,РД[ИМ],$A126,РД[Дата подачи на регистрацию],"&lt;="&amp;$A$1,РД[Дата подачи на регистрацию],"&gt;="&amp;DATE(YEAR($A$1),MONTH($A$1),1))</f>
        <v>5</v>
      </c>
      <c r="N126" s="247">
        <f>COUNTIFS(РД[Тип кв],N117,РД[ИМ],$A126,РД[Дата подачи на регистрацию],"&lt;="&amp;$A$1,РД[Дата подачи на регистрацию],"&gt;="&amp;DATE(YEAR($A$1),MONTH($A$1),1))</f>
        <v>1</v>
      </c>
      <c r="O126" s="247">
        <f>COUNTIFS(РД[Тип кв],O117,РД[ИМ],$A126,РД[Дата подачи на регистрацию],"&lt;="&amp;$A$1,РД[Дата подачи на регистрацию],"&gt;="&amp;DATE(YEAR($A$1),MONTH($A$1),1))</f>
        <v>0</v>
      </c>
      <c r="P126" s="250">
        <f>COUNTIFS(РД[Тип кв],P117,РД[ИМ],$A126,РД[Дата подачи на регистрацию],"&lt;="&amp;$A$1,РД[Дата подачи на регистрацию],"&gt;="&amp;DATE(YEAR($A$1),MONTH($A$1),1))</f>
        <v>0</v>
      </c>
      <c r="Q126" s="66"/>
      <c r="R126" s="66"/>
      <c r="S126" s="66"/>
      <c r="T126" s="66"/>
    </row>
    <row r="127" spans="1:21" s="65" customFormat="1">
      <c r="A127" s="189" t="s">
        <v>16</v>
      </c>
      <c r="B127" s="293">
        <f>IFERROR(VLOOKUP(A127,'ИПП 3кв24'!$B$38:$L$48,10,0),"")</f>
        <v>0</v>
      </c>
      <c r="C127" s="294">
        <f>IFERROR(VLOOKUP(A127,'ИПП 3кв24'!$B$38:$L$48,11,0),"")</f>
        <v>0</v>
      </c>
      <c r="D127" s="426">
        <f>SUMIFS(сент24[м2],сент24[ИМ],A127,сент24[Комнатность],"&lt;&gt;Офис")</f>
        <v>0</v>
      </c>
      <c r="E127" s="196">
        <f>SUMIFS(сент24[Сумма без отделки],сент24[ИМ],$A127,сент24[Комнатность],"&lt;&gt;Офис")</f>
        <v>0</v>
      </c>
      <c r="F127" s="427">
        <f>COUNTIFS(сент24[ИМ],$A127,сент24[Комнатность],"&lt;&gt;Офис")</f>
        <v>0</v>
      </c>
      <c r="G127" s="195">
        <f>SUMIFS(РД[S],РД[ИМ],A127,РД[Дата подачи на регистрацию],"&lt;="&amp;$A$1,РД[Дата подачи на регистрацию],"&gt;="&amp;DATE(YEAR($A$1),MONTH($A$1),1),РД[Состояние],"Продажа")</f>
        <v>0</v>
      </c>
      <c r="H127" s="196">
        <f>SUMIFS(РД[Стоимость без отделки итог],РД[ИМ],A127,РД[Дата подачи на регистрацию],"&lt;="&amp;$A$1,РД[Дата подачи на регистрацию],"&gt;="&amp;DATE(YEAR($A$1),MONTH($A$1),1),РД[Состояние],"Продажа")</f>
        <v>0</v>
      </c>
      <c r="I127" s="251">
        <f>COUNTIFS(РД[ИМ],A127,РД[Дата подачи на регистрацию],"&lt;="&amp;$A$1,РД[Дата подачи на регистрацию],"&gt;="&amp;DATE(YEAR($A$1),MONTH($A$1),1),РД[Состояние],"Продажа")</f>
        <v>0</v>
      </c>
      <c r="J127" s="252" t="str">
        <f t="shared" si="16"/>
        <v/>
      </c>
      <c r="K127" s="260" t="str">
        <f t="shared" si="16"/>
        <v/>
      </c>
      <c r="L127" s="329">
        <f>COUNTIFS(РД[Тип кв],L119,РД[ИМ],$A127,РД[Дата подачи на регистрацию],"&lt;="&amp;$A$1,РД[Дата подачи на регистрацию],"&gt;="&amp;DATE(YEAR($A$1),MONTH($A$1),1))</f>
        <v>0</v>
      </c>
      <c r="M127" s="330">
        <f>COUNTIFS(РД[Тип кв],M119,РД[ИМ],$A127,РД[Дата подачи на регистрацию],"&lt;="&amp;$A$1,РД[Дата подачи на регистрацию],"&gt;="&amp;DATE(YEAR($A$1),MONTH($A$1),1))</f>
        <v>0</v>
      </c>
      <c r="N127" s="330">
        <f>COUNTIFS(РД[Тип кв],N119,РД[ИМ],$A127,РД[Дата подачи на регистрацию],"&lt;="&amp;$A$1,РД[Дата подачи на регистрацию],"&gt;="&amp;DATE(YEAR($A$1),MONTH($A$1),1))</f>
        <v>0</v>
      </c>
      <c r="O127" s="330">
        <f>COUNTIFS(РД[Тип кв],O119,РД[ИМ],$A127,РД[Дата подачи на регистрацию],"&lt;="&amp;$A$1,РД[Дата подачи на регистрацию],"&gt;="&amp;DATE(YEAR($A$1),MONTH($A$1),1))</f>
        <v>0</v>
      </c>
      <c r="P127" s="331">
        <f>COUNTIFS(РД[Тип кв],P119,РД[ИМ],$A127,РД[Дата подачи на регистрацию],"&lt;="&amp;$A$1,РД[Дата подачи на регистрацию],"&gt;="&amp;DATE(YEAR($A$1),MONTH($A$1),1))</f>
        <v>0</v>
      </c>
      <c r="Q127" s="66"/>
      <c r="R127" s="66"/>
      <c r="S127" s="66"/>
      <c r="T127" s="66"/>
    </row>
    <row r="128" spans="1:21" s="65" customFormat="1">
      <c r="A128" s="168" t="s">
        <v>114</v>
      </c>
      <c r="B128" s="172">
        <f>SUM(B125:B127)</f>
        <v>1335.35</v>
      </c>
      <c r="C128" s="173">
        <f>SUM(C125:C127)</f>
        <v>146895579.65000004</v>
      </c>
      <c r="D128" s="173">
        <f t="shared" ref="D128:P128" si="17">SUM(D125:D127)</f>
        <v>705.62</v>
      </c>
      <c r="E128" s="173">
        <f t="shared" si="17"/>
        <v>71324257</v>
      </c>
      <c r="F128" s="171">
        <f t="shared" si="17"/>
        <v>15</v>
      </c>
      <c r="G128" s="172">
        <f t="shared" si="17"/>
        <v>624.65000000000009</v>
      </c>
      <c r="H128" s="173">
        <f t="shared" si="17"/>
        <v>65035914</v>
      </c>
      <c r="I128" s="170">
        <f t="shared" si="17"/>
        <v>12</v>
      </c>
      <c r="J128" s="238">
        <f t="shared" si="16"/>
        <v>0.46777998277605132</v>
      </c>
      <c r="K128" s="239">
        <f t="shared" si="16"/>
        <v>0.44273567764909927</v>
      </c>
      <c r="L128" s="240">
        <f t="shared" si="17"/>
        <v>2</v>
      </c>
      <c r="M128" s="241">
        <f t="shared" si="17"/>
        <v>7</v>
      </c>
      <c r="N128" s="241">
        <f t="shared" si="17"/>
        <v>3</v>
      </c>
      <c r="O128" s="241">
        <f t="shared" si="17"/>
        <v>0</v>
      </c>
      <c r="P128" s="242">
        <f t="shared" si="17"/>
        <v>0</v>
      </c>
      <c r="Q128" s="66"/>
      <c r="R128" s="66"/>
      <c r="S128" s="66"/>
      <c r="T128" s="66"/>
    </row>
    <row r="129" spans="1:21" s="65" customFormat="1">
      <c r="A129" s="134"/>
      <c r="B129" s="44"/>
      <c r="C129" s="44"/>
      <c r="D129" s="134"/>
      <c r="E129" s="134"/>
      <c r="F129" s="44"/>
      <c r="G129" s="134"/>
      <c r="H129" s="134"/>
      <c r="I129" s="134"/>
      <c r="J129" s="134"/>
      <c r="K129" s="255"/>
      <c r="L129" s="256"/>
      <c r="M129" s="134"/>
      <c r="N129" s="134"/>
      <c r="O129" s="134"/>
      <c r="P129" s="134"/>
      <c r="Q129" s="134"/>
      <c r="T129" s="66"/>
      <c r="U129" s="66"/>
    </row>
    <row r="130" spans="1:21" s="65" customFormat="1" ht="15">
      <c r="A130" s="2400" t="s">
        <v>1368</v>
      </c>
      <c r="B130" s="2401"/>
      <c r="C130" s="2401"/>
      <c r="D130" s="2401"/>
      <c r="E130" s="2401"/>
      <c r="F130" s="2401"/>
      <c r="G130" s="2401"/>
      <c r="H130" s="2401"/>
      <c r="I130" s="2401"/>
      <c r="J130" s="2401"/>
      <c r="K130" s="2401"/>
      <c r="L130" s="2401"/>
      <c r="M130" s="2401"/>
      <c r="N130" s="2401"/>
      <c r="O130" s="2401"/>
      <c r="P130" s="66"/>
      <c r="S130" s="66"/>
      <c r="T130" s="66"/>
    </row>
    <row r="131" spans="1:21" s="65" customFormat="1">
      <c r="A131" s="135" t="s">
        <v>1</v>
      </c>
      <c r="B131" s="135" t="s">
        <v>100</v>
      </c>
      <c r="C131" s="136" t="s">
        <v>97</v>
      </c>
      <c r="D131" s="264" t="s">
        <v>494</v>
      </c>
      <c r="E131" s="265" t="s">
        <v>495</v>
      </c>
      <c r="F131" s="266" t="s">
        <v>496</v>
      </c>
      <c r="G131" s="140" t="s">
        <v>101</v>
      </c>
      <c r="H131" s="141" t="s">
        <v>98</v>
      </c>
      <c r="I131" s="141" t="s">
        <v>96</v>
      </c>
      <c r="J131" s="141" t="s">
        <v>715</v>
      </c>
      <c r="K131" s="216" t="s">
        <v>716</v>
      </c>
      <c r="L131" s="332" t="s">
        <v>121</v>
      </c>
      <c r="M131" s="218" t="s">
        <v>27</v>
      </c>
      <c r="N131" s="219" t="s">
        <v>7</v>
      </c>
      <c r="O131" s="219" t="s">
        <v>19</v>
      </c>
      <c r="P131" s="66"/>
      <c r="S131" s="66"/>
      <c r="T131" s="66"/>
    </row>
    <row r="132" spans="1:21" s="65" customFormat="1">
      <c r="A132" s="142" t="s">
        <v>8</v>
      </c>
      <c r="B132" s="267"/>
      <c r="C132" s="268"/>
      <c r="D132" s="416">
        <f>SUMIFS(сент24[м2],сент24[МОП],A132,сент24[Комнатность],"Офис")</f>
        <v>0</v>
      </c>
      <c r="E132" s="146">
        <f>SUMIFS(сент24[Сумма без отделки],сент24[МОП],$A132,сент24[Комнатность],"оФИС")</f>
        <v>0</v>
      </c>
      <c r="F132" s="417">
        <f>COUNTIFS(сент24[МОП],$A132,сент24[Комнатность],"Офис")</f>
        <v>0</v>
      </c>
      <c r="G132" s="267">
        <f>SUMIFS(РД[S],РД[МОП],A132,РД[Дата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H132" s="146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I132" s="220">
        <f>COUNTIFS(РД[МОП],A132,РД[Дата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J132" s="221" t="str">
        <f t="shared" ref="J132:K138" si="18">IFERROR(G132/B132,"")</f>
        <v/>
      </c>
      <c r="K132" s="333" t="str">
        <f t="shared" si="18"/>
        <v/>
      </c>
      <c r="L132" s="148">
        <f>COUNTIFS(РД[Дом],L$131,РД[МОП],$A132,РД[Дата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M132" s="220">
        <f>COUNTIFS(РД[Дом],M$131,РД[МОП],$A132,РД[Дата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N132" s="223">
        <f>COUNTIFS(РД[Дом],N$131,РД[МОП],$A132,РД[Дата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O132" s="223">
        <f>COUNTIFS(РД[Дом],O$131,РД[МОП],$A132,РД[Дата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S132" s="66"/>
      <c r="T132" s="66"/>
    </row>
    <row r="133" spans="1:21" s="65" customFormat="1">
      <c r="A133" s="150" t="s">
        <v>46</v>
      </c>
      <c r="B133" s="267"/>
      <c r="C133" s="268"/>
      <c r="D133" s="416">
        <f>SUMIFS(сент24[м2],сент24[МОП],A133,сент24[Комнатность],"Офис")</f>
        <v>0</v>
      </c>
      <c r="E133" s="146">
        <f>SUMIFS(сент24[Сумма без отделки],сент24[МОП],$A133,сент24[Комнатность],"оФИС")</f>
        <v>0</v>
      </c>
      <c r="F133" s="417">
        <f>COUNTIFS(сент24[МОП],$A133,сент24[Комнатность],"Офис")</f>
        <v>0</v>
      </c>
      <c r="G133" s="267">
        <f>SUMIFS(РД[S],РД[МОП],A133,РД[Дата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H133" s="146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I133" s="220">
        <f>COUNTIFS(РД[МОП],A133,РД[Дата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J133" s="221" t="str">
        <f t="shared" si="18"/>
        <v/>
      </c>
      <c r="K133" s="333" t="str">
        <f t="shared" si="18"/>
        <v/>
      </c>
      <c r="L133" s="148">
        <f>COUNTIFS(РД[Дом],L$131,РД[МОП],$A133,РД[Дата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M133" s="220">
        <f>COUNTIFS(РД[Дом],M$131,РД[МОП],$A133,РД[Дата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N133" s="223">
        <f>COUNTIFS(РД[Дом],N$131,РД[МОП],$A133,РД[Дата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O133" s="223">
        <f>COUNTIFS(РД[Дом],O$131,РД[МОП],$A133,РД[Дата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S133" s="66"/>
      <c r="T133" s="66"/>
    </row>
    <row r="134" spans="1:21" s="65" customFormat="1">
      <c r="A134" s="153" t="s">
        <v>20</v>
      </c>
      <c r="B134" s="271"/>
      <c r="C134" s="272"/>
      <c r="D134" s="416">
        <f>SUMIFS(сент24[м2],сент24[МОП],A134,сент24[Комнатность],"Офис")</f>
        <v>0</v>
      </c>
      <c r="E134" s="52">
        <f>SUMIFS(сент24[Сумма без отделки],сент24[МОП],$A134,сент24[Комнатность],"оФИС")</f>
        <v>0</v>
      </c>
      <c r="F134" s="421">
        <f>COUNTIFS(сент24[МОП],$A134,сент24[Комнатность],"Офис")</f>
        <v>0</v>
      </c>
      <c r="G134" s="271">
        <f>SUMIFS(РД[S],РД[МОП],A134,РД[Дата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H134" s="52">
        <f>SUMIFS(РД[Стоимость без отделки итог],РД[МОП],A134,РД[Дата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I134" s="220">
        <f>COUNTIFS(РД[МОП],A134,РД[Дата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J134" s="224" t="str">
        <f t="shared" si="18"/>
        <v/>
      </c>
      <c r="K134" s="334" t="str">
        <f t="shared" si="18"/>
        <v/>
      </c>
      <c r="L134" s="202">
        <f>COUNTIFS(РД[Дом],L$131,РД[МОП],$A134,РД[Дата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M134" s="226">
        <f>COUNTIFS(РД[Дом],M$131,РД[МОП],$A134,РД[Дата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N134" s="227">
        <f>COUNTIFS(РД[Дом],N$131,РД[МОП],$A134,РД[Дата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O134" s="227">
        <f>COUNTIFS(РД[Дом],O$131,РД[МОП],$A134,РД[Дата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S134" s="66"/>
      <c r="T134" s="66"/>
    </row>
    <row r="135" spans="1:21" s="65" customFormat="1">
      <c r="A135" s="153" t="s">
        <v>14</v>
      </c>
      <c r="B135" s="315"/>
      <c r="C135" s="316"/>
      <c r="D135" s="422">
        <f>SUMIFS(сент24[м2],сент24[МОП],A135,сент24[Комнатность],"Офис")</f>
        <v>0</v>
      </c>
      <c r="E135" s="363">
        <f>SUMIFS(сент24[Сумма без отделки],сент24[МОП],$A135,сент24[Комнатность],"оФИС")</f>
        <v>0</v>
      </c>
      <c r="F135" s="414">
        <f>COUNTIFS(сент24[МОП],$A135,сент24[Комнатность],"Офис")</f>
        <v>0</v>
      </c>
      <c r="G135" s="315">
        <f>SUMIFS(РД[S],РД[МОП],A135,РД[Дата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H135" s="363">
        <f>SUMIFS(РД[Стоимость без отделки итог],РД[МОП],A135,РД[Дата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I135" s="247">
        <f>COUNTIFS(РД[МОП],A135,РД[Дата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J135" s="360" t="str">
        <f t="shared" si="18"/>
        <v/>
      </c>
      <c r="K135" s="367" t="str">
        <f t="shared" si="18"/>
        <v/>
      </c>
      <c r="L135" s="358">
        <f>COUNTIFS(РД[Дом],L$131,РД[МОП],$A135,РД[Дата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M135" s="330">
        <f>COUNTIFS(РД[Дом],M$131,РД[МОП],$A135,РД[Дата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N135" s="331">
        <f>COUNTIFS(РД[Дом],N$131,РД[МОП],$A135,РД[Дата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O135" s="331">
        <f>COUNTIFS(РД[Дом],O$131,РД[МОП],$A135,РД[Дата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S135" s="66"/>
      <c r="T135" s="66"/>
    </row>
    <row r="136" spans="1:21" s="65" customFormat="1">
      <c r="A136" s="154" t="s">
        <v>29</v>
      </c>
      <c r="B136" s="274"/>
      <c r="C136" s="275"/>
      <c r="D136" s="423">
        <f>SUMIFS(сент24[м2],сент24[МОП],A136,сент24[Комнатность],"Офис")</f>
        <v>0</v>
      </c>
      <c r="E136" s="277">
        <f>SUMIFS(сент24[Сумма без отделки],сент24[МОП],$A136,сент24[Комнатность],"оФИС")</f>
        <v>0</v>
      </c>
      <c r="F136" s="405">
        <f>COUNTIFS(сент24[МОП],$A136,сент24[Комнатность],"Офис")</f>
        <v>0</v>
      </c>
      <c r="G136" s="274">
        <f>SUMIFS(РД[S],РД[МОП],A136,РД[Дата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H136" s="277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I136" s="228">
        <f>COUNTIFS(РД[МОП],A136,РД[Дата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J136" s="229" t="str">
        <f t="shared" si="18"/>
        <v/>
      </c>
      <c r="K136" s="335" t="str">
        <f t="shared" si="18"/>
        <v/>
      </c>
      <c r="L136" s="159">
        <f>COUNTIFS(РД[Дом],L$131,РД[МОП],$A136,РД[Дата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M136" s="228">
        <f>COUNTIFS(РД[Дом],M$131,РД[МОП],$A136,РД[Дата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N136" s="231">
        <f>COUNTIFS(РД[Дом],N$131,РД[МОП],$A136,РД[Дата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O136" s="231">
        <f>COUNTIFS(РД[Дом],O$131,РД[МОП],$A136,РД[Дата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S136" s="66"/>
      <c r="T136" s="66"/>
    </row>
    <row r="137" spans="1:21" s="65" customFormat="1">
      <c r="A137" s="161" t="s">
        <v>1919</v>
      </c>
      <c r="B137" s="278"/>
      <c r="C137" s="279"/>
      <c r="D137" s="424">
        <f>SUMIFS(сент24[м2],сент24[МОП],A137,сент24[Комнатность],"Офис")</f>
        <v>0</v>
      </c>
      <c r="E137" s="281">
        <f>SUMIFS(сент24[Сумма без отделки],сент24[МОП],$A137,сент24[Комнатность],"оФИС")</f>
        <v>0</v>
      </c>
      <c r="F137" s="407">
        <f>COUNTIFS(сент24[МОП],$A137,сент24[Комнатность],"Офис")</f>
        <v>0</v>
      </c>
      <c r="G137" s="278">
        <f>SUMIFS(РД[S],РД[МОП],A137,РД[Дата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H137" s="281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I137" s="232">
        <f>COUNTIFS(РД[МОП],A137,РД[Дата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J137" s="233" t="str">
        <f t="shared" si="18"/>
        <v/>
      </c>
      <c r="K137" s="336" t="str">
        <f t="shared" si="18"/>
        <v/>
      </c>
      <c r="L137" s="166">
        <f>COUNTIFS(РД[Дом],L$131,РД[МОП],$A137,РД[Дата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M137" s="232">
        <f>COUNTIFS(РД[Дом],M$131,РД[МОП],$A137,РД[Дата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N137" s="337">
        <f>COUNTIFS(РД[Дом],N$131,РД[МОП],$A137,РД[Дата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O137" s="337">
        <f>COUNTIFS(РД[Дом],O$131,РД[МОП],$A137,РД[Дата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S137" s="66"/>
      <c r="T137" s="66"/>
    </row>
    <row r="138" spans="1:21" s="65" customFormat="1">
      <c r="A138" s="168" t="s">
        <v>114</v>
      </c>
      <c r="B138" s="282">
        <f t="shared" ref="B138:I138" si="19">SUM(B132:B137)</f>
        <v>0</v>
      </c>
      <c r="C138" s="283">
        <f t="shared" si="19"/>
        <v>0</v>
      </c>
      <c r="D138" s="425">
        <f t="shared" si="19"/>
        <v>0</v>
      </c>
      <c r="E138" s="287">
        <f t="shared" si="19"/>
        <v>0</v>
      </c>
      <c r="F138" s="286">
        <f t="shared" si="19"/>
        <v>0</v>
      </c>
      <c r="G138" s="282">
        <f t="shared" si="19"/>
        <v>0</v>
      </c>
      <c r="H138" s="287">
        <f t="shared" si="19"/>
        <v>0</v>
      </c>
      <c r="I138" s="287">
        <f t="shared" si="19"/>
        <v>0</v>
      </c>
      <c r="J138" s="238" t="str">
        <f t="shared" si="18"/>
        <v/>
      </c>
      <c r="K138" s="338" t="str">
        <f t="shared" si="18"/>
        <v/>
      </c>
      <c r="L138" s="318">
        <f>SUM(L132:L137)</f>
        <v>0</v>
      </c>
      <c r="M138" s="321">
        <f>SUM(M132:M137)</f>
        <v>0</v>
      </c>
      <c r="N138" s="319">
        <f>SUM(N132:N137)</f>
        <v>0</v>
      </c>
      <c r="O138" s="319">
        <f>SUM(O132:O137)</f>
        <v>0</v>
      </c>
      <c r="S138" s="66"/>
      <c r="T138" s="66"/>
    </row>
    <row r="139" spans="1:21" s="65" customFormat="1">
      <c r="A139" s="135" t="s">
        <v>115</v>
      </c>
      <c r="B139" s="135" t="s">
        <v>100</v>
      </c>
      <c r="C139" s="136" t="s">
        <v>97</v>
      </c>
      <c r="D139" s="264" t="s">
        <v>494</v>
      </c>
      <c r="E139" s="265" t="s">
        <v>495</v>
      </c>
      <c r="F139" s="266" t="s">
        <v>496</v>
      </c>
      <c r="G139" s="140" t="s">
        <v>101</v>
      </c>
      <c r="H139" s="141" t="s">
        <v>98</v>
      </c>
      <c r="I139" s="141" t="s">
        <v>96</v>
      </c>
      <c r="J139" s="141" t="s">
        <v>715</v>
      </c>
      <c r="K139" s="216" t="s">
        <v>716</v>
      </c>
      <c r="L139" s="332" t="s">
        <v>121</v>
      </c>
      <c r="M139" s="218" t="s">
        <v>27</v>
      </c>
      <c r="N139" s="219" t="s">
        <v>7</v>
      </c>
      <c r="O139" s="219" t="s">
        <v>7</v>
      </c>
      <c r="T139" s="66"/>
    </row>
    <row r="140" spans="1:21" s="65" customFormat="1">
      <c r="A140" s="177" t="s">
        <v>1892</v>
      </c>
      <c r="B140" s="291"/>
      <c r="C140" s="292"/>
      <c r="D140" s="346">
        <f>SUMIFS(сент24[м2],сент24[ИМ],A140,сент24[Комнатность],"Офис")</f>
        <v>0</v>
      </c>
      <c r="E140" s="184">
        <f>SUMIFS(сент24[Сумма без отделки],сент24[ИМ],$A140,сент24[Комнатность],"оФИС")</f>
        <v>0</v>
      </c>
      <c r="F140" s="415">
        <f>COUNTIFS(сент24[ИМ],$A140,сент24[Комнатность],"Офис")</f>
        <v>0</v>
      </c>
      <c r="G140" s="183">
        <f>SUMIFS(РД[S],РД[ИМ],A140,РД[Дата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H140" s="184">
        <f>SUMIFS(РД[Стоимость без отделки итог],РД[ИМ],A140,РД[Дата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I140" s="243">
        <f>COUNTIFS(РД[ИМ],A140,РД[Дата подачи на регистрацию],"&lt;="&amp;$A$1,РД[Дата подачи на регистрацию],"&gt;="&amp;DATE(YEAR($A$1),MONTH($A$1),1),РД[Состояние],"Коммерция")</f>
        <v>0</v>
      </c>
      <c r="J140" s="244" t="str">
        <f t="shared" ref="J140:K143" si="20">IFERROR(G140/B140,"")</f>
        <v/>
      </c>
      <c r="K140" s="258" t="str">
        <f t="shared" si="20"/>
        <v/>
      </c>
      <c r="L140" s="148">
        <f>COUNTIFS(РД[Дом],L$131,РД[ИМ],$A140,РД[Дата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M140" s="220">
        <f>COUNTIFS(РД[Дом],M$131,РД[ИМ],$A140,РД[Дата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N140" s="223">
        <f>COUNTIFS(РД[Дом],N$131,РД[ИМ],$A140,РД[Дата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O140" s="223">
        <f>COUNTIFS(РД[Дом],O$131,РД[ИМ],$A140,РД[Дата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T140" s="66"/>
    </row>
    <row r="141" spans="1:21" s="65" customFormat="1">
      <c r="A141" s="150" t="s">
        <v>22</v>
      </c>
      <c r="B141" s="267"/>
      <c r="C141" s="146"/>
      <c r="D141" s="328">
        <f>SUMIFS(сент24[м2],сент24[ИМ],A141,сент24[Комнатность],"Офис")</f>
        <v>0</v>
      </c>
      <c r="E141" s="188">
        <f>SUMIFS(сент24[Сумма без отделки],сент24[ИМ],$A141,сент24[Комнатность],"оФИС")</f>
        <v>0</v>
      </c>
      <c r="F141" s="404">
        <f>COUNTIFS(сент24[ИМ],$A141,сент24[Комнатность],"Офис")</f>
        <v>0</v>
      </c>
      <c r="G141" s="187">
        <f>SUMIFS(РД[S],РД[ИМ],A141,РД[Дата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H141" s="188">
        <f>SUMIFS(РД[Стоимость без отделки итог],РД[ИМ],A141,РД[Дата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I141" s="247">
        <f>COUNTIFS(РД[ИМ],A141,РД[Дата подачи на регистрацию],"&lt;="&amp;$A$1,РД[Дата подачи на регистрацию],"&gt;="&amp;DATE(YEAR($A$1),MONTH($A$1),1),РД[Состояние],"Коммерция")</f>
        <v>0</v>
      </c>
      <c r="J141" s="248" t="str">
        <f t="shared" si="20"/>
        <v/>
      </c>
      <c r="K141" s="259" t="str">
        <f t="shared" si="20"/>
        <v/>
      </c>
      <c r="L141" s="148">
        <f>COUNTIFS(РД[Дом],L$131,РД[ИМ],$A141,РД[Дата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M141" s="220">
        <f>COUNTIFS(РД[Дом],M$131,РД[ИМ],$A141,РД[Дата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N141" s="223">
        <f>COUNTIFS(РД[Дом],N$131,РД[ИМ],$A141,РД[Дата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O141" s="223">
        <f>COUNTIFS(РД[Дом],O$131,РД[ИМ],$A141,РД[Дата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T141" s="66"/>
    </row>
    <row r="142" spans="1:21" s="65" customFormat="1">
      <c r="A142" s="189" t="s">
        <v>16</v>
      </c>
      <c r="B142" s="293"/>
      <c r="C142" s="294"/>
      <c r="D142" s="426">
        <f>SUMIFS(сент24[м2],сент24[ИМ],A142,сент24[Комнатность],"Офис")</f>
        <v>0</v>
      </c>
      <c r="E142" s="196">
        <f>SUMIFS(сент24[Сумма без отделки],сент24[ИМ],$A142,сент24[Комнатность],"оФИС")</f>
        <v>0</v>
      </c>
      <c r="F142" s="427">
        <f>COUNTIFS(сент24[ИМ],$A142,сент24[Комнатность],"Офис")</f>
        <v>0</v>
      </c>
      <c r="G142" s="195">
        <f>SUMIFS(РД[S],РД[ИМ],A142,РД[Дата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H142" s="196">
        <f>SUMIFS(РД[Стоимость без отделки итог],РД[ИМ],A142,РД[Дата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I142" s="251">
        <f>COUNTIFS(РД[ИМ],A142,РД[Дата подачи на регистрацию],"&lt;="&amp;$A$1,РД[Дата подачи на регистрацию],"&gt;="&amp;DATE(YEAR($A$1),MONTH($A$1),1),РД[Состояние],"Коммерция")</f>
        <v>0</v>
      </c>
      <c r="J142" s="252" t="str">
        <f t="shared" si="20"/>
        <v/>
      </c>
      <c r="K142" s="260" t="str">
        <f t="shared" si="20"/>
        <v/>
      </c>
      <c r="L142" s="202">
        <f>COUNTIFS(РД[Дом],L$131,РД[ИМ],$A142,РД[Дата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M142" s="226">
        <f>COUNTIFS(РД[Дом],M$131,РД[ИМ],$A142,РД[Дата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N142" s="227">
        <f>COUNTIFS(РД[Дом],N$131,РД[ИМ],$A142,РД[Дата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O142" s="227">
        <f>COUNTIFS(РД[Дом],O$131,РД[ИМ],$A142,РД[Дата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T142" s="66"/>
    </row>
    <row r="143" spans="1:21" s="65" customFormat="1">
      <c r="A143" s="168" t="s">
        <v>114</v>
      </c>
      <c r="B143" s="282">
        <f>SUM(B140:B142)</f>
        <v>0</v>
      </c>
      <c r="C143" s="283">
        <f>SUM(C140:C142)</f>
        <v>0</v>
      </c>
      <c r="D143" s="425">
        <f t="shared" ref="D143:I143" si="21">SUM(D140:D142)</f>
        <v>0</v>
      </c>
      <c r="E143" s="287">
        <f t="shared" si="21"/>
        <v>0</v>
      </c>
      <c r="F143" s="286">
        <f t="shared" si="21"/>
        <v>0</v>
      </c>
      <c r="G143" s="282">
        <f t="shared" si="21"/>
        <v>0</v>
      </c>
      <c r="H143" s="287">
        <f t="shared" si="21"/>
        <v>0</v>
      </c>
      <c r="I143" s="287">
        <f t="shared" si="21"/>
        <v>0</v>
      </c>
      <c r="J143" s="238" t="str">
        <f t="shared" si="20"/>
        <v/>
      </c>
      <c r="K143" s="338" t="str">
        <f t="shared" si="20"/>
        <v/>
      </c>
      <c r="L143" s="318">
        <f>SUM(L140:L142)</f>
        <v>0</v>
      </c>
      <c r="M143" s="321">
        <f>SUM(M140:M142)</f>
        <v>0</v>
      </c>
      <c r="N143" s="319">
        <f>SUM(N140:N142)</f>
        <v>0</v>
      </c>
      <c r="O143" s="319">
        <f>SUM(O140:O142)</f>
        <v>0</v>
      </c>
      <c r="T143" s="66"/>
    </row>
    <row r="144" spans="1:21" s="65" customFormat="1">
      <c r="A144" s="134"/>
      <c r="B144" s="44"/>
      <c r="C144" s="44"/>
      <c r="D144" s="134"/>
      <c r="E144" s="134"/>
      <c r="F144" s="44"/>
      <c r="G144" s="134"/>
      <c r="H144" s="134"/>
      <c r="I144" s="134"/>
      <c r="J144" s="134"/>
      <c r="K144" s="255"/>
      <c r="L144" s="256"/>
      <c r="M144" s="134"/>
      <c r="N144" s="134"/>
      <c r="O144" s="134"/>
      <c r="P144" s="134"/>
      <c r="Q144" s="72"/>
      <c r="U144" s="66"/>
    </row>
    <row r="145" spans="1:21" s="65" customFormat="1" ht="15">
      <c r="A145" s="2402" t="s">
        <v>945</v>
      </c>
      <c r="B145" s="2403"/>
      <c r="C145" s="2403"/>
      <c r="D145" s="2403"/>
      <c r="E145" s="2403"/>
      <c r="F145" s="2403"/>
      <c r="G145" s="2403"/>
      <c r="H145" s="2403"/>
      <c r="I145" s="2403"/>
      <c r="J145" s="2403"/>
      <c r="K145" s="2403"/>
      <c r="L145" s="2403"/>
      <c r="M145" s="2404"/>
      <c r="N145" s="339"/>
      <c r="O145" s="339"/>
      <c r="P145" s="86"/>
      <c r="T145" s="66"/>
    </row>
    <row r="146" spans="1:21" s="65" customFormat="1">
      <c r="A146" s="135" t="s">
        <v>1</v>
      </c>
      <c r="B146" s="135" t="s">
        <v>101</v>
      </c>
      <c r="C146" s="136" t="s">
        <v>98</v>
      </c>
      <c r="D146" s="295" t="s">
        <v>494</v>
      </c>
      <c r="E146" s="138" t="s">
        <v>495</v>
      </c>
      <c r="F146" s="296" t="s">
        <v>496</v>
      </c>
      <c r="G146" s="140" t="s">
        <v>946</v>
      </c>
      <c r="H146" s="141" t="s">
        <v>947</v>
      </c>
      <c r="I146" s="217">
        <v>0</v>
      </c>
      <c r="J146" s="218">
        <v>1</v>
      </c>
      <c r="K146" s="340">
        <v>2</v>
      </c>
      <c r="L146" s="218">
        <v>3</v>
      </c>
      <c r="M146" s="219" t="s">
        <v>1367</v>
      </c>
      <c r="N146" s="339"/>
      <c r="O146" s="339"/>
      <c r="P146" s="86"/>
      <c r="T146" s="66"/>
    </row>
    <row r="147" spans="1:21" s="65" customFormat="1">
      <c r="A147" s="398" t="s">
        <v>8</v>
      </c>
      <c r="B147" s="271">
        <f>SUMIFS(РД[S],РД[МОП],A147,РД[Дата подачи на регистрацию],"&lt;="&amp;$A$1,РД[Дата подачи на регистрацию],"&gt;="&amp;DATE(YEAR($A$1),MONTH($A$1),1),РД[Источник рекламы],"Н -*")</f>
        <v>24.53</v>
      </c>
      <c r="C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</f>
        <v>3373000</v>
      </c>
      <c r="D147" s="329">
        <f>SUMIFS(сент24[м2],сент24[Встреча],$A147,сент24[КТУ],"АН -*")</f>
        <v>24.53</v>
      </c>
      <c r="E147" s="363">
        <f>SUMIFS(сент24[Сумма без отделки],сент24[Встреча],$A147,сент24[КТУ],"АН -*")</f>
        <v>3373000</v>
      </c>
      <c r="F147" s="414">
        <f>COUNTIFS(сент24[Встреча],$A147,сент24[КТУ],"АН -*")</f>
        <v>1</v>
      </c>
      <c r="G147" s="271">
        <f>SUMIFS(РД[S],РД[МОП],A147,РД[Дата подачи на регистрацию],"&lt;="&amp;$A$1,РД[Дата подачи на регистрацию],"&gt;="&amp;DATE(YEAR($A$1),MONTH($A$1),1),РД[Источник рекламы],"Н -*")/2</f>
        <v>12.265000000000001</v>
      </c>
      <c r="H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-*")/2</f>
        <v>1686500</v>
      </c>
      <c r="I147" s="257">
        <f>COUNTIFS(РД[Тип кв],I$146,РД[МОП],$A147,РД[Дата подачи на регистрацию],"&lt;="&amp;$A$1,РД[Дата подачи на регистрацию],"&gt;="&amp;DATE(YEAR($A$1),MONTH($A$1),1),РД[Источник рекламы],"Н -*")</f>
        <v>1</v>
      </c>
      <c r="J147" s="226">
        <f>COUNTIFS(РД[Тип кв],J$146,РД[МОП],$A147,РД[Дата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K147" s="226">
        <f>COUNTIFS(РД[Тип кв],K$146,РД[МОП],$A147,РД[Дата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L147" s="226">
        <f>COUNTIFS(РД[Тип кв],L$146,РД[МОП],$A147,РД[Дата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M147" s="227">
        <f>COUNTIFS(РД[Тип кв],M$146,РД[МОП],$A147,РД[Дата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N147" s="339"/>
      <c r="O147" s="339"/>
      <c r="P147" s="86"/>
      <c r="T147" s="66"/>
    </row>
    <row r="148" spans="1:21" s="65" customFormat="1">
      <c r="A148" s="153" t="s">
        <v>46</v>
      </c>
      <c r="B148" s="271">
        <f>SUMIFS(РД[S],РД[МОП],A148,РД[Дата подачи на регистрацию],"&lt;="&amp;$A$1,РД[Дата подачи на регистрацию],"&gt;="&amp;DATE(YEAR($A$1),MONTH($A$1),1),РД[Источник рекламы],"Н -*")</f>
        <v>58.55</v>
      </c>
      <c r="C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</f>
        <v>6369699</v>
      </c>
      <c r="D148" s="329">
        <f>SUMIFS(сент24[м2],сент24[Встреча],$A148,сент24[КТУ],"АН -*")</f>
        <v>58.55</v>
      </c>
      <c r="E148" s="363">
        <f>SUMIFS(сент24[Сумма без отделки],сент24[Встреча],$A148,сент24[КТУ],"АН -*")</f>
        <v>6369699</v>
      </c>
      <c r="F148" s="414">
        <f>COUNTIFS(сент24[Встреча],$A148,сент24[КТУ],"АН -*")</f>
        <v>1</v>
      </c>
      <c r="G148" s="271">
        <f>SUMIFS(РД[S],РД[МОП],A148,РД[Дата подачи на регистрацию],"&lt;="&amp;$A$1,РД[Дата подачи на регистрацию],"&gt;="&amp;DATE(YEAR($A$1),MONTH($A$1),1),РД[Источник рекламы],"Н -*")/2</f>
        <v>29.274999999999999</v>
      </c>
      <c r="H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-*")/2</f>
        <v>3184849.5</v>
      </c>
      <c r="I148" s="257">
        <f>COUNTIFS(РД[Тип кв],I$146,РД[МОП],$A148,РД[Дата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J148" s="226">
        <f>COUNTIFS(РД[Тип кв],J$146,РД[МОП],$A148,РД[Дата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K148" s="226">
        <f>COUNTIFS(РД[Тип кв],K$146,РД[МОП],$A148,РД[Дата подачи на регистрацию],"&lt;="&amp;$A$1,РД[Дата подачи на регистрацию],"&gt;="&amp;DATE(YEAR($A$1),MONTH($A$1),1),РД[Источник рекламы],"Н -*")</f>
        <v>1</v>
      </c>
      <c r="L148" s="226">
        <f>COUNTIFS(РД[Тип кв],L$146,РД[МОП],$A148,РД[Дата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M148" s="227">
        <f>COUNTIFS(РД[Тип кв],M$146,РД[МОП],$A148,РД[Дата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N148" s="339"/>
      <c r="O148" s="339"/>
      <c r="P148" s="86"/>
      <c r="T148" s="66"/>
    </row>
    <row r="149" spans="1:21" s="65" customFormat="1">
      <c r="A149" s="153" t="s">
        <v>20</v>
      </c>
      <c r="B149" s="271">
        <f>SUMIFS(РД[S],РД[МОП],A149,РД[Дата подачи на регистрацию],"&lt;="&amp;$A$1,РД[Дата подачи на регистрацию],"&gt;="&amp;DATE(YEAR($A$1),MONTH($A$1),1),РД[Источник рекламы],"Н -*")</f>
        <v>37.81</v>
      </c>
      <c r="C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</f>
        <v>4412700</v>
      </c>
      <c r="D149" s="329">
        <f>SUMIFS(сент24[м2],сент24[Встреча],$A149,сент24[КТУ],"АН -*")</f>
        <v>37.81</v>
      </c>
      <c r="E149" s="363">
        <f>SUMIFS(сент24[Сумма без отделки],сент24[Встреча],$A149,сент24[КТУ],"АН -*")</f>
        <v>4412700</v>
      </c>
      <c r="F149" s="414">
        <f>COUNTIFS(сент24[Встреча],$A149,сент24[КТУ],"АН -*")</f>
        <v>1</v>
      </c>
      <c r="G149" s="271">
        <f>SUMIFS(РД[S],РД[МОП],A149,РД[Дата подачи на регистрацию],"&lt;="&amp;$A$1,РД[Дата подачи на регистрацию],"&gt;="&amp;DATE(YEAR($A$1),MONTH($A$1),1),РД[Источник рекламы],"Н -*")/2</f>
        <v>18.905000000000001</v>
      </c>
      <c r="H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-*")/2</f>
        <v>2206350</v>
      </c>
      <c r="I149" s="257">
        <f>COUNTIFS(РД[Тип кв],I$146,РД[МОП],$A149,РД[Дата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J149" s="226">
        <f>COUNTIFS(РД[Тип кв],J$146,РД[МОП],$A149,РД[Дата подачи на регистрацию],"&lt;="&amp;$A$1,РД[Дата подачи на регистрацию],"&gt;="&amp;DATE(YEAR($A$1),MONTH($A$1),1),РД[Источник рекламы],"Н -*")</f>
        <v>1</v>
      </c>
      <c r="K149" s="226">
        <f>COUNTIFS(РД[Тип кв],K$146,РД[МОП],$A149,РД[Дата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L149" s="226">
        <f>COUNTIFS(РД[Тип кв],L$146,РД[МОП],$A149,РД[Дата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M149" s="227">
        <f>COUNTIFS(РД[Тип кв],M$146,РД[МОП],$A149,РД[Дата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N149" s="339"/>
      <c r="O149" s="339"/>
      <c r="P149" s="86"/>
      <c r="T149" s="66"/>
    </row>
    <row r="150" spans="1:21" s="65" customFormat="1">
      <c r="A150" s="153" t="s">
        <v>14</v>
      </c>
      <c r="B150" s="315">
        <f>SUMIFS(РД[S],РД[МОП],A150,РД[Дата подачи на регистрацию],"&lt;="&amp;$A$1,РД[Дата подачи на регистрацию],"&gt;="&amp;DATE(YEAR($A$1),MONTH($A$1),1),РД[Источник рекламы],"Н -*")</f>
        <v>57.8</v>
      </c>
      <c r="C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</f>
        <v>5679900</v>
      </c>
      <c r="D150" s="329">
        <f>SUMIFS(сент24[м2],сент24[Встреча],$A150,сент24[КТУ],"АН -*")</f>
        <v>57.8</v>
      </c>
      <c r="E150" s="363">
        <f>SUMIFS(сент24[Сумма без отделки],сент24[Встреча],$A150,сент24[КТУ],"АН -*")</f>
        <v>5679900</v>
      </c>
      <c r="F150" s="414">
        <f>COUNTIFS(сент24[Встреча],$A150,сент24[КТУ],"АН -*")</f>
        <v>1</v>
      </c>
      <c r="G150" s="315">
        <f>SUMIFS(РД[S],РД[МОП],A150,РД[Дата подачи на регистрацию],"&lt;="&amp;$A$1,РД[Дата подачи на регистрацию],"&gt;="&amp;DATE(YEAR($A$1),MONTH($A$1),1),РД[Источник рекламы],"Н -*")/2</f>
        <v>28.9</v>
      </c>
      <c r="H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-*")/2</f>
        <v>2839950</v>
      </c>
      <c r="I150" s="329">
        <f>COUNTIFS(РД[Тип кв],I$146,РД[МОП],$A150,РД[Дата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J150" s="330">
        <f>COUNTIFS(РД[Тип кв],J$146,РД[МОП],$A150,РД[Дата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K150" s="330">
        <f>COUNTIFS(РД[Тип кв],K$146,РД[МОП],$A150,РД[Дата подачи на регистрацию],"&lt;="&amp;$A$1,РД[Дата подачи на регистрацию],"&gt;="&amp;DATE(YEAR($A$1),MONTH($A$1),1),РД[Источник рекламы],"Н -*")</f>
        <v>1</v>
      </c>
      <c r="L150" s="330">
        <f>COUNTIFS(РД[Тип кв],L$146,РД[МОП],$A150,РД[Дата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M150" s="331">
        <f>COUNTIFS(РД[Тип кв],M$146,РД[МОП],$A150,РД[Дата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N150" s="339"/>
      <c r="O150" s="339"/>
      <c r="P150" s="86"/>
      <c r="T150" s="66"/>
    </row>
    <row r="151" spans="1:21" s="65" customFormat="1">
      <c r="A151" s="154" t="s">
        <v>29</v>
      </c>
      <c r="B151" s="274">
        <f>SUMIFS(РД[S],РД[МОП],A151,РД[Дата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C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D151" s="341">
        <f>SUMIFS(сент24[м2],сент24[Встреча],$A151,сент24[КТУ],"АН -*")</f>
        <v>0</v>
      </c>
      <c r="E151" s="277">
        <f>SUMIFS(сент24[Сумма без отделки],сент24[Встреча],$A151,сент24[КТУ],"АН -*")</f>
        <v>0</v>
      </c>
      <c r="F151" s="405">
        <f>COUNTIFS(сент24[Встреча],$A151,сент24[КТУ],"АН -*")</f>
        <v>0</v>
      </c>
      <c r="G151" s="274">
        <f>SUMIFS(РД[S],РД[МОП],A151,РД[Дата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H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I151" s="341">
        <f>COUNTIFS(РД[Тип кв],I$146,РД[МОП],$A151,РД[Дата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J151" s="228">
        <f>COUNTIFS(РД[Тип кв],J$146,РД[МОП],$A151,РД[Дата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K151" s="228">
        <f>COUNTIFS(РД[Тип кв],K$146,РД[МОП],$A151,РД[Дата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L151" s="228">
        <f>COUNTIFS(РД[Тип кв],L$146,РД[МОП],$A151,РД[Дата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M151" s="231">
        <f>COUNTIFS(РД[Тип кв],M$146,РД[МОП],$A151,РД[Дата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N151" s="339"/>
      <c r="O151" s="339"/>
      <c r="P151" s="86"/>
      <c r="T151" s="66"/>
    </row>
    <row r="152" spans="1:21" s="65" customFormat="1">
      <c r="A152" s="317" t="s">
        <v>114</v>
      </c>
      <c r="B152" s="282">
        <f t="shared" ref="B152:L152" si="22">SUM(B147:B150)</f>
        <v>178.69</v>
      </c>
      <c r="C152" s="283">
        <f t="shared" si="22"/>
        <v>19835299</v>
      </c>
      <c r="D152" s="425">
        <f t="shared" si="22"/>
        <v>178.69</v>
      </c>
      <c r="E152" s="287">
        <f t="shared" si="22"/>
        <v>19835299</v>
      </c>
      <c r="F152" s="286">
        <f t="shared" si="22"/>
        <v>4</v>
      </c>
      <c r="G152" s="282">
        <f t="shared" si="22"/>
        <v>89.344999999999999</v>
      </c>
      <c r="H152" s="283">
        <f t="shared" si="22"/>
        <v>9917649.5</v>
      </c>
      <c r="I152" s="284">
        <f t="shared" si="22"/>
        <v>1</v>
      </c>
      <c r="J152" s="285">
        <f t="shared" si="22"/>
        <v>1</v>
      </c>
      <c r="K152" s="285">
        <f t="shared" si="22"/>
        <v>2</v>
      </c>
      <c r="L152" s="285">
        <f t="shared" si="22"/>
        <v>0</v>
      </c>
      <c r="M152" s="305">
        <f>SUM(T145:T146)</f>
        <v>0</v>
      </c>
      <c r="N152" s="339"/>
      <c r="O152" s="339"/>
      <c r="P152" s="86"/>
      <c r="T152" s="66"/>
    </row>
    <row r="153" spans="1:21" s="65" customFormat="1">
      <c r="A153" s="135" t="s">
        <v>115</v>
      </c>
      <c r="B153" s="135" t="s">
        <v>101</v>
      </c>
      <c r="C153" s="136" t="s">
        <v>98</v>
      </c>
      <c r="D153" s="295" t="s">
        <v>494</v>
      </c>
      <c r="E153" s="138" t="s">
        <v>495</v>
      </c>
      <c r="F153" s="296" t="s">
        <v>496</v>
      </c>
      <c r="G153" s="140" t="s">
        <v>946</v>
      </c>
      <c r="H153" s="141" t="s">
        <v>947</v>
      </c>
      <c r="I153" s="217">
        <v>0</v>
      </c>
      <c r="J153" s="218">
        <v>1</v>
      </c>
      <c r="K153" s="340">
        <v>2</v>
      </c>
      <c r="L153" s="218">
        <v>3</v>
      </c>
      <c r="M153" s="219" t="s">
        <v>1367</v>
      </c>
      <c r="N153" s="339"/>
      <c r="O153" s="339"/>
      <c r="P153" s="86"/>
      <c r="T153" s="66"/>
    </row>
    <row r="154" spans="1:21" s="65" customFormat="1">
      <c r="A154" s="177" t="s">
        <v>1892</v>
      </c>
      <c r="B154" s="291">
        <f>SUMIFS(РД[S],РД[ИМ],A154,РД[Дата подачи на регистрацию],"&lt;="&amp;$A$1,РД[Дата подачи на регистрацию],"&gt;="&amp;DATE(YEAR($A$1),MONTH($A$1),1),РД[Источник рекламы],"Н -*")</f>
        <v>120.89</v>
      </c>
      <c r="C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</f>
        <v>14155399</v>
      </c>
      <c r="D154" s="346">
        <f>SUMIFS(сент24[м2],сент24[ИМ],$A154,сент24[КТУ],"АН -*")</f>
        <v>96.36</v>
      </c>
      <c r="E154" s="292">
        <f>SUMIFS(сент24[Сумма без отделки],сент24[ИМ],$A154,сент24[КТУ],"АН -*")</f>
        <v>10782399</v>
      </c>
      <c r="F154" s="415">
        <f>COUNTIFS(сент24[ИМ],$A154,сент24[КТУ],"АН -*")</f>
        <v>2</v>
      </c>
      <c r="G154" s="291">
        <f>SUMIFS(РД[S],РД[ИМ],A154,РД[Дата подачи на регистрацию],"&lt;="&amp;$A$1,РД[Дата подачи на регистрацию],"&gt;="&amp;DATE(YEAR($A$1),MONTH($A$1),1),РД[Источник рекламы],"Н -*")/2</f>
        <v>60.445</v>
      </c>
      <c r="H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-*")/2</f>
        <v>7077699.5</v>
      </c>
      <c r="I154" s="346">
        <f>COUNTIFS(РД[Тип кв],I$146,РД[ИМ],$A154,РД[Дата подачи на регистрацию],"&lt;="&amp;$A$1,РД[Дата подачи на регистрацию],"&gt;="&amp;DATE(YEAR($A$1),MONTH($A$1),1),РД[Источник рекламы],"Н -*")</f>
        <v>1</v>
      </c>
      <c r="J154" s="243">
        <f>COUNTIFS(РД[Тип кв],J$146,РД[ИМ],$A154,РД[Дата подачи на регистрацию],"&lt;="&amp;$A$1,РД[Дата подачи на регистрацию],"&gt;="&amp;DATE(YEAR($A$1),MONTH($A$1),1),РД[Источник рекламы],"Н -*")</f>
        <v>1</v>
      </c>
      <c r="K154" s="243">
        <f>COUNTIFS(РД[Тип кв],K$146,РД[ИМ],$A154,РД[Дата подачи на регистрацию],"&lt;="&amp;$A$1,РД[Дата подачи на регистрацию],"&gt;="&amp;DATE(YEAR($A$1),MONTH($A$1),1),РД[Источник рекламы],"Н -*")</f>
        <v>1</v>
      </c>
      <c r="L154" s="243">
        <f>COUNTIFS(РД[Тип кв],L$146,РД[ИМ],$A154,РД[Дата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M154" s="246">
        <f>COUNTIFS(РД[Тип кв],M$146,РД[ИМ],$A154,РД[Дата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N154" s="339"/>
      <c r="O154" s="339"/>
      <c r="P154" s="86"/>
      <c r="T154" s="66"/>
    </row>
    <row r="155" spans="1:21" s="65" customFormat="1">
      <c r="A155" s="150" t="s">
        <v>22</v>
      </c>
      <c r="B155" s="271">
        <f>SUMIFS(РД[S],РД[ИМ],A155,РД[Дата подачи на регистрацию],"&lt;="&amp;$A$1,РД[Дата подачи на регистрацию],"&gt;="&amp;DATE(YEAR($A$1),MONTH($A$1),1),РД[Источник рекламы],"Н -*")</f>
        <v>57.8</v>
      </c>
      <c r="C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</f>
        <v>5679900</v>
      </c>
      <c r="D155" s="257">
        <f>SUMIFS(сент24[м2],сент24[ИМ],$A155,сент24[КТУ],"АН -*")</f>
        <v>82.33</v>
      </c>
      <c r="E155" s="52">
        <f>SUMIFS(сент24[Сумма без отделки],сент24[ИМ],$A155,сент24[КТУ],"АН -*")</f>
        <v>9052900</v>
      </c>
      <c r="F155" s="413">
        <f>COUNTIFS(сент24[ИМ],$A155,сент24[КТУ],"АН -*")</f>
        <v>2</v>
      </c>
      <c r="G155" s="271">
        <f>SUMIFS(РД[S],РД[ИМ],A155,РД[Дата подачи на регистрацию],"&lt;="&amp;$A$1,РД[Дата подачи на регистрацию],"&gt;="&amp;DATE(YEAR($A$1),MONTH($A$1),1),РД[Источник рекламы],"Н -*")/2</f>
        <v>28.9</v>
      </c>
      <c r="H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-*")/2</f>
        <v>2839950</v>
      </c>
      <c r="I155" s="257">
        <f>COUNTIFS(РД[Тип кв],I$146,РД[ИМ],$A155,РД[Дата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J155" s="226">
        <f>COUNTIFS(РД[Тип кв],J$146,РД[ИМ],$A155,РД[Дата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K155" s="226">
        <f>COUNTIFS(РД[Тип кв],K$146,РД[ИМ],$A155,РД[Дата подачи на регистрацию],"&lt;="&amp;$A$1,РД[Дата подачи на регистрацию],"&gt;="&amp;DATE(YEAR($A$1),MONTH($A$1),1),РД[Источник рекламы],"Н -*")</f>
        <v>1</v>
      </c>
      <c r="L155" s="226">
        <f>COUNTIFS(РД[Тип кв],L$146,РД[ИМ],$A155,РД[Дата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M155" s="227">
        <f>COUNTIFS(РД[Тип кв],M$146,РД[ИМ],$A155,РД[Дата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N155" s="339"/>
      <c r="O155" s="339"/>
      <c r="P155" s="86"/>
      <c r="T155" s="66"/>
    </row>
    <row r="156" spans="1:21" s="65" customFormat="1">
      <c r="A156" s="189" t="s">
        <v>16</v>
      </c>
      <c r="B156" s="315">
        <f>SUMIFS(РД[S],РД[ИМ],A156,РД[Дата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C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D156" s="329">
        <f>SUMIFS(сент24[м2],сент24[ИМ],$A156,сент24[КТУ],"АН -*")</f>
        <v>0</v>
      </c>
      <c r="E156" s="363">
        <f>SUMIFS(сент24[Сумма без отделки],сент24[ИМ],$A156,сент24[КТУ],"АН -*")</f>
        <v>0</v>
      </c>
      <c r="F156" s="414">
        <f>COUNTIFS(сент24[ИМ],$A156,сент24[КТУ],"АН -*")</f>
        <v>0</v>
      </c>
      <c r="G156" s="315">
        <f>SUMIFS(РД[S],РД[ИМ],A156,РД[Дата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H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I156" s="329">
        <f>COUNTIFS(РД[Тип кв],I$146,РД[ИМ],$A156,РД[Дата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J156" s="330">
        <f>COUNTIFS(РД[Тип кв],J$146,РД[ИМ],$A156,РД[Дата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K156" s="330">
        <f>COUNTIFS(РД[Тип кв],K$146,РД[ИМ],$A156,РД[Дата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L156" s="330">
        <f>COUNTIFS(РД[Тип кв],L$146,РД[ИМ],$A156,РД[Дата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M156" s="331">
        <f>COUNTIFS(РД[Тип кв],M$146,РД[ИМ],$A156,РД[Дата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N156" s="339"/>
      <c r="O156" s="339"/>
      <c r="P156" s="86"/>
      <c r="T156" s="66"/>
    </row>
    <row r="157" spans="1:21" s="65" customFormat="1">
      <c r="A157" s="317" t="s">
        <v>114</v>
      </c>
      <c r="B157" s="323">
        <f>SUM(B154:B156)</f>
        <v>178.69</v>
      </c>
      <c r="C157" s="324">
        <f t="shared" ref="C157:M157" si="23">SUM(C154:C156)</f>
        <v>19835299</v>
      </c>
      <c r="D157" s="428">
        <f t="shared" si="23"/>
        <v>178.69</v>
      </c>
      <c r="E157" s="429">
        <f t="shared" si="23"/>
        <v>19835299</v>
      </c>
      <c r="F157" s="430">
        <f t="shared" si="23"/>
        <v>4</v>
      </c>
      <c r="G157" s="323">
        <f t="shared" si="23"/>
        <v>89.344999999999999</v>
      </c>
      <c r="H157" s="324">
        <f t="shared" si="23"/>
        <v>9917649.5</v>
      </c>
      <c r="I157" s="318">
        <f t="shared" si="23"/>
        <v>1</v>
      </c>
      <c r="J157" s="321">
        <f t="shared" si="23"/>
        <v>1</v>
      </c>
      <c r="K157" s="321">
        <f t="shared" si="23"/>
        <v>2</v>
      </c>
      <c r="L157" s="321">
        <f t="shared" si="23"/>
        <v>0</v>
      </c>
      <c r="M157" s="319">
        <f t="shared" si="23"/>
        <v>0</v>
      </c>
      <c r="N157" s="339"/>
      <c r="O157" s="339"/>
      <c r="P157" s="86"/>
      <c r="T157" s="66"/>
    </row>
    <row r="158" spans="1:21" s="65" customFormat="1">
      <c r="Q158" s="86"/>
      <c r="U158" s="66"/>
    </row>
    <row r="159" spans="1:21" s="65" customFormat="1">
      <c r="Q159" s="86"/>
      <c r="U159" s="66"/>
    </row>
    <row r="160" spans="1:21" s="65" customFormat="1">
      <c r="Q160" s="86"/>
      <c r="U160" s="66"/>
    </row>
    <row r="161" spans="17:21" s="65" customFormat="1">
      <c r="Q161" s="86"/>
      <c r="U161" s="66"/>
    </row>
    <row r="162" spans="17:21" s="65" customFormat="1">
      <c r="Q162" s="86"/>
      <c r="U162" s="66"/>
    </row>
    <row r="163" spans="17:21" s="65" customFormat="1">
      <c r="Q163" s="86"/>
      <c r="U163" s="66"/>
    </row>
    <row r="164" spans="17:21" s="65" customFormat="1">
      <c r="Q164" s="86"/>
      <c r="U164" s="66"/>
    </row>
    <row r="165" spans="17:21" s="65" customFormat="1">
      <c r="Q165" s="86"/>
      <c r="U165" s="66"/>
    </row>
    <row r="166" spans="17:21" s="65" customFormat="1">
      <c r="Q166" s="86"/>
      <c r="U166" s="66"/>
    </row>
    <row r="167" spans="17:21" s="65" customFormat="1">
      <c r="Q167" s="86"/>
      <c r="U167" s="66"/>
    </row>
    <row r="168" spans="17:21" s="65" customFormat="1">
      <c r="Q168" s="86"/>
      <c r="U168" s="66"/>
    </row>
    <row r="169" spans="17:21" s="65" customFormat="1">
      <c r="Q169" s="86"/>
      <c r="U169" s="66"/>
    </row>
    <row r="170" spans="17:21" s="65" customFormat="1">
      <c r="Q170" s="86"/>
      <c r="U170" s="66"/>
    </row>
    <row r="171" spans="17:21" s="65" customFormat="1">
      <c r="Q171" s="86"/>
      <c r="U171" s="66"/>
    </row>
    <row r="172" spans="17:21" s="65" customFormat="1">
      <c r="Q172" s="86"/>
      <c r="U172" s="66"/>
    </row>
    <row r="173" spans="17:21" s="65" customFormat="1">
      <c r="Q173" s="86"/>
      <c r="U173" s="66"/>
    </row>
    <row r="174" spans="17:21" s="65" customFormat="1">
      <c r="Q174" s="86"/>
      <c r="U174" s="66"/>
    </row>
    <row r="175" spans="17:21" s="65" customFormat="1">
      <c r="Q175" s="86"/>
      <c r="U175" s="66"/>
    </row>
    <row r="176" spans="17:21" s="65" customFormat="1">
      <c r="Q176" s="86"/>
      <c r="U176" s="66"/>
    </row>
    <row r="177" spans="17:21" s="65" customFormat="1">
      <c r="Q177" s="86"/>
      <c r="U177" s="66"/>
    </row>
    <row r="178" spans="17:21" s="65" customFormat="1">
      <c r="Q178" s="86"/>
      <c r="U178" s="66"/>
    </row>
    <row r="179" spans="17:21" s="65" customFormat="1">
      <c r="Q179" s="86"/>
      <c r="U179" s="66"/>
    </row>
    <row r="180" spans="17:21" s="65" customFormat="1">
      <c r="Q180" s="86"/>
      <c r="U180" s="66"/>
    </row>
    <row r="181" spans="17:21" s="65" customFormat="1">
      <c r="Q181" s="86"/>
      <c r="U181" s="66"/>
    </row>
    <row r="182" spans="17:21" s="65" customFormat="1">
      <c r="Q182" s="86"/>
      <c r="U182" s="66"/>
    </row>
    <row r="183" spans="17:21" s="65" customFormat="1">
      <c r="Q183" s="86"/>
      <c r="U183" s="66"/>
    </row>
    <row r="184" spans="17:21" s="65" customFormat="1">
      <c r="Q184" s="86"/>
      <c r="U184" s="66"/>
    </row>
    <row r="185" spans="17:21" s="65" customFormat="1">
      <c r="Q185" s="86"/>
      <c r="U185" s="66"/>
    </row>
    <row r="186" spans="17:21" s="65" customFormat="1">
      <c r="Q186" s="86"/>
      <c r="U186" s="66"/>
    </row>
    <row r="187" spans="17:21" s="65" customFormat="1">
      <c r="Q187" s="86"/>
      <c r="U187" s="66"/>
    </row>
    <row r="188" spans="17:21" s="65" customFormat="1">
      <c r="Q188" s="86"/>
      <c r="U188" s="66"/>
    </row>
    <row r="189" spans="17:21" s="65" customFormat="1">
      <c r="Q189" s="86"/>
      <c r="U189" s="66"/>
    </row>
    <row r="190" spans="17:21" s="65" customFormat="1">
      <c r="Q190" s="86"/>
      <c r="U190" s="66"/>
    </row>
    <row r="191" spans="17:21" s="65" customFormat="1">
      <c r="Q191" s="86"/>
      <c r="U191" s="66"/>
    </row>
    <row r="192" spans="17:21" s="65" customFormat="1">
      <c r="Q192" s="86"/>
      <c r="U192" s="66"/>
    </row>
    <row r="193" spans="1:21" s="65" customFormat="1">
      <c r="Q193" s="86"/>
      <c r="U193" s="66"/>
    </row>
    <row r="194" spans="1:2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86"/>
      <c r="R194" s="65"/>
      <c r="S194" s="65"/>
    </row>
    <row r="195" spans="1:2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86"/>
      <c r="R195" s="65"/>
      <c r="S195" s="65"/>
    </row>
    <row r="196" spans="1:21" s="65" customFormat="1">
      <c r="Q196" s="86"/>
      <c r="U196" s="66"/>
    </row>
    <row r="197" spans="1:21" s="65" customFormat="1">
      <c r="Q197" s="86"/>
      <c r="U197" s="66"/>
    </row>
    <row r="198" spans="1:21" s="65" customFormat="1">
      <c r="Q198" s="86"/>
      <c r="U198" s="66"/>
    </row>
    <row r="199" spans="1:21" s="65" customFormat="1">
      <c r="Q199" s="86"/>
      <c r="U199" s="66"/>
    </row>
    <row r="200" spans="1:21" s="65" customFormat="1">
      <c r="Q200" s="86"/>
      <c r="U200" s="66"/>
    </row>
    <row r="201" spans="1:21" s="65" customFormat="1">
      <c r="Q201" s="86"/>
      <c r="U201" s="66"/>
    </row>
    <row r="202" spans="1:21" s="65" customFormat="1">
      <c r="Q202" s="86"/>
      <c r="U202" s="66"/>
    </row>
    <row r="203" spans="1:21" s="65" customFormat="1">
      <c r="Q203" s="86"/>
      <c r="U203" s="66"/>
    </row>
    <row r="204" spans="1:21" s="65" customFormat="1">
      <c r="Q204" s="86"/>
      <c r="U204" s="66"/>
    </row>
    <row r="205" spans="1:21" s="65" customFormat="1">
      <c r="Q205" s="86"/>
      <c r="U205" s="66"/>
    </row>
    <row r="206" spans="1:21" s="65" customFormat="1">
      <c r="Q206" s="86"/>
      <c r="U206" s="66"/>
    </row>
    <row r="207" spans="1:21" s="65" customFormat="1">
      <c r="Q207" s="86"/>
      <c r="U207" s="66"/>
    </row>
    <row r="208" spans="1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R282" s="66"/>
      <c r="S282" s="66"/>
      <c r="U282" s="66"/>
    </row>
    <row r="283" spans="17:21" s="65" customFormat="1">
      <c r="Q283" s="86"/>
      <c r="R283" s="66"/>
      <c r="S283" s="66"/>
      <c r="U283" s="66"/>
    </row>
    <row r="284" spans="17:21" s="65" customFormat="1">
      <c r="Q284" s="86"/>
      <c r="R284" s="66"/>
      <c r="S284" s="66"/>
      <c r="U284" s="66"/>
    </row>
    <row r="285" spans="17:21" s="65" customFormat="1">
      <c r="Q285" s="86"/>
      <c r="R285" s="66"/>
      <c r="S285" s="66"/>
      <c r="U285" s="66"/>
    </row>
  </sheetData>
  <sheetProtection algorithmName="SHA-512" hashValue="aCRfrVh97x/qGwK669/2iUqF4WuGbKNqAdZses8JIMmvfywVITaVdsDaM7Gj2Sy/uLClc83MEfJ4RUZncMVN5g==" saltValue="5MYyvC0CoRSi6hZDMcWxcQ==" spinCount="100000" sheet="1" formatCells="0" formatColumns="0" formatRows="0" sort="0" autoFilter="0" pivotTables="0"/>
  <mergeCells count="7">
    <mergeCell ref="A130:O130"/>
    <mergeCell ref="A145:M145"/>
    <mergeCell ref="A1:U1"/>
    <mergeCell ref="A70:B70"/>
    <mergeCell ref="A85:B85"/>
    <mergeCell ref="A100:B100"/>
    <mergeCell ref="A115:B115"/>
  </mergeCells>
  <pageMargins left="0.25" right="0.25" top="0.75" bottom="0.75" header="0.3" footer="0.3"/>
  <pageSetup paperSize="9" scale="24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500-000000000000}">
          <x14:formula1>
            <xm:f>Списки!$C$2:$C$27</xm:f>
          </x14:formula1>
          <xm:sqref>U8 K23 U23 K3:K20 K25:K26 K28:K64 T3:U7 T9:U22 T24:U26 T28:U64</xm:sqref>
        </x14:dataValidation>
        <x14:dataValidation type="list" allowBlank="1" showInputMessage="1" showErrorMessage="1" xr:uid="{00000000-0002-0000-3500-000001000000}">
          <x14:formula1>
            <xm:f>Списки!$B$2:$B$5</xm:f>
          </x14:formula1>
          <xm:sqref>D23 D3:D20 D25:D26 D28:D64 G67:G68</xm:sqref>
        </x14:dataValidation>
        <x14:dataValidation type="list" allowBlank="1" showInputMessage="1" showErrorMessage="1" xr:uid="{00000000-0002-0000-3500-000002000000}">
          <x14:formula1>
            <xm:f>Списки!$D$2:$D$7</xm:f>
          </x14:formula1>
          <xm:sqref>H23 F67:F68 H3:H20 H25:H26 H28:H64</xm:sqref>
        </x14:dataValidation>
        <x14:dataValidation type="list" allowBlank="1" showInputMessage="1" showErrorMessage="1" xr:uid="{00000000-0002-0000-3500-000003000000}">
          <x14:formula1>
            <xm:f>Списки!$E$2:$E$7</xm:f>
          </x14:formula1>
          <xm:sqref>L23 H67:H68 L3:L20 L25:L26 L28:L64</xm:sqref>
        </x14:dataValidation>
        <x14:dataValidation type="list" allowBlank="1" showInputMessage="1" showErrorMessage="1" xr:uid="{00000000-0002-0000-3500-000004000000}">
          <x14:formula1>
            <xm:f>Списки!$G$2:$G$3</xm:f>
          </x14:formula1>
          <xm:sqref>N23 L67:L68 N3:N20 N25:N26 N28:N64</xm:sqref>
        </x14:dataValidation>
        <x14:dataValidation type="list" allowBlank="1" showInputMessage="1" showErrorMessage="1" xr:uid="{00000000-0002-0000-3500-000005000000}">
          <x14:formula1>
            <xm:f>Списки!$F$2:$F$3</xm:f>
          </x14:formula1>
          <xm:sqref>P23 P3:P20 P25:P26 P28:P64 X67:X68</xm:sqref>
        </x14:dataValidation>
        <x14:dataValidation type="list" allowBlank="1" showInputMessage="1" showErrorMessage="1" xr:uid="{00000000-0002-0000-3500-000006000000}">
          <x14:formula1>
            <xm:f>Списки!$H$2</xm:f>
          </x14:formula1>
          <xm:sqref>B3:B23 B25:B64</xm:sqref>
        </x14:dataValidation>
        <x14:dataValidation type="list" allowBlank="1" showInputMessage="1" showErrorMessage="1" xr:uid="{00000000-0002-0000-3500-000007000000}">
          <x14:formula1>
            <xm:f>Списки!$C$3:$C$4</xm:f>
          </x14:formula1>
          <xm:sqref>D67:D68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AF285"/>
  <sheetViews>
    <sheetView view="pageBreakPreview" topLeftCell="G1" zoomScaleNormal="85" workbookViewId="0">
      <pane ySplit="2" topLeftCell="A3" activePane="bottomLeft" state="frozen"/>
      <selection pane="bottomLeft" activeCell="K92" sqref="K9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3.42578125" style="66" customWidth="1"/>
    <col min="4" max="4" width="14.2851562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45596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1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2191</v>
      </c>
      <c r="V2" s="111" t="s">
        <v>1584</v>
      </c>
    </row>
    <row r="3" spans="1:32" s="61" customFormat="1" hidden="1">
      <c r="A3" s="62">
        <v>1</v>
      </c>
      <c r="B3" s="62" t="s">
        <v>6</v>
      </c>
      <c r="C3" s="74">
        <v>36123</v>
      </c>
      <c r="D3" s="62" t="s">
        <v>13</v>
      </c>
      <c r="E3" s="75">
        <v>573</v>
      </c>
      <c r="F3" s="62">
        <v>0</v>
      </c>
      <c r="G3" s="62">
        <v>29.4</v>
      </c>
      <c r="H3" s="62" t="s">
        <v>25</v>
      </c>
      <c r="I3" s="62">
        <v>20000</v>
      </c>
      <c r="J3" s="95">
        <v>4327800</v>
      </c>
      <c r="K3" s="62" t="s">
        <v>8</v>
      </c>
      <c r="L3" s="62" t="s">
        <v>22</v>
      </c>
      <c r="M3" s="62" t="s">
        <v>583</v>
      </c>
      <c r="N3" s="62" t="s">
        <v>18</v>
      </c>
      <c r="O3" s="92">
        <v>45568</v>
      </c>
      <c r="P3" s="62" t="s">
        <v>17</v>
      </c>
      <c r="Q3" s="62" t="s">
        <v>2213</v>
      </c>
      <c r="R3" s="113" t="s">
        <v>67</v>
      </c>
      <c r="S3" s="113" t="s">
        <v>67</v>
      </c>
      <c r="T3" s="62" t="s">
        <v>8</v>
      </c>
      <c r="U3" s="62" t="s">
        <v>8</v>
      </c>
      <c r="V3" s="114">
        <f>сент2445[[#This Row],[сумма]]-сент2445[[#This Row],[Цена м2 отделки]]*сент2445[[#This Row],[м2]]</f>
        <v>3739800</v>
      </c>
    </row>
    <row r="4" spans="1:32" s="61" customFormat="1" hidden="1">
      <c r="A4" s="62">
        <v>2</v>
      </c>
      <c r="B4" s="62" t="s">
        <v>6</v>
      </c>
      <c r="C4" s="74" t="s">
        <v>2214</v>
      </c>
      <c r="D4" s="62" t="s">
        <v>13</v>
      </c>
      <c r="E4" s="75">
        <v>541</v>
      </c>
      <c r="F4" s="62">
        <v>0</v>
      </c>
      <c r="G4" s="62">
        <v>29.4</v>
      </c>
      <c r="H4" s="62" t="s">
        <v>21</v>
      </c>
      <c r="I4" s="62">
        <v>7000</v>
      </c>
      <c r="J4" s="95">
        <v>3975000</v>
      </c>
      <c r="K4" s="62" t="s">
        <v>8</v>
      </c>
      <c r="L4" s="62" t="s">
        <v>22</v>
      </c>
      <c r="M4" s="62" t="s">
        <v>583</v>
      </c>
      <c r="N4" s="62" t="s">
        <v>12</v>
      </c>
      <c r="O4" s="92">
        <v>45568</v>
      </c>
      <c r="P4" s="62" t="s">
        <v>17</v>
      </c>
      <c r="Q4" s="62" t="s">
        <v>2215</v>
      </c>
      <c r="R4" s="113" t="s">
        <v>67</v>
      </c>
      <c r="S4" s="113" t="s">
        <v>67</v>
      </c>
      <c r="T4" s="62" t="s">
        <v>8</v>
      </c>
      <c r="U4" s="62" t="s">
        <v>8</v>
      </c>
      <c r="V4" s="114">
        <f>сент2445[[#This Row],[сумма]]-сент2445[[#This Row],[Цена м2 отделки]]*сент2445[[#This Row],[м2]]</f>
        <v>3769200</v>
      </c>
    </row>
    <row r="5" spans="1:32" s="61" customFormat="1" hidden="1">
      <c r="A5" s="62">
        <v>3</v>
      </c>
      <c r="B5" s="62" t="s">
        <v>6</v>
      </c>
      <c r="C5" s="383"/>
      <c r="D5" s="102"/>
      <c r="E5" s="102"/>
      <c r="F5" s="102"/>
      <c r="G5" s="102"/>
      <c r="H5" s="102" t="s">
        <v>9</v>
      </c>
      <c r="I5" s="102"/>
      <c r="J5" s="384"/>
      <c r="K5" s="354" t="s">
        <v>14</v>
      </c>
      <c r="L5" s="102" t="s">
        <v>10</v>
      </c>
      <c r="M5" s="102" t="s">
        <v>286</v>
      </c>
      <c r="N5" s="102" t="s">
        <v>18</v>
      </c>
      <c r="O5" s="385">
        <v>45566</v>
      </c>
      <c r="P5" s="354" t="s">
        <v>17</v>
      </c>
      <c r="Q5" s="391" t="s">
        <v>2194</v>
      </c>
      <c r="R5" s="391" t="s">
        <v>67</v>
      </c>
      <c r="S5" s="391" t="s">
        <v>67</v>
      </c>
      <c r="T5" s="354" t="s">
        <v>14</v>
      </c>
      <c r="U5" s="354" t="s">
        <v>14</v>
      </c>
      <c r="V5" s="114">
        <f>сент2445[[#This Row],[сумма]]-сент2445[[#This Row],[Цена м2 отделки]]*сент2445[[#This Row],[м2]]</f>
        <v>0</v>
      </c>
    </row>
    <row r="6" spans="1:32" s="61" customFormat="1" hidden="1">
      <c r="A6" s="62">
        <v>4</v>
      </c>
      <c r="B6" s="62" t="s">
        <v>6</v>
      </c>
      <c r="C6" s="74">
        <v>26495</v>
      </c>
      <c r="D6" s="62" t="s">
        <v>13</v>
      </c>
      <c r="E6" s="75">
        <v>316</v>
      </c>
      <c r="F6" s="62">
        <v>2</v>
      </c>
      <c r="G6" s="62">
        <v>60.24</v>
      </c>
      <c r="H6" s="76" t="s">
        <v>25</v>
      </c>
      <c r="I6" s="62">
        <v>20000</v>
      </c>
      <c r="J6" s="91">
        <v>7201700</v>
      </c>
      <c r="K6" s="62" t="s">
        <v>14</v>
      </c>
      <c r="L6" s="62" t="s">
        <v>22</v>
      </c>
      <c r="M6" s="62" t="s">
        <v>583</v>
      </c>
      <c r="N6" s="62" t="s">
        <v>18</v>
      </c>
      <c r="O6" s="92">
        <v>45587</v>
      </c>
      <c r="P6" s="62" t="s">
        <v>17</v>
      </c>
      <c r="Q6" s="76" t="s">
        <v>2216</v>
      </c>
      <c r="R6" s="113" t="s">
        <v>67</v>
      </c>
      <c r="S6" s="382" t="s">
        <v>2217</v>
      </c>
      <c r="T6" s="354" t="s">
        <v>14</v>
      </c>
      <c r="U6" s="102" t="s">
        <v>14</v>
      </c>
      <c r="V6" s="114">
        <f>сент2445[[#This Row],[сумма]]-сент2445[[#This Row],[Цена м2 отделки]]*сент2445[[#This Row],[м2]]</f>
        <v>5996900</v>
      </c>
    </row>
    <row r="7" spans="1:32" s="61" customFormat="1" hidden="1">
      <c r="A7" s="62">
        <v>5</v>
      </c>
      <c r="B7" s="62"/>
      <c r="C7" s="383">
        <v>36551</v>
      </c>
      <c r="D7" s="102" t="s">
        <v>13</v>
      </c>
      <c r="E7" s="102">
        <v>175</v>
      </c>
      <c r="F7" s="102">
        <v>0</v>
      </c>
      <c r="G7" s="102">
        <v>24.28</v>
      </c>
      <c r="H7" s="102" t="s">
        <v>25</v>
      </c>
      <c r="I7" s="102">
        <v>24000</v>
      </c>
      <c r="J7" s="384">
        <v>3686020</v>
      </c>
      <c r="K7" s="354" t="s">
        <v>31</v>
      </c>
      <c r="L7" s="102" t="s">
        <v>22</v>
      </c>
      <c r="M7" s="102" t="s">
        <v>583</v>
      </c>
      <c r="N7" s="102" t="s">
        <v>18</v>
      </c>
      <c r="O7" s="385">
        <v>45589</v>
      </c>
      <c r="P7" s="354" t="s">
        <v>17</v>
      </c>
      <c r="Q7" s="391" t="s">
        <v>2218</v>
      </c>
      <c r="R7" s="391" t="s">
        <v>67</v>
      </c>
      <c r="S7" s="382" t="s">
        <v>2217</v>
      </c>
      <c r="T7" s="354" t="s">
        <v>31</v>
      </c>
      <c r="U7" s="102" t="s">
        <v>14</v>
      </c>
      <c r="V7" s="114">
        <f>сент2445[[#This Row],[сумма]]-сент2445[[#This Row],[Цена м2 отделки]]*сент2445[[#This Row],[м2]]</f>
        <v>3103300</v>
      </c>
    </row>
    <row r="8" spans="1:32" s="61" customFormat="1" hidden="1">
      <c r="A8" s="62">
        <v>6</v>
      </c>
      <c r="B8" s="62" t="s">
        <v>6</v>
      </c>
      <c r="C8" s="75">
        <v>33242</v>
      </c>
      <c r="D8" s="62" t="s">
        <v>13</v>
      </c>
      <c r="E8" s="75">
        <v>241</v>
      </c>
      <c r="F8" s="62">
        <v>3</v>
      </c>
      <c r="G8" s="62">
        <v>80.97</v>
      </c>
      <c r="H8" s="117" t="s">
        <v>25</v>
      </c>
      <c r="I8" s="117">
        <v>20000</v>
      </c>
      <c r="J8" s="95">
        <v>9045400</v>
      </c>
      <c r="K8" s="117" t="s">
        <v>14</v>
      </c>
      <c r="L8" s="62" t="s">
        <v>22</v>
      </c>
      <c r="M8" s="62" t="s">
        <v>583</v>
      </c>
      <c r="N8" s="62" t="s">
        <v>12</v>
      </c>
      <c r="O8" s="92">
        <v>45576</v>
      </c>
      <c r="P8" s="117" t="s">
        <v>17</v>
      </c>
      <c r="Q8" s="392" t="s">
        <v>2169</v>
      </c>
      <c r="R8" s="76" t="s">
        <v>67</v>
      </c>
      <c r="S8" s="76" t="s">
        <v>67</v>
      </c>
      <c r="T8" s="354" t="s">
        <v>14</v>
      </c>
      <c r="U8" s="102" t="s">
        <v>14</v>
      </c>
      <c r="V8" s="114">
        <f>сент2445[[#This Row],[сумма]]-сент2445[[#This Row],[Цена м2 отделки]]*сент2445[[#This Row],[м2]]</f>
        <v>7426000</v>
      </c>
    </row>
    <row r="9" spans="1:32" s="61" customFormat="1" hidden="1">
      <c r="A9" s="62">
        <v>7</v>
      </c>
      <c r="B9" s="62" t="s">
        <v>6</v>
      </c>
      <c r="C9" s="74">
        <v>36336</v>
      </c>
      <c r="D9" s="62" t="s">
        <v>13</v>
      </c>
      <c r="E9" s="75">
        <v>540</v>
      </c>
      <c r="F9" s="62">
        <v>1</v>
      </c>
      <c r="G9" s="62">
        <v>36.69</v>
      </c>
      <c r="H9" s="76" t="s">
        <v>25</v>
      </c>
      <c r="I9" s="62">
        <v>24000</v>
      </c>
      <c r="J9" s="91">
        <v>5765060</v>
      </c>
      <c r="K9" s="62" t="s">
        <v>20</v>
      </c>
      <c r="L9" s="62" t="s">
        <v>22</v>
      </c>
      <c r="M9" s="62" t="s">
        <v>583</v>
      </c>
      <c r="N9" s="62" t="s">
        <v>18</v>
      </c>
      <c r="O9" s="92">
        <v>45568</v>
      </c>
      <c r="P9" s="62" t="s">
        <v>17</v>
      </c>
      <c r="Q9" s="76" t="s">
        <v>2219</v>
      </c>
      <c r="R9" s="113" t="s">
        <v>67</v>
      </c>
      <c r="S9" s="113" t="s">
        <v>67</v>
      </c>
      <c r="T9" s="62" t="s">
        <v>20</v>
      </c>
      <c r="U9" s="62" t="s">
        <v>20</v>
      </c>
      <c r="V9" s="114">
        <f>сент2445[[#This Row],[сумма]]-сент2445[[#This Row],[Цена м2 отделки]]*сент2445[[#This Row],[м2]]</f>
        <v>4884500</v>
      </c>
    </row>
    <row r="10" spans="1:32" hidden="1">
      <c r="A10" s="65">
        <v>8</v>
      </c>
      <c r="B10" s="65"/>
      <c r="C10" s="79">
        <v>36879</v>
      </c>
      <c r="D10" s="65" t="s">
        <v>13</v>
      </c>
      <c r="E10" s="79">
        <v>501</v>
      </c>
      <c r="F10" s="65">
        <v>0</v>
      </c>
      <c r="G10" s="65">
        <v>29.4</v>
      </c>
      <c r="H10" s="65" t="s">
        <v>25</v>
      </c>
      <c r="I10" s="65">
        <v>24000</v>
      </c>
      <c r="J10" s="93">
        <v>4123400</v>
      </c>
      <c r="K10" s="65" t="s">
        <v>14</v>
      </c>
      <c r="L10" s="65"/>
      <c r="M10" s="65" t="s">
        <v>286</v>
      </c>
      <c r="N10" s="65" t="s">
        <v>18</v>
      </c>
      <c r="O10" s="98"/>
      <c r="P10" s="65" t="s">
        <v>17</v>
      </c>
      <c r="Q10" s="65" t="s">
        <v>2220</v>
      </c>
      <c r="R10" s="86"/>
      <c r="S10" s="86"/>
      <c r="T10" s="65" t="s">
        <v>14</v>
      </c>
      <c r="U10" s="65" t="s">
        <v>14</v>
      </c>
      <c r="V10" s="115">
        <f>сент2445[[#This Row],[сумма]]-сент2445[[#This Row],[Цена м2 отделки]]*сент2445[[#This Row],[м2]]</f>
        <v>3417800</v>
      </c>
    </row>
    <row r="11" spans="1:32" s="61" customFormat="1" ht="25.5" hidden="1">
      <c r="A11" s="62">
        <v>9</v>
      </c>
      <c r="B11" s="62" t="s">
        <v>6</v>
      </c>
      <c r="C11" s="75">
        <v>36003</v>
      </c>
      <c r="D11" s="62" t="s">
        <v>13</v>
      </c>
      <c r="E11" s="75">
        <v>90</v>
      </c>
      <c r="F11" s="62">
        <v>1</v>
      </c>
      <c r="G11" s="62">
        <v>42.75</v>
      </c>
      <c r="H11" s="117" t="s">
        <v>21</v>
      </c>
      <c r="I11" s="117">
        <v>7000</v>
      </c>
      <c r="J11" s="95">
        <v>5022050</v>
      </c>
      <c r="K11" s="117" t="s">
        <v>31</v>
      </c>
      <c r="L11" s="62" t="s">
        <v>22</v>
      </c>
      <c r="M11" s="62" t="s">
        <v>583</v>
      </c>
      <c r="N11" s="62" t="s">
        <v>18</v>
      </c>
      <c r="O11" s="92">
        <v>45588</v>
      </c>
      <c r="P11" s="117" t="s">
        <v>1772</v>
      </c>
      <c r="Q11" s="76" t="s">
        <v>2221</v>
      </c>
      <c r="R11" s="76"/>
      <c r="S11" s="382" t="s">
        <v>67</v>
      </c>
      <c r="T11" s="117" t="s">
        <v>31</v>
      </c>
      <c r="U11" s="117" t="s">
        <v>14</v>
      </c>
      <c r="V11" s="114">
        <f>сент2445[[#This Row],[сумма]]-сент2445[[#This Row],[Цена м2 отделки]]*сент2445[[#This Row],[м2]]</f>
        <v>4722800</v>
      </c>
    </row>
    <row r="12" spans="1:32" s="61" customFormat="1" hidden="1">
      <c r="A12" s="62">
        <v>10</v>
      </c>
      <c r="B12" s="62" t="s">
        <v>6</v>
      </c>
      <c r="C12" s="74">
        <v>36446</v>
      </c>
      <c r="D12" s="62" t="s">
        <v>13</v>
      </c>
      <c r="E12" s="75">
        <v>102</v>
      </c>
      <c r="F12" s="62">
        <v>2</v>
      </c>
      <c r="G12" s="62">
        <v>62.17</v>
      </c>
      <c r="H12" s="76" t="s">
        <v>9</v>
      </c>
      <c r="I12" s="76"/>
      <c r="J12" s="91">
        <v>6253396</v>
      </c>
      <c r="K12" s="62" t="s">
        <v>20</v>
      </c>
      <c r="L12" s="62" t="s">
        <v>22</v>
      </c>
      <c r="M12" s="62" t="s">
        <v>583</v>
      </c>
      <c r="N12" s="62" t="s">
        <v>18</v>
      </c>
      <c r="O12" s="92">
        <v>45576</v>
      </c>
      <c r="P12" s="62" t="s">
        <v>17</v>
      </c>
      <c r="Q12" s="397" t="s">
        <v>2222</v>
      </c>
      <c r="R12" s="113" t="s">
        <v>67</v>
      </c>
      <c r="S12" s="113" t="s">
        <v>67</v>
      </c>
      <c r="T12" s="62" t="s">
        <v>20</v>
      </c>
      <c r="U12" s="62" t="s">
        <v>20</v>
      </c>
      <c r="V12" s="114">
        <f>сент2445[[#This Row],[сумма]]-сент2445[[#This Row],[Цена м2 отделки]]*сент2445[[#This Row],[м2]]</f>
        <v>6253396</v>
      </c>
    </row>
    <row r="13" spans="1:32" s="61" customFormat="1" hidden="1">
      <c r="A13" s="62">
        <v>11</v>
      </c>
      <c r="B13" s="62" t="s">
        <v>6</v>
      </c>
      <c r="C13" s="74">
        <v>35807</v>
      </c>
      <c r="D13" s="62" t="s">
        <v>13</v>
      </c>
      <c r="E13" s="75">
        <v>66</v>
      </c>
      <c r="F13" s="62">
        <v>2</v>
      </c>
      <c r="G13" s="62">
        <v>59.09</v>
      </c>
      <c r="H13" s="62" t="s">
        <v>9</v>
      </c>
      <c r="I13" s="62"/>
      <c r="J13" s="95">
        <v>5688900</v>
      </c>
      <c r="K13" s="62" t="s">
        <v>20</v>
      </c>
      <c r="L13" s="62" t="s">
        <v>10</v>
      </c>
      <c r="M13" s="62" t="s">
        <v>286</v>
      </c>
      <c r="N13" s="62" t="s">
        <v>12</v>
      </c>
      <c r="O13" s="92">
        <v>45589</v>
      </c>
      <c r="P13" s="62"/>
      <c r="Q13" s="76" t="s">
        <v>2223</v>
      </c>
      <c r="R13" s="113" t="s">
        <v>67</v>
      </c>
      <c r="S13" s="113" t="s">
        <v>67</v>
      </c>
      <c r="T13" s="62" t="s">
        <v>20</v>
      </c>
      <c r="U13" s="62" t="s">
        <v>20</v>
      </c>
      <c r="V13" s="114">
        <f>сент2445[[#This Row],[сумма]]-сент2445[[#This Row],[Цена м2 отделки]]*сент2445[[#This Row],[м2]]</f>
        <v>5688900</v>
      </c>
      <c r="AF13" s="132"/>
    </row>
    <row r="14" spans="1:32" s="61" customFormat="1" hidden="1">
      <c r="A14" s="62">
        <v>12</v>
      </c>
      <c r="B14" s="62" t="s">
        <v>6</v>
      </c>
      <c r="C14" s="75">
        <v>35172</v>
      </c>
      <c r="D14" s="62" t="s">
        <v>13</v>
      </c>
      <c r="E14" s="75">
        <v>520</v>
      </c>
      <c r="F14" s="62">
        <v>2</v>
      </c>
      <c r="G14" s="62">
        <v>58.24</v>
      </c>
      <c r="H14" s="62" t="s">
        <v>25</v>
      </c>
      <c r="I14" s="62">
        <v>20000</v>
      </c>
      <c r="J14" s="95">
        <v>6831300</v>
      </c>
      <c r="K14" s="62" t="s">
        <v>20</v>
      </c>
      <c r="L14" s="62" t="s">
        <v>10</v>
      </c>
      <c r="M14" s="62" t="s">
        <v>286</v>
      </c>
      <c r="N14" s="62" t="s">
        <v>18</v>
      </c>
      <c r="O14" s="92">
        <v>45582</v>
      </c>
      <c r="P14" s="62" t="s">
        <v>17</v>
      </c>
      <c r="Q14" s="62" t="s">
        <v>2224</v>
      </c>
      <c r="R14" s="113" t="s">
        <v>67</v>
      </c>
      <c r="S14" s="113" t="s">
        <v>67</v>
      </c>
      <c r="T14" s="62" t="s">
        <v>20</v>
      </c>
      <c r="U14" s="62" t="s">
        <v>20</v>
      </c>
      <c r="V14" s="114">
        <f>сент2445[[#This Row],[сумма]]-сент2445[[#This Row],[Цена м2 отделки]]*сент2445[[#This Row],[м2]]</f>
        <v>5666500</v>
      </c>
    </row>
    <row r="15" spans="1:32" s="64" customFormat="1" hidden="1">
      <c r="A15" s="120">
        <v>13</v>
      </c>
      <c r="B15" s="120" t="s">
        <v>6</v>
      </c>
      <c r="C15" s="347">
        <v>15620</v>
      </c>
      <c r="D15" s="120" t="s">
        <v>13</v>
      </c>
      <c r="E15" s="347">
        <v>122</v>
      </c>
      <c r="F15" s="120">
        <v>1</v>
      </c>
      <c r="G15" s="120">
        <v>37.86</v>
      </c>
      <c r="H15" s="120" t="s">
        <v>21</v>
      </c>
      <c r="I15" s="120">
        <v>8000</v>
      </c>
      <c r="J15" s="95">
        <v>4726894</v>
      </c>
      <c r="K15" s="120" t="s">
        <v>8</v>
      </c>
      <c r="L15" s="120" t="s">
        <v>22</v>
      </c>
      <c r="M15" s="120" t="s">
        <v>583</v>
      </c>
      <c r="N15" s="120" t="s">
        <v>18</v>
      </c>
      <c r="O15" s="370">
        <v>45576</v>
      </c>
      <c r="P15" s="120" t="s">
        <v>17</v>
      </c>
      <c r="Q15" s="120" t="s">
        <v>2225</v>
      </c>
      <c r="R15" s="355" t="s">
        <v>67</v>
      </c>
      <c r="S15" s="355" t="s">
        <v>67</v>
      </c>
      <c r="T15" s="120" t="s">
        <v>8</v>
      </c>
      <c r="U15" s="120" t="s">
        <v>8</v>
      </c>
      <c r="V15" s="356">
        <f>сент2445[[#This Row],[сумма]]-сент2445[[#This Row],[Цена м2 отделки]]*сент2445[[#This Row],[м2]]</f>
        <v>4424014</v>
      </c>
    </row>
    <row r="16" spans="1:32" s="61" customFormat="1" hidden="1">
      <c r="A16" s="62">
        <v>14</v>
      </c>
      <c r="B16" s="62"/>
      <c r="C16" s="74">
        <v>30024</v>
      </c>
      <c r="D16" s="62" t="s">
        <v>13</v>
      </c>
      <c r="E16" s="75">
        <v>370</v>
      </c>
      <c r="F16" s="62">
        <v>0</v>
      </c>
      <c r="G16" s="62">
        <v>24.53</v>
      </c>
      <c r="H16" s="62" t="s">
        <v>21</v>
      </c>
      <c r="I16" s="62">
        <v>8000</v>
      </c>
      <c r="J16" s="381">
        <v>3599140</v>
      </c>
      <c r="K16" s="62" t="s">
        <v>20</v>
      </c>
      <c r="L16" s="62" t="s">
        <v>22</v>
      </c>
      <c r="M16" s="62" t="s">
        <v>583</v>
      </c>
      <c r="N16" s="62"/>
      <c r="O16" s="92">
        <v>45594</v>
      </c>
      <c r="P16" s="62"/>
      <c r="Q16" s="62" t="s">
        <v>2226</v>
      </c>
      <c r="R16" s="113" t="s">
        <v>67</v>
      </c>
      <c r="S16" s="113"/>
      <c r="T16" s="62" t="s">
        <v>20</v>
      </c>
      <c r="U16" s="62" t="s">
        <v>20</v>
      </c>
      <c r="V16" s="114">
        <f>сент2445[[#This Row],[сумма]]-сент2445[[#This Row],[Цена м2 отделки]]*сент2445[[#This Row],[м2]]</f>
        <v>3402900</v>
      </c>
    </row>
    <row r="17" spans="1:22" s="61" customFormat="1" hidden="1">
      <c r="A17" s="62">
        <v>15</v>
      </c>
      <c r="B17" s="62" t="s">
        <v>6</v>
      </c>
      <c r="C17" s="74">
        <v>36459</v>
      </c>
      <c r="D17" s="62" t="s">
        <v>19</v>
      </c>
      <c r="E17" s="75">
        <v>79</v>
      </c>
      <c r="F17" s="62">
        <v>1</v>
      </c>
      <c r="G17" s="62">
        <v>35.630000000000003</v>
      </c>
      <c r="H17" s="76" t="s">
        <v>21</v>
      </c>
      <c r="I17" s="76">
        <v>10000</v>
      </c>
      <c r="J17" s="91">
        <v>4922507</v>
      </c>
      <c r="K17" s="62" t="s">
        <v>14</v>
      </c>
      <c r="L17" s="62" t="s">
        <v>10</v>
      </c>
      <c r="M17" s="62" t="s">
        <v>286</v>
      </c>
      <c r="N17" s="62" t="s">
        <v>18</v>
      </c>
      <c r="O17" s="92">
        <v>45581</v>
      </c>
      <c r="P17" s="62" t="s">
        <v>17</v>
      </c>
      <c r="Q17" s="76" t="s">
        <v>2227</v>
      </c>
      <c r="R17" s="113"/>
      <c r="S17" s="113" t="s">
        <v>67</v>
      </c>
      <c r="T17" s="62" t="s">
        <v>14</v>
      </c>
      <c r="U17" s="62" t="s">
        <v>14</v>
      </c>
      <c r="V17" s="114">
        <f>сент2445[[#This Row],[сумма]]-сент2445[[#This Row],[Цена м2 отделки]]*сент2445[[#This Row],[м2]]</f>
        <v>4566207</v>
      </c>
    </row>
    <row r="18" spans="1:22" s="61" customFormat="1" ht="18.75" hidden="1" customHeight="1">
      <c r="A18" s="62">
        <v>16</v>
      </c>
      <c r="B18" s="62" t="s">
        <v>6</v>
      </c>
      <c r="C18" s="74">
        <v>36627</v>
      </c>
      <c r="D18" s="62" t="s">
        <v>13</v>
      </c>
      <c r="E18" s="75">
        <v>347</v>
      </c>
      <c r="F18" s="62">
        <v>1</v>
      </c>
      <c r="G18" s="62">
        <v>34.81</v>
      </c>
      <c r="H18" s="62" t="s">
        <v>21</v>
      </c>
      <c r="I18" s="62">
        <v>8000</v>
      </c>
      <c r="J18" s="95">
        <v>4596480</v>
      </c>
      <c r="K18" s="62" t="s">
        <v>8</v>
      </c>
      <c r="L18" s="62" t="s">
        <v>22</v>
      </c>
      <c r="M18" s="62" t="s">
        <v>583</v>
      </c>
      <c r="N18" s="62" t="s">
        <v>18</v>
      </c>
      <c r="O18" s="92">
        <v>45588</v>
      </c>
      <c r="P18" s="62" t="s">
        <v>17</v>
      </c>
      <c r="Q18" s="76" t="s">
        <v>2228</v>
      </c>
      <c r="R18" s="113" t="s">
        <v>67</v>
      </c>
      <c r="S18" s="62"/>
      <c r="T18" s="62" t="s">
        <v>8</v>
      </c>
      <c r="U18" s="62" t="s">
        <v>8</v>
      </c>
      <c r="V18" s="114">
        <f>сент2445[[#This Row],[сумма]]-сент2445[[#This Row],[Цена м2 отделки]]*сент2445[[#This Row],[м2]]</f>
        <v>4318000</v>
      </c>
    </row>
    <row r="19" spans="1:22" s="61" customFormat="1" hidden="1">
      <c r="A19" s="62">
        <v>17</v>
      </c>
      <c r="B19" s="62" t="s">
        <v>6</v>
      </c>
      <c r="C19" s="74">
        <v>36635</v>
      </c>
      <c r="D19" s="62" t="s">
        <v>13</v>
      </c>
      <c r="E19" s="75">
        <v>338</v>
      </c>
      <c r="F19" s="62">
        <v>1</v>
      </c>
      <c r="G19" s="62">
        <v>37.81</v>
      </c>
      <c r="H19" s="62" t="s">
        <v>21</v>
      </c>
      <c r="I19" s="62">
        <v>8000</v>
      </c>
      <c r="J19" s="95">
        <v>4626926</v>
      </c>
      <c r="K19" s="62" t="s">
        <v>34</v>
      </c>
      <c r="L19" s="62" t="s">
        <v>22</v>
      </c>
      <c r="M19" s="62" t="s">
        <v>583</v>
      </c>
      <c r="N19" s="62" t="s">
        <v>18</v>
      </c>
      <c r="O19" s="92">
        <v>45589</v>
      </c>
      <c r="P19" s="62" t="s">
        <v>17</v>
      </c>
      <c r="Q19" s="76" t="s">
        <v>2229</v>
      </c>
      <c r="R19" s="113" t="s">
        <v>67</v>
      </c>
      <c r="S19" s="113" t="s">
        <v>67</v>
      </c>
      <c r="T19" s="62" t="s">
        <v>34</v>
      </c>
      <c r="U19" s="62" t="s">
        <v>20</v>
      </c>
      <c r="V19" s="114">
        <f>сент2445[[#This Row],[сумма]]-сент2445[[#This Row],[Цена м2 отделки]]*сент2445[[#This Row],[м2]]</f>
        <v>4324446</v>
      </c>
    </row>
    <row r="20" spans="1:22" s="61" customFormat="1" hidden="1">
      <c r="A20" s="62">
        <v>18</v>
      </c>
      <c r="B20" s="62" t="s">
        <v>6</v>
      </c>
      <c r="C20" s="75">
        <v>36567</v>
      </c>
      <c r="D20" s="62" t="s">
        <v>13</v>
      </c>
      <c r="E20" s="75">
        <v>28</v>
      </c>
      <c r="F20" s="62">
        <v>1</v>
      </c>
      <c r="G20" s="62">
        <v>34.39</v>
      </c>
      <c r="H20" s="62" t="s">
        <v>9</v>
      </c>
      <c r="I20" s="62"/>
      <c r="J20" s="95">
        <v>4122370</v>
      </c>
      <c r="K20" s="62" t="s">
        <v>14</v>
      </c>
      <c r="L20" s="62" t="s">
        <v>22</v>
      </c>
      <c r="M20" s="62" t="s">
        <v>583</v>
      </c>
      <c r="N20" s="62" t="s">
        <v>18</v>
      </c>
      <c r="O20" s="92">
        <v>45582</v>
      </c>
      <c r="P20" s="62" t="s">
        <v>17</v>
      </c>
      <c r="Q20" s="76" t="s">
        <v>2230</v>
      </c>
      <c r="R20" s="113" t="s">
        <v>67</v>
      </c>
      <c r="S20" s="113">
        <v>45582</v>
      </c>
      <c r="T20" s="62" t="s">
        <v>14</v>
      </c>
      <c r="U20" s="62" t="s">
        <v>14</v>
      </c>
      <c r="V20" s="114">
        <f>сент2445[[#This Row],[сумма]]-сент2445[[#This Row],[Цена м2 отделки]]*сент2445[[#This Row],[м2]]</f>
        <v>4122370</v>
      </c>
    </row>
    <row r="21" spans="1:22" s="61" customFormat="1" hidden="1">
      <c r="A21" s="62">
        <v>19</v>
      </c>
      <c r="B21" s="62" t="s">
        <v>6</v>
      </c>
      <c r="C21" s="349">
        <v>36704</v>
      </c>
      <c r="D21" s="62" t="s">
        <v>13</v>
      </c>
      <c r="E21" s="62">
        <v>313</v>
      </c>
      <c r="F21" s="349">
        <v>2</v>
      </c>
      <c r="G21" s="62">
        <v>73.7</v>
      </c>
      <c r="H21" s="117" t="s">
        <v>21</v>
      </c>
      <c r="I21" s="348">
        <v>8000</v>
      </c>
      <c r="J21" s="352">
        <v>7687500</v>
      </c>
      <c r="K21" s="396" t="s">
        <v>8</v>
      </c>
      <c r="L21" s="117" t="s">
        <v>22</v>
      </c>
      <c r="M21" s="117" t="s">
        <v>583</v>
      </c>
      <c r="N21" s="117" t="s">
        <v>18</v>
      </c>
      <c r="O21" s="92">
        <v>45589</v>
      </c>
      <c r="P21" s="117" t="s">
        <v>1089</v>
      </c>
      <c r="Q21" s="117" t="s">
        <v>1343</v>
      </c>
      <c r="R21" s="113"/>
      <c r="S21" s="113"/>
      <c r="T21" s="62" t="s">
        <v>8</v>
      </c>
      <c r="U21" s="62" t="s">
        <v>8</v>
      </c>
      <c r="V21" s="114">
        <f>сент2445[[#This Row],[сумма]]-сент2445[[#This Row],[Цена м2 отделки]]*сент2445[[#This Row],[м2]]</f>
        <v>7097900</v>
      </c>
    </row>
    <row r="22" spans="1:22" s="61" customFormat="1" hidden="1">
      <c r="A22" s="62">
        <v>20</v>
      </c>
      <c r="B22" s="62" t="s">
        <v>6</v>
      </c>
      <c r="C22" s="349">
        <v>36711</v>
      </c>
      <c r="D22" s="117" t="s">
        <v>13</v>
      </c>
      <c r="E22" s="62">
        <v>96</v>
      </c>
      <c r="F22" s="349">
        <v>2</v>
      </c>
      <c r="G22" s="62">
        <v>58.16</v>
      </c>
      <c r="H22" s="117" t="s">
        <v>21</v>
      </c>
      <c r="I22" s="348">
        <v>8000</v>
      </c>
      <c r="J22" s="352">
        <v>6341637</v>
      </c>
      <c r="K22" s="396" t="s">
        <v>8</v>
      </c>
      <c r="L22" s="117" t="s">
        <v>22</v>
      </c>
      <c r="M22" s="117" t="s">
        <v>583</v>
      </c>
      <c r="N22" s="117" t="s">
        <v>18</v>
      </c>
      <c r="O22" s="92">
        <v>45588</v>
      </c>
      <c r="P22" s="117" t="s">
        <v>17</v>
      </c>
      <c r="Q22" s="117" t="s">
        <v>694</v>
      </c>
      <c r="R22" s="113"/>
      <c r="S22" s="113"/>
      <c r="T22" s="62" t="s">
        <v>8</v>
      </c>
      <c r="U22" s="62" t="s">
        <v>8</v>
      </c>
      <c r="V22" s="114">
        <f>сент2445[[#This Row],[сумма]]-сент2445[[#This Row],[Цена м2 отделки]]*сент2445[[#This Row],[м2]]</f>
        <v>5876357</v>
      </c>
    </row>
    <row r="23" spans="1:22" s="61" customFormat="1" hidden="1">
      <c r="A23" s="62">
        <v>21</v>
      </c>
      <c r="B23" s="62" t="s">
        <v>6</v>
      </c>
      <c r="C23" s="75">
        <v>36864</v>
      </c>
      <c r="D23" s="62" t="s">
        <v>13</v>
      </c>
      <c r="E23" s="75">
        <v>48</v>
      </c>
      <c r="F23" s="62">
        <v>1</v>
      </c>
      <c r="G23" s="62">
        <v>42.75</v>
      </c>
      <c r="H23" s="62" t="s">
        <v>9</v>
      </c>
      <c r="I23" s="62"/>
      <c r="J23" s="95">
        <v>4628344</v>
      </c>
      <c r="K23" s="62" t="s">
        <v>42</v>
      </c>
      <c r="L23" s="62" t="s">
        <v>22</v>
      </c>
      <c r="M23" s="62" t="s">
        <v>583</v>
      </c>
      <c r="N23" s="62" t="s">
        <v>18</v>
      </c>
      <c r="O23" s="92">
        <v>45590</v>
      </c>
      <c r="P23" s="62"/>
      <c r="Q23" s="62" t="s">
        <v>1122</v>
      </c>
      <c r="R23" s="113" t="s">
        <v>67</v>
      </c>
      <c r="S23" s="113" t="s">
        <v>67</v>
      </c>
      <c r="T23" s="62" t="s">
        <v>42</v>
      </c>
      <c r="U23" s="62" t="s">
        <v>20</v>
      </c>
      <c r="V23" s="114">
        <f>сент2445[[#This Row],[сумма]]-сент2445[[#This Row],[Цена м2 отделки]]*сент2445[[#This Row],[м2]]</f>
        <v>4628344</v>
      </c>
    </row>
    <row r="24" spans="1:22" s="61" customFormat="1" hidden="1">
      <c r="A24" s="62">
        <v>22</v>
      </c>
      <c r="B24" s="62" t="s">
        <v>6</v>
      </c>
      <c r="C24" s="75">
        <v>36328</v>
      </c>
      <c r="D24" s="62" t="s">
        <v>13</v>
      </c>
      <c r="E24" s="75">
        <v>9</v>
      </c>
      <c r="F24" s="349">
        <v>1</v>
      </c>
      <c r="G24" s="62">
        <v>37.729999999999997</v>
      </c>
      <c r="H24" s="62" t="s">
        <v>9</v>
      </c>
      <c r="I24" s="348"/>
      <c r="J24" s="352">
        <v>4602400</v>
      </c>
      <c r="K24" s="348" t="s">
        <v>8</v>
      </c>
      <c r="L24" s="62" t="s">
        <v>22</v>
      </c>
      <c r="M24" s="117" t="s">
        <v>583</v>
      </c>
      <c r="N24" s="62" t="s">
        <v>18</v>
      </c>
      <c r="O24" s="92">
        <v>45589</v>
      </c>
      <c r="P24" s="62" t="s">
        <v>17</v>
      </c>
      <c r="Q24" s="117" t="s">
        <v>2231</v>
      </c>
      <c r="R24" s="113" t="s">
        <v>67</v>
      </c>
      <c r="S24" s="113"/>
      <c r="T24" s="62" t="s">
        <v>8</v>
      </c>
      <c r="U24" s="62" t="s">
        <v>8</v>
      </c>
      <c r="V24" s="114">
        <f>сент2445[[#This Row],[сумма]]-сент2445[[#This Row],[Цена м2 отделки]]*сент2445[[#This Row],[м2]]</f>
        <v>4602400</v>
      </c>
    </row>
    <row r="25" spans="1:22" s="61" customFormat="1" hidden="1">
      <c r="A25" s="62">
        <v>23</v>
      </c>
      <c r="B25" s="62" t="s">
        <v>6</v>
      </c>
      <c r="C25" s="75">
        <v>36234</v>
      </c>
      <c r="D25" s="62" t="s">
        <v>13</v>
      </c>
      <c r="E25" s="75">
        <v>111</v>
      </c>
      <c r="F25" s="349">
        <v>1</v>
      </c>
      <c r="G25" s="62">
        <v>42.75</v>
      </c>
      <c r="H25" s="62" t="s">
        <v>21</v>
      </c>
      <c r="I25" s="348">
        <v>8000</v>
      </c>
      <c r="J25" s="352">
        <v>4970344</v>
      </c>
      <c r="K25" s="62" t="s">
        <v>8</v>
      </c>
      <c r="L25" s="62" t="s">
        <v>22</v>
      </c>
      <c r="M25" s="62" t="s">
        <v>583</v>
      </c>
      <c r="N25" s="62" t="s">
        <v>18</v>
      </c>
      <c r="O25" s="92">
        <v>45588</v>
      </c>
      <c r="P25" s="62" t="s">
        <v>17</v>
      </c>
      <c r="Q25" s="62" t="s">
        <v>2232</v>
      </c>
      <c r="R25" s="113" t="s">
        <v>67</v>
      </c>
      <c r="S25" s="113"/>
      <c r="T25" s="62" t="s">
        <v>8</v>
      </c>
      <c r="U25" s="62" t="s">
        <v>8</v>
      </c>
      <c r="V25" s="114">
        <f>сент2445[[#This Row],[сумма]]-сент2445[[#This Row],[Цена м2 отделки]]*сент2445[[#This Row],[м2]]</f>
        <v>4628344</v>
      </c>
    </row>
    <row r="26" spans="1:22" s="61" customFormat="1" hidden="1">
      <c r="A26" s="62">
        <v>24</v>
      </c>
      <c r="B26" s="62" t="s">
        <v>6</v>
      </c>
      <c r="C26" s="75">
        <v>36472</v>
      </c>
      <c r="D26" s="62" t="s">
        <v>13</v>
      </c>
      <c r="E26" s="75">
        <v>550</v>
      </c>
      <c r="F26" s="349">
        <v>1</v>
      </c>
      <c r="G26" s="62">
        <v>43.21</v>
      </c>
      <c r="H26" s="62" t="s">
        <v>9</v>
      </c>
      <c r="I26" s="348"/>
      <c r="J26" s="95">
        <v>5055918</v>
      </c>
      <c r="K26" s="348" t="s">
        <v>8</v>
      </c>
      <c r="L26" s="62" t="s">
        <v>22</v>
      </c>
      <c r="M26" s="117" t="s">
        <v>583</v>
      </c>
      <c r="N26" s="62" t="s">
        <v>18</v>
      </c>
      <c r="O26" s="92">
        <v>45588</v>
      </c>
      <c r="P26" s="62" t="s">
        <v>17</v>
      </c>
      <c r="Q26" s="117" t="s">
        <v>2233</v>
      </c>
      <c r="R26" s="377" t="s">
        <v>67</v>
      </c>
      <c r="S26" s="377"/>
      <c r="T26" s="62" t="s">
        <v>8</v>
      </c>
      <c r="U26" s="62" t="s">
        <v>8</v>
      </c>
      <c r="V26" s="114">
        <f>сент2445[[#This Row],[сумма]]-сент2445[[#This Row],[Цена м2 отделки]]*сент2445[[#This Row],[м2]]</f>
        <v>5055918</v>
      </c>
    </row>
    <row r="27" spans="1:22" s="61" customFormat="1" hidden="1">
      <c r="A27" s="62">
        <v>25</v>
      </c>
      <c r="B27" s="62" t="s">
        <v>6</v>
      </c>
      <c r="C27" s="62">
        <v>36230</v>
      </c>
      <c r="D27" s="62" t="s">
        <v>13</v>
      </c>
      <c r="E27" s="62">
        <v>276</v>
      </c>
      <c r="F27" s="62">
        <v>3</v>
      </c>
      <c r="G27" s="62">
        <v>80.97</v>
      </c>
      <c r="H27" s="62" t="s">
        <v>9</v>
      </c>
      <c r="I27" s="62"/>
      <c r="J27" s="95">
        <v>7603733</v>
      </c>
      <c r="K27" s="348" t="s">
        <v>8</v>
      </c>
      <c r="L27" s="62" t="s">
        <v>22</v>
      </c>
      <c r="M27" s="62" t="s">
        <v>583</v>
      </c>
      <c r="N27" s="62" t="s">
        <v>18</v>
      </c>
      <c r="O27" s="96">
        <v>45589</v>
      </c>
      <c r="P27" s="62" t="s">
        <v>17</v>
      </c>
      <c r="Q27" s="62" t="s">
        <v>2234</v>
      </c>
      <c r="T27" s="62" t="s">
        <v>8</v>
      </c>
      <c r="U27" s="62" t="s">
        <v>8</v>
      </c>
      <c r="V27" s="114">
        <f>сент2445[[#This Row],[сумма]]-сент2445[[#This Row],[Цена м2 отделки]]*сент2445[[#This Row],[м2]]</f>
        <v>7603733</v>
      </c>
    </row>
    <row r="28" spans="1:22" s="61" customFormat="1" hidden="1">
      <c r="A28" s="62">
        <v>26</v>
      </c>
      <c r="B28" s="62" t="s">
        <v>6</v>
      </c>
      <c r="C28" s="74">
        <v>36747</v>
      </c>
      <c r="D28" s="62" t="s">
        <v>13</v>
      </c>
      <c r="E28" s="75">
        <v>126</v>
      </c>
      <c r="F28" s="62">
        <v>0</v>
      </c>
      <c r="G28" s="62">
        <v>24.28</v>
      </c>
      <c r="H28" s="62" t="s">
        <v>25</v>
      </c>
      <c r="I28" s="62">
        <v>24000</v>
      </c>
      <c r="J28" s="95">
        <v>3643652</v>
      </c>
      <c r="K28" s="62" t="s">
        <v>14</v>
      </c>
      <c r="L28" s="62" t="s">
        <v>22</v>
      </c>
      <c r="M28" s="62" t="s">
        <v>583</v>
      </c>
      <c r="N28" s="62" t="s">
        <v>18</v>
      </c>
      <c r="O28" s="92">
        <v>45588</v>
      </c>
      <c r="P28" s="117" t="s">
        <v>17</v>
      </c>
      <c r="Q28" s="62" t="s">
        <v>2235</v>
      </c>
      <c r="R28" s="113" t="s">
        <v>67</v>
      </c>
      <c r="S28" s="113"/>
      <c r="T28" s="117" t="s">
        <v>14</v>
      </c>
      <c r="U28" s="117" t="s">
        <v>14</v>
      </c>
      <c r="V28" s="114">
        <f>сент2445[[#This Row],[сумма]]-сент2445[[#This Row],[Цена м2 отделки]]*сент2445[[#This Row],[м2]]</f>
        <v>3060932</v>
      </c>
    </row>
    <row r="29" spans="1:22" s="61" customFormat="1">
      <c r="A29" s="62">
        <v>27</v>
      </c>
      <c r="B29" s="62" t="s">
        <v>6</v>
      </c>
      <c r="C29" s="75">
        <v>36308</v>
      </c>
      <c r="D29" s="62" t="s">
        <v>13</v>
      </c>
      <c r="E29" s="75">
        <v>77</v>
      </c>
      <c r="F29" s="62">
        <v>1</v>
      </c>
      <c r="G29" s="62">
        <v>34.39</v>
      </c>
      <c r="H29" s="62" t="s">
        <v>21</v>
      </c>
      <c r="I29" s="62">
        <v>8000</v>
      </c>
      <c r="J29" s="95">
        <v>4479908</v>
      </c>
      <c r="K29" s="117" t="s">
        <v>31</v>
      </c>
      <c r="L29" s="62" t="s">
        <v>22</v>
      </c>
      <c r="M29" s="62" t="s">
        <v>583</v>
      </c>
      <c r="N29" s="62" t="s">
        <v>18</v>
      </c>
      <c r="O29" s="92">
        <v>45589</v>
      </c>
      <c r="P29" s="117" t="s">
        <v>17</v>
      </c>
      <c r="Q29" s="62" t="s">
        <v>2236</v>
      </c>
      <c r="R29" s="76" t="s">
        <v>67</v>
      </c>
      <c r="S29" s="76"/>
      <c r="T29" s="117" t="s">
        <v>31</v>
      </c>
      <c r="U29" s="117" t="s">
        <v>8</v>
      </c>
      <c r="V29" s="114">
        <f>сент2445[[#This Row],[сумма]]-сент2445[[#This Row],[Цена м2 отделки]]*сент2445[[#This Row],[м2]]</f>
        <v>4204788</v>
      </c>
    </row>
    <row r="30" spans="1:22" s="61" customFormat="1">
      <c r="A30" s="62">
        <v>28</v>
      </c>
      <c r="B30" s="62" t="s">
        <v>6</v>
      </c>
      <c r="C30" s="75">
        <v>36835</v>
      </c>
      <c r="D30" s="62" t="s">
        <v>13</v>
      </c>
      <c r="E30" s="75">
        <v>330</v>
      </c>
      <c r="F30" s="349">
        <v>2</v>
      </c>
      <c r="G30" s="75">
        <v>60.24</v>
      </c>
      <c r="H30" s="62" t="s">
        <v>25</v>
      </c>
      <c r="I30" s="348">
        <v>24000</v>
      </c>
      <c r="J30" s="95">
        <v>7557824</v>
      </c>
      <c r="K30" s="117" t="s">
        <v>45</v>
      </c>
      <c r="L30" s="62" t="s">
        <v>22</v>
      </c>
      <c r="M30" s="62" t="s">
        <v>583</v>
      </c>
      <c r="N30" s="62" t="s">
        <v>18</v>
      </c>
      <c r="O30" s="92">
        <v>45594</v>
      </c>
      <c r="P30" s="117" t="s">
        <v>17</v>
      </c>
      <c r="Q30" s="62" t="s">
        <v>2237</v>
      </c>
      <c r="R30" s="113"/>
      <c r="S30" s="113"/>
      <c r="T30" s="117" t="s">
        <v>45</v>
      </c>
      <c r="U30" s="117" t="s">
        <v>8</v>
      </c>
      <c r="V30" s="114">
        <f>сент2445[[#This Row],[сумма]]-сент2445[[#This Row],[Цена м2 отделки]]*сент2445[[#This Row],[м2]]</f>
        <v>6112064</v>
      </c>
    </row>
    <row r="31" spans="1:22" s="61" customFormat="1" hidden="1">
      <c r="A31" s="62">
        <v>29</v>
      </c>
      <c r="B31" s="62" t="s">
        <v>6</v>
      </c>
      <c r="C31" s="75">
        <v>28483</v>
      </c>
      <c r="D31" s="62" t="s">
        <v>13</v>
      </c>
      <c r="E31" s="75">
        <v>302</v>
      </c>
      <c r="F31" s="349">
        <v>2</v>
      </c>
      <c r="G31" s="75">
        <v>60.24</v>
      </c>
      <c r="H31" s="62" t="s">
        <v>25</v>
      </c>
      <c r="I31" s="348">
        <v>20000</v>
      </c>
      <c r="J31" s="95">
        <v>7201700</v>
      </c>
      <c r="K31" s="62" t="s">
        <v>8</v>
      </c>
      <c r="L31" s="62" t="s">
        <v>22</v>
      </c>
      <c r="M31" s="62" t="s">
        <v>583</v>
      </c>
      <c r="N31" s="62" t="s">
        <v>12</v>
      </c>
      <c r="O31" s="92">
        <v>45593</v>
      </c>
      <c r="P31" s="62" t="s">
        <v>17</v>
      </c>
      <c r="Q31" s="62" t="s">
        <v>2238</v>
      </c>
      <c r="R31" s="113"/>
      <c r="S31" s="113"/>
      <c r="T31" s="62" t="s">
        <v>8</v>
      </c>
      <c r="U31" s="62" t="s">
        <v>8</v>
      </c>
      <c r="V31" s="114">
        <f>сент2445[[#This Row],[сумма]]-сент2445[[#This Row],[Цена м2 отделки]]*сент2445[[#This Row],[м2]]</f>
        <v>5996900</v>
      </c>
    </row>
    <row r="32" spans="1:22" s="61" customFormat="1" hidden="1">
      <c r="A32" s="62">
        <v>30</v>
      </c>
      <c r="B32" s="62" t="s">
        <v>6</v>
      </c>
      <c r="C32" s="75">
        <v>35887</v>
      </c>
      <c r="D32" s="62" t="s">
        <v>13</v>
      </c>
      <c r="E32" s="75">
        <v>269</v>
      </c>
      <c r="F32" s="62">
        <v>3</v>
      </c>
      <c r="G32" s="62">
        <v>80.97</v>
      </c>
      <c r="H32" s="62" t="s">
        <v>9</v>
      </c>
      <c r="I32" s="62"/>
      <c r="J32" s="351">
        <v>7464900</v>
      </c>
      <c r="K32" s="117" t="s">
        <v>8</v>
      </c>
      <c r="L32" s="62"/>
      <c r="M32" s="62" t="s">
        <v>286</v>
      </c>
      <c r="N32" s="62" t="s">
        <v>12</v>
      </c>
      <c r="O32" s="92">
        <v>45593</v>
      </c>
      <c r="P32" s="117" t="s">
        <v>17</v>
      </c>
      <c r="Q32" s="62" t="s">
        <v>2239</v>
      </c>
      <c r="R32" s="113" t="s">
        <v>67</v>
      </c>
      <c r="S32" s="113"/>
      <c r="T32" s="117" t="s">
        <v>8</v>
      </c>
      <c r="U32" s="117" t="s">
        <v>8</v>
      </c>
      <c r="V32" s="114">
        <f>сент2445[[#This Row],[сумма]]-сент2445[[#This Row],[Цена м2 отделки]]*сент2445[[#This Row],[м2]]</f>
        <v>7464900</v>
      </c>
    </row>
    <row r="33" spans="1:22" hidden="1">
      <c r="A33" s="65">
        <v>31</v>
      </c>
      <c r="B33" s="65"/>
      <c r="C33" s="79">
        <v>36985</v>
      </c>
      <c r="D33" s="65" t="s">
        <v>13</v>
      </c>
      <c r="E33" s="79">
        <v>283</v>
      </c>
      <c r="F33" s="65">
        <v>3</v>
      </c>
      <c r="G33" s="65">
        <v>80.97</v>
      </c>
      <c r="H33" s="65" t="s">
        <v>9</v>
      </c>
      <c r="I33" s="65"/>
      <c r="J33" s="93">
        <v>7608230</v>
      </c>
      <c r="K33" s="80" t="s">
        <v>14</v>
      </c>
      <c r="L33" s="65" t="s">
        <v>22</v>
      </c>
      <c r="M33" s="107" t="s">
        <v>583</v>
      </c>
      <c r="N33" s="65" t="s">
        <v>18</v>
      </c>
      <c r="O33" s="98">
        <v>45595</v>
      </c>
      <c r="P33" s="80" t="s">
        <v>17</v>
      </c>
      <c r="Q33" s="65" t="s">
        <v>2240</v>
      </c>
      <c r="R33" s="118" t="s">
        <v>1912</v>
      </c>
      <c r="S33" s="131"/>
      <c r="T33" s="80" t="s">
        <v>14</v>
      </c>
      <c r="U33" s="80" t="s">
        <v>14</v>
      </c>
      <c r="V33" s="115">
        <f>сент2445[[#This Row],[сумма]]-сент2445[[#This Row],[Цена м2 отделки]]*сент2445[[#This Row],[м2]]</f>
        <v>7608230</v>
      </c>
    </row>
    <row r="34" spans="1:22" s="61" customFormat="1" hidden="1">
      <c r="A34" s="62">
        <v>32</v>
      </c>
      <c r="B34" s="62"/>
      <c r="C34" s="81">
        <v>36967</v>
      </c>
      <c r="D34" s="62" t="s">
        <v>13</v>
      </c>
      <c r="E34" s="62">
        <v>500</v>
      </c>
      <c r="F34" s="62">
        <v>1</v>
      </c>
      <c r="G34" s="75">
        <v>39.69</v>
      </c>
      <c r="H34" s="62" t="s">
        <v>9</v>
      </c>
      <c r="I34" s="62"/>
      <c r="J34" s="95">
        <v>4555900</v>
      </c>
      <c r="K34" s="62" t="s">
        <v>14</v>
      </c>
      <c r="L34" s="62" t="s">
        <v>22</v>
      </c>
      <c r="M34" s="62" t="s">
        <v>583</v>
      </c>
      <c r="N34" s="62" t="s">
        <v>18</v>
      </c>
      <c r="O34" s="92">
        <v>45595</v>
      </c>
      <c r="P34" s="117" t="s">
        <v>17</v>
      </c>
      <c r="Q34" s="62" t="s">
        <v>2241</v>
      </c>
      <c r="R34" s="76" t="s">
        <v>67</v>
      </c>
      <c r="S34" s="76"/>
      <c r="T34" s="117" t="s">
        <v>14</v>
      </c>
      <c r="U34" s="117" t="s">
        <v>14</v>
      </c>
      <c r="V34" s="114">
        <f>сент2445[[#This Row],[сумма]]-сент2445[[#This Row],[Цена м2 отделки]]*сент2445[[#This Row],[м2]]</f>
        <v>4555900</v>
      </c>
    </row>
    <row r="35" spans="1:22" s="61" customFormat="1" hidden="1">
      <c r="A35" s="62">
        <v>33</v>
      </c>
      <c r="B35" s="62"/>
      <c r="C35" s="75">
        <v>36365</v>
      </c>
      <c r="D35" s="62" t="s">
        <v>13</v>
      </c>
      <c r="E35" s="75">
        <v>402</v>
      </c>
      <c r="F35" s="62">
        <v>1</v>
      </c>
      <c r="G35" s="62">
        <v>38.299999999999997</v>
      </c>
      <c r="H35" s="62" t="s">
        <v>9</v>
      </c>
      <c r="I35" s="62"/>
      <c r="J35" s="95">
        <v>4412058</v>
      </c>
      <c r="K35" s="117" t="s">
        <v>14</v>
      </c>
      <c r="L35" s="62" t="s">
        <v>22</v>
      </c>
      <c r="M35" s="62" t="s">
        <v>583</v>
      </c>
      <c r="N35" s="62" t="s">
        <v>18</v>
      </c>
      <c r="O35" s="92">
        <v>45594</v>
      </c>
      <c r="P35" s="117" t="s">
        <v>17</v>
      </c>
      <c r="Q35" s="62" t="s">
        <v>2242</v>
      </c>
      <c r="R35" s="113" t="s">
        <v>67</v>
      </c>
      <c r="S35" s="113"/>
      <c r="T35" s="117" t="s">
        <v>14</v>
      </c>
      <c r="U35" s="117" t="s">
        <v>14</v>
      </c>
      <c r="V35" s="114">
        <f>сент2445[[#This Row],[сумма]]-сент2445[[#This Row],[Цена м2 отделки]]*сент2445[[#This Row],[м2]]</f>
        <v>4412058</v>
      </c>
    </row>
    <row r="36" spans="1:22" s="61" customFormat="1">
      <c r="A36" s="62">
        <v>34</v>
      </c>
      <c r="B36" s="62" t="s">
        <v>6</v>
      </c>
      <c r="C36" s="75">
        <v>37002</v>
      </c>
      <c r="D36" s="62" t="s">
        <v>13</v>
      </c>
      <c r="E36" s="75">
        <v>265</v>
      </c>
      <c r="F36" s="62">
        <v>0</v>
      </c>
      <c r="G36" s="62">
        <v>24.53</v>
      </c>
      <c r="H36" s="62" t="s">
        <v>21</v>
      </c>
      <c r="I36" s="62">
        <v>8000</v>
      </c>
      <c r="J36" s="95">
        <v>3392540</v>
      </c>
      <c r="K36" s="117" t="s">
        <v>32</v>
      </c>
      <c r="L36" s="62" t="s">
        <v>22</v>
      </c>
      <c r="M36" s="62" t="s">
        <v>583</v>
      </c>
      <c r="N36" s="62" t="s">
        <v>18</v>
      </c>
      <c r="O36" s="92">
        <v>45594</v>
      </c>
      <c r="P36" s="117" t="s">
        <v>17</v>
      </c>
      <c r="Q36" s="62" t="s">
        <v>2243</v>
      </c>
      <c r="R36" s="113" t="s">
        <v>67</v>
      </c>
      <c r="S36" s="113"/>
      <c r="T36" s="117" t="s">
        <v>32</v>
      </c>
      <c r="U36" s="117" t="s">
        <v>8</v>
      </c>
      <c r="V36" s="114">
        <f>сент2445[[#This Row],[сумма]]-сент2445[[#This Row],[Цена м2 отделки]]*сент2445[[#This Row],[м2]]</f>
        <v>3196300</v>
      </c>
    </row>
    <row r="37" spans="1:22" s="61" customFormat="1">
      <c r="A37" s="62">
        <v>35</v>
      </c>
      <c r="B37" s="62" t="s">
        <v>6</v>
      </c>
      <c r="C37" s="75">
        <v>36993</v>
      </c>
      <c r="D37" s="62" t="s">
        <v>13</v>
      </c>
      <c r="E37" s="75">
        <v>142</v>
      </c>
      <c r="F37" s="62">
        <v>2</v>
      </c>
      <c r="G37" s="62">
        <v>58.31</v>
      </c>
      <c r="H37" s="62" t="s">
        <v>9</v>
      </c>
      <c r="I37" s="62"/>
      <c r="J37" s="95">
        <v>6017600</v>
      </c>
      <c r="K37" s="117" t="s">
        <v>34</v>
      </c>
      <c r="L37" s="62" t="s">
        <v>22</v>
      </c>
      <c r="M37" s="62" t="s">
        <v>583</v>
      </c>
      <c r="N37" s="62" t="s">
        <v>18</v>
      </c>
      <c r="O37" s="92">
        <v>45594</v>
      </c>
      <c r="P37" s="117" t="s">
        <v>17</v>
      </c>
      <c r="Q37" s="62" t="s">
        <v>2244</v>
      </c>
      <c r="R37" s="113" t="s">
        <v>67</v>
      </c>
      <c r="S37" s="113"/>
      <c r="T37" s="117" t="s">
        <v>34</v>
      </c>
      <c r="U37" s="117" t="s">
        <v>8</v>
      </c>
      <c r="V37" s="114">
        <f>сент2445[[#This Row],[сумма]]-сент2445[[#This Row],[Цена м2 отделки]]*сент2445[[#This Row],[м2]]</f>
        <v>6017600</v>
      </c>
    </row>
    <row r="38" spans="1:22" s="61" customFormat="1">
      <c r="A38" s="62">
        <v>36</v>
      </c>
      <c r="B38" s="62" t="s">
        <v>6</v>
      </c>
      <c r="C38" s="75">
        <v>36888</v>
      </c>
      <c r="D38" s="62" t="s">
        <v>13</v>
      </c>
      <c r="E38" s="75">
        <v>171</v>
      </c>
      <c r="F38" s="62">
        <v>1</v>
      </c>
      <c r="G38" s="62">
        <v>37.86</v>
      </c>
      <c r="H38" s="62" t="s">
        <v>25</v>
      </c>
      <c r="I38" s="62">
        <v>24000</v>
      </c>
      <c r="J38" s="95">
        <v>5247353</v>
      </c>
      <c r="K38" s="117" t="s">
        <v>45</v>
      </c>
      <c r="L38" s="62" t="s">
        <v>22</v>
      </c>
      <c r="M38" s="62" t="s">
        <v>583</v>
      </c>
      <c r="N38" s="431" t="s">
        <v>18</v>
      </c>
      <c r="O38" s="92">
        <v>45594</v>
      </c>
      <c r="P38" s="117" t="s">
        <v>17</v>
      </c>
      <c r="Q38" s="62" t="s">
        <v>2245</v>
      </c>
      <c r="R38" s="76"/>
      <c r="S38" s="113"/>
      <c r="T38" s="117" t="s">
        <v>45</v>
      </c>
      <c r="U38" s="117" t="s">
        <v>8</v>
      </c>
      <c r="V38" s="114">
        <f>сент2445[[#This Row],[сумма]]-сент2445[[#This Row],[Цена м2 отделки]]*сент2445[[#This Row],[м2]]</f>
        <v>4338713</v>
      </c>
    </row>
    <row r="39" spans="1:22" s="61" customFormat="1" hidden="1">
      <c r="A39" s="62">
        <v>37</v>
      </c>
      <c r="B39" s="62" t="s">
        <v>6</v>
      </c>
      <c r="C39" s="74">
        <v>33165</v>
      </c>
      <c r="D39" s="62" t="s">
        <v>13</v>
      </c>
      <c r="E39" s="75">
        <v>445</v>
      </c>
      <c r="F39" s="62">
        <v>0</v>
      </c>
      <c r="G39" s="62">
        <v>29.4</v>
      </c>
      <c r="H39" s="62" t="s">
        <v>21</v>
      </c>
      <c r="I39" s="62">
        <v>8000</v>
      </c>
      <c r="J39" s="95">
        <v>3703000</v>
      </c>
      <c r="K39" s="117" t="s">
        <v>8</v>
      </c>
      <c r="L39" s="62" t="s">
        <v>22</v>
      </c>
      <c r="M39" s="62" t="s">
        <v>583</v>
      </c>
      <c r="N39" s="62" t="s">
        <v>18</v>
      </c>
      <c r="O39" s="92">
        <v>45595</v>
      </c>
      <c r="P39" s="117" t="s">
        <v>17</v>
      </c>
      <c r="Q39" s="62" t="s">
        <v>1572</v>
      </c>
      <c r="R39" s="113" t="s">
        <v>67</v>
      </c>
      <c r="S39" s="113"/>
      <c r="T39" s="117" t="s">
        <v>8</v>
      </c>
      <c r="U39" s="117" t="s">
        <v>8</v>
      </c>
      <c r="V39" s="114">
        <f>сент2445[[#This Row],[сумма]]-сент2445[[#This Row],[Цена м2 отделки]]*сент2445[[#This Row],[м2]]</f>
        <v>3467800</v>
      </c>
    </row>
    <row r="40" spans="1:22" s="61" customFormat="1">
      <c r="A40" s="62">
        <v>38</v>
      </c>
      <c r="B40" s="62" t="s">
        <v>6</v>
      </c>
      <c r="C40" s="75">
        <v>37117</v>
      </c>
      <c r="D40" s="62" t="s">
        <v>13</v>
      </c>
      <c r="E40" s="75">
        <v>376</v>
      </c>
      <c r="F40" s="62">
        <v>2</v>
      </c>
      <c r="G40" s="62">
        <v>73.7</v>
      </c>
      <c r="H40" s="62" t="s">
        <v>9</v>
      </c>
      <c r="I40" s="62"/>
      <c r="J40" s="95">
        <v>7282178</v>
      </c>
      <c r="K40" s="62" t="s">
        <v>31</v>
      </c>
      <c r="L40" s="62" t="s">
        <v>22</v>
      </c>
      <c r="M40" s="62" t="s">
        <v>583</v>
      </c>
      <c r="N40" s="62" t="s">
        <v>18</v>
      </c>
      <c r="O40" s="92"/>
      <c r="P40" s="117" t="s">
        <v>17</v>
      </c>
      <c r="Q40" s="76" t="s">
        <v>2246</v>
      </c>
      <c r="R40" s="113"/>
      <c r="S40" s="113"/>
      <c r="T40" s="62" t="s">
        <v>31</v>
      </c>
      <c r="U40" s="62" t="s">
        <v>8</v>
      </c>
      <c r="V40" s="114">
        <f>сент2445[[#This Row],[сумма]]-сент2445[[#This Row],[Цена м2 отделки]]*сент2445[[#This Row],[м2]]</f>
        <v>7282178</v>
      </c>
    </row>
    <row r="41" spans="1:22" s="61" customFormat="1">
      <c r="A41" s="62">
        <v>39</v>
      </c>
      <c r="B41" s="62" t="s">
        <v>6</v>
      </c>
      <c r="C41" s="75">
        <v>36815</v>
      </c>
      <c r="D41" s="62" t="s">
        <v>13</v>
      </c>
      <c r="E41" s="75">
        <v>571</v>
      </c>
      <c r="F41" s="62">
        <v>3</v>
      </c>
      <c r="G41" s="62">
        <v>79.44</v>
      </c>
      <c r="H41" s="62" t="s">
        <v>9</v>
      </c>
      <c r="I41" s="62"/>
      <c r="J41" s="95">
        <v>8602057</v>
      </c>
      <c r="K41" s="117" t="s">
        <v>31</v>
      </c>
      <c r="L41" s="62" t="s">
        <v>22</v>
      </c>
      <c r="M41" s="62" t="s">
        <v>583</v>
      </c>
      <c r="N41" s="62" t="s">
        <v>18</v>
      </c>
      <c r="O41" s="92"/>
      <c r="P41" s="117" t="s">
        <v>17</v>
      </c>
      <c r="Q41" s="62" t="s">
        <v>2247</v>
      </c>
      <c r="R41" s="113"/>
      <c r="S41" s="113"/>
      <c r="T41" s="117" t="s">
        <v>31</v>
      </c>
      <c r="U41" s="117" t="s">
        <v>8</v>
      </c>
      <c r="V41" s="114">
        <f>сент2445[[#This Row],[сумма]]-сент2445[[#This Row],[Цена м2 отделки]]*сент2445[[#This Row],[м2]]</f>
        <v>8602057</v>
      </c>
    </row>
    <row r="42" spans="1:22" hidden="1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сент2445[[#This Row],[сумма]]-сент2445[[#This Row],[Цена м2 отделки]]*сент2445[[#This Row],[м2]]</f>
        <v>0</v>
      </c>
    </row>
    <row r="43" spans="1:22" hidden="1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сент2445[[#This Row],[сумма]]-сент2445[[#This Row],[Цена м2 отделки]]*сент2445[[#This Row],[м2]]</f>
        <v>0</v>
      </c>
    </row>
    <row r="44" spans="1:22" hidden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сент2445[[#This Row],[сумма]]-сент2445[[#This Row],[Цена м2 отделки]]*сент2445[[#This Row],[м2]]</f>
        <v>0</v>
      </c>
    </row>
    <row r="45" spans="1:22" hidden="1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сент2445[[#This Row],[сумма]]-сент2445[[#This Row],[Цена м2 отделки]]*сент2445[[#This Row],[м2]]</f>
        <v>0</v>
      </c>
    </row>
    <row r="46" spans="1:22" hidden="1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сент2445[[#This Row],[сумма]]-сент2445[[#This Row],[Цена м2 отделки]]*сент2445[[#This Row],[м2]]</f>
        <v>0</v>
      </c>
    </row>
    <row r="47" spans="1:22" hidden="1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сент2445[[#This Row],[сумма]]-сент2445[[#This Row],[Цена м2 отделки]]*сент2445[[#This Row],[м2]]</f>
        <v>0</v>
      </c>
    </row>
    <row r="48" spans="1:22" hidden="1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сент2445[[#This Row],[сумма]]-сент2445[[#This Row],[Цена м2 отделки]]*сент2445[[#This Row],[м2]]</f>
        <v>0</v>
      </c>
    </row>
    <row r="49" spans="1:22" hidden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сент2445[[#This Row],[сумма]]-сент2445[[#This Row],[Цена м2 отделки]]*сент2445[[#This Row],[м2]]</f>
        <v>0</v>
      </c>
    </row>
    <row r="50" spans="1:22" hidden="1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сент2445[[#This Row],[сумма]]-сент2445[[#This Row],[Цена м2 отделки]]*сент2445[[#This Row],[м2]]</f>
        <v>0</v>
      </c>
    </row>
    <row r="51" spans="1:22" hidden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сент2445[[#This Row],[сумма]]-сент2445[[#This Row],[Цена м2 отделки]]*сент2445[[#This Row],[м2]]</f>
        <v>0</v>
      </c>
    </row>
    <row r="52" spans="1:22" hidden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сент2445[[#This Row],[сумма]]-сент2445[[#This Row],[Цена м2 отделки]]*сент2445[[#This Row],[м2]]</f>
        <v>0</v>
      </c>
    </row>
    <row r="53" spans="1:22" hidden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сент2445[[#This Row],[сумма]]-сент2445[[#This Row],[Цена м2 отделки]]*сент2445[[#This Row],[м2]]</f>
        <v>0</v>
      </c>
    </row>
    <row r="54" spans="1:22" hidden="1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сент2445[[#This Row],[сумма]]-сент2445[[#This Row],[Цена м2 отделки]]*сент2445[[#This Row],[м2]]</f>
        <v>0</v>
      </c>
    </row>
    <row r="55" spans="1:22" hidden="1">
      <c r="A55" s="65"/>
      <c r="B55" s="65"/>
      <c r="C55" s="79"/>
      <c r="D55" s="80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сент2445[[#This Row],[сумма]]-сент2445[[#This Row],[Цена м2 отделки]]*сент2445[[#This Row],[м2]]</f>
        <v>0</v>
      </c>
    </row>
    <row r="56" spans="1:22" hidden="1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сент2445[[#This Row],[сумма]]-сент2445[[#This Row],[Цена м2 отделки]]*сент2445[[#This Row],[м2]]</f>
        <v>0</v>
      </c>
    </row>
    <row r="57" spans="1:22" hidden="1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сент2445[[#This Row],[сумма]]-сент2445[[#This Row],[Цена м2 отделки]]*сент2445[[#This Row],[м2]]</f>
        <v>0</v>
      </c>
    </row>
    <row r="58" spans="1:22" hidden="1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сент2445[[#This Row],[сумма]]-сент2445[[#This Row],[Цена м2 отделки]]*сент2445[[#This Row],[м2]]</f>
        <v>0</v>
      </c>
    </row>
    <row r="59" spans="1:22" hidden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сент2445[[#This Row],[сумма]]-сент2445[[#This Row],[Цена м2 отделки]]*сент2445[[#This Row],[м2]]</f>
        <v>0</v>
      </c>
    </row>
    <row r="60" spans="1:22" hidden="1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сент2445[[#This Row],[сумма]]-сент2445[[#This Row],[Цена м2 отделки]]*сент2445[[#This Row],[м2]]</f>
        <v>0</v>
      </c>
    </row>
    <row r="61" spans="1:22" hidden="1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сент2445[[#This Row],[сумма]]-сент2445[[#This Row],[Цена м2 отделки]]*сент2445[[#This Row],[м2]]</f>
        <v>0</v>
      </c>
    </row>
    <row r="62" spans="1:22" hidden="1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сент2445[[#This Row],[сумма]]-сент2445[[#This Row],[Цена м2 отделки]]*сент2445[[#This Row],[м2]]</f>
        <v>0</v>
      </c>
    </row>
    <row r="63" spans="1:22" hidden="1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сент2445[[#This Row],[сумма]]-сент2445[[#This Row],[Цена м2 отделки]]*сент2445[[#This Row],[м2]]</f>
        <v>0</v>
      </c>
    </row>
    <row r="64" spans="1:22" hidden="1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сент2445[[#This Row],[сумма]]-сент2445[[#This Row],[Цена м2 отделки]]*сент2445[[#This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</row>
    <row r="67" spans="1:27" s="65" customFormat="1">
      <c r="B67" s="79"/>
      <c r="D67" s="79"/>
      <c r="I67" s="93"/>
      <c r="J67" s="80"/>
      <c r="U67" s="66"/>
      <c r="X67" s="98"/>
      <c r="Y67" s="80"/>
      <c r="AA67" s="86"/>
    </row>
    <row r="68" spans="1:27" s="65" customFormat="1">
      <c r="B68" s="79"/>
      <c r="C68" s="79"/>
      <c r="D68" s="80"/>
      <c r="F68" s="72"/>
      <c r="I68" s="105"/>
      <c r="U68" s="66"/>
      <c r="W68" s="110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8</v>
      </c>
      <c r="B72" s="267">
        <f>IFERROR(VLOOKUP(A72,'ИПП 4кв24'!$B$3:$N$16,4,0),"")</f>
        <v>0</v>
      </c>
      <c r="C72" s="146">
        <f>IFERROR(VLOOKUP(A72,'ИПП 4кв24'!$B$3:$N$16,5,0),"")</f>
        <v>0</v>
      </c>
      <c r="D72" s="145">
        <f>SUMIFS(сент2445[м2],сент2445[МОП],$A72,сент2445[№ дома],$C$70,сент2445[Комнатность],"&lt;&gt;Офис")</f>
        <v>0</v>
      </c>
      <c r="E72" s="146">
        <f>SUMIFS(сент2445[Сумма без отделки],сент2445[МОП],$A72,сент2445[№ дома],$C$70,сент2445[Комнатность],"&lt;&gt;Офис")</f>
        <v>0</v>
      </c>
      <c r="F72" s="147">
        <f>COUNTIFS(сент2445[МОП],$A72,сент2445[№ дома],$C$70,сент2445[Комнатность],"&lt;&gt;Офис")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 t="str">
        <f t="shared" ref="J72:K78" si="0">IFERROR(G72/B72,"")</f>
        <v/>
      </c>
      <c r="K72" s="222" t="str">
        <f t="shared" si="0"/>
        <v/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50" t="s">
        <v>46</v>
      </c>
      <c r="B73" s="267">
        <f>IFERROR(VLOOKUP(A73,'ИПП 4кв24'!$B$3:$N$16,4,0),"")</f>
        <v>0</v>
      </c>
      <c r="C73" s="146">
        <f>IFERROR(VLOOKUP(A73,'ИПП 4кв24'!$B$3:$N$16,5,0),"")</f>
        <v>0</v>
      </c>
      <c r="D73" s="145">
        <f>SUMIFS(сент2445[м2],сент2445[МОП],$A73,сент2445[№ дома],$C$70,сент2445[Комнатность],"&lt;&gt;Офис")</f>
        <v>0</v>
      </c>
      <c r="E73" s="146">
        <f>SUMIFS(сент2445[Сумма без отделки],сент2445[МОП],$A73,сент2445[№ дома],$C$70,сент2445[Комнатность],"&lt;&gt;Офис")</f>
        <v>0</v>
      </c>
      <c r="F73" s="147">
        <f>COUNTIFS(сент2445[МОП],$A73,сент2445[№ дома],$C$70,сент2445[Комнатность],"&lt;&gt;Офис")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 t="str">
        <f t="shared" si="0"/>
        <v/>
      </c>
      <c r="K73" s="222" t="str">
        <f t="shared" si="0"/>
        <v/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3" t="s">
        <v>20</v>
      </c>
      <c r="B74" s="267">
        <f>IFERROR(VLOOKUP(A74,'ИПП 4кв24'!$B$3:$N$16,4,0),"")</f>
        <v>0</v>
      </c>
      <c r="C74" s="146">
        <f>IFERROR(VLOOKUP(A74,'ИПП 4кв24'!$B$3:$N$16,5,0),"")</f>
        <v>0</v>
      </c>
      <c r="D74" s="145">
        <f>SUMIFS(сент2445[м2],сент2445[МОП],$A74,сент2445[№ дома],$C$70,сент2445[Комнатность],"&lt;&gt;Офис")</f>
        <v>0</v>
      </c>
      <c r="E74" s="146">
        <f>SUMIFS(сент2445[Сумма без отделки],сент2445[МОП],$A74,сент2445[№ дома],$C$70,сент2445[Комнатность],"&lt;&gt;Офис")</f>
        <v>0</v>
      </c>
      <c r="F74" s="147">
        <f>COUNTIFS(сент2445[МОП],$A74,сент2445[№ дома],$C$70,сент2445[Комнатность],"&lt;&gt;Офис")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4" t="str">
        <f t="shared" si="0"/>
        <v/>
      </c>
      <c r="K74" s="225" t="str">
        <f t="shared" si="0"/>
        <v/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14</v>
      </c>
      <c r="B75" s="267">
        <f>IFERROR(VLOOKUP(A75,'ИПП 4кв24'!$B$3:$N$16,4,0),"")</f>
        <v>0</v>
      </c>
      <c r="C75" s="146">
        <f>IFERROR(VLOOKUP(A75,'ИПП 4кв24'!$B$3:$N$16,5,0),"")</f>
        <v>0</v>
      </c>
      <c r="D75" s="328">
        <f>SUMIFS(сент2445[м2],сент2445[МОП],$A75,сент2445[№ дома],$C$70,сент2445[Комнатность],"&lt;&gt;Офис")</f>
        <v>0</v>
      </c>
      <c r="E75" s="403">
        <f>SUMIFS(сент2445[Сумма без отделки],сент2445[МОП],$A75,сент2445[№ дома],$C$70,сент2445[Комнатность],"&lt;&gt;Офис")</f>
        <v>0</v>
      </c>
      <c r="F75" s="404">
        <f>COUNTIFS(сент2445[МОП],$A75,сент2445[№ дома],$C$70,сент2445[Комнатность],"&lt;&gt;Офис")</f>
        <v>0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360" t="str">
        <f t="shared" si="0"/>
        <v/>
      </c>
      <c r="K75" s="361" t="str">
        <f t="shared" si="0"/>
        <v/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4" t="s">
        <v>29</v>
      </c>
      <c r="B76" s="274"/>
      <c r="C76" s="277"/>
      <c r="D76" s="341">
        <f>SUMIFS(сент2445[м2],сент2445[МОП],$A76,сент2445[№ дома],$C$70,сент2445[Комнатность],"&lt;&gt;Офис")</f>
        <v>0</v>
      </c>
      <c r="E76" s="277">
        <f>SUMIFS(сент2445[Сумма без отделки],сент2445[МОП],$A76,сент2445[№ дома],$C$70,сент2445[Комнатность],"&lt;&gt;Офис")</f>
        <v>0</v>
      </c>
      <c r="F76" s="405">
        <f>COUNTIFS(сент2445[МОП],$A76,сент2445[№ дома],$C$70,сент2445[Комнатность],"&lt;&gt;Офис")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61" t="s">
        <v>1919</v>
      </c>
      <c r="B77" s="278"/>
      <c r="C77" s="281"/>
      <c r="D77" s="406">
        <f>SUMIFS(сент2445[м2],сент2445[МОП],$A77,сент2445[№ дома],$C$70,сент2445[Комнатность],"&lt;&gt;Офис")</f>
        <v>0</v>
      </c>
      <c r="E77" s="281">
        <f>SUMIFS(сент2445[Сумма без отделки],сент2445[МОП],$A77,сент2445[№ дома],$C$70,сент2445[Комнатность],"&lt;&gt;Офис")</f>
        <v>0</v>
      </c>
      <c r="F77" s="407">
        <f>COUNTIFS(сент2445[МОП],$A77,сент2445[№ дома],$C$70,сент2445[Комнатность],"&lt;&gt;Офис")</f>
        <v>0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8" t="s">
        <v>114</v>
      </c>
      <c r="B78" s="172">
        <f t="shared" ref="B78:I78" si="1">SUM(B72:B77)</f>
        <v>0</v>
      </c>
      <c r="C78" s="173">
        <f t="shared" si="1"/>
        <v>0</v>
      </c>
      <c r="D78" s="173">
        <f t="shared" si="1"/>
        <v>0</v>
      </c>
      <c r="E78" s="173">
        <f t="shared" si="1"/>
        <v>0</v>
      </c>
      <c r="F78" s="171">
        <f t="shared" si="1"/>
        <v>0</v>
      </c>
      <c r="G78" s="172">
        <f t="shared" si="1"/>
        <v>0</v>
      </c>
      <c r="H78" s="173">
        <f t="shared" si="1"/>
        <v>0</v>
      </c>
      <c r="I78" s="170">
        <f t="shared" si="1"/>
        <v>0</v>
      </c>
      <c r="J78" s="238" t="str">
        <f t="shared" si="0"/>
        <v/>
      </c>
      <c r="K78" s="239" t="str">
        <f t="shared" si="0"/>
        <v/>
      </c>
      <c r="L78" s="240">
        <f>SUM(L72:L77)</f>
        <v>0</v>
      </c>
      <c r="M78" s="241">
        <f>SUM(M72:M77)</f>
        <v>0</v>
      </c>
      <c r="N78" s="241">
        <f>SUM(N72:N77)</f>
        <v>0</v>
      </c>
      <c r="O78" s="241">
        <f>SUM(O72:O77)</f>
        <v>0</v>
      </c>
      <c r="P78" s="242">
        <f>SUM(P72:P77)</f>
        <v>0</v>
      </c>
      <c r="T78" s="66"/>
    </row>
    <row r="79" spans="1:27" s="65" customFormat="1">
      <c r="A79" s="135" t="s">
        <v>115</v>
      </c>
      <c r="B79" s="135" t="s">
        <v>100</v>
      </c>
      <c r="C79" s="136" t="s">
        <v>97</v>
      </c>
      <c r="D79" s="137" t="s">
        <v>494</v>
      </c>
      <c r="E79" s="138" t="s">
        <v>495</v>
      </c>
      <c r="F79" s="139" t="s">
        <v>496</v>
      </c>
      <c r="G79" s="140" t="s">
        <v>101</v>
      </c>
      <c r="H79" s="141" t="s">
        <v>98</v>
      </c>
      <c r="I79" s="141" t="s">
        <v>96</v>
      </c>
      <c r="J79" s="141" t="s">
        <v>715</v>
      </c>
      <c r="K79" s="21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7" s="65" customFormat="1">
      <c r="A80" s="177" t="s">
        <v>1892</v>
      </c>
      <c r="B80" s="291">
        <f>IFERROR(VLOOKUP(A80,'ИПП 4кв24'!$B$3:$N$16,4,0),"")</f>
        <v>0</v>
      </c>
      <c r="C80" s="292">
        <f>IFERROR(VLOOKUP(A80,'ИПП 4кв24'!$B$3:$N$16,5,0),"")</f>
        <v>0</v>
      </c>
      <c r="D80" s="346">
        <f>SUMIFS(сент2445[м2],сент2445[ИМ],A80,сент2445[№ дома],$C$70,сент2445[Комнатность],"&lt;&gt;Офис")</f>
        <v>0</v>
      </c>
      <c r="E80" s="184">
        <f>SUMIFS(сент2445[Сумма без отделки],сент2445[ИМ],$A80,сент2445[№ дома],$C$70,сент2445[Комнатность],"&lt;&gt;Офис")</f>
        <v>0</v>
      </c>
      <c r="F80" s="246">
        <f>COUNTIFS(сент2445[ИМ],$A80,сент2445[№ дома],$C$70,сент2445[Комнатность],"&lt;&gt;Офис")</f>
        <v>0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J80" s="244" t="str">
        <f t="shared" ref="J80:K83" si="2">IFERROR(G80/B80,"")</f>
        <v/>
      </c>
      <c r="K80" s="245" t="str">
        <f t="shared" si="2"/>
        <v/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0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 t="s">
        <v>22</v>
      </c>
      <c r="B81" s="267">
        <f>IFERROR(VLOOKUP(A81,'ИПП 4кв24'!$B$3:$N$16,4,0),"")</f>
        <v>0</v>
      </c>
      <c r="C81" s="146">
        <f>IFERROR(VLOOKUP(A81,'ИПП 4кв24'!$B$3:$N$16,5,0),"")</f>
        <v>0</v>
      </c>
      <c r="D81" s="145">
        <f>SUMIFS(сент2445[м2],сент2445[ИМ],A81,сент2445[№ дома],$C$70,сент2445[Комнатность],"&lt;&gt;Офис")</f>
        <v>0</v>
      </c>
      <c r="E81" s="149">
        <f>SUMIFS(сент2445[Сумма без отделки],сент2445[ИМ],$A81,сент2445[№ дома],$C$70,сент2445[Комнатность],"&lt;&gt;Офис")</f>
        <v>0</v>
      </c>
      <c r="F81" s="223">
        <f>COUNTIFS(сент2445[ИМ],$A81,сент2445[№ дома],$C$70,сент2445[Комнатность],"&lt;&gt;Офис")</f>
        <v>0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8" t="str">
        <f t="shared" si="2"/>
        <v/>
      </c>
      <c r="K81" s="249" t="str">
        <f t="shared" si="2"/>
        <v/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89" t="s">
        <v>16</v>
      </c>
      <c r="B82" s="293" t="str">
        <f>IFERROR(VLOOKUP(A82,'ИПП 4кв24'!$B$3:$N$16,4,0),"")</f>
        <v/>
      </c>
      <c r="C82" s="294" t="str">
        <f>IFERROR(VLOOKUP(A82,'ИПП 4кв24'!$B$3:$N$16,5,0),"")</f>
        <v/>
      </c>
      <c r="D82" s="432">
        <f>SUMIFS(сент2445[м2],сент2445[ИМ],A82,сент2445[№ дома],$C$70,сент2445[Комнатность],"&lt;&gt;Офис")</f>
        <v>0</v>
      </c>
      <c r="E82" s="433">
        <f>SUMIFS(сент2445[Сумма без отделки],сент2445[ИМ],$A82,сент2445[№ дома],$C$70,сент2445[Комнатность],"&lt;&gt;Офис")</f>
        <v>0</v>
      </c>
      <c r="F82" s="434">
        <f>COUNTIFS(сент2445[ИМ],$A82,сент2445[№ дома],$C$70,сент2445[Комнатность],"&lt;&gt;Офис")</f>
        <v>0</v>
      </c>
      <c r="G82" s="195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96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51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52" t="str">
        <f t="shared" si="2"/>
        <v/>
      </c>
      <c r="K82" s="253" t="str">
        <f t="shared" si="2"/>
        <v/>
      </c>
      <c r="L82" s="195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51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51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51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54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68" t="s">
        <v>114</v>
      </c>
      <c r="B83" s="172">
        <f t="shared" ref="B83:P83" si="3">SUM(B80:B82)</f>
        <v>0</v>
      </c>
      <c r="C83" s="173">
        <f t="shared" si="3"/>
        <v>0</v>
      </c>
      <c r="D83" s="173">
        <f t="shared" si="3"/>
        <v>0</v>
      </c>
      <c r="E83" s="173">
        <f t="shared" si="3"/>
        <v>0</v>
      </c>
      <c r="F83" s="171">
        <f t="shared" si="3"/>
        <v>0</v>
      </c>
      <c r="G83" s="172">
        <f t="shared" si="3"/>
        <v>0</v>
      </c>
      <c r="H83" s="173">
        <f t="shared" si="3"/>
        <v>0</v>
      </c>
      <c r="I83" s="170">
        <f t="shared" si="3"/>
        <v>0</v>
      </c>
      <c r="J83" s="238" t="str">
        <f t="shared" si="2"/>
        <v/>
      </c>
      <c r="K83" s="239" t="str">
        <f t="shared" si="2"/>
        <v/>
      </c>
      <c r="L83" s="240">
        <f t="shared" si="3"/>
        <v>0</v>
      </c>
      <c r="M83" s="241">
        <f t="shared" si="3"/>
        <v>0</v>
      </c>
      <c r="N83" s="241">
        <f t="shared" si="3"/>
        <v>0</v>
      </c>
      <c r="O83" s="241">
        <f t="shared" si="3"/>
        <v>0</v>
      </c>
      <c r="P83" s="242">
        <f t="shared" si="3"/>
        <v>0</v>
      </c>
      <c r="T83" s="66"/>
    </row>
    <row r="84" spans="1:21" s="65" customFormat="1">
      <c r="A84" s="134"/>
      <c r="B84" s="197"/>
      <c r="C84" s="197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U84" s="66"/>
    </row>
    <row r="85" spans="1:21" s="65" customFormat="1">
      <c r="A85" s="2325" t="s">
        <v>713</v>
      </c>
      <c r="B85" s="2326"/>
      <c r="C85" s="133" t="s">
        <v>13</v>
      </c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T85" s="66"/>
    </row>
    <row r="86" spans="1:21" s="65" customFormat="1">
      <c r="A86" s="135" t="s">
        <v>1</v>
      </c>
      <c r="B86" s="135" t="s">
        <v>100</v>
      </c>
      <c r="C86" s="136" t="s">
        <v>97</v>
      </c>
      <c r="D86" s="137" t="s">
        <v>494</v>
      </c>
      <c r="E86" s="138" t="s">
        <v>495</v>
      </c>
      <c r="F86" s="139" t="s">
        <v>496</v>
      </c>
      <c r="G86" s="140" t="s">
        <v>101</v>
      </c>
      <c r="H86" s="141" t="s">
        <v>98</v>
      </c>
      <c r="I86" s="141" t="s">
        <v>96</v>
      </c>
      <c r="J86" s="141" t="s">
        <v>715</v>
      </c>
      <c r="K86" s="216" t="s">
        <v>716</v>
      </c>
      <c r="L86" s="217">
        <v>0</v>
      </c>
      <c r="M86" s="218">
        <v>1</v>
      </c>
      <c r="N86" s="218">
        <v>2</v>
      </c>
      <c r="O86" s="218">
        <v>3</v>
      </c>
      <c r="P86" s="219" t="s">
        <v>1367</v>
      </c>
      <c r="T86" s="66"/>
    </row>
    <row r="87" spans="1:21" s="65" customFormat="1">
      <c r="A87" s="398" t="s">
        <v>8</v>
      </c>
      <c r="B87" s="267">
        <f>IFERROR(VLOOKUP(A87,'ИПП 4кв24'!$B$3:$N$16,6,0),"")</f>
        <v>375</v>
      </c>
      <c r="C87" s="146">
        <f>IFERROR(VLOOKUP(A87,'ИПП 4кв24'!$B$3:$N$16,7,0),"")</f>
        <v>39770548</v>
      </c>
      <c r="D87" s="257">
        <f>SUMIFS(сент2445[м2],сент2445[МОП],$A87,сент2445[№ дома],$C$85,сент2445[Комнатность],"&lt;&gt;Офис")</f>
        <v>638.6</v>
      </c>
      <c r="E87" s="52">
        <f>SUMIFS(сент2445[Сумма без отделки],сент2445[МОП],$A87,сент2445[№ дома],$C$85,сент2445[Комнатность],"&lt;&gt;Офис")</f>
        <v>68045266</v>
      </c>
      <c r="F87" s="413">
        <f>COUNTIFS(сент2445[МОП],$A87,сент2445[№ дома],$C$85,сент2445[Комнатность],"&lt;&gt;Офис")</f>
        <v>13</v>
      </c>
      <c r="G87" s="202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1007.0699999999999</v>
      </c>
      <c r="H87" s="203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107769566</v>
      </c>
      <c r="I87" s="226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20</v>
      </c>
      <c r="J87" s="224">
        <f t="shared" ref="J87:K92" si="4">IFERROR(G87/B87,)</f>
        <v>2.6855199999999999</v>
      </c>
      <c r="K87" s="225">
        <f t="shared" si="4"/>
        <v>2.7097832798280779</v>
      </c>
      <c r="L87" s="257">
        <f>COUNTIFS(РД[Тип кв],L$86,РД[МОП],$A87,РД[Дом],$C$85,РД[Дата подачи на регистрацию],"&lt;="&amp;$A$1,РД[Дата подачи на регистрацию],"&gt;="&amp;DATE(YEAR($A$1),MONTH($A$1),1))</f>
        <v>4</v>
      </c>
      <c r="M87" s="226">
        <f>COUNTIFS(РД[Тип кв],M$86,РД[МОП],$A87,РД[Дом],$C$85,РД[Дата подачи на регистрацию],"&lt;="&amp;$A$1,РД[Дата подачи на регистрацию],"&gt;="&amp;DATE(YEAR($A$1),MONTH($A$1),1))</f>
        <v>7</v>
      </c>
      <c r="N87" s="226">
        <f>COUNTIFS(РД[Тип кв],N$86,РД[МОП],$A87,РД[Дом],$C$85,РД[Дата подачи на регистрацию],"&lt;="&amp;$A$1,РД[Дата подачи на регистрацию],"&gt;="&amp;DATE(YEAR($A$1),MONTH($A$1),1))</f>
        <v>6</v>
      </c>
      <c r="O87" s="226">
        <f>COUNTIFS(РД[Тип кв],O$86,РД[МОП],$A87,РД[Дом],$C$85,РД[Дата подачи на регистрацию],"&lt;="&amp;$A$1,РД[Дата подачи на регистрацию],"&gt;="&amp;DATE(YEAR($A$1),MONTH($A$1),1))</f>
        <v>3</v>
      </c>
      <c r="P87" s="227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0" t="s">
        <v>46</v>
      </c>
      <c r="B88" s="267">
        <f>IFERROR(VLOOKUP(A88,'ИПП 4кв24'!$B$3:$N$16,6,0),"")</f>
        <v>0</v>
      </c>
      <c r="C88" s="146">
        <f>IFERROR(VLOOKUP(A88,'ИПП 4кв24'!$B$3:$N$16,7,0),"")</f>
        <v>0</v>
      </c>
      <c r="D88" s="257">
        <f>SUMIFS(сент2445[м2],сент2445[МОП],$A88,сент2445[№ дома],$C$85,сент2445[Комнатность],"&lt;&gt;Офис")</f>
        <v>0</v>
      </c>
      <c r="E88" s="52">
        <f>SUMIFS(сент2445[Сумма без отделки],сент2445[МОП],$A88,сент2445[№ дома],$C$85,сент2445[Комнатность],"&lt;&gt;Офис")</f>
        <v>0</v>
      </c>
      <c r="F88" s="413">
        <f>COUNTIFS(сент2445[МОП],$A88,сент2445[№ дома],$C$85,сент2445[Комнатность],"&lt;&gt;Офис")</f>
        <v>0</v>
      </c>
      <c r="G88" s="202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03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">
        <f t="shared" si="4"/>
        <v>0</v>
      </c>
      <c r="K88" s="225">
        <f t="shared" si="4"/>
        <v>0</v>
      </c>
      <c r="L88" s="257">
        <f>COUNTIFS(РД[Тип кв],L$86,РД[МОП],$A88,РД[Дом],$C$85,РД[Дата подачи на регистрацию],"&lt;="&amp;$A$1,РД[Дата подачи на регистрацию],"&gt;="&amp;DATE(YEAR($A$1),MONTH($A$1),1))</f>
        <v>0</v>
      </c>
      <c r="M88" s="226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0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7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20</v>
      </c>
      <c r="B89" s="267">
        <f>IFERROR(VLOOKUP(A89,'ИПП 4кв24'!$B$3:$N$16,6,0),"")</f>
        <v>350</v>
      </c>
      <c r="C89" s="146">
        <f>IFERROR(VLOOKUP(A89,'ИПП 4кв24'!$B$3:$N$16,7,0),"")</f>
        <v>37119178</v>
      </c>
      <c r="D89" s="257">
        <f>SUMIFS(сент2445[м2],сент2445[МОП],$A89,сент2445[№ дома],$C$85,сент2445[Комнатность],"&lt;&gt;Офис")</f>
        <v>240.72</v>
      </c>
      <c r="E89" s="52">
        <f>SUMIFS(сент2445[Сумма без отделки],сент2445[МОП],$A89,сент2445[№ дома],$C$85,сент2445[Комнатность],"&lt;&gt;Офис")</f>
        <v>25896196</v>
      </c>
      <c r="F89" s="413">
        <f>COUNTIFS(сент2445[МОП],$A89,сент2445[№ дома],$C$85,сент2445[Комнатность],"&lt;&gt;Офис")</f>
        <v>5</v>
      </c>
      <c r="G89" s="202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324.27999999999997</v>
      </c>
      <c r="H89" s="203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34674899</v>
      </c>
      <c r="I89" s="226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7</v>
      </c>
      <c r="J89" s="224">
        <f t="shared" si="4"/>
        <v>0.92651428571428562</v>
      </c>
      <c r="K89" s="225">
        <f t="shared" si="4"/>
        <v>0.93415050839757285</v>
      </c>
      <c r="L89" s="257">
        <f>COUNTIFS(РД[Тип кв],L$86,РД[МОП],$A89,РД[Дом],$C$85,РД[Дата подачи на регистрацию],"&lt;="&amp;$A$1,РД[Дата подачи на регистрацию],"&gt;="&amp;DATE(YEAR($A$1),MONTH($A$1),1))</f>
        <v>1</v>
      </c>
      <c r="M89" s="226">
        <f>COUNTIFS(РД[Тип кв],M$86,РД[МОП],$A89,РД[Дом],$C$85,РД[Дата подачи на регистрацию],"&lt;="&amp;$A$1,РД[Дата подачи на регистрацию],"&gt;="&amp;DATE(YEAR($A$1),MONTH($A$1),1))</f>
        <v>3</v>
      </c>
      <c r="N89" s="226">
        <f>COUNTIFS(РД[Тип кв],N$86,РД[МОП],$A89,РД[Дом],$C$85,РД[Дата подачи на регистрацию],"&lt;="&amp;$A$1,РД[Дата подачи на регистрацию],"&gt;="&amp;DATE(YEAR($A$1),MONTH($A$1),1))</f>
        <v>3</v>
      </c>
      <c r="O89" s="226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227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3" t="s">
        <v>14</v>
      </c>
      <c r="B90" s="267">
        <f>IFERROR(VLOOKUP(A90,'ИПП 4кв24'!$B$3:$N$16,6,0),"")</f>
        <v>350</v>
      </c>
      <c r="C90" s="146">
        <f>IFERROR(VLOOKUP(A90,'ИПП 4кв24'!$B$3:$N$16,7,0),"")</f>
        <v>37119178</v>
      </c>
      <c r="D90" s="329">
        <f>SUMIFS(сент2445[м2],сент2445[МОП],$A90,сент2445[№ дома],$C$85,сент2445[Комнатность],"&lt;&gt;Офис")</f>
        <v>388.24</v>
      </c>
      <c r="E90" s="363">
        <f>SUMIFS(сент2445[Сумма без отделки],сент2445[МОП],$A90,сент2445[№ дома],$C$85,сент2445[Комнатность],"&lt;&gt;Офис")</f>
        <v>40600190</v>
      </c>
      <c r="F90" s="414">
        <f>COUNTIFS(сент2445[МОП],$A90,сент2445[№ дома],$C$85,сент2445[Комнатность],"&lt;&gt;Офис")</f>
        <v>8</v>
      </c>
      <c r="G90" s="358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455.27</v>
      </c>
      <c r="H90" s="35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48426290</v>
      </c>
      <c r="I90" s="33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10</v>
      </c>
      <c r="J90" s="360">
        <f t="shared" si="4"/>
        <v>1.3007714285714285</v>
      </c>
      <c r="K90" s="361">
        <f t="shared" si="4"/>
        <v>1.3046164438231902</v>
      </c>
      <c r="L90" s="329">
        <f>COUNTIFS(РД[Тип кв],L$86,РД[МОП],$A90,РД[Дом],$C$85,РД[Дата подачи на регистрацию],"&lt;="&amp;$A$1,РД[Дата подачи на регистрацию],"&gt;="&amp;DATE(YEAR($A$1),MONTH($A$1),1))</f>
        <v>3</v>
      </c>
      <c r="M90" s="330">
        <f>COUNTIFS(РД[Тип кв],M$86,РД[МОП],$A90,РД[Дом],$C$85,РД[Дата подачи на регистрацию],"&lt;="&amp;$A$1,РД[Дата подачи на регистрацию],"&gt;="&amp;DATE(YEAR($A$1),MONTH($A$1),1))</f>
        <v>4</v>
      </c>
      <c r="N90" s="330">
        <f>COUNTIFS(РД[Тип кв],N$86,РД[МОП],$A90,РД[Дом],$C$85,РД[Дата подачи на регистрацию],"&lt;="&amp;$A$1,РД[Дата подачи на регистрацию],"&gt;="&amp;DATE(YEAR($A$1),MONTH($A$1),1))</f>
        <v>1</v>
      </c>
      <c r="O90" s="330">
        <f>COUNTIFS(РД[Тип кв],O$86,РД[МОП],$A90,РД[Дом],$C$85,РД[Дата подачи на регистрацию],"&lt;="&amp;$A$1,РД[Дата подачи на регистрацию],"&gt;="&amp;DATE(YEAR($A$1),MONTH($A$1),1))</f>
        <v>2</v>
      </c>
      <c r="P90" s="33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4" t="s">
        <v>29</v>
      </c>
      <c r="B91" s="274"/>
      <c r="C91" s="277"/>
      <c r="D91" s="341">
        <f>SUMIFS(сент2445[м2],сент2445[МОП],$A91,сент2445[№ дома],$C$85,сент2445[Комнатность],"&lt;&gt;Офис")</f>
        <v>0</v>
      </c>
      <c r="E91" s="277">
        <f>SUMIFS(сент2445[Сумма без отделки],сент2445[МОП],$A91,сент2445[№ дома],$C$85,сент2445[Комнатность],"&lt;&gt;Офис")</f>
        <v>0</v>
      </c>
      <c r="F91" s="405">
        <f>COUNTIFS(сент2445[МОП],$A91,сент2445[№ дома],$C$85,сент2445[Комнатность],"&lt;&gt;Офис")</f>
        <v>0</v>
      </c>
      <c r="G91" s="159">
        <f>SUMIFS(РД[S],РД[Дом],$C$85,РД[МОП],A91,РД[Дата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0">
        <f>SUMIFS(РД[Стоимость без отделки итог],РД[Дом],$C$85,РД[МОП],A91,РД[Дата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8">
        <f>COUNTIFS(РД[Дом],$C$85,РД[МОП],A91,РД[Дата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9">
        <f t="shared" si="4"/>
        <v>0</v>
      </c>
      <c r="K91" s="230">
        <f t="shared" si="4"/>
        <v>0</v>
      </c>
      <c r="L91" s="159">
        <f>COUNTIFS(РД[Тип кв],L$86,РД[МОП],$A91,РД[Дом],$C$85,РД[Дата подачи на регистрацию],"&lt;="&amp;$A$1,РД[Дата подачи на регистрацию],"&gt;="&amp;DATE(YEAR($A$1),MONTH($A$1),1))</f>
        <v>0</v>
      </c>
      <c r="M91" s="228">
        <f>COUNTIFS(РД[Тип кв],M$86,РД[МОП],$A91,РД[Дом],$C$85,РД[Дата подачи на регистрацию],"&lt;="&amp;$A$1,РД[Дата подачи на регистрацию],"&gt;="&amp;DATE(YEAR($A$1),MONTH($A$1),1))</f>
        <v>0</v>
      </c>
      <c r="N91" s="228">
        <f>COUNTIFS(РД[Тип кв],N$86,РД[МОП],$A91,РД[Дом],$C$85,РД[Дата подачи на регистрацию],"&lt;="&amp;$A$1,РД[Дата подачи на регистрацию],"&gt;="&amp;DATE(YEAR($A$1),MONTH($A$1),1))</f>
        <v>0</v>
      </c>
      <c r="O91" s="228">
        <f>COUNTIFS(РД[Тип кв],O$86,РД[МОП],$A91,РД[Дом],$C$85,РД[Дата подачи на регистрацию],"&lt;="&amp;$A$1,РД[Дата подачи на регистрацию],"&gt;="&amp;DATE(YEAR($A$1),MONTH($A$1),1))</f>
        <v>0</v>
      </c>
      <c r="P91" s="231">
        <f>COUNTIFS(РД[Тип кв],P$86,РД[МОП],$A91,РД[Дом],$C$85,РД[Дата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1" t="s">
        <v>1919</v>
      </c>
      <c r="B92" s="278"/>
      <c r="C92" s="281"/>
      <c r="D92" s="406">
        <f>SUMIFS(сент2445[м2],сент2445[МОП],$A92,сент2445[№ дома],$C$85,сент2445[Комнатность],"&lt;&gt;Офис")</f>
        <v>516.05999999999995</v>
      </c>
      <c r="E92" s="281">
        <f>SUMIFS(сент2445[Сумма без отделки],сент2445[МОП],$A92,сент2445[№ дома],$C$85,сент2445[Комнатность],"&lt;&gt;Офис")</f>
        <v>56532590</v>
      </c>
      <c r="F92" s="407">
        <f>COUNTIFS(сент2445[МОП],$A92,сент2445[№ дома],$C$85,сент2445[Комнатность],"&lt;&gt;Офис")</f>
        <v>11</v>
      </c>
      <c r="G92" s="166">
        <f>SUMIFS(РД[S],РД[Дом],$C$85,РД[МОП],A92,РД[Дата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H92" s="167">
        <f>SUMIFS(РД[Стоимость без отделки итог],РД[Дом],$C$85,РД[МОП],A92,РД[Дата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I92" s="232">
        <f>COUNTIFS(РД[Дом],$C$85,РД[МОП],A92,РД[Дата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J92" s="233">
        <f t="shared" si="4"/>
        <v>0</v>
      </c>
      <c r="K92" s="234">
        <f t="shared" si="4"/>
        <v>0</v>
      </c>
      <c r="L92" s="235">
        <f>COUNTIFS(РД[Тип кв],L$86,РД[МОП],$A92,РД[Дом],$C$85,РД[Дата подачи на регистрацию],"&lt;="&amp;$A$1,РД[Дата подачи на регистрацию],"&gt;="&amp;DATE(YEAR($A$1),MONTH($A$1),1))</f>
        <v>0</v>
      </c>
      <c r="M92" s="236">
        <f>COUNTIFS(РД[Тип кв],M$86,РД[МОП],$A92,РД[Дом],$C$85,РД[Дата подачи на регистрацию],"&lt;="&amp;$A$1,РД[Дата подачи на регистрацию],"&gt;="&amp;DATE(YEAR($A$1),MONTH($A$1),1))</f>
        <v>0</v>
      </c>
      <c r="N92" s="236">
        <f>COUNTIFS(РД[Тип кв],N$86,РД[МОП],$A92,РД[Дом],$C$85,РД[Дата подачи на регистрацию],"&lt;="&amp;$A$1,РД[Дата подачи на регистрацию],"&gt;="&amp;DATE(YEAR($A$1),MONTH($A$1),1))</f>
        <v>0</v>
      </c>
      <c r="O92" s="236">
        <f>COUNTIFS(РД[Тип кв],O$86,РД[МОП],$A92,РД[Дом],$C$85,РД[Дата подачи на регистрацию],"&lt;="&amp;$A$1,РД[Дата подачи на регистрацию],"&gt;="&amp;DATE(YEAR($A$1),MONTH($A$1),1))</f>
        <v>0</v>
      </c>
      <c r="P92" s="237">
        <f>COUNTIFS(РД[Тип кв],P$86,РД[МОП],$A92,РД[Дом],$C$85,РД[Дата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68" t="s">
        <v>114</v>
      </c>
      <c r="B93" s="172">
        <f t="shared" ref="B93:I93" si="5">SUM(B87:B92)</f>
        <v>1075</v>
      </c>
      <c r="C93" s="173">
        <f t="shared" si="5"/>
        <v>114008904</v>
      </c>
      <c r="D93" s="173">
        <f t="shared" si="5"/>
        <v>1783.62</v>
      </c>
      <c r="E93" s="173">
        <f t="shared" si="5"/>
        <v>191074242</v>
      </c>
      <c r="F93" s="171">
        <f t="shared" si="5"/>
        <v>37</v>
      </c>
      <c r="G93" s="172">
        <f t="shared" si="5"/>
        <v>1786.62</v>
      </c>
      <c r="H93" s="173">
        <f t="shared" si="5"/>
        <v>190870755</v>
      </c>
      <c r="I93" s="170">
        <f t="shared" si="5"/>
        <v>37</v>
      </c>
      <c r="J93" s="238">
        <f>IFERROR(G93/B93,"")</f>
        <v>1.6619720930232558</v>
      </c>
      <c r="K93" s="239">
        <f>IFERROR(H93/C93,"")</f>
        <v>1.6741741066118836</v>
      </c>
      <c r="L93" s="240">
        <f>SUM(L87:L92)</f>
        <v>8</v>
      </c>
      <c r="M93" s="241">
        <f>SUM(M87:M92)</f>
        <v>14</v>
      </c>
      <c r="N93" s="241">
        <f>SUM(N87:N92)</f>
        <v>10</v>
      </c>
      <c r="O93" s="241">
        <f>SUM(O87:O92)</f>
        <v>5</v>
      </c>
      <c r="P93" s="242">
        <f>SUM(P87:P92)</f>
        <v>0</v>
      </c>
      <c r="T93" s="66"/>
    </row>
    <row r="94" spans="1:21" s="65" customFormat="1">
      <c r="A94" s="135" t="s">
        <v>115</v>
      </c>
      <c r="B94" s="135" t="s">
        <v>100</v>
      </c>
      <c r="C94" s="136" t="s">
        <v>97</v>
      </c>
      <c r="D94" s="137" t="s">
        <v>494</v>
      </c>
      <c r="E94" s="138" t="s">
        <v>495</v>
      </c>
      <c r="F94" s="139" t="s">
        <v>496</v>
      </c>
      <c r="G94" s="140" t="s">
        <v>101</v>
      </c>
      <c r="H94" s="141" t="s">
        <v>98</v>
      </c>
      <c r="I94" s="141" t="s">
        <v>96</v>
      </c>
      <c r="J94" s="141" t="s">
        <v>715</v>
      </c>
      <c r="K94" s="216" t="s">
        <v>716</v>
      </c>
      <c r="L94" s="217">
        <v>0</v>
      </c>
      <c r="M94" s="218">
        <v>1</v>
      </c>
      <c r="N94" s="218">
        <v>2</v>
      </c>
      <c r="O94" s="218">
        <v>3</v>
      </c>
      <c r="P94" s="219" t="s">
        <v>1367</v>
      </c>
      <c r="T94" s="66"/>
    </row>
    <row r="95" spans="1:21" s="65" customFormat="1">
      <c r="A95" s="177" t="s">
        <v>1892</v>
      </c>
      <c r="B95" s="291">
        <f>IFERROR(VLOOKUP(A95,'ИПП 4кв24'!$B$3:$N$16,6,0),"")</f>
        <v>335.32110091743124</v>
      </c>
      <c r="C95" s="292">
        <f>IFERROR(VLOOKUP(A95,'ИПП 4кв24'!$B$3:$N$16,7,0),"")</f>
        <v>35562410.422018349</v>
      </c>
      <c r="D95" s="346">
        <f>SUMIFS(сент2445[м2],сент2445[ИМ],A95,сент2445[№ дома],$C$85,сент2445[Комнатность],"&lt;&gt;Офис")</f>
        <v>0</v>
      </c>
      <c r="E95" s="184">
        <f>SUMIFS(сент2445[Сумма без отделки],сент2445[ИМ],$A95,сент2445[№ дома],$C$85,сент2445[Комнатность],"&lt;&gt;Офис")</f>
        <v>0</v>
      </c>
      <c r="F95" s="415">
        <f>COUNTIFS(сент2445[ИМ],$A95,сент2445[№ дома],$C$85,сент2445[Комнатность],"&lt;&gt;Офис")</f>
        <v>0</v>
      </c>
      <c r="G95" s="183">
        <f>SUMIFS(РД[S],РД[Дом],$C$85,РД[ИМ],A95,РД[Дата подачи на регистрацию],"&lt;="&amp;$A$1,РД[Дата подачи на регистрацию],"&gt;="&amp;DATE(YEAR($A$1),MONTH($A$1),1),РД[Состояние],"Продажа")</f>
        <v>512.15</v>
      </c>
      <c r="H95" s="184">
        <f>SUMIFS(РД[Стоимость без отделки итог],РД[Дом],$C$85,РД[ИМ],A95,РД[Дата подачи на регистрацию],"&lt;="&amp;$A$1,РД[Дата подачи на регистрацию],"&gt;="&amp;DATE(YEAR($A$1),MONTH($A$1),1),РД[Состояние],"Продажа")</f>
        <v>55630302</v>
      </c>
      <c r="I95" s="243">
        <f>COUNTIFS(РД[Дом],$C$85,РД[ИМ],A95,РД[Дата подачи на регистрацию],"&lt;="&amp;$A$1,РД[Дата подачи на регистрацию],"&gt;="&amp;DATE(YEAR($A$1),MONTH($A$1),1),РД[Состояние],"Продажа")</f>
        <v>11</v>
      </c>
      <c r="J95" s="244">
        <f t="shared" ref="J95:K97" si="6">IFERROR(G95/B95,"")</f>
        <v>1.5273419972640216</v>
      </c>
      <c r="K95" s="258">
        <f t="shared" si="6"/>
        <v>1.5643006573468001</v>
      </c>
      <c r="L95" s="183">
        <f>COUNTIFS(РД[Тип кв],L86,РД[ИМ],$A95,РД[Дом],$C$85,РД[Дата подачи на регистрацию],"&lt;="&amp;$A$1,РД[Дата подачи на регистрацию],"&gt;="&amp;DATE(YEAR($A$1),MONTH($A$1),1))</f>
        <v>2</v>
      </c>
      <c r="M95" s="243">
        <f>COUNTIFS(РД[Тип кв],M86,РД[ИМ],$A95,РД[Дом],$C$85,РД[Дата подачи на регистрацию],"&lt;="&amp;$A$1,РД[Дата подачи на регистрацию],"&gt;="&amp;DATE(YEAR($A$1),MONTH($A$1),1))</f>
        <v>5</v>
      </c>
      <c r="N95" s="243">
        <f>COUNTIFS(РД[Тип кв],N86,РД[ИМ],$A95,РД[Дом],$C$85,РД[Дата подачи на регистрацию],"&lt;="&amp;$A$1,РД[Дата подачи на регистрацию],"&gt;="&amp;DATE(YEAR($A$1),MONTH($A$1),1))</f>
        <v>3</v>
      </c>
      <c r="O95" s="243">
        <f>COUNTIFS(РД[Тип кв],O86,РД[ИМ],$A95,РД[Дом],$C$85,РД[Дата подачи на регистрацию],"&lt;="&amp;$A$1,РД[Дата подачи на регистрацию],"&gt;="&amp;DATE(YEAR($A$1),MONTH($A$1),1))</f>
        <v>1</v>
      </c>
      <c r="P95" s="246">
        <f>COUNTIFS(РД[Тип кв],P86,РД[ИМ],$A95,РД[Дом],$C$85,РД[Дата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50" t="s">
        <v>22</v>
      </c>
      <c r="B96" s="267">
        <f>IFERROR(VLOOKUP(A96,'ИПП 4кв24'!$B$3:$N$16,6,0),"")</f>
        <v>578.42889908256882</v>
      </c>
      <c r="C96" s="146">
        <f>IFERROR(VLOOKUP(A96,'ИПП 4кв24'!$B$3:$N$16,7,0),"")</f>
        <v>61345157.977981642</v>
      </c>
      <c r="D96" s="328">
        <f>SUMIFS(сент2445[м2],сент2445[ИМ],A96,сент2445[№ дома],$C$85,сент2445[Комнатность],"&lt;&gt;Офис")</f>
        <v>1555.92</v>
      </c>
      <c r="E96" s="188">
        <f>SUMIFS(сент2445[Сумма без отделки],сент2445[ИМ],$A96,сент2445[№ дома],$C$85,сент2445[Комнатность],"&lt;&gt;Офис")</f>
        <v>168836142</v>
      </c>
      <c r="F96" s="404">
        <f>COUNTIFS(сент2445[ИМ],$A96,сент2445[№ дома],$C$85,сент2445[Комнатность],"&lt;&gt;Офис")</f>
        <v>33</v>
      </c>
      <c r="G96" s="187">
        <f>SUMIFS(РД[S],РД[Дом],$C$85,РД[ИМ],A96,РД[Дата подачи на регистрацию],"&lt;="&amp;$A$1,РД[Дата подачи на регистрацию],"&gt;="&amp;DATE(YEAR($A$1),MONTH($A$1),1),РД[Состояние],"Продажа")</f>
        <v>1105.01</v>
      </c>
      <c r="H96" s="188">
        <f>SUMIFS(РД[Стоимость без отделки итог],РД[Дом],$C$85,РД[ИМ],A96,РД[Дата подачи на регистрацию],"&lt;="&amp;$A$1,РД[Дата подачи на регистрацию],"&gt;="&amp;DATE(YEAR($A$1),MONTH($A$1),1),РД[Состояние],"Продажа")</f>
        <v>118668853</v>
      </c>
      <c r="I96" s="247">
        <f>COUNTIFS(РД[Дом],$C$85,РД[ИМ],A96,РД[Дата подачи на регистрацию],"&lt;="&amp;$A$1,РД[Дата подачи на регистрацию],"&gt;="&amp;DATE(YEAR($A$1),MONTH($A$1),1),РД[Состояние],"Продажа")</f>
        <v>23</v>
      </c>
      <c r="J96" s="248">
        <f t="shared" si="6"/>
        <v>1.9103644402149129</v>
      </c>
      <c r="K96" s="259">
        <f t="shared" si="6"/>
        <v>1.9344453076898638</v>
      </c>
      <c r="L96" s="187">
        <f>COUNTIFS(РД[Тип кв],L$86,РД[ИМ],$A96,РД[Дом],$C$85,РД[Дата подачи на регистрацию],"&lt;="&amp;$A$1,РД[Дата подачи на регистрацию],"&gt;="&amp;DATE(YEAR($A$1),MONTH($A$1),1))</f>
        <v>5</v>
      </c>
      <c r="M96" s="247">
        <f>COUNTIFS(РД[Тип кв],M$86,РД[ИМ],$A96,РД[Дом],$C$85,РД[Дата подачи на регистрацию],"&lt;="&amp;$A$1,РД[Дата подачи на регистрацию],"&gt;="&amp;DATE(YEAR($A$1),MONTH($A$1),1))</f>
        <v>9</v>
      </c>
      <c r="N96" s="247">
        <f>COUNTIFS(РД[Тип кв],N$86,РД[ИМ],$A96,РД[Дом],$C$85,РД[Дата подачи на регистрацию],"&lt;="&amp;$A$1,РД[Дата подачи на регистрацию],"&gt;="&amp;DATE(YEAR($A$1),MONTH($A$1),1))</f>
        <v>6</v>
      </c>
      <c r="O96" s="247">
        <f>COUNTIFS(РД[Тип кв],O$86,РД[ИМ],$A96,РД[Дом],$C$85,РД[Дата подачи на регистрацию],"&lt;="&amp;$A$1,РД[Дата подачи на регистрацию],"&gt;="&amp;DATE(YEAR($A$1),MONTH($A$1),1))</f>
        <v>3</v>
      </c>
      <c r="P96" s="250">
        <f>COUNTIFS(РД[Тип кв],P$86,РД[ИМ],$A96,РД[Дом],$C$85,РД[Дата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189" t="s">
        <v>16</v>
      </c>
      <c r="B97" s="293" t="str">
        <f>IFERROR(VLOOKUP(A97,'ИПП 4кв24'!$B$3:$N$16,6,0),"")</f>
        <v/>
      </c>
      <c r="C97" s="294" t="str">
        <f>IFERROR(VLOOKUP(A97,'ИПП 4кв24'!$B$3:$N$16,7,0),"")</f>
        <v/>
      </c>
      <c r="D97" s="426">
        <f>SUMIFS(сент2445[м2],сент2445[ИМ],A97,сент2445[№ дома],$C$85,сент2445[Комнатность],"&lt;&gt;Офис")</f>
        <v>0</v>
      </c>
      <c r="E97" s="196">
        <f>SUMIFS(сент2445[Сумма без отделки],сент2445[ИМ],$A97,сент2445[№ дома],$C$85,сент2445[Комнатность],"&lt;&gt;Офис")</f>
        <v>0</v>
      </c>
      <c r="F97" s="427">
        <f>COUNTIFS(сент2445[ИМ],$A97,сент2445[№ дома],$C$85,сент2445[Комнатность],"&lt;&gt;Офис")</f>
        <v>0</v>
      </c>
      <c r="G97" s="195">
        <f>SUMIFS(РД[S],РД[Дом],$C$85,РД[ИМ],A97,РД[Дата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H97" s="196">
        <f>SUMIFS(РД[Стоимость без отделки итог],РД[Дом],$C$85,РД[ИМ],A97,РД[Дата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I97" s="251">
        <f>COUNTIFS(РД[Дом],$C$85,РД[ИМ],A97,РД[Дата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J97" s="252" t="str">
        <f t="shared" si="6"/>
        <v/>
      </c>
      <c r="K97" s="260" t="str">
        <f t="shared" si="6"/>
        <v/>
      </c>
      <c r="L97" s="195">
        <f>COUNTIFS(РД[Тип кв],L$86,РД[ИМ],$A97,РД[Дом],$C$85,РД[Дата подачи на регистрацию],"&lt;="&amp;$A$1,РД[Дата подачи на регистрацию],"&gt;="&amp;DATE(YEAR($A$1),MONTH($A$1),1))</f>
        <v>0</v>
      </c>
      <c r="M97" s="251">
        <f>COUNTIFS(РД[Тип кв],M$86,РД[ИМ],$A97,РД[Дом],$C$85,РД[Дата подачи на регистрацию],"&lt;="&amp;$A$1,РД[Дата подачи на регистрацию],"&gt;="&amp;DATE(YEAR($A$1),MONTH($A$1),1))</f>
        <v>0</v>
      </c>
      <c r="N97" s="251">
        <f>COUNTIFS(РД[Тип кв],N$86,РД[ИМ],$A97,РД[Дом],$C$85,РД[Дата подачи на регистрацию],"&lt;="&amp;$A$1,РД[Дата подачи на регистрацию],"&gt;="&amp;DATE(YEAR($A$1),MONTH($A$1),1))</f>
        <v>0</v>
      </c>
      <c r="O97" s="251">
        <f>COUNTIFS(РД[Тип кв],O$86,РД[ИМ],$A97,РД[Дом],$C$85,РД[Дата подачи на регистрацию],"&lt;="&amp;$A$1,РД[Дата подачи на регистрацию],"&gt;="&amp;DATE(YEAR($A$1),MONTH($A$1),1))</f>
        <v>0</v>
      </c>
      <c r="P97" s="254">
        <f>COUNTIFS(РД[Тип кв],P$86,РД[ИМ],$A97,РД[Дом],$C$85,РД[Дата подачи на регистрацию],"&lt;="&amp;$A$1,РД[Дата подачи на регистрацию],"&gt;="&amp;DATE(YEAR($A$1),MONTH($A$1),1))</f>
        <v>0</v>
      </c>
      <c r="Q97" s="86"/>
      <c r="R97" s="86"/>
      <c r="S97" s="86"/>
      <c r="T97" s="66"/>
    </row>
    <row r="98" spans="1:21" s="65" customFormat="1">
      <c r="A98" s="168" t="s">
        <v>114</v>
      </c>
      <c r="B98" s="172">
        <f t="shared" ref="B98:I98" si="7">SUM(B95:B97)</f>
        <v>913.75</v>
      </c>
      <c r="C98" s="173">
        <f t="shared" si="7"/>
        <v>96907568.399999991</v>
      </c>
      <c r="D98" s="173">
        <f t="shared" si="7"/>
        <v>1555.92</v>
      </c>
      <c r="E98" s="173">
        <f t="shared" si="7"/>
        <v>168836142</v>
      </c>
      <c r="F98" s="171">
        <f t="shared" si="7"/>
        <v>33</v>
      </c>
      <c r="G98" s="172">
        <f t="shared" si="7"/>
        <v>1617.1599999999999</v>
      </c>
      <c r="H98" s="173">
        <f t="shared" si="7"/>
        <v>174299155</v>
      </c>
      <c r="I98" s="170">
        <f t="shared" si="7"/>
        <v>34</v>
      </c>
      <c r="J98" s="238">
        <f>IFERROR(G98/B98,)</f>
        <v>1.7698057455540355</v>
      </c>
      <c r="K98" s="239">
        <f>IFERROR(H98/C98,)</f>
        <v>1.7986124084814001</v>
      </c>
      <c r="L98" s="240">
        <f t="shared" ref="L98:P98" si="8">SUM(L95:L97)</f>
        <v>7</v>
      </c>
      <c r="M98" s="241">
        <f t="shared" si="8"/>
        <v>14</v>
      </c>
      <c r="N98" s="241">
        <f t="shared" si="8"/>
        <v>9</v>
      </c>
      <c r="O98" s="241">
        <f t="shared" si="8"/>
        <v>4</v>
      </c>
      <c r="P98" s="242">
        <f t="shared" si="8"/>
        <v>0</v>
      </c>
      <c r="Q98" s="86"/>
      <c r="R98" s="86"/>
      <c r="S98" s="86"/>
      <c r="T98" s="66"/>
    </row>
    <row r="99" spans="1:21" s="65" customFormat="1">
      <c r="A99" s="134"/>
      <c r="B99" s="211"/>
      <c r="C99" s="211"/>
      <c r="D99" s="212"/>
      <c r="E99" s="134"/>
      <c r="F99" s="134"/>
      <c r="G99" s="134"/>
      <c r="H99" s="134"/>
      <c r="I99" s="134"/>
      <c r="J99" s="134"/>
      <c r="K99" s="134"/>
      <c r="L99" s="261"/>
      <c r="M99" s="134"/>
      <c r="N99" s="134"/>
      <c r="O99" s="134"/>
      <c r="P99" s="262"/>
      <c r="Q99" s="134"/>
      <c r="U99" s="66"/>
    </row>
    <row r="100" spans="1:21" s="65" customFormat="1">
      <c r="A100" s="2325" t="s">
        <v>713</v>
      </c>
      <c r="B100" s="2326"/>
      <c r="C100" s="133" t="s">
        <v>19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263"/>
      <c r="T100" s="66"/>
    </row>
    <row r="101" spans="1:21" s="65" customFormat="1">
      <c r="A101" s="135" t="s">
        <v>1</v>
      </c>
      <c r="B101" s="135" t="s">
        <v>100</v>
      </c>
      <c r="C101" s="136" t="s">
        <v>97</v>
      </c>
      <c r="D101" s="137" t="s">
        <v>494</v>
      </c>
      <c r="E101" s="138" t="s">
        <v>495</v>
      </c>
      <c r="F101" s="139" t="s">
        <v>496</v>
      </c>
      <c r="G101" s="140" t="s">
        <v>101</v>
      </c>
      <c r="H101" s="141" t="s">
        <v>98</v>
      </c>
      <c r="I101" s="141" t="s">
        <v>96</v>
      </c>
      <c r="J101" s="141" t="s">
        <v>715</v>
      </c>
      <c r="K101" s="216" t="s">
        <v>716</v>
      </c>
      <c r="L101" s="217">
        <v>0</v>
      </c>
      <c r="M101" s="218">
        <v>1</v>
      </c>
      <c r="N101" s="218">
        <v>2</v>
      </c>
      <c r="O101" s="218">
        <v>3</v>
      </c>
      <c r="P101" s="219" t="s">
        <v>1367</v>
      </c>
      <c r="Q101" s="134"/>
      <c r="U101" s="66"/>
    </row>
    <row r="102" spans="1:21" s="65" customFormat="1">
      <c r="A102" s="398" t="s">
        <v>8</v>
      </c>
      <c r="B102" s="267">
        <f>IFERROR(VLOOKUP(A102,'ИПП 4кв24'!$B$3:$N$16,8,0),"")</f>
        <v>59</v>
      </c>
      <c r="C102" s="146">
        <f>IFERROR(VLOOKUP(A102,'ИПП 4кв24'!$B$3:$N$16,9,0),"")</f>
        <v>6929810</v>
      </c>
      <c r="D102" s="257">
        <f>SUMIFS(сент2445[м2],сент2445[МОП],$A102,сент2445[№ дома],$C$100,сент2445[Комнатность],"&lt;&gt;Офис")</f>
        <v>0</v>
      </c>
      <c r="E102" s="52">
        <f>SUMIFS(сент2445[Сумма без отделки],сент2445[МОП],$A102,сент2445[№ дома],$C$100,сент2445[Комнатность],"&lt;&gt;Офис")</f>
        <v>0</v>
      </c>
      <c r="F102" s="413">
        <f>COUNTIFS(сент2445[МОП],$A102,сент2445[№ дома],$C$100,сент2445[Комнатность],"&lt;&gt;Офис")</f>
        <v>0</v>
      </c>
      <c r="G102" s="202">
        <f>SUMIFS(РД[S],РД[Дом],$C$100,РД[МОП],A102,РД[Дата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03">
        <f>SUMIFS(РД[Стоимость без отделки итог],РД[Дом],$C$100,РД[МОП],A102,РД[Дата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COUNTIFS(РД[Дом],$C$100,РД[МОП],A102,РД[Дата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">
        <f t="shared" ref="J102:K107" si="9">IFERROR(G102/B102,)</f>
        <v>0</v>
      </c>
      <c r="K102" s="225">
        <f t="shared" si="9"/>
        <v>0</v>
      </c>
      <c r="L102" s="257">
        <f>COUNTIFS(РД[Тип кв],L$86,РД[МОП],$A102,РД[Дом],$C$100,РД[Дата подачи на регистрацию],"&lt;="&amp;$A$1,РД[Дата подачи на регистрацию],"&gt;="&amp;DATE(YEAR($A$1),MONTH($A$1),1))</f>
        <v>0</v>
      </c>
      <c r="M102" s="226">
        <f>COUNTIFS(РД[Тип кв],M$86,РД[МОП],$A102,РД[Дом],$C$100,РД[Дата подачи на регистрацию],"&lt;="&amp;$A$1,РД[Дата подачи на регистрацию],"&gt;="&amp;DATE(YEAR($A$1),MONTH($A$1),1))</f>
        <v>0</v>
      </c>
      <c r="N102" s="226">
        <f>COUNTIFS(РД[Тип кв],N$86,РД[МОП],$A102,РД[Дом],$C$100,РД[Дата подачи на регистрацию],"&lt;="&amp;$A$1,РД[Дата подачи на регистрацию],"&gt;="&amp;DATE(YEAR($A$1),MONTH($A$1),1))</f>
        <v>0</v>
      </c>
      <c r="O102" s="226">
        <f>COUNTIFS(РД[Тип кв],O$86,РД[МОП],$A102,РД[Дом],$C$100,РД[Дата подачи на регистрацию],"&lt;="&amp;$A$1,РД[Дата подачи на регистрацию],"&gt;="&amp;DATE(YEAR($A$1),MONTH($A$1),1))</f>
        <v>0</v>
      </c>
      <c r="P102" s="227">
        <f>COUNTIFS(РД[Тип кв],P$86,РД[МОП],$A102,РД[Дом],$C$100,РД[Дата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0" t="s">
        <v>46</v>
      </c>
      <c r="B103" s="267">
        <f>IFERROR(VLOOKUP(A103,'ИПП 4кв24'!$B$3:$N$16,8,0),"")</f>
        <v>0</v>
      </c>
      <c r="C103" s="146">
        <f>IFERROR(VLOOKUP(A103,'ИПП 4кв24'!$B$3:$N$16,9,0),"")</f>
        <v>0</v>
      </c>
      <c r="D103" s="257">
        <f>SUMIFS(сент2445[м2],сент2445[МОП],$A103,сент2445[№ дома],$C$100,сент2445[Комнатность],"&lt;&gt;Офис")</f>
        <v>0</v>
      </c>
      <c r="E103" s="52">
        <f>SUMIFS(сент2445[Сумма без отделки],сент2445[МОП],$A103,сент2445[№ дома],$C$100,сент2445[Комнатность],"&lt;&gt;Офис")</f>
        <v>0</v>
      </c>
      <c r="F103" s="413">
        <f>COUNTIFS(сент2445[МОП],$A103,сент2445[№ дома],$C$100,сент2445[Комнатность],"&lt;&gt;Офис")</f>
        <v>0</v>
      </c>
      <c r="G103" s="202">
        <f>SUMIFS(РД[S],РД[Дом],$C$100,РД[МОП],A103,РД[Дата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H103" s="203">
        <f>SUMIFS(РД[Стоимость без отделки итог],РД[Дом],$C$100,РД[МОП],A103,РД[Дата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I103" s="226">
        <f>COUNTIFS(РД[Дом],$C$100,РД[МОП],A103,РД[Дата подачи на регистрацию],"&lt;="&amp;$A$1,РД[Дата подачи на регистрацию],"&gt;="&amp;DATE(YEAR($A$1),MONTH($A$1),1),РД[Состояние],"Продажа")</f>
        <v>0</v>
      </c>
      <c r="J103" s="224">
        <f t="shared" si="9"/>
        <v>0</v>
      </c>
      <c r="K103" s="225">
        <f t="shared" si="9"/>
        <v>0</v>
      </c>
      <c r="L103" s="257">
        <f>COUNTIFS(РД[Тип кв],L$86,РД[МОП],$A103,РД[Дом],$C$100,РД[Дата подачи на регистрацию],"&lt;="&amp;$A$1,РД[Дата подачи на регистрацию],"&gt;="&amp;DATE(YEAR($A$1),MONTH($A$1),1))</f>
        <v>0</v>
      </c>
      <c r="M103" s="226">
        <f>COUNTIFS(РД[Тип кв],M$86,РД[МОП],$A103,РД[Дом],$C$100,РД[Дата подачи на регистрацию],"&lt;="&amp;$A$1,РД[Дата подачи на регистрацию],"&gt;="&amp;DATE(YEAR($A$1),MONTH($A$1),1))</f>
        <v>0</v>
      </c>
      <c r="N103" s="226">
        <f>COUNTIFS(РД[Тип кв],N$86,РД[МОП],$A103,РД[Дом],$C$100,РД[Дата подачи на регистрацию],"&lt;="&amp;$A$1,РД[Дата подачи на регистрацию],"&gt;="&amp;DATE(YEAR($A$1),MONTH($A$1),1))</f>
        <v>0</v>
      </c>
      <c r="O103" s="226">
        <f>COUNTIFS(РД[Тип кв],O$86,РД[МОП],$A103,РД[Дом],$C$100,РД[Дата подачи на регистрацию],"&lt;="&amp;$A$1,РД[Дата подачи на регистрацию],"&gt;="&amp;DATE(YEAR($A$1),MONTH($A$1),1))</f>
        <v>0</v>
      </c>
      <c r="P103" s="227">
        <f>COUNTIFS(РД[Тип кв],P$86,РД[МОП],$A103,РД[Дом],$C$100,РД[Дата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3" t="s">
        <v>20</v>
      </c>
      <c r="B104" s="267">
        <f>IFERROR(VLOOKUP(A104,'ИПП 4кв24'!$B$3:$N$16,8,0),"")</f>
        <v>55</v>
      </c>
      <c r="C104" s="146">
        <f>IFERROR(VLOOKUP(A104,'ИПП 4кв24'!$B$3:$N$16,9,0),"")</f>
        <v>6467823</v>
      </c>
      <c r="D104" s="257">
        <f>SUMIFS(сент2445[м2],сент2445[МОП],$A104,сент2445[№ дома],$C$100,сент2445[Комнатность],"&lt;&gt;Офис")</f>
        <v>0</v>
      </c>
      <c r="E104" s="52">
        <f>SUMIFS(сент2445[Сумма без отделки],сент2445[МОП],$A104,сент2445[№ дома],$C$100,сент2445[Комнатность],"&lt;&gt;Офис")</f>
        <v>0</v>
      </c>
      <c r="F104" s="413">
        <f>COUNTIFS(сент2445[МОП],$A104,сент2445[№ дома],$C$100,сент2445[Комнатность],"&lt;&gt;Офис")</f>
        <v>0</v>
      </c>
      <c r="G104" s="202">
        <f>SUMIFS(РД[S],РД[Дом],$C$100,РД[МОП],A104,РД[Дата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COUNTIFS(РД[Дом],$C$100,РД[МОП],A104,РД[Дата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si="9"/>
        <v>0</v>
      </c>
      <c r="K104" s="225">
        <f t="shared" si="9"/>
        <v>0</v>
      </c>
      <c r="L104" s="257">
        <f>COUNTIFS(РД[Тип кв],L$86,РД[МОП],$A104,РД[Дом],$C$100,РД[Дата подачи на регистрацию],"&lt;="&amp;$A$1,РД[Дата подачи на регистрацию],"&gt;="&amp;DATE(YEAR($A$1),MONTH($A$1),1))</f>
        <v>0</v>
      </c>
      <c r="M104" s="226">
        <f>COUNTIFS(РД[Тип кв],M$86,РД[МОП],$A104,РД[Дом],$C$100,РД[Дата подачи на регистрацию],"&lt;="&amp;$A$1,РД[Дата подачи на регистрацию],"&gt;="&amp;DATE(YEAR($A$1),MONTH($A$1),1))</f>
        <v>0</v>
      </c>
      <c r="N104" s="226">
        <f>COUNTIFS(РД[Тип кв],N$86,РД[МОП],$A104,РД[Дом],$C$100,РД[Дата подачи на регистрацию],"&lt;="&amp;$A$1,РД[Дата подачи на регистрацию],"&gt;="&amp;DATE(YEAR($A$1),MONTH($A$1),1))</f>
        <v>0</v>
      </c>
      <c r="O104" s="226">
        <f>COUNTIFS(РД[Тип кв],O$86,РД[МОП],$A104,РД[Дом],$C$100,РД[Дата подачи на регистрацию],"&lt;="&amp;$A$1,РД[Дата подачи на регистрацию],"&gt;="&amp;DATE(YEAR($A$1),MONTH($A$1),1))</f>
        <v>0</v>
      </c>
      <c r="P104" s="227">
        <f>COUNTIFS(РД[Тип кв],P$86,РД[МОП],$A104,РД[Дом],$C$100,РД[Дата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53" t="s">
        <v>14</v>
      </c>
      <c r="B105" s="267">
        <f>IFERROR(VLOOKUP(A105,'ИПП 4кв24'!$B$3:$N$16,8,0),"")</f>
        <v>55</v>
      </c>
      <c r="C105" s="146">
        <f>IFERROR(VLOOKUP(A105,'ИПП 4кв24'!$B$3:$N$16,9,0),"")</f>
        <v>6467823</v>
      </c>
      <c r="D105" s="329">
        <f>SUMIFS(сент2445[м2],сент2445[МОП],$A105,сент2445[№ дома],$C$100,сент2445[Комнатность],"&lt;&gt;Офис")</f>
        <v>35.630000000000003</v>
      </c>
      <c r="E105" s="363">
        <f>SUMIFS(сент2445[Сумма без отделки],сент2445[МОП],$A105,сент2445[№ дома],$C$100,сент2445[Комнатность],"&lt;&gt;Офис")</f>
        <v>4566207</v>
      </c>
      <c r="F105" s="414">
        <f>COUNTIFS(сент2445[МОП],$A105,сент2445[№ дома],$C$100,сент2445[Комнатность],"&lt;&gt;Офис")</f>
        <v>1</v>
      </c>
      <c r="G105" s="358">
        <f>SUMIFS(РД[S],РД[Дом],$C$100,РД[МОП],A105,РД[Дата подачи на регистрацию],"&lt;="&amp;$A$1,РД[Дата подачи на регистрацию],"&gt;="&amp;DATE(YEAR($A$1),MONTH($A$1),1),РД[Состояние],"Продажа")</f>
        <v>35.630000000000003</v>
      </c>
      <c r="H105" s="359">
        <f>SUMIFS(РД[Стоимость без отделки итог],РД[Дом],$C$100,РД[МОП],A105,РД[Дата подачи на регистрацию],"&lt;="&amp;$A$1,РД[Дата подачи на регистрацию],"&gt;="&amp;DATE(YEAR($A$1),MONTH($A$1),1),РД[Состояние],"Продажа")</f>
        <v>4566207</v>
      </c>
      <c r="I105" s="330">
        <f>COUNTIFS(РД[Дом],$C$100,РД[МОП],A105,РД[Дата подачи на регистрацию],"&lt;="&amp;$A$1,РД[Дата подачи на регистрацию],"&gt;="&amp;DATE(YEAR($A$1),MONTH($A$1),1),РД[Состояние],"Продажа")</f>
        <v>1</v>
      </c>
      <c r="J105" s="360">
        <f t="shared" si="9"/>
        <v>0.64781818181818185</v>
      </c>
      <c r="K105" s="361">
        <f t="shared" si="9"/>
        <v>0.70598824364859702</v>
      </c>
      <c r="L105" s="329">
        <f>COUNTIFS(РД[Тип кв],L$86,РД[МОП],$A105,РД[Дом],$C$100,РД[Дата подачи на регистрацию],"&lt;="&amp;$A$1,РД[Дата подачи на регистрацию],"&gt;="&amp;DATE(YEAR($A$1),MONTH($A$1),1))</f>
        <v>0</v>
      </c>
      <c r="M105" s="330">
        <f>COUNTIFS(РД[Тип кв],M$86,РД[МОП],$A105,РД[Дом],$C$100,РД[Дата подачи на регистрацию],"&lt;="&amp;$A$1,РД[Дата подачи на регистрацию],"&gt;="&amp;DATE(YEAR($A$1),MONTH($A$1),1))</f>
        <v>1</v>
      </c>
      <c r="N105" s="330">
        <f>COUNTIFS(РД[Тип кв],N$86,РД[МОП],$A105,РД[Дом],$C$100,РД[Дата подачи на регистрацию],"&lt;="&amp;$A$1,РД[Дата подачи на регистрацию],"&gt;="&amp;DATE(YEAR($A$1),MONTH($A$1),1))</f>
        <v>0</v>
      </c>
      <c r="O105" s="330">
        <f>COUNTIFS(РД[Тип кв],O$86,РД[МОП],$A105,РД[Дом],$C$100,РД[Дата подачи на регистрацию],"&lt;="&amp;$A$1,РД[Дата подачи на регистрацию],"&gt;="&amp;DATE(YEAR($A$1),MONTH($A$1),1))</f>
        <v>0</v>
      </c>
      <c r="P105" s="331">
        <f>COUNTIFS(РД[Тип кв],P$86,РД[МОП],$A105,РД[Дом],$C$100,РД[Дата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4" t="s">
        <v>29</v>
      </c>
      <c r="B106" s="274"/>
      <c r="C106" s="277"/>
      <c r="D106" s="341">
        <f>SUMIFS(сент2445[м2],сент2445[МОП],$A106,сент2445[№ дома],$C$100,сент2445[Комнатность],"&lt;&gt;Офис")</f>
        <v>0</v>
      </c>
      <c r="E106" s="277">
        <f>SUMIFS(сент2445[Сумма без отделки],сент2445[МОП],$A106,сент2445[№ дома],$C$100,сент2445[Комнатность],"&lt;&gt;Офис")</f>
        <v>0</v>
      </c>
      <c r="F106" s="405">
        <f>COUNTIFS(сент2445[МОП],$A106,сент2445[№ дома],$C$100,сент2445[Комнатность],"&lt;&gt;Офис")</f>
        <v>0</v>
      </c>
      <c r="G106" s="159">
        <f>SUMIFS(РД[S],РД[Дом],$C$100,РД[МОП],A106,РД[Дата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160">
        <f>SUMIFS(РД[Стоимость без отделки итог],РД[Дом],$C$100,РД[МОП],A106,РД[Дата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8">
        <f>COUNTIFS(РД[Дом],$C$100,РД[МОП],A106,РД[Дата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9">
        <f t="shared" si="9"/>
        <v>0</v>
      </c>
      <c r="K106" s="230">
        <f t="shared" si="9"/>
        <v>0</v>
      </c>
      <c r="L106" s="159">
        <f>COUNTIFS(РД[Тип кв],L$86,РД[МОП],$A106,РД[Дом],$C$100,РД[Дата подачи на регистрацию],"&lt;="&amp;$A$1,РД[Дата подачи на регистрацию],"&gt;="&amp;DATE(YEAR($A$1),MONTH($A$1),1))</f>
        <v>0</v>
      </c>
      <c r="M106" s="228">
        <f>COUNTIFS(РД[Тип кв],M$86,РД[МОП],$A106,РД[Дом],$C$100,РД[Дата подачи на регистрацию],"&lt;="&amp;$A$1,РД[Дата подачи на регистрацию],"&gt;="&amp;DATE(YEAR($A$1),MONTH($A$1),1))</f>
        <v>0</v>
      </c>
      <c r="N106" s="228">
        <f>COUNTIFS(РД[Тип кв],N$86,РД[МОП],$A106,РД[Дом],$C$100,РД[Дата подачи на регистрацию],"&lt;="&amp;$A$1,РД[Дата подачи на регистрацию],"&gt;="&amp;DATE(YEAR($A$1),MONTH($A$1),1))</f>
        <v>0</v>
      </c>
      <c r="O106" s="228">
        <f>COUNTIFS(РД[Тип кв],O$86,РД[МОП],$A106,РД[Дом],$C$100,РД[Дата подачи на регистрацию],"&lt;="&amp;$A$1,РД[Дата подачи на регистрацию],"&gt;="&amp;DATE(YEAR($A$1),MONTH($A$1),1))</f>
        <v>0</v>
      </c>
      <c r="P106" s="231">
        <f>COUNTIFS(РД[Тип кв],P$86,РД[МОП],$A106,РД[Дом],$C$100,РД[Дата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61" t="s">
        <v>1919</v>
      </c>
      <c r="B107" s="278"/>
      <c r="C107" s="281"/>
      <c r="D107" s="406">
        <f>SUMIFS(сент2445[м2],сент2445[МОП],$A107,сент2445[№ дома],$C$100,сент2445[Комнатность],"&lt;&gt;Офис")</f>
        <v>0</v>
      </c>
      <c r="E107" s="281">
        <f>SUMIFS(сент2445[Сумма без отделки],сент2445[МОП],$A107,сент2445[№ дома],$C$100,сент2445[Комнатность],"&lt;&gt;Офис")</f>
        <v>0</v>
      </c>
      <c r="F107" s="407">
        <f>COUNTIFS(сент2445[МОП],$A107,сент2445[№ дома],$C$100,сент2445[Комнатность],"&lt;&gt;Офис")</f>
        <v>0</v>
      </c>
      <c r="G107" s="166">
        <f>SUMIFS(РД[S],РД[Дом],$C$100,РД[МОП],A107,РД[Дата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167">
        <f>SUMIFS(РД[Стоимость без отделки итог],РД[Дом],$C$100,РД[МОП],A107,РД[Дата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32">
        <f>COUNTIFS(РД[Дом],$C$100,РД[МОП],A107,РД[Дата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33">
        <f t="shared" si="9"/>
        <v>0</v>
      </c>
      <c r="K107" s="234">
        <f t="shared" si="9"/>
        <v>0</v>
      </c>
      <c r="L107" s="235">
        <f>COUNTIFS(РД[Тип кв],L$86,РД[МОП],$A107,РД[Дом],$C$100,РД[Дата подачи на регистрацию],"&lt;="&amp;$A$1,РД[Дата подачи на регистрацию],"&gt;="&amp;DATE(YEAR($A$1),MONTH($A$1),1))</f>
        <v>0</v>
      </c>
      <c r="M107" s="236">
        <f>COUNTIFS(РД[Тип кв],M$86,РД[МОП],$A107,РД[Дом],$C$100,РД[Дата подачи на регистрацию],"&lt;="&amp;$A$1,РД[Дата подачи на регистрацию],"&gt;="&amp;DATE(YEAR($A$1),MONTH($A$1),1))</f>
        <v>0</v>
      </c>
      <c r="N107" s="236">
        <f>COUNTIFS(РД[Тип кв],N$86,РД[МОП],$A107,РД[Дом],$C$100,РД[Дата подачи на регистрацию],"&lt;="&amp;$A$1,РД[Дата подачи на регистрацию],"&gt;="&amp;DATE(YEAR($A$1),MONTH($A$1),1))</f>
        <v>0</v>
      </c>
      <c r="O107" s="236">
        <f>COUNTIFS(РД[Тип кв],O$86,РД[МОП],$A107,РД[Дом],$C$100,РД[Дата подачи на регистрацию],"&lt;="&amp;$A$1,РД[Дата подачи на регистрацию],"&gt;="&amp;DATE(YEAR($A$1),MONTH($A$1),1))</f>
        <v>0</v>
      </c>
      <c r="P107" s="237">
        <f>COUNTIFS(РД[Тип кв],P$86,РД[МОП],$A107,РД[Дом],$C$100,РД[Дата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68" t="s">
        <v>114</v>
      </c>
      <c r="B108" s="172">
        <f t="shared" ref="B108:I108" si="10">SUM(B102:B107)</f>
        <v>169</v>
      </c>
      <c r="C108" s="173">
        <f t="shared" si="10"/>
        <v>19865456</v>
      </c>
      <c r="D108" s="173">
        <f t="shared" si="10"/>
        <v>35.630000000000003</v>
      </c>
      <c r="E108" s="173">
        <f t="shared" si="10"/>
        <v>4566207</v>
      </c>
      <c r="F108" s="171">
        <f t="shared" si="10"/>
        <v>1</v>
      </c>
      <c r="G108" s="172">
        <f t="shared" si="10"/>
        <v>35.630000000000003</v>
      </c>
      <c r="H108" s="173">
        <f t="shared" si="10"/>
        <v>4566207</v>
      </c>
      <c r="I108" s="170">
        <f t="shared" si="10"/>
        <v>1</v>
      </c>
      <c r="J108" s="238">
        <f>IFERROR(G108/B108,"")</f>
        <v>0.21082840236686393</v>
      </c>
      <c r="K108" s="239">
        <f>IFERROR(H108/C108,"")</f>
        <v>0.22985664159936725</v>
      </c>
      <c r="L108" s="240">
        <f>SUM(L102:L107)</f>
        <v>0</v>
      </c>
      <c r="M108" s="241">
        <f>SUM(M102:M107)</f>
        <v>1</v>
      </c>
      <c r="N108" s="241">
        <f>SUM(N102:N107)</f>
        <v>0</v>
      </c>
      <c r="O108" s="241">
        <f>SUM(O102:O107)</f>
        <v>0</v>
      </c>
      <c r="P108" s="242">
        <f>SUM(P102:P107)</f>
        <v>0</v>
      </c>
      <c r="Q108" s="134"/>
      <c r="U108" s="66"/>
    </row>
    <row r="109" spans="1:21" s="65" customFormat="1">
      <c r="A109" s="135" t="s">
        <v>115</v>
      </c>
      <c r="B109" s="135" t="s">
        <v>100</v>
      </c>
      <c r="C109" s="136" t="s">
        <v>97</v>
      </c>
      <c r="D109" s="137" t="s">
        <v>494</v>
      </c>
      <c r="E109" s="138" t="s">
        <v>495</v>
      </c>
      <c r="F109" s="139" t="s">
        <v>496</v>
      </c>
      <c r="G109" s="140" t="s">
        <v>101</v>
      </c>
      <c r="H109" s="141" t="s">
        <v>98</v>
      </c>
      <c r="I109" s="141" t="s">
        <v>96</v>
      </c>
      <c r="J109" s="141" t="s">
        <v>715</v>
      </c>
      <c r="K109" s="216" t="s">
        <v>716</v>
      </c>
      <c r="L109" s="217">
        <v>0</v>
      </c>
      <c r="M109" s="218">
        <v>1</v>
      </c>
      <c r="N109" s="218">
        <v>2</v>
      </c>
      <c r="O109" s="218">
        <v>3</v>
      </c>
      <c r="P109" s="219" t="s">
        <v>1367</v>
      </c>
      <c r="Q109" s="134"/>
      <c r="U109" s="66"/>
    </row>
    <row r="110" spans="1:21" s="65" customFormat="1">
      <c r="A110" s="177" t="s">
        <v>1892</v>
      </c>
      <c r="B110" s="291">
        <f>IFERROR(VLOOKUP(A110,'ИПП 4кв24'!$B$3:$N$16,8,0),"")</f>
        <v>52.715596330275233</v>
      </c>
      <c r="C110" s="292">
        <f>IFERROR(VLOOKUP(A110,'ИПП 4кв24'!$B$3:$N$16,9,0),"")</f>
        <v>6196564.2568807332</v>
      </c>
      <c r="D110" s="346">
        <f>SUMIFS(сент2445[м2],сент2445[ИМ],A110,сент2445[№ дома],$C$100,сент2445[Комнатность],"&lt;&gt;Офис")</f>
        <v>0</v>
      </c>
      <c r="E110" s="184">
        <f>SUMIFS(сент2445[Сумма без отделки],сент2445[ИМ],$A110,сент2445[№ дома],$C$100,сент2445[Комнатность],"&lt;&gt;Офис")</f>
        <v>0</v>
      </c>
      <c r="F110" s="415">
        <f>COUNTIFS(сент2445[ИМ],$A110,сент2445[№ дома],$C$100,сент2445[Комнатность],"&lt;&gt;Офис")</f>
        <v>0</v>
      </c>
      <c r="G110" s="183">
        <f>SUMIFS(РД[S],РД[Дом],$C$100,РД[ИМ],A110,РД[Дата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H110" s="184">
        <f>SUMIFS(РД[Стоимость без отделки итог],РД[Дом],$C$100,РД[ИМ],A110,РД[Дата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I110" s="243">
        <f>COUNTIFS(РД[Дом],$C$100,РД[ИМ],A110,РД[Дата подачи на регистрацию],"&lt;="&amp;$A$1,РД[Дата подачи на регистрацию],"&gt;="&amp;DATE(YEAR($A$1),MONTH($A$1),1),РД[Состояние],"Продажа")</f>
        <v>0</v>
      </c>
      <c r="J110" s="244">
        <f t="shared" ref="J110:K112" si="11">IFERROR(G110/B110,"")</f>
        <v>0</v>
      </c>
      <c r="K110" s="258">
        <f t="shared" si="11"/>
        <v>0</v>
      </c>
      <c r="L110" s="183">
        <f>COUNTIFS(РД[Тип кв],L101,РД[ИМ],$A110,РД[Дом],$C$100,РД[Дата подачи на регистрацию],"&lt;="&amp;$A$1,РД[Дата подачи на регистрацию],"&gt;="&amp;DATE(YEAR($A$1),MONTH($A$1),1))</f>
        <v>0</v>
      </c>
      <c r="M110" s="243">
        <f>COUNTIFS(РД[Тип кв],M101,РД[ИМ],$A110,РД[Дом],$C$100,РД[Дата подачи на регистрацию],"&lt;="&amp;$A$1,РД[Дата подачи на регистрацию],"&gt;="&amp;DATE(YEAR($A$1),MONTH($A$1),1))</f>
        <v>0</v>
      </c>
      <c r="N110" s="243">
        <f>COUNTIFS(РД[Тип кв],N101,РД[ИМ],$A110,РД[Дом],$C$100,РД[Дата подачи на регистрацию],"&lt;="&amp;$A$1,РД[Дата подачи на регистрацию],"&gt;="&amp;DATE(YEAR($A$1),MONTH($A$1),1))</f>
        <v>0</v>
      </c>
      <c r="O110" s="243">
        <f>COUNTIFS(РД[Тип кв],O101,РД[ИМ],$A110,РД[Дом],$C$100,РД[Дата подачи на регистрацию],"&lt;="&amp;$A$1,РД[Дата подачи на регистрацию],"&gt;="&amp;DATE(YEAR($A$1),MONTH($A$1),1))</f>
        <v>0</v>
      </c>
      <c r="P110" s="246">
        <f>COUNTIFS(РД[Тип кв],P101,РД[ИМ],$A110,РД[Дом],$C$100,РД[Дата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50" t="s">
        <v>22</v>
      </c>
      <c r="B111" s="267">
        <f>IFERROR(VLOOKUP(A111,'ИПП 4кв24'!$B$3:$N$16,8,0),"")</f>
        <v>90.934403669724773</v>
      </c>
      <c r="C111" s="146">
        <f>IFERROR(VLOOKUP(A111,'ИПП 4кв24'!$B$3:$N$16,9,0),"")</f>
        <v>10689073.343119264</v>
      </c>
      <c r="D111" s="328">
        <f>SUMIFS(сент2445[м2],сент2445[ИМ],A111,сент2445[№ дома],$C$100,сент2445[Комнатность],"&lt;&gt;Офис")</f>
        <v>0</v>
      </c>
      <c r="E111" s="188">
        <f>SUMIFS(сент2445[Сумма без отделки],сент2445[ИМ],$A111,сент2445[№ дома],$C$100,сент2445[Комнатность],"&lt;&gt;Офис")</f>
        <v>0</v>
      </c>
      <c r="F111" s="404">
        <f>COUNTIFS(сент2445[ИМ],$A111,сент2445[№ дома],$C$100,сент2445[Комнатность],"&lt;&gt;Офис")</f>
        <v>0</v>
      </c>
      <c r="G111" s="187">
        <f>SUMIFS(РД[S],РД[Дом],$C$100,РД[ИМ],A111,РД[Дата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H111" s="188">
        <f>SUMIFS(РД[Стоимость без отделки итог],РД[Дом],$C$100,РД[ИМ],A111,РД[Дата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I111" s="247">
        <f>COUNTIFS(РД[Дом],$C$100,РД[ИМ],A111,РД[Дата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J111" s="248">
        <f t="shared" si="11"/>
        <v>0</v>
      </c>
      <c r="K111" s="259">
        <f t="shared" si="11"/>
        <v>0</v>
      </c>
      <c r="L111" s="187">
        <f>COUNTIFS(РД[Тип кв],L$86,РД[ИМ],$A111,РД[Дом],$C$100,РД[Дата подачи на регистрацию],"&lt;="&amp;$A$1,РД[Дата подачи на регистрацию],"&gt;="&amp;DATE(YEAR($A$1),MONTH($A$1),1))</f>
        <v>0</v>
      </c>
      <c r="M111" s="247">
        <f>COUNTIFS(РД[Тип кв],M$86,РД[ИМ],$A111,РД[Дом],$C$100,РД[Дата подачи на регистрацию],"&lt;="&amp;$A$1,РД[Дата подачи на регистрацию],"&gt;="&amp;DATE(YEAR($A$1),MONTH($A$1),1))</f>
        <v>0</v>
      </c>
      <c r="N111" s="247">
        <f>COUNTIFS(РД[Тип кв],N$86,РД[ИМ],$A111,РД[Дом],$C$100,РД[Дата подачи на регистрацию],"&lt;="&amp;$A$1,РД[Дата подачи на регистрацию],"&gt;="&amp;DATE(YEAR($A$1),MONTH($A$1),1))</f>
        <v>0</v>
      </c>
      <c r="O111" s="247">
        <f>COUNTIFS(РД[Тип кв],O$86,РД[ИМ],$A111,РД[Дом],$C$100,РД[Дата подачи на регистрацию],"&lt;="&amp;$A$1,РД[Дата подачи на регистрацию],"&gt;="&amp;DATE(YEAR($A$1),MONTH($A$1),1))</f>
        <v>0</v>
      </c>
      <c r="P111" s="250">
        <f>COUNTIFS(РД[Тип кв],P$86,РД[ИМ],$A111,РД[Дом],$C$100,РД[Дата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89" t="s">
        <v>16</v>
      </c>
      <c r="B112" s="293" t="str">
        <f>IFERROR(VLOOKUP(A112,'ИПП 4кв24'!$B$3:$N$16,8,0),"")</f>
        <v/>
      </c>
      <c r="C112" s="294" t="str">
        <f>IFERROR(VLOOKUP(A112,'ИПП 4кв24'!$B$3:$N$16,9,0),"")</f>
        <v/>
      </c>
      <c r="D112" s="426">
        <f>SUMIFS(сент2445[м2],сент2445[ИМ],A112,сент2445[№ дома],$C$100,сент2445[Комнатность],"&lt;&gt;Офис")</f>
        <v>0</v>
      </c>
      <c r="E112" s="196">
        <f>SUMIFS(сент2445[Сумма без отделки],сент2445[ИМ],$A112,сент2445[№ дома],$C$100,сент2445[Комнатность],"&lt;&gt;Офис")</f>
        <v>0</v>
      </c>
      <c r="F112" s="427">
        <f>COUNTIFS(сент2445[ИМ],$A112,сент2445[№ дома],$C$100,сент2445[Комнатность],"&lt;&gt;Офис")</f>
        <v>0</v>
      </c>
      <c r="G112" s="195">
        <f>SUMIFS(РД[S],РД[Дом],$C$100,РД[ИМ],A112,РД[Дата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H112" s="196">
        <f>SUMIFS(РД[Стоимость без отделки итог],РД[Дом],$C$100,РД[ИМ],A112,РД[Дата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I112" s="251">
        <f>COUNTIFS(РД[Дом],$C$100,РД[ИМ],A112,РД[Дата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J112" s="252" t="str">
        <f t="shared" si="11"/>
        <v/>
      </c>
      <c r="K112" s="260" t="str">
        <f t="shared" si="11"/>
        <v/>
      </c>
      <c r="L112" s="195">
        <f>COUNTIFS(РД[Тип кв],L$86,РД[ИМ],$A112,РД[Дом],$C$100,РД[Дата подачи на регистрацию],"&lt;="&amp;$A$1,РД[Дата подачи на регистрацию],"&gt;="&amp;DATE(YEAR($A$1),MONTH($A$1),1))</f>
        <v>0</v>
      </c>
      <c r="M112" s="251">
        <f>COUNTIFS(РД[Тип кв],M$86,РД[ИМ],$A112,РД[Дом],$C$100,РД[Дата подачи на регистрацию],"&lt;="&amp;$A$1,РД[Дата подачи на регистрацию],"&gt;="&amp;DATE(YEAR($A$1),MONTH($A$1),1))</f>
        <v>0</v>
      </c>
      <c r="N112" s="251">
        <f>COUNTIFS(РД[Тип кв],N$86,РД[ИМ],$A112,РД[Дом],$C$100,РД[Дата подачи на регистрацию],"&lt;="&amp;$A$1,РД[Дата подачи на регистрацию],"&gt;="&amp;DATE(YEAR($A$1),MONTH($A$1),1))</f>
        <v>0</v>
      </c>
      <c r="O112" s="251">
        <f>COUNTIFS(РД[Тип кв],O$86,РД[ИМ],$A112,РД[Дом],$C$100,РД[Дата подачи на регистрацию],"&lt;="&amp;$A$1,РД[Дата подачи на регистрацию],"&gt;="&amp;DATE(YEAR($A$1),MONTH($A$1),1))</f>
        <v>0</v>
      </c>
      <c r="P112" s="254">
        <f>COUNTIFS(РД[Тип кв],P$86,РД[ИМ],$A112,РД[Дом],$C$100,РД[Дата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168" t="s">
        <v>114</v>
      </c>
      <c r="B113" s="172">
        <f t="shared" ref="B113:I113" si="12">SUM(B110:B112)</f>
        <v>143.65</v>
      </c>
      <c r="C113" s="173">
        <f t="shared" si="12"/>
        <v>16885637.599999998</v>
      </c>
      <c r="D113" s="173">
        <f t="shared" si="12"/>
        <v>0</v>
      </c>
      <c r="E113" s="173">
        <f t="shared" si="12"/>
        <v>0</v>
      </c>
      <c r="F113" s="171">
        <f t="shared" si="12"/>
        <v>0</v>
      </c>
      <c r="G113" s="172">
        <f t="shared" si="12"/>
        <v>0</v>
      </c>
      <c r="H113" s="173">
        <f t="shared" si="12"/>
        <v>0</v>
      </c>
      <c r="I113" s="170">
        <f t="shared" si="12"/>
        <v>0</v>
      </c>
      <c r="J113" s="238">
        <f>IFERROR(G113/B113,)</f>
        <v>0</v>
      </c>
      <c r="K113" s="239">
        <f>IFERROR(H113/C113,)</f>
        <v>0</v>
      </c>
      <c r="L113" s="240">
        <f t="shared" ref="L113:P113" si="13">SUM(L110:L112)</f>
        <v>0</v>
      </c>
      <c r="M113" s="241">
        <f t="shared" si="13"/>
        <v>0</v>
      </c>
      <c r="N113" s="241">
        <f t="shared" si="13"/>
        <v>0</v>
      </c>
      <c r="O113" s="241">
        <f t="shared" si="13"/>
        <v>0</v>
      </c>
      <c r="P113" s="242">
        <f t="shared" si="13"/>
        <v>0</v>
      </c>
      <c r="Q113" s="134"/>
      <c r="U113" s="66"/>
    </row>
    <row r="114" spans="1:21" s="65" customFormat="1">
      <c r="A114" s="134"/>
      <c r="B114" s="211"/>
      <c r="C114" s="211"/>
      <c r="D114" s="212"/>
      <c r="E114" s="134"/>
      <c r="F114" s="134"/>
      <c r="G114" s="134"/>
      <c r="H114" s="134"/>
      <c r="I114" s="134"/>
      <c r="J114" s="134"/>
      <c r="K114" s="134"/>
      <c r="L114" s="261"/>
      <c r="M114" s="134"/>
      <c r="N114" s="134"/>
      <c r="O114" s="134"/>
      <c r="P114" s="262"/>
      <c r="Q114" s="134"/>
      <c r="U114" s="66"/>
    </row>
    <row r="115" spans="1:21" s="65" customFormat="1">
      <c r="A115" s="2325" t="s">
        <v>713</v>
      </c>
      <c r="B115" s="2326"/>
      <c r="C115" s="133" t="s">
        <v>718</v>
      </c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T115" s="66"/>
    </row>
    <row r="116" spans="1:21" s="65" customFormat="1">
      <c r="A116" s="135" t="s">
        <v>1</v>
      </c>
      <c r="B116" s="135" t="s">
        <v>100</v>
      </c>
      <c r="C116" s="136" t="s">
        <v>97</v>
      </c>
      <c r="D116" s="137" t="s">
        <v>494</v>
      </c>
      <c r="E116" s="138" t="s">
        <v>495</v>
      </c>
      <c r="F116" s="139" t="s">
        <v>496</v>
      </c>
      <c r="G116" s="140" t="s">
        <v>101</v>
      </c>
      <c r="H116" s="141" t="s">
        <v>98</v>
      </c>
      <c r="I116" s="141" t="s">
        <v>96</v>
      </c>
      <c r="J116" s="141" t="s">
        <v>715</v>
      </c>
      <c r="K116" s="216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T116" s="66"/>
    </row>
    <row r="117" spans="1:21" s="65" customFormat="1">
      <c r="A117" s="398" t="s">
        <v>8</v>
      </c>
      <c r="B117" s="267">
        <f>IFERROR(VLOOKUP(A117,'ИПП 4кв24'!$B$3:$N$16,10,0),"")</f>
        <v>0</v>
      </c>
      <c r="C117" s="146">
        <f>IFERROR(VLOOKUP(A117,'ИПП 4кв24'!$B$3:$N$16,11,0),"")</f>
        <v>0</v>
      </c>
      <c r="D117" s="257">
        <f>SUMIFS(сент2445[м2],сент2445[МОП],$A117,сент2445[Комнатность],"&lt;&gt;Офис")</f>
        <v>638.6</v>
      </c>
      <c r="E117" s="52">
        <f>SUMIFS(сент2445[Сумма без отделки],сент2445[МОП],$A117,сент2445[Комнатность],"&lt;&gt;Офис")</f>
        <v>68045266</v>
      </c>
      <c r="F117" s="413">
        <f>COUNTIFS(сент2445[МОП],$A117,сент2445[Комнатность],"&lt;&gt;Офис")</f>
        <v>13</v>
      </c>
      <c r="G117" s="202">
        <f>SUMIFS(РД[S],РД[МОП],A117,РД[Дата подачи на регистрацию],"&lt;="&amp;$A$1,РД[Дата подачи на регистрацию],"&gt;="&amp;DATE(YEAR($A$1),MONTH($A$1),1),РД[Состояние],"Продажа")</f>
        <v>1007.0699999999999</v>
      </c>
      <c r="H117" s="203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регистрацию],"&gt;="&amp;DATE(YEAR($A$1),MONTH($A$1),1),РД[Состояние],"Продажа")</f>
        <v>107769566</v>
      </c>
      <c r="I117" s="226">
        <f>COUNTIFS(РД[МОП],A117,РД[Дата подачи на регистрацию],"&lt;="&amp;$A$1,РД[Дата подачи на регистрацию],"&gt;="&amp;DATE(YEAR($A$1),MONTH($A$1),1),РД[Состояние],"Продажа")</f>
        <v>20</v>
      </c>
      <c r="J117" s="224" t="str">
        <f t="shared" ref="J117:K122" si="14">IFERROR(G117/B117,"")</f>
        <v/>
      </c>
      <c r="K117" s="225" t="str">
        <f t="shared" si="14"/>
        <v/>
      </c>
      <c r="L117" s="257">
        <f>COUNTIFS(РД[Тип кв],L$86,РД[МОП],$A117,РД[Дата подачи на регистрацию],"&lt;="&amp;$A$1,РД[Дата подачи на регистрацию],"&gt;="&amp;DATE(YEAR($A$1),MONTH($A$1),1))</f>
        <v>4</v>
      </c>
      <c r="M117" s="226">
        <f>COUNTIFS(РД[Тип кв],M$86,РД[МОП],$A117,РД[Дата подачи на регистрацию],"&lt;="&amp;$A$1,РД[Дата подачи на регистрацию],"&gt;="&amp;DATE(YEAR($A$1),MONTH($A$1),1))</f>
        <v>7</v>
      </c>
      <c r="N117" s="226">
        <f>COUNTIFS(РД[Тип кв],N$86,РД[МОП],$A117,РД[Дата подачи на регистрацию],"&lt;="&amp;$A$1,РД[Дата подачи на регистрацию],"&gt;="&amp;DATE(YEAR($A$1),MONTH($A$1),1))</f>
        <v>6</v>
      </c>
      <c r="O117" s="226">
        <f>COUNTIFS(РД[Тип кв],O$86,РД[МОП],$A117,РД[Дата подачи на регистрацию],"&lt;="&amp;$A$1,РД[Дата подачи на регистрацию],"&gt;="&amp;DATE(YEAR($A$1),MONTH($A$1),1))</f>
        <v>3</v>
      </c>
      <c r="P117" s="227">
        <f>COUNTIFS(РД[Тип кв],P$86,РД[МОП],$A117,РД[Дата подачи на регистрацию],"&lt;="&amp;$A$1,РД[Дата подачи на регистрацию],"&gt;="&amp;DATE(YEAR($A$1),MONTH($A$1),1))</f>
        <v>0</v>
      </c>
      <c r="T117" s="66"/>
    </row>
    <row r="118" spans="1:21" s="65" customFormat="1">
      <c r="A118" s="150" t="s">
        <v>46</v>
      </c>
      <c r="B118" s="267">
        <f>IFERROR(VLOOKUP(A118,'ИПП 4кв24'!$B$3:$N$16,10,0),"")</f>
        <v>0</v>
      </c>
      <c r="C118" s="146">
        <f>IFERROR(VLOOKUP(A118,'ИПП 4кв24'!$B$3:$N$16,11,0),"")</f>
        <v>0</v>
      </c>
      <c r="D118" s="257">
        <f>SUMIFS(сент2445[м2],сент2445[МОП],$A118,сент2445[Комнатность],"&lt;&gt;Офис")</f>
        <v>0</v>
      </c>
      <c r="E118" s="52">
        <f>SUMIFS(сент2445[Сумма без отделки],сент2445[МОП],$A118,сент2445[Комнатность],"&lt;&gt;Офис")</f>
        <v>0</v>
      </c>
      <c r="F118" s="413">
        <f>COUNTIFS(сент2445[МОП],$A118,сент2445[Комнатность],"&lt;&gt;Офис")</f>
        <v>0</v>
      </c>
      <c r="G118" s="202">
        <f>SUMIFS(РД[S],РД[МОП],A118,РД[Дата подачи на регистрацию],"&lt;="&amp;$A$1,РД[Дата подачи на регистрацию],"&gt;="&amp;DATE(YEAR($A$1),MONTH($A$1),1),РД[Состояние],"Продажа")</f>
        <v>0</v>
      </c>
      <c r="H118" s="203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226">
        <f>COUNTIFS(РД[МОП],A118,РД[Дата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4" t="str">
        <f t="shared" si="14"/>
        <v/>
      </c>
      <c r="K118" s="225" t="str">
        <f t="shared" si="14"/>
        <v/>
      </c>
      <c r="L118" s="257">
        <f>COUNTIFS(РД[Тип кв],L$86,РД[МОП],$A118,РД[Дата подачи на регистрацию],"&lt;="&amp;$A$1,РД[Дата подачи на регистрацию],"&gt;="&amp;DATE(YEAR($A$1),MONTH($A$1),1))</f>
        <v>0</v>
      </c>
      <c r="M118" s="226">
        <f>COUNTIFS(РД[Тип кв],M$86,РД[МОП],$A118,РД[Дата подачи на регистрацию],"&lt;="&amp;$A$1,РД[Дата подачи на регистрацию],"&gt;="&amp;DATE(YEAR($A$1),MONTH($A$1),1))</f>
        <v>0</v>
      </c>
      <c r="N118" s="226">
        <f>COUNTIFS(РД[Тип кв],N$86,РД[МОП],$A118,РД[Дата подачи на регистрацию],"&lt;="&amp;$A$1,РД[Дата подачи на регистрацию],"&gt;="&amp;DATE(YEAR($A$1),MONTH($A$1),1))</f>
        <v>0</v>
      </c>
      <c r="O118" s="226">
        <f>COUNTIFS(РД[Тип кв],O$86,РД[МОП],$A118,РД[Дата подачи на регистрацию],"&lt;="&amp;$A$1,РД[Дата подачи на регистрацию],"&gt;="&amp;DATE(YEAR($A$1),MONTH($A$1),1))</f>
        <v>0</v>
      </c>
      <c r="P118" s="227">
        <f>COUNTIFS(РД[Тип кв],P$86,РД[МОП],$A118,РД[Дата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53" t="s">
        <v>20</v>
      </c>
      <c r="B119" s="267">
        <f>IFERROR(VLOOKUP(A119,'ИПП 4кв24'!$B$3:$N$16,10,0),"")</f>
        <v>0</v>
      </c>
      <c r="C119" s="146">
        <f>IFERROR(VLOOKUP(A119,'ИПП 4кв24'!$B$3:$N$16,11,0),"")</f>
        <v>0</v>
      </c>
      <c r="D119" s="257">
        <f>SUMIFS(сент2445[м2],сент2445[МОП],$A119,сент2445[Комнатность],"&lt;&gt;Офис")</f>
        <v>240.72</v>
      </c>
      <c r="E119" s="52">
        <f>SUMIFS(сент2445[Сумма без отделки],сент2445[МОП],$A119,сент2445[Комнатность],"&lt;&gt;Офис")</f>
        <v>25896196</v>
      </c>
      <c r="F119" s="413">
        <f>COUNTIFS(сент2445[МОП],$A119,сент2445[Комнатность],"&lt;&gt;Офис")</f>
        <v>5</v>
      </c>
      <c r="G119" s="202">
        <f>SUMIFS(РД[S],РД[МОП],A119,РД[Дата подачи на регистрацию],"&lt;="&amp;$A$1,РД[Дата подачи на регистрацию],"&gt;="&amp;DATE(YEAR($A$1),MONTH($A$1),1),РД[Состояние],"Продажа")</f>
        <v>324.27999999999997</v>
      </c>
      <c r="H119" s="203">
        <f>SUMIFS(РД[Стоимость без отделки итог],РД[МОП],A119,РД[Дата подачи на регистрацию],"&lt;="&amp;$A$1,РД[Дата подачи на регистрацию],"&gt;="&amp;DATE(YEAR($A$1),MONTH($A$1),1),РД[Состояние],"Продажа")</f>
        <v>34674899</v>
      </c>
      <c r="I119" s="226">
        <f>COUNTIFS(РД[МОП],A119,РД[Дата подачи на регистрацию],"&lt;="&amp;$A$1,РД[Дата подачи на регистрацию],"&gt;="&amp;DATE(YEAR($A$1),MONTH($A$1),1),РД[Состояние],"Продажа")</f>
        <v>7</v>
      </c>
      <c r="J119" s="224" t="str">
        <f t="shared" si="14"/>
        <v/>
      </c>
      <c r="K119" s="225" t="str">
        <f t="shared" si="14"/>
        <v/>
      </c>
      <c r="L119" s="325">
        <f>COUNTIFS(РД[Тип кв],L$86,РД[МОП],$A119,РД[Дата подачи на регистрацию],"&lt;="&amp;$A$1,РД[Дата подачи на регистрацию],"&gt;="&amp;DATE(YEAR($A$1),MONTH($A$1),1))</f>
        <v>1</v>
      </c>
      <c r="M119" s="326">
        <f>COUNTIFS(РД[Тип кв],M$86,РД[МОП],$A119,РД[Дата подачи на регистрацию],"&lt;="&amp;$A$1,РД[Дата подачи на регистрацию],"&gt;="&amp;DATE(YEAR($A$1),MONTH($A$1),1))</f>
        <v>3</v>
      </c>
      <c r="N119" s="326">
        <f>COUNTIFS(РД[Тип кв],N$86,РД[МОП],$A119,РД[Дата подачи на регистрацию],"&lt;="&amp;$A$1,РД[Дата подачи на регистрацию],"&gt;="&amp;DATE(YEAR($A$1),MONTH($A$1),1))</f>
        <v>3</v>
      </c>
      <c r="O119" s="326">
        <f>COUNTIFS(РД[Тип кв],O$86,РД[МОП],$A119,РД[Дата подачи на регистрацию],"&lt;="&amp;$A$1,РД[Дата подачи на регистрацию],"&gt;="&amp;DATE(YEAR($A$1),MONTH($A$1),1))</f>
        <v>0</v>
      </c>
      <c r="P119" s="327">
        <f>COUNTIFS(РД[Тип кв],P$86,РД[МОП],$A119,РД[Дата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53" t="s">
        <v>14</v>
      </c>
      <c r="B120" s="267">
        <f>IFERROR(VLOOKUP(A120,'ИПП 4кв24'!$B$3:$N$16,10,0),"")</f>
        <v>0</v>
      </c>
      <c r="C120" s="146">
        <f>IFERROR(VLOOKUP(A120,'ИПП 4кв24'!$B$3:$N$16,11,0),"")</f>
        <v>0</v>
      </c>
      <c r="D120" s="329">
        <f>SUMIFS(сент2445[м2],сент2445[МОП],$A120,сент2445[Комнатность],"&lt;&gt;Офис")</f>
        <v>423.87</v>
      </c>
      <c r="E120" s="363">
        <f>SUMIFS(сент2445[Сумма без отделки],сент2445[МОП],$A120,сент2445[Комнатность],"&lt;&gt;Офис")</f>
        <v>45166397</v>
      </c>
      <c r="F120" s="414">
        <f>COUNTIFS(сент2445[МОП],$A120,сент2445[Комнатность],"&lt;&gt;Офис")</f>
        <v>10</v>
      </c>
      <c r="G120" s="358">
        <f>SUMIFS(РД[S],РД[МОП],A120,РД[Дата подачи на регистрацию],"&lt;="&amp;$A$1,РД[Дата подачи на регистрацию],"&gt;="&amp;DATE(YEAR($A$1),MONTH($A$1),1),РД[Состояние],"Продажа")</f>
        <v>490.9</v>
      </c>
      <c r="H120" s="359">
        <f>SUMIFS(РД[Стоимость без отделки итог],РД[МОП],A120,РД[Дата подачи на регистрацию],"&lt;="&amp;$A$1,РД[Дата подачи на регистрацию],"&gt;="&amp;DATE(YEAR($A$1),MONTH($A$1),1),РД[Состояние],"Продажа")</f>
        <v>52992497</v>
      </c>
      <c r="I120" s="330">
        <f>COUNTIFS(РД[МОП],A120,РД[Дата подачи на регистрацию],"&lt;="&amp;$A$1,РД[Дата подачи на регистрацию],"&gt;="&amp;DATE(YEAR($A$1),MONTH($A$1),1),РД[Состояние],"Продажа")</f>
        <v>11</v>
      </c>
      <c r="J120" s="360" t="str">
        <f t="shared" si="14"/>
        <v/>
      </c>
      <c r="K120" s="361" t="str">
        <f t="shared" si="14"/>
        <v/>
      </c>
      <c r="L120" s="364">
        <f>COUNTIFS(РД[Тип кв],L$86,РД[МОП],$A120,РД[Дата подачи на регистрацию],"&lt;="&amp;$A$1,РД[Дата подачи на регистрацию],"&gt;="&amp;DATE(YEAR($A$1),MONTH($A$1),1))</f>
        <v>3</v>
      </c>
      <c r="M120" s="365">
        <f>COUNTIFS(РД[Тип кв],M$86,РД[МОП],$A120,РД[Дата подачи на регистрацию],"&lt;="&amp;$A$1,РД[Дата подачи на регистрацию],"&gt;="&amp;DATE(YEAR($A$1),MONTH($A$1),1))</f>
        <v>5</v>
      </c>
      <c r="N120" s="365">
        <f>COUNTIFS(РД[Тип кв],N$86,РД[МОП],$A120,РД[Дата подачи на регистрацию],"&lt;="&amp;$A$1,РД[Дата подачи на регистрацию],"&gt;="&amp;DATE(YEAR($A$1),MONTH($A$1),1))</f>
        <v>1</v>
      </c>
      <c r="O120" s="365">
        <f>COUNTIFS(РД[Тип кв],O$86,РД[МОП],$A120,РД[Дата подачи на регистрацию],"&lt;="&amp;$A$1,РД[Дата подачи на регистрацию],"&gt;="&amp;DATE(YEAR($A$1),MONTH($A$1),1))</f>
        <v>2</v>
      </c>
      <c r="P120" s="366">
        <f>COUNTIFS(РД[Тип кв],P$86,РД[МОП],$A120,РД[Дата подачи на регистрацию],"&lt;="&amp;$A$1,РД[Дата подачи на регистрацию],"&gt;="&amp;DATE(YEAR($A$1),MONTH($A$1),1))</f>
        <v>0</v>
      </c>
      <c r="Q120" s="86"/>
      <c r="R120" s="86"/>
      <c r="S120" s="86"/>
      <c r="T120" s="66"/>
    </row>
    <row r="121" spans="1:21" s="65" customFormat="1">
      <c r="A121" s="154" t="s">
        <v>29</v>
      </c>
      <c r="B121" s="274"/>
      <c r="C121" s="277"/>
      <c r="D121" s="341">
        <f>SUMIFS(сент2445[м2],сент2445[МОП],$A121,сент2445[Комнатность],"&lt;&gt;Офис")</f>
        <v>0</v>
      </c>
      <c r="E121" s="277">
        <f>SUMIFS(сент2445[Сумма без отделки],сент2445[МОП],$A121,сент2445[Комнатность],"&lt;&gt;Офис")</f>
        <v>0</v>
      </c>
      <c r="F121" s="405">
        <f>COUNTIFS(сент2445[МОП],$A121,сент2445[Комнатность],"&lt;&gt;Офис")</f>
        <v>0</v>
      </c>
      <c r="G121" s="159">
        <f>SUMIFS(РД[S],РД[МОП],A121,РД[Дата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160">
        <f>SUMIFS(РД[Стоимость без отделки итог],РД[МОП],A121,РД[Дата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8">
        <f>COUNTIFS(РД[МОП],A121,РД[Дата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9" t="str">
        <f t="shared" si="14"/>
        <v/>
      </c>
      <c r="K121" s="230" t="str">
        <f t="shared" si="14"/>
        <v/>
      </c>
      <c r="L121" s="159">
        <f>COUNTIFS(РД[Тип кв],L$86,РД[МОП],$A121,РД[Дата подачи на регистрацию],"&lt;="&amp;$A$1,РД[Дата подачи на регистрацию],"&gt;="&amp;DATE(YEAR($A$1),MONTH($A$1),1))</f>
        <v>0</v>
      </c>
      <c r="M121" s="228">
        <f>COUNTIFS(РД[Тип кв],M$86,РД[МОП],$A121,РД[Дата подачи на регистрацию],"&lt;="&amp;$A$1,РД[Дата подачи на регистрацию],"&gt;="&amp;DATE(YEAR($A$1),MONTH($A$1),1))</f>
        <v>0</v>
      </c>
      <c r="N121" s="228">
        <f>COUNTIFS(РД[Тип кв],N$86,РД[МОП],$A121,РД[Дата подачи на регистрацию],"&lt;="&amp;$A$1,РД[Дата подачи на регистрацию],"&gt;="&amp;DATE(YEAR($A$1),MONTH($A$1),1))</f>
        <v>0</v>
      </c>
      <c r="O121" s="228">
        <f>COUNTIFS(РД[Тип кв],O$86,РД[МОП],$A121,РД[Дата подачи на регистрацию],"&lt;="&amp;$A$1,РД[Дата подачи на регистрацию],"&gt;="&amp;DATE(YEAR($A$1),MONTH($A$1),1))</f>
        <v>0</v>
      </c>
      <c r="P121" s="231">
        <f>COUNTIFS(РД[Тип кв],P$86,РД[МОП],$A121,РД[Дата подачи на регистрацию],"&lt;="&amp;$A$1,РД[Дата подачи на регистрацию],"&gt;="&amp;DATE(YEAR($A$1),MONTH($A$1),1))</f>
        <v>0</v>
      </c>
      <c r="T121" s="66"/>
    </row>
    <row r="122" spans="1:21" s="65" customFormat="1">
      <c r="A122" s="161" t="s">
        <v>1919</v>
      </c>
      <c r="B122" s="278"/>
      <c r="C122" s="281"/>
      <c r="D122" s="406">
        <f>SUMIFS(сент2445[м2],сент2445[МОП],$A122,сент2445[Комнатность],"&lt;&gt;Офис")</f>
        <v>516.05999999999995</v>
      </c>
      <c r="E122" s="281">
        <f>SUMIFS(сент2445[Сумма без отделки],сент2445[МОП],$A122,сент2445[Комнатность],"&lt;&gt;Офис")</f>
        <v>56532590</v>
      </c>
      <c r="F122" s="407">
        <f>COUNTIFS(сент2445[МОП],$A122,сент2445[Комнатность],"&lt;&gt;Офис")</f>
        <v>11</v>
      </c>
      <c r="G122" s="166">
        <f>SUMIFS(РД[S],РД[МОП],A122,РД[Дата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7">
        <f>SUMIFS(РД[Стоимость без отделки итог],РД[МОП],A122,РД[Дата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32">
        <f>COUNTIFS(РД[МОП],A122,РД[Дата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33" t="str">
        <f t="shared" si="14"/>
        <v/>
      </c>
      <c r="K122" s="234" t="str">
        <f t="shared" si="14"/>
        <v/>
      </c>
      <c r="L122" s="235">
        <f>COUNTIFS(РД[Тип кв],L$86,РД[МОП],$A122,РД[Дата подачи на регистрацию],"&lt;="&amp;$A$1,РД[Дата подачи на регистрацию],"&gt;="&amp;DATE(YEAR($A$1),MONTH($A$1),1))</f>
        <v>0</v>
      </c>
      <c r="M122" s="236">
        <f>COUNTIFS(РД[Тип кв],M$86,РД[МОП],$A122,РД[Дата подачи на регистрацию],"&lt;="&amp;$A$1,РД[Дата подачи на регистрацию],"&gt;="&amp;DATE(YEAR($A$1),MONTH($A$1),1))</f>
        <v>0</v>
      </c>
      <c r="N122" s="236">
        <f>COUNTIFS(РД[Тип кв],N$86,РД[МОП],$A122,РД[Дата подачи на регистрацию],"&lt;="&amp;$A$1,РД[Дата подачи на регистрацию],"&gt;="&amp;DATE(YEAR($A$1),MONTH($A$1),1))</f>
        <v>0</v>
      </c>
      <c r="O122" s="236">
        <f>COUNTIFS(РД[Тип кв],O$86,РД[МОП],$A122,РД[Дата подачи на регистрацию],"&lt;="&amp;$A$1,РД[Дата подачи на регистрацию],"&gt;="&amp;DATE(YEAR($A$1),MONTH($A$1),1))</f>
        <v>0</v>
      </c>
      <c r="P122" s="237">
        <f>COUNTIFS(РД[Тип кв],P$86,РД[МОП],$A122,РД[Дата подачи на регистрацию],"&lt;="&amp;$A$1,РД[Дата подачи на регистрацию],"&gt;="&amp;DATE(YEAR($A$1),MONTH($A$1),1))</f>
        <v>0</v>
      </c>
      <c r="T122" s="66"/>
    </row>
    <row r="123" spans="1:21" s="65" customFormat="1">
      <c r="A123" s="168" t="s">
        <v>114</v>
      </c>
      <c r="B123" s="172">
        <f t="shared" ref="B123:I123" si="15">SUM(B117:B122)</f>
        <v>0</v>
      </c>
      <c r="C123" s="173">
        <f t="shared" si="15"/>
        <v>0</v>
      </c>
      <c r="D123" s="173">
        <f t="shared" si="15"/>
        <v>1819.25</v>
      </c>
      <c r="E123" s="173">
        <f t="shared" si="15"/>
        <v>195640449</v>
      </c>
      <c r="F123" s="171">
        <f t="shared" si="15"/>
        <v>39</v>
      </c>
      <c r="G123" s="172">
        <f t="shared" si="15"/>
        <v>1822.25</v>
      </c>
      <c r="H123" s="173">
        <f t="shared" si="15"/>
        <v>195436962</v>
      </c>
      <c r="I123" s="170">
        <f t="shared" si="15"/>
        <v>38</v>
      </c>
      <c r="J123" s="238">
        <f>IFERROR(G123/B123,)</f>
        <v>0</v>
      </c>
      <c r="K123" s="239">
        <f>IFERROR(H123/C123,)</f>
        <v>0</v>
      </c>
      <c r="L123" s="240">
        <f>SUM(L117:L122)</f>
        <v>8</v>
      </c>
      <c r="M123" s="241">
        <f>SUM(M117:M122)</f>
        <v>15</v>
      </c>
      <c r="N123" s="241">
        <f>SUM(N117:N122)</f>
        <v>10</v>
      </c>
      <c r="O123" s="241">
        <f>SUM(O117:O122)</f>
        <v>5</v>
      </c>
      <c r="P123" s="242">
        <f>SUM(P117:P122)</f>
        <v>0</v>
      </c>
      <c r="T123" s="66"/>
    </row>
    <row r="124" spans="1:21" s="65" customFormat="1">
      <c r="A124" s="135" t="s">
        <v>115</v>
      </c>
      <c r="B124" s="135" t="s">
        <v>100</v>
      </c>
      <c r="C124" s="136" t="s">
        <v>97</v>
      </c>
      <c r="D124" s="137" t="s">
        <v>494</v>
      </c>
      <c r="E124" s="138" t="s">
        <v>495</v>
      </c>
      <c r="F124" s="139" t="s">
        <v>496</v>
      </c>
      <c r="G124" s="140" t="s">
        <v>101</v>
      </c>
      <c r="H124" s="141" t="s">
        <v>98</v>
      </c>
      <c r="I124" s="141" t="s">
        <v>96</v>
      </c>
      <c r="J124" s="141" t="s">
        <v>715</v>
      </c>
      <c r="K124" s="216" t="s">
        <v>716</v>
      </c>
      <c r="L124" s="217">
        <v>0</v>
      </c>
      <c r="M124" s="218">
        <v>1</v>
      </c>
      <c r="N124" s="218">
        <v>2</v>
      </c>
      <c r="O124" s="218">
        <v>3</v>
      </c>
      <c r="P124" s="219" t="s">
        <v>1367</v>
      </c>
      <c r="T124" s="66"/>
    </row>
    <row r="125" spans="1:21" s="65" customFormat="1">
      <c r="A125" s="177" t="s">
        <v>1892</v>
      </c>
      <c r="B125" s="291">
        <f>IFERROR(VLOOKUP(A125,'ИПП 4кв24'!$B$3:$N$16,10,0),"")</f>
        <v>0</v>
      </c>
      <c r="C125" s="292">
        <f>IFERROR(VLOOKUP(A125,'ИПП 4кв24'!$B$3:$N$16,11,0),"")</f>
        <v>0</v>
      </c>
      <c r="D125" s="346">
        <f>SUMIFS(сент2445[м2],сент2445[ИМ],A125,сент2445[Комнатность],"&lt;&gt;Офис")</f>
        <v>0</v>
      </c>
      <c r="E125" s="184">
        <f>SUMIFS(сент2445[Сумма без отделки],сент2445[ИМ],$A125,сент2445[Комнатность],"&lt;&gt;Офис")</f>
        <v>0</v>
      </c>
      <c r="F125" s="415">
        <f>COUNTIFS(сент2445[ИМ],A125,сент2445[Комнатность],"&lt;&gt;Офис")</f>
        <v>0</v>
      </c>
      <c r="G125" s="183">
        <f>SUMIFS(РД[S],РД[ИМ],A125,РД[Дата подачи на регистрацию],"&lt;="&amp;$A$1,РД[Дата подачи на регистрацию],"&gt;="&amp;DATE(YEAR($A$1),MONTH($A$1),1),РД[Состояние],"Продажа")</f>
        <v>512.15</v>
      </c>
      <c r="H125" s="184">
        <f>SUMIFS(РД[Стоимость без отделки итог],РД[ИМ],A125,РД[Дата подачи на регистрацию],"&lt;="&amp;$A$1,РД[Дата подачи на регистрацию],"&gt;="&amp;DATE(YEAR($A$1),MONTH($A$1),1),РД[Состояние],"Продажа")</f>
        <v>55630302</v>
      </c>
      <c r="I125" s="243">
        <f>COUNTIFS(РД[ИМ],A125,РД[Дата подачи на регистрацию],"&lt;="&amp;$A$1,РД[Дата подачи на регистрацию],"&gt;="&amp;DATE(YEAR($A$1),MONTH($A$1),1),РД[Состояние],"Продажа")</f>
        <v>11</v>
      </c>
      <c r="J125" s="244" t="str">
        <f t="shared" ref="J125:K128" si="16">IFERROR(G125/B125,"")</f>
        <v/>
      </c>
      <c r="K125" s="258" t="str">
        <f t="shared" si="16"/>
        <v/>
      </c>
      <c r="L125" s="183">
        <f>COUNTIFS(РД[Тип кв],L116,РД[ИМ],$A125,РД[Дата подачи на регистрацию],"&lt;="&amp;$A$1,РД[Дата подачи на регистрацию],"&gt;="&amp;DATE(YEAR($A$1),MONTH($A$1),1))</f>
        <v>2</v>
      </c>
      <c r="M125" s="243">
        <f>COUNTIFS(РД[Тип кв],M116,РД[ИМ],$A125,РД[Дата подачи на регистрацию],"&lt;="&amp;$A$1,РД[Дата подачи на регистрацию],"&gt;="&amp;DATE(YEAR($A$1),MONTH($A$1),1))</f>
        <v>5</v>
      </c>
      <c r="N125" s="243">
        <f>COUNTIFS(РД[Тип кв],N116,РД[ИМ],$A125,РД[Дата подачи на регистрацию],"&lt;="&amp;$A$1,РД[Дата подачи на регистрацию],"&gt;="&amp;DATE(YEAR($A$1),MONTH($A$1),1))</f>
        <v>3</v>
      </c>
      <c r="O125" s="243">
        <f>COUNTIFS(РД[Тип кв],O116,РД[ИМ],$A125,РД[Дата подачи на регистрацию],"&lt;="&amp;$A$1,РД[Дата подачи на регистрацию],"&gt;="&amp;DATE(YEAR($A$1),MONTH($A$1),1))</f>
        <v>1</v>
      </c>
      <c r="P125" s="246">
        <f>COUNTIFS(РД[Тип кв],P116,РД[ИМ],$A125,РД[Дата подачи на регистрацию],"&lt;="&amp;$A$1,РД[Дата подачи на регистрацию],"&gt;="&amp;DATE(YEAR($A$1),MONTH($A$1),1))</f>
        <v>0</v>
      </c>
      <c r="Q125" s="66"/>
      <c r="R125" s="66"/>
      <c r="S125" s="66"/>
      <c r="T125" s="66"/>
    </row>
    <row r="126" spans="1:21" s="65" customFormat="1">
      <c r="A126" s="150" t="s">
        <v>22</v>
      </c>
      <c r="B126" s="267">
        <f>IFERROR(VLOOKUP(A126,'ИПП 4кв24'!$B$3:$N$16,10,0),"")</f>
        <v>0</v>
      </c>
      <c r="C126" s="146">
        <f>IFERROR(VLOOKUP(A126,'ИПП 4кв24'!$B$3:$N$16,11,0),"")</f>
        <v>0</v>
      </c>
      <c r="D126" s="328">
        <f>SUMIFS(сент2445[м2],сент2445[ИМ],A126,сент2445[Комнатность],"&lt;&gt;Офис")</f>
        <v>1555.92</v>
      </c>
      <c r="E126" s="188">
        <f>SUMIFS(сент2445[Сумма без отделки],сент2445[ИМ],$A126,сент2445[Комнатность],"&lt;&gt;Офис")</f>
        <v>168836142</v>
      </c>
      <c r="F126" s="404">
        <f>COUNTIFS(сент2445[ИМ],$A126,сент2445[Комнатность],"&lt;&gt;Офис")</f>
        <v>33</v>
      </c>
      <c r="G126" s="187">
        <f>SUMIFS(РД[S],РД[ИМ],A126,РД[Дата подачи на регистрацию],"&lt;="&amp;$A$1,РД[Дата подачи на регистрацию],"&gt;="&amp;DATE(YEAR($A$1),MONTH($A$1),1),РД[Состояние],"Продажа")</f>
        <v>1105.01</v>
      </c>
      <c r="H126" s="188">
        <f>SUMIFS(РД[Стоимость без отделки итог],РД[ИМ],A126,РД[Дата подачи на регистрацию],"&lt;="&amp;$A$1,РД[Дата подачи на регистрацию],"&gt;="&amp;DATE(YEAR($A$1),MONTH($A$1),1),РД[Состояние],"Продажа")</f>
        <v>118668853</v>
      </c>
      <c r="I126" s="247">
        <f>COUNTIFS(РД[ИМ],A126,РД[Дата подачи на регистрацию],"&lt;="&amp;$A$1,РД[Дата подачи на регистрацию],"&gt;="&amp;DATE(YEAR($A$1),MONTH($A$1),1),РД[Состояние],"Продажа")</f>
        <v>23</v>
      </c>
      <c r="J126" s="248" t="str">
        <f t="shared" si="16"/>
        <v/>
      </c>
      <c r="K126" s="259" t="str">
        <f t="shared" si="16"/>
        <v/>
      </c>
      <c r="L126" s="328">
        <f>COUNTIFS(РД[Тип кв],L117,РД[ИМ],$A126,РД[Дата подачи на регистрацию],"&lt;="&amp;$A$1,РД[Дата подачи на регистрацию],"&gt;="&amp;DATE(YEAR($A$1),MONTH($A$1),1))</f>
        <v>0</v>
      </c>
      <c r="M126" s="247">
        <f>COUNTIFS(РД[Тип кв],M117,РД[ИМ],$A126,РД[Дата подачи на регистрацию],"&lt;="&amp;$A$1,РД[Дата подачи на регистрацию],"&gt;="&amp;DATE(YEAR($A$1),MONTH($A$1),1))</f>
        <v>0</v>
      </c>
      <c r="N126" s="247">
        <f>COUNTIFS(РД[Тип кв],N117,РД[ИМ],$A126,РД[Дата подачи на регистрацию],"&lt;="&amp;$A$1,РД[Дата подачи на регистрацию],"&gt;="&amp;DATE(YEAR($A$1),MONTH($A$1),1))</f>
        <v>0</v>
      </c>
      <c r="O126" s="247">
        <f>COUNTIFS(РД[Тип кв],O117,РД[ИМ],$A126,РД[Дата подачи на регистрацию],"&lt;="&amp;$A$1,РД[Дата подачи на регистрацию],"&gt;="&amp;DATE(YEAR($A$1),MONTH($A$1),1))</f>
        <v>3</v>
      </c>
      <c r="P126" s="250">
        <f>COUNTIFS(РД[Тип кв],P117,РД[ИМ],$A126,РД[Дата подачи на регистрацию],"&lt;="&amp;$A$1,РД[Дата подачи на регистрацию],"&gt;="&amp;DATE(YEAR($A$1),MONTH($A$1),1))</f>
        <v>5</v>
      </c>
      <c r="Q126" s="66"/>
      <c r="R126" s="66"/>
      <c r="S126" s="66"/>
      <c r="T126" s="66"/>
    </row>
    <row r="127" spans="1:21" s="65" customFormat="1">
      <c r="A127" s="189" t="s">
        <v>16</v>
      </c>
      <c r="B127" s="293" t="str">
        <f>IFERROR(VLOOKUP(A127,'ИПП 4кв24'!$B$3:$N$16,10,0),"")</f>
        <v/>
      </c>
      <c r="C127" s="294" t="str">
        <f>IFERROR(VLOOKUP(A127,'ИПП 4кв24'!$B$3:$N$16,11,0),"")</f>
        <v/>
      </c>
      <c r="D127" s="426">
        <f>SUMIFS(сент2445[м2],сент2445[ИМ],A127,сент2445[Комнатность],"&lt;&gt;Офис")</f>
        <v>0</v>
      </c>
      <c r="E127" s="196">
        <f>SUMIFS(сент2445[Сумма без отделки],сент2445[ИМ],$A127,сент2445[Комнатность],"&lt;&gt;Офис")</f>
        <v>0</v>
      </c>
      <c r="F127" s="427">
        <f>COUNTIFS(сент2445[ИМ],$A127,сент2445[Комнатность],"&lt;&gt;Офис")</f>
        <v>0</v>
      </c>
      <c r="G127" s="195">
        <f>SUMIFS(РД[S],РД[ИМ],A127,РД[Дата подачи на регистрацию],"&lt;="&amp;$A$1,РД[Дата подачи на регистрацию],"&gt;="&amp;DATE(YEAR($A$1),MONTH($A$1),1),РД[Состояние],"Продажа")</f>
        <v>0</v>
      </c>
      <c r="H127" s="196">
        <f>SUMIFS(РД[Стоимость без отделки итог],РД[ИМ],A127,РД[Дата подачи на регистрацию],"&lt;="&amp;$A$1,РД[Дата подачи на регистрацию],"&gt;="&amp;DATE(YEAR($A$1),MONTH($A$1),1),РД[Состояние],"Продажа")</f>
        <v>0</v>
      </c>
      <c r="I127" s="251">
        <f>COUNTIFS(РД[ИМ],A127,РД[Дата подачи на регистрацию],"&lt;="&amp;$A$1,РД[Дата подачи на регистрацию],"&gt;="&amp;DATE(YEAR($A$1),MONTH($A$1),1),РД[Состояние],"Продажа")</f>
        <v>0</v>
      </c>
      <c r="J127" s="252" t="str">
        <f t="shared" si="16"/>
        <v/>
      </c>
      <c r="K127" s="260" t="str">
        <f t="shared" si="16"/>
        <v/>
      </c>
      <c r="L127" s="329">
        <f>COUNTIFS(РД[Тип кв],L119,РД[ИМ],$A127,РД[Дата подачи на регистрацию],"&lt;="&amp;$A$1,РД[Дата подачи на регистрацию],"&gt;="&amp;DATE(YEAR($A$1),MONTH($A$1),1))</f>
        <v>0</v>
      </c>
      <c r="M127" s="330">
        <f>COUNTIFS(РД[Тип кв],M119,РД[ИМ],$A127,РД[Дата подачи на регистрацию],"&lt;="&amp;$A$1,РД[Дата подачи на регистрацию],"&gt;="&amp;DATE(YEAR($A$1),MONTH($A$1),1))</f>
        <v>0</v>
      </c>
      <c r="N127" s="330">
        <f>COUNTIFS(РД[Тип кв],N119,РД[ИМ],$A127,РД[Дата подачи на регистрацию],"&lt;="&amp;$A$1,РД[Дата подачи на регистрацию],"&gt;="&amp;DATE(YEAR($A$1),MONTH($A$1),1))</f>
        <v>0</v>
      </c>
      <c r="O127" s="330">
        <f>COUNTIFS(РД[Тип кв],O119,РД[ИМ],$A127,РД[Дата подачи на регистрацию],"&lt;="&amp;$A$1,РД[Дата подачи на регистрацию],"&gt;="&amp;DATE(YEAR($A$1),MONTH($A$1),1))</f>
        <v>0</v>
      </c>
      <c r="P127" s="331">
        <f>COUNTIFS(РД[Тип кв],P119,РД[ИМ],$A127,РД[Дата подачи на регистрацию],"&lt;="&amp;$A$1,РД[Дата подачи на регистрацию],"&gt;="&amp;DATE(YEAR($A$1),MONTH($A$1),1))</f>
        <v>0</v>
      </c>
      <c r="Q127" s="66"/>
      <c r="R127" s="66"/>
      <c r="S127" s="66"/>
      <c r="T127" s="66"/>
    </row>
    <row r="128" spans="1:21" s="65" customFormat="1">
      <c r="A128" s="168" t="s">
        <v>114</v>
      </c>
      <c r="B128" s="172">
        <f>SUM(B125:B127)</f>
        <v>0</v>
      </c>
      <c r="C128" s="173">
        <f>SUM(C125:C127)</f>
        <v>0</v>
      </c>
      <c r="D128" s="173">
        <f t="shared" ref="D128:P128" si="17">SUM(D125:D127)</f>
        <v>1555.92</v>
      </c>
      <c r="E128" s="173">
        <f t="shared" si="17"/>
        <v>168836142</v>
      </c>
      <c r="F128" s="171">
        <f t="shared" si="17"/>
        <v>33</v>
      </c>
      <c r="G128" s="172">
        <f t="shared" si="17"/>
        <v>1617.1599999999999</v>
      </c>
      <c r="H128" s="173">
        <f t="shared" si="17"/>
        <v>174299155</v>
      </c>
      <c r="I128" s="170">
        <f t="shared" si="17"/>
        <v>34</v>
      </c>
      <c r="J128" s="238" t="str">
        <f t="shared" si="16"/>
        <v/>
      </c>
      <c r="K128" s="239" t="str">
        <f t="shared" si="16"/>
        <v/>
      </c>
      <c r="L128" s="240">
        <f t="shared" si="17"/>
        <v>2</v>
      </c>
      <c r="M128" s="241">
        <f t="shared" si="17"/>
        <v>5</v>
      </c>
      <c r="N128" s="241">
        <f t="shared" si="17"/>
        <v>3</v>
      </c>
      <c r="O128" s="241">
        <f t="shared" si="17"/>
        <v>4</v>
      </c>
      <c r="P128" s="242">
        <f t="shared" si="17"/>
        <v>5</v>
      </c>
      <c r="Q128" s="66"/>
      <c r="R128" s="66"/>
      <c r="S128" s="66"/>
      <c r="T128" s="66"/>
    </row>
    <row r="129" spans="1:21" s="65" customFormat="1">
      <c r="A129" s="134"/>
      <c r="B129" s="44"/>
      <c r="C129" s="44"/>
      <c r="D129" s="134"/>
      <c r="E129" s="134"/>
      <c r="F129" s="44"/>
      <c r="G129" s="134"/>
      <c r="H129" s="134"/>
      <c r="I129" s="134"/>
      <c r="J129" s="134"/>
      <c r="K129" s="255"/>
      <c r="L129" s="256"/>
      <c r="M129" s="134"/>
      <c r="N129" s="134"/>
      <c r="O129" s="134"/>
      <c r="P129" s="134"/>
      <c r="Q129" s="134"/>
      <c r="T129" s="66"/>
      <c r="U129" s="66"/>
    </row>
    <row r="130" spans="1:21" s="65" customFormat="1" ht="15">
      <c r="A130" s="2400" t="s">
        <v>1368</v>
      </c>
      <c r="B130" s="2401"/>
      <c r="C130" s="2401"/>
      <c r="D130" s="2401"/>
      <c r="E130" s="2401"/>
      <c r="F130" s="2401"/>
      <c r="G130" s="2401"/>
      <c r="H130" s="2401"/>
      <c r="I130" s="2401"/>
      <c r="J130" s="2401"/>
      <c r="K130" s="2401"/>
      <c r="L130" s="2401"/>
      <c r="M130" s="2401"/>
      <c r="N130" s="2401"/>
      <c r="O130" s="2401"/>
      <c r="P130" s="66"/>
      <c r="S130" s="66"/>
      <c r="T130" s="66"/>
    </row>
    <row r="131" spans="1:21" s="65" customFormat="1">
      <c r="A131" s="135" t="s">
        <v>1</v>
      </c>
      <c r="B131" s="135" t="s">
        <v>100</v>
      </c>
      <c r="C131" s="136" t="s">
        <v>97</v>
      </c>
      <c r="D131" s="264" t="s">
        <v>494</v>
      </c>
      <c r="E131" s="265" t="s">
        <v>495</v>
      </c>
      <c r="F131" s="266" t="s">
        <v>496</v>
      </c>
      <c r="G131" s="140" t="s">
        <v>101</v>
      </c>
      <c r="H131" s="141" t="s">
        <v>98</v>
      </c>
      <c r="I131" s="141" t="s">
        <v>96</v>
      </c>
      <c r="J131" s="141" t="s">
        <v>715</v>
      </c>
      <c r="K131" s="216" t="s">
        <v>716</v>
      </c>
      <c r="L131" s="332" t="s">
        <v>121</v>
      </c>
      <c r="M131" s="218" t="s">
        <v>27</v>
      </c>
      <c r="N131" s="219" t="s">
        <v>7</v>
      </c>
      <c r="O131" s="219" t="s">
        <v>19</v>
      </c>
      <c r="P131" s="66"/>
      <c r="S131" s="66"/>
      <c r="T131" s="66"/>
    </row>
    <row r="132" spans="1:21" s="65" customFormat="1">
      <c r="A132" s="142" t="s">
        <v>8</v>
      </c>
      <c r="B132" s="267"/>
      <c r="C132" s="268"/>
      <c r="D132" s="416">
        <f>SUMIFS(сент2445[м2],сент2445[МОП],A132,сент2445[Комнатность],"Офис")</f>
        <v>0</v>
      </c>
      <c r="E132" s="146">
        <f>SUMIFS(сент2445[Сумма без отделки],сент2445[МОП],$A132,сент2445[Комнатность],"оФИС")</f>
        <v>0</v>
      </c>
      <c r="F132" s="417">
        <f>COUNTIFS(сент2445[МОП],$A132,сент2445[Комнатность],"Офис")</f>
        <v>0</v>
      </c>
      <c r="G132" s="267">
        <f>SUMIFS(РД[S],РД[МОП],A132,РД[Дата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H132" s="146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I132" s="220">
        <f>COUNTIFS(РД[МОП],A132,РД[Дата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J132" s="221" t="str">
        <f t="shared" ref="J132:K138" si="18">IFERROR(G132/B132,"")</f>
        <v/>
      </c>
      <c r="K132" s="333" t="str">
        <f t="shared" si="18"/>
        <v/>
      </c>
      <c r="L132" s="148">
        <f>COUNTIFS(РД[Дом],L$131,РД[МОП],$A132,РД[Дата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M132" s="220">
        <f>COUNTIFS(РД[Дом],M$131,РД[МОП],$A132,РД[Дата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N132" s="223">
        <f>COUNTIFS(РД[Дом],N$131,РД[МОП],$A132,РД[Дата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O132" s="223">
        <f>COUNTIFS(РД[Дом],O$131,РД[МОП],$A132,РД[Дата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S132" s="66"/>
      <c r="T132" s="66"/>
    </row>
    <row r="133" spans="1:21" s="65" customFormat="1">
      <c r="A133" s="150" t="s">
        <v>46</v>
      </c>
      <c r="B133" s="267"/>
      <c r="C133" s="268"/>
      <c r="D133" s="416">
        <f>SUMIFS(сент2445[м2],сент2445[МОП],A133,сент2445[Комнатность],"Офис")</f>
        <v>0</v>
      </c>
      <c r="E133" s="146">
        <f>SUMIFS(сент2445[Сумма без отделки],сент2445[МОП],$A133,сент2445[Комнатность],"оФИС")</f>
        <v>0</v>
      </c>
      <c r="F133" s="417">
        <f>COUNTIFS(сент2445[МОП],$A133,сент2445[Комнатность],"Офис")</f>
        <v>0</v>
      </c>
      <c r="G133" s="267">
        <f>SUMIFS(РД[S],РД[МОП],A133,РД[Дата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H133" s="146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I133" s="220">
        <f>COUNTIFS(РД[МОП],A133,РД[Дата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J133" s="221" t="str">
        <f t="shared" si="18"/>
        <v/>
      </c>
      <c r="K133" s="333" t="str">
        <f t="shared" si="18"/>
        <v/>
      </c>
      <c r="L133" s="148">
        <f>COUNTIFS(РД[Дом],L$131,РД[МОП],$A133,РД[Дата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M133" s="220">
        <f>COUNTIFS(РД[Дом],M$131,РД[МОП],$A133,РД[Дата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N133" s="223">
        <f>COUNTIFS(РД[Дом],N$131,РД[МОП],$A133,РД[Дата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O133" s="223">
        <f>COUNTIFS(РД[Дом],O$131,РД[МОП],$A133,РД[Дата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S133" s="66"/>
      <c r="T133" s="66"/>
    </row>
    <row r="134" spans="1:21" s="65" customFormat="1">
      <c r="A134" s="153" t="s">
        <v>20</v>
      </c>
      <c r="B134" s="271"/>
      <c r="C134" s="272"/>
      <c r="D134" s="416">
        <f>SUMIFS(сент2445[м2],сент2445[МОП],A134,сент2445[Комнатность],"Офис")</f>
        <v>0</v>
      </c>
      <c r="E134" s="52">
        <f>SUMIFS(сент2445[Сумма без отделки],сент2445[МОП],$A134,сент2445[Комнатность],"оФИС")</f>
        <v>0</v>
      </c>
      <c r="F134" s="421">
        <f>COUNTIFS(сент2445[МОП],$A134,сент2445[Комнатность],"Офис")</f>
        <v>0</v>
      </c>
      <c r="G134" s="271">
        <f>SUMIFS(РД[S],РД[МОП],A134,РД[Дата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H134" s="52">
        <f>SUMIFS(РД[Стоимость без отделки итог],РД[МОП],A134,РД[Дата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I134" s="220">
        <f>COUNTIFS(РД[МОП],A134,РД[Дата подачи на регистрацию],"&lt;="&amp;$A$1,РД[Дата подачи на регистрацию],"&gt;="&amp;DATE(YEAR($A$1),MONTH($A$1),1),РД[Состояние],"Коммерция")</f>
        <v>0</v>
      </c>
      <c r="J134" s="224" t="str">
        <f t="shared" si="18"/>
        <v/>
      </c>
      <c r="K134" s="334" t="str">
        <f t="shared" si="18"/>
        <v/>
      </c>
      <c r="L134" s="202">
        <f>COUNTIFS(РД[Дом],L$131,РД[МОП],$A134,РД[Дата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M134" s="226">
        <f>COUNTIFS(РД[Дом],M$131,РД[МОП],$A134,РД[Дата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N134" s="227">
        <f>COUNTIFS(РД[Дом],N$131,РД[МОП],$A134,РД[Дата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O134" s="227">
        <f>COUNTIFS(РД[Дом],O$131,РД[МОП],$A134,РД[Дата подачи на регистрацию],"&lt;="&amp;$A$1,РД[Дата подачи на регистрацию],"&gt;="&amp;DATE(YEAR($A$1),MONTH($A$1),1),РД[Состояние],"Коммерция")</f>
        <v>0</v>
      </c>
      <c r="S134" s="66"/>
      <c r="T134" s="66"/>
    </row>
    <row r="135" spans="1:21" s="65" customFormat="1">
      <c r="A135" s="153" t="s">
        <v>14</v>
      </c>
      <c r="B135" s="315"/>
      <c r="C135" s="316"/>
      <c r="D135" s="422">
        <f>SUMIFS(сент2445[м2],сент2445[МОП],A135,сент2445[Комнатность],"Офис")</f>
        <v>0</v>
      </c>
      <c r="E135" s="363">
        <f>SUMIFS(сент2445[Сумма без отделки],сент2445[МОП],$A135,сент2445[Комнатность],"оФИС")</f>
        <v>0</v>
      </c>
      <c r="F135" s="414">
        <f>COUNTIFS(сент2445[МОП],$A135,сент2445[Комнатность],"Офис")</f>
        <v>0</v>
      </c>
      <c r="G135" s="315">
        <f>SUMIFS(РД[S],РД[МОП],A135,РД[Дата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H135" s="363">
        <f>SUMIFS(РД[Стоимость без отделки итог],РД[МОП],A135,РД[Дата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I135" s="247">
        <f>COUNTIFS(РД[МОП],A135,РД[Дата подачи на регистрацию],"&lt;="&amp;$A$1,РД[Дата подачи на регистрацию],"&gt;="&amp;DATE(YEAR($A$1),MONTH($A$1),1),РД[Состояние],"Коммерция")</f>
        <v>0</v>
      </c>
      <c r="J135" s="360" t="str">
        <f t="shared" si="18"/>
        <v/>
      </c>
      <c r="K135" s="367" t="str">
        <f t="shared" si="18"/>
        <v/>
      </c>
      <c r="L135" s="358">
        <f>COUNTIFS(РД[Дом],L$131,РД[МОП],$A135,РД[Дата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M135" s="330">
        <f>COUNTIFS(РД[Дом],M$131,РД[МОП],$A135,РД[Дата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N135" s="331">
        <f>COUNTIFS(РД[Дом],N$131,РД[МОП],$A135,РД[Дата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O135" s="331">
        <f>COUNTIFS(РД[Дом],O$131,РД[МОП],$A135,РД[Дата подачи на регистрацию],"&lt;="&amp;$A$1,РД[Дата подачи на регистрацию],"&gt;="&amp;DATE(YEAR($A$1),MONTH($A$1),1),РД[Состояние],"Коммерция")</f>
        <v>0</v>
      </c>
      <c r="S135" s="66"/>
      <c r="T135" s="66"/>
    </row>
    <row r="136" spans="1:21" s="65" customFormat="1">
      <c r="A136" s="154" t="s">
        <v>29</v>
      </c>
      <c r="B136" s="274"/>
      <c r="C136" s="275"/>
      <c r="D136" s="423">
        <f>SUMIFS(сент2445[м2],сент2445[МОП],A136,сент2445[Комнатность],"Офис")</f>
        <v>0</v>
      </c>
      <c r="E136" s="277">
        <f>SUMIFS(сент2445[Сумма без отделки],сент2445[МОП],$A136,сент2445[Комнатность],"оФИС")</f>
        <v>0</v>
      </c>
      <c r="F136" s="405">
        <f>COUNTIFS(сент2445[МОП],$A136,сент2445[Комнатность],"Офис")</f>
        <v>0</v>
      </c>
      <c r="G136" s="274">
        <f>SUMIFS(РД[S],РД[МОП],A136,РД[Дата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H136" s="277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I136" s="228">
        <f>COUNTIFS(РД[МОП],A136,РД[Дата подачи на регистрацию],"&lt;="&amp;$A$1,РД[Дата подачи на регистрацию],"&gt;="&amp;DATE(YEAR($A$1),MONTH($A$1),1),РД[Состояние],"Коммерция")</f>
        <v>0</v>
      </c>
      <c r="J136" s="229" t="str">
        <f t="shared" si="18"/>
        <v/>
      </c>
      <c r="K136" s="335" t="str">
        <f t="shared" si="18"/>
        <v/>
      </c>
      <c r="L136" s="159">
        <f>COUNTIFS(РД[Дом],L$131,РД[МОП],$A136,РД[Дата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M136" s="228">
        <f>COUNTIFS(РД[Дом],M$131,РД[МОП],$A136,РД[Дата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N136" s="231">
        <f>COUNTIFS(РД[Дом],N$131,РД[МОП],$A136,РД[Дата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O136" s="231">
        <f>COUNTIFS(РД[Дом],O$131,РД[МОП],$A136,РД[Дата подачи на регистрацию],"&lt;="&amp;$A$1,РД[Дата подачи на регистрацию],"&gt;="&amp;DATE(YEAR($A$1),MONTH($A$1),1),РД[Состояние],"Коммерция")</f>
        <v>0</v>
      </c>
      <c r="S136" s="66"/>
      <c r="T136" s="66"/>
    </row>
    <row r="137" spans="1:21" s="65" customFormat="1">
      <c r="A137" s="161" t="s">
        <v>1919</v>
      </c>
      <c r="B137" s="278"/>
      <c r="C137" s="279"/>
      <c r="D137" s="424">
        <f>SUMIFS(сент2445[м2],сент2445[МОП],A137,сент2445[Комнатность],"Офис")</f>
        <v>0</v>
      </c>
      <c r="E137" s="281">
        <f>SUMIFS(сент2445[Сумма без отделки],сент2445[МОП],$A137,сент2445[Комнатность],"оФИС")</f>
        <v>0</v>
      </c>
      <c r="F137" s="407">
        <f>COUNTIFS(сент2445[МОП],$A137,сент2445[Комнатность],"Офис")</f>
        <v>0</v>
      </c>
      <c r="G137" s="278">
        <f>SUMIFS(РД[S],РД[МОП],A137,РД[Дата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H137" s="281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I137" s="232">
        <f>COUNTIFS(РД[МОП],A137,РД[Дата подачи на регистрацию],"&lt;="&amp;$A$1,РД[Дата подачи на регистрацию],"&gt;="&amp;DATE(YEAR($A$1),MONTH($A$1),1),РД[Состояние],"Коммерция")</f>
        <v>0</v>
      </c>
      <c r="J137" s="233" t="str">
        <f t="shared" si="18"/>
        <v/>
      </c>
      <c r="K137" s="336" t="str">
        <f t="shared" si="18"/>
        <v/>
      </c>
      <c r="L137" s="166">
        <f>COUNTIFS(РД[Дом],L$131,РД[МОП],$A137,РД[Дата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M137" s="232">
        <f>COUNTIFS(РД[Дом],M$131,РД[МОП],$A137,РД[Дата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N137" s="337">
        <f>COUNTIFS(РД[Дом],N$131,РД[МОП],$A137,РД[Дата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O137" s="337">
        <f>COUNTIFS(РД[Дом],O$131,РД[МОП],$A137,РД[Дата подачи на регистрацию],"&lt;="&amp;$A$1,РД[Дата подачи на регистрацию],"&gt;="&amp;DATE(YEAR($A$1),MONTH($A$1),1),РД[Состояние],"Коммерция")</f>
        <v>0</v>
      </c>
      <c r="S137" s="66"/>
      <c r="T137" s="66"/>
    </row>
    <row r="138" spans="1:21" s="65" customFormat="1">
      <c r="A138" s="168" t="s">
        <v>114</v>
      </c>
      <c r="B138" s="282">
        <f t="shared" ref="B138:I138" si="19">SUM(B132:B137)</f>
        <v>0</v>
      </c>
      <c r="C138" s="283">
        <f t="shared" si="19"/>
        <v>0</v>
      </c>
      <c r="D138" s="425">
        <f t="shared" si="19"/>
        <v>0</v>
      </c>
      <c r="E138" s="287">
        <f t="shared" si="19"/>
        <v>0</v>
      </c>
      <c r="F138" s="286">
        <f t="shared" si="19"/>
        <v>0</v>
      </c>
      <c r="G138" s="282">
        <f t="shared" si="19"/>
        <v>0</v>
      </c>
      <c r="H138" s="287">
        <f t="shared" si="19"/>
        <v>0</v>
      </c>
      <c r="I138" s="287">
        <f t="shared" si="19"/>
        <v>0</v>
      </c>
      <c r="J138" s="238" t="str">
        <f t="shared" si="18"/>
        <v/>
      </c>
      <c r="K138" s="338" t="str">
        <f t="shared" si="18"/>
        <v/>
      </c>
      <c r="L138" s="318">
        <f>SUM(L132:L137)</f>
        <v>0</v>
      </c>
      <c r="M138" s="321">
        <f>SUM(M132:M137)</f>
        <v>0</v>
      </c>
      <c r="N138" s="319">
        <f>SUM(N132:N137)</f>
        <v>0</v>
      </c>
      <c r="O138" s="319">
        <f>SUM(O132:O137)</f>
        <v>0</v>
      </c>
      <c r="S138" s="66"/>
      <c r="T138" s="66"/>
    </row>
    <row r="139" spans="1:21" s="65" customFormat="1">
      <c r="A139" s="135" t="s">
        <v>115</v>
      </c>
      <c r="B139" s="135" t="s">
        <v>100</v>
      </c>
      <c r="C139" s="136" t="s">
        <v>97</v>
      </c>
      <c r="D139" s="264" t="s">
        <v>494</v>
      </c>
      <c r="E139" s="265" t="s">
        <v>495</v>
      </c>
      <c r="F139" s="266" t="s">
        <v>496</v>
      </c>
      <c r="G139" s="140" t="s">
        <v>101</v>
      </c>
      <c r="H139" s="141" t="s">
        <v>98</v>
      </c>
      <c r="I139" s="141" t="s">
        <v>96</v>
      </c>
      <c r="J139" s="141" t="s">
        <v>715</v>
      </c>
      <c r="K139" s="216" t="s">
        <v>716</v>
      </c>
      <c r="L139" s="332" t="s">
        <v>121</v>
      </c>
      <c r="M139" s="218" t="s">
        <v>27</v>
      </c>
      <c r="N139" s="219" t="s">
        <v>7</v>
      </c>
      <c r="O139" s="219" t="s">
        <v>7</v>
      </c>
      <c r="T139" s="66"/>
    </row>
    <row r="140" spans="1:21" s="65" customFormat="1">
      <c r="A140" s="177" t="s">
        <v>1892</v>
      </c>
      <c r="B140" s="291"/>
      <c r="C140" s="292"/>
      <c r="D140" s="346">
        <f>SUMIFS(сент2445[м2],сент2445[ИМ],A140,сент2445[Комнатность],"Офис")</f>
        <v>0</v>
      </c>
      <c r="E140" s="184">
        <f>SUMIFS(сент2445[Сумма без отделки],сент2445[ИМ],$A140,сент2445[Комнатность],"оФИС")</f>
        <v>0</v>
      </c>
      <c r="F140" s="415">
        <f>COUNTIFS(сент2445[ИМ],$A140,сент2445[Комнатность],"Офис")</f>
        <v>0</v>
      </c>
      <c r="G140" s="183">
        <f>SUMIFS(РД[S],РД[ИМ],A140,РД[Дата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H140" s="184">
        <f>SUMIFS(РД[Стоимость без отделки итог],РД[ИМ],A140,РД[Дата подачи на регистрацию],"&lt;="&amp;$A$1,РД[Дата подачи на регистрацию],"&gt;="&amp;DATE(YEAR($A$1),MONTH($A$1),1),РД[Состояние],"Коммерция")</f>
        <v>0</v>
      </c>
      <c r="I140" s="243">
        <f>COUNTIFS(РД[ИМ],A140,РД[Дата подачи на регистрацию],"&lt;="&amp;$A$1,РД[Дата подачи на регистрацию],"&gt;="&amp;DATE(YEAR($A$1),MONTH($A$1),1),РД[Состояние],"Коммерция")</f>
        <v>0</v>
      </c>
      <c r="J140" s="244" t="str">
        <f t="shared" ref="J140:K143" si="20">IFERROR(G140/B140,"")</f>
        <v/>
      </c>
      <c r="K140" s="258" t="str">
        <f t="shared" si="20"/>
        <v/>
      </c>
      <c r="L140" s="148">
        <f>COUNTIFS(РД[Дом],L$131,РД[ИМ],$A140,РД[Дата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M140" s="220">
        <f>COUNTIFS(РД[Дом],M$131,РД[ИМ],$A140,РД[Дата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N140" s="223">
        <f>COUNTIFS(РД[Дом],N$131,РД[ИМ],$A140,РД[Дата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O140" s="223">
        <f>COUNTIFS(РД[Дом],O$131,РД[ИМ],$A140,РД[Дата подачи на регистрацию],"&lt;="&amp;$A$1,РД[Дата подачи на регистрацию],"&gt;="&amp;DATE(YEAR($A$1),MONTH($A$1),1),РД[Состояние],"Коммерция")</f>
        <v>0</v>
      </c>
      <c r="T140" s="66"/>
    </row>
    <row r="141" spans="1:21" s="65" customFormat="1">
      <c r="A141" s="150" t="s">
        <v>22</v>
      </c>
      <c r="B141" s="267"/>
      <c r="C141" s="146"/>
      <c r="D141" s="328">
        <f>SUMIFS(сент2445[м2],сент2445[ИМ],A141,сент2445[Комнатность],"Офис")</f>
        <v>0</v>
      </c>
      <c r="E141" s="188">
        <f>SUMIFS(сент2445[Сумма без отделки],сент2445[ИМ],$A141,сент2445[Комнатность],"оФИС")</f>
        <v>0</v>
      </c>
      <c r="F141" s="404">
        <f>COUNTIFS(сент2445[ИМ],$A141,сент2445[Комнатность],"Офис")</f>
        <v>0</v>
      </c>
      <c r="G141" s="187">
        <f>SUMIFS(РД[S],РД[ИМ],A141,РД[Дата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H141" s="188">
        <f>SUMIFS(РД[Стоимость без отделки итог],РД[ИМ],A141,РД[Дата подачи на регистрацию],"&lt;="&amp;$A$1,РД[Дата подачи на регистрацию],"&gt;="&amp;DATE(YEAR($A$1),MONTH($A$1),1),РД[Состояние],"Коммерция")</f>
        <v>0</v>
      </c>
      <c r="I141" s="247">
        <f>COUNTIFS(РД[ИМ],A141,РД[Дата подачи на регистрацию],"&lt;="&amp;$A$1,РД[Дата подачи на регистрацию],"&gt;="&amp;DATE(YEAR($A$1),MONTH($A$1),1),РД[Состояние],"Коммерция")</f>
        <v>0</v>
      </c>
      <c r="J141" s="248" t="str">
        <f t="shared" si="20"/>
        <v/>
      </c>
      <c r="K141" s="259" t="str">
        <f t="shared" si="20"/>
        <v/>
      </c>
      <c r="L141" s="148">
        <f>COUNTIFS(РД[Дом],L$131,РД[ИМ],$A141,РД[Дата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M141" s="220">
        <f>COUNTIFS(РД[Дом],M$131,РД[ИМ],$A141,РД[Дата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N141" s="223">
        <f>COUNTIFS(РД[Дом],N$131,РД[ИМ],$A141,РД[Дата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O141" s="223">
        <f>COUNTIFS(РД[Дом],O$131,РД[ИМ],$A141,РД[Дата подачи на регистрацию],"&lt;="&amp;$A$1,РД[Дата подачи на регистрацию],"&gt;="&amp;DATE(YEAR($A$1),MONTH($A$1),1),РД[Состояние],"Коммерция")</f>
        <v>0</v>
      </c>
      <c r="T141" s="66"/>
    </row>
    <row r="142" spans="1:21" s="65" customFormat="1">
      <c r="A142" s="189" t="s">
        <v>16</v>
      </c>
      <c r="B142" s="293"/>
      <c r="C142" s="294"/>
      <c r="D142" s="426">
        <f>SUMIFS(сент2445[м2],сент2445[ИМ],A142,сент2445[Комнатность],"Офис")</f>
        <v>0</v>
      </c>
      <c r="E142" s="196">
        <f>SUMIFS(сент2445[Сумма без отделки],сент2445[ИМ],$A142,сент2445[Комнатность],"оФИС")</f>
        <v>0</v>
      </c>
      <c r="F142" s="427">
        <f>COUNTIFS(сент2445[ИМ],$A142,сент2445[Комнатность],"Офис")</f>
        <v>0</v>
      </c>
      <c r="G142" s="195">
        <f>SUMIFS(РД[S],РД[ИМ],A142,РД[Дата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H142" s="196">
        <f>SUMIFS(РД[Стоимость без отделки итог],РД[ИМ],A142,РД[Дата подачи на регистрацию],"&lt;="&amp;$A$1,РД[Дата подачи на регистрацию],"&gt;="&amp;DATE(YEAR($A$1),MONTH($A$1),1),РД[Состояние],"Коммерция")</f>
        <v>0</v>
      </c>
      <c r="I142" s="251">
        <f>COUNTIFS(РД[ИМ],A142,РД[Дата подачи на регистрацию],"&lt;="&amp;$A$1,РД[Дата подачи на регистрацию],"&gt;="&amp;DATE(YEAR($A$1),MONTH($A$1),1),РД[Состояние],"Коммерция")</f>
        <v>0</v>
      </c>
      <c r="J142" s="252" t="str">
        <f t="shared" si="20"/>
        <v/>
      </c>
      <c r="K142" s="260" t="str">
        <f t="shared" si="20"/>
        <v/>
      </c>
      <c r="L142" s="202">
        <f>COUNTIFS(РД[Дом],L$131,РД[ИМ],$A142,РД[Дата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M142" s="226">
        <f>COUNTIFS(РД[Дом],M$131,РД[ИМ],$A142,РД[Дата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N142" s="227">
        <f>COUNTIFS(РД[Дом],N$131,РД[ИМ],$A142,РД[Дата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O142" s="227">
        <f>COUNTIFS(РД[Дом],O$131,РД[ИМ],$A142,РД[Дата подачи на регистрацию],"&lt;="&amp;$A$1,РД[Дата подачи на регистрацию],"&gt;="&amp;DATE(YEAR($A$1),MONTH($A$1),1),РД[Состояние],"Коммерция")</f>
        <v>0</v>
      </c>
      <c r="T142" s="66"/>
    </row>
    <row r="143" spans="1:21" s="65" customFormat="1">
      <c r="A143" s="168" t="s">
        <v>114</v>
      </c>
      <c r="B143" s="282">
        <f>SUM(B140:B142)</f>
        <v>0</v>
      </c>
      <c r="C143" s="283">
        <f>SUM(C140:C142)</f>
        <v>0</v>
      </c>
      <c r="D143" s="425">
        <f t="shared" ref="D143:I143" si="21">SUM(D140:D142)</f>
        <v>0</v>
      </c>
      <c r="E143" s="287">
        <f t="shared" si="21"/>
        <v>0</v>
      </c>
      <c r="F143" s="286">
        <f t="shared" si="21"/>
        <v>0</v>
      </c>
      <c r="G143" s="282">
        <f t="shared" si="21"/>
        <v>0</v>
      </c>
      <c r="H143" s="287">
        <f t="shared" si="21"/>
        <v>0</v>
      </c>
      <c r="I143" s="287">
        <f t="shared" si="21"/>
        <v>0</v>
      </c>
      <c r="J143" s="238" t="str">
        <f t="shared" si="20"/>
        <v/>
      </c>
      <c r="K143" s="338" t="str">
        <f t="shared" si="20"/>
        <v/>
      </c>
      <c r="L143" s="318">
        <f>SUM(L140:L142)</f>
        <v>0</v>
      </c>
      <c r="M143" s="321">
        <f>SUM(M140:M142)</f>
        <v>0</v>
      </c>
      <c r="N143" s="319">
        <f>SUM(N140:N142)</f>
        <v>0</v>
      </c>
      <c r="O143" s="319">
        <f>SUM(O140:O142)</f>
        <v>0</v>
      </c>
      <c r="T143" s="66"/>
    </row>
    <row r="144" spans="1:21" s="65" customFormat="1">
      <c r="A144" s="134"/>
      <c r="B144" s="44"/>
      <c r="C144" s="44"/>
      <c r="D144" s="134"/>
      <c r="E144" s="134"/>
      <c r="F144" s="44"/>
      <c r="G144" s="134"/>
      <c r="H144" s="134"/>
      <c r="I144" s="134"/>
      <c r="J144" s="134"/>
      <c r="K144" s="255"/>
      <c r="L144" s="256"/>
      <c r="M144" s="134"/>
      <c r="N144" s="134"/>
      <c r="O144" s="134"/>
      <c r="P144" s="134"/>
      <c r="Q144" s="72"/>
      <c r="U144" s="66"/>
    </row>
    <row r="145" spans="1:21" s="65" customFormat="1" ht="15">
      <c r="A145" s="2402" t="s">
        <v>945</v>
      </c>
      <c r="B145" s="2403"/>
      <c r="C145" s="2403"/>
      <c r="D145" s="2403"/>
      <c r="E145" s="2403"/>
      <c r="F145" s="2403"/>
      <c r="G145" s="2403"/>
      <c r="H145" s="2403"/>
      <c r="I145" s="2403"/>
      <c r="J145" s="2403"/>
      <c r="K145" s="2403"/>
      <c r="L145" s="2403"/>
      <c r="M145" s="2404"/>
      <c r="N145" s="339"/>
      <c r="O145" s="339"/>
      <c r="P145" s="86"/>
      <c r="T145" s="66"/>
    </row>
    <row r="146" spans="1:21" s="65" customFormat="1">
      <c r="A146" s="135" t="s">
        <v>1</v>
      </c>
      <c r="B146" s="135" t="s">
        <v>101</v>
      </c>
      <c r="C146" s="136" t="s">
        <v>98</v>
      </c>
      <c r="D146" s="295" t="s">
        <v>494</v>
      </c>
      <c r="E146" s="138" t="s">
        <v>495</v>
      </c>
      <c r="F146" s="296" t="s">
        <v>496</v>
      </c>
      <c r="G146" s="140" t="s">
        <v>946</v>
      </c>
      <c r="H146" s="141" t="s">
        <v>947</v>
      </c>
      <c r="I146" s="217">
        <v>0</v>
      </c>
      <c r="J146" s="218">
        <v>1</v>
      </c>
      <c r="K146" s="340">
        <v>2</v>
      </c>
      <c r="L146" s="218">
        <v>3</v>
      </c>
      <c r="M146" s="219" t="s">
        <v>1367</v>
      </c>
      <c r="N146" s="339"/>
      <c r="O146" s="339"/>
      <c r="P146" s="86"/>
      <c r="T146" s="66"/>
    </row>
    <row r="147" spans="1:21" s="65" customFormat="1">
      <c r="A147" s="398" t="s">
        <v>8</v>
      </c>
      <c r="B147" s="271">
        <f>SUMIFS(РД[S],РД[МОП],A147,РД[Дата подачи на регистрацию],"&lt;="&amp;$A$1,РД[Дата подачи на регистрацию],"&gt;="&amp;DATE(YEAR($A$1),MONTH($A$1),1),РД[Источник рекламы],"Н -*")</f>
        <v>368.47</v>
      </c>
      <c r="C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</f>
        <v>39753700</v>
      </c>
      <c r="D147" s="329">
        <f>SUMIFS(сент2445[м2],сент2445[Встреча],$A147,сент2445[КТУ],"АН -*")</f>
        <v>368.46999999999997</v>
      </c>
      <c r="E147" s="363">
        <f>SUMIFS(сент2445[Сумма без отделки],сент2445[Встреча],$A147,сент2445[КТУ],"АН -*")</f>
        <v>39753700</v>
      </c>
      <c r="F147" s="414">
        <f>COUNTIFS(сент2445[Встреча],$A147,сент2445[КТУ],"АН -*")</f>
        <v>7</v>
      </c>
      <c r="G147" s="271">
        <f>SUMIFS(РД[S],РД[МОП],A147,РД[Дата подачи на регистрацию],"&lt;="&amp;$A$1,РД[Дата подачи на регистрацию],"&gt;="&amp;DATE(YEAR($A$1),MONTH($A$1),1),РД[Источник рекламы],"Н -*")/2</f>
        <v>184.23500000000001</v>
      </c>
      <c r="H147" s="272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-*")/2</f>
        <v>19876850</v>
      </c>
      <c r="I147" s="257">
        <f>COUNTIFS(РД[Тип кв],I$146,РД[МОП],$A147,РД[Дата подачи на регистрацию],"&lt;="&amp;$A$1,РД[Дата подачи на регистрацию],"&gt;="&amp;DATE(YEAR($A$1),MONTH($A$1),1),РД[Источник рекламы],"Н -*")</f>
        <v>1</v>
      </c>
      <c r="J147" s="226">
        <f>COUNTIFS(РД[Тип кв],J$146,РД[МОП],$A147,РД[Дата подачи на регистрацию],"&lt;="&amp;$A$1,РД[Дата подачи на регистрацию],"&gt;="&amp;DATE(YEAR($A$1),MONTH($A$1),1),РД[Источник рекламы],"Н -*")</f>
        <v>2</v>
      </c>
      <c r="K147" s="226">
        <f>COUNTIFS(РД[Тип кв],K$146,РД[МОП],$A147,РД[Дата подачи на регистрацию],"&lt;="&amp;$A$1,РД[Дата подачи на регистрацию],"&gt;="&amp;DATE(YEAR($A$1),MONTH($A$1),1),РД[Источник рекламы],"Н -*")</f>
        <v>3</v>
      </c>
      <c r="L147" s="226">
        <f>COUNTIFS(РД[Тип кв],L$146,РД[МОП],$A147,РД[Дата подачи на регистрацию],"&lt;="&amp;$A$1,РД[Дата подачи на регистрацию],"&gt;="&amp;DATE(YEAR($A$1),MONTH($A$1),1),РД[Источник рекламы],"Н -*")</f>
        <v>1</v>
      </c>
      <c r="M147" s="227">
        <f>COUNTIFS(РД[Тип кв],M$146,РД[МОП],$A147,РД[Дата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N147" s="339"/>
      <c r="O147" s="339"/>
      <c r="P147" s="86"/>
      <c r="T147" s="66"/>
    </row>
    <row r="148" spans="1:21" s="65" customFormat="1">
      <c r="A148" s="153" t="s">
        <v>46</v>
      </c>
      <c r="B148" s="271">
        <f>SUMIFS(РД[S],РД[МОП],A148,РД[Дата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C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</f>
        <v>0</v>
      </c>
      <c r="D148" s="329">
        <f>SUMIFS(сент2445[м2],сент2445[Встреча],$A148,сент2445[КТУ],"АН -*")</f>
        <v>0</v>
      </c>
      <c r="E148" s="363">
        <f>SUMIFS(сент2445[Сумма без отделки],сент2445[Встреча],$A148,сент2445[КТУ],"АН -*")</f>
        <v>0</v>
      </c>
      <c r="F148" s="414">
        <f>COUNTIFS(сент2445[Встреча],$A148,сент2445[КТУ],"АН -*")</f>
        <v>0</v>
      </c>
      <c r="G148" s="271">
        <f>SUMIFS(РД[S],РД[МОП],A148,РД[Дата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H148" s="272">
        <f>SUMIFS(РД[Стоимость без отделки итог],РД[МОП],A148,РД[Дата подачи на регистрацию],"&lt;="&amp;$A$1,РД[Дата подачи на регистрацию],"&gt;="&amp;DATE(YEAR($A$1),MONTH($A$1),1),РД[Источник рекламы],"Н -*")/2</f>
        <v>0</v>
      </c>
      <c r="I148" s="257">
        <f>COUNTIFS(РД[Тип кв],I$146,РД[МОП],$A148,РД[Дата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J148" s="226">
        <f>COUNTIFS(РД[Тип кв],J$146,РД[МОП],$A148,РД[Дата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K148" s="226">
        <f>COUNTIFS(РД[Тип кв],K$146,РД[МОП],$A148,РД[Дата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L148" s="226">
        <f>COUNTIFS(РД[Тип кв],L$146,РД[МОП],$A148,РД[Дата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M148" s="227">
        <f>COUNTIFS(РД[Тип кв],M$146,РД[МОП],$A148,РД[Дата подачи на регистрацию],"&lt;="&amp;$A$1,РД[Дата подачи на регистрацию],"&gt;="&amp;DATE(YEAR($A$1),MONTH($A$1),1),РД[Источник рекламы],"Н -*")</f>
        <v>0</v>
      </c>
      <c r="N148" s="339"/>
      <c r="O148" s="339"/>
      <c r="P148" s="86"/>
      <c r="T148" s="66"/>
    </row>
    <row r="149" spans="1:21" s="65" customFormat="1">
      <c r="A149" s="153" t="s">
        <v>20</v>
      </c>
      <c r="B149" s="271">
        <f>SUMIFS(РД[S],РД[МОП],A149,РД[Дата подачи на регистрацию],"&lt;="&amp;$A$1,РД[Дата подачи на регистрацию],"&gt;="&amp;DATE(YEAR($A$1),MONTH($A$1),1),РД[Источник рекламы],"Н -*")</f>
        <v>80.56</v>
      </c>
      <c r="C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</f>
        <v>8952790</v>
      </c>
      <c r="D149" s="329">
        <f>SUMIFS(сент2445[м2],сент2445[Встреча],$A149,сент2445[КТУ],"АН -*")</f>
        <v>80.56</v>
      </c>
      <c r="E149" s="363">
        <f>SUMIFS(сент2445[Сумма без отделки],сент2445[Встреча],$A149,сент2445[КТУ],"АН -*")</f>
        <v>8952790</v>
      </c>
      <c r="F149" s="414">
        <f>COUNTIFS(сент2445[Встреча],$A149,сент2445[КТУ],"АН -*")</f>
        <v>2</v>
      </c>
      <c r="G149" s="271">
        <f>SUMIFS(РД[S],РД[МОП],A149,РД[Дата подачи на регистрацию],"&lt;="&amp;$A$1,РД[Дата подачи на регистрацию],"&gt;="&amp;DATE(YEAR($A$1),MONTH($A$1),1),РД[Источник рекламы],"Н -*")/2</f>
        <v>40.28</v>
      </c>
      <c r="H149" s="272">
        <f>SUMIFS(РД[Стоимость без отделки итог],РД[МОП],A149,РД[Дата подачи на регистрацию],"&lt;="&amp;$A$1,РД[Дата подачи на регистрацию],"&gt;="&amp;DATE(YEAR($A$1),MONTH($A$1),1),РД[Источник рекламы],"Н -*")/2</f>
        <v>4476395</v>
      </c>
      <c r="I149" s="257">
        <f>COUNTIFS(РД[Тип кв],I$146,РД[МОП],$A149,РД[Дата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J149" s="226">
        <f>COUNTIFS(РД[Тип кв],J$146,РД[МОП],$A149,РД[Дата подачи на регистрацию],"&lt;="&amp;$A$1,РД[Дата подачи на регистрацию],"&gt;="&amp;DATE(YEAR($A$1),MONTH($A$1),1),РД[Источник рекламы],"Н -*")</f>
        <v>2</v>
      </c>
      <c r="K149" s="226">
        <f>COUNTIFS(РД[Тип кв],K$146,РД[МОП],$A149,РД[Дата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L149" s="226">
        <f>COUNTIFS(РД[Тип кв],L$146,РД[МОП],$A149,РД[Дата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M149" s="227">
        <f>COUNTIFS(РД[Тип кв],M$146,РД[МОП],$A149,РД[Дата подачи на регистрацию],"&lt;="&amp;$A$1,РД[Дата подачи на регистрацию],"&gt;="&amp;DATE(YEAR($A$1),MONTH($A$1),1),РД[Источник рекламы],"Н -*")</f>
        <v>0</v>
      </c>
      <c r="N149" s="339"/>
      <c r="O149" s="339"/>
      <c r="P149" s="86"/>
      <c r="T149" s="66"/>
    </row>
    <row r="150" spans="1:21" s="65" customFormat="1">
      <c r="A150" s="153" t="s">
        <v>14</v>
      </c>
      <c r="B150" s="315">
        <f>SUMIFS(РД[S],РД[МОП],A150,РД[Дата подачи на регистрацию],"&lt;="&amp;$A$1,РД[Дата подачи на регистрацию],"&gt;="&amp;DATE(YEAR($A$1),MONTH($A$1),1),РД[Источник рекламы],"Н -*")</f>
        <v>67.03</v>
      </c>
      <c r="C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</f>
        <v>7826100</v>
      </c>
      <c r="D150" s="329">
        <f>SUMIFS(сент2445[м2],сент2445[Встреча],$A150,сент2445[КТУ],"АН -*")</f>
        <v>67.03</v>
      </c>
      <c r="E150" s="363">
        <f>SUMIFS(сент2445[Сумма без отделки],сент2445[Встреча],$A150,сент2445[КТУ],"АН -*")</f>
        <v>7826100</v>
      </c>
      <c r="F150" s="414">
        <f>COUNTIFS(сент2445[Встреча],$A150,сент2445[КТУ],"АН -*")</f>
        <v>2</v>
      </c>
      <c r="G150" s="315">
        <f>SUMIFS(РД[S],РД[МОП],A150,РД[Дата подачи на регистрацию],"&lt;="&amp;$A$1,РД[Дата подачи на регистрацию],"&gt;="&amp;DATE(YEAR($A$1),MONTH($A$1),1),РД[Источник рекламы],"Н -*")/2</f>
        <v>33.515000000000001</v>
      </c>
      <c r="H150" s="316">
        <f>SUMIFS(РД[Стоимость без отделки итог],РД[МОП],A150,РД[Дата подачи на регистрацию],"&lt;="&amp;$A$1,РД[Дата подачи на регистрацию],"&gt;="&amp;DATE(YEAR($A$1),MONTH($A$1),1),РД[Источник рекламы],"Н -*")/2</f>
        <v>3913050</v>
      </c>
      <c r="I150" s="329">
        <f>COUNTIFS(РД[Тип кв],I$146,РД[МОП],$A150,РД[Дата подачи на регистрацию],"&lt;="&amp;$A$1,РД[Дата подачи на регистрацию],"&gt;="&amp;DATE(YEAR($A$1),MONTH($A$1),1),РД[Источник рекламы],"Н -*")</f>
        <v>1</v>
      </c>
      <c r="J150" s="330">
        <f>COUNTIFS(РД[Тип кв],J$146,РД[МОП],$A150,РД[Дата подачи на регистрацию],"&lt;="&amp;$A$1,РД[Дата подачи на регистрацию],"&gt;="&amp;DATE(YEAR($A$1),MONTH($A$1),1),РД[Источник рекламы],"Н -*")</f>
        <v>1</v>
      </c>
      <c r="K150" s="330">
        <f>COUNTIFS(РД[Тип кв],K$146,РД[МОП],$A150,РД[Дата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L150" s="330">
        <f>COUNTIFS(РД[Тип кв],L$146,РД[МОП],$A150,РД[Дата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M150" s="331">
        <f>COUNTIFS(РД[Тип кв],M$146,РД[МОП],$A150,РД[Дата подачи на регистрацию],"&lt;="&amp;$A$1,РД[Дата подачи на регистрацию],"&gt;="&amp;DATE(YEAR($A$1),MONTH($A$1),1),РД[Источник рекламы],"Н -*")</f>
        <v>0</v>
      </c>
      <c r="N150" s="339"/>
      <c r="O150" s="339"/>
      <c r="P150" s="86"/>
      <c r="T150" s="66"/>
    </row>
    <row r="151" spans="1:21" s="65" customFormat="1">
      <c r="A151" s="154" t="s">
        <v>29</v>
      </c>
      <c r="B151" s="274">
        <f>SUMIFS(РД[S],РД[МОП],A151,РД[Дата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C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</f>
        <v>0</v>
      </c>
      <c r="D151" s="341">
        <f>SUMIFS(сент2445[м2],сент2445[Встреча],$A151,сент2445[КТУ],"АН -*")</f>
        <v>0</v>
      </c>
      <c r="E151" s="277">
        <f>SUMIFS(сент2445[Сумма без отделки],сент2445[Встреча],$A151,сент2445[КТУ],"АН -*")</f>
        <v>0</v>
      </c>
      <c r="F151" s="405">
        <f>COUNTIFS(сент2445[Встреча],$A151,сент2445[КТУ],"АН -*")</f>
        <v>0</v>
      </c>
      <c r="G151" s="274">
        <f>SUMIFS(РД[S],РД[МОП],A151,РД[Дата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H151" s="275">
        <f>SUMIFS(РД[Стоимость без отделки итог],РД[МОП],A151,РД[Дата подачи на регистрацию],"&lt;="&amp;$A$1,РД[Дата подачи на регистрацию],"&gt;="&amp;DATE(YEAR($A$1),MONTH($A$1),1),РД[Источник рекламы],"Н -*")/2</f>
        <v>0</v>
      </c>
      <c r="I151" s="341">
        <f>COUNTIFS(РД[Тип кв],I$146,РД[МОП],$A151,РД[Дата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J151" s="228">
        <f>COUNTIFS(РД[Тип кв],J$146,РД[МОП],$A151,РД[Дата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K151" s="228">
        <f>COUNTIFS(РД[Тип кв],K$146,РД[МОП],$A151,РД[Дата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L151" s="228">
        <f>COUNTIFS(РД[Тип кв],L$146,РД[МОП],$A151,РД[Дата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M151" s="231">
        <f>COUNTIFS(РД[Тип кв],M$146,РД[МОП],$A151,РД[Дата подачи на регистрацию],"&lt;="&amp;$A$1,РД[Дата подачи на регистрацию],"&gt;="&amp;DATE(YEAR($A$1),MONTH($A$1),1),РД[Источник рекламы],"Н -*")</f>
        <v>0</v>
      </c>
      <c r="N151" s="339"/>
      <c r="O151" s="339"/>
      <c r="P151" s="86"/>
      <c r="T151" s="66"/>
    </row>
    <row r="152" spans="1:21" s="65" customFormat="1">
      <c r="A152" s="317" t="s">
        <v>114</v>
      </c>
      <c r="B152" s="282">
        <f t="shared" ref="B152:L152" si="22">SUM(B147:B150)</f>
        <v>516.06000000000006</v>
      </c>
      <c r="C152" s="283">
        <f t="shared" si="22"/>
        <v>56532590</v>
      </c>
      <c r="D152" s="425">
        <f t="shared" si="22"/>
        <v>516.05999999999995</v>
      </c>
      <c r="E152" s="287">
        <f t="shared" si="22"/>
        <v>56532590</v>
      </c>
      <c r="F152" s="286">
        <f t="shared" si="22"/>
        <v>11</v>
      </c>
      <c r="G152" s="282">
        <f t="shared" si="22"/>
        <v>258.03000000000003</v>
      </c>
      <c r="H152" s="283">
        <f t="shared" si="22"/>
        <v>28266295</v>
      </c>
      <c r="I152" s="284">
        <f t="shared" si="22"/>
        <v>2</v>
      </c>
      <c r="J152" s="285">
        <f t="shared" si="22"/>
        <v>5</v>
      </c>
      <c r="K152" s="285">
        <f t="shared" si="22"/>
        <v>3</v>
      </c>
      <c r="L152" s="285">
        <f t="shared" si="22"/>
        <v>1</v>
      </c>
      <c r="M152" s="305">
        <f>SUM(T145:T146)</f>
        <v>0</v>
      </c>
      <c r="N152" s="339"/>
      <c r="O152" s="339"/>
      <c r="P152" s="86"/>
      <c r="T152" s="66"/>
    </row>
    <row r="153" spans="1:21" s="65" customFormat="1">
      <c r="A153" s="135" t="s">
        <v>115</v>
      </c>
      <c r="B153" s="135" t="s">
        <v>101</v>
      </c>
      <c r="C153" s="136" t="s">
        <v>98</v>
      </c>
      <c r="D153" s="295" t="s">
        <v>494</v>
      </c>
      <c r="E153" s="138" t="s">
        <v>495</v>
      </c>
      <c r="F153" s="296" t="s">
        <v>496</v>
      </c>
      <c r="G153" s="140" t="s">
        <v>946</v>
      </c>
      <c r="H153" s="141" t="s">
        <v>947</v>
      </c>
      <c r="I153" s="217">
        <v>0</v>
      </c>
      <c r="J153" s="218">
        <v>1</v>
      </c>
      <c r="K153" s="340">
        <v>2</v>
      </c>
      <c r="L153" s="218">
        <v>3</v>
      </c>
      <c r="M153" s="219" t="s">
        <v>1367</v>
      </c>
      <c r="N153" s="339"/>
      <c r="O153" s="339"/>
      <c r="P153" s="86"/>
      <c r="T153" s="66"/>
    </row>
    <row r="154" spans="1:21" s="65" customFormat="1">
      <c r="A154" s="177" t="s">
        <v>1892</v>
      </c>
      <c r="B154" s="291">
        <f>SUMIFS(РД[S],РД[ИМ],A154,РД[Дата подачи на регистрацию],"&lt;="&amp;$A$1,РД[Дата подачи на регистрацию],"&gt;="&amp;DATE(YEAR($A$1),MONTH($A$1),1),РД[Источник рекламы],"Н -*")</f>
        <v>101.42</v>
      </c>
      <c r="C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</f>
        <v>12030888</v>
      </c>
      <c r="D154" s="346">
        <f>SUMIFS(сент2445[м2],сент2445[ИМ],$A154,сент2445[КТУ],"АН -*")</f>
        <v>0</v>
      </c>
      <c r="E154" s="292">
        <f>SUMIFS(сент2445[Сумма без отделки],сент2445[ИМ],$A154,сент2445[КТУ],"АН -*")</f>
        <v>0</v>
      </c>
      <c r="F154" s="415">
        <f>COUNTIFS(сент2445[ИМ],$A154,сент2445[КТУ],"АН -*")</f>
        <v>0</v>
      </c>
      <c r="G154" s="291">
        <f>SUMIFS(РД[S],РД[ИМ],A154,РД[Дата подачи на регистрацию],"&lt;="&amp;$A$1,РД[Дата подачи на регистрацию],"&gt;="&amp;DATE(YEAR($A$1),MONTH($A$1),1),РД[Источник рекламы],"Н -*")/2</f>
        <v>50.71</v>
      </c>
      <c r="H154" s="312">
        <f>SUMIFS(РД[Стоимость без отделки итог],РД[ИМ],A154,РД[Дата подачи на регистрацию],"&lt;="&amp;$A$1,РД[Дата подачи на регистрацию],"&gt;="&amp;DATE(YEAR($A$1),MONTH($A$1),1),РД[Источник рекламы],"Н -*")/2</f>
        <v>6015444</v>
      </c>
      <c r="I154" s="346">
        <f>COUNTIFS(РД[Тип кв],I$146,РД[ИМ],$A154,РД[Дата подачи на регистрацию],"&lt;="&amp;$A$1,РД[Дата подачи на регистрацию],"&gt;="&amp;DATE(YEAR($A$1),MONTH($A$1),1),РД[Источник рекламы],"Н -*")</f>
        <v>1</v>
      </c>
      <c r="J154" s="243">
        <f>COUNTIFS(РД[Тип кв],J$146,РД[ИМ],$A154,РД[Дата подачи на регистрацию],"&lt;="&amp;$A$1,РД[Дата подачи на регистрацию],"&gt;="&amp;DATE(YEAR($A$1),MONTH($A$1),1),РД[Источник рекламы],"Н -*")</f>
        <v>2</v>
      </c>
      <c r="K154" s="243">
        <f>COUNTIFS(РД[Тип кв],K$146,РД[ИМ],$A154,РД[Дата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L154" s="243">
        <f>COUNTIFS(РД[Тип кв],L$146,РД[ИМ],$A154,РД[Дата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M154" s="246">
        <f>COUNTIFS(РД[Тип кв],M$146,РД[ИМ],$A154,РД[Дата подачи на регистрацию],"&lt;="&amp;$A$1,РД[Дата подачи на регистрацию],"&gt;="&amp;DATE(YEAR($A$1),MONTH($A$1),1),РД[Источник рекламы],"Н -*")</f>
        <v>0</v>
      </c>
      <c r="N154" s="339"/>
      <c r="O154" s="339"/>
      <c r="P154" s="86"/>
      <c r="T154" s="66"/>
    </row>
    <row r="155" spans="1:21" s="65" customFormat="1">
      <c r="A155" s="150" t="s">
        <v>22</v>
      </c>
      <c r="B155" s="271">
        <f>SUMIFS(РД[S],РД[ИМ],A155,РД[Дата подачи на регистрацию],"&lt;="&amp;$A$1,РД[Дата подачи на регистрацию],"&gt;="&amp;DATE(YEAR($A$1),MONTH($A$1),1),РД[Источник рекламы],"Н -*")</f>
        <v>414.64</v>
      </c>
      <c r="C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</f>
        <v>44501702</v>
      </c>
      <c r="D155" s="257">
        <f>SUMIFS(сент2445[м2],сент2445[ИМ],$A155,сент2445[КТУ],"АН -*")</f>
        <v>516.05999999999995</v>
      </c>
      <c r="E155" s="52">
        <f>SUMIFS(сент2445[Сумма без отделки],сент2445[ИМ],$A155,сент2445[КТУ],"АН -*")</f>
        <v>56532590</v>
      </c>
      <c r="F155" s="413">
        <f>COUNTIFS(сент2445[ИМ],$A155,сент2445[КТУ],"АН -*")</f>
        <v>11</v>
      </c>
      <c r="G155" s="271">
        <f>SUMIFS(РД[S],РД[ИМ],A155,РД[Дата подачи на регистрацию],"&lt;="&amp;$A$1,РД[Дата подачи на регистрацию],"&gt;="&amp;DATE(YEAR($A$1),MONTH($A$1),1),РД[Источник рекламы],"Н -*")/2</f>
        <v>207.32</v>
      </c>
      <c r="H155" s="272">
        <f>SUMIFS(РД[Стоимость без отделки итог],РД[ИМ],A155,РД[Дата подачи на регистрацию],"&lt;="&amp;$A$1,РД[Дата подачи на регистрацию],"&gt;="&amp;DATE(YEAR($A$1),MONTH($A$1),1),РД[Источник рекламы],"Н -*")/2</f>
        <v>22250851</v>
      </c>
      <c r="I155" s="257">
        <f>COUNTIFS(РД[Тип кв],I$146,РД[ИМ],$A155,РД[Дата подачи на регистрацию],"&lt;="&amp;$A$1,РД[Дата подачи на регистрацию],"&gt;="&amp;DATE(YEAR($A$1),MONTH($A$1),1),РД[Источник рекламы],"Н -*")</f>
        <v>1</v>
      </c>
      <c r="J155" s="226">
        <f>COUNTIFS(РД[Тип кв],J$146,РД[ИМ],$A155,РД[Дата подачи на регистрацию],"&lt;="&amp;$A$1,РД[Дата подачи на регистрацию],"&gt;="&amp;DATE(YEAR($A$1),MONTH($A$1),1),РД[Источник рекламы],"Н -*")</f>
        <v>3</v>
      </c>
      <c r="K155" s="226">
        <f>COUNTIFS(РД[Тип кв],K$146,РД[ИМ],$A155,РД[Дата подачи на регистрацию],"&lt;="&amp;$A$1,РД[Дата подачи на регистрацию],"&gt;="&amp;DATE(YEAR($A$1),MONTH($A$1),1),РД[Источник рекламы],"Н -*")</f>
        <v>3</v>
      </c>
      <c r="L155" s="226">
        <f>COUNTIFS(РД[Тип кв],L$146,РД[ИМ],$A155,РД[Дата подачи на регистрацию],"&lt;="&amp;$A$1,РД[Дата подачи на регистрацию],"&gt;="&amp;DATE(YEAR($A$1),MONTH($A$1),1),РД[Источник рекламы],"Н -*")</f>
        <v>1</v>
      </c>
      <c r="M155" s="227">
        <f>COUNTIFS(РД[Тип кв],M$146,РД[ИМ],$A155,РД[Дата подачи на регистрацию],"&lt;="&amp;$A$1,РД[Дата подачи на регистрацию],"&gt;="&amp;DATE(YEAR($A$1),MONTH($A$1),1),РД[Источник рекламы],"Н -*")</f>
        <v>0</v>
      </c>
      <c r="N155" s="339"/>
      <c r="O155" s="339"/>
      <c r="P155" s="86"/>
      <c r="T155" s="66"/>
    </row>
    <row r="156" spans="1:21" s="65" customFormat="1">
      <c r="A156" s="189" t="s">
        <v>16</v>
      </c>
      <c r="B156" s="315">
        <f>SUMIFS(РД[S],РД[ИМ],A156,РД[Дата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C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</f>
        <v>0</v>
      </c>
      <c r="D156" s="329">
        <f>SUMIFS(сент2445[м2],сент2445[ИМ],$A156,сент2445[КТУ],"АН -*")</f>
        <v>0</v>
      </c>
      <c r="E156" s="363">
        <f>SUMIFS(сент2445[Сумма без отделки],сент2445[ИМ],$A156,сент2445[КТУ],"АН -*")</f>
        <v>0</v>
      </c>
      <c r="F156" s="414">
        <f>COUNTIFS(сент2445[ИМ],$A156,сент2445[КТУ],"АН -*")</f>
        <v>0</v>
      </c>
      <c r="G156" s="315">
        <f>SUMIFS(РД[S],РД[ИМ],A156,РД[Дата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H156" s="316">
        <f>SUMIFS(РД[Стоимость без отделки итог],РД[ИМ],A156,РД[Дата подачи на регистрацию],"&lt;="&amp;$A$1,РД[Дата подачи на регистрацию],"&gt;="&amp;DATE(YEAR($A$1),MONTH($A$1),1),РД[Источник рекламы],"Н -*")/2</f>
        <v>0</v>
      </c>
      <c r="I156" s="329">
        <f>COUNTIFS(РД[Тип кв],I$146,РД[ИМ],$A156,РД[Дата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J156" s="330">
        <f>COUNTIFS(РД[Тип кв],J$146,РД[ИМ],$A156,РД[Дата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K156" s="330">
        <f>COUNTIFS(РД[Тип кв],K$146,РД[ИМ],$A156,РД[Дата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L156" s="330">
        <f>COUNTIFS(РД[Тип кв],L$146,РД[ИМ],$A156,РД[Дата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M156" s="331">
        <f>COUNTIFS(РД[Тип кв],M$146,РД[ИМ],$A156,РД[Дата подачи на регистрацию],"&lt;="&amp;$A$1,РД[Дата подачи на регистрацию],"&gt;="&amp;DATE(YEAR($A$1),MONTH($A$1),1),РД[Источник рекламы],"Н -*")</f>
        <v>0</v>
      </c>
      <c r="N156" s="339"/>
      <c r="O156" s="339"/>
      <c r="P156" s="86"/>
      <c r="T156" s="66"/>
    </row>
    <row r="157" spans="1:21" s="65" customFormat="1">
      <c r="A157" s="317" t="s">
        <v>114</v>
      </c>
      <c r="B157" s="323">
        <f>SUM(B154:B156)</f>
        <v>516.05999999999995</v>
      </c>
      <c r="C157" s="324">
        <f t="shared" ref="C157:M157" si="23">SUM(C154:C156)</f>
        <v>56532590</v>
      </c>
      <c r="D157" s="428">
        <f t="shared" si="23"/>
        <v>516.05999999999995</v>
      </c>
      <c r="E157" s="429">
        <f t="shared" si="23"/>
        <v>56532590</v>
      </c>
      <c r="F157" s="430">
        <f t="shared" si="23"/>
        <v>11</v>
      </c>
      <c r="G157" s="323">
        <f t="shared" si="23"/>
        <v>258.02999999999997</v>
      </c>
      <c r="H157" s="324">
        <f t="shared" si="23"/>
        <v>28266295</v>
      </c>
      <c r="I157" s="318">
        <f t="shared" si="23"/>
        <v>2</v>
      </c>
      <c r="J157" s="321">
        <f t="shared" si="23"/>
        <v>5</v>
      </c>
      <c r="K157" s="321">
        <f t="shared" si="23"/>
        <v>3</v>
      </c>
      <c r="L157" s="321">
        <f t="shared" si="23"/>
        <v>1</v>
      </c>
      <c r="M157" s="319">
        <f t="shared" si="23"/>
        <v>0</v>
      </c>
      <c r="N157" s="339"/>
      <c r="O157" s="339"/>
      <c r="P157" s="86"/>
      <c r="T157" s="66"/>
    </row>
    <row r="158" spans="1:21" s="65" customFormat="1">
      <c r="Q158" s="86"/>
      <c r="U158" s="66"/>
    </row>
    <row r="159" spans="1:21" s="65" customFormat="1">
      <c r="Q159" s="86"/>
      <c r="U159" s="66"/>
    </row>
    <row r="160" spans="1:21" s="65" customFormat="1">
      <c r="Q160" s="86"/>
      <c r="U160" s="66"/>
    </row>
    <row r="161" spans="17:21" s="65" customFormat="1">
      <c r="Q161" s="86"/>
      <c r="U161" s="66"/>
    </row>
    <row r="162" spans="17:21" s="65" customFormat="1">
      <c r="Q162" s="86"/>
      <c r="U162" s="66"/>
    </row>
    <row r="163" spans="17:21" s="65" customFormat="1">
      <c r="Q163" s="86"/>
      <c r="U163" s="66"/>
    </row>
    <row r="164" spans="17:21" s="65" customFormat="1">
      <c r="Q164" s="86"/>
      <c r="U164" s="66"/>
    </row>
    <row r="165" spans="17:21" s="65" customFormat="1">
      <c r="Q165" s="86"/>
      <c r="U165" s="66"/>
    </row>
    <row r="166" spans="17:21" s="65" customFormat="1">
      <c r="Q166" s="86"/>
      <c r="U166" s="66"/>
    </row>
    <row r="167" spans="17:21" s="65" customFormat="1">
      <c r="Q167" s="86"/>
      <c r="U167" s="66"/>
    </row>
    <row r="168" spans="17:21" s="65" customFormat="1">
      <c r="Q168" s="86"/>
      <c r="U168" s="66"/>
    </row>
    <row r="169" spans="17:21" s="65" customFormat="1">
      <c r="Q169" s="86"/>
      <c r="U169" s="66"/>
    </row>
    <row r="170" spans="17:21" s="65" customFormat="1">
      <c r="Q170" s="86"/>
      <c r="U170" s="66"/>
    </row>
    <row r="171" spans="17:21" s="65" customFormat="1">
      <c r="Q171" s="86"/>
      <c r="U171" s="66"/>
    </row>
    <row r="172" spans="17:21" s="65" customFormat="1">
      <c r="Q172" s="86"/>
      <c r="U172" s="66"/>
    </row>
    <row r="173" spans="17:21" s="65" customFormat="1">
      <c r="Q173" s="86"/>
      <c r="U173" s="66"/>
    </row>
    <row r="174" spans="17:21" s="65" customFormat="1">
      <c r="Q174" s="86"/>
      <c r="U174" s="66"/>
    </row>
    <row r="175" spans="17:21" s="65" customFormat="1">
      <c r="Q175" s="86"/>
      <c r="U175" s="66"/>
    </row>
    <row r="176" spans="17:21" s="65" customFormat="1">
      <c r="Q176" s="86"/>
      <c r="U176" s="66"/>
    </row>
    <row r="177" spans="17:21" s="65" customFormat="1">
      <c r="Q177" s="86"/>
      <c r="U177" s="66"/>
    </row>
    <row r="178" spans="17:21" s="65" customFormat="1">
      <c r="Q178" s="86"/>
      <c r="U178" s="66"/>
    </row>
    <row r="179" spans="17:21" s="65" customFormat="1">
      <c r="Q179" s="86"/>
      <c r="U179" s="66"/>
    </row>
    <row r="180" spans="17:21" s="65" customFormat="1">
      <c r="Q180" s="86"/>
      <c r="U180" s="66"/>
    </row>
    <row r="181" spans="17:21" s="65" customFormat="1">
      <c r="Q181" s="86"/>
      <c r="U181" s="66"/>
    </row>
    <row r="182" spans="17:21" s="65" customFormat="1">
      <c r="Q182" s="86"/>
      <c r="U182" s="66"/>
    </row>
    <row r="183" spans="17:21" s="65" customFormat="1">
      <c r="Q183" s="86"/>
      <c r="U183" s="66"/>
    </row>
    <row r="184" spans="17:21" s="65" customFormat="1">
      <c r="Q184" s="86"/>
      <c r="U184" s="66"/>
    </row>
    <row r="185" spans="17:21" s="65" customFormat="1">
      <c r="Q185" s="86"/>
      <c r="U185" s="66"/>
    </row>
    <row r="186" spans="17:21" s="65" customFormat="1">
      <c r="Q186" s="86"/>
      <c r="U186" s="66"/>
    </row>
    <row r="187" spans="17:21" s="65" customFormat="1">
      <c r="Q187" s="86"/>
      <c r="U187" s="66"/>
    </row>
    <row r="188" spans="17:21" s="65" customFormat="1">
      <c r="Q188" s="86"/>
      <c r="U188" s="66"/>
    </row>
    <row r="189" spans="17:21" s="65" customFormat="1">
      <c r="Q189" s="86"/>
      <c r="U189" s="66"/>
    </row>
    <row r="190" spans="17:21" s="65" customFormat="1">
      <c r="Q190" s="86"/>
      <c r="U190" s="66"/>
    </row>
    <row r="191" spans="17:21" s="65" customFormat="1">
      <c r="Q191" s="86"/>
      <c r="U191" s="66"/>
    </row>
    <row r="192" spans="17:21" s="65" customFormat="1">
      <c r="Q192" s="86"/>
      <c r="U192" s="66"/>
    </row>
    <row r="193" spans="1:21" s="65" customFormat="1">
      <c r="Q193" s="86"/>
      <c r="U193" s="66"/>
    </row>
    <row r="194" spans="1:2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86"/>
      <c r="R194" s="65"/>
      <c r="S194" s="65"/>
    </row>
    <row r="195" spans="1:2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86"/>
      <c r="R195" s="65"/>
      <c r="S195" s="65"/>
    </row>
    <row r="196" spans="1:21" s="65" customFormat="1">
      <c r="Q196" s="86"/>
      <c r="U196" s="66"/>
    </row>
    <row r="197" spans="1:21" s="65" customFormat="1">
      <c r="Q197" s="86"/>
      <c r="U197" s="66"/>
    </row>
    <row r="198" spans="1:21" s="65" customFormat="1">
      <c r="Q198" s="86"/>
      <c r="U198" s="66"/>
    </row>
    <row r="199" spans="1:21" s="65" customFormat="1">
      <c r="Q199" s="86"/>
      <c r="U199" s="66"/>
    </row>
    <row r="200" spans="1:21" s="65" customFormat="1">
      <c r="Q200" s="86"/>
      <c r="U200" s="66"/>
    </row>
    <row r="201" spans="1:21" s="65" customFormat="1">
      <c r="Q201" s="86"/>
      <c r="U201" s="66"/>
    </row>
    <row r="202" spans="1:21" s="65" customFormat="1">
      <c r="Q202" s="86"/>
      <c r="U202" s="66"/>
    </row>
    <row r="203" spans="1:21" s="65" customFormat="1">
      <c r="Q203" s="86"/>
      <c r="U203" s="66"/>
    </row>
    <row r="204" spans="1:21" s="65" customFormat="1">
      <c r="Q204" s="86"/>
      <c r="U204" s="66"/>
    </row>
    <row r="205" spans="1:21" s="65" customFormat="1">
      <c r="Q205" s="86"/>
      <c r="U205" s="66"/>
    </row>
    <row r="206" spans="1:21" s="65" customFormat="1">
      <c r="Q206" s="86"/>
      <c r="U206" s="66"/>
    </row>
    <row r="207" spans="1:21" s="65" customFormat="1">
      <c r="Q207" s="86"/>
      <c r="U207" s="66"/>
    </row>
    <row r="208" spans="1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R282" s="66"/>
      <c r="S282" s="66"/>
      <c r="U282" s="66"/>
    </row>
    <row r="283" spans="17:21" s="65" customFormat="1">
      <c r="Q283" s="86"/>
      <c r="R283" s="66"/>
      <c r="S283" s="66"/>
      <c r="U283" s="66"/>
    </row>
    <row r="284" spans="17:21" s="65" customFormat="1">
      <c r="Q284" s="86"/>
      <c r="R284" s="66"/>
      <c r="S284" s="66"/>
      <c r="U284" s="66"/>
    </row>
    <row r="285" spans="17:21" s="65" customFormat="1">
      <c r="Q285" s="86"/>
      <c r="R285" s="66"/>
      <c r="S285" s="66"/>
      <c r="U285" s="66"/>
    </row>
  </sheetData>
  <sheetProtection algorithmName="SHA-512" hashValue="2gsd9ghny7INyi6aovcD85lKDLC8NV/xwxe1VifjvSS0gsBFPI0ffqyF6WgNOWpaQPtocXS7gTy1Tb4L6ue0Sw==" saltValue="OhaYXavkhEB5hMqxaVg7cQ==" spinCount="100000" sheet="1" formatCells="0" formatColumns="0" formatRows="0" sort="0" autoFilter="0" pivotTables="0"/>
  <mergeCells count="7">
    <mergeCell ref="A130:O130"/>
    <mergeCell ref="A145:M145"/>
    <mergeCell ref="A1:U1"/>
    <mergeCell ref="A70:B70"/>
    <mergeCell ref="A85:B85"/>
    <mergeCell ref="A100:B100"/>
    <mergeCell ref="A115:B115"/>
  </mergeCells>
  <pageMargins left="0.25" right="0.25" top="0.75" bottom="0.75" header="0.3" footer="0.3"/>
  <pageSetup paperSize="9" scale="37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600-000000000000}">
          <x14:formula1>
            <xm:f>Списки!$C$2:$C$27</xm:f>
          </x14:formula1>
          <xm:sqref>U8 U23 K3:K20 K23:K26 K28:K64 T3:U7 T9:U22 T24:U26 T28:U64</xm:sqref>
        </x14:dataValidation>
        <x14:dataValidation type="list" allowBlank="1" showInputMessage="1" showErrorMessage="1" xr:uid="{00000000-0002-0000-36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600-000002000000}">
          <x14:formula1>
            <xm:f>Списки!$B$2:$B$5</xm:f>
          </x14:formula1>
          <xm:sqref>D3:D20 D23:D26 D28:D64 G67:G68</xm:sqref>
        </x14:dataValidation>
        <x14:dataValidation type="list" allowBlank="1" showInputMessage="1" showErrorMessage="1" xr:uid="{00000000-0002-0000-36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600-000004000000}">
          <x14:formula1>
            <xm:f>Списки!$D$2:$D$7</xm:f>
          </x14:formula1>
          <xm:sqref>F67:F68 H3:H20 H23:H26 H28:H64</xm:sqref>
        </x14:dataValidation>
        <x14:dataValidation type="list" allowBlank="1" showInputMessage="1" showErrorMessage="1" xr:uid="{00000000-0002-0000-3600-000005000000}">
          <x14:formula1>
            <xm:f>Списки!$E$2:$E$7</xm:f>
          </x14:formula1>
          <xm:sqref>H67:H68 L3:L20 L23:L26 L28:L64</xm:sqref>
        </x14:dataValidation>
        <x14:dataValidation type="list" allowBlank="1" showInputMessage="1" showErrorMessage="1" xr:uid="{00000000-0002-0000-3600-000006000000}">
          <x14:formula1>
            <xm:f>Списки!$G$2:$G$3</xm:f>
          </x14:formula1>
          <xm:sqref>L67:L68 N3:N20 N23:N26 N28:N64</xm:sqref>
        </x14:dataValidation>
        <x14:dataValidation type="list" allowBlank="1" showInputMessage="1" showErrorMessage="1" xr:uid="{00000000-0002-0000-3600-000007000000}">
          <x14:formula1>
            <xm:f>Списки!$F$2:$F$3</xm:f>
          </x14:formula1>
          <xm:sqref>P3:P20 P23:P26 P28:P64 X67:X68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AF281"/>
  <sheetViews>
    <sheetView view="pageBreakPreview" topLeftCell="D1" zoomScaleNormal="85" workbookViewId="0">
      <pane ySplit="2" topLeftCell="A3" activePane="bottomLeft" state="frozen"/>
      <selection pane="bottomLeft" activeCell="K92" sqref="K9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3.42578125" style="66" customWidth="1"/>
    <col min="4" max="4" width="14.2851562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45626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1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2191</v>
      </c>
      <c r="V2" s="111" t="s">
        <v>1584</v>
      </c>
    </row>
    <row r="3" spans="1:32" s="61" customFormat="1" ht="12.75" customHeight="1">
      <c r="A3" s="62">
        <v>1</v>
      </c>
      <c r="B3" s="62" t="s">
        <v>6</v>
      </c>
      <c r="C3" s="74">
        <v>37003</v>
      </c>
      <c r="D3" s="62" t="s">
        <v>13</v>
      </c>
      <c r="E3" s="75">
        <v>355</v>
      </c>
      <c r="F3" s="62">
        <v>2</v>
      </c>
      <c r="G3" s="62">
        <v>73.7</v>
      </c>
      <c r="H3" s="62" t="s">
        <v>25</v>
      </c>
      <c r="I3" s="400">
        <v>24000</v>
      </c>
      <c r="J3" s="95">
        <v>9259822</v>
      </c>
      <c r="K3" s="62" t="s">
        <v>8</v>
      </c>
      <c r="L3" s="62"/>
      <c r="M3" s="62" t="s">
        <v>286</v>
      </c>
      <c r="N3" s="62" t="s">
        <v>18</v>
      </c>
      <c r="O3" s="92">
        <v>45597</v>
      </c>
      <c r="P3" s="62" t="s">
        <v>17</v>
      </c>
      <c r="Q3" s="62" t="s">
        <v>2248</v>
      </c>
      <c r="R3" s="113" t="s">
        <v>67</v>
      </c>
      <c r="S3" s="113"/>
      <c r="T3" s="62" t="s">
        <v>8</v>
      </c>
      <c r="U3" s="62" t="s">
        <v>8</v>
      </c>
      <c r="V3" s="114">
        <f>сент244546[[#This Row],[сумма]]-сент244546[[#This Row],[Цена м2 отделки]]*сент244546[[#This Row],[м2]]</f>
        <v>7491022</v>
      </c>
    </row>
    <row r="4" spans="1:32" s="61" customFormat="1" ht="12.75" customHeight="1">
      <c r="A4" s="62">
        <v>2</v>
      </c>
      <c r="B4" s="62" t="s">
        <v>6</v>
      </c>
      <c r="C4" s="74">
        <v>30620</v>
      </c>
      <c r="D4" s="62" t="s">
        <v>13</v>
      </c>
      <c r="E4" s="75">
        <v>341</v>
      </c>
      <c r="F4" s="62">
        <v>2</v>
      </c>
      <c r="G4" s="62">
        <v>73.7</v>
      </c>
      <c r="H4" s="62" t="s">
        <v>9</v>
      </c>
      <c r="I4" s="62"/>
      <c r="J4" s="95">
        <v>6884963</v>
      </c>
      <c r="K4" s="62" t="s">
        <v>8</v>
      </c>
      <c r="L4" s="62"/>
      <c r="M4" s="62" t="s">
        <v>286</v>
      </c>
      <c r="N4" s="62" t="s">
        <v>18</v>
      </c>
      <c r="O4" s="92">
        <v>45597</v>
      </c>
      <c r="P4" s="62" t="s">
        <v>17</v>
      </c>
      <c r="Q4" s="62" t="s">
        <v>2249</v>
      </c>
      <c r="R4" s="113" t="s">
        <v>67</v>
      </c>
      <c r="S4" s="113"/>
      <c r="T4" s="62" t="s">
        <v>8</v>
      </c>
      <c r="U4" s="62" t="s">
        <v>8</v>
      </c>
      <c r="V4" s="114">
        <f>сент244546[[#This Row],[сумма]]-сент244546[[#This Row],[Цена м2 отделки]]*сент244546[[#This Row],[м2]]</f>
        <v>6884963</v>
      </c>
    </row>
    <row r="5" spans="1:32" s="61" customFormat="1" ht="12.75" customHeight="1">
      <c r="A5" s="62">
        <v>3</v>
      </c>
      <c r="B5" s="62" t="s">
        <v>6</v>
      </c>
      <c r="C5" s="383">
        <v>36701</v>
      </c>
      <c r="D5" s="102" t="s">
        <v>13</v>
      </c>
      <c r="E5" s="102">
        <v>420</v>
      </c>
      <c r="F5" s="102">
        <v>1</v>
      </c>
      <c r="G5" s="102">
        <v>39.69</v>
      </c>
      <c r="H5" s="102" t="s">
        <v>25</v>
      </c>
      <c r="I5" s="383">
        <v>24000</v>
      </c>
      <c r="J5" s="384">
        <v>5375398</v>
      </c>
      <c r="K5" s="354" t="s">
        <v>8</v>
      </c>
      <c r="L5" s="102"/>
      <c r="M5" s="62" t="s">
        <v>286</v>
      </c>
      <c r="N5" s="102" t="s">
        <v>18</v>
      </c>
      <c r="O5" s="385"/>
      <c r="P5" s="354" t="s">
        <v>17</v>
      </c>
      <c r="Q5" s="391" t="s">
        <v>2250</v>
      </c>
      <c r="R5" s="391" t="s">
        <v>67</v>
      </c>
      <c r="S5" s="391"/>
      <c r="T5" s="354" t="s">
        <v>8</v>
      </c>
      <c r="U5" s="354" t="s">
        <v>8</v>
      </c>
      <c r="V5" s="114">
        <f>сент244546[[#This Row],[сумма]]-сент244546[[#This Row],[Цена м2 отделки]]*сент244546[[#This Row],[м2]]</f>
        <v>4422838</v>
      </c>
    </row>
    <row r="6" spans="1:32" s="61" customFormat="1" hidden="1">
      <c r="A6" s="62">
        <v>4</v>
      </c>
      <c r="B6" s="62" t="s">
        <v>6</v>
      </c>
      <c r="C6" s="74">
        <v>36752</v>
      </c>
      <c r="D6" s="62" t="s">
        <v>19</v>
      </c>
      <c r="E6" s="75">
        <v>83</v>
      </c>
      <c r="F6" s="62">
        <v>2</v>
      </c>
      <c r="G6" s="62">
        <v>54.07</v>
      </c>
      <c r="H6" s="76" t="s">
        <v>9</v>
      </c>
      <c r="I6" s="62"/>
      <c r="J6" s="91">
        <v>6237896</v>
      </c>
      <c r="K6" s="62" t="s">
        <v>20</v>
      </c>
      <c r="L6" s="62"/>
      <c r="M6" s="62" t="s">
        <v>286</v>
      </c>
      <c r="N6" s="62" t="s">
        <v>18</v>
      </c>
      <c r="O6" s="92"/>
      <c r="P6" s="62" t="s">
        <v>17</v>
      </c>
      <c r="Q6" s="76" t="s">
        <v>2251</v>
      </c>
      <c r="R6" s="113" t="s">
        <v>67</v>
      </c>
      <c r="S6" s="382" t="s">
        <v>2252</v>
      </c>
      <c r="T6" s="354" t="s">
        <v>20</v>
      </c>
      <c r="U6" s="102" t="s">
        <v>20</v>
      </c>
      <c r="V6" s="114">
        <f>сент244546[[#This Row],[сумма]]-сент244546[[#This Row],[Цена м2 отделки]]*сент244546[[#This Row],[м2]]</f>
        <v>6237896</v>
      </c>
    </row>
    <row r="7" spans="1:32" s="61" customFormat="1" hidden="1">
      <c r="A7" s="62">
        <v>5</v>
      </c>
      <c r="B7" s="62" t="s">
        <v>6</v>
      </c>
      <c r="C7" s="383">
        <v>28752</v>
      </c>
      <c r="D7" s="102" t="s">
        <v>13</v>
      </c>
      <c r="E7" s="102">
        <v>145</v>
      </c>
      <c r="F7" s="102">
        <v>1</v>
      </c>
      <c r="G7" s="102">
        <v>42.28</v>
      </c>
      <c r="H7" s="102" t="s">
        <v>9</v>
      </c>
      <c r="I7" s="102"/>
      <c r="J7" s="384">
        <v>4150000</v>
      </c>
      <c r="K7" s="354" t="s">
        <v>20</v>
      </c>
      <c r="L7" s="102" t="s">
        <v>22</v>
      </c>
      <c r="M7" s="102" t="s">
        <v>583</v>
      </c>
      <c r="N7" s="102" t="s">
        <v>18</v>
      </c>
      <c r="O7" s="385">
        <v>45617</v>
      </c>
      <c r="P7" s="354" t="s">
        <v>17</v>
      </c>
      <c r="Q7" s="391" t="s">
        <v>2253</v>
      </c>
      <c r="R7" s="391" t="s">
        <v>67</v>
      </c>
      <c r="S7" s="382" t="s">
        <v>2254</v>
      </c>
      <c r="T7" s="354" t="s">
        <v>20</v>
      </c>
      <c r="U7" s="102" t="s">
        <v>20</v>
      </c>
      <c r="V7" s="114">
        <f>сент244546[[#This Row],[сумма]]-сент244546[[#This Row],[Цена м2 отделки]]*сент244546[[#This Row],[м2]]</f>
        <v>4150000</v>
      </c>
    </row>
    <row r="8" spans="1:32" s="61" customFormat="1" hidden="1">
      <c r="A8" s="65">
        <v>6</v>
      </c>
      <c r="B8" s="62" t="s">
        <v>6</v>
      </c>
      <c r="C8" s="75">
        <v>35368</v>
      </c>
      <c r="D8" s="62" t="s">
        <v>13</v>
      </c>
      <c r="E8" s="79">
        <v>326</v>
      </c>
      <c r="F8" s="65">
        <v>1</v>
      </c>
      <c r="G8" s="65">
        <v>34.81</v>
      </c>
      <c r="H8" s="80" t="s">
        <v>25</v>
      </c>
      <c r="I8" s="80">
        <v>24000</v>
      </c>
      <c r="J8" s="95">
        <v>5026998</v>
      </c>
      <c r="K8" s="117" t="s">
        <v>20</v>
      </c>
      <c r="L8" s="65" t="s">
        <v>22</v>
      </c>
      <c r="M8" s="65" t="s">
        <v>583</v>
      </c>
      <c r="N8" s="65" t="s">
        <v>18</v>
      </c>
      <c r="O8" s="98">
        <v>45623</v>
      </c>
      <c r="P8" s="80" t="s">
        <v>17</v>
      </c>
      <c r="Q8" s="392" t="s">
        <v>2255</v>
      </c>
      <c r="R8" s="391" t="s">
        <v>67</v>
      </c>
      <c r="S8" s="86" t="s">
        <v>2256</v>
      </c>
      <c r="T8" s="119" t="s">
        <v>20</v>
      </c>
      <c r="U8" s="97" t="s">
        <v>20</v>
      </c>
      <c r="V8" s="115">
        <f>сент244546[[#This Row],[сумма]]-сент244546[[#This Row],[Цена м2 отделки]]*сент244546[[#This Row],[м2]]</f>
        <v>4191558</v>
      </c>
    </row>
    <row r="9" spans="1:32" s="61" customFormat="1" hidden="1">
      <c r="A9" s="62">
        <v>7</v>
      </c>
      <c r="B9" s="62" t="s">
        <v>6</v>
      </c>
      <c r="C9" s="74">
        <v>35039</v>
      </c>
      <c r="D9" s="62" t="s">
        <v>13</v>
      </c>
      <c r="E9" s="75">
        <v>480</v>
      </c>
      <c r="F9" s="62">
        <v>2</v>
      </c>
      <c r="G9" s="62">
        <v>58.24</v>
      </c>
      <c r="H9" s="76" t="s">
        <v>9</v>
      </c>
      <c r="I9" s="62"/>
      <c r="J9" s="91">
        <v>5775238</v>
      </c>
      <c r="K9" s="62" t="s">
        <v>20</v>
      </c>
      <c r="L9" s="62" t="s">
        <v>22</v>
      </c>
      <c r="M9" s="62" t="s">
        <v>583</v>
      </c>
      <c r="N9" s="62" t="s">
        <v>18</v>
      </c>
      <c r="O9" s="92">
        <v>45614</v>
      </c>
      <c r="P9" s="62" t="s">
        <v>17</v>
      </c>
      <c r="Q9" s="76" t="s">
        <v>2257</v>
      </c>
      <c r="R9" s="113" t="s">
        <v>67</v>
      </c>
      <c r="S9" s="113" t="s">
        <v>2256</v>
      </c>
      <c r="T9" s="62" t="s">
        <v>20</v>
      </c>
      <c r="U9" s="62" t="s">
        <v>20</v>
      </c>
      <c r="V9" s="114">
        <f>сент244546[[#This Row],[сумма]]-сент244546[[#This Row],[Цена м2 отделки]]*сент244546[[#This Row],[м2]]</f>
        <v>5775238</v>
      </c>
    </row>
    <row r="10" spans="1:32" ht="12.75" hidden="1" customHeight="1">
      <c r="A10" s="65">
        <v>8</v>
      </c>
      <c r="B10" s="65"/>
      <c r="C10" s="79">
        <v>37093</v>
      </c>
      <c r="D10" s="65" t="s">
        <v>19</v>
      </c>
      <c r="E10" s="79">
        <v>35</v>
      </c>
      <c r="F10" s="65">
        <v>2</v>
      </c>
      <c r="G10" s="65">
        <v>51.79</v>
      </c>
      <c r="H10" s="65" t="s">
        <v>9</v>
      </c>
      <c r="I10" s="65"/>
      <c r="J10" s="93"/>
      <c r="K10" s="65" t="s">
        <v>31</v>
      </c>
      <c r="L10" s="65"/>
      <c r="M10" s="65" t="s">
        <v>286</v>
      </c>
      <c r="N10" s="65" t="s">
        <v>18</v>
      </c>
      <c r="O10" s="98"/>
      <c r="P10" s="65" t="s">
        <v>17</v>
      </c>
      <c r="Q10" s="65" t="s">
        <v>2258</v>
      </c>
      <c r="R10" s="86"/>
      <c r="S10" s="86" t="s">
        <v>2259</v>
      </c>
      <c r="T10" s="65" t="s">
        <v>31</v>
      </c>
      <c r="U10" s="65" t="s">
        <v>14</v>
      </c>
      <c r="V10" s="115">
        <f>сент244546[[#This Row],[сумма]]-сент244546[[#This Row],[Цена м2 отделки]]*сент244546[[#This Row],[м2]]</f>
        <v>0</v>
      </c>
    </row>
    <row r="11" spans="1:32" s="61" customFormat="1" ht="12.75" hidden="1" customHeight="1">
      <c r="A11" s="62">
        <v>9</v>
      </c>
      <c r="B11" s="62"/>
      <c r="C11" s="75">
        <v>36891</v>
      </c>
      <c r="D11" s="62" t="s">
        <v>13</v>
      </c>
      <c r="E11" s="75">
        <v>281</v>
      </c>
      <c r="F11" s="62">
        <v>2</v>
      </c>
      <c r="G11" s="62">
        <v>60.24</v>
      </c>
      <c r="H11" s="117" t="s">
        <v>21</v>
      </c>
      <c r="I11" s="117">
        <v>8000</v>
      </c>
      <c r="J11" s="95">
        <v>6537046</v>
      </c>
      <c r="K11" s="117" t="s">
        <v>14</v>
      </c>
      <c r="L11" s="62"/>
      <c r="M11" s="62" t="s">
        <v>286</v>
      </c>
      <c r="N11" s="62" t="s">
        <v>18</v>
      </c>
      <c r="O11" s="92"/>
      <c r="P11" s="117" t="s">
        <v>17</v>
      </c>
      <c r="Q11" s="76" t="s">
        <v>2260</v>
      </c>
      <c r="R11" s="76" t="s">
        <v>67</v>
      </c>
      <c r="S11" s="382" t="s">
        <v>1777</v>
      </c>
      <c r="T11" s="117" t="s">
        <v>14</v>
      </c>
      <c r="U11" s="117" t="s">
        <v>14</v>
      </c>
      <c r="V11" s="114">
        <f>сент244546[[#This Row],[сумма]]-сент244546[[#This Row],[Цена м2 отделки]]*сент244546[[#This Row],[м2]]</f>
        <v>6055126</v>
      </c>
    </row>
    <row r="12" spans="1:32" s="61" customFormat="1" ht="12.75" customHeight="1">
      <c r="A12" s="62">
        <v>10</v>
      </c>
      <c r="B12" s="62" t="s">
        <v>6</v>
      </c>
      <c r="C12" s="74">
        <v>37227</v>
      </c>
      <c r="D12" s="62" t="s">
        <v>13</v>
      </c>
      <c r="E12" s="75">
        <v>306</v>
      </c>
      <c r="F12" s="62">
        <v>2</v>
      </c>
      <c r="G12" s="62">
        <v>73.7</v>
      </c>
      <c r="H12" s="76" t="s">
        <v>25</v>
      </c>
      <c r="I12" s="401">
        <v>24000</v>
      </c>
      <c r="J12" s="91">
        <v>9136832</v>
      </c>
      <c r="K12" s="62" t="s">
        <v>31</v>
      </c>
      <c r="L12" s="62"/>
      <c r="M12" s="62" t="s">
        <v>286</v>
      </c>
      <c r="N12" s="62" t="s">
        <v>18</v>
      </c>
      <c r="O12" s="92"/>
      <c r="P12" s="62" t="s">
        <v>17</v>
      </c>
      <c r="Q12" s="397" t="s">
        <v>2261</v>
      </c>
      <c r="R12" s="113" t="s">
        <v>67</v>
      </c>
      <c r="S12" s="382" t="s">
        <v>1777</v>
      </c>
      <c r="T12" s="62" t="s">
        <v>31</v>
      </c>
      <c r="U12" s="62" t="s">
        <v>8</v>
      </c>
      <c r="V12" s="114">
        <f>сент244546[[#This Row],[сумма]]-сент244546[[#This Row],[Цена м2 отделки]]*сент244546[[#This Row],[м2]]</f>
        <v>7368032</v>
      </c>
    </row>
    <row r="13" spans="1:32" s="61" customFormat="1" ht="12.75" customHeight="1">
      <c r="A13" s="62">
        <v>11</v>
      </c>
      <c r="B13" s="62" t="s">
        <v>6</v>
      </c>
      <c r="C13" s="74">
        <v>37411</v>
      </c>
      <c r="D13" s="62" t="s">
        <v>13</v>
      </c>
      <c r="E13" s="75">
        <v>495</v>
      </c>
      <c r="F13" s="62">
        <v>0</v>
      </c>
      <c r="G13" s="399">
        <v>24.5</v>
      </c>
      <c r="H13" s="62" t="s">
        <v>9</v>
      </c>
      <c r="I13" s="62"/>
      <c r="J13" s="95">
        <v>3444014</v>
      </c>
      <c r="K13" s="62" t="s">
        <v>8</v>
      </c>
      <c r="L13" s="62" t="s">
        <v>22</v>
      </c>
      <c r="M13" s="62" t="s">
        <v>583</v>
      </c>
      <c r="N13" s="62" t="s">
        <v>18</v>
      </c>
      <c r="O13" s="92">
        <v>45614</v>
      </c>
      <c r="P13" s="62" t="s">
        <v>17</v>
      </c>
      <c r="Q13" s="397" t="s">
        <v>2262</v>
      </c>
      <c r="R13" s="113" t="s">
        <v>67</v>
      </c>
      <c r="S13" s="113"/>
      <c r="T13" s="62" t="s">
        <v>8</v>
      </c>
      <c r="U13" s="62" t="s">
        <v>8</v>
      </c>
      <c r="V13" s="114">
        <f>сент244546[[#This Row],[сумма]]-сент244546[[#This Row],[Цена м2 отделки]]*сент244546[[#This Row],[м2]]</f>
        <v>3444014</v>
      </c>
      <c r="AF13" s="132"/>
    </row>
    <row r="14" spans="1:32" s="61" customFormat="1" ht="12.75" customHeight="1">
      <c r="A14" s="62">
        <v>12</v>
      </c>
      <c r="B14" s="62" t="s">
        <v>6</v>
      </c>
      <c r="C14" s="75">
        <v>37380</v>
      </c>
      <c r="D14" s="62" t="s">
        <v>13</v>
      </c>
      <c r="E14" s="75">
        <v>184</v>
      </c>
      <c r="F14" s="62">
        <v>2</v>
      </c>
      <c r="G14" s="62">
        <v>58.31</v>
      </c>
      <c r="H14" s="62" t="s">
        <v>21</v>
      </c>
      <c r="I14" s="62">
        <v>8000</v>
      </c>
      <c r="J14" s="95">
        <v>7530124</v>
      </c>
      <c r="K14" s="62" t="s">
        <v>31</v>
      </c>
      <c r="L14" s="62" t="s">
        <v>22</v>
      </c>
      <c r="M14" s="62" t="s">
        <v>583</v>
      </c>
      <c r="N14" s="62" t="s">
        <v>12</v>
      </c>
      <c r="O14" s="92">
        <v>45616</v>
      </c>
      <c r="P14" s="62" t="s">
        <v>17</v>
      </c>
      <c r="Q14" s="62" t="s">
        <v>2263</v>
      </c>
      <c r="R14" s="113" t="s">
        <v>67</v>
      </c>
      <c r="S14" s="113"/>
      <c r="T14" s="62" t="s">
        <v>31</v>
      </c>
      <c r="U14" s="62" t="s">
        <v>8</v>
      </c>
      <c r="V14" s="114">
        <f>сент244546[[#This Row],[сумма]]-сент244546[[#This Row],[Цена м2 отделки]]*сент244546[[#This Row],[м2]]</f>
        <v>7063644</v>
      </c>
    </row>
    <row r="15" spans="1:32" s="64" customFormat="1" hidden="1">
      <c r="A15" s="120">
        <v>13</v>
      </c>
      <c r="B15" s="120" t="s">
        <v>6</v>
      </c>
      <c r="C15" s="347">
        <v>32149</v>
      </c>
      <c r="D15" s="120" t="s">
        <v>13</v>
      </c>
      <c r="E15" s="347">
        <v>440</v>
      </c>
      <c r="F15" s="120">
        <v>2</v>
      </c>
      <c r="G15" s="120">
        <v>58.24</v>
      </c>
      <c r="H15" s="120" t="s">
        <v>21</v>
      </c>
      <c r="I15" s="120">
        <v>8000</v>
      </c>
      <c r="J15" s="95">
        <v>7312956</v>
      </c>
      <c r="K15" s="120" t="s">
        <v>20</v>
      </c>
      <c r="L15" s="120" t="s">
        <v>22</v>
      </c>
      <c r="M15" s="120" t="s">
        <v>583</v>
      </c>
      <c r="N15" s="120" t="s">
        <v>18</v>
      </c>
      <c r="O15" s="370">
        <v>45616</v>
      </c>
      <c r="P15" s="120" t="s">
        <v>17</v>
      </c>
      <c r="Q15" s="120" t="s">
        <v>2264</v>
      </c>
      <c r="R15" s="355" t="s">
        <v>67</v>
      </c>
      <c r="S15" s="355"/>
      <c r="T15" s="120" t="s">
        <v>20</v>
      </c>
      <c r="U15" s="120" t="s">
        <v>20</v>
      </c>
      <c r="V15" s="356">
        <f>сент244546[[#This Row],[сумма]]-сент244546[[#This Row],[Цена м2 отделки]]*сент244546[[#This Row],[м2]]</f>
        <v>6847036</v>
      </c>
    </row>
    <row r="16" spans="1:32" s="61" customFormat="1" ht="12.75" hidden="1" customHeight="1">
      <c r="A16" s="62">
        <v>14</v>
      </c>
      <c r="B16" s="62" t="s">
        <v>6</v>
      </c>
      <c r="C16" s="74">
        <v>37464</v>
      </c>
      <c r="D16" s="62" t="s">
        <v>13</v>
      </c>
      <c r="E16" s="75">
        <v>217</v>
      </c>
      <c r="F16" s="62">
        <v>0</v>
      </c>
      <c r="G16" s="62">
        <v>24.28</v>
      </c>
      <c r="H16" s="62" t="s">
        <v>9</v>
      </c>
      <c r="I16" s="62"/>
      <c r="J16" s="381">
        <v>3631684</v>
      </c>
      <c r="K16" s="62" t="s">
        <v>31</v>
      </c>
      <c r="L16" s="62" t="s">
        <v>22</v>
      </c>
      <c r="M16" s="62" t="s">
        <v>583</v>
      </c>
      <c r="N16" s="62" t="s">
        <v>18</v>
      </c>
      <c r="O16" s="92">
        <v>45618</v>
      </c>
      <c r="P16" s="62" t="s">
        <v>17</v>
      </c>
      <c r="Q16" s="62" t="s">
        <v>2265</v>
      </c>
      <c r="R16" s="113" t="s">
        <v>67</v>
      </c>
      <c r="S16" s="113"/>
      <c r="T16" s="62" t="s">
        <v>31</v>
      </c>
      <c r="U16" s="62" t="s">
        <v>20</v>
      </c>
      <c r="V16" s="114">
        <f>сент244546[[#This Row],[сумма]]-сент244546[[#This Row],[Цена м2 отделки]]*сент244546[[#This Row],[м2]]</f>
        <v>3631684</v>
      </c>
    </row>
    <row r="17" spans="1:22" s="61" customFormat="1" ht="12.75" customHeight="1">
      <c r="A17" s="62">
        <v>15</v>
      </c>
      <c r="B17" s="62" t="s">
        <v>6</v>
      </c>
      <c r="C17" s="74">
        <v>37224</v>
      </c>
      <c r="D17" s="62" t="s">
        <v>13</v>
      </c>
      <c r="E17" s="75">
        <v>250</v>
      </c>
      <c r="F17" s="62">
        <v>2</v>
      </c>
      <c r="G17" s="62">
        <v>73.7</v>
      </c>
      <c r="H17" s="76" t="s">
        <v>9</v>
      </c>
      <c r="I17" s="76"/>
      <c r="J17" s="91">
        <v>7518400</v>
      </c>
      <c r="K17" s="62" t="s">
        <v>8</v>
      </c>
      <c r="L17" s="62" t="s">
        <v>22</v>
      </c>
      <c r="M17" s="62" t="s">
        <v>583</v>
      </c>
      <c r="N17" s="62" t="s">
        <v>18</v>
      </c>
      <c r="O17" s="92">
        <v>45625</v>
      </c>
      <c r="P17" s="62" t="s">
        <v>17</v>
      </c>
      <c r="Q17" s="76" t="s">
        <v>2266</v>
      </c>
      <c r="R17" s="113"/>
      <c r="S17" s="113"/>
      <c r="T17" s="62" t="s">
        <v>8</v>
      </c>
      <c r="U17" s="62" t="s">
        <v>8</v>
      </c>
      <c r="V17" s="114">
        <f>сент244546[[#This Row],[сумма]]-сент244546[[#This Row],[Цена м2 отделки]]*сент244546[[#This Row],[м2]]</f>
        <v>7518400</v>
      </c>
    </row>
    <row r="18" spans="1:22" s="61" customFormat="1" ht="18.75" hidden="1" customHeight="1">
      <c r="A18" s="65"/>
      <c r="B18" s="65"/>
      <c r="C18" s="78">
        <v>37597</v>
      </c>
      <c r="D18" s="65" t="s">
        <v>13</v>
      </c>
      <c r="E18" s="79">
        <v>335</v>
      </c>
      <c r="F18" s="65">
        <v>0</v>
      </c>
      <c r="G18" s="65">
        <v>24.53</v>
      </c>
      <c r="H18" s="65" t="s">
        <v>25</v>
      </c>
      <c r="I18" s="65">
        <v>24000</v>
      </c>
      <c r="J18" s="93">
        <v>4294424</v>
      </c>
      <c r="K18" s="65" t="s">
        <v>14</v>
      </c>
      <c r="L18" s="65" t="s">
        <v>22</v>
      </c>
      <c r="M18" s="65" t="s">
        <v>583</v>
      </c>
      <c r="N18" s="65" t="s">
        <v>18</v>
      </c>
      <c r="O18" s="98">
        <v>45625</v>
      </c>
      <c r="P18" s="65" t="s">
        <v>17</v>
      </c>
      <c r="Q18" s="86" t="s">
        <v>2267</v>
      </c>
      <c r="R18" s="118"/>
      <c r="S18" s="65"/>
      <c r="T18" s="65" t="s">
        <v>14</v>
      </c>
      <c r="U18" s="65" t="s">
        <v>14</v>
      </c>
      <c r="V18" s="115">
        <f>сент244546[[#This Row],[сумма]]-сент244546[[#This Row],[Цена м2 отделки]]*сент244546[[#This Row],[м2]]</f>
        <v>3705704</v>
      </c>
    </row>
    <row r="19" spans="1:22" s="61" customFormat="1" ht="12.75" customHeight="1">
      <c r="A19" s="62">
        <v>17</v>
      </c>
      <c r="B19" s="62" t="s">
        <v>6</v>
      </c>
      <c r="C19" s="74">
        <v>37132</v>
      </c>
      <c r="D19" s="62" t="s">
        <v>13</v>
      </c>
      <c r="E19" s="75">
        <v>575</v>
      </c>
      <c r="F19" s="62">
        <v>0</v>
      </c>
      <c r="G19" s="62">
        <v>24.5</v>
      </c>
      <c r="H19" s="62" t="s">
        <v>25</v>
      </c>
      <c r="I19" s="62">
        <v>24000</v>
      </c>
      <c r="J19" s="95">
        <v>3711788</v>
      </c>
      <c r="K19" s="62" t="s">
        <v>8</v>
      </c>
      <c r="L19" s="62" t="s">
        <v>22</v>
      </c>
      <c r="M19" s="62" t="s">
        <v>583</v>
      </c>
      <c r="N19" s="62" t="s">
        <v>18</v>
      </c>
      <c r="O19" s="92">
        <v>45618</v>
      </c>
      <c r="P19" s="62" t="s">
        <v>17</v>
      </c>
      <c r="Q19" s="76" t="s">
        <v>2268</v>
      </c>
      <c r="R19" s="113"/>
      <c r="S19" s="113"/>
      <c r="T19" s="62" t="s">
        <v>8</v>
      </c>
      <c r="U19" s="62" t="s">
        <v>8</v>
      </c>
      <c r="V19" s="114">
        <f>сент244546[[#This Row],[сумма]]-сент244546[[#This Row],[Цена м2 отделки]]*сент244546[[#This Row],[м2]]</f>
        <v>3123788</v>
      </c>
    </row>
    <row r="20" spans="1:22" s="61" customFormat="1" ht="12.75" hidden="1" customHeight="1">
      <c r="A20" s="65">
        <v>18</v>
      </c>
      <c r="B20" s="62" t="s">
        <v>6</v>
      </c>
      <c r="C20" s="79">
        <v>37470</v>
      </c>
      <c r="D20" s="65" t="s">
        <v>19</v>
      </c>
      <c r="E20" s="79">
        <v>15</v>
      </c>
      <c r="F20" s="65">
        <v>2</v>
      </c>
      <c r="G20" s="62">
        <v>51.79</v>
      </c>
      <c r="H20" s="62" t="s">
        <v>9</v>
      </c>
      <c r="I20" s="62"/>
      <c r="J20" s="95">
        <v>5689100</v>
      </c>
      <c r="K20" s="62" t="s">
        <v>31</v>
      </c>
      <c r="L20" s="62" t="s">
        <v>22</v>
      </c>
      <c r="M20" s="62" t="s">
        <v>583</v>
      </c>
      <c r="N20" s="62" t="s">
        <v>18</v>
      </c>
      <c r="O20" s="92">
        <v>45618</v>
      </c>
      <c r="P20" s="62" t="s">
        <v>17</v>
      </c>
      <c r="Q20" s="76" t="s">
        <v>2269</v>
      </c>
      <c r="R20" s="113" t="s">
        <v>67</v>
      </c>
      <c r="S20" s="113"/>
      <c r="T20" s="62" t="s">
        <v>31</v>
      </c>
      <c r="U20" s="62" t="s">
        <v>20</v>
      </c>
      <c r="V20" s="114">
        <f>сент244546[[#This Row],[сумма]]-сент244546[[#This Row],[Цена м2 отделки]]*сент244546[[#This Row],[м2]]</f>
        <v>5689100</v>
      </c>
    </row>
    <row r="21" spans="1:22" s="61" customFormat="1" ht="12.75" customHeight="1">
      <c r="A21" s="62">
        <v>19</v>
      </c>
      <c r="B21" s="62" t="s">
        <v>6</v>
      </c>
      <c r="C21" s="349">
        <v>33809</v>
      </c>
      <c r="D21" s="62" t="s">
        <v>19</v>
      </c>
      <c r="E21" s="62">
        <v>51</v>
      </c>
      <c r="F21" s="349">
        <v>2</v>
      </c>
      <c r="G21" s="62">
        <v>51.79</v>
      </c>
      <c r="H21" s="117" t="s">
        <v>2270</v>
      </c>
      <c r="I21" s="348"/>
      <c r="J21" s="402">
        <v>5673318</v>
      </c>
      <c r="K21" s="396" t="s">
        <v>8</v>
      </c>
      <c r="L21" s="117" t="s">
        <v>22</v>
      </c>
      <c r="M21" s="117" t="s">
        <v>583</v>
      </c>
      <c r="N21" s="117" t="s">
        <v>18</v>
      </c>
      <c r="O21" s="92">
        <v>45617</v>
      </c>
      <c r="P21" s="117" t="s">
        <v>17</v>
      </c>
      <c r="Q21" s="117" t="s">
        <v>2271</v>
      </c>
      <c r="R21" s="113" t="s">
        <v>67</v>
      </c>
      <c r="S21" s="113"/>
      <c r="T21" s="62" t="s">
        <v>8</v>
      </c>
      <c r="U21" s="62" t="s">
        <v>8</v>
      </c>
      <c r="V21" s="114">
        <f>сент244546[[#This Row],[сумма]]-сент244546[[#This Row],[Цена м2 отделки]]*сент244546[[#This Row],[м2]]</f>
        <v>5673318</v>
      </c>
    </row>
    <row r="22" spans="1:22" s="61" customFormat="1" ht="12.75" customHeight="1">
      <c r="A22" s="62">
        <v>20</v>
      </c>
      <c r="B22" s="62" t="s">
        <v>6</v>
      </c>
      <c r="C22" s="349">
        <v>26799</v>
      </c>
      <c r="D22" s="117" t="s">
        <v>13</v>
      </c>
      <c r="E22" s="62">
        <v>202</v>
      </c>
      <c r="F22" s="349">
        <v>2</v>
      </c>
      <c r="G22" s="62">
        <v>60.22</v>
      </c>
      <c r="H22" s="117" t="s">
        <v>21</v>
      </c>
      <c r="I22" s="348">
        <v>10000</v>
      </c>
      <c r="J22" s="352">
        <v>7816090</v>
      </c>
      <c r="K22" s="396" t="s">
        <v>8</v>
      </c>
      <c r="L22" s="117" t="s">
        <v>22</v>
      </c>
      <c r="M22" s="117" t="s">
        <v>583</v>
      </c>
      <c r="N22" s="117" t="s">
        <v>18</v>
      </c>
      <c r="O22" s="92"/>
      <c r="P22" s="117" t="s">
        <v>2272</v>
      </c>
      <c r="Q22" s="117" t="s">
        <v>2273</v>
      </c>
      <c r="R22" s="113" t="s">
        <v>67</v>
      </c>
      <c r="S22" s="113"/>
      <c r="T22" s="62" t="s">
        <v>8</v>
      </c>
      <c r="U22" s="62" t="s">
        <v>8</v>
      </c>
      <c r="V22" s="114">
        <f>сент244546[[#This Row],[сумма]]-сент244546[[#This Row],[Цена м2 отделки]]*сент244546[[#This Row],[м2]]</f>
        <v>7213890</v>
      </c>
    </row>
    <row r="23" spans="1:22" s="61" customFormat="1" ht="12.75" hidden="1" customHeight="1">
      <c r="A23" s="65"/>
      <c r="B23" s="65"/>
      <c r="C23" s="79"/>
      <c r="D23" s="65"/>
      <c r="E23" s="79"/>
      <c r="F23" s="65"/>
      <c r="G23" s="65"/>
      <c r="H23" s="65"/>
      <c r="I23" s="65"/>
      <c r="J23" s="93"/>
      <c r="K23" s="65"/>
      <c r="L23" s="65"/>
      <c r="M23" s="65"/>
      <c r="N23" s="65"/>
      <c r="O23" s="98"/>
      <c r="P23" s="65"/>
      <c r="Q23" s="65"/>
      <c r="R23" s="118"/>
      <c r="S23" s="118"/>
      <c r="T23" s="65"/>
      <c r="U23" s="65"/>
      <c r="V23" s="115">
        <f>сент244546[[#This Row],[сумма]]-сент244546[[#This Row],[Цена м2 отделки]]*сент244546[[#This Row],[м2]]</f>
        <v>0</v>
      </c>
    </row>
    <row r="24" spans="1:22" s="61" customFormat="1" hidden="1">
      <c r="A24" s="62">
        <v>22</v>
      </c>
      <c r="B24" s="62"/>
      <c r="C24" s="75">
        <v>37542</v>
      </c>
      <c r="D24" s="62" t="s">
        <v>13</v>
      </c>
      <c r="E24" s="75">
        <v>518</v>
      </c>
      <c r="F24" s="349">
        <v>1</v>
      </c>
      <c r="G24" s="62">
        <v>43.21</v>
      </c>
      <c r="H24" s="62" t="s">
        <v>21</v>
      </c>
      <c r="I24" s="348">
        <v>10000</v>
      </c>
      <c r="J24" s="352">
        <v>6167354</v>
      </c>
      <c r="K24" s="348" t="s">
        <v>20</v>
      </c>
      <c r="L24" s="62" t="s">
        <v>22</v>
      </c>
      <c r="M24" s="117" t="s">
        <v>583</v>
      </c>
      <c r="N24" s="62" t="s">
        <v>18</v>
      </c>
      <c r="O24" s="92">
        <v>45621</v>
      </c>
      <c r="P24" s="62" t="s">
        <v>17</v>
      </c>
      <c r="Q24" s="117" t="s">
        <v>2274</v>
      </c>
      <c r="R24" s="113" t="s">
        <v>67</v>
      </c>
      <c r="S24" s="113"/>
      <c r="T24" s="62" t="s">
        <v>20</v>
      </c>
      <c r="U24" s="62" t="s">
        <v>14</v>
      </c>
      <c r="V24" s="114">
        <f>сент244546[[#This Row],[сумма]]-сент244546[[#This Row],[Цена м2 отделки]]*сент244546[[#This Row],[м2]]</f>
        <v>5735254</v>
      </c>
    </row>
    <row r="25" spans="1:22" s="61" customFormat="1" hidden="1">
      <c r="A25" s="65">
        <v>23</v>
      </c>
      <c r="B25" s="65"/>
      <c r="C25" s="79"/>
      <c r="D25" s="65"/>
      <c r="E25" s="79"/>
      <c r="F25" s="87"/>
      <c r="G25" s="65"/>
      <c r="H25" s="65"/>
      <c r="I25" s="72"/>
      <c r="J25" s="105"/>
      <c r="K25" s="65"/>
      <c r="L25" s="65"/>
      <c r="M25" s="65"/>
      <c r="N25" s="65"/>
      <c r="O25" s="98"/>
      <c r="P25" s="65"/>
      <c r="Q25" s="65"/>
      <c r="R25" s="118"/>
      <c r="S25" s="118"/>
      <c r="T25" s="65"/>
      <c r="U25" s="65"/>
      <c r="V25" s="115">
        <f>сент244546[[#This Row],[сумма]]-сент244546[[#This Row],[Цена м2 отделки]]*сент244546[[#This Row],[м2]]</f>
        <v>0</v>
      </c>
    </row>
    <row r="26" spans="1:22" s="61" customFormat="1" ht="12.75" hidden="1" customHeight="1">
      <c r="A26" s="65"/>
      <c r="B26" s="65"/>
      <c r="C26" s="79"/>
      <c r="D26" s="65"/>
      <c r="E26" s="79"/>
      <c r="F26" s="87"/>
      <c r="G26" s="65"/>
      <c r="H26" s="65"/>
      <c r="I26" s="72"/>
      <c r="J26" s="93"/>
      <c r="K26" s="72"/>
      <c r="L26" s="65"/>
      <c r="M26" s="80"/>
      <c r="N26" s="65"/>
      <c r="O26" s="98"/>
      <c r="P26" s="65"/>
      <c r="Q26" s="80"/>
      <c r="R26" s="131"/>
      <c r="S26" s="131"/>
      <c r="T26" s="65"/>
      <c r="U26" s="65"/>
      <c r="V26" s="115">
        <f>сент244546[[#This Row],[сумма]]-сент244546[[#This Row],[Цена м2 отделки]]*сент244546[[#This Row],[м2]]</f>
        <v>0</v>
      </c>
    </row>
    <row r="27" spans="1:22" s="61" customFormat="1" ht="12.75" hidden="1" customHeight="1">
      <c r="A27" s="65"/>
      <c r="B27" s="65"/>
      <c r="C27" s="65"/>
      <c r="D27" s="65"/>
      <c r="E27" s="65"/>
      <c r="F27" s="65"/>
      <c r="G27" s="65"/>
      <c r="H27" s="65"/>
      <c r="I27" s="65"/>
      <c r="J27" s="390"/>
      <c r="K27" s="72"/>
      <c r="L27" s="65"/>
      <c r="M27" s="65"/>
      <c r="N27" s="65"/>
      <c r="O27" s="94"/>
      <c r="P27" s="65"/>
      <c r="Q27" s="65"/>
      <c r="R27" s="66"/>
      <c r="S27" s="66"/>
      <c r="T27" s="65"/>
      <c r="U27" s="65"/>
      <c r="V27" s="115">
        <f>сент244546[[#This Row],[сумма]]-сент244546[[#This Row],[Цена м2 отделки]]*сент244546[[#This Row],[м2]]</f>
        <v>0</v>
      </c>
    </row>
    <row r="28" spans="1:22" s="61" customFormat="1" ht="12.75" hidden="1" customHeight="1">
      <c r="A28" s="65"/>
      <c r="B28" s="65"/>
      <c r="C28" s="78"/>
      <c r="D28" s="65"/>
      <c r="E28" s="79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сент244546[[#This Row],[сумма]]-сент244546[[#This Row],[Цена м2 отделки]]*сент244546[[#This Row],[м2]]</f>
        <v>0</v>
      </c>
    </row>
    <row r="29" spans="1:22" s="61" customFormat="1" ht="12.75" hidden="1" customHeight="1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сент244546[[#This Row],[сумма]]-сент244546[[#This Row],[Цена м2 отделки]]*сент244546[[#This Row],[м2]]</f>
        <v>0</v>
      </c>
    </row>
    <row r="30" spans="1:22" s="61" customFormat="1" ht="12.75" hidden="1" customHeight="1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сент244546[[#This Row],[сумма]]-сент244546[[#This Row],[Цена м2 отделки]]*сент244546[[#This Row],[м2]]</f>
        <v>0</v>
      </c>
    </row>
    <row r="31" spans="1:22" s="61" customFormat="1" ht="12.75" hidden="1" customHeight="1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сент244546[[#This Row],[сумма]]-сент244546[[#This Row],[Цена м2 отделки]]*сент244546[[#This Row],[м2]]</f>
        <v>0</v>
      </c>
    </row>
    <row r="32" spans="1:22" s="61" customFormat="1" ht="12.75" hidden="1" customHeight="1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сент244546[[#This Row],[сумма]]-сент244546[[#This Row],[Цена м2 отделки]]*сент244546[[#This Row],[м2]]</f>
        <v>0</v>
      </c>
    </row>
    <row r="33" spans="1:22" ht="12.75" hidden="1" customHeight="1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сент244546[[#This Row],[сумма]]-сент244546[[#This Row],[Цена м2 отделки]]*сент244546[[#This Row],[м2]]</f>
        <v>0</v>
      </c>
    </row>
    <row r="34" spans="1:22" s="61" customFormat="1" ht="12.75" hidden="1" customHeight="1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сент244546[[#This Row],[сумма]]-сент244546[[#This Row],[Цена м2 отделки]]*сент244546[[#This Row],[м2]]</f>
        <v>0</v>
      </c>
    </row>
    <row r="35" spans="1:22" s="61" customFormat="1" ht="12.75" hidden="1" customHeight="1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сент244546[[#This Row],[сумма]]-сент244546[[#This Row],[Цена м2 отделки]]*сент244546[[#This Row],[м2]]</f>
        <v>0</v>
      </c>
    </row>
    <row r="36" spans="1:22" s="61" customFormat="1" ht="12.75" hidden="1" customHeight="1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сент244546[[#This Row],[сумма]]-сент244546[[#This Row],[Цена м2 отделки]]*сент244546[[#This Row],[м2]]</f>
        <v>0</v>
      </c>
    </row>
    <row r="37" spans="1:22" s="61" customFormat="1" ht="12.75" hidden="1" customHeight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сент244546[[#This Row],[сумма]]-сент244546[[#This Row],[Цена м2 отделки]]*сент244546[[#This Row],[м2]]</f>
        <v>0</v>
      </c>
    </row>
    <row r="38" spans="1:22" s="61" customFormat="1" ht="12.75" hidden="1" customHeight="1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сент244546[[#This Row],[сумма]]-сент244546[[#This Row],[Цена м2 отделки]]*сент244546[[#This Row],[м2]]</f>
        <v>0</v>
      </c>
    </row>
    <row r="39" spans="1:22" s="61" customFormat="1" ht="12.75" hidden="1" customHeight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сент244546[[#This Row],[сумма]]-сент244546[[#This Row],[Цена м2 отделки]]*сент244546[[#This Row],[м2]]</f>
        <v>0</v>
      </c>
    </row>
    <row r="40" spans="1:22" ht="12.75" hidden="1" customHeight="1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сент244546[[#This Row],[сумма]]-сент244546[[#This Row],[Цена м2 отделки]]*сент244546[[#This Row],[м2]]</f>
        <v>0</v>
      </c>
    </row>
    <row r="41" spans="1:22" ht="12.75" hidden="1" customHeight="1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сент244546[[#This Row],[сумма]]-сент244546[[#This Row],[Цена м2 отделки]]*сент244546[[#This Row],[м2]]</f>
        <v>0</v>
      </c>
    </row>
    <row r="42" spans="1:22" ht="12.75" hidden="1" customHeight="1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сент244546[[#This Row],[сумма]]-сент244546[[#This Row],[Цена м2 отделки]]*сент244546[[#This Row],[м2]]</f>
        <v>0</v>
      </c>
    </row>
    <row r="43" spans="1:22" ht="12.75" hidden="1" customHeight="1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сент244546[[#This Row],[сумма]]-сент244546[[#This Row],[Цена м2 отделки]]*сент244546[[#This Row],[м2]]</f>
        <v>0</v>
      </c>
    </row>
    <row r="44" spans="1:22" ht="12.75" hidden="1" customHeight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сент244546[[#This Row],[сумма]]-сент244546[[#This Row],[Цена м2 отделки]]*сент244546[[#This Row],[м2]]</f>
        <v>0</v>
      </c>
    </row>
    <row r="45" spans="1:22" ht="12.75" hidden="1" customHeight="1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сент244546[[#This Row],[сумма]]-сент244546[[#This Row],[Цена м2 отделки]]*сент244546[[#This Row],[м2]]</f>
        <v>0</v>
      </c>
    </row>
    <row r="46" spans="1:22" ht="12.75" hidden="1" customHeight="1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сент244546[[#This Row],[сумма]]-сент244546[[#This Row],[Цена м2 отделки]]*сент244546[[#This Row],[м2]]</f>
        <v>0</v>
      </c>
    </row>
    <row r="47" spans="1:22" ht="12.75" hidden="1" customHeight="1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сент244546[[#This Row],[сумма]]-сент244546[[#This Row],[Цена м2 отделки]]*сент244546[[#This Row],[м2]]</f>
        <v>0</v>
      </c>
    </row>
    <row r="48" spans="1:22" ht="12.75" hidden="1" customHeight="1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сент244546[[#This Row],[сумма]]-сент244546[[#This Row],[Цена м2 отделки]]*сент244546[[#This Row],[м2]]</f>
        <v>0</v>
      </c>
    </row>
    <row r="49" spans="1:22" ht="12.75" hidden="1" customHeight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сент244546[[#This Row],[сумма]]-сент244546[[#This Row],[Цена м2 отделки]]*сент244546[[#This Row],[м2]]</f>
        <v>0</v>
      </c>
    </row>
    <row r="50" spans="1:22" ht="12.75" hidden="1" customHeight="1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сент244546[[#This Row],[сумма]]-сент244546[[#This Row],[Цена м2 отделки]]*сент244546[[#This Row],[м2]]</f>
        <v>0</v>
      </c>
    </row>
    <row r="51" spans="1:22" ht="12.75" hidden="1" customHeight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сент244546[[#This Row],[сумма]]-сент244546[[#This Row],[Цена м2 отделки]]*сент244546[[#This Row],[м2]]</f>
        <v>0</v>
      </c>
    </row>
    <row r="52" spans="1:22" ht="12.75" hidden="1" customHeight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сент244546[[#This Row],[сумма]]-сент244546[[#This Row],[Цена м2 отделки]]*сент244546[[#This Row],[м2]]</f>
        <v>0</v>
      </c>
    </row>
    <row r="53" spans="1:22" ht="12.75" hidden="1" customHeight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сент244546[[#This Row],[сумма]]-сент244546[[#This Row],[Цена м2 отделки]]*сент244546[[#This Row],[м2]]</f>
        <v>0</v>
      </c>
    </row>
    <row r="54" spans="1:22" ht="12.75" hidden="1" customHeight="1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сент244546[[#This Row],[сумма]]-сент244546[[#This Row],[Цена м2 отделки]]*сент244546[[#This Row],[м2]]</f>
        <v>0</v>
      </c>
    </row>
    <row r="55" spans="1:22" ht="12.75" hidden="1" customHeight="1">
      <c r="A55" s="65"/>
      <c r="B55" s="65"/>
      <c r="C55" s="79"/>
      <c r="D55" s="80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сент244546[[#This Row],[сумма]]-сент244546[[#This Row],[Цена м2 отделки]]*сент244546[[#This Row],[м2]]</f>
        <v>0</v>
      </c>
    </row>
    <row r="56" spans="1:22" ht="12.75" hidden="1" customHeight="1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сент244546[[#This Row],[сумма]]-сент244546[[#This Row],[Цена м2 отделки]]*сент244546[[#This Row],[м2]]</f>
        <v>0</v>
      </c>
    </row>
    <row r="57" spans="1:22" ht="12.75" hidden="1" customHeight="1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сент244546[[#This Row],[сумма]]-сент244546[[#This Row],[Цена м2 отделки]]*сент244546[[#This Row],[м2]]</f>
        <v>0</v>
      </c>
    </row>
    <row r="58" spans="1:22" ht="12.75" hidden="1" customHeight="1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сент244546[[#This Row],[сумма]]-сент244546[[#This Row],[Цена м2 отделки]]*сент244546[[#This Row],[м2]]</f>
        <v>0</v>
      </c>
    </row>
    <row r="59" spans="1:22" ht="12.75" hidden="1" customHeight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сент244546[[#This Row],[сумма]]-сент244546[[#This Row],[Цена м2 отделки]]*сент244546[[#This Row],[м2]]</f>
        <v>0</v>
      </c>
    </row>
    <row r="60" spans="1:22" ht="12.75" hidden="1" customHeight="1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сент244546[[#This Row],[сумма]]-сент244546[[#This Row],[Цена м2 отделки]]*сент244546[[#This Row],[м2]]</f>
        <v>0</v>
      </c>
    </row>
    <row r="61" spans="1:22" ht="12.75" hidden="1" customHeight="1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сент244546[[#This Row],[сумма]]-сент244546[[#This Row],[Цена м2 отделки]]*сент244546[[#This Row],[м2]]</f>
        <v>0</v>
      </c>
    </row>
    <row r="62" spans="1:22" ht="12.75" hidden="1" customHeight="1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сент244546[[#This Row],[сумма]]-сент244546[[#This Row],[Цена м2 отделки]]*сент244546[[#This Row],[м2]]</f>
        <v>0</v>
      </c>
    </row>
    <row r="63" spans="1:22" ht="12.75" hidden="1" customHeight="1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сент244546[[#This Row],[сумма]]-сент244546[[#This Row],[Цена м2 отделки]]*сент244546[[#This Row],[м2]]</f>
        <v>0</v>
      </c>
    </row>
    <row r="64" spans="1:22" ht="12.75" hidden="1" customHeight="1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сент244546[[#This Row],[сумма]]-сент244546[[#This Row],[Цена м2 отделки]]*сент244546[[#This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</row>
    <row r="67" spans="1:27" s="65" customFormat="1">
      <c r="B67" s="79"/>
      <c r="D67" s="79"/>
      <c r="I67" s="93"/>
      <c r="J67" s="80"/>
      <c r="U67" s="66"/>
      <c r="X67" s="98"/>
      <c r="Y67" s="80"/>
      <c r="AA67" s="86"/>
    </row>
    <row r="68" spans="1:27" s="65" customFormat="1">
      <c r="B68" s="79"/>
      <c r="C68" s="79"/>
      <c r="D68" s="80"/>
      <c r="F68" s="72"/>
      <c r="I68" s="105"/>
      <c r="U68" s="66"/>
      <c r="W68" s="110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8</v>
      </c>
      <c r="B72" s="267">
        <f>IFERROR(VLOOKUP(A72,'ИПП 4кв24'!$B$22:$N$32,4,0),"")</f>
        <v>35</v>
      </c>
      <c r="C72" s="146">
        <f>IFERROR(VLOOKUP(A72,'ИПП 4кв24'!$B$22:$N$32,5,0),"")</f>
        <v>3774529</v>
      </c>
      <c r="D72" s="145">
        <f>SUMIFS(сент244546[м2],сент244546[МОП],$A72,сент244546[№ дома],$C$70,сент244546[Комнатность],"&lt;&gt;Офис")</f>
        <v>0</v>
      </c>
      <c r="E72" s="146">
        <f>SUMIFS(сент244546[Сумма без отделки],сент244546[МОП],$A72,сент244546[№ дома],$C$70,сент244546[Комнатность],"&lt;&gt;Офис")</f>
        <v>0</v>
      </c>
      <c r="F72" s="147">
        <f>COUNTIFS(сент244546[МОП],$A72,сент244546[№ дома],$C$70,сент244546[Комнатность],"&lt;&gt;Офис")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>
        <f t="shared" ref="J72:K78" si="0">IFERROR(G72/B72,"")</f>
        <v>0</v>
      </c>
      <c r="K72" s="222">
        <f t="shared" si="0"/>
        <v>0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50" t="s">
        <v>24</v>
      </c>
      <c r="B73" s="267">
        <f>IFERROR(VLOOKUP(A73,'ИПП 4кв24'!$B$22:$N$32,4,0),"")</f>
        <v>13</v>
      </c>
      <c r="C73" s="146">
        <f>IFERROR(VLOOKUP(A73,'ИПП 4кв24'!$B$22:$N$32,5,0),"")</f>
        <v>1376130</v>
      </c>
      <c r="D73" s="145">
        <f>SUMIFS(сент244546[м2],сент244546[МОП],$A73,сент244546[№ дома],$C$70,сент244546[Комнатность],"&lt;&gt;Офис")</f>
        <v>0</v>
      </c>
      <c r="E73" s="146">
        <f>SUMIFS(сент244546[Сумма без отделки],сент244546[МОП],$A73,сент244546[№ дома],$C$70,сент244546[Комнатность],"&lt;&gt;Офис")</f>
        <v>0</v>
      </c>
      <c r="F73" s="147">
        <f>COUNTIFS(сент244546[МОП],$A73,сент244546[№ дома],$C$70,сент244546[Комнатность],"&lt;&gt;Офис")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si="0"/>
        <v>0</v>
      </c>
      <c r="K73" s="222">
        <f t="shared" si="0"/>
        <v>0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3" t="s">
        <v>20</v>
      </c>
      <c r="B74" s="267">
        <f>IFERROR(VLOOKUP(A74,'ИПП 4кв24'!$B$22:$N$32,4,0),"")</f>
        <v>62</v>
      </c>
      <c r="C74" s="146">
        <f>IFERROR(VLOOKUP(A74,'ИПП 4кв24'!$B$22:$N$32,5,0),"")</f>
        <v>6605426</v>
      </c>
      <c r="D74" s="145">
        <f>SUMIFS(сент244546[м2],сент244546[МОП],$A74,сент244546[№ дома],$C$70,сент244546[Комнатность],"&lt;&gt;Офис")</f>
        <v>0</v>
      </c>
      <c r="E74" s="146">
        <f>SUMIFS(сент244546[Сумма без отделки],сент244546[МОП],$A74,сент244546[№ дома],$C$70,сент244546[Комнатность],"&lt;&gt;Офис")</f>
        <v>0</v>
      </c>
      <c r="F74" s="147">
        <f>COUNTIFS(сент244546[МОП],$A74,сент244546[№ дома],$C$70,сент244546[Комнатность],"&lt;&gt;Офис")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4">
        <f t="shared" si="0"/>
        <v>0</v>
      </c>
      <c r="K74" s="225">
        <f t="shared" si="0"/>
        <v>0</v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14</v>
      </c>
      <c r="B75" s="267">
        <f>IFERROR(VLOOKUP(A75,'ИПП 4кв24'!$B$22:$N$32,4,0),"")</f>
        <v>66</v>
      </c>
      <c r="C75" s="146">
        <f>IFERROR(VLOOKUP(A75,'ИПП 4кв24'!$B$22:$N$32,5,0),"")</f>
        <v>7077242</v>
      </c>
      <c r="D75" s="328">
        <f>SUMIFS(сент244546[м2],сент244546[МОП],$A75,сент244546[№ дома],$C$70,сент244546[Комнатность],"&lt;&gt;Офис")</f>
        <v>0</v>
      </c>
      <c r="E75" s="403">
        <f>SUMIFS(сент244546[Сумма без отделки],сент244546[МОП],$A75,сент244546[№ дома],$C$70,сент244546[Комнатность],"&lt;&gt;Офис")</f>
        <v>0</v>
      </c>
      <c r="F75" s="404">
        <f>COUNTIFS(сент244546[МОП],$A75,сент244546[№ дома],$C$70,сент244546[Комнатность],"&lt;&gt;Офис")</f>
        <v>0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360">
        <f t="shared" si="0"/>
        <v>0</v>
      </c>
      <c r="K75" s="361">
        <f t="shared" si="0"/>
        <v>0</v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4" t="s">
        <v>29</v>
      </c>
      <c r="B76" s="274"/>
      <c r="C76" s="277"/>
      <c r="D76" s="341">
        <f>SUMIFS(сент244546[м2],сент244546[МОП],$A76,сент244546[№ дома],$C$70,сент244546[Комнатность],"&lt;&gt;Офис")</f>
        <v>0</v>
      </c>
      <c r="E76" s="277">
        <f>SUMIFS(сент244546[Сумма без отделки],сент244546[МОП],$A76,сент244546[№ дома],$C$70,сент244546[Комнатность],"&lt;&gt;Офис")</f>
        <v>0</v>
      </c>
      <c r="F76" s="405">
        <f>COUNTIFS(сент244546[МОП],$A76,сент244546[№ дома],$C$70,сент244546[Комнатность],"&lt;&gt;Офис")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61" t="s">
        <v>1919</v>
      </c>
      <c r="B77" s="278"/>
      <c r="C77" s="281"/>
      <c r="D77" s="406">
        <f>SUMIFS(сент244546[м2],сент244546[МОП],$A77,сент244546[№ дома],$C$70,сент244546[Комнатность],"&lt;&gt;Офис")</f>
        <v>0</v>
      </c>
      <c r="E77" s="281">
        <f>SUMIFS(сент244546[Сумма без отделки],сент244546[МОП],$A77,сент244546[№ дома],$C$70,сент244546[Комнатность],"&lt;&gt;Офис")</f>
        <v>0</v>
      </c>
      <c r="F77" s="407">
        <f>COUNTIFS(сент244546[МОП],$A77,сент244546[№ дома],$C$70,сент244546[Комнатность],"&lt;&gt;Офис")</f>
        <v>0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8" t="s">
        <v>114</v>
      </c>
      <c r="B78" s="172">
        <f t="shared" ref="B78:I78" si="1">SUM(B72:B77)</f>
        <v>176</v>
      </c>
      <c r="C78" s="173">
        <f t="shared" si="1"/>
        <v>18833327</v>
      </c>
      <c r="D78" s="173">
        <f t="shared" si="1"/>
        <v>0</v>
      </c>
      <c r="E78" s="173">
        <f t="shared" si="1"/>
        <v>0</v>
      </c>
      <c r="F78" s="171">
        <f t="shared" si="1"/>
        <v>0</v>
      </c>
      <c r="G78" s="172">
        <f t="shared" si="1"/>
        <v>0</v>
      </c>
      <c r="H78" s="173">
        <f t="shared" si="1"/>
        <v>0</v>
      </c>
      <c r="I78" s="170">
        <f t="shared" si="1"/>
        <v>0</v>
      </c>
      <c r="J78" s="238">
        <f t="shared" si="0"/>
        <v>0</v>
      </c>
      <c r="K78" s="239">
        <f t="shared" si="0"/>
        <v>0</v>
      </c>
      <c r="L78" s="240">
        <f>SUM(L72:L77)</f>
        <v>0</v>
      </c>
      <c r="M78" s="241">
        <f>SUM(M72:M77)</f>
        <v>0</v>
      </c>
      <c r="N78" s="241">
        <f>SUM(N72:N77)</f>
        <v>0</v>
      </c>
      <c r="O78" s="241">
        <f>SUM(O72:O77)</f>
        <v>0</v>
      </c>
      <c r="P78" s="242">
        <f>SUM(P72:P77)</f>
        <v>0</v>
      </c>
      <c r="T78" s="66"/>
    </row>
    <row r="79" spans="1:27" s="65" customFormat="1">
      <c r="A79" s="135" t="s">
        <v>115</v>
      </c>
      <c r="B79" s="135" t="s">
        <v>100</v>
      </c>
      <c r="C79" s="136" t="s">
        <v>97</v>
      </c>
      <c r="D79" s="137" t="s">
        <v>494</v>
      </c>
      <c r="E79" s="138" t="s">
        <v>495</v>
      </c>
      <c r="F79" s="139" t="s">
        <v>496</v>
      </c>
      <c r="G79" s="140" t="s">
        <v>101</v>
      </c>
      <c r="H79" s="141" t="s">
        <v>98</v>
      </c>
      <c r="I79" s="141" t="s">
        <v>96</v>
      </c>
      <c r="J79" s="141" t="s">
        <v>715</v>
      </c>
      <c r="K79" s="21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7" s="65" customFormat="1">
      <c r="A80" s="177" t="s">
        <v>22</v>
      </c>
      <c r="B80" s="291">
        <f>IFERROR(VLOOKUP(A80,'ИПП 4кв24'!$B$22:$N$32,4,0),"")</f>
        <v>105.6</v>
      </c>
      <c r="C80" s="292">
        <f>IFERROR(VLOOKUP(A80,'ИПП 4кв24'!$B$22:$N$32,5,0),"")</f>
        <v>11299996.199999999</v>
      </c>
      <c r="D80" s="346">
        <f>SUMIFS(сент244546[м2],сент244546[ИМ],A80,сент244546[№ дома],$C$70,сент244546[Комнатность],"&lt;&gt;Офис")</f>
        <v>0</v>
      </c>
      <c r="E80" s="184">
        <f>SUMIFS(сент244546[Сумма без отделки],сент244546[ИМ],$A80,сент244546[№ дома],$C$70,сент244546[Комнатность],"&lt;&gt;Офис")</f>
        <v>0</v>
      </c>
      <c r="F80" s="246">
        <f>COUNTIFS(сент244546[ИМ],$A80,сент244546[№ дома],$C$70,сент244546[Комнатность],"&lt;&gt;Офис")</f>
        <v>0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J80" s="244">
        <f t="shared" ref="J80:K82" si="2">IFERROR(G80/B80,"")</f>
        <v>0</v>
      </c>
      <c r="K80" s="245">
        <f t="shared" si="2"/>
        <v>0</v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0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/>
      <c r="B81" s="408" t="str">
        <f>IFERROR(VLOOKUP(A81,'ИПП 4кв24'!$B$22:$N$32,4,0),"")</f>
        <v/>
      </c>
      <c r="C81" s="403" t="str">
        <f>IFERROR(VLOOKUP(A81,'ИПП 4кв24'!$B$22:$N$32,5,0),"")</f>
        <v/>
      </c>
      <c r="D81" s="328">
        <f>SUMIFS(сент244546[м2],сент244546[ИМ],A81,сент244546[№ дома],$C$70,сент244546[Комнатность],"&lt;&gt;Офис")</f>
        <v>0</v>
      </c>
      <c r="E81" s="188">
        <f>SUMIFS(сент244546[Сумма без отделки],сент244546[ИМ],$A81,сент244546[№ дома],$C$70,сент244546[Комнатность],"&lt;&gt;Офис")</f>
        <v>0</v>
      </c>
      <c r="F81" s="250">
        <f>COUNTIFS(сент244546[ИМ],$A81,сент244546[№ дома],$C$70,сент244546[Комнатность],"&lt;&gt;Офис")</f>
        <v>0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8" t="str">
        <f t="shared" si="2"/>
        <v/>
      </c>
      <c r="K81" s="249" t="str">
        <f t="shared" si="2"/>
        <v/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409" t="s">
        <v>114</v>
      </c>
      <c r="B82" s="410">
        <f t="shared" ref="B82:I82" si="3">SUM(B80:B81)</f>
        <v>105.6</v>
      </c>
      <c r="C82" s="411">
        <f t="shared" si="3"/>
        <v>11299996.199999999</v>
      </c>
      <c r="D82" s="411">
        <f t="shared" si="3"/>
        <v>0</v>
      </c>
      <c r="E82" s="411">
        <f t="shared" si="3"/>
        <v>0</v>
      </c>
      <c r="F82" s="412">
        <f t="shared" si="3"/>
        <v>0</v>
      </c>
      <c r="G82" s="410">
        <f t="shared" si="3"/>
        <v>0</v>
      </c>
      <c r="H82" s="411">
        <f t="shared" si="3"/>
        <v>0</v>
      </c>
      <c r="I82" s="418">
        <f t="shared" si="3"/>
        <v>0</v>
      </c>
      <c r="J82" s="419">
        <f t="shared" si="2"/>
        <v>0</v>
      </c>
      <c r="K82" s="420">
        <f t="shared" si="2"/>
        <v>0</v>
      </c>
      <c r="L82" s="240">
        <f>SUM(L80:L81)</f>
        <v>0</v>
      </c>
      <c r="M82" s="241">
        <f>SUM(M80:M81)</f>
        <v>0</v>
      </c>
      <c r="N82" s="241">
        <f>SUM(N80:N81)</f>
        <v>0</v>
      </c>
      <c r="O82" s="241">
        <f>SUM(O80:O81)</f>
        <v>0</v>
      </c>
      <c r="P82" s="242">
        <f>SUM(P80:P81)</f>
        <v>0</v>
      </c>
      <c r="T82" s="66"/>
    </row>
    <row r="83" spans="1:21" s="65" customFormat="1">
      <c r="A83" s="134"/>
      <c r="B83" s="197"/>
      <c r="C83" s="197"/>
      <c r="D83" s="198"/>
      <c r="E83" s="134"/>
      <c r="F83" s="44"/>
      <c r="G83" s="134"/>
      <c r="H83" s="134"/>
      <c r="I83" s="44"/>
      <c r="J83" s="134"/>
      <c r="K83" s="255"/>
      <c r="L83" s="256"/>
      <c r="M83" s="134"/>
      <c r="N83" s="134"/>
      <c r="O83" s="134"/>
      <c r="P83" s="134"/>
      <c r="Q83" s="134"/>
      <c r="U83" s="66"/>
    </row>
    <row r="84" spans="1:21" s="65" customFormat="1">
      <c r="A84" s="2325" t="s">
        <v>713</v>
      </c>
      <c r="B84" s="2326"/>
      <c r="C84" s="133" t="s">
        <v>13</v>
      </c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T84" s="66"/>
    </row>
    <row r="85" spans="1:21" s="65" customFormat="1">
      <c r="A85" s="135" t="s">
        <v>1</v>
      </c>
      <c r="B85" s="135" t="s">
        <v>100</v>
      </c>
      <c r="C85" s="136" t="s">
        <v>97</v>
      </c>
      <c r="D85" s="137" t="s">
        <v>494</v>
      </c>
      <c r="E85" s="138" t="s">
        <v>495</v>
      </c>
      <c r="F85" s="139" t="s">
        <v>496</v>
      </c>
      <c r="G85" s="140" t="s">
        <v>101</v>
      </c>
      <c r="H85" s="141" t="s">
        <v>98</v>
      </c>
      <c r="I85" s="141" t="s">
        <v>96</v>
      </c>
      <c r="J85" s="141" t="s">
        <v>715</v>
      </c>
      <c r="K85" s="216" t="s">
        <v>716</v>
      </c>
      <c r="L85" s="217">
        <v>0</v>
      </c>
      <c r="M85" s="218">
        <v>1</v>
      </c>
      <c r="N85" s="218">
        <v>2</v>
      </c>
      <c r="O85" s="218">
        <v>3</v>
      </c>
      <c r="P85" s="219" t="s">
        <v>1367</v>
      </c>
      <c r="T85" s="66"/>
    </row>
    <row r="86" spans="1:21" s="65" customFormat="1">
      <c r="A86" s="398" t="s">
        <v>8</v>
      </c>
      <c r="B86" s="267">
        <f>IFERROR(VLOOKUP(A86,'ИПП 4кв24'!$B$22:$N$32,6,0),"")</f>
        <v>215</v>
      </c>
      <c r="C86" s="146">
        <f>IFERROR(VLOOKUP(A86,'ИПП 4кв24'!$B$22:$N$32,7,0),"")</f>
        <v>23082541</v>
      </c>
      <c r="D86" s="257">
        <f>SUMIFS(сент244546[м2],сент244546[МОП],$A86,сент244546[№ дома],$C$84,сент244546[Комнатность],"&lt;&gt;Офис")</f>
        <v>370.01</v>
      </c>
      <c r="E86" s="52">
        <f>SUMIFS(сент244546[Сумма без отделки],сент244546[МОП],$A86,сент244546[№ дома],$C$84,сент244546[Комнатность],"&lt;&gt;Офис")</f>
        <v>40098915</v>
      </c>
      <c r="F86" s="413">
        <f>COUNTIFS(сент244546[МОП],$A86,сент244546[№ дома],$C$84,сент244546[Комнатность],"&lt;&gt;Офис")</f>
        <v>7</v>
      </c>
      <c r="G86" s="202">
        <f>SUMIFS(РД[S],РД[Дом],$C$84,РД[МОП],A86,РД[Дата подачи на регистрацию],"&lt;="&amp;$A$1,РД[Дата подачи на регистрацию],"&gt;="&amp;DATE(YEAR($A$1),MONTH($A$1),1),РД[Состояние],"Продажа")</f>
        <v>502.02000000000004</v>
      </c>
      <c r="H86" s="203">
        <f>SUMIFS(РД[Стоимость без отделки итог],РД[Дом],$C$84,РД[МОП],A86,РД[Дата подачи на регистрацию],"&lt;="&amp;$A$1,РД[Дата подачи на регистрацию],"&gt;="&amp;DATE(YEAR($A$1),MONTH($A$1),1),РД[Состояние],"Продажа")</f>
        <v>54530591</v>
      </c>
      <c r="I86" s="226">
        <f>COUNTIFS(РД[Дом],$C$84,РД[МОП],A86,РД[Дата подачи на регистрацию],"&lt;="&amp;$A$1,РД[Дата подачи на регистрацию],"&gt;="&amp;DATE(YEAR($A$1),MONTH($A$1),1),РД[Состояние],"Продажа")</f>
        <v>9</v>
      </c>
      <c r="J86" s="224">
        <f t="shared" ref="J86:K91" si="4">IFERROR(G86/B86,)</f>
        <v>2.3349767441860467</v>
      </c>
      <c r="K86" s="225">
        <f t="shared" si="4"/>
        <v>2.3624171619580356</v>
      </c>
      <c r="L86" s="257">
        <f>COUNTIFS(РД[Тип кв],L$85,РД[МОП],$A86,РД[Дом],$C$84,РД[Дата подачи на регистрацию],"&lt;="&amp;$A$1,РД[Дата подачи на регистрацию],"&gt;="&amp;DATE(YEAR($A$1),MONTH($A$1),1))</f>
        <v>2</v>
      </c>
      <c r="M86" s="226">
        <f>COUNTIFS(РД[Тип кв],M$85,РД[МОП],$A86,РД[Дом],$C$84,РД[Дата подачи на регистрацию],"&lt;="&amp;$A$1,РД[Дата подачи на регистрацию],"&gt;="&amp;DATE(YEAR($A$1),MONTH($A$1),1))</f>
        <v>1</v>
      </c>
      <c r="N86" s="226">
        <f>COUNTIFS(РД[Тип кв],N$85,РД[МОП],$A86,РД[Дом],$C$84,РД[Дата подачи на регистрацию],"&lt;="&amp;$A$1,РД[Дата подачи на регистрацию],"&gt;="&amp;DATE(YEAR($A$1),MONTH($A$1),1))</f>
        <v>6</v>
      </c>
      <c r="O86" s="226">
        <f>COUNTIFS(РД[Тип кв],O$85,РД[МОП],$A86,РД[Дом],$C$84,РД[Дата подачи на регистрацию],"&lt;="&amp;$A$1,РД[Дата подачи на регистрацию],"&gt;="&amp;DATE(YEAR($A$1),MONTH($A$1),1))</f>
        <v>0</v>
      </c>
      <c r="P86" s="227">
        <f>COUNTIFS(РД[Тип кв],P$85,РД[МОП],$A86,РД[Дом],$C$84,РД[Дата подачи на регистрацию],"&lt;="&amp;$A$1,РД[Дата подачи на регистрацию],"&gt;="&amp;DATE(YEAR($A$1),MONTH($A$1),1))</f>
        <v>0</v>
      </c>
      <c r="T86" s="66"/>
    </row>
    <row r="87" spans="1:21" s="65" customFormat="1">
      <c r="A87" s="150" t="s">
        <v>24</v>
      </c>
      <c r="B87" s="267">
        <f>IFERROR(VLOOKUP(A87,'ИПП 4кв24'!$B$22:$N$32,6,0),"")</f>
        <v>78</v>
      </c>
      <c r="C87" s="146">
        <f>IFERROR(VLOOKUP(A87,'ИПП 4кв24'!$B$22:$N$32,7,0),"")</f>
        <v>8415510</v>
      </c>
      <c r="D87" s="257">
        <f>SUMIFS(сент244546[м2],сент244546[МОП],$A87,сент244546[№ дома],$C$84,сент244546[Комнатность],"&lt;&gt;Офис")</f>
        <v>0</v>
      </c>
      <c r="E87" s="52">
        <f>SUMIFS(сент244546[Сумма без отделки],сент244546[МОП],$A87,сент244546[№ дома],$C$84,сент244546[Комнатность],"&lt;&gt;Офис")</f>
        <v>0</v>
      </c>
      <c r="F87" s="413">
        <f>COUNTIFS(сент244546[МОП],$A87,сент244546[№ дома],$C$84,сент244546[Комнатность],"&lt;&gt;Офис")</f>
        <v>0</v>
      </c>
      <c r="G87" s="202">
        <f>SUMIFS(РД[S],РД[Дом],$C$84,РД[МОП],A87,РД[Дата подачи на регистрацию],"&lt;="&amp;$A$1,РД[Дата подачи на регистрацию],"&gt;="&amp;DATE(YEAR($A$1),MONTH($A$1),1),РД[Состояние],"Продажа")</f>
        <v>0</v>
      </c>
      <c r="H87" s="203">
        <f>SUMIFS(РД[Стоимость без отделки итог],РД[Дом],$C$84,РД[МОП],A87,РД[Дата подачи на регистрацию],"&lt;="&amp;$A$1,РД[Дата подачи на регистрацию],"&gt;="&amp;DATE(YEAR($A$1),MONTH($A$1),1),РД[Состояние],"Продажа")</f>
        <v>0</v>
      </c>
      <c r="I87" s="226">
        <f>COUNTIFS(РД[Дом],$C$84,РД[МОП],A87,РД[Дата подачи на регистрацию],"&lt;="&amp;$A$1,РД[Дата подачи на регистрацию],"&gt;="&amp;DATE(YEAR($A$1),MONTH($A$1),1),РД[Состояние],"Продажа")</f>
        <v>0</v>
      </c>
      <c r="J87" s="224">
        <f t="shared" si="4"/>
        <v>0</v>
      </c>
      <c r="K87" s="225">
        <f t="shared" si="4"/>
        <v>0</v>
      </c>
      <c r="L87" s="257">
        <f>COUNTIFS(РД[Тип кв],L$85,РД[МОП],$A87,РД[Дом],$C$84,РД[Дата подачи на регистрацию],"&lt;="&amp;$A$1,РД[Дата подачи на регистрацию],"&gt;="&amp;DATE(YEAR($A$1),MONTH($A$1),1))</f>
        <v>0</v>
      </c>
      <c r="M87" s="226">
        <f>COUNTIFS(РД[Тип кв],M$85,РД[МОП],$A87,РД[Дом],$C$84,РД[Дата подачи на регистрацию],"&lt;="&amp;$A$1,РД[Дата подачи на регистрацию],"&gt;="&amp;DATE(YEAR($A$1),MONTH($A$1),1))</f>
        <v>0</v>
      </c>
      <c r="N87" s="226">
        <f>COUNTIFS(РД[Тип кв],N$85,РД[МОП],$A87,РД[Дом],$C$84,РД[Дата подачи на регистрацию],"&lt;="&amp;$A$1,РД[Дата подачи на регистрацию],"&gt;="&amp;DATE(YEAR($A$1),MONTH($A$1),1))</f>
        <v>0</v>
      </c>
      <c r="O87" s="226">
        <f>COUNTIFS(РД[Тип кв],O$85,РД[МОП],$A87,РД[Дом],$C$84,РД[Дата подачи на регистрацию],"&lt;="&amp;$A$1,РД[Дата подачи на регистрацию],"&gt;="&amp;DATE(YEAR($A$1),MONTH($A$1),1))</f>
        <v>0</v>
      </c>
      <c r="P87" s="227">
        <f>COUNTIFS(РД[Тип кв],P$85,РД[МОП],$A87,РД[Дом],$C$84,РД[Дата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3" t="s">
        <v>20</v>
      </c>
      <c r="B88" s="267">
        <f>IFERROR(VLOOKUP(A88,'ИПП 4кв24'!$B$22:$N$32,6,0),"")</f>
        <v>377</v>
      </c>
      <c r="C88" s="146">
        <f>IFERROR(VLOOKUP(A88,'ИПП 4кв24'!$B$22:$N$32,7,0),"")</f>
        <v>40394447</v>
      </c>
      <c r="D88" s="257">
        <f>SUMIFS(сент244546[м2],сент244546[МОП],$A88,сент244546[№ дома],$C$84,сент244546[Комнатность],"&lt;&gt;Офис")</f>
        <v>236.78000000000003</v>
      </c>
      <c r="E88" s="52">
        <f>SUMIFS(сент244546[Сумма без отделки],сент244546[МОП],$A88,сент244546[№ дома],$C$84,сент244546[Комнатность],"&lt;&gt;Офис")</f>
        <v>26699086</v>
      </c>
      <c r="F88" s="413">
        <f>COUNTIFS(сент244546[МОП],$A88,сент244546[№ дома],$C$84,сент244546[Комнатность],"&lt;&gt;Офис")</f>
        <v>5</v>
      </c>
      <c r="G88" s="202">
        <f>SUMIFS(РД[S],РД[Дом],$C$84,РД[МОП],A88,РД[Дата подачи на регистрацию],"&lt;="&amp;$A$1,РД[Дата подачи на регистрацию],"&gt;="&amp;DATE(YEAR($A$1),MONTH($A$1),1),РД[Состояние],"Продажа")</f>
        <v>261.06</v>
      </c>
      <c r="H88" s="203">
        <f>SUMIFS(РД[Стоимость без отделки итог],РД[Дом],$C$84,РД[МОП],A88,РД[Дата подачи на регистрацию],"&lt;="&amp;$A$1,РД[Дата подачи на регистрацию],"&gt;="&amp;DATE(YEAR($A$1),MONTH($A$1),1),РД[Состояние],"Продажа")</f>
        <v>30330770</v>
      </c>
      <c r="I88" s="226">
        <f>COUNTIFS(РД[Дом],$C$84,РД[МОП],A88,РД[Дата подачи на регистрацию],"&lt;="&amp;$A$1,РД[Дата подачи на регистрацию],"&gt;="&amp;DATE(YEAR($A$1),MONTH($A$1),1),РД[Состояние],"Продажа")</f>
        <v>6</v>
      </c>
      <c r="J88" s="224">
        <f t="shared" si="4"/>
        <v>0.69246684350132626</v>
      </c>
      <c r="K88" s="225">
        <f t="shared" si="4"/>
        <v>0.75086484040739565</v>
      </c>
      <c r="L88" s="257">
        <f>COUNTIFS(РД[Тип кв],L$85,РД[МОП],$A88,РД[Дом],$C$84,РД[Дата подачи на регистрацию],"&lt;="&amp;$A$1,РД[Дата подачи на регистрацию],"&gt;="&amp;DATE(YEAR($A$1),MONTH($A$1),1))</f>
        <v>1</v>
      </c>
      <c r="M88" s="226">
        <f>COUNTIFS(РД[Тип кв],M$85,РД[МОП],$A88,РД[Дом],$C$84,РД[Дата подачи на регистрацию],"&lt;="&amp;$A$1,РД[Дата подачи на регистрацию],"&gt;="&amp;DATE(YEAR($A$1),MONTH($A$1),1))</f>
        <v>3</v>
      </c>
      <c r="N88" s="226">
        <f>COUNTIFS(РД[Тип кв],N$85,РД[МОП],$A88,РД[Дом],$C$84,РД[Дата подачи на регистрацию],"&lt;="&amp;$A$1,РД[Дата подачи на регистрацию],"&gt;="&amp;DATE(YEAR($A$1),MONTH($A$1),1))</f>
        <v>2</v>
      </c>
      <c r="O88" s="226">
        <f>COUNTIFS(РД[Тип кв],O$85,РД[МОП],$A88,РД[Дом],$C$84,РД[Дата подачи на регистрацию],"&lt;="&amp;$A$1,РД[Дата подачи на регистрацию],"&gt;="&amp;DATE(YEAR($A$1),MONTH($A$1),1))</f>
        <v>0</v>
      </c>
      <c r="P88" s="227">
        <f>COUNTIFS(РД[Тип кв],P$85,РД[МОП],$A88,РД[Дом],$C$84,РД[Дата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14</v>
      </c>
      <c r="B89" s="267">
        <f>IFERROR(VLOOKUP(A89,'ИПП 4кв24'!$B$22:$N$32,6,0),"")</f>
        <v>404</v>
      </c>
      <c r="C89" s="146">
        <f>IFERROR(VLOOKUP(A89,'ИПП 4кв24'!$B$22:$N$32,7,0),"")</f>
        <v>43279764</v>
      </c>
      <c r="D89" s="329">
        <f>SUMIFS(сент244546[м2],сент244546[МОП],$A89,сент244546[№ дома],$C$84,сент244546[Комнатность],"&lt;&gt;Офис")</f>
        <v>84.77000000000001</v>
      </c>
      <c r="E89" s="363">
        <f>SUMIFS(сент244546[Сумма без отделки],сент244546[МОП],$A89,сент244546[№ дома],$C$84,сент244546[Комнатность],"&lt;&gt;Офис")</f>
        <v>9760830</v>
      </c>
      <c r="F89" s="414">
        <f>COUNTIFS(сент244546[МОП],$A89,сент244546[№ дома],$C$84,сент244546[Комнатность],"&lt;&gt;Офис")</f>
        <v>2</v>
      </c>
      <c r="G89" s="358">
        <f>SUMIFS(РД[S],РД[Дом],$C$84,РД[МОП],A89,РД[Дата подачи на регистрацию],"&lt;="&amp;$A$1,РД[Дата подачи на регистрацию],"&gt;="&amp;DATE(YEAR($A$1),MONTH($A$1),1),РД[Состояние],"Продажа")</f>
        <v>84.77000000000001</v>
      </c>
      <c r="H89" s="359">
        <f>SUMIFS(РД[Стоимость без отделки итог],РД[Дом],$C$84,РД[МОП],A89,РД[Дата подачи на регистрацию],"&lt;="&amp;$A$1,РД[Дата подачи на регистрацию],"&gt;="&amp;DATE(YEAR($A$1),MONTH($A$1),1),РД[Состояние],"Продажа")</f>
        <v>9736300</v>
      </c>
      <c r="I89" s="330">
        <f>COUNTIFS(РД[Дом],$C$84,РД[МОП],A89,РД[Дата подачи на регистрацию],"&lt;="&amp;$A$1,РД[Дата подачи на регистрацию],"&gt;="&amp;DATE(YEAR($A$1),MONTH($A$1),1),РД[Состояние],"Продажа")</f>
        <v>2</v>
      </c>
      <c r="J89" s="360">
        <f t="shared" si="4"/>
        <v>0.20982673267326735</v>
      </c>
      <c r="K89" s="361">
        <f t="shared" si="4"/>
        <v>0.22496194757439064</v>
      </c>
      <c r="L89" s="329">
        <f>COUNTIFS(РД[Тип кв],L$85,РД[МОП],$A89,РД[Дом],$C$84,РД[Дата подачи на регистрацию],"&lt;="&amp;$A$1,РД[Дата подачи на регистрацию],"&gt;="&amp;DATE(YEAR($A$1),MONTH($A$1),1))</f>
        <v>1</v>
      </c>
      <c r="M89" s="330">
        <f>COUNTIFS(РД[Тип кв],M$85,РД[МОП],$A89,РД[Дом],$C$84,РД[Дата подачи на регистрацию],"&lt;="&amp;$A$1,РД[Дата подачи на регистрацию],"&gt;="&amp;DATE(YEAR($A$1),MONTH($A$1),1))</f>
        <v>0</v>
      </c>
      <c r="N89" s="330">
        <f>COUNTIFS(РД[Тип кв],N$85,РД[МОП],$A89,РД[Дом],$C$84,РД[Дата подачи на регистрацию],"&lt;="&amp;$A$1,РД[Дата подачи на регистрацию],"&gt;="&amp;DATE(YEAR($A$1),MONTH($A$1),1))</f>
        <v>1</v>
      </c>
      <c r="O89" s="330">
        <f>COUNTIFS(РД[Тип кв],O$85,РД[МОП],$A89,РД[Дом],$C$84,РД[Дата подачи на регистрацию],"&lt;="&amp;$A$1,РД[Дата подачи на регистрацию],"&gt;="&amp;DATE(YEAR($A$1),MONTH($A$1),1))</f>
        <v>0</v>
      </c>
      <c r="P89" s="331">
        <f>COUNTIFS(РД[Тип кв],P$85,РД[МОП],$A89,РД[Дом],$C$84,РД[Дата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4" t="s">
        <v>29</v>
      </c>
      <c r="B90" s="274"/>
      <c r="C90" s="277"/>
      <c r="D90" s="341">
        <f>SUMIFS(сент244546[м2],сент244546[МОП],$A90,сент244546[№ дома],$C$84,сент244546[Комнатность],"&lt;&gt;Офис")</f>
        <v>0</v>
      </c>
      <c r="E90" s="277">
        <f>SUMIFS(сент244546[Сумма без отделки],сент244546[МОП],$A90,сент244546[№ дома],$C$84,сент244546[Комнатность],"&lt;&gt;Офис")</f>
        <v>0</v>
      </c>
      <c r="F90" s="405">
        <f>COUNTIFS(сент244546[МОП],$A90,сент244546[№ дома],$C$84,сент244546[Комнатность],"&lt;&gt;Офис")</f>
        <v>0</v>
      </c>
      <c r="G90" s="159">
        <f>SUMIFS(РД[S],РД[Дом],$C$84,РД[МОП],A90,РД[Дата подачи на регистрацию],"&lt;="&amp;$A$1,РД[Дата подачи на регистрацию],"&gt;="&amp;DATE(YEAR($A$1),MONTH($A$1),1),РД[Состояние],"Продажа")</f>
        <v>0</v>
      </c>
      <c r="H90" s="160">
        <f>SUMIFS(РД[Стоимость без отделки итог],РД[Дом],$C$84,РД[МОП],A90,РД[Дата подачи на регистрацию],"&lt;="&amp;$A$1,РД[Дата подачи на регистрацию],"&gt;="&amp;DATE(YEAR($A$1),MONTH($A$1),1),РД[Состояние],"Продажа")</f>
        <v>0</v>
      </c>
      <c r="I90" s="228">
        <f>COUNTIFS(РД[Дом],$C$84,РД[МОП],A90,РД[Дата подачи на регистрацию],"&lt;="&amp;$A$1,РД[Дата подачи на регистрацию],"&gt;="&amp;DATE(YEAR($A$1),MONTH($A$1),1),РД[Состояние],"Продажа")</f>
        <v>0</v>
      </c>
      <c r="J90" s="229">
        <f t="shared" si="4"/>
        <v>0</v>
      </c>
      <c r="K90" s="230">
        <f t="shared" si="4"/>
        <v>0</v>
      </c>
      <c r="L90" s="159">
        <f>COUNTIFS(РД[Тип кв],L$85,РД[МОП],$A90,РД[Дом],$C$84,РД[Дата подачи на регистрацию],"&lt;="&amp;$A$1,РД[Дата подачи на регистрацию],"&gt;="&amp;DATE(YEAR($A$1),MONTH($A$1),1))</f>
        <v>0</v>
      </c>
      <c r="M90" s="228">
        <f>COUNTIFS(РД[Тип кв],M$85,РД[МОП],$A90,РД[Дом],$C$84,РД[Дата подачи на регистрацию],"&lt;="&amp;$A$1,РД[Дата подачи на регистрацию],"&gt;="&amp;DATE(YEAR($A$1),MONTH($A$1),1))</f>
        <v>0</v>
      </c>
      <c r="N90" s="228">
        <f>COUNTIFS(РД[Тип кв],N$85,РД[МОП],$A90,РД[Дом],$C$84,РД[Дата подачи на регистрацию],"&lt;="&amp;$A$1,РД[Дата подачи на регистрацию],"&gt;="&amp;DATE(YEAR($A$1),MONTH($A$1),1))</f>
        <v>0</v>
      </c>
      <c r="O90" s="228">
        <f>COUNTIFS(РД[Тип кв],O$85,РД[МОП],$A90,РД[Дом],$C$84,РД[Дата подачи на регистрацию],"&lt;="&amp;$A$1,РД[Дата подачи на регистрацию],"&gt;="&amp;DATE(YEAR($A$1),MONTH($A$1),1))</f>
        <v>0</v>
      </c>
      <c r="P90" s="231">
        <f>COUNTIFS(РД[Тип кв],P$85,РД[МОП],$A90,РД[Дом],$C$84,РД[Дата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61" t="s">
        <v>1919</v>
      </c>
      <c r="B91" s="278"/>
      <c r="C91" s="281"/>
      <c r="D91" s="406">
        <f>SUMIFS(сент244546[м2],сент244546[МОП],$A91,сент244546[№ дома],$C$84,сент244546[Комнатность],"&lt;&gt;Офис")</f>
        <v>156.29</v>
      </c>
      <c r="E91" s="281">
        <f>SUMIFS(сент244546[Сумма без отделки],сент244546[МОП],$A91,сент244546[№ дома],$C$84,сент244546[Комнатность],"&lt;&gt;Офис")</f>
        <v>18063360</v>
      </c>
      <c r="F91" s="407">
        <f>COUNTIFS(сент244546[МОП],$A91,сент244546[№ дома],$C$84,сент244546[Комнатность],"&lt;&gt;Офис")</f>
        <v>3</v>
      </c>
      <c r="G91" s="166">
        <f>SUMIFS(РД[S],РД[Дом],$C$84,РД[МОП],A91,РД[Дата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7">
        <f>SUMIFS(РД[Стоимость без отделки итог],РД[Дом],$C$84,РД[МОП],A91,РД[Дата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32">
        <f>COUNTIFS(РД[Дом],$C$84,РД[МОП],A91,РД[Дата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33">
        <f t="shared" si="4"/>
        <v>0</v>
      </c>
      <c r="K91" s="234">
        <f t="shared" si="4"/>
        <v>0</v>
      </c>
      <c r="L91" s="235">
        <f>COUNTIFS(РД[Тип кв],L$85,РД[МОП],$A91,РД[Дом],$C$84,РД[Дата подачи на регистрацию],"&lt;="&amp;$A$1,РД[Дата подачи на регистрацию],"&gt;="&amp;DATE(YEAR($A$1),MONTH($A$1),1))</f>
        <v>0</v>
      </c>
      <c r="M91" s="236">
        <f>COUNTIFS(РД[Тип кв],M$85,РД[МОП],$A91,РД[Дом],$C$84,РД[Дата подачи на регистрацию],"&lt;="&amp;$A$1,РД[Дата подачи на регистрацию],"&gt;="&amp;DATE(YEAR($A$1),MONTH($A$1),1))</f>
        <v>0</v>
      </c>
      <c r="N91" s="236">
        <f>COUNTIFS(РД[Тип кв],N$85,РД[МОП],$A91,РД[Дом],$C$84,РД[Дата подачи на регистрацию],"&lt;="&amp;$A$1,РД[Дата подачи на регистрацию],"&gt;="&amp;DATE(YEAR($A$1),MONTH($A$1),1))</f>
        <v>0</v>
      </c>
      <c r="O91" s="236">
        <f>COUNTIFS(РД[Тип кв],O$85,РД[МОП],$A91,РД[Дом],$C$84,РД[Дата подачи на регистрацию],"&lt;="&amp;$A$1,РД[Дата подачи на регистрацию],"&gt;="&amp;DATE(YEAR($A$1),MONTH($A$1),1))</f>
        <v>0</v>
      </c>
      <c r="P91" s="237">
        <f>COUNTIFS(РД[Тип кв],P$85,РД[МОП],$A91,РД[Дом],$C$84,РД[Дата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8" t="s">
        <v>114</v>
      </c>
      <c r="B92" s="172">
        <f t="shared" ref="B92:I92" si="5">SUM(B86:B91)</f>
        <v>1074</v>
      </c>
      <c r="C92" s="173">
        <f t="shared" si="5"/>
        <v>115172262</v>
      </c>
      <c r="D92" s="173">
        <f t="shared" si="5"/>
        <v>847.84999999999991</v>
      </c>
      <c r="E92" s="173">
        <f t="shared" si="5"/>
        <v>94622191</v>
      </c>
      <c r="F92" s="171">
        <f t="shared" si="5"/>
        <v>17</v>
      </c>
      <c r="G92" s="172">
        <f t="shared" si="5"/>
        <v>847.85</v>
      </c>
      <c r="H92" s="173">
        <f t="shared" si="5"/>
        <v>94597661</v>
      </c>
      <c r="I92" s="170">
        <f t="shared" si="5"/>
        <v>17</v>
      </c>
      <c r="J92" s="238">
        <f>IFERROR(G92/B92,"")</f>
        <v>0.78943202979515836</v>
      </c>
      <c r="K92" s="239">
        <f>IFERROR(H92/C92,"")</f>
        <v>0.82135801934670694</v>
      </c>
      <c r="L92" s="240">
        <f>SUM(L86:L91)</f>
        <v>4</v>
      </c>
      <c r="M92" s="241">
        <f>SUM(M86:M91)</f>
        <v>4</v>
      </c>
      <c r="N92" s="241">
        <f>SUM(N86:N91)</f>
        <v>9</v>
      </c>
      <c r="O92" s="241">
        <f>SUM(O86:O91)</f>
        <v>0</v>
      </c>
      <c r="P92" s="242">
        <f>SUM(P86:P91)</f>
        <v>0</v>
      </c>
      <c r="T92" s="66"/>
    </row>
    <row r="93" spans="1:21" s="65" customFormat="1">
      <c r="A93" s="135" t="s">
        <v>115</v>
      </c>
      <c r="B93" s="135" t="s">
        <v>100</v>
      </c>
      <c r="C93" s="136" t="s">
        <v>97</v>
      </c>
      <c r="D93" s="137" t="s">
        <v>494</v>
      </c>
      <c r="E93" s="138" t="s">
        <v>495</v>
      </c>
      <c r="F93" s="139" t="s">
        <v>496</v>
      </c>
      <c r="G93" s="140" t="s">
        <v>101</v>
      </c>
      <c r="H93" s="141" t="s">
        <v>98</v>
      </c>
      <c r="I93" s="141" t="s">
        <v>96</v>
      </c>
      <c r="J93" s="141" t="s">
        <v>715</v>
      </c>
      <c r="K93" s="216" t="s">
        <v>716</v>
      </c>
      <c r="L93" s="217">
        <v>0</v>
      </c>
      <c r="M93" s="218">
        <v>1</v>
      </c>
      <c r="N93" s="218">
        <v>2</v>
      </c>
      <c r="O93" s="218">
        <v>3</v>
      </c>
      <c r="P93" s="219" t="s">
        <v>1367</v>
      </c>
      <c r="T93" s="66"/>
    </row>
    <row r="94" spans="1:21" s="65" customFormat="1">
      <c r="A94" s="150" t="s">
        <v>22</v>
      </c>
      <c r="B94" s="291">
        <f>IFERROR(VLOOKUP(A94,'ИПП 4кв24'!$B$22:$N$32,6,0),"")</f>
        <v>644.4</v>
      </c>
      <c r="C94" s="292">
        <f>IFERROR(VLOOKUP(A94,'ИПП 4кв24'!$B$22:$N$32,7,0),"")</f>
        <v>69103357.200000003</v>
      </c>
      <c r="D94" s="346">
        <f>SUMIFS(сент244546[м2],сент244546[ИМ],A94,сент244546[№ дома],$C$84,сент244546[Комнатность],"&lt;&gt;Офис")</f>
        <v>526.82000000000005</v>
      </c>
      <c r="E94" s="184">
        <f>SUMIFS(сент244546[Сумма без отделки],сент244546[ИМ],$A94,сент244546[№ дома],$C$84,сент244546[Комнатность],"&lt;&gt;Офис")</f>
        <v>62400210</v>
      </c>
      <c r="F94" s="415">
        <f>COUNTIFS(сент244546[ИМ],$A94,сент244546[№ дома],$C$84,сент244546[Комнатность],"&lt;&gt;Офис")</f>
        <v>12</v>
      </c>
      <c r="G94" s="183">
        <f>SUMIFS(РД[S],РД[Дом],$C$84,РД[ИМ],A94,РД[Дата подачи на регистрацию],"&lt;="&amp;$A$1,РД[Дата подачи на регистрацию],"&gt;="&amp;DATE(YEAR($A$1),MONTH($A$1),1),РД[Состояние],"Продажа")</f>
        <v>526.81999999999994</v>
      </c>
      <c r="H94" s="184">
        <f>SUMIFS(РД[Стоимость без отделки итог],РД[Дом],$C$84,РД[ИМ],A94,РД[Дата подачи на регистрацию],"&lt;="&amp;$A$1,РД[Дата подачи на регистрацию],"&gt;="&amp;DATE(YEAR($A$1),MONTH($A$1),1),РД[Состояние],"Продажа")</f>
        <v>62375680</v>
      </c>
      <c r="I94" s="243">
        <f>COUNTIFS(РД[Дом],$C$84,РД[ИМ],A94,РД[Дата подачи на регистрацию],"&lt;="&amp;$A$1,РД[Дата подачи на регистрацию],"&gt;="&amp;DATE(YEAR($A$1),MONTH($A$1),1),РД[Состояние],"Продажа")</f>
        <v>12</v>
      </c>
      <c r="J94" s="244">
        <f t="shared" ref="J94:K95" si="6">IFERROR(G94/B94,"")</f>
        <v>0.81753569211669763</v>
      </c>
      <c r="K94" s="258">
        <f t="shared" si="6"/>
        <v>0.90264326549969698</v>
      </c>
      <c r="L94" s="183">
        <f>COUNTIFS(РД[Тип кв],L85,РД[ИМ],$A94,РД[Дом],$C$84,РД[Дата подачи на регистрацию],"&lt;="&amp;$A$1,РД[Дата подачи на регистрацию],"&gt;="&amp;DATE(YEAR($A$1),MONTH($A$1),1))</f>
        <v>4</v>
      </c>
      <c r="M94" s="243">
        <f>COUNTIFS(РД[Тип кв],M85,РД[ИМ],$A94,РД[Дом],$C$84,РД[Дата подачи на регистрацию],"&lt;="&amp;$A$1,РД[Дата подачи на регистрацию],"&gt;="&amp;DATE(YEAR($A$1),MONTH($A$1),1))</f>
        <v>3</v>
      </c>
      <c r="N94" s="243">
        <f>COUNTIFS(РД[Тип кв],N85,РД[ИМ],$A94,РД[Дом],$C$84,РД[Дата подачи на регистрацию],"&lt;="&amp;$A$1,РД[Дата подачи на регистрацию],"&gt;="&amp;DATE(YEAR($A$1),MONTH($A$1),1))</f>
        <v>5</v>
      </c>
      <c r="O94" s="243">
        <f>COUNTIFS(РД[Тип кв],O85,РД[ИМ],$A94,РД[Дом],$C$84,РД[Дата подачи на регистрацию],"&lt;="&amp;$A$1,РД[Дата подачи на регистрацию],"&gt;="&amp;DATE(YEAR($A$1),MONTH($A$1),1))</f>
        <v>0</v>
      </c>
      <c r="P94" s="246">
        <f>COUNTIFS(РД[Тип кв],P85,РД[ИМ],$A94,РД[Дом],$C$84,РД[Дата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50"/>
      <c r="B95" s="267" t="str">
        <f>IFERROR(VLOOKUP(A95,'ИПП 4кв24'!$B$22:$N$32,6,0),"")</f>
        <v/>
      </c>
      <c r="C95" s="146" t="str">
        <f>IFERROR(VLOOKUP(A95,'ИПП 4кв24'!$B$22:$N$32,7,0),"")</f>
        <v/>
      </c>
      <c r="D95" s="328">
        <f>SUMIFS(сент244546[м2],сент244546[ИМ],A95,сент244546[№ дома],$C$84,сент244546[Комнатность],"&lt;&gt;Офис")</f>
        <v>0</v>
      </c>
      <c r="E95" s="188">
        <f>SUMIFS(сент244546[Сумма без отделки],сент244546[ИМ],$A95,сент244546[№ дома],$C$84,сент244546[Комнатность],"&lt;&gt;Офис")</f>
        <v>0</v>
      </c>
      <c r="F95" s="404">
        <f>COUNTIFS(сент244546[ИМ],$A95,сент244546[№ дома],$C$84,сент244546[Комнатность],"&lt;&gt;Офис")</f>
        <v>0</v>
      </c>
      <c r="G95" s="187">
        <f>SUMIFS(РД[S],РД[Дом],$C$84,РД[ИМ],A95,РД[Дата подачи на регистрацию],"&lt;="&amp;$A$1,РД[Дата подачи на регистрацию],"&gt;="&amp;DATE(YEAR($A$1),MONTH($A$1),1),РД[Состояние],"Продажа")</f>
        <v>0</v>
      </c>
      <c r="H95" s="188">
        <f>SUMIFS(РД[Стоимость без отделки итог],РД[Дом],$C$84,РД[ИМ],A95,РД[Дата подачи на регистрацию],"&lt;="&amp;$A$1,РД[Дата подачи на регистрацию],"&gt;="&amp;DATE(YEAR($A$1),MONTH($A$1),1),РД[Состояние],"Продажа")</f>
        <v>0</v>
      </c>
      <c r="I95" s="247">
        <f>COUNTIFS(РД[Дом],$C$84,РД[ИМ],A95,РД[Дата подачи на регистрацию],"&lt;="&amp;$A$1,РД[Дата подачи на регистрацию],"&gt;="&amp;DATE(YEAR($A$1),MONTH($A$1),1),РД[Состояние],"Продажа")</f>
        <v>0</v>
      </c>
      <c r="J95" s="248" t="str">
        <f t="shared" si="6"/>
        <v/>
      </c>
      <c r="K95" s="259" t="str">
        <f t="shared" si="6"/>
        <v/>
      </c>
      <c r="L95" s="187">
        <f>COUNTIFS(РД[Тип кв],L$85,РД[ИМ],$A95,РД[Дом],$C$84,РД[Дата подачи на регистрацию],"&lt;="&amp;$A$1,РД[Дата подачи на регистрацию],"&gt;="&amp;DATE(YEAR($A$1),MONTH($A$1),1))</f>
        <v>0</v>
      </c>
      <c r="M95" s="247">
        <f>COUNTIFS(РД[Тип кв],M$85,РД[ИМ],$A95,РД[Дом],$C$84,РД[Дата подачи на регистрацию],"&lt;="&amp;$A$1,РД[Дата подачи на регистрацию],"&gt;="&amp;DATE(YEAR($A$1),MONTH($A$1),1))</f>
        <v>0</v>
      </c>
      <c r="N95" s="247">
        <f>COUNTIFS(РД[Тип кв],N$85,РД[ИМ],$A95,РД[Дом],$C$84,РД[Дата подачи на регистрацию],"&lt;="&amp;$A$1,РД[Дата подачи на регистрацию],"&gt;="&amp;DATE(YEAR($A$1),MONTH($A$1),1))</f>
        <v>0</v>
      </c>
      <c r="O95" s="247">
        <f>COUNTIFS(РД[Тип кв],O$85,РД[ИМ],$A95,РД[Дом],$C$84,РД[Дата подачи на регистрацию],"&lt;="&amp;$A$1,РД[Дата подачи на регистрацию],"&gt;="&amp;DATE(YEAR($A$1),MONTH($A$1),1))</f>
        <v>0</v>
      </c>
      <c r="P95" s="250">
        <f>COUNTIFS(РД[Тип кв],P$85,РД[ИМ],$A95,РД[Дом],$C$84,РД[Дата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409" t="s">
        <v>114</v>
      </c>
      <c r="B96" s="410">
        <f t="shared" ref="B96:I96" si="7">SUM(B94:B95)</f>
        <v>644.4</v>
      </c>
      <c r="C96" s="411">
        <f t="shared" si="7"/>
        <v>69103357.200000003</v>
      </c>
      <c r="D96" s="411">
        <f t="shared" si="7"/>
        <v>526.82000000000005</v>
      </c>
      <c r="E96" s="411">
        <f t="shared" si="7"/>
        <v>62400210</v>
      </c>
      <c r="F96" s="412">
        <f t="shared" si="7"/>
        <v>12</v>
      </c>
      <c r="G96" s="410">
        <f t="shared" si="7"/>
        <v>526.81999999999994</v>
      </c>
      <c r="H96" s="411">
        <f t="shared" si="7"/>
        <v>62375680</v>
      </c>
      <c r="I96" s="418">
        <f t="shared" si="7"/>
        <v>12</v>
      </c>
      <c r="J96" s="419">
        <f>IFERROR(G96/B96,)</f>
        <v>0.81753569211669763</v>
      </c>
      <c r="K96" s="420">
        <f>IFERROR(H96/C96,)</f>
        <v>0.90264326549969698</v>
      </c>
      <c r="L96" s="240">
        <f>SUM(L94:L95)</f>
        <v>4</v>
      </c>
      <c r="M96" s="241">
        <f>SUM(M94:M95)</f>
        <v>3</v>
      </c>
      <c r="N96" s="241">
        <f>SUM(N94:N95)</f>
        <v>5</v>
      </c>
      <c r="O96" s="241">
        <f>SUM(O94:O95)</f>
        <v>0</v>
      </c>
      <c r="P96" s="242">
        <f>SUM(P94:P95)</f>
        <v>0</v>
      </c>
      <c r="Q96" s="86"/>
      <c r="R96" s="86"/>
      <c r="S96" s="86"/>
      <c r="T96" s="66"/>
    </row>
    <row r="97" spans="1:21" s="65" customFormat="1">
      <c r="A97" s="134"/>
      <c r="B97" s="211"/>
      <c r="C97" s="211"/>
      <c r="D97" s="212"/>
      <c r="E97" s="134"/>
      <c r="F97" s="134"/>
      <c r="G97" s="134"/>
      <c r="H97" s="134"/>
      <c r="I97" s="134"/>
      <c r="J97" s="134"/>
      <c r="K97" s="134"/>
      <c r="L97" s="261"/>
      <c r="M97" s="134"/>
      <c r="N97" s="134"/>
      <c r="O97" s="134"/>
      <c r="P97" s="262"/>
      <c r="Q97" s="134"/>
      <c r="U97" s="66"/>
    </row>
    <row r="98" spans="1:21" s="65" customFormat="1">
      <c r="A98" s="2325" t="s">
        <v>713</v>
      </c>
      <c r="B98" s="2326"/>
      <c r="C98" s="133" t="s">
        <v>19</v>
      </c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263"/>
      <c r="T98" s="66"/>
    </row>
    <row r="99" spans="1:21" s="65" customFormat="1">
      <c r="A99" s="135" t="s">
        <v>1</v>
      </c>
      <c r="B99" s="135" t="s">
        <v>100</v>
      </c>
      <c r="C99" s="136" t="s">
        <v>97</v>
      </c>
      <c r="D99" s="137" t="s">
        <v>494</v>
      </c>
      <c r="E99" s="138" t="s">
        <v>495</v>
      </c>
      <c r="F99" s="139" t="s">
        <v>496</v>
      </c>
      <c r="G99" s="140" t="s">
        <v>101</v>
      </c>
      <c r="H99" s="141" t="s">
        <v>98</v>
      </c>
      <c r="I99" s="141" t="s">
        <v>96</v>
      </c>
      <c r="J99" s="141" t="s">
        <v>715</v>
      </c>
      <c r="K99" s="216" t="s">
        <v>716</v>
      </c>
      <c r="L99" s="217">
        <v>0</v>
      </c>
      <c r="M99" s="218">
        <v>1</v>
      </c>
      <c r="N99" s="218">
        <v>2</v>
      </c>
      <c r="O99" s="218">
        <v>3</v>
      </c>
      <c r="P99" s="219" t="s">
        <v>1367</v>
      </c>
      <c r="Q99" s="134"/>
      <c r="U99" s="66"/>
    </row>
    <row r="100" spans="1:21" s="65" customFormat="1">
      <c r="A100" s="398" t="s">
        <v>8</v>
      </c>
      <c r="B100" s="267">
        <f>IFERROR(VLOOKUP(A100,'ИПП 4кв24'!$B$22:$N$32,8,0),"")</f>
        <v>34</v>
      </c>
      <c r="C100" s="146">
        <f>IFERROR(VLOOKUP(A100,'ИПП 4кв24'!$B$22:$N$32,9,0),"")</f>
        <v>3981386</v>
      </c>
      <c r="D100" s="257">
        <f>SUMIFS(сент244546[м2],сент244546[МОП],$A100,сент244546[№ дома],$C$98,сент244546[Комнатность],"&lt;&gt;Офис")</f>
        <v>51.79</v>
      </c>
      <c r="E100" s="52">
        <f>SUMIFS(сент244546[Сумма без отделки],сент244546[МОП],$A100,сент244546[№ дома],$C$98,сент244546[Комнатность],"&lt;&gt;Офис")</f>
        <v>5673318</v>
      </c>
      <c r="F100" s="413">
        <f>COUNTIFS(сент244546[МОП],$A100,сент244546[№ дома],$C$98,сент244546[Комнатность],"&lt;&gt;Офис")</f>
        <v>1</v>
      </c>
      <c r="G100" s="202">
        <f>SUMIFS(РД[S],РД[Дом],$C$98,РД[МОП],A100,РД[Дата подачи на регистрацию],"&lt;="&amp;$A$1,РД[Дата подачи на регистрацию],"&gt;="&amp;DATE(YEAR($A$1),MONTH($A$1),1),РД[Состояние],"Продажа")</f>
        <v>51.79</v>
      </c>
      <c r="H100" s="203">
        <f>SUMIFS(РД[Стоимость без отделки итог],РД[Дом],$C$98,РД[МОП],A100,РД[Дата подачи на регистрацию],"&lt;="&amp;$A$1,РД[Дата подачи на регистрацию],"&gt;="&amp;DATE(YEAR($A$1),MONTH($A$1),1),РД[Состояние],"Продажа")</f>
        <v>5673318</v>
      </c>
      <c r="I100" s="226">
        <f>COUNTIFS(РД[Дом],$C$98,РД[МОП],A100,РД[Дата подачи на регистрацию],"&lt;="&amp;$A$1,РД[Дата подачи на регистрацию],"&gt;="&amp;DATE(YEAR($A$1),MONTH($A$1),1),РД[Состояние],"Продажа")</f>
        <v>1</v>
      </c>
      <c r="J100" s="224">
        <f t="shared" ref="J100:K105" si="8">IFERROR(G100/B100,)</f>
        <v>1.523235294117647</v>
      </c>
      <c r="K100" s="225">
        <f t="shared" si="8"/>
        <v>1.4249605539377492</v>
      </c>
      <c r="L100" s="257">
        <f>COUNTIFS(РД[Тип кв],L$85,РД[МОП],$A100,РД[Дом],$C$98,РД[Дата подачи на регистрацию],"&lt;="&amp;$A$1,РД[Дата подачи на регистрацию],"&gt;="&amp;DATE(YEAR($A$1),MONTH($A$1),1))</f>
        <v>0</v>
      </c>
      <c r="M100" s="226">
        <f>COUNTIFS(РД[Тип кв],M$85,РД[МОП],$A100,РД[Дом],$C$98,РД[Дата подачи на регистрацию],"&lt;="&amp;$A$1,РД[Дата подачи на регистрацию],"&gt;="&amp;DATE(YEAR($A$1),MONTH($A$1),1))</f>
        <v>0</v>
      </c>
      <c r="N100" s="226">
        <f>COUNTIFS(РД[Тип кв],N$85,РД[МОП],$A100,РД[Дом],$C$98,РД[Дата подачи на регистрацию],"&lt;="&amp;$A$1,РД[Дата подачи на регистрацию],"&gt;="&amp;DATE(YEAR($A$1),MONTH($A$1),1))</f>
        <v>1</v>
      </c>
      <c r="O100" s="226">
        <f>COUNTIFS(РД[Тип кв],O$85,РД[МОП],$A100,РД[Дом],$C$98,РД[Дата подачи на регистрацию],"&lt;="&amp;$A$1,РД[Дата подачи на регистрацию],"&gt;="&amp;DATE(YEAR($A$1),MONTH($A$1),1))</f>
        <v>0</v>
      </c>
      <c r="P100" s="227">
        <f>COUNTIFS(РД[Тип кв],P$85,РД[МОП],$A100,РД[Дом],$C$98,РД[Дата подачи на регистрацию],"&lt;="&amp;$A$1,РД[Дата подачи на регистрацию],"&gt;="&amp;DATE(YEAR($A$1),MONTH($A$1),1))</f>
        <v>0</v>
      </c>
      <c r="Q100" s="134"/>
      <c r="U100" s="66"/>
    </row>
    <row r="101" spans="1:21" s="65" customFormat="1">
      <c r="A101" s="150" t="s">
        <v>24</v>
      </c>
      <c r="B101" s="267">
        <f>IFERROR(VLOOKUP(A101,'ИПП 4кв24'!$B$22:$N$32,8,0),"")</f>
        <v>12</v>
      </c>
      <c r="C101" s="146">
        <f>IFERROR(VLOOKUP(A101,'ИПП 4кв24'!$B$22:$N$32,9,0),"")</f>
        <v>1451547</v>
      </c>
      <c r="D101" s="257">
        <f>SUMIFS(сент244546[м2],сент244546[МОП],$A101,сент244546[№ дома],$C$98,сент244546[Комнатность],"&lt;&gt;Офис")</f>
        <v>0</v>
      </c>
      <c r="E101" s="52">
        <f>SUMIFS(сент244546[Сумма без отделки],сент244546[МОП],$A101,сент244546[№ дома],$C$98,сент244546[Комнатность],"&lt;&gt;Офис")</f>
        <v>0</v>
      </c>
      <c r="F101" s="413">
        <f>COUNTIFS(сент244546[МОП],$A101,сент244546[№ дома],$C$98,сент244546[Комнатность],"&lt;&gt;Офис")</f>
        <v>0</v>
      </c>
      <c r="G101" s="202">
        <f>SUMIFS(РД[S],РД[Дом],$C$98,РД[МОП],A101,РД[Дата подачи на регистрацию],"&lt;="&amp;$A$1,РД[Дата подачи на регистрацию],"&gt;="&amp;DATE(YEAR($A$1),MONTH($A$1),1),РД[Состояние],"Продажа")</f>
        <v>0</v>
      </c>
      <c r="H101" s="203">
        <f>SUMIFS(РД[Стоимость без отделки итог],РД[Дом],$C$98,РД[МОП],A101,РД[Дата подачи на регистрацию],"&lt;="&amp;$A$1,РД[Дата подачи на регистрацию],"&gt;="&amp;DATE(YEAR($A$1),MONTH($A$1),1),РД[Состояние],"Продажа")</f>
        <v>0</v>
      </c>
      <c r="I101" s="226">
        <f>COUNTIFS(РД[Дом],$C$98,РД[МОП],A101,РД[Дата подачи на регистрацию],"&lt;="&amp;$A$1,РД[Дата подачи на регистрацию],"&gt;="&amp;DATE(YEAR($A$1),MONTH($A$1),1),РД[Состояние],"Продажа")</f>
        <v>0</v>
      </c>
      <c r="J101" s="224">
        <f t="shared" si="8"/>
        <v>0</v>
      </c>
      <c r="K101" s="225">
        <f t="shared" si="8"/>
        <v>0</v>
      </c>
      <c r="L101" s="257">
        <f>COUNTIFS(РД[Тип кв],L$85,РД[МОП],$A101,РД[Дом],$C$98,РД[Дата подачи на регистрацию],"&lt;="&amp;$A$1,РД[Дата подачи на регистрацию],"&gt;="&amp;DATE(YEAR($A$1),MONTH($A$1),1))</f>
        <v>0</v>
      </c>
      <c r="M101" s="226">
        <f>COUNTIFS(РД[Тип кв],M$85,РД[МОП],$A101,РД[Дом],$C$98,РД[Дата подачи на регистрацию],"&lt;="&amp;$A$1,РД[Дата подачи на регистрацию],"&gt;="&amp;DATE(YEAR($A$1),MONTH($A$1),1))</f>
        <v>0</v>
      </c>
      <c r="N101" s="226">
        <f>COUNTIFS(РД[Тип кв],N$85,РД[МОП],$A101,РД[Дом],$C$98,РД[Дата подачи на регистрацию],"&lt;="&amp;$A$1,РД[Дата подачи на регистрацию],"&gt;="&amp;DATE(YEAR($A$1),MONTH($A$1),1))</f>
        <v>0</v>
      </c>
      <c r="O101" s="226">
        <f>COUNTIFS(РД[Тип кв],O$85,РД[МОП],$A101,РД[Дом],$C$98,РД[Дата подачи на регистрацию],"&lt;="&amp;$A$1,РД[Дата подачи на регистрацию],"&gt;="&amp;DATE(YEAR($A$1),MONTH($A$1),1))</f>
        <v>0</v>
      </c>
      <c r="P101" s="227">
        <f>COUNTIFS(РД[Тип кв],P$85,РД[МОП],$A101,РД[Дом],$C$98,РД[Дата подачи на регистрацию],"&lt;="&amp;$A$1,РД[Дата подачи на регистрацию],"&gt;="&amp;DATE(YEAR($A$1),MONTH($A$1),1))</f>
        <v>0</v>
      </c>
      <c r="Q101" s="134"/>
      <c r="U101" s="66"/>
    </row>
    <row r="102" spans="1:21" s="65" customFormat="1">
      <c r="A102" s="153" t="s">
        <v>20</v>
      </c>
      <c r="B102" s="267">
        <f>IFERROR(VLOOKUP(A102,'ИПП 4кв24'!$B$22:$N$32,8,0),"")</f>
        <v>60</v>
      </c>
      <c r="C102" s="146">
        <f>IFERROR(VLOOKUP(A102,'ИПП 4кв24'!$B$22:$N$32,9,0),"")</f>
        <v>6967425</v>
      </c>
      <c r="D102" s="257">
        <f>SUMIFS(сент244546[м2],сент244546[МОП],$A102,сент244546[№ дома],$C$98,сент244546[Комнатность],"&lt;&gt;Офис")</f>
        <v>54.07</v>
      </c>
      <c r="E102" s="52">
        <f>SUMIFS(сент244546[Сумма без отделки],сент244546[МОП],$A102,сент244546[№ дома],$C$98,сент244546[Комнатность],"&lt;&gt;Офис")</f>
        <v>6237896</v>
      </c>
      <c r="F102" s="413">
        <f>COUNTIFS(сент244546[МОП],$A102,сент244546[№ дома],$C$98,сент244546[Комнатность],"&lt;&gt;Офис")</f>
        <v>1</v>
      </c>
      <c r="G102" s="202">
        <f>SUMIFS(РД[S],РД[Дом],$C$98,РД[МОП],A102,РД[Дата подачи на регистрацию],"&lt;="&amp;$A$1,РД[Дата подачи на регистрацию],"&gt;="&amp;DATE(YEAR($A$1),MONTH($A$1),1),РД[Состояние],"Продажа")</f>
        <v>105.86</v>
      </c>
      <c r="H102" s="203">
        <f>SUMIFS(РД[Стоимость без отделки итог],РД[Дом],$C$98,РД[МОП],A102,РД[Дата подачи на регистрацию],"&lt;="&amp;$A$1,РД[Дата подачи на регистрацию],"&gt;="&amp;DATE(YEAR($A$1),MONTH($A$1),1),РД[Состояние],"Продажа")</f>
        <v>11926996</v>
      </c>
      <c r="I102" s="226">
        <f>COUNTIFS(РД[Дом],$C$98,РД[МОП],A102,РД[Дата подачи на регистрацию],"&lt;="&amp;$A$1,РД[Дата подачи на регистрацию],"&gt;="&amp;DATE(YEAR($A$1),MONTH($A$1),1),РД[Состояние],"Продажа")</f>
        <v>2</v>
      </c>
      <c r="J102" s="224">
        <f t="shared" si="8"/>
        <v>1.7643333333333333</v>
      </c>
      <c r="K102" s="225">
        <f t="shared" si="8"/>
        <v>1.7118226604520321</v>
      </c>
      <c r="L102" s="257">
        <f>COUNTIFS(РД[Тип кв],L$85,РД[МОП],$A102,РД[Дом],$C$98,РД[Дата подачи на регистрацию],"&lt;="&amp;$A$1,РД[Дата подачи на регистрацию],"&gt;="&amp;DATE(YEAR($A$1),MONTH($A$1),1))</f>
        <v>0</v>
      </c>
      <c r="M102" s="226">
        <f>COUNTIFS(РД[Тип кв],M$85,РД[МОП],$A102,РД[Дом],$C$98,РД[Дата подачи на регистрацию],"&lt;="&amp;$A$1,РД[Дата подачи на регистрацию],"&gt;="&amp;DATE(YEAR($A$1),MONTH($A$1),1))</f>
        <v>0</v>
      </c>
      <c r="N102" s="226">
        <f>COUNTIFS(РД[Тип кв],N$85,РД[МОП],$A102,РД[Дом],$C$98,РД[Дата подачи на регистрацию],"&lt;="&amp;$A$1,РД[Дата подачи на регистрацию],"&gt;="&amp;DATE(YEAR($A$1),MONTH($A$1),1))</f>
        <v>2</v>
      </c>
      <c r="O102" s="226">
        <f>COUNTIFS(РД[Тип кв],O$85,РД[МОП],$A102,РД[Дом],$C$98,РД[Дата подачи на регистрацию],"&lt;="&amp;$A$1,РД[Дата подачи на регистрацию],"&gt;="&amp;DATE(YEAR($A$1),MONTH($A$1),1))</f>
        <v>0</v>
      </c>
      <c r="P102" s="227">
        <f>COUNTIFS(РД[Тип кв],P$85,РД[МОП],$A102,РД[Дом],$C$98,РД[Дата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3" t="s">
        <v>14</v>
      </c>
      <c r="B103" s="267">
        <f>IFERROR(VLOOKUP(A103,'ИПП 4кв24'!$B$22:$N$32,8,0),"")</f>
        <v>64</v>
      </c>
      <c r="C103" s="146">
        <f>IFERROR(VLOOKUP(A103,'ИПП 4кв24'!$B$22:$N$32,9,0),"")</f>
        <v>7465098</v>
      </c>
      <c r="D103" s="329">
        <f>SUMIFS(сент244546[м2],сент244546[МОП],$A103,сент244546[№ дома],$C$98,сент244546[Комнатность],"&lt;&gt;Офис")</f>
        <v>0</v>
      </c>
      <c r="E103" s="363">
        <f>SUMIFS(сент244546[Сумма без отделки],сент244546[МОП],$A103,сент244546[№ дома],$C$98,сент244546[Комнатность],"&lt;&gt;Офис")</f>
        <v>0</v>
      </c>
      <c r="F103" s="414">
        <f>COUNTIFS(сент244546[МОП],$A103,сент244546[№ дома],$C$98,сент244546[Комнатность],"&lt;&gt;Офис")</f>
        <v>0</v>
      </c>
      <c r="G103" s="358">
        <f>SUMIFS(РД[S],РД[Дом],$C$98,РД[МОП],A103,РД[Дата подачи на регистрацию],"&lt;="&amp;$A$1,РД[Дата подачи на регистрацию],"&gt;="&amp;DATE(YEAR($A$1),MONTH($A$1),1),РД[Состояние],"Продажа")</f>
        <v>0</v>
      </c>
      <c r="H103" s="359">
        <f>SUMIFS(РД[Стоимость без отделки итог],РД[Дом],$C$98,РД[МОП],A103,РД[Дата подачи на регистрацию],"&lt;="&amp;$A$1,РД[Дата подачи на регистрацию],"&gt;="&amp;DATE(YEAR($A$1),MONTH($A$1),1),РД[Состояние],"Продажа")</f>
        <v>0</v>
      </c>
      <c r="I103" s="330">
        <f>COUNTIFS(РД[Дом],$C$98,РД[МОП],A103,РД[Дата подачи на регистрацию],"&lt;="&amp;$A$1,РД[Дата подачи на регистрацию],"&gt;="&amp;DATE(YEAR($A$1),MONTH($A$1),1),РД[Состояние],"Продажа")</f>
        <v>0</v>
      </c>
      <c r="J103" s="360">
        <f t="shared" si="8"/>
        <v>0</v>
      </c>
      <c r="K103" s="361">
        <f t="shared" si="8"/>
        <v>0</v>
      </c>
      <c r="L103" s="329">
        <f>COUNTIFS(РД[Тип кв],L$85,РД[МОП],$A103,РД[Дом],$C$98,РД[Дата подачи на регистрацию],"&lt;="&amp;$A$1,РД[Дата подачи на регистрацию],"&gt;="&amp;DATE(YEAR($A$1),MONTH($A$1),1))</f>
        <v>0</v>
      </c>
      <c r="M103" s="330">
        <f>COUNTIFS(РД[Тип кв],M$85,РД[МОП],$A103,РД[Дом],$C$98,РД[Дата подачи на регистрацию],"&lt;="&amp;$A$1,РД[Дата подачи на регистрацию],"&gt;="&amp;DATE(YEAR($A$1),MONTH($A$1),1))</f>
        <v>0</v>
      </c>
      <c r="N103" s="330">
        <f>COUNTIFS(РД[Тип кв],N$85,РД[МОП],$A103,РД[Дом],$C$98,РД[Дата подачи на регистрацию],"&lt;="&amp;$A$1,РД[Дата подачи на регистрацию],"&gt;="&amp;DATE(YEAR($A$1),MONTH($A$1),1))</f>
        <v>0</v>
      </c>
      <c r="O103" s="330">
        <f>COUNTIFS(РД[Тип кв],O$85,РД[МОП],$A103,РД[Дом],$C$98,РД[Дата подачи на регистрацию],"&lt;="&amp;$A$1,РД[Дата подачи на регистрацию],"&gt;="&amp;DATE(YEAR($A$1),MONTH($A$1),1))</f>
        <v>0</v>
      </c>
      <c r="P103" s="331">
        <f>COUNTIFS(РД[Тип кв],P$85,РД[МОП],$A103,РД[Дом],$C$98,РД[Дата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4" t="s">
        <v>29</v>
      </c>
      <c r="B104" s="274"/>
      <c r="C104" s="277"/>
      <c r="D104" s="341">
        <f>SUMIFS(сент244546[м2],сент244546[МОП],$A104,сент244546[№ дома],$C$98,сент244546[Комнатность],"&lt;&gt;Офис")</f>
        <v>0</v>
      </c>
      <c r="E104" s="277">
        <f>SUMIFS(сент244546[Сумма без отделки],сент244546[МОП],$A104,сент244546[№ дома],$C$98,сент244546[Комнатность],"&lt;&gt;Офис")</f>
        <v>0</v>
      </c>
      <c r="F104" s="405">
        <f>COUNTIFS(сент244546[МОП],$A104,сент244546[№ дома],$C$98,сент244546[Комнатность],"&lt;&gt;Офис")</f>
        <v>0</v>
      </c>
      <c r="G104" s="159">
        <f>SUMIFS(РД[S],РД[Дом],$C$98,РД[МОП],A104,РД[Дата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160">
        <f>SUMIFS(РД[Стоимость без отделки итог],РД[Дом],$C$98,РД[МОП],A104,РД[Дата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8">
        <f>COUNTIFS(РД[Дом],$C$98,РД[МОП],A104,РД[Дата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9">
        <f t="shared" si="8"/>
        <v>0</v>
      </c>
      <c r="K104" s="230">
        <f t="shared" si="8"/>
        <v>0</v>
      </c>
      <c r="L104" s="159">
        <f>COUNTIFS(РД[Тип кв],L$85,РД[МОП],$A104,РД[Дом],$C$98,РД[Дата подачи на регистрацию],"&lt;="&amp;$A$1,РД[Дата подачи на регистрацию],"&gt;="&amp;DATE(YEAR($A$1),MONTH($A$1),1))</f>
        <v>0</v>
      </c>
      <c r="M104" s="228">
        <f>COUNTIFS(РД[Тип кв],M$85,РД[МОП],$A104,РД[Дом],$C$98,РД[Дата подачи на регистрацию],"&lt;="&amp;$A$1,РД[Дата подачи на регистрацию],"&gt;="&amp;DATE(YEAR($A$1),MONTH($A$1),1))</f>
        <v>0</v>
      </c>
      <c r="N104" s="228">
        <f>COUNTIFS(РД[Тип кв],N$85,РД[МОП],$A104,РД[Дом],$C$98,РД[Дата подачи на регистрацию],"&lt;="&amp;$A$1,РД[Дата подачи на регистрацию],"&gt;="&amp;DATE(YEAR($A$1),MONTH($A$1),1))</f>
        <v>0</v>
      </c>
      <c r="O104" s="228">
        <f>COUNTIFS(РД[Тип кв],O$85,РД[МОП],$A104,РД[Дом],$C$98,РД[Дата подачи на регистрацию],"&lt;="&amp;$A$1,РД[Дата подачи на регистрацию],"&gt;="&amp;DATE(YEAR($A$1),MONTH($A$1),1))</f>
        <v>0</v>
      </c>
      <c r="P104" s="231">
        <f>COUNTIFS(РД[Тип кв],P$85,РД[МОП],$A104,РД[Дом],$C$98,РД[Дата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61" t="s">
        <v>1919</v>
      </c>
      <c r="B105" s="278"/>
      <c r="C105" s="281"/>
      <c r="D105" s="406">
        <f>SUMIFS(сент244546[м2],сент244546[МОП],$A105,сент244546[№ дома],$C$98,сент244546[Комнатность],"&lt;&gt;Офис")</f>
        <v>103.58</v>
      </c>
      <c r="E105" s="281">
        <f>SUMIFS(сент244546[Сумма без отделки],сент244546[МОП],$A105,сент244546[№ дома],$C$98,сент244546[Комнатность],"&lt;&gt;Офис")</f>
        <v>5689100</v>
      </c>
      <c r="F105" s="407">
        <f>COUNTIFS(сент244546[МОП],$A105,сент244546[№ дома],$C$98,сент244546[Комнатность],"&lt;&gt;Офис")</f>
        <v>2</v>
      </c>
      <c r="G105" s="166">
        <f>SUMIFS(РД[S],РД[Дом],$C$98,РД[МОП],A105,РД[Дата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167">
        <f>SUMIFS(РД[Стоимость без отделки итог],РД[Дом],$C$98,РД[МОП],A105,РД[Дата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232">
        <f>COUNTIFS(РД[Дом],$C$98,РД[МОП],A105,РД[Дата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233">
        <f t="shared" si="8"/>
        <v>0</v>
      </c>
      <c r="K105" s="234">
        <f t="shared" si="8"/>
        <v>0</v>
      </c>
      <c r="L105" s="235">
        <f>COUNTIFS(РД[Тип кв],L$85,РД[МОП],$A105,РД[Дом],$C$98,РД[Дата подачи на регистрацию],"&lt;="&amp;$A$1,РД[Дата подачи на регистрацию],"&gt;="&amp;DATE(YEAR($A$1),MONTH($A$1),1))</f>
        <v>0</v>
      </c>
      <c r="M105" s="236">
        <f>COUNTIFS(РД[Тип кв],M$85,РД[МОП],$A105,РД[Дом],$C$98,РД[Дата подачи на регистрацию],"&lt;="&amp;$A$1,РД[Дата подачи на регистрацию],"&gt;="&amp;DATE(YEAR($A$1),MONTH($A$1),1))</f>
        <v>0</v>
      </c>
      <c r="N105" s="236">
        <f>COUNTIFS(РД[Тип кв],N$85,РД[МОП],$A105,РД[Дом],$C$98,РД[Дата подачи на регистрацию],"&lt;="&amp;$A$1,РД[Дата подачи на регистрацию],"&gt;="&amp;DATE(YEAR($A$1),MONTH($A$1),1))</f>
        <v>0</v>
      </c>
      <c r="O105" s="236">
        <f>COUNTIFS(РД[Тип кв],O$85,РД[МОП],$A105,РД[Дом],$C$98,РД[Дата подачи на регистрацию],"&lt;="&amp;$A$1,РД[Дата подачи на регистрацию],"&gt;="&amp;DATE(YEAR($A$1),MONTH($A$1),1))</f>
        <v>0</v>
      </c>
      <c r="P105" s="237">
        <f>COUNTIFS(РД[Тип кв],P$85,РД[МОП],$A105,РД[Дом],$C$98,РД[Дата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68" t="s">
        <v>114</v>
      </c>
      <c r="B106" s="172">
        <f t="shared" ref="B106:I106" si="9">SUM(B100:B105)</f>
        <v>170</v>
      </c>
      <c r="C106" s="173">
        <f t="shared" si="9"/>
        <v>19865456</v>
      </c>
      <c r="D106" s="173">
        <f t="shared" si="9"/>
        <v>209.44</v>
      </c>
      <c r="E106" s="173">
        <f t="shared" si="9"/>
        <v>17600314</v>
      </c>
      <c r="F106" s="171">
        <f t="shared" si="9"/>
        <v>4</v>
      </c>
      <c r="G106" s="172">
        <f t="shared" si="9"/>
        <v>157.65</v>
      </c>
      <c r="H106" s="173">
        <f t="shared" si="9"/>
        <v>17600314</v>
      </c>
      <c r="I106" s="170">
        <f t="shared" si="9"/>
        <v>3</v>
      </c>
      <c r="J106" s="238">
        <f>IFERROR(G106/B106,"")</f>
        <v>0.9273529411764706</v>
      </c>
      <c r="K106" s="239">
        <f>IFERROR(H106/C106,"")</f>
        <v>0.88597583664830049</v>
      </c>
      <c r="L106" s="240">
        <f>SUM(L100:L105)</f>
        <v>0</v>
      </c>
      <c r="M106" s="241">
        <f>SUM(M100:M105)</f>
        <v>0</v>
      </c>
      <c r="N106" s="241">
        <f>SUM(N100:N105)</f>
        <v>3</v>
      </c>
      <c r="O106" s="241">
        <f>SUM(O100:O105)</f>
        <v>0</v>
      </c>
      <c r="P106" s="242">
        <f>SUM(P100:P105)</f>
        <v>0</v>
      </c>
      <c r="Q106" s="134"/>
      <c r="U106" s="66"/>
    </row>
    <row r="107" spans="1:21" s="65" customFormat="1">
      <c r="A107" s="135" t="s">
        <v>115</v>
      </c>
      <c r="B107" s="135" t="s">
        <v>100</v>
      </c>
      <c r="C107" s="136" t="s">
        <v>97</v>
      </c>
      <c r="D107" s="137" t="s">
        <v>494</v>
      </c>
      <c r="E107" s="138" t="s">
        <v>495</v>
      </c>
      <c r="F107" s="139" t="s">
        <v>496</v>
      </c>
      <c r="G107" s="140" t="s">
        <v>101</v>
      </c>
      <c r="H107" s="141" t="s">
        <v>98</v>
      </c>
      <c r="I107" s="141" t="s">
        <v>96</v>
      </c>
      <c r="J107" s="141" t="s">
        <v>715</v>
      </c>
      <c r="K107" s="216" t="s">
        <v>716</v>
      </c>
      <c r="L107" s="217">
        <v>0</v>
      </c>
      <c r="M107" s="218">
        <v>1</v>
      </c>
      <c r="N107" s="218">
        <v>2</v>
      </c>
      <c r="O107" s="218">
        <v>3</v>
      </c>
      <c r="P107" s="219" t="s">
        <v>1367</v>
      </c>
      <c r="Q107" s="134"/>
      <c r="U107" s="66"/>
    </row>
    <row r="108" spans="1:21" s="65" customFormat="1">
      <c r="A108" s="150" t="s">
        <v>22</v>
      </c>
      <c r="B108" s="291">
        <f>IFERROR(VLOOKUP(A108,'ИПП 4кв24'!$B$22:$N$32,8,0),"")</f>
        <v>102</v>
      </c>
      <c r="C108" s="292">
        <f>IFERROR(VLOOKUP(A108,'ИПП 4кв24'!$B$22:$N$32,9,0),"")</f>
        <v>11919273.6</v>
      </c>
      <c r="D108" s="346">
        <f>SUMIFS(сент244546[м2],сент244546[ИМ],A108,сент244546[№ дома],$C$98,сент244546[Комнатность],"&lt;&gt;Офис")</f>
        <v>103.58</v>
      </c>
      <c r="E108" s="184">
        <f>SUMIFS(сент244546[Сумма без отделки],сент244546[ИМ],$A108,сент244546[№ дома],$C$98,сент244546[Комнатность],"&lt;&gt;Офис")</f>
        <v>11362418</v>
      </c>
      <c r="F108" s="415">
        <f>COUNTIFS(сент244546[ИМ],$A108,сент244546[№ дома],$C$98,сент244546[Комнатность],"&lt;&gt;Офис")</f>
        <v>2</v>
      </c>
      <c r="G108" s="183">
        <f>SUMIFS(РД[S],РД[Дом],$C$98,РД[ИМ],A108,РД[Дата подачи на регистрацию],"&lt;="&amp;$A$1,РД[Дата подачи на регистрацию],"&gt;="&amp;DATE(YEAR($A$1),MONTH($A$1),1),РД[Состояние],"Продажа")</f>
        <v>103.58</v>
      </c>
      <c r="H108" s="184">
        <f>SUMIFS(РД[Стоимость без отделки итог],РД[Дом],$C$98,РД[ИМ],A108,РД[Дата подачи на регистрацию],"&lt;="&amp;$A$1,РД[Дата подачи на регистрацию],"&gt;="&amp;DATE(YEAR($A$1),MONTH($A$1),1),РД[Состояние],"Продажа")</f>
        <v>11362418</v>
      </c>
      <c r="I108" s="243">
        <f>COUNTIFS(РД[Дом],$C$98,РД[ИМ],A108,РД[Дата подачи на регистрацию],"&lt;="&amp;$A$1,РД[Дата подачи на регистрацию],"&gt;="&amp;DATE(YEAR($A$1),MONTH($A$1),1),РД[Состояние],"Продажа")</f>
        <v>2</v>
      </c>
      <c r="J108" s="244">
        <f t="shared" ref="J108:K109" si="10">IFERROR(G108/B108,"")</f>
        <v>1.0154901960784313</v>
      </c>
      <c r="K108" s="258">
        <f t="shared" si="10"/>
        <v>0.95328107914227256</v>
      </c>
      <c r="L108" s="183">
        <f>COUNTIFS(РД[Тип кв],L99,РД[ИМ],$A108,РД[Дом],$C$98,РД[Дата подачи на регистрацию],"&lt;="&amp;$A$1,РД[Дата подачи на регистрацию],"&gt;="&amp;DATE(YEAR($A$1),MONTH($A$1),1))</f>
        <v>0</v>
      </c>
      <c r="M108" s="243">
        <f>COUNTIFS(РД[Тип кв],M99,РД[ИМ],$A108,РД[Дом],$C$98,РД[Дата подачи на регистрацию],"&lt;="&amp;$A$1,РД[Дата подачи на регистрацию],"&gt;="&amp;DATE(YEAR($A$1),MONTH($A$1),1))</f>
        <v>0</v>
      </c>
      <c r="N108" s="243">
        <f>COUNTIFS(РД[Тип кв],N99,РД[ИМ],$A108,РД[Дом],$C$98,РД[Дата подачи на регистрацию],"&lt;="&amp;$A$1,РД[Дата подачи на регистрацию],"&gt;="&amp;DATE(YEAR($A$1),MONTH($A$1),1))</f>
        <v>2</v>
      </c>
      <c r="O108" s="243">
        <f>COUNTIFS(РД[Тип кв],O99,РД[ИМ],$A108,РД[Дом],$C$98,РД[Дата подачи на регистрацию],"&lt;="&amp;$A$1,РД[Дата подачи на регистрацию],"&gt;="&amp;DATE(YEAR($A$1),MONTH($A$1),1))</f>
        <v>0</v>
      </c>
      <c r="P108" s="246">
        <f>COUNTIFS(РД[Тип кв],P99,РД[ИМ],$A108,РД[Дом],$C$98,РД[Дата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0"/>
      <c r="B109" s="267" t="str">
        <f>IFERROR(VLOOKUP(A109,'ИПП 4кв24'!$B$22:$N$32,8,0),"")</f>
        <v/>
      </c>
      <c r="C109" s="146" t="str">
        <f>IFERROR(VLOOKUP(A109,'ИПП 4кв24'!$B$22:$N$32,9,0),"")</f>
        <v/>
      </c>
      <c r="D109" s="328">
        <f>SUMIFS(сент244546[м2],сент244546[ИМ],A109,сент244546[№ дома],$C$98,сент244546[Комнатность],"&lt;&gt;Офис")</f>
        <v>0</v>
      </c>
      <c r="E109" s="188">
        <f>SUMIFS(сент244546[Сумма без отделки],сент244546[ИМ],$A109,сент244546[№ дома],$C$98,сент244546[Комнатность],"&lt;&gt;Офис")</f>
        <v>0</v>
      </c>
      <c r="F109" s="404">
        <f>COUNTIFS(сент244546[ИМ],$A109,сент244546[№ дома],$C$98,сент244546[Комнатность],"&lt;&gt;Офис")</f>
        <v>0</v>
      </c>
      <c r="G109" s="187">
        <f>SUMIFS(РД[S],РД[Дом],$C$98,РД[ИМ],A109,РД[Дата подачи на регистрацию],"&lt;="&amp;$A$1,РД[Дата подачи на регистрацию],"&gt;="&amp;DATE(YEAR($A$1),MONTH($A$1),1),РД[Состояние],"Продажа")</f>
        <v>0</v>
      </c>
      <c r="H109" s="188">
        <f>SUMIFS(РД[Стоимость без отделки итог],РД[Дом],$C$98,РД[ИМ],A109,РД[Дата подачи на регистрацию],"&lt;="&amp;$A$1,РД[Дата подачи на регистрацию],"&gt;="&amp;DATE(YEAR($A$1),MONTH($A$1),1),РД[Состояние],"Продажа")</f>
        <v>0</v>
      </c>
      <c r="I109" s="247">
        <f>COUNTIFS(РД[Дом],$C$98,РД[ИМ],A109,РД[Дата подачи на регистрацию],"&lt;="&amp;$A$1,РД[Дата подачи на регистрацию],"&gt;="&amp;DATE(YEAR($A$1),MONTH($A$1),1),РД[Состояние],"Продажа")</f>
        <v>0</v>
      </c>
      <c r="J109" s="248" t="str">
        <f t="shared" si="10"/>
        <v/>
      </c>
      <c r="K109" s="259" t="str">
        <f t="shared" si="10"/>
        <v/>
      </c>
      <c r="L109" s="187">
        <f>COUNTIFS(РД[Тип кв],L$85,РД[ИМ],$A109,РД[Дом],$C$98,РД[Дата подачи на регистрацию],"&lt;="&amp;$A$1,РД[Дата подачи на регистрацию],"&gt;="&amp;DATE(YEAR($A$1),MONTH($A$1),1))</f>
        <v>0</v>
      </c>
      <c r="M109" s="247">
        <f>COUNTIFS(РД[Тип кв],M$85,РД[ИМ],$A109,РД[Дом],$C$98,РД[Дата подачи на регистрацию],"&lt;="&amp;$A$1,РД[Дата подачи на регистрацию],"&gt;="&amp;DATE(YEAR($A$1),MONTH($A$1),1))</f>
        <v>0</v>
      </c>
      <c r="N109" s="247">
        <f>COUNTIFS(РД[Тип кв],N$85,РД[ИМ],$A109,РД[Дом],$C$98,РД[Дата подачи на регистрацию],"&lt;="&amp;$A$1,РД[Дата подачи на регистрацию],"&gt;="&amp;DATE(YEAR($A$1),MONTH($A$1),1))</f>
        <v>0</v>
      </c>
      <c r="O109" s="247">
        <f>COUNTIFS(РД[Тип кв],O$85,РД[ИМ],$A109,РД[Дом],$C$98,РД[Дата подачи на регистрацию],"&lt;="&amp;$A$1,РД[Дата подачи на регистрацию],"&gt;="&amp;DATE(YEAR($A$1),MONTH($A$1),1))</f>
        <v>0</v>
      </c>
      <c r="P109" s="250">
        <f>COUNTIFS(РД[Тип кв],P$85,РД[ИМ],$A109,РД[Дом],$C$98,РД[Дата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409" t="s">
        <v>114</v>
      </c>
      <c r="B110" s="410">
        <f t="shared" ref="B110:I110" si="11">SUM(B108:B109)</f>
        <v>102</v>
      </c>
      <c r="C110" s="411">
        <f t="shared" si="11"/>
        <v>11919273.6</v>
      </c>
      <c r="D110" s="411">
        <f t="shared" si="11"/>
        <v>103.58</v>
      </c>
      <c r="E110" s="411">
        <f t="shared" si="11"/>
        <v>11362418</v>
      </c>
      <c r="F110" s="412">
        <f t="shared" si="11"/>
        <v>2</v>
      </c>
      <c r="G110" s="410">
        <f t="shared" si="11"/>
        <v>103.58</v>
      </c>
      <c r="H110" s="411">
        <f t="shared" si="11"/>
        <v>11362418</v>
      </c>
      <c r="I110" s="418">
        <f t="shared" si="11"/>
        <v>2</v>
      </c>
      <c r="J110" s="419">
        <f>IFERROR(G110/B110,)</f>
        <v>1.0154901960784313</v>
      </c>
      <c r="K110" s="420">
        <f>IFERROR(H110/C110,)</f>
        <v>0.95328107914227256</v>
      </c>
      <c r="L110" s="240">
        <f>SUM(L108:L109)</f>
        <v>0</v>
      </c>
      <c r="M110" s="241">
        <f>SUM(M108:M109)</f>
        <v>0</v>
      </c>
      <c r="N110" s="241">
        <f>SUM(N108:N109)</f>
        <v>2</v>
      </c>
      <c r="O110" s="241">
        <f>SUM(O108:O109)</f>
        <v>0</v>
      </c>
      <c r="P110" s="242">
        <f>SUM(P108:P109)</f>
        <v>0</v>
      </c>
      <c r="Q110" s="134"/>
      <c r="U110" s="66"/>
    </row>
    <row r="111" spans="1:21" s="65" customFormat="1">
      <c r="A111" s="134"/>
      <c r="B111" s="211"/>
      <c r="C111" s="211"/>
      <c r="D111" s="212"/>
      <c r="E111" s="134"/>
      <c r="F111" s="134"/>
      <c r="G111" s="134"/>
      <c r="H111" s="134"/>
      <c r="I111" s="134"/>
      <c r="J111" s="134"/>
      <c r="K111" s="134"/>
      <c r="L111" s="261"/>
      <c r="M111" s="134"/>
      <c r="N111" s="134"/>
      <c r="O111" s="134"/>
      <c r="P111" s="262"/>
      <c r="Q111" s="134"/>
      <c r="U111" s="66"/>
    </row>
    <row r="112" spans="1:21" s="65" customFormat="1">
      <c r="A112" s="2325" t="s">
        <v>713</v>
      </c>
      <c r="B112" s="2326"/>
      <c r="C112" s="133" t="s">
        <v>718</v>
      </c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T112" s="66"/>
    </row>
    <row r="113" spans="1:21" s="65" customFormat="1">
      <c r="A113" s="135" t="s">
        <v>1</v>
      </c>
      <c r="B113" s="135" t="s">
        <v>100</v>
      </c>
      <c r="C113" s="136" t="s">
        <v>97</v>
      </c>
      <c r="D113" s="137" t="s">
        <v>494</v>
      </c>
      <c r="E113" s="138" t="s">
        <v>495</v>
      </c>
      <c r="F113" s="139" t="s">
        <v>496</v>
      </c>
      <c r="G113" s="140" t="s">
        <v>101</v>
      </c>
      <c r="H113" s="141" t="s">
        <v>98</v>
      </c>
      <c r="I113" s="141" t="s">
        <v>96</v>
      </c>
      <c r="J113" s="141" t="s">
        <v>715</v>
      </c>
      <c r="K113" s="216" t="s">
        <v>716</v>
      </c>
      <c r="L113" s="217">
        <v>0</v>
      </c>
      <c r="M113" s="218">
        <v>1</v>
      </c>
      <c r="N113" s="218">
        <v>2</v>
      </c>
      <c r="O113" s="218">
        <v>3</v>
      </c>
      <c r="P113" s="219" t="s">
        <v>1367</v>
      </c>
      <c r="T113" s="66"/>
    </row>
    <row r="114" spans="1:21" s="65" customFormat="1">
      <c r="A114" s="398" t="s">
        <v>8</v>
      </c>
      <c r="B114" s="267">
        <f>IFERROR(VLOOKUP(A114,'ИПП 4кв24'!$B$22:$N$32,10,0),"")</f>
        <v>0</v>
      </c>
      <c r="C114" s="146">
        <f>IFERROR(VLOOKUP(A114,'ИПП 4кв24'!$B$22:$N$32,11,0),"")</f>
        <v>0</v>
      </c>
      <c r="D114" s="257">
        <f>SUMIFS(сент244546[м2],сент244546[МОП],$A114,сент244546[Комнатность],"&lt;&gt;Офис")</f>
        <v>421.80000000000007</v>
      </c>
      <c r="E114" s="52">
        <f>SUMIFS(сент244546[Сумма без отделки],сент244546[МОП],$A114,сент244546[Комнатность],"&lt;&gt;Офис")</f>
        <v>45772233</v>
      </c>
      <c r="F114" s="413">
        <f>COUNTIFS(сент244546[МОП],$A114,сент244546[Комнатность],"&lt;&gt;Офис")</f>
        <v>8</v>
      </c>
      <c r="G114" s="202">
        <f>SUMIFS(РД[S],РД[МОП],A114,РД[Дата подачи на регистрацию],"&lt;="&amp;$A$1,РД[Дата подачи на регистрацию],"&gt;="&amp;DATE(YEAR($A$1),MONTH($A$1),1),РД[Состояние],"Продажа")</f>
        <v>553.81000000000006</v>
      </c>
      <c r="H114" s="203">
        <f>SUMIFS(РД[Стоимость без отделки итог],РД[МОП],A114,РД[Дата подачи на регистрацию],"&lt;="&amp;$A$1,РД[Дата подачи на регистрацию],"&gt;="&amp;DATE(YEAR($A$1),MONTH($A$1),1),РД[Состояние],"Продажа")</f>
        <v>60203909</v>
      </c>
      <c r="I114" s="226">
        <f>COUNTIFS(РД[МОП],A114,РД[Дата подачи на регистрацию],"&lt;="&amp;$A$1,РД[Дата подачи на регистрацию],"&gt;="&amp;DATE(YEAR($A$1),MONTH($A$1),1),РД[Состояние],"Продажа")</f>
        <v>10</v>
      </c>
      <c r="J114" s="224" t="str">
        <f t="shared" ref="J114:K119" si="12">IFERROR(G114/B114,"")</f>
        <v/>
      </c>
      <c r="K114" s="225" t="str">
        <f t="shared" si="12"/>
        <v/>
      </c>
      <c r="L114" s="257">
        <f>COUNTIFS(РД[Тип кв],L$85,РД[МОП],$A114,РД[Дата подачи на регистрацию],"&lt;="&amp;$A$1,РД[Дата подачи на регистрацию],"&gt;="&amp;DATE(YEAR($A$1),MONTH($A$1),1))</f>
        <v>2</v>
      </c>
      <c r="M114" s="226">
        <f>COUNTIFS(РД[Тип кв],M$85,РД[МОП],$A114,РД[Дата подачи на регистрацию],"&lt;="&amp;$A$1,РД[Дата подачи на регистрацию],"&gt;="&amp;DATE(YEAR($A$1),MONTH($A$1),1))</f>
        <v>1</v>
      </c>
      <c r="N114" s="226">
        <f>COUNTIFS(РД[Тип кв],N$85,РД[МОП],$A114,РД[Дата подачи на регистрацию],"&lt;="&amp;$A$1,РД[Дата подачи на регистрацию],"&gt;="&amp;DATE(YEAR($A$1),MONTH($A$1),1))</f>
        <v>7</v>
      </c>
      <c r="O114" s="226">
        <f>COUNTIFS(РД[Тип кв],O$85,РД[МОП],$A114,РД[Дата подачи на регистрацию],"&lt;="&amp;$A$1,РД[Дата подачи на регистрацию],"&gt;="&amp;DATE(YEAR($A$1),MONTH($A$1),1))</f>
        <v>0</v>
      </c>
      <c r="P114" s="227">
        <f>COUNTIFS(РД[Тип кв],P$85,РД[МОП],$A114,РД[Дата подачи на регистрацию],"&lt;="&amp;$A$1,РД[Дата подачи на регистрацию],"&gt;="&amp;DATE(YEAR($A$1),MONTH($A$1),1))</f>
        <v>0</v>
      </c>
      <c r="T114" s="66"/>
    </row>
    <row r="115" spans="1:21" s="65" customFormat="1">
      <c r="A115" s="150" t="s">
        <v>24</v>
      </c>
      <c r="B115" s="267">
        <f>IFERROR(VLOOKUP(A115,'ИПП 4кв24'!$B$22:$N$32,10,0),"")</f>
        <v>0</v>
      </c>
      <c r="C115" s="146">
        <f>IFERROR(VLOOKUP(A115,'ИПП 4кв24'!$B$22:$N$32,11,0),"")</f>
        <v>0</v>
      </c>
      <c r="D115" s="257">
        <f>SUMIFS(сент244546[м2],сент244546[МОП],$A115,сент244546[Комнатность],"&lt;&gt;Офис")</f>
        <v>0</v>
      </c>
      <c r="E115" s="52">
        <f>SUMIFS(сент244546[Сумма без отделки],сент244546[МОП],$A115,сент244546[Комнатность],"&lt;&gt;Офис")</f>
        <v>0</v>
      </c>
      <c r="F115" s="413">
        <f>COUNTIFS(сент244546[МОП],$A115,сент244546[Комнатность],"&lt;&gt;Офис")</f>
        <v>0</v>
      </c>
      <c r="G115" s="202">
        <f>SUMIFS(РД[S],РД[МОП],A115,РД[Дата подачи на регистрацию],"&lt;="&amp;$A$1,РД[Дата подачи на регистрацию],"&gt;="&amp;DATE(YEAR($A$1),MONTH($A$1),1),РД[Состояние],"Продажа")</f>
        <v>0</v>
      </c>
      <c r="H115" s="203">
        <f>SUMIFS(РД[Стоимость без отделки итог],РД[МОП],A115,РД[Дата подачи на регистрацию],"&lt;="&amp;$A$1,РД[Дата подачи на регистрацию],"&gt;="&amp;DATE(YEAR($A$1),MONTH($A$1),1),РД[Состояние],"Продажа")</f>
        <v>0</v>
      </c>
      <c r="I115" s="226">
        <f>COUNTIFS(РД[МОП],A115,РД[Дата подачи на регистрацию],"&lt;="&amp;$A$1,РД[Дата подачи на регистрацию],"&gt;="&amp;DATE(YEAR($A$1),MONTH($A$1),1),РД[Состояние],"Продажа")</f>
        <v>0</v>
      </c>
      <c r="J115" s="224" t="str">
        <f t="shared" si="12"/>
        <v/>
      </c>
      <c r="K115" s="225" t="str">
        <f t="shared" si="12"/>
        <v/>
      </c>
      <c r="L115" s="257">
        <f>COUNTIFS(РД[Тип кв],L$85,РД[МОП],$A115,РД[Дата подачи на регистрацию],"&lt;="&amp;$A$1,РД[Дата подачи на регистрацию],"&gt;="&amp;DATE(YEAR($A$1),MONTH($A$1),1))</f>
        <v>0</v>
      </c>
      <c r="M115" s="226">
        <f>COUNTIFS(РД[Тип кв],M$85,РД[МОП],$A115,РД[Дата подачи на регистрацию],"&lt;="&amp;$A$1,РД[Дата подачи на регистрацию],"&gt;="&amp;DATE(YEAR($A$1),MONTH($A$1),1))</f>
        <v>0</v>
      </c>
      <c r="N115" s="226">
        <f>COUNTIFS(РД[Тип кв],N$85,РД[МОП],$A115,РД[Дата подачи на регистрацию],"&lt;="&amp;$A$1,РД[Дата подачи на регистрацию],"&gt;="&amp;DATE(YEAR($A$1),MONTH($A$1),1))</f>
        <v>0</v>
      </c>
      <c r="O115" s="226">
        <f>COUNTIFS(РД[Тип кв],O$85,РД[МОП],$A115,РД[Дата подачи на регистрацию],"&lt;="&amp;$A$1,РД[Дата подачи на регистрацию],"&gt;="&amp;DATE(YEAR($A$1),MONTH($A$1),1))</f>
        <v>0</v>
      </c>
      <c r="P115" s="227">
        <f>COUNTIFS(РД[Тип кв],P$85,РД[МОП],$A115,РД[Дата подачи на регистрацию],"&lt;="&amp;$A$1,РД[Дата подачи на регистрацию],"&gt;="&amp;DATE(YEAR($A$1),MONTH($A$1),1))</f>
        <v>0</v>
      </c>
      <c r="T115" s="66"/>
    </row>
    <row r="116" spans="1:21" s="65" customFormat="1">
      <c r="A116" s="153" t="s">
        <v>20</v>
      </c>
      <c r="B116" s="267">
        <f>IFERROR(VLOOKUP(A116,'ИПП 4кв24'!$B$22:$N$32,10,0),"")</f>
        <v>0</v>
      </c>
      <c r="C116" s="146">
        <f>IFERROR(VLOOKUP(A116,'ИПП 4кв24'!$B$22:$N$32,11,0),"")</f>
        <v>0</v>
      </c>
      <c r="D116" s="257">
        <f>SUMIFS(сент244546[м2],сент244546[МОП],$A116,сент244546[Комнатность],"&lt;&gt;Офис")</f>
        <v>290.85000000000002</v>
      </c>
      <c r="E116" s="52">
        <f>SUMIFS(сент244546[Сумма без отделки],сент244546[МОП],$A116,сент244546[Комнатность],"&lt;&gt;Офис")</f>
        <v>32936982</v>
      </c>
      <c r="F116" s="413">
        <f>COUNTIFS(сент244546[МОП],$A116,сент244546[Комнатность],"&lt;&gt;Офис")</f>
        <v>6</v>
      </c>
      <c r="G116" s="202">
        <f>SUMIFS(РД[S],РД[МОП],A116,РД[Дата подачи на регистрацию],"&lt;="&amp;$A$1,РД[Дата подачи на регистрацию],"&gt;="&amp;DATE(YEAR($A$1),MONTH($A$1),1),РД[Состояние],"Продажа")</f>
        <v>366.92</v>
      </c>
      <c r="H116" s="203">
        <f>SUMIFS(РД[Стоимость без отделки итог],РД[МОП],A116,РД[Дата подачи на регистрацию],"&lt;="&amp;$A$1,РД[Дата подачи на регистрацию],"&gt;="&amp;DATE(YEAR($A$1),MONTH($A$1),1),РД[Состояние],"Продажа")</f>
        <v>42257766</v>
      </c>
      <c r="I116" s="226">
        <f>COUNTIFS(РД[МОП],A116,РД[Дата подачи на регистрацию],"&lt;="&amp;$A$1,РД[Дата подачи на регистрацию],"&gt;="&amp;DATE(YEAR($A$1),MONTH($A$1),1),РД[Состояние],"Продажа")</f>
        <v>8</v>
      </c>
      <c r="J116" s="224" t="str">
        <f t="shared" si="12"/>
        <v/>
      </c>
      <c r="K116" s="225" t="str">
        <f t="shared" si="12"/>
        <v/>
      </c>
      <c r="L116" s="325">
        <f>COUNTIFS(РД[Тип кв],L$85,РД[МОП],$A116,РД[Дата подачи на регистрацию],"&lt;="&amp;$A$1,РД[Дата подачи на регистрацию],"&gt;="&amp;DATE(YEAR($A$1),MONTH($A$1),1))</f>
        <v>1</v>
      </c>
      <c r="M116" s="326">
        <f>COUNTIFS(РД[Тип кв],M$85,РД[МОП],$A116,РД[Дата подачи на регистрацию],"&lt;="&amp;$A$1,РД[Дата подачи на регистрацию],"&gt;="&amp;DATE(YEAR($A$1),MONTH($A$1),1))</f>
        <v>3</v>
      </c>
      <c r="N116" s="326">
        <f>COUNTIFS(РД[Тип кв],N$85,РД[МОП],$A116,РД[Дата подачи на регистрацию],"&lt;="&amp;$A$1,РД[Дата подачи на регистрацию],"&gt;="&amp;DATE(YEAR($A$1),MONTH($A$1),1))</f>
        <v>4</v>
      </c>
      <c r="O116" s="326">
        <f>COUNTIFS(РД[Тип кв],O$85,РД[МОП],$A116,РД[Дата подачи на регистрацию],"&lt;="&amp;$A$1,РД[Дата подачи на регистрацию],"&gt;="&amp;DATE(YEAR($A$1),MONTH($A$1),1))</f>
        <v>0</v>
      </c>
      <c r="P116" s="327">
        <f>COUNTIFS(РД[Тип кв],P$85,РД[МОП],$A116,РД[Дата подачи на регистрацию],"&lt;="&amp;$A$1,РД[Дата подачи на регистрацию],"&gt;="&amp;DATE(YEAR($A$1),MONTH($A$1),1))</f>
        <v>0</v>
      </c>
      <c r="T116" s="66"/>
    </row>
    <row r="117" spans="1:21" s="65" customFormat="1">
      <c r="A117" s="153" t="s">
        <v>14</v>
      </c>
      <c r="B117" s="267">
        <f>IFERROR(VLOOKUP(A117,'ИПП 4кв24'!$B$22:$N$32,10,0),"")</f>
        <v>0</v>
      </c>
      <c r="C117" s="146">
        <f>IFERROR(VLOOKUP(A117,'ИПП 4кв24'!$B$22:$N$32,11,0),"")</f>
        <v>0</v>
      </c>
      <c r="D117" s="329">
        <f>SUMIFS(сент244546[м2],сент244546[МОП],$A117,сент244546[Комнатность],"&lt;&gt;Офис")</f>
        <v>84.77000000000001</v>
      </c>
      <c r="E117" s="363">
        <f>SUMIFS(сент244546[Сумма без отделки],сент244546[МОП],$A117,сент244546[Комнатность],"&lt;&gt;Офис")</f>
        <v>9760830</v>
      </c>
      <c r="F117" s="414">
        <f>COUNTIFS(сент244546[МОП],$A117,сент244546[Комнатность],"&lt;&gt;Офис")</f>
        <v>2</v>
      </c>
      <c r="G117" s="358">
        <f>SUMIFS(РД[S],РД[МОП],A117,РД[Дата подачи на регистрацию],"&lt;="&amp;$A$1,РД[Дата подачи на регистрацию],"&gt;="&amp;DATE(YEAR($A$1),MONTH($A$1),1),РД[Состояние],"Продажа")</f>
        <v>84.77000000000001</v>
      </c>
      <c r="H117" s="359">
        <f>SUMIFS(РД[Стоимость без отделки итог],РД[МОП],A117,РД[Дата подачи на регистрацию],"&lt;="&amp;$A$1,РД[Дата подачи на регистрацию],"&gt;="&amp;DATE(YEAR($A$1),MONTH($A$1),1),РД[Состояние],"Продажа")</f>
        <v>9736300</v>
      </c>
      <c r="I117" s="330">
        <f>COUNTIFS(РД[МОП],A117,РД[Дата подачи на регистрацию],"&lt;="&amp;$A$1,РД[Дата подачи на регистрацию],"&gt;="&amp;DATE(YEAR($A$1),MONTH($A$1),1),РД[Состояние],"Продажа")</f>
        <v>2</v>
      </c>
      <c r="J117" s="360" t="str">
        <f t="shared" si="12"/>
        <v/>
      </c>
      <c r="K117" s="361" t="str">
        <f t="shared" si="12"/>
        <v/>
      </c>
      <c r="L117" s="364">
        <f>COUNTIFS(РД[Тип кв],L$85,РД[МОП],$A117,РД[Дата подачи на регистрацию],"&lt;="&amp;$A$1,РД[Дата подачи на регистрацию],"&gt;="&amp;DATE(YEAR($A$1),MONTH($A$1),1))</f>
        <v>1</v>
      </c>
      <c r="M117" s="365">
        <f>COUNTIFS(РД[Тип кв],M$85,РД[МОП],$A117,РД[Дата подачи на регистрацию],"&lt;="&amp;$A$1,РД[Дата подачи на регистрацию],"&gt;="&amp;DATE(YEAR($A$1),MONTH($A$1),1))</f>
        <v>0</v>
      </c>
      <c r="N117" s="365">
        <f>COUNTIFS(РД[Тип кв],N$85,РД[МОП],$A117,РД[Дата подачи на регистрацию],"&lt;="&amp;$A$1,РД[Дата подачи на регистрацию],"&gt;="&amp;DATE(YEAR($A$1),MONTH($A$1),1))</f>
        <v>1</v>
      </c>
      <c r="O117" s="365">
        <f>COUNTIFS(РД[Тип кв],O$85,РД[МОП],$A117,РД[Дата подачи на регистрацию],"&lt;="&amp;$A$1,РД[Дата подачи на регистрацию],"&gt;="&amp;DATE(YEAR($A$1),MONTH($A$1),1))</f>
        <v>0</v>
      </c>
      <c r="P117" s="366">
        <f>COUNTIFS(РД[Тип кв],P$85,РД[МОП],$A117,РД[Дата подачи на регистрацию],"&lt;="&amp;$A$1,РД[Дата подачи на регистрацию],"&gt;="&amp;DATE(YEAR($A$1),MONTH($A$1),1))</f>
        <v>0</v>
      </c>
      <c r="Q117" s="86"/>
      <c r="R117" s="86"/>
      <c r="S117" s="86"/>
      <c r="T117" s="66"/>
    </row>
    <row r="118" spans="1:21" s="65" customFormat="1">
      <c r="A118" s="154" t="s">
        <v>29</v>
      </c>
      <c r="B118" s="274"/>
      <c r="C118" s="277"/>
      <c r="D118" s="341">
        <f>SUMIFS(сент244546[м2],сент244546[МОП],$A118,сент244546[Комнатность],"&lt;&gt;Офис")</f>
        <v>0</v>
      </c>
      <c r="E118" s="277">
        <f>SUMIFS(сент244546[Сумма без отделки],сент244546[МОП],$A118,сент244546[Комнатность],"&lt;&gt;Офис")</f>
        <v>0</v>
      </c>
      <c r="F118" s="405">
        <f>COUNTIFS(сент244546[МОП],$A118,сент244546[Комнатность],"&lt;&gt;Офис")</f>
        <v>0</v>
      </c>
      <c r="G118" s="159">
        <f>SUMIFS(РД[S],РД[МОП],A118,РД[Дата подачи на регистрацию],"&lt;="&amp;$A$1,РД[Дата подачи на регистрацию],"&gt;="&amp;DATE(YEAR($A$1),MONTH($A$1),1),РД[Состояние],"Продажа")</f>
        <v>0</v>
      </c>
      <c r="H118" s="160">
        <f>SUMIFS(РД[Стоимость без отделки итог],РД[МОП],A118,РД[Дата подачи на регистрацию],"&lt;="&amp;$A$1,РД[Дата подачи на регистрацию],"&gt;="&amp;DATE(YEAR($A$1),MONTH($A$1),1),РД[Состояние],"Продажа")</f>
        <v>0</v>
      </c>
      <c r="I118" s="228">
        <f>COUNTIFS(РД[МОП],A118,РД[Дата подачи на регистрацию],"&lt;="&amp;$A$1,РД[Дата подачи на регистрацию],"&gt;="&amp;DATE(YEAR($A$1),MONTH($A$1),1),РД[Состояние],"Продажа")</f>
        <v>0</v>
      </c>
      <c r="J118" s="229" t="str">
        <f t="shared" si="12"/>
        <v/>
      </c>
      <c r="K118" s="230" t="str">
        <f t="shared" si="12"/>
        <v/>
      </c>
      <c r="L118" s="159">
        <f>COUNTIFS(РД[Тип кв],L$85,РД[МОП],$A118,РД[Дата подачи на регистрацию],"&lt;="&amp;$A$1,РД[Дата подачи на регистрацию],"&gt;="&amp;DATE(YEAR($A$1),MONTH($A$1),1))</f>
        <v>0</v>
      </c>
      <c r="M118" s="228">
        <f>COUNTIFS(РД[Тип кв],M$85,РД[МОП],$A118,РД[Дата подачи на регистрацию],"&lt;="&amp;$A$1,РД[Дата подачи на регистрацию],"&gt;="&amp;DATE(YEAR($A$1),MONTH($A$1),1))</f>
        <v>0</v>
      </c>
      <c r="N118" s="228">
        <f>COUNTIFS(РД[Тип кв],N$85,РД[МОП],$A118,РД[Дата подачи на регистрацию],"&lt;="&amp;$A$1,РД[Дата подачи на регистрацию],"&gt;="&amp;DATE(YEAR($A$1),MONTH($A$1),1))</f>
        <v>0</v>
      </c>
      <c r="O118" s="228">
        <f>COUNTIFS(РД[Тип кв],O$85,РД[МОП],$A118,РД[Дата подачи на регистрацию],"&lt;="&amp;$A$1,РД[Дата подачи на регистрацию],"&gt;="&amp;DATE(YEAR($A$1),MONTH($A$1),1))</f>
        <v>0</v>
      </c>
      <c r="P118" s="231">
        <f>COUNTIFS(РД[Тип кв],P$85,РД[МОП],$A118,РД[Дата подачи на регистрацию],"&lt;="&amp;$A$1,РД[Дата подачи на регистрацию],"&gt;="&amp;DATE(YEAR($A$1),MONTH($A$1),1))</f>
        <v>0</v>
      </c>
      <c r="T118" s="66"/>
    </row>
    <row r="119" spans="1:21" s="65" customFormat="1">
      <c r="A119" s="161" t="s">
        <v>1919</v>
      </c>
      <c r="B119" s="278"/>
      <c r="C119" s="281"/>
      <c r="D119" s="406">
        <f>SUMIFS(сент244546[м2],сент244546[МОП],$A119,сент244546[Комнатность],"&lt;&gt;Офис")</f>
        <v>259.87</v>
      </c>
      <c r="E119" s="281">
        <f>SUMIFS(сент244546[Сумма без отделки],сент244546[МОП],$A119,сент244546[Комнатность],"&lt;&gt;Офис")</f>
        <v>23752460</v>
      </c>
      <c r="F119" s="407">
        <f>COUNTIFS(сент244546[МОП],$A119,сент244546[Комнатность],"&lt;&gt;Офис")</f>
        <v>5</v>
      </c>
      <c r="G119" s="166">
        <f>SUMIFS(РД[S],РД[МОП],A119,РД[Дата подачи на регистрацию],"&lt;="&amp;$A$1,РД[Дата подачи на регистрацию],"&gt;="&amp;DATE(YEAR($A$1),MONTH($A$1),1),РД[Состояние],"Продажа")</f>
        <v>0</v>
      </c>
      <c r="H119" s="167">
        <f>SUMIFS(РД[Стоимость без отделки итог],РД[МОП],A119,РД[Дата подачи на регистрацию],"&lt;="&amp;$A$1,РД[Дата подачи на регистрацию],"&gt;="&amp;DATE(YEAR($A$1),MONTH($A$1),1),РД[Состояние],"Продажа")</f>
        <v>0</v>
      </c>
      <c r="I119" s="232">
        <f>COUNTIFS(РД[МОП],A119,РД[Дата подачи на регистрацию],"&lt;="&amp;$A$1,РД[Дата подачи на регистрацию],"&gt;="&amp;DATE(YEAR($A$1),MONTH($A$1),1),РД[Состояние],"Продажа")</f>
        <v>0</v>
      </c>
      <c r="J119" s="233" t="str">
        <f t="shared" si="12"/>
        <v/>
      </c>
      <c r="K119" s="234" t="str">
        <f t="shared" si="12"/>
        <v/>
      </c>
      <c r="L119" s="235">
        <f>COUNTIFS(РД[Тип кв],L$85,РД[МОП],$A119,РД[Дата подачи на регистрацию],"&lt;="&amp;$A$1,РД[Дата подачи на регистрацию],"&gt;="&amp;DATE(YEAR($A$1),MONTH($A$1),1))</f>
        <v>0</v>
      </c>
      <c r="M119" s="236">
        <f>COUNTIFS(РД[Тип кв],M$85,РД[МОП],$A119,РД[Дата подачи на регистрацию],"&lt;="&amp;$A$1,РД[Дата подачи на регистрацию],"&gt;="&amp;DATE(YEAR($A$1),MONTH($A$1),1))</f>
        <v>0</v>
      </c>
      <c r="N119" s="236">
        <f>COUNTIFS(РД[Тип кв],N$85,РД[МОП],$A119,РД[Дата подачи на регистрацию],"&lt;="&amp;$A$1,РД[Дата подачи на регистрацию],"&gt;="&amp;DATE(YEAR($A$1),MONTH($A$1),1))</f>
        <v>0</v>
      </c>
      <c r="O119" s="236">
        <f>COUNTIFS(РД[Тип кв],O$85,РД[МОП],$A119,РД[Дата подачи на регистрацию],"&lt;="&amp;$A$1,РД[Дата подачи на регистрацию],"&gt;="&amp;DATE(YEAR($A$1),MONTH($A$1),1))</f>
        <v>0</v>
      </c>
      <c r="P119" s="237">
        <f>COUNTIFS(РД[Тип кв],P$85,РД[МОП],$A119,РД[Дата подачи на регистрацию],"&lt;="&amp;$A$1,РД[Дата подачи на регистрацию],"&gt;="&amp;DATE(YEAR($A$1),MONTH($A$1),1))</f>
        <v>0</v>
      </c>
      <c r="T119" s="66"/>
    </row>
    <row r="120" spans="1:21" s="65" customFormat="1">
      <c r="A120" s="168" t="s">
        <v>114</v>
      </c>
      <c r="B120" s="172">
        <f t="shared" ref="B120:I120" si="13">SUM(B114:B119)</f>
        <v>0</v>
      </c>
      <c r="C120" s="173">
        <f t="shared" si="13"/>
        <v>0</v>
      </c>
      <c r="D120" s="173">
        <f t="shared" si="13"/>
        <v>1057.29</v>
      </c>
      <c r="E120" s="173">
        <f t="shared" si="13"/>
        <v>112222505</v>
      </c>
      <c r="F120" s="171">
        <f t="shared" si="13"/>
        <v>21</v>
      </c>
      <c r="G120" s="172">
        <f t="shared" si="13"/>
        <v>1005.5</v>
      </c>
      <c r="H120" s="173">
        <f t="shared" si="13"/>
        <v>112197975</v>
      </c>
      <c r="I120" s="170">
        <f t="shared" si="13"/>
        <v>20</v>
      </c>
      <c r="J120" s="238">
        <f>IFERROR(G120/B120,)</f>
        <v>0</v>
      </c>
      <c r="K120" s="239">
        <f>IFERROR(H120/C120,)</f>
        <v>0</v>
      </c>
      <c r="L120" s="240">
        <f>SUM(L114:L119)</f>
        <v>4</v>
      </c>
      <c r="M120" s="241">
        <f>SUM(M114:M119)</f>
        <v>4</v>
      </c>
      <c r="N120" s="241">
        <f>SUM(N114:N119)</f>
        <v>12</v>
      </c>
      <c r="O120" s="241">
        <f>SUM(O114:O119)</f>
        <v>0</v>
      </c>
      <c r="P120" s="242">
        <f>SUM(P114:P119)</f>
        <v>0</v>
      </c>
      <c r="T120" s="66"/>
    </row>
    <row r="121" spans="1:21" s="65" customFormat="1">
      <c r="A121" s="135" t="s">
        <v>115</v>
      </c>
      <c r="B121" s="135" t="s">
        <v>100</v>
      </c>
      <c r="C121" s="136" t="s">
        <v>97</v>
      </c>
      <c r="D121" s="137" t="s">
        <v>494</v>
      </c>
      <c r="E121" s="138" t="s">
        <v>495</v>
      </c>
      <c r="F121" s="139" t="s">
        <v>496</v>
      </c>
      <c r="G121" s="140" t="s">
        <v>101</v>
      </c>
      <c r="H121" s="141" t="s">
        <v>98</v>
      </c>
      <c r="I121" s="141" t="s">
        <v>96</v>
      </c>
      <c r="J121" s="141" t="s">
        <v>715</v>
      </c>
      <c r="K121" s="216" t="s">
        <v>716</v>
      </c>
      <c r="L121" s="217">
        <v>0</v>
      </c>
      <c r="M121" s="218">
        <v>1</v>
      </c>
      <c r="N121" s="218">
        <v>2</v>
      </c>
      <c r="O121" s="218">
        <v>3</v>
      </c>
      <c r="P121" s="219" t="s">
        <v>1367</v>
      </c>
      <c r="T121" s="66"/>
    </row>
    <row r="122" spans="1:21" s="65" customFormat="1">
      <c r="A122" s="177" t="s">
        <v>22</v>
      </c>
      <c r="B122" s="291">
        <f>IFERROR(VLOOKUP(A122,'ИПП 4кв24'!$B$22:$N$32,10,0),"")</f>
        <v>0</v>
      </c>
      <c r="C122" s="292">
        <f>IFERROR(VLOOKUP(A122,'ИПП 4кв24'!$B$22:$N$32,11,0),"")</f>
        <v>0</v>
      </c>
      <c r="D122" s="346">
        <f>SUMIFS(сент244546[м2],сент244546[ИМ],A122,сент244546[Комнатность],"&lt;&gt;Офис")</f>
        <v>630.40000000000009</v>
      </c>
      <c r="E122" s="184">
        <f>SUMIFS(сент244546[Сумма без отделки],сент244546[ИМ],$A122,сент244546[Комнатность],"&lt;&gt;Офис")</f>
        <v>73762628</v>
      </c>
      <c r="F122" s="415">
        <f>COUNTIFS(сент244546[ИМ],A122,сент244546[Комнатность],"&lt;&gt;Офис")</f>
        <v>14</v>
      </c>
      <c r="G122" s="183">
        <f>SUMIFS(РД[S],РД[ИМ],A122,РД[Дата подачи на регистрацию],"&lt;="&amp;$A$1,РД[Дата подачи на регистрацию],"&gt;="&amp;DATE(YEAR($A$1),MONTH($A$1),1),РД[Состояние],"Продажа")</f>
        <v>630.40000000000009</v>
      </c>
      <c r="H122" s="184">
        <f>SUMIFS(РД[Стоимость без отделки итог],РД[ИМ],A122,РД[Дата подачи на регистрацию],"&lt;="&amp;$A$1,РД[Дата подачи на регистрацию],"&gt;="&amp;DATE(YEAR($A$1),MONTH($A$1),1),РД[Состояние],"Продажа")</f>
        <v>73738098</v>
      </c>
      <c r="I122" s="243">
        <f>COUNTIFS(РД[ИМ],A122,РД[Дата подачи на регистрацию],"&lt;="&amp;$A$1,РД[Дата подачи на регистрацию],"&gt;="&amp;DATE(YEAR($A$1),MONTH($A$1),1),РД[Состояние],"Продажа")</f>
        <v>14</v>
      </c>
      <c r="J122" s="244" t="str">
        <f t="shared" ref="J122:K124" si="14">IFERROR(G122/B122,"")</f>
        <v/>
      </c>
      <c r="K122" s="258" t="str">
        <f t="shared" si="14"/>
        <v/>
      </c>
      <c r="L122" s="183">
        <f>COUNTIFS(РД[Тип кв],L113,РД[ИМ],$A122,РД[Дата подачи на регистрацию],"&lt;="&amp;$A$1,РД[Дата подачи на регистрацию],"&gt;="&amp;DATE(YEAR($A$1),MONTH($A$1),1))</f>
        <v>4</v>
      </c>
      <c r="M122" s="243">
        <f>COUNTIFS(РД[Тип кв],M113,РД[ИМ],$A122,РД[Дата подачи на регистрацию],"&lt;="&amp;$A$1,РД[Дата подачи на регистрацию],"&gt;="&amp;DATE(YEAR($A$1),MONTH($A$1),1))</f>
        <v>3</v>
      </c>
      <c r="N122" s="243">
        <f>COUNTIFS(РД[Тип кв],N113,РД[ИМ],$A122,РД[Дата подачи на регистрацию],"&lt;="&amp;$A$1,РД[Дата подачи на регистрацию],"&gt;="&amp;DATE(YEAR($A$1),MONTH($A$1),1))</f>
        <v>7</v>
      </c>
      <c r="O122" s="243">
        <f>COUNTIFS(РД[Тип кв],O113,РД[ИМ],$A122,РД[Дата подачи на регистрацию],"&lt;="&amp;$A$1,РД[Дата подачи на регистрацию],"&gt;="&amp;DATE(YEAR($A$1),MONTH($A$1),1))</f>
        <v>0</v>
      </c>
      <c r="P122" s="246">
        <f>COUNTIFS(РД[Тип кв],P113,РД[ИМ],$A122,РД[Дата подачи на регистрацию],"&lt;="&amp;$A$1,РД[Дата подачи на регистрацию],"&gt;="&amp;DATE(YEAR($A$1),MONTH($A$1),1))</f>
        <v>0</v>
      </c>
      <c r="Q122" s="66"/>
      <c r="R122" s="66"/>
      <c r="S122" s="66"/>
      <c r="T122" s="66"/>
    </row>
    <row r="123" spans="1:21" s="65" customFormat="1">
      <c r="A123" s="150"/>
      <c r="B123" s="408" t="str">
        <f>IFERROR(VLOOKUP(A123,'ИПП 4кв24'!$B$22:$N$32,10,0),"")</f>
        <v/>
      </c>
      <c r="C123" s="403" t="str">
        <f>IFERROR(VLOOKUP(A123,'ИПП 4кв24'!$B$22:$N$32,11,0),"")</f>
        <v/>
      </c>
      <c r="D123" s="328">
        <f>SUMIFS(сент244546[м2],сент244546[ИМ],A123,сент244546[Комнатность],"&lt;&gt;Офис")</f>
        <v>0</v>
      </c>
      <c r="E123" s="188">
        <f>SUMIFS(сент244546[Сумма без отделки],сент244546[ИМ],$A123,сент244546[Комнатность],"&lt;&gt;Офис")</f>
        <v>0</v>
      </c>
      <c r="F123" s="404">
        <f>COUNTIFS(сент244546[ИМ],$A123,сент244546[Комнатность],"&lt;&gt;Офис")</f>
        <v>0</v>
      </c>
      <c r="G123" s="187">
        <f>SUMIFS(РД[S],РД[ИМ],A123,РД[Дата подачи на регистрацию],"&lt;="&amp;$A$1,РД[Дата подачи на регистрацию],"&gt;="&amp;DATE(YEAR($A$1),MONTH($A$1),1),РД[Состояние],"Продажа")</f>
        <v>0</v>
      </c>
      <c r="H123" s="188">
        <f>SUMIFS(РД[Стоимость без отделки итог],РД[ИМ],A123,РД[Дата подачи на регистрацию],"&lt;="&amp;$A$1,РД[Дата подачи на регистрацию],"&gt;="&amp;DATE(YEAR($A$1),MONTH($A$1),1),РД[Состояние],"Продажа")</f>
        <v>0</v>
      </c>
      <c r="I123" s="247">
        <f>COUNTIFS(РД[ИМ],A123,РД[Дата подачи на регистрацию],"&lt;="&amp;$A$1,РД[Дата подачи на регистрацию],"&gt;="&amp;DATE(YEAR($A$1),MONTH($A$1),1),РД[Состояние],"Продажа")</f>
        <v>0</v>
      </c>
      <c r="J123" s="248" t="str">
        <f t="shared" si="14"/>
        <v/>
      </c>
      <c r="K123" s="259" t="str">
        <f t="shared" si="14"/>
        <v/>
      </c>
      <c r="L123" s="328">
        <f>COUNTIFS(РД[Тип кв],L114,РД[ИМ],$A123,РД[Дата подачи на регистрацию],"&lt;="&amp;$A$1,РД[Дата подачи на регистрацию],"&gt;="&amp;DATE(YEAR($A$1),MONTH($A$1),1))</f>
        <v>0</v>
      </c>
      <c r="M123" s="247">
        <f>COUNTIFS(РД[Тип кв],M114,РД[ИМ],$A123,РД[Дата подачи на регистрацию],"&lt;="&amp;$A$1,РД[Дата подачи на регистрацию],"&gt;="&amp;DATE(YEAR($A$1),MONTH($A$1),1))</f>
        <v>0</v>
      </c>
      <c r="N123" s="247">
        <f>COUNTIFS(РД[Тип кв],N114,РД[ИМ],$A123,РД[Дата подачи на регистрацию],"&lt;="&amp;$A$1,РД[Дата подачи на регистрацию],"&gt;="&amp;DATE(YEAR($A$1),MONTH($A$1),1))</f>
        <v>0</v>
      </c>
      <c r="O123" s="247">
        <f>COUNTIFS(РД[Тип кв],O114,РД[ИМ],$A123,РД[Дата подачи на регистрацию],"&lt;="&amp;$A$1,РД[Дата подачи на регистрацию],"&gt;="&amp;DATE(YEAR($A$1),MONTH($A$1),1))</f>
        <v>0</v>
      </c>
      <c r="P123" s="250">
        <f>COUNTIFS(РД[Тип кв],P114,РД[ИМ],$A123,РД[Дата подачи на регистрацию],"&lt;="&amp;$A$1,РД[Дата подачи на регистрацию],"&gt;="&amp;DATE(YEAR($A$1),MONTH($A$1),1))</f>
        <v>0</v>
      </c>
      <c r="Q123" s="66"/>
      <c r="R123" s="66"/>
      <c r="S123" s="66"/>
      <c r="T123" s="66"/>
    </row>
    <row r="124" spans="1:21" s="65" customFormat="1">
      <c r="A124" s="317" t="s">
        <v>114</v>
      </c>
      <c r="B124" s="410">
        <f t="shared" ref="B124:I124" si="15">SUM(B122:B123)</f>
        <v>0</v>
      </c>
      <c r="C124" s="411">
        <f t="shared" si="15"/>
        <v>0</v>
      </c>
      <c r="D124" s="411">
        <f t="shared" si="15"/>
        <v>630.40000000000009</v>
      </c>
      <c r="E124" s="411">
        <f t="shared" si="15"/>
        <v>73762628</v>
      </c>
      <c r="F124" s="412">
        <f t="shared" si="15"/>
        <v>14</v>
      </c>
      <c r="G124" s="410">
        <f t="shared" si="15"/>
        <v>630.40000000000009</v>
      </c>
      <c r="H124" s="411">
        <f t="shared" si="15"/>
        <v>73738098</v>
      </c>
      <c r="I124" s="418">
        <f t="shared" si="15"/>
        <v>14</v>
      </c>
      <c r="J124" s="419" t="str">
        <f t="shared" si="14"/>
        <v/>
      </c>
      <c r="K124" s="420" t="str">
        <f t="shared" si="14"/>
        <v/>
      </c>
      <c r="L124" s="240">
        <f>SUM(L122:L123)</f>
        <v>4</v>
      </c>
      <c r="M124" s="241">
        <f>SUM(M122:M123)</f>
        <v>3</v>
      </c>
      <c r="N124" s="241">
        <f>SUM(N122:N123)</f>
        <v>7</v>
      </c>
      <c r="O124" s="241">
        <f>SUM(O122:O123)</f>
        <v>0</v>
      </c>
      <c r="P124" s="242">
        <f>SUM(P122:P123)</f>
        <v>0</v>
      </c>
      <c r="Q124" s="66"/>
      <c r="R124" s="66"/>
      <c r="S124" s="66"/>
      <c r="T124" s="66"/>
    </row>
    <row r="125" spans="1:21" s="65" customFormat="1">
      <c r="A125" s="134"/>
      <c r="B125" s="44"/>
      <c r="C125" s="44"/>
      <c r="D125" s="134"/>
      <c r="E125" s="134"/>
      <c r="F125" s="44"/>
      <c r="G125" s="134"/>
      <c r="H125" s="134"/>
      <c r="I125" s="134"/>
      <c r="J125" s="134"/>
      <c r="K125" s="255"/>
      <c r="L125" s="256"/>
      <c r="M125" s="134"/>
      <c r="N125" s="134"/>
      <c r="O125" s="134"/>
      <c r="P125" s="134"/>
      <c r="Q125" s="134"/>
      <c r="T125" s="66"/>
      <c r="U125" s="66"/>
    </row>
    <row r="126" spans="1:21" s="65" customFormat="1" ht="15">
      <c r="A126" s="2400" t="s">
        <v>1368</v>
      </c>
      <c r="B126" s="2401"/>
      <c r="C126" s="2401"/>
      <c r="D126" s="2401"/>
      <c r="E126" s="2401"/>
      <c r="F126" s="2401"/>
      <c r="G126" s="2401"/>
      <c r="H126" s="2401"/>
      <c r="I126" s="2401"/>
      <c r="J126" s="2401"/>
      <c r="K126" s="2401"/>
      <c r="L126" s="2401"/>
      <c r="M126" s="2401"/>
      <c r="N126" s="2401"/>
      <c r="O126" s="2401"/>
      <c r="P126" s="66"/>
      <c r="S126" s="66"/>
      <c r="T126" s="66"/>
    </row>
    <row r="127" spans="1:21" s="65" customFormat="1">
      <c r="A127" s="135" t="s">
        <v>1</v>
      </c>
      <c r="B127" s="135" t="s">
        <v>100</v>
      </c>
      <c r="C127" s="136" t="s">
        <v>97</v>
      </c>
      <c r="D127" s="264" t="s">
        <v>494</v>
      </c>
      <c r="E127" s="265" t="s">
        <v>495</v>
      </c>
      <c r="F127" s="266" t="s">
        <v>496</v>
      </c>
      <c r="G127" s="140" t="s">
        <v>101</v>
      </c>
      <c r="H127" s="141" t="s">
        <v>98</v>
      </c>
      <c r="I127" s="141" t="s">
        <v>96</v>
      </c>
      <c r="J127" s="141" t="s">
        <v>715</v>
      </c>
      <c r="K127" s="216" t="s">
        <v>716</v>
      </c>
      <c r="L127" s="332" t="s">
        <v>121</v>
      </c>
      <c r="M127" s="218" t="s">
        <v>27</v>
      </c>
      <c r="N127" s="219" t="s">
        <v>7</v>
      </c>
      <c r="O127" s="219" t="s">
        <v>19</v>
      </c>
      <c r="P127" s="66"/>
      <c r="S127" s="66"/>
      <c r="T127" s="66"/>
    </row>
    <row r="128" spans="1:21" s="65" customFormat="1">
      <c r="A128" s="142" t="s">
        <v>8</v>
      </c>
      <c r="B128" s="267"/>
      <c r="C128" s="268"/>
      <c r="D128" s="416">
        <f>SUMIFS(сент244546[м2],сент244546[МОП],A128,сент244546[Комнатность],"Офис")</f>
        <v>0</v>
      </c>
      <c r="E128" s="146">
        <f>SUMIFS(сент244546[Сумма без отделки],сент244546[МОП],$A128,сент244546[Комнатность],"оФИС")</f>
        <v>0</v>
      </c>
      <c r="F128" s="417">
        <f>COUNTIFS(сент244546[МОП],$A128,сент244546[Комнатность],"Офис")</f>
        <v>0</v>
      </c>
      <c r="G128" s="267">
        <f>SUMIFS(РД[S],РД[МОП],A128,РД[Дата подачи на регистрацию],"&lt;="&amp;$A$1,РД[Дата подачи на регистрацию],"&gt;="&amp;DATE(YEAR($A$1),MONTH($A$1),1),РД[Состояние],"Коммерция")</f>
        <v>0</v>
      </c>
      <c r="H128" s="146">
        <f>SUMIFS(РД[Стоимость без отделки итог],РД[МОП],A128,РД[Дата подачи на регистрацию],"&lt;="&amp;$A$1,РД[Дата подачи на регистрацию],"&gt;="&amp;DATE(YEAR($A$1),MONTH($A$1),1),РД[Состояние],"Коммерция")</f>
        <v>0</v>
      </c>
      <c r="I128" s="220">
        <f>COUNTIFS(РД[МОП],A128,РД[Дата подачи на регистрацию],"&lt;="&amp;$A$1,РД[Дата подачи на регистрацию],"&gt;="&amp;DATE(YEAR($A$1),MONTH($A$1),1),РД[Состояние],"Коммерция")</f>
        <v>0</v>
      </c>
      <c r="J128" s="221" t="str">
        <f t="shared" ref="J128:K134" si="16">IFERROR(G128/B128,"")</f>
        <v/>
      </c>
      <c r="K128" s="333" t="str">
        <f t="shared" si="16"/>
        <v/>
      </c>
      <c r="L128" s="148">
        <f>COUNTIFS(РД[Дом],L$127,РД[МОП],$A128,РД[Дата подачи на регистрацию],"&lt;="&amp;$A$1,РД[Дата подачи на регистрацию],"&gt;="&amp;DATE(YEAR($A$1),MONTH($A$1),1),РД[Состояние],"Коммерция")</f>
        <v>0</v>
      </c>
      <c r="M128" s="220">
        <f>COUNTIFS(РД[Дом],M$127,РД[МОП],$A128,РД[Дата подачи на регистрацию],"&lt;="&amp;$A$1,РД[Дата подачи на регистрацию],"&gt;="&amp;DATE(YEAR($A$1),MONTH($A$1),1),РД[Состояние],"Коммерция")</f>
        <v>0</v>
      </c>
      <c r="N128" s="223">
        <f>COUNTIFS(РД[Дом],N$127,РД[МОП],$A128,РД[Дата подачи на регистрацию],"&lt;="&amp;$A$1,РД[Дата подачи на регистрацию],"&gt;="&amp;DATE(YEAR($A$1),MONTH($A$1),1),РД[Состояние],"Коммерция")</f>
        <v>0</v>
      </c>
      <c r="O128" s="223">
        <f>COUNTIFS(РД[Дом],O$127,РД[МОП],$A128,РД[Дата подачи на регистрацию],"&lt;="&amp;$A$1,РД[Дата подачи на регистрацию],"&gt;="&amp;DATE(YEAR($A$1),MONTH($A$1),1),РД[Состояние],"Коммерция")</f>
        <v>0</v>
      </c>
      <c r="S128" s="66"/>
      <c r="T128" s="66"/>
    </row>
    <row r="129" spans="1:21" s="65" customFormat="1">
      <c r="A129" s="150" t="s">
        <v>24</v>
      </c>
      <c r="B129" s="267"/>
      <c r="C129" s="268"/>
      <c r="D129" s="416">
        <f>SUMIFS(сент244546[м2],сент244546[МОП],A129,сент244546[Комнатность],"Офис")</f>
        <v>0</v>
      </c>
      <c r="E129" s="146">
        <f>SUMIFS(сент244546[Сумма без отделки],сент244546[МОП],$A129,сент244546[Комнатность],"оФИС")</f>
        <v>0</v>
      </c>
      <c r="F129" s="417">
        <f>COUNTIFS(сент244546[МОП],$A129,сент244546[Комнатность],"Офис")</f>
        <v>0</v>
      </c>
      <c r="G129" s="267">
        <f>SUMIFS(РД[S],РД[МОП],A129,РД[Дата подачи на регистрацию],"&lt;="&amp;$A$1,РД[Дата подачи на регистрацию],"&gt;="&amp;DATE(YEAR($A$1),MONTH($A$1),1),РД[Состояние],"Коммерция")</f>
        <v>0</v>
      </c>
      <c r="H129" s="146">
        <f>SUMIFS(РД[Стоимость без отделки итог],РД[МОП],A129,РД[Дата подачи на регистрацию],"&lt;="&amp;$A$1,РД[Дата подачи на регистрацию],"&gt;="&amp;DATE(YEAR($A$1),MONTH($A$1),1),РД[Состояние],"Коммерция")</f>
        <v>0</v>
      </c>
      <c r="I129" s="220">
        <f>COUNTIFS(РД[МОП],A129,РД[Дата подачи на регистрацию],"&lt;="&amp;$A$1,РД[Дата подачи на регистрацию],"&gt;="&amp;DATE(YEAR($A$1),MONTH($A$1),1),РД[Состояние],"Коммерция")</f>
        <v>0</v>
      </c>
      <c r="J129" s="221" t="str">
        <f t="shared" si="16"/>
        <v/>
      </c>
      <c r="K129" s="333" t="str">
        <f t="shared" si="16"/>
        <v/>
      </c>
      <c r="L129" s="148">
        <f>COUNTIFS(РД[Дом],L$127,РД[МОП],$A129,РД[Дата подачи на регистрацию],"&lt;="&amp;$A$1,РД[Дата подачи на регистрацию],"&gt;="&amp;DATE(YEAR($A$1),MONTH($A$1),1),РД[Состояние],"Коммерция")</f>
        <v>0</v>
      </c>
      <c r="M129" s="220">
        <f>COUNTIFS(РД[Дом],M$127,РД[МОП],$A129,РД[Дата подачи на регистрацию],"&lt;="&amp;$A$1,РД[Дата подачи на регистрацию],"&gt;="&amp;DATE(YEAR($A$1),MONTH($A$1),1),РД[Состояние],"Коммерция")</f>
        <v>0</v>
      </c>
      <c r="N129" s="223">
        <f>COUNTIFS(РД[Дом],N$127,РД[МОП],$A129,РД[Дата подачи на регистрацию],"&lt;="&amp;$A$1,РД[Дата подачи на регистрацию],"&gt;="&amp;DATE(YEAR($A$1),MONTH($A$1),1),РД[Состояние],"Коммерция")</f>
        <v>0</v>
      </c>
      <c r="O129" s="223">
        <f>COUNTIFS(РД[Дом],O$127,РД[МОП],$A129,РД[Дата подачи на регистрацию],"&lt;="&amp;$A$1,РД[Дата подачи на регистрацию],"&gt;="&amp;DATE(YEAR($A$1),MONTH($A$1),1),РД[Состояние],"Коммерция")</f>
        <v>0</v>
      </c>
      <c r="S129" s="66"/>
      <c r="T129" s="66"/>
    </row>
    <row r="130" spans="1:21" s="65" customFormat="1">
      <c r="A130" s="153" t="s">
        <v>20</v>
      </c>
      <c r="B130" s="271"/>
      <c r="C130" s="272"/>
      <c r="D130" s="416">
        <f>SUMIFS(сент244546[м2],сент244546[МОП],A130,сент244546[Комнатность],"Офис")</f>
        <v>0</v>
      </c>
      <c r="E130" s="52">
        <f>SUMIFS(сент244546[Сумма без отделки],сент244546[МОП],$A130,сент244546[Комнатность],"оФИС")</f>
        <v>0</v>
      </c>
      <c r="F130" s="421">
        <f>COUNTIFS(сент244546[МОП],$A130,сент244546[Комнатность],"Офис")</f>
        <v>0</v>
      </c>
      <c r="G130" s="271">
        <f>SUMIFS(РД[S],РД[МОП],A130,РД[Дата подачи на регистрацию],"&lt;="&amp;$A$1,РД[Дата подачи на регистрацию],"&gt;="&amp;DATE(YEAR($A$1),MONTH($A$1),1),РД[Состояние],"Коммерция")</f>
        <v>0</v>
      </c>
      <c r="H130" s="52">
        <f>SUMIFS(РД[Стоимость без отделки итог],РД[МОП],A130,РД[Дата подачи на регистрацию],"&lt;="&amp;$A$1,РД[Дата подачи на регистрацию],"&gt;="&amp;DATE(YEAR($A$1),MONTH($A$1),1),РД[Состояние],"Коммерция")</f>
        <v>0</v>
      </c>
      <c r="I130" s="220">
        <f>COUNTIFS(РД[МОП],A130,РД[Дата подачи на регистрацию],"&lt;="&amp;$A$1,РД[Дата подачи на регистрацию],"&gt;="&amp;DATE(YEAR($A$1),MONTH($A$1),1),РД[Состояние],"Коммерция")</f>
        <v>0</v>
      </c>
      <c r="J130" s="224" t="str">
        <f t="shared" si="16"/>
        <v/>
      </c>
      <c r="K130" s="334" t="str">
        <f t="shared" si="16"/>
        <v/>
      </c>
      <c r="L130" s="202">
        <f>COUNTIFS(РД[Дом],L$127,РД[МОП],$A130,РД[Дата подачи на регистрацию],"&lt;="&amp;$A$1,РД[Дата подачи на регистрацию],"&gt;="&amp;DATE(YEAR($A$1),MONTH($A$1),1),РД[Состояние],"Коммерция")</f>
        <v>0</v>
      </c>
      <c r="M130" s="226">
        <f>COUNTIFS(РД[Дом],M$127,РД[МОП],$A130,РД[Дата подачи на регистрацию],"&lt;="&amp;$A$1,РД[Дата подачи на регистрацию],"&gt;="&amp;DATE(YEAR($A$1),MONTH($A$1),1),РД[Состояние],"Коммерция")</f>
        <v>0</v>
      </c>
      <c r="N130" s="227">
        <f>COUNTIFS(РД[Дом],N$127,РД[МОП],$A130,РД[Дата подачи на регистрацию],"&lt;="&amp;$A$1,РД[Дата подачи на регистрацию],"&gt;="&amp;DATE(YEAR($A$1),MONTH($A$1),1),РД[Состояние],"Коммерция")</f>
        <v>0</v>
      </c>
      <c r="O130" s="227">
        <f>COUNTIFS(РД[Дом],O$127,РД[МОП],$A130,РД[Дата подачи на регистрацию],"&lt;="&amp;$A$1,РД[Дата подачи на регистрацию],"&gt;="&amp;DATE(YEAR($A$1),MONTH($A$1),1),РД[Состояние],"Коммерция")</f>
        <v>0</v>
      </c>
      <c r="S130" s="66"/>
      <c r="T130" s="66"/>
    </row>
    <row r="131" spans="1:21" s="65" customFormat="1">
      <c r="A131" s="153" t="s">
        <v>14</v>
      </c>
      <c r="B131" s="315"/>
      <c r="C131" s="316"/>
      <c r="D131" s="422">
        <f>SUMIFS(сент244546[м2],сент244546[МОП],A131,сент244546[Комнатность],"Офис")</f>
        <v>0</v>
      </c>
      <c r="E131" s="363">
        <f>SUMIFS(сент244546[Сумма без отделки],сент244546[МОП],$A131,сент244546[Комнатность],"оФИС")</f>
        <v>0</v>
      </c>
      <c r="F131" s="414">
        <f>COUNTIFS(сент244546[МОП],$A131,сент244546[Комнатность],"Офис")</f>
        <v>0</v>
      </c>
      <c r="G131" s="315">
        <f>SUMIFS(РД[S],РД[МОП],A131,РД[Дата подачи на регистрацию],"&lt;="&amp;$A$1,РД[Дата подачи на регистрацию],"&gt;="&amp;DATE(YEAR($A$1),MONTH($A$1),1),РД[Состояние],"Коммерция")</f>
        <v>0</v>
      </c>
      <c r="H131" s="363">
        <f>SUMIFS(РД[Стоимость без отделки итог],РД[МОП],A131,РД[Дата подачи на регистрацию],"&lt;="&amp;$A$1,РД[Дата подачи на регистрацию],"&gt;="&amp;DATE(YEAR($A$1),MONTH($A$1),1),РД[Состояние],"Коммерция")</f>
        <v>0</v>
      </c>
      <c r="I131" s="247">
        <f>COUNTIFS(РД[МОП],A131,РД[Дата подачи на регистрацию],"&lt;="&amp;$A$1,РД[Дата подачи на регистрацию],"&gt;="&amp;DATE(YEAR($A$1),MONTH($A$1),1),РД[Состояние],"Коммерция")</f>
        <v>0</v>
      </c>
      <c r="J131" s="360" t="str">
        <f t="shared" si="16"/>
        <v/>
      </c>
      <c r="K131" s="367" t="str">
        <f t="shared" si="16"/>
        <v/>
      </c>
      <c r="L131" s="358">
        <f>COUNTIFS(РД[Дом],L$127,РД[МОП],$A131,РД[Дата подачи на регистрацию],"&lt;="&amp;$A$1,РД[Дата подачи на регистрацию],"&gt;="&amp;DATE(YEAR($A$1),MONTH($A$1),1),РД[Состояние],"Коммерция")</f>
        <v>0</v>
      </c>
      <c r="M131" s="330">
        <f>COUNTIFS(РД[Дом],M$127,РД[МОП],$A131,РД[Дата подачи на регистрацию],"&lt;="&amp;$A$1,РД[Дата подачи на регистрацию],"&gt;="&amp;DATE(YEAR($A$1),MONTH($A$1),1),РД[Состояние],"Коммерция")</f>
        <v>0</v>
      </c>
      <c r="N131" s="331">
        <f>COUNTIFS(РД[Дом],N$127,РД[МОП],$A131,РД[Дата подачи на регистрацию],"&lt;="&amp;$A$1,РД[Дата подачи на регистрацию],"&gt;="&amp;DATE(YEAR($A$1),MONTH($A$1),1),РД[Состояние],"Коммерция")</f>
        <v>0</v>
      </c>
      <c r="O131" s="331">
        <f>COUNTIFS(РД[Дом],O$127,РД[МОП],$A131,РД[Дата подачи на регистрацию],"&lt;="&amp;$A$1,РД[Дата подачи на регистрацию],"&gt;="&amp;DATE(YEAR($A$1),MONTH($A$1),1),РД[Состояние],"Коммерция")</f>
        <v>0</v>
      </c>
      <c r="S131" s="66"/>
      <c r="T131" s="66"/>
    </row>
    <row r="132" spans="1:21" s="65" customFormat="1">
      <c r="A132" s="154" t="s">
        <v>29</v>
      </c>
      <c r="B132" s="274"/>
      <c r="C132" s="275"/>
      <c r="D132" s="423">
        <f>SUMIFS(сент244546[м2],сент244546[МОП],A132,сент244546[Комнатность],"Офис")</f>
        <v>0</v>
      </c>
      <c r="E132" s="277">
        <f>SUMIFS(сент244546[Сумма без отделки],сент244546[МОП],$A132,сент244546[Комнатность],"оФИС")</f>
        <v>0</v>
      </c>
      <c r="F132" s="405">
        <f>COUNTIFS(сент244546[МОП],$A132,сент244546[Комнатность],"Офис")</f>
        <v>0</v>
      </c>
      <c r="G132" s="274">
        <f>SUMIFS(РД[S],РД[МОП],A132,РД[Дата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H132" s="277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I132" s="228">
        <f>COUNTIFS(РД[МОП],A132,РД[Дата подачи на регистрацию],"&lt;="&amp;$A$1,РД[Дата подачи на регистрацию],"&gt;="&amp;DATE(YEAR($A$1),MONTH($A$1),1),РД[Состояние],"Коммерция")</f>
        <v>0</v>
      </c>
      <c r="J132" s="229" t="str">
        <f t="shared" si="16"/>
        <v/>
      </c>
      <c r="K132" s="335" t="str">
        <f t="shared" si="16"/>
        <v/>
      </c>
      <c r="L132" s="159">
        <f>COUNTIFS(РД[Дом],L$127,РД[МОП],$A132,РД[Дата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M132" s="228">
        <f>COUNTIFS(РД[Дом],M$127,РД[МОП],$A132,РД[Дата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N132" s="231">
        <f>COUNTIFS(РД[Дом],N$127,РД[МОП],$A132,РД[Дата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O132" s="231">
        <f>COUNTIFS(РД[Дом],O$127,РД[МОП],$A132,РД[Дата подачи на регистрацию],"&lt;="&amp;$A$1,РД[Дата подачи на регистрацию],"&gt;="&amp;DATE(YEAR($A$1),MONTH($A$1),1),РД[Состояние],"Коммерция")</f>
        <v>0</v>
      </c>
      <c r="S132" s="66"/>
      <c r="T132" s="66"/>
    </row>
    <row r="133" spans="1:21" s="65" customFormat="1">
      <c r="A133" s="161" t="s">
        <v>1919</v>
      </c>
      <c r="B133" s="278"/>
      <c r="C133" s="279"/>
      <c r="D133" s="424">
        <f>SUMIFS(сент244546[м2],сент244546[МОП],A133,сент244546[Комнатность],"Офис")</f>
        <v>0</v>
      </c>
      <c r="E133" s="281">
        <f>SUMIFS(сент244546[Сумма без отделки],сент244546[МОП],$A133,сент244546[Комнатность],"оФИС")</f>
        <v>0</v>
      </c>
      <c r="F133" s="407">
        <f>COUNTIFS(сент244546[МОП],$A133,сент244546[Комнатность],"Офис")</f>
        <v>0</v>
      </c>
      <c r="G133" s="278">
        <f>SUMIFS(РД[S],РД[МОП],A133,РД[Дата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H133" s="281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I133" s="232">
        <f>COUNTIFS(РД[МОП],A133,РД[Дата подачи на регистрацию],"&lt;="&amp;$A$1,РД[Дата подачи на регистрацию],"&gt;="&amp;DATE(YEAR($A$1),MONTH($A$1),1),РД[Состояние],"Коммерция")</f>
        <v>0</v>
      </c>
      <c r="J133" s="233" t="str">
        <f t="shared" si="16"/>
        <v/>
      </c>
      <c r="K133" s="336" t="str">
        <f t="shared" si="16"/>
        <v/>
      </c>
      <c r="L133" s="166">
        <f>COUNTIFS(РД[Дом],L$127,РД[МОП],$A133,РД[Дата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M133" s="232">
        <f>COUNTIFS(РД[Дом],M$127,РД[МОП],$A133,РД[Дата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N133" s="337">
        <f>COUNTIFS(РД[Дом],N$127,РД[МОП],$A133,РД[Дата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O133" s="337">
        <f>COUNTIFS(РД[Дом],O$127,РД[МОП],$A133,РД[Дата подачи на регистрацию],"&lt;="&amp;$A$1,РД[Дата подачи на регистрацию],"&gt;="&amp;DATE(YEAR($A$1),MONTH($A$1),1),РД[Состояние],"Коммерция")</f>
        <v>0</v>
      </c>
      <c r="S133" s="66"/>
      <c r="T133" s="66"/>
    </row>
    <row r="134" spans="1:21" s="65" customFormat="1">
      <c r="A134" s="168" t="s">
        <v>114</v>
      </c>
      <c r="B134" s="282">
        <f t="shared" ref="B134:I134" si="17">SUM(B128:B133)</f>
        <v>0</v>
      </c>
      <c r="C134" s="283">
        <f t="shared" si="17"/>
        <v>0</v>
      </c>
      <c r="D134" s="425">
        <f t="shared" si="17"/>
        <v>0</v>
      </c>
      <c r="E134" s="287">
        <f t="shared" si="17"/>
        <v>0</v>
      </c>
      <c r="F134" s="286">
        <f t="shared" si="17"/>
        <v>0</v>
      </c>
      <c r="G134" s="282">
        <f t="shared" si="17"/>
        <v>0</v>
      </c>
      <c r="H134" s="287">
        <f t="shared" si="17"/>
        <v>0</v>
      </c>
      <c r="I134" s="287">
        <f t="shared" si="17"/>
        <v>0</v>
      </c>
      <c r="J134" s="238" t="str">
        <f t="shared" si="16"/>
        <v/>
      </c>
      <c r="K134" s="338" t="str">
        <f t="shared" si="16"/>
        <v/>
      </c>
      <c r="L134" s="318">
        <f>SUM(L128:L133)</f>
        <v>0</v>
      </c>
      <c r="M134" s="321">
        <f>SUM(M128:M133)</f>
        <v>0</v>
      </c>
      <c r="N134" s="319">
        <f>SUM(N128:N133)</f>
        <v>0</v>
      </c>
      <c r="O134" s="319">
        <f>SUM(O128:O133)</f>
        <v>0</v>
      </c>
      <c r="S134" s="66"/>
      <c r="T134" s="66"/>
    </row>
    <row r="135" spans="1:21" s="65" customFormat="1">
      <c r="A135" s="135" t="s">
        <v>115</v>
      </c>
      <c r="B135" s="135" t="s">
        <v>100</v>
      </c>
      <c r="C135" s="136" t="s">
        <v>97</v>
      </c>
      <c r="D135" s="264" t="s">
        <v>494</v>
      </c>
      <c r="E135" s="265" t="s">
        <v>495</v>
      </c>
      <c r="F135" s="266" t="s">
        <v>496</v>
      </c>
      <c r="G135" s="140" t="s">
        <v>101</v>
      </c>
      <c r="H135" s="141" t="s">
        <v>98</v>
      </c>
      <c r="I135" s="141" t="s">
        <v>96</v>
      </c>
      <c r="J135" s="141" t="s">
        <v>715</v>
      </c>
      <c r="K135" s="216" t="s">
        <v>716</v>
      </c>
      <c r="L135" s="332" t="s">
        <v>121</v>
      </c>
      <c r="M135" s="218" t="s">
        <v>27</v>
      </c>
      <c r="N135" s="219" t="s">
        <v>7</v>
      </c>
      <c r="O135" s="219" t="s">
        <v>7</v>
      </c>
      <c r="T135" s="66"/>
    </row>
    <row r="136" spans="1:21" s="65" customFormat="1">
      <c r="A136" s="177" t="s">
        <v>1892</v>
      </c>
      <c r="B136" s="291"/>
      <c r="C136" s="292"/>
      <c r="D136" s="346">
        <f>SUMIFS(сент244546[м2],сент244546[ИМ],A136,сент244546[Комнатность],"Офис")</f>
        <v>0</v>
      </c>
      <c r="E136" s="184">
        <f>SUMIFS(сент244546[Сумма без отделки],сент244546[ИМ],$A136,сент244546[Комнатность],"оФИС")</f>
        <v>0</v>
      </c>
      <c r="F136" s="415">
        <f>COUNTIFS(сент244546[ИМ],$A136,сент244546[Комнатность],"Офис")</f>
        <v>0</v>
      </c>
      <c r="G136" s="183">
        <f>SUMIFS(РД[S],РД[ИМ],A136,РД[Дата подачи на регистрацию],"&lt;="&amp;$A$1,РД[Дата подачи на регистрацию],"&gt;="&amp;DATE(YEAR($A$1),MONTH($A$1),1),РД[Состояние],"Коммерция")</f>
        <v>0</v>
      </c>
      <c r="H136" s="184">
        <f>SUMIFS(РД[Стоимость без отделки итог],РД[ИМ],A136,РД[Дата подачи на регистрацию],"&lt;="&amp;$A$1,РД[Дата подачи на регистрацию],"&gt;="&amp;DATE(YEAR($A$1),MONTH($A$1),1),РД[Состояние],"Коммерция")</f>
        <v>0</v>
      </c>
      <c r="I136" s="243">
        <f>COUNTIFS(РД[ИМ],A136,РД[Дата подачи на регистрацию],"&lt;="&amp;$A$1,РД[Дата подачи на регистрацию],"&gt;="&amp;DATE(YEAR($A$1),MONTH($A$1),1),РД[Состояние],"Коммерция")</f>
        <v>0</v>
      </c>
      <c r="J136" s="244" t="str">
        <f t="shared" ref="J136:K139" si="18">IFERROR(G136/B136,"")</f>
        <v/>
      </c>
      <c r="K136" s="258" t="str">
        <f t="shared" si="18"/>
        <v/>
      </c>
      <c r="L136" s="148">
        <f>COUNTIFS(РД[Дом],L$127,РД[ИМ],$A136,РД[Дата подачи на регистрацию],"&lt;="&amp;$A$1,РД[Дата подачи на регистрацию],"&gt;="&amp;DATE(YEAR($A$1),MONTH($A$1),1),РД[Состояние],"Коммерция")</f>
        <v>0</v>
      </c>
      <c r="M136" s="220">
        <f>COUNTIFS(РД[Дом],M$127,РД[ИМ],$A136,РД[Дата подачи на регистрацию],"&lt;="&amp;$A$1,РД[Дата подачи на регистрацию],"&gt;="&amp;DATE(YEAR($A$1),MONTH($A$1),1),РД[Состояние],"Коммерция")</f>
        <v>0</v>
      </c>
      <c r="N136" s="223">
        <f>COUNTIFS(РД[Дом],N$127,РД[ИМ],$A136,РД[Дата подачи на регистрацию],"&lt;="&amp;$A$1,РД[Дата подачи на регистрацию],"&gt;="&amp;DATE(YEAR($A$1),MONTH($A$1),1),РД[Состояние],"Коммерция")</f>
        <v>0</v>
      </c>
      <c r="O136" s="223">
        <f>COUNTIFS(РД[Дом],O$127,РД[ИМ],$A136,РД[Дата подачи на регистрацию],"&lt;="&amp;$A$1,РД[Дата подачи на регистрацию],"&gt;="&amp;DATE(YEAR($A$1),MONTH($A$1),1),РД[Состояние],"Коммерция")</f>
        <v>0</v>
      </c>
      <c r="T136" s="66"/>
    </row>
    <row r="137" spans="1:21" s="65" customFormat="1">
      <c r="A137" s="150" t="s">
        <v>22</v>
      </c>
      <c r="B137" s="267"/>
      <c r="C137" s="146"/>
      <c r="D137" s="328">
        <f>SUMIFS(сент244546[м2],сент244546[ИМ],A137,сент244546[Комнатность],"Офис")</f>
        <v>0</v>
      </c>
      <c r="E137" s="188">
        <f>SUMIFS(сент244546[Сумма без отделки],сент244546[ИМ],$A137,сент244546[Комнатность],"оФИС")</f>
        <v>0</v>
      </c>
      <c r="F137" s="404">
        <f>COUNTIFS(сент244546[ИМ],$A137,сент244546[Комнатность],"Офис")</f>
        <v>0</v>
      </c>
      <c r="G137" s="187">
        <f>SUMIFS(РД[S],РД[ИМ],A137,РД[Дата подачи на регистрацию],"&lt;="&amp;$A$1,РД[Дата подачи на регистрацию],"&gt;="&amp;DATE(YEAR($A$1),MONTH($A$1),1),РД[Состояние],"Коммерция")</f>
        <v>0</v>
      </c>
      <c r="H137" s="188">
        <f>SUMIFS(РД[Стоимость без отделки итог],РД[ИМ],A137,РД[Дата подачи на регистрацию],"&lt;="&amp;$A$1,РД[Дата подачи на регистрацию],"&gt;="&amp;DATE(YEAR($A$1),MONTH($A$1),1),РД[Состояние],"Коммерция")</f>
        <v>0</v>
      </c>
      <c r="I137" s="247">
        <f>COUNTIFS(РД[ИМ],A137,РД[Дата подачи на регистрацию],"&lt;="&amp;$A$1,РД[Дата подачи на регистрацию],"&gt;="&amp;DATE(YEAR($A$1),MONTH($A$1),1),РД[Состояние],"Коммерция")</f>
        <v>0</v>
      </c>
      <c r="J137" s="248" t="str">
        <f t="shared" si="18"/>
        <v/>
      </c>
      <c r="K137" s="259" t="str">
        <f t="shared" si="18"/>
        <v/>
      </c>
      <c r="L137" s="148">
        <f>COUNTIFS(РД[Дом],L$127,РД[ИМ],$A137,РД[Дата подачи на регистрацию],"&lt;="&amp;$A$1,РД[Дата подачи на регистрацию],"&gt;="&amp;DATE(YEAR($A$1),MONTH($A$1),1),РД[Состояние],"Коммерция")</f>
        <v>0</v>
      </c>
      <c r="M137" s="220">
        <f>COUNTIFS(РД[Дом],M$127,РД[ИМ],$A137,РД[Дата подачи на регистрацию],"&lt;="&amp;$A$1,РД[Дата подачи на регистрацию],"&gt;="&amp;DATE(YEAR($A$1),MONTH($A$1),1),РД[Состояние],"Коммерция")</f>
        <v>0</v>
      </c>
      <c r="N137" s="223">
        <f>COUNTIFS(РД[Дом],N$127,РД[ИМ],$A137,РД[Дата подачи на регистрацию],"&lt;="&amp;$A$1,РД[Дата подачи на регистрацию],"&gt;="&amp;DATE(YEAR($A$1),MONTH($A$1),1),РД[Состояние],"Коммерция")</f>
        <v>0</v>
      </c>
      <c r="O137" s="223">
        <f>COUNTIFS(РД[Дом],O$127,РД[ИМ],$A137,РД[Дата подачи на регистрацию],"&lt;="&amp;$A$1,РД[Дата подачи на регистрацию],"&gt;="&amp;DATE(YEAR($A$1),MONTH($A$1),1),РД[Состояние],"Коммерция")</f>
        <v>0</v>
      </c>
      <c r="T137" s="66"/>
    </row>
    <row r="138" spans="1:21" s="65" customFormat="1">
      <c r="A138" s="189" t="s">
        <v>16</v>
      </c>
      <c r="B138" s="293"/>
      <c r="C138" s="294"/>
      <c r="D138" s="426">
        <f>SUMIFS(сент244546[м2],сент244546[ИМ],A138,сент244546[Комнатность],"Офис")</f>
        <v>0</v>
      </c>
      <c r="E138" s="196">
        <f>SUMIFS(сент244546[Сумма без отделки],сент244546[ИМ],$A138,сент244546[Комнатность],"оФИС")</f>
        <v>0</v>
      </c>
      <c r="F138" s="427">
        <f>COUNTIFS(сент244546[ИМ],$A138,сент244546[Комнатность],"Офис")</f>
        <v>0</v>
      </c>
      <c r="G138" s="195">
        <f>SUMIFS(РД[S],РД[ИМ],A138,РД[Дата подачи на регистрацию],"&lt;="&amp;$A$1,РД[Дата подачи на регистрацию],"&gt;="&amp;DATE(YEAR($A$1),MONTH($A$1),1),РД[Состояние],"Коммерция")</f>
        <v>0</v>
      </c>
      <c r="H138" s="196">
        <f>SUMIFS(РД[Стоимость без отделки итог],РД[ИМ],A138,РД[Дата подачи на регистрацию],"&lt;="&amp;$A$1,РД[Дата подачи на регистрацию],"&gt;="&amp;DATE(YEAR($A$1),MONTH($A$1),1),РД[Состояние],"Коммерция")</f>
        <v>0</v>
      </c>
      <c r="I138" s="251">
        <f>COUNTIFS(РД[ИМ],A138,РД[Дата подачи на регистрацию],"&lt;="&amp;$A$1,РД[Дата подачи на регистрацию],"&gt;="&amp;DATE(YEAR($A$1),MONTH($A$1),1),РД[Состояние],"Коммерция")</f>
        <v>0</v>
      </c>
      <c r="J138" s="252" t="str">
        <f t="shared" si="18"/>
        <v/>
      </c>
      <c r="K138" s="260" t="str">
        <f t="shared" si="18"/>
        <v/>
      </c>
      <c r="L138" s="202">
        <f>COUNTIFS(РД[Дом],L$127,РД[ИМ],$A138,РД[Дата подачи на регистрацию],"&lt;="&amp;$A$1,РД[Дата подачи на регистрацию],"&gt;="&amp;DATE(YEAR($A$1),MONTH($A$1),1),РД[Состояние],"Коммерция")</f>
        <v>0</v>
      </c>
      <c r="M138" s="226">
        <f>COUNTIFS(РД[Дом],M$127,РД[ИМ],$A138,РД[Дата подачи на регистрацию],"&lt;="&amp;$A$1,РД[Дата подачи на регистрацию],"&gt;="&amp;DATE(YEAR($A$1),MONTH($A$1),1),РД[Состояние],"Коммерция")</f>
        <v>0</v>
      </c>
      <c r="N138" s="227">
        <f>COUNTIFS(РД[Дом],N$127,РД[ИМ],$A138,РД[Дата подачи на регистрацию],"&lt;="&amp;$A$1,РД[Дата подачи на регистрацию],"&gt;="&amp;DATE(YEAR($A$1),MONTH($A$1),1),РД[Состояние],"Коммерция")</f>
        <v>0</v>
      </c>
      <c r="O138" s="227">
        <f>COUNTIFS(РД[Дом],O$127,РД[ИМ],$A138,РД[Дата подачи на регистрацию],"&lt;="&amp;$A$1,РД[Дата подачи на регистрацию],"&gt;="&amp;DATE(YEAR($A$1),MONTH($A$1),1),РД[Состояние],"Коммерция")</f>
        <v>0</v>
      </c>
      <c r="T138" s="66"/>
    </row>
    <row r="139" spans="1:21" s="65" customFormat="1">
      <c r="A139" s="168" t="s">
        <v>114</v>
      </c>
      <c r="B139" s="282">
        <f>SUM(B136:B138)</f>
        <v>0</v>
      </c>
      <c r="C139" s="283">
        <f>SUM(C136:C138)</f>
        <v>0</v>
      </c>
      <c r="D139" s="425">
        <f t="shared" ref="D139:I139" si="19">SUM(D136:D138)</f>
        <v>0</v>
      </c>
      <c r="E139" s="287">
        <f t="shared" si="19"/>
        <v>0</v>
      </c>
      <c r="F139" s="286">
        <f t="shared" si="19"/>
        <v>0</v>
      </c>
      <c r="G139" s="282">
        <f t="shared" si="19"/>
        <v>0</v>
      </c>
      <c r="H139" s="287">
        <f t="shared" si="19"/>
        <v>0</v>
      </c>
      <c r="I139" s="287">
        <f t="shared" si="19"/>
        <v>0</v>
      </c>
      <c r="J139" s="238" t="str">
        <f t="shared" si="18"/>
        <v/>
      </c>
      <c r="K139" s="338" t="str">
        <f t="shared" si="18"/>
        <v/>
      </c>
      <c r="L139" s="318">
        <f>SUM(L136:L138)</f>
        <v>0</v>
      </c>
      <c r="M139" s="321">
        <f>SUM(M136:M138)</f>
        <v>0</v>
      </c>
      <c r="N139" s="319">
        <f>SUM(N136:N138)</f>
        <v>0</v>
      </c>
      <c r="O139" s="319">
        <f>SUM(O136:O138)</f>
        <v>0</v>
      </c>
      <c r="T139" s="66"/>
    </row>
    <row r="140" spans="1:21" s="65" customFormat="1">
      <c r="A140" s="134"/>
      <c r="B140" s="44"/>
      <c r="C140" s="44"/>
      <c r="D140" s="134"/>
      <c r="E140" s="134"/>
      <c r="F140" s="44"/>
      <c r="G140" s="134"/>
      <c r="H140" s="134"/>
      <c r="I140" s="134"/>
      <c r="J140" s="134"/>
      <c r="K140" s="255"/>
      <c r="L140" s="256"/>
      <c r="M140" s="134"/>
      <c r="N140" s="134"/>
      <c r="O140" s="134"/>
      <c r="P140" s="134"/>
      <c r="Q140" s="72"/>
      <c r="U140" s="66"/>
    </row>
    <row r="141" spans="1:21" s="65" customFormat="1" ht="15">
      <c r="A141" s="2402" t="s">
        <v>945</v>
      </c>
      <c r="B141" s="2403"/>
      <c r="C141" s="2403"/>
      <c r="D141" s="2403"/>
      <c r="E141" s="2403"/>
      <c r="F141" s="2403"/>
      <c r="G141" s="2403"/>
      <c r="H141" s="2403"/>
      <c r="I141" s="2403"/>
      <c r="J141" s="2403"/>
      <c r="K141" s="2403"/>
      <c r="L141" s="2403"/>
      <c r="M141" s="2404"/>
      <c r="N141" s="339"/>
      <c r="O141" s="339"/>
      <c r="P141" s="86"/>
      <c r="T141" s="66"/>
    </row>
    <row r="142" spans="1:21" s="65" customFormat="1">
      <c r="A142" s="135" t="s">
        <v>1</v>
      </c>
      <c r="B142" s="135" t="s">
        <v>101</v>
      </c>
      <c r="C142" s="136" t="s">
        <v>98</v>
      </c>
      <c r="D142" s="295" t="s">
        <v>494</v>
      </c>
      <c r="E142" s="138" t="s">
        <v>495</v>
      </c>
      <c r="F142" s="296" t="s">
        <v>496</v>
      </c>
      <c r="G142" s="140" t="s">
        <v>946</v>
      </c>
      <c r="H142" s="141" t="s">
        <v>947</v>
      </c>
      <c r="I142" s="217">
        <v>0</v>
      </c>
      <c r="J142" s="218">
        <v>1</v>
      </c>
      <c r="K142" s="340">
        <v>2</v>
      </c>
      <c r="L142" s="218">
        <v>3</v>
      </c>
      <c r="M142" s="219" t="s">
        <v>1367</v>
      </c>
      <c r="N142" s="339"/>
      <c r="O142" s="339"/>
      <c r="P142" s="86"/>
      <c r="T142" s="66"/>
    </row>
    <row r="143" spans="1:21" s="65" customFormat="1">
      <c r="A143" s="398" t="s">
        <v>8</v>
      </c>
      <c r="B143" s="271">
        <f>SUMIFS(РД[S],РД[МОП],A143,РД[Дата подачи на регистрацию],"&lt;="&amp;$A$1,РД[Дата подачи на регистрацию],"&gt;="&amp;DATE(YEAR($A$1),MONTH($A$1),1),РД[Источник рекламы],"Н -*")</f>
        <v>132.01</v>
      </c>
      <c r="C143" s="272">
        <f>SUMIFS(РД[Стоимость без отделки итог],РД[МОП],A143,РД[Дата подачи на регистрацию],"&lt;="&amp;$A$1,РД[Дата подачи на регистрацию],"&gt;="&amp;DATE(YEAR($A$1),MONTH($A$1),1),РД[Источник рекламы],"Н -*")</f>
        <v>14431676</v>
      </c>
      <c r="D143" s="329">
        <f>SUMIFS(сент244546[м2],сент244546[Встреча],$A143,сент244546[КТУ],"АН -*")</f>
        <v>132.01</v>
      </c>
      <c r="E143" s="363">
        <f>SUMIFS(сент244546[Сумма без отделки],сент244546[Встреча],$A143,сент244546[КТУ],"АН -*")</f>
        <v>14431676</v>
      </c>
      <c r="F143" s="414">
        <f>COUNTIFS(сент244546[Встреча],$A143,сент244546[КТУ],"АН -*")</f>
        <v>2</v>
      </c>
      <c r="G143" s="271">
        <f>SUMIFS(РД[S],РД[МОП],A143,РД[Дата подачи на регистрацию],"&lt;="&amp;$A$1,РД[Дата подачи на регистрацию],"&gt;="&amp;DATE(YEAR($A$1),MONTH($A$1),1),РД[Источник рекламы],"Н -*")/2</f>
        <v>66.004999999999995</v>
      </c>
      <c r="H143" s="272">
        <f>SUMIFS(РД[Стоимость без отделки итог],РД[МОП],A143,РД[Дата подачи на регистрацию],"&lt;="&amp;$A$1,РД[Дата подачи на регистрацию],"&gt;="&amp;DATE(YEAR($A$1),MONTH($A$1),1),РД[Источник рекламы],"Н -*")/2</f>
        <v>7215838</v>
      </c>
      <c r="I143" s="257">
        <f>COUNTIFS(РД[Тип кв],I$142,РД[МОП],$A143,РД[Дата подачи на регистрацию],"&lt;="&amp;$A$1,РД[Дата подачи на регистрацию],"&gt;="&amp;DATE(YEAR($A$1),MONTH($A$1),1),РД[Источник рекламы],"Н -*")</f>
        <v>0</v>
      </c>
      <c r="J143" s="226">
        <f>COUNTIFS(РД[Тип кв],J$142,РД[МОП],$A143,РД[Дата подачи на регистрацию],"&lt;="&amp;$A$1,РД[Дата подачи на регистрацию],"&gt;="&amp;DATE(YEAR($A$1),MONTH($A$1),1),РД[Источник рекламы],"Н -*")</f>
        <v>0</v>
      </c>
      <c r="K143" s="226">
        <f>COUNTIFS(РД[Тип кв],K$142,РД[МОП],$A143,РД[Дата подачи на регистрацию],"&lt;="&amp;$A$1,РД[Дата подачи на регистрацию],"&gt;="&amp;DATE(YEAR($A$1),MONTH($A$1),1),РД[Источник рекламы],"Н -*")</f>
        <v>2</v>
      </c>
      <c r="L143" s="226">
        <f>COUNTIFS(РД[Тип кв],L$142,РД[МОП],$A143,РД[Дата подачи на регистрацию],"&lt;="&amp;$A$1,РД[Дата подачи на регистрацию],"&gt;="&amp;DATE(YEAR($A$1),MONTH($A$1),1),РД[Источник рекламы],"Н -*")</f>
        <v>0</v>
      </c>
      <c r="M143" s="227">
        <f>COUNTIFS(РД[Тип кв],M$142,РД[МОП],$A143,РД[Дата подачи на регистрацию],"&lt;="&amp;$A$1,РД[Дата подачи на регистрацию],"&gt;="&amp;DATE(YEAR($A$1),MONTH($A$1),1),РД[Источник рекламы],"Н -*")</f>
        <v>0</v>
      </c>
      <c r="N143" s="339"/>
      <c r="O143" s="339"/>
      <c r="P143" s="86"/>
      <c r="T143" s="66"/>
    </row>
    <row r="144" spans="1:21" s="65" customFormat="1">
      <c r="A144" s="153" t="s">
        <v>24</v>
      </c>
      <c r="B144" s="271">
        <f>SUMIFS(РД[S],РД[МОП],A144,РД[Дата подачи на регистрацию],"&lt;="&amp;$A$1,РД[Дата подачи на регистрацию],"&gt;="&amp;DATE(YEAR($A$1),MONTH($A$1),1),РД[Источник рекламы],"Н -*")</f>
        <v>0</v>
      </c>
      <c r="C144" s="272">
        <f>SUMIFS(РД[Стоимость без отделки итог],РД[МОП],A144,РД[Дата подачи на регистрацию],"&lt;="&amp;$A$1,РД[Дата подачи на регистрацию],"&gt;="&amp;DATE(YEAR($A$1),MONTH($A$1),1),РД[Источник рекламы],"Н -*")</f>
        <v>0</v>
      </c>
      <c r="D144" s="329">
        <f>SUMIFS(сент244546[м2],сент244546[Встреча],$A144,сент244546[КТУ],"АН -*")</f>
        <v>0</v>
      </c>
      <c r="E144" s="363">
        <f>SUMIFS(сент244546[Сумма без отделки],сент244546[Встреча],$A144,сент244546[КТУ],"АН -*")</f>
        <v>0</v>
      </c>
      <c r="F144" s="414">
        <f>COUNTIFS(сент244546[Встреча],$A144,сент244546[КТУ],"АН -*")</f>
        <v>0</v>
      </c>
      <c r="G144" s="271">
        <f>SUMIFS(РД[S],РД[МОП],A144,РД[Дата подачи на регистрацию],"&lt;="&amp;$A$1,РД[Дата подачи на регистрацию],"&gt;="&amp;DATE(YEAR($A$1),MONTH($A$1),1),РД[Источник рекламы],"Н -*")/2</f>
        <v>0</v>
      </c>
      <c r="H144" s="272">
        <f>SUMIFS(РД[Стоимость без отделки итог],РД[МОП],A144,РД[Дата подачи на регистрацию],"&lt;="&amp;$A$1,РД[Дата подачи на регистрацию],"&gt;="&amp;DATE(YEAR($A$1),MONTH($A$1),1),РД[Источник рекламы],"Н -*")/2</f>
        <v>0</v>
      </c>
      <c r="I144" s="257">
        <f>COUNTIFS(РД[Тип кв],I$142,РД[МОП],$A144,РД[Дата подачи на регистрацию],"&lt;="&amp;$A$1,РД[Дата подачи на регистрацию],"&gt;="&amp;DATE(YEAR($A$1),MONTH($A$1),1),РД[Источник рекламы],"Н -*")</f>
        <v>0</v>
      </c>
      <c r="J144" s="226">
        <f>COUNTIFS(РД[Тип кв],J$142,РД[МОП],$A144,РД[Дата подачи на регистрацию],"&lt;="&amp;$A$1,РД[Дата подачи на регистрацию],"&gt;="&amp;DATE(YEAR($A$1),MONTH($A$1),1),РД[Источник рекламы],"Н -*")</f>
        <v>0</v>
      </c>
      <c r="K144" s="226">
        <f>COUNTIFS(РД[Тип кв],K$142,РД[МОП],$A144,РД[Дата подачи на регистрацию],"&lt;="&amp;$A$1,РД[Дата подачи на регистрацию],"&gt;="&amp;DATE(YEAR($A$1),MONTH($A$1),1),РД[Источник рекламы],"Н -*")</f>
        <v>0</v>
      </c>
      <c r="L144" s="226">
        <f>COUNTIFS(РД[Тип кв],L$142,РД[МОП],$A144,РД[Дата подачи на регистрацию],"&lt;="&amp;$A$1,РД[Дата подачи на регистрацию],"&gt;="&amp;DATE(YEAR($A$1),MONTH($A$1),1),РД[Источник рекламы],"Н -*")</f>
        <v>0</v>
      </c>
      <c r="M144" s="227">
        <f>COUNTIFS(РД[Тип кв],M$142,РД[МОП],$A144,РД[Дата подачи на регистрацию],"&lt;="&amp;$A$1,РД[Дата подачи на регистрацию],"&gt;="&amp;DATE(YEAR($A$1),MONTH($A$1),1),РД[Источник рекламы],"Н -*")</f>
        <v>0</v>
      </c>
      <c r="N144" s="339"/>
      <c r="O144" s="339"/>
      <c r="P144" s="86"/>
      <c r="T144" s="66"/>
    </row>
    <row r="145" spans="1:21" s="65" customFormat="1">
      <c r="A145" s="153" t="s">
        <v>20</v>
      </c>
      <c r="B145" s="271">
        <f>SUMIFS(РД[S],РД[МОП],A145,РД[Дата подачи на регистрацию],"&lt;="&amp;$A$1,РД[Дата подачи на регистрацию],"&gt;="&amp;DATE(YEAR($A$1),MONTH($A$1),1),РД[Источник рекламы],"Н -*")</f>
        <v>76.069999999999993</v>
      </c>
      <c r="C145" s="272">
        <f>SUMIFS(РД[Стоимость без отделки итог],РД[МОП],A145,РД[Дата подачи на регистрацию],"&lt;="&amp;$A$1,РД[Дата подачи на регистрацию],"&gt;="&amp;DATE(YEAR($A$1),MONTH($A$1),1),РД[Источник рекламы],"Н -*")</f>
        <v>9320784</v>
      </c>
      <c r="D145" s="329">
        <f>SUMIFS(сент244546[м2],сент244546[Встреча],$A145,сент244546[КТУ],"АН -*")</f>
        <v>76.069999999999993</v>
      </c>
      <c r="E145" s="363">
        <f>SUMIFS(сент244546[Сумма без отделки],сент244546[Встреча],$A145,сент244546[КТУ],"АН -*")</f>
        <v>9320784</v>
      </c>
      <c r="F145" s="414">
        <f>COUNTIFS(сент244546[Встреча],$A145,сент244546[КТУ],"АН -*")</f>
        <v>2</v>
      </c>
      <c r="G145" s="271">
        <f>SUMIFS(РД[S],РД[МОП],A145,РД[Дата подачи на регистрацию],"&lt;="&amp;$A$1,РД[Дата подачи на регистрацию],"&gt;="&amp;DATE(YEAR($A$1),MONTH($A$1),1),РД[Источник рекламы],"Н -*")/2</f>
        <v>38.034999999999997</v>
      </c>
      <c r="H145" s="272">
        <f>SUMIFS(РД[Стоимость без отделки итог],РД[МОП],A145,РД[Дата подачи на регистрацию],"&lt;="&amp;$A$1,РД[Дата подачи на регистрацию],"&gt;="&amp;DATE(YEAR($A$1),MONTH($A$1),1),РД[Источник рекламы],"Н -*")/2</f>
        <v>4660392</v>
      </c>
      <c r="I145" s="257">
        <f>COUNTIFS(РД[Тип кв],I$142,РД[МОП],$A145,РД[Дата подачи на регистрацию],"&lt;="&amp;$A$1,РД[Дата подачи на регистрацию],"&gt;="&amp;DATE(YEAR($A$1),MONTH($A$1),1),РД[Источник рекламы],"Н -*")</f>
        <v>1</v>
      </c>
      <c r="J145" s="226">
        <f>COUNTIFS(РД[Тип кв],J$142,РД[МОП],$A145,РД[Дата подачи на регистрацию],"&lt;="&amp;$A$1,РД[Дата подачи на регистрацию],"&gt;="&amp;DATE(YEAR($A$1),MONTH($A$1),1),РД[Источник рекламы],"Н -*")</f>
        <v>0</v>
      </c>
      <c r="K145" s="226">
        <f>COUNTIFS(РД[Тип кв],K$142,РД[МОП],$A145,РД[Дата подачи на регистрацию],"&lt;="&amp;$A$1,РД[Дата подачи на регистрацию],"&gt;="&amp;DATE(YEAR($A$1),MONTH($A$1),1),РД[Источник рекламы],"Н -*")</f>
        <v>1</v>
      </c>
      <c r="L145" s="226">
        <f>COUNTIFS(РД[Тип кв],L$142,РД[МОП],$A145,РД[Дата подачи на регистрацию],"&lt;="&amp;$A$1,РД[Дата подачи на регистрацию],"&gt;="&amp;DATE(YEAR($A$1),MONTH($A$1),1),РД[Источник рекламы],"Н -*")</f>
        <v>0</v>
      </c>
      <c r="M145" s="227">
        <f>COUNTIFS(РД[Тип кв],M$142,РД[МОП],$A145,РД[Дата подачи на регистрацию],"&lt;="&amp;$A$1,РД[Дата подачи на регистрацию],"&gt;="&amp;DATE(YEAR($A$1),MONTH($A$1),1),РД[Источник рекламы],"Н -*")</f>
        <v>0</v>
      </c>
      <c r="N145" s="339"/>
      <c r="O145" s="339"/>
      <c r="P145" s="86"/>
      <c r="T145" s="66"/>
    </row>
    <row r="146" spans="1:21" s="65" customFormat="1">
      <c r="A146" s="153" t="s">
        <v>14</v>
      </c>
      <c r="B146" s="315">
        <f>SUMIFS(РД[S],РД[МОП],A146,РД[Дата подачи на регистрацию],"&lt;="&amp;$A$1,РД[Дата подачи на регистрацию],"&gt;="&amp;DATE(YEAR($A$1),MONTH($A$1),1),РД[Источник рекламы],"Н -*")</f>
        <v>0</v>
      </c>
      <c r="C146" s="316">
        <f>SUMIFS(РД[Стоимость без отделки итог],РД[МОП],A146,РД[Дата подачи на регистрацию],"&lt;="&amp;$A$1,РД[Дата подачи на регистрацию],"&gt;="&amp;DATE(YEAR($A$1),MONTH($A$1),1),РД[Источник рекламы],"Н -*")</f>
        <v>0</v>
      </c>
      <c r="D146" s="329">
        <f>SUMIFS(сент244546[м2],сент244546[Встреча],$A146,сент244546[КТУ],"АН -*")</f>
        <v>51.79</v>
      </c>
      <c r="E146" s="363">
        <f>SUMIFS(сент244546[Сумма без отделки],сент244546[Встреча],$A146,сент244546[КТУ],"АН -*")</f>
        <v>0</v>
      </c>
      <c r="F146" s="414">
        <f>COUNTIFS(сент244546[Встреча],$A146,сент244546[КТУ],"АН -*")</f>
        <v>1</v>
      </c>
      <c r="G146" s="315">
        <f>SUMIFS(РД[S],РД[МОП],A146,РД[Дата подачи на регистрацию],"&lt;="&amp;$A$1,РД[Дата подачи на регистрацию],"&gt;="&amp;DATE(YEAR($A$1),MONTH($A$1),1),РД[Источник рекламы],"Н -*")/2</f>
        <v>0</v>
      </c>
      <c r="H146" s="316">
        <f>SUMIFS(РД[Стоимость без отделки итог],РД[МОП],A146,РД[Дата подачи на регистрацию],"&lt;="&amp;$A$1,РД[Дата подачи на регистрацию],"&gt;="&amp;DATE(YEAR($A$1),MONTH($A$1),1),РД[Источник рекламы],"Н -*")/2</f>
        <v>0</v>
      </c>
      <c r="I146" s="329">
        <f>COUNTIFS(РД[Тип кв],I$142,РД[МОП],$A146,РД[Дата подачи на регистрацию],"&lt;="&amp;$A$1,РД[Дата подачи на регистрацию],"&gt;="&amp;DATE(YEAR($A$1),MONTH($A$1),1),РД[Источник рекламы],"Н -*")</f>
        <v>0</v>
      </c>
      <c r="J146" s="330">
        <f>COUNTIFS(РД[Тип кв],J$142,РД[МОП],$A146,РД[Дата подачи на регистрацию],"&lt;="&amp;$A$1,РД[Дата подачи на регистрацию],"&gt;="&amp;DATE(YEAR($A$1),MONTH($A$1),1),РД[Источник рекламы],"Н -*")</f>
        <v>0</v>
      </c>
      <c r="K146" s="330">
        <f>COUNTIFS(РД[Тип кв],K$142,РД[МОП],$A146,РД[Дата подачи на регистрацию],"&lt;="&amp;$A$1,РД[Дата подачи на регистрацию],"&gt;="&amp;DATE(YEAR($A$1),MONTH($A$1),1),РД[Источник рекламы],"Н -*")</f>
        <v>0</v>
      </c>
      <c r="L146" s="330">
        <f>COUNTIFS(РД[Тип кв],L$142,РД[МОП],$A146,РД[Дата подачи на регистрацию],"&lt;="&amp;$A$1,РД[Дата подачи на регистрацию],"&gt;="&amp;DATE(YEAR($A$1),MONTH($A$1),1),РД[Источник рекламы],"Н -*")</f>
        <v>0</v>
      </c>
      <c r="M146" s="331">
        <f>COUNTIFS(РД[Тип кв],M$142,РД[МОП],$A146,РД[Дата подачи на регистрацию],"&lt;="&amp;$A$1,РД[Дата подачи на регистрацию],"&gt;="&amp;DATE(YEAR($A$1),MONTH($A$1),1),РД[Источник рекламы],"Н -*")</f>
        <v>0</v>
      </c>
      <c r="N146" s="339"/>
      <c r="O146" s="339"/>
      <c r="P146" s="86"/>
      <c r="T146" s="66"/>
    </row>
    <row r="147" spans="1:21" s="65" customFormat="1">
      <c r="A147" s="154" t="s">
        <v>29</v>
      </c>
      <c r="B147" s="274">
        <f>SUMIFS(РД[S],РД[МОП],A147,РД[Дата подачи на регистрацию],"&lt;="&amp;$A$1,РД[Дата подачи на регистрацию],"&gt;="&amp;DATE(YEAR($A$1),MONTH($A$1),1),РД[Источник рекламы],"Н -*")</f>
        <v>0</v>
      </c>
      <c r="C147" s="275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</f>
        <v>0</v>
      </c>
      <c r="D147" s="341">
        <f>SUMIFS(сент244546[м2],сент244546[Встреча],$A147,сент244546[КТУ],"АН -*")</f>
        <v>0</v>
      </c>
      <c r="E147" s="277">
        <f>SUMIFS(сент244546[Сумма без отделки],сент244546[Встреча],$A147,сент244546[КТУ],"АН -*")</f>
        <v>0</v>
      </c>
      <c r="F147" s="405">
        <f>COUNTIFS(сент244546[Встреча],$A147,сент244546[КТУ],"АН -*")</f>
        <v>0</v>
      </c>
      <c r="G147" s="274">
        <f>SUMIFS(РД[S],РД[МОП],A147,РД[Дата подачи на регистрацию],"&lt;="&amp;$A$1,РД[Дата подачи на регистрацию],"&gt;="&amp;DATE(YEAR($A$1),MONTH($A$1),1),РД[Источник рекламы],"Н -*")/2</f>
        <v>0</v>
      </c>
      <c r="H147" s="275">
        <f>SUMIFS(РД[Стоимость без отделки итог],РД[МОП],A147,РД[Дата подачи на регистрацию],"&lt;="&amp;$A$1,РД[Дата подачи на регистрацию],"&gt;="&amp;DATE(YEAR($A$1),MONTH($A$1),1),РД[Источник рекламы],"Н -*")/2</f>
        <v>0</v>
      </c>
      <c r="I147" s="341">
        <f>COUNTIFS(РД[Тип кв],I$142,РД[МОП],$A147,РД[Дата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J147" s="228">
        <f>COUNTIFS(РД[Тип кв],J$142,РД[МОП],$A147,РД[Дата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K147" s="228">
        <f>COUNTIFS(РД[Тип кв],K$142,РД[МОП],$A147,РД[Дата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L147" s="228">
        <f>COUNTIFS(РД[Тип кв],L$142,РД[МОП],$A147,РД[Дата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M147" s="231">
        <f>COUNTIFS(РД[Тип кв],M$142,РД[МОП],$A147,РД[Дата подачи на регистрацию],"&lt;="&amp;$A$1,РД[Дата подачи на регистрацию],"&gt;="&amp;DATE(YEAR($A$1),MONTH($A$1),1),РД[Источник рекламы],"Н -*")</f>
        <v>0</v>
      </c>
      <c r="N147" s="339"/>
      <c r="O147" s="339"/>
      <c r="P147" s="86"/>
      <c r="T147" s="66"/>
    </row>
    <row r="148" spans="1:21" s="65" customFormat="1">
      <c r="A148" s="317" t="s">
        <v>114</v>
      </c>
      <c r="B148" s="282">
        <f t="shared" ref="B148:L148" si="20">SUM(B143:B146)</f>
        <v>208.07999999999998</v>
      </c>
      <c r="C148" s="283">
        <f t="shared" si="20"/>
        <v>23752460</v>
      </c>
      <c r="D148" s="425">
        <f t="shared" si="20"/>
        <v>259.87</v>
      </c>
      <c r="E148" s="287">
        <f t="shared" si="20"/>
        <v>23752460</v>
      </c>
      <c r="F148" s="286">
        <f t="shared" si="20"/>
        <v>5</v>
      </c>
      <c r="G148" s="282">
        <f t="shared" si="20"/>
        <v>104.03999999999999</v>
      </c>
      <c r="H148" s="283">
        <f t="shared" si="20"/>
        <v>11876230</v>
      </c>
      <c r="I148" s="284">
        <f t="shared" si="20"/>
        <v>1</v>
      </c>
      <c r="J148" s="285">
        <f t="shared" si="20"/>
        <v>0</v>
      </c>
      <c r="K148" s="285">
        <f t="shared" si="20"/>
        <v>3</v>
      </c>
      <c r="L148" s="285">
        <f t="shared" si="20"/>
        <v>0</v>
      </c>
      <c r="M148" s="305">
        <f>SUM(T141:T142)</f>
        <v>0</v>
      </c>
      <c r="N148" s="339"/>
      <c r="O148" s="339"/>
      <c r="P148" s="86"/>
      <c r="T148" s="66"/>
    </row>
    <row r="149" spans="1:21" s="65" customFormat="1">
      <c r="A149" s="135" t="s">
        <v>115</v>
      </c>
      <c r="B149" s="135" t="s">
        <v>101</v>
      </c>
      <c r="C149" s="136" t="s">
        <v>98</v>
      </c>
      <c r="D149" s="295" t="s">
        <v>494</v>
      </c>
      <c r="E149" s="138" t="s">
        <v>495</v>
      </c>
      <c r="F149" s="296" t="s">
        <v>496</v>
      </c>
      <c r="G149" s="140" t="s">
        <v>946</v>
      </c>
      <c r="H149" s="141" t="s">
        <v>947</v>
      </c>
      <c r="I149" s="217">
        <v>0</v>
      </c>
      <c r="J149" s="218">
        <v>1</v>
      </c>
      <c r="K149" s="340">
        <v>2</v>
      </c>
      <c r="L149" s="218">
        <v>3</v>
      </c>
      <c r="M149" s="219" t="s">
        <v>1367</v>
      </c>
      <c r="N149" s="339"/>
      <c r="O149" s="339"/>
      <c r="P149" s="86"/>
      <c r="T149" s="66"/>
    </row>
    <row r="150" spans="1:21" s="65" customFormat="1">
      <c r="A150" s="177" t="s">
        <v>1892</v>
      </c>
      <c r="B150" s="291">
        <f>SUMIFS(РД[S],РД[ИМ],A150,РД[Дата подачи на регистрацию],"&lt;="&amp;$A$1,РД[Дата подачи на регистрацию],"&gt;="&amp;DATE(YEAR($A$1),MONTH($A$1),1),РД[Источник рекламы],"Н -*")</f>
        <v>0</v>
      </c>
      <c r="C150" s="312">
        <f>SUMIFS(РД[Стоимость без отделки итог],РД[ИМ],A150,РД[Дата подачи на регистрацию],"&lt;="&amp;$A$1,РД[Дата подачи на регистрацию],"&gt;="&amp;DATE(YEAR($A$1),MONTH($A$1),1),РД[Источник рекламы],"Н -*")</f>
        <v>0</v>
      </c>
      <c r="D150" s="346">
        <f>SUMIFS(сент244546[м2],сент244546[ИМ],$A150,сент244546[КТУ],"АН -*")</f>
        <v>0</v>
      </c>
      <c r="E150" s="292">
        <f>SUMIFS(сент244546[Сумма без отделки],сент244546[ИМ],$A150,сент244546[КТУ],"АН -*")</f>
        <v>0</v>
      </c>
      <c r="F150" s="415">
        <f>COUNTIFS(сент244546[ИМ],$A150,сент244546[КТУ],"АН -*")</f>
        <v>0</v>
      </c>
      <c r="G150" s="291">
        <f>SUMIFS(РД[S],РД[ИМ],A150,РД[Дата подачи на регистрацию],"&lt;="&amp;$A$1,РД[Дата подачи на регистрацию],"&gt;="&amp;DATE(YEAR($A$1),MONTH($A$1),1),РД[Источник рекламы],"Н -*")/2</f>
        <v>0</v>
      </c>
      <c r="H150" s="312">
        <f>SUMIFS(РД[Стоимость без отделки итог],РД[ИМ],A150,РД[Дата подачи на регистрацию],"&lt;="&amp;$A$1,РД[Дата подачи на регистрацию],"&gt;="&amp;DATE(YEAR($A$1),MONTH($A$1),1),РД[Источник рекламы],"Н -*")/2</f>
        <v>0</v>
      </c>
      <c r="I150" s="346">
        <f>COUNTIFS(РД[Тип кв],I$142,РД[ИМ],$A150,РД[Дата подачи на регистрацию],"&lt;="&amp;$A$1,РД[Дата подачи на регистрацию],"&gt;="&amp;DATE(YEAR($A$1),MONTH($A$1),1),РД[Источник рекламы],"Н -*")</f>
        <v>0</v>
      </c>
      <c r="J150" s="243">
        <f>COUNTIFS(РД[Тип кв],J$142,РД[ИМ],$A150,РД[Дата подачи на регистрацию],"&lt;="&amp;$A$1,РД[Дата подачи на регистрацию],"&gt;="&amp;DATE(YEAR($A$1),MONTH($A$1),1),РД[Источник рекламы],"Н -*")</f>
        <v>0</v>
      </c>
      <c r="K150" s="243">
        <f>COUNTIFS(РД[Тип кв],K$142,РД[ИМ],$A150,РД[Дата подачи на регистрацию],"&lt;="&amp;$A$1,РД[Дата подачи на регистрацию],"&gt;="&amp;DATE(YEAR($A$1),MONTH($A$1),1),РД[Источник рекламы],"Н -*")</f>
        <v>0</v>
      </c>
      <c r="L150" s="243">
        <f>COUNTIFS(РД[Тип кв],L$142,РД[ИМ],$A150,РД[Дата подачи на регистрацию],"&lt;="&amp;$A$1,РД[Дата подачи на регистрацию],"&gt;="&amp;DATE(YEAR($A$1),MONTH($A$1),1),РД[Источник рекламы],"Н -*")</f>
        <v>0</v>
      </c>
      <c r="M150" s="246">
        <f>COUNTIFS(РД[Тип кв],M$142,РД[ИМ],$A150,РД[Дата подачи на регистрацию],"&lt;="&amp;$A$1,РД[Дата подачи на регистрацию],"&gt;="&amp;DATE(YEAR($A$1),MONTH($A$1),1),РД[Источник рекламы],"Н -*")</f>
        <v>0</v>
      </c>
      <c r="N150" s="339"/>
      <c r="O150" s="339"/>
      <c r="P150" s="86"/>
      <c r="T150" s="66"/>
    </row>
    <row r="151" spans="1:21" s="65" customFormat="1">
      <c r="A151" s="150" t="s">
        <v>22</v>
      </c>
      <c r="B151" s="271">
        <f>SUMIFS(РД[S],РД[ИМ],A151,РД[Дата подачи на регистрацию],"&lt;="&amp;$A$1,РД[Дата подачи на регистрацию],"&gt;="&amp;DATE(YEAR($A$1),MONTH($A$1),1),РД[Источник рекламы],"Н -*")</f>
        <v>134.38</v>
      </c>
      <c r="C151" s="272">
        <f>SUMIFS(РД[Стоимость без отделки итог],РД[ИМ],A151,РД[Дата подачи на регистрацию],"&lt;="&amp;$A$1,РД[Дата подачи на регистрацию],"&gt;="&amp;DATE(YEAR($A$1),MONTH($A$1),1),РД[Источник рекламы],"Н -*")</f>
        <v>16384428</v>
      </c>
      <c r="D151" s="257">
        <f>SUMIFS(сент244546[м2],сент244546[ИМ],$A151,сент244546[КТУ],"АН -*")</f>
        <v>134.38</v>
      </c>
      <c r="E151" s="52">
        <f>SUMIFS(сент244546[Сумма без отделки],сент244546[ИМ],$A151,сент244546[КТУ],"АН -*")</f>
        <v>16384428</v>
      </c>
      <c r="F151" s="413">
        <f>COUNTIFS(сент244546[ИМ],$A151,сент244546[КТУ],"АН -*")</f>
        <v>3</v>
      </c>
      <c r="G151" s="271">
        <f>SUMIFS(РД[S],РД[ИМ],A151,РД[Дата подачи на регистрацию],"&lt;="&amp;$A$1,РД[Дата подачи на регистрацию],"&gt;="&amp;DATE(YEAR($A$1),MONTH($A$1),1),РД[Источник рекламы],"Н -*")/2</f>
        <v>67.19</v>
      </c>
      <c r="H151" s="272">
        <f>SUMIFS(РД[Стоимость без отделки итог],РД[ИМ],A151,РД[Дата подачи на регистрацию],"&lt;="&amp;$A$1,РД[Дата подачи на регистрацию],"&gt;="&amp;DATE(YEAR($A$1),MONTH($A$1),1),РД[Источник рекламы],"Н -*")/2</f>
        <v>8192214</v>
      </c>
      <c r="I151" s="257">
        <f>COUNTIFS(РД[Тип кв],I$142,РД[ИМ],$A151,РД[Дата подачи на регистрацию],"&lt;="&amp;$A$1,РД[Дата подачи на регистрацию],"&gt;="&amp;DATE(YEAR($A$1),MONTH($A$1),1),РД[Источник рекламы],"Н -*")</f>
        <v>1</v>
      </c>
      <c r="J151" s="226">
        <f>COUNTIFS(РД[Тип кв],J$142,РД[ИМ],$A151,РД[Дата подачи на регистрацию],"&lt;="&amp;$A$1,РД[Дата подачи на регистрацию],"&gt;="&amp;DATE(YEAR($A$1),MONTH($A$1),1),РД[Источник рекламы],"Н -*")</f>
        <v>0</v>
      </c>
      <c r="K151" s="226">
        <f>COUNTIFS(РД[Тип кв],K$142,РД[ИМ],$A151,РД[Дата подачи на регистрацию],"&lt;="&amp;$A$1,РД[Дата подачи на регистрацию],"&gt;="&amp;DATE(YEAR($A$1),MONTH($A$1),1),РД[Источник рекламы],"Н -*")</f>
        <v>2</v>
      </c>
      <c r="L151" s="226">
        <f>COUNTIFS(РД[Тип кв],L$142,РД[ИМ],$A151,РД[Дата подачи на регистрацию],"&lt;="&amp;$A$1,РД[Дата подачи на регистрацию],"&gt;="&amp;DATE(YEAR($A$1),MONTH($A$1),1),РД[Источник рекламы],"Н -*")</f>
        <v>0</v>
      </c>
      <c r="M151" s="227">
        <f>COUNTIFS(РД[Тип кв],M$142,РД[ИМ],$A151,РД[Дата подачи на регистрацию],"&lt;="&amp;$A$1,РД[Дата подачи на регистрацию],"&gt;="&amp;DATE(YEAR($A$1),MONTH($A$1),1),РД[Источник рекламы],"Н -*")</f>
        <v>0</v>
      </c>
      <c r="N151" s="339"/>
      <c r="O151" s="339"/>
      <c r="P151" s="86"/>
      <c r="T151" s="66"/>
    </row>
    <row r="152" spans="1:21" s="65" customFormat="1">
      <c r="A152" s="189" t="s">
        <v>16</v>
      </c>
      <c r="B152" s="315">
        <f>SUMIFS(РД[S],РД[ИМ],A152,РД[Дата подачи на регистрацию],"&lt;="&amp;$A$1,РД[Дата подачи на регистрацию],"&gt;="&amp;DATE(YEAR($A$1),MONTH($A$1),1),РД[Источник рекламы],"Н -*")</f>
        <v>0</v>
      </c>
      <c r="C152" s="316">
        <f>SUMIFS(РД[Стоимость без отделки итог],РД[ИМ],A152,РД[Дата подачи на регистрацию],"&lt;="&amp;$A$1,РД[Дата подачи на регистрацию],"&gt;="&amp;DATE(YEAR($A$1),MONTH($A$1),1),РД[Источник рекламы],"Н -*")</f>
        <v>0</v>
      </c>
      <c r="D152" s="329">
        <f>SUMIFS(сент244546[м2],сент244546[ИМ],$A152,сент244546[КТУ],"АН -*")</f>
        <v>0</v>
      </c>
      <c r="E152" s="363">
        <f>SUMIFS(сент244546[Сумма без отделки],сент244546[ИМ],$A152,сент244546[КТУ],"АН -*")</f>
        <v>0</v>
      </c>
      <c r="F152" s="414">
        <f>COUNTIFS(сент244546[ИМ],$A152,сент244546[КТУ],"АН -*")</f>
        <v>0</v>
      </c>
      <c r="G152" s="315">
        <f>SUMIFS(РД[S],РД[ИМ],A152,РД[Дата подачи на регистрацию],"&lt;="&amp;$A$1,РД[Дата подачи на регистрацию],"&gt;="&amp;DATE(YEAR($A$1),MONTH($A$1),1),РД[Источник рекламы],"Н -*")/2</f>
        <v>0</v>
      </c>
      <c r="H152" s="316">
        <f>SUMIFS(РД[Стоимость без отделки итог],РД[ИМ],A152,РД[Дата подачи на регистрацию],"&lt;="&amp;$A$1,РД[Дата подачи на регистрацию],"&gt;="&amp;DATE(YEAR($A$1),MONTH($A$1),1),РД[Источник рекламы],"Н -*")/2</f>
        <v>0</v>
      </c>
      <c r="I152" s="329">
        <f>COUNTIFS(РД[Тип кв],I$142,РД[ИМ],$A152,РД[Дата подачи на регистрацию],"&lt;="&amp;$A$1,РД[Дата подачи на регистрацию],"&gt;="&amp;DATE(YEAR($A$1),MONTH($A$1),1),РД[Источник рекламы],"Н -*")</f>
        <v>0</v>
      </c>
      <c r="J152" s="330">
        <f>COUNTIFS(РД[Тип кв],J$142,РД[ИМ],$A152,РД[Дата подачи на регистрацию],"&lt;="&amp;$A$1,РД[Дата подачи на регистрацию],"&gt;="&amp;DATE(YEAR($A$1),MONTH($A$1),1),РД[Источник рекламы],"Н -*")</f>
        <v>0</v>
      </c>
      <c r="K152" s="330">
        <f>COUNTIFS(РД[Тип кв],K$142,РД[ИМ],$A152,РД[Дата подачи на регистрацию],"&lt;="&amp;$A$1,РД[Дата подачи на регистрацию],"&gt;="&amp;DATE(YEAR($A$1),MONTH($A$1),1),РД[Источник рекламы],"Н -*")</f>
        <v>0</v>
      </c>
      <c r="L152" s="330">
        <f>COUNTIFS(РД[Тип кв],L$142,РД[ИМ],$A152,РД[Дата подачи на регистрацию],"&lt;="&amp;$A$1,РД[Дата подачи на регистрацию],"&gt;="&amp;DATE(YEAR($A$1),MONTH($A$1),1),РД[Источник рекламы],"Н -*")</f>
        <v>0</v>
      </c>
      <c r="M152" s="331">
        <f>COUNTIFS(РД[Тип кв],M$142,РД[ИМ],$A152,РД[Дата подачи на регистрацию],"&lt;="&amp;$A$1,РД[Дата подачи на регистрацию],"&gt;="&amp;DATE(YEAR($A$1),MONTH($A$1),1),РД[Источник рекламы],"Н -*")</f>
        <v>0</v>
      </c>
      <c r="N152" s="339"/>
      <c r="O152" s="339"/>
      <c r="P152" s="86"/>
      <c r="T152" s="66"/>
    </row>
    <row r="153" spans="1:21" s="65" customFormat="1">
      <c r="A153" s="317" t="s">
        <v>114</v>
      </c>
      <c r="B153" s="323">
        <f>SUM(B150:B152)</f>
        <v>134.38</v>
      </c>
      <c r="C153" s="324">
        <f t="shared" ref="C153:M153" si="21">SUM(C150:C152)</f>
        <v>16384428</v>
      </c>
      <c r="D153" s="428">
        <f t="shared" si="21"/>
        <v>134.38</v>
      </c>
      <c r="E153" s="429">
        <f t="shared" si="21"/>
        <v>16384428</v>
      </c>
      <c r="F153" s="430">
        <f t="shared" si="21"/>
        <v>3</v>
      </c>
      <c r="G153" s="323">
        <f t="shared" si="21"/>
        <v>67.19</v>
      </c>
      <c r="H153" s="324">
        <f t="shared" si="21"/>
        <v>8192214</v>
      </c>
      <c r="I153" s="318">
        <f t="shared" si="21"/>
        <v>1</v>
      </c>
      <c r="J153" s="321">
        <f t="shared" si="21"/>
        <v>0</v>
      </c>
      <c r="K153" s="321">
        <f t="shared" si="21"/>
        <v>2</v>
      </c>
      <c r="L153" s="321">
        <f t="shared" si="21"/>
        <v>0</v>
      </c>
      <c r="M153" s="319">
        <f t="shared" si="21"/>
        <v>0</v>
      </c>
      <c r="N153" s="339"/>
      <c r="O153" s="339"/>
      <c r="P153" s="86"/>
      <c r="T153" s="66"/>
    </row>
    <row r="154" spans="1:21" s="65" customFormat="1">
      <c r="Q154" s="86"/>
      <c r="U154" s="66"/>
    </row>
    <row r="155" spans="1:21" s="65" customFormat="1">
      <c r="Q155" s="86"/>
      <c r="U155" s="66"/>
    </row>
    <row r="156" spans="1:21" s="65" customFormat="1">
      <c r="Q156" s="86"/>
      <c r="U156" s="66"/>
    </row>
    <row r="157" spans="1:21" s="65" customFormat="1">
      <c r="Q157" s="86"/>
      <c r="U157" s="66"/>
    </row>
    <row r="158" spans="1:21" s="65" customFormat="1">
      <c r="Q158" s="86"/>
      <c r="U158" s="66"/>
    </row>
    <row r="159" spans="1:21" s="65" customFormat="1">
      <c r="Q159" s="86"/>
      <c r="U159" s="66"/>
    </row>
    <row r="160" spans="1:21" s="65" customFormat="1">
      <c r="Q160" s="86"/>
      <c r="U160" s="66"/>
    </row>
    <row r="161" spans="17:21" s="65" customFormat="1">
      <c r="Q161" s="86"/>
      <c r="U161" s="66"/>
    </row>
    <row r="162" spans="17:21" s="65" customFormat="1">
      <c r="Q162" s="86"/>
      <c r="U162" s="66"/>
    </row>
    <row r="163" spans="17:21" s="65" customFormat="1">
      <c r="Q163" s="86"/>
      <c r="U163" s="66"/>
    </row>
    <row r="164" spans="17:21" s="65" customFormat="1">
      <c r="Q164" s="86"/>
      <c r="U164" s="66"/>
    </row>
    <row r="165" spans="17:21" s="65" customFormat="1">
      <c r="Q165" s="86"/>
      <c r="U165" s="66"/>
    </row>
    <row r="166" spans="17:21" s="65" customFormat="1">
      <c r="Q166" s="86"/>
      <c r="U166" s="66"/>
    </row>
    <row r="167" spans="17:21" s="65" customFormat="1">
      <c r="Q167" s="86"/>
      <c r="U167" s="66"/>
    </row>
    <row r="168" spans="17:21" s="65" customFormat="1">
      <c r="Q168" s="86"/>
      <c r="U168" s="66"/>
    </row>
    <row r="169" spans="17:21" s="65" customFormat="1">
      <c r="Q169" s="86"/>
      <c r="U169" s="66"/>
    </row>
    <row r="170" spans="17:21" s="65" customFormat="1">
      <c r="Q170" s="86"/>
      <c r="U170" s="66"/>
    </row>
    <row r="171" spans="17:21" s="65" customFormat="1">
      <c r="Q171" s="86"/>
      <c r="U171" s="66"/>
    </row>
    <row r="172" spans="17:21" s="65" customFormat="1">
      <c r="Q172" s="86"/>
      <c r="U172" s="66"/>
    </row>
    <row r="173" spans="17:21" s="65" customFormat="1">
      <c r="Q173" s="86"/>
      <c r="U173" s="66"/>
    </row>
    <row r="174" spans="17:21" s="65" customFormat="1">
      <c r="Q174" s="86"/>
      <c r="U174" s="66"/>
    </row>
    <row r="175" spans="17:21" s="65" customFormat="1">
      <c r="Q175" s="86"/>
      <c r="U175" s="66"/>
    </row>
    <row r="176" spans="17:21" s="65" customFormat="1">
      <c r="Q176" s="86"/>
      <c r="U176" s="66"/>
    </row>
    <row r="177" spans="1:21" s="65" customFormat="1">
      <c r="Q177" s="86"/>
      <c r="U177" s="66"/>
    </row>
    <row r="178" spans="1:21" s="65" customFormat="1">
      <c r="Q178" s="86"/>
      <c r="U178" s="66"/>
    </row>
    <row r="179" spans="1:21" s="65" customFormat="1">
      <c r="Q179" s="86"/>
      <c r="U179" s="66"/>
    </row>
    <row r="180" spans="1:21" s="65" customFormat="1">
      <c r="Q180" s="86"/>
      <c r="U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86"/>
      <c r="R190" s="65"/>
      <c r="S190" s="65"/>
    </row>
    <row r="191" spans="1:2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86"/>
      <c r="R191" s="65"/>
      <c r="S191" s="65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7:21" s="65" customFormat="1">
      <c r="Q209" s="86"/>
      <c r="U209" s="66"/>
    </row>
    <row r="210" spans="17:21" s="65" customFormat="1">
      <c r="Q210" s="86"/>
      <c r="U210" s="66"/>
    </row>
    <row r="211" spans="17:21" s="65" customFormat="1">
      <c r="Q211" s="86"/>
      <c r="U211" s="66"/>
    </row>
    <row r="212" spans="17:21" s="65" customFormat="1">
      <c r="Q212" s="86"/>
      <c r="U212" s="66"/>
    </row>
    <row r="213" spans="17:21" s="65" customFormat="1">
      <c r="Q213" s="86"/>
      <c r="U213" s="66"/>
    </row>
    <row r="214" spans="17:21" s="65" customFormat="1">
      <c r="Q214" s="86"/>
      <c r="U214" s="66"/>
    </row>
    <row r="215" spans="17:21" s="65" customFormat="1">
      <c r="Q215" s="86"/>
      <c r="U215" s="66"/>
    </row>
    <row r="216" spans="17:21" s="65" customFormat="1">
      <c r="Q216" s="86"/>
      <c r="U216" s="66"/>
    </row>
    <row r="217" spans="17:21" s="65" customFormat="1">
      <c r="Q217" s="86"/>
      <c r="U217" s="66"/>
    </row>
    <row r="218" spans="17:21" s="65" customFormat="1">
      <c r="Q218" s="86"/>
      <c r="U218" s="66"/>
    </row>
    <row r="219" spans="17:21" s="65" customFormat="1">
      <c r="Q219" s="86"/>
      <c r="U219" s="66"/>
    </row>
    <row r="220" spans="17:21" s="65" customFormat="1">
      <c r="Q220" s="86"/>
      <c r="U220" s="66"/>
    </row>
    <row r="221" spans="17:21" s="65" customFormat="1">
      <c r="Q221" s="86"/>
      <c r="U221" s="66"/>
    </row>
    <row r="222" spans="17:21" s="65" customFormat="1">
      <c r="Q222" s="86"/>
      <c r="U222" s="66"/>
    </row>
    <row r="223" spans="17:21" s="65" customFormat="1">
      <c r="Q223" s="86"/>
      <c r="U223" s="66"/>
    </row>
    <row r="224" spans="17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R278" s="66"/>
      <c r="S278" s="66"/>
      <c r="U278" s="66"/>
    </row>
    <row r="279" spans="17:21" s="65" customFormat="1">
      <c r="Q279" s="86"/>
      <c r="R279" s="66"/>
      <c r="S279" s="66"/>
      <c r="U279" s="66"/>
    </row>
    <row r="280" spans="17:21" s="65" customFormat="1">
      <c r="Q280" s="86"/>
      <c r="R280" s="66"/>
      <c r="S280" s="66"/>
      <c r="U280" s="66"/>
    </row>
    <row r="281" spans="17:21" s="65" customFormat="1">
      <c r="Q281" s="86"/>
      <c r="R281" s="66"/>
      <c r="S281" s="66"/>
      <c r="U281" s="66"/>
    </row>
  </sheetData>
  <sheetProtection algorithmName="SHA-512" hashValue="wUuuEHdAdzbtcPRC6QYnTnXT8ZKjrLySDklLHW4TjMOZJQ9ATLSwS+82yGas0aXo+rMvXoz9Ad297o5MRqL0QA==" saltValue="ByEjpi6jB1rsIqZ9HyCKFA==" spinCount="100000" sheet="1" formatCells="0" formatColumns="0" formatRows="0" sort="0" autoFilter="0" pivotTables="0"/>
  <mergeCells count="7">
    <mergeCell ref="A126:O126"/>
    <mergeCell ref="A141:M141"/>
    <mergeCell ref="A1:U1"/>
    <mergeCell ref="A70:B70"/>
    <mergeCell ref="A84:B84"/>
    <mergeCell ref="A98:B98"/>
    <mergeCell ref="A112:B112"/>
  </mergeCells>
  <pageMargins left="0.25" right="0.25" top="0.75" bottom="0.75" header="0.3" footer="0.3"/>
  <pageSetup paperSize="9" scale="38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700-000000000000}">
          <x14:formula1>
            <xm:f>Списки!$C$2:$C$27</xm:f>
          </x14:formula1>
          <xm:sqref>U8 U23 K3:K20 K23:K26 K28:K64 T3:U7 T9:U22 T24:U26 T28:U64</xm:sqref>
        </x14:dataValidation>
        <x14:dataValidation type="list" allowBlank="1" showInputMessage="1" showErrorMessage="1" xr:uid="{00000000-0002-0000-37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700-000002000000}">
          <x14:formula1>
            <xm:f>Списки!$B$2:$B$5</xm:f>
          </x14:formula1>
          <xm:sqref>D3:D20 D23:D26 D28:D64 G67:G68</xm:sqref>
        </x14:dataValidation>
        <x14:dataValidation type="list" allowBlank="1" showInputMessage="1" showErrorMessage="1" xr:uid="{00000000-0002-0000-37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700-000004000000}">
          <x14:formula1>
            <xm:f>Списки!$D$2:$D$7</xm:f>
          </x14:formula1>
          <xm:sqref>F67:F68 H3:H20 H23:H26 H28:H64</xm:sqref>
        </x14:dataValidation>
        <x14:dataValidation type="list" allowBlank="1" showInputMessage="1" showErrorMessage="1" xr:uid="{00000000-0002-0000-3700-000005000000}">
          <x14:formula1>
            <xm:f>Списки!$E$2:$E$7</xm:f>
          </x14:formula1>
          <xm:sqref>H67:H68 L3:L20 L23:L26 L28:L64</xm:sqref>
        </x14:dataValidation>
        <x14:dataValidation type="list" allowBlank="1" showInputMessage="1" showErrorMessage="1" xr:uid="{00000000-0002-0000-3700-000006000000}">
          <x14:formula1>
            <xm:f>Списки!$G$2:$G$3</xm:f>
          </x14:formula1>
          <xm:sqref>L67:L68 N3:N20 N23:N26 N28:N64</xm:sqref>
        </x14:dataValidation>
        <x14:dataValidation type="list" allowBlank="1" showInputMessage="1" showErrorMessage="1" xr:uid="{00000000-0002-0000-3700-000007000000}">
          <x14:formula1>
            <xm:f>Списки!$F$2:$F$3</xm:f>
          </x14:formula1>
          <xm:sqref>P3:P20 P23:P26 P28:P64 X67:X68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AF300"/>
  <sheetViews>
    <sheetView view="pageBreakPreview" zoomScaleNormal="85" workbookViewId="0">
      <pane ySplit="2" topLeftCell="A3" activePane="bottomLeft" state="frozen"/>
      <selection pane="bottomLeft" activeCell="I70" sqref="I70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45657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1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2191</v>
      </c>
      <c r="V2" s="111" t="s">
        <v>1584</v>
      </c>
    </row>
    <row r="3" spans="1:32" s="61" customFormat="1">
      <c r="A3" s="62">
        <v>1</v>
      </c>
      <c r="B3" s="62"/>
      <c r="C3" s="74">
        <v>36994</v>
      </c>
      <c r="D3" s="62" t="s">
        <v>13</v>
      </c>
      <c r="E3" s="75">
        <v>57</v>
      </c>
      <c r="F3" s="62">
        <v>2</v>
      </c>
      <c r="G3" s="62">
        <v>68.5</v>
      </c>
      <c r="H3" s="62" t="s">
        <v>21</v>
      </c>
      <c r="I3" s="62">
        <v>8000</v>
      </c>
      <c r="J3" s="95">
        <v>7193664</v>
      </c>
      <c r="K3" s="62" t="s">
        <v>14</v>
      </c>
      <c r="L3" s="62" t="s">
        <v>22</v>
      </c>
      <c r="M3" s="62" t="s">
        <v>1970</v>
      </c>
      <c r="N3" s="62" t="s">
        <v>12</v>
      </c>
      <c r="O3" s="92">
        <v>45642</v>
      </c>
      <c r="P3" s="62"/>
      <c r="Q3" s="62" t="s">
        <v>2275</v>
      </c>
      <c r="R3" s="113" t="s">
        <v>67</v>
      </c>
      <c r="S3" s="113"/>
      <c r="T3" s="62" t="s">
        <v>14</v>
      </c>
      <c r="U3" s="62" t="s">
        <v>14</v>
      </c>
      <c r="V3" s="114">
        <f>Дек24[[#This Row],[сумма]]-Дек24[[#This Row],[Цена м2 отделки]]*Дек24[[#This Row],[м2]]</f>
        <v>6645664</v>
      </c>
    </row>
    <row r="4" spans="1:32" s="61" customFormat="1">
      <c r="A4" s="62">
        <v>2</v>
      </c>
      <c r="B4" s="62"/>
      <c r="C4" s="74">
        <v>28595</v>
      </c>
      <c r="D4" s="62" t="s">
        <v>13</v>
      </c>
      <c r="E4" s="75">
        <v>513</v>
      </c>
      <c r="F4" s="62">
        <v>2</v>
      </c>
      <c r="G4" s="62">
        <v>57.8</v>
      </c>
      <c r="H4" s="62" t="s">
        <v>25</v>
      </c>
      <c r="I4" s="62">
        <v>25000</v>
      </c>
      <c r="J4" s="95">
        <v>8452400</v>
      </c>
      <c r="K4" s="62" t="s">
        <v>14</v>
      </c>
      <c r="L4" s="62" t="s">
        <v>22</v>
      </c>
      <c r="M4" s="62" t="s">
        <v>65</v>
      </c>
      <c r="N4" s="62" t="s">
        <v>18</v>
      </c>
      <c r="O4" s="92">
        <v>45644</v>
      </c>
      <c r="P4" s="62"/>
      <c r="Q4" s="62" t="s">
        <v>2276</v>
      </c>
      <c r="R4" s="113" t="s">
        <v>67</v>
      </c>
      <c r="S4" s="113" t="s">
        <v>2277</v>
      </c>
      <c r="T4" s="62" t="s">
        <v>14</v>
      </c>
      <c r="U4" s="62" t="s">
        <v>14</v>
      </c>
      <c r="V4" s="114">
        <f>Дек24[[#This Row],[сумма]]-Дек24[[#This Row],[Цена м2 отделки]]*Дек24[[#This Row],[м2]]</f>
        <v>7007400</v>
      </c>
    </row>
    <row r="5" spans="1:32" s="61" customFormat="1">
      <c r="A5" s="62">
        <v>3</v>
      </c>
      <c r="B5" s="62" t="s">
        <v>6</v>
      </c>
      <c r="C5" s="383">
        <v>37482</v>
      </c>
      <c r="D5" s="102" t="s">
        <v>13</v>
      </c>
      <c r="E5" s="102">
        <v>40</v>
      </c>
      <c r="F5" s="102">
        <v>2</v>
      </c>
      <c r="G5" s="102">
        <v>58.16</v>
      </c>
      <c r="H5" s="102" t="s">
        <v>21</v>
      </c>
      <c r="I5" s="102">
        <v>8000</v>
      </c>
      <c r="J5" s="384">
        <v>7576552</v>
      </c>
      <c r="K5" s="354" t="s">
        <v>20</v>
      </c>
      <c r="L5" s="102" t="s">
        <v>22</v>
      </c>
      <c r="M5" s="102" t="s">
        <v>65</v>
      </c>
      <c r="N5" s="102" t="s">
        <v>18</v>
      </c>
      <c r="O5" s="385">
        <v>45631</v>
      </c>
      <c r="P5" s="354"/>
      <c r="Q5" s="391" t="s">
        <v>2278</v>
      </c>
      <c r="R5" s="113" t="s">
        <v>67</v>
      </c>
      <c r="S5" s="391"/>
      <c r="T5" s="354" t="s">
        <v>20</v>
      </c>
      <c r="U5" s="354" t="s">
        <v>20</v>
      </c>
      <c r="V5" s="114">
        <f>Дек24[[#This Row],[сумма]]-Дек24[[#This Row],[Цена м2 отделки]]*Дек24[[#This Row],[м2]]</f>
        <v>7111272</v>
      </c>
    </row>
    <row r="6" spans="1:32" s="61" customFormat="1">
      <c r="A6" s="62">
        <v>4</v>
      </c>
      <c r="B6" s="62" t="s">
        <v>6</v>
      </c>
      <c r="C6" s="74">
        <v>37473</v>
      </c>
      <c r="D6" s="62" t="s">
        <v>19</v>
      </c>
      <c r="E6" s="75">
        <v>96</v>
      </c>
      <c r="F6" s="62">
        <v>2</v>
      </c>
      <c r="G6" s="62">
        <v>49.2</v>
      </c>
      <c r="H6" s="76" t="s">
        <v>9</v>
      </c>
      <c r="I6" s="62"/>
      <c r="J6" s="91">
        <v>6051592</v>
      </c>
      <c r="K6" s="62" t="s">
        <v>20</v>
      </c>
      <c r="L6" s="62" t="s">
        <v>10</v>
      </c>
      <c r="M6" s="62" t="s">
        <v>286</v>
      </c>
      <c r="N6" s="62" t="s">
        <v>12</v>
      </c>
      <c r="O6" s="92"/>
      <c r="P6" s="62"/>
      <c r="Q6" s="76" t="s">
        <v>2279</v>
      </c>
      <c r="R6" s="113" t="s">
        <v>67</v>
      </c>
      <c r="S6" s="382"/>
      <c r="T6" s="354" t="s">
        <v>20</v>
      </c>
      <c r="U6" s="102" t="s">
        <v>24</v>
      </c>
      <c r="V6" s="114">
        <f>Дек24[[#This Row],[сумма]]-Дек24[[#This Row],[Цена м2 отделки]]*Дек24[[#This Row],[м2]]</f>
        <v>6051592</v>
      </c>
    </row>
    <row r="7" spans="1:32" s="61" customFormat="1">
      <c r="A7" s="62">
        <v>5</v>
      </c>
      <c r="B7" s="62" t="s">
        <v>6</v>
      </c>
      <c r="C7" s="383">
        <v>34367</v>
      </c>
      <c r="D7" s="102" t="s">
        <v>13</v>
      </c>
      <c r="E7" s="102">
        <v>523</v>
      </c>
      <c r="F7" s="102">
        <v>3</v>
      </c>
      <c r="G7" s="102">
        <v>79.44</v>
      </c>
      <c r="H7" s="102" t="s">
        <v>21</v>
      </c>
      <c r="I7" s="102">
        <v>10000</v>
      </c>
      <c r="J7" s="384">
        <v>10407906</v>
      </c>
      <c r="K7" s="354" t="s">
        <v>8</v>
      </c>
      <c r="L7" s="102" t="s">
        <v>22</v>
      </c>
      <c r="M7" s="102" t="s">
        <v>65</v>
      </c>
      <c r="N7" s="102" t="s">
        <v>18</v>
      </c>
      <c r="O7" s="385">
        <v>45635</v>
      </c>
      <c r="P7" s="354"/>
      <c r="Q7" s="391" t="s">
        <v>2280</v>
      </c>
      <c r="R7" s="113" t="s">
        <v>67</v>
      </c>
      <c r="S7" s="382"/>
      <c r="T7" s="354" t="s">
        <v>8</v>
      </c>
      <c r="U7" s="102" t="s">
        <v>8</v>
      </c>
      <c r="V7" s="114">
        <f>Дек24[[#This Row],[сумма]]-Дек24[[#This Row],[Цена м2 отделки]]*Дек24[[#This Row],[м2]]</f>
        <v>9613506</v>
      </c>
    </row>
    <row r="8" spans="1:32" s="61" customFormat="1">
      <c r="A8" s="62">
        <v>6</v>
      </c>
      <c r="B8" s="62" t="s">
        <v>6</v>
      </c>
      <c r="C8" s="74">
        <v>37998</v>
      </c>
      <c r="D8" s="62" t="s">
        <v>23</v>
      </c>
      <c r="E8" s="75">
        <v>272</v>
      </c>
      <c r="F8" s="62">
        <v>1</v>
      </c>
      <c r="G8" s="62">
        <v>36.35</v>
      </c>
      <c r="H8" s="117" t="s">
        <v>9</v>
      </c>
      <c r="I8" s="117"/>
      <c r="J8" s="95">
        <v>4460739</v>
      </c>
      <c r="K8" s="117" t="s">
        <v>8</v>
      </c>
      <c r="L8" s="62" t="s">
        <v>10</v>
      </c>
      <c r="M8" s="62" t="s">
        <v>286</v>
      </c>
      <c r="N8" s="62" t="s">
        <v>18</v>
      </c>
      <c r="O8" s="92"/>
      <c r="P8" s="117"/>
      <c r="Q8" s="392" t="s">
        <v>2281</v>
      </c>
      <c r="R8" s="113" t="s">
        <v>67</v>
      </c>
      <c r="S8" s="76"/>
      <c r="T8" s="354" t="s">
        <v>8</v>
      </c>
      <c r="U8" s="354" t="s">
        <v>8</v>
      </c>
      <c r="V8" s="114">
        <f>Дек24[[#This Row],[сумма]]-Дек24[[#This Row],[Цена м2 отделки]]*Дек24[[#This Row],[м2]]</f>
        <v>4460739</v>
      </c>
    </row>
    <row r="9" spans="1:32" s="61" customFormat="1">
      <c r="A9" s="62">
        <v>7</v>
      </c>
      <c r="B9" s="62" t="s">
        <v>6</v>
      </c>
      <c r="C9" s="74">
        <v>38205</v>
      </c>
      <c r="D9" s="62" t="s">
        <v>13</v>
      </c>
      <c r="E9" s="75">
        <v>120</v>
      </c>
      <c r="F9" s="62">
        <v>2</v>
      </c>
      <c r="G9" s="62">
        <v>57.6</v>
      </c>
      <c r="H9" s="76" t="s">
        <v>21</v>
      </c>
      <c r="I9" s="62">
        <v>10000</v>
      </c>
      <c r="J9" s="91">
        <v>7414500</v>
      </c>
      <c r="K9" s="62" t="s">
        <v>31</v>
      </c>
      <c r="L9" s="62" t="s">
        <v>22</v>
      </c>
      <c r="M9" s="62" t="s">
        <v>65</v>
      </c>
      <c r="N9" s="62" t="s">
        <v>18</v>
      </c>
      <c r="O9" s="92"/>
      <c r="P9" s="62"/>
      <c r="Q9" s="76" t="s">
        <v>2282</v>
      </c>
      <c r="R9" s="113" t="s">
        <v>67</v>
      </c>
      <c r="S9" s="113"/>
      <c r="T9" s="62" t="s">
        <v>40</v>
      </c>
      <c r="U9" s="62" t="s">
        <v>20</v>
      </c>
      <c r="V9" s="114">
        <f>Дек24[[#This Row],[сумма]]-Дек24[[#This Row],[Цена м2 отделки]]*Дек24[[#This Row],[м2]]</f>
        <v>6838500</v>
      </c>
    </row>
    <row r="10" spans="1:32" s="61" customFormat="1">
      <c r="A10" s="62">
        <v>8</v>
      </c>
      <c r="B10" s="62" t="s">
        <v>6</v>
      </c>
      <c r="C10" s="75">
        <v>38016</v>
      </c>
      <c r="D10" s="62" t="s">
        <v>23</v>
      </c>
      <c r="E10" s="75">
        <v>271</v>
      </c>
      <c r="F10" s="62">
        <v>1</v>
      </c>
      <c r="G10" s="62">
        <v>43.88</v>
      </c>
      <c r="H10" s="62" t="s">
        <v>9</v>
      </c>
      <c r="I10" s="62"/>
      <c r="J10" s="95">
        <v>5341200</v>
      </c>
      <c r="K10" s="62" t="s">
        <v>8</v>
      </c>
      <c r="L10" s="62" t="s">
        <v>10</v>
      </c>
      <c r="M10" s="62" t="s">
        <v>286</v>
      </c>
      <c r="N10" s="62" t="s">
        <v>18</v>
      </c>
      <c r="O10" s="92"/>
      <c r="P10" s="62"/>
      <c r="Q10" s="62" t="s">
        <v>2283</v>
      </c>
      <c r="R10" s="113" t="s">
        <v>67</v>
      </c>
      <c r="S10" s="76"/>
      <c r="T10" s="62" t="s">
        <v>8</v>
      </c>
      <c r="U10" s="62" t="s">
        <v>8</v>
      </c>
      <c r="V10" s="114">
        <f>Дек24[[#This Row],[сумма]]-Дек24[[#This Row],[Цена м2 отделки]]*Дек24[[#This Row],[м2]]</f>
        <v>5341200</v>
      </c>
    </row>
    <row r="11" spans="1:32" s="61" customFormat="1">
      <c r="A11" s="62">
        <v>9</v>
      </c>
      <c r="B11" s="62" t="s">
        <v>6</v>
      </c>
      <c r="C11" s="75">
        <v>38124</v>
      </c>
      <c r="D11" s="62" t="s">
        <v>19</v>
      </c>
      <c r="E11" s="75">
        <v>50</v>
      </c>
      <c r="F11" s="62">
        <v>1</v>
      </c>
      <c r="G11" s="62">
        <v>35.53</v>
      </c>
      <c r="H11" s="117" t="s">
        <v>9</v>
      </c>
      <c r="I11" s="117"/>
      <c r="J11" s="95">
        <v>5023959</v>
      </c>
      <c r="K11" s="117" t="s">
        <v>42</v>
      </c>
      <c r="L11" s="62" t="s">
        <v>22</v>
      </c>
      <c r="M11" s="62" t="s">
        <v>65</v>
      </c>
      <c r="N11" s="62" t="s">
        <v>18</v>
      </c>
      <c r="O11" s="92">
        <v>45643</v>
      </c>
      <c r="P11" s="117"/>
      <c r="Q11" s="76" t="s">
        <v>2284</v>
      </c>
      <c r="R11" s="113" t="s">
        <v>67</v>
      </c>
      <c r="S11" s="382"/>
      <c r="T11" s="117" t="s">
        <v>42</v>
      </c>
      <c r="U11" s="117" t="s">
        <v>24</v>
      </c>
      <c r="V11" s="114">
        <f>Дек24[[#This Row],[сумма]]-Дек24[[#This Row],[Цена м2 отделки]]*Дек24[[#This Row],[м2]]</f>
        <v>5023959</v>
      </c>
    </row>
    <row r="12" spans="1:32" s="61" customFormat="1">
      <c r="A12" s="62">
        <v>10</v>
      </c>
      <c r="B12" s="62" t="s">
        <v>6</v>
      </c>
      <c r="C12" s="74">
        <v>38176</v>
      </c>
      <c r="D12" s="62" t="s">
        <v>23</v>
      </c>
      <c r="E12" s="75">
        <v>255</v>
      </c>
      <c r="F12" s="62">
        <v>2</v>
      </c>
      <c r="G12" s="62">
        <v>54.08</v>
      </c>
      <c r="H12" s="76" t="s">
        <v>9</v>
      </c>
      <c r="I12" s="76"/>
      <c r="J12" s="91">
        <v>6295979</v>
      </c>
      <c r="K12" s="62" t="s">
        <v>20</v>
      </c>
      <c r="L12" s="62" t="s">
        <v>10</v>
      </c>
      <c r="M12" s="62" t="s">
        <v>286</v>
      </c>
      <c r="N12" s="62" t="s">
        <v>18</v>
      </c>
      <c r="O12" s="92">
        <v>45644</v>
      </c>
      <c r="P12" s="62"/>
      <c r="Q12" s="397" t="s">
        <v>2285</v>
      </c>
      <c r="R12" s="113" t="s">
        <v>67</v>
      </c>
      <c r="S12" s="113" t="s">
        <v>2286</v>
      </c>
      <c r="T12" s="62" t="s">
        <v>20</v>
      </c>
      <c r="U12" s="62" t="s">
        <v>20</v>
      </c>
      <c r="V12" s="114">
        <f>Дек24[[#This Row],[сумма]]-Дек24[[#This Row],[Цена м2 отделки]]*Дек24[[#This Row],[м2]]</f>
        <v>6295979</v>
      </c>
    </row>
    <row r="13" spans="1:32" s="61" customFormat="1">
      <c r="A13" s="62">
        <v>11</v>
      </c>
      <c r="B13" s="62" t="s">
        <v>6</v>
      </c>
      <c r="C13" s="74">
        <v>37993</v>
      </c>
      <c r="D13" s="62" t="s">
        <v>13</v>
      </c>
      <c r="E13" s="75">
        <v>476</v>
      </c>
      <c r="F13" s="62">
        <v>1</v>
      </c>
      <c r="G13" s="62">
        <v>39.69</v>
      </c>
      <c r="H13" s="62" t="s">
        <v>25</v>
      </c>
      <c r="I13" s="62">
        <v>25000</v>
      </c>
      <c r="J13" s="95">
        <v>6289640</v>
      </c>
      <c r="K13" s="62" t="s">
        <v>45</v>
      </c>
      <c r="L13" s="62" t="s">
        <v>22</v>
      </c>
      <c r="M13" s="62" t="s">
        <v>65</v>
      </c>
      <c r="N13" s="62" t="s">
        <v>18</v>
      </c>
      <c r="O13" s="92">
        <v>45644</v>
      </c>
      <c r="P13" s="62"/>
      <c r="Q13" s="76" t="s">
        <v>2287</v>
      </c>
      <c r="R13" s="113" t="s">
        <v>67</v>
      </c>
      <c r="S13" s="113"/>
      <c r="T13" s="62" t="s">
        <v>45</v>
      </c>
      <c r="U13" s="62" t="s">
        <v>8</v>
      </c>
      <c r="V13" s="114">
        <f>Дек24[[#This Row],[сумма]]-Дек24[[#This Row],[Цена м2 отделки]]*Дек24[[#This Row],[м2]]</f>
        <v>5297390</v>
      </c>
      <c r="AF13" s="132"/>
    </row>
    <row r="14" spans="1:32" s="61" customFormat="1">
      <c r="A14" s="62">
        <v>12</v>
      </c>
      <c r="B14" s="62"/>
      <c r="C14" s="75">
        <v>38116</v>
      </c>
      <c r="D14" s="62" t="s">
        <v>13</v>
      </c>
      <c r="E14" s="75">
        <v>469</v>
      </c>
      <c r="F14" s="62">
        <v>0</v>
      </c>
      <c r="G14" s="62">
        <v>29.4</v>
      </c>
      <c r="H14" s="62" t="s">
        <v>9</v>
      </c>
      <c r="I14" s="62"/>
      <c r="J14" s="95">
        <v>3993794</v>
      </c>
      <c r="K14" s="62" t="s">
        <v>14</v>
      </c>
      <c r="L14" s="62" t="s">
        <v>22</v>
      </c>
      <c r="M14" s="62" t="s">
        <v>65</v>
      </c>
      <c r="N14" s="62" t="s">
        <v>18</v>
      </c>
      <c r="O14" s="92">
        <v>45649</v>
      </c>
      <c r="P14" s="62"/>
      <c r="Q14" s="62" t="s">
        <v>2288</v>
      </c>
      <c r="R14" s="113" t="s">
        <v>67</v>
      </c>
      <c r="S14" s="113"/>
      <c r="T14" s="62" t="s">
        <v>14</v>
      </c>
      <c r="U14" s="62" t="s">
        <v>14</v>
      </c>
      <c r="V14" s="114">
        <f>Дек24[[#This Row],[сумма]]-Дек24[[#This Row],[Цена м2 отделки]]*Дек24[[#This Row],[м2]]</f>
        <v>3993794</v>
      </c>
    </row>
    <row r="15" spans="1:32" s="64" customFormat="1">
      <c r="A15" s="84">
        <v>13</v>
      </c>
      <c r="B15" s="120" t="s">
        <v>6</v>
      </c>
      <c r="C15" s="347">
        <v>38393</v>
      </c>
      <c r="D15" s="120" t="s">
        <v>13</v>
      </c>
      <c r="E15" s="347">
        <v>38</v>
      </c>
      <c r="F15" s="120">
        <v>2</v>
      </c>
      <c r="G15" s="84">
        <v>59.09</v>
      </c>
      <c r="H15" s="84" t="s">
        <v>25</v>
      </c>
      <c r="I15" s="84">
        <v>25000</v>
      </c>
      <c r="J15" s="93">
        <v>8565982</v>
      </c>
      <c r="K15" s="84" t="s">
        <v>20</v>
      </c>
      <c r="L15" s="84" t="s">
        <v>22</v>
      </c>
      <c r="M15" s="84" t="s">
        <v>65</v>
      </c>
      <c r="N15" s="84" t="s">
        <v>18</v>
      </c>
      <c r="O15" s="386">
        <v>45651</v>
      </c>
      <c r="P15" s="84"/>
      <c r="Q15" s="84" t="s">
        <v>2289</v>
      </c>
      <c r="R15" s="125"/>
      <c r="S15" s="125"/>
      <c r="T15" s="84" t="s">
        <v>20</v>
      </c>
      <c r="U15" s="84" t="s">
        <v>20</v>
      </c>
      <c r="V15" s="126">
        <f>Дек24[[#This Row],[сумма]]-Дек24[[#This Row],[Цена м2 отделки]]*Дек24[[#This Row],[м2]]</f>
        <v>7088732</v>
      </c>
    </row>
    <row r="16" spans="1:32" s="61" customFormat="1">
      <c r="A16" s="62">
        <v>14</v>
      </c>
      <c r="B16" s="62" t="s">
        <v>6</v>
      </c>
      <c r="C16" s="74">
        <v>38559</v>
      </c>
      <c r="D16" s="62" t="s">
        <v>19</v>
      </c>
      <c r="E16" s="75">
        <v>10</v>
      </c>
      <c r="F16" s="62">
        <v>1</v>
      </c>
      <c r="G16" s="62">
        <v>35.53</v>
      </c>
      <c r="H16" s="62" t="s">
        <v>9</v>
      </c>
      <c r="I16" s="62"/>
      <c r="J16" s="381">
        <v>4707626</v>
      </c>
      <c r="K16" s="62" t="s">
        <v>8</v>
      </c>
      <c r="L16" s="62" t="s">
        <v>22</v>
      </c>
      <c r="M16" s="62" t="s">
        <v>65</v>
      </c>
      <c r="N16" s="62" t="s">
        <v>18</v>
      </c>
      <c r="O16" s="92">
        <v>45651</v>
      </c>
      <c r="P16" s="62"/>
      <c r="Q16" s="62" t="s">
        <v>2290</v>
      </c>
      <c r="R16" s="113"/>
      <c r="S16" s="113"/>
      <c r="T16" s="62" t="s">
        <v>8</v>
      </c>
      <c r="U16" s="62" t="s">
        <v>8</v>
      </c>
      <c r="V16" s="114">
        <f>Дек24[[#This Row],[сумма]]-Дек24[[#This Row],[Цена м2 отделки]]*Дек24[[#This Row],[м2]]</f>
        <v>4707626</v>
      </c>
    </row>
    <row r="17" spans="1:22" s="61" customFormat="1">
      <c r="A17" s="65">
        <v>15</v>
      </c>
      <c r="B17" s="65"/>
      <c r="C17" s="78">
        <v>37705</v>
      </c>
      <c r="D17" s="65" t="s">
        <v>13</v>
      </c>
      <c r="E17" s="79">
        <v>29</v>
      </c>
      <c r="F17" s="65">
        <v>2</v>
      </c>
      <c r="G17" s="65">
        <v>68.5</v>
      </c>
      <c r="H17" s="86" t="s">
        <v>21</v>
      </c>
      <c r="I17" s="86">
        <v>10000</v>
      </c>
      <c r="J17" s="104">
        <v>8727174</v>
      </c>
      <c r="K17" s="65" t="s">
        <v>24</v>
      </c>
      <c r="L17" s="65" t="s">
        <v>22</v>
      </c>
      <c r="M17" s="65" t="s">
        <v>65</v>
      </c>
      <c r="N17" s="65" t="s">
        <v>18</v>
      </c>
      <c r="O17" s="98">
        <v>45654</v>
      </c>
      <c r="P17" s="65"/>
      <c r="Q17" s="86" t="s">
        <v>2291</v>
      </c>
      <c r="R17" s="118"/>
      <c r="S17" s="118"/>
      <c r="T17" s="65" t="s">
        <v>24</v>
      </c>
      <c r="U17" s="65" t="s">
        <v>24</v>
      </c>
      <c r="V17" s="115">
        <f>Дек24[[#This Row],[сумма]]-Дек24[[#This Row],[Цена м2 отделки]]*Дек24[[#This Row],[м2]]</f>
        <v>8042174</v>
      </c>
    </row>
    <row r="18" spans="1:22" s="61" customFormat="1" ht="18.75" customHeight="1">
      <c r="A18" s="62">
        <v>16</v>
      </c>
      <c r="B18" s="62"/>
      <c r="C18" s="74">
        <v>38416</v>
      </c>
      <c r="D18" s="62" t="s">
        <v>13</v>
      </c>
      <c r="E18" s="75">
        <v>493</v>
      </c>
      <c r="F18" s="62">
        <v>0</v>
      </c>
      <c r="G18" s="62">
        <v>29.4</v>
      </c>
      <c r="H18" s="62" t="s">
        <v>9</v>
      </c>
      <c r="I18" s="62"/>
      <c r="J18" s="95">
        <v>3993794</v>
      </c>
      <c r="K18" s="62" t="s">
        <v>24</v>
      </c>
      <c r="L18" s="62" t="s">
        <v>22</v>
      </c>
      <c r="M18" s="62" t="s">
        <v>65</v>
      </c>
      <c r="N18" s="62" t="s">
        <v>18</v>
      </c>
      <c r="O18" s="92">
        <v>45647</v>
      </c>
      <c r="P18" s="62"/>
      <c r="Q18" s="76" t="s">
        <v>2292</v>
      </c>
      <c r="R18" s="113" t="s">
        <v>67</v>
      </c>
      <c r="S18" s="62"/>
      <c r="T18" s="62" t="s">
        <v>24</v>
      </c>
      <c r="U18" s="62" t="s">
        <v>24</v>
      </c>
      <c r="V18" s="114">
        <f>Дек24[[#This Row],[сумма]]-Дек24[[#This Row],[Цена м2 отделки]]*Дек24[[#This Row],[м2]]</f>
        <v>3993794</v>
      </c>
    </row>
    <row r="19" spans="1:22" s="61" customFormat="1">
      <c r="A19" s="62">
        <v>17</v>
      </c>
      <c r="B19" s="62"/>
      <c r="C19" s="74">
        <v>32933</v>
      </c>
      <c r="D19" s="62" t="s">
        <v>23</v>
      </c>
      <c r="E19" s="75">
        <v>29</v>
      </c>
      <c r="F19" s="62">
        <v>1</v>
      </c>
      <c r="G19" s="62">
        <v>37.01</v>
      </c>
      <c r="H19" s="62" t="s">
        <v>9</v>
      </c>
      <c r="I19" s="62"/>
      <c r="J19" s="95">
        <v>4676854</v>
      </c>
      <c r="K19" s="62" t="s">
        <v>41</v>
      </c>
      <c r="L19" s="62" t="s">
        <v>10</v>
      </c>
      <c r="M19" s="62" t="s">
        <v>286</v>
      </c>
      <c r="N19" s="62" t="s">
        <v>18</v>
      </c>
      <c r="O19" s="92">
        <v>45646</v>
      </c>
      <c r="P19" s="62"/>
      <c r="Q19" s="76" t="s">
        <v>2293</v>
      </c>
      <c r="R19" s="113" t="s">
        <v>67</v>
      </c>
      <c r="S19" s="113"/>
      <c r="T19" s="62" t="s">
        <v>41</v>
      </c>
      <c r="U19" s="62" t="s">
        <v>14</v>
      </c>
      <c r="V19" s="114">
        <f>Дек24[[#This Row],[сумма]]-Дек24[[#This Row],[Цена м2 отделки]]*Дек24[[#This Row],[м2]]</f>
        <v>4676854</v>
      </c>
    </row>
    <row r="20" spans="1:22" s="61" customFormat="1">
      <c r="A20" s="62">
        <v>18</v>
      </c>
      <c r="B20" s="62"/>
      <c r="C20" s="75">
        <v>38270</v>
      </c>
      <c r="D20" s="62" t="s">
        <v>13</v>
      </c>
      <c r="E20" s="75">
        <v>259</v>
      </c>
      <c r="F20" s="62">
        <v>2</v>
      </c>
      <c r="G20" s="62">
        <v>56.58</v>
      </c>
      <c r="H20" s="62" t="s">
        <v>25</v>
      </c>
      <c r="I20" s="62">
        <v>25000</v>
      </c>
      <c r="J20" s="95">
        <v>8347800</v>
      </c>
      <c r="K20" s="62" t="s">
        <v>42</v>
      </c>
      <c r="L20" s="62" t="s">
        <v>22</v>
      </c>
      <c r="M20" s="62" t="s">
        <v>65</v>
      </c>
      <c r="N20" s="62" t="s">
        <v>18</v>
      </c>
      <c r="O20" s="92">
        <v>45649</v>
      </c>
      <c r="P20" s="62"/>
      <c r="Q20" s="76" t="s">
        <v>2294</v>
      </c>
      <c r="R20" s="113" t="s">
        <v>67</v>
      </c>
      <c r="S20" s="113"/>
      <c r="T20" s="62" t="s">
        <v>42</v>
      </c>
      <c r="U20" s="62" t="s">
        <v>14</v>
      </c>
      <c r="V20" s="114">
        <f>Дек24[[#This Row],[сумма]]-Дек24[[#This Row],[Цена м2 отделки]]*Дек24[[#This Row],[м2]]</f>
        <v>6933300</v>
      </c>
    </row>
    <row r="21" spans="1:22" s="61" customFormat="1">
      <c r="A21" s="65">
        <v>19</v>
      </c>
      <c r="B21" s="65"/>
      <c r="C21" s="87">
        <v>37673</v>
      </c>
      <c r="D21" s="65" t="s">
        <v>13</v>
      </c>
      <c r="E21" s="65">
        <v>503</v>
      </c>
      <c r="F21" s="87">
        <v>0</v>
      </c>
      <c r="G21" s="65">
        <v>24.5</v>
      </c>
      <c r="H21" s="80" t="s">
        <v>25</v>
      </c>
      <c r="I21" s="72">
        <v>25000</v>
      </c>
      <c r="J21" s="105">
        <v>4127700</v>
      </c>
      <c r="K21" s="65" t="s">
        <v>14</v>
      </c>
      <c r="L21" s="80" t="s">
        <v>22</v>
      </c>
      <c r="M21" s="80" t="s">
        <v>65</v>
      </c>
      <c r="N21" s="80" t="s">
        <v>18</v>
      </c>
      <c r="O21" s="98">
        <v>45654</v>
      </c>
      <c r="P21" s="80"/>
      <c r="Q21" s="80" t="s">
        <v>2295</v>
      </c>
      <c r="R21" s="118"/>
      <c r="S21" s="118"/>
      <c r="T21" s="65" t="s">
        <v>14</v>
      </c>
      <c r="U21" s="65" t="s">
        <v>14</v>
      </c>
      <c r="V21" s="115">
        <f>Дек24[[#This Row],[сумма]]-Дек24[[#This Row],[Цена м2 отделки]]*Дек24[[#This Row],[м2]]</f>
        <v>3515200</v>
      </c>
    </row>
    <row r="22" spans="1:22" s="61" customFormat="1">
      <c r="A22" s="62">
        <v>20</v>
      </c>
      <c r="B22" s="62" t="s">
        <v>6</v>
      </c>
      <c r="C22" s="349">
        <v>37099</v>
      </c>
      <c r="D22" s="117" t="s">
        <v>13</v>
      </c>
      <c r="E22" s="62">
        <v>486</v>
      </c>
      <c r="F22" s="349">
        <v>1</v>
      </c>
      <c r="G22" s="62">
        <v>43.21</v>
      </c>
      <c r="H22" s="117" t="s">
        <v>21</v>
      </c>
      <c r="I22" s="348">
        <v>8000</v>
      </c>
      <c r="J22" s="352">
        <v>5141080</v>
      </c>
      <c r="K22" s="396" t="s">
        <v>8</v>
      </c>
      <c r="L22" s="117" t="s">
        <v>22</v>
      </c>
      <c r="M22" s="117" t="s">
        <v>65</v>
      </c>
      <c r="N22" s="62" t="s">
        <v>12</v>
      </c>
      <c r="O22" s="92"/>
      <c r="P22" s="117"/>
      <c r="Q22" s="117" t="s">
        <v>2296</v>
      </c>
      <c r="R22" s="113" t="s">
        <v>2297</v>
      </c>
      <c r="S22" s="113"/>
      <c r="T22" s="62" t="s">
        <v>8</v>
      </c>
      <c r="U22" s="62" t="s">
        <v>8</v>
      </c>
      <c r="V22" s="114">
        <f>Дек24[[#This Row],[сумма]]-Дек24[[#This Row],[Цена м2 отделки]]*Дек24[[#This Row],[м2]]</f>
        <v>4795400</v>
      </c>
    </row>
    <row r="23" spans="1:22" s="61" customFormat="1">
      <c r="A23" s="62">
        <v>21</v>
      </c>
      <c r="B23" s="62" t="s">
        <v>6</v>
      </c>
      <c r="C23" s="75">
        <v>37389</v>
      </c>
      <c r="D23" s="62" t="s">
        <v>27</v>
      </c>
      <c r="E23" s="75" t="s">
        <v>2298</v>
      </c>
      <c r="F23" s="62"/>
      <c r="G23" s="62">
        <v>101.3</v>
      </c>
      <c r="H23" s="62" t="s">
        <v>9</v>
      </c>
      <c r="I23" s="62"/>
      <c r="J23" s="95">
        <v>12156000</v>
      </c>
      <c r="K23" s="62" t="s">
        <v>8</v>
      </c>
      <c r="L23" s="62"/>
      <c r="M23" s="62" t="s">
        <v>2299</v>
      </c>
      <c r="N23" s="62" t="s">
        <v>18</v>
      </c>
      <c r="O23" s="92"/>
      <c r="P23" s="62"/>
      <c r="Q23" s="62" t="s">
        <v>2300</v>
      </c>
      <c r="R23" s="113" t="s">
        <v>67</v>
      </c>
      <c r="S23" s="113"/>
      <c r="T23" s="62" t="s">
        <v>8</v>
      </c>
      <c r="U23" s="62" t="s">
        <v>8</v>
      </c>
      <c r="V23" s="114">
        <f>Дек24[[#This Row],[сумма]]-Дек24[[#This Row],[Цена м2 отделки]]*Дек24[[#This Row],[м2]]</f>
        <v>12156000</v>
      </c>
    </row>
    <row r="24" spans="1:22" s="61" customFormat="1">
      <c r="A24" s="62">
        <v>22</v>
      </c>
      <c r="B24" s="62" t="s">
        <v>6</v>
      </c>
      <c r="C24" s="75">
        <v>37128</v>
      </c>
      <c r="D24" s="62" t="s">
        <v>7</v>
      </c>
      <c r="E24" s="75" t="s">
        <v>2301</v>
      </c>
      <c r="F24" s="349"/>
      <c r="G24" s="62">
        <v>81.599999999999994</v>
      </c>
      <c r="H24" s="62" t="s">
        <v>9</v>
      </c>
      <c r="I24" s="348"/>
      <c r="J24" s="352">
        <v>9445200</v>
      </c>
      <c r="K24" s="348" t="s">
        <v>8</v>
      </c>
      <c r="L24" s="62"/>
      <c r="M24" s="62" t="s">
        <v>2299</v>
      </c>
      <c r="N24" s="62" t="s">
        <v>18</v>
      </c>
      <c r="O24" s="92"/>
      <c r="P24" s="62"/>
      <c r="Q24" s="380" t="s">
        <v>2300</v>
      </c>
      <c r="R24" s="113" t="s">
        <v>67</v>
      </c>
      <c r="S24" s="113"/>
      <c r="T24" s="62" t="s">
        <v>8</v>
      </c>
      <c r="U24" s="62" t="s">
        <v>8</v>
      </c>
      <c r="V24" s="114">
        <f>Дек24[[#This Row],[сумма]]-Дек24[[#This Row],[Цена м2 отделки]]*Дек24[[#This Row],[м2]]</f>
        <v>9445200</v>
      </c>
    </row>
    <row r="25" spans="1:22" s="61" customFormat="1">
      <c r="A25" s="62">
        <v>23</v>
      </c>
      <c r="B25" s="62" t="s">
        <v>6</v>
      </c>
      <c r="C25" s="75">
        <v>33470</v>
      </c>
      <c r="D25" s="62" t="s">
        <v>7</v>
      </c>
      <c r="E25" s="75" t="s">
        <v>2302</v>
      </c>
      <c r="F25" s="349"/>
      <c r="G25" s="62">
        <v>70.5</v>
      </c>
      <c r="H25" s="62" t="s">
        <v>9</v>
      </c>
      <c r="I25" s="348"/>
      <c r="J25" s="352">
        <v>8883000</v>
      </c>
      <c r="K25" s="62" t="s">
        <v>8</v>
      </c>
      <c r="L25" s="62"/>
      <c r="M25" s="62" t="s">
        <v>2299</v>
      </c>
      <c r="N25" s="62" t="s">
        <v>18</v>
      </c>
      <c r="O25" s="92"/>
      <c r="P25" s="62"/>
      <c r="Q25" s="62" t="s">
        <v>2303</v>
      </c>
      <c r="R25" s="113"/>
      <c r="S25" s="113"/>
      <c r="T25" s="62" t="s">
        <v>8</v>
      </c>
      <c r="U25" s="62" t="s">
        <v>8</v>
      </c>
      <c r="V25" s="114">
        <f>Дек24[[#This Row],[сумма]]-Дек24[[#This Row],[Цена м2 отделки]]*Дек24[[#This Row],[м2]]</f>
        <v>8883000</v>
      </c>
    </row>
    <row r="26" spans="1:22" s="61" customFormat="1">
      <c r="A26" s="65">
        <v>24</v>
      </c>
      <c r="B26" s="65"/>
      <c r="C26" s="79">
        <v>37996</v>
      </c>
      <c r="D26" s="65" t="s">
        <v>19</v>
      </c>
      <c r="E26" s="79" t="s">
        <v>2304</v>
      </c>
      <c r="F26" s="87"/>
      <c r="G26" s="65">
        <v>5.61</v>
      </c>
      <c r="H26" s="65" t="s">
        <v>9</v>
      </c>
      <c r="I26" s="72"/>
      <c r="J26" s="93">
        <v>673200</v>
      </c>
      <c r="K26" s="72" t="s">
        <v>14</v>
      </c>
      <c r="L26" s="65"/>
      <c r="M26" s="389">
        <v>1</v>
      </c>
      <c r="N26" s="65" t="s">
        <v>18</v>
      </c>
      <c r="O26" s="98">
        <v>45652</v>
      </c>
      <c r="P26" s="65"/>
      <c r="Q26" s="80" t="s">
        <v>2161</v>
      </c>
      <c r="R26" s="131"/>
      <c r="S26" s="131"/>
      <c r="T26" s="65" t="s">
        <v>14</v>
      </c>
      <c r="U26" s="65" t="s">
        <v>14</v>
      </c>
      <c r="V26" s="115">
        <f>Дек24[[#This Row],[сумма]]-Дек24[[#This Row],[Цена м2 отделки]]*Дек24[[#This Row],[м2]]</f>
        <v>673200</v>
      </c>
    </row>
    <row r="27" spans="1:22" s="61" customFormat="1">
      <c r="A27" s="65">
        <v>25</v>
      </c>
      <c r="B27" s="65" t="s">
        <v>6</v>
      </c>
      <c r="C27" s="65">
        <v>37999</v>
      </c>
      <c r="D27" s="65" t="s">
        <v>13</v>
      </c>
      <c r="E27" s="65">
        <v>8</v>
      </c>
      <c r="F27" s="65">
        <v>2</v>
      </c>
      <c r="G27" s="65">
        <v>68.5</v>
      </c>
      <c r="H27" s="65" t="s">
        <v>9</v>
      </c>
      <c r="I27" s="65"/>
      <c r="J27" s="390">
        <v>8119006</v>
      </c>
      <c r="K27" s="72" t="s">
        <v>24</v>
      </c>
      <c r="L27" s="65" t="s">
        <v>22</v>
      </c>
      <c r="M27" s="65" t="s">
        <v>65</v>
      </c>
      <c r="N27" s="65" t="s">
        <v>18</v>
      </c>
      <c r="O27" s="94">
        <v>45652</v>
      </c>
      <c r="P27" s="65"/>
      <c r="Q27" s="65" t="s">
        <v>2305</v>
      </c>
      <c r="R27" s="66" t="s">
        <v>67</v>
      </c>
      <c r="S27" s="66"/>
      <c r="T27" s="65" t="s">
        <v>2306</v>
      </c>
      <c r="U27" s="65" t="s">
        <v>24</v>
      </c>
      <c r="V27" s="115">
        <f>Дек24[[#This Row],[сумма]]-Дек24[[#This Row],[Цена м2 отделки]]*Дек24[[#This Row],[м2]]</f>
        <v>8119006</v>
      </c>
    </row>
    <row r="28" spans="1:22" s="61" customFormat="1">
      <c r="A28" s="65"/>
      <c r="B28" s="65"/>
      <c r="C28" s="78"/>
      <c r="D28" s="65"/>
      <c r="E28" s="79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Дек24[[#This Row],[сумма]]-Дек24[[#This Row],[Цена м2 отделки]]*Дек24[[#This Row],[м2]]</f>
        <v>0</v>
      </c>
    </row>
    <row r="29" spans="1:22" s="61" customFormat="1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Дек24[[#This Row],[сумма]]-Дек24[[#This Row],[Цена м2 отделки]]*Дек24[[#This Row],[м2]]</f>
        <v>0</v>
      </c>
    </row>
    <row r="30" spans="1:22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Дек24[[#This Row],[сумма]]-Дек24[[#This Row],[Цена м2 отделки]]*Дек24[[#This Row],[м2]]</f>
        <v>0</v>
      </c>
    </row>
    <row r="31" spans="1:22" s="61" customFormat="1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Дек24[[#This Row],[сумма]]-Дек24[[#This Row],[Цена м2 отделки]]*Дек24[[#This Row],[м2]]</f>
        <v>0</v>
      </c>
    </row>
    <row r="32" spans="1:22" s="61" customFormat="1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Дек24[[#This Row],[сумма]]-Дек24[[#This Row],[Цена м2 отделки]]*Дек24[[#This Row],[м2]]</f>
        <v>0</v>
      </c>
    </row>
    <row r="33" spans="1:22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Дек24[[#This Row],[сумма]]-Дек24[[#This Row],[Цена м2 отделки]]*Дек24[[#This Row],[м2]]</f>
        <v>0</v>
      </c>
    </row>
    <row r="34" spans="1:22" s="61" customFormat="1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Дек24[[#This Row],[сумма]]-Дек24[[#This Row],[Цена м2 отделки]]*Дек24[[#This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Дек24[[#This Row],[сумма]]-Дек24[[#This Row],[Цена м2 отделки]]*Дек24[[#This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Дек24[[#This Row],[сумма]]-Дек24[[#This Row],[Цена м2 отделки]]*Дек24[[#This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Дек24[[#This Row],[сумма]]-Дек24[[#This Row],[Цена м2 отделки]]*Дек24[[#This Row],[м2]]</f>
        <v>0</v>
      </c>
    </row>
    <row r="38" spans="1:22" s="61" customFormat="1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Дек24[[#This Row],[сумма]]-Дек24[[#This Row],[Цена м2 отделки]]*Дек24[[#This Row],[м2]]</f>
        <v>0</v>
      </c>
    </row>
    <row r="39" spans="1:22" s="61" customFormat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Дек24[[#This Row],[сумма]]-Дек24[[#This Row],[Цена м2 отделки]]*Дек24[[#This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Дек24[[#This Row],[сумма]]-Дек24[[#This Row],[Цена м2 отделки]]*Дек24[[#This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Дек24[[#This Row],[сумма]]-Дек24[[#This Row],[Цена м2 отделки]]*Дек24[[#This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Дек24[[#This Row],[сумма]]-Дек24[[#This Row],[Цена м2 отделки]]*Дек24[[#This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Дек24[[#This Row],[сумма]]-Дек24[[#This Row],[Цена м2 отделки]]*Дек24[[#This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Дек24[[#This Row],[сумма]]-Дек24[[#This Row],[Цена м2 отделки]]*Дек24[[#This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Дек24[[#This Row],[сумма]]-Дек24[[#This Row],[Цена м2 отделки]]*Дек24[[#This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Дек24[[#This Row],[сумма]]-Дек24[[#This Row],[Цена м2 отделки]]*Дек24[[#This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Дек24[[#This Row],[сумма]]-Дек24[[#This Row],[Цена м2 отделки]]*Дек24[[#This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Дек24[[#This Row],[сумма]]-Дек24[[#This Row],[Цена м2 отделки]]*Дек24[[#This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Дек24[[#This Row],[сумма]]-Дек24[[#This Row],[Цена м2 отделки]]*Дек24[[#This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Дек24[[#This Row],[сумма]]-Дек24[[#This Row],[Цена м2 отделки]]*Дек24[[#This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Дек24[[#This Row],[сумма]]-Дек24[[#This Row],[Цена м2 отделки]]*Дек24[[#This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Дек24[[#This Row],[сумма]]-Дек24[[#This Row],[Цена м2 отделки]]*Дек24[[#This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Дек24[[#This Row],[сумма]]-Дек24[[#This Row],[Цена м2 отделки]]*Дек24[[#This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Дек24[[#This Row],[сумма]]-Дек24[[#This Row],[Цена м2 отделки]]*Дек24[[#This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Дек24[[#This Row],[сумма]]-Дек24[[#This Row],[Цена м2 отделки]]*Дек24[[#This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Дек24[[#This Row],[сумма]]-Дек24[[#This Row],[Цена м2 отделки]]*Дек24[[#This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Дек24[[#This Row],[сумма]]-Дек24[[#This Row],[Цена м2 отделки]]*Дек24[[#This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Дек24[[#This Row],[сумма]]-Дек24[[#This Row],[Цена м2 отделки]]*Дек24[[#This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Дек24[[#This Row],[сумма]]-Дек24[[#This Row],[Цена м2 отделки]]*Дек24[[#This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Дек24[[#This Row],[сумма]]-Дек24[[#This Row],[Цена м2 отделки]]*Дек24[[#This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Дек24[[#This Row],[сумма]]-Дек24[[#This Row],[Цена м2 отделки]]*Дек24[[#This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Дек24[[#This Row],[сумма]]-Дек24[[#This Row],[Цена м2 отделки]]*Дек24[[#This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Дек24[[#This Row],[сумма]]-Дек24[[#This Row],[Цена м2 отделки]]*Дек24[[#This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Дек24[[#This Row],[сумма]]-Дек24[[#This Row],[Цена м2 отделки]]*Дек24[[#This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65"/>
      <c r="F66" s="65"/>
      <c r="G66" s="65"/>
      <c r="H66" s="65"/>
      <c r="I66" s="65"/>
      <c r="L66" s="65"/>
      <c r="M66" s="65"/>
      <c r="N66" s="98"/>
      <c r="O66" s="65"/>
    </row>
    <row r="67" spans="1:27" s="65" customFormat="1">
      <c r="B67" s="79"/>
      <c r="D67" s="79"/>
      <c r="J67" s="66"/>
      <c r="X67" s="98"/>
      <c r="Y67" s="80"/>
      <c r="AA67" s="86"/>
    </row>
    <row r="68" spans="1:27" s="65" customFormat="1">
      <c r="B68" s="79"/>
      <c r="C68" s="79"/>
      <c r="D68" s="80"/>
      <c r="J68" s="66"/>
      <c r="W68" s="110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8</v>
      </c>
      <c r="B72" s="143">
        <f>IFERROR(VLOOKUP(A72,'ИПП 4кв24'!$B$35:$N$48,4,0),"")</f>
        <v>31</v>
      </c>
      <c r="C72" s="144">
        <f>IFERROR(VLOOKUP(A72,'ИПП 4кв24'!$B$35:$N$48,5,0),"")</f>
        <v>3389971</v>
      </c>
      <c r="D72" s="145">
        <f>SUMIFS(Дек24[м2],Дек24[МОП],$A72,Дек24[№ дома],$C$70,Дек24[Комнатность],"&lt;&gt;Офис")</f>
        <v>152.1</v>
      </c>
      <c r="E72" s="146">
        <f>SUMIFS(Дек24[Сумма без отделки],Дек24[МОП],$A72,Дек24[№ дома],$C$70,Дек24[Комнатность],"&lt;&gt;Офис")</f>
        <v>18328200</v>
      </c>
      <c r="F72" s="147">
        <f>COUNTIFS(Дек24[МОП],$A72,Дек24[№ дома],$C$70,Дек24[Комнатность],"&lt;&gt;Офис")</f>
        <v>2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>
        <f t="shared" ref="J72:K78" si="0">IFERROR(G72/B72,"")</f>
        <v>0</v>
      </c>
      <c r="K72" s="222">
        <f t="shared" si="0"/>
        <v>0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50" t="s">
        <v>24</v>
      </c>
      <c r="B73" s="143">
        <f>IFERROR(VLOOKUP(A73,'ИПП 4кв24'!$B$35:$N$48,4,0),"")</f>
        <v>21</v>
      </c>
      <c r="C73" s="144">
        <f>IFERROR(VLOOKUP(A73,'ИПП 4кв24'!$B$35:$N$48,5,0),"")</f>
        <v>2219624</v>
      </c>
      <c r="D73" s="151">
        <f>SUMIFS(Дек24[м2],Дек24[МОП],$A73,Дек24[№ дома],$C$70,Дек24[Комнатность],"&lt;&gt;Офис")</f>
        <v>0</v>
      </c>
      <c r="E73" s="144">
        <f>SUMIFS(Дек24[Сумма без отделки],Дек24[МОП],$A73,Дек24[№ дома],$C$70,Дек24[Комнатность],"&lt;&gt;Офис")</f>
        <v>0</v>
      </c>
      <c r="F73" s="152">
        <f>COUNTIFS(Дек24[МОП],$A73,Дек24[№ дома],$C$70,Дек24[Комнатность],"&lt;&gt;Офис")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si="0"/>
        <v>0</v>
      </c>
      <c r="K73" s="222">
        <f t="shared" si="0"/>
        <v>0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3" t="s">
        <v>20</v>
      </c>
      <c r="B74" s="143">
        <f>IFERROR(VLOOKUP(A74,'ИПП 4кв24'!$B$35:$N$48,4,0),"")</f>
        <v>31</v>
      </c>
      <c r="C74" s="144">
        <f>IFERROR(VLOOKUP(A74,'ИПП 4кв24'!$B$35:$N$48,5,0),"")</f>
        <v>3389971</v>
      </c>
      <c r="D74" s="151">
        <f>SUMIFS(Дек24[м2],Дек24[МОП],$A74,Дек24[№ дома],$C$70,Дек24[Комнатность],"&lt;&gt;Офис")</f>
        <v>0</v>
      </c>
      <c r="E74" s="144">
        <f>SUMIFS(Дек24[Сумма без отделки],Дек24[МОП],$A74,Дек24[№ дома],$C$70,Дек24[Комнатность],"&lt;&gt;Офис")</f>
        <v>0</v>
      </c>
      <c r="F74" s="152">
        <f>COUNTIFS(Дек24[МОП],$A74,Дек24[№ дома],$C$70,Дек24[Комнатность],"&lt;&gt;Офис")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4">
        <f t="shared" si="0"/>
        <v>0</v>
      </c>
      <c r="K74" s="225">
        <f t="shared" si="0"/>
        <v>0</v>
      </c>
      <c r="L74" s="202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6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6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6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7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14</v>
      </c>
      <c r="B75" s="143">
        <f>IFERROR(VLOOKUP(A75,'ИПП 4кв24'!$B$35:$N$48,4,0),"")</f>
        <v>31</v>
      </c>
      <c r="C75" s="144">
        <f>IFERROR(VLOOKUP(A75,'ИПП 4кв24'!$B$35:$N$48,5,0),"")</f>
        <v>3389971</v>
      </c>
      <c r="D75" s="205">
        <f>SUMIFS(Дек24[м2],Дек24[МОП],$A75,Дек24[№ дома],$C$70,Дек24[Комнатность],"&lt;&gt;Офис")</f>
        <v>0</v>
      </c>
      <c r="E75" s="357">
        <f>SUMIFS(Дек24[Сумма без отделки],Дек24[МОП],$A75,Дек24[№ дома],$C$70,Дек24[Комнатность],"&lt;&gt;Офис")</f>
        <v>0</v>
      </c>
      <c r="F75" s="207">
        <f>COUNTIFS(Дек24[МОП],$A75,Дек24[№ дома],$C$70,Дек24[Комнатность],"&lt;&gt;Офис")</f>
        <v>0</v>
      </c>
      <c r="G75" s="187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88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47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360">
        <f t="shared" si="0"/>
        <v>0</v>
      </c>
      <c r="K75" s="361">
        <f t="shared" si="0"/>
        <v>0</v>
      </c>
      <c r="L75" s="358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330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330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330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331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4" t="s">
        <v>29</v>
      </c>
      <c r="B76" s="155"/>
      <c r="C76" s="156"/>
      <c r="D76" s="157">
        <f>SUMIFS(Дек24[м2],Дек24[МОП],$A76,Дек24[№ дома],$C$70,Дек24[Комнатность],"&lt;&gt;Офис")</f>
        <v>0</v>
      </c>
      <c r="E76" s="156">
        <f>SUMIFS(Дек24[Сумма без отделки],Дек24[МОП],$A76,Дек24[№ дома],$C$70,Дек24[Комнатность],"&lt;&gt;Офис")</f>
        <v>0</v>
      </c>
      <c r="F76" s="158">
        <f>COUNTIFS(Дек24[МОП],$A76,Дек24[№ дома],$C$70,Дек24[Комнатность],"&lt;&gt;Офис")</f>
        <v>0</v>
      </c>
      <c r="G76" s="159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60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8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9" t="str">
        <f t="shared" si="0"/>
        <v/>
      </c>
      <c r="K76" s="230" t="str">
        <f t="shared" si="0"/>
        <v/>
      </c>
      <c r="L76" s="159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8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8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8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61" t="s">
        <v>1919</v>
      </c>
      <c r="B77" s="162"/>
      <c r="C77" s="163"/>
      <c r="D77" s="164">
        <f>SUMIFS(Дек24[м2],Дек24[МОП],$A77,Дек24[№ дома],$C$70,Дек24[Комнатность],"&lt;&gt;Офис")</f>
        <v>0</v>
      </c>
      <c r="E77" s="163">
        <f>SUMIFS(Дек24[Сумма без отделки],Дек24[МОП],$A77,Дек24[№ дома],$C$70,Дек24[Комнатность],"&lt;&gt;Офис")</f>
        <v>0</v>
      </c>
      <c r="F77" s="165">
        <f>COUNTIFS(Дек24[МОП],$A77,Дек24[№ дома],$C$70,Дек24[Комнатность],"&lt;&gt;Офис")</f>
        <v>0</v>
      </c>
      <c r="G77" s="166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7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32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33" t="str">
        <f t="shared" si="0"/>
        <v/>
      </c>
      <c r="K77" s="234" t="str">
        <f t="shared" si="0"/>
        <v/>
      </c>
      <c r="L77" s="235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3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3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3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8" t="s">
        <v>114</v>
      </c>
      <c r="B78" s="169">
        <f t="shared" ref="B78:I78" si="1">SUM(B72:B77)</f>
        <v>114</v>
      </c>
      <c r="C78" s="170">
        <f t="shared" si="1"/>
        <v>12389537</v>
      </c>
      <c r="D78" s="170">
        <f t="shared" si="1"/>
        <v>152.1</v>
      </c>
      <c r="E78" s="170">
        <f t="shared" si="1"/>
        <v>18328200</v>
      </c>
      <c r="F78" s="171">
        <f t="shared" si="1"/>
        <v>2</v>
      </c>
      <c r="G78" s="172">
        <f t="shared" si="1"/>
        <v>0</v>
      </c>
      <c r="H78" s="173">
        <f t="shared" si="1"/>
        <v>0</v>
      </c>
      <c r="I78" s="170">
        <f t="shared" si="1"/>
        <v>0</v>
      </c>
      <c r="J78" s="238">
        <f t="shared" si="0"/>
        <v>0</v>
      </c>
      <c r="K78" s="239">
        <f t="shared" si="0"/>
        <v>0</v>
      </c>
      <c r="L78" s="240">
        <f>SUM(L72:L77)</f>
        <v>0</v>
      </c>
      <c r="M78" s="241">
        <f>SUM(M72:M77)</f>
        <v>0</v>
      </c>
      <c r="N78" s="241">
        <f>SUM(N72:N77)</f>
        <v>0</v>
      </c>
      <c r="O78" s="241">
        <f>SUM(O72:O77)</f>
        <v>0</v>
      </c>
      <c r="P78" s="242">
        <f>SUM(P72:P77)</f>
        <v>0</v>
      </c>
      <c r="T78" s="66"/>
    </row>
    <row r="79" spans="1:27" s="65" customFormat="1">
      <c r="A79" s="135" t="s">
        <v>115</v>
      </c>
      <c r="B79" s="135" t="s">
        <v>100</v>
      </c>
      <c r="C79" s="136" t="s">
        <v>97</v>
      </c>
      <c r="D79" s="174" t="s">
        <v>494</v>
      </c>
      <c r="E79" s="175" t="s">
        <v>495</v>
      </c>
      <c r="F79" s="176" t="s">
        <v>496</v>
      </c>
      <c r="G79" s="140" t="s">
        <v>101</v>
      </c>
      <c r="H79" s="141" t="s">
        <v>98</v>
      </c>
      <c r="I79" s="141" t="s">
        <v>96</v>
      </c>
      <c r="J79" s="141" t="s">
        <v>715</v>
      </c>
      <c r="K79" s="216" t="s">
        <v>716</v>
      </c>
      <c r="L79" s="217">
        <v>0</v>
      </c>
      <c r="M79" s="218">
        <v>1</v>
      </c>
      <c r="N79" s="218">
        <v>2</v>
      </c>
      <c r="O79" s="218">
        <v>3</v>
      </c>
      <c r="P79" s="219" t="s">
        <v>1367</v>
      </c>
      <c r="T79" s="66"/>
    </row>
    <row r="80" spans="1:27" s="65" customFormat="1">
      <c r="A80" s="177" t="s">
        <v>22</v>
      </c>
      <c r="B80" s="178">
        <f>IFERROR(VLOOKUP(A80,'ИПП 4кв24'!$B$35:$N$48,4,0),"")</f>
        <v>68.399999999999991</v>
      </c>
      <c r="C80" s="179">
        <f>IFERROR(VLOOKUP(A80,'ИПП 4кв24'!$B$35:$N$48,5,0),"")</f>
        <v>7433722.2000000002</v>
      </c>
      <c r="D80" s="180">
        <f>SUMIFS(Дек24[м2],Дек24[ИМ],A80,Дек24[№ дома],$C$70,Дек24[Комнатность],"&lt;&gt;Офис")</f>
        <v>0</v>
      </c>
      <c r="E80" s="181">
        <f>SUMIFS(Дек24[Сумма без отделки],Дек24[ИМ],$A80,Дек24[№ дома],$C$70,Дек24[Комнатность],"&lt;&gt;Офис")</f>
        <v>0</v>
      </c>
      <c r="F80" s="182">
        <f>COUNTIFS(Дек24[ИМ],$A80,Дек24[№ дома],$C$70,Дек24[Комнатность],"&lt;&gt;Офис")</f>
        <v>0</v>
      </c>
      <c r="G80" s="183">
        <f>SUMIFS(РД[S],РД[Дом],$C$70,РД[ИМ],A80,РД[Дата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H80" s="184">
        <f>SUMIFS(РД[Стоимость без отделки итог],РД[Дом],$C$70,РД[ИМ],A80,РД[Дата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I80" s="243">
        <f>COUNTIFS(РД[Дом],$C$70,РД[ИМ],A80,РД[Дата подачи на регистрацию],"&lt;="&amp;$A$1,РД[Дата подачи на регистрацию],"&gt;="&amp;DATE(YEAR($A$1),MONTH($A$1),1),РД[Состояние],"Продажа")</f>
        <v>0</v>
      </c>
      <c r="J80" s="244">
        <f t="shared" ref="J80:K83" si="2">IFERROR(G80/B80,"")</f>
        <v>0</v>
      </c>
      <c r="K80" s="245">
        <f t="shared" si="2"/>
        <v>0</v>
      </c>
      <c r="L80" s="183">
        <f>COUNTIFS(РД[Тип кв],L71,РД[ИМ],$A80,РД[Дом],$C$70,РД[Дата подачи на регистрацию],"&lt;="&amp;$A$1,РД[Дата подачи на регистрацию],"&gt;="&amp;DATE(YEAR($A$1),MONTH($A$1),1))</f>
        <v>0</v>
      </c>
      <c r="M80" s="243">
        <f>COUNTIFS(РД[Тип кв],M71,РД[ИМ],$A80,РД[Дом],$C$70,РД[Дата подачи на регистрацию],"&lt;="&amp;$A$1,РД[Дата подачи на регистрацию],"&gt;="&amp;DATE(YEAR($A$1),MONTH($A$1),1))</f>
        <v>0</v>
      </c>
      <c r="N80" s="243">
        <f>COUNTIFS(РД[Тип кв],N71,РД[ИМ],$A80,РД[Дом],$C$70,РД[Дата подачи на регистрацию],"&lt;="&amp;$A$1,РД[Дата подачи на регистрацию],"&gt;="&amp;DATE(YEAR($A$1),MONTH($A$1),1))</f>
        <v>0</v>
      </c>
      <c r="O80" s="243">
        <f>COUNTIFS(РД[Тип кв],O71,РД[ИМ],$A80,РД[Дом],$C$70,РД[Дата подачи на регистрацию],"&lt;="&amp;$A$1,РД[Дата подачи на регистрацию],"&gt;="&amp;DATE(YEAR($A$1),MONTH($A$1),1))</f>
        <v>0</v>
      </c>
      <c r="P80" s="246">
        <f>COUNTIFS(РД[Тип кв],P71,РД[ИМ],$A80,РД[Дом],$C$70,РД[Дата подачи на регистрацию],"&lt;="&amp;$A$1,РД[Дата подачи на регистрацию],"&gt;="&amp;DATE(YEAR($A$1),MONTH($A$1),1))</f>
        <v>0</v>
      </c>
      <c r="T80" s="66"/>
    </row>
    <row r="81" spans="1:21" s="65" customFormat="1">
      <c r="A81" s="150" t="s">
        <v>3</v>
      </c>
      <c r="B81" s="143">
        <f>IFERROR(VLOOKUP(A81,'ИПП 4кв24'!$B$35:$N$48,4,0),"")</f>
        <v>0</v>
      </c>
      <c r="C81" s="144">
        <f>IFERROR(VLOOKUP(A81,'ИПП 4кв24'!$B$35:$N$48,5,0),"")</f>
        <v>0</v>
      </c>
      <c r="D81" s="151">
        <f>SUMIFS(Дек24[м2],Дек24[ИМ],A81,Дек24[№ дома],$C$70,Дек24[Комнатность],"&lt;&gt;Офис")</f>
        <v>0</v>
      </c>
      <c r="E81" s="185">
        <f>SUMIFS(Дек24[Сумма без отделки],Дек24[ИМ],$A81,Дек24[№ дома],$C$70,Дек24[Комнатность],"&lt;&gt;Офис")</f>
        <v>0</v>
      </c>
      <c r="F81" s="186">
        <f>COUNTIFS(Дек24[ИМ],$A81,Дек24[№ дома],$C$70,Дек24[Комнатность],"&lt;&gt;Офис")</f>
        <v>0</v>
      </c>
      <c r="G81" s="187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8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7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8" t="str">
        <f t="shared" si="2"/>
        <v/>
      </c>
      <c r="K81" s="249" t="str">
        <f t="shared" si="2"/>
        <v/>
      </c>
      <c r="L81" s="18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M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N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O81" s="247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P81" s="250">
        <f>COUNTIFS(РД[Тип кв],#REF!,РД[ИМ],$A81,РД[Дом],$C$70,РД[Дата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89" t="s">
        <v>3</v>
      </c>
      <c r="B82" s="190">
        <f>IFERROR(VLOOKUP(A82,'ИПП 4кв24'!$B$35:$N$48,4,0),"")</f>
        <v>0</v>
      </c>
      <c r="C82" s="191">
        <f>IFERROR(VLOOKUP(A82,'ИПП 4кв24'!$B$35:$N$48,5,0),"")</f>
        <v>0</v>
      </c>
      <c r="D82" s="192">
        <f>SUMIFS(Дек24[м2],Дек24[ИМ],A82,Дек24[№ дома],$C$70,Дек24[Комнатность],"&lt;&gt;Офис")</f>
        <v>0</v>
      </c>
      <c r="E82" s="193">
        <f>SUMIFS(Дек24[Сумма без отделки],Дек24[ИМ],$A82,Дек24[№ дома],$C$70,Дек24[Комнатность],"&lt;&gt;Офис")</f>
        <v>0</v>
      </c>
      <c r="F82" s="194">
        <f>COUNTIFS(Дек24[ИМ],$A82,Дек24[№ дома],$C$70,Дек24[Комнатность],"&lt;&gt;Офис")</f>
        <v>0</v>
      </c>
      <c r="G82" s="195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96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51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52" t="str">
        <f t="shared" si="2"/>
        <v/>
      </c>
      <c r="K82" s="253" t="str">
        <f t="shared" si="2"/>
        <v/>
      </c>
      <c r="L82" s="195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51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51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51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54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68" t="s">
        <v>114</v>
      </c>
      <c r="B83" s="169">
        <f t="shared" ref="B83:P83" si="3">SUM(B80:B82)</f>
        <v>68.399999999999991</v>
      </c>
      <c r="C83" s="170">
        <f t="shared" si="3"/>
        <v>7433722.2000000002</v>
      </c>
      <c r="D83" s="170">
        <f t="shared" si="3"/>
        <v>0</v>
      </c>
      <c r="E83" s="170">
        <f t="shared" si="3"/>
        <v>0</v>
      </c>
      <c r="F83" s="171">
        <f t="shared" si="3"/>
        <v>0</v>
      </c>
      <c r="G83" s="172">
        <f t="shared" si="3"/>
        <v>0</v>
      </c>
      <c r="H83" s="173">
        <f t="shared" si="3"/>
        <v>0</v>
      </c>
      <c r="I83" s="170">
        <f t="shared" si="3"/>
        <v>0</v>
      </c>
      <c r="J83" s="238">
        <f t="shared" si="2"/>
        <v>0</v>
      </c>
      <c r="K83" s="239">
        <f t="shared" si="2"/>
        <v>0</v>
      </c>
      <c r="L83" s="240">
        <f t="shared" si="3"/>
        <v>0</v>
      </c>
      <c r="M83" s="241">
        <f t="shared" si="3"/>
        <v>0</v>
      </c>
      <c r="N83" s="241">
        <f t="shared" si="3"/>
        <v>0</v>
      </c>
      <c r="O83" s="241">
        <f t="shared" si="3"/>
        <v>0</v>
      </c>
      <c r="P83" s="242">
        <f t="shared" si="3"/>
        <v>0</v>
      </c>
      <c r="T83" s="66"/>
    </row>
    <row r="84" spans="1:21" s="65" customFormat="1">
      <c r="A84" s="134"/>
      <c r="B84" s="197"/>
      <c r="C84" s="197"/>
      <c r="D84" s="198"/>
      <c r="E84" s="134"/>
      <c r="F84" s="44"/>
      <c r="G84" s="134"/>
      <c r="H84" s="134"/>
      <c r="I84" s="44"/>
      <c r="J84" s="134"/>
      <c r="K84" s="255"/>
      <c r="L84" s="256"/>
      <c r="M84" s="134"/>
      <c r="N84" s="134"/>
      <c r="O84" s="134"/>
      <c r="P84" s="134"/>
      <c r="Q84" s="134"/>
      <c r="U84" s="66"/>
    </row>
    <row r="85" spans="1:21" s="65" customFormat="1">
      <c r="A85" s="2325" t="s">
        <v>713</v>
      </c>
      <c r="B85" s="2326"/>
      <c r="C85" s="133" t="s">
        <v>13</v>
      </c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T85" s="66"/>
    </row>
    <row r="86" spans="1:21" s="65" customFormat="1">
      <c r="A86" s="135" t="s">
        <v>1</v>
      </c>
      <c r="B86" s="135" t="s">
        <v>100</v>
      </c>
      <c r="C86" s="136" t="s">
        <v>97</v>
      </c>
      <c r="D86" s="137" t="s">
        <v>494</v>
      </c>
      <c r="E86" s="138" t="s">
        <v>495</v>
      </c>
      <c r="F86" s="139" t="s">
        <v>496</v>
      </c>
      <c r="G86" s="140" t="s">
        <v>101</v>
      </c>
      <c r="H86" s="141" t="s">
        <v>98</v>
      </c>
      <c r="I86" s="141" t="s">
        <v>96</v>
      </c>
      <c r="J86" s="141" t="s">
        <v>715</v>
      </c>
      <c r="K86" s="216" t="s">
        <v>716</v>
      </c>
      <c r="L86" s="217">
        <v>0</v>
      </c>
      <c r="M86" s="218">
        <v>1</v>
      </c>
      <c r="N86" s="218">
        <v>2</v>
      </c>
      <c r="O86" s="218">
        <v>3</v>
      </c>
      <c r="P86" s="219" t="s">
        <v>1367</v>
      </c>
      <c r="T86" s="66"/>
    </row>
    <row r="87" spans="1:21" s="65" customFormat="1">
      <c r="A87" s="398" t="s">
        <v>8</v>
      </c>
      <c r="B87" s="143">
        <f>IFERROR(VLOOKUP(A87,'ИПП 4кв24'!$B$35:$N$48,6,0),"")</f>
        <v>294</v>
      </c>
      <c r="C87" s="144">
        <f>IFERROR(VLOOKUP(A87,'ИПП 4кв24'!$B$35:$N$48,7,0),"")</f>
        <v>31831244</v>
      </c>
      <c r="D87" s="199">
        <f>SUMIFS(Дек24[м2],Дек24[МОП],$A87,Дек24[№ дома],$C$85,Дек24[Комнатность],"&lt;&gt;Офис")</f>
        <v>122.65</v>
      </c>
      <c r="E87" s="200">
        <f>SUMIFS(Дек24[Сумма без отделки],Дек24[МОП],$A87,Дек24[№ дома],$C$85,Дек24[Комнатность],"&lt;&gt;Офис")</f>
        <v>14408906</v>
      </c>
      <c r="F87" s="201">
        <f>COUNTIFS(Дек24[МОП],$A87,Дек24[№ дома],$C$85,Дек24[Комнатность],"&lt;&gt;Офис")</f>
        <v>2</v>
      </c>
      <c r="G87" s="202">
        <f>SUMIFS(РД[S],РД[Дом],$C$85,РД[МОП],A87,РД[Дата подачи на регистрацию],"&lt;="&amp;$A$1,РД[Дата подачи на регистрацию],"&gt;="&amp;DATE(YEAR($A$1),MONTH($A$1),1),РД[Состояние],"Продажа")</f>
        <v>162.34</v>
      </c>
      <c r="H87" s="203">
        <f>SUMIFS(РД[Стоимость без отделки итог],РД[Дом],$C$85,РД[МОП],A87,РД[Дата подачи на регистрацию],"&lt;="&amp;$A$1,РД[Дата подачи на регистрацию],"&gt;="&amp;DATE(YEAR($A$1),MONTH($A$1),1),РД[Состояние],"Продажа")</f>
        <v>19706296</v>
      </c>
      <c r="I87" s="226">
        <f>COUNTIFS(РД[Дом],$C$85,РД[МОП],A87,РД[Дата подачи на регистрацию],"&lt;="&amp;$A$1,РД[Дата подачи на регистрацию],"&gt;="&amp;DATE(YEAR($A$1),MONTH($A$1),1),РД[Состояние],"Продажа")</f>
        <v>3</v>
      </c>
      <c r="J87" s="224">
        <f t="shared" ref="J87:K92" si="4">IFERROR(G87/B87,)</f>
        <v>0.55217687074829935</v>
      </c>
      <c r="K87" s="225">
        <f t="shared" si="4"/>
        <v>0.61908658046792009</v>
      </c>
      <c r="L87" s="257">
        <f>COUNTIFS(РД[Тип кв],L$86,РД[МОП],$A87,РД[Дом],$C$85,РД[Дата подачи на регистрацию],"&lt;="&amp;$A$1,РД[Дата подачи на регистрацию],"&gt;="&amp;DATE(YEAR($A$1),MONTH($A$1),1))</f>
        <v>0</v>
      </c>
      <c r="M87" s="226">
        <f>COUNTIFS(РД[Тип кв],M$86,РД[МОП],$A87,РД[Дом],$C$85,РД[Дата подачи на регистрацию],"&lt;="&amp;$A$1,РД[Дата подачи на регистрацию],"&gt;="&amp;DATE(YEAR($A$1),MONTH($A$1),1))</f>
        <v>2</v>
      </c>
      <c r="N87" s="226">
        <f>COUNTIFS(РД[Тип кв],N$86,РД[МОП],$A87,РД[Дом],$C$85,РД[Дата подачи на регистрацию],"&lt;="&amp;$A$1,РД[Дата подачи на регистрацию],"&gt;="&amp;DATE(YEAR($A$1),MONTH($A$1),1))</f>
        <v>0</v>
      </c>
      <c r="O87" s="226">
        <f>COUNTIFS(РД[Тип кв],O$86,РД[МОП],$A87,РД[Дом],$C$85,РД[Дата подачи на регистрацию],"&lt;="&amp;$A$1,РД[Дата подачи на регистрацию],"&gt;="&amp;DATE(YEAR($A$1),MONTH($A$1),1))</f>
        <v>1</v>
      </c>
      <c r="P87" s="227">
        <f>COUNTIFS(РД[Тип кв],P$86,РД[МОП],$A87,РД[Дом],$C$85,РД[Дата подачи на регистрацию],"&lt;="&amp;$A$1,РД[Дата подачи на регистрацию],"&gt;="&amp;DATE(YEAR($A$1),MONTH($A$1),1))</f>
        <v>0</v>
      </c>
      <c r="T87" s="66"/>
    </row>
    <row r="88" spans="1:21" s="65" customFormat="1">
      <c r="A88" s="150" t="s">
        <v>24</v>
      </c>
      <c r="B88" s="143">
        <f>IFERROR(VLOOKUP(A88,'ИПП 4кв24'!$B$35:$N$48,6,0),"")</f>
        <v>192</v>
      </c>
      <c r="C88" s="144">
        <f>IFERROR(VLOOKUP(A88,'ИПП 4кв24'!$B$35:$N$48,7,0),"")</f>
        <v>20841886</v>
      </c>
      <c r="D88" s="199">
        <f>SUMIFS(Дек24[м2],Дек24[МОП],$A88,Дек24[№ дома],$C$85,Дек24[Комнатность],"&lt;&gt;Офис")</f>
        <v>166.4</v>
      </c>
      <c r="E88" s="200">
        <f>SUMIFS(Дек24[Сумма без отделки],Дек24[МОП],$A88,Дек24[№ дома],$C$85,Дек24[Комнатность],"&lt;&gt;Офис")</f>
        <v>20154974</v>
      </c>
      <c r="F88" s="201">
        <f>COUNTIFS(Дек24[МОП],$A88,Дек24[№ дома],$C$85,Дек24[Комнатность],"&lt;&gt;Офис")</f>
        <v>3</v>
      </c>
      <c r="G88" s="202">
        <f>SUMIFS(РД[S],РД[Дом],$C$85,РД[МОП],A88,РД[Дата подачи на регистрацию],"&lt;="&amp;$A$1,РД[Дата подачи на регистрацию],"&gt;="&amp;DATE(YEAR($A$1),MONTH($A$1),1),РД[Состояние],"Продажа")</f>
        <v>166.4</v>
      </c>
      <c r="H88" s="203">
        <f>SUMIFS(РД[Стоимость без отделки итог],РД[Дом],$C$85,РД[МОП],A88,РД[Дата подачи на регистрацию],"&lt;="&amp;$A$1,РД[Дата подачи на регистрацию],"&gt;="&amp;DATE(YEAR($A$1),MONTH($A$1),1),РД[Состояние],"Продажа")</f>
        <v>20154974</v>
      </c>
      <c r="I88" s="226">
        <f>COUNTIFS(РД[Дом],$C$85,РД[МОП],A88,РД[Дата подачи на регистрацию],"&lt;="&amp;$A$1,РД[Дата подачи на регистрацию],"&gt;="&amp;DATE(YEAR($A$1),MONTH($A$1),1),РД[Состояние],"Продажа")</f>
        <v>3</v>
      </c>
      <c r="J88" s="224">
        <f t="shared" si="4"/>
        <v>0.8666666666666667</v>
      </c>
      <c r="K88" s="225">
        <f t="shared" si="4"/>
        <v>0.96704175428269779</v>
      </c>
      <c r="L88" s="257">
        <f>COUNTIFS(РД[Тип кв],L$86,РД[МОП],$A88,РД[Дом],$C$85,РД[Дата подачи на регистрацию],"&lt;="&amp;$A$1,РД[Дата подачи на регистрацию],"&gt;="&amp;DATE(YEAR($A$1),MONTH($A$1),1))</f>
        <v>1</v>
      </c>
      <c r="M88" s="226">
        <f>COUNTIFS(РД[Тип кв],M$86,РД[МОП],$A88,РД[Дом],$C$85,РД[Дата подачи на регистрацию],"&lt;="&amp;$A$1,РД[Дата подачи на регистрацию],"&gt;="&amp;DATE(YEAR($A$1),MONTH($A$1),1))</f>
        <v>0</v>
      </c>
      <c r="N88" s="226">
        <f>COUNTIFS(РД[Тип кв],N$86,РД[МОП],$A88,РД[Дом],$C$85,РД[Дата подачи на регистрацию],"&lt;="&amp;$A$1,РД[Дата подачи на регистрацию],"&gt;="&amp;DATE(YEAR($A$1),MONTH($A$1),1))</f>
        <v>2</v>
      </c>
      <c r="O88" s="226">
        <f>COUNTIFS(РД[Тип кв],O$86,РД[МОП],$A88,РД[Дом],$C$85,РД[Дата подачи на регистрацию],"&lt;="&amp;$A$1,РД[Дата подачи на регистрацию],"&gt;="&amp;DATE(YEAR($A$1),MONTH($A$1),1))</f>
        <v>0</v>
      </c>
      <c r="P88" s="227">
        <f>COUNTIFS(РД[Тип кв],P$86,РД[МОП],$A88,РД[Дом],$C$85,РД[Дата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53" t="s">
        <v>20</v>
      </c>
      <c r="B89" s="143">
        <f>IFERROR(VLOOKUP(A89,'ИПП 4кв24'!$B$35:$N$48,6,0),"")</f>
        <v>294</v>
      </c>
      <c r="C89" s="144">
        <f>IFERROR(VLOOKUP(A89,'ИПП 4кв24'!$B$35:$N$48,7,0),"")</f>
        <v>31831244</v>
      </c>
      <c r="D89" s="199">
        <f>SUMIFS(Дек24[м2],Дек24[МОП],$A89,Дек24[№ дома],$C$85,Дек24[Комнатность],"&lt;&gt;Офис")</f>
        <v>117.25</v>
      </c>
      <c r="E89" s="200">
        <f>SUMIFS(Дек24[Сумма без отделки],Дек24[МОП],$A89,Дек24[№ дома],$C$85,Дек24[Комнатность],"&lt;&gt;Офис")</f>
        <v>14200004</v>
      </c>
      <c r="F89" s="201">
        <f>COUNTIFS(Дек24[МОП],$A89,Дек24[№ дома],$C$85,Дек24[Комнатность],"&lt;&gt;Офис")</f>
        <v>2</v>
      </c>
      <c r="G89" s="202">
        <f>SUMIFS(РД[S],РД[Дом],$C$85,РД[МОП],A89,РД[Дата подачи на регистрацию],"&lt;="&amp;$A$1,РД[Дата подачи на регистрацию],"&gt;="&amp;DATE(YEAR($A$1),MONTH($A$1),1),РД[Состояние],"Продажа")</f>
        <v>174.85</v>
      </c>
      <c r="H89" s="203">
        <f>SUMIFS(РД[Стоимость без отделки итог],РД[Дом],$C$85,РД[МОП],A89,РД[Дата подачи на регистрацию],"&lt;="&amp;$A$1,РД[Дата подачи на регистрацию],"&gt;="&amp;DATE(YEAR($A$1),MONTH($A$1),1),РД[Состояние],"Продажа")</f>
        <v>21038504</v>
      </c>
      <c r="I89" s="226">
        <f>COUNTIFS(РД[Дом],$C$85,РД[МОП],A89,РД[Дата подачи на регистрацию],"&lt;="&amp;$A$1,РД[Дата подачи на регистрацию],"&gt;="&amp;DATE(YEAR($A$1),MONTH($A$1),1),РД[Состояние],"Продажа")</f>
        <v>3</v>
      </c>
      <c r="J89" s="224">
        <f t="shared" si="4"/>
        <v>0.59472789115646252</v>
      </c>
      <c r="K89" s="225">
        <f t="shared" si="4"/>
        <v>0.66093879334404904</v>
      </c>
      <c r="L89" s="257">
        <f>COUNTIFS(РД[Тип кв],L$86,РД[МОП],$A89,РД[Дом],$C$85,РД[Дата подачи на регистрацию],"&lt;="&amp;$A$1,РД[Дата подачи на регистрацию],"&gt;="&amp;DATE(YEAR($A$1),MONTH($A$1),1))</f>
        <v>0</v>
      </c>
      <c r="M89" s="226">
        <f>COUNTIFS(РД[Тип кв],M$86,РД[МОП],$A89,РД[Дом],$C$85,РД[Дата подачи на регистрацию],"&lt;="&amp;$A$1,РД[Дата подачи на регистрацию],"&gt;="&amp;DATE(YEAR($A$1),MONTH($A$1),1))</f>
        <v>0</v>
      </c>
      <c r="N89" s="226">
        <f>COUNTIFS(РД[Тип кв],N$86,РД[МОП],$A89,РД[Дом],$C$85,РД[Дата подачи на регистрацию],"&lt;="&amp;$A$1,РД[Дата подачи на регистрацию],"&gt;="&amp;DATE(YEAR($A$1),MONTH($A$1),1))</f>
        <v>3</v>
      </c>
      <c r="O89" s="226">
        <f>COUNTIFS(РД[Тип кв],O$86,РД[МОП],$A89,РД[Дом],$C$85,РД[Дата подачи на регистрацию],"&lt;="&amp;$A$1,РД[Дата подачи на регистрацию],"&gt;="&amp;DATE(YEAR($A$1),MONTH($A$1),1))</f>
        <v>0</v>
      </c>
      <c r="P89" s="227">
        <f>COUNTIFS(РД[Тип кв],P$86,РД[МОП],$A89,РД[Дом],$C$85,РД[Дата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3" t="s">
        <v>14</v>
      </c>
      <c r="B90" s="143">
        <f>IFERROR(VLOOKUP(A90,'ИПП 4кв24'!$B$35:$N$48,6,0),"")</f>
        <v>294</v>
      </c>
      <c r="C90" s="144">
        <f>IFERROR(VLOOKUP(A90,'ИПП 4кв24'!$B$35:$N$48,7,0),"")</f>
        <v>31831244</v>
      </c>
      <c r="D90" s="299">
        <f>SUMIFS(Дек24[м2],Дек24[МОП],$A90,Дек24[№ дома],$C$85,Дек24[Комнатность],"&lt;&gt;Офис")</f>
        <v>180.2</v>
      </c>
      <c r="E90" s="300">
        <f>SUMIFS(Дек24[Сумма без отделки],Дек24[МОП],$A90,Дек24[№ дома],$C$85,Дек24[Комнатность],"&lt;&gt;Офис")</f>
        <v>21162058</v>
      </c>
      <c r="F90" s="301">
        <f>COUNTIFS(Дек24[МОП],$A90,Дек24[№ дома],$C$85,Дек24[Комнатность],"&lt;&gt;Офис")</f>
        <v>4</v>
      </c>
      <c r="G90" s="358">
        <f>SUMIFS(РД[S],РД[Дом],$C$85,РД[МОП],A90,РД[Дата подачи на регистрацию],"&lt;="&amp;$A$1,РД[Дата подачи на регистрацию],"&gt;="&amp;DATE(YEAR($A$1),MONTH($A$1),1),РД[Состояние],"Продажа")</f>
        <v>236.77999999999997</v>
      </c>
      <c r="H90" s="359">
        <f>SUMIFS(РД[Стоимость без отделки итог],РД[Дом],$C$85,РД[МОП],A90,РД[Дата подачи на регистрацию],"&lt;="&amp;$A$1,РД[Дата подачи на регистрацию],"&gt;="&amp;DATE(YEAR($A$1),MONTH($A$1),1),РД[Состояние],"Продажа")</f>
        <v>27955210</v>
      </c>
      <c r="I90" s="330">
        <f>COUNTIFS(РД[Дом],$C$85,РД[МОП],A90,РД[Дата подачи на регистрацию],"&lt;="&amp;$A$1,РД[Дата подачи на регистрацию],"&gt;="&amp;DATE(YEAR($A$1),MONTH($A$1),1),РД[Состояние],"Продажа")</f>
        <v>5</v>
      </c>
      <c r="J90" s="360">
        <f t="shared" si="4"/>
        <v>0.80537414965986387</v>
      </c>
      <c r="K90" s="361">
        <f t="shared" si="4"/>
        <v>0.87823177755792392</v>
      </c>
      <c r="L90" s="329">
        <f>COUNTIFS(РД[Тип кв],L$86,РД[МОП],$A90,РД[Дом],$C$85,РД[Дата подачи на регистрацию],"&lt;="&amp;$A$1,РД[Дата подачи на регистрацию],"&gt;="&amp;DATE(YEAR($A$1),MONTH($A$1),1))</f>
        <v>2</v>
      </c>
      <c r="M90" s="330">
        <f>COUNTIFS(РД[Тип кв],M$86,РД[МОП],$A90,РД[Дом],$C$85,РД[Дата подачи на регистрацию],"&lt;="&amp;$A$1,РД[Дата подачи на регистрацию],"&gt;="&amp;DATE(YEAR($A$1),MONTH($A$1),1))</f>
        <v>0</v>
      </c>
      <c r="N90" s="330">
        <f>COUNTIFS(РД[Тип кв],N$86,РД[МОП],$A90,РД[Дом],$C$85,РД[Дата подачи на регистрацию],"&lt;="&amp;$A$1,РД[Дата подачи на регистрацию],"&gt;="&amp;DATE(YEAR($A$1),MONTH($A$1),1))</f>
        <v>3</v>
      </c>
      <c r="O90" s="330">
        <f>COUNTIFS(РД[Тип кв],O$86,РД[МОП],$A90,РД[Дом],$C$85,РД[Дата подачи на регистрацию],"&lt;="&amp;$A$1,РД[Дата подачи на регистрацию],"&gt;="&amp;DATE(YEAR($A$1),MONTH($A$1),1))</f>
        <v>0</v>
      </c>
      <c r="P90" s="331">
        <f>COUNTIFS(РД[Тип кв],P$86,РД[МОП],$A90,РД[Дом],$C$85,РД[Дата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4" t="s">
        <v>29</v>
      </c>
      <c r="B91" s="155"/>
      <c r="C91" s="156"/>
      <c r="D91" s="157">
        <f>SUMIFS(Дек24[м2],Дек24[МОП],$A91,Дек24[№ дома],$C$85,Дек24[Комнатность],"&lt;&gt;Офис")</f>
        <v>0</v>
      </c>
      <c r="E91" s="156">
        <f>SUMIFS(Дек24[Сумма без отделки],Дек24[МОП],$A91,Дек24[№ дома],$C$85,Дек24[Комнатность],"&lt;&gt;Офис")</f>
        <v>0</v>
      </c>
      <c r="F91" s="158">
        <f>COUNTIFS(Дек24[МОП],$A91,Дек24[№ дома],$C$85,Дек24[Комнатность],"&lt;&gt;Офис")</f>
        <v>0</v>
      </c>
      <c r="G91" s="159">
        <f>SUMIFS(РД[S],РД[Дом],$C$85,РД[МОП],A91,РД[Дата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160">
        <f>SUMIFS(РД[Стоимость без отделки итог],РД[Дом],$C$85,РД[МОП],A91,РД[Дата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8">
        <f>COUNTIFS(РД[Дом],$C$85,РД[МОП],A91,РД[Дата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9">
        <f t="shared" si="4"/>
        <v>0</v>
      </c>
      <c r="K91" s="230">
        <f t="shared" si="4"/>
        <v>0</v>
      </c>
      <c r="L91" s="159">
        <f>COUNTIFS(РД[Тип кв],L$86,РД[МОП],$A91,РД[Дом],$C$85,РД[Дата подачи на регистрацию],"&lt;="&amp;$A$1,РД[Дата подачи на регистрацию],"&gt;="&amp;DATE(YEAR($A$1),MONTH($A$1),1))</f>
        <v>0</v>
      </c>
      <c r="M91" s="228">
        <f>COUNTIFS(РД[Тип кв],M$86,РД[МОП],$A91,РД[Дом],$C$85,РД[Дата подачи на регистрацию],"&lt;="&amp;$A$1,РД[Дата подачи на регистрацию],"&gt;="&amp;DATE(YEAR($A$1),MONTH($A$1),1))</f>
        <v>0</v>
      </c>
      <c r="N91" s="228">
        <f>COUNTIFS(РД[Тип кв],N$86,РД[МОП],$A91,РД[Дом],$C$85,РД[Дата подачи на регистрацию],"&lt;="&amp;$A$1,РД[Дата подачи на регистрацию],"&gt;="&amp;DATE(YEAR($A$1),MONTH($A$1),1))</f>
        <v>0</v>
      </c>
      <c r="O91" s="228">
        <f>COUNTIFS(РД[Тип кв],O$86,РД[МОП],$A91,РД[Дом],$C$85,РД[Дата подачи на регистрацию],"&lt;="&amp;$A$1,РД[Дата подачи на регистрацию],"&gt;="&amp;DATE(YEAR($A$1),MONTH($A$1),1))</f>
        <v>0</v>
      </c>
      <c r="P91" s="231">
        <f>COUNTIFS(РД[Тип кв],P$86,РД[МОП],$A91,РД[Дом],$C$85,РД[Дата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61" t="s">
        <v>1919</v>
      </c>
      <c r="B92" s="162"/>
      <c r="C92" s="163"/>
      <c r="D92" s="164">
        <f>SUMIFS(Дек24[м2],Дек24[МОП],$A92,Дек24[№ дома],$C$85,Дек24[Комнатность],"&lt;&gt;Офис")</f>
        <v>153.87</v>
      </c>
      <c r="E92" s="163">
        <f>SUMIFS(Дек24[Сумма без отделки],Дек24[МОП],$A92,Дек24[№ дома],$C$85,Дек24[Комнатность],"&lt;&gt;Офис")</f>
        <v>19069190</v>
      </c>
      <c r="F92" s="165">
        <f>COUNTIFS(Дек24[МОП],$A92,Дек24[№ дома],$C$85,Дек24[Комнатность],"&lt;&gt;Офис")</f>
        <v>3</v>
      </c>
      <c r="G92" s="166">
        <f>SUMIFS(РД[S],РД[Дом],$C$85,РД[МОП],A92,РД[Дата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H92" s="167">
        <f>SUMIFS(РД[Стоимость без отделки итог],РД[Дом],$C$85,РД[МОП],A92,РД[Дата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I92" s="232">
        <f>COUNTIFS(РД[Дом],$C$85,РД[МОП],A92,РД[Дата подачи на регистрацию],"&lt;="&amp;$A$1,РД[Дата подачи на регистрацию],"&gt;="&amp;DATE(YEAR($A$1),MONTH($A$1),1),РД[Состояние],"Продажа")</f>
        <v>0</v>
      </c>
      <c r="J92" s="233">
        <f t="shared" si="4"/>
        <v>0</v>
      </c>
      <c r="K92" s="234">
        <f t="shared" si="4"/>
        <v>0</v>
      </c>
      <c r="L92" s="235">
        <f>COUNTIFS(РД[Тип кв],L$86,РД[МОП],$A92,РД[Дом],$C$85,РД[Дата подачи на регистрацию],"&lt;="&amp;$A$1,РД[Дата подачи на регистрацию],"&gt;="&amp;DATE(YEAR($A$1),MONTH($A$1),1))</f>
        <v>0</v>
      </c>
      <c r="M92" s="236">
        <f>COUNTIFS(РД[Тип кв],M$86,РД[МОП],$A92,РД[Дом],$C$85,РД[Дата подачи на регистрацию],"&lt;="&amp;$A$1,РД[Дата подачи на регистрацию],"&gt;="&amp;DATE(YEAR($A$1),MONTH($A$1),1))</f>
        <v>0</v>
      </c>
      <c r="N92" s="236">
        <f>COUNTIFS(РД[Тип кв],N$86,РД[МОП],$A92,РД[Дом],$C$85,РД[Дата подачи на регистрацию],"&lt;="&amp;$A$1,РД[Дата подачи на регистрацию],"&gt;="&amp;DATE(YEAR($A$1),MONTH($A$1),1))</f>
        <v>0</v>
      </c>
      <c r="O92" s="236">
        <f>COUNTIFS(РД[Тип кв],O$86,РД[МОП],$A92,РД[Дом],$C$85,РД[Дата подачи на регистрацию],"&lt;="&amp;$A$1,РД[Дата подачи на регистрацию],"&gt;="&amp;DATE(YEAR($A$1),MONTH($A$1),1))</f>
        <v>0</v>
      </c>
      <c r="P92" s="237">
        <f>COUNTIFS(РД[Тип кв],P$86,РД[МОП],$A92,РД[Дом],$C$85,РД[Дата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68" t="s">
        <v>114</v>
      </c>
      <c r="B93" s="169">
        <f t="shared" ref="B93:I93" si="5">SUM(B87:B92)</f>
        <v>1074</v>
      </c>
      <c r="C93" s="170">
        <f t="shared" si="5"/>
        <v>116335618</v>
      </c>
      <c r="D93" s="170">
        <f t="shared" si="5"/>
        <v>740.37</v>
      </c>
      <c r="E93" s="170">
        <f t="shared" si="5"/>
        <v>88995132</v>
      </c>
      <c r="F93" s="171">
        <f t="shared" si="5"/>
        <v>14</v>
      </c>
      <c r="G93" s="172">
        <f t="shared" si="5"/>
        <v>740.37</v>
      </c>
      <c r="H93" s="173">
        <f t="shared" si="5"/>
        <v>88854984</v>
      </c>
      <c r="I93" s="170">
        <f t="shared" si="5"/>
        <v>14</v>
      </c>
      <c r="J93" s="238">
        <f>IFERROR(G93/B93,"")</f>
        <v>0.68935754189944132</v>
      </c>
      <c r="K93" s="239">
        <f>IFERROR(H93/C93,"")</f>
        <v>0.76378142418945161</v>
      </c>
      <c r="L93" s="240">
        <f>SUM(L87:L92)</f>
        <v>3</v>
      </c>
      <c r="M93" s="241">
        <f>SUM(M87:M92)</f>
        <v>2</v>
      </c>
      <c r="N93" s="241">
        <f>SUM(N87:N92)</f>
        <v>8</v>
      </c>
      <c r="O93" s="241">
        <f>SUM(O87:O92)</f>
        <v>1</v>
      </c>
      <c r="P93" s="242">
        <f>SUM(P87:P92)</f>
        <v>0</v>
      </c>
      <c r="T93" s="66"/>
    </row>
    <row r="94" spans="1:21" s="65" customFormat="1">
      <c r="A94" s="135" t="s">
        <v>115</v>
      </c>
      <c r="B94" s="135" t="s">
        <v>100</v>
      </c>
      <c r="C94" s="136" t="s">
        <v>97</v>
      </c>
      <c r="D94" s="174" t="s">
        <v>494</v>
      </c>
      <c r="E94" s="175" t="s">
        <v>495</v>
      </c>
      <c r="F94" s="176" t="s">
        <v>496</v>
      </c>
      <c r="G94" s="140" t="s">
        <v>101</v>
      </c>
      <c r="H94" s="141" t="s">
        <v>98</v>
      </c>
      <c r="I94" s="141" t="s">
        <v>96</v>
      </c>
      <c r="J94" s="141" t="s">
        <v>715</v>
      </c>
      <c r="K94" s="216" t="s">
        <v>716</v>
      </c>
      <c r="L94" s="217">
        <v>0</v>
      </c>
      <c r="M94" s="218">
        <v>1</v>
      </c>
      <c r="N94" s="218">
        <v>2</v>
      </c>
      <c r="O94" s="218">
        <v>3</v>
      </c>
      <c r="P94" s="219" t="s">
        <v>1367</v>
      </c>
      <c r="T94" s="66"/>
    </row>
    <row r="95" spans="1:21" s="65" customFormat="1">
      <c r="A95" s="177" t="s">
        <v>22</v>
      </c>
      <c r="B95" s="178">
        <f>IFERROR(VLOOKUP(A95,'ИПП 4кв24'!$B$35:$N$48,6,0),"")</f>
        <v>644.4</v>
      </c>
      <c r="C95" s="179">
        <f>IFERROR(VLOOKUP(A95,'ИПП 4кв24'!$B$35:$N$48,7,0),"")</f>
        <v>69801370.799999997</v>
      </c>
      <c r="D95" s="180">
        <f>SUMIFS(Дек24[м2],Дек24[ИМ],A95,Дек24[№ дома],$C$85,Дек24[Комнатность],"&lt;&gt;Офис")</f>
        <v>740.37</v>
      </c>
      <c r="E95" s="181">
        <f>SUMIFS(Дек24[Сумма без отделки],Дек24[ИМ],$A95,Дек24[№ дома],$C$85,Дек24[Комнатность],"&lt;&gt;Офис")</f>
        <v>88995132</v>
      </c>
      <c r="F95" s="204">
        <f>COUNTIFS(Дек24[ИМ],$A95,Дек24[№ дома],$C$85,Дек24[Комнатность],"&lt;&gt;Офис")</f>
        <v>14</v>
      </c>
      <c r="G95" s="183">
        <f>SUMIFS(РД[S],РД[Дом],$C$85,РД[ИМ],A95,РД[Дата подачи на регистрацию],"&lt;="&amp;$A$1,РД[Дата подачи на регистрацию],"&gt;="&amp;DATE(YEAR($A$1),MONTH($A$1),1),РД[Состояние],"Продажа")</f>
        <v>740.37</v>
      </c>
      <c r="H95" s="184">
        <f>SUMIFS(РД[Стоимость без отделки итог],РД[Дом],$C$85,РД[ИМ],A95,РД[Дата подачи на регистрацию],"&lt;="&amp;$A$1,РД[Дата подачи на регистрацию],"&gt;="&amp;DATE(YEAR($A$1),MONTH($A$1),1),РД[Состояние],"Продажа")</f>
        <v>88854984</v>
      </c>
      <c r="I95" s="243">
        <f>COUNTIFS(РД[Дом],$C$85,РД[ИМ],A95,РД[Дата подачи на регистрацию],"&lt;="&amp;$A$1,РД[Дата подачи на регистрацию],"&gt;="&amp;DATE(YEAR($A$1),MONTH($A$1),1),РД[Состояние],"Продажа")</f>
        <v>14</v>
      </c>
      <c r="J95" s="244">
        <f t="shared" ref="J95:K97" si="6">IFERROR(G95/B95,"")</f>
        <v>1.1489292364990689</v>
      </c>
      <c r="K95" s="258">
        <f t="shared" si="6"/>
        <v>1.2729690403157528</v>
      </c>
      <c r="L95" s="183">
        <f>COUNTIFS(РД[Тип кв],L86,РД[ИМ],$A95,РД[Дом],$C$85,РД[Дата подачи на регистрацию],"&lt;="&amp;$A$1,РД[Дата подачи на регистрацию],"&gt;="&amp;DATE(YEAR($A$1),MONTH($A$1),1))</f>
        <v>3</v>
      </c>
      <c r="M95" s="243">
        <f>COUNTIFS(РД[Тип кв],M86,РД[ИМ],$A95,РД[Дом],$C$85,РД[Дата подачи на регистрацию],"&lt;="&amp;$A$1,РД[Дата подачи на регистрацию],"&gt;="&amp;DATE(YEAR($A$1),MONTH($A$1),1))</f>
        <v>2</v>
      </c>
      <c r="N95" s="243">
        <f>COUNTIFS(РД[Тип кв],N86,РД[ИМ],$A95,РД[Дом],$C$85,РД[Дата подачи на регистрацию],"&lt;="&amp;$A$1,РД[Дата подачи на регистрацию],"&gt;="&amp;DATE(YEAR($A$1),MONTH($A$1),1))</f>
        <v>8</v>
      </c>
      <c r="O95" s="243">
        <f>COUNTIFS(РД[Тип кв],O86,РД[ИМ],$A95,РД[Дом],$C$85,РД[Дата подачи на регистрацию],"&lt;="&amp;$A$1,РД[Дата подачи на регистрацию],"&gt;="&amp;DATE(YEAR($A$1),MONTH($A$1),1))</f>
        <v>1</v>
      </c>
      <c r="P95" s="246">
        <f>COUNTIFS(РД[Тип кв],P86,РД[ИМ],$A95,РД[Дом],$C$85,РД[Дата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50" t="s">
        <v>3</v>
      </c>
      <c r="B96" s="143">
        <f>IFERROR(VLOOKUP(A96,'ИПП 4кв24'!$B$35:$N$48,6,0),"")</f>
        <v>0</v>
      </c>
      <c r="C96" s="144">
        <f>IFERROR(VLOOKUP(A96,'ИПП 4кв24'!$B$35:$N$48,7,0),"")</f>
        <v>0</v>
      </c>
      <c r="D96" s="205">
        <f>SUMIFS(Дек24[м2],Дек24[ИМ],A96,Дек24[№ дома],$C$85,Дек24[Комнатность],"&lt;&gt;Офис")</f>
        <v>0</v>
      </c>
      <c r="E96" s="206">
        <f>SUMIFS(Дек24[Сумма без отделки],Дек24[ИМ],$A96,Дек24[№ дома],$C$85,Дек24[Комнатность],"&lt;&gt;Офис")</f>
        <v>0</v>
      </c>
      <c r="F96" s="207">
        <f>COUNTIFS(Дек24[ИМ],$A96,Дек24[№ дома],$C$85,Дек24[Комнатность],"&lt;&gt;Офис")</f>
        <v>0</v>
      </c>
      <c r="G96" s="187">
        <f>SUMIFS(РД[S],РД[Дом],$C$85,РД[ИМ],A96,РД[Дата подачи на регистрацию],"&lt;="&amp;$A$1,РД[Дата подачи на регистрацию],"&gt;="&amp;DATE(YEAR($A$1),MONTH($A$1),1),РД[Состояние],"Продажа")</f>
        <v>0</v>
      </c>
      <c r="H96" s="188">
        <f>SUMIFS(РД[Стоимость без отделки итог],РД[Дом],$C$85,РД[ИМ],A96,РД[Дата подачи на регистрацию],"&lt;="&amp;$A$1,РД[Дата подачи на регистрацию],"&gt;="&amp;DATE(YEAR($A$1),MONTH($A$1),1),РД[Состояние],"Продажа")</f>
        <v>0</v>
      </c>
      <c r="I96" s="247">
        <f>COUNTIFS(РД[Дом],$C$85,РД[ИМ],A96,РД[Дата подачи на регистрацию],"&lt;="&amp;$A$1,РД[Дата подачи на регистрацию],"&gt;="&amp;DATE(YEAR($A$1),MONTH($A$1),1),РД[Состояние],"Продажа")</f>
        <v>0</v>
      </c>
      <c r="J96" s="248" t="str">
        <f t="shared" si="6"/>
        <v/>
      </c>
      <c r="K96" s="259" t="str">
        <f t="shared" si="6"/>
        <v/>
      </c>
      <c r="L96" s="187">
        <f>COUNTIFS(РД[Тип кв],L$86,РД[ИМ],$A96,РД[Дом],$C$85,РД[Дата подачи на регистрацию],"&lt;="&amp;$A$1,РД[Дата подачи на регистрацию],"&gt;="&amp;DATE(YEAR($A$1),MONTH($A$1),1))</f>
        <v>0</v>
      </c>
      <c r="M96" s="247">
        <f>COUNTIFS(РД[Тип кв],M$86,РД[ИМ],$A96,РД[Дом],$C$85,РД[Дата подачи на регистрацию],"&lt;="&amp;$A$1,РД[Дата подачи на регистрацию],"&gt;="&amp;DATE(YEAR($A$1),MONTH($A$1),1))</f>
        <v>0</v>
      </c>
      <c r="N96" s="247">
        <f>COUNTIFS(РД[Тип кв],N$86,РД[ИМ],$A96,РД[Дом],$C$85,РД[Дата подачи на регистрацию],"&lt;="&amp;$A$1,РД[Дата подачи на регистрацию],"&gt;="&amp;DATE(YEAR($A$1),MONTH($A$1),1))</f>
        <v>0</v>
      </c>
      <c r="O96" s="247">
        <f>COUNTIFS(РД[Тип кв],O$86,РД[ИМ],$A96,РД[Дом],$C$85,РД[Дата подачи на регистрацию],"&lt;="&amp;$A$1,РД[Дата подачи на регистрацию],"&gt;="&amp;DATE(YEAR($A$1),MONTH($A$1),1))</f>
        <v>0</v>
      </c>
      <c r="P96" s="250">
        <f>COUNTIFS(РД[Тип кв],P$86,РД[ИМ],$A96,РД[Дом],$C$85,РД[Дата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189" t="s">
        <v>3</v>
      </c>
      <c r="B97" s="190">
        <f>IFERROR(VLOOKUP(A97,'ИПП 4кв24'!$B$35:$N$48,6,0),"")</f>
        <v>0</v>
      </c>
      <c r="C97" s="191">
        <f>IFERROR(VLOOKUP(A97,'ИПП 4кв24'!$B$35:$N$48,7,0),"")</f>
        <v>0</v>
      </c>
      <c r="D97" s="208">
        <f>SUMIFS(Дек24[м2],Дек24[ИМ],A97,Дек24[№ дома],$C$85,Дек24[Комнатность],"&lt;&gt;Офис")</f>
        <v>0</v>
      </c>
      <c r="E97" s="209">
        <f>SUMIFS(Дек24[Сумма без отделки],Дек24[ИМ],$A97,Дек24[№ дома],$C$85,Дек24[Комнатность],"&lt;&gt;Офис")</f>
        <v>0</v>
      </c>
      <c r="F97" s="210">
        <f>COUNTIFS(Дек24[ИМ],$A97,Дек24[№ дома],$C$85,Дек24[Комнатность],"&lt;&gt;Офис")</f>
        <v>0</v>
      </c>
      <c r="G97" s="195">
        <f>SUMIFS(РД[S],РД[Дом],$C$85,РД[ИМ],A97,РД[Дата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H97" s="196">
        <f>SUMIFS(РД[Стоимость без отделки итог],РД[Дом],$C$85,РД[ИМ],A97,РД[Дата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I97" s="251">
        <f>COUNTIFS(РД[Дом],$C$85,РД[ИМ],A97,РД[Дата подачи на регистрацию],"&lt;="&amp;$A$1,РД[Дата подачи на регистрацию],"&gt;="&amp;DATE(YEAR($A$1),MONTH($A$1),1),РД[Состояние],"Продажа")</f>
        <v>0</v>
      </c>
      <c r="J97" s="252" t="str">
        <f t="shared" si="6"/>
        <v/>
      </c>
      <c r="K97" s="260" t="str">
        <f t="shared" si="6"/>
        <v/>
      </c>
      <c r="L97" s="195">
        <f>COUNTIFS(РД[Тип кв],L$86,РД[ИМ],$A97,РД[Дом],$C$85,РД[Дата подачи на регистрацию],"&lt;="&amp;$A$1,РД[Дата подачи на регистрацию],"&gt;="&amp;DATE(YEAR($A$1),MONTH($A$1),1))</f>
        <v>0</v>
      </c>
      <c r="M97" s="251">
        <f>COUNTIFS(РД[Тип кв],M$86,РД[ИМ],$A97,РД[Дом],$C$85,РД[Дата подачи на регистрацию],"&lt;="&amp;$A$1,РД[Дата подачи на регистрацию],"&gt;="&amp;DATE(YEAR($A$1),MONTH($A$1),1))</f>
        <v>0</v>
      </c>
      <c r="N97" s="251">
        <f>COUNTIFS(РД[Тип кв],N$86,РД[ИМ],$A97,РД[Дом],$C$85,РД[Дата подачи на регистрацию],"&lt;="&amp;$A$1,РД[Дата подачи на регистрацию],"&gt;="&amp;DATE(YEAR($A$1),MONTH($A$1),1))</f>
        <v>0</v>
      </c>
      <c r="O97" s="251">
        <f>COUNTIFS(РД[Тип кв],O$86,РД[ИМ],$A97,РД[Дом],$C$85,РД[Дата подачи на регистрацию],"&lt;="&amp;$A$1,РД[Дата подачи на регистрацию],"&gt;="&amp;DATE(YEAR($A$1),MONTH($A$1),1))</f>
        <v>0</v>
      </c>
      <c r="P97" s="254">
        <f>COUNTIFS(РД[Тип кв],P$86,РД[ИМ],$A97,РД[Дом],$C$85,РД[Дата подачи на регистрацию],"&lt;="&amp;$A$1,РД[Дата подачи на регистрацию],"&gt;="&amp;DATE(YEAR($A$1),MONTH($A$1),1))</f>
        <v>0</v>
      </c>
      <c r="Q97" s="86"/>
      <c r="R97" s="86"/>
      <c r="S97" s="86"/>
      <c r="T97" s="66"/>
    </row>
    <row r="98" spans="1:21" s="65" customFormat="1">
      <c r="A98" s="168" t="s">
        <v>114</v>
      </c>
      <c r="B98" s="169">
        <f t="shared" ref="B98:I98" si="7">SUM(B95:B97)</f>
        <v>644.4</v>
      </c>
      <c r="C98" s="170">
        <f t="shared" si="7"/>
        <v>69801370.799999997</v>
      </c>
      <c r="D98" s="173">
        <f t="shared" si="7"/>
        <v>740.37</v>
      </c>
      <c r="E98" s="173">
        <f t="shared" si="7"/>
        <v>88995132</v>
      </c>
      <c r="F98" s="171">
        <f t="shared" si="7"/>
        <v>14</v>
      </c>
      <c r="G98" s="172">
        <f t="shared" si="7"/>
        <v>740.37</v>
      </c>
      <c r="H98" s="173">
        <f t="shared" si="7"/>
        <v>88854984</v>
      </c>
      <c r="I98" s="170">
        <f t="shared" si="7"/>
        <v>14</v>
      </c>
      <c r="J98" s="238">
        <f>IFERROR(G98/B98,)</f>
        <v>1.1489292364990689</v>
      </c>
      <c r="K98" s="239">
        <f>IFERROR(H98/C98,)</f>
        <v>1.2729690403157528</v>
      </c>
      <c r="L98" s="240">
        <f t="shared" ref="L98:P98" si="8">SUM(L95:L97)</f>
        <v>3</v>
      </c>
      <c r="M98" s="241">
        <f t="shared" si="8"/>
        <v>2</v>
      </c>
      <c r="N98" s="241">
        <f t="shared" si="8"/>
        <v>8</v>
      </c>
      <c r="O98" s="241">
        <f t="shared" si="8"/>
        <v>1</v>
      </c>
      <c r="P98" s="242">
        <f t="shared" si="8"/>
        <v>0</v>
      </c>
      <c r="Q98" s="86"/>
      <c r="R98" s="86"/>
      <c r="S98" s="86"/>
      <c r="T98" s="66"/>
    </row>
    <row r="99" spans="1:21" s="65" customFormat="1">
      <c r="A99" s="134"/>
      <c r="B99" s="211"/>
      <c r="C99" s="211"/>
      <c r="D99" s="212"/>
      <c r="E99" s="134"/>
      <c r="F99" s="134"/>
      <c r="G99" s="134"/>
      <c r="H99" s="134"/>
      <c r="I99" s="134"/>
      <c r="J99" s="134"/>
      <c r="K99" s="134"/>
      <c r="L99" s="261"/>
      <c r="M99" s="134"/>
      <c r="N99" s="134"/>
      <c r="O99" s="134"/>
      <c r="P99" s="262"/>
      <c r="Q99" s="134"/>
      <c r="U99" s="66"/>
    </row>
    <row r="100" spans="1:21" s="65" customFormat="1">
      <c r="A100" s="2325" t="s">
        <v>713</v>
      </c>
      <c r="B100" s="2326"/>
      <c r="C100" s="133" t="s">
        <v>19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263"/>
      <c r="T100" s="66"/>
    </row>
    <row r="101" spans="1:21" s="65" customFormat="1">
      <c r="A101" s="135" t="s">
        <v>1</v>
      </c>
      <c r="B101" s="135" t="s">
        <v>100</v>
      </c>
      <c r="C101" s="136" t="s">
        <v>97</v>
      </c>
      <c r="D101" s="137" t="s">
        <v>494</v>
      </c>
      <c r="E101" s="138" t="s">
        <v>495</v>
      </c>
      <c r="F101" s="139" t="s">
        <v>496</v>
      </c>
      <c r="G101" s="140" t="s">
        <v>101</v>
      </c>
      <c r="H101" s="141" t="s">
        <v>98</v>
      </c>
      <c r="I101" s="141" t="s">
        <v>96</v>
      </c>
      <c r="J101" s="141" t="s">
        <v>715</v>
      </c>
      <c r="K101" s="216" t="s">
        <v>716</v>
      </c>
      <c r="L101" s="217">
        <v>0</v>
      </c>
      <c r="M101" s="218">
        <v>1</v>
      </c>
      <c r="N101" s="218">
        <v>2</v>
      </c>
      <c r="O101" s="218">
        <v>3</v>
      </c>
      <c r="P101" s="219" t="s">
        <v>1367</v>
      </c>
      <c r="Q101" s="134"/>
      <c r="U101" s="66"/>
    </row>
    <row r="102" spans="1:21" s="65" customFormat="1">
      <c r="A102" s="398" t="s">
        <v>8</v>
      </c>
      <c r="B102" s="143">
        <f>IFERROR(VLOOKUP(A102,'ИПП 4кв24'!$B$35:$N$48,8,0),"")</f>
        <v>47</v>
      </c>
      <c r="C102" s="144">
        <f>IFERROR(VLOOKUP(A102,'ИПП 4кв24'!$B$35:$N$48,9,0),"")</f>
        <v>5435499</v>
      </c>
      <c r="D102" s="199">
        <f>SUMIFS(Дек24[м2],Дек24[МОП],$A102,Дек24[№ дома],$C$100,Дек24[Комнатность],"&lt;&gt;Офис")</f>
        <v>35.53</v>
      </c>
      <c r="E102" s="200">
        <f>SUMIFS(Дек24[Сумма без отделки],Дек24[МОП],$A102,Дек24[№ дома],$C$100,Дек24[Комнатность],"&lt;&gt;Офис")</f>
        <v>4707626</v>
      </c>
      <c r="F102" s="201">
        <f>COUNTIFS(Дек24[МОП],$A102,Дек24[№ дома],$C$100,Дек24[Комнатность],"&lt;&gt;Офис")</f>
        <v>1</v>
      </c>
      <c r="G102" s="202">
        <f>SUMIFS(РД[S],РД[Дом],$C$100,РД[МОП],A102,РД[Дата подачи на регистрацию],"&lt;="&amp;$A$1,РД[Дата подачи на регистрацию],"&gt;="&amp;DATE(YEAR($A$1),MONTH($A$1),1),РД[Состояние],"Продажа")</f>
        <v>35.53</v>
      </c>
      <c r="H102" s="203">
        <f>SUMIFS(РД[Стоимость без отделки итог],РД[Дом],$C$100,РД[МОП],A102,РД[Дата подачи на регистрацию],"&lt;="&amp;$A$1,РД[Дата подачи на регистрацию],"&gt;="&amp;DATE(YEAR($A$1),MONTH($A$1),1),РД[Состояние],"Продажа")</f>
        <v>4707626</v>
      </c>
      <c r="I102" s="226">
        <f>COUNTIFS(РД[Дом],$C$100,РД[МОП],A102,РД[Дата подачи на регистрацию],"&lt;="&amp;$A$1,РД[Дата подачи на регистрацию],"&gt;="&amp;DATE(YEAR($A$1),MONTH($A$1),1),РД[Состояние],"Продажа")</f>
        <v>1</v>
      </c>
      <c r="J102" s="224">
        <f t="shared" ref="J102:K107" si="9">IFERROR(G102/B102,)</f>
        <v>0.75595744680851062</v>
      </c>
      <c r="K102" s="225">
        <f t="shared" si="9"/>
        <v>0.86608901960979112</v>
      </c>
      <c r="L102" s="257">
        <f>COUNTIFS(РД[Тип кв],L$86,РД[МОП],$A102,РД[Дом],$C$100,РД[Дата подачи на регистрацию],"&lt;="&amp;$A$1,РД[Дата подачи на регистрацию],"&gt;="&amp;DATE(YEAR($A$1),MONTH($A$1),1))</f>
        <v>0</v>
      </c>
      <c r="M102" s="226">
        <f>COUNTIFS(РД[Тип кв],M$86,РД[МОП],$A102,РД[Дом],$C$100,РД[Дата подачи на регистрацию],"&lt;="&amp;$A$1,РД[Дата подачи на регистрацию],"&gt;="&amp;DATE(YEAR($A$1),MONTH($A$1),1))</f>
        <v>1</v>
      </c>
      <c r="N102" s="226">
        <f>COUNTIFS(РД[Тип кв],N$86,РД[МОП],$A102,РД[Дом],$C$100,РД[Дата подачи на регистрацию],"&lt;="&amp;$A$1,РД[Дата подачи на регистрацию],"&gt;="&amp;DATE(YEAR($A$1),MONTH($A$1),1))</f>
        <v>0</v>
      </c>
      <c r="O102" s="226">
        <f>COUNTIFS(РД[Тип кв],O$86,РД[МОП],$A102,РД[Дом],$C$100,РД[Дата подачи на регистрацию],"&lt;="&amp;$A$1,РД[Дата подачи на регистрацию],"&gt;="&amp;DATE(YEAR($A$1),MONTH($A$1),1))</f>
        <v>0</v>
      </c>
      <c r="P102" s="227">
        <f>COUNTIFS(РД[Тип кв],P$86,РД[МОП],$A102,РД[Дом],$C$100,РД[Дата подачи на регистрацию],"&lt;="&amp;$A$1,РД[Дата подачи на регистрацию],"&gt;="&amp;DATE(YEAR($A$1),MONTH($A$1),1))</f>
        <v>0</v>
      </c>
      <c r="Q102" s="134"/>
      <c r="U102" s="66"/>
    </row>
    <row r="103" spans="1:21" s="65" customFormat="1">
      <c r="A103" s="150" t="s">
        <v>24</v>
      </c>
      <c r="B103" s="143">
        <f>IFERROR(VLOOKUP(A103,'ИПП 4кв24'!$B$35:$N$48,8,0),"")</f>
        <v>30</v>
      </c>
      <c r="C103" s="144">
        <f>IFERROR(VLOOKUP(A103,'ИПП 4кв24'!$B$35:$N$48,9,0),"")</f>
        <v>3558958</v>
      </c>
      <c r="D103" s="199">
        <f>SUMIFS(Дек24[м2],Дек24[МОП],$A103,Дек24[№ дома],$C$100,Дек24[Комнатность],"&lt;&gt;Офис")</f>
        <v>0</v>
      </c>
      <c r="E103" s="200">
        <f>SUMIFS(Дек24[Сумма без отделки],Дек24[МОП],$A103,Дек24[№ дома],$C$100,Дек24[Комнатность],"&lt;&gt;Офис")</f>
        <v>0</v>
      </c>
      <c r="F103" s="201">
        <f>COUNTIFS(Дек24[МОП],$A103,Дек24[№ дома],$C$100,Дек24[Комнатность],"&lt;&gt;Офис")</f>
        <v>0</v>
      </c>
      <c r="G103" s="202">
        <f>SUMIFS(РД[S],РД[Дом],$C$100,РД[МОП],A103,РД[Дата подачи на регистрацию],"&lt;="&amp;$A$1,РД[Дата подачи на регистрацию],"&gt;="&amp;DATE(YEAR($A$1),MONTH($A$1),1),РД[Состояние],"Продажа")</f>
        <v>35.53</v>
      </c>
      <c r="H103" s="203">
        <f>SUMIFS(РД[Стоимость без отделки итог],РД[Дом],$C$100,РД[МОП],A103,РД[Дата подачи на регистрацию],"&lt;="&amp;$A$1,РД[Дата подачи на регистрацию],"&gt;="&amp;DATE(YEAR($A$1),MONTH($A$1),1),РД[Состояние],"Продажа")</f>
        <v>5023959</v>
      </c>
      <c r="I103" s="226">
        <f>COUNTIFS(РД[Дом],$C$100,РД[МОП],A103,РД[Дата подачи на регистрацию],"&lt;="&amp;$A$1,РД[Дата подачи на регистрацию],"&gt;="&amp;DATE(YEAR($A$1),MONTH($A$1),1),РД[Состояние],"Продажа")</f>
        <v>1</v>
      </c>
      <c r="J103" s="224">
        <f t="shared" si="9"/>
        <v>1.1843333333333335</v>
      </c>
      <c r="K103" s="225">
        <f t="shared" si="9"/>
        <v>1.4116376197752263</v>
      </c>
      <c r="L103" s="257">
        <f>COUNTIFS(РД[Тип кв],L$86,РД[МОП],$A103,РД[Дом],$C$100,РД[Дата подачи на регистрацию],"&lt;="&amp;$A$1,РД[Дата подачи на регистрацию],"&gt;="&amp;DATE(YEAR($A$1),MONTH($A$1),1))</f>
        <v>0</v>
      </c>
      <c r="M103" s="226">
        <f>COUNTIFS(РД[Тип кв],M$86,РД[МОП],$A103,РД[Дом],$C$100,РД[Дата подачи на регистрацию],"&lt;="&amp;$A$1,РД[Дата подачи на регистрацию],"&gt;="&amp;DATE(YEAR($A$1),MONTH($A$1),1))</f>
        <v>1</v>
      </c>
      <c r="N103" s="226">
        <f>COUNTIFS(РД[Тип кв],N$86,РД[МОП],$A103,РД[Дом],$C$100,РД[Дата подачи на регистрацию],"&lt;="&amp;$A$1,РД[Дата подачи на регистрацию],"&gt;="&amp;DATE(YEAR($A$1),MONTH($A$1),1))</f>
        <v>0</v>
      </c>
      <c r="O103" s="226">
        <f>COUNTIFS(РД[Тип кв],O$86,РД[МОП],$A103,РД[Дом],$C$100,РД[Дата подачи на регистрацию],"&lt;="&amp;$A$1,РД[Дата подачи на регистрацию],"&gt;="&amp;DATE(YEAR($A$1),MONTH($A$1),1))</f>
        <v>0</v>
      </c>
      <c r="P103" s="227">
        <f>COUNTIFS(РД[Тип кв],P$86,РД[МОП],$A103,РД[Дом],$C$100,РД[Дата подачи на регистрацию],"&lt;="&amp;$A$1,РД[Дата подачи на регистрацию],"&gt;="&amp;DATE(YEAR($A$1),MONTH($A$1),1))</f>
        <v>0</v>
      </c>
      <c r="Q103" s="134"/>
      <c r="U103" s="66"/>
    </row>
    <row r="104" spans="1:21" s="65" customFormat="1">
      <c r="A104" s="153" t="s">
        <v>20</v>
      </c>
      <c r="B104" s="143">
        <f>IFERROR(VLOOKUP(A104,'ИПП 4кв24'!$B$35:$N$48,8,0),"")</f>
        <v>47</v>
      </c>
      <c r="C104" s="144">
        <f>IFERROR(VLOOKUP(A104,'ИПП 4кв24'!$B$35:$N$48,9,0),"")</f>
        <v>5435499</v>
      </c>
      <c r="D104" s="199">
        <f>SUMIFS(Дек24[м2],Дек24[МОП],$A104,Дек24[№ дома],$C$100,Дек24[Комнатность],"&lt;&gt;Офис")</f>
        <v>49.2</v>
      </c>
      <c r="E104" s="200">
        <f>SUMIFS(Дек24[Сумма без отделки],Дек24[МОП],$A104,Дек24[№ дома],$C$100,Дек24[Комнатность],"&lt;&gt;Офис")</f>
        <v>6051592</v>
      </c>
      <c r="F104" s="201">
        <f>COUNTIFS(Дек24[МОП],$A104,Дек24[№ дома],$C$100,Дек24[Комнатность],"&lt;&gt;Офис")</f>
        <v>1</v>
      </c>
      <c r="G104" s="202">
        <f>SUMIFS(РД[S],РД[Дом],$C$100,РД[МОП],A104,РД[Дата подачи на регистрацию],"&lt;="&amp;$A$1,РД[Дата подачи на регистрацию],"&gt;="&amp;DATE(YEAR($A$1),MONTH($A$1),1),РД[Состояние],"Продажа")</f>
        <v>49.2</v>
      </c>
      <c r="H104" s="203">
        <f>SUMIFS(РД[Стоимость без отделки итог],РД[Дом],$C$100,РД[МОП],A104,РД[Дата подачи на регистрацию],"&lt;="&amp;$A$1,РД[Дата подачи на регистрацию],"&gt;="&amp;DATE(YEAR($A$1),MONTH($A$1),1),РД[Состояние],"Продажа")</f>
        <v>6066592</v>
      </c>
      <c r="I104" s="226">
        <f>COUNTIFS(РД[Дом],$C$100,РД[МОП],A104,РД[Дата подачи на регистрацию],"&lt;="&amp;$A$1,РД[Дата подачи на регистрацию],"&gt;="&amp;DATE(YEAR($A$1),MONTH($A$1),1),РД[Состояние],"Продажа")</f>
        <v>1</v>
      </c>
      <c r="J104" s="224">
        <f t="shared" si="9"/>
        <v>1.0468085106382978</v>
      </c>
      <c r="K104" s="225">
        <f t="shared" si="9"/>
        <v>1.1161058073968921</v>
      </c>
      <c r="L104" s="257">
        <f>COUNTIFS(РД[Тип кв],L$86,РД[МОП],$A104,РД[Дом],$C$100,РД[Дата подачи на регистрацию],"&lt;="&amp;$A$1,РД[Дата подачи на регистрацию],"&gt;="&amp;DATE(YEAR($A$1),MONTH($A$1),1))</f>
        <v>0</v>
      </c>
      <c r="M104" s="226">
        <f>COUNTIFS(РД[Тип кв],M$86,РД[МОП],$A104,РД[Дом],$C$100,РД[Дата подачи на регистрацию],"&lt;="&amp;$A$1,РД[Дата подачи на регистрацию],"&gt;="&amp;DATE(YEAR($A$1),MONTH($A$1),1))</f>
        <v>0</v>
      </c>
      <c r="N104" s="226">
        <f>COUNTIFS(РД[Тип кв],N$86,РД[МОП],$A104,РД[Дом],$C$100,РД[Дата подачи на регистрацию],"&lt;="&amp;$A$1,РД[Дата подачи на регистрацию],"&gt;="&amp;DATE(YEAR($A$1),MONTH($A$1),1))</f>
        <v>1</v>
      </c>
      <c r="O104" s="226">
        <f>COUNTIFS(РД[Тип кв],O$86,РД[МОП],$A104,РД[Дом],$C$100,РД[Дата подачи на регистрацию],"&lt;="&amp;$A$1,РД[Дата подачи на регистрацию],"&gt;="&amp;DATE(YEAR($A$1),MONTH($A$1),1))</f>
        <v>0</v>
      </c>
      <c r="P104" s="227">
        <f>COUNTIFS(РД[Тип кв],P$86,РД[МОП],$A104,РД[Дом],$C$100,РД[Дата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53" t="s">
        <v>14</v>
      </c>
      <c r="B105" s="143">
        <f>IFERROR(VLOOKUP(A105,'ИПП 4кв24'!$B$35:$N$48,8,0),"")</f>
        <v>47</v>
      </c>
      <c r="C105" s="144">
        <f>IFERROR(VLOOKUP(A105,'ИПП 4кв24'!$B$35:$N$48,9,0),"")</f>
        <v>5435499</v>
      </c>
      <c r="D105" s="299">
        <f>SUMIFS(Дек24[м2],Дек24[МОП],$A105,Дек24[№ дома],$C$100,Дек24[Комнатность],"&lt;&gt;Офис")</f>
        <v>5.61</v>
      </c>
      <c r="E105" s="300">
        <f>SUMIFS(Дек24[Сумма без отделки],Дек24[МОП],$A105,Дек24[№ дома],$C$100,Дек24[Комнатность],"&lt;&gt;Офис")</f>
        <v>673200</v>
      </c>
      <c r="F105" s="301">
        <f>COUNTIFS(Дек24[МОП],$A105,Дек24[№ дома],$C$100,Дек24[Комнатность],"&lt;&gt;Офис")</f>
        <v>1</v>
      </c>
      <c r="G105" s="358">
        <f>SUMIFS(РД[S],РД[Дом],$C$100,РД[МОП],A105,РД[Дата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359">
        <f>SUMIFS(РД[Стоимость без отделки итог],РД[Дом],$C$100,РД[МОП],A105,РД[Дата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330">
        <f>COUNTIFS(РД[Дом],$C$100,РД[МОП],A105,РД[Дата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360">
        <f t="shared" si="9"/>
        <v>0</v>
      </c>
      <c r="K105" s="361">
        <f t="shared" si="9"/>
        <v>0</v>
      </c>
      <c r="L105" s="329">
        <f>COUNTIFS(РД[Тип кв],L$86,РД[МОП],$A105,РД[Дом],$C$100,РД[Дата подачи на регистрацию],"&lt;="&amp;$A$1,РД[Дата подачи на регистрацию],"&gt;="&amp;DATE(YEAR($A$1),MONTH($A$1),1))</f>
        <v>0</v>
      </c>
      <c r="M105" s="330">
        <f>COUNTIFS(РД[Тип кв],M$86,РД[МОП],$A105,РД[Дом],$C$100,РД[Дата подачи на регистрацию],"&lt;="&amp;$A$1,РД[Дата подачи на регистрацию],"&gt;="&amp;DATE(YEAR($A$1),MONTH($A$1),1))</f>
        <v>0</v>
      </c>
      <c r="N105" s="330">
        <f>COUNTIFS(РД[Тип кв],N$86,РД[МОП],$A105,РД[Дом],$C$100,РД[Дата подачи на регистрацию],"&lt;="&amp;$A$1,РД[Дата подачи на регистрацию],"&gt;="&amp;DATE(YEAR($A$1),MONTH($A$1),1))</f>
        <v>0</v>
      </c>
      <c r="O105" s="330">
        <f>COUNTIFS(РД[Тип кв],O$86,РД[МОП],$A105,РД[Дом],$C$100,РД[Дата подачи на регистрацию],"&lt;="&amp;$A$1,РД[Дата подачи на регистрацию],"&gt;="&amp;DATE(YEAR($A$1),MONTH($A$1),1))</f>
        <v>0</v>
      </c>
      <c r="P105" s="331">
        <f>COUNTIFS(РД[Тип кв],P$86,РД[МОП],$A105,РД[Дом],$C$100,РД[Дата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4" t="s">
        <v>29</v>
      </c>
      <c r="B106" s="155"/>
      <c r="C106" s="156"/>
      <c r="D106" s="157">
        <f>SUMIFS(Дек24[м2],Дек24[МОП],$A106,Дек24[№ дома],$C$100,Дек24[Комнатность],"&lt;&gt;Офис")</f>
        <v>0</v>
      </c>
      <c r="E106" s="156">
        <f>SUMIFS(Дек24[Сумма без отделки],Дек24[МОП],$A106,Дек24[№ дома],$C$100,Дек24[Комнатность],"&lt;&gt;Офис")</f>
        <v>0</v>
      </c>
      <c r="F106" s="158">
        <f>COUNTIFS(Дек24[МОП],$A106,Дек24[№ дома],$C$100,Дек24[Комнатность],"&lt;&gt;Офис")</f>
        <v>0</v>
      </c>
      <c r="G106" s="159">
        <f>SUMIFS(РД[S],РД[Дом],$C$100,РД[МОП],A106,РД[Дата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160">
        <f>SUMIFS(РД[Стоимость без отделки итог],РД[Дом],$C$100,РД[МОП],A106,РД[Дата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8">
        <f>COUNTIFS(РД[Дом],$C$100,РД[МОП],A106,РД[Дата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9">
        <f t="shared" si="9"/>
        <v>0</v>
      </c>
      <c r="K106" s="230">
        <f t="shared" si="9"/>
        <v>0</v>
      </c>
      <c r="L106" s="159">
        <f>COUNTIFS(РД[Тип кв],L$86,РД[МОП],$A106,РД[Дом],$C$100,РД[Дата подачи на регистрацию],"&lt;="&amp;$A$1,РД[Дата подачи на регистрацию],"&gt;="&amp;DATE(YEAR($A$1),MONTH($A$1),1))</f>
        <v>0</v>
      </c>
      <c r="M106" s="228">
        <f>COUNTIFS(РД[Тип кв],M$86,РД[МОП],$A106,РД[Дом],$C$100,РД[Дата подачи на регистрацию],"&lt;="&amp;$A$1,РД[Дата подачи на регистрацию],"&gt;="&amp;DATE(YEAR($A$1),MONTH($A$1),1))</f>
        <v>0</v>
      </c>
      <c r="N106" s="228">
        <f>COUNTIFS(РД[Тип кв],N$86,РД[МОП],$A106,РД[Дом],$C$100,РД[Дата подачи на регистрацию],"&lt;="&amp;$A$1,РД[Дата подачи на регистрацию],"&gt;="&amp;DATE(YEAR($A$1),MONTH($A$1),1))</f>
        <v>0</v>
      </c>
      <c r="O106" s="228">
        <f>COUNTIFS(РД[Тип кв],O$86,РД[МОП],$A106,РД[Дом],$C$100,РД[Дата подачи на регистрацию],"&lt;="&amp;$A$1,РД[Дата подачи на регистрацию],"&gt;="&amp;DATE(YEAR($A$1),MONTH($A$1),1))</f>
        <v>0</v>
      </c>
      <c r="P106" s="231">
        <f>COUNTIFS(РД[Тип кв],P$86,РД[МОП],$A106,РД[Дом],$C$100,РД[Дата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61" t="s">
        <v>1919</v>
      </c>
      <c r="B107" s="162"/>
      <c r="C107" s="163"/>
      <c r="D107" s="164">
        <f>SUMIFS(Дек24[м2],Дек24[МОП],$A107,Дек24[№ дома],$C$100,Дек24[Комнатность],"&lt;&gt;Офис")</f>
        <v>35.53</v>
      </c>
      <c r="E107" s="163">
        <f>SUMIFS(Дек24[Сумма без отделки],Дек24[МОП],$A107,Дек24[№ дома],$C$100,Дек24[Комнатность],"&lt;&gt;Офис")</f>
        <v>5023959</v>
      </c>
      <c r="F107" s="165">
        <f>COUNTIFS(Дек24[МОП],$A107,Дек24[№ дома],$C$100,Дек24[Комнатность],"&lt;&gt;Офис")</f>
        <v>1</v>
      </c>
      <c r="G107" s="166">
        <f>SUMIFS(РД[S],РД[Дом],$C$100,РД[МОП],A107,РД[Дата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167">
        <f>SUMIFS(РД[Стоимость без отделки итог],РД[Дом],$C$100,РД[МОП],A107,РД[Дата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32">
        <f>COUNTIFS(РД[Дом],$C$100,РД[МОП],A107,РД[Дата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33">
        <f t="shared" si="9"/>
        <v>0</v>
      </c>
      <c r="K107" s="234">
        <f t="shared" si="9"/>
        <v>0</v>
      </c>
      <c r="L107" s="235">
        <f>COUNTIFS(РД[Тип кв],L$86,РД[МОП],$A107,РД[Дом],$C$100,РД[Дата подачи на регистрацию],"&lt;="&amp;$A$1,РД[Дата подачи на регистрацию],"&gt;="&amp;DATE(YEAR($A$1),MONTH($A$1),1))</f>
        <v>0</v>
      </c>
      <c r="M107" s="236">
        <f>COUNTIFS(РД[Тип кв],M$86,РД[МОП],$A107,РД[Дом],$C$100,РД[Дата подачи на регистрацию],"&lt;="&amp;$A$1,РД[Дата подачи на регистрацию],"&gt;="&amp;DATE(YEAR($A$1),MONTH($A$1),1))</f>
        <v>0</v>
      </c>
      <c r="N107" s="236">
        <f>COUNTIFS(РД[Тип кв],N$86,РД[МОП],$A107,РД[Дом],$C$100,РД[Дата подачи на регистрацию],"&lt;="&amp;$A$1,РД[Дата подачи на регистрацию],"&gt;="&amp;DATE(YEAR($A$1),MONTH($A$1),1))</f>
        <v>0</v>
      </c>
      <c r="O107" s="236">
        <f>COUNTIFS(РД[Тип кв],O$86,РД[МОП],$A107,РД[Дом],$C$100,РД[Дата подачи на регистрацию],"&lt;="&amp;$A$1,РД[Дата подачи на регистрацию],"&gt;="&amp;DATE(YEAR($A$1),MONTH($A$1),1))</f>
        <v>0</v>
      </c>
      <c r="P107" s="237">
        <f>COUNTIFS(РД[Тип кв],P$86,РД[МОП],$A107,РД[Дом],$C$100,РД[Дата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68" t="s">
        <v>114</v>
      </c>
      <c r="B108" s="169">
        <f t="shared" ref="B108:I108" si="10">SUM(B102:B107)</f>
        <v>171</v>
      </c>
      <c r="C108" s="170">
        <f t="shared" si="10"/>
        <v>19865455</v>
      </c>
      <c r="D108" s="170">
        <f t="shared" si="10"/>
        <v>125.87</v>
      </c>
      <c r="E108" s="170">
        <f t="shared" si="10"/>
        <v>16456377</v>
      </c>
      <c r="F108" s="171">
        <f t="shared" si="10"/>
        <v>4</v>
      </c>
      <c r="G108" s="172">
        <f t="shared" si="10"/>
        <v>120.26</v>
      </c>
      <c r="H108" s="173">
        <f t="shared" si="10"/>
        <v>15798177</v>
      </c>
      <c r="I108" s="170">
        <f t="shared" si="10"/>
        <v>3</v>
      </c>
      <c r="J108" s="238">
        <f>IFERROR(G108/B108,"")</f>
        <v>0.70327485380116961</v>
      </c>
      <c r="K108" s="239">
        <f>IFERROR(H108/C108,"")</f>
        <v>0.79525875445591354</v>
      </c>
      <c r="L108" s="240">
        <f>SUM(L102:L107)</f>
        <v>0</v>
      </c>
      <c r="M108" s="241">
        <f>SUM(M102:M107)</f>
        <v>2</v>
      </c>
      <c r="N108" s="241">
        <f>SUM(N102:N107)</f>
        <v>1</v>
      </c>
      <c r="O108" s="241">
        <f>SUM(O102:O107)</f>
        <v>0</v>
      </c>
      <c r="P108" s="242">
        <f>SUM(P102:P107)</f>
        <v>0</v>
      </c>
      <c r="Q108" s="134"/>
      <c r="U108" s="66"/>
    </row>
    <row r="109" spans="1:21" s="65" customFormat="1">
      <c r="A109" s="135" t="s">
        <v>115</v>
      </c>
      <c r="B109" s="213" t="s">
        <v>100</v>
      </c>
      <c r="C109" s="214" t="s">
        <v>97</v>
      </c>
      <c r="D109" s="174" t="s">
        <v>494</v>
      </c>
      <c r="E109" s="175" t="s">
        <v>495</v>
      </c>
      <c r="F109" s="176" t="s">
        <v>496</v>
      </c>
      <c r="G109" s="140" t="s">
        <v>101</v>
      </c>
      <c r="H109" s="141" t="s">
        <v>98</v>
      </c>
      <c r="I109" s="141" t="s">
        <v>96</v>
      </c>
      <c r="J109" s="141" t="s">
        <v>715</v>
      </c>
      <c r="K109" s="216" t="s">
        <v>716</v>
      </c>
      <c r="L109" s="217">
        <v>0</v>
      </c>
      <c r="M109" s="218">
        <v>1</v>
      </c>
      <c r="N109" s="218">
        <v>2</v>
      </c>
      <c r="O109" s="218">
        <v>3</v>
      </c>
      <c r="P109" s="219" t="s">
        <v>1367</v>
      </c>
      <c r="Q109" s="134"/>
      <c r="U109" s="66"/>
    </row>
    <row r="110" spans="1:21" s="65" customFormat="1">
      <c r="A110" s="177" t="s">
        <v>22</v>
      </c>
      <c r="B110" s="178">
        <f>IFERROR(VLOOKUP(A110,'ИПП 4кв24'!$B$35:$N$48,8,0),"")</f>
        <v>102.6</v>
      </c>
      <c r="C110" s="179">
        <f>IFERROR(VLOOKUP(A110,'ИПП 4кв24'!$B$35:$N$48,9,0),"")</f>
        <v>11919273</v>
      </c>
      <c r="D110" s="180">
        <f>SUMIFS(Дек24[м2],Дек24[ИМ],A110,Дек24[№ дома],$C$100,Дек24[Комнатность],"&lt;&gt;Офис")</f>
        <v>71.06</v>
      </c>
      <c r="E110" s="181">
        <f>SUMIFS(Дек24[Сумма без отделки],Дек24[ИМ],$A110,Дек24[№ дома],$C$100,Дек24[Комнатность],"&lt;&gt;Офис")</f>
        <v>9731585</v>
      </c>
      <c r="F110" s="204">
        <f>COUNTIFS(Дек24[ИМ],$A110,Дек24[№ дома],$C$100,Дек24[Комнатность],"&lt;&gt;Офис")</f>
        <v>2</v>
      </c>
      <c r="G110" s="183">
        <f>SUMIFS(РД[S],РД[Дом],$C$100,РД[ИМ],A110,РД[Дата подачи на регистрацию],"&lt;="&amp;$A$1,РД[Дата подачи на регистрацию],"&gt;="&amp;DATE(YEAR($A$1),MONTH($A$1),1),РД[Состояние],"Продажа")</f>
        <v>71.06</v>
      </c>
      <c r="H110" s="184">
        <f>SUMIFS(РД[Стоимость без отделки итог],РД[Дом],$C$100,РД[ИМ],A110,РД[Дата подачи на регистрацию],"&lt;="&amp;$A$1,РД[Дата подачи на регистрацию],"&gt;="&amp;DATE(YEAR($A$1),MONTH($A$1),1),РД[Состояние],"Продажа")</f>
        <v>9731585</v>
      </c>
      <c r="I110" s="243">
        <f>COUNTIFS(РД[Дом],$C$100,РД[ИМ],A110,РД[Дата подачи на регистрацию],"&lt;="&amp;$A$1,РД[Дата подачи на регистрацию],"&gt;="&amp;DATE(YEAR($A$1),MONTH($A$1),1),РД[Состояние],"Продажа")</f>
        <v>2</v>
      </c>
      <c r="J110" s="244">
        <f t="shared" ref="J110:K112" si="11">IFERROR(G110/B110,"")</f>
        <v>0.69259259259259265</v>
      </c>
      <c r="K110" s="258">
        <f t="shared" si="11"/>
        <v>0.81645793329844862</v>
      </c>
      <c r="L110" s="183">
        <f>COUNTIFS(РД[Тип кв],L101,РД[ИМ],$A110,РД[Дом],$C$100,РД[Дата подачи на регистрацию],"&lt;="&amp;$A$1,РД[Дата подачи на регистрацию],"&gt;="&amp;DATE(YEAR($A$1),MONTH($A$1),1))</f>
        <v>0</v>
      </c>
      <c r="M110" s="243">
        <f>COUNTIFS(РД[Тип кв],M101,РД[ИМ],$A110,РД[Дом],$C$100,РД[Дата подачи на регистрацию],"&lt;="&amp;$A$1,РД[Дата подачи на регистрацию],"&gt;="&amp;DATE(YEAR($A$1),MONTH($A$1),1))</f>
        <v>2</v>
      </c>
      <c r="N110" s="243">
        <f>COUNTIFS(РД[Тип кв],N101,РД[ИМ],$A110,РД[Дом],$C$100,РД[Дата подачи на регистрацию],"&lt;="&amp;$A$1,РД[Дата подачи на регистрацию],"&gt;="&amp;DATE(YEAR($A$1),MONTH($A$1),1))</f>
        <v>0</v>
      </c>
      <c r="O110" s="243">
        <f>COUNTIFS(РД[Тип кв],O101,РД[ИМ],$A110,РД[Дом],$C$100,РД[Дата подачи на регистрацию],"&lt;="&amp;$A$1,РД[Дата подачи на регистрацию],"&gt;="&amp;DATE(YEAR($A$1),MONTH($A$1),1))</f>
        <v>0</v>
      </c>
      <c r="P110" s="246">
        <f>COUNTIFS(РД[Тип кв],P101,РД[ИМ],$A110,РД[Дом],$C$100,РД[Дата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50" t="s">
        <v>3</v>
      </c>
      <c r="B111" s="143">
        <f>IFERROR(VLOOKUP(A111,'ИПП 4кв24'!$B$35:$N$48,8,0),"")</f>
        <v>0</v>
      </c>
      <c r="C111" s="144">
        <f>IFERROR(VLOOKUP(A111,'ИПП 4кв24'!$B$35:$N$48,9,0),"")</f>
        <v>0</v>
      </c>
      <c r="D111" s="205">
        <f>SUMIFS(Дек24[м2],Дек24[ИМ],A111,Дек24[№ дома],$C$100,Дек24[Комнатность],"&lt;&gt;Офис")</f>
        <v>0</v>
      </c>
      <c r="E111" s="206">
        <f>SUMIFS(Дек24[Сумма без отделки],Дек24[ИМ],$A111,Дек24[№ дома],$C$100,Дек24[Комнатность],"&lt;&gt;Офис")</f>
        <v>0</v>
      </c>
      <c r="F111" s="207">
        <f>COUNTIFS(Дек24[ИМ],$A111,Дек24[№ дома],$C$100,Дек24[Комнатность],"&lt;&gt;Офис")</f>
        <v>0</v>
      </c>
      <c r="G111" s="187">
        <f>SUMIFS(РД[S],РД[Дом],$C$100,РД[ИМ],A111,РД[Дата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H111" s="188">
        <f>SUMIFS(РД[Стоимость без отделки итог],РД[Дом],$C$100,РД[ИМ],A111,РД[Дата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I111" s="247">
        <f>COUNTIFS(РД[Дом],$C$100,РД[ИМ],A111,РД[Дата подачи на регистрацию],"&lt;="&amp;$A$1,РД[Дата подачи на регистрацию],"&gt;="&amp;DATE(YEAR($A$1),MONTH($A$1),1),РД[Состояние],"Продажа")</f>
        <v>0</v>
      </c>
      <c r="J111" s="248" t="str">
        <f t="shared" si="11"/>
        <v/>
      </c>
      <c r="K111" s="259" t="str">
        <f t="shared" si="11"/>
        <v/>
      </c>
      <c r="L111" s="187">
        <f>COUNTIFS(РД[Тип кв],L$86,РД[ИМ],$A111,РД[Дом],$C$100,РД[Дата подачи на регистрацию],"&lt;="&amp;$A$1,РД[Дата подачи на регистрацию],"&gt;="&amp;DATE(YEAR($A$1),MONTH($A$1),1))</f>
        <v>0</v>
      </c>
      <c r="M111" s="247">
        <f>COUNTIFS(РД[Тип кв],M$86,РД[ИМ],$A111,РД[Дом],$C$100,РД[Дата подачи на регистрацию],"&lt;="&amp;$A$1,РД[Дата подачи на регистрацию],"&gt;="&amp;DATE(YEAR($A$1),MONTH($A$1),1))</f>
        <v>0</v>
      </c>
      <c r="N111" s="247">
        <f>COUNTIFS(РД[Тип кв],N$86,РД[ИМ],$A111,РД[Дом],$C$100,РД[Дата подачи на регистрацию],"&lt;="&amp;$A$1,РД[Дата подачи на регистрацию],"&gt;="&amp;DATE(YEAR($A$1),MONTH($A$1),1))</f>
        <v>0</v>
      </c>
      <c r="O111" s="247">
        <f>COUNTIFS(РД[Тип кв],O$86,РД[ИМ],$A111,РД[Дом],$C$100,РД[Дата подачи на регистрацию],"&lt;="&amp;$A$1,РД[Дата подачи на регистрацию],"&gt;="&amp;DATE(YEAR($A$1),MONTH($A$1),1))</f>
        <v>0</v>
      </c>
      <c r="P111" s="250">
        <f>COUNTIFS(РД[Тип кв],P$86,РД[ИМ],$A111,РД[Дом],$C$100,РД[Дата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89" t="s">
        <v>3</v>
      </c>
      <c r="B112" s="190">
        <f>IFERROR(VLOOKUP(A112,'ИПП 4кв24'!$B$35:$N$48,8,0),"")</f>
        <v>0</v>
      </c>
      <c r="C112" s="191">
        <f>IFERROR(VLOOKUP(A112,'ИПП 4кв24'!$B$35:$N$48,9,0),"")</f>
        <v>0</v>
      </c>
      <c r="D112" s="208">
        <f>SUMIFS(Дек24[м2],Дек24[ИМ],A112,Дек24[№ дома],$C$100,Дек24[Комнатность],"&lt;&gt;Офис")</f>
        <v>0</v>
      </c>
      <c r="E112" s="209">
        <f>SUMIFS(Дек24[Сумма без отделки],Дек24[ИМ],$A112,Дек24[№ дома],$C$100,Дек24[Комнатность],"&lt;&gt;Офис")</f>
        <v>0</v>
      </c>
      <c r="F112" s="210">
        <f>COUNTIFS(Дек24[ИМ],$A112,Дек24[№ дома],$C$100,Дек24[Комнатность],"&lt;&gt;Офис")</f>
        <v>0</v>
      </c>
      <c r="G112" s="195">
        <f>SUMIFS(РД[S],РД[Дом],$C$100,РД[ИМ],A112,РД[Дата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H112" s="196">
        <f>SUMIFS(РД[Стоимость без отделки итог],РД[Дом],$C$100,РД[ИМ],A112,РД[Дата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I112" s="251">
        <f>COUNTIFS(РД[Дом],$C$100,РД[ИМ],A112,РД[Дата подачи на регистрацию],"&lt;="&amp;$A$1,РД[Дата подачи на регистрацию],"&gt;="&amp;DATE(YEAR($A$1),MONTH($A$1),1),РД[Состояние],"Продажа")</f>
        <v>0</v>
      </c>
      <c r="J112" s="252" t="str">
        <f t="shared" si="11"/>
        <v/>
      </c>
      <c r="K112" s="260" t="str">
        <f t="shared" si="11"/>
        <v/>
      </c>
      <c r="L112" s="195">
        <f>COUNTIFS(РД[Тип кв],L$86,РД[ИМ],$A112,РД[Дом],$C$100,РД[Дата подачи на регистрацию],"&lt;="&amp;$A$1,РД[Дата подачи на регистрацию],"&gt;="&amp;DATE(YEAR($A$1),MONTH($A$1),1))</f>
        <v>0</v>
      </c>
      <c r="M112" s="251">
        <f>COUNTIFS(РД[Тип кв],M$86,РД[ИМ],$A112,РД[Дом],$C$100,РД[Дата подачи на регистрацию],"&lt;="&amp;$A$1,РД[Дата подачи на регистрацию],"&gt;="&amp;DATE(YEAR($A$1),MONTH($A$1),1))</f>
        <v>0</v>
      </c>
      <c r="N112" s="251">
        <f>COUNTIFS(РД[Тип кв],N$86,РД[ИМ],$A112,РД[Дом],$C$100,РД[Дата подачи на регистрацию],"&lt;="&amp;$A$1,РД[Дата подачи на регистрацию],"&gt;="&amp;DATE(YEAR($A$1),MONTH($A$1),1))</f>
        <v>0</v>
      </c>
      <c r="O112" s="251">
        <f>COUNTIFS(РД[Тип кв],O$86,РД[ИМ],$A112,РД[Дом],$C$100,РД[Дата подачи на регистрацию],"&lt;="&amp;$A$1,РД[Дата подачи на регистрацию],"&gt;="&amp;DATE(YEAR($A$1),MONTH($A$1),1))</f>
        <v>0</v>
      </c>
      <c r="P112" s="254">
        <f>COUNTIFS(РД[Тип кв],P$86,РД[ИМ],$A112,РД[Дом],$C$100,РД[Дата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168" t="s">
        <v>114</v>
      </c>
      <c r="B113" s="169">
        <f t="shared" ref="B113:I113" si="12">SUM(B110:B112)</f>
        <v>102.6</v>
      </c>
      <c r="C113" s="170">
        <f t="shared" si="12"/>
        <v>11919273</v>
      </c>
      <c r="D113" s="170">
        <f t="shared" si="12"/>
        <v>71.06</v>
      </c>
      <c r="E113" s="170">
        <f t="shared" si="12"/>
        <v>9731585</v>
      </c>
      <c r="F113" s="171">
        <f t="shared" si="12"/>
        <v>2</v>
      </c>
      <c r="G113" s="172">
        <f t="shared" si="12"/>
        <v>71.06</v>
      </c>
      <c r="H113" s="173">
        <f t="shared" si="12"/>
        <v>9731585</v>
      </c>
      <c r="I113" s="170">
        <f t="shared" si="12"/>
        <v>2</v>
      </c>
      <c r="J113" s="238">
        <f>IFERROR(G113/B113,)</f>
        <v>0.69259259259259265</v>
      </c>
      <c r="K113" s="239">
        <f>IFERROR(H113/C113,)</f>
        <v>0.81645793329844862</v>
      </c>
      <c r="L113" s="240">
        <f t="shared" ref="L113:P113" si="13">SUM(L110:L112)</f>
        <v>0</v>
      </c>
      <c r="M113" s="241">
        <f t="shared" si="13"/>
        <v>2</v>
      </c>
      <c r="N113" s="241">
        <f t="shared" si="13"/>
        <v>0</v>
      </c>
      <c r="O113" s="241">
        <f t="shared" si="13"/>
        <v>0</v>
      </c>
      <c r="P113" s="242">
        <f t="shared" si="13"/>
        <v>0</v>
      </c>
      <c r="Q113" s="134"/>
      <c r="U113" s="66"/>
    </row>
    <row r="114" spans="1:21" s="65" customFormat="1">
      <c r="A114" s="134"/>
      <c r="B114" s="197"/>
      <c r="C114" s="197"/>
      <c r="D114" s="197"/>
      <c r="E114" s="197"/>
      <c r="F114" s="215"/>
      <c r="G114" s="197"/>
      <c r="H114" s="197"/>
      <c r="I114" s="215"/>
      <c r="J114" s="255"/>
      <c r="K114" s="256"/>
      <c r="L114" s="215"/>
      <c r="M114" s="215"/>
      <c r="N114" s="215"/>
      <c r="O114" s="215"/>
      <c r="P114" s="215"/>
      <c r="Q114" s="134"/>
      <c r="U114" s="66"/>
    </row>
    <row r="115" spans="1:21" s="65" customFormat="1">
      <c r="A115" s="2325" t="s">
        <v>713</v>
      </c>
      <c r="B115" s="2326"/>
      <c r="C115" s="133" t="s">
        <v>23</v>
      </c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U115" s="66"/>
    </row>
    <row r="116" spans="1:21" s="65" customFormat="1">
      <c r="A116" s="135" t="s">
        <v>1</v>
      </c>
      <c r="B116" s="135" t="s">
        <v>100</v>
      </c>
      <c r="C116" s="136" t="s">
        <v>97</v>
      </c>
      <c r="D116" s="137" t="s">
        <v>494</v>
      </c>
      <c r="E116" s="138" t="s">
        <v>495</v>
      </c>
      <c r="F116" s="139" t="s">
        <v>496</v>
      </c>
      <c r="G116" s="140" t="s">
        <v>101</v>
      </c>
      <c r="H116" s="141" t="s">
        <v>98</v>
      </c>
      <c r="I116" s="141" t="s">
        <v>96</v>
      </c>
      <c r="J116" s="141" t="s">
        <v>715</v>
      </c>
      <c r="K116" s="216" t="s">
        <v>716</v>
      </c>
      <c r="L116" s="217">
        <v>0</v>
      </c>
      <c r="M116" s="218">
        <v>1</v>
      </c>
      <c r="N116" s="218">
        <v>2</v>
      </c>
      <c r="O116" s="218">
        <v>3</v>
      </c>
      <c r="P116" s="219" t="s">
        <v>1367</v>
      </c>
      <c r="Q116" s="134"/>
      <c r="U116" s="66"/>
    </row>
    <row r="117" spans="1:21" s="65" customFormat="1">
      <c r="A117" s="398" t="s">
        <v>8</v>
      </c>
      <c r="B117" s="143">
        <f>IFERROR(VLOOKUP(A117,'ИПП 4кв24'!$B$35:$N$48,10,0),"")</f>
        <v>139</v>
      </c>
      <c r="C117" s="144">
        <f>IFERROR(VLOOKUP(A117,'ИПП 4кв24'!$B$35:$N$48,11,0),"")</f>
        <v>15190471</v>
      </c>
      <c r="D117" s="199">
        <f>SUMIFS(Дек24[м2],Дек24[МОП],$A117,Дек24[№ дома],$C$100,Дек24[Комнатность],"&lt;&gt;Офис")</f>
        <v>35.53</v>
      </c>
      <c r="E117" s="200">
        <f>SUMIFS(Дек24[Сумма без отделки],Дек24[МОП],$A117,Дек24[№ дома],$C$100,Дек24[Комнатность],"&lt;&gt;Офис")</f>
        <v>4707626</v>
      </c>
      <c r="F117" s="201">
        <f>COUNTIFS(Дек24[МОП],$A117,Дек24[№ дома],$C$100,Дек24[Комнатность],"&lt;&gt;Офис")</f>
        <v>1</v>
      </c>
      <c r="G117" s="202">
        <f>SUMIFS(РД[S],РД[Дом],$C$100,РД[МОП],A117,РД[Дата подачи на регистрацию],"&lt;="&amp;$A$1,РД[Дата подачи на регистрацию],"&gt;="&amp;DATE(YEAR($A$1),MONTH($A$1),1),РД[Состояние],"Продажа")</f>
        <v>35.53</v>
      </c>
      <c r="H117" s="203">
        <f>SUMIFS(РД[Стоимость без отделки итог],РД[Дом],$C$100,РД[МОП],A117,РД[Дата подачи на регистрацию],"&lt;="&amp;$A$1,РД[Дата подачи на регистрацию],"&gt;="&amp;DATE(YEAR($A$1),MONTH($A$1),1),РД[Состояние],"Продажа")</f>
        <v>4707626</v>
      </c>
      <c r="I117" s="226">
        <f>COUNTIFS(РД[Дом],$C$100,РД[МОП],A117,РД[Дата подачи на регистрацию],"&lt;="&amp;$A$1,РД[Дата подачи на регистрацию],"&gt;="&amp;DATE(YEAR($A$1),MONTH($A$1),1),РД[Состояние],"Продажа")</f>
        <v>1</v>
      </c>
      <c r="J117" s="224">
        <f t="shared" ref="J117:J122" si="14">IFERROR(G117/B117,)</f>
        <v>0.2556115107913669</v>
      </c>
      <c r="K117" s="225">
        <f t="shared" ref="K117:K122" si="15">IFERROR(H117/C117,)</f>
        <v>0.30990651968592681</v>
      </c>
      <c r="L117" s="257">
        <f>COUNTIFS(РД[Тип кв],L$86,РД[МОП],$A117,РД[Дом],$C$100,РД[Дата подачи на регистрацию],"&lt;="&amp;$A$1,РД[Дата подачи на регистрацию],"&gt;="&amp;DATE(YEAR($A$1),MONTH($A$1),1))</f>
        <v>0</v>
      </c>
      <c r="M117" s="226">
        <f>COUNTIFS(РД[Тип кв],M$86,РД[МОП],$A117,РД[Дом],$C$100,РД[Дата подачи на регистрацию],"&lt;="&amp;$A$1,РД[Дата подачи на регистрацию],"&gt;="&amp;DATE(YEAR($A$1),MONTH($A$1),1))</f>
        <v>1</v>
      </c>
      <c r="N117" s="226">
        <f>COUNTIFS(РД[Тип кв],N$86,РД[МОП],$A117,РД[Дом],$C$100,РД[Дата подачи на регистрацию],"&lt;="&amp;$A$1,РД[Дата подачи на регистрацию],"&gt;="&amp;DATE(YEAR($A$1),MONTH($A$1),1))</f>
        <v>0</v>
      </c>
      <c r="O117" s="226">
        <f>COUNTIFS(РД[Тип кв],O$86,РД[МОП],$A117,РД[Дом],$C$100,РД[Дата подачи на регистрацию],"&lt;="&amp;$A$1,РД[Дата подачи на регистрацию],"&gt;="&amp;DATE(YEAR($A$1),MONTH($A$1),1))</f>
        <v>0</v>
      </c>
      <c r="P117" s="227">
        <f>COUNTIFS(РД[Тип кв],P$86,РД[МОП],$A117,РД[Дом],$C$100,РД[Дата подачи на регистрацию],"&lt;="&amp;$A$1,РД[Дата подачи на регистрацию],"&gt;="&amp;DATE(YEAR($A$1),MONTH($A$1),1))</f>
        <v>0</v>
      </c>
      <c r="Q117" s="134"/>
      <c r="U117" s="66"/>
    </row>
    <row r="118" spans="1:21" s="65" customFormat="1">
      <c r="A118" s="150" t="s">
        <v>24</v>
      </c>
      <c r="B118" s="143">
        <f>IFERROR(VLOOKUP(A118,'ИПП 4кв24'!$B$35:$N$48,10,0),"")</f>
        <v>91</v>
      </c>
      <c r="C118" s="144">
        <f>IFERROR(VLOOKUP(A118,'ИПП 4кв24'!$B$35:$N$48,11,0),"")</f>
        <v>9946141</v>
      </c>
      <c r="D118" s="199">
        <f>SUMIFS(Дек24[м2],Дек24[МОП],$A118,Дек24[№ дома],$C$100,Дек24[Комнатность],"&lt;&gt;Офис")</f>
        <v>0</v>
      </c>
      <c r="E118" s="200">
        <f>SUMIFS(Дек24[Сумма без отделки],Дек24[МОП],$A118,Дек24[№ дома],$C$100,Дек24[Комнатность],"&lt;&gt;Офис")</f>
        <v>0</v>
      </c>
      <c r="F118" s="201">
        <f>COUNTIFS(Дек24[МОП],$A118,Дек24[№ дома],$C$100,Дек24[Комнатность],"&lt;&gt;Офис")</f>
        <v>0</v>
      </c>
      <c r="G118" s="202">
        <f>SUMIFS(РД[S],РД[Дом],$C$100,РД[МОП],A118,РД[Дата подачи на регистрацию],"&lt;="&amp;$A$1,РД[Дата подачи на регистрацию],"&gt;="&amp;DATE(YEAR($A$1),MONTH($A$1),1),РД[Состояние],"Продажа")</f>
        <v>35.53</v>
      </c>
      <c r="H118" s="203">
        <f>SUMIFS(РД[Стоимость без отделки итог],РД[Дом],$C$100,РД[МОП],A118,РД[Дата подачи на регистрацию],"&lt;="&amp;$A$1,РД[Дата подачи на регистрацию],"&gt;="&amp;DATE(YEAR($A$1),MONTH($A$1),1),РД[Состояние],"Продажа")</f>
        <v>5023959</v>
      </c>
      <c r="I118" s="226">
        <f>COUNTIFS(РД[Дом],$C$100,РД[МОП],A118,РД[Дата подачи на регистрацию],"&lt;="&amp;$A$1,РД[Дата подачи на регистрацию],"&gt;="&amp;DATE(YEAR($A$1),MONTH($A$1),1),РД[Состояние],"Продажа")</f>
        <v>1</v>
      </c>
      <c r="J118" s="224">
        <f t="shared" si="14"/>
        <v>0.39043956043956046</v>
      </c>
      <c r="K118" s="225">
        <f t="shared" si="15"/>
        <v>0.50511640645351796</v>
      </c>
      <c r="L118" s="257">
        <f>COUNTIFS(РД[Тип кв],L$86,РД[МОП],$A118,РД[Дом],$C$100,РД[Дата подачи на регистрацию],"&lt;="&amp;$A$1,РД[Дата подачи на регистрацию],"&gt;="&amp;DATE(YEAR($A$1),MONTH($A$1),1))</f>
        <v>0</v>
      </c>
      <c r="M118" s="226">
        <f>COUNTIFS(РД[Тип кв],M$86,РД[МОП],$A118,РД[Дом],$C$100,РД[Дата подачи на регистрацию],"&lt;="&amp;$A$1,РД[Дата подачи на регистрацию],"&gt;="&amp;DATE(YEAR($A$1),MONTH($A$1),1))</f>
        <v>1</v>
      </c>
      <c r="N118" s="226">
        <f>COUNTIFS(РД[Тип кв],N$86,РД[МОП],$A118,РД[Дом],$C$100,РД[Дата подачи на регистрацию],"&lt;="&amp;$A$1,РД[Дата подачи на регистрацию],"&gt;="&amp;DATE(YEAR($A$1),MONTH($A$1),1))</f>
        <v>0</v>
      </c>
      <c r="O118" s="226">
        <f>COUNTIFS(РД[Тип кв],O$86,РД[МОП],$A118,РД[Дом],$C$100,РД[Дата подачи на регистрацию],"&lt;="&amp;$A$1,РД[Дата подачи на регистрацию],"&gt;="&amp;DATE(YEAR($A$1),MONTH($A$1),1))</f>
        <v>0</v>
      </c>
      <c r="P118" s="227">
        <f>COUNTIFS(РД[Тип кв],P$86,РД[МОП],$A118,РД[Дом],$C$100,РД[Дата подачи на регистрацию],"&lt;="&amp;$A$1,РД[Дата подачи на регистрацию],"&gt;="&amp;DATE(YEAR($A$1),MONTH($A$1),1))</f>
        <v>0</v>
      </c>
      <c r="Q118" s="134"/>
      <c r="U118" s="66"/>
    </row>
    <row r="119" spans="1:21" s="65" customFormat="1">
      <c r="A119" s="153" t="s">
        <v>20</v>
      </c>
      <c r="B119" s="143">
        <f>IFERROR(VLOOKUP(A119,'ИПП 4кв24'!$B$35:$N$48,10,0),"")</f>
        <v>139</v>
      </c>
      <c r="C119" s="144">
        <f>IFERROR(VLOOKUP(A119,'ИПП 4кв24'!$B$35:$N$48,11,0),"")</f>
        <v>15190471</v>
      </c>
      <c r="D119" s="199">
        <f>SUMIFS(Дек24[м2],Дек24[МОП],$A119,Дек24[№ дома],$C$100,Дек24[Комнатность],"&lt;&gt;Офис")</f>
        <v>49.2</v>
      </c>
      <c r="E119" s="200">
        <f>SUMIFS(Дек24[Сумма без отделки],Дек24[МОП],$A119,Дек24[№ дома],$C$100,Дек24[Комнатность],"&lt;&gt;Офис")</f>
        <v>6051592</v>
      </c>
      <c r="F119" s="201">
        <f>COUNTIFS(Дек24[МОП],$A119,Дек24[№ дома],$C$100,Дек24[Комнатность],"&lt;&gt;Офис")</f>
        <v>1</v>
      </c>
      <c r="G119" s="202">
        <f>SUMIFS(РД[S],РД[Дом],$C$100,РД[МОП],A119,РД[Дата подачи на регистрацию],"&lt;="&amp;$A$1,РД[Дата подачи на регистрацию],"&gt;="&amp;DATE(YEAR($A$1),MONTH($A$1),1),РД[Состояние],"Продажа")</f>
        <v>49.2</v>
      </c>
      <c r="H119" s="203">
        <f>SUMIFS(РД[Стоимость без отделки итог],РД[Дом],$C$100,РД[МОП],A119,РД[Дата подачи на регистрацию],"&lt;="&amp;$A$1,РД[Дата подачи на регистрацию],"&gt;="&amp;DATE(YEAR($A$1),MONTH($A$1),1),РД[Состояние],"Продажа")</f>
        <v>6066592</v>
      </c>
      <c r="I119" s="226">
        <f>COUNTIFS(РД[Дом],$C$100,РД[МОП],A119,РД[Дата подачи на регистрацию],"&lt;="&amp;$A$1,РД[Дата подачи на регистрацию],"&gt;="&amp;DATE(YEAR($A$1),MONTH($A$1),1),РД[Состояние],"Продажа")</f>
        <v>1</v>
      </c>
      <c r="J119" s="224">
        <f t="shared" si="14"/>
        <v>0.35395683453237414</v>
      </c>
      <c r="K119" s="225">
        <f t="shared" si="15"/>
        <v>0.39936826185310514</v>
      </c>
      <c r="L119" s="257">
        <f>COUNTIFS(РД[Тип кв],L$86,РД[МОП],$A119,РД[Дом],$C$100,РД[Дата подачи на регистрацию],"&lt;="&amp;$A$1,РД[Дата подачи на регистрацию],"&gt;="&amp;DATE(YEAR($A$1),MONTH($A$1),1))</f>
        <v>0</v>
      </c>
      <c r="M119" s="226">
        <f>COUNTIFS(РД[Тип кв],M$86,РД[МОП],$A119,РД[Дом],$C$100,РД[Дата подачи на регистрацию],"&lt;="&amp;$A$1,РД[Дата подачи на регистрацию],"&gt;="&amp;DATE(YEAR($A$1),MONTH($A$1),1))</f>
        <v>0</v>
      </c>
      <c r="N119" s="226">
        <f>COUNTIFS(РД[Тип кв],N$86,РД[МОП],$A119,РД[Дом],$C$100,РД[Дата подачи на регистрацию],"&lt;="&amp;$A$1,РД[Дата подачи на регистрацию],"&gt;="&amp;DATE(YEAR($A$1),MONTH($A$1),1))</f>
        <v>1</v>
      </c>
      <c r="O119" s="226">
        <f>COUNTIFS(РД[Тип кв],O$86,РД[МОП],$A119,РД[Дом],$C$100,РД[Дата подачи на регистрацию],"&lt;="&amp;$A$1,РД[Дата подачи на регистрацию],"&gt;="&amp;DATE(YEAR($A$1),MONTH($A$1),1))</f>
        <v>0</v>
      </c>
      <c r="P119" s="227">
        <f>COUNTIFS(РД[Тип кв],P$86,РД[МОП],$A119,РД[Дом],$C$100,РД[Дата подачи на регистрацию],"&lt;="&amp;$A$1,РД[Дата подачи на регистрацию],"&gt;="&amp;DATE(YEAR($A$1),MONTH($A$1),1))</f>
        <v>0</v>
      </c>
      <c r="Q119" s="134"/>
      <c r="U119" s="66"/>
    </row>
    <row r="120" spans="1:21" s="65" customFormat="1">
      <c r="A120" s="153" t="s">
        <v>14</v>
      </c>
      <c r="B120" s="143">
        <f>IFERROR(VLOOKUP(A120,'ИПП 4кв24'!$B$35:$N$48,10,0),"")</f>
        <v>139</v>
      </c>
      <c r="C120" s="144">
        <f>IFERROR(VLOOKUP(A120,'ИПП 4кв24'!$B$35:$N$48,11,0),"")</f>
        <v>15190471</v>
      </c>
      <c r="D120" s="299">
        <f>SUMIFS(Дек24[м2],Дек24[МОП],$A120,Дек24[№ дома],$C$100,Дек24[Комнатность],"&lt;&gt;Офис")</f>
        <v>5.61</v>
      </c>
      <c r="E120" s="300">
        <f>SUMIFS(Дек24[Сумма без отделки],Дек24[МОП],$A120,Дек24[№ дома],$C$100,Дек24[Комнатность],"&lt;&gt;Офис")</f>
        <v>673200</v>
      </c>
      <c r="F120" s="301">
        <f>COUNTIFS(Дек24[МОП],$A120,Дек24[№ дома],$C$100,Дек24[Комнатность],"&lt;&gt;Офис")</f>
        <v>1</v>
      </c>
      <c r="G120" s="358">
        <f>SUMIFS(РД[S],РД[Дом],$C$100,РД[МОП],A120,РД[Дата подачи на регистрацию],"&lt;="&amp;$A$1,РД[Дата подачи на регистрацию],"&gt;="&amp;DATE(YEAR($A$1),MONTH($A$1),1),РД[Состояние],"Продажа")</f>
        <v>0</v>
      </c>
      <c r="H120" s="359">
        <f>SUMIFS(РД[Стоимость без отделки итог],РД[Дом],$C$100,РД[МОП],A120,РД[Дата подачи на регистрацию],"&lt;="&amp;$A$1,РД[Дата подачи на регистрацию],"&gt;="&amp;DATE(YEAR($A$1),MONTH($A$1),1),РД[Состояние],"Продажа")</f>
        <v>0</v>
      </c>
      <c r="I120" s="330">
        <f>COUNTIFS(РД[Дом],$C$100,РД[МОП],A120,РД[Дата подачи на регистрацию],"&lt;="&amp;$A$1,РД[Дата подачи на регистрацию],"&gt;="&amp;DATE(YEAR($A$1),MONTH($A$1),1),РД[Состояние],"Продажа")</f>
        <v>0</v>
      </c>
      <c r="J120" s="360">
        <f t="shared" si="14"/>
        <v>0</v>
      </c>
      <c r="K120" s="361">
        <f t="shared" si="15"/>
        <v>0</v>
      </c>
      <c r="L120" s="329">
        <f>COUNTIFS(РД[Тип кв],L$86,РД[МОП],$A120,РД[Дом],$C$100,РД[Дата подачи на регистрацию],"&lt;="&amp;$A$1,РД[Дата подачи на регистрацию],"&gt;="&amp;DATE(YEAR($A$1),MONTH($A$1),1))</f>
        <v>0</v>
      </c>
      <c r="M120" s="330">
        <f>COUNTIFS(РД[Тип кв],M$86,РД[МОП],$A120,РД[Дом],$C$100,РД[Дата подачи на регистрацию],"&lt;="&amp;$A$1,РД[Дата подачи на регистрацию],"&gt;="&amp;DATE(YEAR($A$1),MONTH($A$1),1))</f>
        <v>0</v>
      </c>
      <c r="N120" s="330">
        <f>COUNTIFS(РД[Тип кв],N$86,РД[МОП],$A120,РД[Дом],$C$100,РД[Дата подачи на регистрацию],"&lt;="&amp;$A$1,РД[Дата подачи на регистрацию],"&gt;="&amp;DATE(YEAR($A$1),MONTH($A$1),1))</f>
        <v>0</v>
      </c>
      <c r="O120" s="330">
        <f>COUNTIFS(РД[Тип кв],O$86,РД[МОП],$A120,РД[Дом],$C$100,РД[Дата подачи на регистрацию],"&lt;="&amp;$A$1,РД[Дата подачи на регистрацию],"&gt;="&amp;DATE(YEAR($A$1),MONTH($A$1),1))</f>
        <v>0</v>
      </c>
      <c r="P120" s="331">
        <f>COUNTIFS(РД[Тип кв],P$86,РД[МОП],$A120,РД[Дом],$C$100,РД[Дата подачи на регистрацию],"&lt;="&amp;$A$1,РД[Дата подачи на регистрацию],"&gt;="&amp;DATE(YEAR($A$1),MONTH($A$1),1))</f>
        <v>0</v>
      </c>
      <c r="Q120" s="134"/>
      <c r="U120" s="66"/>
    </row>
    <row r="121" spans="1:21" s="65" customFormat="1">
      <c r="A121" s="154" t="s">
        <v>29</v>
      </c>
      <c r="B121" s="155"/>
      <c r="C121" s="156"/>
      <c r="D121" s="157">
        <f>SUMIFS(Дек24[м2],Дек24[МОП],$A121,Дек24[№ дома],$C$100,Дек24[Комнатность],"&lt;&gt;Офис")</f>
        <v>0</v>
      </c>
      <c r="E121" s="156">
        <f>SUMIFS(Дек24[Сумма без отделки],Дек24[МОП],$A121,Дек24[№ дома],$C$100,Дек24[Комнатность],"&lt;&gt;Офис")</f>
        <v>0</v>
      </c>
      <c r="F121" s="158">
        <f>COUNTIFS(Дек24[МОП],$A121,Дек24[№ дома],$C$100,Дек24[Комнатность],"&lt;&gt;Офис")</f>
        <v>0</v>
      </c>
      <c r="G121" s="159">
        <f>SUMIFS(РД[S],РД[Дом],$C$100,РД[МОП],A121,РД[Дата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160">
        <f>SUMIFS(РД[Стоимость без отделки итог],РД[Дом],$C$100,РД[МОП],A121,РД[Дата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8">
        <f>COUNTIFS(РД[Дом],$C$100,РД[МОП],A121,РД[Дата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9">
        <f t="shared" si="14"/>
        <v>0</v>
      </c>
      <c r="K121" s="230">
        <f t="shared" si="15"/>
        <v>0</v>
      </c>
      <c r="L121" s="159">
        <f>COUNTIFS(РД[Тип кв],L$86,РД[МОП],$A121,РД[Дом],$C$100,РД[Дата подачи на регистрацию],"&lt;="&amp;$A$1,РД[Дата подачи на регистрацию],"&gt;="&amp;DATE(YEAR($A$1),MONTH($A$1),1))</f>
        <v>0</v>
      </c>
      <c r="M121" s="228">
        <f>COUNTIFS(РД[Тип кв],M$86,РД[МОП],$A121,РД[Дом],$C$100,РД[Дата подачи на регистрацию],"&lt;="&amp;$A$1,РД[Дата подачи на регистрацию],"&gt;="&amp;DATE(YEAR($A$1),MONTH($A$1),1))</f>
        <v>0</v>
      </c>
      <c r="N121" s="228">
        <f>COUNTIFS(РД[Тип кв],N$86,РД[МОП],$A121,РД[Дом],$C$100,РД[Дата подачи на регистрацию],"&lt;="&amp;$A$1,РД[Дата подачи на регистрацию],"&gt;="&amp;DATE(YEAR($A$1),MONTH($A$1),1))</f>
        <v>0</v>
      </c>
      <c r="O121" s="228">
        <f>COUNTIFS(РД[Тип кв],O$86,РД[МОП],$A121,РД[Дом],$C$100,РД[Дата подачи на регистрацию],"&lt;="&amp;$A$1,РД[Дата подачи на регистрацию],"&gt;="&amp;DATE(YEAR($A$1),MONTH($A$1),1))</f>
        <v>0</v>
      </c>
      <c r="P121" s="231">
        <f>COUNTIFS(РД[Тип кв],P$86,РД[МОП],$A121,РД[Дом],$C$100,РД[Дата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61" t="s">
        <v>1919</v>
      </c>
      <c r="B122" s="162"/>
      <c r="C122" s="163"/>
      <c r="D122" s="164">
        <f>SUMIFS(Дек24[м2],Дек24[МОП],$A122,Дек24[№ дома],$C$100,Дек24[Комнатность],"&lt;&gt;Офис")</f>
        <v>35.53</v>
      </c>
      <c r="E122" s="163">
        <f>SUMIFS(Дек24[Сумма без отделки],Дек24[МОП],$A122,Дек24[№ дома],$C$100,Дек24[Комнатность],"&lt;&gt;Офис")</f>
        <v>5023959</v>
      </c>
      <c r="F122" s="165">
        <f>COUNTIFS(Дек24[МОП],$A122,Дек24[№ дома],$C$100,Дек24[Комнатность],"&lt;&gt;Офис")</f>
        <v>1</v>
      </c>
      <c r="G122" s="166">
        <f>SUMIFS(РД[S],РД[Дом],$C$100,РД[МОП],A122,РД[Дата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167">
        <f>SUMIFS(РД[Стоимость без отделки итог],РД[Дом],$C$100,РД[МОП],A122,РД[Дата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32">
        <f>COUNTIFS(РД[Дом],$C$100,РД[МОП],A122,РД[Дата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33">
        <f t="shared" si="14"/>
        <v>0</v>
      </c>
      <c r="K122" s="234">
        <f t="shared" si="15"/>
        <v>0</v>
      </c>
      <c r="L122" s="235">
        <f>COUNTIFS(РД[Тип кв],L$86,РД[МОП],$A122,РД[Дом],$C$100,РД[Дата подачи на регистрацию],"&lt;="&amp;$A$1,РД[Дата подачи на регистрацию],"&gt;="&amp;DATE(YEAR($A$1),MONTH($A$1),1))</f>
        <v>0</v>
      </c>
      <c r="M122" s="236">
        <f>COUNTIFS(РД[Тип кв],M$86,РД[МОП],$A122,РД[Дом],$C$100,РД[Дата подачи на регистрацию],"&lt;="&amp;$A$1,РД[Дата подачи на регистрацию],"&gt;="&amp;DATE(YEAR($A$1),MONTH($A$1),1))</f>
        <v>0</v>
      </c>
      <c r="N122" s="236">
        <f>COUNTIFS(РД[Тип кв],N$86,РД[МОП],$A122,РД[Дом],$C$100,РД[Дата подачи на регистрацию],"&lt;="&amp;$A$1,РД[Дата подачи на регистрацию],"&gt;="&amp;DATE(YEAR($A$1),MONTH($A$1),1))</f>
        <v>0</v>
      </c>
      <c r="O122" s="236">
        <f>COUNTIFS(РД[Тип кв],O$86,РД[МОП],$A122,РД[Дом],$C$100,РД[Дата подачи на регистрацию],"&lt;="&amp;$A$1,РД[Дата подачи на регистрацию],"&gt;="&amp;DATE(YEAR($A$1),MONTH($A$1),1))</f>
        <v>0</v>
      </c>
      <c r="P122" s="237">
        <f>COUNTIFS(РД[Тип кв],P$86,РД[МОП],$A122,РД[Дом],$C$100,РД[Дата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68" t="s">
        <v>114</v>
      </c>
      <c r="B123" s="169">
        <f t="shared" ref="B123:I123" si="16">SUM(B117:B122)</f>
        <v>508</v>
      </c>
      <c r="C123" s="170">
        <f t="shared" si="16"/>
        <v>55517554</v>
      </c>
      <c r="D123" s="170">
        <f t="shared" si="16"/>
        <v>125.87</v>
      </c>
      <c r="E123" s="170">
        <f t="shared" si="16"/>
        <v>16456377</v>
      </c>
      <c r="F123" s="171">
        <f t="shared" si="16"/>
        <v>4</v>
      </c>
      <c r="G123" s="172">
        <f t="shared" si="16"/>
        <v>120.26</v>
      </c>
      <c r="H123" s="173">
        <f t="shared" si="16"/>
        <v>15798177</v>
      </c>
      <c r="I123" s="170">
        <f t="shared" si="16"/>
        <v>3</v>
      </c>
      <c r="J123" s="238">
        <f>IFERROR(G123/B123,"")</f>
        <v>0.23673228346456693</v>
      </c>
      <c r="K123" s="239">
        <f>IFERROR(H123/C123,"")</f>
        <v>0.28456183426236681</v>
      </c>
      <c r="L123" s="240">
        <f>SUM(L117:L122)</f>
        <v>0</v>
      </c>
      <c r="M123" s="241">
        <f>SUM(M117:M122)</f>
        <v>2</v>
      </c>
      <c r="N123" s="241">
        <f>SUM(N117:N122)</f>
        <v>1</v>
      </c>
      <c r="O123" s="241">
        <f>SUM(O117:O122)</f>
        <v>0</v>
      </c>
      <c r="P123" s="242">
        <f>SUM(P117:P122)</f>
        <v>0</v>
      </c>
      <c r="Q123" s="134"/>
      <c r="U123" s="66"/>
    </row>
    <row r="124" spans="1:21" s="65" customFormat="1">
      <c r="A124" s="135" t="s">
        <v>115</v>
      </c>
      <c r="B124" s="213" t="s">
        <v>100</v>
      </c>
      <c r="C124" s="214" t="s">
        <v>97</v>
      </c>
      <c r="D124" s="174" t="s">
        <v>494</v>
      </c>
      <c r="E124" s="175" t="s">
        <v>495</v>
      </c>
      <c r="F124" s="176" t="s">
        <v>496</v>
      </c>
      <c r="G124" s="140" t="s">
        <v>101</v>
      </c>
      <c r="H124" s="141" t="s">
        <v>98</v>
      </c>
      <c r="I124" s="141" t="s">
        <v>96</v>
      </c>
      <c r="J124" s="141" t="s">
        <v>715</v>
      </c>
      <c r="K124" s="216" t="s">
        <v>716</v>
      </c>
      <c r="L124" s="217">
        <v>0</v>
      </c>
      <c r="M124" s="218">
        <v>1</v>
      </c>
      <c r="N124" s="218">
        <v>2</v>
      </c>
      <c r="O124" s="218">
        <v>3</v>
      </c>
      <c r="P124" s="219" t="s">
        <v>1367</v>
      </c>
      <c r="Q124" s="134"/>
      <c r="U124" s="66"/>
    </row>
    <row r="125" spans="1:21" s="65" customFormat="1">
      <c r="A125" s="177" t="s">
        <v>22</v>
      </c>
      <c r="B125" s="178">
        <f>IFERROR(VLOOKUP(A125,'ИПП 4кв24'!$B$35:$N$48,10,0),"")</f>
        <v>304.8</v>
      </c>
      <c r="C125" s="179">
        <f>IFERROR(VLOOKUP(A125,'ИПП 4кв24'!$B$35:$N$48,11,0),"")</f>
        <v>33310532.399999999</v>
      </c>
      <c r="D125" s="180">
        <f>SUMIFS(Дек24[м2],Дек24[ИМ],A125,Дек24[№ дома],$C$100,Дек24[Комнатность],"&lt;&gt;Офис")</f>
        <v>71.06</v>
      </c>
      <c r="E125" s="181">
        <f>SUMIFS(Дек24[Сумма без отделки],Дек24[ИМ],$A125,Дек24[№ дома],$C$100,Дек24[Комнатность],"&lt;&gt;Офис")</f>
        <v>9731585</v>
      </c>
      <c r="F125" s="204">
        <f>COUNTIFS(Дек24[ИМ],$A125,Дек24[№ дома],$C$100,Дек24[Комнатность],"&lt;&gt;Офис")</f>
        <v>2</v>
      </c>
      <c r="G125" s="183">
        <f>SUMIFS(РД[S],РД[Дом],$C$100,РД[ИМ],A125,РД[Дата подачи на регистрацию],"&lt;="&amp;$A$1,РД[Дата подачи на регистрацию],"&gt;="&amp;DATE(YEAR($A$1),MONTH($A$1),1),РД[Состояние],"Продажа")</f>
        <v>71.06</v>
      </c>
      <c r="H125" s="184">
        <f>SUMIFS(РД[Стоимость без отделки итог],РД[Дом],$C$100,РД[ИМ],A125,РД[Дата подачи на регистрацию],"&lt;="&amp;$A$1,РД[Дата подачи на регистрацию],"&gt;="&amp;DATE(YEAR($A$1),MONTH($A$1),1),РД[Состояние],"Продажа")</f>
        <v>9731585</v>
      </c>
      <c r="I125" s="243">
        <f>COUNTIFS(РД[Дом],$C$100,РД[ИМ],A125,РД[Дата подачи на регистрацию],"&lt;="&amp;$A$1,РД[Дата подачи на регистрацию],"&gt;="&amp;DATE(YEAR($A$1),MONTH($A$1),1),РД[Состояние],"Продажа")</f>
        <v>2</v>
      </c>
      <c r="J125" s="244">
        <f t="shared" ref="J125:J127" si="17">IFERROR(G125/B125,"")</f>
        <v>0.23313648293963254</v>
      </c>
      <c r="K125" s="258">
        <f t="shared" ref="K125:K127" si="18">IFERROR(H125/C125,"")</f>
        <v>0.29214738699282994</v>
      </c>
      <c r="L125" s="183">
        <f>COUNTIFS(РД[Тип кв],L116,РД[ИМ],$A125,РД[Дом],$C$100,РД[Дата подачи на регистрацию],"&lt;="&amp;$A$1,РД[Дата подачи на регистрацию],"&gt;="&amp;DATE(YEAR($A$1),MONTH($A$1),1))</f>
        <v>0</v>
      </c>
      <c r="M125" s="243">
        <f>COUNTIFS(РД[Тип кв],M116,РД[ИМ],$A125,РД[Дом],$C$100,РД[Дата подачи на регистрацию],"&lt;="&amp;$A$1,РД[Дата подачи на регистрацию],"&gt;="&amp;DATE(YEAR($A$1),MONTH($A$1),1))</f>
        <v>2</v>
      </c>
      <c r="N125" s="243">
        <f>COUNTIFS(РД[Тип кв],N116,РД[ИМ],$A125,РД[Дом],$C$100,РД[Дата подачи на регистрацию],"&lt;="&amp;$A$1,РД[Дата подачи на регистрацию],"&gt;="&amp;DATE(YEAR($A$1),MONTH($A$1),1))</f>
        <v>0</v>
      </c>
      <c r="O125" s="243">
        <f>COUNTIFS(РД[Тип кв],O116,РД[ИМ],$A125,РД[Дом],$C$100,РД[Дата подачи на регистрацию],"&lt;="&amp;$A$1,РД[Дата подачи на регистрацию],"&gt;="&amp;DATE(YEAR($A$1),MONTH($A$1),1))</f>
        <v>0</v>
      </c>
      <c r="P125" s="246">
        <f>COUNTIFS(РД[Тип кв],P116,РД[ИМ],$A125,РД[Дом],$C$100,РД[Дата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50" t="s">
        <v>3</v>
      </c>
      <c r="B126" s="143">
        <f>IFERROR(VLOOKUP(A126,'ИПП 4кв24'!$B$35:$N$48,10,0),"")</f>
        <v>0</v>
      </c>
      <c r="C126" s="144">
        <f>IFERROR(VLOOKUP(A126,'ИПП 4кв24'!$B$35:$N$48,11,0),"")</f>
        <v>0</v>
      </c>
      <c r="D126" s="205">
        <f>SUMIFS(Дек24[м2],Дек24[ИМ],A126,Дек24[№ дома],$C$100,Дек24[Комнатность],"&lt;&gt;Офис")</f>
        <v>0</v>
      </c>
      <c r="E126" s="206">
        <f>SUMIFS(Дек24[Сумма без отделки],Дек24[ИМ],$A126,Дек24[№ дома],$C$100,Дек24[Комнатность],"&lt;&gt;Офис")</f>
        <v>0</v>
      </c>
      <c r="F126" s="207">
        <f>COUNTIFS(Дек24[ИМ],$A126,Дек24[№ дома],$C$100,Дек24[Комнатность],"&lt;&gt;Офис")</f>
        <v>0</v>
      </c>
      <c r="G126" s="187">
        <f>SUMIFS(РД[S],РД[Дом],$C$100,РД[ИМ],A126,РД[Дата подачи на регистрацию],"&lt;="&amp;$A$1,РД[Дата подачи на регистрацию],"&gt;="&amp;DATE(YEAR($A$1),MONTH($A$1),1),РД[Состояние],"Продажа")</f>
        <v>0</v>
      </c>
      <c r="H126" s="188">
        <f>SUMIFS(РД[Стоимость без отделки итог],РД[Дом],$C$100,РД[ИМ],A126,РД[Дата подачи на регистрацию],"&lt;="&amp;$A$1,РД[Дата подачи на регистрацию],"&gt;="&amp;DATE(YEAR($A$1),MONTH($A$1),1),РД[Состояние],"Продажа")</f>
        <v>0</v>
      </c>
      <c r="I126" s="247">
        <f>COUNTIFS(РД[Дом],$C$100,РД[ИМ],A126,РД[Дата подачи на регистрацию],"&lt;="&amp;$A$1,РД[Дата подачи на регистрацию],"&gt;="&amp;DATE(YEAR($A$1),MONTH($A$1),1),РД[Состояние],"Продажа")</f>
        <v>0</v>
      </c>
      <c r="J126" s="248" t="str">
        <f t="shared" si="17"/>
        <v/>
      </c>
      <c r="K126" s="259" t="str">
        <f t="shared" si="18"/>
        <v/>
      </c>
      <c r="L126" s="187">
        <f>COUNTIFS(РД[Тип кв],L$86,РД[ИМ],$A126,РД[Дом],$C$100,РД[Дата подачи на регистрацию],"&lt;="&amp;$A$1,РД[Дата подачи на регистрацию],"&gt;="&amp;DATE(YEAR($A$1),MONTH($A$1),1))</f>
        <v>0</v>
      </c>
      <c r="M126" s="247">
        <f>COUNTIFS(РД[Тип кв],M$86,РД[ИМ],$A126,РД[Дом],$C$100,РД[Дата подачи на регистрацию],"&lt;="&amp;$A$1,РД[Дата подачи на регистрацию],"&gt;="&amp;DATE(YEAR($A$1),MONTH($A$1),1))</f>
        <v>0</v>
      </c>
      <c r="N126" s="247">
        <f>COUNTIFS(РД[Тип кв],N$86,РД[ИМ],$A126,РД[Дом],$C$100,РД[Дата подачи на регистрацию],"&lt;="&amp;$A$1,РД[Дата подачи на регистрацию],"&gt;="&amp;DATE(YEAR($A$1),MONTH($A$1),1))</f>
        <v>0</v>
      </c>
      <c r="O126" s="247">
        <f>COUNTIFS(РД[Тип кв],O$86,РД[ИМ],$A126,РД[Дом],$C$100,РД[Дата подачи на регистрацию],"&lt;="&amp;$A$1,РД[Дата подачи на регистрацию],"&gt;="&amp;DATE(YEAR($A$1),MONTH($A$1),1))</f>
        <v>0</v>
      </c>
      <c r="P126" s="250">
        <f>COUNTIFS(РД[Тип кв],P$86,РД[ИМ],$A126,РД[Дом],$C$100,РД[Дата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89" t="s">
        <v>3</v>
      </c>
      <c r="B127" s="190">
        <f>IFERROR(VLOOKUP(A127,'ИПП 4кв24'!$B$35:$N$48,10,0),"")</f>
        <v>0</v>
      </c>
      <c r="C127" s="191">
        <f>IFERROR(VLOOKUP(A127,'ИПП 4кв24'!$B$35:$N$48,11,0),"")</f>
        <v>0</v>
      </c>
      <c r="D127" s="208">
        <f>SUMIFS(Дек24[м2],Дек24[ИМ],A127,Дек24[№ дома],$C$100,Дек24[Комнатность],"&lt;&gt;Офис")</f>
        <v>0</v>
      </c>
      <c r="E127" s="209">
        <f>SUMIFS(Дек24[Сумма без отделки],Дек24[ИМ],$A127,Дек24[№ дома],$C$100,Дек24[Комнатность],"&lt;&gt;Офис")</f>
        <v>0</v>
      </c>
      <c r="F127" s="210">
        <f>COUNTIFS(Дек24[ИМ],$A127,Дек24[№ дома],$C$100,Дек24[Комнатность],"&lt;&gt;Офис")</f>
        <v>0</v>
      </c>
      <c r="G127" s="195">
        <f>SUMIFS(РД[S],РД[Дом],$C$100,РД[ИМ],A127,РД[Дата подачи на регистрацию],"&lt;="&amp;$A$1,РД[Дата подачи на регистрацию],"&gt;="&amp;DATE(YEAR($A$1),MONTH($A$1),1),РД[Состояние],"Продажа")</f>
        <v>0</v>
      </c>
      <c r="H127" s="196">
        <f>SUMIFS(РД[Стоимость без отделки итог],РД[Дом],$C$100,РД[ИМ],A127,РД[Дата подачи на регистрацию],"&lt;="&amp;$A$1,РД[Дата подачи на регистрацию],"&gt;="&amp;DATE(YEAR($A$1),MONTH($A$1),1),РД[Состояние],"Продажа")</f>
        <v>0</v>
      </c>
      <c r="I127" s="251">
        <f>COUNTIFS(РД[Дом],$C$100,РД[ИМ],A127,РД[Дата подачи на регистрацию],"&lt;="&amp;$A$1,РД[Дата подачи на регистрацию],"&gt;="&amp;DATE(YEAR($A$1),MONTH($A$1),1),РД[Состояние],"Продажа")</f>
        <v>0</v>
      </c>
      <c r="J127" s="252" t="str">
        <f t="shared" si="17"/>
        <v/>
      </c>
      <c r="K127" s="260" t="str">
        <f t="shared" si="18"/>
        <v/>
      </c>
      <c r="L127" s="195">
        <f>COUNTIFS(РД[Тип кв],L$86,РД[ИМ],$A127,РД[Дом],$C$100,РД[Дата подачи на регистрацию],"&lt;="&amp;$A$1,РД[Дата подачи на регистрацию],"&gt;="&amp;DATE(YEAR($A$1),MONTH($A$1),1))</f>
        <v>0</v>
      </c>
      <c r="M127" s="251">
        <f>COUNTIFS(РД[Тип кв],M$86,РД[ИМ],$A127,РД[Дом],$C$100,РД[Дата подачи на регистрацию],"&lt;="&amp;$A$1,РД[Дата подачи на регистрацию],"&gt;="&amp;DATE(YEAR($A$1),MONTH($A$1),1))</f>
        <v>0</v>
      </c>
      <c r="N127" s="251">
        <f>COUNTIFS(РД[Тип кв],N$86,РД[ИМ],$A127,РД[Дом],$C$100,РД[Дата подачи на регистрацию],"&lt;="&amp;$A$1,РД[Дата подачи на регистрацию],"&gt;="&amp;DATE(YEAR($A$1),MONTH($A$1),1))</f>
        <v>0</v>
      </c>
      <c r="O127" s="251">
        <f>COUNTIFS(РД[Тип кв],O$86,РД[ИМ],$A127,РД[Дом],$C$100,РД[Дата подачи на регистрацию],"&lt;="&amp;$A$1,РД[Дата подачи на регистрацию],"&gt;="&amp;DATE(YEAR($A$1),MONTH($A$1),1))</f>
        <v>0</v>
      </c>
      <c r="P127" s="254">
        <f>COUNTIFS(РД[Тип кв],P$86,РД[ИМ],$A127,РД[Дом],$C$100,РД[Дата подачи на регистрацию],"&lt;="&amp;$A$1,РД[Дата подачи на регистрацию],"&gt;="&amp;DATE(YEAR($A$1),MONTH($A$1),1))</f>
        <v>0</v>
      </c>
      <c r="Q127" s="134"/>
      <c r="U127" s="66"/>
    </row>
    <row r="128" spans="1:21" s="65" customFormat="1">
      <c r="A128" s="168" t="s">
        <v>114</v>
      </c>
      <c r="B128" s="169">
        <f t="shared" ref="B128:I128" si="19">SUM(B125:B127)</f>
        <v>304.8</v>
      </c>
      <c r="C128" s="170">
        <f t="shared" si="19"/>
        <v>33310532.399999999</v>
      </c>
      <c r="D128" s="170">
        <f t="shared" si="19"/>
        <v>71.06</v>
      </c>
      <c r="E128" s="170">
        <f t="shared" si="19"/>
        <v>9731585</v>
      </c>
      <c r="F128" s="171">
        <f t="shared" si="19"/>
        <v>2</v>
      </c>
      <c r="G128" s="172">
        <f t="shared" si="19"/>
        <v>71.06</v>
      </c>
      <c r="H128" s="173">
        <f t="shared" si="19"/>
        <v>9731585</v>
      </c>
      <c r="I128" s="170">
        <f t="shared" si="19"/>
        <v>2</v>
      </c>
      <c r="J128" s="238">
        <f>IFERROR(G128/B128,)</f>
        <v>0.23313648293963254</v>
      </c>
      <c r="K128" s="239">
        <f>IFERROR(H128/C128,)</f>
        <v>0.29214738699282994</v>
      </c>
      <c r="L128" s="240">
        <f t="shared" ref="L128:P128" si="20">SUM(L125:L127)</f>
        <v>0</v>
      </c>
      <c r="M128" s="241">
        <f t="shared" si="20"/>
        <v>2</v>
      </c>
      <c r="N128" s="241">
        <f t="shared" si="20"/>
        <v>0</v>
      </c>
      <c r="O128" s="241">
        <f t="shared" si="20"/>
        <v>0</v>
      </c>
      <c r="P128" s="242">
        <f t="shared" si="20"/>
        <v>0</v>
      </c>
      <c r="Q128" s="134"/>
      <c r="U128" s="66"/>
    </row>
    <row r="129" spans="1:21" s="65" customFormat="1">
      <c r="A129" s="134"/>
      <c r="B129" s="197"/>
      <c r="C129" s="197"/>
      <c r="D129" s="197"/>
      <c r="E129" s="197"/>
      <c r="F129" s="215"/>
      <c r="G129" s="197"/>
      <c r="H129" s="197"/>
      <c r="I129" s="215"/>
      <c r="J129" s="255"/>
      <c r="K129" s="256"/>
      <c r="L129" s="215"/>
      <c r="M129" s="215"/>
      <c r="N129" s="215"/>
      <c r="O129" s="215"/>
      <c r="P129" s="215"/>
      <c r="Q129" s="134"/>
      <c r="U129" s="66"/>
    </row>
    <row r="130" spans="1:21" s="65" customFormat="1">
      <c r="A130" s="2325" t="s">
        <v>713</v>
      </c>
      <c r="B130" s="2326"/>
      <c r="C130" s="133" t="s">
        <v>718</v>
      </c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T130" s="66"/>
    </row>
    <row r="131" spans="1:21" s="65" customFormat="1">
      <c r="A131" s="135" t="s">
        <v>1</v>
      </c>
      <c r="B131" s="135" t="s">
        <v>100</v>
      </c>
      <c r="C131" s="136" t="s">
        <v>97</v>
      </c>
      <c r="D131" s="137" t="s">
        <v>494</v>
      </c>
      <c r="E131" s="138" t="s">
        <v>495</v>
      </c>
      <c r="F131" s="139" t="s">
        <v>496</v>
      </c>
      <c r="G131" s="140" t="s">
        <v>101</v>
      </c>
      <c r="H131" s="141" t="s">
        <v>98</v>
      </c>
      <c r="I131" s="141" t="s">
        <v>96</v>
      </c>
      <c r="J131" s="141" t="s">
        <v>715</v>
      </c>
      <c r="K131" s="216" t="s">
        <v>716</v>
      </c>
      <c r="L131" s="217">
        <v>0</v>
      </c>
      <c r="M131" s="218">
        <v>1</v>
      </c>
      <c r="N131" s="218">
        <v>2</v>
      </c>
      <c r="O131" s="218">
        <v>3</v>
      </c>
      <c r="P131" s="219" t="s">
        <v>1367</v>
      </c>
      <c r="T131" s="66"/>
    </row>
    <row r="132" spans="1:21" s="65" customFormat="1">
      <c r="A132" s="398" t="s">
        <v>8</v>
      </c>
      <c r="B132" s="143">
        <f>IFERROR(VLOOKUP(A132,'ИПП 4кв24'!$B$35:$N$48,12,0),"")</f>
        <v>511</v>
      </c>
      <c r="C132" s="144">
        <f>IFERROR(VLOOKUP(A132,'ИПП 4кв24'!$B$35:$N$48,13,0),"")</f>
        <v>55847185</v>
      </c>
      <c r="D132" s="199">
        <f>SUMIFS(Дек24[м2],Дек24[МОП],$A132,Дек24[Комнатность],"&lt;&gt;Офис")</f>
        <v>491.80999999999995</v>
      </c>
      <c r="E132" s="200">
        <f>SUMIFS(Дек24[Сумма без отделки],Дек24[МОП],$A132,Дек24[Комнатность],"&lt;&gt;Офис")</f>
        <v>59402671</v>
      </c>
      <c r="F132" s="201">
        <f>COUNTIFS(Дек24[МОП],$A132,Дек24[Комнатность],"&lt;&gt;Офис")</f>
        <v>8</v>
      </c>
      <c r="G132" s="202">
        <f>SUMIFS(РД[S],РД[МОП],A132,РД[Дата подачи на регистрацию],"&lt;="&amp;$A$1,РД[Дата подачи на регистрацию],"&gt;="&amp;DATE(YEAR($A$1),MONTH($A$1),1),РД[Состояние],"Продажа")</f>
        <v>278.10000000000002</v>
      </c>
      <c r="H132" s="203">
        <f>SUMIFS(РД[Стоимость без отделки итог],РД[МОП],A132,РД[Дата подачи на регистрацию],"&lt;="&amp;$A$1,РД[Дата подачи на регистрацию],"&gt;="&amp;DATE(YEAR($A$1),MONTH($A$1),1),РД[Состояние],"Продажа")</f>
        <v>34215861</v>
      </c>
      <c r="I132" s="226">
        <f>COUNTIFS(РД[МОП],A132,РД[Дата подачи на регистрацию],"&lt;="&amp;$A$1,РД[Дата подачи на регистрацию],"&gt;="&amp;DATE(YEAR($A$1),MONTH($A$1),1),РД[Состояние],"Продажа")</f>
        <v>6</v>
      </c>
      <c r="J132" s="224">
        <f t="shared" ref="J132:K137" si="21">IFERROR(G132/B132,"")</f>
        <v>0.5442270058708415</v>
      </c>
      <c r="K132" s="225">
        <f t="shared" si="21"/>
        <v>0.61266939416910626</v>
      </c>
      <c r="L132" s="257">
        <f>COUNTIFS(РД[Тип кв],L$86,РД[МОП],$A132,РД[Дата подачи на регистрацию],"&lt;="&amp;$A$1,РД[Дата подачи на регистрацию],"&gt;="&amp;DATE(YEAR($A$1),MONTH($A$1),1))</f>
        <v>0</v>
      </c>
      <c r="M132" s="226">
        <f>COUNTIFS(РД[Тип кв],M$86,РД[МОП],$A132,РД[Дата подачи на регистрацию],"&lt;="&amp;$A$1,РД[Дата подачи на регистрацию],"&gt;="&amp;DATE(YEAR($A$1),MONTH($A$1),1))</f>
        <v>5</v>
      </c>
      <c r="N132" s="226">
        <f>COUNTIFS(РД[Тип кв],N$86,РД[МОП],$A132,РД[Дата подачи на регистрацию],"&lt;="&amp;$A$1,РД[Дата подачи на регистрацию],"&gt;="&amp;DATE(YEAR($A$1),MONTH($A$1),1))</f>
        <v>0</v>
      </c>
      <c r="O132" s="226">
        <f>COUNTIFS(РД[Тип кв],O$86,РД[МОП],$A132,РД[Дата подачи на регистрацию],"&lt;="&amp;$A$1,РД[Дата подачи на регистрацию],"&gt;="&amp;DATE(YEAR($A$1),MONTH($A$1),1))</f>
        <v>1</v>
      </c>
      <c r="P132" s="227">
        <f>COUNTIFS(РД[Тип кв],P$86,РД[МОП],$A132,РД[Дата подачи на регистрацию],"&lt;="&amp;$A$1,РД[Дата подачи на регистрацию],"&gt;="&amp;DATE(YEAR($A$1),MONTH($A$1),1))</f>
        <v>0</v>
      </c>
      <c r="T132" s="66"/>
    </row>
    <row r="133" spans="1:21" s="65" customFormat="1">
      <c r="A133" s="150" t="s">
        <v>24</v>
      </c>
      <c r="B133" s="143">
        <f>IFERROR(VLOOKUP(A133,'ИПП 4кв24'!$B$35:$N$48,12,0),"")</f>
        <v>334</v>
      </c>
      <c r="C133" s="144">
        <f>IFERROR(VLOOKUP(A133,'ИПП 4кв24'!$B$35:$N$48,13,0),"")</f>
        <v>36566609</v>
      </c>
      <c r="D133" s="199">
        <f>SUMIFS(Дек24[м2],Дек24[МОП],$A133,Дек24[Комнатность],"&lt;&gt;Офис")</f>
        <v>166.4</v>
      </c>
      <c r="E133" s="200">
        <f>SUMIFS(Дек24[Сумма без отделки],Дек24[МОП],$A133,Дек24[Комнатность],"&lt;&gt;Офис")</f>
        <v>20154974</v>
      </c>
      <c r="F133" s="201">
        <f>COUNTIFS(Дек24[МОП],$A133,Дек24[Комнатность],"&lt;&gt;Офис")</f>
        <v>3</v>
      </c>
      <c r="G133" s="202">
        <f>SUMIFS(РД[S],РД[МОП],A133,РД[Дата подачи на регистрацию],"&lt;="&amp;$A$1,РД[Дата подачи на регистрацию],"&gt;="&amp;DATE(YEAR($A$1),MONTH($A$1),1),РД[Состояние],"Продажа")</f>
        <v>201.93</v>
      </c>
      <c r="H133" s="203">
        <f>SUMIFS(РД[Стоимость без отделки итог],РД[МОП],A133,РД[Дата подачи на регистрацию],"&lt;="&amp;$A$1,РД[Дата подачи на регистрацию],"&gt;="&amp;DATE(YEAR($A$1),MONTH($A$1),1),РД[Состояние],"Продажа")</f>
        <v>25178933</v>
      </c>
      <c r="I133" s="226">
        <f>COUNTIFS(РД[МОП],A133,РД[Дата подачи на регистрацию],"&lt;="&amp;$A$1,РД[Дата подачи на регистрацию],"&gt;="&amp;DATE(YEAR($A$1),MONTH($A$1),1),РД[Состояние],"Продажа")</f>
        <v>4</v>
      </c>
      <c r="J133" s="224">
        <f t="shared" si="21"/>
        <v>0.6045808383233533</v>
      </c>
      <c r="K133" s="225">
        <f t="shared" si="21"/>
        <v>0.68857719347178181</v>
      </c>
      <c r="L133" s="257">
        <f>COUNTIFS(РД[Тип кв],L$86,РД[МОП],$A133,РД[Дата подачи на регистрацию],"&lt;="&amp;$A$1,РД[Дата подачи на регистрацию],"&gt;="&amp;DATE(YEAR($A$1),MONTH($A$1),1))</f>
        <v>1</v>
      </c>
      <c r="M133" s="226">
        <f>COUNTIFS(РД[Тип кв],M$86,РД[МОП],$A133,РД[Дата подачи на регистрацию],"&lt;="&amp;$A$1,РД[Дата подачи на регистрацию],"&gt;="&amp;DATE(YEAR($A$1),MONTH($A$1),1))</f>
        <v>1</v>
      </c>
      <c r="N133" s="226">
        <f>COUNTIFS(РД[Тип кв],N$86,РД[МОП],$A133,РД[Дата подачи на регистрацию],"&lt;="&amp;$A$1,РД[Дата подачи на регистрацию],"&gt;="&amp;DATE(YEAR($A$1),MONTH($A$1),1))</f>
        <v>2</v>
      </c>
      <c r="O133" s="226">
        <f>COUNTIFS(РД[Тип кв],O$86,РД[МОП],$A133,РД[Дата подачи на регистрацию],"&lt;="&amp;$A$1,РД[Дата подачи на регистрацию],"&gt;="&amp;DATE(YEAR($A$1),MONTH($A$1),1))</f>
        <v>0</v>
      </c>
      <c r="P133" s="227">
        <f>COUNTIFS(РД[Тип кв],P$86,РД[МОП],$A133,РД[Дата подачи на регистрацию],"&lt;="&amp;$A$1,РД[Дата подачи на регистрацию],"&gt;="&amp;DATE(YEAR($A$1),MONTH($A$1),1))</f>
        <v>0</v>
      </c>
      <c r="T133" s="66"/>
    </row>
    <row r="134" spans="1:21" s="65" customFormat="1">
      <c r="A134" s="153" t="s">
        <v>20</v>
      </c>
      <c r="B134" s="143">
        <f>IFERROR(VLOOKUP(A134,'ИПП 4кв24'!$B$35:$N$48,12,0),"")</f>
        <v>511</v>
      </c>
      <c r="C134" s="144">
        <f>IFERROR(VLOOKUP(A134,'ИПП 4кв24'!$B$35:$N$48,13,0),"")</f>
        <v>55847185</v>
      </c>
      <c r="D134" s="199">
        <f>SUMIFS(Дек24[м2],Дек24[МОП],$A134,Дек24[Комнатность],"&lt;&gt;Офис")</f>
        <v>220.53</v>
      </c>
      <c r="E134" s="200">
        <f>SUMIFS(Дек24[Сумма без отделки],Дек24[МОП],$A134,Дек24[Комнатность],"&lt;&gt;Офис")</f>
        <v>26547575</v>
      </c>
      <c r="F134" s="201">
        <f>COUNTIFS(Дек24[МОП],$A134,Дек24[Комнатность],"&lt;&gt;Офис")</f>
        <v>4</v>
      </c>
      <c r="G134" s="202">
        <f>SUMIFS(РД[S],РД[МОП],A134,РД[Дата подачи на регистрацию],"&lt;="&amp;$A$1,РД[Дата подачи на регистрацию],"&gt;="&amp;DATE(YEAR($A$1),MONTH($A$1),1),РД[Состояние],"Продажа")</f>
        <v>278.13</v>
      </c>
      <c r="H134" s="203">
        <f>SUMIFS(РД[Стоимость без отделки итог],РД[МОП],A134,РД[Дата подачи на регистрацию],"&lt;="&amp;$A$1,РД[Дата подачи на регистрацию],"&gt;="&amp;DATE(YEAR($A$1),MONTH($A$1),1),РД[Состояние],"Продажа")</f>
        <v>33401075</v>
      </c>
      <c r="I134" s="226">
        <f>COUNTIFS(РД[МОП],A134,РД[Дата подачи на регистрацию],"&lt;="&amp;$A$1,РД[Дата подачи на регистрацию],"&gt;="&amp;DATE(YEAR($A$1),MONTH($A$1),1),РД[Состояние],"Продажа")</f>
        <v>5</v>
      </c>
      <c r="J134" s="224">
        <f t="shared" si="21"/>
        <v>0.54428571428571426</v>
      </c>
      <c r="K134" s="225">
        <f t="shared" si="21"/>
        <v>0.59807983159759981</v>
      </c>
      <c r="L134" s="325">
        <f>COUNTIFS(РД[Тип кв],L$86,РД[МОП],$A134,РД[Дата подачи на регистрацию],"&lt;="&amp;$A$1,РД[Дата подачи на регистрацию],"&gt;="&amp;DATE(YEAR($A$1),MONTH($A$1),1))</f>
        <v>0</v>
      </c>
      <c r="M134" s="326">
        <f>COUNTIFS(РД[Тип кв],M$86,РД[МОП],$A134,РД[Дата подачи на регистрацию],"&lt;="&amp;$A$1,РД[Дата подачи на регистрацию],"&gt;="&amp;DATE(YEAR($A$1),MONTH($A$1),1))</f>
        <v>0</v>
      </c>
      <c r="N134" s="326">
        <f>COUNTIFS(РД[Тип кв],N$86,РД[МОП],$A134,РД[Дата подачи на регистрацию],"&lt;="&amp;$A$1,РД[Дата подачи на регистрацию],"&gt;="&amp;DATE(YEAR($A$1),MONTH($A$1),1))</f>
        <v>5</v>
      </c>
      <c r="O134" s="326">
        <f>COUNTIFS(РД[Тип кв],O$86,РД[МОП],$A134,РД[Дата подачи на регистрацию],"&lt;="&amp;$A$1,РД[Дата подачи на регистрацию],"&gt;="&amp;DATE(YEAR($A$1),MONTH($A$1),1))</f>
        <v>0</v>
      </c>
      <c r="P134" s="327">
        <f>COUNTIFS(РД[Тип кв],P$86,РД[МОП],$A134,РД[Дата подачи на регистрацию],"&lt;="&amp;$A$1,РД[Дата подачи на регистрацию],"&gt;="&amp;DATE(YEAR($A$1),MONTH($A$1),1))</f>
        <v>0</v>
      </c>
      <c r="T134" s="66"/>
    </row>
    <row r="135" spans="1:21" s="65" customFormat="1">
      <c r="A135" s="153" t="s">
        <v>14</v>
      </c>
      <c r="B135" s="143">
        <f>IFERROR(VLOOKUP(A135,'ИПП 4кв24'!$B$35:$N$48,12,0),"")</f>
        <v>511</v>
      </c>
      <c r="C135" s="144">
        <f>IFERROR(VLOOKUP(A135,'ИПП 4кв24'!$B$35:$N$48,13,0),"")</f>
        <v>55847185</v>
      </c>
      <c r="D135" s="299">
        <f>SUMIFS(Дек24[м2],Дек24[МОП],$A135,Дек24[Комнатность],"&lt;&gt;Офис")</f>
        <v>185.81</v>
      </c>
      <c r="E135" s="300">
        <f>SUMIFS(Дек24[Сумма без отделки],Дек24[МОП],$A135,Дек24[Комнатность],"&lt;&gt;Офис")</f>
        <v>21835258</v>
      </c>
      <c r="F135" s="301">
        <f>COUNTIFS(Дек24[МОП],$A135,Дек24[Комнатность],"&lt;&gt;Офис")</f>
        <v>5</v>
      </c>
      <c r="G135" s="358">
        <f>SUMIFS(РД[S],РД[МОП],A135,РД[Дата подачи на регистрацию],"&lt;="&amp;$A$1,РД[Дата подачи на регистрацию],"&gt;="&amp;DATE(YEAR($A$1),MONTH($A$1),1),РД[Состояние],"Продажа")</f>
        <v>273.78999999999996</v>
      </c>
      <c r="H135" s="359">
        <f>SUMIFS(РД[Стоимость без отделки итог],РД[МОП],A135,РД[Дата подачи на регистрацию],"&lt;="&amp;$A$1,РД[Дата подачи на регистрацию],"&gt;="&amp;DATE(YEAR($A$1),MONTH($A$1),1),РД[Состояние],"Продажа")</f>
        <v>32632064</v>
      </c>
      <c r="I135" s="330">
        <f>COUNTIFS(РД[МОП],A135,РД[Дата подачи на регистрацию],"&lt;="&amp;$A$1,РД[Дата подачи на регистрацию],"&gt;="&amp;DATE(YEAR($A$1),MONTH($A$1),1),РД[Состояние],"Продажа")</f>
        <v>6</v>
      </c>
      <c r="J135" s="360">
        <f t="shared" si="21"/>
        <v>0.53579256360078276</v>
      </c>
      <c r="K135" s="361">
        <f t="shared" si="21"/>
        <v>0.5843099164264054</v>
      </c>
      <c r="L135" s="364">
        <f>COUNTIFS(РД[Тип кв],L$86,РД[МОП],$A135,РД[Дата подачи на регистрацию],"&lt;="&amp;$A$1,РД[Дата подачи на регистрацию],"&gt;="&amp;DATE(YEAR($A$1),MONTH($A$1),1))</f>
        <v>2</v>
      </c>
      <c r="M135" s="365">
        <f>COUNTIFS(РД[Тип кв],M$86,РД[МОП],$A135,РД[Дата подачи на регистрацию],"&lt;="&amp;$A$1,РД[Дата подачи на регистрацию],"&gt;="&amp;DATE(YEAR($A$1),MONTH($A$1),1))</f>
        <v>1</v>
      </c>
      <c r="N135" s="365">
        <f>COUNTIFS(РД[Тип кв],N$86,РД[МОП],$A135,РД[Дата подачи на регистрацию],"&lt;="&amp;$A$1,РД[Дата подачи на регистрацию],"&gt;="&amp;DATE(YEAR($A$1),MONTH($A$1),1))</f>
        <v>3</v>
      </c>
      <c r="O135" s="365">
        <f>COUNTIFS(РД[Тип кв],O$86,РД[МОП],$A135,РД[Дата подачи на регистрацию],"&lt;="&amp;$A$1,РД[Дата подачи на регистрацию],"&gt;="&amp;DATE(YEAR($A$1),MONTH($A$1),1))</f>
        <v>0</v>
      </c>
      <c r="P135" s="366">
        <f>COUNTIFS(РД[Тип кв],P$86,РД[МОП],$A135,РД[Дата подачи на регистрацию],"&lt;="&amp;$A$1,РД[Дата подачи на регистрацию],"&gt;="&amp;DATE(YEAR($A$1),MONTH($A$1),1))</f>
        <v>0</v>
      </c>
      <c r="Q135" s="86"/>
      <c r="R135" s="86"/>
      <c r="S135" s="86"/>
      <c r="T135" s="66"/>
    </row>
    <row r="136" spans="1:21" s="65" customFormat="1">
      <c r="A136" s="154" t="s">
        <v>29</v>
      </c>
      <c r="B136" s="155"/>
      <c r="C136" s="156"/>
      <c r="D136" s="157">
        <f>SUMIFS(Дек24[м2],Дек24[МОП],$A136,Дек24[Комнатность],"&lt;&gt;Офис")</f>
        <v>0</v>
      </c>
      <c r="E136" s="156">
        <f>SUMIFS(Дек24[Сумма без отделки],Дек24[МОП],$A136,Дек24[Комнатность],"&lt;&gt;Офис")</f>
        <v>0</v>
      </c>
      <c r="F136" s="158">
        <f>COUNTIFS(Дек24[МОП],$A136,Дек24[Комнатность],"&lt;&gt;Офис")</f>
        <v>0</v>
      </c>
      <c r="G136" s="159">
        <f>SUMIFS(РД[S],РД[МОП],A136,РД[Дата подачи на регистрацию],"&lt;="&amp;$A$1,РД[Дата подачи на регистрацию],"&gt;="&amp;DATE(YEAR($A$1),MONTH($A$1),1),РД[Состояние],"Продажа")</f>
        <v>0</v>
      </c>
      <c r="H136" s="160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228">
        <f>COUNTIFS(РД[МОП],A136,РД[Дата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9" t="str">
        <f t="shared" si="21"/>
        <v/>
      </c>
      <c r="K136" s="230" t="str">
        <f t="shared" si="21"/>
        <v/>
      </c>
      <c r="L136" s="159">
        <f>COUNTIFS(РД[Тип кв],L$86,РД[МОП],$A136,РД[Дата подачи на регистрацию],"&lt;="&amp;$A$1,РД[Дата подачи на регистрацию],"&gt;="&amp;DATE(YEAR($A$1),MONTH($A$1),1))</f>
        <v>0</v>
      </c>
      <c r="M136" s="228">
        <f>COUNTIFS(РД[Тип кв],M$86,РД[МОП],$A136,РД[Дата подачи на регистрацию],"&lt;="&amp;$A$1,РД[Дата подачи на регистрацию],"&gt;="&amp;DATE(YEAR($A$1),MONTH($A$1),1))</f>
        <v>0</v>
      </c>
      <c r="N136" s="228">
        <f>COUNTIFS(РД[Тип кв],N$86,РД[МОП],$A136,РД[Дата подачи на регистрацию],"&lt;="&amp;$A$1,РД[Дата подачи на регистрацию],"&gt;="&amp;DATE(YEAR($A$1),MONTH($A$1),1))</f>
        <v>0</v>
      </c>
      <c r="O136" s="228">
        <f>COUNTIFS(РД[Тип кв],O$86,РД[МОП],$A136,РД[Дата подачи на регистрацию],"&lt;="&amp;$A$1,РД[Дата подачи на регистрацию],"&gt;="&amp;DATE(YEAR($A$1),MONTH($A$1),1))</f>
        <v>0</v>
      </c>
      <c r="P136" s="231">
        <f>COUNTIFS(РД[Тип кв],P$86,РД[МОП],$A136,РД[Дата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61" t="s">
        <v>1919</v>
      </c>
      <c r="B137" s="162"/>
      <c r="C137" s="163"/>
      <c r="D137" s="164">
        <f>SUMIFS(Дек24[м2],Дек24[МОП],$A137,Дек24[Комнатность],"&lt;&gt;Офис")</f>
        <v>226.40999999999997</v>
      </c>
      <c r="E137" s="163">
        <f>SUMIFS(Дек24[Сумма без отделки],Дек24[МОП],$A137,Дек24[Комнатность],"&lt;&gt;Офис")</f>
        <v>28770003</v>
      </c>
      <c r="F137" s="165">
        <f>COUNTIFS(Дек24[МОП],$A137,Дек24[Комнатность],"&lt;&gt;Офис")</f>
        <v>5</v>
      </c>
      <c r="G137" s="166">
        <f>SUMIFS(РД[S],РД[МОП],A137,РД[Дата подачи на регистрацию],"&lt;="&amp;$A$1,РД[Дата подачи на регистрацию],"&gt;="&amp;DATE(YEAR($A$1),MONTH($A$1),1),РД[Состояние],"Продажа")</f>
        <v>0</v>
      </c>
      <c r="H137" s="167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0</v>
      </c>
      <c r="I137" s="232">
        <f>COUNTIFS(РД[МОП],A137,РД[Дата подачи на регистрацию],"&lt;="&amp;$A$1,РД[Дата подачи на регистрацию],"&gt;="&amp;DATE(YEAR($A$1),MONTH($A$1),1),РД[Состояние],"Продажа")</f>
        <v>0</v>
      </c>
      <c r="J137" s="233" t="str">
        <f t="shared" si="21"/>
        <v/>
      </c>
      <c r="K137" s="234" t="str">
        <f t="shared" si="21"/>
        <v/>
      </c>
      <c r="L137" s="235">
        <f>COUNTIFS(РД[Тип кв],L$86,РД[МОП],$A137,РД[Дата подачи на регистрацию],"&lt;="&amp;$A$1,РД[Дата подачи на регистрацию],"&gt;="&amp;DATE(YEAR($A$1),MONTH($A$1),1))</f>
        <v>0</v>
      </c>
      <c r="M137" s="236">
        <f>COUNTIFS(РД[Тип кв],M$86,РД[МОП],$A137,РД[Дата подачи на регистрацию],"&lt;="&amp;$A$1,РД[Дата подачи на регистрацию],"&gt;="&amp;DATE(YEAR($A$1),MONTH($A$1),1))</f>
        <v>0</v>
      </c>
      <c r="N137" s="236">
        <f>COUNTIFS(РД[Тип кв],N$86,РД[МОП],$A137,РД[Дата подачи на регистрацию],"&lt;="&amp;$A$1,РД[Дата подачи на регистрацию],"&gt;="&amp;DATE(YEAR($A$1),MONTH($A$1),1))</f>
        <v>0</v>
      </c>
      <c r="O137" s="236">
        <f>COUNTIFS(РД[Тип кв],O$86,РД[МОП],$A137,РД[Дата подачи на регистрацию],"&lt;="&amp;$A$1,РД[Дата подачи на регистрацию],"&gt;="&amp;DATE(YEAR($A$1),MONTH($A$1),1))</f>
        <v>0</v>
      </c>
      <c r="P137" s="237">
        <f>COUNTIFS(РД[Тип кв],P$86,РД[МОП],$A137,РД[Дата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68" t="s">
        <v>114</v>
      </c>
      <c r="B138" s="169">
        <f t="shared" ref="B138:I138" si="22">SUM(B132:B137)</f>
        <v>1867</v>
      </c>
      <c r="C138" s="170">
        <f t="shared" si="22"/>
        <v>204108164</v>
      </c>
      <c r="D138" s="170">
        <f t="shared" si="22"/>
        <v>1290.96</v>
      </c>
      <c r="E138" s="170">
        <f t="shared" si="22"/>
        <v>156710481</v>
      </c>
      <c r="F138" s="171">
        <f t="shared" si="22"/>
        <v>25</v>
      </c>
      <c r="G138" s="172">
        <f t="shared" si="22"/>
        <v>1031.95</v>
      </c>
      <c r="H138" s="173">
        <f t="shared" si="22"/>
        <v>125427933</v>
      </c>
      <c r="I138" s="170">
        <f t="shared" si="22"/>
        <v>21</v>
      </c>
      <c r="J138" s="238">
        <f>IFERROR(G138/B138,)</f>
        <v>0.55273165506159616</v>
      </c>
      <c r="K138" s="239">
        <f>IFERROR(H138/C138,)</f>
        <v>0.61451698228004248</v>
      </c>
      <c r="L138" s="240">
        <f>SUM(L132:L137)</f>
        <v>3</v>
      </c>
      <c r="M138" s="241">
        <f>SUM(M132:M137)</f>
        <v>7</v>
      </c>
      <c r="N138" s="241">
        <f>SUM(N132:N137)</f>
        <v>10</v>
      </c>
      <c r="O138" s="241">
        <f>SUM(O132:O137)</f>
        <v>1</v>
      </c>
      <c r="P138" s="242">
        <f>SUM(P132:P137)</f>
        <v>0</v>
      </c>
      <c r="T138" s="66"/>
    </row>
    <row r="139" spans="1:21" s="65" customFormat="1">
      <c r="A139" s="135" t="s">
        <v>115</v>
      </c>
      <c r="B139" s="213" t="s">
        <v>100</v>
      </c>
      <c r="C139" s="214" t="s">
        <v>97</v>
      </c>
      <c r="D139" s="174" t="s">
        <v>494</v>
      </c>
      <c r="E139" s="175" t="s">
        <v>495</v>
      </c>
      <c r="F139" s="176" t="s">
        <v>496</v>
      </c>
      <c r="G139" s="140" t="s">
        <v>101</v>
      </c>
      <c r="H139" s="141" t="s">
        <v>98</v>
      </c>
      <c r="I139" s="141" t="s">
        <v>96</v>
      </c>
      <c r="J139" s="141" t="s">
        <v>715</v>
      </c>
      <c r="K139" s="216" t="s">
        <v>716</v>
      </c>
      <c r="L139" s="217">
        <v>0</v>
      </c>
      <c r="M139" s="218">
        <v>1</v>
      </c>
      <c r="N139" s="218">
        <v>2</v>
      </c>
      <c r="O139" s="218">
        <v>3</v>
      </c>
      <c r="P139" s="219" t="s">
        <v>1367</v>
      </c>
      <c r="T139" s="66"/>
    </row>
    <row r="140" spans="1:21" s="65" customFormat="1">
      <c r="A140" s="177" t="s">
        <v>22</v>
      </c>
      <c r="B140" s="178">
        <f>IFERROR(VLOOKUP(A140,'ИПП 4кв24'!$B$35:$N$48,12,0),"")</f>
        <v>1120.2</v>
      </c>
      <c r="C140" s="179">
        <f>IFERROR(VLOOKUP(A140,'ИПП 4кв24'!$B$35:$N$48,13,0),"")</f>
        <v>122464898.40000001</v>
      </c>
      <c r="D140" s="180">
        <f>SUMIFS(Дек24[м2],Дек24[ИМ],A140,Дек24[Комнатность],"&lt;&gt;Офис")</f>
        <v>811.43</v>
      </c>
      <c r="E140" s="181">
        <f>SUMIFS(Дек24[Сумма без отделки],Дек24[ИМ],$A140,Дек24[Комнатность],"&lt;&gt;Офис")</f>
        <v>98726717</v>
      </c>
      <c r="F140" s="204">
        <f>COUNTIFS(Дек24[ИМ],A140,Дек24[Комнатность],"&lt;&gt;Офис")</f>
        <v>16</v>
      </c>
      <c r="G140" s="183">
        <f>SUMIFS(РД[S],РД[ИМ],A140,РД[Дата подачи на регистрацию],"&lt;="&amp;$A$1,РД[Дата подачи на регистрацию],"&gt;="&amp;DATE(YEAR($A$1),MONTH($A$1),1),РД[Состояние],"Продажа")</f>
        <v>811.43000000000006</v>
      </c>
      <c r="H140" s="184">
        <f>SUMIFS(РД[Стоимость без отделки итог],РД[ИМ],A140,РД[Дата подачи на регистрацию],"&lt;="&amp;$A$1,РД[Дата подачи на регистрацию],"&gt;="&amp;DATE(YEAR($A$1),MONTH($A$1),1),РД[Состояние],"Продажа")</f>
        <v>98586569</v>
      </c>
      <c r="I140" s="243">
        <f>COUNTIFS(РД[ИМ],A140,РД[Дата подачи на регистрацию],"&lt;="&amp;$A$1,РД[Дата подачи на регистрацию],"&gt;="&amp;DATE(YEAR($A$1),MONTH($A$1),1),РД[Состояние],"Продажа")</f>
        <v>16</v>
      </c>
      <c r="J140" s="244">
        <f t="shared" ref="J140:K143" si="23">IFERROR(G140/B140,"")</f>
        <v>0.72436172112122843</v>
      </c>
      <c r="K140" s="258">
        <f t="shared" si="23"/>
        <v>0.80501899146637435</v>
      </c>
      <c r="L140" s="183">
        <f>COUNTIFS(РД[Тип кв],L131,РД[ИМ],$A140,РД[Дата подачи на регистрацию],"&lt;="&amp;$A$1,РД[Дата подачи на регистрацию],"&gt;="&amp;DATE(YEAR($A$1),MONTH($A$1),1))</f>
        <v>3</v>
      </c>
      <c r="M140" s="243">
        <f>COUNTIFS(РД[Тип кв],M131,РД[ИМ],$A140,РД[Дата подачи на регистрацию],"&lt;="&amp;$A$1,РД[Дата подачи на регистрацию],"&gt;="&amp;DATE(YEAR($A$1),MONTH($A$1),1))</f>
        <v>4</v>
      </c>
      <c r="N140" s="243">
        <f>COUNTIFS(РД[Тип кв],N131,РД[ИМ],$A140,РД[Дата подачи на регистрацию],"&lt;="&amp;$A$1,РД[Дата подачи на регистрацию],"&gt;="&amp;DATE(YEAR($A$1),MONTH($A$1),1))</f>
        <v>8</v>
      </c>
      <c r="O140" s="243">
        <f>COUNTIFS(РД[Тип кв],O131,РД[ИМ],$A140,РД[Дата подачи на регистрацию],"&lt;="&amp;$A$1,РД[Дата подачи на регистрацию],"&gt;="&amp;DATE(YEAR($A$1),MONTH($A$1),1))</f>
        <v>1</v>
      </c>
      <c r="P140" s="246">
        <f>COUNTIFS(РД[Тип кв],P131,РД[ИМ],$A140,РД[Дата подачи на регистрацию],"&lt;="&amp;$A$1,РД[Дата подачи на регистрацию],"&gt;="&amp;DATE(YEAR($A$1),MONTH($A$1),1))</f>
        <v>0</v>
      </c>
      <c r="Q140" s="66"/>
      <c r="R140" s="66"/>
      <c r="S140" s="66"/>
      <c r="T140" s="66"/>
    </row>
    <row r="141" spans="1:21" s="65" customFormat="1">
      <c r="A141" s="150" t="s">
        <v>3</v>
      </c>
      <c r="B141" s="143">
        <f>IFERROR(VLOOKUP(A141,'ИПП 4кв24'!$B$35:$N$48,12,0),"")</f>
        <v>0</v>
      </c>
      <c r="C141" s="144">
        <f>IFERROR(VLOOKUP(A141,'ИПП 4кв24'!$B$35:$N$48,13,0),"")</f>
        <v>0</v>
      </c>
      <c r="D141" s="205">
        <f>SUMIFS(Дек24[м2],Дек24[ИМ],A141,Дек24[Комнатность],"&lt;&gt;Офис")</f>
        <v>0</v>
      </c>
      <c r="E141" s="206">
        <f>SUMIFS(Дек24[Сумма без отделки],Дек24[ИМ],$A141,Дек24[Комнатность],"&lt;&gt;Офис")</f>
        <v>0</v>
      </c>
      <c r="F141" s="207">
        <f>COUNTIFS(Дек24[ИМ],$A141,Дек24[Комнатность],"&lt;&gt;Офис")</f>
        <v>0</v>
      </c>
      <c r="G141" s="187">
        <f>SUMIFS(РД[S],РД[ИМ],A141,РД[Дата подачи на регистрацию],"&lt;="&amp;$A$1,РД[Дата подачи на регистрацию],"&gt;="&amp;DATE(YEAR($A$1),MONTH($A$1),1),РД[Состояние],"Продажа")</f>
        <v>0</v>
      </c>
      <c r="H141" s="188">
        <f>SUMIFS(РД[Стоимость без отделки итог],РД[ИМ],A141,РД[Дата подачи на регистрацию],"&lt;="&amp;$A$1,РД[Дата подачи на регистрацию],"&gt;="&amp;DATE(YEAR($A$1),MONTH($A$1),1),РД[Состояние],"Продажа")</f>
        <v>0</v>
      </c>
      <c r="I141" s="247">
        <f>COUNTIFS(РД[ИМ],A141,РД[Дата подачи на регистрацию],"&lt;="&amp;$A$1,РД[Дата подачи на регистрацию],"&gt;="&amp;DATE(YEAR($A$1),MONTH($A$1),1),РД[Состояние],"Продажа")</f>
        <v>0</v>
      </c>
      <c r="J141" s="248" t="str">
        <f t="shared" si="23"/>
        <v/>
      </c>
      <c r="K141" s="259" t="str">
        <f t="shared" si="23"/>
        <v/>
      </c>
      <c r="L141" s="328">
        <f>COUNTIFS(РД[Тип кв],L132,РД[ИМ],$A141,РД[Дата подачи на регистрацию],"&lt;="&amp;$A$1,РД[Дата подачи на регистрацию],"&gt;="&amp;DATE(YEAR($A$1),MONTH($A$1),1))</f>
        <v>0</v>
      </c>
      <c r="M141" s="247">
        <f>COUNTIFS(РД[Тип кв],M132,РД[ИМ],$A141,РД[Дата подачи на регистрацию],"&lt;="&amp;$A$1,РД[Дата подачи на регистрацию],"&gt;="&amp;DATE(YEAR($A$1),MONTH($A$1),1))</f>
        <v>0</v>
      </c>
      <c r="N141" s="247">
        <f>COUNTIFS(РД[Тип кв],N132,РД[ИМ],$A141,РД[Дата подачи на регистрацию],"&lt;="&amp;$A$1,РД[Дата подачи на регистрацию],"&gt;="&amp;DATE(YEAR($A$1),MONTH($A$1),1))</f>
        <v>0</v>
      </c>
      <c r="O141" s="247">
        <f>COUNTIFS(РД[Тип кв],O132,РД[ИМ],$A141,РД[Дата подачи на регистрацию],"&lt;="&amp;$A$1,РД[Дата подачи на регистрацию],"&gt;="&amp;DATE(YEAR($A$1),MONTH($A$1),1))</f>
        <v>0</v>
      </c>
      <c r="P141" s="250">
        <f>COUNTIFS(РД[Тип кв],P132,РД[ИМ],$A141,РД[Дата подачи на регистрацию],"&lt;="&amp;$A$1,РД[Дата подачи на регистрацию],"&gt;="&amp;DATE(YEAR($A$1),MONTH($A$1),1))</f>
        <v>0</v>
      </c>
      <c r="Q141" s="66"/>
      <c r="R141" s="66"/>
      <c r="S141" s="66"/>
      <c r="T141" s="66"/>
    </row>
    <row r="142" spans="1:21" s="65" customFormat="1">
      <c r="A142" s="189" t="s">
        <v>3</v>
      </c>
      <c r="B142" s="190">
        <f>IFERROR(VLOOKUP(A142,'ИПП 4кв24'!$B$35:$N$48,12,0),"")</f>
        <v>0</v>
      </c>
      <c r="C142" s="191">
        <f>IFERROR(VLOOKUP(A142,'ИПП 4кв24'!$B$35:$N$48,13,0),"")</f>
        <v>0</v>
      </c>
      <c r="D142" s="208">
        <f>SUMIFS(Дек24[м2],Дек24[ИМ],A142,Дек24[Комнатность],"&lt;&gt;Офис")</f>
        <v>0</v>
      </c>
      <c r="E142" s="209">
        <f>SUMIFS(Дек24[Сумма без отделки],Дек24[ИМ],$A142,Дек24[Комнатность],"&lt;&gt;Офис")</f>
        <v>0</v>
      </c>
      <c r="F142" s="210">
        <f>COUNTIFS(Дек24[ИМ],$A142,Дек24[Комнатность],"&lt;&gt;Офис")</f>
        <v>0</v>
      </c>
      <c r="G142" s="195">
        <f>SUMIFS(РД[S],РД[ИМ],A142,РД[Дата подачи на регистрацию],"&lt;="&amp;$A$1,РД[Дата подачи на регистрацию],"&gt;="&amp;DATE(YEAR($A$1),MONTH($A$1),1),РД[Состояние],"Продажа")</f>
        <v>0</v>
      </c>
      <c r="H142" s="196">
        <f>SUMIFS(РД[Стоимость без отделки итог],РД[ИМ],A142,РД[Дата подачи на регистрацию],"&lt;="&amp;$A$1,РД[Дата подачи на регистрацию],"&gt;="&amp;DATE(YEAR($A$1),MONTH($A$1),1),РД[Состояние],"Продажа")</f>
        <v>0</v>
      </c>
      <c r="I142" s="251">
        <f>COUNTIFS(РД[ИМ],A142,РД[Дата подачи на регистрацию],"&lt;="&amp;$A$1,РД[Дата подачи на регистрацию],"&gt;="&amp;DATE(YEAR($A$1),MONTH($A$1),1),РД[Состояние],"Продажа")</f>
        <v>0</v>
      </c>
      <c r="J142" s="252" t="str">
        <f t="shared" si="23"/>
        <v/>
      </c>
      <c r="K142" s="260" t="str">
        <f t="shared" si="23"/>
        <v/>
      </c>
      <c r="L142" s="329">
        <f>COUNTIFS(РД[Тип кв],L134,РД[ИМ],$A142,РД[Дата подачи на регистрацию],"&lt;="&amp;$A$1,РД[Дата подачи на регистрацию],"&gt;="&amp;DATE(YEAR($A$1),MONTH($A$1),1))</f>
        <v>0</v>
      </c>
      <c r="M142" s="330">
        <f>COUNTIFS(РД[Тип кв],M134,РД[ИМ],$A142,РД[Дата подачи на регистрацию],"&lt;="&amp;$A$1,РД[Дата подачи на регистрацию],"&gt;="&amp;DATE(YEAR($A$1),MONTH($A$1),1))</f>
        <v>0</v>
      </c>
      <c r="N142" s="330">
        <f>COUNTIFS(РД[Тип кв],N134,РД[ИМ],$A142,РД[Дата подачи на регистрацию],"&lt;="&amp;$A$1,РД[Дата подачи на регистрацию],"&gt;="&amp;DATE(YEAR($A$1),MONTH($A$1),1))</f>
        <v>0</v>
      </c>
      <c r="O142" s="330">
        <f>COUNTIFS(РД[Тип кв],O134,РД[ИМ],$A142,РД[Дата подачи на регистрацию],"&lt;="&amp;$A$1,РД[Дата подачи на регистрацию],"&gt;="&amp;DATE(YEAR($A$1),MONTH($A$1),1))</f>
        <v>0</v>
      </c>
      <c r="P142" s="331">
        <f>COUNTIFS(РД[Тип кв],P134,РД[ИМ],$A142,РД[Дата подачи на регистрацию],"&lt;="&amp;$A$1,РД[Дата подачи на регистрацию],"&gt;="&amp;DATE(YEAR($A$1),MONTH($A$1),1))</f>
        <v>0</v>
      </c>
      <c r="Q142" s="66"/>
      <c r="R142" s="66"/>
      <c r="S142" s="66"/>
      <c r="T142" s="66"/>
    </row>
    <row r="143" spans="1:21" s="65" customFormat="1">
      <c r="A143" s="168" t="s">
        <v>114</v>
      </c>
      <c r="B143" s="169">
        <f>SUM(B140:B142)</f>
        <v>1120.2</v>
      </c>
      <c r="C143" s="170">
        <f>SUM(C140:C142)</f>
        <v>122464898.40000001</v>
      </c>
      <c r="D143" s="170">
        <f t="shared" ref="D143:P143" si="24">SUM(D140:D142)</f>
        <v>811.43</v>
      </c>
      <c r="E143" s="170">
        <f t="shared" si="24"/>
        <v>98726717</v>
      </c>
      <c r="F143" s="171">
        <f t="shared" si="24"/>
        <v>16</v>
      </c>
      <c r="G143" s="172">
        <f t="shared" si="24"/>
        <v>811.43000000000006</v>
      </c>
      <c r="H143" s="173">
        <f t="shared" si="24"/>
        <v>98586569</v>
      </c>
      <c r="I143" s="170">
        <f t="shared" si="24"/>
        <v>16</v>
      </c>
      <c r="J143" s="238">
        <f t="shared" si="23"/>
        <v>0.72436172112122843</v>
      </c>
      <c r="K143" s="239">
        <f t="shared" si="23"/>
        <v>0.80501899146637435</v>
      </c>
      <c r="L143" s="240">
        <f t="shared" si="24"/>
        <v>3</v>
      </c>
      <c r="M143" s="241">
        <f t="shared" si="24"/>
        <v>4</v>
      </c>
      <c r="N143" s="241">
        <f t="shared" si="24"/>
        <v>8</v>
      </c>
      <c r="O143" s="241">
        <f t="shared" si="24"/>
        <v>1</v>
      </c>
      <c r="P143" s="242">
        <f t="shared" si="24"/>
        <v>0</v>
      </c>
      <c r="Q143" s="66"/>
      <c r="R143" s="66"/>
      <c r="S143" s="66"/>
      <c r="T143" s="66"/>
    </row>
    <row r="144" spans="1:21" s="65" customFormat="1">
      <c r="A144" s="134"/>
      <c r="B144" s="44"/>
      <c r="C144" s="44"/>
      <c r="D144" s="134"/>
      <c r="E144" s="134"/>
      <c r="F144" s="44"/>
      <c r="G144" s="134"/>
      <c r="H144" s="134"/>
      <c r="I144" s="134"/>
      <c r="J144" s="134"/>
      <c r="K144" s="255"/>
      <c r="L144" s="256"/>
      <c r="M144" s="134"/>
      <c r="N144" s="134"/>
      <c r="O144" s="134"/>
      <c r="P144" s="134"/>
      <c r="Q144" s="134"/>
      <c r="T144" s="66"/>
      <c r="U144" s="66"/>
    </row>
    <row r="145" spans="1:21" s="65" customFormat="1" ht="15">
      <c r="A145" s="2400" t="s">
        <v>1368</v>
      </c>
      <c r="B145" s="2401"/>
      <c r="C145" s="2401"/>
      <c r="D145" s="2401"/>
      <c r="E145" s="2401"/>
      <c r="F145" s="2401"/>
      <c r="G145" s="2401"/>
      <c r="H145" s="2401"/>
      <c r="I145" s="2401"/>
      <c r="J145" s="2401"/>
      <c r="K145" s="2401"/>
      <c r="L145" s="2401"/>
      <c r="M145" s="2401"/>
      <c r="N145" s="2401"/>
      <c r="O145" s="2401"/>
      <c r="P145" s="66"/>
      <c r="S145" s="66"/>
      <c r="T145" s="66"/>
    </row>
    <row r="146" spans="1:21" s="65" customFormat="1">
      <c r="A146" s="135" t="s">
        <v>1</v>
      </c>
      <c r="B146" s="135" t="s">
        <v>100</v>
      </c>
      <c r="C146" s="136" t="s">
        <v>97</v>
      </c>
      <c r="D146" s="264" t="s">
        <v>494</v>
      </c>
      <c r="E146" s="265" t="s">
        <v>495</v>
      </c>
      <c r="F146" s="266" t="s">
        <v>496</v>
      </c>
      <c r="G146" s="140" t="s">
        <v>101</v>
      </c>
      <c r="H146" s="141" t="s">
        <v>98</v>
      </c>
      <c r="I146" s="141" t="s">
        <v>96</v>
      </c>
      <c r="J146" s="141" t="s">
        <v>715</v>
      </c>
      <c r="K146" s="216" t="s">
        <v>716</v>
      </c>
      <c r="L146" s="332" t="s">
        <v>121</v>
      </c>
      <c r="M146" s="218" t="s">
        <v>27</v>
      </c>
      <c r="N146" s="219" t="s">
        <v>7</v>
      </c>
      <c r="O146" s="219" t="s">
        <v>19</v>
      </c>
      <c r="P146" s="66"/>
      <c r="S146" s="66"/>
      <c r="T146" s="66"/>
    </row>
    <row r="147" spans="1:21" s="65" customFormat="1">
      <c r="A147" s="142" t="s">
        <v>8</v>
      </c>
      <c r="B147" s="267"/>
      <c r="C147" s="268"/>
      <c r="D147" s="269">
        <f>SUMIFS(Дек24[м2],Дек24[МОП],A147,Дек24[Комнатность],"Офис")</f>
        <v>0</v>
      </c>
      <c r="E147" s="144">
        <f>SUMIFS(Дек24[Сумма без отделки],Дек24[МОП],$A147,Дек24[Комнатность],"оФИС")</f>
        <v>0</v>
      </c>
      <c r="F147" s="270">
        <f>COUNTIFS(Дек24[МОП],$A147,Дек24[Комнатность],"Офис")</f>
        <v>0</v>
      </c>
      <c r="G147" s="267">
        <f>SUMIFS(РД[S],РД[МОП],A147,РД[Дата подачи на регистрацию],"&lt;="&amp;$A$1,РД[Дата подачи на регистрацию],"&gt;="&amp;DATE(YEAR($A$1),MONTH($A$1),1),РД[Состояние],"Коммерция")</f>
        <v>253.39999999999998</v>
      </c>
      <c r="H147" s="146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регистрацию],"&gt;="&amp;DATE(YEAR($A$1),MONTH($A$1),1),РД[Состояние],"Коммерция")</f>
        <v>30484200</v>
      </c>
      <c r="I147" s="220">
        <f>COUNTIFS(РД[МОП],A147,РД[Дата подачи на регистрацию],"&lt;="&amp;$A$1,РД[Дата подачи на регистрацию],"&gt;="&amp;DATE(YEAR($A$1),MONTH($A$1),1),РД[Состояние],"Коммерция")</f>
        <v>3</v>
      </c>
      <c r="J147" s="221" t="str">
        <f t="shared" ref="J147:K153" si="25">IFERROR(G147/B147,"")</f>
        <v/>
      </c>
      <c r="K147" s="333" t="str">
        <f t="shared" si="25"/>
        <v/>
      </c>
      <c r="L147" s="148">
        <f>COUNTIFS(РД[Дом],L$146,РД[МОП],$A147,РД[Дата подачи на регистрацию],"&lt;="&amp;$A$1,РД[Дата подачи на регистрацию],"&gt;="&amp;DATE(YEAR($A$1),MONTH($A$1),1),РД[Состояние],"Коммерция")</f>
        <v>0</v>
      </c>
      <c r="M147" s="220">
        <f>COUNTIFS(РД[Дом],M$146,РД[МОП],$A147,РД[Дата подачи на регистрацию],"&lt;="&amp;$A$1,РД[Дата подачи на регистрацию],"&gt;="&amp;DATE(YEAR($A$1),MONTH($A$1),1),РД[Состояние],"Коммерция")</f>
        <v>1</v>
      </c>
      <c r="N147" s="223">
        <f>COUNTIFS(РД[Дом],N$146,РД[МОП],$A147,РД[Дата подачи на регистрацию],"&lt;="&amp;$A$1,РД[Дата подачи на регистрацию],"&gt;="&amp;DATE(YEAR($A$1),MONTH($A$1),1),РД[Состояние],"Коммерция")</f>
        <v>2</v>
      </c>
      <c r="O147" s="223">
        <f>COUNTIFS(РД[Дом],O$146,РД[МОП],$A147,РД[Дата подачи на регистрацию],"&lt;="&amp;$A$1,РД[Дата подачи на регистрацию],"&gt;="&amp;DATE(YEAR($A$1),MONTH($A$1),1),РД[Состояние],"Коммерция")</f>
        <v>0</v>
      </c>
      <c r="S147" s="66"/>
      <c r="T147" s="66"/>
    </row>
    <row r="148" spans="1:21" s="65" customFormat="1">
      <c r="A148" s="150" t="s">
        <v>24</v>
      </c>
      <c r="B148" s="267"/>
      <c r="C148" s="268"/>
      <c r="D148" s="269">
        <f>SUMIFS(Дек24[м2],Дек24[МОП],A148,Дек24[Комнатность],"Офис")</f>
        <v>0</v>
      </c>
      <c r="E148" s="144">
        <f>SUMIFS(Дек24[Сумма без отделки],Дек24[МОП],$A148,Дек24[Комнатность],"оФИС")</f>
        <v>0</v>
      </c>
      <c r="F148" s="270">
        <f>COUNTIFS(Дек24[МОП],$A148,Дек24[Комнатность],"Офис")</f>
        <v>0</v>
      </c>
      <c r="G148" s="267">
        <f>SUMIFS(РД[S],РД[МОП],A148,РД[Дата подачи на регистрацию],"&lt;="&amp;$A$1,РД[Дата подачи на регистрацию],"&gt;="&amp;DATE(YEAR($A$1),MONTH($A$1),1),РД[Состояние],"Коммерция")</f>
        <v>0</v>
      </c>
      <c r="H148" s="146">
        <f>SUMIFS(РД[Стоимость без отделки итог],РД[МОП],A148,РД[Дата подачи на регистрацию],"&lt;="&amp;$A$1,РД[Дата подачи на регистрацию],"&gt;="&amp;DATE(YEAR($A$1),MONTH($A$1),1),РД[Состояние],"Коммерция")</f>
        <v>0</v>
      </c>
      <c r="I148" s="220">
        <f>COUNTIFS(РД[МОП],A148,РД[Дата подачи на регистрацию],"&lt;="&amp;$A$1,РД[Дата подачи на регистрацию],"&gt;="&amp;DATE(YEAR($A$1),MONTH($A$1),1),РД[Состояние],"Коммерция")</f>
        <v>0</v>
      </c>
      <c r="J148" s="221" t="str">
        <f t="shared" si="25"/>
        <v/>
      </c>
      <c r="K148" s="333" t="str">
        <f t="shared" si="25"/>
        <v/>
      </c>
      <c r="L148" s="148">
        <f>COUNTIFS(РД[Дом],L$146,РД[МОП],$A148,РД[Дата подачи на регистрацию],"&lt;="&amp;$A$1,РД[Дата подачи на регистрацию],"&gt;="&amp;DATE(YEAR($A$1),MONTH($A$1),1),РД[Состояние],"Коммерция")</f>
        <v>0</v>
      </c>
      <c r="M148" s="220">
        <f>COUNTIFS(РД[Дом],M$146,РД[МОП],$A148,РД[Дата подачи на регистрацию],"&lt;="&amp;$A$1,РД[Дата подачи на регистрацию],"&gt;="&amp;DATE(YEAR($A$1),MONTH($A$1),1),РД[Состояние],"Коммерция")</f>
        <v>0</v>
      </c>
      <c r="N148" s="223">
        <f>COUNTIFS(РД[Дом],N$146,РД[МОП],$A148,РД[Дата подачи на регистрацию],"&lt;="&amp;$A$1,РД[Дата подачи на регистрацию],"&gt;="&amp;DATE(YEAR($A$1),MONTH($A$1),1),РД[Состояние],"Коммерция")</f>
        <v>0</v>
      </c>
      <c r="O148" s="223">
        <f>COUNTIFS(РД[Дом],O$146,РД[МОП],$A148,РД[Дата подачи на регистрацию],"&lt;="&amp;$A$1,РД[Дата подачи на регистрацию],"&gt;="&amp;DATE(YEAR($A$1),MONTH($A$1),1),РД[Состояние],"Коммерция")</f>
        <v>0</v>
      </c>
      <c r="S148" s="66"/>
      <c r="T148" s="66"/>
    </row>
    <row r="149" spans="1:21" s="65" customFormat="1">
      <c r="A149" s="153" t="s">
        <v>20</v>
      </c>
      <c r="B149" s="271"/>
      <c r="C149" s="272"/>
      <c r="D149" s="269">
        <f>SUMIFS(Дек24[м2],Дек24[МОП],A149,Дек24[Комнатность],"Офис")</f>
        <v>0</v>
      </c>
      <c r="E149" s="200">
        <f>SUMIFS(Дек24[Сумма без отделки],Дек24[МОП],$A149,Дек24[Комнатность],"оФИС")</f>
        <v>0</v>
      </c>
      <c r="F149" s="273">
        <f>COUNTIFS(Дек24[МОП],$A149,Дек24[Комнатность],"Офис")</f>
        <v>0</v>
      </c>
      <c r="G149" s="271">
        <f>SUMIFS(РД[S],РД[МОП],A149,РД[Дата подачи на регистрацию],"&lt;="&amp;$A$1,РД[Дата подачи на регистрацию],"&gt;="&amp;DATE(YEAR($A$1),MONTH($A$1),1),РД[Состояние],"Коммерция")</f>
        <v>0</v>
      </c>
      <c r="H149" s="52">
        <f>SUMIFS(РД[Стоимость без отделки итог],РД[МОП],A149,РД[Дата подачи на регистрацию],"&lt;="&amp;$A$1,РД[Дата подачи на регистрацию],"&gt;="&amp;DATE(YEAR($A$1),MONTH($A$1),1),РД[Состояние],"Коммерция")</f>
        <v>0</v>
      </c>
      <c r="I149" s="220">
        <f>COUNTIFS(РД[МОП],A149,РД[Дата подачи на регистрацию],"&lt;="&amp;$A$1,РД[Дата подачи на регистрацию],"&gt;="&amp;DATE(YEAR($A$1),MONTH($A$1),1),РД[Состояние],"Коммерция")</f>
        <v>0</v>
      </c>
      <c r="J149" s="224" t="str">
        <f t="shared" si="25"/>
        <v/>
      </c>
      <c r="K149" s="334" t="str">
        <f t="shared" si="25"/>
        <v/>
      </c>
      <c r="L149" s="202">
        <f>COUNTIFS(РД[Дом],L$146,РД[МОП],$A149,РД[Дата подачи на регистрацию],"&lt;="&amp;$A$1,РД[Дата подачи на регистрацию],"&gt;="&amp;DATE(YEAR($A$1),MONTH($A$1),1),РД[Состояние],"Коммерция")</f>
        <v>0</v>
      </c>
      <c r="M149" s="226">
        <f>COUNTIFS(РД[Дом],M$146,РД[МОП],$A149,РД[Дата подачи на регистрацию],"&lt;="&amp;$A$1,РД[Дата подачи на регистрацию],"&gt;="&amp;DATE(YEAR($A$1),MONTH($A$1),1),РД[Состояние],"Коммерция")</f>
        <v>0</v>
      </c>
      <c r="N149" s="227">
        <f>COUNTIFS(РД[Дом],N$146,РД[МОП],$A149,РД[Дата подачи на регистрацию],"&lt;="&amp;$A$1,РД[Дата подачи на регистрацию],"&gt;="&amp;DATE(YEAR($A$1),MONTH($A$1),1),РД[Состояние],"Коммерция")</f>
        <v>0</v>
      </c>
      <c r="O149" s="227">
        <f>COUNTIFS(РД[Дом],O$146,РД[МОП],$A149,РД[Дата подачи на регистрацию],"&lt;="&amp;$A$1,РД[Дата подачи на регистрацию],"&gt;="&amp;DATE(YEAR($A$1),MONTH($A$1),1),РД[Состояние],"Коммерция")</f>
        <v>0</v>
      </c>
      <c r="S149" s="66"/>
      <c r="T149" s="66"/>
    </row>
    <row r="150" spans="1:21" s="65" customFormat="1">
      <c r="A150" s="153" t="s">
        <v>14</v>
      </c>
      <c r="B150" s="315"/>
      <c r="C150" s="316"/>
      <c r="D150" s="362">
        <f>SUMIFS(Дек24[м2],Дек24[МОП],A150,Дек24[Комнатность],"Офис")</f>
        <v>0</v>
      </c>
      <c r="E150" s="300">
        <f>SUMIFS(Дек24[Сумма без отделки],Дек24[МОП],$A150,Дек24[Комнатность],"оФИС")</f>
        <v>0</v>
      </c>
      <c r="F150" s="301">
        <f>COUNTIFS(Дек24[МОП],$A150,Дек24[Комнатность],"Офис")</f>
        <v>0</v>
      </c>
      <c r="G150" s="315">
        <f>SUMIFS(РД[S],РД[МОП],A150,РД[Дата подачи на регистрацию],"&lt;="&amp;$A$1,РД[Дата подачи на регистрацию],"&gt;="&amp;DATE(YEAR($A$1),MONTH($A$1),1),РД[Состояние],"Коммерция")</f>
        <v>5.97</v>
      </c>
      <c r="H150" s="363">
        <f>SUMIFS(РД[Стоимость без отделки итог],РД[МОП],A150,РД[Дата подачи на регистрацию],"&lt;="&amp;$A$1,РД[Дата подачи на регистрацию],"&gt;="&amp;DATE(YEAR($A$1),MONTH($A$1),1),РД[Состояние],"Коммерция")</f>
        <v>673200</v>
      </c>
      <c r="I150" s="247">
        <f>COUNTIFS(РД[МОП],A150,РД[Дата подачи на регистрацию],"&lt;="&amp;$A$1,РД[Дата подачи на регистрацию],"&gt;="&amp;DATE(YEAR($A$1),MONTH($A$1),1),РД[Состояние],"Коммерция")</f>
        <v>1</v>
      </c>
      <c r="J150" s="360" t="str">
        <f t="shared" si="25"/>
        <v/>
      </c>
      <c r="K150" s="367" t="str">
        <f t="shared" si="25"/>
        <v/>
      </c>
      <c r="L150" s="358">
        <f>COUNTIFS(РД[Дом],L$146,РД[МОП],$A150,РД[Дата подачи на регистрацию],"&lt;="&amp;$A$1,РД[Дата подачи на регистрацию],"&gt;="&amp;DATE(YEAR($A$1),MONTH($A$1),1),РД[Состояние],"Коммерция")</f>
        <v>0</v>
      </c>
      <c r="M150" s="330">
        <f>COUNTIFS(РД[Дом],M$146,РД[МОП],$A150,РД[Дата подачи на регистрацию],"&lt;="&amp;$A$1,РД[Дата подачи на регистрацию],"&gt;="&amp;DATE(YEAR($A$1),MONTH($A$1),1),РД[Состояние],"Коммерция")</f>
        <v>0</v>
      </c>
      <c r="N150" s="331">
        <f>COUNTIFS(РД[Дом],N$146,РД[МОП],$A150,РД[Дата подачи на регистрацию],"&lt;="&amp;$A$1,РД[Дата подачи на регистрацию],"&gt;="&amp;DATE(YEAR($A$1),MONTH($A$1),1),РД[Состояние],"Коммерция")</f>
        <v>0</v>
      </c>
      <c r="O150" s="331">
        <f>COUNTIFS(РД[Дом],O$146,РД[МОП],$A150,РД[Дата подачи на регистрацию],"&lt;="&amp;$A$1,РД[Дата подачи на регистрацию],"&gt;="&amp;DATE(YEAR($A$1),MONTH($A$1),1),РД[Состояние],"Коммерция")</f>
        <v>1</v>
      </c>
      <c r="S150" s="66"/>
      <c r="T150" s="66"/>
    </row>
    <row r="151" spans="1:21" s="65" customFormat="1">
      <c r="A151" s="154" t="s">
        <v>29</v>
      </c>
      <c r="B151" s="274"/>
      <c r="C151" s="275"/>
      <c r="D151" s="276">
        <f>SUMIFS(Дек24[м2],Дек24[МОП],A151,Дек24[Комнатность],"Офис")</f>
        <v>0</v>
      </c>
      <c r="E151" s="156">
        <f>SUMIFS(Дек24[Сумма без отделки],Дек24[МОП],$A151,Дек24[Комнатность],"оФИС")</f>
        <v>0</v>
      </c>
      <c r="F151" s="158">
        <f>COUNTIFS(Дек24[МОП],$A151,Дек24[Комнатность],"Офис")</f>
        <v>0</v>
      </c>
      <c r="G151" s="274">
        <f>SUMIFS(РД[S],РД[МОП],A151,РД[Дата подачи на регистрацию],"&lt;="&amp;$A$1,РД[Дата подачи на регистрацию],"&gt;="&amp;DATE(YEAR($A$1),MONTH($A$1),1),РД[Состояние],"Коммерция")</f>
        <v>42.7</v>
      </c>
      <c r="H151" s="277">
        <f>SUMIFS(РД[Стоимость без отделки итог],РД[МОП],A151,РД[Дата подачи на регистрацию],"&lt;="&amp;$A$1,РД[Дата подачи на регистрацию],"&gt;="&amp;DATE(YEAR($A$1),MONTH($A$1),1),РД[Состояние],"Коммерция")</f>
        <v>0</v>
      </c>
      <c r="I151" s="228">
        <f>COUNTIFS(РД[МОП],A151,РД[Дата подачи на регистрацию],"&lt;="&amp;$A$1,РД[Дата подачи на регистрацию],"&gt;="&amp;DATE(YEAR($A$1),MONTH($A$1),1),РД[Состояние],"Коммерция")</f>
        <v>1</v>
      </c>
      <c r="J151" s="229" t="str">
        <f t="shared" si="25"/>
        <v/>
      </c>
      <c r="K151" s="335" t="str">
        <f t="shared" si="25"/>
        <v/>
      </c>
      <c r="L151" s="159">
        <f>COUNTIFS(РД[Дом],L$146,РД[МОП],$A151,РД[Дата подачи на регистрацию],"&lt;="&amp;$A$1,РД[Дата подачи на регистрацию],"&gt;="&amp;DATE(YEAR($A$1),MONTH($A$1),1),РД[Состояние],"Коммерция")</f>
        <v>0</v>
      </c>
      <c r="M151" s="228">
        <f>COUNTIFS(РД[Дом],M$146,РД[МОП],$A151,РД[Дата подачи на регистрацию],"&lt;="&amp;$A$1,РД[Дата подачи на регистрацию],"&gt;="&amp;DATE(YEAR($A$1),MONTH($A$1),1),РД[Состояние],"Коммерция")</f>
        <v>1</v>
      </c>
      <c r="N151" s="231">
        <f>COUNTIFS(РД[Дом],N$146,РД[МОП],$A151,РД[Дата подачи на регистрацию],"&lt;="&amp;$A$1,РД[Дата подачи на регистрацию],"&gt;="&amp;DATE(YEAR($A$1),MONTH($A$1),1),РД[Состояние],"Коммерция")</f>
        <v>0</v>
      </c>
      <c r="O151" s="231">
        <f>COUNTIFS(РД[Дом],O$146,РД[МОП],$A151,РД[Дата подачи на регистрацию],"&lt;="&amp;$A$1,РД[Дата подачи на регистрацию],"&gt;="&amp;DATE(YEAR($A$1),MONTH($A$1),1),РД[Состояние],"Коммерция")</f>
        <v>0</v>
      </c>
      <c r="S151" s="66"/>
      <c r="T151" s="66"/>
    </row>
    <row r="152" spans="1:21" s="65" customFormat="1">
      <c r="A152" s="161" t="s">
        <v>1919</v>
      </c>
      <c r="B152" s="278"/>
      <c r="C152" s="279"/>
      <c r="D152" s="280">
        <f>SUMIFS(Дек24[м2],Дек24[МОП],A152,Дек24[Комнатность],"Офис")</f>
        <v>0</v>
      </c>
      <c r="E152" s="163">
        <f>SUMIFS(Дек24[Сумма без отделки],Дек24[МОП],$A152,Дек24[Комнатность],"оФИС")</f>
        <v>0</v>
      </c>
      <c r="F152" s="165">
        <f>COUNTIFS(Дек24[МОП],$A152,Дек24[Комнатность],"Офис")</f>
        <v>0</v>
      </c>
      <c r="G152" s="278">
        <f>SUMIFS(РД[S],РД[МОП],A152,РД[Дата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H152" s="281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I152" s="232">
        <f>COUNTIFS(РД[МОП],A152,РД[Дата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J152" s="233" t="str">
        <f t="shared" si="25"/>
        <v/>
      </c>
      <c r="K152" s="336" t="str">
        <f t="shared" si="25"/>
        <v/>
      </c>
      <c r="L152" s="166">
        <f>COUNTIFS(РД[Дом],L$146,РД[МОП],$A152,РД[Дата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M152" s="232">
        <f>COUNTIFS(РД[Дом],M$146,РД[МОП],$A152,РД[Дата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N152" s="337">
        <f>COUNTIFS(РД[Дом],N$146,РД[МОП],$A152,РД[Дата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O152" s="337">
        <f>COUNTIFS(РД[Дом],O$146,РД[МОП],$A152,РД[Дата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S152" s="66"/>
      <c r="T152" s="66"/>
    </row>
    <row r="153" spans="1:21" s="65" customFormat="1">
      <c r="A153" s="168" t="s">
        <v>114</v>
      </c>
      <c r="B153" s="282">
        <f t="shared" ref="B153:I153" si="26">SUM(B147:B152)</f>
        <v>0</v>
      </c>
      <c r="C153" s="283">
        <f t="shared" si="26"/>
        <v>0</v>
      </c>
      <c r="D153" s="284">
        <f t="shared" si="26"/>
        <v>0</v>
      </c>
      <c r="E153" s="285">
        <f t="shared" si="26"/>
        <v>0</v>
      </c>
      <c r="F153" s="286">
        <f t="shared" si="26"/>
        <v>0</v>
      </c>
      <c r="G153" s="282">
        <f t="shared" si="26"/>
        <v>302.07</v>
      </c>
      <c r="H153" s="287">
        <f t="shared" si="26"/>
        <v>31157400</v>
      </c>
      <c r="I153" s="287">
        <f t="shared" si="26"/>
        <v>5</v>
      </c>
      <c r="J153" s="238" t="str">
        <f t="shared" si="25"/>
        <v/>
      </c>
      <c r="K153" s="338" t="str">
        <f t="shared" si="25"/>
        <v/>
      </c>
      <c r="L153" s="318">
        <f>SUM(L147:L152)</f>
        <v>0</v>
      </c>
      <c r="M153" s="321">
        <f>SUM(M147:M152)</f>
        <v>2</v>
      </c>
      <c r="N153" s="319">
        <f>SUM(N147:N152)</f>
        <v>2</v>
      </c>
      <c r="O153" s="319">
        <f>SUM(O147:O152)</f>
        <v>1</v>
      </c>
      <c r="S153" s="66"/>
      <c r="T153" s="66"/>
    </row>
    <row r="154" spans="1:21" s="65" customFormat="1">
      <c r="A154" s="135" t="s">
        <v>115</v>
      </c>
      <c r="B154" s="135" t="s">
        <v>100</v>
      </c>
      <c r="C154" s="136" t="s">
        <v>97</v>
      </c>
      <c r="D154" s="288" t="s">
        <v>494</v>
      </c>
      <c r="E154" s="289" t="s">
        <v>495</v>
      </c>
      <c r="F154" s="290" t="s">
        <v>496</v>
      </c>
      <c r="G154" s="140" t="s">
        <v>101</v>
      </c>
      <c r="H154" s="141" t="s">
        <v>98</v>
      </c>
      <c r="I154" s="141" t="s">
        <v>96</v>
      </c>
      <c r="J154" s="141" t="s">
        <v>715</v>
      </c>
      <c r="K154" s="216" t="s">
        <v>716</v>
      </c>
      <c r="L154" s="332" t="s">
        <v>121</v>
      </c>
      <c r="M154" s="218" t="s">
        <v>27</v>
      </c>
      <c r="N154" s="219" t="s">
        <v>7</v>
      </c>
      <c r="O154" s="219" t="s">
        <v>7</v>
      </c>
      <c r="T154" s="66"/>
    </row>
    <row r="155" spans="1:21" s="65" customFormat="1">
      <c r="A155" s="177" t="s">
        <v>22</v>
      </c>
      <c r="B155" s="291"/>
      <c r="C155" s="292"/>
      <c r="D155" s="180">
        <f>SUMIFS(Дек24[м2],Дек24[ИМ],A155,Дек24[Комнатность],"Офис")</f>
        <v>0</v>
      </c>
      <c r="E155" s="181">
        <f>SUMIFS(Дек24[Сумма без отделки],Дек24[ИМ],$A155,Дек24[Комнатность],"оФИС")</f>
        <v>0</v>
      </c>
      <c r="F155" s="204">
        <f>COUNTIFS(Дек24[ИМ],$A155,Дек24[Комнатность],"Офис")</f>
        <v>0</v>
      </c>
      <c r="G155" s="183">
        <f>SUMIFS(РД[S],РД[ИМ],A155,РД[Дата подачи на регистрацию],"&lt;="&amp;$A$1,РД[Дата подачи на регистрацию],"&gt;="&amp;DATE(YEAR($A$1),MONTH($A$1),1),РД[Состояние],"Коммерция")</f>
        <v>70.5</v>
      </c>
      <c r="H155" s="184">
        <f>SUMIFS(РД[Стоимость без отделки итог],РД[ИМ],A155,РД[Дата подачи на регистрацию],"&lt;="&amp;$A$1,РД[Дата подачи на регистрацию],"&gt;="&amp;DATE(YEAR($A$1),MONTH($A$1),1),РД[Состояние],"Коммерция")</f>
        <v>8883000</v>
      </c>
      <c r="I155" s="243">
        <f>COUNTIFS(РД[ИМ],A155,РД[Дата подачи на регистрацию],"&lt;="&amp;$A$1,РД[Дата подачи на регистрацию],"&gt;="&amp;DATE(YEAR($A$1),MONTH($A$1),1),РД[Состояние],"Коммерция")</f>
        <v>1</v>
      </c>
      <c r="J155" s="244" t="str">
        <f t="shared" ref="J155:K158" si="27">IFERROR(G155/B155,"")</f>
        <v/>
      </c>
      <c r="K155" s="258" t="str">
        <f t="shared" si="27"/>
        <v/>
      </c>
      <c r="L155" s="148">
        <f>COUNTIFS(РД[Дом],L$146,РД[ИМ],$A155,РД[Дата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0">
        <f>COUNTIFS(РД[Дом],M$146,РД[ИМ],$A155,РД[Дата подачи на регистрацию],"&lt;="&amp;$A$1,РД[Дата подачи на регистрацию],"&gt;="&amp;DATE(YEAR($A$1),MONTH($A$1),1),РД[Состояние],"Коммерция")</f>
        <v>0</v>
      </c>
      <c r="N155" s="223">
        <f>COUNTIFS(РД[Дом],N$146,РД[ИМ],$A155,РД[Дата подачи на регистрацию],"&lt;="&amp;$A$1,РД[Дата подачи на регистрацию],"&gt;="&amp;DATE(YEAR($A$1),MONTH($A$1),1),РД[Состояние],"Коммерция")</f>
        <v>1</v>
      </c>
      <c r="O155" s="223">
        <f>COUNTIFS(РД[Дом],O$146,РД[ИМ],$A155,РД[Дата подачи на регистрацию],"&lt;="&amp;$A$1,РД[Дата подачи на регистрацию],"&gt;="&amp;DATE(YEAR($A$1),MONTH($A$1),1),РД[Состояние],"Коммерция")</f>
        <v>0</v>
      </c>
      <c r="T155" s="66"/>
    </row>
    <row r="156" spans="1:21" s="65" customFormat="1">
      <c r="A156" s="150" t="s">
        <v>3</v>
      </c>
      <c r="B156" s="267"/>
      <c r="C156" s="146"/>
      <c r="D156" s="205">
        <f>SUMIFS(Дек24[м2],Дек24[ИМ],A156,Дек24[Комнатность],"Офис")</f>
        <v>0</v>
      </c>
      <c r="E156" s="206">
        <f>SUMIFS(Дек24[Сумма без отделки],Дек24[ИМ],$A156,Дек24[Комнатность],"оФИС")</f>
        <v>0</v>
      </c>
      <c r="F156" s="207">
        <f>COUNTIFS(Дек24[ИМ],$A156,Дек24[Комнатность],"Офис")</f>
        <v>0</v>
      </c>
      <c r="G156" s="187">
        <f>SUMIFS(РД[S],РД[ИМ],A156,РД[Дата подачи на регистрацию],"&lt;="&amp;$A$1,РД[Дата подачи на регистрацию],"&gt;="&amp;DATE(YEAR($A$1),MONTH($A$1),1),РД[Состояние],"Коммерция")</f>
        <v>0</v>
      </c>
      <c r="H156" s="188">
        <f>SUMIFS(РД[Стоимость без отделки итог],РД[ИМ],A156,РД[Дата подачи на регистрацию],"&lt;="&amp;$A$1,РД[Дата подачи на регистрацию],"&gt;="&amp;DATE(YEAR($A$1),MONTH($A$1),1),РД[Состояние],"Коммерция")</f>
        <v>0</v>
      </c>
      <c r="I156" s="247">
        <f>COUNTIFS(РД[ИМ],A156,РД[Дата подачи на регистрацию],"&lt;="&amp;$A$1,РД[Дата подачи на регистрацию],"&gt;="&amp;DATE(YEAR($A$1),MONTH($A$1),1),РД[Состояние],"Коммерция")</f>
        <v>0</v>
      </c>
      <c r="J156" s="248" t="str">
        <f t="shared" si="27"/>
        <v/>
      </c>
      <c r="K156" s="259" t="str">
        <f t="shared" si="27"/>
        <v/>
      </c>
      <c r="L156" s="148">
        <f>COUNTIFS(РД[Дом],L$146,РД[ИМ],$A156,РД[Дата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220">
        <f>COUNTIFS(РД[Дом],M$146,РД[ИМ],$A156,РД[Дата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223">
        <f>COUNTIFS(РД[Дом],N$146,РД[ИМ],$A156,РД[Дата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223">
        <f>COUNTIFS(РД[Дом],O$146,РД[ИМ],$A156,РД[Дата подачи на регистрацию],"&lt;="&amp;$A$1,РД[Дата подачи на регистрацию],"&gt;="&amp;DATE(YEAR($A$1),MONTH($A$1),1),РД[Состояние],"Коммерция")</f>
        <v>0</v>
      </c>
      <c r="T156" s="66"/>
    </row>
    <row r="157" spans="1:21" s="65" customFormat="1">
      <c r="A157" s="189" t="s">
        <v>3</v>
      </c>
      <c r="B157" s="293"/>
      <c r="C157" s="294"/>
      <c r="D157" s="208">
        <f>SUMIFS(Дек24[м2],Дек24[ИМ],A157,Дек24[Комнатность],"Офис")</f>
        <v>0</v>
      </c>
      <c r="E157" s="209">
        <f>SUMIFS(Дек24[Сумма без отделки],Дек24[ИМ],$A157,Дек24[Комнатность],"оФИС")</f>
        <v>0</v>
      </c>
      <c r="F157" s="210">
        <f>COUNTIFS(Дек24[ИМ],$A157,Дек24[Комнатность],"Офис")</f>
        <v>0</v>
      </c>
      <c r="G157" s="195">
        <f>SUMIFS(РД[S],РД[ИМ],A157,РД[Дата подачи на регистрацию],"&lt;="&amp;$A$1,РД[Дата подачи на регистрацию],"&gt;="&amp;DATE(YEAR($A$1),MONTH($A$1),1),РД[Состояние],"Коммерция")</f>
        <v>0</v>
      </c>
      <c r="H157" s="196">
        <f>SUMIFS(РД[Стоимость без отделки итог],РД[ИМ],A157,РД[Дата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51">
        <f>COUNTIFS(РД[ИМ],A157,РД[Дата подачи на регистрацию],"&lt;="&amp;$A$1,РД[Дата подачи на регистрацию],"&gt;="&amp;DATE(YEAR($A$1),MONTH($A$1),1),РД[Состояние],"Коммерция")</f>
        <v>0</v>
      </c>
      <c r="J157" s="252" t="str">
        <f t="shared" si="27"/>
        <v/>
      </c>
      <c r="K157" s="260" t="str">
        <f t="shared" si="27"/>
        <v/>
      </c>
      <c r="L157" s="202">
        <f>COUNTIFS(РД[Дом],L$146,РД[ИМ],$A157,РД[Дата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226">
        <f>COUNTIFS(РД[Дом],M$146,РД[ИМ],$A157,РД[Дата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227">
        <f>COUNTIFS(РД[Дом],N$146,РД[ИМ],$A157,РД[Дата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227">
        <f>COUNTIFS(РД[Дом],O$146,РД[ИМ],$A157,РД[Дата подачи на регистрацию],"&lt;="&amp;$A$1,РД[Дата подачи на регистрацию],"&gt;="&amp;DATE(YEAR($A$1),MONTH($A$1),1),РД[Состояние],"Коммерция")</f>
        <v>0</v>
      </c>
      <c r="T157" s="66"/>
    </row>
    <row r="158" spans="1:21" s="65" customFormat="1">
      <c r="A158" s="168" t="s">
        <v>114</v>
      </c>
      <c r="B158" s="282">
        <f>SUM(B155:B157)</f>
        <v>0</v>
      </c>
      <c r="C158" s="283">
        <f>SUM(C155:C157)</f>
        <v>0</v>
      </c>
      <c r="D158" s="284">
        <f t="shared" ref="D158:I158" si="28">SUM(D155:D157)</f>
        <v>0</v>
      </c>
      <c r="E158" s="285">
        <f t="shared" si="28"/>
        <v>0</v>
      </c>
      <c r="F158" s="286">
        <f t="shared" si="28"/>
        <v>0</v>
      </c>
      <c r="G158" s="282">
        <f t="shared" si="28"/>
        <v>70.5</v>
      </c>
      <c r="H158" s="287">
        <f t="shared" si="28"/>
        <v>8883000</v>
      </c>
      <c r="I158" s="287">
        <f t="shared" si="28"/>
        <v>1</v>
      </c>
      <c r="J158" s="238" t="str">
        <f t="shared" si="27"/>
        <v/>
      </c>
      <c r="K158" s="338" t="str">
        <f t="shared" si="27"/>
        <v/>
      </c>
      <c r="L158" s="318">
        <f>SUM(L155:L157)</f>
        <v>0</v>
      </c>
      <c r="M158" s="321">
        <f>SUM(M155:M157)</f>
        <v>0</v>
      </c>
      <c r="N158" s="319">
        <f>SUM(N155:N157)</f>
        <v>1</v>
      </c>
      <c r="O158" s="319">
        <f>SUM(O155:O157)</f>
        <v>0</v>
      </c>
      <c r="T158" s="66"/>
    </row>
    <row r="159" spans="1:21" s="65" customFormat="1">
      <c r="A159" s="134"/>
      <c r="B159" s="44"/>
      <c r="C159" s="44"/>
      <c r="D159" s="134"/>
      <c r="E159" s="134"/>
      <c r="F159" s="44"/>
      <c r="G159" s="134"/>
      <c r="H159" s="134"/>
      <c r="I159" s="134"/>
      <c r="J159" s="134"/>
      <c r="K159" s="255"/>
      <c r="L159" s="256"/>
      <c r="M159" s="134"/>
      <c r="N159" s="134"/>
      <c r="O159" s="134"/>
      <c r="P159" s="134"/>
      <c r="Q159" s="72"/>
      <c r="U159" s="66"/>
    </row>
    <row r="160" spans="1:21" s="65" customFormat="1" ht="15">
      <c r="A160" s="2402" t="s">
        <v>945</v>
      </c>
      <c r="B160" s="2403"/>
      <c r="C160" s="2403"/>
      <c r="D160" s="2403"/>
      <c r="E160" s="2403"/>
      <c r="F160" s="2403"/>
      <c r="G160" s="2403"/>
      <c r="H160" s="2403"/>
      <c r="I160" s="2403"/>
      <c r="J160" s="2403"/>
      <c r="K160" s="2403"/>
      <c r="L160" s="2403"/>
      <c r="M160" s="2404"/>
      <c r="N160" s="339"/>
      <c r="O160" s="339"/>
      <c r="P160" s="86"/>
      <c r="T160" s="66"/>
    </row>
    <row r="161" spans="1:21" s="65" customFormat="1">
      <c r="A161" s="135" t="s">
        <v>1</v>
      </c>
      <c r="B161" s="135" t="s">
        <v>101</v>
      </c>
      <c r="C161" s="136" t="s">
        <v>98</v>
      </c>
      <c r="D161" s="295" t="s">
        <v>494</v>
      </c>
      <c r="E161" s="138" t="s">
        <v>495</v>
      </c>
      <c r="F161" s="296" t="s">
        <v>496</v>
      </c>
      <c r="G161" s="140" t="s">
        <v>946</v>
      </c>
      <c r="H161" s="141" t="s">
        <v>947</v>
      </c>
      <c r="I161" s="217">
        <v>0</v>
      </c>
      <c r="J161" s="218">
        <v>1</v>
      </c>
      <c r="K161" s="340">
        <v>2</v>
      </c>
      <c r="L161" s="218">
        <v>3</v>
      </c>
      <c r="M161" s="219" t="s">
        <v>1367</v>
      </c>
      <c r="N161" s="339"/>
      <c r="O161" s="339"/>
      <c r="P161" s="86"/>
      <c r="T161" s="66"/>
    </row>
    <row r="162" spans="1:21" s="65" customFormat="1">
      <c r="A162" s="398" t="s">
        <v>8</v>
      </c>
      <c r="B162" s="297">
        <f>SUMIFS(РД[S],РД[МОП],A162,РД[Дата подачи на регистрацию],"&lt;="&amp;$A$1,РД[Дата подачи на регистрацию],"&gt;="&amp;DATE(YEAR($A$1),MONTH($A$1),1),РД[Источник рекламы],"Н -*")</f>
        <v>39.69</v>
      </c>
      <c r="C162" s="298">
        <f>SUMIFS(РД[Стоимость без отделки итог],РД[МОП],A162,РД[Дата подачи на регистрацию],"&lt;="&amp;$A$1,РД[Дата подачи на регистрацию],"&gt;="&amp;DATE(YEAR($A$1),MONTH($A$1),1),РД[Источник рекламы],"Н -*")</f>
        <v>5297390</v>
      </c>
      <c r="D162" s="299">
        <f>SUMIFS(Дек24[м2],Дек24[Встреча],$A162,Дек24[КТУ],"АН -*")</f>
        <v>39.69</v>
      </c>
      <c r="E162" s="300">
        <f>SUMIFS(Дек24[Сумма без отделки],Дек24[Встреча],$A162,Дек24[КТУ],"АН -*")</f>
        <v>5297390</v>
      </c>
      <c r="F162" s="301">
        <f>COUNTIFS(Дек24[Встреча],$A162,Дек24[КТУ],"АН -*")</f>
        <v>1</v>
      </c>
      <c r="G162" s="271">
        <f>SUMIFS(РД[S],РД[МОП],A162,РД[Дата подачи на регистрацию],"&lt;="&amp;$A$1,РД[Дата подачи на регистрацию],"&gt;="&amp;DATE(YEAR($A$1),MONTH($A$1),1),РД[Источник рекламы],"Н -*")/2</f>
        <v>19.844999999999999</v>
      </c>
      <c r="H162" s="272">
        <f>SUMIFS(РД[Стоимость без отделки итог],РД[МОП],A162,РД[Дата подачи на регистрацию],"&lt;="&amp;$A$1,РД[Дата подачи на регистрацию],"&gt;="&amp;DATE(YEAR($A$1),MONTH($A$1),1),РД[Источник рекламы],"Н -*")/2</f>
        <v>2648695</v>
      </c>
      <c r="I162" s="257">
        <f>COUNTIFS(РД[Тип кв],I$161,РД[МОП],$A162,РД[Дата подачи на регистрацию],"&lt;="&amp;$A$1,РД[Дата подачи на регистрацию],"&gt;="&amp;DATE(YEAR($A$1),MONTH($A$1),1),РД[Источник рекламы],"Н -*")</f>
        <v>0</v>
      </c>
      <c r="J162" s="226">
        <f>COUNTIFS(РД[Тип кв],J$161,РД[МОП],$A162,РД[Дата подачи на регистрацию],"&lt;="&amp;$A$1,РД[Дата подачи на регистрацию],"&gt;="&amp;DATE(YEAR($A$1),MONTH($A$1),1),РД[Источник рекламы],"Н -*")</f>
        <v>1</v>
      </c>
      <c r="K162" s="226">
        <f>COUNTIFS(РД[Тип кв],K$161,РД[МОП],$A162,РД[Дата подачи на регистрацию],"&lt;="&amp;$A$1,РД[Дата подачи на регистрацию],"&gt;="&amp;DATE(YEAR($A$1),MONTH($A$1),1),РД[Источник рекламы],"Н -*")</f>
        <v>0</v>
      </c>
      <c r="L162" s="226">
        <f>COUNTIFS(РД[Тип кв],L$161,РД[МОП],$A162,РД[Дата подачи на регистрацию],"&lt;="&amp;$A$1,РД[Дата подачи на регистрацию],"&gt;="&amp;DATE(YEAR($A$1),MONTH($A$1),1),РД[Источник рекламы],"Н -*")</f>
        <v>0</v>
      </c>
      <c r="M162" s="227">
        <f>COUNTIFS(РД[Тип кв],M$161,РД[МОП],$A162,РД[Дата подачи на регистрацию],"&lt;="&amp;$A$1,РД[Дата подачи на регистрацию],"&gt;="&amp;DATE(YEAR($A$1),MONTH($A$1),1),РД[Источник рекламы],"Н -*")</f>
        <v>0</v>
      </c>
      <c r="N162" s="339"/>
      <c r="O162" s="339"/>
      <c r="P162" s="86"/>
      <c r="T162" s="66"/>
    </row>
    <row r="163" spans="1:21" s="65" customFormat="1">
      <c r="A163" s="150" t="s">
        <v>24</v>
      </c>
      <c r="B163" s="297">
        <f>SUMIFS(РД[S],РД[МОП],A163,РД[Дата подачи на регистрацию],"&lt;="&amp;$A$1,РД[Дата подачи на регистрацию],"&gt;="&amp;DATE(YEAR($A$1),MONTH($A$1),1),РД[Источник рекламы],"Н -*")</f>
        <v>104.03</v>
      </c>
      <c r="C163" s="298">
        <f>SUMIFS(РД[Стоимость без отделки итог],РД[МОП],A163,РД[Дата подачи на регистрацию],"&lt;="&amp;$A$1,РД[Дата подачи на регистрацию],"&gt;="&amp;DATE(YEAR($A$1),MONTH($A$1),1),РД[Источник рекламы],"Н -*")</f>
        <v>13142965</v>
      </c>
      <c r="D163" s="299">
        <f>SUMIFS(Дек24[м2],Дек24[Встреча],$A163,Дек24[КТУ],"АН -*")</f>
        <v>35.53</v>
      </c>
      <c r="E163" s="300">
        <f>SUMIFS(Дек24[Сумма без отделки],Дек24[Встреча],$A163,Дек24[КТУ],"АН -*")</f>
        <v>5023959</v>
      </c>
      <c r="F163" s="301">
        <f>COUNTIFS(Дек24[Встреча],$A163,Дек24[КТУ],"АН -*")</f>
        <v>1</v>
      </c>
      <c r="G163" s="271">
        <f>SUMIFS(РД[S],РД[МОП],A163,РД[Дата подачи на регистрацию],"&lt;="&amp;$A$1,РД[Дата подачи на регистрацию],"&gt;="&amp;DATE(YEAR($A$1),MONTH($A$1),1),РД[Источник рекламы],"Н -*")/2</f>
        <v>52.015000000000001</v>
      </c>
      <c r="H163" s="272">
        <f>SUMIFS(РД[Стоимость без отделки итог],РД[МОП],A163,РД[Дата подачи на регистрацию],"&lt;="&amp;$A$1,РД[Дата подачи на регистрацию],"&gt;="&amp;DATE(YEAR($A$1),MONTH($A$1),1),РД[Источник рекламы],"Н -*")/2</f>
        <v>6571482.5</v>
      </c>
      <c r="I163" s="257">
        <f>COUNTIFS(РД[Тип кв],I$161,РД[МОП],$A163,РД[Дата подачи на регистрацию],"&lt;="&amp;$A$1,РД[Дата подачи на регистрацию],"&gt;="&amp;DATE(YEAR($A$1),MONTH($A$1),1),РД[Источник рекламы],"Н -*")</f>
        <v>0</v>
      </c>
      <c r="J163" s="226">
        <f>COUNTIFS(РД[Тип кв],J$161,РД[МОП],$A163,РД[Дата подачи на регистрацию],"&lt;="&amp;$A$1,РД[Дата подачи на регистрацию],"&gt;="&amp;DATE(YEAR($A$1),MONTH($A$1),1),РД[Источник рекламы],"Н -*")</f>
        <v>1</v>
      </c>
      <c r="K163" s="226">
        <f>COUNTIFS(РД[Тип кв],K$161,РД[МОП],$A163,РД[Дата подачи на регистрацию],"&lt;="&amp;$A$1,РД[Дата подачи на регистрацию],"&gt;="&amp;DATE(YEAR($A$1),MONTH($A$1),1),РД[Источник рекламы],"Н -*")</f>
        <v>1</v>
      </c>
      <c r="L163" s="226">
        <f>COUNTIFS(РД[Тип кв],L$161,РД[МОП],$A163,РД[Дата подачи на регистрацию],"&lt;="&amp;$A$1,РД[Дата подачи на регистрацию],"&gt;="&amp;DATE(YEAR($A$1),MONTH($A$1),1),РД[Источник рекламы],"Н -*")</f>
        <v>0</v>
      </c>
      <c r="M163" s="227">
        <f>COUNTIFS(РД[Тип кв],M$161,РД[МОП],$A163,РД[Дата подачи на регистрацию],"&lt;="&amp;$A$1,РД[Дата подачи на регистрацию],"&gt;="&amp;DATE(YEAR($A$1),MONTH($A$1),1),РД[Источник рекламы],"Н -*")</f>
        <v>0</v>
      </c>
      <c r="N163" s="339"/>
      <c r="O163" s="339"/>
      <c r="P163" s="86"/>
      <c r="T163" s="66"/>
    </row>
    <row r="164" spans="1:21" s="65" customFormat="1">
      <c r="A164" s="153" t="s">
        <v>20</v>
      </c>
      <c r="B164" s="297">
        <f>SUMIFS(РД[S],РД[МОП],A164,РД[Дата подачи на регистрацию],"&lt;="&amp;$A$1,РД[Дата подачи на регистрацию],"&gt;="&amp;DATE(YEAR($A$1),MONTH($A$1),1),РД[Источник рекламы],"Н -*")</f>
        <v>57.6</v>
      </c>
      <c r="C164" s="298">
        <f>SUMIFS(РД[Стоимость без отделки итог],РД[МОП],A164,РД[Дата подачи на регистрацию],"&lt;="&amp;$A$1,РД[Дата подачи на регистрацию],"&gt;="&amp;DATE(YEAR($A$1),MONTH($A$1),1),РД[Источник рекламы],"Н -*")</f>
        <v>6838500</v>
      </c>
      <c r="D164" s="299">
        <f>SUMIFS(Дек24[м2],Дек24[Встреча],$A164,Дек24[КТУ],"АН -*")</f>
        <v>57.6</v>
      </c>
      <c r="E164" s="300">
        <f>SUMIFS(Дек24[Сумма без отделки],Дек24[Встреча],$A164,Дек24[КТУ],"АН -*")</f>
        <v>6838500</v>
      </c>
      <c r="F164" s="301">
        <f>COUNTIFS(Дек24[Встреча],$A164,Дек24[КТУ],"АН -*")</f>
        <v>1</v>
      </c>
      <c r="G164" s="271">
        <f>SUMIFS(РД[S],РД[МОП],A164,РД[Дата подачи на регистрацию],"&lt;="&amp;$A$1,РД[Дата подачи на регистрацию],"&gt;="&amp;DATE(YEAR($A$1),MONTH($A$1),1),РД[Источник рекламы],"Н -*")/2</f>
        <v>28.8</v>
      </c>
      <c r="H164" s="272">
        <f>SUMIFS(РД[Стоимость без отделки итог],РД[МОП],A164,РД[Дата подачи на регистрацию],"&lt;="&amp;$A$1,РД[Дата подачи на регистрацию],"&gt;="&amp;DATE(YEAR($A$1),MONTH($A$1),1),РД[Источник рекламы],"Н -*")/2</f>
        <v>3419250</v>
      </c>
      <c r="I164" s="257">
        <f>COUNTIFS(РД[Тип кв],I$161,РД[МОП],$A164,РД[Дата подачи на регистрацию],"&lt;="&amp;$A$1,РД[Дата подачи на регистрацию],"&gt;="&amp;DATE(YEAR($A$1),MONTH($A$1),1),РД[Источник рекламы],"Н -*")</f>
        <v>0</v>
      </c>
      <c r="J164" s="226">
        <f>COUNTIFS(РД[Тип кв],J$161,РД[МОП],$A164,РД[Дата подачи на регистрацию],"&lt;="&amp;$A$1,РД[Дата подачи на регистрацию],"&gt;="&amp;DATE(YEAR($A$1),MONTH($A$1),1),РД[Источник рекламы],"Н -*")</f>
        <v>0</v>
      </c>
      <c r="K164" s="226">
        <f>COUNTIFS(РД[Тип кв],K$161,РД[МОП],$A164,РД[Дата подачи на регистрацию],"&lt;="&amp;$A$1,РД[Дата подачи на регистрацию],"&gt;="&amp;DATE(YEAR($A$1),MONTH($A$1),1),РД[Источник рекламы],"Н -*")</f>
        <v>1</v>
      </c>
      <c r="L164" s="226">
        <f>COUNTIFS(РД[Тип кв],L$161,РД[МОП],$A164,РД[Дата подачи на регистрацию],"&lt;="&amp;$A$1,РД[Дата подачи на регистрацию],"&gt;="&amp;DATE(YEAR($A$1),MONTH($A$1),1),РД[Источник рекламы],"Н -*")</f>
        <v>0</v>
      </c>
      <c r="M164" s="227">
        <f>COUNTIFS(РД[Тип кв],M$161,РД[МОП],$A164,РД[Дата подачи на регистрацию],"&lt;="&amp;$A$1,РД[Дата подачи на регистрацию],"&gt;="&amp;DATE(YEAR($A$1),MONTH($A$1),1),РД[Источник рекламы],"Н -*")</f>
        <v>0</v>
      </c>
      <c r="N164" s="339"/>
      <c r="O164" s="339"/>
      <c r="P164" s="86"/>
      <c r="T164" s="66"/>
    </row>
    <row r="165" spans="1:21" s="65" customFormat="1">
      <c r="A165" s="153" t="s">
        <v>14</v>
      </c>
      <c r="B165" s="313">
        <f>SUMIFS(РД[S],РД[МОП],A165,РД[Дата подачи на регистрацию],"&lt;="&amp;$A$1,РД[Дата подачи на регистрацию],"&gt;="&amp;DATE(YEAR($A$1),MONTH($A$1),1),РД[Источник рекламы],"Н -*")</f>
        <v>93.59</v>
      </c>
      <c r="C165" s="314">
        <f>SUMIFS(РД[Стоимость без отделки итог],РД[МОП],A165,РД[Дата подачи на регистрацию],"&lt;="&amp;$A$1,РД[Дата подачи на регистрацию],"&gt;="&amp;DATE(YEAR($A$1),MONTH($A$1),1),РД[Источник рекламы],"Н -*")</f>
        <v>11610154</v>
      </c>
      <c r="D165" s="299">
        <f>SUMIFS(Дек24[м2],Дек24[Встреча],$A165,Дек24[КТУ],"АН -*")</f>
        <v>93.59</v>
      </c>
      <c r="E165" s="300">
        <f>SUMIFS(Дек24[Сумма без отделки],Дек24[Встреча],$A165,Дек24[КТУ],"АН -*")</f>
        <v>11610154</v>
      </c>
      <c r="F165" s="301">
        <f>COUNTIFS(Дек24[Встреча],$A165,Дек24[КТУ],"АН -*")</f>
        <v>2</v>
      </c>
      <c r="G165" s="315">
        <f>SUMIFS(РД[S],РД[МОП],A165,РД[Дата подачи на регистрацию],"&lt;="&amp;$A$1,РД[Дата подачи на регистрацию],"&gt;="&amp;DATE(YEAR($A$1),MONTH($A$1),1),РД[Источник рекламы],"Н -*")/2</f>
        <v>46.795000000000002</v>
      </c>
      <c r="H165" s="316">
        <f>SUMIFS(РД[Стоимость без отделки итог],РД[МОП],A165,РД[Дата подачи на регистрацию],"&lt;="&amp;$A$1,РД[Дата подачи на регистрацию],"&gt;="&amp;DATE(YEAR($A$1),MONTH($A$1),1),РД[Источник рекламы],"Н -*")/2</f>
        <v>5805077</v>
      </c>
      <c r="I165" s="329">
        <f>COUNTIFS(РД[Тип кв],I$161,РД[МОП],$A165,РД[Дата подачи на регистрацию],"&lt;="&amp;$A$1,РД[Дата подачи на регистрацию],"&gt;="&amp;DATE(YEAR($A$1),MONTH($A$1),1),РД[Источник рекламы],"Н -*")</f>
        <v>0</v>
      </c>
      <c r="J165" s="330">
        <f>COUNTIFS(РД[Тип кв],J$161,РД[МОП],$A165,РД[Дата подачи на регистрацию],"&lt;="&amp;$A$1,РД[Дата подачи на регистрацию],"&gt;="&amp;DATE(YEAR($A$1),MONTH($A$1),1),РД[Источник рекламы],"Н -*")</f>
        <v>1</v>
      </c>
      <c r="K165" s="330">
        <f>COUNTIFS(РД[Тип кв],K$161,РД[МОП],$A165,РД[Дата подачи на регистрацию],"&lt;="&amp;$A$1,РД[Дата подачи на регистрацию],"&gt;="&amp;DATE(YEAR($A$1),MONTH($A$1),1),РД[Источник рекламы],"Н -*")</f>
        <v>1</v>
      </c>
      <c r="L165" s="330">
        <f>COUNTIFS(РД[Тип кв],L$161,РД[МОП],$A165,РД[Дата подачи на регистрацию],"&lt;="&amp;$A$1,РД[Дата подачи на регистрацию],"&gt;="&amp;DATE(YEAR($A$1),MONTH($A$1),1),РД[Источник рекламы],"Н -*")</f>
        <v>0</v>
      </c>
      <c r="M165" s="331">
        <f>COUNTIFS(РД[Тип кв],M$161,РД[МОП],$A165,РД[Дата подачи на регистрацию],"&lt;="&amp;$A$1,РД[Дата подачи на регистрацию],"&gt;="&amp;DATE(YEAR($A$1),MONTH($A$1),1),РД[Источник рекламы],"Н -*")</f>
        <v>0</v>
      </c>
      <c r="N165" s="339"/>
      <c r="O165" s="339"/>
      <c r="P165" s="86"/>
      <c r="T165" s="66"/>
    </row>
    <row r="166" spans="1:21" s="65" customFormat="1">
      <c r="A166" s="302" t="s">
        <v>29</v>
      </c>
      <c r="B166" s="276">
        <f>SUMIFS(РД[S],РД[МОП],A166,РД[Дата подачи на регистрацию],"&lt;="&amp;$A$1,РД[Дата подачи на регистрацию],"&gt;="&amp;DATE(YEAR($A$1),MONTH($A$1),1),РД[Источник рекламы],"Н -*")</f>
        <v>0</v>
      </c>
      <c r="C166" s="303">
        <f>SUMIFS(РД[Стоимость без отделки итог],РД[МОП],A166,РД[Дата подачи на регистрацию],"&lt;="&amp;$A$1,РД[Дата подачи на регистрацию],"&gt;="&amp;DATE(YEAR($A$1),MONTH($A$1),1),РД[Источник рекламы],"Н -*")</f>
        <v>0</v>
      </c>
      <c r="D166" s="157">
        <f>SUMIFS(Дек24[м2],Дек24[Встреча],$A166,Дек24[КТУ],"АН -*")</f>
        <v>0</v>
      </c>
      <c r="E166" s="156">
        <f>SUMIFS(Дек24[Сумма без отделки],Дек24[Встреча],$A166,Дек24[КТУ],"АН -*")</f>
        <v>0</v>
      </c>
      <c r="F166" s="158">
        <f>COUNTIFS(Дек24[Встреча],$A166,Дек24[КТУ],"АН -*")</f>
        <v>0</v>
      </c>
      <c r="G166" s="274">
        <f>SUMIFS(РД[S],РД[МОП],A166,РД[Дата подачи на регистрацию],"&lt;="&amp;$A$1,РД[Дата подачи на регистрацию],"&gt;="&amp;DATE(YEAR($A$1),MONTH($A$1),1),РД[Источник рекламы],"Н -*")/2</f>
        <v>0</v>
      </c>
      <c r="H166" s="275">
        <f>SUMIFS(РД[Стоимость без отделки итог],РД[МОП],A166,РД[Дата подачи на регистрацию],"&lt;="&amp;$A$1,РД[Дата подачи на регистрацию],"&gt;="&amp;DATE(YEAR($A$1),MONTH($A$1),1),РД[Источник рекламы],"Н -*")/2</f>
        <v>0</v>
      </c>
      <c r="I166" s="341">
        <f>COUNTIFS(РД[Тип кв],I$161,РД[МОП],$A166,РД[Дата подачи на регистрацию],"&lt;="&amp;$A$1,РД[Дата подачи на регистрацию],"&gt;="&amp;DATE(YEAR($A$1),MONTH($A$1),1),РД[Источник рекламы],"Н -*")</f>
        <v>0</v>
      </c>
      <c r="J166" s="228">
        <f>COUNTIFS(РД[Тип кв],J$161,РД[МОП],$A166,РД[Дата подачи на регистрацию],"&lt;="&amp;$A$1,РД[Дата подачи на регистрацию],"&gt;="&amp;DATE(YEAR($A$1),MONTH($A$1),1),РД[Источник рекламы],"Н -*")</f>
        <v>0</v>
      </c>
      <c r="K166" s="228">
        <f>COUNTIFS(РД[Тип кв],K$161,РД[МОП],$A166,РД[Дата подачи на регистрацию],"&lt;="&amp;$A$1,РД[Дата подачи на регистрацию],"&gt;="&amp;DATE(YEAR($A$1),MONTH($A$1),1),РД[Источник рекламы],"Н -*")</f>
        <v>0</v>
      </c>
      <c r="L166" s="228">
        <f>COUNTIFS(РД[Тип кв],L$161,РД[МОП],$A166,РД[Дата подачи на регистрацию],"&lt;="&amp;$A$1,РД[Дата подачи на регистрацию],"&gt;="&amp;DATE(YEAR($A$1),MONTH($A$1),1),РД[Источник рекламы],"Н -*")</f>
        <v>0</v>
      </c>
      <c r="M166" s="231">
        <f>COUNTIFS(РД[Тип кв],M$161,РД[МОП],$A166,РД[Дата подачи на регистрацию],"&lt;="&amp;$A$1,РД[Дата подачи на регистрацию],"&gt;="&amp;DATE(YEAR($A$1),MONTH($A$1),1),РД[Источник рекламы],"Н -*")</f>
        <v>0</v>
      </c>
      <c r="N166" s="339"/>
      <c r="O166" s="339"/>
      <c r="P166" s="86"/>
      <c r="T166" s="66"/>
    </row>
    <row r="167" spans="1:21" s="65" customFormat="1">
      <c r="A167" s="304" t="s">
        <v>114</v>
      </c>
      <c r="B167" s="284">
        <f t="shared" ref="B167:L167" si="29">SUM(B162:B165)</f>
        <v>294.90999999999997</v>
      </c>
      <c r="C167" s="305">
        <f t="shared" si="29"/>
        <v>36889009</v>
      </c>
      <c r="D167" s="284">
        <f t="shared" si="29"/>
        <v>226.41</v>
      </c>
      <c r="E167" s="285">
        <f t="shared" si="29"/>
        <v>28770003</v>
      </c>
      <c r="F167" s="286">
        <f t="shared" si="29"/>
        <v>5</v>
      </c>
      <c r="G167" s="282">
        <f t="shared" si="29"/>
        <v>147.45499999999998</v>
      </c>
      <c r="H167" s="283">
        <f t="shared" si="29"/>
        <v>18444504.5</v>
      </c>
      <c r="I167" s="284">
        <f t="shared" si="29"/>
        <v>0</v>
      </c>
      <c r="J167" s="285">
        <f t="shared" si="29"/>
        <v>3</v>
      </c>
      <c r="K167" s="285">
        <f t="shared" si="29"/>
        <v>3</v>
      </c>
      <c r="L167" s="285">
        <f t="shared" si="29"/>
        <v>0</v>
      </c>
      <c r="M167" s="305">
        <f>SUM(T160:T161)</f>
        <v>0</v>
      </c>
      <c r="N167" s="339"/>
      <c r="O167" s="339"/>
      <c r="P167" s="86"/>
      <c r="T167" s="66"/>
    </row>
    <row r="168" spans="1:21" s="65" customFormat="1">
      <c r="A168" s="306" t="s">
        <v>115</v>
      </c>
      <c r="B168" s="307" t="s">
        <v>101</v>
      </c>
      <c r="C168" s="308" t="s">
        <v>98</v>
      </c>
      <c r="D168" s="288" t="s">
        <v>494</v>
      </c>
      <c r="E168" s="289" t="s">
        <v>495</v>
      </c>
      <c r="F168" s="290" t="s">
        <v>496</v>
      </c>
      <c r="G168" s="309" t="s">
        <v>946</v>
      </c>
      <c r="H168" s="310" t="s">
        <v>947</v>
      </c>
      <c r="I168" s="342">
        <v>0</v>
      </c>
      <c r="J168" s="343">
        <v>1</v>
      </c>
      <c r="K168" s="344">
        <v>2</v>
      </c>
      <c r="L168" s="343">
        <v>3</v>
      </c>
      <c r="M168" s="345" t="s">
        <v>1367</v>
      </c>
      <c r="N168" s="339"/>
      <c r="O168" s="339"/>
      <c r="P168" s="86"/>
      <c r="T168" s="66"/>
    </row>
    <row r="169" spans="1:21" s="65" customFormat="1">
      <c r="A169" s="177" t="s">
        <v>22</v>
      </c>
      <c r="B169" s="178">
        <f>SUMIFS(РД[S],РД[ИМ],A169,РД[Дата подачи на регистрацию],"&lt;="&amp;$A$1,РД[Дата подачи на регистрацию],"&gt;="&amp;DATE(YEAR($A$1),MONTH($A$1),1),РД[Источник рекламы],"Н -*")</f>
        <v>257.89999999999998</v>
      </c>
      <c r="C169" s="311">
        <f>SUMIFS(РД[Стоимость без отделки итог],РД[ИМ],A169,РД[Дата подачи на регистрацию],"&lt;="&amp;$A$1,РД[Дата подачи на регистрацию],"&gt;="&amp;DATE(YEAR($A$1),MONTH($A$1),1),РД[Источник рекламы],"Н -*")</f>
        <v>32212155</v>
      </c>
      <c r="D169" s="180">
        <f>SUMIFS(Дек24[м2],Дек24[ИМ],$A169,Дек24[КТУ],"АН -*")</f>
        <v>189.39999999999998</v>
      </c>
      <c r="E169" s="179">
        <f>SUMIFS(Дек24[Сумма без отделки],Дек24[ИМ],$A169,Дек24[КТУ],"АН -*")</f>
        <v>24093149</v>
      </c>
      <c r="F169" s="204">
        <f>COUNTIFS(Дек24[ИМ],$A169,Дек24[КТУ],"АН -*")</f>
        <v>4</v>
      </c>
      <c r="G169" s="291">
        <f>SUMIFS(РД[S],РД[ИМ],A169,РД[Дата подачи на регистрацию],"&lt;="&amp;$A$1,РД[Дата подачи на регистрацию],"&gt;="&amp;DATE(YEAR($A$1),MONTH($A$1),1),РД[Источник рекламы],"Н -*")/2</f>
        <v>128.94999999999999</v>
      </c>
      <c r="H169" s="312">
        <f>SUMIFS(РД[Стоимость без отделки итог],РД[ИМ],A169,РД[Дата подачи на регистрацию],"&lt;="&amp;$A$1,РД[Дата подачи на регистрацию],"&gt;="&amp;DATE(YEAR($A$1),MONTH($A$1),1),РД[Источник рекламы],"Н -*")/2</f>
        <v>16106077.5</v>
      </c>
      <c r="I169" s="346">
        <f>COUNTIFS(РД[Тип кв],I$161,РД[ИМ],$A169,РД[Дата подачи на регистрацию],"&lt;="&amp;$A$1,РД[Дата подачи на регистрацию],"&gt;="&amp;DATE(YEAR($A$1),MONTH($A$1),1),РД[Источник рекламы],"Н -*")</f>
        <v>0</v>
      </c>
      <c r="J169" s="243">
        <f>COUNTIFS(РД[Тип кв],J$161,РД[ИМ],$A169,РД[Дата подачи на регистрацию],"&lt;="&amp;$A$1,РД[Дата подачи на регистрацию],"&gt;="&amp;DATE(YEAR($A$1),MONTH($A$1),1),РД[Источник рекламы],"Н -*")</f>
        <v>2</v>
      </c>
      <c r="K169" s="243">
        <f>COUNTIFS(РД[Тип кв],K$161,РД[ИМ],$A169,РД[Дата подачи на регистрацию],"&lt;="&amp;$A$1,РД[Дата подачи на регистрацию],"&gt;="&amp;DATE(YEAR($A$1),MONTH($A$1),1),РД[Источник рекламы],"Н -*")</f>
        <v>3</v>
      </c>
      <c r="L169" s="243">
        <f>COUNTIFS(РД[Тип кв],L$161,РД[ИМ],$A169,РД[Дата подачи на регистрацию],"&lt;="&amp;$A$1,РД[Дата подачи на регистрацию],"&gt;="&amp;DATE(YEAR($A$1),MONTH($A$1),1),РД[Источник рекламы],"Н -*")</f>
        <v>0</v>
      </c>
      <c r="M169" s="246">
        <f>COUNTIFS(РД[Тип кв],M$161,РД[ИМ],$A169,РД[Дата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50" t="s">
        <v>3</v>
      </c>
      <c r="B170" s="297">
        <f>SUMIFS(РД[S],РД[ИМ],A170,РД[Дата подачи на регистрацию],"&lt;="&amp;$A$1,РД[Дата подачи на регистрацию],"&gt;="&amp;DATE(YEAR($A$1),MONTH($A$1),1),РД[Источник рекламы],"Н -*")</f>
        <v>0</v>
      </c>
      <c r="C170" s="298">
        <f>SUMIFS(РД[Стоимость без отделки итог],РД[ИМ],A170,РД[Дата подачи на регистрацию],"&lt;="&amp;$A$1,РД[Дата подачи на регистрацию],"&gt;="&amp;DATE(YEAR($A$1),MONTH($A$1),1),РД[Источник рекламы],"Н -*")</f>
        <v>0</v>
      </c>
      <c r="D170" s="199">
        <f>SUMIFS(Дек24[м2],Дек24[ИМ],$A170,Дек24[КТУ],"АН -*")</f>
        <v>0</v>
      </c>
      <c r="E170" s="200">
        <f>SUMIFS(Дек24[Сумма без отделки],Дек24[ИМ],$A170,Дек24[КТУ],"АН -*")</f>
        <v>0</v>
      </c>
      <c r="F170" s="201">
        <f>COUNTIFS(Дек24[ИМ],$A170,Дек24[КТУ],"АН -*")</f>
        <v>0</v>
      </c>
      <c r="G170" s="271">
        <f>SUMIFS(РД[S],РД[ИМ],A170,РД[Дата подачи на регистрацию],"&lt;="&amp;$A$1,РД[Дата подачи на регистрацию],"&gt;="&amp;DATE(YEAR($A$1),MONTH($A$1),1),РД[Источник рекламы],"Н -*")/2</f>
        <v>0</v>
      </c>
      <c r="H170" s="272">
        <f>SUMIFS(РД[Стоимость без отделки итог],РД[ИМ],A170,РД[Дата подачи на регистрацию],"&lt;="&amp;$A$1,РД[Дата подачи на регистрацию],"&gt;="&amp;DATE(YEAR($A$1),MONTH($A$1),1),РД[Источник рекламы],"Н -*")/2</f>
        <v>0</v>
      </c>
      <c r="I170" s="257">
        <f>COUNTIFS(РД[Тип кв],I$161,РД[ИМ],$A170,РД[Дата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кв],J$161,РД[ИМ],$A170,РД[Дата подачи на регистрацию],"&lt;="&amp;$A$1,РД[Дата подачи на регистрацию],"&gt;="&amp;DATE(YEAR($A$1),MONTH($A$1),1),РД[Источник рекламы],"Н -*")</f>
        <v>0</v>
      </c>
      <c r="K170" s="226">
        <f>COUNTIFS(РД[Тип кв],K$161,РД[ИМ],$A170,РД[Дата подачи на регистрацию],"&lt;="&amp;$A$1,РД[Дата подачи на регистрацию],"&gt;="&amp;DATE(YEAR($A$1),MONTH($A$1),1),РД[Источник рекламы],"Н -*")</f>
        <v>0</v>
      </c>
      <c r="L170" s="226">
        <f>COUNTIFS(РД[Тип кв],L$161,РД[ИМ],$A170,РД[Дата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кв],M$161,РД[ИМ],$A170,РД[Дата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89" t="s">
        <v>3</v>
      </c>
      <c r="B171" s="313">
        <f>SUMIFS(РД[S],РД[ИМ],A171,РД[Дата подачи на регистрацию],"&lt;="&amp;$A$1,РД[Дата подачи на регистрацию],"&gt;="&amp;DATE(YEAR($A$1),MONTH($A$1),1),РД[Источник рекламы],"Н -*")</f>
        <v>0</v>
      </c>
      <c r="C171" s="314">
        <f>SUMIFS(РД[Стоимость без отделки итог],РД[ИМ],A171,РД[Дата подачи на регистрацию],"&lt;="&amp;$A$1,РД[Дата подачи на регистрацию],"&gt;="&amp;DATE(YEAR($A$1),MONTH($A$1),1),РД[Источник рекламы],"Н -*")</f>
        <v>0</v>
      </c>
      <c r="D171" s="299">
        <f>SUMIFS(Дек24[м2],Дек24[ИМ],$A171,Дек24[КТУ],"АН -*")</f>
        <v>0</v>
      </c>
      <c r="E171" s="300">
        <f>SUMIFS(Дек24[Сумма без отделки],Дек24[ИМ],$A171,Дек24[КТУ],"АН -*")</f>
        <v>0</v>
      </c>
      <c r="F171" s="301">
        <f>COUNTIFS(Дек24[ИМ],$A171,Дек24[КТУ],"АН -*")</f>
        <v>0</v>
      </c>
      <c r="G171" s="315">
        <f>SUMIFS(РД[S],РД[ИМ],A171,РД[Дата подачи на регистрацию],"&lt;="&amp;$A$1,РД[Дата подачи на регистрацию],"&gt;="&amp;DATE(YEAR($A$1),MONTH($A$1),1),РД[Источник рекламы],"Н -*")/2</f>
        <v>0</v>
      </c>
      <c r="H171" s="316">
        <f>SUMIFS(РД[Стоимость без отделки итог],РД[ИМ],A171,РД[Дата подачи на регистрацию],"&lt;="&amp;$A$1,РД[Дата подачи на регистрацию],"&gt;="&amp;DATE(YEAR($A$1),MONTH($A$1),1),РД[Источник рекламы],"Н -*")/2</f>
        <v>0</v>
      </c>
      <c r="I171" s="329">
        <f>COUNTIFS(РД[Тип кв],I$161,РД[ИМ],$A171,РД[Дата подачи на регистрацию],"&lt;="&amp;$A$1,РД[Дата подачи на регистрацию],"&gt;="&amp;DATE(YEAR($A$1),MONTH($A$1),1),РД[Источник рекламы],"Н -*")</f>
        <v>0</v>
      </c>
      <c r="J171" s="330">
        <f>COUNTIFS(РД[Тип кв],J$161,РД[ИМ],$A171,РД[Дата подачи на регистрацию],"&lt;="&amp;$A$1,РД[Дата подачи на регистрацию],"&gt;="&amp;DATE(YEAR($A$1),MONTH($A$1),1),РД[Источник рекламы],"Н -*")</f>
        <v>0</v>
      </c>
      <c r="K171" s="330">
        <f>COUNTIFS(РД[Тип кв],K$161,РД[ИМ],$A171,РД[Дата подачи на регистрацию],"&lt;="&amp;$A$1,РД[Дата подачи на регистрацию],"&gt;="&amp;DATE(YEAR($A$1),MONTH($A$1),1),РД[Источник рекламы],"Н -*")</f>
        <v>0</v>
      </c>
      <c r="L171" s="330">
        <f>COUNTIFS(РД[Тип кв],L$161,РД[ИМ],$A171,РД[Дата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331">
        <f>COUNTIFS(РД[Тип кв],M$161,РД[ИМ],$A171,РД[Дата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317" t="s">
        <v>114</v>
      </c>
      <c r="B172" s="318">
        <f>SUM(B169:B171)</f>
        <v>257.89999999999998</v>
      </c>
      <c r="C172" s="319">
        <f t="shared" ref="C172:M172" si="30">SUM(C169:C171)</f>
        <v>32212155</v>
      </c>
      <c r="D172" s="320">
        <f t="shared" si="30"/>
        <v>189.39999999999998</v>
      </c>
      <c r="E172" s="321">
        <f t="shared" si="30"/>
        <v>24093149</v>
      </c>
      <c r="F172" s="322">
        <f t="shared" si="30"/>
        <v>4</v>
      </c>
      <c r="G172" s="323">
        <f t="shared" si="30"/>
        <v>128.94999999999999</v>
      </c>
      <c r="H172" s="324">
        <f t="shared" si="30"/>
        <v>16106077.5</v>
      </c>
      <c r="I172" s="318">
        <f t="shared" si="30"/>
        <v>0</v>
      </c>
      <c r="J172" s="321">
        <f t="shared" si="30"/>
        <v>2</v>
      </c>
      <c r="K172" s="321">
        <f t="shared" si="30"/>
        <v>3</v>
      </c>
      <c r="L172" s="321">
        <f t="shared" si="30"/>
        <v>0</v>
      </c>
      <c r="M172" s="319">
        <f t="shared" si="30"/>
        <v>0</v>
      </c>
      <c r="N172" s="339"/>
      <c r="O172" s="339"/>
      <c r="P172" s="86"/>
      <c r="T172" s="66"/>
    </row>
    <row r="173" spans="1:21" s="65" customFormat="1">
      <c r="Q173" s="86"/>
      <c r="U173" s="66"/>
    </row>
    <row r="174" spans="1:21" s="65" customFormat="1">
      <c r="Q174" s="86"/>
      <c r="U174" s="66"/>
    </row>
    <row r="175" spans="1:21" s="65" customFormat="1">
      <c r="Q175" s="86"/>
      <c r="U175" s="66"/>
    </row>
    <row r="176" spans="1:21" s="65" customFormat="1">
      <c r="Q176" s="86"/>
      <c r="U176" s="66"/>
    </row>
    <row r="177" spans="17:21" s="65" customFormat="1">
      <c r="Q177" s="86"/>
      <c r="U177" s="66"/>
    </row>
    <row r="178" spans="17:21" s="65" customFormat="1">
      <c r="Q178" s="86"/>
      <c r="U178" s="66"/>
    </row>
    <row r="179" spans="17:21" s="65" customFormat="1">
      <c r="Q179" s="86"/>
      <c r="U179" s="66"/>
    </row>
    <row r="180" spans="17:21" s="65" customFormat="1">
      <c r="Q180" s="86"/>
      <c r="U180" s="66"/>
    </row>
    <row r="181" spans="17:21" s="65" customFormat="1">
      <c r="Q181" s="86"/>
      <c r="U181" s="66"/>
    </row>
    <row r="182" spans="17:21" s="65" customFormat="1">
      <c r="Q182" s="86"/>
      <c r="U182" s="66"/>
    </row>
    <row r="183" spans="17:21" s="65" customFormat="1">
      <c r="Q183" s="86"/>
      <c r="U183" s="66"/>
    </row>
    <row r="184" spans="17:21" s="65" customFormat="1">
      <c r="Q184" s="86"/>
      <c r="U184" s="66"/>
    </row>
    <row r="185" spans="17:21" s="65" customFormat="1">
      <c r="Q185" s="86"/>
      <c r="U185" s="66"/>
    </row>
    <row r="186" spans="17:21" s="65" customFormat="1">
      <c r="Q186" s="86"/>
      <c r="U186" s="66"/>
    </row>
    <row r="187" spans="17:21" s="65" customFormat="1">
      <c r="Q187" s="86"/>
      <c r="U187" s="66"/>
    </row>
    <row r="188" spans="17:21" s="65" customFormat="1">
      <c r="Q188" s="86"/>
      <c r="U188" s="66"/>
    </row>
    <row r="189" spans="17:21" s="65" customFormat="1">
      <c r="Q189" s="86"/>
      <c r="U189" s="66"/>
    </row>
    <row r="190" spans="17:21" s="65" customFormat="1">
      <c r="Q190" s="86"/>
      <c r="U190" s="66"/>
    </row>
    <row r="191" spans="17:21" s="65" customFormat="1">
      <c r="Q191" s="86"/>
      <c r="U191" s="66"/>
    </row>
    <row r="192" spans="17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86"/>
      <c r="R209" s="65"/>
      <c r="S209" s="65"/>
    </row>
    <row r="210" spans="1:2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86"/>
      <c r="R210" s="65"/>
      <c r="S210" s="65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 s="65" customFormat="1">
      <c r="Q217" s="86"/>
      <c r="U217" s="66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R297" s="66"/>
      <c r="S297" s="66"/>
      <c r="U297" s="66"/>
    </row>
    <row r="298" spans="17:21" s="65" customFormat="1">
      <c r="Q298" s="86"/>
      <c r="R298" s="66"/>
      <c r="S298" s="66"/>
      <c r="U298" s="66"/>
    </row>
    <row r="299" spans="17:21" s="65" customFormat="1">
      <c r="Q299" s="86"/>
      <c r="R299" s="66"/>
      <c r="S299" s="66"/>
      <c r="U299" s="66"/>
    </row>
    <row r="300" spans="17:21" s="65" customFormat="1">
      <c r="Q300" s="86"/>
      <c r="R300" s="66"/>
      <c r="S300" s="66"/>
      <c r="U300" s="66"/>
    </row>
  </sheetData>
  <sheetProtection algorithmName="SHA-512" hashValue="OhkUswRVLuQ1PH36xO4Q53mX6TtN3VbzlSfH6bHy5rX6lKaPMo105p/oJWOb4oKvSgzcZxfQ6BggVTPf4iNLtA==" saltValue="SRrdTczgkeY+NYcYwWUCvg==" spinCount="100000" sheet="1" formatCells="0" formatColumns="0" formatRows="0" sort="0" autoFilter="0" pivotTables="0"/>
  <mergeCells count="8">
    <mergeCell ref="A130:B130"/>
    <mergeCell ref="A145:O145"/>
    <mergeCell ref="A160:M160"/>
    <mergeCell ref="A1:U1"/>
    <mergeCell ref="A70:B70"/>
    <mergeCell ref="A85:B85"/>
    <mergeCell ref="A100:B100"/>
    <mergeCell ref="A115:B115"/>
  </mergeCells>
  <pageMargins left="0.25" right="0.25" top="0.75" bottom="0.75" header="0.3" footer="0.3"/>
  <pageSetup paperSize="9" scale="23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800-000000000000}">
          <x14:formula1>
            <xm:f>Списки!$C$2:$C$27</xm:f>
          </x14:formula1>
          <xm:sqref>U8 U23 K3:K20 K23:K26 K28:K64 T3:U7 T9:U22 T24:U26 T28:U64</xm:sqref>
        </x14:dataValidation>
        <x14:dataValidation type="list" allowBlank="1" showInputMessage="1" showErrorMessage="1" xr:uid="{00000000-0002-0000-38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800-000002000000}">
          <x14:formula1>
            <xm:f>Списки!$B$3:$B$10</xm:f>
          </x14:formula1>
          <xm:sqref>D3:D64</xm:sqref>
        </x14:dataValidation>
        <x14:dataValidation type="list" allowBlank="1" showInputMessage="1" showErrorMessage="1" xr:uid="{00000000-0002-0000-38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800-000004000000}">
          <x14:formula1>
            <xm:f>Списки!$D$2:$D$7</xm:f>
          </x14:formula1>
          <xm:sqref>H3:H20 H23:H26 H28:H64</xm:sqref>
        </x14:dataValidation>
        <x14:dataValidation type="list" allowBlank="1" showInputMessage="1" showErrorMessage="1" xr:uid="{00000000-0002-0000-3800-000005000000}">
          <x14:formula1>
            <xm:f>Списки!$E$2:$E$7</xm:f>
          </x14:formula1>
          <xm:sqref>L3:L20 L23:L26 L28:L64</xm:sqref>
        </x14:dataValidation>
        <x14:dataValidation type="list" allowBlank="1" showInputMessage="1" showErrorMessage="1" xr:uid="{00000000-0002-0000-3800-000006000000}">
          <x14:formula1>
            <xm:f>Списки!$G$2:$G$3</xm:f>
          </x14:formula1>
          <xm:sqref>L67:L68 N3:N20 N23:N26 N28:N64</xm:sqref>
        </x14:dataValidation>
        <x14:dataValidation type="list" allowBlank="1" showInputMessage="1" showErrorMessage="1" xr:uid="{00000000-0002-0000-3800-000007000000}">
          <x14:formula1>
            <xm:f>Списки!$F$2:$F$3</xm:f>
          </x14:formula1>
          <xm:sqref>P3:P20 P23:P26 P28:P64 X67:X68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AF307"/>
  <sheetViews>
    <sheetView view="pageBreakPreview" zoomScaleNormal="85" workbookViewId="0">
      <pane ySplit="2" topLeftCell="A3" activePane="bottomLeft" state="frozen"/>
      <selection pane="bottomLeft" activeCell="L11" sqref="L11:Q11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45688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ht="31.5">
      <c r="A2" s="70" t="s">
        <v>719</v>
      </c>
      <c r="B2" s="71" t="s">
        <v>6</v>
      </c>
      <c r="C2" s="70" t="s">
        <v>49</v>
      </c>
      <c r="D2" s="70" t="s">
        <v>120</v>
      </c>
      <c r="E2" s="70" t="s">
        <v>1580</v>
      </c>
      <c r="F2" s="70" t="s">
        <v>1581</v>
      </c>
      <c r="G2" s="72" t="s">
        <v>53</v>
      </c>
      <c r="H2" s="73" t="s">
        <v>576</v>
      </c>
      <c r="I2" s="73" t="s">
        <v>2036</v>
      </c>
      <c r="J2" s="70" t="s">
        <v>54</v>
      </c>
      <c r="K2" s="70" t="s">
        <v>1</v>
      </c>
      <c r="L2" s="70" t="s">
        <v>3</v>
      </c>
      <c r="M2" s="70" t="s">
        <v>55</v>
      </c>
      <c r="N2" s="72" t="s">
        <v>56</v>
      </c>
      <c r="O2" s="70" t="s">
        <v>57</v>
      </c>
      <c r="P2" s="70" t="s">
        <v>58</v>
      </c>
      <c r="Q2" s="70" t="s">
        <v>59</v>
      </c>
      <c r="R2" s="70" t="s">
        <v>60</v>
      </c>
      <c r="S2" s="70" t="s">
        <v>265</v>
      </c>
      <c r="T2" s="70" t="s">
        <v>62</v>
      </c>
      <c r="U2" s="70" t="s">
        <v>2191</v>
      </c>
      <c r="V2" s="111" t="s">
        <v>1584</v>
      </c>
    </row>
    <row r="3" spans="1:32" s="61" customFormat="1">
      <c r="A3" s="65"/>
      <c r="B3" s="65"/>
      <c r="C3" s="78"/>
      <c r="D3" s="65"/>
      <c r="E3" s="79"/>
      <c r="F3" s="65"/>
      <c r="G3" s="65"/>
      <c r="H3" s="65"/>
      <c r="I3" s="65"/>
      <c r="J3" s="93"/>
      <c r="K3" s="65"/>
      <c r="L3" s="65"/>
      <c r="M3" s="65"/>
      <c r="N3" s="65"/>
      <c r="O3" s="98"/>
      <c r="P3" s="65"/>
      <c r="Q3" s="65"/>
      <c r="R3" s="118"/>
      <c r="S3" s="118"/>
      <c r="T3" s="65"/>
      <c r="U3" s="65"/>
      <c r="V3" s="115">
        <f>Дек2448[[#This Row],[сумма]]-Дек2448[[#This Row],[Цена м2 отделки]]*Дек2448[[#This Row],[м2]]</f>
        <v>0</v>
      </c>
    </row>
    <row r="4" spans="1:32" s="61" customFormat="1">
      <c r="A4" s="62">
        <v>1</v>
      </c>
      <c r="B4" s="62" t="s">
        <v>6</v>
      </c>
      <c r="C4" s="74">
        <v>38663</v>
      </c>
      <c r="D4" s="62" t="s">
        <v>23</v>
      </c>
      <c r="E4" s="75">
        <v>47</v>
      </c>
      <c r="F4" s="62">
        <v>1</v>
      </c>
      <c r="G4" s="62">
        <v>37.01</v>
      </c>
      <c r="H4" s="62" t="s">
        <v>9</v>
      </c>
      <c r="I4" s="62"/>
      <c r="J4" s="95">
        <v>4624816</v>
      </c>
      <c r="K4" s="62" t="s">
        <v>24</v>
      </c>
      <c r="L4" s="62" t="s">
        <v>10</v>
      </c>
      <c r="M4" s="62" t="s">
        <v>130</v>
      </c>
      <c r="N4" s="62" t="s">
        <v>18</v>
      </c>
      <c r="O4" s="92">
        <v>45666</v>
      </c>
      <c r="P4" s="62"/>
      <c r="Q4" s="62" t="s">
        <v>2307</v>
      </c>
      <c r="R4" s="113" t="s">
        <v>67</v>
      </c>
      <c r="S4" s="113"/>
      <c r="T4" s="62" t="s">
        <v>24</v>
      </c>
      <c r="U4" s="62" t="s">
        <v>24</v>
      </c>
      <c r="V4" s="114">
        <f>Дек2448[[#This Row],[сумма]]-Дек2448[[#This Row],[Цена м2 отделки]]*Дек2448[[#This Row],[м2]]</f>
        <v>4624816</v>
      </c>
    </row>
    <row r="5" spans="1:32" s="61" customFormat="1">
      <c r="A5" s="62">
        <v>2</v>
      </c>
      <c r="B5" s="62" t="s">
        <v>6</v>
      </c>
      <c r="C5" s="383">
        <v>38990</v>
      </c>
      <c r="D5" s="102" t="s">
        <v>13</v>
      </c>
      <c r="E5" s="102">
        <v>350</v>
      </c>
      <c r="F5" s="102">
        <v>2</v>
      </c>
      <c r="G5" s="102">
        <v>56.58</v>
      </c>
      <c r="H5" s="102" t="s">
        <v>21</v>
      </c>
      <c r="I5" s="102">
        <v>10000</v>
      </c>
      <c r="J5" s="384">
        <v>7916848</v>
      </c>
      <c r="K5" s="354" t="s">
        <v>14</v>
      </c>
      <c r="L5" s="102" t="s">
        <v>22</v>
      </c>
      <c r="M5" s="102" t="s">
        <v>583</v>
      </c>
      <c r="N5" s="102" t="s">
        <v>18</v>
      </c>
      <c r="O5" s="385">
        <v>45672</v>
      </c>
      <c r="P5" s="354"/>
      <c r="Q5" s="391" t="s">
        <v>2308</v>
      </c>
      <c r="R5" s="113" t="s">
        <v>67</v>
      </c>
      <c r="S5" s="391"/>
      <c r="T5" s="354" t="s">
        <v>14</v>
      </c>
      <c r="U5" s="354" t="s">
        <v>14</v>
      </c>
      <c r="V5" s="114">
        <f>Дек2448[[#This Row],[сумма]]-Дек2448[[#This Row],[Цена м2 отделки]]*Дек2448[[#This Row],[м2]]</f>
        <v>7351048</v>
      </c>
    </row>
    <row r="6" spans="1:32" s="61" customFormat="1">
      <c r="A6" s="62">
        <v>3</v>
      </c>
      <c r="B6" s="62" t="s">
        <v>6</v>
      </c>
      <c r="C6" s="74">
        <v>38945</v>
      </c>
      <c r="D6" s="62" t="s">
        <v>13</v>
      </c>
      <c r="E6" s="75">
        <v>296</v>
      </c>
      <c r="F6" s="62">
        <v>1</v>
      </c>
      <c r="G6" s="62">
        <v>37.81</v>
      </c>
      <c r="H6" s="76" t="s">
        <v>21</v>
      </c>
      <c r="I6" s="62">
        <v>10000</v>
      </c>
      <c r="J6" s="91">
        <v>5515100</v>
      </c>
      <c r="K6" s="62" t="s">
        <v>24</v>
      </c>
      <c r="L6" s="62" t="s">
        <v>26</v>
      </c>
      <c r="M6" s="62" t="s">
        <v>583</v>
      </c>
      <c r="N6" s="62" t="s">
        <v>18</v>
      </c>
      <c r="O6" s="92">
        <v>45679</v>
      </c>
      <c r="P6" s="62"/>
      <c r="Q6" s="76" t="s">
        <v>2309</v>
      </c>
      <c r="R6" s="113" t="s">
        <v>67</v>
      </c>
      <c r="S6" s="382"/>
      <c r="T6" s="354" t="s">
        <v>24</v>
      </c>
      <c r="U6" s="102" t="s">
        <v>20</v>
      </c>
      <c r="V6" s="114">
        <f>Дек2448[[#This Row],[сумма]]-Дек2448[[#This Row],[Цена м2 отделки]]*Дек2448[[#This Row],[м2]]</f>
        <v>5137000</v>
      </c>
    </row>
    <row r="7" spans="1:32" s="61" customFormat="1">
      <c r="A7" s="62">
        <v>4</v>
      </c>
      <c r="B7" s="62" t="s">
        <v>6</v>
      </c>
      <c r="C7" s="383">
        <v>38504</v>
      </c>
      <c r="D7" s="102" t="s">
        <v>23</v>
      </c>
      <c r="E7" s="102">
        <v>230</v>
      </c>
      <c r="F7" s="102">
        <v>1</v>
      </c>
      <c r="G7" s="102">
        <v>36.549999999999997</v>
      </c>
      <c r="H7" s="102" t="s">
        <v>9</v>
      </c>
      <c r="I7" s="102"/>
      <c r="J7" s="384">
        <v>4531520</v>
      </c>
      <c r="K7" s="354" t="s">
        <v>24</v>
      </c>
      <c r="L7" s="102" t="s">
        <v>10</v>
      </c>
      <c r="M7" s="102" t="s">
        <v>130</v>
      </c>
      <c r="N7" s="102" t="s">
        <v>12</v>
      </c>
      <c r="O7" s="385"/>
      <c r="P7" s="354"/>
      <c r="Q7" s="391" t="s">
        <v>2310</v>
      </c>
      <c r="R7" s="113" t="s">
        <v>67</v>
      </c>
      <c r="S7" s="382"/>
      <c r="T7" s="354" t="s">
        <v>24</v>
      </c>
      <c r="U7" s="102" t="s">
        <v>24</v>
      </c>
      <c r="V7" s="114">
        <f>Дек2448[[#This Row],[сумма]]-Дек2448[[#This Row],[Цена м2 отделки]]*Дек2448[[#This Row],[м2]]</f>
        <v>4531520</v>
      </c>
    </row>
    <row r="8" spans="1:32" s="61" customFormat="1">
      <c r="A8" s="62">
        <v>5</v>
      </c>
      <c r="B8" s="62" t="s">
        <v>6</v>
      </c>
      <c r="C8" s="74">
        <v>39223</v>
      </c>
      <c r="D8" s="62" t="s">
        <v>23</v>
      </c>
      <c r="E8" s="75">
        <v>55</v>
      </c>
      <c r="F8" s="62">
        <v>0</v>
      </c>
      <c r="G8" s="62">
        <v>29.62</v>
      </c>
      <c r="H8" s="117" t="s">
        <v>9</v>
      </c>
      <c r="I8" s="117"/>
      <c r="J8" s="95">
        <v>4174400</v>
      </c>
      <c r="K8" s="117" t="s">
        <v>45</v>
      </c>
      <c r="L8" s="62" t="s">
        <v>10</v>
      </c>
      <c r="M8" s="102" t="s">
        <v>130</v>
      </c>
      <c r="N8" s="62" t="s">
        <v>18</v>
      </c>
      <c r="O8" s="92">
        <v>45681</v>
      </c>
      <c r="P8" s="117"/>
      <c r="Q8" s="392" t="s">
        <v>2311</v>
      </c>
      <c r="R8" s="113" t="s">
        <v>67</v>
      </c>
      <c r="S8" s="76"/>
      <c r="T8" s="117" t="s">
        <v>45</v>
      </c>
      <c r="U8" s="354" t="s">
        <v>8</v>
      </c>
      <c r="V8" s="114">
        <f>Дек2448[[#This Row],[сумма]]-Дек2448[[#This Row],[Цена м2 отделки]]*Дек2448[[#This Row],[м2]]</f>
        <v>4174400</v>
      </c>
    </row>
    <row r="9" spans="1:32" s="61" customFormat="1">
      <c r="A9" s="62">
        <v>6</v>
      </c>
      <c r="B9" s="62" t="s">
        <v>6</v>
      </c>
      <c r="C9" s="74">
        <v>39535</v>
      </c>
      <c r="D9" s="62" t="s">
        <v>23</v>
      </c>
      <c r="E9" s="75">
        <v>194</v>
      </c>
      <c r="F9" s="62">
        <v>1</v>
      </c>
      <c r="G9" s="62">
        <v>36.64</v>
      </c>
      <c r="H9" s="76" t="s">
        <v>9</v>
      </c>
      <c r="I9" s="62"/>
      <c r="J9" s="91">
        <v>4622268</v>
      </c>
      <c r="K9" s="62" t="s">
        <v>8</v>
      </c>
      <c r="L9" s="62" t="s">
        <v>10</v>
      </c>
      <c r="M9" s="102" t="s">
        <v>130</v>
      </c>
      <c r="N9" s="62" t="s">
        <v>18</v>
      </c>
      <c r="O9" s="92">
        <v>45686</v>
      </c>
      <c r="P9" s="62"/>
      <c r="Q9" s="76" t="s">
        <v>2312</v>
      </c>
      <c r="R9" s="113" t="s">
        <v>67</v>
      </c>
      <c r="S9" s="113"/>
      <c r="T9" s="62" t="s">
        <v>8</v>
      </c>
      <c r="U9" s="62" t="s">
        <v>8</v>
      </c>
      <c r="V9" s="114">
        <f>Дек2448[[#This Row],[сумма]]-Дек2448[[#This Row],[Цена м2 отделки]]*Дек2448[[#This Row],[м2]]</f>
        <v>4622268</v>
      </c>
    </row>
    <row r="10" spans="1:32" s="61" customFormat="1">
      <c r="A10" s="65"/>
      <c r="B10" s="65"/>
      <c r="C10" s="79"/>
      <c r="D10" s="65"/>
      <c r="E10" s="79"/>
      <c r="F10" s="65"/>
      <c r="G10" s="65"/>
      <c r="H10" s="65"/>
      <c r="I10" s="65"/>
      <c r="J10" s="93"/>
      <c r="K10" s="65"/>
      <c r="L10" s="65"/>
      <c r="M10" s="65"/>
      <c r="N10" s="65"/>
      <c r="O10" s="98"/>
      <c r="P10" s="65"/>
      <c r="Q10" s="65"/>
      <c r="R10" s="118"/>
      <c r="S10" s="86"/>
      <c r="T10" s="65"/>
      <c r="U10" s="65"/>
      <c r="V10" s="115">
        <f>Дек2448[[#This Row],[сумма]]-Дек2448[[#This Row],[Цена м2 отделки]]*Дек2448[[#This Row],[м2]]</f>
        <v>0</v>
      </c>
    </row>
    <row r="11" spans="1:32" s="61" customFormat="1">
      <c r="A11" s="65"/>
      <c r="B11" s="65"/>
      <c r="C11" s="79"/>
      <c r="D11" s="65"/>
      <c r="E11" s="79"/>
      <c r="F11" s="65"/>
      <c r="G11" s="65"/>
      <c r="H11" s="80"/>
      <c r="I11" s="80"/>
      <c r="J11" s="93"/>
      <c r="K11" s="80"/>
      <c r="L11" s="65"/>
      <c r="M11" s="65"/>
      <c r="N11" s="65"/>
      <c r="O11" s="98"/>
      <c r="P11" s="80"/>
      <c r="Q11" s="86"/>
      <c r="R11" s="118"/>
      <c r="S11" s="393"/>
      <c r="T11" s="80"/>
      <c r="U11" s="80"/>
      <c r="V11" s="115">
        <f>Дек2448[[#This Row],[сумма]]-Дек2448[[#This Row],[Цена м2 отделки]]*Дек2448[[#This Row],[м2]]</f>
        <v>0</v>
      </c>
    </row>
    <row r="12" spans="1:32" s="61" customFormat="1">
      <c r="A12" s="65"/>
      <c r="B12" s="65"/>
      <c r="C12" s="78"/>
      <c r="D12" s="65"/>
      <c r="E12" s="79"/>
      <c r="F12" s="65"/>
      <c r="G12" s="65"/>
      <c r="H12" s="86"/>
      <c r="I12" s="86"/>
      <c r="J12" s="104"/>
      <c r="K12" s="65"/>
      <c r="L12" s="65"/>
      <c r="M12" s="65"/>
      <c r="N12" s="65"/>
      <c r="O12" s="98"/>
      <c r="P12" s="65"/>
      <c r="Q12" s="394"/>
      <c r="R12" s="118"/>
      <c r="S12" s="118"/>
      <c r="T12" s="65"/>
      <c r="U12" s="65"/>
      <c r="V12" s="115">
        <f>Дек2448[[#This Row],[сумма]]-Дек2448[[#This Row],[Цена м2 отделки]]*Дек2448[[#This Row],[м2]]</f>
        <v>0</v>
      </c>
    </row>
    <row r="13" spans="1:32" s="61" customFormat="1">
      <c r="A13" s="65"/>
      <c r="B13" s="65"/>
      <c r="C13" s="78"/>
      <c r="D13" s="65"/>
      <c r="E13" s="79"/>
      <c r="F13" s="65"/>
      <c r="G13" s="65"/>
      <c r="H13" s="65"/>
      <c r="I13" s="65"/>
      <c r="J13" s="93"/>
      <c r="K13" s="65"/>
      <c r="L13" s="65"/>
      <c r="M13" s="65"/>
      <c r="N13" s="65"/>
      <c r="O13" s="98"/>
      <c r="P13" s="65"/>
      <c r="Q13" s="86"/>
      <c r="R13" s="118"/>
      <c r="S13" s="118"/>
      <c r="T13" s="65"/>
      <c r="U13" s="65"/>
      <c r="V13" s="115">
        <f>Дек2448[[#This Row],[сумма]]-Дек2448[[#This Row],[Цена м2 отделки]]*Дек2448[[#This Row],[м2]]</f>
        <v>0</v>
      </c>
      <c r="AF13" s="132"/>
    </row>
    <row r="14" spans="1:32" s="61" customFormat="1">
      <c r="A14" s="65"/>
      <c r="B14" s="65"/>
      <c r="C14" s="79"/>
      <c r="D14" s="65"/>
      <c r="E14" s="79"/>
      <c r="F14" s="65"/>
      <c r="G14" s="65"/>
      <c r="H14" s="65"/>
      <c r="I14" s="65"/>
      <c r="J14" s="93"/>
      <c r="K14" s="65"/>
      <c r="L14" s="65"/>
      <c r="M14" s="65"/>
      <c r="N14" s="65"/>
      <c r="O14" s="98"/>
      <c r="P14" s="65"/>
      <c r="Q14" s="65"/>
      <c r="R14" s="118"/>
      <c r="S14" s="118"/>
      <c r="T14" s="65"/>
      <c r="U14" s="65"/>
      <c r="V14" s="115">
        <f>Дек2448[[#This Row],[сумма]]-Дек2448[[#This Row],[Цена м2 отделки]]*Дек2448[[#This Row],[м2]]</f>
        <v>0</v>
      </c>
    </row>
    <row r="15" spans="1:32" s="64" customFormat="1">
      <c r="A15" s="84"/>
      <c r="B15" s="84"/>
      <c r="C15" s="85"/>
      <c r="D15" s="84"/>
      <c r="E15" s="85"/>
      <c r="F15" s="84"/>
      <c r="G15" s="84"/>
      <c r="H15" s="84"/>
      <c r="I15" s="84"/>
      <c r="J15" s="93"/>
      <c r="K15" s="84"/>
      <c r="L15" s="84"/>
      <c r="M15" s="84"/>
      <c r="N15" s="84"/>
      <c r="O15" s="386"/>
      <c r="P15" s="84"/>
      <c r="Q15" s="84"/>
      <c r="R15" s="125"/>
      <c r="S15" s="125"/>
      <c r="T15" s="84"/>
      <c r="U15" s="84"/>
      <c r="V15" s="126">
        <f>Дек2448[[#This Row],[сумма]]-Дек2448[[#This Row],[Цена м2 отделки]]*Дек2448[[#This Row],[м2]]</f>
        <v>0</v>
      </c>
    </row>
    <row r="16" spans="1:32" s="61" customFormat="1">
      <c r="A16" s="65"/>
      <c r="B16" s="65"/>
      <c r="C16" s="78"/>
      <c r="D16" s="65"/>
      <c r="E16" s="79"/>
      <c r="F16" s="65"/>
      <c r="G16" s="65"/>
      <c r="H16" s="65"/>
      <c r="I16" s="65"/>
      <c r="J16" s="387"/>
      <c r="K16" s="65"/>
      <c r="L16" s="65"/>
      <c r="M16" s="65"/>
      <c r="N16" s="65"/>
      <c r="O16" s="98"/>
      <c r="P16" s="65"/>
      <c r="Q16" s="65"/>
      <c r="R16" s="118"/>
      <c r="S16" s="118"/>
      <c r="T16" s="65"/>
      <c r="U16" s="65"/>
      <c r="V16" s="115">
        <f>Дек2448[[#This Row],[сумма]]-Дек2448[[#This Row],[Цена м2 отделки]]*Дек2448[[#This Row],[м2]]</f>
        <v>0</v>
      </c>
    </row>
    <row r="17" spans="1:22" s="61" customFormat="1">
      <c r="A17" s="65"/>
      <c r="B17" s="65"/>
      <c r="C17" s="78"/>
      <c r="D17" s="65"/>
      <c r="E17" s="79"/>
      <c r="F17" s="65"/>
      <c r="G17" s="65"/>
      <c r="H17" s="86"/>
      <c r="I17" s="86"/>
      <c r="J17" s="104"/>
      <c r="K17" s="65"/>
      <c r="L17" s="65"/>
      <c r="M17" s="65"/>
      <c r="N17" s="65"/>
      <c r="O17" s="98"/>
      <c r="P17" s="65"/>
      <c r="Q17" s="86"/>
      <c r="R17" s="118"/>
      <c r="S17" s="118"/>
      <c r="T17" s="65"/>
      <c r="U17" s="65"/>
      <c r="V17" s="115">
        <f>Дек2448[[#This Row],[сумма]]-Дек2448[[#This Row],[Цена м2 отделки]]*Дек2448[[#This Row],[м2]]</f>
        <v>0</v>
      </c>
    </row>
    <row r="18" spans="1:22" s="61" customFormat="1" ht="18.75" customHeight="1">
      <c r="A18" s="65"/>
      <c r="B18" s="65"/>
      <c r="C18" s="78"/>
      <c r="D18" s="65"/>
      <c r="E18" s="79"/>
      <c r="F18" s="65"/>
      <c r="G18" s="65"/>
      <c r="H18" s="65"/>
      <c r="I18" s="65"/>
      <c r="J18" s="93"/>
      <c r="K18" s="65"/>
      <c r="L18" s="65"/>
      <c r="M18" s="65"/>
      <c r="N18" s="65"/>
      <c r="O18" s="98"/>
      <c r="P18" s="65"/>
      <c r="Q18" s="86"/>
      <c r="R18" s="118"/>
      <c r="S18" s="65"/>
      <c r="T18" s="65"/>
      <c r="U18" s="65"/>
      <c r="V18" s="115">
        <f>Дек2448[[#This Row],[сумма]]-Дек2448[[#This Row],[Цена м2 отделки]]*Дек2448[[#This Row],[м2]]</f>
        <v>0</v>
      </c>
    </row>
    <row r="19" spans="1:22" s="61" customFormat="1">
      <c r="A19" s="65"/>
      <c r="B19" s="65"/>
      <c r="C19" s="78"/>
      <c r="D19" s="65"/>
      <c r="E19" s="79"/>
      <c r="F19" s="65"/>
      <c r="G19" s="65"/>
      <c r="H19" s="65"/>
      <c r="I19" s="65"/>
      <c r="J19" s="93"/>
      <c r="K19" s="65"/>
      <c r="L19" s="65"/>
      <c r="M19" s="65"/>
      <c r="N19" s="65"/>
      <c r="O19" s="98"/>
      <c r="P19" s="65"/>
      <c r="Q19" s="86"/>
      <c r="R19" s="118"/>
      <c r="S19" s="118"/>
      <c r="T19" s="65"/>
      <c r="U19" s="65"/>
      <c r="V19" s="115">
        <f>Дек2448[[#This Row],[сумма]]-Дек2448[[#This Row],[Цена м2 отделки]]*Дек2448[[#This Row],[м2]]</f>
        <v>0</v>
      </c>
    </row>
    <row r="20" spans="1:22" s="61" customFormat="1">
      <c r="A20" s="65"/>
      <c r="B20" s="65"/>
      <c r="C20" s="79"/>
      <c r="D20" s="65"/>
      <c r="E20" s="79"/>
      <c r="F20" s="65"/>
      <c r="G20" s="65"/>
      <c r="H20" s="65"/>
      <c r="I20" s="65"/>
      <c r="J20" s="93"/>
      <c r="K20" s="65"/>
      <c r="L20" s="65"/>
      <c r="M20" s="65"/>
      <c r="N20" s="65"/>
      <c r="O20" s="98"/>
      <c r="P20" s="65"/>
      <c r="Q20" s="86"/>
      <c r="R20" s="118"/>
      <c r="S20" s="118"/>
      <c r="T20" s="65"/>
      <c r="U20" s="65"/>
      <c r="V20" s="115">
        <f>Дек2448[[#This Row],[сумма]]-Дек2448[[#This Row],[Цена м2 отделки]]*Дек2448[[#This Row],[м2]]</f>
        <v>0</v>
      </c>
    </row>
    <row r="21" spans="1:22" s="61" customFormat="1">
      <c r="A21" s="65"/>
      <c r="B21" s="65"/>
      <c r="C21" s="87"/>
      <c r="D21" s="65"/>
      <c r="E21" s="65"/>
      <c r="F21" s="87"/>
      <c r="G21" s="65"/>
      <c r="H21" s="80"/>
      <c r="I21" s="72"/>
      <c r="J21" s="105"/>
      <c r="K21" s="65"/>
      <c r="L21" s="80"/>
      <c r="M21" s="80"/>
      <c r="N21" s="80"/>
      <c r="O21" s="98"/>
      <c r="P21" s="80"/>
      <c r="Q21" s="80"/>
      <c r="R21" s="118"/>
      <c r="S21" s="118"/>
      <c r="T21" s="65"/>
      <c r="U21" s="65"/>
      <c r="V21" s="115">
        <f>Дек2448[[#This Row],[сумма]]-Дек2448[[#This Row],[Цена м2 отделки]]*Дек2448[[#This Row],[м2]]</f>
        <v>0</v>
      </c>
    </row>
    <row r="22" spans="1:22" s="61" customFormat="1">
      <c r="A22" s="65"/>
      <c r="B22" s="65"/>
      <c r="C22" s="87"/>
      <c r="D22" s="80"/>
      <c r="E22" s="65"/>
      <c r="F22" s="87"/>
      <c r="G22" s="65"/>
      <c r="H22" s="80"/>
      <c r="I22" s="72"/>
      <c r="J22" s="105"/>
      <c r="K22" s="388"/>
      <c r="L22" s="80"/>
      <c r="M22" s="80"/>
      <c r="N22" s="65"/>
      <c r="O22" s="98"/>
      <c r="P22" s="80"/>
      <c r="Q22" s="80"/>
      <c r="R22" s="118"/>
      <c r="S22" s="118"/>
      <c r="T22" s="65"/>
      <c r="U22" s="65"/>
      <c r="V22" s="115">
        <f>Дек2448[[#This Row],[сумма]]-Дек2448[[#This Row],[Цена м2 отделки]]*Дек2448[[#This Row],[м2]]</f>
        <v>0</v>
      </c>
    </row>
    <row r="23" spans="1:22" s="61" customFormat="1">
      <c r="A23" s="65"/>
      <c r="B23" s="65"/>
      <c r="C23" s="79"/>
      <c r="D23" s="65"/>
      <c r="E23" s="79"/>
      <c r="F23" s="65"/>
      <c r="G23" s="65"/>
      <c r="H23" s="65"/>
      <c r="I23" s="65"/>
      <c r="J23" s="93"/>
      <c r="K23" s="65"/>
      <c r="L23" s="65"/>
      <c r="M23" s="65"/>
      <c r="N23" s="65"/>
      <c r="O23" s="98"/>
      <c r="P23" s="65"/>
      <c r="Q23" s="65"/>
      <c r="R23" s="118"/>
      <c r="S23" s="118"/>
      <c r="T23" s="65"/>
      <c r="U23" s="65"/>
      <c r="V23" s="115">
        <f>Дек2448[[#This Row],[сумма]]-Дек2448[[#This Row],[Цена м2 отделки]]*Дек2448[[#This Row],[м2]]</f>
        <v>0</v>
      </c>
    </row>
    <row r="24" spans="1:22" s="61" customFormat="1">
      <c r="A24" s="65"/>
      <c r="B24" s="65"/>
      <c r="C24" s="79"/>
      <c r="D24" s="65"/>
      <c r="E24" s="79"/>
      <c r="F24" s="87"/>
      <c r="G24" s="65"/>
      <c r="H24" s="65"/>
      <c r="I24" s="72"/>
      <c r="J24" s="105"/>
      <c r="K24" s="72"/>
      <c r="L24" s="65"/>
      <c r="M24" s="65"/>
      <c r="N24" s="65"/>
      <c r="O24" s="98"/>
      <c r="P24" s="65"/>
      <c r="Q24" s="395"/>
      <c r="R24" s="118"/>
      <c r="S24" s="118"/>
      <c r="T24" s="65"/>
      <c r="U24" s="65"/>
      <c r="V24" s="115">
        <f>Дек2448[[#This Row],[сумма]]-Дек2448[[#This Row],[Цена м2 отделки]]*Дек2448[[#This Row],[м2]]</f>
        <v>0</v>
      </c>
    </row>
    <row r="25" spans="1:22" s="61" customFormat="1">
      <c r="A25" s="65"/>
      <c r="B25" s="65"/>
      <c r="C25" s="79"/>
      <c r="D25" s="65"/>
      <c r="E25" s="79"/>
      <c r="F25" s="87"/>
      <c r="G25" s="65"/>
      <c r="H25" s="65"/>
      <c r="I25" s="72"/>
      <c r="J25" s="105"/>
      <c r="K25" s="65"/>
      <c r="L25" s="65"/>
      <c r="M25" s="65"/>
      <c r="N25" s="65"/>
      <c r="O25" s="98"/>
      <c r="P25" s="65"/>
      <c r="Q25" s="65"/>
      <c r="R25" s="118"/>
      <c r="S25" s="118"/>
      <c r="T25" s="65"/>
      <c r="U25" s="65"/>
      <c r="V25" s="115">
        <f>Дек2448[[#This Row],[сумма]]-Дек2448[[#This Row],[Цена м2 отделки]]*Дек2448[[#This Row],[м2]]</f>
        <v>0</v>
      </c>
    </row>
    <row r="26" spans="1:22" s="61" customFormat="1">
      <c r="A26" s="65"/>
      <c r="B26" s="65"/>
      <c r="C26" s="79"/>
      <c r="D26" s="65"/>
      <c r="E26" s="79"/>
      <c r="F26" s="87"/>
      <c r="G26" s="65"/>
      <c r="H26" s="65"/>
      <c r="I26" s="72"/>
      <c r="J26" s="93"/>
      <c r="K26" s="72"/>
      <c r="L26" s="65"/>
      <c r="M26" s="389"/>
      <c r="N26" s="65"/>
      <c r="O26" s="98"/>
      <c r="P26" s="65"/>
      <c r="Q26" s="80"/>
      <c r="R26" s="131"/>
      <c r="S26" s="131"/>
      <c r="T26" s="65"/>
      <c r="U26" s="65"/>
      <c r="V26" s="115">
        <f>Дек2448[[#This Row],[сумма]]-Дек2448[[#This Row],[Цена м2 отделки]]*Дек2448[[#This Row],[м2]]</f>
        <v>0</v>
      </c>
    </row>
    <row r="27" spans="1:22" s="61" customFormat="1">
      <c r="A27" s="65"/>
      <c r="B27" s="65"/>
      <c r="C27" s="65"/>
      <c r="D27" s="65"/>
      <c r="E27" s="65"/>
      <c r="F27" s="65"/>
      <c r="G27" s="65"/>
      <c r="H27" s="65"/>
      <c r="I27" s="65"/>
      <c r="J27" s="390"/>
      <c r="K27" s="72"/>
      <c r="L27" s="65"/>
      <c r="M27" s="65"/>
      <c r="N27" s="65"/>
      <c r="O27" s="94"/>
      <c r="P27" s="65"/>
      <c r="Q27" s="65"/>
      <c r="R27" s="66"/>
      <c r="S27" s="66"/>
      <c r="T27" s="65"/>
      <c r="U27" s="65"/>
      <c r="V27" s="115">
        <f>Дек2448[[#This Row],[сумма]]-Дек2448[[#This Row],[Цена м2 отделки]]*Дек2448[[#This Row],[м2]]</f>
        <v>0</v>
      </c>
    </row>
    <row r="28" spans="1:22" s="61" customFormat="1">
      <c r="A28" s="65"/>
      <c r="B28" s="65"/>
      <c r="C28" s="78"/>
      <c r="D28" s="65"/>
      <c r="E28" s="79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Дек2448[[#This Row],[сумма]]-Дек2448[[#This Row],[Цена м2 отделки]]*Дек2448[[#This Row],[м2]]</f>
        <v>0</v>
      </c>
    </row>
    <row r="29" spans="1:22" s="61" customFormat="1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Дек2448[[#This Row],[сумма]]-Дек2448[[#This Row],[Цена м2 отделки]]*Дек2448[[#This Row],[м2]]</f>
        <v>0</v>
      </c>
    </row>
    <row r="30" spans="1:22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Дек2448[[#This Row],[сумма]]-Дек2448[[#This Row],[Цена м2 отделки]]*Дек2448[[#This Row],[м2]]</f>
        <v>0</v>
      </c>
    </row>
    <row r="31" spans="1:22" s="61" customFormat="1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Дек2448[[#This Row],[сумма]]-Дек2448[[#This Row],[Цена м2 отделки]]*Дек2448[[#This Row],[м2]]</f>
        <v>0</v>
      </c>
    </row>
    <row r="32" spans="1:22" s="61" customFormat="1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Дек2448[[#This Row],[сумма]]-Дек2448[[#This Row],[Цена м2 отделки]]*Дек2448[[#This Row],[м2]]</f>
        <v>0</v>
      </c>
    </row>
    <row r="33" spans="1:22">
      <c r="A33" s="65"/>
      <c r="B33" s="65"/>
      <c r="C33" s="79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Дек2448[[#This Row],[сумма]]-Дек2448[[#This Row],[Цена м2 отделки]]*Дек2448[[#This Row],[м2]]</f>
        <v>0</v>
      </c>
    </row>
    <row r="34" spans="1:22" s="61" customFormat="1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Дек2448[[#This Row],[сумма]]-Дек2448[[#This Row],[Цена м2 отделки]]*Дек2448[[#This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Дек2448[[#This Row],[сумма]]-Дек2448[[#This Row],[Цена м2 отделки]]*Дек2448[[#This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Дек2448[[#This Row],[сумма]]-Дек2448[[#This Row],[Цена м2 отделки]]*Дек2448[[#This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Дек2448[[#This Row],[сумма]]-Дек2448[[#This Row],[Цена м2 отделки]]*Дек2448[[#This Row],[м2]]</f>
        <v>0</v>
      </c>
    </row>
    <row r="38" spans="1:22" s="61" customFormat="1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Дек2448[[#This Row],[сумма]]-Дек2448[[#This Row],[Цена м2 отделки]]*Дек2448[[#This Row],[м2]]</f>
        <v>0</v>
      </c>
    </row>
    <row r="39" spans="1:22" s="61" customFormat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Дек2448[[#This Row],[сумма]]-Дек2448[[#This Row],[Цена м2 отделки]]*Дек2448[[#This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Дек2448[[#This Row],[сумма]]-Дек2448[[#This Row],[Цена м2 отделки]]*Дек2448[[#This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Дек2448[[#This Row],[сумма]]-Дек2448[[#This Row],[Цена м2 отделки]]*Дек2448[[#This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Дек2448[[#This Row],[сумма]]-Дек2448[[#This Row],[Цена м2 отделки]]*Дек2448[[#This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Дек2448[[#This Row],[сумма]]-Дек2448[[#This Row],[Цена м2 отделки]]*Дек2448[[#This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Дек2448[[#This Row],[сумма]]-Дек2448[[#This Row],[Цена м2 отделки]]*Дек2448[[#This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Дек2448[[#This Row],[сумма]]-Дек2448[[#This Row],[Цена м2 отделки]]*Дек2448[[#This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Дек2448[[#This Row],[сумма]]-Дек2448[[#This Row],[Цена м2 отделки]]*Дек2448[[#This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Дек2448[[#This Row],[сумма]]-Дек2448[[#This Row],[Цена м2 отделки]]*Дек2448[[#This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Дек2448[[#This Row],[сумма]]-Дек2448[[#This Row],[Цена м2 отделки]]*Дек2448[[#This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Дек2448[[#This Row],[сумма]]-Дек2448[[#This Row],[Цена м2 отделки]]*Дек2448[[#This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Дек2448[[#This Row],[сумма]]-Дек2448[[#This Row],[Цена м2 отделки]]*Дек2448[[#This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Дек2448[[#This Row],[сумма]]-Дек2448[[#This Row],[Цена м2 отделки]]*Дек2448[[#This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Дек2448[[#This Row],[сумма]]-Дек2448[[#This Row],[Цена м2 отделки]]*Дек2448[[#This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Дек2448[[#This Row],[сумма]]-Дек2448[[#This Row],[Цена м2 отделки]]*Дек2448[[#This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Дек2448[[#This Row],[сумма]]-Дек2448[[#This Row],[Цена м2 отделки]]*Дек2448[[#This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Дек2448[[#This Row],[сумма]]-Дек2448[[#This Row],[Цена м2 отделки]]*Дек2448[[#This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Дек2448[[#This Row],[сумма]]-Дек2448[[#This Row],[Цена м2 отделки]]*Дек2448[[#This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Дек2448[[#This Row],[сумма]]-Дек2448[[#This Row],[Цена м2 отделки]]*Дек2448[[#This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Дек2448[[#This Row],[сумма]]-Дек2448[[#This Row],[Цена м2 отделки]]*Дек2448[[#This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Дек2448[[#This Row],[сумма]]-Дек2448[[#This Row],[Цена м2 отделки]]*Дек2448[[#This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Дек2448[[#This Row],[сумма]]-Дек2448[[#This Row],[Цена м2 отделки]]*Дек2448[[#This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Дек2448[[#This Row],[сумма]]-Дек2448[[#This Row],[Цена м2 отделки]]*Дек2448[[#This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Дек2448[[#This Row],[сумма]]-Дек2448[[#This Row],[Цена м2 отделки]]*Дек2448[[#This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Дек2448[[#This Row],[сумма]]-Дек2448[[#This Row],[Цена м2 отделки]]*Дек2448[[#This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Дек2448[[#This Row],[сумма]]-Дек2448[[#This Row],[Цена м2 отделки]]*Дек2448[[#This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65"/>
      <c r="F66" s="65"/>
      <c r="G66" s="65"/>
      <c r="H66" s="65"/>
      <c r="I66" s="65"/>
      <c r="L66" s="65"/>
      <c r="M66" s="65"/>
      <c r="N66" s="98"/>
      <c r="O66" s="65"/>
    </row>
    <row r="67" spans="1:27" s="65" customFormat="1">
      <c r="B67" s="79"/>
      <c r="D67" s="79"/>
      <c r="J67" s="66"/>
      <c r="X67" s="98"/>
      <c r="Y67" s="80"/>
      <c r="AA67" s="86"/>
    </row>
    <row r="68" spans="1:27" s="65" customFormat="1">
      <c r="B68" s="79"/>
      <c r="C68" s="79"/>
      <c r="D68" s="80"/>
      <c r="J68" s="66"/>
      <c r="W68" s="110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28</v>
      </c>
      <c r="B72" s="143">
        <f>IFERROR(VLOOKUP(A72,'ИПП 1кв25'!$B$6:$N$17,4,0),"")</f>
        <v>0</v>
      </c>
      <c r="C72" s="144">
        <f>IFERROR(VLOOKUP(A72,'ИПП 1кв25'!$B$6:$N$17,5,0),"")</f>
        <v>0</v>
      </c>
      <c r="D72" s="145">
        <f>SUMIFS(Дек2448[м2],Дек2448[МОП],$A72,Дек2448[№ дома],$C$70,Дек2448[Комнатность],"&lt;&gt;Офис")</f>
        <v>0</v>
      </c>
      <c r="E72" s="146">
        <f>SUMIFS(Дек2448[Сумма без отделки],Дек2448[МОП],$A72,Дек2448[№ дома],$C$70,Дек2448[Комнатность],"&lt;&gt;Офис")</f>
        <v>0</v>
      </c>
      <c r="F72" s="147">
        <f>COUNTIFS(Дек2448[МОП],$A72,Дек2448[№ дома],$C$70,Дек2448[Комнатность],"&lt;&gt;Офис")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 t="str">
        <f t="shared" ref="J72" si="0">IFERROR(G72/B72,"")</f>
        <v/>
      </c>
      <c r="K72" s="222" t="str">
        <f t="shared" ref="K72" si="1">IFERROR(H72/C72,"")</f>
        <v/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42" t="s">
        <v>8</v>
      </c>
      <c r="B73" s="143">
        <f>IFERROR(VLOOKUP(A73,'ИПП 1кв25'!$B$6:$N$17,4,0),"")</f>
        <v>0</v>
      </c>
      <c r="C73" s="144">
        <f>IFERROR(VLOOKUP(A73,'ИПП 1кв25'!$B$6:$N$17,5,0),"")</f>
        <v>0</v>
      </c>
      <c r="D73" s="145">
        <f>SUMIFS(Дек2448[м2],Дек2448[МОП],$A73,Дек2448[№ дома],$C$70,Дек2448[Комнатность],"&lt;&gt;Офис")</f>
        <v>0</v>
      </c>
      <c r="E73" s="146">
        <f>SUMIFS(Дек2448[Сумма без отделки],Дек2448[МОП],$A73,Дек2448[№ дома],$C$70,Дек2448[Комнатность],"&lt;&gt;Офис")</f>
        <v>0</v>
      </c>
      <c r="F73" s="147">
        <f>COUNTIFS(Дек2448[МОП],$A73,Дек2448[№ дома],$C$70,Дек2448[Комнатность],"&lt;&gt;Офис")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 t="str">
        <f t="shared" ref="J73:K79" si="2">IFERROR(G73/B73,"")</f>
        <v/>
      </c>
      <c r="K73" s="222" t="str">
        <f t="shared" si="2"/>
        <v/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0" t="s">
        <v>20</v>
      </c>
      <c r="B74" s="143">
        <f>IFERROR(VLOOKUP(A74,'ИПП 1кв25'!$B$6:$N$17,4,0),"")</f>
        <v>0</v>
      </c>
      <c r="C74" s="144">
        <f>IFERROR(VLOOKUP(A74,'ИПП 1кв25'!$B$6:$N$17,5,0),"")</f>
        <v>0</v>
      </c>
      <c r="D74" s="151">
        <f>SUMIFS(Дек2448[м2],Дек2448[МОП],$A74,Дек2448[№ дома],$C$70,Дек2448[Комнатность],"&lt;&gt;Офис")</f>
        <v>0</v>
      </c>
      <c r="E74" s="144">
        <f>SUMIFS(Дек2448[Сумма без отделки],Дек2448[МОП],$A74,Дек2448[№ дома],$C$70,Дек2448[Комнатность],"&lt;&gt;Офис")</f>
        <v>0</v>
      </c>
      <c r="F74" s="152">
        <f>COUNTIFS(Дек2448[МОП],$A74,Дек2448[№ дома],$C$70,Дек2448[Комнатность],"&lt;&gt;Офис")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1" t="str">
        <f t="shared" si="2"/>
        <v/>
      </c>
      <c r="K74" s="222" t="str">
        <f t="shared" si="2"/>
        <v/>
      </c>
      <c r="L74" s="148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0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0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0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3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24</v>
      </c>
      <c r="B75" s="143">
        <f>IFERROR(VLOOKUP(A75,'ИПП 1кв25'!$B$6:$N$17,4,0),"")</f>
        <v>0</v>
      </c>
      <c r="C75" s="144">
        <f>IFERROR(VLOOKUP(A75,'ИПП 1кв25'!$B$6:$N$17,5,0),"")</f>
        <v>0</v>
      </c>
      <c r="D75" s="151">
        <f>SUMIFS(Дек2448[м2],Дек2448[МОП],$A75,Дек2448[№ дома],$C$70,Дек2448[Комнатность],"&lt;&gt;Офис")</f>
        <v>0</v>
      </c>
      <c r="E75" s="144">
        <f>SUMIFS(Дек2448[Сумма без отделки],Дек2448[МОП],$A75,Дек2448[№ дома],$C$70,Дек2448[Комнатность],"&lt;&gt;Офис")</f>
        <v>0</v>
      </c>
      <c r="F75" s="152">
        <f>COUNTIFS(Дек2448[МОП],$A75,Дек2448[№ дома],$C$70,Дек2448[Комнатность],"&lt;&gt;Офис")</f>
        <v>0</v>
      </c>
      <c r="G75" s="148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24" t="str">
        <f t="shared" si="2"/>
        <v/>
      </c>
      <c r="K75" s="225" t="str">
        <f t="shared" si="2"/>
        <v/>
      </c>
      <c r="L75" s="202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226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226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226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227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3" t="s">
        <v>14</v>
      </c>
      <c r="B76" s="143">
        <f>IFERROR(VLOOKUP(A76,'ИПП 1кв25'!$B$6:$N$17,4,0),"")</f>
        <v>0</v>
      </c>
      <c r="C76" s="144">
        <f>IFERROR(VLOOKUP(A76,'ИПП 1кв25'!$B$6:$N$17,5,0),"")</f>
        <v>0</v>
      </c>
      <c r="D76" s="205">
        <f>SUMIFS(Дек2448[м2],Дек2448[МОП],$A76,Дек2448[№ дома],$C$70,Дек2448[Комнатность],"&lt;&gt;Офис")</f>
        <v>0</v>
      </c>
      <c r="E76" s="357">
        <f>SUMIFS(Дек2448[Сумма без отделки],Дек2448[МОП],$A76,Дек2448[№ дома],$C$70,Дек2448[Комнатность],"&lt;&gt;Офис")</f>
        <v>0</v>
      </c>
      <c r="F76" s="207">
        <f>COUNTIFS(Дек2448[МОП],$A76,Дек2448[№ дома],$C$70,Дек2448[Комнатность],"&lt;&gt;Офис")</f>
        <v>0</v>
      </c>
      <c r="G76" s="187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88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47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360" t="str">
        <f t="shared" si="2"/>
        <v/>
      </c>
      <c r="K76" s="361" t="str">
        <f t="shared" si="2"/>
        <v/>
      </c>
      <c r="L76" s="358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330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330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330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3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54" t="s">
        <v>29</v>
      </c>
      <c r="B77" s="155"/>
      <c r="C77" s="156"/>
      <c r="D77" s="157">
        <f>SUMIFS(Дек2448[м2],Дек2448[МОП],$A77,Дек2448[№ дома],$C$70,Дек2448[Комнатность],"&lt;&gt;Офис")</f>
        <v>0</v>
      </c>
      <c r="E77" s="156">
        <f>SUMIFS(Дек2448[Сумма без отделки],Дек2448[МОП],$A77,Дек2448[№ дома],$C$70,Дек2448[Комнатность],"&lt;&gt;Офис")</f>
        <v>0</v>
      </c>
      <c r="F77" s="158">
        <f>COUNTIFS(Дек2448[МОП],$A77,Дек2448[№ дома],$C$70,Дек2448[Комнатность],"&lt;&gt;Офис")</f>
        <v>0</v>
      </c>
      <c r="G77" s="159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0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28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29" t="str">
        <f t="shared" si="2"/>
        <v/>
      </c>
      <c r="K77" s="230" t="str">
        <f t="shared" si="2"/>
        <v/>
      </c>
      <c r="L77" s="159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28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28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28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1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1" t="s">
        <v>1919</v>
      </c>
      <c r="B78" s="162"/>
      <c r="C78" s="163"/>
      <c r="D78" s="164">
        <f>SUMIFS(Дек2448[м2],Дек2448[МОП],$A78,Дек2448[№ дома],$C$70,Дек2448[Комнатность],"&lt;&gt;Офис")</f>
        <v>0</v>
      </c>
      <c r="E78" s="163">
        <f>SUMIFS(Дек2448[Сумма без отделки],Дек2448[МОП],$A78,Дек2448[№ дома],$C$70,Дек2448[Комнатность],"&lt;&gt;Офис")</f>
        <v>0</v>
      </c>
      <c r="F78" s="165">
        <f>COUNTIFS(Дек2448[МОП],$A78,Дек2448[№ дома],$C$70,Дек2448[Комнатность],"&lt;&gt;Офис")</f>
        <v>0</v>
      </c>
      <c r="G78" s="166">
        <f>SUMIFS(РД[S],РД[Дом],$C$70,РД[МОП],A78,РД[Дата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7">
        <f>SUMIFS(РД[Стоимость без отделки итог],РД[Дом],$C$70,РД[МОП],A78,РД[Дата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32">
        <f>COUNTIFS(РД[Дом],$C$70,РД[МОП],A78,РД[Дата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33" t="str">
        <f t="shared" si="2"/>
        <v/>
      </c>
      <c r="K78" s="234" t="str">
        <f t="shared" si="2"/>
        <v/>
      </c>
      <c r="L78" s="235">
        <f>COUNTIFS(РД[Тип кв],L$71,РД[МОП],$A78,РД[Дом],$C$70,РД[Дата подачи на регистрацию],"&lt;="&amp;$A$1,РД[Дата подачи на регистрацию],"&gt;="&amp;DATE(YEAR($A$1),MONTH($A$1),1))</f>
        <v>0</v>
      </c>
      <c r="M78" s="236">
        <f>COUNTIFS(РД[Тип кв],M$71,РД[МОП],$A78,РД[Дом],$C$70,РД[Дата подачи на регистрацию],"&lt;="&amp;$A$1,РД[Дата подачи на регистрацию],"&gt;="&amp;DATE(YEAR($A$1),MONTH($A$1),1))</f>
        <v>0</v>
      </c>
      <c r="N78" s="236">
        <f>COUNTIFS(РД[Тип кв],N$71,РД[МОП],$A78,РД[Дом],$C$70,РД[Дата подачи на регистрацию],"&lt;="&amp;$A$1,РД[Дата подачи на регистрацию],"&gt;="&amp;DATE(YEAR($A$1),MONTH($A$1),1))</f>
        <v>0</v>
      </c>
      <c r="O78" s="236">
        <f>COUNTIFS(РД[Тип кв],O$71,РД[МОП],$A78,РД[Дом],$C$70,РД[Дата подачи на регистрацию],"&lt;="&amp;$A$1,РД[Дата подачи на регистрацию],"&gt;="&amp;DATE(YEAR($A$1),MONTH($A$1),1))</f>
        <v>0</v>
      </c>
      <c r="P78" s="237">
        <f>COUNTIFS(РД[Тип кв],P$71,РД[МОП],$A78,РД[Дом],$C$70,РД[Дата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168" t="s">
        <v>114</v>
      </c>
      <c r="B79" s="169">
        <f t="shared" ref="B79:I79" si="3">SUM(B72:B78)</f>
        <v>0</v>
      </c>
      <c r="C79" s="170">
        <f t="shared" si="3"/>
        <v>0</v>
      </c>
      <c r="D79" s="170">
        <f t="shared" si="3"/>
        <v>0</v>
      </c>
      <c r="E79" s="170">
        <f t="shared" si="3"/>
        <v>0</v>
      </c>
      <c r="F79" s="171">
        <f t="shared" si="3"/>
        <v>0</v>
      </c>
      <c r="G79" s="172">
        <f t="shared" si="3"/>
        <v>0</v>
      </c>
      <c r="H79" s="173">
        <f t="shared" si="3"/>
        <v>0</v>
      </c>
      <c r="I79" s="170">
        <f t="shared" si="3"/>
        <v>0</v>
      </c>
      <c r="J79" s="238" t="str">
        <f t="shared" si="2"/>
        <v/>
      </c>
      <c r="K79" s="239" t="str">
        <f t="shared" si="2"/>
        <v/>
      </c>
      <c r="L79" s="240">
        <f>SUM(L72:L78)</f>
        <v>0</v>
      </c>
      <c r="M79" s="241">
        <f>SUM(M72:M78)</f>
        <v>0</v>
      </c>
      <c r="N79" s="241">
        <f>SUM(N72:N78)</f>
        <v>0</v>
      </c>
      <c r="O79" s="241">
        <f>SUM(O72:O78)</f>
        <v>0</v>
      </c>
      <c r="P79" s="242">
        <f>SUM(P72:P78)</f>
        <v>0</v>
      </c>
      <c r="T79" s="66"/>
    </row>
    <row r="80" spans="1:27" s="65" customFormat="1">
      <c r="A80" s="135" t="s">
        <v>115</v>
      </c>
      <c r="B80" s="135" t="s">
        <v>100</v>
      </c>
      <c r="C80" s="136" t="s">
        <v>97</v>
      </c>
      <c r="D80" s="174" t="s">
        <v>494</v>
      </c>
      <c r="E80" s="175" t="s">
        <v>495</v>
      </c>
      <c r="F80" s="176" t="s">
        <v>496</v>
      </c>
      <c r="G80" s="140" t="s">
        <v>101</v>
      </c>
      <c r="H80" s="141" t="s">
        <v>98</v>
      </c>
      <c r="I80" s="141" t="s">
        <v>96</v>
      </c>
      <c r="J80" s="141" t="s">
        <v>715</v>
      </c>
      <c r="K80" s="216" t="s">
        <v>716</v>
      </c>
      <c r="L80" s="217">
        <v>0</v>
      </c>
      <c r="M80" s="218">
        <v>1</v>
      </c>
      <c r="N80" s="218">
        <v>2</v>
      </c>
      <c r="O80" s="218">
        <v>3</v>
      </c>
      <c r="P80" s="219" t="s">
        <v>1367</v>
      </c>
      <c r="T80" s="66"/>
    </row>
    <row r="81" spans="1:21" s="65" customFormat="1">
      <c r="A81" s="177" t="s">
        <v>22</v>
      </c>
      <c r="B81" s="178">
        <f>IFERROR(VLOOKUP(A81,'ИПП 1кв25'!$B$6:$N$17,4,0),"")</f>
        <v>0</v>
      </c>
      <c r="C81" s="179">
        <f>IFERROR(VLOOKUP(A81,'ИПП 1кв25'!$B$6:$N$17,5,0),"")</f>
        <v>0</v>
      </c>
      <c r="D81" s="180">
        <f>SUMIFS(Дек2448[м2],Дек2448[ИМ],A81,Дек2448[№ дома],$C$70,Дек2448[Комнатность],"&lt;&gt;Офис")</f>
        <v>0</v>
      </c>
      <c r="E81" s="181">
        <f>SUMIFS(Дек2448[Сумма без отделки],Дек2448[ИМ],$A81,Дек2448[№ дома],$C$70,Дек2448[Комнатность],"&lt;&gt;Офис")</f>
        <v>0</v>
      </c>
      <c r="F81" s="182">
        <f>COUNTIFS(Дек2448[ИМ],$A81,Дек2448[№ дома],$C$70,Дек2448[Комнатность],"&lt;&gt;Офис")</f>
        <v>0</v>
      </c>
      <c r="G81" s="183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4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3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4" t="str">
        <f t="shared" ref="J81:K84" si="4">IFERROR(G81/B81,"")</f>
        <v/>
      </c>
      <c r="K81" s="245" t="str">
        <f t="shared" si="4"/>
        <v/>
      </c>
      <c r="L81" s="183">
        <f>COUNTIFS(РД[Тип кв],L71,РД[ИМ],$A81,РД[Дом],$C$70,РД[Дата подачи на регистрацию],"&lt;="&amp;$A$1,РД[Дата подачи на регистрацию],"&gt;="&amp;DATE(YEAR($A$1),MONTH($A$1),1))</f>
        <v>0</v>
      </c>
      <c r="M81" s="243">
        <f>COUNTIFS(РД[Тип кв],M71,РД[ИМ],$A81,РД[Дом],$C$70,РД[Дата подачи на регистрацию],"&lt;="&amp;$A$1,РД[Дата подачи на регистрацию],"&gt;="&amp;DATE(YEAR($A$1),MONTH($A$1),1))</f>
        <v>0</v>
      </c>
      <c r="N81" s="243">
        <f>COUNTIFS(РД[Тип кв],N71,РД[ИМ],$A81,РД[Дом],$C$70,РД[Дата подачи на регистрацию],"&lt;="&amp;$A$1,РД[Дата подачи на регистрацию],"&gt;="&amp;DATE(YEAR($A$1),MONTH($A$1),1))</f>
        <v>0</v>
      </c>
      <c r="O81" s="243">
        <f>COUNTIFS(РД[Тип кв],O71,РД[ИМ],$A81,РД[Дом],$C$70,РД[Дата подачи на регистрацию],"&lt;="&amp;$A$1,РД[Дата подачи на регистрацию],"&gt;="&amp;DATE(YEAR($A$1),MONTH($A$1),1))</f>
        <v>0</v>
      </c>
      <c r="P81" s="246">
        <f>COUNTIFS(РД[Тип кв],P71,РД[ИМ],$A81,РД[Дом],$C$70,РД[Дата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50" t="s">
        <v>26</v>
      </c>
      <c r="B82" s="143">
        <f>IFERROR(VLOOKUP(A82,'ИПП 1кв25'!$B$6:$N$17,4,0),"")</f>
        <v>0</v>
      </c>
      <c r="C82" s="144">
        <f>IFERROR(VLOOKUP(A82,'ИПП 1кв25'!$B$6:$N$17,5,0),"")</f>
        <v>0</v>
      </c>
      <c r="D82" s="151">
        <f>SUMIFS(Дек2448[м2],Дек2448[ИМ],A82,Дек2448[№ дома],$C$70,Дек2448[Комнатность],"&lt;&gt;Офис")</f>
        <v>0</v>
      </c>
      <c r="E82" s="185">
        <f>SUMIFS(Дек2448[Сумма без отделки],Дек2448[ИМ],$A82,Дек2448[№ дома],$C$70,Дек2448[Комнатность],"&lt;&gt;Офис")</f>
        <v>0</v>
      </c>
      <c r="F82" s="186">
        <f>COUNTIFS(Дек2448[ИМ],$A82,Дек2448[№ дома],$C$70,Дек2448[Комнатность],"&lt;&gt;Офис")</f>
        <v>0</v>
      </c>
      <c r="G82" s="187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88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47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48" t="str">
        <f t="shared" si="4"/>
        <v/>
      </c>
      <c r="K82" s="249" t="str">
        <f t="shared" si="4"/>
        <v/>
      </c>
      <c r="L82" s="18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M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N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O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P82" s="250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89" t="s">
        <v>3</v>
      </c>
      <c r="B83" s="190">
        <f>IFERROR(VLOOKUP(A83,'ИПП 1кв25'!$B$6:$N$17,4,0),"")</f>
        <v>0</v>
      </c>
      <c r="C83" s="191">
        <f>IFERROR(VLOOKUP(A83,'ИПП 1кв25'!$B$6:$N$17,5,0),"")</f>
        <v>0</v>
      </c>
      <c r="D83" s="192">
        <f>SUMIFS(Дек2448[м2],Дек2448[ИМ],A83,Дек2448[№ дома],$C$70,Дек2448[Комнатность],"&lt;&gt;Офис")</f>
        <v>0</v>
      </c>
      <c r="E83" s="193">
        <f>SUMIFS(Дек2448[Сумма без отделки],Дек2448[ИМ],$A83,Дек2448[№ дома],$C$70,Дек2448[Комнатность],"&lt;&gt;Офис")</f>
        <v>0</v>
      </c>
      <c r="F83" s="194">
        <f>COUNTIFS(Дек2448[ИМ],$A83,Дек2448[№ дома],$C$70,Дек2448[Комнатность],"&lt;&gt;Офис")</f>
        <v>0</v>
      </c>
      <c r="G83" s="195">
        <f>SUMIFS(РД[S],РД[Дом],$C$70,РД[ИМ],A83,РД[Дата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96">
        <f>SUMIFS(РД[Стоимость без отделки итог],РД[Дом],$C$70,РД[ИМ],A83,РД[Дата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51">
        <f>COUNTIFS(РД[Дом],$C$70,РД[ИМ],A83,РД[Дата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52" t="str">
        <f t="shared" si="4"/>
        <v/>
      </c>
      <c r="K83" s="253" t="str">
        <f t="shared" si="4"/>
        <v/>
      </c>
      <c r="L83" s="195">
        <f>COUNTIFS(РД[Тип кв],L71,РД[ИМ],$A83,РД[Дом],$C$70,РД[Дата подачи на регистрацию],"&lt;="&amp;$A$1,РД[Дата подачи на регистрацию],"&gt;="&amp;DATE(YEAR($A$1),MONTH($A$1),1))</f>
        <v>0</v>
      </c>
      <c r="M83" s="251">
        <f>COUNTIFS(РД[Тип кв],M71,РД[ИМ],$A83,РД[Дом],$C$70,РД[Дата подачи на регистрацию],"&lt;="&amp;$A$1,РД[Дата подачи на регистрацию],"&gt;="&amp;DATE(YEAR($A$1),MONTH($A$1),1))</f>
        <v>0</v>
      </c>
      <c r="N83" s="251">
        <f>COUNTIFS(РД[Тип кв],N71,РД[ИМ],$A83,РД[Дом],$C$70,РД[Дата подачи на регистрацию],"&lt;="&amp;$A$1,РД[Дата подачи на регистрацию],"&gt;="&amp;DATE(YEAR($A$1),MONTH($A$1),1))</f>
        <v>0</v>
      </c>
      <c r="O83" s="251">
        <f>COUNTIFS(РД[Тип кв],O71,РД[ИМ],$A83,РД[Дом],$C$70,РД[Дата подачи на регистрацию],"&lt;="&amp;$A$1,РД[Дата подачи на регистрацию],"&gt;="&amp;DATE(YEAR($A$1),MONTH($A$1),1))</f>
        <v>0</v>
      </c>
      <c r="P83" s="254">
        <f>COUNTIFS(РД[Тип кв],P71,РД[ИМ],$A83,РД[Дом],$C$70,РД[Дата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168" t="s">
        <v>114</v>
      </c>
      <c r="B84" s="169">
        <f t="shared" ref="B84:P84" si="5">SUM(B81:B83)</f>
        <v>0</v>
      </c>
      <c r="C84" s="170">
        <f t="shared" si="5"/>
        <v>0</v>
      </c>
      <c r="D84" s="170">
        <f t="shared" si="5"/>
        <v>0</v>
      </c>
      <c r="E84" s="170">
        <f t="shared" si="5"/>
        <v>0</v>
      </c>
      <c r="F84" s="171">
        <f t="shared" si="5"/>
        <v>0</v>
      </c>
      <c r="G84" s="172">
        <f t="shared" si="5"/>
        <v>0</v>
      </c>
      <c r="H84" s="173">
        <f t="shared" si="5"/>
        <v>0</v>
      </c>
      <c r="I84" s="170">
        <f t="shared" si="5"/>
        <v>0</v>
      </c>
      <c r="J84" s="238" t="str">
        <f t="shared" si="4"/>
        <v/>
      </c>
      <c r="K84" s="239" t="str">
        <f t="shared" si="4"/>
        <v/>
      </c>
      <c r="L84" s="240">
        <f t="shared" si="5"/>
        <v>0</v>
      </c>
      <c r="M84" s="241">
        <f t="shared" si="5"/>
        <v>0</v>
      </c>
      <c r="N84" s="241">
        <f t="shared" si="5"/>
        <v>0</v>
      </c>
      <c r="O84" s="241">
        <f t="shared" si="5"/>
        <v>0</v>
      </c>
      <c r="P84" s="242">
        <f t="shared" si="5"/>
        <v>0</v>
      </c>
      <c r="T84" s="66"/>
    </row>
    <row r="85" spans="1:21" s="65" customFormat="1">
      <c r="A85" s="134"/>
      <c r="B85" s="197"/>
      <c r="C85" s="197"/>
      <c r="D85" s="198"/>
      <c r="E85" s="134"/>
      <c r="F85" s="44"/>
      <c r="G85" s="134"/>
      <c r="H85" s="134"/>
      <c r="I85" s="44"/>
      <c r="J85" s="134"/>
      <c r="K85" s="255"/>
      <c r="L85" s="256"/>
      <c r="M85" s="134"/>
      <c r="N85" s="134"/>
      <c r="O85" s="134"/>
      <c r="P85" s="134"/>
      <c r="Q85" s="134"/>
      <c r="U85" s="66"/>
    </row>
    <row r="86" spans="1:21" s="65" customFormat="1">
      <c r="A86" s="2325" t="s">
        <v>713</v>
      </c>
      <c r="B86" s="2326"/>
      <c r="C86" s="133" t="s">
        <v>13</v>
      </c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T86" s="66"/>
    </row>
    <row r="87" spans="1:21" s="65" customFormat="1">
      <c r="A87" s="135" t="s">
        <v>1</v>
      </c>
      <c r="B87" s="135" t="s">
        <v>100</v>
      </c>
      <c r="C87" s="136" t="s">
        <v>97</v>
      </c>
      <c r="D87" s="137" t="s">
        <v>494</v>
      </c>
      <c r="E87" s="138" t="s">
        <v>495</v>
      </c>
      <c r="F87" s="139" t="s">
        <v>496</v>
      </c>
      <c r="G87" s="140" t="s">
        <v>101</v>
      </c>
      <c r="H87" s="141" t="s">
        <v>98</v>
      </c>
      <c r="I87" s="141" t="s">
        <v>96</v>
      </c>
      <c r="J87" s="141" t="s">
        <v>715</v>
      </c>
      <c r="K87" s="216" t="s">
        <v>716</v>
      </c>
      <c r="L87" s="217">
        <v>0</v>
      </c>
      <c r="M87" s="218">
        <v>1</v>
      </c>
      <c r="N87" s="218">
        <v>2</v>
      </c>
      <c r="O87" s="218">
        <v>3</v>
      </c>
      <c r="P87" s="219" t="s">
        <v>1367</v>
      </c>
      <c r="T87" s="66"/>
    </row>
    <row r="88" spans="1:21" s="65" customFormat="1">
      <c r="A88" s="142" t="s">
        <v>28</v>
      </c>
      <c r="B88" s="143">
        <f>IFERROR(VLOOKUP(A88,'ИПП 1кв25'!$B$6:$N$17,6,0),"")</f>
        <v>64</v>
      </c>
      <c r="C88" s="144">
        <f>IFERROR(VLOOKUP(A88,'ИПП 1кв25'!$B$6:$N$17,7,0),"")</f>
        <v>8220501</v>
      </c>
      <c r="D88" s="199">
        <f>SUMIFS(Дек2448[м2],Дек2448[МОП],$A88,Дек2448[№ дома],$C$86,Дек2448[Комнатность],"&lt;&gt;Офис")</f>
        <v>0</v>
      </c>
      <c r="E88" s="200">
        <f>SUMIFS(Дек2448[Сумма без отделки],Дек2448[МОП],$A88,Дек2448[№ дома],$C$86,Дек2448[Комнатность],"&lt;&gt;Офис")</f>
        <v>0</v>
      </c>
      <c r="F88" s="201">
        <f>COUNTIFS(Дек2448[МОП],$A88,Дек2448[№ дома],$C$86,Дек2448[Комнатность],"&lt;&gt;Офис")</f>
        <v>0</v>
      </c>
      <c r="G88" s="202">
        <f>SUMIFS(РД[S],РД[Дом],$C$86,РД[МОП],A88,РД[Дата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03">
        <f>SUMIFS(РД[Стоимость без отделки итог],РД[Дом],$C$86,РД[МОП],A88,РД[Дата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">
        <f t="shared" ref="J88" si="6">IFERROR(G88/B88,)</f>
        <v>0</v>
      </c>
      <c r="K88" s="225">
        <f t="shared" ref="K88" si="7">IFERROR(H88/C88,)</f>
        <v>0</v>
      </c>
      <c r="L88" s="257">
        <f>COUNTIFS(РД[Тип кв],L$87,РД[МОП],$A88,РД[Дом],$C$86,РД[Дата подачи на регистрацию],"&lt;="&amp;$A$1,РД[Дата подачи на регистрацию],"&gt;="&amp;DATE(YEAR($A$1),MONTH($A$1),1))</f>
        <v>0</v>
      </c>
      <c r="M88" s="226">
        <f>COUNTIFS(РД[Тип кв],M$87,РД[МОП],$A88,РД[Дом],$C$86,РД[Дата подачи на регистрацию],"&lt;="&amp;$A$1,РД[Дата подачи на регистрацию],"&gt;="&amp;DATE(YEAR($A$1),MONTH($A$1),1))</f>
        <v>0</v>
      </c>
      <c r="N88" s="226">
        <f>COUNTIFS(РД[Тип кв],N$87,РД[МОП],$A88,РД[Дом],$C$86,РД[Дата подачи на регистрацию],"&lt;="&amp;$A$1,РД[Дата подачи на регистрацию],"&gt;="&amp;DATE(YEAR($A$1),MONTH($A$1),1))</f>
        <v>0</v>
      </c>
      <c r="O88" s="226">
        <f>COUNTIFS(РД[Тип кв],O$87,РД[МОП],$A88,РД[Дом],$C$86,РД[Дата подачи на регистрацию],"&lt;="&amp;$A$1,РД[Дата подачи на регистрацию],"&gt;="&amp;DATE(YEAR($A$1),MONTH($A$1),1))</f>
        <v>0</v>
      </c>
      <c r="P88" s="227">
        <f>COUNTIFS(РД[Тип кв],P$87,РД[МОП],$A88,РД[Дом],$C$86,РД[Дата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42" t="s">
        <v>8</v>
      </c>
      <c r="B89" s="143">
        <f>IFERROR(VLOOKUP(A89,'ИПП 1кв25'!$B$6:$N$17,6,0),"")</f>
        <v>188</v>
      </c>
      <c r="C89" s="144">
        <f>IFERROR(VLOOKUP(A89,'ИПП 1кв25'!$B$6:$N$17,7,0),"")</f>
        <v>24213112</v>
      </c>
      <c r="D89" s="199">
        <f>SUMIFS(Дек2448[м2],Дек2448[МОП],$A89,Дек2448[№ дома],$C$86,Дек2448[Комнатность],"&lt;&gt;Офис")</f>
        <v>0</v>
      </c>
      <c r="E89" s="200">
        <f>SUMIFS(Дек2448[Сумма без отделки],Дек2448[МОП],$A89,Дек2448[№ дома],$C$86,Дек2448[Комнатность],"&lt;&gt;Офис")</f>
        <v>0</v>
      </c>
      <c r="F89" s="201">
        <f>COUNTIFS(Дек2448[МОП],$A89,Дек2448[№ дома],$C$86,Дек2448[Комнатность],"&lt;&gt;Офис")</f>
        <v>0</v>
      </c>
      <c r="G89" s="202">
        <f>SUMIFS(РД[S],РД[Дом],$C$86,РД[МОП],A89,РД[Дата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H89" s="203">
        <f>SUMIFS(РД[Стоимость без отделки итог],РД[Дом],$C$86,РД[МОП],A89,РД[Дата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I89" s="226">
        <f>COUNTIFS(РД[Дом],$C$86,РД[МОП],A89,РД[Дата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J89" s="224">
        <f t="shared" ref="J89:K94" si="8">IFERROR(G89/B89,)</f>
        <v>0</v>
      </c>
      <c r="K89" s="225">
        <f t="shared" si="8"/>
        <v>0</v>
      </c>
      <c r="L89" s="257">
        <f>COUNTIFS(РД[Тип кв],L$87,РД[МОП],$A89,РД[Дом],$C$86,РД[Дата подачи на регистрацию],"&lt;="&amp;$A$1,РД[Дата подачи на регистрацию],"&gt;="&amp;DATE(YEAR($A$1),MONTH($A$1),1))</f>
        <v>0</v>
      </c>
      <c r="M89" s="226">
        <f>COUNTIFS(РД[Тип кв],M$87,РД[МОП],$A89,РД[Дом],$C$86,РД[Дата подачи на регистрацию],"&lt;="&amp;$A$1,РД[Дата подачи на регистрацию],"&gt;="&amp;DATE(YEAR($A$1),MONTH($A$1),1))</f>
        <v>0</v>
      </c>
      <c r="N89" s="226">
        <f>COUNTIFS(РД[Тип кв],N$87,РД[МОП],$A89,РД[Дом],$C$86,РД[Дата подачи на регистрацию],"&lt;="&amp;$A$1,РД[Дата подачи на регистрацию],"&gt;="&amp;DATE(YEAR($A$1),MONTH($A$1),1))</f>
        <v>0</v>
      </c>
      <c r="O89" s="226">
        <f>COUNTIFS(РД[Тип кв],O$87,РД[МОП],$A89,РД[Дом],$C$86,РД[Дата подачи на регистрацию],"&lt;="&amp;$A$1,РД[Дата подачи на регистрацию],"&gt;="&amp;DATE(YEAR($A$1),MONTH($A$1),1))</f>
        <v>0</v>
      </c>
      <c r="P89" s="227">
        <f>COUNTIFS(РД[Тип кв],P$87,РД[МОП],$A89,РД[Дом],$C$86,РД[Дата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0" t="s">
        <v>20</v>
      </c>
      <c r="B90" s="143">
        <f>IFERROR(VLOOKUP(A90,'ИПП 1кв25'!$B$6:$N$17,6,0),"")</f>
        <v>151</v>
      </c>
      <c r="C90" s="144">
        <f>IFERROR(VLOOKUP(A90,'ИПП 1кв25'!$B$6:$N$17,7,0),"")</f>
        <v>19430275</v>
      </c>
      <c r="D90" s="199">
        <f>SUMIFS(Дек2448[м2],Дек2448[МОП],$A90,Дек2448[№ дома],$C$86,Дек2448[Комнатность],"&lt;&gt;Офис")</f>
        <v>0</v>
      </c>
      <c r="E90" s="200">
        <f>SUMIFS(Дек2448[Сумма без отделки],Дек2448[МОП],$A90,Дек2448[№ дома],$C$86,Дек2448[Комнатность],"&lt;&gt;Офис")</f>
        <v>0</v>
      </c>
      <c r="F90" s="201">
        <f>COUNTIFS(Дек2448[МОП],$A90,Дек2448[№ дома],$C$86,Дек2448[Комнатность],"&lt;&gt;Офис")</f>
        <v>0</v>
      </c>
      <c r="G90" s="202">
        <f>SUMIFS(РД[S],РД[Дом],$C$86,РД[МОП],A90,РД[Дата подачи на регистрацию],"&lt;="&amp;$A$1,РД[Дата подачи на регистрацию],"&gt;="&amp;DATE(YEAR($A$1),MONTH($A$1),1),РД[Состояние],"Продажа")</f>
        <v>0</v>
      </c>
      <c r="H90" s="203">
        <f>SUMIFS(РД[Стоимость без отделки итог],РД[Дом],$C$86,РД[МОП],A90,РД[Дата подачи на регистрацию],"&lt;="&amp;$A$1,РД[Дата подачи на регистрацию],"&gt;="&amp;DATE(YEAR($A$1),MONTH($A$1),1),РД[Состояние],"Продажа")</f>
        <v>0</v>
      </c>
      <c r="I90" s="226">
        <f>COUNTIFS(РД[Дом],$C$86,РД[МОП],A90,РД[Дата подачи на регистрацию],"&lt;="&amp;$A$1,РД[Дата подачи на регистрацию],"&gt;="&amp;DATE(YEAR($A$1),MONTH($A$1),1),РД[Состояние],"Продажа")</f>
        <v>0</v>
      </c>
      <c r="J90" s="224">
        <f t="shared" si="8"/>
        <v>0</v>
      </c>
      <c r="K90" s="225">
        <f t="shared" si="8"/>
        <v>0</v>
      </c>
      <c r="L90" s="257">
        <f>COUNTIFS(РД[Тип кв],L$87,РД[МОП],$A90,РД[Дом],$C$86,РД[Дата подачи на регистрацию],"&lt;="&amp;$A$1,РД[Дата подачи на регистрацию],"&gt;="&amp;DATE(YEAR($A$1),MONTH($A$1),1))</f>
        <v>0</v>
      </c>
      <c r="M90" s="226">
        <f>COUNTIFS(РД[Тип кв],M$87,РД[МОП],$A90,РД[Дом],$C$86,РД[Дата подачи на регистрацию],"&lt;="&amp;$A$1,РД[Дата подачи на регистрацию],"&gt;="&amp;DATE(YEAR($A$1),MONTH($A$1),1))</f>
        <v>0</v>
      </c>
      <c r="N90" s="226">
        <f>COUNTIFS(РД[Тип кв],N$87,РД[МОП],$A90,РД[Дом],$C$86,РД[Дата подачи на регистрацию],"&lt;="&amp;$A$1,РД[Дата подачи на регистрацию],"&gt;="&amp;DATE(YEAR($A$1),MONTH($A$1),1))</f>
        <v>0</v>
      </c>
      <c r="O90" s="226">
        <f>COUNTIFS(РД[Тип кв],O$87,РД[МОП],$A90,РД[Дом],$C$86,РД[Дата подачи на регистрацию],"&lt;="&amp;$A$1,РД[Дата подачи на регистрацию],"&gt;="&amp;DATE(YEAR($A$1),MONTH($A$1),1))</f>
        <v>0</v>
      </c>
      <c r="P90" s="227">
        <f>COUNTIFS(РД[Тип кв],P$87,РД[МОП],$A90,РД[Дом],$C$86,РД[Дата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3" t="s">
        <v>24</v>
      </c>
      <c r="B91" s="143">
        <f>IFERROR(VLOOKUP(A91,'ИПП 1кв25'!$B$6:$N$17,6,0),"")</f>
        <v>185</v>
      </c>
      <c r="C91" s="144">
        <f>IFERROR(VLOOKUP(A91,'ИПП 1кв25'!$B$6:$N$17,7,0),"")</f>
        <v>23764721</v>
      </c>
      <c r="D91" s="199">
        <f>SUMIFS(Дек2448[м2],Дек2448[МОП],$A91,Дек2448[№ дома],$C$86,Дек2448[Комнатность],"&lt;&gt;Офис")</f>
        <v>37.81</v>
      </c>
      <c r="E91" s="200">
        <f>SUMIFS(Дек2448[Сумма без отделки],Дек2448[МОП],$A91,Дек2448[№ дома],$C$86,Дек2448[Комнатность],"&lt;&gt;Офис")</f>
        <v>5137000</v>
      </c>
      <c r="F91" s="201">
        <f>COUNTIFS(Дек2448[МОП],$A91,Дек2448[№ дома],$C$86,Дек2448[Комнатность],"&lt;&gt;Офис")</f>
        <v>1</v>
      </c>
      <c r="G91" s="202">
        <f>SUMIFS(РД[S],РД[Дом],$C$86,РД[МОП],A91,РД[Дата подачи на регистрацию],"&lt;="&amp;$A$1,РД[Дата подачи на регистрацию],"&gt;="&amp;DATE(YEAR($A$1),MONTH($A$1),1),РД[Состояние],"Продажа")</f>
        <v>37.81</v>
      </c>
      <c r="H91" s="203">
        <f>SUMIFS(РД[Стоимость без отделки итог],РД[Дом],$C$86,РД[МОП],A91,РД[Дата подачи на регистрацию],"&lt;="&amp;$A$1,РД[Дата подачи на регистрацию],"&gt;="&amp;DATE(YEAR($A$1),MONTH($A$1),1),РД[Состояние],"Продажа")</f>
        <v>5137000</v>
      </c>
      <c r="I91" s="226">
        <f>COUNTIFS(РД[Дом],$C$86,РД[МОП],A91,РД[Дата подачи на регистрацию],"&lt;="&amp;$A$1,РД[Дата подачи на регистрацию],"&gt;="&amp;DATE(YEAR($A$1),MONTH($A$1),1),РД[Состояние],"Продажа")</f>
        <v>1</v>
      </c>
      <c r="J91" s="224">
        <f t="shared" si="8"/>
        <v>0.20437837837837838</v>
      </c>
      <c r="K91" s="225">
        <f t="shared" si="8"/>
        <v>0.21616075358090675</v>
      </c>
      <c r="L91" s="257">
        <f>COUNTIFS(РД[Тип кв],L$87,РД[МОП],$A91,РД[Дом],$C$86,РД[Дата подачи на регистрацию],"&lt;="&amp;$A$1,РД[Дата подачи на регистрацию],"&gt;="&amp;DATE(YEAR($A$1),MONTH($A$1),1))</f>
        <v>0</v>
      </c>
      <c r="M91" s="226">
        <f>COUNTIFS(РД[Тип кв],M$87,РД[МОП],$A91,РД[Дом],$C$86,РД[Дата подачи на регистрацию],"&lt;="&amp;$A$1,РД[Дата подачи на регистрацию],"&gt;="&amp;DATE(YEAR($A$1),MONTH($A$1),1))</f>
        <v>1</v>
      </c>
      <c r="N91" s="226">
        <f>COUNTIFS(РД[Тип кв],N$87,РД[МОП],$A91,РД[Дом],$C$86,РД[Дата подачи на регистрацию],"&lt;="&amp;$A$1,РД[Дата подачи на регистрацию],"&gt;="&amp;DATE(YEAR($A$1),MONTH($A$1),1))</f>
        <v>0</v>
      </c>
      <c r="O91" s="226">
        <f>COUNTIFS(РД[Тип кв],O$87,РД[МОП],$A91,РД[Дом],$C$86,РД[Дата подачи на регистрацию],"&lt;="&amp;$A$1,РД[Дата подачи на регистрацию],"&gt;="&amp;DATE(YEAR($A$1),MONTH($A$1),1))</f>
        <v>0</v>
      </c>
      <c r="P91" s="227">
        <f>COUNTIFS(РД[Тип кв],P$87,РД[МОП],$A91,РД[Дом],$C$86,РД[Дата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53" t="s">
        <v>14</v>
      </c>
      <c r="B92" s="143">
        <f>IFERROR(VLOOKUP(A92,'ИПП 1кв25'!$B$6:$N$17,6,0),"")</f>
        <v>199</v>
      </c>
      <c r="C92" s="144">
        <f>IFERROR(VLOOKUP(A92,'ИПП 1кв25'!$B$6:$N$17,7,0),"")</f>
        <v>25558285</v>
      </c>
      <c r="D92" s="299">
        <f>SUMIFS(Дек2448[м2],Дек2448[МОП],$A92,Дек2448[№ дома],$C$86,Дек2448[Комнатность],"&lt;&gt;Офис")</f>
        <v>56.58</v>
      </c>
      <c r="E92" s="300">
        <f>SUMIFS(Дек2448[Сумма без отделки],Дек2448[МОП],$A92,Дек2448[№ дома],$C$86,Дек2448[Комнатность],"&lt;&gt;Офис")</f>
        <v>7351048</v>
      </c>
      <c r="F92" s="301">
        <f>COUNTIFS(Дек2448[МОП],$A92,Дек2448[№ дома],$C$86,Дек2448[Комнатность],"&lt;&gt;Офис")</f>
        <v>1</v>
      </c>
      <c r="G92" s="358">
        <f>SUMIFS(РД[S],РД[Дом],$C$86,РД[МОП],A92,РД[Дата подачи на регистрацию],"&lt;="&amp;$A$1,РД[Дата подачи на регистрацию],"&gt;="&amp;DATE(YEAR($A$1),MONTH($A$1),1),РД[Состояние],"Продажа")</f>
        <v>56.58</v>
      </c>
      <c r="H92" s="359">
        <f>SUMIFS(РД[Стоимость без отделки итог],РД[Дом],$C$86,РД[МОП],A92,РД[Дата подачи на регистрацию],"&lt;="&amp;$A$1,РД[Дата подачи на регистрацию],"&gt;="&amp;DATE(YEAR($A$1),MONTH($A$1),1),РД[Состояние],"Продажа")</f>
        <v>7351048</v>
      </c>
      <c r="I92" s="330">
        <f>COUNTIFS(РД[Дом],$C$86,РД[МОП],A92,РД[Дата подачи на регистрацию],"&lt;="&amp;$A$1,РД[Дата подачи на регистрацию],"&gt;="&amp;DATE(YEAR($A$1),MONTH($A$1),1),РД[Состояние],"Продажа")</f>
        <v>1</v>
      </c>
      <c r="J92" s="360">
        <f t="shared" si="8"/>
        <v>0.28432160804020101</v>
      </c>
      <c r="K92" s="361">
        <f t="shared" si="8"/>
        <v>0.28761898538966912</v>
      </c>
      <c r="L92" s="329">
        <f>COUNTIFS(РД[Тип кв],L$87,РД[МОП],$A92,РД[Дом],$C$86,РД[Дата подачи на регистрацию],"&lt;="&amp;$A$1,РД[Дата подачи на регистрацию],"&gt;="&amp;DATE(YEAR($A$1),MONTH($A$1),1))</f>
        <v>0</v>
      </c>
      <c r="M92" s="330">
        <f>COUNTIFS(РД[Тип кв],M$87,РД[МОП],$A92,РД[Дом],$C$86,РД[Дата подачи на регистрацию],"&lt;="&amp;$A$1,РД[Дата подачи на регистрацию],"&gt;="&amp;DATE(YEAR($A$1),MONTH($A$1),1))</f>
        <v>0</v>
      </c>
      <c r="N92" s="330">
        <f>COUNTIFS(РД[Тип кв],N$87,РД[МОП],$A92,РД[Дом],$C$86,РД[Дата подачи на регистрацию],"&lt;="&amp;$A$1,РД[Дата подачи на регистрацию],"&gt;="&amp;DATE(YEAR($A$1),MONTH($A$1),1))</f>
        <v>1</v>
      </c>
      <c r="O92" s="330">
        <f>COUNTIFS(РД[Тип кв],O$87,РД[МОП],$A92,РД[Дом],$C$86,РД[Дата подачи на регистрацию],"&lt;="&amp;$A$1,РД[Дата подачи на регистрацию],"&gt;="&amp;DATE(YEAR($A$1),MONTH($A$1),1))</f>
        <v>0</v>
      </c>
      <c r="P92" s="331">
        <f>COUNTIFS(РД[Тип кв],P$87,РД[МОП],$A92,РД[Дом],$C$86,РД[Дата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54" t="s">
        <v>29</v>
      </c>
      <c r="B93" s="155"/>
      <c r="C93" s="156"/>
      <c r="D93" s="157">
        <f>SUMIFS(Дек2448[м2],Дек2448[МОП],$A93,Дек2448[№ дома],$C$86,Дек2448[Комнатность],"&lt;&gt;Офис")</f>
        <v>0</v>
      </c>
      <c r="E93" s="156">
        <f>SUMIFS(Дек2448[Сумма без отделки],Дек2448[МОП],$A93,Дек2448[№ дома],$C$86,Дек2448[Комнатность],"&lt;&gt;Офис")</f>
        <v>0</v>
      </c>
      <c r="F93" s="158">
        <f>COUNTIFS(Дек2448[МОП],$A93,Дек2448[№ дома],$C$86,Дек2448[Комнатность],"&lt;&gt;Офис")</f>
        <v>0</v>
      </c>
      <c r="G93" s="159">
        <f>SUMIFS(РД[S],РД[Дом],$C$86,РД[МОП],A93,РД[Дата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H93" s="160">
        <f>SUMIFS(РД[Стоимость без отделки итог],РД[Дом],$C$86,РД[МОП],A93,РД[Дата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I93" s="228">
        <f>COUNTIFS(РД[Дом],$C$86,РД[МОП],A93,РД[Дата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J93" s="229">
        <f t="shared" si="8"/>
        <v>0</v>
      </c>
      <c r="K93" s="230">
        <f t="shared" si="8"/>
        <v>0</v>
      </c>
      <c r="L93" s="159">
        <f>COUNTIFS(РД[Тип кв],L$87,РД[МОП],$A93,РД[Дом],$C$86,РД[Дата подачи на регистрацию],"&lt;="&amp;$A$1,РД[Дата подачи на регистрацию],"&gt;="&amp;DATE(YEAR($A$1),MONTH($A$1),1))</f>
        <v>0</v>
      </c>
      <c r="M93" s="228">
        <f>COUNTIFS(РД[Тип кв],M$87,РД[МОП],$A93,РД[Дом],$C$86,РД[Дата подачи на регистрацию],"&lt;="&amp;$A$1,РД[Дата подачи на регистрацию],"&gt;="&amp;DATE(YEAR($A$1),MONTH($A$1),1))</f>
        <v>0</v>
      </c>
      <c r="N93" s="228">
        <f>COUNTIFS(РД[Тип кв],N$87,РД[МОП],$A93,РД[Дом],$C$86,РД[Дата подачи на регистрацию],"&lt;="&amp;$A$1,РД[Дата подачи на регистрацию],"&gt;="&amp;DATE(YEAR($A$1),MONTH($A$1),1))</f>
        <v>0</v>
      </c>
      <c r="O93" s="228">
        <f>COUNTIFS(РД[Тип кв],O$87,РД[МОП],$A93,РД[Дом],$C$86,РД[Дата подачи на регистрацию],"&lt;="&amp;$A$1,РД[Дата подачи на регистрацию],"&gt;="&amp;DATE(YEAR($A$1),MONTH($A$1),1))</f>
        <v>0</v>
      </c>
      <c r="P93" s="231">
        <f>COUNTIFS(РД[Тип кв],P$87,РД[МОП],$A93,РД[Дом],$C$86,РД[Дата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161" t="s">
        <v>1919</v>
      </c>
      <c r="B94" s="162"/>
      <c r="C94" s="163"/>
      <c r="D94" s="164">
        <f>SUMIFS(Дек2448[м2],Дек2448[МОП],$A94,Дек2448[№ дома],$C$86,Дек2448[Комнатность],"&lt;&gt;Офис")</f>
        <v>0</v>
      </c>
      <c r="E94" s="163">
        <f>SUMIFS(Дек2448[Сумма без отделки],Дек2448[МОП],$A94,Дек2448[№ дома],$C$86,Дек2448[Комнатность],"&lt;&gt;Офис")</f>
        <v>0</v>
      </c>
      <c r="F94" s="165">
        <f>COUNTIFS(Дек2448[МОП],$A94,Дек2448[№ дома],$C$86,Дек2448[Комнатность],"&lt;&gt;Офис")</f>
        <v>0</v>
      </c>
      <c r="G94" s="166">
        <f>SUMIFS(РД[S],РД[Дом],$C$86,РД[МОП],A94,РД[Дата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H94" s="167">
        <f>SUMIFS(РД[Стоимость без отделки итог],РД[Дом],$C$86,РД[МОП],A94,РД[Дата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I94" s="232">
        <f>COUNTIFS(РД[Дом],$C$86,РД[МОП],A94,РД[Дата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J94" s="233">
        <f t="shared" si="8"/>
        <v>0</v>
      </c>
      <c r="K94" s="234">
        <f t="shared" si="8"/>
        <v>0</v>
      </c>
      <c r="L94" s="235">
        <f>COUNTIFS(РД[Тип кв],L$87,РД[МОП],$A94,РД[Дом],$C$86,РД[Дата подачи на регистрацию],"&lt;="&amp;$A$1,РД[Дата подачи на регистрацию],"&gt;="&amp;DATE(YEAR($A$1),MONTH($A$1),1))</f>
        <v>0</v>
      </c>
      <c r="M94" s="236">
        <f>COUNTIFS(РД[Тип кв],M$87,РД[МОП],$A94,РД[Дом],$C$86,РД[Дата подачи на регистрацию],"&lt;="&amp;$A$1,РД[Дата подачи на регистрацию],"&gt;="&amp;DATE(YEAR($A$1),MONTH($A$1),1))</f>
        <v>0</v>
      </c>
      <c r="N94" s="236">
        <f>COUNTIFS(РД[Тип кв],N$87,РД[МОП],$A94,РД[Дом],$C$86,РД[Дата подачи на регистрацию],"&lt;="&amp;$A$1,РД[Дата подачи на регистрацию],"&gt;="&amp;DATE(YEAR($A$1),MONTH($A$1),1))</f>
        <v>0</v>
      </c>
      <c r="O94" s="236">
        <f>COUNTIFS(РД[Тип кв],O$87,РД[МОП],$A94,РД[Дом],$C$86,РД[Дата подачи на регистрацию],"&lt;="&amp;$A$1,РД[Дата подачи на регистрацию],"&gt;="&amp;DATE(YEAR($A$1),MONTH($A$1),1))</f>
        <v>0</v>
      </c>
      <c r="P94" s="237">
        <f>COUNTIFS(РД[Тип кв],P$87,РД[МОП],$A94,РД[Дом],$C$86,РД[Дата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68" t="s">
        <v>114</v>
      </c>
      <c r="B95" s="169">
        <f t="shared" ref="B95:I95" si="9">SUM(B88:B94)</f>
        <v>787</v>
      </c>
      <c r="C95" s="170">
        <f t="shared" si="9"/>
        <v>101186894</v>
      </c>
      <c r="D95" s="170">
        <f t="shared" si="9"/>
        <v>94.39</v>
      </c>
      <c r="E95" s="170">
        <f t="shared" si="9"/>
        <v>12488048</v>
      </c>
      <c r="F95" s="171">
        <f t="shared" si="9"/>
        <v>2</v>
      </c>
      <c r="G95" s="172">
        <f t="shared" si="9"/>
        <v>94.39</v>
      </c>
      <c r="H95" s="173">
        <f t="shared" si="9"/>
        <v>12488048</v>
      </c>
      <c r="I95" s="170">
        <f t="shared" si="9"/>
        <v>2</v>
      </c>
      <c r="J95" s="238">
        <f t="shared" ref="J95" si="10">IFERROR(G95/B95,"")</f>
        <v>0.11993646759847522</v>
      </c>
      <c r="K95" s="239">
        <f t="shared" ref="K95" si="11">IFERROR(H95/C95,"")</f>
        <v>0.12341566685503758</v>
      </c>
      <c r="L95" s="240">
        <f>SUM(L88:L94)</f>
        <v>0</v>
      </c>
      <c r="M95" s="241">
        <f>SUM(M88:M94)</f>
        <v>1</v>
      </c>
      <c r="N95" s="241">
        <f>SUM(N88:N94)</f>
        <v>1</v>
      </c>
      <c r="O95" s="241">
        <f>SUM(O88:O94)</f>
        <v>0</v>
      </c>
      <c r="P95" s="242">
        <f>SUM(P88:P94)</f>
        <v>0</v>
      </c>
      <c r="T95" s="66"/>
    </row>
    <row r="96" spans="1:21" s="65" customFormat="1">
      <c r="A96" s="135" t="s">
        <v>115</v>
      </c>
      <c r="B96" s="135" t="s">
        <v>100</v>
      </c>
      <c r="C96" s="136" t="s">
        <v>97</v>
      </c>
      <c r="D96" s="174" t="s">
        <v>494</v>
      </c>
      <c r="E96" s="175" t="s">
        <v>495</v>
      </c>
      <c r="F96" s="176" t="s">
        <v>496</v>
      </c>
      <c r="G96" s="140" t="s">
        <v>101</v>
      </c>
      <c r="H96" s="141" t="s">
        <v>98</v>
      </c>
      <c r="I96" s="141" t="s">
        <v>96</v>
      </c>
      <c r="J96" s="141" t="s">
        <v>715</v>
      </c>
      <c r="K96" s="216" t="s">
        <v>716</v>
      </c>
      <c r="L96" s="217">
        <v>0</v>
      </c>
      <c r="M96" s="218">
        <v>1</v>
      </c>
      <c r="N96" s="218">
        <v>2</v>
      </c>
      <c r="O96" s="218">
        <v>3</v>
      </c>
      <c r="P96" s="219" t="s">
        <v>1367</v>
      </c>
      <c r="T96" s="66"/>
    </row>
    <row r="97" spans="1:21" s="65" customFormat="1">
      <c r="A97" s="177" t="s">
        <v>22</v>
      </c>
      <c r="B97" s="178">
        <f>IFERROR(VLOOKUP(A97,'ИПП 1кв25'!$B$6:$N$17,6,0),"")</f>
        <v>309.56459227467815</v>
      </c>
      <c r="C97" s="179">
        <f>IFERROR(VLOOKUP(A97,'ИПП 1кв25'!$B$6:$N$17,7,0),"")</f>
        <v>39801625.901716739</v>
      </c>
      <c r="D97" s="180">
        <f>SUMIFS(Дек2448[м2],Дек2448[ИМ],A97,Дек2448[№ дома],$C$86,Дек2448[Комнатность],"&lt;&gt;Офис")</f>
        <v>56.58</v>
      </c>
      <c r="E97" s="181">
        <f>SUMIFS(Дек2448[Сумма без отделки],Дек2448[ИМ],$A97,Дек2448[№ дома],$C$86,Дек2448[Комнатность],"&lt;&gt;Офис")</f>
        <v>7351048</v>
      </c>
      <c r="F97" s="204">
        <f>COUNTIFS(Дек2448[ИМ],$A97,Дек2448[№ дома],$C$86,Дек2448[Комнатность],"&lt;&gt;Офис")</f>
        <v>1</v>
      </c>
      <c r="G97" s="183">
        <f>SUMIFS(РД[S],РД[Дом],$C$86,РД[ИМ],A97,РД[Дата подачи на регистрацию],"&lt;="&amp;$A$1,РД[Дата подачи на регистрацию],"&gt;="&amp;DATE(YEAR($A$1),MONTH($A$1),1),РД[Состояние],"Продажа")</f>
        <v>56.58</v>
      </c>
      <c r="H97" s="184">
        <f>SUMIFS(РД[Стоимость без отделки итог],РД[Дом],$C$86,РД[ИМ],A97,РД[Дата подачи на регистрацию],"&lt;="&amp;$A$1,РД[Дата подачи на регистрацию],"&gt;="&amp;DATE(YEAR($A$1),MONTH($A$1),1),РД[Состояние],"Продажа")</f>
        <v>7351048</v>
      </c>
      <c r="I97" s="243">
        <f>COUNTIFS(РД[Дом],$C$86,РД[ИМ],A97,РД[Дата подачи на регистрацию],"&lt;="&amp;$A$1,РД[Дата подачи на регистрацию],"&gt;="&amp;DATE(YEAR($A$1),MONTH($A$1),1),РД[Состояние],"Продажа")</f>
        <v>1</v>
      </c>
      <c r="J97" s="244">
        <f t="shared" ref="J97:K99" si="12">IFERROR(G97/B97,"")</f>
        <v>0.18277284099014882</v>
      </c>
      <c r="K97" s="258">
        <f t="shared" si="12"/>
        <v>0.18469215348519047</v>
      </c>
      <c r="L97" s="183">
        <f>COUNTIFS(РД[Тип кв],L87,РД[ИМ],$A97,РД[Дом],$C$86,РД[Дата подачи на регистрацию],"&lt;="&amp;$A$1,РД[Дата подачи на регистрацию],"&gt;="&amp;DATE(YEAR($A$1),MONTH($A$1),1))</f>
        <v>0</v>
      </c>
      <c r="M97" s="243">
        <f>COUNTIFS(РД[Тип кв],M87,РД[ИМ],$A97,РД[Дом],$C$86,РД[Дата подачи на регистрацию],"&lt;="&amp;$A$1,РД[Дата подачи на регистрацию],"&gt;="&amp;DATE(YEAR($A$1),MONTH($A$1),1))</f>
        <v>0</v>
      </c>
      <c r="N97" s="243">
        <f>COUNTIFS(РД[Тип кв],N87,РД[ИМ],$A97,РД[Дом],$C$86,РД[Дата подачи на регистрацию],"&lt;="&amp;$A$1,РД[Дата подачи на регистрацию],"&gt;="&amp;DATE(YEAR($A$1),MONTH($A$1),1))</f>
        <v>1</v>
      </c>
      <c r="O97" s="243">
        <f>COUNTIFS(РД[Тип кв],O87,РД[ИМ],$A97,РД[Дом],$C$86,РД[Дата подачи на регистрацию],"&lt;="&amp;$A$1,РД[Дата подачи на регистрацию],"&gt;="&amp;DATE(YEAR($A$1),MONTH($A$1),1))</f>
        <v>0</v>
      </c>
      <c r="P97" s="246">
        <f>COUNTIFS(РД[Тип кв],P87,РД[ИМ],$A97,РД[Дом],$C$86,РД[Дата подачи на регистрацию],"&lt;="&amp;$A$1,РД[Дата подачи на регистрацию],"&gt;="&amp;DATE(YEAR($A$1),MONTH($A$1),1))</f>
        <v>0</v>
      </c>
      <c r="T97" s="66"/>
    </row>
    <row r="98" spans="1:21" s="65" customFormat="1">
      <c r="A98" s="150" t="s">
        <v>26</v>
      </c>
      <c r="B98" s="143">
        <f>IFERROR(VLOOKUP(A98,'ИПП 1кв25'!$B$6:$N$17,6,0),"")</f>
        <v>201.98540772532189</v>
      </c>
      <c r="C98" s="144">
        <f>IFERROR(VLOOKUP(A98,'ИПП 1кв25'!$B$6:$N$17,7,0),"")</f>
        <v>25969855.198283263</v>
      </c>
      <c r="D98" s="205">
        <f>SUMIFS(Дек2448[м2],Дек2448[ИМ],A98,Дек2448[№ дома],$C$86,Дек2448[Комнатность],"&lt;&gt;Офис")</f>
        <v>37.81</v>
      </c>
      <c r="E98" s="206">
        <f>SUMIFS(Дек2448[Сумма без отделки],Дек2448[ИМ],$A98,Дек2448[№ дома],$C$86,Дек2448[Комнатность],"&lt;&gt;Офис")</f>
        <v>5137000</v>
      </c>
      <c r="F98" s="207">
        <f>COUNTIFS(Дек2448[ИМ],$A98,Дек2448[№ дома],$C$86,Дек2448[Комнатность],"&lt;&gt;Офис")</f>
        <v>1</v>
      </c>
      <c r="G98" s="187">
        <f>SUMIFS(РД[S],РД[Дом],$C$86,РД[ИМ],A98,РД[Дата подачи на регистрацию],"&lt;="&amp;$A$1,РД[Дата подачи на регистрацию],"&gt;="&amp;DATE(YEAR($A$1),MONTH($A$1),1),РД[Состояние],"Продажа")</f>
        <v>37.81</v>
      </c>
      <c r="H98" s="188">
        <f>SUMIFS(РД[Стоимость без отделки итог],РД[Дом],$C$86,РД[ИМ],A98,РД[Дата подачи на регистрацию],"&lt;="&amp;$A$1,РД[Дата подачи на регистрацию],"&gt;="&amp;DATE(YEAR($A$1),MONTH($A$1),1),РД[Состояние],"Продажа")</f>
        <v>5137000</v>
      </c>
      <c r="I98" s="247">
        <f>COUNTIFS(РД[Дом],$C$86,РД[ИМ],A98,РД[Дата подачи на регистрацию],"&lt;="&amp;$A$1,РД[Дата подачи на регистрацию],"&gt;="&amp;DATE(YEAR($A$1),MONTH($A$1),1),РД[Состояние],"Продажа")</f>
        <v>1</v>
      </c>
      <c r="J98" s="248">
        <f t="shared" si="12"/>
        <v>0.1871917403628359</v>
      </c>
      <c r="K98" s="259">
        <f t="shared" si="12"/>
        <v>0.19780626271414795</v>
      </c>
      <c r="L98" s="187">
        <f>COUNTIFS(РД[Тип кв],L$87,РД[ИМ],$A98,РД[Дом],$C$86,РД[Дата подачи на регистрацию],"&lt;="&amp;$A$1,РД[Дата подачи на регистрацию],"&gt;="&amp;DATE(YEAR($A$1),MONTH($A$1),1))</f>
        <v>0</v>
      </c>
      <c r="M98" s="247">
        <f>COUNTIFS(РД[Тип кв],M$87,РД[ИМ],$A98,РД[Дом],$C$86,РД[Дата подачи на регистрацию],"&lt;="&amp;$A$1,РД[Дата подачи на регистрацию],"&gt;="&amp;DATE(YEAR($A$1),MONTH($A$1),1))</f>
        <v>1</v>
      </c>
      <c r="N98" s="247">
        <f>COUNTIFS(РД[Тип кв],N$87,РД[ИМ],$A98,РД[Дом],$C$86,РД[Дата подачи на регистрацию],"&lt;="&amp;$A$1,РД[Дата подачи на регистрацию],"&gt;="&amp;DATE(YEAR($A$1),MONTH($A$1),1))</f>
        <v>0</v>
      </c>
      <c r="O98" s="247">
        <f>COUNTIFS(РД[Тип кв],O$87,РД[ИМ],$A98,РД[Дом],$C$86,РД[Дата подачи на регистрацию],"&lt;="&amp;$A$1,РД[Дата подачи на регистрацию],"&gt;="&amp;DATE(YEAR($A$1),MONTH($A$1),1))</f>
        <v>0</v>
      </c>
      <c r="P98" s="250">
        <f>COUNTIFS(РД[Тип кв],P$87,РД[ИМ],$A98,РД[Дом],$C$86,РД[Дата подачи на регистрацию],"&lt;="&amp;$A$1,РД[Дата подачи на регистрацию],"&gt;="&amp;DATE(YEAR($A$1),MONTH($A$1),1))</f>
        <v>0</v>
      </c>
      <c r="T98" s="66"/>
    </row>
    <row r="99" spans="1:21" s="65" customFormat="1">
      <c r="A99" s="189" t="s">
        <v>3</v>
      </c>
      <c r="B99" s="190">
        <f>IFERROR(VLOOKUP(A99,'ИПП 1кв25'!$B$6:$N$17,6,0),"")</f>
        <v>0</v>
      </c>
      <c r="C99" s="191">
        <f>IFERROR(VLOOKUP(A99,'ИПП 1кв25'!$B$6:$N$17,7,0),"")</f>
        <v>0</v>
      </c>
      <c r="D99" s="208">
        <f>SUMIFS(Дек2448[м2],Дек2448[ИМ],A99,Дек2448[№ дома],$C$86,Дек2448[Комнатность],"&lt;&gt;Офис")</f>
        <v>0</v>
      </c>
      <c r="E99" s="209">
        <f>SUMIFS(Дек2448[Сумма без отделки],Дек2448[ИМ],$A99,Дек2448[№ дома],$C$86,Дек2448[Комнатность],"&lt;&gt;Офис")</f>
        <v>0</v>
      </c>
      <c r="F99" s="210">
        <f>COUNTIFS(Дек2448[ИМ],$A99,Дек2448[№ дома],$C$86,Дек2448[Комнатность],"&lt;&gt;Офис")</f>
        <v>0</v>
      </c>
      <c r="G99" s="195">
        <f>SUMIFS(РД[S],РД[Дом],$C$86,РД[ИМ],A99,РД[Дата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H99" s="196">
        <f>SUMIFS(РД[Стоимость без отделки итог],РД[Дом],$C$86,РД[ИМ],A99,РД[Дата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I99" s="251">
        <f>COUNTIFS(РД[Дом],$C$86,РД[ИМ],A99,РД[Дата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J99" s="252" t="str">
        <f t="shared" si="12"/>
        <v/>
      </c>
      <c r="K99" s="260" t="str">
        <f t="shared" si="12"/>
        <v/>
      </c>
      <c r="L99" s="195">
        <f>COUNTIFS(РД[Тип кв],L$87,РД[ИМ],$A99,РД[Дом],$C$86,РД[Дата подачи на регистрацию],"&lt;="&amp;$A$1,РД[Дата подачи на регистрацию],"&gt;="&amp;DATE(YEAR($A$1),MONTH($A$1),1))</f>
        <v>0</v>
      </c>
      <c r="M99" s="251">
        <f>COUNTIFS(РД[Тип кв],M$87,РД[ИМ],$A99,РД[Дом],$C$86,РД[Дата подачи на регистрацию],"&lt;="&amp;$A$1,РД[Дата подачи на регистрацию],"&gt;="&amp;DATE(YEAR($A$1),MONTH($A$1),1))</f>
        <v>0</v>
      </c>
      <c r="N99" s="251">
        <f>COUNTIFS(РД[Тип кв],N$87,РД[ИМ],$A99,РД[Дом],$C$86,РД[Дата подачи на регистрацию],"&lt;="&amp;$A$1,РД[Дата подачи на регистрацию],"&gt;="&amp;DATE(YEAR($A$1),MONTH($A$1),1))</f>
        <v>0</v>
      </c>
      <c r="O99" s="251">
        <f>COUNTIFS(РД[Тип кв],O$87,РД[ИМ],$A99,РД[Дом],$C$86,РД[Дата подачи на регистрацию],"&lt;="&amp;$A$1,РД[Дата подачи на регистрацию],"&gt;="&amp;DATE(YEAR($A$1),MONTH($A$1),1))</f>
        <v>0</v>
      </c>
      <c r="P99" s="254">
        <f>COUNTIFS(РД[Тип кв],P$87,РД[ИМ],$A99,РД[Дом],$C$86,РД[Дата подачи на регистрацию],"&lt;="&amp;$A$1,РД[Дата подачи на регистрацию],"&gt;="&amp;DATE(YEAR($A$1),MONTH($A$1),1))</f>
        <v>0</v>
      </c>
      <c r="Q99" s="86"/>
      <c r="R99" s="86"/>
      <c r="S99" s="86"/>
      <c r="T99" s="66"/>
    </row>
    <row r="100" spans="1:21" s="65" customFormat="1">
      <c r="A100" s="168" t="s">
        <v>114</v>
      </c>
      <c r="B100" s="169">
        <f t="shared" ref="B100:I100" si="13">SUM(B97:B99)</f>
        <v>511.55000000000007</v>
      </c>
      <c r="C100" s="170">
        <f t="shared" si="13"/>
        <v>65771481.100000001</v>
      </c>
      <c r="D100" s="173">
        <f t="shared" si="13"/>
        <v>94.39</v>
      </c>
      <c r="E100" s="173">
        <f t="shared" si="13"/>
        <v>12488048</v>
      </c>
      <c r="F100" s="171">
        <f t="shared" si="13"/>
        <v>2</v>
      </c>
      <c r="G100" s="172">
        <f t="shared" si="13"/>
        <v>94.39</v>
      </c>
      <c r="H100" s="173">
        <f t="shared" si="13"/>
        <v>12488048</v>
      </c>
      <c r="I100" s="170">
        <f t="shared" si="13"/>
        <v>2</v>
      </c>
      <c r="J100" s="238">
        <f>IFERROR(G100/B100,)</f>
        <v>0.18451764245919264</v>
      </c>
      <c r="K100" s="239">
        <f>IFERROR(H100/C100,)</f>
        <v>0.1898702567000578</v>
      </c>
      <c r="L100" s="240">
        <f t="shared" ref="L100:P100" si="14">SUM(L97:L99)</f>
        <v>0</v>
      </c>
      <c r="M100" s="241">
        <f t="shared" si="14"/>
        <v>1</v>
      </c>
      <c r="N100" s="241">
        <f t="shared" si="14"/>
        <v>1</v>
      </c>
      <c r="O100" s="241">
        <f t="shared" si="14"/>
        <v>0</v>
      </c>
      <c r="P100" s="242">
        <f t="shared" si="14"/>
        <v>0</v>
      </c>
      <c r="Q100" s="86"/>
      <c r="R100" s="86"/>
      <c r="S100" s="86"/>
      <c r="T100" s="66"/>
    </row>
    <row r="101" spans="1:21" s="65" customFormat="1">
      <c r="A101" s="134"/>
      <c r="B101" s="211"/>
      <c r="C101" s="211"/>
      <c r="D101" s="212"/>
      <c r="E101" s="134"/>
      <c r="F101" s="134"/>
      <c r="G101" s="134"/>
      <c r="H101" s="134"/>
      <c r="I101" s="134"/>
      <c r="J101" s="134"/>
      <c r="K101" s="134"/>
      <c r="L101" s="261"/>
      <c r="M101" s="134"/>
      <c r="N101" s="134"/>
      <c r="O101" s="134"/>
      <c r="P101" s="262"/>
      <c r="Q101" s="134"/>
      <c r="U101" s="66"/>
    </row>
    <row r="102" spans="1:21" s="65" customFormat="1">
      <c r="A102" s="2325" t="s">
        <v>713</v>
      </c>
      <c r="B102" s="2326"/>
      <c r="C102" s="133" t="s">
        <v>19</v>
      </c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263"/>
      <c r="T102" s="66"/>
    </row>
    <row r="103" spans="1:21" s="65" customFormat="1">
      <c r="A103" s="135" t="s">
        <v>1</v>
      </c>
      <c r="B103" s="135" t="s">
        <v>100</v>
      </c>
      <c r="C103" s="136" t="s">
        <v>97</v>
      </c>
      <c r="D103" s="137" t="s">
        <v>494</v>
      </c>
      <c r="E103" s="138" t="s">
        <v>495</v>
      </c>
      <c r="F103" s="139" t="s">
        <v>496</v>
      </c>
      <c r="G103" s="140" t="s">
        <v>101</v>
      </c>
      <c r="H103" s="141" t="s">
        <v>98</v>
      </c>
      <c r="I103" s="141" t="s">
        <v>96</v>
      </c>
      <c r="J103" s="141" t="s">
        <v>715</v>
      </c>
      <c r="K103" s="216" t="s">
        <v>716</v>
      </c>
      <c r="L103" s="217">
        <v>0</v>
      </c>
      <c r="M103" s="218">
        <v>1</v>
      </c>
      <c r="N103" s="218">
        <v>2</v>
      </c>
      <c r="O103" s="218">
        <v>3</v>
      </c>
      <c r="P103" s="219" t="s">
        <v>1367</v>
      </c>
      <c r="Q103" s="134"/>
      <c r="U103" s="66"/>
    </row>
    <row r="104" spans="1:21" s="65" customFormat="1">
      <c r="A104" s="142" t="s">
        <v>28</v>
      </c>
      <c r="B104" s="143">
        <f>IFERROR(VLOOKUP(A104,'ИПП 1кв25'!$B$6:$N$17,8,0),"")</f>
        <v>11</v>
      </c>
      <c r="C104" s="144">
        <f>IFERROR(VLOOKUP(A104,'ИПП 1кв25'!$B$6:$N$17,9,0),"")</f>
        <v>1363134</v>
      </c>
      <c r="D104" s="199">
        <f>SUMIFS(Дек2448[м2],Дек2448[МОП],$A104,Дек2448[№ дома],$C$102,Дек2448[Комнатность],"&lt;&gt;Офис")</f>
        <v>0</v>
      </c>
      <c r="E104" s="200">
        <f>SUMIFS(Дек2448[Сумма без отделки],Дек2448[МОП],$A104,Дек2448[№ дома],$C$102,Дек2448[Комнатность],"&lt;&gt;Офис")</f>
        <v>0</v>
      </c>
      <c r="F104" s="201">
        <f>COUNTIFS(Дек2448[МОП],$A104,Дек2448[№ дома],$C$102,Дек2448[Комнатность],"&lt;&gt;Офис")</f>
        <v>0</v>
      </c>
      <c r="G104" s="202">
        <f>SUMIFS(РД[S],РД[Дом],$C$102,РД[МОП],A104,РД[Дата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ref="J104" si="15">IFERROR(G104/B104,)</f>
        <v>0</v>
      </c>
      <c r="K104" s="225">
        <f t="shared" ref="K104" si="16">IFERROR(H104/C104,)</f>
        <v>0</v>
      </c>
      <c r="L104" s="257">
        <f>COUNTIFS(РД[Тип кв],L$87,РД[МОП],$A104,РД[Дом],$C$102,РД[Дата подачи на регистрацию],"&lt;="&amp;$A$1,РД[Дата подачи на регистрацию],"&gt;="&amp;DATE(YEAR($A$1),MONTH($A$1),1))</f>
        <v>0</v>
      </c>
      <c r="M104" s="226">
        <f>COUNTIFS(РД[Тип кв],M$87,РД[МОП],$A104,РД[Дом],$C$102,РД[Дата подачи на регистрацию],"&lt;="&amp;$A$1,РД[Дата подачи на регистрацию],"&gt;="&amp;DATE(YEAR($A$1),MONTH($A$1),1))</f>
        <v>0</v>
      </c>
      <c r="N104" s="226">
        <f>COUNTIFS(РД[Тип кв],N$87,РД[МОП],$A104,РД[Дом],$C$102,РД[Дата подачи на регистрацию],"&lt;="&amp;$A$1,РД[Дата подачи на регистрацию],"&gt;="&amp;DATE(YEAR($A$1),MONTH($A$1),1))</f>
        <v>0</v>
      </c>
      <c r="O104" s="226">
        <f>COUNTIFS(РД[Тип кв],O$87,РД[МОП],$A104,РД[Дом],$C$102,РД[Дата подачи на регистрацию],"&lt;="&amp;$A$1,РД[Дата подачи на регистрацию],"&gt;="&amp;DATE(YEAR($A$1),MONTH($A$1),1))</f>
        <v>0</v>
      </c>
      <c r="P104" s="227">
        <f>COUNTIFS(РД[Тип кв],P$87,РД[МОП],$A104,РД[Дом],$C$102,РД[Дата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42" t="s">
        <v>8</v>
      </c>
      <c r="B105" s="143">
        <f>IFERROR(VLOOKUP(A105,'ИПП 1кв25'!$B$6:$N$17,8,0),"")</f>
        <v>32</v>
      </c>
      <c r="C105" s="144">
        <f>IFERROR(VLOOKUP(A105,'ИПП 1кв25'!$B$6:$N$17,9,0),"")</f>
        <v>4015048</v>
      </c>
      <c r="D105" s="199">
        <f>SUMIFS(Дек2448[м2],Дек2448[МОП],$A105,Дек2448[№ дома],$C$102,Дек2448[Комнатность],"&lt;&gt;Офис")</f>
        <v>0</v>
      </c>
      <c r="E105" s="200">
        <f>SUMIFS(Дек2448[Сумма без отделки],Дек2448[МОП],$A105,Дек2448[№ дома],$C$102,Дек2448[Комнатность],"&lt;&gt;Офис")</f>
        <v>0</v>
      </c>
      <c r="F105" s="201">
        <f>COUNTIFS(Дек2448[МОП],$A105,Дек2448[№ дома],$C$102,Дек2448[Комнатность],"&lt;&gt;Офис")</f>
        <v>0</v>
      </c>
      <c r="G105" s="202">
        <f>SUMIFS(РД[S],РД[Дом],$C$102,РД[МОП],A105,РД[Дата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203">
        <f>SUMIFS(РД[Стоимость без отделки итог],РД[Дом],$C$102,РД[МОП],A105,РД[Дата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226">
        <f>COUNTIFS(РД[Дом],$C$102,РД[МОП],A105,РД[Дата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224">
        <f t="shared" ref="J105:K110" si="17">IFERROR(G105/B105,)</f>
        <v>0</v>
      </c>
      <c r="K105" s="225">
        <f t="shared" si="17"/>
        <v>0</v>
      </c>
      <c r="L105" s="257">
        <f>COUNTIFS(РД[Тип кв],L$87,РД[МОП],$A105,РД[Дом],$C$102,РД[Дата подачи на регистрацию],"&lt;="&amp;$A$1,РД[Дата подачи на регистрацию],"&gt;="&amp;DATE(YEAR($A$1),MONTH($A$1),1))</f>
        <v>0</v>
      </c>
      <c r="M105" s="226">
        <f>COUNTIFS(РД[Тип кв],M$87,РД[МОП],$A105,РД[Дом],$C$102,РД[Дата подачи на регистрацию],"&lt;="&amp;$A$1,РД[Дата подачи на регистрацию],"&gt;="&amp;DATE(YEAR($A$1),MONTH($A$1),1))</f>
        <v>0</v>
      </c>
      <c r="N105" s="226">
        <f>COUNTIFS(РД[Тип кв],N$87,РД[МОП],$A105,РД[Дом],$C$102,РД[Дата подачи на регистрацию],"&lt;="&amp;$A$1,РД[Дата подачи на регистрацию],"&gt;="&amp;DATE(YEAR($A$1),MONTH($A$1),1))</f>
        <v>0</v>
      </c>
      <c r="O105" s="226">
        <f>COUNTIFS(РД[Тип кв],O$87,РД[МОП],$A105,РД[Дом],$C$102,РД[Дата подачи на регистрацию],"&lt;="&amp;$A$1,РД[Дата подачи на регистрацию],"&gt;="&amp;DATE(YEAR($A$1),MONTH($A$1),1))</f>
        <v>0</v>
      </c>
      <c r="P105" s="227">
        <f>COUNTIFS(РД[Тип кв],P$87,РД[МОП],$A105,РД[Дом],$C$102,РД[Дата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0" t="s">
        <v>20</v>
      </c>
      <c r="B106" s="143">
        <f>IFERROR(VLOOKUP(A106,'ИПП 1кв25'!$B$6:$N$17,8,0),"")</f>
        <v>26</v>
      </c>
      <c r="C106" s="144">
        <f>IFERROR(VLOOKUP(A106,'ИПП 1кв25'!$B$6:$N$17,9,0),"")</f>
        <v>3221952</v>
      </c>
      <c r="D106" s="199">
        <f>SUMIFS(Дек2448[м2],Дек2448[МОП],$A106,Дек2448[№ дома],$C$102,Дек2448[Комнатность],"&lt;&gt;Офис")</f>
        <v>0</v>
      </c>
      <c r="E106" s="200">
        <f>SUMIFS(Дек2448[Сумма без отделки],Дек2448[МОП],$A106,Дек2448[№ дома],$C$102,Дек2448[Комнатность],"&lt;&gt;Офис")</f>
        <v>0</v>
      </c>
      <c r="F106" s="201">
        <f>COUNTIFS(Дек2448[МОП],$A106,Дек2448[№ дома],$C$102,Дек2448[Комнатность],"&lt;&gt;Офис")</f>
        <v>0</v>
      </c>
      <c r="G106" s="202">
        <f>SUMIFS(РД[S],РД[Дом],$C$102,РД[МОП],A106,РД[Дата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203">
        <f>SUMIFS(РД[Стоимость без отделки итог],РД[Дом],$C$102,РД[МОП],A106,РД[Дата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6">
        <f>COUNTIFS(РД[Дом],$C$102,РД[МОП],A106,РД[Дата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4">
        <f t="shared" si="17"/>
        <v>0</v>
      </c>
      <c r="K106" s="225">
        <f t="shared" si="17"/>
        <v>0</v>
      </c>
      <c r="L106" s="257">
        <f>COUNTIFS(РД[Тип кв],L$87,РД[МОП],$A106,РД[Дом],$C$102,РД[Дата подачи на регистрацию],"&lt;="&amp;$A$1,РД[Дата подачи на регистрацию],"&gt;="&amp;DATE(YEAR($A$1),MONTH($A$1),1))</f>
        <v>0</v>
      </c>
      <c r="M106" s="226">
        <f>COUNTIFS(РД[Тип кв],M$87,РД[МОП],$A106,РД[Дом],$C$102,РД[Дата подачи на регистрацию],"&lt;="&amp;$A$1,РД[Дата подачи на регистрацию],"&gt;="&amp;DATE(YEAR($A$1),MONTH($A$1),1))</f>
        <v>0</v>
      </c>
      <c r="N106" s="226">
        <f>COUNTIFS(РД[Тип кв],N$87,РД[МОП],$A106,РД[Дом],$C$102,РД[Дата подачи на регистрацию],"&lt;="&amp;$A$1,РД[Дата подачи на регистрацию],"&gt;="&amp;DATE(YEAR($A$1),MONTH($A$1),1))</f>
        <v>0</v>
      </c>
      <c r="O106" s="226">
        <f>COUNTIFS(РД[Тип кв],O$87,РД[МОП],$A106,РД[Дом],$C$102,РД[Дата подачи на регистрацию],"&lt;="&amp;$A$1,РД[Дата подачи на регистрацию],"&gt;="&amp;DATE(YEAR($A$1),MONTH($A$1),1))</f>
        <v>0</v>
      </c>
      <c r="P106" s="227">
        <f>COUNTIFS(РД[Тип кв],P$87,РД[МОП],$A106,РД[Дом],$C$102,РД[Дата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53" t="s">
        <v>24</v>
      </c>
      <c r="B107" s="143">
        <f>IFERROR(VLOOKUP(A107,'ИПП 1кв25'!$B$6:$N$17,8,0),"")</f>
        <v>31</v>
      </c>
      <c r="C107" s="144">
        <f>IFERROR(VLOOKUP(A107,'ИПП 1кв25'!$B$6:$N$17,9,0),"")</f>
        <v>3940696</v>
      </c>
      <c r="D107" s="199">
        <f>SUMIFS(Дек2448[м2],Дек2448[МОП],$A107,Дек2448[№ дома],$C$102,Дек2448[Комнатность],"&lt;&gt;Офис")</f>
        <v>0</v>
      </c>
      <c r="E107" s="200">
        <f>SUMIFS(Дек2448[Сумма без отделки],Дек2448[МОП],$A107,Дек2448[№ дома],$C$102,Дек2448[Комнатность],"&lt;&gt;Офис")</f>
        <v>0</v>
      </c>
      <c r="F107" s="201">
        <f>COUNTIFS(Дек2448[МОП],$A107,Дек2448[№ дома],$C$102,Дек2448[Комнатность],"&lt;&gt;Офис")</f>
        <v>0</v>
      </c>
      <c r="G107" s="202">
        <f>SUMIFS(РД[S],РД[Дом],$C$102,РД[МОП],A107,РД[Дата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203">
        <f>SUMIFS(РД[Стоимость без отделки итог],РД[Дом],$C$102,РД[МОП],A107,РД[Дата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26">
        <f>COUNTIFS(РД[Дом],$C$102,РД[МОП],A107,РД[Дата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24">
        <f t="shared" si="17"/>
        <v>0</v>
      </c>
      <c r="K107" s="225">
        <f t="shared" si="17"/>
        <v>0</v>
      </c>
      <c r="L107" s="257">
        <f>COUNTIFS(РД[Тип кв],L$87,РД[МОП],$A107,РД[Дом],$C$102,РД[Дата подачи на регистрацию],"&lt;="&amp;$A$1,РД[Дата подачи на регистрацию],"&gt;="&amp;DATE(YEAR($A$1),MONTH($A$1),1))</f>
        <v>0</v>
      </c>
      <c r="M107" s="226">
        <f>COUNTIFS(РД[Тип кв],M$87,РД[МОП],$A107,РД[Дом],$C$102,РД[Дата подачи на регистрацию],"&lt;="&amp;$A$1,РД[Дата подачи на регистрацию],"&gt;="&amp;DATE(YEAR($A$1),MONTH($A$1),1))</f>
        <v>0</v>
      </c>
      <c r="N107" s="226">
        <f>COUNTIFS(РД[Тип кв],N$87,РД[МОП],$A107,РД[Дом],$C$102,РД[Дата подачи на регистрацию],"&lt;="&amp;$A$1,РД[Дата подачи на регистрацию],"&gt;="&amp;DATE(YEAR($A$1),MONTH($A$1),1))</f>
        <v>0</v>
      </c>
      <c r="O107" s="226">
        <f>COUNTIFS(РД[Тип кв],O$87,РД[МОП],$A107,РД[Дом],$C$102,РД[Дата подачи на регистрацию],"&lt;="&amp;$A$1,РД[Дата подачи на регистрацию],"&gt;="&amp;DATE(YEAR($A$1),MONTH($A$1),1))</f>
        <v>0</v>
      </c>
      <c r="P107" s="227">
        <f>COUNTIFS(РД[Тип кв],P$87,РД[МОП],$A107,РД[Дом],$C$102,РД[Дата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53" t="s">
        <v>14</v>
      </c>
      <c r="B108" s="143">
        <f>IFERROR(VLOOKUP(A108,'ИПП 1кв25'!$B$6:$N$17,8,0),"")</f>
        <v>34</v>
      </c>
      <c r="C108" s="144">
        <f>IFERROR(VLOOKUP(A108,'ИПП 1кв25'!$B$6:$N$17,9,0),"")</f>
        <v>4238107</v>
      </c>
      <c r="D108" s="299">
        <f>SUMIFS(Дек2448[м2],Дек2448[МОП],$A108,Дек2448[№ дома],$C$102,Дек2448[Комнатность],"&lt;&gt;Офис")</f>
        <v>0</v>
      </c>
      <c r="E108" s="300">
        <f>SUMIFS(Дек2448[Сумма без отделки],Дек2448[МОП],$A108,Дек2448[№ дома],$C$102,Дек2448[Комнатность],"&lt;&gt;Офис")</f>
        <v>0</v>
      </c>
      <c r="F108" s="301">
        <f>COUNTIFS(Дек2448[МОП],$A108,Дек2448[№ дома],$C$102,Дек2448[Комнатность],"&lt;&gt;Офис")</f>
        <v>0</v>
      </c>
      <c r="G108" s="358">
        <f>SUMIFS(РД[S],РД[Дом],$C$102,РД[МОП],A108,РД[Дата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H108" s="359">
        <f>SUMIFS(РД[Стоимость без отделки итог],РД[Дом],$C$102,РД[МОП],A108,РД[Дата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I108" s="330">
        <f>COUNTIFS(РД[Дом],$C$102,РД[МОП],A108,РД[Дата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J108" s="360">
        <f t="shared" si="17"/>
        <v>0</v>
      </c>
      <c r="K108" s="361">
        <f t="shared" si="17"/>
        <v>0</v>
      </c>
      <c r="L108" s="329">
        <f>COUNTIFS(РД[Тип кв],L$87,РД[МОП],$A108,РД[Дом],$C$102,РД[Дата подачи на регистрацию],"&lt;="&amp;$A$1,РД[Дата подачи на регистрацию],"&gt;="&amp;DATE(YEAR($A$1),MONTH($A$1),1))</f>
        <v>0</v>
      </c>
      <c r="M108" s="330">
        <f>COUNTIFS(РД[Тип кв],M$87,РД[МОП],$A108,РД[Дом],$C$102,РД[Дата подачи на регистрацию],"&lt;="&amp;$A$1,РД[Дата подачи на регистрацию],"&gt;="&amp;DATE(YEAR($A$1),MONTH($A$1),1))</f>
        <v>0</v>
      </c>
      <c r="N108" s="330">
        <f>COUNTIFS(РД[Тип кв],N$87,РД[МОП],$A108,РД[Дом],$C$102,РД[Дата подачи на регистрацию],"&lt;="&amp;$A$1,РД[Дата подачи на регистрацию],"&gt;="&amp;DATE(YEAR($A$1),MONTH($A$1),1))</f>
        <v>0</v>
      </c>
      <c r="O108" s="330">
        <f>COUNTIFS(РД[Тип кв],O$87,РД[МОП],$A108,РД[Дом],$C$102,РД[Дата подачи на регистрацию],"&lt;="&amp;$A$1,РД[Дата подачи на регистрацию],"&gt;="&amp;DATE(YEAR($A$1),MONTH($A$1),1))</f>
        <v>0</v>
      </c>
      <c r="P108" s="331">
        <f>COUNTIFS(РД[Тип кв],P$87,РД[МОП],$A108,РД[Дом],$C$102,РД[Дата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4" t="s">
        <v>29</v>
      </c>
      <c r="B109" s="155"/>
      <c r="C109" s="156"/>
      <c r="D109" s="157">
        <f>SUMIFS(Дек2448[м2],Дек2448[МОП],$A109,Дек2448[№ дома],$C$102,Дек2448[Комнатность],"&lt;&gt;Офис")</f>
        <v>0</v>
      </c>
      <c r="E109" s="156">
        <f>SUMIFS(Дек2448[Сумма без отделки],Дек2448[МОП],$A109,Дек2448[№ дома],$C$102,Дек2448[Комнатность],"&lt;&gt;Офис")</f>
        <v>0</v>
      </c>
      <c r="F109" s="158">
        <f>COUNTIFS(Дек2448[МОП],$A109,Дек2448[№ дома],$C$102,Дек2448[Комнатность],"&lt;&gt;Офис")</f>
        <v>0</v>
      </c>
      <c r="G109" s="159">
        <f>SUMIFS(РД[S],РД[Дом],$C$102,РД[МОП],A109,РД[Дата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160">
        <f>SUMIFS(РД[Стоимость без отделки итог],РД[Дом],$C$102,РД[МОП],A109,РД[Дата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228">
        <f>COUNTIFS(РД[Дом],$C$102,РД[МОП],A109,РД[Дата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229">
        <f t="shared" si="17"/>
        <v>0</v>
      </c>
      <c r="K109" s="230">
        <f t="shared" si="17"/>
        <v>0</v>
      </c>
      <c r="L109" s="159">
        <f>COUNTIFS(РД[Тип кв],L$87,РД[МОП],$A109,РД[Дом],$C$102,РД[Дата подачи на регистрацию],"&lt;="&amp;$A$1,РД[Дата подачи на регистрацию],"&gt;="&amp;DATE(YEAR($A$1),MONTH($A$1),1))</f>
        <v>0</v>
      </c>
      <c r="M109" s="228">
        <f>COUNTIFS(РД[Тип кв],M$87,РД[МОП],$A109,РД[Дом],$C$102,РД[Дата подачи на регистрацию],"&lt;="&amp;$A$1,РД[Дата подачи на регистрацию],"&gt;="&amp;DATE(YEAR($A$1),MONTH($A$1),1))</f>
        <v>0</v>
      </c>
      <c r="N109" s="228">
        <f>COUNTIFS(РД[Тип кв],N$87,РД[МОП],$A109,РД[Дом],$C$102,РД[Дата подачи на регистрацию],"&lt;="&amp;$A$1,РД[Дата подачи на регистрацию],"&gt;="&amp;DATE(YEAR($A$1),MONTH($A$1),1))</f>
        <v>0</v>
      </c>
      <c r="O109" s="228">
        <f>COUNTIFS(РД[Тип кв],O$87,РД[МОП],$A109,РД[Дом],$C$102,РД[Дата подачи на регистрацию],"&lt;="&amp;$A$1,РД[Дата подачи на регистрацию],"&gt;="&amp;DATE(YEAR($A$1),MONTH($A$1),1))</f>
        <v>0</v>
      </c>
      <c r="P109" s="231">
        <f>COUNTIFS(РД[Тип кв],P$87,РД[МОП],$A109,РД[Дом],$C$102,РД[Дата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161" t="s">
        <v>1919</v>
      </c>
      <c r="B110" s="162"/>
      <c r="C110" s="163"/>
      <c r="D110" s="164">
        <f>SUMIFS(Дек2448[м2],Дек2448[МОП],$A110,Дек2448[№ дома],$C$102,Дек2448[Комнатность],"&lt;&gt;Офис")</f>
        <v>0</v>
      </c>
      <c r="E110" s="163">
        <f>SUMIFS(Дек2448[Сумма без отделки],Дек2448[МОП],$A110,Дек2448[№ дома],$C$102,Дек2448[Комнатность],"&lt;&gt;Офис")</f>
        <v>0</v>
      </c>
      <c r="F110" s="165">
        <f>COUNTIFS(Дек2448[МОП],$A110,Дек2448[№ дома],$C$102,Дек2448[Комнатность],"&lt;&gt;Офис")</f>
        <v>0</v>
      </c>
      <c r="G110" s="166">
        <f>SUMIFS(РД[S],РД[Дом],$C$102,РД[МОП],A110,РД[Дата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167">
        <f>SUMIFS(РД[Стоимость без отделки итог],РД[Дом],$C$102,РД[МОП],A110,РД[Дата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32">
        <f>COUNTIFS(РД[Дом],$C$102,РД[МОП],A110,РД[Дата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33">
        <f t="shared" si="17"/>
        <v>0</v>
      </c>
      <c r="K110" s="234">
        <f t="shared" si="17"/>
        <v>0</v>
      </c>
      <c r="L110" s="235">
        <f>COUNTIFS(РД[Тип кв],L$87,РД[МОП],$A110,РД[Дом],$C$102,РД[Дата подачи на регистрацию],"&lt;="&amp;$A$1,РД[Дата подачи на регистрацию],"&gt;="&amp;DATE(YEAR($A$1),MONTH($A$1),1))</f>
        <v>0</v>
      </c>
      <c r="M110" s="236">
        <f>COUNTIFS(РД[Тип кв],M$87,РД[МОП],$A110,РД[Дом],$C$102,РД[Дата подачи на регистрацию],"&lt;="&amp;$A$1,РД[Дата подачи на регистрацию],"&gt;="&amp;DATE(YEAR($A$1),MONTH($A$1),1))</f>
        <v>0</v>
      </c>
      <c r="N110" s="236">
        <f>COUNTIFS(РД[Тип кв],N$87,РД[МОП],$A110,РД[Дом],$C$102,РД[Дата подачи на регистрацию],"&lt;="&amp;$A$1,РД[Дата подачи на регистрацию],"&gt;="&amp;DATE(YEAR($A$1),MONTH($A$1),1))</f>
        <v>0</v>
      </c>
      <c r="O110" s="236">
        <f>COUNTIFS(РД[Тип кв],O$87,РД[МОП],$A110,РД[Дом],$C$102,РД[Дата подачи на регистрацию],"&lt;="&amp;$A$1,РД[Дата подачи на регистрацию],"&gt;="&amp;DATE(YEAR($A$1),MONTH($A$1),1))</f>
        <v>0</v>
      </c>
      <c r="P110" s="237">
        <f>COUNTIFS(РД[Тип кв],P$87,РД[МОП],$A110,РД[Дом],$C$102,РД[Дата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68" t="s">
        <v>114</v>
      </c>
      <c r="B111" s="169">
        <f t="shared" ref="B111:I111" si="18">SUM(B104:B110)</f>
        <v>134</v>
      </c>
      <c r="C111" s="170">
        <f t="shared" si="18"/>
        <v>16778937</v>
      </c>
      <c r="D111" s="170">
        <f t="shared" si="18"/>
        <v>0</v>
      </c>
      <c r="E111" s="170">
        <f t="shared" si="18"/>
        <v>0</v>
      </c>
      <c r="F111" s="171">
        <f t="shared" si="18"/>
        <v>0</v>
      </c>
      <c r="G111" s="172">
        <f t="shared" si="18"/>
        <v>0</v>
      </c>
      <c r="H111" s="173">
        <f t="shared" si="18"/>
        <v>0</v>
      </c>
      <c r="I111" s="170">
        <f t="shared" si="18"/>
        <v>0</v>
      </c>
      <c r="J111" s="238">
        <f t="shared" ref="J111" si="19">IFERROR(G111/B111,"")</f>
        <v>0</v>
      </c>
      <c r="K111" s="239">
        <f t="shared" ref="K111" si="20">IFERROR(H111/C111,"")</f>
        <v>0</v>
      </c>
      <c r="L111" s="240">
        <f>SUM(L104:L110)</f>
        <v>0</v>
      </c>
      <c r="M111" s="241">
        <f>SUM(M104:M110)</f>
        <v>0</v>
      </c>
      <c r="N111" s="241">
        <f>SUM(N104:N110)</f>
        <v>0</v>
      </c>
      <c r="O111" s="241">
        <f>SUM(O104:O110)</f>
        <v>0</v>
      </c>
      <c r="P111" s="242">
        <f>SUM(P104:P110)</f>
        <v>0</v>
      </c>
      <c r="Q111" s="134"/>
      <c r="U111" s="66"/>
    </row>
    <row r="112" spans="1:21" s="65" customFormat="1">
      <c r="A112" s="135" t="s">
        <v>115</v>
      </c>
      <c r="B112" s="213" t="s">
        <v>100</v>
      </c>
      <c r="C112" s="214" t="s">
        <v>97</v>
      </c>
      <c r="D112" s="174" t="s">
        <v>494</v>
      </c>
      <c r="E112" s="175" t="s">
        <v>495</v>
      </c>
      <c r="F112" s="176" t="s">
        <v>496</v>
      </c>
      <c r="G112" s="140" t="s">
        <v>101</v>
      </c>
      <c r="H112" s="141" t="s">
        <v>98</v>
      </c>
      <c r="I112" s="141" t="s">
        <v>96</v>
      </c>
      <c r="J112" s="141" t="s">
        <v>715</v>
      </c>
      <c r="K112" s="216" t="s">
        <v>716</v>
      </c>
      <c r="L112" s="217">
        <v>0</v>
      </c>
      <c r="M112" s="218">
        <v>1</v>
      </c>
      <c r="N112" s="218">
        <v>2</v>
      </c>
      <c r="O112" s="218">
        <v>3</v>
      </c>
      <c r="P112" s="219" t="s">
        <v>1367</v>
      </c>
      <c r="Q112" s="134"/>
      <c r="U112" s="66"/>
    </row>
    <row r="113" spans="1:21" s="65" customFormat="1">
      <c r="A113" s="177" t="s">
        <v>22</v>
      </c>
      <c r="B113" s="178">
        <f>IFERROR(VLOOKUP(A113,'ИПП 1кв25'!$B$6:$N$17,8,0),"")</f>
        <v>52.708583690987133</v>
      </c>
      <c r="C113" s="179">
        <f>IFERROR(VLOOKUP(A113,'ИПП 1кв25'!$B$6:$N$17,9,0),"")</f>
        <v>6599955.2620171681</v>
      </c>
      <c r="D113" s="180">
        <f>SUMIFS(Дек2448[м2],Дек2448[ИМ],A113,Дек2448[№ дома],$C$102,Дек2448[Комнатность],"&lt;&gt;Офис")</f>
        <v>0</v>
      </c>
      <c r="E113" s="181">
        <f>SUMIFS(Дек2448[Сумма без отделки],Дек2448[ИМ],$A113,Дек2448[№ дома],$C$102,Дек2448[Комнатность],"&lt;&gt;Офис")</f>
        <v>0</v>
      </c>
      <c r="F113" s="204">
        <f>COUNTIFS(Дек2448[ИМ],$A113,Дек2448[№ дома],$C$102,Дек2448[Комнатность],"&lt;&gt;Офис")</f>
        <v>0</v>
      </c>
      <c r="G113" s="183">
        <f>SUMIFS(РД[S],РД[Дом],$C$102,РД[ИМ],A113,РД[Дата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H113" s="184">
        <f>SUMIFS(РД[Стоимость без отделки итог],РД[Дом],$C$102,РД[ИМ],A113,РД[Дата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I113" s="243">
        <f>COUNTIFS(РД[Дом],$C$102,РД[ИМ],A113,РД[Дата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J113" s="244">
        <f t="shared" ref="J113:K115" si="21">IFERROR(G113/B113,"")</f>
        <v>0</v>
      </c>
      <c r="K113" s="258">
        <f t="shared" si="21"/>
        <v>0</v>
      </c>
      <c r="L113" s="183">
        <f>COUNTIFS(РД[Тип кв],L103,РД[ИМ],$A113,РД[Дом],$C$102,РД[Дата подачи на регистрацию],"&lt;="&amp;$A$1,РД[Дата подачи на регистрацию],"&gt;="&amp;DATE(YEAR($A$1),MONTH($A$1),1))</f>
        <v>0</v>
      </c>
      <c r="M113" s="243">
        <f>COUNTIFS(РД[Тип кв],M103,РД[ИМ],$A113,РД[Дом],$C$102,РД[Дата подачи на регистрацию],"&lt;="&amp;$A$1,РД[Дата подачи на регистрацию],"&gt;="&amp;DATE(YEAR($A$1),MONTH($A$1),1))</f>
        <v>0</v>
      </c>
      <c r="N113" s="243">
        <f>COUNTIFS(РД[Тип кв],N103,РД[ИМ],$A113,РД[Дом],$C$102,РД[Дата подачи на регистрацию],"&lt;="&amp;$A$1,РД[Дата подачи на регистрацию],"&gt;="&amp;DATE(YEAR($A$1),MONTH($A$1),1))</f>
        <v>0</v>
      </c>
      <c r="O113" s="243">
        <f>COUNTIFS(РД[Тип кв],O103,РД[ИМ],$A113,РД[Дом],$C$102,РД[Дата подачи на регистрацию],"&lt;="&amp;$A$1,РД[Дата подачи на регистрацию],"&gt;="&amp;DATE(YEAR($A$1),MONTH($A$1),1))</f>
        <v>0</v>
      </c>
      <c r="P113" s="246">
        <f>COUNTIFS(РД[Тип кв],P103,РД[ИМ],$A113,РД[Дом],$C$102,РД[Дата подачи на регистрацию],"&lt;="&amp;$A$1,РД[Дата подачи на регистрацию],"&gt;="&amp;DATE(YEAR($A$1),MONTH($A$1),1))</f>
        <v>0</v>
      </c>
      <c r="Q113" s="134"/>
      <c r="U113" s="66"/>
    </row>
    <row r="114" spans="1:21" s="65" customFormat="1">
      <c r="A114" s="150" t="s">
        <v>26</v>
      </c>
      <c r="B114" s="143">
        <f>IFERROR(VLOOKUP(A114,'ИПП 1кв25'!$B$6:$N$17,8,0),"")</f>
        <v>34.391416309012875</v>
      </c>
      <c r="C114" s="144">
        <f>IFERROR(VLOOKUP(A114,'ИПП 1кв25'!$B$6:$N$17,9,0),"")</f>
        <v>4306353.7879828326</v>
      </c>
      <c r="D114" s="205">
        <f>SUMIFS(Дек2448[м2],Дек2448[ИМ],A114,Дек2448[№ дома],$C$102,Дек2448[Комнатность],"&lt;&gt;Офис")</f>
        <v>0</v>
      </c>
      <c r="E114" s="206">
        <f>SUMIFS(Дек2448[Сумма без отделки],Дек2448[ИМ],$A114,Дек2448[№ дома],$C$102,Дек2448[Комнатность],"&lt;&gt;Офис")</f>
        <v>0</v>
      </c>
      <c r="F114" s="207">
        <f>COUNTIFS(Дек2448[ИМ],$A114,Дек2448[№ дома],$C$102,Дек2448[Комнатность],"&lt;&gt;Офис")</f>
        <v>0</v>
      </c>
      <c r="G114" s="187">
        <f>SUMIFS(РД[S],РД[Дом],$C$102,РД[ИМ],A114,РД[Дата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H114" s="188">
        <f>SUMIFS(РД[Стоимость без отделки итог],РД[Дом],$C$102,РД[ИМ],A114,РД[Дата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I114" s="247">
        <f>COUNTIFS(РД[Дом],$C$102,РД[ИМ],A114,РД[Дата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J114" s="248">
        <f t="shared" si="21"/>
        <v>0</v>
      </c>
      <c r="K114" s="259">
        <f t="shared" si="21"/>
        <v>0</v>
      </c>
      <c r="L114" s="187">
        <f>COUNTIFS(РД[Тип кв],L$87,РД[ИМ],$A114,РД[Дом],$C$102,РД[Дата подачи на регистрацию],"&lt;="&amp;$A$1,РД[Дата подачи на регистрацию],"&gt;="&amp;DATE(YEAR($A$1),MONTH($A$1),1))</f>
        <v>0</v>
      </c>
      <c r="M114" s="247">
        <f>COUNTIFS(РД[Тип кв],M$87,РД[ИМ],$A114,РД[Дом],$C$102,РД[Дата подачи на регистрацию],"&lt;="&amp;$A$1,РД[Дата подачи на регистрацию],"&gt;="&amp;DATE(YEAR($A$1),MONTH($A$1),1))</f>
        <v>0</v>
      </c>
      <c r="N114" s="247">
        <f>COUNTIFS(РД[Тип кв],N$87,РД[ИМ],$A114,РД[Дом],$C$102,РД[Дата подачи на регистрацию],"&lt;="&amp;$A$1,РД[Дата подачи на регистрацию],"&gt;="&amp;DATE(YEAR($A$1),MONTH($A$1),1))</f>
        <v>0</v>
      </c>
      <c r="O114" s="247">
        <f>COUNTIFS(РД[Тип кв],O$87,РД[ИМ],$A114,РД[Дом],$C$102,РД[Дата подачи на регистрацию],"&lt;="&amp;$A$1,РД[Дата подачи на регистрацию],"&gt;="&amp;DATE(YEAR($A$1),MONTH($A$1),1))</f>
        <v>0</v>
      </c>
      <c r="P114" s="250">
        <f>COUNTIFS(РД[Тип кв],P$87,РД[ИМ],$A114,РД[Дом],$C$102,РД[Дата подачи на регистрацию],"&lt;="&amp;$A$1,РД[Дата подачи на регистрацию],"&gt;="&amp;DATE(YEAR($A$1),MONTH($A$1),1))</f>
        <v>0</v>
      </c>
      <c r="Q114" s="134"/>
      <c r="U114" s="66"/>
    </row>
    <row r="115" spans="1:21" s="65" customFormat="1">
      <c r="A115" s="189" t="s">
        <v>3</v>
      </c>
      <c r="B115" s="190">
        <f>IFERROR(VLOOKUP(A115,'ИПП 1кв25'!$B$6:$N$17,8,0),"")</f>
        <v>0</v>
      </c>
      <c r="C115" s="191">
        <f>IFERROR(VLOOKUP(A115,'ИПП 1кв25'!$B$6:$N$17,9,0),"")</f>
        <v>0</v>
      </c>
      <c r="D115" s="208">
        <f>SUMIFS(Дек2448[м2],Дек2448[ИМ],A115,Дек2448[№ дома],$C$102,Дек2448[Комнатность],"&lt;&gt;Офис")</f>
        <v>0</v>
      </c>
      <c r="E115" s="209">
        <f>SUMIFS(Дек2448[Сумма без отделки],Дек2448[ИМ],$A115,Дек2448[№ дома],$C$102,Дек2448[Комнатность],"&lt;&gt;Офис")</f>
        <v>0</v>
      </c>
      <c r="F115" s="210">
        <f>COUNTIFS(Дек2448[ИМ],$A115,Дек2448[№ дома],$C$102,Дек2448[Комнатность],"&lt;&gt;Офис")</f>
        <v>0</v>
      </c>
      <c r="G115" s="195">
        <f>SUMIFS(РД[S],РД[Дом],$C$102,РД[ИМ],A115,РД[Дата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H115" s="196">
        <f>SUMIFS(РД[Стоимость без отделки итог],РД[Дом],$C$102,РД[ИМ],A115,РД[Дата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I115" s="251">
        <f>COUNTIFS(РД[Дом],$C$102,РД[ИМ],A115,РД[Дата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J115" s="252" t="str">
        <f t="shared" si="21"/>
        <v/>
      </c>
      <c r="K115" s="260" t="str">
        <f t="shared" si="21"/>
        <v/>
      </c>
      <c r="L115" s="195">
        <f>COUNTIFS(РД[Тип кв],L$87,РД[ИМ],$A115,РД[Дом],$C$102,РД[Дата подачи на регистрацию],"&lt;="&amp;$A$1,РД[Дата подачи на регистрацию],"&gt;="&amp;DATE(YEAR($A$1),MONTH($A$1),1))</f>
        <v>0</v>
      </c>
      <c r="M115" s="251">
        <f>COUNTIFS(РД[Тип кв],M$87,РД[ИМ],$A115,РД[Дом],$C$102,РД[Дата подачи на регистрацию],"&lt;="&amp;$A$1,РД[Дата подачи на регистрацию],"&gt;="&amp;DATE(YEAR($A$1),MONTH($A$1),1))</f>
        <v>0</v>
      </c>
      <c r="N115" s="251">
        <f>COUNTIFS(РД[Тип кв],N$87,РД[ИМ],$A115,РД[Дом],$C$102,РД[Дата подачи на регистрацию],"&lt;="&amp;$A$1,РД[Дата подачи на регистрацию],"&gt;="&amp;DATE(YEAR($A$1),MONTH($A$1),1))</f>
        <v>0</v>
      </c>
      <c r="O115" s="251">
        <f>COUNTIFS(РД[Тип кв],O$87,РД[ИМ],$A115,РД[Дом],$C$102,РД[Дата подачи на регистрацию],"&lt;="&amp;$A$1,РД[Дата подачи на регистрацию],"&gt;="&amp;DATE(YEAR($A$1),MONTH($A$1),1))</f>
        <v>0</v>
      </c>
      <c r="P115" s="254">
        <f>COUNTIFS(РД[Тип кв],P$87,РД[ИМ],$A115,РД[Дом],$C$102,РД[Дата подачи на регистрацию],"&lt;="&amp;$A$1,РД[Дата подачи на регистрацию],"&gt;="&amp;DATE(YEAR($A$1),MONTH($A$1),1))</f>
        <v>0</v>
      </c>
      <c r="Q115" s="134"/>
      <c r="U115" s="66"/>
    </row>
    <row r="116" spans="1:21" s="65" customFormat="1">
      <c r="A116" s="168" t="s">
        <v>114</v>
      </c>
      <c r="B116" s="169">
        <f t="shared" ref="B116:I116" si="22">SUM(B113:B115)</f>
        <v>87.100000000000009</v>
      </c>
      <c r="C116" s="170">
        <f t="shared" si="22"/>
        <v>10906309.050000001</v>
      </c>
      <c r="D116" s="170">
        <f t="shared" si="22"/>
        <v>0</v>
      </c>
      <c r="E116" s="170">
        <f t="shared" si="22"/>
        <v>0</v>
      </c>
      <c r="F116" s="171">
        <f t="shared" si="22"/>
        <v>0</v>
      </c>
      <c r="G116" s="172">
        <f t="shared" si="22"/>
        <v>0</v>
      </c>
      <c r="H116" s="173">
        <f t="shared" si="22"/>
        <v>0</v>
      </c>
      <c r="I116" s="170">
        <f t="shared" si="22"/>
        <v>0</v>
      </c>
      <c r="J116" s="238">
        <f>IFERROR(G116/B116,)</f>
        <v>0</v>
      </c>
      <c r="K116" s="239">
        <f>IFERROR(H116/C116,)</f>
        <v>0</v>
      </c>
      <c r="L116" s="240">
        <f t="shared" ref="L116:P116" si="23">SUM(L113:L115)</f>
        <v>0</v>
      </c>
      <c r="M116" s="241">
        <f t="shared" si="23"/>
        <v>0</v>
      </c>
      <c r="N116" s="241">
        <f t="shared" si="23"/>
        <v>0</v>
      </c>
      <c r="O116" s="241">
        <f t="shared" si="23"/>
        <v>0</v>
      </c>
      <c r="P116" s="242">
        <f t="shared" si="23"/>
        <v>0</v>
      </c>
      <c r="Q116" s="134"/>
      <c r="U116" s="66"/>
    </row>
    <row r="117" spans="1:21" s="65" customFormat="1">
      <c r="A117" s="134"/>
      <c r="B117" s="197"/>
      <c r="C117" s="197"/>
      <c r="D117" s="197"/>
      <c r="E117" s="197"/>
      <c r="F117" s="215"/>
      <c r="G117" s="197"/>
      <c r="H117" s="197"/>
      <c r="I117" s="215"/>
      <c r="J117" s="255"/>
      <c r="K117" s="256"/>
      <c r="L117" s="215"/>
      <c r="M117" s="215"/>
      <c r="N117" s="215"/>
      <c r="O117" s="215"/>
      <c r="P117" s="215"/>
      <c r="Q117" s="134"/>
      <c r="U117" s="66"/>
    </row>
    <row r="118" spans="1:21" s="65" customFormat="1">
      <c r="A118" s="2325" t="s">
        <v>713</v>
      </c>
      <c r="B118" s="2326"/>
      <c r="C118" s="133" t="s">
        <v>23</v>
      </c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U118" s="66"/>
    </row>
    <row r="119" spans="1:21" s="65" customFormat="1">
      <c r="A119" s="135" t="s">
        <v>1</v>
      </c>
      <c r="B119" s="135" t="s">
        <v>100</v>
      </c>
      <c r="C119" s="136" t="s">
        <v>97</v>
      </c>
      <c r="D119" s="137" t="s">
        <v>494</v>
      </c>
      <c r="E119" s="138" t="s">
        <v>495</v>
      </c>
      <c r="F119" s="139" t="s">
        <v>496</v>
      </c>
      <c r="G119" s="140" t="s">
        <v>101</v>
      </c>
      <c r="H119" s="141" t="s">
        <v>98</v>
      </c>
      <c r="I119" s="141" t="s">
        <v>96</v>
      </c>
      <c r="J119" s="141" t="s">
        <v>715</v>
      </c>
      <c r="K119" s="216" t="s">
        <v>716</v>
      </c>
      <c r="L119" s="217">
        <v>0</v>
      </c>
      <c r="M119" s="218">
        <v>1</v>
      </c>
      <c r="N119" s="218">
        <v>2</v>
      </c>
      <c r="O119" s="218">
        <v>3</v>
      </c>
      <c r="P119" s="219" t="s">
        <v>1367</v>
      </c>
      <c r="Q119" s="134"/>
      <c r="U119" s="66"/>
    </row>
    <row r="120" spans="1:21" s="65" customFormat="1">
      <c r="A120" s="142" t="s">
        <v>28</v>
      </c>
      <c r="B120" s="143">
        <f>IFERROR(VLOOKUP(A120,'ИПП 1кв25'!$B$6:$N$17,10,0),"")</f>
        <v>25</v>
      </c>
      <c r="C120" s="144">
        <f>IFERROR(VLOOKUP(A120,'ИПП 1кв25'!$B$6:$N$17,11,0),"")</f>
        <v>3102520</v>
      </c>
      <c r="D120" s="199">
        <f>SUMIFS(Дек2448[м2],Дек2448[МОП],$A120,Дек2448[№ дома],$C$118,Дек2448[Комнатность],"&lt;&gt;Офис")</f>
        <v>0</v>
      </c>
      <c r="E120" s="200">
        <f>SUMIFS(Дек2448[Сумма без отделки],Дек2448[МОП],$A120,Дек2448[№ дома],$C$118,Дек2448[Комнатность],"&lt;&gt;Офис")</f>
        <v>0</v>
      </c>
      <c r="F120" s="201">
        <f>COUNTIFS(Дек2448[МОП],$A120,Дек2448[№ дома],$C$118,Дек2448[Комнатность],"&lt;&gt;Офис")</f>
        <v>0</v>
      </c>
      <c r="G120" s="202">
        <f>SUMIFS(РД[S],РД[Дом],$C$118,РД[МОП],A120,РД[Дата подачи на регистрацию],"&lt;="&amp;$A$1,РД[Дата подачи на регистрацию],"&gt;="&amp;DATE(YEAR($A$1),MONTH($A$1),1),РД[Состояние],"Продажа")</f>
        <v>0</v>
      </c>
      <c r="H120" s="203">
        <f>SUMIFS(РД[Стоимость без отделки итог],РД[Дом],$C$118,РД[МОП],A120,РД[Дата подачи на регистрацию],"&lt;="&amp;$A$1,РД[Дата подачи на регистрацию],"&gt;="&amp;DATE(YEAR($A$1),MONTH($A$1),1),РД[Состояние],"Продажа")</f>
        <v>0</v>
      </c>
      <c r="I120" s="226">
        <f>COUNTIFS(РД[Дом],$C$118,РД[МОП],A120,РД[Дата подачи на регистрацию],"&lt;="&amp;$A$1,РД[Дата подачи на регистрацию],"&gt;="&amp;DATE(YEAR($A$1),MONTH($A$1),1),РД[Состояние],"Продажа")</f>
        <v>0</v>
      </c>
      <c r="J120" s="224">
        <f t="shared" ref="J120" si="24">IFERROR(G120/B120,)</f>
        <v>0</v>
      </c>
      <c r="K120" s="225">
        <f t="shared" ref="K120" si="25">IFERROR(H120/C120,)</f>
        <v>0</v>
      </c>
      <c r="L120" s="257">
        <f>COUNTIFS(РД[Тип кв],L$87,РД[МОП],$A120,РД[Дом],$C$118,РД[Дата подачи на регистрацию],"&lt;="&amp;$A$1,РД[Дата подачи на регистрацию],"&gt;="&amp;DATE(YEAR($A$1),MONTH($A$1),1))</f>
        <v>0</v>
      </c>
      <c r="M120" s="226">
        <f>COUNTIFS(РД[Тип кв],M$87,РД[МОП],$A120,РД[Дом],$C$118,РД[Дата подачи на регистрацию],"&lt;="&amp;$A$1,РД[Дата подачи на регистрацию],"&gt;="&amp;DATE(YEAR($A$1),MONTH($A$1),1))</f>
        <v>0</v>
      </c>
      <c r="N120" s="226">
        <f>COUNTIFS(РД[Тип кв],N$87,РД[МОП],$A120,РД[Дом],$C$118,РД[Дата подачи на регистрацию],"&lt;="&amp;$A$1,РД[Дата подачи на регистрацию],"&gt;="&amp;DATE(YEAR($A$1),MONTH($A$1),1))</f>
        <v>0</v>
      </c>
      <c r="O120" s="226">
        <f>COUNTIFS(РД[Тип кв],O$87,РД[МОП],$A120,РД[Дом],$C$118,РД[Дата подачи на регистрацию],"&lt;="&amp;$A$1,РД[Дата подачи на регистрацию],"&gt;="&amp;DATE(YEAR($A$1),MONTH($A$1),1))</f>
        <v>0</v>
      </c>
      <c r="P120" s="227">
        <f>COUNTIFS(РД[Тип кв],P$87,РД[МОП],$A120,РД[Дом],$C$118,РД[Дата подачи на регистрацию],"&lt;="&amp;$A$1,РД[Дата подачи на регистрацию],"&gt;="&amp;DATE(YEAR($A$1),MONTH($A$1),1))</f>
        <v>0</v>
      </c>
      <c r="Q120" s="134"/>
      <c r="U120" s="66"/>
    </row>
    <row r="121" spans="1:21" s="65" customFormat="1">
      <c r="A121" s="142" t="s">
        <v>8</v>
      </c>
      <c r="B121" s="143">
        <f>IFERROR(VLOOKUP(A121,'ИПП 1кв25'!$B$6:$N$17,10,0),"")</f>
        <v>75</v>
      </c>
      <c r="C121" s="144">
        <f>IFERROR(VLOOKUP(A121,'ИПП 1кв25'!$B$6:$N$17,11,0),"")</f>
        <v>9138332</v>
      </c>
      <c r="D121" s="199">
        <f>SUMIFS(Дек2448[м2],Дек2448[МОП],$A121,Дек2448[№ дома],$C$118,Дек2448[Комнатность],"&lt;&gt;Офис")</f>
        <v>36.64</v>
      </c>
      <c r="E121" s="200">
        <f>SUMIFS(Дек2448[Сумма без отделки],Дек2448[МОП],$A121,Дек2448[№ дома],$C$118,Дек2448[Комнатность],"&lt;&gt;Офис")</f>
        <v>4622268</v>
      </c>
      <c r="F121" s="201">
        <f>COUNTIFS(Дек2448[МОП],$A121,Дек2448[№ дома],$C$118,Дек2448[Комнатность],"&lt;&gt;Офис")</f>
        <v>1</v>
      </c>
      <c r="G121" s="202">
        <f>SUMIFS(РД[S],РД[Дом],$C$118,РД[МОП],A121,РД[Дата подачи на регистрацию],"&lt;="&amp;$A$1,РД[Дата подачи на регистрацию],"&gt;="&amp;DATE(YEAR($A$1),MONTH($A$1),1),РД[Состояние],"Продажа")</f>
        <v>66.260000000000005</v>
      </c>
      <c r="H121" s="203">
        <f>SUMIFS(РД[Стоимость без отделки итог],РД[Дом],$C$118,РД[МОП],A121,РД[Дата подачи на регистрацию],"&lt;="&amp;$A$1,РД[Дата подачи на регистрацию],"&gt;="&amp;DATE(YEAR($A$1),MONTH($A$1),1),РД[Состояние],"Продажа")</f>
        <v>8796668</v>
      </c>
      <c r="I121" s="226">
        <f>COUNTIFS(РД[Дом],$C$118,РД[МОП],A121,РД[Дата подачи на регистрацию],"&lt;="&amp;$A$1,РД[Дата подачи на регистрацию],"&gt;="&amp;DATE(YEAR($A$1),MONTH($A$1),1),РД[Состояние],"Продажа")</f>
        <v>2</v>
      </c>
      <c r="J121" s="224">
        <f t="shared" ref="J121:K126" si="26">IFERROR(G121/B121,)</f>
        <v>0.88346666666666673</v>
      </c>
      <c r="K121" s="225">
        <f t="shared" si="26"/>
        <v>0.9626119952744111</v>
      </c>
      <c r="L121" s="257">
        <f>COUNTIFS(РД[Тип кв],L$87,РД[МОП],$A121,РД[Дом],$C$118,РД[Дата подачи на регистрацию],"&lt;="&amp;$A$1,РД[Дата подачи на регистрацию],"&gt;="&amp;DATE(YEAR($A$1),MONTH($A$1),1))</f>
        <v>1</v>
      </c>
      <c r="M121" s="226">
        <f>COUNTIFS(РД[Тип кв],M$87,РД[МОП],$A121,РД[Дом],$C$118,РД[Дата подачи на регистрацию],"&lt;="&amp;$A$1,РД[Дата подачи на регистрацию],"&gt;="&amp;DATE(YEAR($A$1),MONTH($A$1),1))</f>
        <v>1</v>
      </c>
      <c r="N121" s="226">
        <f>COUNTIFS(РД[Тип кв],N$87,РД[МОП],$A121,РД[Дом],$C$118,РД[Дата подачи на регистрацию],"&lt;="&amp;$A$1,РД[Дата подачи на регистрацию],"&gt;="&amp;DATE(YEAR($A$1),MONTH($A$1),1))</f>
        <v>0</v>
      </c>
      <c r="O121" s="226">
        <f>COUNTIFS(РД[Тип кв],O$87,РД[МОП],$A121,РД[Дом],$C$118,РД[Дата подачи на регистрацию],"&lt;="&amp;$A$1,РД[Дата подачи на регистрацию],"&gt;="&amp;DATE(YEAR($A$1),MONTH($A$1),1))</f>
        <v>0</v>
      </c>
      <c r="P121" s="227">
        <f>COUNTIFS(РД[Тип кв],P$87,РД[МОП],$A121,РД[Дом],$C$118,РД[Дата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50" t="s">
        <v>20</v>
      </c>
      <c r="B122" s="143">
        <f>IFERROR(VLOOKUP(A122,'ИПП 1кв25'!$B$6:$N$17,10,0),"")</f>
        <v>60</v>
      </c>
      <c r="C122" s="144">
        <f>IFERROR(VLOOKUP(A122,'ИПП 1кв25'!$B$6:$N$17,11,0),"")</f>
        <v>7333230</v>
      </c>
      <c r="D122" s="199">
        <f>SUMIFS(Дек2448[м2],Дек2448[МОП],$A122,Дек2448[№ дома],$C$118,Дек2448[Комнатность],"&lt;&gt;Офис")</f>
        <v>0</v>
      </c>
      <c r="E122" s="200">
        <f>SUMIFS(Дек2448[Сумма без отделки],Дек2448[МОП],$A122,Дек2448[№ дома],$C$118,Дек2448[Комнатность],"&lt;&gt;Офис")</f>
        <v>0</v>
      </c>
      <c r="F122" s="201">
        <f>COUNTIFS(Дек2448[МОП],$A122,Дек2448[№ дома],$C$118,Дек2448[Комнатность],"&lt;&gt;Офис")</f>
        <v>0</v>
      </c>
      <c r="G122" s="202">
        <f>SUMIFS(РД[S],РД[Дом],$C$118,РД[МОП],A122,РД[Дата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203">
        <f>SUMIFS(РД[Стоимость без отделки итог],РД[Дом],$C$118,РД[МОП],A122,РД[Дата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6">
        <f>COUNTIFS(РД[Дом],$C$118,РД[МОП],A122,РД[Дата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4">
        <f t="shared" si="26"/>
        <v>0</v>
      </c>
      <c r="K122" s="225">
        <f t="shared" si="26"/>
        <v>0</v>
      </c>
      <c r="L122" s="257">
        <f>COUNTIFS(РД[Тип кв],L$87,РД[МОП],$A122,РД[Дом],$C$118,РД[Дата подачи на регистрацию],"&lt;="&amp;$A$1,РД[Дата подачи на регистрацию],"&gt;="&amp;DATE(YEAR($A$1),MONTH($A$1),1))</f>
        <v>0</v>
      </c>
      <c r="M122" s="226">
        <f>COUNTIFS(РД[Тип кв],M$87,РД[МОП],$A122,РД[Дом],$C$118,РД[Дата подачи на регистрацию],"&lt;="&amp;$A$1,РД[Дата подачи на регистрацию],"&gt;="&amp;DATE(YEAR($A$1),MONTH($A$1),1))</f>
        <v>0</v>
      </c>
      <c r="N122" s="226">
        <f>COUNTIFS(РД[Тип кв],N$87,РД[МОП],$A122,РД[Дом],$C$118,РД[Дата подачи на регистрацию],"&lt;="&amp;$A$1,РД[Дата подачи на регистрацию],"&gt;="&amp;DATE(YEAR($A$1),MONTH($A$1),1))</f>
        <v>0</v>
      </c>
      <c r="O122" s="226">
        <f>COUNTIFS(РД[Тип кв],O$87,РД[МОП],$A122,РД[Дом],$C$118,РД[Дата подачи на регистрацию],"&lt;="&amp;$A$1,РД[Дата подачи на регистрацию],"&gt;="&amp;DATE(YEAR($A$1),MONTH($A$1),1))</f>
        <v>0</v>
      </c>
      <c r="P122" s="227">
        <f>COUNTIFS(РД[Тип кв],P$87,РД[МОП],$A122,РД[Дом],$C$118,РД[Дата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53" t="s">
        <v>24</v>
      </c>
      <c r="B123" s="143">
        <f>IFERROR(VLOOKUP(A123,'ИПП 1кв25'!$B$6:$N$17,10,0),"")</f>
        <v>74</v>
      </c>
      <c r="C123" s="144">
        <f>IFERROR(VLOOKUP(A123,'ИПП 1кв25'!$B$6:$N$17,11,0),"")</f>
        <v>8969104</v>
      </c>
      <c r="D123" s="199">
        <f>SUMIFS(Дек2448[м2],Дек2448[МОП],$A123,Дек2448[№ дома],$C$118,Дек2448[Комнатность],"&lt;&gt;Офис")</f>
        <v>73.56</v>
      </c>
      <c r="E123" s="200">
        <f>SUMIFS(Дек2448[Сумма без отделки],Дек2448[МОП],$A123,Дек2448[№ дома],$C$118,Дек2448[Комнатность],"&lt;&gt;Офис")</f>
        <v>9156336</v>
      </c>
      <c r="F123" s="201">
        <f>COUNTIFS(Дек2448[МОП],$A123,Дек2448[№ дома],$C$118,Дек2448[Комнатность],"&lt;&gt;Офис")</f>
        <v>2</v>
      </c>
      <c r="G123" s="202">
        <f>SUMIFS(РД[S],РД[Дом],$C$118,РД[МОП],A123,РД[Дата подачи на регистрацию],"&lt;="&amp;$A$1,РД[Дата подачи на регистрацию],"&gt;="&amp;DATE(YEAR($A$1),MONTH($A$1),1),РД[Состояние],"Продажа")</f>
        <v>73.56</v>
      </c>
      <c r="H123" s="203">
        <f>SUMIFS(РД[Стоимость без отделки итог],РД[Дом],$C$118,РД[МОП],A123,РД[Дата подачи на регистрацию],"&lt;="&amp;$A$1,РД[Дата подачи на регистрацию],"&gt;="&amp;DATE(YEAR($A$1),MONTH($A$1),1),РД[Состояние],"Продажа")</f>
        <v>9156336</v>
      </c>
      <c r="I123" s="226">
        <f>COUNTIFS(РД[Дом],$C$118,РД[МОП],A123,РД[Дата подачи на регистрацию],"&lt;="&amp;$A$1,РД[Дата подачи на регистрацию],"&gt;="&amp;DATE(YEAR($A$1),MONTH($A$1),1),РД[Состояние],"Продажа")</f>
        <v>2</v>
      </c>
      <c r="J123" s="224">
        <f t="shared" si="26"/>
        <v>0.99405405405405411</v>
      </c>
      <c r="K123" s="225">
        <f t="shared" si="26"/>
        <v>1.0208752178589968</v>
      </c>
      <c r="L123" s="257">
        <f>COUNTIFS(РД[Тип кв],L$87,РД[МОП],$A123,РД[Дом],$C$118,РД[Дата подачи на регистрацию],"&lt;="&amp;$A$1,РД[Дата подачи на регистрацию],"&gt;="&amp;DATE(YEAR($A$1),MONTH($A$1),1))</f>
        <v>0</v>
      </c>
      <c r="M123" s="226">
        <f>COUNTIFS(РД[Тип кв],M$87,РД[МОП],$A123,РД[Дом],$C$118,РД[Дата подачи на регистрацию],"&lt;="&amp;$A$1,РД[Дата подачи на регистрацию],"&gt;="&amp;DATE(YEAR($A$1),MONTH($A$1),1))</f>
        <v>2</v>
      </c>
      <c r="N123" s="226">
        <f>COUNTIFS(РД[Тип кв],N$87,РД[МОП],$A123,РД[Дом],$C$118,РД[Дата подачи на регистрацию],"&lt;="&amp;$A$1,РД[Дата подачи на регистрацию],"&gt;="&amp;DATE(YEAR($A$1),MONTH($A$1),1))</f>
        <v>0</v>
      </c>
      <c r="O123" s="226">
        <f>COUNTIFS(РД[Тип кв],O$87,РД[МОП],$A123,РД[Дом],$C$118,РД[Дата подачи на регистрацию],"&lt;="&amp;$A$1,РД[Дата подачи на регистрацию],"&gt;="&amp;DATE(YEAR($A$1),MONTH($A$1),1))</f>
        <v>0</v>
      </c>
      <c r="P123" s="227">
        <f>COUNTIFS(РД[Тип кв],P$87,РД[МОП],$A123,РД[Дом],$C$118,РД[Дата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153" t="s">
        <v>14</v>
      </c>
      <c r="B124" s="143">
        <f>IFERROR(VLOOKUP(A124,'ИПП 1кв25'!$B$6:$N$17,10,0),"")</f>
        <v>79</v>
      </c>
      <c r="C124" s="144">
        <f>IFERROR(VLOOKUP(A124,'ИПП 1кв25'!$B$6:$N$17,11,0),"")</f>
        <v>9646017</v>
      </c>
      <c r="D124" s="299">
        <f>SUMIFS(Дек2448[м2],Дек2448[МОП],$A124,Дек2448[№ дома],$C$118,Дек2448[Комнатность],"&lt;&gt;Офис")</f>
        <v>0</v>
      </c>
      <c r="E124" s="300">
        <f>SUMIFS(Дек2448[Сумма без отделки],Дек2448[МОП],$A124,Дек2448[№ дома],$C$118,Дек2448[Комнатность],"&lt;&gt;Офис")</f>
        <v>0</v>
      </c>
      <c r="F124" s="301">
        <f>COUNTIFS(Дек2448[МОП],$A124,Дек2448[№ дома],$C$118,Дек2448[Комнатность],"&lt;&gt;Офис")</f>
        <v>0</v>
      </c>
      <c r="G124" s="358">
        <f>SUMIFS(РД[S],РД[Дом],$C$118,РД[МОП],A124,РД[Дата подачи на регистрацию],"&lt;="&amp;$A$1,РД[Дата подачи на регистрацию],"&gt;="&amp;DATE(YEAR($A$1),MONTH($A$1),1),РД[Состояние],"Продажа")</f>
        <v>0</v>
      </c>
      <c r="H124" s="359">
        <f>SUMIFS(РД[Стоимость без отделки итог],РД[Дом],$C$118,РД[МОП],A124,РД[Дата подачи на регистрацию],"&lt;="&amp;$A$1,РД[Дата подачи на регистрацию],"&gt;="&amp;DATE(YEAR($A$1),MONTH($A$1),1),РД[Состояние],"Продажа")</f>
        <v>0</v>
      </c>
      <c r="I124" s="330">
        <f>COUNTIFS(РД[Дом],$C$118,РД[МОП],A124,РД[Дата подачи на регистрацию],"&lt;="&amp;$A$1,РД[Дата подачи на регистрацию],"&gt;="&amp;DATE(YEAR($A$1),MONTH($A$1),1),РД[Состояние],"Продажа")</f>
        <v>0</v>
      </c>
      <c r="J124" s="360">
        <f t="shared" si="26"/>
        <v>0</v>
      </c>
      <c r="K124" s="361">
        <f t="shared" si="26"/>
        <v>0</v>
      </c>
      <c r="L124" s="329">
        <f>COUNTIFS(РД[Тип кв],L$87,РД[МОП],$A124,РД[Дом],$C$118,РД[Дата подачи на регистрацию],"&lt;="&amp;$A$1,РД[Дата подачи на регистрацию],"&gt;="&amp;DATE(YEAR($A$1),MONTH($A$1),1))</f>
        <v>0</v>
      </c>
      <c r="M124" s="330">
        <f>COUNTIFS(РД[Тип кв],M$87,РД[МОП],$A124,РД[Дом],$C$118,РД[Дата подачи на регистрацию],"&lt;="&amp;$A$1,РД[Дата подачи на регистрацию],"&gt;="&amp;DATE(YEAR($A$1),MONTH($A$1),1))</f>
        <v>0</v>
      </c>
      <c r="N124" s="330">
        <f>COUNTIFS(РД[Тип кв],N$87,РД[МОП],$A124,РД[Дом],$C$118,РД[Дата подачи на регистрацию],"&lt;="&amp;$A$1,РД[Дата подачи на регистрацию],"&gt;="&amp;DATE(YEAR($A$1),MONTH($A$1),1))</f>
        <v>0</v>
      </c>
      <c r="O124" s="330">
        <f>COUNTIFS(РД[Тип кв],O$87,РД[МОП],$A124,РД[Дом],$C$118,РД[Дата подачи на регистрацию],"&lt;="&amp;$A$1,РД[Дата подачи на регистрацию],"&gt;="&amp;DATE(YEAR($A$1),MONTH($A$1),1))</f>
        <v>0</v>
      </c>
      <c r="P124" s="331">
        <f>COUNTIFS(РД[Тип кв],P$87,РД[МОП],$A124,РД[Дом],$C$118,РД[Дата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154" t="s">
        <v>29</v>
      </c>
      <c r="B125" s="155"/>
      <c r="C125" s="156"/>
      <c r="D125" s="157">
        <f>SUMIFS(Дек2448[м2],Дек2448[МОП],$A125,Дек2448[№ дома],$C$118,Дек2448[Комнатность],"&lt;&gt;Офис")</f>
        <v>0</v>
      </c>
      <c r="E125" s="156">
        <f>SUMIFS(Дек2448[Сумма без отделки],Дек2448[МОП],$A125,Дек2448[№ дома],$C$118,Дек2448[Комнатность],"&lt;&gt;Офис")</f>
        <v>0</v>
      </c>
      <c r="F125" s="158">
        <f>COUNTIFS(Дек2448[МОП],$A125,Дек2448[№ дома],$C$118,Дек2448[Комнатность],"&lt;&gt;Офис")</f>
        <v>0</v>
      </c>
      <c r="G125" s="159">
        <f>SUMIFS(РД[S],РД[Дом],$C$118,РД[МОП],A125,РД[Дата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160">
        <f>SUMIFS(РД[Стоимость без отделки итог],РД[Дом],$C$118,РД[МОП],A125,РД[Дата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8">
        <f>COUNTIFS(РД[Дом],$C$118,РД[МОП],A125,РД[Дата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9">
        <f t="shared" si="26"/>
        <v>0</v>
      </c>
      <c r="K125" s="230">
        <f t="shared" si="26"/>
        <v>0</v>
      </c>
      <c r="L125" s="159">
        <f>COUNTIFS(РД[Тип кв],L$87,РД[МОП],$A125,РД[Дом],$C$118,РД[Дата подачи на регистрацию],"&lt;="&amp;$A$1,РД[Дата подачи на регистрацию],"&gt;="&amp;DATE(YEAR($A$1),MONTH($A$1),1))</f>
        <v>0</v>
      </c>
      <c r="M125" s="228">
        <f>COUNTIFS(РД[Тип кв],M$87,РД[МОП],$A125,РД[Дом],$C$118,РД[Дата подачи на регистрацию],"&lt;="&amp;$A$1,РД[Дата подачи на регистрацию],"&gt;="&amp;DATE(YEAR($A$1),MONTH($A$1),1))</f>
        <v>0</v>
      </c>
      <c r="N125" s="228">
        <f>COUNTIFS(РД[Тип кв],N$87,РД[МОП],$A125,РД[Дом],$C$118,РД[Дата подачи на регистрацию],"&lt;="&amp;$A$1,РД[Дата подачи на регистрацию],"&gt;="&amp;DATE(YEAR($A$1),MONTH($A$1),1))</f>
        <v>0</v>
      </c>
      <c r="O125" s="228">
        <f>COUNTIFS(РД[Тип кв],O$87,РД[МОП],$A125,РД[Дом],$C$118,РД[Дата подачи на регистрацию],"&lt;="&amp;$A$1,РД[Дата подачи на регистрацию],"&gt;="&amp;DATE(YEAR($A$1),MONTH($A$1),1))</f>
        <v>0</v>
      </c>
      <c r="P125" s="231">
        <f>COUNTIFS(РД[Тип кв],P$87,РД[МОП],$A125,РД[Дом],$C$118,РД[Дата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61" t="s">
        <v>1919</v>
      </c>
      <c r="B126" s="162"/>
      <c r="C126" s="163"/>
      <c r="D126" s="164">
        <f>SUMIFS(Дек2448[м2],Дек2448[МОП],$A126,Дек2448[№ дома],$C$118,Дек2448[Комнатность],"&lt;&gt;Офис")</f>
        <v>29.62</v>
      </c>
      <c r="E126" s="163">
        <f>SUMIFS(Дек2448[Сумма без отделки],Дек2448[МОП],$A126,Дек2448[№ дома],$C$118,Дек2448[Комнатность],"&lt;&gt;Офис")</f>
        <v>4174400</v>
      </c>
      <c r="F126" s="165">
        <f>COUNTIFS(Дек2448[МОП],$A126,Дек2448[№ дома],$C$118,Дек2448[Комнатность],"&lt;&gt;Офис")</f>
        <v>1</v>
      </c>
      <c r="G126" s="166">
        <f>SUMIFS(РД[S],РД[Дом],$C$118,РД[МОП],A126,РД[Дата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167">
        <f>SUMIFS(РД[Стоимость без отделки итог],РД[Дом],$C$118,РД[МОП],A126,РД[Дата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32">
        <f>COUNTIFS(РД[Дом],$C$118,РД[МОП],A126,РД[Дата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33">
        <f t="shared" si="26"/>
        <v>0</v>
      </c>
      <c r="K126" s="234">
        <f t="shared" si="26"/>
        <v>0</v>
      </c>
      <c r="L126" s="235">
        <f>COUNTIFS(РД[Тип кв],L$87,РД[МОП],$A126,РД[Дом],$C$118,РД[Дата подачи на регистрацию],"&lt;="&amp;$A$1,РД[Дата подачи на регистрацию],"&gt;="&amp;DATE(YEAR($A$1),MONTH($A$1),1))</f>
        <v>0</v>
      </c>
      <c r="M126" s="236">
        <f>COUNTIFS(РД[Тип кв],M$87,РД[МОП],$A126,РД[Дом],$C$118,РД[Дата подачи на регистрацию],"&lt;="&amp;$A$1,РД[Дата подачи на регистрацию],"&gt;="&amp;DATE(YEAR($A$1),MONTH($A$1),1))</f>
        <v>0</v>
      </c>
      <c r="N126" s="236">
        <f>COUNTIFS(РД[Тип кв],N$87,РД[МОП],$A126,РД[Дом],$C$118,РД[Дата подачи на регистрацию],"&lt;="&amp;$A$1,РД[Дата подачи на регистрацию],"&gt;="&amp;DATE(YEAR($A$1),MONTH($A$1),1))</f>
        <v>0</v>
      </c>
      <c r="O126" s="236">
        <f>COUNTIFS(РД[Тип кв],O$87,РД[МОП],$A126,РД[Дом],$C$118,РД[Дата подачи на регистрацию],"&lt;="&amp;$A$1,РД[Дата подачи на регистрацию],"&gt;="&amp;DATE(YEAR($A$1),MONTH($A$1),1))</f>
        <v>0</v>
      </c>
      <c r="P126" s="237">
        <f>COUNTIFS(РД[Тип кв],P$87,РД[МОП],$A126,РД[Дом],$C$118,РД[Дата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68" t="s">
        <v>114</v>
      </c>
      <c r="B127" s="169">
        <f t="shared" ref="B127:I127" si="27">SUM(B120:B126)</f>
        <v>313</v>
      </c>
      <c r="C127" s="170">
        <f t="shared" si="27"/>
        <v>38189203</v>
      </c>
      <c r="D127" s="170">
        <f t="shared" si="27"/>
        <v>139.82</v>
      </c>
      <c r="E127" s="170">
        <f t="shared" si="27"/>
        <v>17953004</v>
      </c>
      <c r="F127" s="171">
        <f t="shared" si="27"/>
        <v>4</v>
      </c>
      <c r="G127" s="172">
        <f t="shared" si="27"/>
        <v>139.82</v>
      </c>
      <c r="H127" s="173">
        <f t="shared" si="27"/>
        <v>17953004</v>
      </c>
      <c r="I127" s="170">
        <f t="shared" si="27"/>
        <v>4</v>
      </c>
      <c r="J127" s="238">
        <f t="shared" ref="J127" si="28">IFERROR(G127/B127,"")</f>
        <v>0.44670926517571885</v>
      </c>
      <c r="K127" s="239">
        <f t="shared" ref="K127" si="29">IFERROR(H127/C127,"")</f>
        <v>0.47010679955797979</v>
      </c>
      <c r="L127" s="240">
        <f>SUM(L120:L126)</f>
        <v>1</v>
      </c>
      <c r="M127" s="241">
        <f>SUM(M120:M126)</f>
        <v>3</v>
      </c>
      <c r="N127" s="241">
        <f>SUM(N120:N126)</f>
        <v>0</v>
      </c>
      <c r="O127" s="241">
        <f>SUM(O120:O126)</f>
        <v>0</v>
      </c>
      <c r="P127" s="242">
        <f>SUM(P120:P126)</f>
        <v>0</v>
      </c>
      <c r="Q127" s="134"/>
      <c r="U127" s="66"/>
    </row>
    <row r="128" spans="1:21" s="65" customFormat="1">
      <c r="A128" s="135" t="s">
        <v>115</v>
      </c>
      <c r="B128" s="213" t="s">
        <v>100</v>
      </c>
      <c r="C128" s="214" t="s">
        <v>97</v>
      </c>
      <c r="D128" s="174" t="s">
        <v>494</v>
      </c>
      <c r="E128" s="175" t="s">
        <v>495</v>
      </c>
      <c r="F128" s="176" t="s">
        <v>496</v>
      </c>
      <c r="G128" s="140" t="s">
        <v>101</v>
      </c>
      <c r="H128" s="141" t="s">
        <v>98</v>
      </c>
      <c r="I128" s="141" t="s">
        <v>96</v>
      </c>
      <c r="J128" s="141" t="s">
        <v>715</v>
      </c>
      <c r="K128" s="216" t="s">
        <v>716</v>
      </c>
      <c r="L128" s="217">
        <v>0</v>
      </c>
      <c r="M128" s="218">
        <v>1</v>
      </c>
      <c r="N128" s="218">
        <v>2</v>
      </c>
      <c r="O128" s="218">
        <v>3</v>
      </c>
      <c r="P128" s="219" t="s">
        <v>1367</v>
      </c>
      <c r="Q128" s="134"/>
      <c r="U128" s="66"/>
    </row>
    <row r="129" spans="1:21" s="65" customFormat="1">
      <c r="A129" s="177" t="s">
        <v>22</v>
      </c>
      <c r="B129" s="178">
        <f>IFERROR(VLOOKUP(A129,'ИПП 1кв25'!$B$6:$N$17,10,0),"")</f>
        <v>123.11781115879829</v>
      </c>
      <c r="C129" s="179">
        <f>IFERROR(VLOOKUP(A129,'ИПП 1кв25'!$B$6:$N$17,11,0),"")</f>
        <v>15021632.85386266</v>
      </c>
      <c r="D129" s="180">
        <f>SUMIFS(Дек2448[м2],Дек2448[ИМ],A129,Дек2448[№ дома],$C$118,Дек2448[Комнатность],"&lt;&gt;Офис")</f>
        <v>0</v>
      </c>
      <c r="E129" s="181">
        <f>SUMIFS(Дек2448[Сумма без отделки],Дек2448[ИМ],$A129,Дек2448[№ дома],$C$118,Дек2448[Комнатность],"&lt;&gt;Офис")</f>
        <v>0</v>
      </c>
      <c r="F129" s="204">
        <f>COUNTIFS(Дек2448[ИМ],$A129,Дек2448[№ дома],$C$118,Дек2448[Комнатность],"&lt;&gt;Офис")</f>
        <v>0</v>
      </c>
      <c r="G129" s="183">
        <f>SUMIFS(РД[S],РД[Дом],$C$118,РД[ИМ],A129,РД[Дата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H129" s="184">
        <f>SUMIFS(РД[Стоимость без отделки итог],РД[Дом],$C$118,РД[ИМ],A129,РД[Дата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I129" s="243">
        <f>COUNTIFS(РД[Дом],$C$118,РД[ИМ],A129,РД[Дата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J129" s="244">
        <f t="shared" ref="J129:K131" si="30">IFERROR(G129/B129,"")</f>
        <v>0</v>
      </c>
      <c r="K129" s="258">
        <f t="shared" si="30"/>
        <v>0</v>
      </c>
      <c r="L129" s="183">
        <f>COUNTIFS(РД[Тип кв],L119,РД[ИМ],$A129,РД[Дом],$C$118,РД[Дата подачи на регистрацию],"&lt;="&amp;$A$1,РД[Дата подачи на регистрацию],"&gt;="&amp;DATE(YEAR($A$1),MONTH($A$1),1))</f>
        <v>0</v>
      </c>
      <c r="M129" s="243">
        <f>COUNTIFS(РД[Тип кв],M119,РД[ИМ],$A129,РД[Дом],$C$118,РД[Дата подачи на регистрацию],"&lt;="&amp;$A$1,РД[Дата подачи на регистрацию],"&gt;="&amp;DATE(YEAR($A$1),MONTH($A$1),1))</f>
        <v>0</v>
      </c>
      <c r="N129" s="243">
        <f>COUNTIFS(РД[Тип кв],N119,РД[ИМ],$A129,РД[Дом],$C$118,РД[Дата подачи на регистрацию],"&lt;="&amp;$A$1,РД[Дата подачи на регистрацию],"&gt;="&amp;DATE(YEAR($A$1),MONTH($A$1),1))</f>
        <v>0</v>
      </c>
      <c r="O129" s="243">
        <f>COUNTIFS(РД[Тип кв],O119,РД[ИМ],$A129,РД[Дом],$C$118,РД[Дата подачи на регистрацию],"&lt;="&amp;$A$1,РД[Дата подачи на регистрацию],"&gt;="&amp;DATE(YEAR($A$1),MONTH($A$1),1))</f>
        <v>0</v>
      </c>
      <c r="P129" s="246">
        <f>COUNTIFS(РД[Тип кв],P119,РД[ИМ],$A129,РД[Дом],$C$118,РД[Дата подачи на регистрацию],"&lt;="&amp;$A$1,РД[Дата подачи на регистрацию],"&gt;="&amp;DATE(YEAR($A$1),MONTH($A$1),1))</f>
        <v>0</v>
      </c>
      <c r="Q129" s="134"/>
      <c r="U129" s="66"/>
    </row>
    <row r="130" spans="1:21" s="65" customFormat="1">
      <c r="A130" s="150" t="s">
        <v>26</v>
      </c>
      <c r="B130" s="143">
        <f>IFERROR(VLOOKUP(A130,'ИПП 1кв25'!$B$6:$N$17,10,0),"")</f>
        <v>80.332188841201727</v>
      </c>
      <c r="C130" s="144">
        <f>IFERROR(VLOOKUP(A130,'ИПП 1кв25'!$B$6:$N$17,11,0),"")</f>
        <v>9801349.0961373392</v>
      </c>
      <c r="D130" s="205">
        <f>SUMIFS(Дек2448[м2],Дек2448[ИМ],A130,Дек2448[№ дома],$C$118,Дек2448[Комнатность],"&lt;&gt;Офис")</f>
        <v>0</v>
      </c>
      <c r="E130" s="206">
        <f>SUMIFS(Дек2448[Сумма без отделки],Дек2448[ИМ],$A130,Дек2448[№ дома],$C$118,Дек2448[Комнатность],"&lt;&gt;Офис")</f>
        <v>0</v>
      </c>
      <c r="F130" s="207">
        <f>COUNTIFS(Дек2448[ИМ],$A130,Дек2448[№ дома],$C$118,Дек2448[Комнатность],"&lt;&gt;Офис")</f>
        <v>0</v>
      </c>
      <c r="G130" s="187">
        <f>SUMIFS(РД[S],РД[Дом],$C$118,РД[ИМ],A130,РД[Дата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H130" s="188">
        <f>SUMIFS(РД[Стоимость без отделки итог],РД[Дом],$C$118,РД[ИМ],A130,РД[Дата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I130" s="247">
        <f>COUNTIFS(РД[Дом],$C$118,РД[ИМ],A130,РД[Дата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J130" s="248">
        <f t="shared" si="30"/>
        <v>0</v>
      </c>
      <c r="K130" s="259">
        <f t="shared" si="30"/>
        <v>0</v>
      </c>
      <c r="L130" s="187">
        <f>COUNTIFS(РД[Тип кв],L$87,РД[ИМ],$A130,РД[Дом],$C$118,РД[Дата подачи на регистрацию],"&lt;="&amp;$A$1,РД[Дата подачи на регистрацию],"&gt;="&amp;DATE(YEAR($A$1),MONTH($A$1),1))</f>
        <v>0</v>
      </c>
      <c r="M130" s="247">
        <f>COUNTIFS(РД[Тип кв],M$87,РД[ИМ],$A130,РД[Дом],$C$118,РД[Дата подачи на регистрацию],"&lt;="&amp;$A$1,РД[Дата подачи на регистрацию],"&gt;="&amp;DATE(YEAR($A$1),MONTH($A$1),1))</f>
        <v>0</v>
      </c>
      <c r="N130" s="247">
        <f>COUNTIFS(РД[Тип кв],N$87,РД[ИМ],$A130,РД[Дом],$C$118,РД[Дата подачи на регистрацию],"&lt;="&amp;$A$1,РД[Дата подачи на регистрацию],"&gt;="&amp;DATE(YEAR($A$1),MONTH($A$1),1))</f>
        <v>0</v>
      </c>
      <c r="O130" s="247">
        <f>COUNTIFS(РД[Тип кв],O$87,РД[ИМ],$A130,РД[Дом],$C$118,РД[Дата подачи на регистрацию],"&lt;="&amp;$A$1,РД[Дата подачи на регистрацию],"&gt;="&amp;DATE(YEAR($A$1),MONTH($A$1),1))</f>
        <v>0</v>
      </c>
      <c r="P130" s="250">
        <f>COUNTIFS(РД[Тип кв],P$87,РД[ИМ],$A130,РД[Дом],$C$118,РД[Дата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189" t="s">
        <v>3</v>
      </c>
      <c r="B131" s="190">
        <f>IFERROR(VLOOKUP(A131,'ИПП 1кв25'!$B$6:$N$17,10,0),"")</f>
        <v>0</v>
      </c>
      <c r="C131" s="191">
        <f>IFERROR(VLOOKUP(A131,'ИПП 1кв25'!$B$6:$N$17,11,0),"")</f>
        <v>0</v>
      </c>
      <c r="D131" s="208">
        <f>SUMIFS(Дек2448[м2],Дек2448[ИМ],A131,Дек2448[№ дома],$C$118,Дек2448[Комнатность],"&lt;&gt;Офис")</f>
        <v>0</v>
      </c>
      <c r="E131" s="209">
        <f>SUMIFS(Дек2448[Сумма без отделки],Дек2448[ИМ],$A131,Дек2448[№ дома],$C$118,Дек2448[Комнатность],"&lt;&gt;Офис")</f>
        <v>0</v>
      </c>
      <c r="F131" s="210">
        <f>COUNTIFS(Дек2448[ИМ],$A131,Дек2448[№ дома],$C$118,Дек2448[Комнатность],"&lt;&gt;Офис")</f>
        <v>0</v>
      </c>
      <c r="G131" s="195">
        <f>SUMIFS(РД[S],РД[Дом],$C$118,РД[ИМ],A131,РД[Дата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H131" s="196">
        <f>SUMIFS(РД[Стоимость без отделки итог],РД[Дом],$C$118,РД[ИМ],A131,РД[Дата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I131" s="251">
        <f>COUNTIFS(РД[Дом],$C$118,РД[ИМ],A131,РД[Дата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J131" s="252" t="str">
        <f t="shared" si="30"/>
        <v/>
      </c>
      <c r="K131" s="260" t="str">
        <f t="shared" si="30"/>
        <v/>
      </c>
      <c r="L131" s="195">
        <f>COUNTIFS(РД[Тип кв],L$87,РД[ИМ],$A131,РД[Дом],$C$118,РД[Дата подачи на регистрацию],"&lt;="&amp;$A$1,РД[Дата подачи на регистрацию],"&gt;="&amp;DATE(YEAR($A$1),MONTH($A$1),1))</f>
        <v>0</v>
      </c>
      <c r="M131" s="251">
        <f>COUNTIFS(РД[Тип кв],M$87,РД[ИМ],$A131,РД[Дом],$C$118,РД[Дата подачи на регистрацию],"&lt;="&amp;$A$1,РД[Дата подачи на регистрацию],"&gt;="&amp;DATE(YEAR($A$1),MONTH($A$1),1))</f>
        <v>0</v>
      </c>
      <c r="N131" s="251">
        <f>COUNTIFS(РД[Тип кв],N$87,РД[ИМ],$A131,РД[Дом],$C$118,РД[Дата подачи на регистрацию],"&lt;="&amp;$A$1,РД[Дата подачи на регистрацию],"&gt;="&amp;DATE(YEAR($A$1),MONTH($A$1),1))</f>
        <v>0</v>
      </c>
      <c r="O131" s="251">
        <f>COUNTIFS(РД[Тип кв],O$87,РД[ИМ],$A131,РД[Дом],$C$118,РД[Дата подачи на регистрацию],"&lt;="&amp;$A$1,РД[Дата подачи на регистрацию],"&gt;="&amp;DATE(YEAR($A$1),MONTH($A$1),1))</f>
        <v>0</v>
      </c>
      <c r="P131" s="254">
        <f>COUNTIFS(РД[Тип кв],P$87,РД[ИМ],$A131,РД[Дом],$C$118,РД[Дата подачи на регистрацию],"&lt;="&amp;$A$1,РД[Дата подачи на регистрацию],"&gt;="&amp;DATE(YEAR($A$1),MONTH($A$1),1))</f>
        <v>0</v>
      </c>
      <c r="Q131" s="134"/>
      <c r="U131" s="66"/>
    </row>
    <row r="132" spans="1:21" s="65" customFormat="1">
      <c r="A132" s="168" t="s">
        <v>114</v>
      </c>
      <c r="B132" s="169">
        <f t="shared" ref="B132:I132" si="31">SUM(B129:B131)</f>
        <v>203.45000000000002</v>
      </c>
      <c r="C132" s="170">
        <f t="shared" si="31"/>
        <v>24822981.949999999</v>
      </c>
      <c r="D132" s="170">
        <f t="shared" si="31"/>
        <v>0</v>
      </c>
      <c r="E132" s="170">
        <f t="shared" si="31"/>
        <v>0</v>
      </c>
      <c r="F132" s="171">
        <f t="shared" si="31"/>
        <v>0</v>
      </c>
      <c r="G132" s="172">
        <f t="shared" si="31"/>
        <v>0</v>
      </c>
      <c r="H132" s="173">
        <f t="shared" si="31"/>
        <v>0</v>
      </c>
      <c r="I132" s="170">
        <f t="shared" si="31"/>
        <v>0</v>
      </c>
      <c r="J132" s="238">
        <f>IFERROR(G132/B132,)</f>
        <v>0</v>
      </c>
      <c r="K132" s="239">
        <f>IFERROR(H132/C132,)</f>
        <v>0</v>
      </c>
      <c r="L132" s="240">
        <f t="shared" ref="L132:P132" si="32">SUM(L129:L131)</f>
        <v>0</v>
      </c>
      <c r="M132" s="241">
        <f t="shared" si="32"/>
        <v>0</v>
      </c>
      <c r="N132" s="241">
        <f t="shared" si="32"/>
        <v>0</v>
      </c>
      <c r="O132" s="241">
        <f t="shared" si="32"/>
        <v>0</v>
      </c>
      <c r="P132" s="242">
        <f t="shared" si="32"/>
        <v>0</v>
      </c>
      <c r="Q132" s="134"/>
      <c r="U132" s="66"/>
    </row>
    <row r="133" spans="1:21" s="65" customFormat="1">
      <c r="A133" s="134"/>
      <c r="B133" s="197"/>
      <c r="C133" s="197"/>
      <c r="D133" s="197"/>
      <c r="E133" s="197"/>
      <c r="F133" s="215"/>
      <c r="G133" s="197"/>
      <c r="H133" s="197"/>
      <c r="I133" s="215"/>
      <c r="J133" s="255"/>
      <c r="K133" s="256"/>
      <c r="L133" s="215"/>
      <c r="M133" s="215"/>
      <c r="N133" s="215"/>
      <c r="O133" s="215"/>
      <c r="P133" s="215"/>
      <c r="Q133" s="134"/>
      <c r="U133" s="66"/>
    </row>
    <row r="134" spans="1:21" s="65" customFormat="1">
      <c r="A134" s="2325" t="s">
        <v>713</v>
      </c>
      <c r="B134" s="2326"/>
      <c r="C134" s="133" t="s">
        <v>718</v>
      </c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T134" s="66"/>
    </row>
    <row r="135" spans="1:21" s="65" customFormat="1">
      <c r="A135" s="135" t="s">
        <v>1</v>
      </c>
      <c r="B135" s="135" t="s">
        <v>100</v>
      </c>
      <c r="C135" s="136" t="s">
        <v>97</v>
      </c>
      <c r="D135" s="137" t="s">
        <v>494</v>
      </c>
      <c r="E135" s="138" t="s">
        <v>495</v>
      </c>
      <c r="F135" s="139" t="s">
        <v>496</v>
      </c>
      <c r="G135" s="140" t="s">
        <v>101</v>
      </c>
      <c r="H135" s="141" t="s">
        <v>98</v>
      </c>
      <c r="I135" s="141" t="s">
        <v>96</v>
      </c>
      <c r="J135" s="141" t="s">
        <v>715</v>
      </c>
      <c r="K135" s="216" t="s">
        <v>716</v>
      </c>
      <c r="L135" s="217">
        <v>0</v>
      </c>
      <c r="M135" s="218">
        <v>1</v>
      </c>
      <c r="N135" s="218">
        <v>2</v>
      </c>
      <c r="O135" s="218">
        <v>3</v>
      </c>
      <c r="P135" s="219" t="s">
        <v>1367</v>
      </c>
      <c r="T135" s="66"/>
    </row>
    <row r="136" spans="1:21" s="65" customFormat="1">
      <c r="A136" s="142" t="s">
        <v>28</v>
      </c>
      <c r="B136" s="143">
        <f>IFERROR(VLOOKUP(A136,'ИПП 1кв25'!$B$6:$N$17,12,0),"")</f>
        <v>100</v>
      </c>
      <c r="C136" s="144">
        <f>IFERROR(VLOOKUP(A136,'ИПП 1кв25'!$B$6:$N$17,13,0),"")</f>
        <v>12686155</v>
      </c>
      <c r="D136" s="199">
        <f>SUMIFS(Дек2448[м2],Дек2448[МОП],$A136,Дек2448[Комнатность],"&lt;&gt;Офис")</f>
        <v>0</v>
      </c>
      <c r="E136" s="200">
        <f>SUMIFS(Дек2448[Сумма без отделки],Дек2448[МОП],$A136,Дек2448[Комнатность],"&lt;&gt;Офис")</f>
        <v>0</v>
      </c>
      <c r="F136" s="201">
        <f>COUNTIFS(Дек2448[МОП],$A136,Дек2448[Комнатность],"&lt;&gt;Офис")</f>
        <v>0</v>
      </c>
      <c r="G136" s="202">
        <f>SUMIFS(РД[S],РД[МОП],A136,РД[Дата подачи на регистрацию],"&lt;="&amp;$A$1,РД[Дата подачи на регистрацию],"&gt;="&amp;DATE(YEAR($A$1),MONTH($A$1),1),РД[Состояние],"Продажа")</f>
        <v>0</v>
      </c>
      <c r="H136" s="203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регистрацию],"&gt;="&amp;DATE(YEAR($A$1),MONTH($A$1),1),РД[Состояние],"Продажа")</f>
        <v>0</v>
      </c>
      <c r="I136" s="226">
        <f>COUNTIFS(РД[МОП],A136,РД[Дата подачи на регистрацию],"&lt;="&amp;$A$1,РД[Дата подачи на регистрацию],"&gt;="&amp;DATE(YEAR($A$1),MONTH($A$1),1),РД[Состояние],"Продажа")</f>
        <v>0</v>
      </c>
      <c r="J136" s="224">
        <f t="shared" ref="J136" si="33">IFERROR(G136/B136,"")</f>
        <v>0</v>
      </c>
      <c r="K136" s="225">
        <f t="shared" ref="K136" si="34">IFERROR(H136/C136,"")</f>
        <v>0</v>
      </c>
      <c r="L136" s="257">
        <f>COUNTIFS(РД[Тип кв],L$87,РД[МОП],$A136,РД[Дата подачи на регистрацию],"&lt;="&amp;$A$1,РД[Дата подачи на регистрацию],"&gt;="&amp;DATE(YEAR($A$1),MONTH($A$1),1))</f>
        <v>0</v>
      </c>
      <c r="M136" s="226">
        <f>COUNTIFS(РД[Тип кв],M$87,РД[МОП],$A136,РД[Дата подачи на регистрацию],"&lt;="&amp;$A$1,РД[Дата подачи на регистрацию],"&gt;="&amp;DATE(YEAR($A$1),MONTH($A$1),1))</f>
        <v>0</v>
      </c>
      <c r="N136" s="226">
        <f>COUNTIFS(РД[Тип кв],N$87,РД[МОП],$A136,РД[Дата подачи на регистрацию],"&lt;="&amp;$A$1,РД[Дата подачи на регистрацию],"&gt;="&amp;DATE(YEAR($A$1),MONTH($A$1),1))</f>
        <v>0</v>
      </c>
      <c r="O136" s="226">
        <f>COUNTIFS(РД[Тип кв],O$87,РД[МОП],$A136,РД[Дата подачи на регистрацию],"&lt;="&amp;$A$1,РД[Дата подачи на регистрацию],"&gt;="&amp;DATE(YEAR($A$1),MONTH($A$1),1))</f>
        <v>0</v>
      </c>
      <c r="P136" s="227">
        <f>COUNTIFS(РД[Тип кв],P$87,РД[МОП],$A136,РД[Дата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42" t="s">
        <v>8</v>
      </c>
      <c r="B137" s="143">
        <f>IFERROR(VLOOKUP(A137,'ИПП 1кв25'!$B$6:$N$17,12,0),"")</f>
        <v>295</v>
      </c>
      <c r="C137" s="144">
        <f>IFERROR(VLOOKUP(A137,'ИПП 1кв25'!$B$6:$N$17,13,0),"")</f>
        <v>37366492</v>
      </c>
      <c r="D137" s="199">
        <f>SUMIFS(Дек2448[м2],Дек2448[МОП],$A137,Дек2448[Комнатность],"&lt;&gt;Офис")</f>
        <v>36.64</v>
      </c>
      <c r="E137" s="200">
        <f>SUMIFS(Дек2448[Сумма без отделки],Дек2448[МОП],$A137,Дек2448[Комнатность],"&lt;&gt;Офис")</f>
        <v>4622268</v>
      </c>
      <c r="F137" s="201">
        <f>COUNTIFS(Дек2448[МОП],$A137,Дек2448[Комнатность],"&lt;&gt;Офис")</f>
        <v>1</v>
      </c>
      <c r="G137" s="202">
        <f>SUMIFS(РД[S],РД[МОП],A137,РД[Дата подачи на регистрацию],"&lt;="&amp;$A$1,РД[Дата подачи на регистрацию],"&gt;="&amp;DATE(YEAR($A$1),MONTH($A$1),1),РД[Состояние],"Продажа")</f>
        <v>66.260000000000005</v>
      </c>
      <c r="H137" s="203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8796668</v>
      </c>
      <c r="I137" s="226">
        <f>COUNTIFS(РД[МОП],A137,РД[Дата подачи на регистрацию],"&lt;="&amp;$A$1,РД[Дата подачи на регистрацию],"&gt;="&amp;DATE(YEAR($A$1),MONTH($A$1),1),РД[Состояние],"Продажа")</f>
        <v>2</v>
      </c>
      <c r="J137" s="224">
        <f t="shared" ref="J137:K143" si="35">IFERROR(G137/B137,"")</f>
        <v>0.22461016949152543</v>
      </c>
      <c r="K137" s="225">
        <f t="shared" si="35"/>
        <v>0.23541594431717058</v>
      </c>
      <c r="L137" s="257">
        <f>COUNTIFS(РД[Тип кв],L$87,РД[МОП],$A137,РД[Дата подачи на регистрацию],"&lt;="&amp;$A$1,РД[Дата подачи на регистрацию],"&gt;="&amp;DATE(YEAR($A$1),MONTH($A$1),1))</f>
        <v>1</v>
      </c>
      <c r="M137" s="226">
        <f>COUNTIFS(РД[Тип кв],M$87,РД[МОП],$A137,РД[Дата подачи на регистрацию],"&lt;="&amp;$A$1,РД[Дата подачи на регистрацию],"&gt;="&amp;DATE(YEAR($A$1),MONTH($A$1),1))</f>
        <v>1</v>
      </c>
      <c r="N137" s="226">
        <f>COUNTIFS(РД[Тип кв],N$87,РД[МОП],$A137,РД[Дата подачи на регистрацию],"&lt;="&amp;$A$1,РД[Дата подачи на регистрацию],"&gt;="&amp;DATE(YEAR($A$1),MONTH($A$1),1))</f>
        <v>0</v>
      </c>
      <c r="O137" s="226">
        <f>COUNTIFS(РД[Тип кв],O$87,РД[МОП],$A137,РД[Дата подачи на регистрацию],"&lt;="&amp;$A$1,РД[Дата подачи на регистрацию],"&gt;="&amp;DATE(YEAR($A$1),MONTH($A$1),1))</f>
        <v>0</v>
      </c>
      <c r="P137" s="227">
        <f>COUNTIFS(РД[Тип кв],P$87,РД[МОП],$A137,РД[Дата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50" t="s">
        <v>20</v>
      </c>
      <c r="B138" s="143">
        <f>IFERROR(VLOOKUP(A138,'ИПП 1кв25'!$B$6:$N$17,12,0),"")</f>
        <v>237</v>
      </c>
      <c r="C138" s="144">
        <f>IFERROR(VLOOKUP(A138,'ИПП 1кв25'!$B$6:$N$17,13,0),"")</f>
        <v>29985457</v>
      </c>
      <c r="D138" s="199">
        <f>SUMIFS(Дек2448[м2],Дек2448[МОП],$A138,Дек2448[Комнатность],"&lt;&gt;Офис")</f>
        <v>0</v>
      </c>
      <c r="E138" s="200">
        <f>SUMIFS(Дек2448[Сумма без отделки],Дек2448[МОП],$A138,Дек2448[Комнатность],"&lt;&gt;Офис")</f>
        <v>0</v>
      </c>
      <c r="F138" s="201">
        <f>COUNTIFS(Дек2448[МОП],$A138,Дек2448[Комнатность],"&lt;&gt;Офис")</f>
        <v>0</v>
      </c>
      <c r="G138" s="202">
        <f>SUMIFS(РД[S],РД[МОП],A138,РД[Дата подачи на регистрацию],"&lt;="&amp;$A$1,РД[Дата подачи на регистрацию],"&gt;="&amp;DATE(YEAR($A$1),MONTH($A$1),1),РД[Состояние],"Продажа")</f>
        <v>0</v>
      </c>
      <c r="H138" s="203">
        <f>SUMIFS(РД[Стоимость без отделки итог],РД[МОП],A138,РД[Дата подачи на регистрацию],"&lt;="&amp;$A$1,РД[Дата подачи на регистрацию],"&gt;="&amp;DATE(YEAR($A$1),MONTH($A$1),1),РД[Состояние],"Продажа")</f>
        <v>0</v>
      </c>
      <c r="I138" s="226">
        <f>COUNTIFS(РД[МОП],A138,РД[Дата подачи на регистрацию],"&lt;="&amp;$A$1,РД[Дата подачи на регистрацию],"&gt;="&amp;DATE(YEAR($A$1),MONTH($A$1),1),РД[Состояние],"Продажа")</f>
        <v>0</v>
      </c>
      <c r="J138" s="224">
        <f t="shared" si="35"/>
        <v>0</v>
      </c>
      <c r="K138" s="225">
        <f t="shared" si="35"/>
        <v>0</v>
      </c>
      <c r="L138" s="257">
        <f>COUNTIFS(РД[Тип кв],L$87,РД[МОП],$A138,РД[Дата подачи на регистрацию],"&lt;="&amp;$A$1,РД[Дата подачи на регистрацию],"&gt;="&amp;DATE(YEAR($A$1),MONTH($A$1),1))</f>
        <v>0</v>
      </c>
      <c r="M138" s="226">
        <f>COUNTIFS(РД[Тип кв],M$87,РД[МОП],$A138,РД[Дата подачи на регистрацию],"&lt;="&amp;$A$1,РД[Дата подачи на регистрацию],"&gt;="&amp;DATE(YEAR($A$1),MONTH($A$1),1))</f>
        <v>0</v>
      </c>
      <c r="N138" s="226">
        <f>COUNTIFS(РД[Тип кв],N$87,РД[МОП],$A138,РД[Дата подачи на регистрацию],"&lt;="&amp;$A$1,РД[Дата подачи на регистрацию],"&gt;="&amp;DATE(YEAR($A$1),MONTH($A$1),1))</f>
        <v>0</v>
      </c>
      <c r="O138" s="226">
        <f>COUNTIFS(РД[Тип кв],O$87,РД[МОП],$A138,РД[Дата подачи на регистрацию],"&lt;="&amp;$A$1,РД[Дата подачи на регистрацию],"&gt;="&amp;DATE(YEAR($A$1),MONTH($A$1),1))</f>
        <v>0</v>
      </c>
      <c r="P138" s="227">
        <f>COUNTIFS(РД[Тип кв],P$87,РД[МОП],$A138,РД[Дата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53" t="s">
        <v>24</v>
      </c>
      <c r="B139" s="143">
        <f>IFERROR(VLOOKUP(A139,'ИПП 1кв25'!$B$6:$N$17,12,0),"")</f>
        <v>290</v>
      </c>
      <c r="C139" s="144">
        <f>IFERROR(VLOOKUP(A139,'ИПП 1кв25'!$B$6:$N$17,13,0),"")</f>
        <v>36674521</v>
      </c>
      <c r="D139" s="199">
        <f>SUMIFS(Дек2448[м2],Дек2448[МОП],$A139,Дек2448[Комнатность],"&lt;&gt;Офис")</f>
        <v>111.36999999999999</v>
      </c>
      <c r="E139" s="200">
        <f>SUMIFS(Дек2448[Сумма без отделки],Дек2448[МОП],$A139,Дек2448[Комнатность],"&lt;&gt;Офис")</f>
        <v>14293336</v>
      </c>
      <c r="F139" s="201">
        <f>COUNTIFS(Дек2448[МОП],$A139,Дек2448[Комнатность],"&lt;&gt;Офис")</f>
        <v>3</v>
      </c>
      <c r="G139" s="202">
        <f>SUMIFS(РД[S],РД[МОП],A139,РД[Дата подачи на регистрацию],"&lt;="&amp;$A$1,РД[Дата подачи на регистрацию],"&gt;="&amp;DATE(YEAR($A$1),MONTH($A$1),1),РД[Состояние],"Продажа")</f>
        <v>111.36999999999999</v>
      </c>
      <c r="H139" s="203">
        <f>SUMIFS(РД[Стоимость без отделки итог],РД[МОП],A139,РД[Дата подачи на регистрацию],"&lt;="&amp;$A$1,РД[Дата подачи на регистрацию],"&gt;="&amp;DATE(YEAR($A$1),MONTH($A$1),1),РД[Состояние],"Продажа")</f>
        <v>14293336</v>
      </c>
      <c r="I139" s="226">
        <f>COUNTIFS(РД[МОП],A139,РД[Дата подачи на регистрацию],"&lt;="&amp;$A$1,РД[Дата подачи на регистрацию],"&gt;="&amp;DATE(YEAR($A$1),MONTH($A$1),1),РД[Состояние],"Продажа")</f>
        <v>3</v>
      </c>
      <c r="J139" s="224">
        <f t="shared" si="35"/>
        <v>0.38403448275862068</v>
      </c>
      <c r="K139" s="225">
        <f t="shared" si="35"/>
        <v>0.38973476981471689</v>
      </c>
      <c r="L139" s="325">
        <f>COUNTIFS(РД[Тип кв],L$87,РД[МОП],$A139,РД[Дата подачи на регистрацию],"&lt;="&amp;$A$1,РД[Дата подачи на регистрацию],"&gt;="&amp;DATE(YEAR($A$1),MONTH($A$1),1))</f>
        <v>0</v>
      </c>
      <c r="M139" s="326">
        <f>COUNTIFS(РД[Тип кв],M$87,РД[МОП],$A139,РД[Дата подачи на регистрацию],"&lt;="&amp;$A$1,РД[Дата подачи на регистрацию],"&gt;="&amp;DATE(YEAR($A$1),MONTH($A$1),1))</f>
        <v>3</v>
      </c>
      <c r="N139" s="326">
        <f>COUNTIFS(РД[Тип кв],N$87,РД[МОП],$A139,РД[Дата подачи на регистрацию],"&lt;="&amp;$A$1,РД[Дата подачи на регистрацию],"&gt;="&amp;DATE(YEAR($A$1),MONTH($A$1),1))</f>
        <v>0</v>
      </c>
      <c r="O139" s="326">
        <f>COUNTIFS(РД[Тип кв],O$87,РД[МОП],$A139,РД[Дата подачи на регистрацию],"&lt;="&amp;$A$1,РД[Дата подачи на регистрацию],"&gt;="&amp;DATE(YEAR($A$1),MONTH($A$1),1))</f>
        <v>0</v>
      </c>
      <c r="P139" s="327">
        <f>COUNTIFS(РД[Тип кв],P$87,РД[МОП],$A139,РД[Дата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53" t="s">
        <v>14</v>
      </c>
      <c r="B140" s="143">
        <f>IFERROR(VLOOKUP(A140,'ИПП 1кв25'!$B$6:$N$17,12,0),"")</f>
        <v>312</v>
      </c>
      <c r="C140" s="144">
        <f>IFERROR(VLOOKUP(A140,'ИПП 1кв25'!$B$6:$N$17,13,0),"")</f>
        <v>39442409</v>
      </c>
      <c r="D140" s="299">
        <f>SUMIFS(Дек2448[м2],Дек2448[МОП],$A140,Дек2448[Комнатность],"&lt;&gt;Офис")</f>
        <v>56.58</v>
      </c>
      <c r="E140" s="300">
        <f>SUMIFS(Дек2448[Сумма без отделки],Дек2448[МОП],$A140,Дек2448[Комнатность],"&lt;&gt;Офис")</f>
        <v>7351048</v>
      </c>
      <c r="F140" s="301">
        <f>COUNTIFS(Дек2448[МОП],$A140,Дек2448[Комнатность],"&lt;&gt;Офис")</f>
        <v>1</v>
      </c>
      <c r="G140" s="358">
        <f>SUMIFS(РД[S],РД[МОП],A140,РД[Дата подачи на регистрацию],"&lt;="&amp;$A$1,РД[Дата подачи на регистрацию],"&gt;="&amp;DATE(YEAR($A$1),MONTH($A$1),1),РД[Состояние],"Продажа")</f>
        <v>56.58</v>
      </c>
      <c r="H140" s="359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7351048</v>
      </c>
      <c r="I140" s="330">
        <f>COUNTIFS(РД[МОП],A140,РД[Дата подачи на регистрацию],"&lt;="&amp;$A$1,РД[Дата подачи на регистрацию],"&gt;="&amp;DATE(YEAR($A$1),MONTH($A$1),1),РД[Состояние],"Продажа")</f>
        <v>1</v>
      </c>
      <c r="J140" s="360">
        <f t="shared" si="35"/>
        <v>0.18134615384615385</v>
      </c>
      <c r="K140" s="361">
        <f t="shared" si="35"/>
        <v>0.18637421461757064</v>
      </c>
      <c r="L140" s="364">
        <f>COUNTIFS(РД[Тип кв],L$87,РД[МОП],$A140,РД[Дата подачи на регистрацию],"&lt;="&amp;$A$1,РД[Дата подачи на регистрацию],"&gt;="&amp;DATE(YEAR($A$1),MONTH($A$1),1))</f>
        <v>0</v>
      </c>
      <c r="M140" s="365">
        <f>COUNTIFS(РД[Тип кв],M$87,РД[МОП],$A140,РД[Дата подачи на регистрацию],"&lt;="&amp;$A$1,РД[Дата подачи на регистрацию],"&gt;="&amp;DATE(YEAR($A$1),MONTH($A$1),1))</f>
        <v>0</v>
      </c>
      <c r="N140" s="365">
        <f>COUNTIFS(РД[Тип кв],N$87,РД[МОП],$A140,РД[Дата подачи на регистрацию],"&lt;="&amp;$A$1,РД[Дата подачи на регистрацию],"&gt;="&amp;DATE(YEAR($A$1),MONTH($A$1),1))</f>
        <v>1</v>
      </c>
      <c r="O140" s="365">
        <f>COUNTIFS(РД[Тип кв],O$87,РД[МОП],$A140,РД[Дата подачи на регистрацию],"&lt;="&amp;$A$1,РД[Дата подачи на регистрацию],"&gt;="&amp;DATE(YEAR($A$1),MONTH($A$1),1))</f>
        <v>0</v>
      </c>
      <c r="P140" s="366">
        <f>COUNTIFS(РД[Тип кв],P$87,РД[МОП],$A140,РД[Дата подачи на регистрацию],"&lt;="&amp;$A$1,РД[Дата подачи на регистрацию],"&gt;="&amp;DATE(YEAR($A$1),MONTH($A$1),1))</f>
        <v>0</v>
      </c>
      <c r="Q140" s="86"/>
      <c r="R140" s="86"/>
      <c r="S140" s="86"/>
      <c r="T140" s="66"/>
    </row>
    <row r="141" spans="1:21" s="65" customFormat="1">
      <c r="A141" s="154" t="s">
        <v>29</v>
      </c>
      <c r="B141" s="155"/>
      <c r="C141" s="156"/>
      <c r="D141" s="157">
        <f>SUMIFS(Дек2448[м2],Дек2448[МОП],$A141,Дек2448[Комнатность],"&lt;&gt;Офис")</f>
        <v>0</v>
      </c>
      <c r="E141" s="156">
        <f>SUMIFS(Дек2448[Сумма без отделки],Дек2448[МОП],$A141,Дек2448[Комнатность],"&lt;&gt;Офис")</f>
        <v>0</v>
      </c>
      <c r="F141" s="158">
        <f>COUNTIFS(Дек2448[МОП],$A141,Дек2448[Комнатность],"&lt;&gt;Офис")</f>
        <v>0</v>
      </c>
      <c r="G141" s="159">
        <f>SUMIFS(РД[S],РД[МОП],A141,РД[Дата подачи на регистрацию],"&lt;="&amp;$A$1,РД[Дата подачи на регистрацию],"&gt;="&amp;DATE(YEAR($A$1),MONTH($A$1),1),РД[Состояние],"Продажа")</f>
        <v>0</v>
      </c>
      <c r="H141" s="160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228">
        <f>COUNTIFS(РД[МОП],A141,РД[Дата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9" t="str">
        <f t="shared" si="35"/>
        <v/>
      </c>
      <c r="K141" s="230" t="str">
        <f t="shared" si="35"/>
        <v/>
      </c>
      <c r="L141" s="159">
        <f>COUNTIFS(РД[Тип кв],L$87,РД[МОП],$A141,РД[Дата подачи на регистрацию],"&lt;="&amp;$A$1,РД[Дата подачи на регистрацию],"&gt;="&amp;DATE(YEAR($A$1),MONTH($A$1),1))</f>
        <v>0</v>
      </c>
      <c r="M141" s="228">
        <f>COUNTIFS(РД[Тип кв],M$87,РД[МОП],$A141,РД[Дата подачи на регистрацию],"&lt;="&amp;$A$1,РД[Дата подачи на регистрацию],"&gt;="&amp;DATE(YEAR($A$1),MONTH($A$1),1))</f>
        <v>0</v>
      </c>
      <c r="N141" s="228">
        <f>COUNTIFS(РД[Тип кв],N$87,РД[МОП],$A141,РД[Дата подачи на регистрацию],"&lt;="&amp;$A$1,РД[Дата подачи на регистрацию],"&gt;="&amp;DATE(YEAR($A$1),MONTH($A$1),1))</f>
        <v>0</v>
      </c>
      <c r="O141" s="228">
        <f>COUNTIFS(РД[Тип кв],O$87,РД[МОП],$A141,РД[Дата подачи на регистрацию],"&lt;="&amp;$A$1,РД[Дата подачи на регистрацию],"&gt;="&amp;DATE(YEAR($A$1),MONTH($A$1),1))</f>
        <v>0</v>
      </c>
      <c r="P141" s="231">
        <f>COUNTIFS(РД[Тип кв],P$87,РД[МОП],$A141,РД[Дата подачи на регистрацию],"&lt;="&amp;$A$1,РД[Дата подачи на регистрацию],"&gt;="&amp;DATE(YEAR($A$1),MONTH($A$1),1))</f>
        <v>0</v>
      </c>
      <c r="T141" s="66"/>
    </row>
    <row r="142" spans="1:21" s="65" customFormat="1">
      <c r="A142" s="161" t="s">
        <v>1919</v>
      </c>
      <c r="B142" s="162"/>
      <c r="C142" s="163"/>
      <c r="D142" s="164">
        <f>SUMIFS(Дек2448[м2],Дек2448[МОП],$A142,Дек2448[Комнатность],"&lt;&gt;Офис")</f>
        <v>29.62</v>
      </c>
      <c r="E142" s="163">
        <f>SUMIFS(Дек2448[Сумма без отделки],Дек2448[МОП],$A142,Дек2448[Комнатность],"&lt;&gt;Офис")</f>
        <v>4174400</v>
      </c>
      <c r="F142" s="165">
        <f>COUNTIFS(Дек2448[МОП],$A142,Дек2448[Комнатность],"&lt;&gt;Офис")</f>
        <v>1</v>
      </c>
      <c r="G142" s="166">
        <f>SUMIFS(РД[S],РД[МОП],A142,РД[Дата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167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32">
        <f>COUNTIFS(РД[МОП],A142,РД[Дата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33" t="str">
        <f t="shared" si="35"/>
        <v/>
      </c>
      <c r="K142" s="234" t="str">
        <f t="shared" si="35"/>
        <v/>
      </c>
      <c r="L142" s="235">
        <f>COUNTIFS(РД[Тип кв],L$87,РД[МОП],$A142,РД[Дата подачи на регистрацию],"&lt;="&amp;$A$1,РД[Дата подачи на регистрацию],"&gt;="&amp;DATE(YEAR($A$1),MONTH($A$1),1))</f>
        <v>0</v>
      </c>
      <c r="M142" s="236">
        <f>COUNTIFS(РД[Тип кв],M$87,РД[МОП],$A142,РД[Дата подачи на регистрацию],"&lt;="&amp;$A$1,РД[Дата подачи на регистрацию],"&gt;="&amp;DATE(YEAR($A$1),MONTH($A$1),1))</f>
        <v>0</v>
      </c>
      <c r="N142" s="236">
        <f>COUNTIFS(РД[Тип кв],N$87,РД[МОП],$A142,РД[Дата подачи на регистрацию],"&lt;="&amp;$A$1,РД[Дата подачи на регистрацию],"&gt;="&amp;DATE(YEAR($A$1),MONTH($A$1),1))</f>
        <v>0</v>
      </c>
      <c r="O142" s="236">
        <f>COUNTIFS(РД[Тип кв],O$87,РД[МОП],$A142,РД[Дата подачи на регистрацию],"&lt;="&amp;$A$1,РД[Дата подачи на регистрацию],"&gt;="&amp;DATE(YEAR($A$1),MONTH($A$1),1))</f>
        <v>0</v>
      </c>
      <c r="P142" s="237">
        <f>COUNTIFS(РД[Тип кв],P$87,РД[МОП],$A142,РД[Дата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68" t="s">
        <v>114</v>
      </c>
      <c r="B143" s="169">
        <f t="shared" ref="B143:I143" si="36">SUM(B136:B142)</f>
        <v>1234</v>
      </c>
      <c r="C143" s="170">
        <f t="shared" si="36"/>
        <v>156155034</v>
      </c>
      <c r="D143" s="170">
        <f t="shared" si="36"/>
        <v>234.20999999999998</v>
      </c>
      <c r="E143" s="170">
        <f t="shared" si="36"/>
        <v>30441052</v>
      </c>
      <c r="F143" s="171">
        <f t="shared" si="36"/>
        <v>6</v>
      </c>
      <c r="G143" s="172">
        <f t="shared" si="36"/>
        <v>234.20999999999998</v>
      </c>
      <c r="H143" s="173">
        <f t="shared" si="36"/>
        <v>30441052</v>
      </c>
      <c r="I143" s="170">
        <f t="shared" si="36"/>
        <v>6</v>
      </c>
      <c r="J143" s="238">
        <f t="shared" si="35"/>
        <v>0.18979740680713125</v>
      </c>
      <c r="K143" s="239">
        <f t="shared" si="35"/>
        <v>0.19494121463929237</v>
      </c>
      <c r="L143" s="240">
        <f>SUM(L136:L142)</f>
        <v>1</v>
      </c>
      <c r="M143" s="241">
        <f>SUM(M136:M142)</f>
        <v>4</v>
      </c>
      <c r="N143" s="241">
        <f>SUM(N136:N142)</f>
        <v>1</v>
      </c>
      <c r="O143" s="241">
        <f>SUM(O136:O142)</f>
        <v>0</v>
      </c>
      <c r="P143" s="242">
        <f>SUM(P136:P142)</f>
        <v>0</v>
      </c>
      <c r="T143" s="66"/>
    </row>
    <row r="144" spans="1:21" s="65" customFormat="1">
      <c r="A144" s="135" t="s">
        <v>115</v>
      </c>
      <c r="B144" s="213" t="s">
        <v>100</v>
      </c>
      <c r="C144" s="214" t="s">
        <v>97</v>
      </c>
      <c r="D144" s="174" t="s">
        <v>494</v>
      </c>
      <c r="E144" s="175" t="s">
        <v>495</v>
      </c>
      <c r="F144" s="176" t="s">
        <v>496</v>
      </c>
      <c r="G144" s="140" t="s">
        <v>101</v>
      </c>
      <c r="H144" s="141" t="s">
        <v>98</v>
      </c>
      <c r="I144" s="141" t="s">
        <v>96</v>
      </c>
      <c r="J144" s="141" t="s">
        <v>715</v>
      </c>
      <c r="K144" s="216" t="s">
        <v>716</v>
      </c>
      <c r="L144" s="217">
        <v>0</v>
      </c>
      <c r="M144" s="218">
        <v>1</v>
      </c>
      <c r="N144" s="218">
        <v>2</v>
      </c>
      <c r="O144" s="218">
        <v>3</v>
      </c>
      <c r="P144" s="219" t="s">
        <v>1367</v>
      </c>
      <c r="T144" s="66"/>
    </row>
    <row r="145" spans="1:21" s="65" customFormat="1">
      <c r="A145" s="177" t="s">
        <v>22</v>
      </c>
      <c r="B145" s="178">
        <f>IFERROR(VLOOKUP(A145,'ИПП 1кв25'!$B$6:$N$17,12,0),"")</f>
        <v>485.39098712446361</v>
      </c>
      <c r="C145" s="179">
        <f>IFERROR(VLOOKUP(A145,'ИПП 1кв25'!$B$6:$N$17,13,0),"")</f>
        <v>61423214.017596565</v>
      </c>
      <c r="D145" s="180">
        <f>SUMIFS(Дек2448[м2],Дек2448[ИМ],A145,Дек2448[Комнатность],"&lt;&gt;Офис")</f>
        <v>56.58</v>
      </c>
      <c r="E145" s="181">
        <f>SUMIFS(Дек2448[Сумма без отделки],Дек2448[ИМ],$A145,Дек2448[Комнатность],"&lt;&gt;Офис")</f>
        <v>7351048</v>
      </c>
      <c r="F145" s="204">
        <f>COUNTIFS(Дек2448[ИМ],A145,Дек2448[Комнатность],"&lt;&gt;Офис")</f>
        <v>1</v>
      </c>
      <c r="G145" s="183">
        <f>SUMIFS(РД[S],РД[ИМ],A145,РД[Дата подачи на регистрацию],"&lt;="&amp;$A$1,РД[Дата подачи на регистрацию],"&gt;="&amp;DATE(YEAR($A$1),MONTH($A$1),1),РД[Состояние],"Продажа")</f>
        <v>56.58</v>
      </c>
      <c r="H145" s="184">
        <f>SUMIFS(РД[Стоимость без отделки итог],РД[ИМ],A145,РД[Дата подачи на регистрацию],"&lt;="&amp;$A$1,РД[Дата подачи на регистрацию],"&gt;="&amp;DATE(YEAR($A$1),MONTH($A$1),1),РД[Состояние],"Продажа")</f>
        <v>7351048</v>
      </c>
      <c r="I145" s="243">
        <f>COUNTIFS(РД[ИМ],A145,РД[Дата подачи на регистрацию],"&lt;="&amp;$A$1,РД[Дата подачи на регистрацию],"&gt;="&amp;DATE(YEAR($A$1),MONTH($A$1),1),РД[Состояние],"Продажа")</f>
        <v>1</v>
      </c>
      <c r="J145" s="244">
        <f t="shared" ref="J145:K148" si="37">IFERROR(G145/B145,"")</f>
        <v>0.1165658232246735</v>
      </c>
      <c r="K145" s="258">
        <f t="shared" si="37"/>
        <v>0.11967866087069405</v>
      </c>
      <c r="L145" s="183">
        <f>COUNTIFS(РД[Тип кв],L135,РД[ИМ],$A145,РД[Дата подачи на регистрацию],"&lt;="&amp;$A$1,РД[Дата подачи на регистрацию],"&gt;="&amp;DATE(YEAR($A$1),MONTH($A$1),1))</f>
        <v>0</v>
      </c>
      <c r="M145" s="243">
        <f>COUNTIFS(РД[Тип кв],M135,РД[ИМ],$A145,РД[Дата подачи на регистрацию],"&lt;="&amp;$A$1,РД[Дата подачи на регистрацию],"&gt;="&amp;DATE(YEAR($A$1),MONTH($A$1),1))</f>
        <v>0</v>
      </c>
      <c r="N145" s="243">
        <f>COUNTIFS(РД[Тип кв],N135,РД[ИМ],$A145,РД[Дата подачи на регистрацию],"&lt;="&amp;$A$1,РД[Дата подачи на регистрацию],"&gt;="&amp;DATE(YEAR($A$1),MONTH($A$1),1))</f>
        <v>1</v>
      </c>
      <c r="O145" s="243">
        <f>COUNTIFS(РД[Тип кв],O135,РД[ИМ],$A145,РД[Дата подачи на регистрацию],"&lt;="&amp;$A$1,РД[Дата подачи на регистрацию],"&gt;="&amp;DATE(YEAR($A$1),MONTH($A$1),1))</f>
        <v>0</v>
      </c>
      <c r="P145" s="246">
        <f>COUNTIFS(РД[Тип кв],P135,РД[ИМ],$A145,РД[Дата подачи на регистрацию],"&lt;="&amp;$A$1,РД[Дата подачи на регистрацию],"&gt;="&amp;DATE(YEAR($A$1),MONTH($A$1),1))</f>
        <v>0</v>
      </c>
      <c r="Q145" s="66"/>
      <c r="R145" s="66"/>
      <c r="S145" s="66"/>
      <c r="T145" s="66"/>
    </row>
    <row r="146" spans="1:21" s="65" customFormat="1">
      <c r="A146" s="150" t="s">
        <v>26</v>
      </c>
      <c r="B146" s="143">
        <f>IFERROR(VLOOKUP(A146,'ИПП 1кв25'!$B$6:$N$17,12,0),"")</f>
        <v>316.70901287553647</v>
      </c>
      <c r="C146" s="144">
        <f>IFERROR(VLOOKUP(A146,'ИПП 1кв25'!$B$6:$N$17,13,0),"")</f>
        <v>40077558.082403436</v>
      </c>
      <c r="D146" s="205">
        <f>SUMIFS(Дек2448[м2],Дек2448[ИМ],A146,Дек2448[Комнатность],"&lt;&gt;Офис")</f>
        <v>37.81</v>
      </c>
      <c r="E146" s="206">
        <f>SUMIFS(Дек2448[Сумма без отделки],Дек2448[ИМ],$A146,Дек2448[Комнатность],"&lt;&gt;Офис")</f>
        <v>5137000</v>
      </c>
      <c r="F146" s="207">
        <f>COUNTIFS(Дек2448[ИМ],$A146,Дек2448[Комнатность],"&lt;&gt;Офис")</f>
        <v>1</v>
      </c>
      <c r="G146" s="187">
        <f>SUMIFS(РД[S],РД[ИМ],A146,РД[Дата подачи на регистрацию],"&lt;="&amp;$A$1,РД[Дата подачи на регистрацию],"&gt;="&amp;DATE(YEAR($A$1),MONTH($A$1),1),РД[Состояние],"Продажа")</f>
        <v>37.81</v>
      </c>
      <c r="H146" s="188">
        <f>SUMIFS(РД[Стоимость без отделки итог],РД[ИМ],A146,РД[Дата подачи на регистрацию],"&lt;="&amp;$A$1,РД[Дата подачи на регистрацию],"&gt;="&amp;DATE(YEAR($A$1),MONTH($A$1),1),РД[Состояние],"Продажа")</f>
        <v>5137000</v>
      </c>
      <c r="I146" s="247">
        <f>COUNTIFS(РД[ИМ],A146,РД[Дата подачи на регистрацию],"&lt;="&amp;$A$1,РД[Дата подачи на регистрацию],"&gt;="&amp;DATE(YEAR($A$1),MONTH($A$1),1),РД[Состояние],"Продажа")</f>
        <v>1</v>
      </c>
      <c r="J146" s="248">
        <f t="shared" si="37"/>
        <v>0.11938403538537427</v>
      </c>
      <c r="K146" s="259">
        <f t="shared" si="37"/>
        <v>0.1281764719656277</v>
      </c>
      <c r="L146" s="328">
        <f>COUNTIFS(РД[Тип кв],L137,РД[ИМ],$A146,РД[Дата подачи на регистрацию],"&lt;="&amp;$A$1,РД[Дата подачи на регистрацию],"&gt;="&amp;DATE(YEAR($A$1),MONTH($A$1),1))</f>
        <v>1</v>
      </c>
      <c r="M146" s="247">
        <f>COUNTIFS(РД[Тип кв],M137,РД[ИМ],$A146,РД[Дата подачи на регистрацию],"&lt;="&amp;$A$1,РД[Дата подачи на регистрацию],"&gt;="&amp;DATE(YEAR($A$1),MONTH($A$1),1))</f>
        <v>1</v>
      </c>
      <c r="N146" s="247">
        <f>COUNTIFS(РД[Тип кв],N137,РД[ИМ],$A146,РД[Дата подачи на регистрацию],"&lt;="&amp;$A$1,РД[Дата подачи на регистрацию],"&gt;="&amp;DATE(YEAR($A$1),MONTH($A$1),1))</f>
        <v>0</v>
      </c>
      <c r="O146" s="247">
        <f>COUNTIFS(РД[Тип кв],O137,РД[ИМ],$A146,РД[Дата подачи на регистрацию],"&lt;="&amp;$A$1,РД[Дата подачи на регистрацию],"&gt;="&amp;DATE(YEAR($A$1),MONTH($A$1),1))</f>
        <v>0</v>
      </c>
      <c r="P146" s="250">
        <f>COUNTIFS(РД[Тип кв],P137,РД[ИМ],$A146,РД[Дата подачи на регистрацию],"&lt;="&amp;$A$1,РД[Дата подачи на регистрацию],"&gt;="&amp;DATE(YEAR($A$1),MONTH($A$1),1))</f>
        <v>0</v>
      </c>
      <c r="Q146" s="66"/>
      <c r="R146" s="66"/>
      <c r="S146" s="66"/>
      <c r="T146" s="66"/>
    </row>
    <row r="147" spans="1:21" s="65" customFormat="1">
      <c r="A147" s="189" t="s">
        <v>3</v>
      </c>
      <c r="B147" s="190">
        <f>IFERROR(VLOOKUP(A147,'ИПП 1кв25'!$B$6:$N$17,12,0),"")</f>
        <v>0</v>
      </c>
      <c r="C147" s="191">
        <f>IFERROR(VLOOKUP(A147,'ИПП 1кв25'!$B$6:$N$17,13,0),"")</f>
        <v>0</v>
      </c>
      <c r="D147" s="208">
        <f>SUMIFS(Дек2448[м2],Дек2448[ИМ],A147,Дек2448[Комнатность],"&lt;&gt;Офис")</f>
        <v>0</v>
      </c>
      <c r="E147" s="209">
        <f>SUMIFS(Дек2448[Сумма без отделки],Дек2448[ИМ],$A147,Дек2448[Комнатность],"&lt;&gt;Офис")</f>
        <v>0</v>
      </c>
      <c r="F147" s="210">
        <f>COUNTIFS(Дек2448[ИМ],$A147,Дек2448[Комнатность],"&lt;&gt;Офис")</f>
        <v>0</v>
      </c>
      <c r="G147" s="195">
        <f>SUMIFS(РД[S],РД[ИМ],A147,РД[Дата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196">
        <f>SUMIFS(РД[Стоимость без отделки итог],РД[ИМ],A147,РД[Дата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51">
        <f>COUNTIFS(РД[ИМ],A147,РД[Дата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52" t="str">
        <f t="shared" si="37"/>
        <v/>
      </c>
      <c r="K147" s="260" t="str">
        <f t="shared" si="37"/>
        <v/>
      </c>
      <c r="L147" s="329">
        <f>COUNTIFS(РД[Тип кв],L139,РД[ИМ],$A147,РД[Дата подачи на регистрацию],"&lt;="&amp;$A$1,РД[Дата подачи на регистрацию],"&gt;="&amp;DATE(YEAR($A$1),MONTH($A$1),1))</f>
        <v>0</v>
      </c>
      <c r="M147" s="330">
        <f>COUNTIFS(РД[Тип кв],M139,РД[ИМ],$A147,РД[Дата подачи на регистрацию],"&lt;="&amp;$A$1,РД[Дата подачи на регистрацию],"&gt;="&amp;DATE(YEAR($A$1),MONTH($A$1),1))</f>
        <v>0</v>
      </c>
      <c r="N147" s="330">
        <f>COUNTIFS(РД[Тип кв],N139,РД[ИМ],$A147,РД[Дата подачи на регистрацию],"&lt;="&amp;$A$1,РД[Дата подачи на регистрацию],"&gt;="&amp;DATE(YEAR($A$1),MONTH($A$1),1))</f>
        <v>0</v>
      </c>
      <c r="O147" s="330">
        <f>COUNTIFS(РД[Тип кв],O139,РД[ИМ],$A147,РД[Дата подачи на регистрацию],"&lt;="&amp;$A$1,РД[Дата подачи на регистрацию],"&gt;="&amp;DATE(YEAR($A$1),MONTH($A$1),1))</f>
        <v>0</v>
      </c>
      <c r="P147" s="331">
        <f>COUNTIFS(РД[Тип кв],P139,РД[ИМ],$A147,РД[Дата подачи на регистрацию],"&lt;="&amp;$A$1,РД[Дата подачи на регистрацию],"&gt;="&amp;DATE(YEAR($A$1),MONTH($A$1),1))</f>
        <v>0</v>
      </c>
      <c r="Q147" s="66"/>
      <c r="R147" s="66"/>
      <c r="S147" s="66"/>
      <c r="T147" s="66"/>
    </row>
    <row r="148" spans="1:21" s="65" customFormat="1">
      <c r="A148" s="168" t="s">
        <v>114</v>
      </c>
      <c r="B148" s="169">
        <f>SUM(B145:B147)</f>
        <v>802.10000000000014</v>
      </c>
      <c r="C148" s="170">
        <f>SUM(C145:C147)</f>
        <v>101500772.09999999</v>
      </c>
      <c r="D148" s="170">
        <f t="shared" ref="D148:P148" si="38">SUM(D145:D147)</f>
        <v>94.39</v>
      </c>
      <c r="E148" s="170">
        <f t="shared" si="38"/>
        <v>12488048</v>
      </c>
      <c r="F148" s="171">
        <f t="shared" si="38"/>
        <v>2</v>
      </c>
      <c r="G148" s="172">
        <f t="shared" si="38"/>
        <v>94.39</v>
      </c>
      <c r="H148" s="173">
        <f t="shared" si="38"/>
        <v>12488048</v>
      </c>
      <c r="I148" s="170">
        <f t="shared" si="38"/>
        <v>2</v>
      </c>
      <c r="J148" s="238">
        <f t="shared" si="37"/>
        <v>0.11767859369155964</v>
      </c>
      <c r="K148" s="239">
        <f t="shared" si="37"/>
        <v>0.12303401975796399</v>
      </c>
      <c r="L148" s="240">
        <f t="shared" si="38"/>
        <v>1</v>
      </c>
      <c r="M148" s="241">
        <f t="shared" si="38"/>
        <v>1</v>
      </c>
      <c r="N148" s="241">
        <f t="shared" si="38"/>
        <v>1</v>
      </c>
      <c r="O148" s="241">
        <f t="shared" si="38"/>
        <v>0</v>
      </c>
      <c r="P148" s="242">
        <f t="shared" si="38"/>
        <v>0</v>
      </c>
      <c r="Q148" s="66"/>
      <c r="R148" s="66"/>
      <c r="S148" s="66"/>
      <c r="T148" s="66"/>
    </row>
    <row r="149" spans="1:21" s="65" customFormat="1">
      <c r="A149" s="134"/>
      <c r="B149" s="44"/>
      <c r="C149" s="44"/>
      <c r="D149" s="134"/>
      <c r="E149" s="134"/>
      <c r="F149" s="44"/>
      <c r="G149" s="134"/>
      <c r="H149" s="134"/>
      <c r="I149" s="134"/>
      <c r="J149" s="134"/>
      <c r="K149" s="255"/>
      <c r="L149" s="256"/>
      <c r="M149" s="134"/>
      <c r="N149" s="134"/>
      <c r="O149" s="134"/>
      <c r="P149" s="134"/>
      <c r="Q149" s="134"/>
      <c r="T149" s="66"/>
      <c r="U149" s="66"/>
    </row>
    <row r="150" spans="1:21" s="65" customFormat="1" ht="15">
      <c r="A150" s="2400" t="s">
        <v>1368</v>
      </c>
      <c r="B150" s="2401"/>
      <c r="C150" s="2401"/>
      <c r="D150" s="2401"/>
      <c r="E150" s="2401"/>
      <c r="F150" s="2401"/>
      <c r="G150" s="2401"/>
      <c r="H150" s="2401"/>
      <c r="I150" s="2401"/>
      <c r="J150" s="2401"/>
      <c r="K150" s="2401"/>
      <c r="L150" s="2401"/>
      <c r="M150" s="2401"/>
      <c r="N150" s="2401"/>
      <c r="O150" s="2401"/>
      <c r="P150" s="66"/>
      <c r="S150" s="66"/>
      <c r="T150" s="66"/>
    </row>
    <row r="151" spans="1:21" s="65" customFormat="1">
      <c r="A151" s="135" t="s">
        <v>1</v>
      </c>
      <c r="B151" s="135" t="s">
        <v>100</v>
      </c>
      <c r="C151" s="136" t="s">
        <v>97</v>
      </c>
      <c r="D151" s="264" t="s">
        <v>494</v>
      </c>
      <c r="E151" s="265" t="s">
        <v>495</v>
      </c>
      <c r="F151" s="266" t="s">
        <v>496</v>
      </c>
      <c r="G151" s="140" t="s">
        <v>101</v>
      </c>
      <c r="H151" s="141" t="s">
        <v>98</v>
      </c>
      <c r="I151" s="141" t="s">
        <v>96</v>
      </c>
      <c r="J151" s="141" t="s">
        <v>715</v>
      </c>
      <c r="K151" s="216" t="s">
        <v>716</v>
      </c>
      <c r="L151" s="332" t="s">
        <v>121</v>
      </c>
      <c r="M151" s="218" t="s">
        <v>27</v>
      </c>
      <c r="N151" s="219" t="s">
        <v>7</v>
      </c>
      <c r="O151" s="219" t="s">
        <v>19</v>
      </c>
      <c r="P151" s="66"/>
      <c r="S151" s="66"/>
      <c r="T151" s="66"/>
    </row>
    <row r="152" spans="1:21" s="65" customFormat="1">
      <c r="A152" s="142" t="s">
        <v>28</v>
      </c>
      <c r="B152" s="267"/>
      <c r="C152" s="268"/>
      <c r="D152" s="269">
        <f>SUMIFS(Дек2448[м2],Дек2448[МОП],A152,Дек2448[Комнатность],"Офис")</f>
        <v>0</v>
      </c>
      <c r="E152" s="144">
        <f>SUMIFS(Дек2448[Сумма без отделки],Дек2448[МОП],$A152,Дек2448[Комнатность],"оФИС")</f>
        <v>0</v>
      </c>
      <c r="F152" s="270">
        <f>COUNTIFS(Дек2448[МОП],$A152,Дек2448[Комнатность],"Офис")</f>
        <v>0</v>
      </c>
      <c r="G152" s="267">
        <f>SUMIFS(РД[S],РД[МОП],A152,РД[Дата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H152" s="146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I152" s="220">
        <f>COUNTIFS(РД[МОП],A152,РД[Дата подачи на регистрацию],"&lt;="&amp;$A$1,РД[Дата подачи на регистрацию],"&gt;="&amp;DATE(YEAR($A$1),MONTH($A$1),1),РД[Состояние],"Коммерция")</f>
        <v>0</v>
      </c>
      <c r="J152" s="221" t="str">
        <f t="shared" ref="J152" si="39">IFERROR(G152/B152,"")</f>
        <v/>
      </c>
      <c r="K152" s="333" t="str">
        <f t="shared" ref="K152" si="40">IFERROR(H152/C152,"")</f>
        <v/>
      </c>
      <c r="L152" s="148">
        <f>COUNTIFS(РД[Дом],L$151,РД[МОП],$A152,РД[Дата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M152" s="220">
        <f>COUNTIFS(РД[Дом],M$151,РД[МОП],$A152,РД[Дата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N152" s="223">
        <f>COUNTIFS(РД[Дом],N$151,РД[МОП],$A152,РД[Дата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O152" s="223">
        <f>COUNTIFS(РД[Дом],O$151,РД[МОП],$A152,РД[Дата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P152" s="66"/>
      <c r="S152" s="66"/>
      <c r="T152" s="66"/>
    </row>
    <row r="153" spans="1:21" s="65" customFormat="1">
      <c r="A153" s="142" t="s">
        <v>8</v>
      </c>
      <c r="B153" s="267"/>
      <c r="C153" s="268"/>
      <c r="D153" s="269">
        <f>SUMIFS(Дек2448[м2],Дек2448[МОП],A153,Дек2448[Комнатность],"Офис")</f>
        <v>0</v>
      </c>
      <c r="E153" s="144">
        <f>SUMIFS(Дек2448[Сумма без отделки],Дек2448[МОП],$A153,Дек2448[Комнатность],"оФИС")</f>
        <v>0</v>
      </c>
      <c r="F153" s="270">
        <f>COUNTIFS(Дек2448[МОП],$A153,Дек2448[Комнатность],"Офис")</f>
        <v>0</v>
      </c>
      <c r="G153" s="267">
        <f>SUMIFS(РД[S],РД[МОП],A153,РД[Дата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H153" s="146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I153" s="220">
        <f>COUNTIFS(РД[МОП],A153,РД[Дата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J153" s="221" t="str">
        <f t="shared" ref="J153:K158" si="41">IFERROR(G153/B153,"")</f>
        <v/>
      </c>
      <c r="K153" s="333" t="str">
        <f t="shared" si="41"/>
        <v/>
      </c>
      <c r="L153" s="148">
        <f>COUNTIFS(РД[Дом],L$151,РД[МОП],$A153,РД[Дата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M153" s="220">
        <f>COUNTIFS(РД[Дом],M$151,РД[МОП],$A153,РД[Дата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N153" s="223">
        <f>COUNTIFS(РД[Дом],N$151,РД[МОП],$A153,РД[Дата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O153" s="223">
        <f>COUNTIFS(РД[Дом],O$151,РД[МОП],$A153,РД[Дата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S153" s="66"/>
      <c r="T153" s="66"/>
    </row>
    <row r="154" spans="1:21" s="65" customFormat="1">
      <c r="A154" s="150" t="s">
        <v>20</v>
      </c>
      <c r="B154" s="267"/>
      <c r="C154" s="268"/>
      <c r="D154" s="269">
        <f>SUMIFS(Дек2448[м2],Дек2448[МОП],A154,Дек2448[Комнатность],"Офис")</f>
        <v>0</v>
      </c>
      <c r="E154" s="144">
        <f>SUMIFS(Дек2448[Сумма без отделки],Дек2448[МОП],$A154,Дек2448[Комнатность],"оФИС")</f>
        <v>0</v>
      </c>
      <c r="F154" s="270">
        <f>COUNTIFS(Дек2448[МОП],$A154,Дек2448[Комнатность],"Офис")</f>
        <v>0</v>
      </c>
      <c r="G154" s="267">
        <f>SUMIFS(РД[S],РД[МОП],A154,РД[Дата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H154" s="146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I154" s="220">
        <f>COUNTIFS(РД[МОП],A154,РД[Дата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J154" s="221" t="str">
        <f t="shared" si="41"/>
        <v/>
      </c>
      <c r="K154" s="333" t="str">
        <f t="shared" si="41"/>
        <v/>
      </c>
      <c r="L154" s="148">
        <f>COUNTIFS(РД[Дом],L$151,РД[МОП],$A154,РД[Дата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M154" s="220">
        <f>COUNTIFS(РД[Дом],M$151,РД[МОП],$A154,РД[Дата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N154" s="223">
        <f>COUNTIFS(РД[Дом],N$151,РД[МОП],$A154,РД[Дата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O154" s="223">
        <f>COUNTIFS(РД[Дом],O$151,РД[МОП],$A154,РД[Дата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S154" s="66"/>
      <c r="T154" s="66"/>
    </row>
    <row r="155" spans="1:21" s="65" customFormat="1">
      <c r="A155" s="153" t="s">
        <v>24</v>
      </c>
      <c r="B155" s="271"/>
      <c r="C155" s="272"/>
      <c r="D155" s="269">
        <f>SUMIFS(Дек2448[м2],Дек2448[МОП],A155,Дек2448[Комнатность],"Офис")</f>
        <v>0</v>
      </c>
      <c r="E155" s="200">
        <f>SUMIFS(Дек2448[Сумма без отделки],Дек2448[МОП],$A155,Дек2448[Комнатность],"оФИС")</f>
        <v>0</v>
      </c>
      <c r="F155" s="273">
        <f>COUNTIFS(Дек2448[МОП],$A155,Дек2448[Комнатность],"Офис")</f>
        <v>0</v>
      </c>
      <c r="G155" s="271">
        <f>SUMIFS(РД[S],РД[МОП],A155,РД[Дата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H155" s="52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I155" s="220">
        <f>COUNTIFS(РД[МОП],A155,РД[Дата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J155" s="224" t="str">
        <f t="shared" si="41"/>
        <v/>
      </c>
      <c r="K155" s="334" t="str">
        <f t="shared" si="41"/>
        <v/>
      </c>
      <c r="L155" s="202">
        <f>COUNTIFS(РД[Дом],L$151,РД[МОП],$A155,РД[Дата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6">
        <f>COUNTIFS(РД[Дом],M$151,РД[МОП],$A155,РД[Дата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N155" s="227">
        <f>COUNTIFS(РД[Дом],N$151,РД[МОП],$A155,РД[Дата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O155" s="227">
        <f>COUNTIFS(РД[Дом],O$151,РД[МОП],$A155,РД[Дата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S155" s="66"/>
      <c r="T155" s="66"/>
    </row>
    <row r="156" spans="1:21" s="65" customFormat="1">
      <c r="A156" s="153" t="s">
        <v>14</v>
      </c>
      <c r="B156" s="315"/>
      <c r="C156" s="316"/>
      <c r="D156" s="362">
        <f>SUMIFS(Дек2448[м2],Дек2448[МОП],A156,Дек2448[Комнатность],"Офис")</f>
        <v>0</v>
      </c>
      <c r="E156" s="300">
        <f>SUMIFS(Дек2448[Сумма без отделки],Дек2448[МОП],$A156,Дек2448[Комнатность],"оФИС")</f>
        <v>0</v>
      </c>
      <c r="F156" s="301">
        <f>COUNTIFS(Дек2448[МОП],$A156,Дек2448[Комнатность],"Офис")</f>
        <v>0</v>
      </c>
      <c r="G156" s="315">
        <f>SUMIFS(РД[S],РД[МОП],A156,РД[Дата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H156" s="363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I156" s="247">
        <f>COUNTIFS(РД[МОП],A156,РД[Дата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J156" s="360" t="str">
        <f t="shared" si="41"/>
        <v/>
      </c>
      <c r="K156" s="367" t="str">
        <f t="shared" si="41"/>
        <v/>
      </c>
      <c r="L156" s="358">
        <f>COUNTIFS(РД[Дом],L$151,РД[МОП],$A156,РД[Дата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330">
        <f>COUNTIFS(РД[Дом],M$151,РД[МОП],$A156,РД[Дата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331">
        <f>COUNTIFS(РД[Дом],N$151,РД[МОП],$A156,РД[Дата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331">
        <f>COUNTIFS(РД[Дом],O$151,РД[МОП],$A156,РД[Дата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S156" s="66"/>
      <c r="T156" s="66"/>
    </row>
    <row r="157" spans="1:21" s="65" customFormat="1">
      <c r="A157" s="154" t="s">
        <v>29</v>
      </c>
      <c r="B157" s="274"/>
      <c r="C157" s="275"/>
      <c r="D157" s="276">
        <f>SUMIFS(Дек2448[м2],Дек2448[МОП],A157,Дек2448[Комнатность],"Офис")</f>
        <v>0</v>
      </c>
      <c r="E157" s="156">
        <f>SUMIFS(Дек2448[Сумма без отделки],Дек2448[МОП],$A157,Дек2448[Комнатность],"оФИС")</f>
        <v>0</v>
      </c>
      <c r="F157" s="158">
        <f>COUNTIFS(Дек2448[МОП],$A157,Дек2448[Комнатность],"Офис")</f>
        <v>0</v>
      </c>
      <c r="G157" s="274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277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28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229" t="str">
        <f t="shared" si="41"/>
        <v/>
      </c>
      <c r="K157" s="335" t="str">
        <f t="shared" si="41"/>
        <v/>
      </c>
      <c r="L157" s="159">
        <f>COUNTIFS(РД[Дом],L$151,РД[МОП],$A157,РД[Дата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228">
        <f>COUNTIFS(РД[Дом],M$151,РД[МОП],$A157,РД[Дата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231">
        <f>COUNTIFS(РД[Дом],N$151,РД[МОП],$A157,РД[Дата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231">
        <f>COUNTIFS(РД[Дом],O$151,РД[МОП],$A157,РД[Дата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S157" s="66"/>
      <c r="T157" s="66"/>
    </row>
    <row r="158" spans="1:21" s="65" customFormat="1">
      <c r="A158" s="161" t="s">
        <v>1919</v>
      </c>
      <c r="B158" s="278"/>
      <c r="C158" s="279"/>
      <c r="D158" s="280">
        <f>SUMIFS(Дек2448[м2],Дек2448[МОП],A158,Дек2448[Комнатность],"Офис")</f>
        <v>0</v>
      </c>
      <c r="E158" s="163">
        <f>SUMIFS(Дек2448[Сумма без отделки],Дек2448[МОП],$A158,Дек2448[Комнатность],"оФИС")</f>
        <v>0</v>
      </c>
      <c r="F158" s="165">
        <f>COUNTIFS(Дек2448[МОП],$A158,Дек2448[Комнатность],"Офис")</f>
        <v>0</v>
      </c>
      <c r="G158" s="278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H158" s="281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I158" s="232">
        <f>COUNTIFS(РД[МОП],A158,РД[Дата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J158" s="233" t="str">
        <f t="shared" si="41"/>
        <v/>
      </c>
      <c r="K158" s="336" t="str">
        <f t="shared" si="41"/>
        <v/>
      </c>
      <c r="L158" s="166">
        <f>COUNTIFS(РД[Дом],L$151,РД[МОП],$A158,РД[Дата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32">
        <f>COUNTIFS(РД[Дом],M$151,РД[МОП],$A158,РД[Дата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337">
        <f>COUNTIFS(РД[Дом],N$151,РД[МОП],$A158,РД[Дата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337">
        <f>COUNTIFS(РД[Дом],O$151,РД[МОП],$A158,РД[Дата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S158" s="66"/>
      <c r="T158" s="66"/>
    </row>
    <row r="159" spans="1:21" s="65" customFormat="1">
      <c r="A159" s="168" t="s">
        <v>114</v>
      </c>
      <c r="B159" s="282">
        <f>SUM(B152:B158)</f>
        <v>0</v>
      </c>
      <c r="C159" s="283">
        <f t="shared" ref="C159:O159" si="42">SUM(C152:C158)</f>
        <v>0</v>
      </c>
      <c r="D159" s="284">
        <f t="shared" si="42"/>
        <v>0</v>
      </c>
      <c r="E159" s="285">
        <f t="shared" si="42"/>
        <v>0</v>
      </c>
      <c r="F159" s="286">
        <f t="shared" si="42"/>
        <v>0</v>
      </c>
      <c r="G159" s="282">
        <f t="shared" si="42"/>
        <v>0</v>
      </c>
      <c r="H159" s="287">
        <f t="shared" si="42"/>
        <v>0</v>
      </c>
      <c r="I159" s="287">
        <f t="shared" si="42"/>
        <v>0</v>
      </c>
      <c r="J159" s="238">
        <f t="shared" si="42"/>
        <v>0</v>
      </c>
      <c r="K159" s="338">
        <f t="shared" si="42"/>
        <v>0</v>
      </c>
      <c r="L159" s="318">
        <f t="shared" si="42"/>
        <v>0</v>
      </c>
      <c r="M159" s="321">
        <f t="shared" si="42"/>
        <v>0</v>
      </c>
      <c r="N159" s="319">
        <f t="shared" si="42"/>
        <v>0</v>
      </c>
      <c r="O159" s="319">
        <f t="shared" si="42"/>
        <v>0</v>
      </c>
      <c r="S159" s="66"/>
      <c r="T159" s="66"/>
    </row>
    <row r="160" spans="1:21" s="65" customFormat="1">
      <c r="A160" s="135" t="s">
        <v>115</v>
      </c>
      <c r="B160" s="135" t="s">
        <v>100</v>
      </c>
      <c r="C160" s="136" t="s">
        <v>97</v>
      </c>
      <c r="D160" s="288" t="s">
        <v>494</v>
      </c>
      <c r="E160" s="289" t="s">
        <v>495</v>
      </c>
      <c r="F160" s="290" t="s">
        <v>496</v>
      </c>
      <c r="G160" s="140" t="s">
        <v>101</v>
      </c>
      <c r="H160" s="141" t="s">
        <v>98</v>
      </c>
      <c r="I160" s="141" t="s">
        <v>96</v>
      </c>
      <c r="J160" s="141" t="s">
        <v>715</v>
      </c>
      <c r="K160" s="216" t="s">
        <v>716</v>
      </c>
      <c r="L160" s="332" t="s">
        <v>121</v>
      </c>
      <c r="M160" s="218" t="s">
        <v>27</v>
      </c>
      <c r="N160" s="219" t="s">
        <v>7</v>
      </c>
      <c r="O160" s="219" t="s">
        <v>7</v>
      </c>
      <c r="T160" s="66"/>
    </row>
    <row r="161" spans="1:21" s="65" customFormat="1">
      <c r="A161" s="177" t="s">
        <v>22</v>
      </c>
      <c r="B161" s="291"/>
      <c r="C161" s="292"/>
      <c r="D161" s="180">
        <f>SUMIFS(Дек2448[м2],Дек2448[ИМ],A161,Дек2448[Комнатность],"Офис")</f>
        <v>0</v>
      </c>
      <c r="E161" s="181">
        <f>SUMIFS(Дек2448[Сумма без отделки],Дек2448[ИМ],$A161,Дек2448[Комнатность],"оФИС")</f>
        <v>0</v>
      </c>
      <c r="F161" s="204">
        <f>COUNTIFS(Дек2448[ИМ],$A161,Дек2448[Комнатность],"Офис")</f>
        <v>0</v>
      </c>
      <c r="G161" s="183">
        <f>SUMIFS(РД[S],РД[ИМ],A161,РД[Дата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H161" s="18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43">
        <f>COUNTIFS(РД[ИМ],A161,РД[Дата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44" t="str">
        <f t="shared" ref="J161:K164" si="43">IFERROR(G161/B161,"")</f>
        <v/>
      </c>
      <c r="K161" s="258" t="str">
        <f t="shared" si="43"/>
        <v/>
      </c>
      <c r="L161" s="148">
        <f>COUNTIFS(РД[Дом],L$151,РД[ИМ],$A161,РД[Дата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0">
        <f>COUNTIFS(РД[Дом],M$151,РД[ИМ],$A161,РД[Дата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3">
        <f>COUNTIFS(РД[Дом],N$151,РД[ИМ],$A161,РД[Дата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3">
        <f>COUNTIFS(РД[Дом],O$151,РД[ИМ],$A161,РД[Дата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T161" s="66"/>
    </row>
    <row r="162" spans="1:21" s="65" customFormat="1">
      <c r="A162" s="150" t="s">
        <v>26</v>
      </c>
      <c r="B162" s="267"/>
      <c r="C162" s="146"/>
      <c r="D162" s="205">
        <f>SUMIFS(Дек2448[м2],Дек2448[ИМ],A162,Дек2448[Комнатность],"Офис")</f>
        <v>0</v>
      </c>
      <c r="E162" s="206">
        <f>SUMIFS(Дек2448[Сумма без отделки],Дек2448[ИМ],$A162,Дек2448[Комнатность],"оФИС")</f>
        <v>0</v>
      </c>
      <c r="F162" s="207">
        <f>COUNTIFS(Дек2448[ИМ],$A162,Дек2448[Комнатность],"Офис")</f>
        <v>0</v>
      </c>
      <c r="G162" s="187">
        <f>SUMIFS(РД[S],РД[ИМ],A162,РД[Дата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H162" s="188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47">
        <f>COUNTIFS(РД[ИМ],A162,РД[Дата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48" t="str">
        <f t="shared" si="43"/>
        <v/>
      </c>
      <c r="K162" s="259" t="str">
        <f t="shared" si="43"/>
        <v/>
      </c>
      <c r="L162" s="148">
        <f>COUNTIFS(РД[Дом],L$151,РД[ИМ],$A162,РД[Дата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0">
        <f>COUNTIFS(РД[Дом],M$151,РД[ИМ],$A162,РД[Дата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3">
        <f>COUNTIFS(РД[Дом],N$151,РД[ИМ],$A162,РД[Дата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3">
        <f>COUNTIFS(РД[Дом],O$151,РД[ИМ],$A162,РД[Дата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T162" s="66"/>
    </row>
    <row r="163" spans="1:21" s="65" customFormat="1">
      <c r="A163" s="189" t="s">
        <v>3</v>
      </c>
      <c r="B163" s="293"/>
      <c r="C163" s="294"/>
      <c r="D163" s="208">
        <f>SUMIFS(Дек2448[м2],Дек2448[ИМ],A163,Дек2448[Комнатность],"Офис")</f>
        <v>0</v>
      </c>
      <c r="E163" s="209">
        <f>SUMIFS(Дек2448[Сумма без отделки],Дек2448[ИМ],$A163,Дек2448[Комнатность],"оФИС")</f>
        <v>0</v>
      </c>
      <c r="F163" s="210">
        <f>COUNTIFS(Дек2448[ИМ],$A163,Дек2448[Комнатность],"Офис")</f>
        <v>0</v>
      </c>
      <c r="G163" s="195">
        <f>SUMIFS(РД[S],РД[ИМ],A163,РД[Дата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96">
        <f>SUMIFS(РД[Стоимость без отделки итог],РД[ИМ],A163,РД[Дата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51">
        <f>COUNTIFS(РД[ИМ],A163,РД[Дата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52" t="str">
        <f t="shared" si="43"/>
        <v/>
      </c>
      <c r="K163" s="260" t="str">
        <f t="shared" si="43"/>
        <v/>
      </c>
      <c r="L163" s="202">
        <f>COUNTIFS(РД[Дом],L$151,РД[ИМ],$A163,РД[Дата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6">
        <f>COUNTIFS(РД[Дом],M$151,РД[ИМ],$A163,РД[Дата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7">
        <f>COUNTIFS(РД[Дом],N$151,РД[ИМ],$A163,РД[Дата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7">
        <f>COUNTIFS(РД[Дом],O$151,РД[ИМ],$A163,РД[Дата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T163" s="66"/>
    </row>
    <row r="164" spans="1:21" s="65" customFormat="1">
      <c r="A164" s="168" t="s">
        <v>114</v>
      </c>
      <c r="B164" s="282">
        <f>SUM(B161:B163)</f>
        <v>0</v>
      </c>
      <c r="C164" s="283">
        <f>SUM(C161:C163)</f>
        <v>0</v>
      </c>
      <c r="D164" s="284">
        <f t="shared" ref="D164:I164" si="44">SUM(D161:D163)</f>
        <v>0</v>
      </c>
      <c r="E164" s="285">
        <f t="shared" si="44"/>
        <v>0</v>
      </c>
      <c r="F164" s="286">
        <f t="shared" si="44"/>
        <v>0</v>
      </c>
      <c r="G164" s="282">
        <f t="shared" si="44"/>
        <v>0</v>
      </c>
      <c r="H164" s="287">
        <f t="shared" si="44"/>
        <v>0</v>
      </c>
      <c r="I164" s="287">
        <f t="shared" si="44"/>
        <v>0</v>
      </c>
      <c r="J164" s="238" t="str">
        <f t="shared" si="43"/>
        <v/>
      </c>
      <c r="K164" s="338" t="str">
        <f t="shared" si="43"/>
        <v/>
      </c>
      <c r="L164" s="318">
        <f>SUM(L161:L163)</f>
        <v>0</v>
      </c>
      <c r="M164" s="321">
        <f>SUM(M161:M163)</f>
        <v>0</v>
      </c>
      <c r="N164" s="319">
        <f>SUM(N161:N163)</f>
        <v>0</v>
      </c>
      <c r="O164" s="319">
        <f>SUM(O161:O163)</f>
        <v>0</v>
      </c>
      <c r="T164" s="66"/>
    </row>
    <row r="165" spans="1:21" s="65" customFormat="1">
      <c r="A165" s="134"/>
      <c r="B165" s="44"/>
      <c r="C165" s="44"/>
      <c r="D165" s="134"/>
      <c r="E165" s="134"/>
      <c r="F165" s="44"/>
      <c r="G165" s="134"/>
      <c r="H165" s="134"/>
      <c r="I165" s="134"/>
      <c r="J165" s="134"/>
      <c r="K165" s="255"/>
      <c r="L165" s="256"/>
      <c r="M165" s="134"/>
      <c r="N165" s="134"/>
      <c r="O165" s="134"/>
      <c r="P165" s="134"/>
      <c r="Q165" s="72"/>
      <c r="U165" s="66"/>
    </row>
    <row r="166" spans="1:21" s="65" customFormat="1" ht="15">
      <c r="A166" s="2402" t="s">
        <v>945</v>
      </c>
      <c r="B166" s="2403"/>
      <c r="C166" s="2403"/>
      <c r="D166" s="2403"/>
      <c r="E166" s="2403"/>
      <c r="F166" s="2403"/>
      <c r="G166" s="2403"/>
      <c r="H166" s="2403"/>
      <c r="I166" s="2403"/>
      <c r="J166" s="2403"/>
      <c r="K166" s="2403"/>
      <c r="L166" s="2403"/>
      <c r="M166" s="2404"/>
      <c r="N166" s="339"/>
      <c r="O166" s="339"/>
      <c r="P166" s="86"/>
      <c r="T166" s="66"/>
    </row>
    <row r="167" spans="1:21" s="65" customFormat="1">
      <c r="A167" s="135" t="s">
        <v>1</v>
      </c>
      <c r="B167" s="135" t="s">
        <v>101</v>
      </c>
      <c r="C167" s="136" t="s">
        <v>98</v>
      </c>
      <c r="D167" s="295" t="s">
        <v>494</v>
      </c>
      <c r="E167" s="138" t="s">
        <v>495</v>
      </c>
      <c r="F167" s="296" t="s">
        <v>496</v>
      </c>
      <c r="G167" s="140" t="s">
        <v>946</v>
      </c>
      <c r="H167" s="141" t="s">
        <v>947</v>
      </c>
      <c r="I167" s="217">
        <v>0</v>
      </c>
      <c r="J167" s="218">
        <v>1</v>
      </c>
      <c r="K167" s="340">
        <v>2</v>
      </c>
      <c r="L167" s="218">
        <v>3</v>
      </c>
      <c r="M167" s="219" t="s">
        <v>1367</v>
      </c>
      <c r="N167" s="339"/>
      <c r="O167" s="339"/>
      <c r="P167" s="86"/>
      <c r="T167" s="66"/>
    </row>
    <row r="168" spans="1:21" s="65" customFormat="1">
      <c r="A168" s="142" t="s">
        <v>28</v>
      </c>
      <c r="B168" s="297">
        <f>SUMIFS(РД[S],РД[МОП],A168,РД[Дата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C168" s="298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D168" s="299">
        <f>SUMIFS(Дек2448[м2],Дек2448[Встреча],$A168,Дек2448[КТУ],"АН -*")</f>
        <v>0</v>
      </c>
      <c r="E168" s="300">
        <f>SUMIFS(Дек2448[Сумма без отделки],Дек2448[Встреча],$A168,Дек2448[КТУ],"АН -*")</f>
        <v>0</v>
      </c>
      <c r="F168" s="301">
        <f>COUNTIFS(Дек2448[Встреча],$A168,Дек2448[КТУ],"АН -*")</f>
        <v>0</v>
      </c>
      <c r="G168" s="271">
        <f>SUMIFS(РД[S],РД[МОП],A168,РД[Дата подачи на регистрацию],"&lt;="&amp;$A$1,РД[Дата подачи на регистрацию],"&gt;="&amp;DATE(YEAR($A$1),MONTH($A$1),1),РД[Источник рекламы],"Н -*")/2</f>
        <v>0</v>
      </c>
      <c r="H168" s="272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-*")/2</f>
        <v>0</v>
      </c>
      <c r="I168" s="257">
        <f>COUNTIFS(РД[Тип кв],I$167,РД[МОП],$A168,РД[Дата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J168" s="226">
        <f>COUNTIFS(РД[Тип кв],J$167,РД[МОП],$A168,РД[Дата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K168" s="226">
        <f>COUNTIFS(РД[Тип кв],K$167,РД[МОП],$A168,РД[Дата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L168" s="226">
        <f>COUNTIFS(РД[Тип кв],L$167,РД[МОП],$A168,РД[Дата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M168" s="227">
        <f>COUNTIFS(РД[Тип кв],M$167,РД[МОП],$A168,РД[Дата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N168" s="339"/>
      <c r="O168" s="339"/>
      <c r="P168" s="86"/>
      <c r="T168" s="66"/>
    </row>
    <row r="169" spans="1:21" s="65" customFormat="1">
      <c r="A169" s="142" t="s">
        <v>8</v>
      </c>
      <c r="B169" s="297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29.62</v>
      </c>
      <c r="C169" s="298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4174400</v>
      </c>
      <c r="D169" s="299">
        <f>SUMIFS(Дек2448[м2],Дек2448[Встреча],$A169,Дек2448[КТУ],"АН -*")</f>
        <v>29.62</v>
      </c>
      <c r="E169" s="300">
        <f>SUMIFS(Дек2448[Сумма без отделки],Дек2448[Встреча],$A169,Дек2448[КТУ],"АН -*")</f>
        <v>4174400</v>
      </c>
      <c r="F169" s="301">
        <f>COUNTIFS(Дек2448[Встреча],$A169,Дек2448[КТУ],"АН -*")</f>
        <v>1</v>
      </c>
      <c r="G169" s="271">
        <f>SUMIFS(РД[S],РД[МОП],A169,РД[Дата подачи на регистрацию],"&lt;="&amp;$A$1,РД[Дата подачи на регистрацию],"&gt;="&amp;DATE(YEAR($A$1),MONTH($A$1),1),РД[Источник рекламы],"Н -*")/2</f>
        <v>14.81</v>
      </c>
      <c r="H169" s="272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-*")/2</f>
        <v>2087200</v>
      </c>
      <c r="I169" s="257">
        <f>COUNTIFS(РД[Тип кв],I$167,РД[МОП],$A169,РД[Дата подачи на регистрацию],"&lt;="&amp;$A$1,РД[Дата подачи на регистрацию],"&gt;="&amp;DATE(YEAR($A$1),MONTH($A$1),1),РД[Источник рекламы],"Н -*")</f>
        <v>1</v>
      </c>
      <c r="J169" s="226">
        <f>COUNTIFS(РД[Тип кв],J$167,РД[МОП],$A169,РД[Дата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K169" s="226">
        <f>COUNTIFS(РД[Тип кв],K$167,РД[МОП],$A169,РД[Дата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L169" s="226">
        <f>COUNTIFS(РД[Тип кв],L$167,РД[МОП],$A169,РД[Дата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M169" s="227">
        <f>COUNTIFS(РД[Тип кв],M$167,РД[МОП],$A169,РД[Дата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50" t="s">
        <v>20</v>
      </c>
      <c r="B170" s="297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C170" s="298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D170" s="299">
        <f>SUMIFS(Дек2448[м2],Дек2448[Встреча],$A170,Дек2448[КТУ],"АН -*")</f>
        <v>0</v>
      </c>
      <c r="E170" s="300">
        <f>SUMIFS(Дек2448[Сумма без отделки],Дек2448[Встреча],$A170,Дек2448[КТУ],"АН -*")</f>
        <v>0</v>
      </c>
      <c r="F170" s="301">
        <f>COUNTIFS(Дек2448[Встреча],$A170,Дек2448[КТУ],"АН -*")</f>
        <v>0</v>
      </c>
      <c r="G170" s="271">
        <f>SUMIFS(РД[S],РД[МОП],A170,РД[Дата подачи на регистрацию],"&lt;="&amp;$A$1,РД[Дата подачи на регистрацию],"&gt;="&amp;DATE(YEAR($A$1),MONTH($A$1),1),РД[Источник рекламы],"Н -*")/2</f>
        <v>0</v>
      </c>
      <c r="H170" s="272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-*")/2</f>
        <v>0</v>
      </c>
      <c r="I170" s="257">
        <f>COUNTIFS(РД[Тип кв],I$167,РД[МОП],$A170,РД[Дата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K170" s="226">
        <f>COUNTIFS(РД[Тип кв],K$167,РД[МОП],$A170,РД[Дата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L170" s="226">
        <f>COUNTIFS(РД[Тип кв],L$167,РД[МОП],$A170,РД[Дата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53" t="s">
        <v>24</v>
      </c>
      <c r="B171" s="297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0</v>
      </c>
      <c r="C171" s="298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0</v>
      </c>
      <c r="D171" s="299">
        <f>SUMIFS(Дек2448[м2],Дек2448[Встреча],$A171,Дек2448[КТУ],"АН -*")</f>
        <v>0</v>
      </c>
      <c r="E171" s="300">
        <f>SUMIFS(Дек2448[Сумма без отделки],Дек2448[Встреча],$A171,Дек2448[КТУ],"АН -*")</f>
        <v>0</v>
      </c>
      <c r="F171" s="301">
        <f>COUNTIFS(Дек2448[Встреча],$A171,Дек2448[КТУ],"АН -*")</f>
        <v>0</v>
      </c>
      <c r="G171" s="271">
        <f>SUMIFS(РД[S],РД[МОП],A171,РД[Дата подачи на регистрацию],"&lt;="&amp;$A$1,РД[Дата подачи на регистрацию],"&gt;="&amp;DATE(YEAR($A$1),MONTH($A$1),1),РД[Источник рекламы],"Н -*")/2</f>
        <v>0</v>
      </c>
      <c r="H171" s="272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-*")/2</f>
        <v>0</v>
      </c>
      <c r="I171" s="257">
        <f>COUNTIFS(РД[Тип кв],I$167,РД[МОП],$A171,РД[Дата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J171" s="226">
        <f>COUNTIFS(РД[Тип кв],J$167,РД[МОП],$A171,РД[Дата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K171" s="226">
        <f>COUNTIFS(РД[Тип кв],K$167,РД[МОП],$A171,РД[Дата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L171" s="226">
        <f>COUNTIFS(РД[Тип кв],L$167,РД[МОП],$A171,РД[Дата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227">
        <f>COUNTIFS(РД[Тип кв],M$167,РД[МОП],$A171,РД[Дата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153" t="s">
        <v>14</v>
      </c>
      <c r="B172" s="313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C172" s="314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D172" s="299">
        <f>SUMIFS(Дек2448[м2],Дек2448[Встреча],$A172,Дек2448[КТУ],"АН -*")</f>
        <v>0</v>
      </c>
      <c r="E172" s="300">
        <f>SUMIFS(Дек2448[Сумма без отделки],Дек2448[Встреча],$A172,Дек2448[КТУ],"АН -*")</f>
        <v>0</v>
      </c>
      <c r="F172" s="301">
        <f>COUNTIFS(Дек2448[Встреча],$A172,Дек2448[КТУ],"АН -*")</f>
        <v>0</v>
      </c>
      <c r="G172" s="315">
        <f>SUMIFS(РД[S],РД[МОП],A172,РД[Дата подачи на регистрацию],"&lt;="&amp;$A$1,РД[Дата подачи на регистрацию],"&gt;="&amp;DATE(YEAR($A$1),MONTH($A$1),1),РД[Источник рекламы],"Н -*")/2</f>
        <v>0</v>
      </c>
      <c r="H172" s="316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-*")/2</f>
        <v>0</v>
      </c>
      <c r="I172" s="329">
        <f>COUNTIFS(РД[Тип кв],I$167,РД[МОП],$A172,РД[Дата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J172" s="330">
        <f>COUNTIFS(РД[Тип кв],J$167,РД[МОП],$A172,РД[Дата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K172" s="330">
        <f>COUNTIFS(РД[Тип кв],K$167,РД[МОП],$A172,РД[Дата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L172" s="330">
        <f>COUNTIFS(РД[Тип кв],L$167,РД[МОП],$A172,РД[Дата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M172" s="331">
        <f>COUNTIFS(РД[Тип кв],M$167,РД[МОП],$A172,РД[Дата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N172" s="339"/>
      <c r="O172" s="339"/>
      <c r="P172" s="86"/>
      <c r="T172" s="66"/>
    </row>
    <row r="173" spans="1:21" s="65" customFormat="1">
      <c r="A173" s="302" t="s">
        <v>29</v>
      </c>
      <c r="B173" s="276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C173" s="303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D173" s="157">
        <f>SUMIFS(Дек2448[м2],Дек2448[Встреча],$A173,Дек2448[КТУ],"АН -*")</f>
        <v>0</v>
      </c>
      <c r="E173" s="156">
        <f>SUMIFS(Дек2448[Сумма без отделки],Дек2448[Встреча],$A173,Дек2448[КТУ],"АН -*")</f>
        <v>0</v>
      </c>
      <c r="F173" s="158">
        <f>COUNTIFS(Дек2448[Встреча],$A173,Дек2448[КТУ],"АН -*")</f>
        <v>0</v>
      </c>
      <c r="G173" s="274">
        <f>SUMIFS(РД[S],РД[МОП],A173,РД[Дата подачи на регистрацию],"&lt;="&amp;$A$1,РД[Дата подачи на регистрацию],"&gt;="&amp;DATE(YEAR($A$1),MONTH($A$1),1),РД[Источник рекламы],"Н -*")/2</f>
        <v>0</v>
      </c>
      <c r="H173" s="275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-*")/2</f>
        <v>0</v>
      </c>
      <c r="I173" s="341">
        <f>COUNTIFS(РД[Тип кв],I$167,РД[МОП],$A173,РД[Дата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J173" s="228">
        <f>COUNTIFS(РД[Тип кв],J$167,РД[МОП],$A173,РД[Дата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K173" s="228">
        <f>COUNTIFS(РД[Тип кв],K$167,РД[МОП],$A173,РД[Дата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L173" s="228">
        <f>COUNTIFS(РД[Тип кв],L$167,РД[МОП],$A173,РД[Дата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M173" s="231">
        <f>COUNTIFS(РД[Тип кв],M$167,РД[МОП],$A173,РД[Дата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N173" s="339"/>
      <c r="O173" s="339"/>
      <c r="P173" s="86"/>
      <c r="T173" s="66"/>
    </row>
    <row r="174" spans="1:21" s="65" customFormat="1">
      <c r="A174" s="304" t="s">
        <v>114</v>
      </c>
      <c r="B174" s="284">
        <f>SUM(B168:B172)</f>
        <v>29.62</v>
      </c>
      <c r="C174" s="305">
        <f t="shared" ref="C174:M174" si="45">SUM(C168:C172)</f>
        <v>4174400</v>
      </c>
      <c r="D174" s="284">
        <f t="shared" si="45"/>
        <v>29.62</v>
      </c>
      <c r="E174" s="285">
        <f t="shared" si="45"/>
        <v>4174400</v>
      </c>
      <c r="F174" s="286">
        <f t="shared" si="45"/>
        <v>1</v>
      </c>
      <c r="G174" s="282">
        <f t="shared" si="45"/>
        <v>14.81</v>
      </c>
      <c r="H174" s="283">
        <f t="shared" si="45"/>
        <v>2087200</v>
      </c>
      <c r="I174" s="284">
        <f t="shared" si="45"/>
        <v>1</v>
      </c>
      <c r="J174" s="285">
        <f t="shared" si="45"/>
        <v>0</v>
      </c>
      <c r="K174" s="285">
        <f t="shared" si="45"/>
        <v>0</v>
      </c>
      <c r="L174" s="285">
        <f t="shared" si="45"/>
        <v>0</v>
      </c>
      <c r="M174" s="305">
        <f t="shared" si="45"/>
        <v>0</v>
      </c>
      <c r="N174" s="339"/>
      <c r="O174" s="339"/>
      <c r="P174" s="86"/>
      <c r="T174" s="66"/>
    </row>
    <row r="175" spans="1:21" s="65" customFormat="1">
      <c r="A175" s="306" t="s">
        <v>115</v>
      </c>
      <c r="B175" s="307" t="s">
        <v>101</v>
      </c>
      <c r="C175" s="308" t="s">
        <v>98</v>
      </c>
      <c r="D175" s="288" t="s">
        <v>494</v>
      </c>
      <c r="E175" s="289" t="s">
        <v>495</v>
      </c>
      <c r="F175" s="290" t="s">
        <v>496</v>
      </c>
      <c r="G175" s="309" t="s">
        <v>946</v>
      </c>
      <c r="H175" s="310" t="s">
        <v>947</v>
      </c>
      <c r="I175" s="342">
        <v>0</v>
      </c>
      <c r="J175" s="343">
        <v>1</v>
      </c>
      <c r="K175" s="344">
        <v>2</v>
      </c>
      <c r="L175" s="343">
        <v>3</v>
      </c>
      <c r="M175" s="345" t="s">
        <v>1367</v>
      </c>
      <c r="N175" s="339"/>
      <c r="O175" s="339"/>
      <c r="P175" s="86"/>
      <c r="T175" s="66"/>
    </row>
    <row r="176" spans="1:21" s="65" customFormat="1">
      <c r="A176" s="177" t="s">
        <v>22</v>
      </c>
      <c r="B176" s="178">
        <f>SUMIFS(РД[S],РД[ИМ],A176,РД[Дата подачи на регистрацию],"&lt;="&amp;$A$1,РД[Дата подачи на регистрацию],"&gt;="&amp;DATE(YEAR($A$1),MONTH($A$1),1),РД[Источник рекламы],"Н -*")</f>
        <v>0</v>
      </c>
      <c r="C176" s="311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</f>
        <v>0</v>
      </c>
      <c r="D176" s="180">
        <f>SUMIFS(Дек2448[м2],Дек2448[ИМ],$A176,Дек2448[КТУ],"АН -*")</f>
        <v>0</v>
      </c>
      <c r="E176" s="179">
        <f>SUMIFS(Дек2448[Сумма без отделки],Дек2448[ИМ],$A176,Дек2448[КТУ],"АН -*")</f>
        <v>0</v>
      </c>
      <c r="F176" s="204">
        <f>COUNTIFS(Дек2448[ИМ],$A176,Дек2448[КТУ],"АН -*")</f>
        <v>0</v>
      </c>
      <c r="G176" s="291">
        <f>SUMIFS(РД[S],РД[ИМ],A176,РД[Дата подачи на регистрацию],"&lt;="&amp;$A$1,РД[Дата подачи на регистрацию],"&gt;="&amp;DATE(YEAR($A$1),MONTH($A$1),1),РД[Источник рекламы],"Н -*")/2</f>
        <v>0</v>
      </c>
      <c r="H176" s="312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-*")/2</f>
        <v>0</v>
      </c>
      <c r="I176" s="346">
        <f>COUNTIFS(РД[Тип кв],I$167,РД[ИМ],$A176,РД[Дата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J176" s="243">
        <f>COUNTIFS(РД[Тип кв],J$167,РД[ИМ],$A176,РД[Дата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43">
        <f>COUNTIFS(РД[Тип кв],K$167,РД[ИМ],$A176,РД[Дата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43">
        <f>COUNTIFS(РД[Тип кв],L$167,РД[ИМ],$A176,РД[Дата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46">
        <f>COUNTIFS(РД[Тип кв],M$167,РД[ИМ],$A176,РД[Дата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N176" s="339"/>
      <c r="O176" s="339"/>
      <c r="P176" s="86"/>
      <c r="T176" s="66"/>
    </row>
    <row r="177" spans="1:21" s="65" customFormat="1">
      <c r="A177" s="150" t="s">
        <v>26</v>
      </c>
      <c r="B177" s="297">
        <f>SUMIFS(РД[S],РД[ИМ],A177,РД[Дата подачи на регистрацию],"&lt;="&amp;$A$1,РД[Дата подачи на регистрацию],"&gt;="&amp;DATE(YEAR($A$1),MONTH($A$1),1),РД[Источник рекламы],"Н -*")</f>
        <v>0</v>
      </c>
      <c r="C177" s="298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0</v>
      </c>
      <c r="D177" s="199">
        <f>SUMIFS(Дек2448[м2],Дек2448[ИМ],$A177,Дек2448[КТУ],"АН -*")</f>
        <v>0</v>
      </c>
      <c r="E177" s="200">
        <f>SUMIFS(Дек2448[Сумма без отделки],Дек2448[ИМ],$A177,Дек2448[КТУ],"АН -*")</f>
        <v>0</v>
      </c>
      <c r="F177" s="201">
        <f>COUNTIFS(Дек2448[ИМ],$A177,Дек2448[КТУ],"АН -*")</f>
        <v>0</v>
      </c>
      <c r="G177" s="271">
        <f>SUMIFS(РД[S],РД[ИМ],A177,РД[Дата подачи на регистрацию],"&lt;="&amp;$A$1,РД[Дата подачи на регистрацию],"&gt;="&amp;DATE(YEAR($A$1),MONTH($A$1),1),РД[Источник рекламы],"Н -*")/2</f>
        <v>0</v>
      </c>
      <c r="H177" s="272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-*")/2</f>
        <v>0</v>
      </c>
      <c r="I177" s="257">
        <f>COUNTIFS(РД[Тип кв],I$167,РД[ИМ],$A177,РД[Дата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J177" s="226">
        <f>COUNTIFS(РД[Тип кв],J$167,РД[ИМ],$A177,РД[Дата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26">
        <f>COUNTIFS(РД[Тип кв],K$167,РД[ИМ],$A177,РД[Дата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L177" s="226">
        <f>COUNTIFS(РД[Тип кв],L$167,РД[ИМ],$A177,РД[Дата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7">
        <f>COUNTIFS(РД[Тип кв],M$167,РД[ИМ],$A177,РД[Дата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89" t="s">
        <v>3</v>
      </c>
      <c r="B178" s="313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C178" s="314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D178" s="299">
        <f>SUMIFS(Дек2448[м2],Дек2448[ИМ],$A178,Дек2448[КТУ],"АН -*")</f>
        <v>0</v>
      </c>
      <c r="E178" s="300">
        <f>SUMIFS(Дек2448[Сумма без отделки],Дек2448[ИМ],$A178,Дек2448[КТУ],"АН -*")</f>
        <v>0</v>
      </c>
      <c r="F178" s="301">
        <f>COUNTIFS(Дек2448[ИМ],$A178,Дек2448[КТУ],"АН -*")</f>
        <v>0</v>
      </c>
      <c r="G178" s="315">
        <f>SUMIFS(РД[S],РД[ИМ],A178,РД[Дата подачи на регистрацию],"&lt;="&amp;$A$1,РД[Дата подачи на регистрацию],"&gt;="&amp;DATE(YEAR($A$1),MONTH($A$1),1),РД[Источник рекламы],"Н -*")/2</f>
        <v>0</v>
      </c>
      <c r="H178" s="316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-*")/2</f>
        <v>0</v>
      </c>
      <c r="I178" s="329">
        <f>COUNTIFS(РД[Тип кв],I$167,РД[ИМ],$A178,РД[Дата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330">
        <f>COUNTIFS(РД[Тип кв],J$167,РД[ИМ],$A178,РД[Дата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330">
        <f>COUNTIFS(РД[Тип кв],K$167,РД[ИМ],$A178,РД[Дата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330">
        <f>COUNTIFS(РД[Тип кв],L$167,РД[ИМ],$A178,РД[Дата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331">
        <f>COUNTIFS(РД[Тип кв],M$167,РД[ИМ],$A178,РД[Дата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317" t="s">
        <v>114</v>
      </c>
      <c r="B179" s="318">
        <f>SUM(B176:B178)</f>
        <v>0</v>
      </c>
      <c r="C179" s="319">
        <f t="shared" ref="C179:M179" si="46">SUM(C176:C178)</f>
        <v>0</v>
      </c>
      <c r="D179" s="320">
        <f t="shared" si="46"/>
        <v>0</v>
      </c>
      <c r="E179" s="321">
        <f t="shared" si="46"/>
        <v>0</v>
      </c>
      <c r="F179" s="322">
        <f t="shared" si="46"/>
        <v>0</v>
      </c>
      <c r="G179" s="323">
        <f t="shared" si="46"/>
        <v>0</v>
      </c>
      <c r="H179" s="324">
        <f t="shared" si="46"/>
        <v>0</v>
      </c>
      <c r="I179" s="318">
        <f t="shared" si="46"/>
        <v>0</v>
      </c>
      <c r="J179" s="321">
        <f t="shared" si="46"/>
        <v>0</v>
      </c>
      <c r="K179" s="321">
        <f t="shared" si="46"/>
        <v>0</v>
      </c>
      <c r="L179" s="321">
        <f t="shared" si="46"/>
        <v>0</v>
      </c>
      <c r="M179" s="319">
        <f t="shared" si="46"/>
        <v>0</v>
      </c>
      <c r="N179" s="339"/>
      <c r="O179" s="339"/>
      <c r="P179" s="86"/>
      <c r="T179" s="66"/>
    </row>
    <row r="180" spans="1:21" s="65" customFormat="1">
      <c r="Q180" s="86"/>
      <c r="U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86"/>
      <c r="R216" s="65"/>
      <c r="S216" s="65"/>
    </row>
    <row r="217" spans="1:2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R304" s="66"/>
      <c r="S304" s="66"/>
      <c r="U304" s="66"/>
    </row>
    <row r="305" spans="17:21" s="65" customFormat="1">
      <c r="Q305" s="86"/>
      <c r="R305" s="66"/>
      <c r="S305" s="66"/>
      <c r="U305" s="66"/>
    </row>
    <row r="306" spans="17:21" s="65" customFormat="1">
      <c r="Q306" s="86"/>
      <c r="R306" s="66"/>
      <c r="S306" s="66"/>
      <c r="U306" s="66"/>
    </row>
    <row r="307" spans="17:21" s="65" customFormat="1">
      <c r="Q307" s="86"/>
      <c r="R307" s="66"/>
      <c r="S307" s="66"/>
      <c r="U307" s="66"/>
    </row>
  </sheetData>
  <sheetProtection algorithmName="SHA-512" hashValue="lPcYPExRTBvqQBRh2iL0RBdhBsJZUwttcCTgAiTw8UK3cP8pW3a1bZO9TGY105xjZKQopWavMO+FzU0mm4yEiQ==" saltValue="/uUkA21W0/L1FdpyVlWtqg==" spinCount="100000" sheet="1" formatCells="0" formatColumns="0" formatRows="0" sort="0" autoFilter="0" pivotTables="0"/>
  <mergeCells count="8">
    <mergeCell ref="A134:B134"/>
    <mergeCell ref="A150:O150"/>
    <mergeCell ref="A166:M166"/>
    <mergeCell ref="A1:U1"/>
    <mergeCell ref="A70:B70"/>
    <mergeCell ref="A86:B86"/>
    <mergeCell ref="A102:B102"/>
    <mergeCell ref="A118:B118"/>
  </mergeCells>
  <pageMargins left="0.25" right="0.25" top="0.75" bottom="0.75" header="0.3" footer="0.3"/>
  <pageSetup paperSize="9" scale="22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900-000000000000}">
          <x14:formula1>
            <xm:f>Списки!$C$2:$C$27</xm:f>
          </x14:formula1>
          <xm:sqref>U8 U23 K3:K20 K23:K26 K28:K64 T3:U7 T9:U22 T24:U26 T28:U64</xm:sqref>
        </x14:dataValidation>
        <x14:dataValidation type="list" allowBlank="1" showInputMessage="1" showErrorMessage="1" xr:uid="{00000000-0002-0000-3900-000001000000}">
          <x14:formula1>
            <xm:f>Списки!$H$2</xm:f>
          </x14:formula1>
          <xm:sqref>B3:B64</xm:sqref>
        </x14:dataValidation>
        <x14:dataValidation type="list" allowBlank="1" showInputMessage="1" showErrorMessage="1" xr:uid="{00000000-0002-0000-3900-000002000000}">
          <x14:formula1>
            <xm:f>Списки!$B$3:$B$10</xm:f>
          </x14:formula1>
          <xm:sqref>D3:D64</xm:sqref>
        </x14:dataValidation>
        <x14:dataValidation type="list" allowBlank="1" showInputMessage="1" showErrorMessage="1" xr:uid="{00000000-0002-0000-3900-000003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900-000004000000}">
          <x14:formula1>
            <xm:f>Списки!$D$2:$D$7</xm:f>
          </x14:formula1>
          <xm:sqref>H3:H20 H23:H26 H28:H64</xm:sqref>
        </x14:dataValidation>
        <x14:dataValidation type="list" allowBlank="1" showInputMessage="1" showErrorMessage="1" xr:uid="{00000000-0002-0000-3900-000005000000}">
          <x14:formula1>
            <xm:f>Списки!$E$2:$E$7</xm:f>
          </x14:formula1>
          <xm:sqref>L3:L20 L23:L26 L28:L64</xm:sqref>
        </x14:dataValidation>
        <x14:dataValidation type="list" allowBlank="1" showInputMessage="1" showErrorMessage="1" xr:uid="{00000000-0002-0000-3900-000006000000}">
          <x14:formula1>
            <xm:f>Списки!$G$2:$G$3</xm:f>
          </x14:formula1>
          <xm:sqref>L67:L68 N3:N20 N23:N26 N28:N64</xm:sqref>
        </x14:dataValidation>
        <x14:dataValidation type="list" allowBlank="1" showInputMessage="1" showErrorMessage="1" xr:uid="{00000000-0002-0000-3900-000007000000}">
          <x14:formula1>
            <xm:f>Списки!$F$2:$F$3</xm:f>
          </x14:formula1>
          <xm:sqref>P3:P20 P23:P26 P28:P64 X67:X68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AF308"/>
  <sheetViews>
    <sheetView view="pageBreakPreview" topLeftCell="D1" zoomScaleNormal="85" workbookViewId="0">
      <pane ySplit="3" topLeftCell="A4" activePane="bottomLeft" state="frozen"/>
      <selection pane="bottomLeft" activeCell="K68" sqref="E68:K68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45716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>
      <c r="A2" s="67"/>
      <c r="B2" s="67"/>
      <c r="C2" s="68">
        <f>SUBTOTAL(3,Ф25[заявка №])</f>
        <v>6</v>
      </c>
      <c r="D2" s="67"/>
      <c r="E2" s="67"/>
      <c r="F2" s="67"/>
      <c r="G2" s="69">
        <f>SUBTOTAL(9,Ф25[м2])</f>
        <v>322.98999999999995</v>
      </c>
      <c r="H2" s="67"/>
      <c r="I2" s="67"/>
      <c r="J2" s="69">
        <f>SUBTOTAL(9,Ф25[сумма])</f>
        <v>40750734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SUBTOTAL(9,Ф25[Сумма без отделки])</f>
        <v>39449934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73" t="s">
        <v>2036</v>
      </c>
      <c r="J3" s="70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61" customFormat="1">
      <c r="A4" s="62">
        <v>1</v>
      </c>
      <c r="B4" s="62" t="s">
        <v>6</v>
      </c>
      <c r="C4" s="74">
        <v>39771</v>
      </c>
      <c r="D4" s="62" t="s">
        <v>23</v>
      </c>
      <c r="E4" s="75">
        <v>213</v>
      </c>
      <c r="F4" s="62">
        <v>2</v>
      </c>
      <c r="G4" s="62">
        <v>54.44</v>
      </c>
      <c r="H4" s="62" t="s">
        <v>9</v>
      </c>
      <c r="I4" s="62"/>
      <c r="J4" s="95">
        <v>6390748</v>
      </c>
      <c r="K4" s="62" t="s">
        <v>8</v>
      </c>
      <c r="L4" s="62"/>
      <c r="M4" s="62" t="s">
        <v>286</v>
      </c>
      <c r="N4" s="62" t="s">
        <v>18</v>
      </c>
      <c r="O4" s="92">
        <v>45694</v>
      </c>
      <c r="P4" s="62" t="s">
        <v>17</v>
      </c>
      <c r="Q4" s="120" t="s">
        <v>2313</v>
      </c>
      <c r="R4" s="113"/>
      <c r="S4" s="113"/>
      <c r="T4" s="62" t="s">
        <v>8</v>
      </c>
      <c r="U4" s="62" t="s">
        <v>8</v>
      </c>
      <c r="V4" s="114">
        <f>Ф25[[#This Row],[сумма]]-Ф25[[#This Row],[Цена м2 отделки]]*Ф25[[#This Row],[м2]]</f>
        <v>6390748</v>
      </c>
    </row>
    <row r="5" spans="1:32" s="62" customFormat="1" hidden="1">
      <c r="A5" s="62">
        <v>2</v>
      </c>
      <c r="B5" s="62" t="s">
        <v>6</v>
      </c>
      <c r="C5" s="62">
        <v>39711</v>
      </c>
      <c r="D5" s="62" t="s">
        <v>23</v>
      </c>
      <c r="E5" s="62">
        <v>223</v>
      </c>
      <c r="F5" s="62">
        <v>1</v>
      </c>
      <c r="G5" s="62">
        <v>44.25</v>
      </c>
      <c r="H5" s="62" t="s">
        <v>9</v>
      </c>
      <c r="J5" s="95">
        <v>5588600</v>
      </c>
      <c r="K5" s="62" t="s">
        <v>45</v>
      </c>
      <c r="M5" s="62" t="s">
        <v>286</v>
      </c>
      <c r="N5" s="62" t="s">
        <v>18</v>
      </c>
      <c r="P5" s="62" t="s">
        <v>17</v>
      </c>
      <c r="Q5" s="120" t="s">
        <v>2314</v>
      </c>
      <c r="T5" s="62" t="s">
        <v>8</v>
      </c>
      <c r="U5" s="62" t="s">
        <v>8</v>
      </c>
      <c r="V5" s="114">
        <f>Ф25[[#This Row],[сумма]]-Ф25[[#This Row],[Цена м2 отделки]]*Ф25[[#This Row],[м2]]</f>
        <v>5588600</v>
      </c>
    </row>
    <row r="6" spans="1:32" s="62" customFormat="1" hidden="1">
      <c r="A6" s="62">
        <v>3</v>
      </c>
      <c r="C6" s="62">
        <v>39122</v>
      </c>
      <c r="D6" s="62" t="s">
        <v>23</v>
      </c>
      <c r="E6" s="62">
        <v>71</v>
      </c>
      <c r="F6" s="62">
        <v>1</v>
      </c>
      <c r="G6" s="62">
        <v>36.92</v>
      </c>
      <c r="H6" s="62" t="s">
        <v>21</v>
      </c>
      <c r="J6" s="95">
        <v>4982844</v>
      </c>
      <c r="K6" s="62" t="s">
        <v>45</v>
      </c>
      <c r="M6" s="62" t="s">
        <v>286</v>
      </c>
      <c r="N6" s="62" t="s">
        <v>18</v>
      </c>
      <c r="Q6" s="120" t="s">
        <v>2315</v>
      </c>
      <c r="T6" s="62" t="s">
        <v>45</v>
      </c>
      <c r="U6" s="62" t="s">
        <v>24</v>
      </c>
      <c r="V6" s="127">
        <f>Ф25[[#This Row],[сумма]]-Ф25[[#This Row],[Цена м2 отделки]]*Ф25[[#This Row],[м2]]</f>
        <v>4982844</v>
      </c>
    </row>
    <row r="7" spans="1:32" s="61" customFormat="1" hidden="1">
      <c r="A7" s="62">
        <v>4</v>
      </c>
      <c r="B7" s="62"/>
      <c r="C7" s="74">
        <v>39334</v>
      </c>
      <c r="D7" s="62" t="s">
        <v>23</v>
      </c>
      <c r="E7" s="75">
        <v>53</v>
      </c>
      <c r="F7" s="62">
        <v>1</v>
      </c>
      <c r="G7" s="62">
        <v>36.92</v>
      </c>
      <c r="H7" s="76" t="s">
        <v>9</v>
      </c>
      <c r="I7" s="62"/>
      <c r="J7" s="91">
        <v>4701648</v>
      </c>
      <c r="K7" s="62" t="s">
        <v>24</v>
      </c>
      <c r="L7" s="62"/>
      <c r="M7" s="62" t="s">
        <v>286</v>
      </c>
      <c r="N7" s="62" t="s">
        <v>18</v>
      </c>
      <c r="O7" s="92"/>
      <c r="P7" s="62"/>
      <c r="Q7" s="112" t="s">
        <v>2316</v>
      </c>
      <c r="R7" s="113"/>
      <c r="S7" s="382"/>
      <c r="T7" s="354" t="s">
        <v>24</v>
      </c>
      <c r="U7" s="102" t="s">
        <v>24</v>
      </c>
      <c r="V7" s="114">
        <f>Ф25[[#This Row],[сумма]]-Ф25[[#This Row],[Цена м2 отделки]]*Ф25[[#This Row],[м2]]</f>
        <v>4701648</v>
      </c>
    </row>
    <row r="8" spans="1:32" s="61" customFormat="1" hidden="1">
      <c r="A8" s="62">
        <v>5</v>
      </c>
      <c r="B8" s="62"/>
      <c r="C8" s="74" t="s">
        <v>2317</v>
      </c>
      <c r="D8" s="62" t="s">
        <v>13</v>
      </c>
      <c r="E8" s="75">
        <v>343</v>
      </c>
      <c r="F8" s="62">
        <v>2</v>
      </c>
      <c r="G8" s="62">
        <v>56.58</v>
      </c>
      <c r="H8" s="76" t="s">
        <v>21</v>
      </c>
      <c r="I8" s="76"/>
      <c r="J8" s="91">
        <v>7531444</v>
      </c>
      <c r="K8" s="62" t="s">
        <v>40</v>
      </c>
      <c r="L8" s="62" t="s">
        <v>26</v>
      </c>
      <c r="M8" s="62" t="s">
        <v>583</v>
      </c>
      <c r="N8" s="62" t="s">
        <v>18</v>
      </c>
      <c r="O8" s="92"/>
      <c r="P8" s="62"/>
      <c r="Q8" s="112" t="s">
        <v>2318</v>
      </c>
      <c r="R8" s="113"/>
      <c r="S8" s="113"/>
      <c r="T8" s="62" t="s">
        <v>40</v>
      </c>
      <c r="U8" s="62" t="s">
        <v>24</v>
      </c>
      <c r="V8" s="114">
        <f>Ф25[[#This Row],[сумма]]-Ф25[[#This Row],[Цена м2 отделки]]*Ф25[[#This Row],[м2]]</f>
        <v>7531444</v>
      </c>
    </row>
    <row r="9" spans="1:32" s="61" customFormat="1" hidden="1">
      <c r="A9" s="62">
        <v>6</v>
      </c>
      <c r="B9" s="62"/>
      <c r="C9" s="74">
        <v>39826</v>
      </c>
      <c r="D9" s="62" t="s">
        <v>23</v>
      </c>
      <c r="E9" s="75">
        <v>41</v>
      </c>
      <c r="F9" s="62">
        <v>1</v>
      </c>
      <c r="G9" s="62">
        <v>37.01</v>
      </c>
      <c r="H9" s="76" t="s">
        <v>9</v>
      </c>
      <c r="I9" s="76"/>
      <c r="J9" s="91">
        <v>4713114</v>
      </c>
      <c r="K9" s="62" t="s">
        <v>24</v>
      </c>
      <c r="L9" s="62"/>
      <c r="M9" s="62" t="s">
        <v>286</v>
      </c>
      <c r="N9" s="62" t="s">
        <v>12</v>
      </c>
      <c r="O9" s="92"/>
      <c r="P9" s="62"/>
      <c r="Q9" s="112" t="s">
        <v>2319</v>
      </c>
      <c r="R9" s="113"/>
      <c r="S9" s="113"/>
      <c r="T9" s="62" t="s">
        <v>24</v>
      </c>
      <c r="U9" s="62" t="s">
        <v>24</v>
      </c>
      <c r="V9" s="114">
        <f>Ф25[[#This Row],[сумма]]-Ф25[[#This Row],[Цена м2 отделки]]*Ф25[[#This Row],[м2]]</f>
        <v>4713114</v>
      </c>
    </row>
    <row r="10" spans="1:32" s="62" customFormat="1">
      <c r="A10" s="62">
        <v>7</v>
      </c>
      <c r="B10" s="62" t="s">
        <v>6</v>
      </c>
      <c r="C10" s="62">
        <v>39674</v>
      </c>
      <c r="D10" s="62" t="s">
        <v>13</v>
      </c>
      <c r="E10" s="62">
        <v>125</v>
      </c>
      <c r="F10" s="62">
        <v>2</v>
      </c>
      <c r="G10" s="62">
        <v>60.22</v>
      </c>
      <c r="H10" s="62" t="s">
        <v>9</v>
      </c>
      <c r="J10" s="95">
        <v>7368900</v>
      </c>
      <c r="K10" s="62" t="s">
        <v>8</v>
      </c>
      <c r="L10" s="62" t="s">
        <v>22</v>
      </c>
      <c r="M10" s="62" t="s">
        <v>583</v>
      </c>
      <c r="N10" s="62" t="s">
        <v>18</v>
      </c>
      <c r="Q10" s="120" t="s">
        <v>2320</v>
      </c>
      <c r="T10" s="62" t="s">
        <v>8</v>
      </c>
      <c r="U10" s="62" t="s">
        <v>8</v>
      </c>
      <c r="V10" s="114">
        <f>Ф25[[#This Row],[сумма]]-Ф25[[#This Row],[Цена м2 отделки]]*Ф25[[#This Row],[м2]]</f>
        <v>7368900</v>
      </c>
    </row>
    <row r="11" spans="1:32" s="62" customFormat="1">
      <c r="A11" s="62">
        <v>8</v>
      </c>
      <c r="B11" s="62" t="s">
        <v>6</v>
      </c>
      <c r="C11" s="62">
        <v>39896</v>
      </c>
      <c r="D11" s="62" t="s">
        <v>19</v>
      </c>
      <c r="E11" s="62">
        <v>41</v>
      </c>
      <c r="F11" s="62">
        <v>2</v>
      </c>
      <c r="G11" s="62">
        <v>61.41</v>
      </c>
      <c r="H11" s="62" t="s">
        <v>9</v>
      </c>
      <c r="J11" s="95">
        <v>7983300</v>
      </c>
      <c r="K11" s="62" t="s">
        <v>8</v>
      </c>
      <c r="L11" s="62" t="s">
        <v>26</v>
      </c>
      <c r="M11" s="62" t="s">
        <v>583</v>
      </c>
      <c r="N11" s="62" t="s">
        <v>18</v>
      </c>
      <c r="Q11" s="120" t="s">
        <v>2321</v>
      </c>
      <c r="T11" s="62" t="s">
        <v>8</v>
      </c>
      <c r="U11" s="62" t="s">
        <v>8</v>
      </c>
      <c r="V11" s="114">
        <f>Ф25[[#This Row],[сумма]]-Ф25[[#This Row],[Цена м2 отделки]]*Ф25[[#This Row],[м2]]</f>
        <v>7983300</v>
      </c>
    </row>
    <row r="12" spans="1:32" s="61" customFormat="1" hidden="1">
      <c r="A12" s="62">
        <v>9</v>
      </c>
      <c r="B12" s="62"/>
      <c r="C12" s="75">
        <v>39712</v>
      </c>
      <c r="D12" s="62" t="s">
        <v>13</v>
      </c>
      <c r="E12" s="75">
        <v>422</v>
      </c>
      <c r="F12" s="62">
        <v>1</v>
      </c>
      <c r="G12" s="62">
        <v>43.21</v>
      </c>
      <c r="H12" s="117" t="s">
        <v>25</v>
      </c>
      <c r="I12" s="117">
        <v>25000</v>
      </c>
      <c r="J12" s="95">
        <v>6758436</v>
      </c>
      <c r="K12" s="117" t="s">
        <v>14</v>
      </c>
      <c r="L12" s="62" t="s">
        <v>22</v>
      </c>
      <c r="M12" s="62" t="s">
        <v>583</v>
      </c>
      <c r="N12" s="62" t="s">
        <v>18</v>
      </c>
      <c r="O12" s="92">
        <v>45696</v>
      </c>
      <c r="P12" s="117" t="s">
        <v>1772</v>
      </c>
      <c r="Q12" s="112" t="s">
        <v>2322</v>
      </c>
      <c r="R12" s="113"/>
      <c r="S12" s="382"/>
      <c r="T12" s="117" t="s">
        <v>14</v>
      </c>
      <c r="U12" s="117" t="s">
        <v>14</v>
      </c>
      <c r="V12" s="114">
        <f>Ф25[[#This Row],[сумма]]-Ф25[[#This Row],[Цена м2 отделки]]*Ф25[[#This Row],[м2]]</f>
        <v>5678186</v>
      </c>
    </row>
    <row r="13" spans="1:32" s="61" customFormat="1" hidden="1">
      <c r="A13" s="62">
        <v>10</v>
      </c>
      <c r="B13" s="62"/>
      <c r="C13" s="74">
        <v>39499</v>
      </c>
      <c r="D13" s="62" t="s">
        <v>23</v>
      </c>
      <c r="E13" s="75">
        <v>206</v>
      </c>
      <c r="F13" s="62">
        <v>1</v>
      </c>
      <c r="G13" s="62">
        <v>36.64</v>
      </c>
      <c r="H13" s="76" t="s">
        <v>9</v>
      </c>
      <c r="I13" s="76"/>
      <c r="J13" s="91">
        <v>4665976</v>
      </c>
      <c r="K13" s="62" t="s">
        <v>14</v>
      </c>
      <c r="L13" s="62"/>
      <c r="M13" s="62" t="s">
        <v>286</v>
      </c>
      <c r="N13" s="62" t="s">
        <v>18</v>
      </c>
      <c r="O13" s="92"/>
      <c r="P13" s="62"/>
      <c r="Q13" s="112" t="s">
        <v>2323</v>
      </c>
      <c r="R13" s="113"/>
      <c r="S13" s="113"/>
      <c r="T13" s="62" t="s">
        <v>14</v>
      </c>
      <c r="U13" s="62" t="s">
        <v>14</v>
      </c>
      <c r="V13" s="114">
        <f>Ф25[[#This Row],[сумма]]-Ф25[[#This Row],[Цена м2 отделки]]*Ф25[[#This Row],[м2]]</f>
        <v>4665976</v>
      </c>
    </row>
    <row r="14" spans="1:32" s="61" customFormat="1" hidden="1">
      <c r="A14" s="62">
        <v>11</v>
      </c>
      <c r="B14" s="62"/>
      <c r="C14" s="74">
        <v>39677</v>
      </c>
      <c r="D14" s="62" t="s">
        <v>23</v>
      </c>
      <c r="E14" s="75">
        <v>59</v>
      </c>
      <c r="F14" s="62">
        <v>1</v>
      </c>
      <c r="G14" s="62">
        <v>36.92</v>
      </c>
      <c r="H14" s="62" t="s">
        <v>9</v>
      </c>
      <c r="I14" s="62"/>
      <c r="J14" s="95">
        <v>4797600</v>
      </c>
      <c r="K14" s="62" t="s">
        <v>43</v>
      </c>
      <c r="L14" s="62"/>
      <c r="M14" s="62" t="s">
        <v>286</v>
      </c>
      <c r="N14" s="62" t="s">
        <v>18</v>
      </c>
      <c r="O14" s="92"/>
      <c r="P14" s="62"/>
      <c r="Q14" s="112" t="s">
        <v>2324</v>
      </c>
      <c r="R14" s="113"/>
      <c r="S14" s="113"/>
      <c r="T14" s="62" t="s">
        <v>43</v>
      </c>
      <c r="U14" s="62" t="s">
        <v>14</v>
      </c>
      <c r="V14" s="114">
        <f>Ф25[[#This Row],[сумма]]-Ф25[[#This Row],[Цена м2 отделки]]*Ф25[[#This Row],[м2]]</f>
        <v>4797600</v>
      </c>
      <c r="AF14" s="132"/>
    </row>
    <row r="15" spans="1:32" s="61" customFormat="1">
      <c r="A15" s="62">
        <v>12</v>
      </c>
      <c r="B15" s="62" t="s">
        <v>6</v>
      </c>
      <c r="C15" s="75">
        <v>38732</v>
      </c>
      <c r="D15" s="62" t="s">
        <v>13</v>
      </c>
      <c r="E15" s="75">
        <v>301</v>
      </c>
      <c r="F15" s="62">
        <v>2</v>
      </c>
      <c r="G15" s="62">
        <v>56.58</v>
      </c>
      <c r="H15" s="62" t="s">
        <v>21</v>
      </c>
      <c r="I15" s="62">
        <v>10000</v>
      </c>
      <c r="J15" s="95">
        <v>7460366</v>
      </c>
      <c r="K15" s="62" t="s">
        <v>8</v>
      </c>
      <c r="L15" s="62" t="s">
        <v>22</v>
      </c>
      <c r="M15" s="62" t="s">
        <v>583</v>
      </c>
      <c r="N15" s="62" t="s">
        <v>12</v>
      </c>
      <c r="O15" s="92">
        <v>45701</v>
      </c>
      <c r="P15" s="62" t="s">
        <v>17</v>
      </c>
      <c r="Q15" s="120" t="s">
        <v>672</v>
      </c>
      <c r="R15" s="113"/>
      <c r="S15" s="113"/>
      <c r="T15" s="62" t="s">
        <v>8</v>
      </c>
      <c r="U15" s="62" t="s">
        <v>8</v>
      </c>
      <c r="V15" s="114">
        <f>Ф25[[#This Row],[сумма]]-Ф25[[#This Row],[Цена м2 отделки]]*Ф25[[#This Row],[м2]]</f>
        <v>6894566</v>
      </c>
    </row>
    <row r="16" spans="1:32" s="64" customFormat="1">
      <c r="A16" s="120">
        <v>13</v>
      </c>
      <c r="B16" s="120" t="s">
        <v>6</v>
      </c>
      <c r="C16" s="347">
        <v>36989</v>
      </c>
      <c r="D16" s="120" t="s">
        <v>13</v>
      </c>
      <c r="E16" s="347">
        <v>437</v>
      </c>
      <c r="F16" s="120">
        <v>0</v>
      </c>
      <c r="G16" s="120">
        <v>29.4</v>
      </c>
      <c r="H16" s="120" t="s">
        <v>25</v>
      </c>
      <c r="I16" s="120">
        <v>25000</v>
      </c>
      <c r="J16" s="95">
        <v>4729872</v>
      </c>
      <c r="K16" s="120" t="s">
        <v>8</v>
      </c>
      <c r="L16" s="120" t="s">
        <v>22</v>
      </c>
      <c r="M16" s="120" t="s">
        <v>583</v>
      </c>
      <c r="N16" s="120" t="s">
        <v>18</v>
      </c>
      <c r="O16" s="370">
        <v>45705</v>
      </c>
      <c r="P16" s="120" t="s">
        <v>17</v>
      </c>
      <c r="Q16" s="120" t="s">
        <v>2325</v>
      </c>
      <c r="R16" s="355"/>
      <c r="S16" s="355"/>
      <c r="T16" s="62" t="s">
        <v>8</v>
      </c>
      <c r="U16" s="62" t="s">
        <v>8</v>
      </c>
      <c r="V16" s="356">
        <f>Ф25[[#This Row],[сумма]]-Ф25[[#This Row],[Цена м2 отделки]]*Ф25[[#This Row],[м2]]</f>
        <v>3994872</v>
      </c>
    </row>
    <row r="17" spans="1:23" s="61" customFormat="1" hidden="1">
      <c r="A17" s="62">
        <v>14</v>
      </c>
      <c r="B17" s="62"/>
      <c r="C17" s="74">
        <v>38215</v>
      </c>
      <c r="D17" s="62" t="s">
        <v>13</v>
      </c>
      <c r="E17" s="75">
        <v>72</v>
      </c>
      <c r="F17" s="62">
        <v>1</v>
      </c>
      <c r="G17" s="62">
        <v>37.729999999999997</v>
      </c>
      <c r="H17" s="62" t="s">
        <v>25</v>
      </c>
      <c r="I17" s="62">
        <v>25000</v>
      </c>
      <c r="J17" s="381">
        <v>6351478</v>
      </c>
      <c r="K17" s="62" t="s">
        <v>24</v>
      </c>
      <c r="L17" s="62" t="s">
        <v>22</v>
      </c>
      <c r="M17" s="62" t="s">
        <v>583</v>
      </c>
      <c r="N17" s="62" t="s">
        <v>18</v>
      </c>
      <c r="O17" s="92"/>
      <c r="P17" s="62"/>
      <c r="Q17" s="120" t="s">
        <v>2326</v>
      </c>
      <c r="R17" s="113"/>
      <c r="S17" s="113"/>
      <c r="T17" s="62" t="s">
        <v>24</v>
      </c>
      <c r="U17" s="62" t="s">
        <v>24</v>
      </c>
      <c r="V17" s="114">
        <f>Ф25[[#This Row],[сумма]]-Ф25[[#This Row],[Цена м2 отделки]]*Ф25[[#This Row],[м2]]</f>
        <v>5408228</v>
      </c>
    </row>
    <row r="18" spans="1:23" s="61" customFormat="1">
      <c r="A18" s="62">
        <v>15</v>
      </c>
      <c r="B18" s="62" t="s">
        <v>6</v>
      </c>
      <c r="C18" s="74" t="s">
        <v>2327</v>
      </c>
      <c r="D18" s="62" t="s">
        <v>23</v>
      </c>
      <c r="E18" s="75">
        <v>138</v>
      </c>
      <c r="F18" s="62">
        <v>2</v>
      </c>
      <c r="G18" s="62">
        <v>60.94</v>
      </c>
      <c r="H18" s="76" t="s">
        <v>9</v>
      </c>
      <c r="I18" s="76"/>
      <c r="J18" s="91">
        <v>6817548</v>
      </c>
      <c r="K18" s="62" t="s">
        <v>8</v>
      </c>
      <c r="L18" s="62"/>
      <c r="M18" s="62" t="s">
        <v>286</v>
      </c>
      <c r="N18" s="62" t="s">
        <v>91</v>
      </c>
      <c r="O18" s="92">
        <v>45700</v>
      </c>
      <c r="P18" s="62" t="s">
        <v>17</v>
      </c>
      <c r="Q18" s="112" t="s">
        <v>2328</v>
      </c>
      <c r="R18" s="113"/>
      <c r="S18" s="113"/>
      <c r="T18" s="62" t="s">
        <v>8</v>
      </c>
      <c r="U18" s="62" t="s">
        <v>8</v>
      </c>
      <c r="V18" s="114">
        <f>Ф25[[#This Row],[сумма]]-Ф25[[#This Row],[Цена м2 отделки]]*Ф25[[#This Row],[м2]]</f>
        <v>6817548</v>
      </c>
    </row>
    <row r="19" spans="1:23" s="61" customFormat="1" hidden="1">
      <c r="A19" s="62">
        <v>16</v>
      </c>
      <c r="B19" s="62"/>
      <c r="C19" s="74">
        <v>39906</v>
      </c>
      <c r="D19" s="62" t="s">
        <v>23</v>
      </c>
      <c r="E19" s="75">
        <v>273</v>
      </c>
      <c r="F19" s="62">
        <v>2</v>
      </c>
      <c r="G19" s="62">
        <v>54.08</v>
      </c>
      <c r="H19" s="76" t="s">
        <v>9</v>
      </c>
      <c r="I19" s="76"/>
      <c r="J19" s="91">
        <v>6413904</v>
      </c>
      <c r="K19" s="62" t="s">
        <v>14</v>
      </c>
      <c r="L19" s="62"/>
      <c r="M19" s="62" t="s">
        <v>286</v>
      </c>
      <c r="N19" s="62" t="s">
        <v>18</v>
      </c>
      <c r="O19" s="92"/>
      <c r="P19" s="62" t="s">
        <v>1772</v>
      </c>
      <c r="Q19" s="112" t="s">
        <v>2329</v>
      </c>
      <c r="R19" s="113"/>
      <c r="S19" s="113"/>
      <c r="T19" s="62" t="s">
        <v>14</v>
      </c>
      <c r="U19" s="62" t="s">
        <v>14</v>
      </c>
      <c r="V19" s="114">
        <f>Ф25[[#This Row],[сумма]]-Ф25[[#This Row],[Цена м2 отделки]]*Ф25[[#This Row],[м2]]</f>
        <v>6413904</v>
      </c>
    </row>
    <row r="20" spans="1:23" s="61" customFormat="1" hidden="1">
      <c r="A20" s="62">
        <v>17</v>
      </c>
      <c r="B20" s="62"/>
      <c r="C20" s="74">
        <v>39120</v>
      </c>
      <c r="D20" s="62" t="s">
        <v>13</v>
      </c>
      <c r="E20" s="75">
        <v>35</v>
      </c>
      <c r="F20" s="62">
        <v>1</v>
      </c>
      <c r="G20" s="62">
        <v>34.39</v>
      </c>
      <c r="H20" s="62" t="s">
        <v>25</v>
      </c>
      <c r="I20" s="62">
        <v>25000</v>
      </c>
      <c r="J20" s="95">
        <v>5849910</v>
      </c>
      <c r="K20" s="62" t="s">
        <v>34</v>
      </c>
      <c r="L20" s="62" t="s">
        <v>26</v>
      </c>
      <c r="M20" s="62" t="s">
        <v>583</v>
      </c>
      <c r="N20" s="62" t="s">
        <v>18</v>
      </c>
      <c r="O20" s="92">
        <v>45712</v>
      </c>
      <c r="P20" s="62" t="s">
        <v>17</v>
      </c>
      <c r="Q20" s="112" t="s">
        <v>2330</v>
      </c>
      <c r="R20" s="113"/>
      <c r="S20" s="113"/>
      <c r="T20" s="62" t="s">
        <v>34</v>
      </c>
      <c r="U20" s="62" t="s">
        <v>14</v>
      </c>
      <c r="V20" s="114">
        <f>Ф25[[#This Row],[сумма]]-Ф25[[#This Row],[Цена м2 отделки]]*Ф25[[#This Row],[м2]]</f>
        <v>4990160</v>
      </c>
    </row>
    <row r="21" spans="1:23" s="61" customFormat="1" hidden="1">
      <c r="A21" s="62">
        <v>18</v>
      </c>
      <c r="B21" s="62"/>
      <c r="C21" s="74">
        <v>40014</v>
      </c>
      <c r="D21" s="62" t="s">
        <v>23</v>
      </c>
      <c r="E21" s="75">
        <v>242</v>
      </c>
      <c r="F21" s="62">
        <v>1</v>
      </c>
      <c r="G21" s="62">
        <v>36.549999999999997</v>
      </c>
      <c r="H21" s="76" t="s">
        <v>9</v>
      </c>
      <c r="I21" s="76"/>
      <c r="J21" s="91">
        <v>4749500</v>
      </c>
      <c r="K21" s="62" t="s">
        <v>14</v>
      </c>
      <c r="L21" s="62"/>
      <c r="M21" s="62" t="s">
        <v>286</v>
      </c>
      <c r="N21" s="62" t="s">
        <v>18</v>
      </c>
      <c r="O21" s="92">
        <v>45701</v>
      </c>
      <c r="P21" s="62" t="s">
        <v>17</v>
      </c>
      <c r="Q21" s="112" t="s">
        <v>2331</v>
      </c>
      <c r="R21" s="113"/>
      <c r="S21" s="113"/>
      <c r="T21" s="62" t="s">
        <v>14</v>
      </c>
      <c r="U21" s="62" t="s">
        <v>14</v>
      </c>
      <c r="V21" s="114">
        <f>Ф25[[#This Row],[сумма]]-Ф25[[#This Row],[Цена м2 отделки]]*Ф25[[#This Row],[м2]]</f>
        <v>4749500</v>
      </c>
    </row>
    <row r="22" spans="1:23" s="61" customFormat="1" hidden="1">
      <c r="A22" s="62">
        <v>19</v>
      </c>
      <c r="B22" s="62" t="s">
        <v>6</v>
      </c>
      <c r="C22" s="349">
        <v>39308</v>
      </c>
      <c r="D22" s="62" t="s">
        <v>23</v>
      </c>
      <c r="E22" s="62">
        <v>261</v>
      </c>
      <c r="F22" s="349">
        <v>2</v>
      </c>
      <c r="G22" s="62">
        <v>54.08</v>
      </c>
      <c r="H22" s="117" t="s">
        <v>9</v>
      </c>
      <c r="I22" s="348"/>
      <c r="J22" s="352">
        <v>6469512</v>
      </c>
      <c r="K22" s="62" t="s">
        <v>20</v>
      </c>
      <c r="L22" s="117"/>
      <c r="M22" s="117" t="s">
        <v>286</v>
      </c>
      <c r="N22" s="117" t="s">
        <v>18</v>
      </c>
      <c r="O22" s="92">
        <v>45706</v>
      </c>
      <c r="P22" s="117" t="s">
        <v>17</v>
      </c>
      <c r="Q22" s="82" t="s">
        <v>2332</v>
      </c>
      <c r="R22" s="113"/>
      <c r="S22" s="113"/>
      <c r="T22" s="62" t="s">
        <v>20</v>
      </c>
      <c r="U22" s="62" t="s">
        <v>20</v>
      </c>
      <c r="V22" s="114">
        <f>Ф25[[#This Row],[сумма]]-Ф25[[#This Row],[Цена м2 отделки]]*Ф25[[#This Row],[м2]]</f>
        <v>6469512</v>
      </c>
    </row>
    <row r="23" spans="1:23" s="61" customFormat="1" ht="33.75" hidden="1" customHeight="1">
      <c r="A23" s="62">
        <v>20</v>
      </c>
      <c r="B23" s="62" t="s">
        <v>6</v>
      </c>
      <c r="C23" s="74">
        <v>39711</v>
      </c>
      <c r="D23" s="62" t="s">
        <v>23</v>
      </c>
      <c r="E23" s="75">
        <v>235</v>
      </c>
      <c r="F23" s="62">
        <v>1</v>
      </c>
      <c r="G23" s="62">
        <v>44.16</v>
      </c>
      <c r="H23" s="76" t="s">
        <v>9</v>
      </c>
      <c r="I23" s="76"/>
      <c r="J23" s="91">
        <v>5465656</v>
      </c>
      <c r="K23" s="120" t="s">
        <v>2333</v>
      </c>
      <c r="L23" s="62"/>
      <c r="M23" s="62" t="s">
        <v>286</v>
      </c>
      <c r="N23" s="62" t="s">
        <v>18</v>
      </c>
      <c r="O23" s="92"/>
      <c r="P23" s="62" t="s">
        <v>17</v>
      </c>
      <c r="Q23" s="112" t="s">
        <v>2334</v>
      </c>
      <c r="R23" s="113"/>
      <c r="S23" s="113"/>
      <c r="T23" s="62" t="s">
        <v>8</v>
      </c>
      <c r="U23" s="62" t="s">
        <v>8</v>
      </c>
      <c r="V23" s="114">
        <f>Ф25[[#This Row],[сумма]]-Ф25[[#This Row],[Цена м2 отделки]]*Ф25[[#This Row],[м2]]</f>
        <v>5465656</v>
      </c>
    </row>
    <row r="24" spans="1:23" s="61" customFormat="1" hidden="1">
      <c r="A24" s="62">
        <v>21</v>
      </c>
      <c r="B24" s="62" t="s">
        <v>6</v>
      </c>
      <c r="C24" s="349">
        <v>37111</v>
      </c>
      <c r="D24" s="62" t="s">
        <v>23</v>
      </c>
      <c r="E24" s="62">
        <v>79</v>
      </c>
      <c r="F24" s="349">
        <v>0</v>
      </c>
      <c r="G24" s="62">
        <v>29.4</v>
      </c>
      <c r="H24" s="117" t="s">
        <v>9</v>
      </c>
      <c r="I24" s="348"/>
      <c r="J24" s="352">
        <v>4060532</v>
      </c>
      <c r="K24" s="62" t="s">
        <v>37</v>
      </c>
      <c r="L24" s="117"/>
      <c r="M24" s="117" t="s">
        <v>286</v>
      </c>
      <c r="N24" s="117" t="s">
        <v>18</v>
      </c>
      <c r="O24" s="92"/>
      <c r="P24" s="117"/>
      <c r="Q24" s="82" t="s">
        <v>2335</v>
      </c>
      <c r="R24" s="113"/>
      <c r="S24" s="113"/>
      <c r="T24" s="62" t="s">
        <v>28</v>
      </c>
      <c r="U24" s="62" t="s">
        <v>28</v>
      </c>
      <c r="V24" s="114">
        <f>Ф25[[#This Row],[сумма]]-Ф25[[#This Row],[Цена м2 отделки]]*Ф25[[#This Row],[м2]]</f>
        <v>4060532</v>
      </c>
    </row>
    <row r="25" spans="1:23" s="61" customFormat="1" hidden="1">
      <c r="A25" s="62">
        <v>22</v>
      </c>
      <c r="B25" s="62" t="s">
        <v>6</v>
      </c>
      <c r="C25" s="74">
        <v>40194</v>
      </c>
      <c r="D25" s="62" t="s">
        <v>13</v>
      </c>
      <c r="E25" s="75">
        <v>400</v>
      </c>
      <c r="F25" s="349">
        <v>2</v>
      </c>
      <c r="G25" s="62">
        <v>58.2</v>
      </c>
      <c r="H25" s="62" t="s">
        <v>9</v>
      </c>
      <c r="I25" s="348"/>
      <c r="J25" s="352">
        <v>7129300</v>
      </c>
      <c r="K25" s="348" t="s">
        <v>28</v>
      </c>
      <c r="L25" s="62" t="s">
        <v>26</v>
      </c>
      <c r="M25" s="62" t="s">
        <v>583</v>
      </c>
      <c r="N25" s="62" t="s">
        <v>18</v>
      </c>
      <c r="O25" s="92">
        <v>45716</v>
      </c>
      <c r="P25" s="62"/>
      <c r="Q25" s="380" t="s">
        <v>2336</v>
      </c>
      <c r="R25" s="113"/>
      <c r="S25" s="113"/>
      <c r="T25" s="62" t="s">
        <v>28</v>
      </c>
      <c r="U25" s="62" t="s">
        <v>28</v>
      </c>
      <c r="V25" s="114">
        <f>Ф25[[#This Row],[сумма]]-Ф25[[#This Row],[Цена м2 отделки]]*Ф25[[#This Row],[м2]]</f>
        <v>7129300</v>
      </c>
    </row>
    <row r="26" spans="1:23" s="61" customFormat="1" hidden="1">
      <c r="A26" s="62">
        <v>23</v>
      </c>
      <c r="B26" s="62" t="s">
        <v>6</v>
      </c>
      <c r="C26" s="349">
        <v>400023</v>
      </c>
      <c r="D26" s="62" t="s">
        <v>23</v>
      </c>
      <c r="E26" s="62">
        <v>211</v>
      </c>
      <c r="F26" s="349">
        <v>1</v>
      </c>
      <c r="G26" s="62">
        <v>44.25</v>
      </c>
      <c r="H26" s="117" t="s">
        <v>9</v>
      </c>
      <c r="I26" s="348"/>
      <c r="J26" s="352">
        <v>5480900</v>
      </c>
      <c r="K26" s="62" t="s">
        <v>43</v>
      </c>
      <c r="L26" s="117"/>
      <c r="M26" s="117" t="s">
        <v>286</v>
      </c>
      <c r="N26" s="117" t="s">
        <v>18</v>
      </c>
      <c r="O26" s="92"/>
      <c r="P26" s="117"/>
      <c r="Q26" s="82" t="s">
        <v>2337</v>
      </c>
      <c r="R26" s="113"/>
      <c r="S26" s="113"/>
      <c r="T26" s="62" t="s">
        <v>43</v>
      </c>
      <c r="U26" s="62" t="s">
        <v>20</v>
      </c>
      <c r="V26" s="114">
        <f>Ф25[[#This Row],[сумма]]-Ф25[[#This Row],[Цена м2 отделки]]*Ф25[[#This Row],[м2]]</f>
        <v>5480900</v>
      </c>
    </row>
    <row r="27" spans="1:23" s="61" customFormat="1" hidden="1">
      <c r="A27" s="62">
        <v>24</v>
      </c>
      <c r="B27" s="62" t="s">
        <v>6</v>
      </c>
      <c r="C27" s="349">
        <v>39682</v>
      </c>
      <c r="D27" s="62" t="s">
        <v>19</v>
      </c>
      <c r="E27" s="62">
        <v>38</v>
      </c>
      <c r="F27" s="349">
        <v>1</v>
      </c>
      <c r="G27" s="62">
        <v>35.53</v>
      </c>
      <c r="H27" s="117" t="s">
        <v>21</v>
      </c>
      <c r="I27" s="348">
        <v>10000</v>
      </c>
      <c r="J27" s="352">
        <v>5153478</v>
      </c>
      <c r="K27" s="62" t="s">
        <v>20</v>
      </c>
      <c r="L27" s="117"/>
      <c r="M27" s="117" t="s">
        <v>286</v>
      </c>
      <c r="N27" s="117" t="s">
        <v>18</v>
      </c>
      <c r="O27" s="92"/>
      <c r="P27" s="117"/>
      <c r="Q27" s="82" t="s">
        <v>2338</v>
      </c>
      <c r="R27" s="113"/>
      <c r="S27" s="113"/>
      <c r="T27" s="62" t="s">
        <v>20</v>
      </c>
      <c r="U27" s="62" t="s">
        <v>20</v>
      </c>
      <c r="V27" s="114">
        <f>Ф25[[#This Row],[сумма]]-Ф25[[#This Row],[Цена м2 отделки]]*Ф25[[#This Row],[м2]]</f>
        <v>4798178</v>
      </c>
    </row>
    <row r="28" spans="1:23" s="61" customFormat="1" hidden="1">
      <c r="A28" s="62">
        <v>25</v>
      </c>
      <c r="B28" s="62"/>
      <c r="C28" s="349">
        <v>40122</v>
      </c>
      <c r="D28" s="62" t="s">
        <v>13</v>
      </c>
      <c r="E28" s="62">
        <v>203</v>
      </c>
      <c r="F28" s="349">
        <v>0</v>
      </c>
      <c r="G28" s="62">
        <v>24.28</v>
      </c>
      <c r="H28" s="117" t="s">
        <v>25</v>
      </c>
      <c r="I28" s="348">
        <v>25000</v>
      </c>
      <c r="J28" s="352">
        <v>4313600</v>
      </c>
      <c r="K28" s="62" t="s">
        <v>14</v>
      </c>
      <c r="L28" s="117" t="s">
        <v>22</v>
      </c>
      <c r="M28" s="117" t="s">
        <v>583</v>
      </c>
      <c r="N28" s="117" t="s">
        <v>18</v>
      </c>
      <c r="O28" s="92"/>
      <c r="P28" s="117"/>
      <c r="Q28" s="82" t="s">
        <v>2339</v>
      </c>
      <c r="R28" s="113"/>
      <c r="S28" s="113"/>
      <c r="T28" s="62" t="s">
        <v>14</v>
      </c>
      <c r="U28" s="62" t="s">
        <v>14</v>
      </c>
      <c r="V28" s="114">
        <f>Ф25[[#This Row],[сумма]]-Ф25[[#This Row],[Цена м2 отделки]]*Ф25[[#This Row],[м2]]</f>
        <v>3706600</v>
      </c>
    </row>
    <row r="29" spans="1:23" s="61" customFormat="1" hidden="1">
      <c r="A29" s="62">
        <v>26</v>
      </c>
      <c r="B29" s="62" t="s">
        <v>6</v>
      </c>
      <c r="C29" s="62">
        <v>39614</v>
      </c>
      <c r="D29" s="62" t="s">
        <v>23</v>
      </c>
      <c r="E29" s="62">
        <v>157</v>
      </c>
      <c r="F29" s="62">
        <v>2</v>
      </c>
      <c r="G29" s="62">
        <v>65.650000000000006</v>
      </c>
      <c r="H29" s="62" t="s">
        <v>9</v>
      </c>
      <c r="I29" s="62"/>
      <c r="J29" s="62">
        <v>7549413</v>
      </c>
      <c r="K29" s="62" t="s">
        <v>37</v>
      </c>
      <c r="L29" s="62"/>
      <c r="M29" s="62" t="s">
        <v>286</v>
      </c>
      <c r="N29" s="62" t="s">
        <v>18</v>
      </c>
      <c r="O29" s="62"/>
      <c r="P29" s="62"/>
      <c r="Q29" s="62" t="s">
        <v>2340</v>
      </c>
      <c r="R29" s="62"/>
      <c r="S29" s="62"/>
      <c r="T29" s="62" t="s">
        <v>37</v>
      </c>
      <c r="U29" s="62" t="s">
        <v>20</v>
      </c>
      <c r="V29" s="127">
        <f>Ф25[[#This Row],[сумма]]-Ф25[[#This Row],[Цена м2 отделки]]*Ф25[[#This Row],[м2]]</f>
        <v>7549413</v>
      </c>
      <c r="W29" s="62"/>
    </row>
    <row r="30" spans="1:23" s="61" customFormat="1" hidden="1">
      <c r="A30" s="62">
        <v>27</v>
      </c>
      <c r="B30" s="62" t="s">
        <v>6</v>
      </c>
      <c r="C30" s="62" t="s">
        <v>2341</v>
      </c>
      <c r="D30" s="62" t="s">
        <v>23</v>
      </c>
      <c r="E30" s="62">
        <v>158</v>
      </c>
      <c r="F30" s="62">
        <v>1</v>
      </c>
      <c r="G30" s="62">
        <v>36.56</v>
      </c>
      <c r="H30" s="62" t="s">
        <v>9</v>
      </c>
      <c r="I30" s="62"/>
      <c r="J30" s="62">
        <v>4391772</v>
      </c>
      <c r="K30" s="62" t="s">
        <v>37</v>
      </c>
      <c r="L30" s="62"/>
      <c r="M30" s="62" t="s">
        <v>286</v>
      </c>
      <c r="N30" s="62" t="s">
        <v>18</v>
      </c>
      <c r="O30" s="62"/>
      <c r="P30" s="62"/>
      <c r="Q30" s="62" t="s">
        <v>2340</v>
      </c>
      <c r="R30" s="62"/>
      <c r="S30" s="62"/>
      <c r="T30" s="62" t="s">
        <v>37</v>
      </c>
      <c r="U30" s="62" t="s">
        <v>20</v>
      </c>
      <c r="V30" s="127">
        <f>Ф25[[#This Row],[сумма]]-Ф25[[#This Row],[Цена м2 отделки]]*Ф25[[#This Row],[м2]]</f>
        <v>4391772</v>
      </c>
      <c r="W30" s="62"/>
    </row>
    <row r="31" spans="1:23" s="61" customFormat="1" hidden="1">
      <c r="A31" s="62">
        <v>28</v>
      </c>
      <c r="B31" s="62"/>
      <c r="C31" s="75">
        <v>40056</v>
      </c>
      <c r="D31" s="62" t="s">
        <v>27</v>
      </c>
      <c r="E31" s="75">
        <v>193</v>
      </c>
      <c r="F31" s="349">
        <v>0</v>
      </c>
      <c r="G31" s="75">
        <v>25.1</v>
      </c>
      <c r="H31" s="62" t="s">
        <v>25</v>
      </c>
      <c r="I31" s="348">
        <v>25000</v>
      </c>
      <c r="J31" s="95">
        <v>3600000</v>
      </c>
      <c r="K31" s="117" t="s">
        <v>14</v>
      </c>
      <c r="L31" s="62" t="s">
        <v>22</v>
      </c>
      <c r="M31" s="62" t="s">
        <v>583</v>
      </c>
      <c r="N31" s="62" t="s">
        <v>18</v>
      </c>
      <c r="O31" s="92"/>
      <c r="P31" s="117"/>
      <c r="Q31" s="62" t="s">
        <v>2342</v>
      </c>
      <c r="R31" s="113"/>
      <c r="S31" s="113"/>
      <c r="T31" s="117" t="s">
        <v>14</v>
      </c>
      <c r="U31" s="117" t="s">
        <v>14</v>
      </c>
      <c r="V31" s="114">
        <f>Ф25[[#This Row],[сумма]]-Ф25[[#This Row],[Цена м2 отделки]]*Ф25[[#This Row],[м2]]</f>
        <v>2972500</v>
      </c>
    </row>
    <row r="32" spans="1:23" s="61" customFormat="1" hidden="1">
      <c r="A32" s="62">
        <v>29</v>
      </c>
      <c r="B32" s="62" t="s">
        <v>6</v>
      </c>
      <c r="C32" s="75">
        <v>40301</v>
      </c>
      <c r="D32" s="62" t="s">
        <v>19</v>
      </c>
      <c r="E32" s="75">
        <v>66</v>
      </c>
      <c r="F32" s="349">
        <v>2</v>
      </c>
      <c r="G32" s="75">
        <v>49.2</v>
      </c>
      <c r="H32" s="62" t="s">
        <v>9</v>
      </c>
      <c r="I32" s="348"/>
      <c r="J32" s="95">
        <v>6204120</v>
      </c>
      <c r="K32" s="62" t="s">
        <v>45</v>
      </c>
      <c r="L32" s="62"/>
      <c r="M32" s="62" t="s">
        <v>286</v>
      </c>
      <c r="N32" s="62" t="s">
        <v>18</v>
      </c>
      <c r="O32" s="92"/>
      <c r="P32" s="62"/>
      <c r="Q32" s="62" t="s">
        <v>2343</v>
      </c>
      <c r="R32" s="113"/>
      <c r="S32" s="113"/>
      <c r="T32" s="62" t="s">
        <v>45</v>
      </c>
      <c r="U32" s="62" t="s">
        <v>20</v>
      </c>
      <c r="V32" s="114">
        <f>Ф25[[#This Row],[сумма]]-Ф25[[#This Row],[Цена м2 отделки]]*Ф25[[#This Row],[м2]]</f>
        <v>6204120</v>
      </c>
    </row>
    <row r="33" spans="1:22" s="61" customFormat="1" hidden="1">
      <c r="A33" s="62">
        <v>30</v>
      </c>
      <c r="B33" s="62"/>
      <c r="C33" s="75">
        <v>2405</v>
      </c>
      <c r="D33" s="62" t="s">
        <v>23</v>
      </c>
      <c r="E33" s="75">
        <v>35</v>
      </c>
      <c r="F33" s="349">
        <v>1</v>
      </c>
      <c r="G33" s="75">
        <v>37.1</v>
      </c>
      <c r="H33" s="62" t="s">
        <v>9</v>
      </c>
      <c r="I33" s="348"/>
      <c r="J33" s="95">
        <v>4588556</v>
      </c>
      <c r="K33" s="62" t="s">
        <v>24</v>
      </c>
      <c r="L33" s="62"/>
      <c r="M33" s="62" t="s">
        <v>286</v>
      </c>
      <c r="N33" s="62" t="s">
        <v>12</v>
      </c>
      <c r="O33" s="92"/>
      <c r="P33" s="62"/>
      <c r="Q33" s="62" t="s">
        <v>2344</v>
      </c>
      <c r="R33" s="113"/>
      <c r="S33" s="113"/>
      <c r="T33" s="62" t="s">
        <v>24</v>
      </c>
      <c r="U33" s="62" t="s">
        <v>24</v>
      </c>
      <c r="V33" s="114">
        <f>Ф25[[#This Row],[сумма]]-Ф25[[#This Row],[Цена м2 отделки]]*Ф25[[#This Row],[м2]]</f>
        <v>4588556</v>
      </c>
    </row>
    <row r="34" spans="1:22" s="61" customFormat="1" hidden="1">
      <c r="A34" s="62">
        <v>31</v>
      </c>
      <c r="B34" s="62"/>
      <c r="C34" s="75">
        <v>40271</v>
      </c>
      <c r="D34" s="62" t="s">
        <v>19</v>
      </c>
      <c r="E34" s="75">
        <v>65</v>
      </c>
      <c r="F34" s="349">
        <v>1</v>
      </c>
      <c r="G34" s="75">
        <v>42.39</v>
      </c>
      <c r="H34" s="62" t="s">
        <v>21</v>
      </c>
      <c r="I34" s="348">
        <v>10000</v>
      </c>
      <c r="J34" s="95">
        <v>5896500</v>
      </c>
      <c r="K34" s="62" t="s">
        <v>43</v>
      </c>
      <c r="L34" s="62" t="s">
        <v>26</v>
      </c>
      <c r="M34" s="62" t="s">
        <v>583</v>
      </c>
      <c r="N34" s="62" t="s">
        <v>18</v>
      </c>
      <c r="O34" s="92"/>
      <c r="P34" s="62"/>
      <c r="Q34" s="62" t="s">
        <v>2345</v>
      </c>
      <c r="R34" s="113"/>
      <c r="S34" s="113"/>
      <c r="T34" s="62" t="s">
        <v>43</v>
      </c>
      <c r="U34" s="62" t="s">
        <v>24</v>
      </c>
      <c r="V34" s="114">
        <f>Ф25[[#This Row],[сумма]]-Ф25[[#This Row],[Цена м2 отделки]]*Ф25[[#This Row],[м2]]</f>
        <v>5472600</v>
      </c>
    </row>
    <row r="35" spans="1:22" s="61" customFormat="1" hidden="1">
      <c r="A35" s="65">
        <v>32</v>
      </c>
      <c r="B35" s="65"/>
      <c r="C35" s="77"/>
      <c r="D35" s="65"/>
      <c r="E35" s="65"/>
      <c r="F35" s="65"/>
      <c r="G35" s="79"/>
      <c r="H35" s="65"/>
      <c r="I35" s="65"/>
      <c r="J35" s="93"/>
      <c r="K35" s="65"/>
      <c r="L35" s="65"/>
      <c r="M35" s="65"/>
      <c r="N35" s="65"/>
      <c r="O35" s="98"/>
      <c r="P35" s="80"/>
      <c r="Q35" s="65"/>
      <c r="R35" s="86"/>
      <c r="S35" s="86"/>
      <c r="T35" s="80"/>
      <c r="U35" s="80"/>
      <c r="V35" s="115">
        <f>Ф25[[#This Row],[сумма]]-Ф25[[#This Row],[Цена м2 отделки]]*Ф25[[#This Row],[м2]]</f>
        <v>0</v>
      </c>
    </row>
    <row r="36" spans="1:22" s="61" customFormat="1" hidden="1">
      <c r="A36" s="65">
        <v>33</v>
      </c>
      <c r="B36" s="65"/>
      <c r="C36" s="79">
        <v>40001</v>
      </c>
      <c r="D36" s="65" t="s">
        <v>13</v>
      </c>
      <c r="E36" s="79">
        <v>305</v>
      </c>
      <c r="F36" s="65">
        <v>1</v>
      </c>
      <c r="G36" s="65">
        <v>34.81</v>
      </c>
      <c r="H36" s="65" t="s">
        <v>25</v>
      </c>
      <c r="I36" s="65">
        <v>25000</v>
      </c>
      <c r="J36" s="93">
        <v>5841015</v>
      </c>
      <c r="K36" s="80" t="s">
        <v>14</v>
      </c>
      <c r="L36" s="65"/>
      <c r="M36" s="65" t="s">
        <v>286</v>
      </c>
      <c r="N36" s="65" t="s">
        <v>18</v>
      </c>
      <c r="O36" s="98"/>
      <c r="P36" s="80"/>
      <c r="Q36" s="65" t="s">
        <v>2346</v>
      </c>
      <c r="R36" s="118"/>
      <c r="S36" s="118"/>
      <c r="T36" s="80" t="s">
        <v>14</v>
      </c>
      <c r="U36" s="80" t="s">
        <v>14</v>
      </c>
      <c r="V36" s="115">
        <f>Ф25[[#This Row],[сумма]]-Ф25[[#This Row],[Цена м2 отделки]]*Ф25[[#This Row],[м2]]</f>
        <v>4970765</v>
      </c>
    </row>
    <row r="37" spans="1:22" s="61" customFormat="1" hidden="1">
      <c r="A37" s="62">
        <v>34</v>
      </c>
      <c r="B37" s="62" t="s">
        <v>6</v>
      </c>
      <c r="C37" s="75">
        <v>40497</v>
      </c>
      <c r="D37" s="62" t="s">
        <v>23</v>
      </c>
      <c r="E37" s="75">
        <v>254</v>
      </c>
      <c r="F37" s="62">
        <v>1</v>
      </c>
      <c r="G37" s="62">
        <v>36.35</v>
      </c>
      <c r="H37" s="62" t="s">
        <v>21</v>
      </c>
      <c r="I37" s="62">
        <v>10000</v>
      </c>
      <c r="J37" s="95">
        <v>4953540</v>
      </c>
      <c r="K37" s="117" t="s">
        <v>28</v>
      </c>
      <c r="L37" s="62" t="s">
        <v>10</v>
      </c>
      <c r="M37" s="62" t="s">
        <v>286</v>
      </c>
      <c r="N37" s="62" t="s">
        <v>18</v>
      </c>
      <c r="O37" s="92"/>
      <c r="P37" s="117"/>
      <c r="Q37" s="62" t="s">
        <v>2347</v>
      </c>
      <c r="R37" s="113"/>
      <c r="S37" s="113"/>
      <c r="T37" s="117" t="s">
        <v>28</v>
      </c>
      <c r="U37" s="117" t="s">
        <v>8</v>
      </c>
      <c r="V37" s="114">
        <f>Ф25[[#This Row],[сумма]]-Ф25[[#This Row],[Цена м2 отделки]]*Ф25[[#This Row],[м2]]</f>
        <v>4590040</v>
      </c>
    </row>
    <row r="38" spans="1:22" s="61" customFormat="1" hidden="1">
      <c r="A38" s="62">
        <v>35</v>
      </c>
      <c r="B38" s="62" t="s">
        <v>6</v>
      </c>
      <c r="C38" s="75">
        <v>40526</v>
      </c>
      <c r="D38" s="62" t="s">
        <v>23</v>
      </c>
      <c r="E38" s="75">
        <v>77</v>
      </c>
      <c r="F38" s="62">
        <v>1</v>
      </c>
      <c r="G38" s="62">
        <v>36.64</v>
      </c>
      <c r="H38" s="62" t="s">
        <v>9</v>
      </c>
      <c r="I38" s="62"/>
      <c r="J38" s="95">
        <v>4769700</v>
      </c>
      <c r="K38" s="117" t="s">
        <v>45</v>
      </c>
      <c r="L38" s="62"/>
      <c r="M38" s="62" t="s">
        <v>286</v>
      </c>
      <c r="N38" s="62" t="s">
        <v>18</v>
      </c>
      <c r="O38" s="92">
        <v>45715</v>
      </c>
      <c r="P38" s="117"/>
      <c r="Q38" s="62" t="s">
        <v>2348</v>
      </c>
      <c r="R38" s="113"/>
      <c r="S38" s="113"/>
      <c r="T38" s="117" t="s">
        <v>8</v>
      </c>
      <c r="U38" s="117" t="s">
        <v>8</v>
      </c>
      <c r="V38" s="114">
        <f>Ф25[[#This Row],[сумма]]-Ф25[[#This Row],[Цена м2 отделки]]*Ф25[[#This Row],[м2]]</f>
        <v>4769700</v>
      </c>
    </row>
    <row r="39" spans="1:22" s="61" customFormat="1" hidden="1">
      <c r="A39" s="65"/>
      <c r="B39" s="65"/>
      <c r="C39" s="79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108"/>
      <c r="O39" s="98"/>
      <c r="P39" s="80"/>
      <c r="Q39" s="65"/>
      <c r="R39" s="86"/>
      <c r="S39" s="118"/>
      <c r="T39" s="80"/>
      <c r="U39" s="80"/>
      <c r="V39" s="115">
        <f>Ф25[[#This Row],[сумма]]-Ф25[[#This Row],[Цена м2 отделки]]*Ф25[[#This Row],[м2]]</f>
        <v>0</v>
      </c>
    </row>
    <row r="40" spans="1:22" s="61" customFormat="1" hidden="1">
      <c r="A40" s="65"/>
      <c r="B40" s="65"/>
      <c r="C40" s="78"/>
      <c r="D40" s="65"/>
      <c r="E40" s="79"/>
      <c r="F40" s="65"/>
      <c r="G40" s="65"/>
      <c r="H40" s="65"/>
      <c r="I40" s="65"/>
      <c r="J40" s="93"/>
      <c r="K40" s="80"/>
      <c r="L40" s="65"/>
      <c r="M40" s="65"/>
      <c r="N40" s="65"/>
      <c r="O40" s="98"/>
      <c r="P40" s="80"/>
      <c r="Q40" s="65"/>
      <c r="R40" s="118"/>
      <c r="S40" s="118"/>
      <c r="T40" s="80"/>
      <c r="U40" s="80"/>
      <c r="V40" s="115">
        <f>Ф25[[#This Row],[сумма]]-Ф25[[#This Row],[Цена м2 отделки]]*Ф25[[#This Row],[м2]]</f>
        <v>0</v>
      </c>
    </row>
    <row r="41" spans="1:22" hidden="1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65"/>
      <c r="L41" s="65"/>
      <c r="M41" s="65"/>
      <c r="N41" s="65"/>
      <c r="O41" s="98"/>
      <c r="P41" s="80"/>
      <c r="Q41" s="86"/>
      <c r="R41" s="118"/>
      <c r="S41" s="118"/>
      <c r="U41" s="65"/>
      <c r="V41" s="115">
        <f>Ф25[[#This Row],[сумма]]-Ф25[[#This Row],[Цена м2 отделки]]*Ф25[[#This Row],[м2]]</f>
        <v>0</v>
      </c>
    </row>
    <row r="42" spans="1:22" hidden="1">
      <c r="A42" s="65"/>
      <c r="B42" s="65"/>
      <c r="C42" s="79"/>
      <c r="D42" s="65"/>
      <c r="E42" s="79"/>
      <c r="F42" s="65"/>
      <c r="G42" s="65"/>
      <c r="H42" s="65"/>
      <c r="I42" s="65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Ф25[[#This Row],[сумма]]-Ф25[[#This Row],[Цена м2 отделки]]*Ф25[[#This Row],[м2]]</f>
        <v>0</v>
      </c>
    </row>
    <row r="43" spans="1:22" hidden="1">
      <c r="A43" s="65"/>
      <c r="B43" s="65"/>
      <c r="C43" s="78"/>
      <c r="D43" s="65"/>
      <c r="E43" s="79"/>
      <c r="F43" s="65"/>
      <c r="G43" s="65"/>
      <c r="H43" s="89"/>
      <c r="I43" s="89"/>
      <c r="J43" s="93"/>
      <c r="K43" s="80"/>
      <c r="L43" s="65"/>
      <c r="M43" s="65"/>
      <c r="N43" s="65"/>
      <c r="O43" s="98"/>
      <c r="P43" s="80"/>
      <c r="Q43" s="65"/>
      <c r="R43" s="118"/>
      <c r="S43" s="118"/>
      <c r="T43" s="80"/>
      <c r="U43" s="80"/>
      <c r="V43" s="115">
        <f>Ф25[[#This Row],[сумма]]-Ф25[[#This Row],[Цена м2 отделки]]*Ф25[[#This Row],[м2]]</f>
        <v>0</v>
      </c>
    </row>
    <row r="44" spans="1:22" hidden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Ф25[[#This Row],[сумма]]-Ф25[[#This Row],[Цена м2 отделки]]*Ф25[[#This Row],[м2]]</f>
        <v>0</v>
      </c>
    </row>
    <row r="45" spans="1:22" hidden="1">
      <c r="A45" s="65"/>
      <c r="B45" s="65"/>
      <c r="C45" s="79"/>
      <c r="D45" s="65"/>
      <c r="E45" s="79"/>
      <c r="F45" s="65"/>
      <c r="G45" s="65"/>
      <c r="H45" s="65"/>
      <c r="I45" s="65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Ф25[[#This Row],[сумма]]-Ф25[[#This Row],[Цена м2 отделки]]*Ф25[[#This Row],[м2]]</f>
        <v>0</v>
      </c>
    </row>
    <row r="46" spans="1:22" hidden="1">
      <c r="A46" s="65"/>
      <c r="B46" s="65"/>
      <c r="C46" s="78"/>
      <c r="D46" s="65"/>
      <c r="E46" s="79"/>
      <c r="F46" s="65"/>
      <c r="G46" s="65"/>
      <c r="H46" s="65"/>
      <c r="I46" s="77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Ф25[[#This Row],[сумма]]-Ф25[[#This Row],[Цена м2 отделки]]*Ф25[[#This Row],[м2]]</f>
        <v>0</v>
      </c>
    </row>
    <row r="47" spans="1:22" hidden="1">
      <c r="A47" s="65"/>
      <c r="B47" s="65"/>
      <c r="C47" s="79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Ф25[[#This Row],[сумма]]-Ф25[[#This Row],[Цена м2 отделки]]*Ф25[[#This Row],[м2]]</f>
        <v>0</v>
      </c>
    </row>
    <row r="48" spans="1:22" hidden="1">
      <c r="A48" s="65"/>
      <c r="B48" s="65"/>
      <c r="C48" s="78"/>
      <c r="D48" s="65"/>
      <c r="E48" s="79"/>
      <c r="F48" s="65"/>
      <c r="G48" s="65"/>
      <c r="H48" s="65"/>
      <c r="I48" s="65"/>
      <c r="J48" s="93"/>
      <c r="K48" s="80"/>
      <c r="L48" s="65"/>
      <c r="M48" s="65"/>
      <c r="N48" s="65"/>
      <c r="O48" s="98"/>
      <c r="P48" s="65"/>
      <c r="Q48" s="65"/>
      <c r="R48" s="118"/>
      <c r="S48" s="118"/>
      <c r="T48" s="80"/>
      <c r="U48" s="80"/>
      <c r="V48" s="115">
        <f>Ф25[[#This Row],[сумма]]-Ф25[[#This Row],[Цена м2 отделки]]*Ф25[[#This Row],[м2]]</f>
        <v>0</v>
      </c>
    </row>
    <row r="49" spans="1:22" hidden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86"/>
      <c r="R49" s="86"/>
      <c r="S49" s="86"/>
      <c r="T49" s="80"/>
      <c r="U49" s="80"/>
      <c r="V49" s="115">
        <f>Ф25[[#This Row],[сумма]]-Ф25[[#This Row],[Цена м2 отделки]]*Ф25[[#This Row],[м2]]</f>
        <v>0</v>
      </c>
    </row>
    <row r="50" spans="1:22" hidden="1">
      <c r="A50" s="65"/>
      <c r="B50" s="65"/>
      <c r="C50" s="79"/>
      <c r="D50" s="65"/>
      <c r="E50" s="79"/>
      <c r="F50" s="65"/>
      <c r="G50" s="65"/>
      <c r="H50" s="80"/>
      <c r="I50" s="80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Ф25[[#This Row],[сумма]]-Ф25[[#This Row],[Цена м2 отделки]]*Ф25[[#This Row],[м2]]</f>
        <v>0</v>
      </c>
    </row>
    <row r="51" spans="1:22" hidden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86"/>
      <c r="S51" s="86"/>
      <c r="T51" s="80"/>
      <c r="U51" s="80"/>
      <c r="V51" s="115">
        <f>Ф25[[#This Row],[сумма]]-Ф25[[#This Row],[Цена м2 отделки]]*Ф25[[#This Row],[м2]]</f>
        <v>0</v>
      </c>
    </row>
    <row r="52" spans="1:22" hidden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65"/>
      <c r="O52" s="98"/>
      <c r="P52" s="80"/>
      <c r="Q52" s="65"/>
      <c r="R52" s="118"/>
      <c r="S52" s="86"/>
      <c r="T52" s="80"/>
      <c r="U52" s="80"/>
      <c r="V52" s="115">
        <f>Ф25[[#This Row],[сумма]]-Ф25[[#This Row],[Цена м2 отделки]]*Ф25[[#This Row],[м2]]</f>
        <v>0</v>
      </c>
    </row>
    <row r="53" spans="1:22" hidden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108"/>
      <c r="O53" s="98"/>
      <c r="P53" s="80"/>
      <c r="Q53" s="65"/>
      <c r="R53" s="86"/>
      <c r="S53" s="86"/>
      <c r="T53" s="80"/>
      <c r="U53" s="80"/>
      <c r="V53" s="115">
        <f>Ф25[[#This Row],[сумма]]-Ф25[[#This Row],[Цена м2 отделки]]*Ф25[[#This Row],[м2]]</f>
        <v>0</v>
      </c>
    </row>
    <row r="54" spans="1:22" hidden="1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98"/>
      <c r="P54" s="80"/>
      <c r="Q54" s="86"/>
      <c r="R54" s="86"/>
      <c r="S54" s="86"/>
      <c r="T54" s="80"/>
      <c r="U54" s="80"/>
      <c r="V54" s="115">
        <f>Ф25[[#This Row],[сумма]]-Ф25[[#This Row],[Цена м2 отделки]]*Ф25[[#This Row],[м2]]</f>
        <v>0</v>
      </c>
    </row>
    <row r="55" spans="1:22" hidden="1">
      <c r="A55" s="65"/>
      <c r="B55" s="65"/>
      <c r="C55" s="79"/>
      <c r="D55" s="65"/>
      <c r="E55" s="79"/>
      <c r="F55" s="65"/>
      <c r="G55" s="65"/>
      <c r="H55" s="65"/>
      <c r="I55" s="65"/>
      <c r="J55" s="93"/>
      <c r="K55" s="80"/>
      <c r="L55" s="65"/>
      <c r="M55" s="65"/>
      <c r="N55" s="65"/>
      <c r="O55" s="109"/>
      <c r="P55" s="80"/>
      <c r="Q55" s="86"/>
      <c r="R55" s="86"/>
      <c r="S55" s="86"/>
      <c r="T55" s="80"/>
      <c r="U55" s="80"/>
      <c r="V55" s="115">
        <f>Ф25[[#This Row],[сумма]]-Ф25[[#This Row],[Цена м2 отделки]]*Ф25[[#This Row],[м2]]</f>
        <v>0</v>
      </c>
    </row>
    <row r="56" spans="1:22" hidden="1">
      <c r="A56" s="65"/>
      <c r="B56" s="65"/>
      <c r="C56" s="79"/>
      <c r="D56" s="65"/>
      <c r="E56" s="79"/>
      <c r="F56" s="65"/>
      <c r="G56" s="65"/>
      <c r="H56" s="86"/>
      <c r="I56" s="86"/>
      <c r="J56" s="104"/>
      <c r="K56" s="80"/>
      <c r="L56" s="80"/>
      <c r="M56" s="80"/>
      <c r="N56" s="80"/>
      <c r="O56" s="109"/>
      <c r="P56" s="80"/>
      <c r="Q56" s="86"/>
      <c r="R56" s="86"/>
      <c r="S56" s="86"/>
      <c r="T56" s="80"/>
      <c r="U56" s="80"/>
      <c r="V56" s="115">
        <f>Ф25[[#This Row],[сумма]]-Ф25[[#This Row],[Цена м2 отделки]]*Ф25[[#This Row],[м2]]</f>
        <v>0</v>
      </c>
    </row>
    <row r="57" spans="1:22" hidden="1">
      <c r="A57" s="65"/>
      <c r="B57" s="65"/>
      <c r="C57" s="79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109"/>
      <c r="P57" s="80"/>
      <c r="Q57" s="65"/>
      <c r="R57" s="118"/>
      <c r="S57" s="86"/>
      <c r="T57" s="80"/>
      <c r="U57" s="80"/>
      <c r="V57" s="115">
        <f>Ф25[[#This Row],[сумма]]-Ф25[[#This Row],[Цена м2 отделки]]*Ф25[[#This Row],[м2]]</f>
        <v>0</v>
      </c>
    </row>
    <row r="58" spans="1:22" hidden="1">
      <c r="A58" s="65"/>
      <c r="B58" s="65"/>
      <c r="C58" s="78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118"/>
      <c r="T58" s="80"/>
      <c r="U58" s="80"/>
      <c r="V58" s="115">
        <f>Ф25[[#This Row],[сумма]]-Ф25[[#This Row],[Цена м2 отделки]]*Ф25[[#This Row],[м2]]</f>
        <v>0</v>
      </c>
    </row>
    <row r="59" spans="1:22" hidden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80"/>
      <c r="L59" s="65"/>
      <c r="M59" s="65"/>
      <c r="N59" s="65"/>
      <c r="O59" s="98"/>
      <c r="P59" s="80"/>
      <c r="Q59" s="65"/>
      <c r="R59" s="118"/>
      <c r="S59" s="86"/>
      <c r="T59" s="80"/>
      <c r="U59" s="80"/>
      <c r="V59" s="115">
        <f>Ф25[[#This Row],[сумма]]-Ф25[[#This Row],[Цена м2 отделки]]*Ф25[[#This Row],[м2]]</f>
        <v>0</v>
      </c>
    </row>
    <row r="60" spans="1:22" hidden="1">
      <c r="A60" s="65"/>
      <c r="B60" s="65"/>
      <c r="C60" s="79"/>
      <c r="D60" s="65"/>
      <c r="E60" s="79"/>
      <c r="F60" s="65"/>
      <c r="G60" s="65"/>
      <c r="H60" s="65"/>
      <c r="I60" s="65"/>
      <c r="J60" s="93"/>
      <c r="K60" s="65"/>
      <c r="L60" s="65"/>
      <c r="M60" s="65"/>
      <c r="N60" s="65"/>
      <c r="O60" s="98"/>
      <c r="P60" s="65"/>
      <c r="Q60" s="65"/>
      <c r="R60" s="86"/>
      <c r="S60" s="86"/>
      <c r="U60" s="65"/>
      <c r="V60" s="115">
        <f>Ф25[[#This Row],[сумма]]-Ф25[[#This Row],[Цена м2 отделки]]*Ф25[[#This Row],[м2]]</f>
        <v>0</v>
      </c>
    </row>
    <row r="61" spans="1:22" hidden="1">
      <c r="A61" s="65"/>
      <c r="B61" s="65"/>
      <c r="C61" s="79"/>
      <c r="D61" s="65"/>
      <c r="E61" s="79"/>
      <c r="F61" s="65"/>
      <c r="G61" s="65"/>
      <c r="H61" s="65"/>
      <c r="I61" s="72"/>
      <c r="J61" s="93"/>
      <c r="K61" s="80"/>
      <c r="L61" s="65"/>
      <c r="M61" s="65"/>
      <c r="N61" s="65"/>
      <c r="O61" s="110"/>
      <c r="P61" s="65"/>
      <c r="Q61" s="72"/>
      <c r="R61" s="118"/>
      <c r="S61" s="118"/>
      <c r="T61" s="80"/>
      <c r="U61" s="80"/>
      <c r="V61" s="115">
        <f>Ф25[[#This Row],[сумма]]-Ф25[[#This Row],[Цена м2 отделки]]*Ф25[[#This Row],[м2]]</f>
        <v>0</v>
      </c>
    </row>
    <row r="62" spans="1:22" hidden="1">
      <c r="A62" s="65"/>
      <c r="B62" s="65"/>
      <c r="C62" s="79"/>
      <c r="D62" s="65"/>
      <c r="E62" s="79"/>
      <c r="F62" s="65"/>
      <c r="G62" s="65"/>
      <c r="H62" s="65"/>
      <c r="I62" s="65"/>
      <c r="J62" s="93"/>
      <c r="K62" s="80"/>
      <c r="L62" s="65"/>
      <c r="M62" s="65"/>
      <c r="N62" s="65"/>
      <c r="O62" s="98"/>
      <c r="P62" s="65"/>
      <c r="Q62" s="65"/>
      <c r="R62" s="118"/>
      <c r="S62" s="118"/>
      <c r="T62" s="80"/>
      <c r="U62" s="80"/>
      <c r="V62" s="115">
        <f>Ф25[[#This Row],[сумма]]-Ф25[[#This Row],[Цена м2 отделки]]*Ф25[[#This Row],[м2]]</f>
        <v>0</v>
      </c>
    </row>
    <row r="63" spans="1:22" hidden="1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98"/>
      <c r="P63" s="65"/>
      <c r="Q63" s="65"/>
      <c r="R63" s="118"/>
      <c r="S63" s="86"/>
      <c r="T63" s="80"/>
      <c r="U63" s="80"/>
      <c r="V63" s="115">
        <f>Ф25[[#This Row],[сумма]]-Ф25[[#This Row],[Цена м2 отделки]]*Ф25[[#This Row],[м2]]</f>
        <v>0</v>
      </c>
    </row>
    <row r="64" spans="1:22" hidden="1">
      <c r="A64" s="65"/>
      <c r="B64" s="65"/>
      <c r="C64" s="79"/>
      <c r="D64" s="65"/>
      <c r="E64" s="79"/>
      <c r="F64" s="65"/>
      <c r="G64" s="65"/>
      <c r="H64" s="65"/>
      <c r="I64" s="72"/>
      <c r="J64" s="93"/>
      <c r="K64" s="80"/>
      <c r="L64" s="65"/>
      <c r="M64" s="65"/>
      <c r="N64" s="65"/>
      <c r="O64" s="110"/>
      <c r="P64" s="65"/>
      <c r="Q64" s="65"/>
      <c r="R64" s="118"/>
      <c r="S64" s="118"/>
      <c r="T64" s="80"/>
      <c r="U64" s="80"/>
      <c r="V64" s="115">
        <f>Ф25[[#This Row],[сумма]]-Ф25[[#This Row],[Цена м2 отделки]]*Ф25[[#This Row],[м2]]</f>
        <v>0</v>
      </c>
    </row>
    <row r="65" spans="1:27" hidden="1">
      <c r="A65" s="65"/>
      <c r="B65" s="65"/>
      <c r="C65" s="79"/>
      <c r="D65" s="65"/>
      <c r="E65" s="79"/>
      <c r="F65" s="65"/>
      <c r="G65" s="65"/>
      <c r="H65" s="65"/>
      <c r="I65" s="65"/>
      <c r="J65" s="93"/>
      <c r="K65" s="65"/>
      <c r="L65" s="65"/>
      <c r="M65" s="65"/>
      <c r="N65" s="65"/>
      <c r="O65" s="98"/>
      <c r="P65" s="65"/>
      <c r="Q65" s="65"/>
      <c r="R65" s="118"/>
      <c r="S65" s="118"/>
      <c r="U65" s="65"/>
      <c r="V65" s="115">
        <f>Ф25[[#This Row],[сумма]]-Ф25[[#This Row],[Цена м2 отделки]]*Ф25[[#This Row],[м2]]</f>
        <v>0</v>
      </c>
    </row>
    <row r="66" spans="1:27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  <c r="T66" s="93"/>
    </row>
    <row r="67" spans="1:27">
      <c r="A67" s="65"/>
      <c r="B67" s="87"/>
      <c r="C67" s="65"/>
      <c r="D67" s="65"/>
      <c r="E67" s="65"/>
      <c r="F67" s="65"/>
      <c r="G67" s="65"/>
      <c r="H67" s="65"/>
      <c r="I67" s="65"/>
      <c r="L67" s="65"/>
      <c r="M67" s="65"/>
      <c r="N67" s="98"/>
      <c r="O67" s="65"/>
    </row>
    <row r="68" spans="1:27" s="65" customFormat="1">
      <c r="B68" s="79"/>
      <c r="D68" s="79"/>
      <c r="J68" s="66"/>
      <c r="X68" s="98"/>
      <c r="Y68" s="80"/>
      <c r="AA68" s="86"/>
    </row>
    <row r="69" spans="1:27" s="65" customFormat="1">
      <c r="B69" s="79"/>
      <c r="C69" s="79"/>
      <c r="D69" s="80"/>
      <c r="J69" s="66"/>
      <c r="W69" s="110"/>
      <c r="Y69" s="72"/>
      <c r="Z69" s="86"/>
      <c r="AA69" s="86"/>
    </row>
    <row r="70" spans="1:27" s="65" customFormat="1">
      <c r="U70" s="66"/>
    </row>
    <row r="71" spans="1:27" s="65" customFormat="1">
      <c r="A71" s="2325" t="s">
        <v>713</v>
      </c>
      <c r="B71" s="2326"/>
      <c r="C71" s="133" t="s">
        <v>7</v>
      </c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T71" s="66"/>
    </row>
    <row r="72" spans="1:27" s="65" customFormat="1">
      <c r="A72" s="135" t="s">
        <v>1</v>
      </c>
      <c r="B72" s="135" t="s">
        <v>100</v>
      </c>
      <c r="C72" s="136" t="s">
        <v>97</v>
      </c>
      <c r="D72" s="137" t="s">
        <v>494</v>
      </c>
      <c r="E72" s="138" t="s">
        <v>495</v>
      </c>
      <c r="F72" s="139" t="s">
        <v>496</v>
      </c>
      <c r="G72" s="140" t="s">
        <v>101</v>
      </c>
      <c r="H72" s="141" t="s">
        <v>98</v>
      </c>
      <c r="I72" s="141" t="s">
        <v>96</v>
      </c>
      <c r="J72" s="141" t="s">
        <v>715</v>
      </c>
      <c r="K72" s="216" t="s">
        <v>716</v>
      </c>
      <c r="L72" s="217">
        <v>0</v>
      </c>
      <c r="M72" s="218">
        <v>1</v>
      </c>
      <c r="N72" s="218">
        <v>2</v>
      </c>
      <c r="O72" s="218">
        <v>3</v>
      </c>
      <c r="P72" s="219" t="s">
        <v>1367</v>
      </c>
      <c r="T72" s="66"/>
    </row>
    <row r="73" spans="1:27" s="65" customFormat="1">
      <c r="A73" s="142" t="s">
        <v>28</v>
      </c>
      <c r="B73" s="143">
        <f>IFERROR(VLOOKUP(A73,'ИПП 1кв25'!$B$23:$N$34,4,0),"")</f>
        <v>10</v>
      </c>
      <c r="C73" s="144">
        <f>IFERROR(VLOOKUP(A73,'ИПП 1кв25'!$B$23:$N$34,5,0),"")</f>
        <v>1122361</v>
      </c>
      <c r="D73" s="145">
        <f>SUMIFS(Ф25[м2],Ф25[МОП],$A73,Ф25[№ дома],$C$71,Ф25[Комнатность],"&lt;&gt;Офис")</f>
        <v>0</v>
      </c>
      <c r="E73" s="146">
        <f>SUMIFS(Ф25[Сумма без отделки],Ф25[МОП],$A73,Ф25[№ дома],$C$71,Ф25[Комнатность],"&lt;&gt;Офис")</f>
        <v>0</v>
      </c>
      <c r="F73" s="147">
        <f>COUNTIFS(Ф25[МОП],$A73,Ф25[№ дома],$C$71,Ф25[Комнатность],"&lt;&gt;Офис")</f>
        <v>0</v>
      </c>
      <c r="G73" s="148">
        <f>SUMIFS(РД[S],РД[Дом],$C$71,РД[МОП],A73,РД[Дата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ref="J73:K80" si="0">IFERROR(G73/B73,"")</f>
        <v>0</v>
      </c>
      <c r="K73" s="222">
        <f t="shared" si="0"/>
        <v>0</v>
      </c>
      <c r="L73" s="148">
        <f>COUNTIFS(РД[Тип кв],L$72,РД[МОП],$A73,РД[Дом],$C$71,РД[Дата подачи на регистрацию],"&lt;="&amp;$A$1,РД[Дата подачи на регистрацию],"&gt;="&amp;DATE(YEAR($A$1),MONTH($A$1),1))</f>
        <v>0</v>
      </c>
      <c r="M73" s="220">
        <f>COUNTIFS(РД[Тип кв],M$72,РД[МОП],$A73,РД[Дом],$C$71,РД[Дата подачи на регистрацию],"&lt;="&amp;$A$1,РД[Дата подачи на регистрацию],"&gt;="&amp;DATE(YEAR($A$1),MONTH($A$1),1))</f>
        <v>0</v>
      </c>
      <c r="N73" s="220">
        <f>COUNTIFS(РД[Тип кв],N$72,РД[МОП],$A73,РД[Дом],$C$71,РД[Дата подачи на регистрацию],"&lt;="&amp;$A$1,РД[Дата подачи на регистрацию],"&gt;="&amp;DATE(YEAR($A$1),MONTH($A$1),1))</f>
        <v>0</v>
      </c>
      <c r="O73" s="220">
        <f>COUNTIFS(РД[Тип кв],O$72,РД[МОП],$A73,РД[Дом],$C$71,РД[Дата подачи на регистрацию],"&lt;="&amp;$A$1,РД[Дата подачи на регистрацию],"&gt;="&amp;DATE(YEAR($A$1),MONTH($A$1),1))</f>
        <v>0</v>
      </c>
      <c r="P73" s="223">
        <f>COUNTIFS(РД[Тип кв],P$72,РД[МОП],$A73,РД[Дом],$C$71,РД[Дата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42" t="s">
        <v>8</v>
      </c>
      <c r="B74" s="143">
        <f>IFERROR(VLOOKUP(A74,'ИПП 1кв25'!$B$23:$N$34,4,0),"")</f>
        <v>8</v>
      </c>
      <c r="C74" s="144">
        <f>IFERROR(VLOOKUP(A74,'ИПП 1кв25'!$B$23:$N$34,5,0),"")</f>
        <v>878369</v>
      </c>
      <c r="D74" s="145">
        <f>SUMIFS(Ф25[м2],Ф25[МОП],$A74,Ф25[№ дома],$C$71,Ф25[Комнатность],"&lt;&gt;Офис")</f>
        <v>0</v>
      </c>
      <c r="E74" s="146">
        <f>SUMIFS(Ф25[Сумма без отделки],Ф25[МОП],$A74,Ф25[№ дома],$C$71,Ф25[Комнатность],"&lt;&gt;Офис")</f>
        <v>0</v>
      </c>
      <c r="F74" s="147">
        <f>COUNTIFS(Ф25[МОП],$A74,Ф25[№ дома],$C$71,Ф25[Комнатность],"&lt;&gt;Офис")</f>
        <v>0</v>
      </c>
      <c r="G74" s="148">
        <f>SUMIFS(РД[S],РД[Дом],$C$71,РД[МОП],A74,РД[Дата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1">
        <f t="shared" si="0"/>
        <v>0</v>
      </c>
      <c r="K74" s="222">
        <f t="shared" si="0"/>
        <v>0</v>
      </c>
      <c r="L74" s="148">
        <f>COUNTIFS(РД[Тип кв],L$72,РД[МОП],$A74,РД[Дом],$C$71,РД[Дата подачи на регистрацию],"&lt;="&amp;$A$1,РД[Дата подачи на регистрацию],"&gt;="&amp;DATE(YEAR($A$1),MONTH($A$1),1))</f>
        <v>0</v>
      </c>
      <c r="M74" s="220">
        <f>COUNTIFS(РД[Тип кв],M$72,РД[МОП],$A74,РД[Дом],$C$71,РД[Дата подачи на регистрацию],"&lt;="&amp;$A$1,РД[Дата подачи на регистрацию],"&gt;="&amp;DATE(YEAR($A$1),MONTH($A$1),1))</f>
        <v>0</v>
      </c>
      <c r="N74" s="220">
        <f>COUNTIFS(РД[Тип кв],N$72,РД[МОП],$A74,РД[Дом],$C$71,РД[Дата подачи на регистрацию],"&lt;="&amp;$A$1,РД[Дата подачи на регистрацию],"&gt;="&amp;DATE(YEAR($A$1),MONTH($A$1),1))</f>
        <v>0</v>
      </c>
      <c r="O74" s="220">
        <f>COUNTIFS(РД[Тип кв],O$72,РД[МОП],$A74,РД[Дом],$C$71,РД[Дата подачи на регистрацию],"&lt;="&amp;$A$1,РД[Дата подачи на регистрацию],"&gt;="&amp;DATE(YEAR($A$1),MONTH($A$1),1))</f>
        <v>0</v>
      </c>
      <c r="P74" s="223">
        <f>COUNTIFS(РД[Тип кв],P$72,РД[МОП],$A74,РД[Дом],$C$71,РД[Дата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0" t="s">
        <v>20</v>
      </c>
      <c r="B75" s="143">
        <f>IFERROR(VLOOKUP(A75,'ИПП 1кв25'!$B$23:$N$34,4,0),"")</f>
        <v>19</v>
      </c>
      <c r="C75" s="144">
        <f>IFERROR(VLOOKUP(A75,'ИПП 1кв25'!$B$23:$N$34,5,0),"")</f>
        <v>2012930</v>
      </c>
      <c r="D75" s="151">
        <f>SUMIFS(Ф25[м2],Ф25[МОП],$A75,Ф25[№ дома],$C$71,Ф25[Комнатность],"&lt;&gt;Офис")</f>
        <v>0</v>
      </c>
      <c r="E75" s="144">
        <f>SUMIFS(Ф25[Сумма без отделки],Ф25[МОП],$A75,Ф25[№ дома],$C$71,Ф25[Комнатность],"&lt;&gt;Офис")</f>
        <v>0</v>
      </c>
      <c r="F75" s="152">
        <f>COUNTIFS(Ф25[МОП],$A75,Ф25[№ дома],$C$71,Ф25[Комнатность],"&lt;&gt;Офис")</f>
        <v>0</v>
      </c>
      <c r="G75" s="148">
        <f>SUMIFS(РД[S],РД[Дом],$C$71,РД[МОП],A75,РД[Дата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21">
        <f t="shared" si="0"/>
        <v>0</v>
      </c>
      <c r="K75" s="222">
        <f t="shared" si="0"/>
        <v>0</v>
      </c>
      <c r="L75" s="148">
        <f>COUNTIFS(РД[Тип кв],L$72,РД[МОП],$A75,РД[Дом],$C$71,РД[Дата подачи на регистрацию],"&lt;="&amp;$A$1,РД[Дата подачи на регистрацию],"&gt;="&amp;DATE(YEAR($A$1),MONTH($A$1),1))</f>
        <v>0</v>
      </c>
      <c r="M75" s="220">
        <f>COUNTIFS(РД[Тип кв],M$72,РД[МОП],$A75,РД[Дом],$C$71,РД[Дата подачи на регистрацию],"&lt;="&amp;$A$1,РД[Дата подачи на регистрацию],"&gt;="&amp;DATE(YEAR($A$1),MONTH($A$1),1))</f>
        <v>0</v>
      </c>
      <c r="N75" s="220">
        <f>COUNTIFS(РД[Тип кв],N$72,РД[МОП],$A75,РД[Дом],$C$71,РД[Дата подачи на регистрацию],"&lt;="&amp;$A$1,РД[Дата подачи на регистрацию],"&gt;="&amp;DATE(YEAR($A$1),MONTH($A$1),1))</f>
        <v>0</v>
      </c>
      <c r="O75" s="220">
        <f>COUNTIFS(РД[Тип кв],O$72,РД[МОП],$A75,РД[Дом],$C$71,РД[Дата подачи на регистрацию],"&lt;="&amp;$A$1,РД[Дата подачи на регистрацию],"&gt;="&amp;DATE(YEAR($A$1),MONTH($A$1),1))</f>
        <v>0</v>
      </c>
      <c r="P75" s="223">
        <f>COUNTIFS(РД[Тип кв],P$72,РД[МОП],$A75,РД[Дом],$C$71,РД[Дата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3" t="s">
        <v>24</v>
      </c>
      <c r="B76" s="143">
        <f>IFERROR(VLOOKUP(A76,'ИПП 1кв25'!$B$23:$N$34,4,0),"")</f>
        <v>19</v>
      </c>
      <c r="C76" s="144">
        <f>IFERROR(VLOOKUP(A76,'ИПП 1кв25'!$B$23:$N$34,5,0),"")</f>
        <v>2012930</v>
      </c>
      <c r="D76" s="151">
        <f>SUMIFS(Ф25[м2],Ф25[МОП],$A76,Ф25[№ дома],$C$71,Ф25[Комнатность],"&lt;&gt;Офис")</f>
        <v>0</v>
      </c>
      <c r="E76" s="144">
        <f>SUMIFS(Ф25[Сумма без отделки],Ф25[МОП],$A76,Ф25[№ дома],$C$71,Ф25[Комнатность],"&lt;&gt;Офис")</f>
        <v>0</v>
      </c>
      <c r="F76" s="152">
        <f>COUNTIFS(Ф25[МОП],$A76,Ф25[№ дома],$C$71,Ф25[Комнатность],"&lt;&gt;Офис")</f>
        <v>0</v>
      </c>
      <c r="G76" s="148">
        <f>SUMIFS(РД[S],РД[Дом],$C$71,РД[МОП],A76,РД[Дата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49">
        <f>SUMIFS(РД[Стоимость без отделки итог],РД[Дом],$C$71,РД[МОП],A76,РД[Дата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0">
        <f>COUNTIFS(РД[Дом],$C$71,РД[МОП],A76,РД[Дата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24">
        <f t="shared" si="0"/>
        <v>0</v>
      </c>
      <c r="K76" s="225">
        <f t="shared" si="0"/>
        <v>0</v>
      </c>
      <c r="L76" s="202">
        <f>COUNTIFS(РД[Тип кв],L$72,РД[МОП],$A76,РД[Дом],$C$71,РД[Дата подачи на регистрацию],"&lt;="&amp;$A$1,РД[Дата подачи на регистрацию],"&gt;="&amp;DATE(YEAR($A$1),MONTH($A$1),1))</f>
        <v>0</v>
      </c>
      <c r="M76" s="226">
        <f>COUNTIFS(РД[Тип кв],M$72,РД[МОП],$A76,РД[Дом],$C$71,РД[Дата подачи на регистрацию],"&lt;="&amp;$A$1,РД[Дата подачи на регистрацию],"&gt;="&amp;DATE(YEAR($A$1),MONTH($A$1),1))</f>
        <v>0</v>
      </c>
      <c r="N76" s="226">
        <f>COUNTIFS(РД[Тип кв],N$72,РД[МОП],$A76,РД[Дом],$C$71,РД[Дата подачи на регистрацию],"&lt;="&amp;$A$1,РД[Дата подачи на регистрацию],"&gt;="&amp;DATE(YEAR($A$1),MONTH($A$1),1))</f>
        <v>0</v>
      </c>
      <c r="O76" s="226">
        <f>COUNTIFS(РД[Тип кв],O$72,РД[МОП],$A76,РД[Дом],$C$71,РД[Дата подачи на регистрацию],"&lt;="&amp;$A$1,РД[Дата подачи на регистрацию],"&gt;="&amp;DATE(YEAR($A$1),MONTH($A$1),1))</f>
        <v>0</v>
      </c>
      <c r="P76" s="227">
        <f>COUNTIFS(РД[Тип кв],P$72,РД[МОП],$A76,РД[Дом],$C$71,РД[Дата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53" t="s">
        <v>14</v>
      </c>
      <c r="B77" s="143">
        <f>IFERROR(VLOOKUP(A77,'ИПП 1кв25'!$B$23:$N$34,4,0),"")</f>
        <v>19</v>
      </c>
      <c r="C77" s="144">
        <f>IFERROR(VLOOKUP(A77,'ИПП 1кв25'!$B$23:$N$34,5,0),"")</f>
        <v>2012930</v>
      </c>
      <c r="D77" s="205">
        <f>SUMIFS(Ф25[м2],Ф25[МОП],$A77,Ф25[№ дома],$C$71,Ф25[Комнатность],"&lt;&gt;Офис")</f>
        <v>0</v>
      </c>
      <c r="E77" s="357">
        <f>SUMIFS(Ф25[Сумма без отделки],Ф25[МОП],$A77,Ф25[№ дома],$C$71,Ф25[Комнатность],"&lt;&gt;Офис")</f>
        <v>0</v>
      </c>
      <c r="F77" s="207">
        <f>COUNTIFS(Ф25[МОП],$A77,Ф25[№ дома],$C$71,Ф25[Комнатность],"&lt;&gt;Офис")</f>
        <v>0</v>
      </c>
      <c r="G77" s="187">
        <f>SUMIFS(РД[S],РД[Дом],$C$71,РД[МОП],A77,РД[Дата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88">
        <f>SUMIFS(РД[Стоимость без отделки итог],РД[Дом],$C$71,РД[МОП],A77,РД[Дата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47">
        <f>COUNTIFS(РД[Дом],$C$71,РД[МОП],A77,РД[Дата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360">
        <f t="shared" si="0"/>
        <v>0</v>
      </c>
      <c r="K77" s="361">
        <f t="shared" si="0"/>
        <v>0</v>
      </c>
      <c r="L77" s="358">
        <f>COUNTIFS(РД[Тип кв],L$72,РД[МОП],$A77,РД[Дом],$C$71,РД[Дата подачи на регистрацию],"&lt;="&amp;$A$1,РД[Дата подачи на регистрацию],"&gt;="&amp;DATE(YEAR($A$1),MONTH($A$1),1))</f>
        <v>0</v>
      </c>
      <c r="M77" s="330">
        <f>COUNTIFS(РД[Тип кв],M$72,РД[МОП],$A77,РД[Дом],$C$71,РД[Дата подачи на регистрацию],"&lt;="&amp;$A$1,РД[Дата подачи на регистрацию],"&gt;="&amp;DATE(YEAR($A$1),MONTH($A$1),1))</f>
        <v>0</v>
      </c>
      <c r="N77" s="330">
        <f>COUNTIFS(РД[Тип кв],N$72,РД[МОП],$A77,РД[Дом],$C$71,РД[Дата подачи на регистрацию],"&lt;="&amp;$A$1,РД[Дата подачи на регистрацию],"&gt;="&amp;DATE(YEAR($A$1),MONTH($A$1),1))</f>
        <v>0</v>
      </c>
      <c r="O77" s="330">
        <f>COUNTIFS(РД[Тип кв],O$72,РД[МОП],$A77,РД[Дом],$C$71,РД[Дата подачи на регистрацию],"&lt;="&amp;$A$1,РД[Дата подачи на регистрацию],"&gt;="&amp;DATE(YEAR($A$1),MONTH($A$1),1))</f>
        <v>0</v>
      </c>
      <c r="P77" s="331">
        <f>COUNTIFS(РД[Тип кв],P$72,РД[МОП],$A77,РД[Дом],$C$71,РД[Дата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54" t="s">
        <v>29</v>
      </c>
      <c r="B78" s="155"/>
      <c r="C78" s="156"/>
      <c r="D78" s="157">
        <f>SUMIFS(Ф25[м2],Ф25[МОП],$A78,Ф25[№ дома],$C$71,Ф25[Комнатность],"&lt;&gt;Офис")</f>
        <v>0</v>
      </c>
      <c r="E78" s="156">
        <f>SUMIFS(Ф25[Сумма без отделки],Ф25[МОП],$A78,Ф25[№ дома],$C$71,Ф25[Комнатность],"&lt;&gt;Офис")</f>
        <v>0</v>
      </c>
      <c r="F78" s="158">
        <f>COUNTIFS(Ф25[МОП],$A78,Ф25[№ дома],$C$71,Ф25[Комнатность],"&lt;&gt;Офис")</f>
        <v>0</v>
      </c>
      <c r="G78" s="159">
        <f>SUMIFS(РД[S],РД[Дом],$C$71,РД[МОП],A78,РД[Дата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0">
        <f>SUMIFS(РД[Стоимость без отделки итог],РД[Дом],$C$71,РД[МОП],A78,РД[Дата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28">
        <f>COUNTIFS(РД[Дом],$C$71,РД[МОП],A78,РД[Дата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29" t="str">
        <f t="shared" si="0"/>
        <v/>
      </c>
      <c r="K78" s="230" t="str">
        <f t="shared" si="0"/>
        <v/>
      </c>
      <c r="L78" s="159">
        <f>COUNTIFS(РД[Тип кв],L$72,РД[МОП],$A78,РД[Дом],$C$71,РД[Дата подачи на регистрацию],"&lt;="&amp;$A$1,РД[Дата подачи на регистрацию],"&gt;="&amp;DATE(YEAR($A$1),MONTH($A$1),1))</f>
        <v>0</v>
      </c>
      <c r="M78" s="228">
        <f>COUNTIFS(РД[Тип кв],M$72,РД[МОП],$A78,РД[Дом],$C$71,РД[Дата подачи на регистрацию],"&lt;="&amp;$A$1,РД[Дата подачи на регистрацию],"&gt;="&amp;DATE(YEAR($A$1),MONTH($A$1),1))</f>
        <v>0</v>
      </c>
      <c r="N78" s="228">
        <f>COUNTIFS(РД[Тип кв],N$72,РД[МОП],$A78,РД[Дом],$C$71,РД[Дата подачи на регистрацию],"&lt;="&amp;$A$1,РД[Дата подачи на регистрацию],"&gt;="&amp;DATE(YEAR($A$1),MONTH($A$1),1))</f>
        <v>0</v>
      </c>
      <c r="O78" s="228">
        <f>COUNTIFS(РД[Тип кв],O$72,РД[МОП],$A78,РД[Дом],$C$71,РД[Дата подачи на регистрацию],"&lt;="&amp;$A$1,РД[Дата подачи на регистрацию],"&gt;="&amp;DATE(YEAR($A$1),MONTH($A$1),1))</f>
        <v>0</v>
      </c>
      <c r="P78" s="231">
        <f>COUNTIFS(РД[Тип кв],P$72,РД[МОП],$A78,РД[Дом],$C$71,РД[Дата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161" t="s">
        <v>1919</v>
      </c>
      <c r="B79" s="162"/>
      <c r="C79" s="163"/>
      <c r="D79" s="164">
        <f>SUMIFS(Ф25[м2],Ф25[МОП],$A79,Ф25[№ дома],$C$71,Ф25[Комнатность],"&lt;&gt;Офис")</f>
        <v>0</v>
      </c>
      <c r="E79" s="163">
        <f>SUMIFS(Ф25[Сумма без отделки],Ф25[МОП],$A79,Ф25[№ дома],$C$71,Ф25[Комнатность],"&lt;&gt;Офис")</f>
        <v>0</v>
      </c>
      <c r="F79" s="165">
        <f>COUNTIFS(Ф25[МОП],$A79,Ф25[№ дома],$C$71,Ф25[Комнатность],"&lt;&gt;Офис")</f>
        <v>0</v>
      </c>
      <c r="G79" s="166">
        <f>SUMIFS(РД[S],РД[Дом],$C$71,РД[МОП],A79,РД[Дата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H79" s="167">
        <f>SUMIFS(РД[Стоимость без отделки итог],РД[Дом],$C$71,РД[МОП],A79,РД[Дата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I79" s="232">
        <f>COUNTIFS(РД[Дом],$C$71,РД[МОП],A79,РД[Дата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J79" s="233" t="str">
        <f t="shared" si="0"/>
        <v/>
      </c>
      <c r="K79" s="234" t="str">
        <f t="shared" si="0"/>
        <v/>
      </c>
      <c r="L79" s="235">
        <f>COUNTIFS(РД[Тип кв],L$72,РД[МОП],$A79,РД[Дом],$C$71,РД[Дата подачи на регистрацию],"&lt;="&amp;$A$1,РД[Дата подачи на регистрацию],"&gt;="&amp;DATE(YEAR($A$1),MONTH($A$1),1))</f>
        <v>0</v>
      </c>
      <c r="M79" s="236">
        <f>COUNTIFS(РД[Тип кв],M$72,РД[МОП],$A79,РД[Дом],$C$71,РД[Дата подачи на регистрацию],"&lt;="&amp;$A$1,РД[Дата подачи на регистрацию],"&gt;="&amp;DATE(YEAR($A$1),MONTH($A$1),1))</f>
        <v>0</v>
      </c>
      <c r="N79" s="236">
        <f>COUNTIFS(РД[Тип кв],N$72,РД[МОП],$A79,РД[Дом],$C$71,РД[Дата подачи на регистрацию],"&lt;="&amp;$A$1,РД[Дата подачи на регистрацию],"&gt;="&amp;DATE(YEAR($A$1),MONTH($A$1),1))</f>
        <v>0</v>
      </c>
      <c r="O79" s="236">
        <f>COUNTIFS(РД[Тип кв],O$72,РД[МОП],$A79,РД[Дом],$C$71,РД[Дата подачи на регистрацию],"&lt;="&amp;$A$1,РД[Дата подачи на регистрацию],"&gt;="&amp;DATE(YEAR($A$1),MONTH($A$1),1))</f>
        <v>0</v>
      </c>
      <c r="P79" s="237">
        <f>COUNTIFS(РД[Тип кв],P$72,РД[МОП],$A79,РД[Дом],$C$71,РД[Дата подачи на регистрацию],"&lt;="&amp;$A$1,РД[Дата подачи на регистрацию],"&gt;="&amp;DATE(YEAR($A$1),MONTH($A$1),1))</f>
        <v>0</v>
      </c>
      <c r="T79" s="66"/>
    </row>
    <row r="80" spans="1:27" s="65" customFormat="1">
      <c r="A80" s="168" t="s">
        <v>114</v>
      </c>
      <c r="B80" s="169">
        <f t="shared" ref="B80:I80" si="1">SUM(B73:B79)</f>
        <v>75</v>
      </c>
      <c r="C80" s="170">
        <f t="shared" si="1"/>
        <v>8039520</v>
      </c>
      <c r="D80" s="170">
        <f t="shared" si="1"/>
        <v>0</v>
      </c>
      <c r="E80" s="170">
        <f t="shared" si="1"/>
        <v>0</v>
      </c>
      <c r="F80" s="171">
        <f t="shared" si="1"/>
        <v>0</v>
      </c>
      <c r="G80" s="172">
        <f t="shared" si="1"/>
        <v>0</v>
      </c>
      <c r="H80" s="173">
        <f t="shared" si="1"/>
        <v>0</v>
      </c>
      <c r="I80" s="170">
        <f t="shared" si="1"/>
        <v>0</v>
      </c>
      <c r="J80" s="238">
        <f t="shared" si="0"/>
        <v>0</v>
      </c>
      <c r="K80" s="239">
        <f t="shared" si="0"/>
        <v>0</v>
      </c>
      <c r="L80" s="240">
        <f>SUM(L73:L79)</f>
        <v>0</v>
      </c>
      <c r="M80" s="241">
        <f>SUM(M73:M79)</f>
        <v>0</v>
      </c>
      <c r="N80" s="241">
        <f>SUM(N73:N79)</f>
        <v>0</v>
      </c>
      <c r="O80" s="241">
        <f>SUM(O73:O79)</f>
        <v>0</v>
      </c>
      <c r="P80" s="242">
        <f>SUM(P73:P79)</f>
        <v>0</v>
      </c>
      <c r="T80" s="66"/>
    </row>
    <row r="81" spans="1:21" s="65" customFormat="1">
      <c r="A81" s="135" t="s">
        <v>115</v>
      </c>
      <c r="B81" s="135" t="s">
        <v>100</v>
      </c>
      <c r="C81" s="136" t="s">
        <v>97</v>
      </c>
      <c r="D81" s="174" t="s">
        <v>494</v>
      </c>
      <c r="E81" s="175" t="s">
        <v>495</v>
      </c>
      <c r="F81" s="176" t="s">
        <v>496</v>
      </c>
      <c r="G81" s="140" t="s">
        <v>101</v>
      </c>
      <c r="H81" s="141" t="s">
        <v>98</v>
      </c>
      <c r="I81" s="141" t="s">
        <v>96</v>
      </c>
      <c r="J81" s="141" t="s">
        <v>715</v>
      </c>
      <c r="K81" s="216" t="s">
        <v>716</v>
      </c>
      <c r="L81" s="217">
        <v>0</v>
      </c>
      <c r="M81" s="218">
        <v>1</v>
      </c>
      <c r="N81" s="218">
        <v>2</v>
      </c>
      <c r="O81" s="218">
        <v>3</v>
      </c>
      <c r="P81" s="219" t="s">
        <v>1367</v>
      </c>
      <c r="T81" s="66"/>
    </row>
    <row r="82" spans="1:21" s="65" customFormat="1">
      <c r="A82" s="177" t="s">
        <v>22</v>
      </c>
      <c r="B82" s="178">
        <f>IFERROR(VLOOKUP(A82,'ИПП 1кв25'!$B$23:$N$34,4,0),"")</f>
        <v>21.887755102040817</v>
      </c>
      <c r="C82" s="179">
        <f>IFERROR(VLOOKUP(A82,'ИПП 1кв25'!$B$23:$N$34,5,0),"")</f>
        <v>2346227.2653061226</v>
      </c>
      <c r="D82" s="180">
        <f>SUMIFS(Ф25[м2],Ф25[ИМ],A82,Ф25[№ дома],$C$71,Ф25[Комнатность],"&lt;&gt;Офис")</f>
        <v>0</v>
      </c>
      <c r="E82" s="181">
        <f>SUMIFS(Ф25[Сумма без отделки],Ф25[ИМ],$A82,Ф25[№ дома],$C$71,Ф25[Комнатность],"&lt;&gt;Офис")</f>
        <v>0</v>
      </c>
      <c r="F82" s="182">
        <f>COUNTIFS(Ф25[ИМ],$A82,Ф25[№ дома],$C$71,Ф25[Комнатность],"&lt;&gt;Офис")</f>
        <v>0</v>
      </c>
      <c r="G82" s="183">
        <f>SUMIFS(РД[S],РД[Дом],$C$71,РД[ИМ],A82,РД[Дата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84">
        <f>SUMIFS(РД[Стоимость без отделки итог],РД[Дом],$C$71,РД[ИМ],A82,РД[Дата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43">
        <f>COUNTIFS(РД[Дом],$C$71,РД[ИМ],A82,РД[Дата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44">
        <f t="shared" ref="J82:K85" si="2">IFERROR(G82/B82,"")</f>
        <v>0</v>
      </c>
      <c r="K82" s="245">
        <f t="shared" si="2"/>
        <v>0</v>
      </c>
      <c r="L82" s="183">
        <f>COUNTIFS(РД[Тип кв],L72,РД[ИМ],$A82,РД[Дом],$C$71,РД[Дата подачи на регистрацию],"&lt;="&amp;$A$1,РД[Дата подачи на регистрацию],"&gt;="&amp;DATE(YEAR($A$1),MONTH($A$1),1))</f>
        <v>0</v>
      </c>
      <c r="M82" s="243">
        <f>COUNTIFS(РД[Тип кв],M72,РД[ИМ],$A82,РД[Дом],$C$71,РД[Дата подачи на регистрацию],"&lt;="&amp;$A$1,РД[Дата подачи на регистрацию],"&gt;="&amp;DATE(YEAR($A$1),MONTH($A$1),1))</f>
        <v>0</v>
      </c>
      <c r="N82" s="243">
        <f>COUNTIFS(РД[Тип кв],N72,РД[ИМ],$A82,РД[Дом],$C$71,РД[Дата подачи на регистрацию],"&lt;="&amp;$A$1,РД[Дата подачи на регистрацию],"&gt;="&amp;DATE(YEAR($A$1),MONTH($A$1),1))</f>
        <v>0</v>
      </c>
      <c r="O82" s="243">
        <f>COUNTIFS(РД[Тип кв],O72,РД[ИМ],$A82,РД[Дом],$C$71,РД[Дата подачи на регистрацию],"&lt;="&amp;$A$1,РД[Дата подачи на регистрацию],"&gt;="&amp;DATE(YEAR($A$1),MONTH($A$1),1))</f>
        <v>0</v>
      </c>
      <c r="P82" s="246">
        <f>COUNTIFS(РД[Тип кв],P72,РД[ИМ],$A82,РД[Дом],$C$71,РД[Дата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50" t="s">
        <v>26</v>
      </c>
      <c r="B83" s="143">
        <f>IFERROR(VLOOKUP(A83,'ИПП 1кв25'!$B$23:$N$34,4,0),"")</f>
        <v>26.862244897959179</v>
      </c>
      <c r="C83" s="144">
        <f>IFERROR(VLOOKUP(A83,'ИПП 1кв25'!$B$23:$N$34,5,0),"")</f>
        <v>2879460.7346938774</v>
      </c>
      <c r="D83" s="151">
        <f>SUMIFS(Ф25[м2],Ф25[ИМ],A83,Ф25[№ дома],$C$71,Ф25[Комнатность],"&lt;&gt;Офис")</f>
        <v>0</v>
      </c>
      <c r="E83" s="185">
        <f>SUMIFS(Ф25[Сумма без отделки],Ф25[ИМ],$A83,Ф25[№ дома],$C$71,Ф25[Комнатность],"&lt;&gt;Офис")</f>
        <v>0</v>
      </c>
      <c r="F83" s="186">
        <f>COUNTIFS(Ф25[ИМ],$A83,Ф25[№ дома],$C$71,Ф25[Комнатность],"&lt;&gt;Офис")</f>
        <v>0</v>
      </c>
      <c r="G83" s="187">
        <f>SUMIFS(РД[S],РД[Дом],$C$71,РД[ИМ],A83,РД[Дата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88">
        <f>SUMIFS(РД[Стоимость без отделки итог],РД[Дом],$C$71,РД[ИМ],A83,РД[Дата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47">
        <f>COUNTIFS(РД[Дом],$C$71,РД[ИМ],A83,РД[Дата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48">
        <f t="shared" si="2"/>
        <v>0</v>
      </c>
      <c r="K83" s="249">
        <f t="shared" si="2"/>
        <v>0</v>
      </c>
      <c r="L83" s="18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M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N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O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P83" s="250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189" t="s">
        <v>3</v>
      </c>
      <c r="B84" s="190">
        <f>IFERROR(VLOOKUP(A84,'ИПП 1кв25'!$B$23:$N$34,4,0),"")</f>
        <v>0</v>
      </c>
      <c r="C84" s="191">
        <f>IFERROR(VLOOKUP(A84,'ИПП 1кв25'!$B$23:$N$34,5,0),"")</f>
        <v>0</v>
      </c>
      <c r="D84" s="192">
        <f>SUMIFS(Ф25[м2],Ф25[ИМ],A84,Ф25[№ дома],$C$71,Ф25[Комнатность],"&lt;&gt;Офис")</f>
        <v>0</v>
      </c>
      <c r="E84" s="193">
        <f>SUMIFS(Ф25[Сумма без отделки],Ф25[ИМ],$A84,Ф25[№ дома],$C$71,Ф25[Комнатность],"&lt;&gt;Офис")</f>
        <v>0</v>
      </c>
      <c r="F84" s="194">
        <f>COUNTIFS(Ф25[ИМ],$A84,Ф25[№ дома],$C$71,Ф25[Комнатность],"&lt;&gt;Офис")</f>
        <v>0</v>
      </c>
      <c r="G84" s="195">
        <f>SUMIFS(РД[S],РД[Дом],$C$71,РД[ИМ],A84,РД[Дата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H84" s="196">
        <f>SUMIFS(РД[Стоимость без отделки итог],РД[Дом],$C$71,РД[ИМ],A84,РД[Дата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I84" s="251">
        <f>COUNTIFS(РД[Дом],$C$71,РД[ИМ],A84,РД[Дата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J84" s="252" t="str">
        <f t="shared" si="2"/>
        <v/>
      </c>
      <c r="K84" s="253" t="str">
        <f t="shared" si="2"/>
        <v/>
      </c>
      <c r="L84" s="195">
        <f>COUNTIFS(РД[Тип кв],L72,РД[ИМ],$A84,РД[Дом],$C$71,РД[Дата подачи на регистрацию],"&lt;="&amp;$A$1,РД[Дата подачи на регистрацию],"&gt;="&amp;DATE(YEAR($A$1),MONTH($A$1),1))</f>
        <v>0</v>
      </c>
      <c r="M84" s="251">
        <f>COUNTIFS(РД[Тип кв],M72,РД[ИМ],$A84,РД[Дом],$C$71,РД[Дата подачи на регистрацию],"&lt;="&amp;$A$1,РД[Дата подачи на регистрацию],"&gt;="&amp;DATE(YEAR($A$1),MONTH($A$1),1))</f>
        <v>0</v>
      </c>
      <c r="N84" s="251">
        <f>COUNTIFS(РД[Тип кв],N72,РД[ИМ],$A84,РД[Дом],$C$71,РД[Дата подачи на регистрацию],"&lt;="&amp;$A$1,РД[Дата подачи на регистрацию],"&gt;="&amp;DATE(YEAR($A$1),MONTH($A$1),1))</f>
        <v>0</v>
      </c>
      <c r="O84" s="251">
        <f>COUNTIFS(РД[Тип кв],O72,РД[ИМ],$A84,РД[Дом],$C$71,РД[Дата подачи на регистрацию],"&lt;="&amp;$A$1,РД[Дата подачи на регистрацию],"&gt;="&amp;DATE(YEAR($A$1),MONTH($A$1),1))</f>
        <v>0</v>
      </c>
      <c r="P84" s="254">
        <f>COUNTIFS(РД[Тип кв],P72,РД[ИМ],$A84,РД[Дом],$C$71,РД[Дата подачи на регистрацию],"&lt;="&amp;$A$1,РД[Дата подачи на регистрацию],"&gt;="&amp;DATE(YEAR($A$1),MONTH($A$1),1))</f>
        <v>0</v>
      </c>
      <c r="T84" s="66"/>
    </row>
    <row r="85" spans="1:21" s="65" customFormat="1">
      <c r="A85" s="168" t="s">
        <v>114</v>
      </c>
      <c r="B85" s="169">
        <f t="shared" ref="B85:P85" si="3">SUM(B82:B84)</f>
        <v>48.75</v>
      </c>
      <c r="C85" s="170">
        <f t="shared" si="3"/>
        <v>5225688</v>
      </c>
      <c r="D85" s="170">
        <f t="shared" si="3"/>
        <v>0</v>
      </c>
      <c r="E85" s="170">
        <f t="shared" si="3"/>
        <v>0</v>
      </c>
      <c r="F85" s="171">
        <f t="shared" si="3"/>
        <v>0</v>
      </c>
      <c r="G85" s="172">
        <f t="shared" si="3"/>
        <v>0</v>
      </c>
      <c r="H85" s="173">
        <f t="shared" si="3"/>
        <v>0</v>
      </c>
      <c r="I85" s="170">
        <f t="shared" si="3"/>
        <v>0</v>
      </c>
      <c r="J85" s="238">
        <f t="shared" si="2"/>
        <v>0</v>
      </c>
      <c r="K85" s="239">
        <f t="shared" si="2"/>
        <v>0</v>
      </c>
      <c r="L85" s="240">
        <f t="shared" si="3"/>
        <v>0</v>
      </c>
      <c r="M85" s="241">
        <f t="shared" si="3"/>
        <v>0</v>
      </c>
      <c r="N85" s="241">
        <f t="shared" si="3"/>
        <v>0</v>
      </c>
      <c r="O85" s="241">
        <f t="shared" si="3"/>
        <v>0</v>
      </c>
      <c r="P85" s="242">
        <f t="shared" si="3"/>
        <v>0</v>
      </c>
      <c r="T85" s="66"/>
    </row>
    <row r="86" spans="1:21" s="65" customFormat="1">
      <c r="A86" s="134"/>
      <c r="B86" s="197"/>
      <c r="C86" s="197"/>
      <c r="D86" s="198"/>
      <c r="E86" s="134"/>
      <c r="F86" s="44"/>
      <c r="G86" s="134"/>
      <c r="H86" s="134"/>
      <c r="I86" s="44"/>
      <c r="J86" s="134"/>
      <c r="K86" s="255"/>
      <c r="L86" s="256"/>
      <c r="M86" s="134"/>
      <c r="N86" s="134"/>
      <c r="O86" s="134"/>
      <c r="P86" s="134"/>
      <c r="Q86" s="134"/>
      <c r="U86" s="66"/>
    </row>
    <row r="87" spans="1:21" s="65" customFormat="1">
      <c r="A87" s="2325" t="s">
        <v>713</v>
      </c>
      <c r="B87" s="2326"/>
      <c r="C87" s="133" t="s">
        <v>13</v>
      </c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T87" s="66"/>
    </row>
    <row r="88" spans="1:21" s="65" customFormat="1">
      <c r="A88" s="135" t="s">
        <v>1</v>
      </c>
      <c r="B88" s="135" t="s">
        <v>100</v>
      </c>
      <c r="C88" s="136" t="s">
        <v>97</v>
      </c>
      <c r="D88" s="137" t="s">
        <v>494</v>
      </c>
      <c r="E88" s="138" t="s">
        <v>495</v>
      </c>
      <c r="F88" s="139" t="s">
        <v>496</v>
      </c>
      <c r="G88" s="140" t="s">
        <v>101</v>
      </c>
      <c r="H88" s="141" t="s">
        <v>98</v>
      </c>
      <c r="I88" s="141" t="s">
        <v>96</v>
      </c>
      <c r="J88" s="141" t="s">
        <v>715</v>
      </c>
      <c r="K88" s="216" t="s">
        <v>716</v>
      </c>
      <c r="L88" s="217">
        <v>0</v>
      </c>
      <c r="M88" s="218">
        <v>1</v>
      </c>
      <c r="N88" s="218">
        <v>2</v>
      </c>
      <c r="O88" s="218">
        <v>3</v>
      </c>
      <c r="P88" s="219" t="s">
        <v>1367</v>
      </c>
      <c r="T88" s="66"/>
    </row>
    <row r="89" spans="1:21" s="65" customFormat="1">
      <c r="A89" s="142" t="s">
        <v>28</v>
      </c>
      <c r="B89" s="143">
        <f>IFERROR(VLOOKUP(A89,'ИПП 1кв25'!$B$23:$N$34,6,0),"")</f>
        <v>150</v>
      </c>
      <c r="C89" s="144">
        <f>IFERROR(VLOOKUP(A89,'ИПП 1кв25'!$B$23:$N$34,7,0),"")</f>
        <v>19348347</v>
      </c>
      <c r="D89" s="199">
        <f>SUMIFS(Ф25[м2],Ф25[МОП],$A89,Ф25[№ дома],$C$87,Ф25[Комнатность],"&lt;&gt;Офис")</f>
        <v>58.2</v>
      </c>
      <c r="E89" s="200">
        <f>SUMIFS(Ф25[Сумма без отделки],Ф25[МОП],$A89,Ф25[№ дома],$C$87,Ф25[Комнатность],"&lt;&gt;Офис")</f>
        <v>7129300</v>
      </c>
      <c r="F89" s="201">
        <f>COUNTIFS(Ф25[МОП],$A89,Ф25[№ дома],$C$87,Ф25[Комнатность],"&lt;&gt;Офис")</f>
        <v>1</v>
      </c>
      <c r="G89" s="202">
        <f>SUMIFS(РД[S],РД[Дом],$C$87,РД[МОП],A89,РД[Дата подачи на регистрацию],"&lt;="&amp;$A$1,РД[Дата подачи на регистрацию],"&gt;="&amp;DATE(YEAR($A$1),MONTH($A$1),1),РД[Состояние],"Продажа")</f>
        <v>58.24</v>
      </c>
      <c r="H89" s="203">
        <f>SUMIFS(РД[Стоимость без отделки итог],РД[Дом],$C$87,РД[МОП],A89,РД[Дата подачи на регистрацию],"&lt;="&amp;$A$1,РД[Дата подачи на регистрацию],"&gt;="&amp;DATE(YEAR($A$1),MONTH($A$1),1),РД[Состояние],"Продажа")</f>
        <v>7129300</v>
      </c>
      <c r="I89" s="226">
        <f>COUNTIFS(РД[Дом],$C$87,РД[МОП],A89,РД[Дата подачи на регистрацию],"&lt;="&amp;$A$1,РД[Дата подачи на регистрацию],"&gt;="&amp;DATE(YEAR($A$1),MONTH($A$1),1),РД[Состояние],"Продажа")</f>
        <v>1</v>
      </c>
      <c r="J89" s="224">
        <f t="shared" ref="J89:K95" si="4">IFERROR(G89/B89,)</f>
        <v>0.3882666666666667</v>
      </c>
      <c r="K89" s="225">
        <f t="shared" si="4"/>
        <v>0.36847075359977782</v>
      </c>
      <c r="L89" s="257">
        <f>COUNTIFS(РД[Тип кв],L$88,РД[МОП],$A89,РД[Дом],$C$87,РД[Дата подачи на регистрацию],"&lt;="&amp;$A$1,РД[Дата подачи на регистрацию],"&gt;="&amp;DATE(YEAR($A$1),MONTH($A$1),1))</f>
        <v>0</v>
      </c>
      <c r="M89" s="226">
        <f>COUNTIFS(РД[Тип кв],M$88,РД[МОП],$A89,РД[Дом],$C$87,РД[Дата подачи на регистрацию],"&lt;="&amp;$A$1,РД[Дата подачи на регистрацию],"&gt;="&amp;DATE(YEAR($A$1),MONTH($A$1),1))</f>
        <v>0</v>
      </c>
      <c r="N89" s="226">
        <f>COUNTIFS(РД[Тип кв],N$88,РД[МОП],$A89,РД[Дом],$C$87,РД[Дата подачи на регистрацию],"&lt;="&amp;$A$1,РД[Дата подачи на регистрацию],"&gt;="&amp;DATE(YEAR($A$1),MONTH($A$1),1))</f>
        <v>1</v>
      </c>
      <c r="O89" s="226">
        <f>COUNTIFS(РД[Тип кв],O$88,РД[МОП],$A89,РД[Дом],$C$87,РД[Дата подачи на регистрацию],"&lt;="&amp;$A$1,РД[Дата подачи на регистрацию],"&gt;="&amp;DATE(YEAR($A$1),MONTH($A$1),1))</f>
        <v>0</v>
      </c>
      <c r="P89" s="227">
        <f>COUNTIFS(РД[Тип кв],P$88,РД[МОП],$A89,РД[Дом],$C$87,РД[Дата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42" t="s">
        <v>8</v>
      </c>
      <c r="B90" s="143">
        <f>IFERROR(VLOOKUP(A90,'ИПП 1кв25'!$B$23:$N$34,6,0),"")</f>
        <v>117</v>
      </c>
      <c r="C90" s="144">
        <f>IFERROR(VLOOKUP(A90,'ИПП 1кв25'!$B$23:$N$34,7,0),"")</f>
        <v>15142185</v>
      </c>
      <c r="D90" s="199">
        <f>SUMIFS(Ф25[м2],Ф25[МОП],$A90,Ф25[№ дома],$C$87,Ф25[Комнатность],"&lt;&gt;Офис")</f>
        <v>146.19999999999999</v>
      </c>
      <c r="E90" s="200">
        <f>SUMIFS(Ф25[Сумма без отделки],Ф25[МОП],$A90,Ф25[№ дома],$C$87,Ф25[Комнатность],"&lt;&gt;Офис")</f>
        <v>18258338</v>
      </c>
      <c r="F90" s="201">
        <f>COUNTIFS(Ф25[МОП],$A90,Ф25[№ дома],$C$87,Ф25[Комнатность],"&lt;&gt;Офис")</f>
        <v>3</v>
      </c>
      <c r="G90" s="202">
        <f>SUMIFS(РД[S],РД[Дом],$C$87,РД[МОП],A90,РД[Дата подачи на регистрацию],"&lt;="&amp;$A$1,РД[Дата подачи на регистрацию],"&gt;="&amp;DATE(YEAR($A$1),MONTH($A$1),1),РД[Состояние],"Продажа")</f>
        <v>146.19999999999999</v>
      </c>
      <c r="H90" s="203">
        <f>SUMIFS(РД[Стоимость без отделки итог],РД[Дом],$C$87,РД[МОП],A90,РД[Дата подачи на регистрацию],"&lt;="&amp;$A$1,РД[Дата подачи на регистрацию],"&gt;="&amp;DATE(YEAR($A$1),MONTH($A$1),1),РД[Состояние],"Продажа")</f>
        <v>18258338</v>
      </c>
      <c r="I90" s="226">
        <f>COUNTIFS(РД[Дом],$C$87,РД[МОП],A90,РД[Дата подачи на регистрацию],"&lt;="&amp;$A$1,РД[Дата подачи на регистрацию],"&gt;="&amp;DATE(YEAR($A$1),MONTH($A$1),1),РД[Состояние],"Продажа")</f>
        <v>3</v>
      </c>
      <c r="J90" s="224">
        <f t="shared" si="4"/>
        <v>1.2495726495726496</v>
      </c>
      <c r="K90" s="225">
        <f t="shared" si="4"/>
        <v>1.2057928231625752</v>
      </c>
      <c r="L90" s="257">
        <f>COUNTIFS(РД[Тип кв],L$88,РД[МОП],$A90,РД[Дом],$C$87,РД[Дата подачи на регистрацию],"&lt;="&amp;$A$1,РД[Дата подачи на регистрацию],"&gt;="&amp;DATE(YEAR($A$1),MONTH($A$1),1))</f>
        <v>1</v>
      </c>
      <c r="M90" s="226">
        <f>COUNTIFS(РД[Тип кв],M$88,РД[МОП],$A90,РД[Дом],$C$87,РД[Дата подачи на регистрацию],"&lt;="&amp;$A$1,РД[Дата подачи на регистрацию],"&gt;="&amp;DATE(YEAR($A$1),MONTH($A$1),1))</f>
        <v>0</v>
      </c>
      <c r="N90" s="226">
        <f>COUNTIFS(РД[Тип кв],N$88,РД[МОП],$A90,РД[Дом],$C$87,РД[Дата подачи на регистрацию],"&lt;="&amp;$A$1,РД[Дата подачи на регистрацию],"&gt;="&amp;DATE(YEAR($A$1),MONTH($A$1),1))</f>
        <v>2</v>
      </c>
      <c r="O90" s="226">
        <f>COUNTIFS(РД[Тип кв],O$88,РД[МОП],$A90,РД[Дом],$C$87,РД[Дата подачи на регистрацию],"&lt;="&amp;$A$1,РД[Дата подачи на регистрацию],"&gt;="&amp;DATE(YEAR($A$1),MONTH($A$1),1))</f>
        <v>0</v>
      </c>
      <c r="P90" s="227">
        <f>COUNTIFS(РД[Тип кв],P$88,РД[МОП],$A90,РД[Дом],$C$87,РД[Дата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0" t="s">
        <v>20</v>
      </c>
      <c r="B91" s="143">
        <f>IFERROR(VLOOKUP(A91,'ИПП 1кв25'!$B$23:$N$34,6,0),"")</f>
        <v>269</v>
      </c>
      <c r="C91" s="144">
        <f>IFERROR(VLOOKUP(A91,'ИПП 1кв25'!$B$23:$N$34,7,0),"")</f>
        <v>34700840</v>
      </c>
      <c r="D91" s="199">
        <f>SUMIFS(Ф25[м2],Ф25[МОП],$A91,Ф25[№ дома],$C$87,Ф25[Комнатность],"&lt;&gt;Офис")</f>
        <v>0</v>
      </c>
      <c r="E91" s="200">
        <f>SUMIFS(Ф25[Сумма без отделки],Ф25[МОП],$A91,Ф25[№ дома],$C$87,Ф25[Комнатность],"&lt;&gt;Офис")</f>
        <v>0</v>
      </c>
      <c r="F91" s="201">
        <f>COUNTIFS(Ф25[МОП],$A91,Ф25[№ дома],$C$87,Ф25[Комнатность],"&lt;&gt;Офис")</f>
        <v>0</v>
      </c>
      <c r="G91" s="202">
        <f>SUMIFS(РД[S],РД[Дом],$C$87,РД[МОП],A91,РД[Дата подачи на регистрацию],"&lt;="&amp;$A$1,РД[Дата подачи на регистрацию],"&gt;="&amp;DATE(YEAR($A$1),MONTH($A$1),1),РД[Состояние],"Продажа")</f>
        <v>0</v>
      </c>
      <c r="H91" s="203">
        <f>SUMIFS(РД[Стоимость без отделки итог],РД[Дом],$C$87,РД[МОП],A91,РД[Дата подачи на регистрацию],"&lt;="&amp;$A$1,РД[Дата подачи на регистрацию],"&gt;="&amp;DATE(YEAR($A$1),MONTH($A$1),1),РД[Состояние],"Продажа")</f>
        <v>0</v>
      </c>
      <c r="I91" s="226">
        <f>COUNTIFS(РД[Дом],$C$87,РД[МОП],A91,РД[Дата подачи на регистрацию],"&lt;="&amp;$A$1,РД[Дата подачи на регистрацию],"&gt;="&amp;DATE(YEAR($A$1),MONTH($A$1),1),РД[Состояние],"Продажа")</f>
        <v>0</v>
      </c>
      <c r="J91" s="224">
        <f t="shared" si="4"/>
        <v>0</v>
      </c>
      <c r="K91" s="225">
        <f t="shared" si="4"/>
        <v>0</v>
      </c>
      <c r="L91" s="257">
        <f>COUNTIFS(РД[Тип кв],L$88,РД[МОП],$A91,РД[Дом],$C$87,РД[Дата подачи на регистрацию],"&lt;="&amp;$A$1,РД[Дата подачи на регистрацию],"&gt;="&amp;DATE(YEAR($A$1),MONTH($A$1),1))</f>
        <v>0</v>
      </c>
      <c r="M91" s="226">
        <f>COUNTIFS(РД[Тип кв],M$88,РД[МОП],$A91,РД[Дом],$C$87,РД[Дата подачи на регистрацию],"&lt;="&amp;$A$1,РД[Дата подачи на регистрацию],"&gt;="&amp;DATE(YEAR($A$1),MONTH($A$1),1))</f>
        <v>0</v>
      </c>
      <c r="N91" s="226">
        <f>COUNTIFS(РД[Тип кв],N$88,РД[МОП],$A91,РД[Дом],$C$87,РД[Дата подачи на регистрацию],"&lt;="&amp;$A$1,РД[Дата подачи на регистрацию],"&gt;="&amp;DATE(YEAR($A$1),MONTH($A$1),1))</f>
        <v>0</v>
      </c>
      <c r="O91" s="226">
        <f>COUNTIFS(РД[Тип кв],O$88,РД[МОП],$A91,РД[Дом],$C$87,РД[Дата подачи на регистрацию],"&lt;="&amp;$A$1,РД[Дата подачи на регистрацию],"&gt;="&amp;DATE(YEAR($A$1),MONTH($A$1),1))</f>
        <v>0</v>
      </c>
      <c r="P91" s="227">
        <f>COUNTIFS(РД[Тип кв],P$88,РД[МОП],$A91,РД[Дом],$C$87,РД[Дата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53" t="s">
        <v>24</v>
      </c>
      <c r="B92" s="143">
        <f>IFERROR(VLOOKUP(A92,'ИПП 1кв25'!$B$23:$N$34,6,0),"")</f>
        <v>269</v>
      </c>
      <c r="C92" s="144">
        <f>IFERROR(VLOOKUP(A92,'ИПП 1кв25'!$B$23:$N$34,7,0),"")</f>
        <v>34700840</v>
      </c>
      <c r="D92" s="199">
        <f>SUMIFS(Ф25[м2],Ф25[МОП],$A92,Ф25[№ дома],$C$87,Ф25[Комнатность],"&lt;&gt;Офис")</f>
        <v>37.729999999999997</v>
      </c>
      <c r="E92" s="200">
        <f>SUMIFS(Ф25[Сумма без отделки],Ф25[МОП],$A92,Ф25[№ дома],$C$87,Ф25[Комнатность],"&lt;&gt;Офис")</f>
        <v>5408228</v>
      </c>
      <c r="F92" s="201">
        <f>COUNTIFS(Ф25[МОП],$A92,Ф25[№ дома],$C$87,Ф25[Комнатность],"&lt;&gt;Офис")</f>
        <v>1</v>
      </c>
      <c r="G92" s="202">
        <f>SUMIFS(РД[S],РД[Дом],$C$87,РД[МОП],A92,РД[Дата подачи на регистрацию],"&lt;="&amp;$A$1,РД[Дата подачи на регистрацию],"&gt;="&amp;DATE(YEAR($A$1),MONTH($A$1),1),РД[Состояние],"Продажа")</f>
        <v>94.31</v>
      </c>
      <c r="H92" s="203">
        <f>SUMIFS(РД[Стоимость без отделки итог],РД[Дом],$C$87,РД[МОП],A92,РД[Дата подачи на регистрацию],"&lt;="&amp;$A$1,РД[Дата подачи на регистрацию],"&gt;="&amp;DATE(YEAR($A$1),MONTH($A$1),1),РД[Состояние],"Продажа")</f>
        <v>12373872</v>
      </c>
      <c r="I92" s="226">
        <f>COUNTIFS(РД[Дом],$C$87,РД[МОП],A92,РД[Дата подачи на регистрацию],"&lt;="&amp;$A$1,РД[Дата подачи на регистрацию],"&gt;="&amp;DATE(YEAR($A$1),MONTH($A$1),1),РД[Состояние],"Продажа")</f>
        <v>2</v>
      </c>
      <c r="J92" s="224">
        <f t="shared" si="4"/>
        <v>0.35059479553903344</v>
      </c>
      <c r="K92" s="225">
        <f t="shared" si="4"/>
        <v>0.35658710279059525</v>
      </c>
      <c r="L92" s="257">
        <f>COUNTIFS(РД[Тип кв],L$88,РД[МОП],$A92,РД[Дом],$C$87,РД[Дата подачи на регистрацию],"&lt;="&amp;$A$1,РД[Дата подачи на регистрацию],"&gt;="&amp;DATE(YEAR($A$1),MONTH($A$1),1))</f>
        <v>0</v>
      </c>
      <c r="M92" s="226">
        <f>COUNTIFS(РД[Тип кв],M$88,РД[МОП],$A92,РД[Дом],$C$87,РД[Дата подачи на регистрацию],"&lt;="&amp;$A$1,РД[Дата подачи на регистрацию],"&gt;="&amp;DATE(YEAR($A$1),MONTH($A$1),1))</f>
        <v>1</v>
      </c>
      <c r="N92" s="226">
        <f>COUNTIFS(РД[Тип кв],N$88,РД[МОП],$A92,РД[Дом],$C$87,РД[Дата подачи на регистрацию],"&lt;="&amp;$A$1,РД[Дата подачи на регистрацию],"&gt;="&amp;DATE(YEAR($A$1),MONTH($A$1),1))</f>
        <v>1</v>
      </c>
      <c r="O92" s="226">
        <f>COUNTIFS(РД[Тип кв],O$88,РД[МОП],$A92,РД[Дом],$C$87,РД[Дата подачи на регистрацию],"&lt;="&amp;$A$1,РД[Дата подачи на регистрацию],"&gt;="&amp;DATE(YEAR($A$1),MONTH($A$1),1))</f>
        <v>0</v>
      </c>
      <c r="P92" s="227">
        <f>COUNTIFS(РД[Тип кв],P$88,РД[МОП],$A92,РД[Дом],$C$87,РД[Дата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53" t="s">
        <v>14</v>
      </c>
      <c r="B93" s="143">
        <f>IFERROR(VLOOKUP(A93,'ИПП 1кв25'!$B$23:$N$34,6,0),"")</f>
        <v>269</v>
      </c>
      <c r="C93" s="144">
        <f>IFERROR(VLOOKUP(A93,'ИПП 1кв25'!$B$23:$N$34,7,0),"")</f>
        <v>34700840</v>
      </c>
      <c r="D93" s="299">
        <f>SUMIFS(Ф25[м2],Ф25[МОП],$A93,Ф25[№ дома],$C$87,Ф25[Комнатность],"&lt;&gt;Офис")</f>
        <v>102.30000000000001</v>
      </c>
      <c r="E93" s="300">
        <f>SUMIFS(Ф25[Сумма без отделки],Ф25[МОП],$A93,Ф25[№ дома],$C$87,Ф25[Комнатность],"&lt;&gt;Офис")</f>
        <v>14355551</v>
      </c>
      <c r="F93" s="301">
        <f>COUNTIFS(Ф25[МОП],$A93,Ф25[№ дома],$C$87,Ф25[Комнатность],"&lt;&gt;Офис")</f>
        <v>3</v>
      </c>
      <c r="G93" s="358">
        <f>SUMIFS(РД[S],РД[Дом],$C$87,РД[МОП],A93,РД[Дата подачи на регистрацию],"&lt;="&amp;$A$1,РД[Дата подачи на регистрацию],"&gt;="&amp;DATE(YEAR($A$1),MONTH($A$1),1),РД[Состояние],"Продажа")</f>
        <v>101.88</v>
      </c>
      <c r="H93" s="359">
        <f>SUMIFS(РД[Стоимость без отделки итог],РД[Дом],$C$87,РД[МОП],A93,РД[Дата подачи на регистрацию],"&lt;="&amp;$A$1,РД[Дата подачи на регистрацию],"&gt;="&amp;DATE(YEAR($A$1),MONTH($A$1),1),РД[Состояние],"Продажа")</f>
        <v>14374946</v>
      </c>
      <c r="I93" s="330">
        <f>COUNTIFS(РД[Дом],$C$87,РД[МОП],A93,РД[Дата подачи на регистрацию],"&lt;="&amp;$A$1,РД[Дата подачи на регистрацию],"&gt;="&amp;DATE(YEAR($A$1),MONTH($A$1),1),РД[Состояние],"Продажа")</f>
        <v>3</v>
      </c>
      <c r="J93" s="360">
        <f t="shared" si="4"/>
        <v>0.37873605947955391</v>
      </c>
      <c r="K93" s="361">
        <f t="shared" si="4"/>
        <v>0.4142535454473148</v>
      </c>
      <c r="L93" s="329">
        <f>COUNTIFS(РД[Тип кв],L$88,РД[МОП],$A93,РД[Дом],$C$87,РД[Дата подачи на регистрацию],"&lt;="&amp;$A$1,РД[Дата подачи на регистрацию],"&gt;="&amp;DATE(YEAR($A$1),MONTH($A$1),1))</f>
        <v>1</v>
      </c>
      <c r="M93" s="330">
        <f>COUNTIFS(РД[Тип кв],M$88,РД[МОП],$A93,РД[Дом],$C$87,РД[Дата подачи на регистрацию],"&lt;="&amp;$A$1,РД[Дата подачи на регистрацию],"&gt;="&amp;DATE(YEAR($A$1),MONTH($A$1),1))</f>
        <v>2</v>
      </c>
      <c r="N93" s="330">
        <f>COUNTIFS(РД[Тип кв],N$88,РД[МОП],$A93,РД[Дом],$C$87,РД[Дата подачи на регистрацию],"&lt;="&amp;$A$1,РД[Дата подачи на регистрацию],"&gt;="&amp;DATE(YEAR($A$1),MONTH($A$1),1))</f>
        <v>0</v>
      </c>
      <c r="O93" s="330">
        <f>COUNTIFS(РД[Тип кв],O$88,РД[МОП],$A93,РД[Дом],$C$87,РД[Дата подачи на регистрацию],"&lt;="&amp;$A$1,РД[Дата подачи на регистрацию],"&gt;="&amp;DATE(YEAR($A$1),MONTH($A$1),1))</f>
        <v>0</v>
      </c>
      <c r="P93" s="331">
        <f>COUNTIFS(РД[Тип кв],P$88,РД[МОП],$A93,РД[Дом],$C$87,РД[Дата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154" t="s">
        <v>29</v>
      </c>
      <c r="B94" s="155"/>
      <c r="C94" s="156"/>
      <c r="D94" s="157">
        <f>SUMIFS(Ф25[м2],Ф25[МОП],$A94,Ф25[№ дома],$C$87,Ф25[Комнатность],"&lt;&gt;Офис")</f>
        <v>0</v>
      </c>
      <c r="E94" s="156">
        <f>SUMIFS(Ф25[Сумма без отделки],Ф25[МОП],$A94,Ф25[№ дома],$C$87,Ф25[Комнатность],"&lt;&gt;Офис")</f>
        <v>0</v>
      </c>
      <c r="F94" s="158">
        <f>COUNTIFS(Ф25[МОП],$A94,Ф25[№ дома],$C$87,Ф25[Комнатность],"&lt;&gt;Офис")</f>
        <v>0</v>
      </c>
      <c r="G94" s="159">
        <f>SUMIFS(РД[S],РД[Дом],$C$87,РД[МОП],A94,РД[Дата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H94" s="160">
        <f>SUMIFS(РД[Стоимость без отделки итог],РД[Дом],$C$87,РД[МОП],A94,РД[Дата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I94" s="228">
        <f>COUNTIFS(РД[Дом],$C$87,РД[МОП],A94,РД[Дата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J94" s="229">
        <f t="shared" si="4"/>
        <v>0</v>
      </c>
      <c r="K94" s="230">
        <f t="shared" si="4"/>
        <v>0</v>
      </c>
      <c r="L94" s="159">
        <f>COUNTIFS(РД[Тип кв],L$88,РД[МОП],$A94,РД[Дом],$C$87,РД[Дата подачи на регистрацию],"&lt;="&amp;$A$1,РД[Дата подачи на регистрацию],"&gt;="&amp;DATE(YEAR($A$1),MONTH($A$1),1))</f>
        <v>0</v>
      </c>
      <c r="M94" s="228">
        <f>COUNTIFS(РД[Тип кв],M$88,РД[МОП],$A94,РД[Дом],$C$87,РД[Дата подачи на регистрацию],"&lt;="&amp;$A$1,РД[Дата подачи на регистрацию],"&gt;="&amp;DATE(YEAR($A$1),MONTH($A$1),1))</f>
        <v>0</v>
      </c>
      <c r="N94" s="228">
        <f>COUNTIFS(РД[Тип кв],N$88,РД[МОП],$A94,РД[Дом],$C$87,РД[Дата подачи на регистрацию],"&lt;="&amp;$A$1,РД[Дата подачи на регистрацию],"&gt;="&amp;DATE(YEAR($A$1),MONTH($A$1),1))</f>
        <v>0</v>
      </c>
      <c r="O94" s="228">
        <f>COUNTIFS(РД[Тип кв],O$88,РД[МОП],$A94,РД[Дом],$C$87,РД[Дата подачи на регистрацию],"&lt;="&amp;$A$1,РД[Дата подачи на регистрацию],"&gt;="&amp;DATE(YEAR($A$1),MONTH($A$1),1))</f>
        <v>0</v>
      </c>
      <c r="P94" s="231">
        <f>COUNTIFS(РД[Тип кв],P$88,РД[МОП],$A94,РД[Дом],$C$87,РД[Дата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61" t="s">
        <v>1919</v>
      </c>
      <c r="B95" s="162"/>
      <c r="C95" s="163"/>
      <c r="D95" s="164">
        <f>SUMIFS(Ф25[м2],Ф25[МОП],$A95,Ф25[№ дома],$C$87,Ф25[Комнатность],"&lt;&gt;Офис")</f>
        <v>90.97</v>
      </c>
      <c r="E95" s="163">
        <f>SUMIFS(Ф25[Сумма без отделки],Ф25[МОП],$A95,Ф25[№ дома],$C$87,Ф25[Комнатность],"&lt;&gt;Офис")</f>
        <v>12521604</v>
      </c>
      <c r="F95" s="165">
        <f>COUNTIFS(Ф25[МОП],$A95,Ф25[№ дома],$C$87,Ф25[Комнатность],"&lt;&gt;Офис")</f>
        <v>2</v>
      </c>
      <c r="G95" s="166">
        <f>SUMIFS(РД[S],РД[Дом],$C$87,РД[МОП],A95,РД[Дата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H95" s="167">
        <f>SUMIFS(РД[Стоимость без отделки итог],РД[Дом],$C$87,РД[МОП],A95,РД[Дата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I95" s="232">
        <f>COUNTIFS(РД[Дом],$C$87,РД[МОП],A95,РД[Дата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J95" s="233">
        <f t="shared" si="4"/>
        <v>0</v>
      </c>
      <c r="K95" s="234">
        <f t="shared" si="4"/>
        <v>0</v>
      </c>
      <c r="L95" s="235">
        <f>COUNTIFS(РД[Тип кв],L$88,РД[МОП],$A95,РД[Дом],$C$87,РД[Дата подачи на регистрацию],"&lt;="&amp;$A$1,РД[Дата подачи на регистрацию],"&gt;="&amp;DATE(YEAR($A$1),MONTH($A$1),1))</f>
        <v>0</v>
      </c>
      <c r="M95" s="236">
        <f>COUNTIFS(РД[Тип кв],M$88,РД[МОП],$A95,РД[Дом],$C$87,РД[Дата подачи на регистрацию],"&lt;="&amp;$A$1,РД[Дата подачи на регистрацию],"&gt;="&amp;DATE(YEAR($A$1),MONTH($A$1),1))</f>
        <v>0</v>
      </c>
      <c r="N95" s="236">
        <f>COUNTIFS(РД[Тип кв],N$88,РД[МОП],$A95,РД[Дом],$C$87,РД[Дата подачи на регистрацию],"&lt;="&amp;$A$1,РД[Дата подачи на регистрацию],"&gt;="&amp;DATE(YEAR($A$1),MONTH($A$1),1))</f>
        <v>0</v>
      </c>
      <c r="O95" s="236">
        <f>COUNTIFS(РД[Тип кв],O$88,РД[МОП],$A95,РД[Дом],$C$87,РД[Дата подачи на регистрацию],"&lt;="&amp;$A$1,РД[Дата подачи на регистрацию],"&gt;="&amp;DATE(YEAR($A$1),MONTH($A$1),1))</f>
        <v>0</v>
      </c>
      <c r="P95" s="237">
        <f>COUNTIFS(РД[Тип кв],P$88,РД[МОП],$A95,РД[Дом],$C$87,РД[Дата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68" t="s">
        <v>114</v>
      </c>
      <c r="B96" s="169">
        <f t="shared" ref="B96:I96" si="5">SUM(B89:B95)</f>
        <v>1074</v>
      </c>
      <c r="C96" s="170">
        <f t="shared" si="5"/>
        <v>138593052</v>
      </c>
      <c r="D96" s="170">
        <f t="shared" si="5"/>
        <v>435.4</v>
      </c>
      <c r="E96" s="170">
        <f t="shared" si="5"/>
        <v>57673021</v>
      </c>
      <c r="F96" s="171">
        <f t="shared" si="5"/>
        <v>10</v>
      </c>
      <c r="G96" s="172">
        <f t="shared" si="5"/>
        <v>400.63</v>
      </c>
      <c r="H96" s="173">
        <f t="shared" si="5"/>
        <v>52136456</v>
      </c>
      <c r="I96" s="170">
        <f t="shared" si="5"/>
        <v>9</v>
      </c>
      <c r="J96" s="238">
        <f t="shared" ref="J96:K96" si="6">IFERROR(G96/B96,"")</f>
        <v>0.37302607076350092</v>
      </c>
      <c r="K96" s="239">
        <f t="shared" si="6"/>
        <v>0.37618376424815292</v>
      </c>
      <c r="L96" s="240">
        <f>SUM(L89:L95)</f>
        <v>2</v>
      </c>
      <c r="M96" s="241">
        <f>SUM(M89:M95)</f>
        <v>3</v>
      </c>
      <c r="N96" s="241">
        <f>SUM(N89:N95)</f>
        <v>4</v>
      </c>
      <c r="O96" s="241">
        <f>SUM(O89:O95)</f>
        <v>0</v>
      </c>
      <c r="P96" s="242">
        <f>SUM(P89:P95)</f>
        <v>0</v>
      </c>
      <c r="T96" s="66"/>
    </row>
    <row r="97" spans="1:21" s="65" customFormat="1">
      <c r="A97" s="135" t="s">
        <v>115</v>
      </c>
      <c r="B97" s="135" t="s">
        <v>100</v>
      </c>
      <c r="C97" s="136" t="s">
        <v>97</v>
      </c>
      <c r="D97" s="174" t="s">
        <v>494</v>
      </c>
      <c r="E97" s="175" t="s">
        <v>495</v>
      </c>
      <c r="F97" s="176" t="s">
        <v>496</v>
      </c>
      <c r="G97" s="140" t="s">
        <v>101</v>
      </c>
      <c r="H97" s="141" t="s">
        <v>98</v>
      </c>
      <c r="I97" s="141" t="s">
        <v>96</v>
      </c>
      <c r="J97" s="141" t="s">
        <v>715</v>
      </c>
      <c r="K97" s="216" t="s">
        <v>716</v>
      </c>
      <c r="L97" s="217">
        <v>0</v>
      </c>
      <c r="M97" s="218">
        <v>1</v>
      </c>
      <c r="N97" s="218">
        <v>2</v>
      </c>
      <c r="O97" s="218">
        <v>3</v>
      </c>
      <c r="P97" s="219" t="s">
        <v>1367</v>
      </c>
      <c r="T97" s="66"/>
    </row>
    <row r="98" spans="1:21" s="65" customFormat="1">
      <c r="A98" s="177" t="s">
        <v>22</v>
      </c>
      <c r="B98" s="178">
        <f>IFERROR(VLOOKUP(A98,'ИПП 1кв25'!$B$23:$N$34,6,0),"")</f>
        <v>313.43265306122447</v>
      </c>
      <c r="C98" s="179">
        <f>IFERROR(VLOOKUP(A98,'ИПП 1кв25'!$B$23:$N$34,7,0),"")</f>
        <v>40446543.746938772</v>
      </c>
      <c r="D98" s="180">
        <f>SUMIFS(Ф25[м2],Ф25[ИМ],A98,Ф25[№ дома],$C$87,Ф25[Комнатность],"&lt;&gt;Офис")</f>
        <v>251.42</v>
      </c>
      <c r="E98" s="181">
        <f>SUMIFS(Ф25[Сумма без отделки],Ф25[ИМ],$A98,Ф25[№ дома],$C$87,Ф25[Комнатность],"&lt;&gt;Офис")</f>
        <v>33051352</v>
      </c>
      <c r="F98" s="204">
        <f>COUNTIFS(Ф25[ИМ],$A98,Ф25[№ дома],$C$87,Ф25[Комнатность],"&lt;&gt;Офис")</f>
        <v>6</v>
      </c>
      <c r="G98" s="183">
        <f>SUMIFS(РД[S],РД[Дом],$C$87,РД[ИМ],A98,РД[Дата подачи на регистрацию],"&lt;="&amp;$A$1,РД[Дата подачи на регистрацию],"&gt;="&amp;DATE(YEAR($A$1),MONTH($A$1),1),РД[Состояние],"Продажа")</f>
        <v>251.42000000000002</v>
      </c>
      <c r="H98" s="184">
        <f>SUMIFS(РД[Стоимость без отделки итог],РД[Дом],$C$87,РД[ИМ],A98,РД[Дата подачи на регистрацию],"&lt;="&amp;$A$1,РД[Дата подачи на регистрацию],"&gt;="&amp;DATE(YEAR($A$1),MONTH($A$1),1),РД[Состояние],"Продажа")</f>
        <v>33051352</v>
      </c>
      <c r="I98" s="243">
        <f>COUNTIFS(РД[Дом],$C$87,РД[ИМ],A98,РД[Дата подачи на регистрацию],"&lt;="&amp;$A$1,РД[Дата подачи на регистрацию],"&gt;="&amp;DATE(YEAR($A$1),MONTH($A$1),1),РД[Состояние],"Продажа")</f>
        <v>6</v>
      </c>
      <c r="J98" s="244">
        <f t="shared" ref="J98:K100" si="7">IFERROR(G98/B98,"")</f>
        <v>0.80214999153546651</v>
      </c>
      <c r="K98" s="258">
        <f t="shared" si="7"/>
        <v>0.81716134280327768</v>
      </c>
      <c r="L98" s="183">
        <f>COUNTIFS(РД[Тип кв],L88,РД[ИМ],$A98,РД[Дом],$C$87,РД[Дата подачи на регистрацию],"&lt;="&amp;$A$1,РД[Дата подачи на регистрацию],"&gt;="&amp;DATE(YEAR($A$1),MONTH($A$1),1))</f>
        <v>2</v>
      </c>
      <c r="M98" s="243">
        <f>COUNTIFS(РД[Тип кв],M88,РД[ИМ],$A98,РД[Дом],$C$87,РД[Дата подачи на регистрацию],"&lt;="&amp;$A$1,РД[Дата подачи на регистрацию],"&gt;="&amp;DATE(YEAR($A$1),MONTH($A$1),1))</f>
        <v>2</v>
      </c>
      <c r="N98" s="243">
        <f>COUNTIFS(РД[Тип кв],N88,РД[ИМ],$A98,РД[Дом],$C$87,РД[Дата подачи на регистрацию],"&lt;="&amp;$A$1,РД[Дата подачи на регистрацию],"&gt;="&amp;DATE(YEAR($A$1),MONTH($A$1),1))</f>
        <v>2</v>
      </c>
      <c r="O98" s="243">
        <f>COUNTIFS(РД[Тип кв],O88,РД[ИМ],$A98,РД[Дом],$C$87,РД[Дата подачи на регистрацию],"&lt;="&amp;$A$1,РД[Дата подачи на регистрацию],"&gt;="&amp;DATE(YEAR($A$1),MONTH($A$1),1))</f>
        <v>0</v>
      </c>
      <c r="P98" s="246">
        <f>COUNTIFS(РД[Тип кв],P88,РД[ИМ],$A98,РД[Дом],$C$87,РД[Дата подачи на регистрацию],"&lt;="&amp;$A$1,РД[Дата подачи на регистрацию],"&gt;="&amp;DATE(YEAR($A$1),MONTH($A$1),1))</f>
        <v>0</v>
      </c>
      <c r="T98" s="66"/>
    </row>
    <row r="99" spans="1:21" s="65" customFormat="1">
      <c r="A99" s="150" t="s">
        <v>26</v>
      </c>
      <c r="B99" s="143">
        <f>IFERROR(VLOOKUP(A99,'ИПП 1кв25'!$B$23:$N$34,6,0),"")</f>
        <v>384.66734693877549</v>
      </c>
      <c r="C99" s="144">
        <f>IFERROR(VLOOKUP(A99,'ИПП 1кв25'!$B$23:$N$34,7,0),"")</f>
        <v>49638940.053061217</v>
      </c>
      <c r="D99" s="205">
        <f>SUMIFS(Ф25[м2],Ф25[ИМ],A99,Ф25[№ дома],$C$87,Ф25[Комнатность],"&lt;&gt;Офис")</f>
        <v>149.17000000000002</v>
      </c>
      <c r="E99" s="206">
        <f>SUMIFS(Ф25[Сумма без отделки],Ф25[ИМ],$A99,Ф25[№ дома],$C$87,Ф25[Комнатность],"&lt;&gt;Офис")</f>
        <v>19650904</v>
      </c>
      <c r="F99" s="207">
        <f>COUNTIFS(Ф25[ИМ],$A99,Ф25[№ дома],$C$87,Ф25[Комнатность],"&lt;&gt;Офис")</f>
        <v>3</v>
      </c>
      <c r="G99" s="187">
        <f>SUMIFS(РД[S],РД[Дом],$C$87,РД[ИМ],A99,РД[Дата подачи на регистрацию],"&lt;="&amp;$A$1,РД[Дата подачи на регистрацию],"&gt;="&amp;DATE(YEAR($A$1),MONTH($A$1),1),РД[Состояние],"Продажа")</f>
        <v>149.21</v>
      </c>
      <c r="H99" s="188">
        <f>SUMIFS(РД[Стоимость без отделки итог],РД[Дом],$C$87,РД[ИМ],A99,РД[Дата подачи на регистрацию],"&lt;="&amp;$A$1,РД[Дата подачи на регистрацию],"&gt;="&amp;DATE(YEAR($A$1),MONTH($A$1),1),РД[Состояние],"Продажа")</f>
        <v>19085104</v>
      </c>
      <c r="I99" s="247">
        <f>COUNTIFS(РД[Дом],$C$87,РД[ИМ],A99,РД[Дата подачи на регистрацию],"&lt;="&amp;$A$1,РД[Дата подачи на регистрацию],"&gt;="&amp;DATE(YEAR($A$1),MONTH($A$1),1),РД[Состояние],"Продажа")</f>
        <v>3</v>
      </c>
      <c r="J99" s="248">
        <f t="shared" si="7"/>
        <v>0.38789359478372515</v>
      </c>
      <c r="K99" s="259">
        <f t="shared" si="7"/>
        <v>0.38447847555969372</v>
      </c>
      <c r="L99" s="187">
        <f>COUNTIFS(РД[Тип кв],L$88,РД[ИМ],$A99,РД[Дом],$C$87,РД[Дата подачи на регистрацию],"&lt;="&amp;$A$1,РД[Дата подачи на регистрацию],"&gt;="&amp;DATE(YEAR($A$1),MONTH($A$1),1))</f>
        <v>0</v>
      </c>
      <c r="M99" s="247">
        <f>COUNTIFS(РД[Тип кв],M$88,РД[ИМ],$A99,РД[Дом],$C$87,РД[Дата подачи на регистрацию],"&lt;="&amp;$A$1,РД[Дата подачи на регистрацию],"&gt;="&amp;DATE(YEAR($A$1),MONTH($A$1),1))</f>
        <v>1</v>
      </c>
      <c r="N99" s="247">
        <f>COUNTIFS(РД[Тип кв],N$88,РД[ИМ],$A99,РД[Дом],$C$87,РД[Дата подачи на регистрацию],"&lt;="&amp;$A$1,РД[Дата подачи на регистрацию],"&gt;="&amp;DATE(YEAR($A$1),MONTH($A$1),1))</f>
        <v>2</v>
      </c>
      <c r="O99" s="247">
        <f>COUNTIFS(РД[Тип кв],O$88,РД[ИМ],$A99,РД[Дом],$C$87,РД[Дата подачи на регистрацию],"&lt;="&amp;$A$1,РД[Дата подачи на регистрацию],"&gt;="&amp;DATE(YEAR($A$1),MONTH($A$1),1))</f>
        <v>0</v>
      </c>
      <c r="P99" s="250">
        <f>COUNTIFS(РД[Тип кв],P$88,РД[ИМ],$A99,РД[Дом],$C$87,РД[Дата подачи на регистрацию],"&lt;="&amp;$A$1,РД[Дата подачи на регистрацию],"&gt;="&amp;DATE(YEAR($A$1),MONTH($A$1),1))</f>
        <v>0</v>
      </c>
      <c r="T99" s="66"/>
    </row>
    <row r="100" spans="1:21" s="65" customFormat="1">
      <c r="A100" s="189" t="s">
        <v>3</v>
      </c>
      <c r="B100" s="190">
        <f>IFERROR(VLOOKUP(A100,'ИПП 1кв25'!$B$23:$N$34,6,0),"")</f>
        <v>0</v>
      </c>
      <c r="C100" s="191">
        <f>IFERROR(VLOOKUP(A100,'ИПП 1кв25'!$B$23:$N$34,7,0),"")</f>
        <v>0</v>
      </c>
      <c r="D100" s="208">
        <f>SUMIFS(Ф25[м2],Ф25[ИМ],A100,Ф25[№ дома],$C$87,Ф25[Комнатность],"&lt;&gt;Офис")</f>
        <v>0</v>
      </c>
      <c r="E100" s="209">
        <f>SUMIFS(Ф25[Сумма без отделки],Ф25[ИМ],$A100,Ф25[№ дома],$C$87,Ф25[Комнатность],"&lt;&gt;Офис")</f>
        <v>0</v>
      </c>
      <c r="F100" s="210">
        <f>COUNTIFS(Ф25[ИМ],$A100,Ф25[№ дома],$C$87,Ф25[Комнатность],"&lt;&gt;Офис")</f>
        <v>0</v>
      </c>
      <c r="G100" s="195">
        <f>SUMIFS(РД[S],РД[Дом],$C$87,РД[ИМ],A100,РД[Дата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H100" s="196">
        <f>SUMIFS(РД[Стоимость без отделки итог],РД[Дом],$C$87,РД[ИМ],A100,РД[Дата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I100" s="251">
        <f>COUNTIFS(РД[Дом],$C$87,РД[ИМ],A100,РД[Дата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J100" s="252" t="str">
        <f t="shared" si="7"/>
        <v/>
      </c>
      <c r="K100" s="260" t="str">
        <f t="shared" si="7"/>
        <v/>
      </c>
      <c r="L100" s="195">
        <f>COUNTIFS(РД[Тип кв],L$88,РД[ИМ],$A100,РД[Дом],$C$87,РД[Дата подачи на регистрацию],"&lt;="&amp;$A$1,РД[Дата подачи на регистрацию],"&gt;="&amp;DATE(YEAR($A$1),MONTH($A$1),1))</f>
        <v>0</v>
      </c>
      <c r="M100" s="251">
        <f>COUNTIFS(РД[Тип кв],M$88,РД[ИМ],$A100,РД[Дом],$C$87,РД[Дата подачи на регистрацию],"&lt;="&amp;$A$1,РД[Дата подачи на регистрацию],"&gt;="&amp;DATE(YEAR($A$1),MONTH($A$1),1))</f>
        <v>0</v>
      </c>
      <c r="N100" s="251">
        <f>COUNTIFS(РД[Тип кв],N$88,РД[ИМ],$A100,РД[Дом],$C$87,РД[Дата подачи на регистрацию],"&lt;="&amp;$A$1,РД[Дата подачи на регистрацию],"&gt;="&amp;DATE(YEAR($A$1),MONTH($A$1),1))</f>
        <v>0</v>
      </c>
      <c r="O100" s="251">
        <f>COUNTIFS(РД[Тип кв],O$88,РД[ИМ],$A100,РД[Дом],$C$87,РД[Дата подачи на регистрацию],"&lt;="&amp;$A$1,РД[Дата подачи на регистрацию],"&gt;="&amp;DATE(YEAR($A$1),MONTH($A$1),1))</f>
        <v>0</v>
      </c>
      <c r="P100" s="254">
        <f>COUNTIFS(РД[Тип кв],P$88,РД[ИМ],$A100,РД[Дом],$C$87,РД[Дата подачи на регистрацию],"&lt;="&amp;$A$1,РД[Дата подачи на регистрацию],"&gt;="&amp;DATE(YEAR($A$1),MONTH($A$1),1))</f>
        <v>0</v>
      </c>
      <c r="Q100" s="86"/>
      <c r="R100" s="86"/>
      <c r="S100" s="86"/>
      <c r="T100" s="66"/>
    </row>
    <row r="101" spans="1:21" s="65" customFormat="1">
      <c r="A101" s="168" t="s">
        <v>114</v>
      </c>
      <c r="B101" s="169">
        <f t="shared" ref="B101:I101" si="8">SUM(B98:B100)</f>
        <v>698.09999999999991</v>
      </c>
      <c r="C101" s="170">
        <f t="shared" si="8"/>
        <v>90085483.799999982</v>
      </c>
      <c r="D101" s="173">
        <f t="shared" si="8"/>
        <v>400.59000000000003</v>
      </c>
      <c r="E101" s="173">
        <f t="shared" si="8"/>
        <v>52702256</v>
      </c>
      <c r="F101" s="171">
        <f t="shared" si="8"/>
        <v>9</v>
      </c>
      <c r="G101" s="172">
        <f t="shared" si="8"/>
        <v>400.63</v>
      </c>
      <c r="H101" s="173">
        <f t="shared" si="8"/>
        <v>52136456</v>
      </c>
      <c r="I101" s="170">
        <f t="shared" si="8"/>
        <v>9</v>
      </c>
      <c r="J101" s="238">
        <f>IFERROR(G101/B101,)</f>
        <v>0.57388626271307841</v>
      </c>
      <c r="K101" s="239">
        <f>IFERROR(H101/C101,)</f>
        <v>0.57874425268946617</v>
      </c>
      <c r="L101" s="240">
        <f t="shared" ref="L101:P101" si="9">SUM(L98:L100)</f>
        <v>2</v>
      </c>
      <c r="M101" s="241">
        <f t="shared" si="9"/>
        <v>3</v>
      </c>
      <c r="N101" s="241">
        <f t="shared" si="9"/>
        <v>4</v>
      </c>
      <c r="O101" s="241">
        <f t="shared" si="9"/>
        <v>0</v>
      </c>
      <c r="P101" s="242">
        <f t="shared" si="9"/>
        <v>0</v>
      </c>
      <c r="Q101" s="86"/>
      <c r="R101" s="86"/>
      <c r="S101" s="86"/>
      <c r="T101" s="66"/>
    </row>
    <row r="102" spans="1:21" s="65" customFormat="1">
      <c r="A102" s="134"/>
      <c r="B102" s="211"/>
      <c r="C102" s="211"/>
      <c r="D102" s="212"/>
      <c r="E102" s="134"/>
      <c r="F102" s="134"/>
      <c r="G102" s="134"/>
      <c r="H102" s="134"/>
      <c r="I102" s="134"/>
      <c r="J102" s="134"/>
      <c r="K102" s="134"/>
      <c r="L102" s="261"/>
      <c r="M102" s="134"/>
      <c r="N102" s="134"/>
      <c r="O102" s="134"/>
      <c r="P102" s="262"/>
      <c r="Q102" s="134"/>
      <c r="U102" s="66"/>
    </row>
    <row r="103" spans="1:21" s="65" customFormat="1">
      <c r="A103" s="2325" t="s">
        <v>713</v>
      </c>
      <c r="B103" s="2326"/>
      <c r="C103" s="133" t="s">
        <v>19</v>
      </c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263"/>
      <c r="T103" s="66"/>
    </row>
    <row r="104" spans="1:21" s="65" customFormat="1">
      <c r="A104" s="135" t="s">
        <v>1</v>
      </c>
      <c r="B104" s="135" t="s">
        <v>100</v>
      </c>
      <c r="C104" s="136" t="s">
        <v>97</v>
      </c>
      <c r="D104" s="137" t="s">
        <v>494</v>
      </c>
      <c r="E104" s="138" t="s">
        <v>495</v>
      </c>
      <c r="F104" s="139" t="s">
        <v>496</v>
      </c>
      <c r="G104" s="140" t="s">
        <v>101</v>
      </c>
      <c r="H104" s="141" t="s">
        <v>98</v>
      </c>
      <c r="I104" s="141" t="s">
        <v>96</v>
      </c>
      <c r="J104" s="141" t="s">
        <v>715</v>
      </c>
      <c r="K104" s="216" t="s">
        <v>716</v>
      </c>
      <c r="L104" s="217">
        <v>0</v>
      </c>
      <c r="M104" s="218">
        <v>1</v>
      </c>
      <c r="N104" s="218">
        <v>2</v>
      </c>
      <c r="O104" s="218">
        <v>3</v>
      </c>
      <c r="P104" s="219" t="s">
        <v>1367</v>
      </c>
      <c r="Q104" s="134"/>
      <c r="U104" s="66"/>
    </row>
    <row r="105" spans="1:21" s="65" customFormat="1">
      <c r="A105" s="142" t="s">
        <v>28</v>
      </c>
      <c r="B105" s="143">
        <f>IFERROR(VLOOKUP(A105,'ИПП 1кв25'!$B$23:$N$34,8,0),"")</f>
        <v>19</v>
      </c>
      <c r="C105" s="144">
        <f>IFERROR(VLOOKUP(A105,'ИПП 1кв25'!$B$23:$N$34,9,0),"")</f>
        <v>2342431</v>
      </c>
      <c r="D105" s="199">
        <f>SUMIFS(Ф25[м2],Ф25[МОП],$A105,Ф25[№ дома],$C$103,Ф25[Комнатность],"&lt;&gt;Офис")</f>
        <v>0</v>
      </c>
      <c r="E105" s="200">
        <f>SUMIFS(Ф25[Сумма без отделки],Ф25[МОП],$A105,Ф25[№ дома],$C$103,Ф25[Комнатность],"&lt;&gt;Офис")</f>
        <v>0</v>
      </c>
      <c r="F105" s="201">
        <f>COUNTIFS(Ф25[МОП],$A105,Ф25[№ дома],$C$103,Ф25[Комнатность],"&lt;&gt;Офис")</f>
        <v>0</v>
      </c>
      <c r="G105" s="202">
        <f>SUMIFS(РД[S],РД[Дом],$C$103,РД[МОП],A105,РД[Дата подачи на регистрацию],"&lt;="&amp;$A$1,РД[Дата подачи на регистрацию],"&gt;="&amp;DATE(YEAR($A$1),MONTH($A$1),1),РД[Состояние],"Продажа")</f>
        <v>0</v>
      </c>
      <c r="H105" s="203">
        <f>SUMIFS(РД[Стоимость без отделки итог],РД[Дом],$C$103,РД[МОП],A105,РД[Дата подачи на регистрацию],"&lt;="&amp;$A$1,РД[Дата подачи на регистрацию],"&gt;="&amp;DATE(YEAR($A$1),MONTH($A$1),1),РД[Состояние],"Продажа")</f>
        <v>0</v>
      </c>
      <c r="I105" s="226">
        <f>COUNTIFS(РД[Дом],$C$103,РД[МОП],A105,РД[Дата подачи на регистрацию],"&lt;="&amp;$A$1,РД[Дата подачи на регистрацию],"&gt;="&amp;DATE(YEAR($A$1),MONTH($A$1),1),РД[Состояние],"Продажа")</f>
        <v>0</v>
      </c>
      <c r="J105" s="224">
        <f t="shared" ref="J105:K111" si="10">IFERROR(G105/B105,)</f>
        <v>0</v>
      </c>
      <c r="K105" s="225">
        <f t="shared" si="10"/>
        <v>0</v>
      </c>
      <c r="L105" s="257">
        <f>COUNTIFS(РД[Тип кв],L$88,РД[МОП],$A105,РД[Дом],$C$103,РД[Дата подачи на регистрацию],"&lt;="&amp;$A$1,РД[Дата подачи на регистрацию],"&gt;="&amp;DATE(YEAR($A$1),MONTH($A$1),1))</f>
        <v>0</v>
      </c>
      <c r="M105" s="226">
        <f>COUNTIFS(РД[Тип кв],M$88,РД[МОП],$A105,РД[Дом],$C$103,РД[Дата подачи на регистрацию],"&lt;="&amp;$A$1,РД[Дата подачи на регистрацию],"&gt;="&amp;DATE(YEAR($A$1),MONTH($A$1),1))</f>
        <v>0</v>
      </c>
      <c r="N105" s="226">
        <f>COUNTIFS(РД[Тип кв],N$88,РД[МОП],$A105,РД[Дом],$C$103,РД[Дата подачи на регистрацию],"&lt;="&amp;$A$1,РД[Дата подачи на регистрацию],"&gt;="&amp;DATE(YEAR($A$1),MONTH($A$1),1))</f>
        <v>0</v>
      </c>
      <c r="O105" s="226">
        <f>COUNTIFS(РД[Тип кв],O$88,РД[МОП],$A105,РД[Дом],$C$103,РД[Дата подачи на регистрацию],"&lt;="&amp;$A$1,РД[Дата подачи на регистрацию],"&gt;="&amp;DATE(YEAR($A$1),MONTH($A$1),1))</f>
        <v>0</v>
      </c>
      <c r="P105" s="227">
        <f>COUNTIFS(РД[Тип кв],P$88,РД[МОП],$A105,РД[Дом],$C$103,РД[Дата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42" t="s">
        <v>8</v>
      </c>
      <c r="B106" s="143">
        <f>IFERROR(VLOOKUP(A106,'ИПП 1кв25'!$B$23:$N$34,8,0),"")</f>
        <v>15</v>
      </c>
      <c r="C106" s="144">
        <f>IFERROR(VLOOKUP(A106,'ИПП 1кв25'!$B$23:$N$34,9,0),"")</f>
        <v>1833207</v>
      </c>
      <c r="D106" s="199">
        <f>SUMIFS(Ф25[м2],Ф25[МОП],$A106,Ф25[№ дома],$C$103,Ф25[Комнатность],"&lt;&gt;Офис")</f>
        <v>61.41</v>
      </c>
      <c r="E106" s="200">
        <f>SUMIFS(Ф25[Сумма без отделки],Ф25[МОП],$A106,Ф25[№ дома],$C$103,Ф25[Комнатность],"&lt;&gt;Офис")</f>
        <v>7983300</v>
      </c>
      <c r="F106" s="201">
        <f>COUNTIFS(Ф25[МОП],$A106,Ф25[№ дома],$C$103,Ф25[Комнатность],"&lt;&gt;Офис")</f>
        <v>1</v>
      </c>
      <c r="G106" s="202">
        <f>SUMIFS(РД[S],РД[Дом],$C$103,РД[МОП],A106,РД[Дата подачи на регистрацию],"&lt;="&amp;$A$1,РД[Дата подачи на регистрацию],"&gt;="&amp;DATE(YEAR($A$1),MONTH($A$1),1),РД[Состояние],"Продажа")</f>
        <v>61.41</v>
      </c>
      <c r="H106" s="203">
        <f>SUMIFS(РД[Стоимость без отделки итог],РД[Дом],$C$103,РД[МОП],A106,РД[Дата подачи на регистрацию],"&lt;="&amp;$A$1,РД[Дата подачи на регистрацию],"&gt;="&amp;DATE(YEAR($A$1),MONTH($A$1),1),РД[Состояние],"Продажа")</f>
        <v>7983300</v>
      </c>
      <c r="I106" s="226">
        <f>COUNTIFS(РД[Дом],$C$103,РД[МОП],A106,РД[Дата подачи на регистрацию],"&lt;="&amp;$A$1,РД[Дата подачи на регистрацию],"&gt;="&amp;DATE(YEAR($A$1),MONTH($A$1),1),РД[Состояние],"Продажа")</f>
        <v>1</v>
      </c>
      <c r="J106" s="224">
        <f t="shared" si="10"/>
        <v>4.0939999999999994</v>
      </c>
      <c r="K106" s="225">
        <f t="shared" si="10"/>
        <v>4.3548273599217113</v>
      </c>
      <c r="L106" s="257">
        <f>COUNTIFS(РД[Тип кв],L$88,РД[МОП],$A106,РД[Дом],$C$103,РД[Дата подачи на регистрацию],"&lt;="&amp;$A$1,РД[Дата подачи на регистрацию],"&gt;="&amp;DATE(YEAR($A$1),MONTH($A$1),1))</f>
        <v>0</v>
      </c>
      <c r="M106" s="226">
        <f>COUNTIFS(РД[Тип кв],M$88,РД[МОП],$A106,РД[Дом],$C$103,РД[Дата подачи на регистрацию],"&lt;="&amp;$A$1,РД[Дата подачи на регистрацию],"&gt;="&amp;DATE(YEAR($A$1),MONTH($A$1),1))</f>
        <v>0</v>
      </c>
      <c r="N106" s="226">
        <f>COUNTIFS(РД[Тип кв],N$88,РД[МОП],$A106,РД[Дом],$C$103,РД[Дата подачи на регистрацию],"&lt;="&amp;$A$1,РД[Дата подачи на регистрацию],"&gt;="&amp;DATE(YEAR($A$1),MONTH($A$1),1))</f>
        <v>1</v>
      </c>
      <c r="O106" s="226">
        <f>COUNTIFS(РД[Тип кв],O$88,РД[МОП],$A106,РД[Дом],$C$103,РД[Дата подачи на регистрацию],"&lt;="&amp;$A$1,РД[Дата подачи на регистрацию],"&gt;="&amp;DATE(YEAR($A$1),MONTH($A$1),1))</f>
        <v>0</v>
      </c>
      <c r="P106" s="227">
        <f>COUNTIFS(РД[Тип кв],P$88,РД[МОП],$A106,РД[Дом],$C$103,РД[Дата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50" t="s">
        <v>20</v>
      </c>
      <c r="B107" s="143">
        <f>IFERROR(VLOOKUP(A107,'ИПП 1кв25'!$B$23:$N$34,8,0),"")</f>
        <v>33</v>
      </c>
      <c r="C107" s="144">
        <f>IFERROR(VLOOKUP(A107,'ИПП 1кв25'!$B$23:$N$34,9,0),"")</f>
        <v>4201100</v>
      </c>
      <c r="D107" s="199">
        <f>SUMIFS(Ф25[м2],Ф25[МОП],$A107,Ф25[№ дома],$C$103,Ф25[Комнатность],"&lt;&gt;Офис")</f>
        <v>35.53</v>
      </c>
      <c r="E107" s="200">
        <f>SUMIFS(Ф25[Сумма без отделки],Ф25[МОП],$A107,Ф25[№ дома],$C$103,Ф25[Комнатность],"&lt;&gt;Офис")</f>
        <v>4798178</v>
      </c>
      <c r="F107" s="201">
        <f>COUNTIFS(Ф25[МОП],$A107,Ф25[№ дома],$C$103,Ф25[Комнатность],"&lt;&gt;Офис")</f>
        <v>1</v>
      </c>
      <c r="G107" s="202">
        <f>SUMIFS(РД[S],РД[Дом],$C$103,РД[МОП],A107,РД[Дата подачи на регистрацию],"&lt;="&amp;$A$1,РД[Дата подачи на регистрацию],"&gt;="&amp;DATE(YEAR($A$1),MONTH($A$1),1),РД[Состояние],"Продажа")</f>
        <v>35.53</v>
      </c>
      <c r="H107" s="203">
        <f>SUMIFS(РД[Стоимость без отделки итог],РД[Дом],$C$103,РД[МОП],A107,РД[Дата подачи на регистрацию],"&lt;="&amp;$A$1,РД[Дата подачи на регистрацию],"&gt;="&amp;DATE(YEAR($A$1),MONTH($A$1),1),РД[Состояние],"Продажа")</f>
        <v>4798178</v>
      </c>
      <c r="I107" s="226">
        <f>COUNTIFS(РД[Дом],$C$103,РД[МОП],A107,РД[Дата подачи на регистрацию],"&lt;="&amp;$A$1,РД[Дата подачи на регистрацию],"&gt;="&amp;DATE(YEAR($A$1),MONTH($A$1),1),РД[Состояние],"Продажа")</f>
        <v>1</v>
      </c>
      <c r="J107" s="224">
        <f t="shared" si="10"/>
        <v>1.0766666666666667</v>
      </c>
      <c r="K107" s="225">
        <f t="shared" si="10"/>
        <v>1.1421242055652092</v>
      </c>
      <c r="L107" s="257">
        <f>COUNTIFS(РД[Тип кв],L$88,РД[МОП],$A107,РД[Дом],$C$103,РД[Дата подачи на регистрацию],"&lt;="&amp;$A$1,РД[Дата подачи на регистрацию],"&gt;="&amp;DATE(YEAR($A$1),MONTH($A$1),1))</f>
        <v>0</v>
      </c>
      <c r="M107" s="226">
        <f>COUNTIFS(РД[Тип кв],M$88,РД[МОП],$A107,РД[Дом],$C$103,РД[Дата подачи на регистрацию],"&lt;="&amp;$A$1,РД[Дата подачи на регистрацию],"&gt;="&amp;DATE(YEAR($A$1),MONTH($A$1),1))</f>
        <v>1</v>
      </c>
      <c r="N107" s="226">
        <f>COUNTIFS(РД[Тип кв],N$88,РД[МОП],$A107,РД[Дом],$C$103,РД[Дата подачи на регистрацию],"&lt;="&amp;$A$1,РД[Дата подачи на регистрацию],"&gt;="&amp;DATE(YEAR($A$1),MONTH($A$1),1))</f>
        <v>1</v>
      </c>
      <c r="O107" s="226">
        <f>COUNTIFS(РД[Тип кв],O$88,РД[МОП],$A107,РД[Дом],$C$103,РД[Дата подачи на регистрацию],"&lt;="&amp;$A$1,РД[Дата подачи на регистрацию],"&gt;="&amp;DATE(YEAR($A$1),MONTH($A$1),1))</f>
        <v>0</v>
      </c>
      <c r="P107" s="227">
        <f>COUNTIFS(РД[Тип кв],P$88,РД[МОП],$A107,РД[Дом],$C$103,РД[Дата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53" t="s">
        <v>24</v>
      </c>
      <c r="B108" s="143">
        <f>IFERROR(VLOOKUP(A108,'ИПП 1кв25'!$B$23:$N$34,8,0),"")</f>
        <v>33</v>
      </c>
      <c r="C108" s="144">
        <f>IFERROR(VLOOKUP(A108,'ИПП 1кв25'!$B$23:$N$34,9,0),"")</f>
        <v>4201100</v>
      </c>
      <c r="D108" s="199">
        <f>SUMIFS(Ф25[м2],Ф25[МОП],$A108,Ф25[№ дома],$C$103,Ф25[Комнатность],"&lt;&gt;Офис")</f>
        <v>0</v>
      </c>
      <c r="E108" s="200">
        <f>SUMIFS(Ф25[Сумма без отделки],Ф25[МОП],$A108,Ф25[№ дома],$C$103,Ф25[Комнатность],"&lt;&gt;Офис")</f>
        <v>0</v>
      </c>
      <c r="F108" s="201">
        <f>COUNTIFS(Ф25[МОП],$A108,Ф25[№ дома],$C$103,Ф25[Комнатность],"&lt;&gt;Офис")</f>
        <v>0</v>
      </c>
      <c r="G108" s="202">
        <f>SUMIFS(РД[S],РД[Дом],$C$103,РД[МОП],A108,РД[Дата подачи на регистрацию],"&lt;="&amp;$A$1,РД[Дата подачи на регистрацию],"&gt;="&amp;DATE(YEAR($A$1),MONTH($A$1),1),РД[Состояние],"Продажа")</f>
        <v>42.39</v>
      </c>
      <c r="H108" s="203">
        <f>SUMIFS(РД[Стоимость без отделки итог],РД[Дом],$C$103,РД[МОП],A108,РД[Дата подачи на регистрацию],"&lt;="&amp;$A$1,РД[Дата подачи на регистрацию],"&gt;="&amp;DATE(YEAR($A$1),MONTH($A$1),1),РД[Состояние],"Продажа")</f>
        <v>5778570</v>
      </c>
      <c r="I108" s="226">
        <f>COUNTIFS(РД[Дом],$C$103,РД[МОП],A108,РД[Дата подачи на регистрацию],"&lt;="&amp;$A$1,РД[Дата подачи на регистрацию],"&gt;="&amp;DATE(YEAR($A$1),MONTH($A$1),1),РД[Состояние],"Продажа")</f>
        <v>1</v>
      </c>
      <c r="J108" s="224">
        <f t="shared" si="10"/>
        <v>1.2845454545454547</v>
      </c>
      <c r="K108" s="225">
        <f t="shared" si="10"/>
        <v>1.375489752683821</v>
      </c>
      <c r="L108" s="257">
        <f>COUNTIFS(РД[Тип кв],L$88,РД[МОП],$A108,РД[Дом],$C$103,РД[Дата подачи на регистрацию],"&lt;="&amp;$A$1,РД[Дата подачи на регистрацию],"&gt;="&amp;DATE(YEAR($A$1),MONTH($A$1),1))</f>
        <v>0</v>
      </c>
      <c r="M108" s="226">
        <f>COUNTIFS(РД[Тип кв],M$88,РД[МОП],$A108,РД[Дом],$C$103,РД[Дата подачи на регистрацию],"&lt;="&amp;$A$1,РД[Дата подачи на регистрацию],"&gt;="&amp;DATE(YEAR($A$1),MONTH($A$1),1))</f>
        <v>1</v>
      </c>
      <c r="N108" s="226">
        <f>COUNTIFS(РД[Тип кв],N$88,РД[МОП],$A108,РД[Дом],$C$103,РД[Дата подачи на регистрацию],"&lt;="&amp;$A$1,РД[Дата подачи на регистрацию],"&gt;="&amp;DATE(YEAR($A$1),MONTH($A$1),1))</f>
        <v>0</v>
      </c>
      <c r="O108" s="226">
        <f>COUNTIFS(РД[Тип кв],O$88,РД[МОП],$A108,РД[Дом],$C$103,РД[Дата подачи на регистрацию],"&lt;="&amp;$A$1,РД[Дата подачи на регистрацию],"&gt;="&amp;DATE(YEAR($A$1),MONTH($A$1),1))</f>
        <v>0</v>
      </c>
      <c r="P108" s="227">
        <f>COUNTIFS(РД[Тип кв],P$88,РД[МОП],$A108,РД[Дом],$C$103,РД[Дата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3" t="s">
        <v>14</v>
      </c>
      <c r="B109" s="143">
        <f>IFERROR(VLOOKUP(A109,'ИПП 1кв25'!$B$23:$N$34,8,0),"")</f>
        <v>33</v>
      </c>
      <c r="C109" s="144">
        <f>IFERROR(VLOOKUP(A109,'ИПП 1кв25'!$B$23:$N$34,9,0),"")</f>
        <v>4201100</v>
      </c>
      <c r="D109" s="299">
        <f>SUMIFS(Ф25[м2],Ф25[МОП],$A109,Ф25[№ дома],$C$103,Ф25[Комнатность],"&lt;&gt;Офис")</f>
        <v>0</v>
      </c>
      <c r="E109" s="300">
        <f>SUMIFS(Ф25[Сумма без отделки],Ф25[МОП],$A109,Ф25[№ дома],$C$103,Ф25[Комнатность],"&lt;&gt;Офис")</f>
        <v>0</v>
      </c>
      <c r="F109" s="301">
        <f>COUNTIFS(Ф25[МОП],$A109,Ф25[№ дома],$C$103,Ф25[Комнатность],"&lt;&gt;Офис")</f>
        <v>0</v>
      </c>
      <c r="G109" s="358">
        <f>SUMIFS(РД[S],РД[Дом],$C$103,РД[МОП],A109,РД[Дата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359">
        <f>SUMIFS(РД[Стоимость без отделки итог],РД[Дом],$C$103,РД[МОП],A109,РД[Дата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330">
        <f>COUNTIFS(РД[Дом],$C$103,РД[МОП],A109,РД[Дата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360">
        <f t="shared" si="10"/>
        <v>0</v>
      </c>
      <c r="K109" s="361">
        <f t="shared" si="10"/>
        <v>0</v>
      </c>
      <c r="L109" s="329">
        <f>COUNTIFS(РД[Тип кв],L$88,РД[МОП],$A109,РД[Дом],$C$103,РД[Дата подачи на регистрацию],"&lt;="&amp;$A$1,РД[Дата подачи на регистрацию],"&gt;="&amp;DATE(YEAR($A$1),MONTH($A$1),1))</f>
        <v>0</v>
      </c>
      <c r="M109" s="330">
        <f>COUNTIFS(РД[Тип кв],M$88,РД[МОП],$A109,РД[Дом],$C$103,РД[Дата подачи на регистрацию],"&lt;="&amp;$A$1,РД[Дата подачи на регистрацию],"&gt;="&amp;DATE(YEAR($A$1),MONTH($A$1),1))</f>
        <v>0</v>
      </c>
      <c r="N109" s="330">
        <f>COUNTIFS(РД[Тип кв],N$88,РД[МОП],$A109,РД[Дом],$C$103,РД[Дата подачи на регистрацию],"&lt;="&amp;$A$1,РД[Дата подачи на регистрацию],"&gt;="&amp;DATE(YEAR($A$1),MONTH($A$1),1))</f>
        <v>0</v>
      </c>
      <c r="O109" s="330">
        <f>COUNTIFS(РД[Тип кв],O$88,РД[МОП],$A109,РД[Дом],$C$103,РД[Дата подачи на регистрацию],"&lt;="&amp;$A$1,РД[Дата подачи на регистрацию],"&gt;="&amp;DATE(YEAR($A$1),MONTH($A$1),1))</f>
        <v>0</v>
      </c>
      <c r="P109" s="331">
        <f>COUNTIFS(РД[Тип кв],P$88,РД[МОП],$A109,РД[Дом],$C$103,РД[Дата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154" t="s">
        <v>29</v>
      </c>
      <c r="B110" s="155"/>
      <c r="C110" s="156"/>
      <c r="D110" s="157">
        <f>SUMIFS(Ф25[м2],Ф25[МОП],$A110,Ф25[№ дома],$C$103,Ф25[Комнатность],"&lt;&gt;Офис")</f>
        <v>0</v>
      </c>
      <c r="E110" s="156">
        <f>SUMIFS(Ф25[Сумма без отделки],Ф25[МОП],$A110,Ф25[№ дома],$C$103,Ф25[Комнатность],"&lt;&gt;Офис")</f>
        <v>0</v>
      </c>
      <c r="F110" s="158">
        <f>COUNTIFS(Ф25[МОП],$A110,Ф25[№ дома],$C$103,Ф25[Комнатность],"&lt;&gt;Офис")</f>
        <v>0</v>
      </c>
      <c r="G110" s="159">
        <f>SUMIFS(РД[S],РД[Дом],$C$103,РД[МОП],A110,РД[Дата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160">
        <f>SUMIFS(РД[Стоимость без отделки итог],РД[Дом],$C$103,РД[МОП],A110,РД[Дата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28">
        <f>COUNTIFS(РД[Дом],$C$103,РД[МОП],A110,РД[Дата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29">
        <f t="shared" si="10"/>
        <v>0</v>
      </c>
      <c r="K110" s="230">
        <f t="shared" si="10"/>
        <v>0</v>
      </c>
      <c r="L110" s="159">
        <f>COUNTIFS(РД[Тип кв],L$88,РД[МОП],$A110,РД[Дом],$C$103,РД[Дата подачи на регистрацию],"&lt;="&amp;$A$1,РД[Дата подачи на регистрацию],"&gt;="&amp;DATE(YEAR($A$1),MONTH($A$1),1))</f>
        <v>0</v>
      </c>
      <c r="M110" s="228">
        <f>COUNTIFS(РД[Тип кв],M$88,РД[МОП],$A110,РД[Дом],$C$103,РД[Дата подачи на регистрацию],"&lt;="&amp;$A$1,РД[Дата подачи на регистрацию],"&gt;="&amp;DATE(YEAR($A$1),MONTH($A$1),1))</f>
        <v>0</v>
      </c>
      <c r="N110" s="228">
        <f>COUNTIFS(РД[Тип кв],N$88,РД[МОП],$A110,РД[Дом],$C$103,РД[Дата подачи на регистрацию],"&lt;="&amp;$A$1,РД[Дата подачи на регистрацию],"&gt;="&amp;DATE(YEAR($A$1),MONTH($A$1),1))</f>
        <v>0</v>
      </c>
      <c r="O110" s="228">
        <f>COUNTIFS(РД[Тип кв],O$88,РД[МОП],$A110,РД[Дом],$C$103,РД[Дата подачи на регистрацию],"&lt;="&amp;$A$1,РД[Дата подачи на регистрацию],"&gt;="&amp;DATE(YEAR($A$1),MONTH($A$1),1))</f>
        <v>0</v>
      </c>
      <c r="P110" s="231">
        <f>COUNTIFS(РД[Тип кв],P$88,РД[МОП],$A110,РД[Дом],$C$103,РД[Дата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61" t="s">
        <v>1919</v>
      </c>
      <c r="B111" s="162"/>
      <c r="C111" s="163"/>
      <c r="D111" s="164">
        <f>SUMIFS(Ф25[м2],Ф25[МОП],$A111,Ф25[№ дома],$C$103,Ф25[Комнатность],"&lt;&gt;Офис")</f>
        <v>91.59</v>
      </c>
      <c r="E111" s="163">
        <f>SUMIFS(Ф25[Сумма без отделки],Ф25[МОП],$A111,Ф25[№ дома],$C$103,Ф25[Комнатность],"&lt;&gt;Офис")</f>
        <v>11676720</v>
      </c>
      <c r="F111" s="165">
        <f>COUNTIFS(Ф25[МОП],$A111,Ф25[№ дома],$C$103,Ф25[Комнатность],"&lt;&gt;Офис")</f>
        <v>2</v>
      </c>
      <c r="G111" s="166">
        <f>SUMIFS(РД[S],РД[Дом],$C$103,РД[МОП],A111,РД[Дата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H111" s="167">
        <f>SUMIFS(РД[Стоимость без отделки итог],РД[Дом],$C$103,РД[МОП],A111,РД[Дата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232">
        <f>COUNTIFS(РД[Дом],$C$103,РД[МОП],A111,РД[Дата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33">
        <f t="shared" si="10"/>
        <v>0</v>
      </c>
      <c r="K111" s="234">
        <f t="shared" si="10"/>
        <v>0</v>
      </c>
      <c r="L111" s="235">
        <f>COUNTIFS(РД[Тип кв],L$88,РД[МОП],$A111,РД[Дом],$C$103,РД[Дата подачи на регистрацию],"&lt;="&amp;$A$1,РД[Дата подачи на регистрацию],"&gt;="&amp;DATE(YEAR($A$1),MONTH($A$1),1))</f>
        <v>0</v>
      </c>
      <c r="M111" s="236">
        <f>COUNTIFS(РД[Тип кв],M$88,РД[МОП],$A111,РД[Дом],$C$103,РД[Дата подачи на регистрацию],"&lt;="&amp;$A$1,РД[Дата подачи на регистрацию],"&gt;="&amp;DATE(YEAR($A$1),MONTH($A$1),1))</f>
        <v>0</v>
      </c>
      <c r="N111" s="236">
        <f>COUNTIFS(РД[Тип кв],N$88,РД[МОП],$A111,РД[Дом],$C$103,РД[Дата подачи на регистрацию],"&lt;="&amp;$A$1,РД[Дата подачи на регистрацию],"&gt;="&amp;DATE(YEAR($A$1),MONTH($A$1),1))</f>
        <v>0</v>
      </c>
      <c r="O111" s="236">
        <f>COUNTIFS(РД[Тип кв],O$88,РД[МОП],$A111,РД[Дом],$C$103,РД[Дата подачи на регистрацию],"&lt;="&amp;$A$1,РД[Дата подачи на регистрацию],"&gt;="&amp;DATE(YEAR($A$1),MONTH($A$1),1))</f>
        <v>0</v>
      </c>
      <c r="P111" s="237">
        <f>COUNTIFS(РД[Тип кв],P$88,РД[МОП],$A111,РД[Дом],$C$103,РД[Дата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68" t="s">
        <v>114</v>
      </c>
      <c r="B112" s="169">
        <f t="shared" ref="B112:I112" si="11">SUM(B105:B111)</f>
        <v>133</v>
      </c>
      <c r="C112" s="170">
        <f t="shared" si="11"/>
        <v>16778938</v>
      </c>
      <c r="D112" s="170">
        <f t="shared" si="11"/>
        <v>188.53</v>
      </c>
      <c r="E112" s="170">
        <f t="shared" si="11"/>
        <v>24458198</v>
      </c>
      <c r="F112" s="171">
        <f t="shared" si="11"/>
        <v>4</v>
      </c>
      <c r="G112" s="172">
        <f t="shared" si="11"/>
        <v>139.32999999999998</v>
      </c>
      <c r="H112" s="173">
        <f t="shared" si="11"/>
        <v>18560048</v>
      </c>
      <c r="I112" s="170">
        <f t="shared" si="11"/>
        <v>3</v>
      </c>
      <c r="J112" s="238">
        <f t="shared" ref="J112:K112" si="12">IFERROR(G112/B112,"")</f>
        <v>1.0475939849624059</v>
      </c>
      <c r="K112" s="239">
        <f t="shared" si="12"/>
        <v>1.106151533547594</v>
      </c>
      <c r="L112" s="240">
        <f>SUM(L105:L111)</f>
        <v>0</v>
      </c>
      <c r="M112" s="241">
        <f>SUM(M105:M111)</f>
        <v>2</v>
      </c>
      <c r="N112" s="241">
        <f>SUM(N105:N111)</f>
        <v>2</v>
      </c>
      <c r="O112" s="241">
        <f>SUM(O105:O111)</f>
        <v>0</v>
      </c>
      <c r="P112" s="242">
        <f>SUM(P105:P111)</f>
        <v>0</v>
      </c>
      <c r="Q112" s="134"/>
      <c r="U112" s="66"/>
    </row>
    <row r="113" spans="1:21" s="65" customFormat="1">
      <c r="A113" s="135" t="s">
        <v>115</v>
      </c>
      <c r="B113" s="213" t="s">
        <v>100</v>
      </c>
      <c r="C113" s="214" t="s">
        <v>97</v>
      </c>
      <c r="D113" s="174" t="s">
        <v>494</v>
      </c>
      <c r="E113" s="175" t="s">
        <v>495</v>
      </c>
      <c r="F113" s="176" t="s">
        <v>496</v>
      </c>
      <c r="G113" s="140" t="s">
        <v>101</v>
      </c>
      <c r="H113" s="141" t="s">
        <v>98</v>
      </c>
      <c r="I113" s="141" t="s">
        <v>96</v>
      </c>
      <c r="J113" s="141" t="s">
        <v>715</v>
      </c>
      <c r="K113" s="216" t="s">
        <v>716</v>
      </c>
      <c r="L113" s="217">
        <v>0</v>
      </c>
      <c r="M113" s="218">
        <v>1</v>
      </c>
      <c r="N113" s="218">
        <v>2</v>
      </c>
      <c r="O113" s="218">
        <v>3</v>
      </c>
      <c r="P113" s="219" t="s">
        <v>1367</v>
      </c>
      <c r="Q113" s="134"/>
      <c r="U113" s="66"/>
    </row>
    <row r="114" spans="1:21" s="65" customFormat="1">
      <c r="A114" s="177" t="s">
        <v>22</v>
      </c>
      <c r="B114" s="178">
        <f>IFERROR(VLOOKUP(A114,'ИПП 1кв25'!$B$23:$N$34,8,0),"")</f>
        <v>38.814285714285717</v>
      </c>
      <c r="C114" s="179">
        <f>IFERROR(VLOOKUP(A114,'ИПП 1кв25'!$B$23:$N$34,9,0),"")</f>
        <v>4896710.4775510207</v>
      </c>
      <c r="D114" s="180">
        <f>SUMIFS(Ф25[м2],Ф25[ИМ],A114,Ф25[№ дома],$C$103,Ф25[Комнатность],"&lt;&gt;Офис")</f>
        <v>0</v>
      </c>
      <c r="E114" s="181">
        <f>SUMIFS(Ф25[Сумма без отделки],Ф25[ИМ],$A114,Ф25[№ дома],$C$103,Ф25[Комнатность],"&lt;&gt;Офис")</f>
        <v>0</v>
      </c>
      <c r="F114" s="204">
        <f>COUNTIFS(Ф25[ИМ],$A114,Ф25[№ дома],$C$103,Ф25[Комнатность],"&lt;&gt;Офис")</f>
        <v>0</v>
      </c>
      <c r="G114" s="183">
        <f>SUMIFS(РД[S],РД[Дом],$C$103,РД[ИМ],A114,РД[Дата подачи на регистрацию],"&lt;="&amp;$A$1,РД[Дата подачи на регистрацию],"&gt;="&amp;DATE(YEAR($A$1),MONTH($A$1),1),РД[Состояние],"Продажа")</f>
        <v>0</v>
      </c>
      <c r="H114" s="184">
        <f>SUMIFS(РД[Стоимость без отделки итог],РД[Дом],$C$103,РД[ИМ],A114,РД[Дата подачи на регистрацию],"&lt;="&amp;$A$1,РД[Дата подачи на регистрацию],"&gt;="&amp;DATE(YEAR($A$1),MONTH($A$1),1),РД[Состояние],"Продажа")</f>
        <v>0</v>
      </c>
      <c r="I114" s="243">
        <f>COUNTIFS(РД[Дом],$C$103,РД[ИМ],A114,РД[Дата подачи на регистрацию],"&lt;="&amp;$A$1,РД[Дата подачи на регистрацию],"&gt;="&amp;DATE(YEAR($A$1),MONTH($A$1),1),РД[Состояние],"Продажа")</f>
        <v>0</v>
      </c>
      <c r="J114" s="244">
        <f t="shared" ref="J114:K116" si="13">IFERROR(G114/B114,"")</f>
        <v>0</v>
      </c>
      <c r="K114" s="258">
        <f t="shared" si="13"/>
        <v>0</v>
      </c>
      <c r="L114" s="183">
        <f>COUNTIFS(РД[Тип кв],L104,РД[ИМ],$A114,РД[Дом],$C$103,РД[Дата подачи на регистрацию],"&lt;="&amp;$A$1,РД[Дата подачи на регистрацию],"&gt;="&amp;DATE(YEAR($A$1),MONTH($A$1),1))</f>
        <v>0</v>
      </c>
      <c r="M114" s="243">
        <f>COUNTIFS(РД[Тип кв],M104,РД[ИМ],$A114,РД[Дом],$C$103,РД[Дата подачи на регистрацию],"&lt;="&amp;$A$1,РД[Дата подачи на регистрацию],"&gt;="&amp;DATE(YEAR($A$1),MONTH($A$1),1))</f>
        <v>0</v>
      </c>
      <c r="N114" s="243">
        <f>COUNTIFS(РД[Тип кв],N104,РД[ИМ],$A114,РД[Дом],$C$103,РД[Дата подачи на регистрацию],"&lt;="&amp;$A$1,РД[Дата подачи на регистрацию],"&gt;="&amp;DATE(YEAR($A$1),MONTH($A$1),1))</f>
        <v>0</v>
      </c>
      <c r="O114" s="243">
        <f>COUNTIFS(РД[Тип кв],O104,РД[ИМ],$A114,РД[Дом],$C$103,РД[Дата подачи на регистрацию],"&lt;="&amp;$A$1,РД[Дата подачи на регистрацию],"&gt;="&amp;DATE(YEAR($A$1),MONTH($A$1),1))</f>
        <v>0</v>
      </c>
      <c r="P114" s="246">
        <f>COUNTIFS(РД[Тип кв],P104,РД[ИМ],$A114,РД[Дом],$C$103,РД[Дата подачи на регистрацию],"&lt;="&amp;$A$1,РД[Дата подачи на регистрацию],"&gt;="&amp;DATE(YEAR($A$1),MONTH($A$1),1))</f>
        <v>0</v>
      </c>
      <c r="Q114" s="134"/>
      <c r="U114" s="66"/>
    </row>
    <row r="115" spans="1:21" s="65" customFormat="1">
      <c r="A115" s="150" t="s">
        <v>26</v>
      </c>
      <c r="B115" s="143">
        <f>IFERROR(VLOOKUP(A115,'ИПП 1кв25'!$B$23:$N$34,8,0),"")</f>
        <v>47.635714285714286</v>
      </c>
      <c r="C115" s="144">
        <f>IFERROR(VLOOKUP(A115,'ИПП 1кв25'!$B$23:$N$34,9,0),"")</f>
        <v>6009599.2224489795</v>
      </c>
      <c r="D115" s="205">
        <f>SUMIFS(Ф25[м2],Ф25[ИМ],A115,Ф25[№ дома],$C$103,Ф25[Комнатность],"&lt;&gt;Офис")</f>
        <v>103.8</v>
      </c>
      <c r="E115" s="206">
        <f>SUMIFS(Ф25[Сумма без отделки],Ф25[ИМ],$A115,Ф25[№ дома],$C$103,Ф25[Комнатность],"&lt;&gt;Офис")</f>
        <v>13455900</v>
      </c>
      <c r="F115" s="207">
        <f>COUNTIFS(Ф25[ИМ],$A115,Ф25[№ дома],$C$103,Ф25[Комнатность],"&lt;&gt;Офис")</f>
        <v>2</v>
      </c>
      <c r="G115" s="187">
        <f>SUMIFS(РД[S],РД[Дом],$C$103,РД[ИМ],A115,РД[Дата подачи на регистрацию],"&lt;="&amp;$A$1,РД[Дата подачи на регистрацию],"&gt;="&amp;DATE(YEAR($A$1),MONTH($A$1),1),РД[Состояние],"Продажа")</f>
        <v>103.8</v>
      </c>
      <c r="H115" s="188">
        <f>SUMIFS(РД[Стоимость без отделки итог],РД[Дом],$C$103,РД[ИМ],A115,РД[Дата подачи на регистрацию],"&lt;="&amp;$A$1,РД[Дата подачи на регистрацию],"&gt;="&amp;DATE(YEAR($A$1),MONTH($A$1),1),РД[Состояние],"Продажа")</f>
        <v>13761870</v>
      </c>
      <c r="I115" s="247">
        <f>COUNTIFS(РД[Дом],$C$103,РД[ИМ],A115,РД[Дата подачи на регистрацию],"&lt;="&amp;$A$1,РД[Дата подачи на регистрацию],"&gt;="&amp;DATE(YEAR($A$1),MONTH($A$1),1),РД[Состояние],"Продажа")</f>
        <v>2</v>
      </c>
      <c r="J115" s="248">
        <f t="shared" si="13"/>
        <v>2.1790373369320739</v>
      </c>
      <c r="K115" s="259">
        <f t="shared" si="13"/>
        <v>2.289981326640262</v>
      </c>
      <c r="L115" s="187">
        <f>COUNTIFS(РД[Тип кв],L$88,РД[ИМ],$A115,РД[Дом],$C$103,РД[Дата подачи на регистрацию],"&lt;="&amp;$A$1,РД[Дата подачи на регистрацию],"&gt;="&amp;DATE(YEAR($A$1),MONTH($A$1),1))</f>
        <v>0</v>
      </c>
      <c r="M115" s="247">
        <f>COUNTIFS(РД[Тип кв],M$88,РД[ИМ],$A115,РД[Дом],$C$103,РД[Дата подачи на регистрацию],"&lt;="&amp;$A$1,РД[Дата подачи на регистрацию],"&gt;="&amp;DATE(YEAR($A$1),MONTH($A$1),1))</f>
        <v>1</v>
      </c>
      <c r="N115" s="247">
        <f>COUNTIFS(РД[Тип кв],N$88,РД[ИМ],$A115,РД[Дом],$C$103,РД[Дата подачи на регистрацию],"&lt;="&amp;$A$1,РД[Дата подачи на регистрацию],"&gt;="&amp;DATE(YEAR($A$1),MONTH($A$1),1))</f>
        <v>1</v>
      </c>
      <c r="O115" s="247">
        <f>COUNTIFS(РД[Тип кв],O$88,РД[ИМ],$A115,РД[Дом],$C$103,РД[Дата подачи на регистрацию],"&lt;="&amp;$A$1,РД[Дата подачи на регистрацию],"&gt;="&amp;DATE(YEAR($A$1),MONTH($A$1),1))</f>
        <v>0</v>
      </c>
      <c r="P115" s="250">
        <f>COUNTIFS(РД[Тип кв],P$88,РД[ИМ],$A115,РД[Дом],$C$103,РД[Дата подачи на регистрацию],"&lt;="&amp;$A$1,РД[Дата подачи на регистрацию],"&gt;="&amp;DATE(YEAR($A$1),MONTH($A$1),1))</f>
        <v>0</v>
      </c>
      <c r="Q115" s="134"/>
      <c r="U115" s="66"/>
    </row>
    <row r="116" spans="1:21" s="65" customFormat="1">
      <c r="A116" s="189" t="s">
        <v>3</v>
      </c>
      <c r="B116" s="190">
        <f>IFERROR(VLOOKUP(A116,'ИПП 1кв25'!$B$23:$N$34,8,0),"")</f>
        <v>0</v>
      </c>
      <c r="C116" s="191">
        <f>IFERROR(VLOOKUP(A116,'ИПП 1кв25'!$B$23:$N$34,9,0),"")</f>
        <v>0</v>
      </c>
      <c r="D116" s="208">
        <f>SUMIFS(Ф25[м2],Ф25[ИМ],A116,Ф25[№ дома],$C$103,Ф25[Комнатность],"&lt;&gt;Офис")</f>
        <v>0</v>
      </c>
      <c r="E116" s="209">
        <f>SUMIFS(Ф25[Сумма без отделки],Ф25[ИМ],$A116,Ф25[№ дома],$C$103,Ф25[Комнатность],"&lt;&gt;Офис")</f>
        <v>0</v>
      </c>
      <c r="F116" s="210">
        <f>COUNTIFS(Ф25[ИМ],$A116,Ф25[№ дома],$C$103,Ф25[Комнатность],"&lt;&gt;Офис")</f>
        <v>0</v>
      </c>
      <c r="G116" s="195">
        <f>SUMIFS(РД[S],РД[Дом],$C$103,РД[ИМ],A116,РД[Дата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H116" s="196">
        <f>SUMIFS(РД[Стоимость без отделки итог],РД[Дом],$C$103,РД[ИМ],A116,РД[Дата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I116" s="251">
        <f>COUNTIFS(РД[Дом],$C$103,РД[ИМ],A116,РД[Дата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J116" s="252" t="str">
        <f t="shared" si="13"/>
        <v/>
      </c>
      <c r="K116" s="260" t="str">
        <f t="shared" si="13"/>
        <v/>
      </c>
      <c r="L116" s="195">
        <f>COUNTIFS(РД[Тип кв],L$88,РД[ИМ],$A116,РД[Дом],$C$103,РД[Дата подачи на регистрацию],"&lt;="&amp;$A$1,РД[Дата подачи на регистрацию],"&gt;="&amp;DATE(YEAR($A$1),MONTH($A$1),1))</f>
        <v>0</v>
      </c>
      <c r="M116" s="251">
        <f>COUNTIFS(РД[Тип кв],M$88,РД[ИМ],$A116,РД[Дом],$C$103,РД[Дата подачи на регистрацию],"&lt;="&amp;$A$1,РД[Дата подачи на регистрацию],"&gt;="&amp;DATE(YEAR($A$1),MONTH($A$1),1))</f>
        <v>0</v>
      </c>
      <c r="N116" s="251">
        <f>COUNTIFS(РД[Тип кв],N$88,РД[ИМ],$A116,РД[Дом],$C$103,РД[Дата подачи на регистрацию],"&lt;="&amp;$A$1,РД[Дата подачи на регистрацию],"&gt;="&amp;DATE(YEAR($A$1),MONTH($A$1),1))</f>
        <v>0</v>
      </c>
      <c r="O116" s="251">
        <f>COUNTIFS(РД[Тип кв],O$88,РД[ИМ],$A116,РД[Дом],$C$103,РД[Дата подачи на регистрацию],"&lt;="&amp;$A$1,РД[Дата подачи на регистрацию],"&gt;="&amp;DATE(YEAR($A$1),MONTH($A$1),1))</f>
        <v>0</v>
      </c>
      <c r="P116" s="254">
        <f>COUNTIFS(РД[Тип кв],P$88,РД[ИМ],$A116,РД[Дом],$C$103,РД[Дата подачи на регистрацию],"&lt;="&amp;$A$1,РД[Дата подачи на регистрацию],"&gt;="&amp;DATE(YEAR($A$1),MONTH($A$1),1))</f>
        <v>0</v>
      </c>
      <c r="Q116" s="134"/>
      <c r="U116" s="66"/>
    </row>
    <row r="117" spans="1:21" s="65" customFormat="1">
      <c r="A117" s="168" t="s">
        <v>114</v>
      </c>
      <c r="B117" s="169">
        <f t="shared" ref="B117:I117" si="14">SUM(B114:B116)</f>
        <v>86.45</v>
      </c>
      <c r="C117" s="170">
        <f t="shared" si="14"/>
        <v>10906309.699999999</v>
      </c>
      <c r="D117" s="170">
        <f t="shared" si="14"/>
        <v>103.8</v>
      </c>
      <c r="E117" s="170">
        <f t="shared" si="14"/>
        <v>13455900</v>
      </c>
      <c r="F117" s="171">
        <f t="shared" si="14"/>
        <v>2</v>
      </c>
      <c r="G117" s="172">
        <f t="shared" si="14"/>
        <v>103.8</v>
      </c>
      <c r="H117" s="173">
        <f t="shared" si="14"/>
        <v>13761870</v>
      </c>
      <c r="I117" s="170">
        <f t="shared" si="14"/>
        <v>2</v>
      </c>
      <c r="J117" s="238">
        <f>IFERROR(G117/B117,)</f>
        <v>1.2006940427993058</v>
      </c>
      <c r="K117" s="239">
        <f>IFERROR(H117/C117,)</f>
        <v>1.2618264452915728</v>
      </c>
      <c r="L117" s="240">
        <f t="shared" ref="L117:P117" si="15">SUM(L114:L116)</f>
        <v>0</v>
      </c>
      <c r="M117" s="241">
        <f t="shared" si="15"/>
        <v>1</v>
      </c>
      <c r="N117" s="241">
        <f t="shared" si="15"/>
        <v>1</v>
      </c>
      <c r="O117" s="241">
        <f t="shared" si="15"/>
        <v>0</v>
      </c>
      <c r="P117" s="242">
        <f t="shared" si="15"/>
        <v>0</v>
      </c>
      <c r="Q117" s="134"/>
      <c r="U117" s="66"/>
    </row>
    <row r="118" spans="1:21" s="65" customFormat="1">
      <c r="A118" s="134"/>
      <c r="B118" s="197"/>
      <c r="C118" s="197"/>
      <c r="D118" s="197"/>
      <c r="E118" s="197"/>
      <c r="F118" s="215"/>
      <c r="G118" s="197"/>
      <c r="H118" s="197"/>
      <c r="I118" s="215"/>
      <c r="J118" s="255"/>
      <c r="K118" s="256"/>
      <c r="L118" s="215"/>
      <c r="M118" s="215"/>
      <c r="N118" s="215"/>
      <c r="O118" s="215"/>
      <c r="P118" s="215"/>
      <c r="Q118" s="134"/>
      <c r="U118" s="66"/>
    </row>
    <row r="119" spans="1:21" s="65" customFormat="1">
      <c r="A119" s="2325" t="s">
        <v>713</v>
      </c>
      <c r="B119" s="2326"/>
      <c r="C119" s="133" t="s">
        <v>23</v>
      </c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U119" s="66"/>
    </row>
    <row r="120" spans="1:21" s="65" customFormat="1">
      <c r="A120" s="135" t="s">
        <v>1</v>
      </c>
      <c r="B120" s="135" t="s">
        <v>100</v>
      </c>
      <c r="C120" s="136" t="s">
        <v>97</v>
      </c>
      <c r="D120" s="137" t="s">
        <v>494</v>
      </c>
      <c r="E120" s="138" t="s">
        <v>495</v>
      </c>
      <c r="F120" s="139" t="s">
        <v>496</v>
      </c>
      <c r="G120" s="140" t="s">
        <v>101</v>
      </c>
      <c r="H120" s="141" t="s">
        <v>98</v>
      </c>
      <c r="I120" s="141" t="s">
        <v>96</v>
      </c>
      <c r="J120" s="141" t="s">
        <v>715</v>
      </c>
      <c r="K120" s="216" t="s">
        <v>716</v>
      </c>
      <c r="L120" s="217">
        <v>0</v>
      </c>
      <c r="M120" s="218">
        <v>1</v>
      </c>
      <c r="N120" s="218">
        <v>2</v>
      </c>
      <c r="O120" s="218">
        <v>3</v>
      </c>
      <c r="P120" s="219" t="s">
        <v>1367</v>
      </c>
      <c r="Q120" s="134"/>
      <c r="U120" s="66"/>
    </row>
    <row r="121" spans="1:21" s="65" customFormat="1">
      <c r="A121" s="142" t="s">
        <v>28</v>
      </c>
      <c r="B121" s="143">
        <f>IFERROR(VLOOKUP(A121,'ИПП 1кв25'!$B$23:$N$34,10,0),"")</f>
        <v>27</v>
      </c>
      <c r="C121" s="144">
        <f>IFERROR(VLOOKUP(A121,'ИПП 1кв25'!$B$23:$N$34,11,0),"")</f>
        <v>3291685</v>
      </c>
      <c r="D121" s="199">
        <f>SUMIFS(Ф25[м2],Ф25[МОП],$A121,Ф25[№ дома],$C$119,Ф25[Комнатность],"&lt;&gt;Офис")</f>
        <v>36.35</v>
      </c>
      <c r="E121" s="200">
        <f>SUMIFS(Ф25[Сумма без отделки],Ф25[МОП],$A121,Ф25[№ дома],$C$119,Ф25[Комнатность],"&lt;&gt;Офис")</f>
        <v>4590040</v>
      </c>
      <c r="F121" s="201">
        <f>COUNTIFS(Ф25[МОП],$A121,Ф25[№ дома],$C$119,Ф25[Комнатность],"&lt;&gt;Офис")</f>
        <v>1</v>
      </c>
      <c r="G121" s="202">
        <f>SUMIFS(РД[S],РД[Дом],$C$119,РД[МОП],A121,РД[Дата подачи на регистрацию],"&lt;="&amp;$A$1,РД[Дата подачи на регистрацию],"&gt;="&amp;DATE(YEAR($A$1),MONTH($A$1),1),РД[Состояние],"Продажа")</f>
        <v>65.75</v>
      </c>
      <c r="H121" s="203">
        <f>SUMIFS(РД[Стоимость без отделки итог],РД[Дом],$C$119,РД[МОП],A121,РД[Дата подачи на регистрацию],"&lt;="&amp;$A$1,РД[Дата подачи на регистрацию],"&gt;="&amp;DATE(YEAR($A$1),MONTH($A$1),1),РД[Состояние],"Продажа")</f>
        <v>8650572</v>
      </c>
      <c r="I121" s="226">
        <f>COUNTIFS(РД[Дом],$C$119,РД[МОП],A121,РД[Дата подачи на регистрацию],"&lt;="&amp;$A$1,РД[Дата подачи на регистрацию],"&gt;="&amp;DATE(YEAR($A$1),MONTH($A$1),1),РД[Состояние],"Продажа")</f>
        <v>2</v>
      </c>
      <c r="J121" s="224">
        <f t="shared" ref="J121:K127" si="16">IFERROR(G121/B121,)</f>
        <v>2.4351851851851851</v>
      </c>
      <c r="K121" s="225">
        <f t="shared" si="16"/>
        <v>2.6280072364153919</v>
      </c>
      <c r="L121" s="257">
        <f>COUNTIFS(РД[Тип кв],L$88,РД[МОП],$A121,РД[Дом],$C$119,РД[Дата подачи на регистрацию],"&lt;="&amp;$A$1,РД[Дата подачи на регистрацию],"&gt;="&amp;DATE(YEAR($A$1),MONTH($A$1),1))</f>
        <v>1</v>
      </c>
      <c r="M121" s="226">
        <f>COUNTIFS(РД[Тип кв],M$88,РД[МОП],$A121,РД[Дом],$C$119,РД[Дата подачи на регистрацию],"&lt;="&amp;$A$1,РД[Дата подачи на регистрацию],"&gt;="&amp;DATE(YEAR($A$1),MONTH($A$1),1))</f>
        <v>1</v>
      </c>
      <c r="N121" s="226">
        <f>COUNTIFS(РД[Тип кв],N$88,РД[МОП],$A121,РД[Дом],$C$119,РД[Дата подачи на регистрацию],"&lt;="&amp;$A$1,РД[Дата подачи на регистрацию],"&gt;="&amp;DATE(YEAR($A$1),MONTH($A$1),1))</f>
        <v>0</v>
      </c>
      <c r="O121" s="226">
        <f>COUNTIFS(РД[Тип кв],O$88,РД[МОП],$A121,РД[Дом],$C$119,РД[Дата подачи на регистрацию],"&lt;="&amp;$A$1,РД[Дата подачи на регистрацию],"&gt;="&amp;DATE(YEAR($A$1),MONTH($A$1),1))</f>
        <v>0</v>
      </c>
      <c r="P121" s="227">
        <f>COUNTIFS(РД[Тип кв],P$88,РД[МОП],$A121,РД[Дом],$C$119,РД[Дата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42" t="s">
        <v>8</v>
      </c>
      <c r="B122" s="143">
        <f>IFERROR(VLOOKUP(A122,'ИПП 1кв25'!$B$23:$N$34,10,0),"")</f>
        <v>21</v>
      </c>
      <c r="C122" s="144">
        <f>IFERROR(VLOOKUP(A122,'ИПП 1кв25'!$B$23:$N$34,11,0),"")</f>
        <v>2576102</v>
      </c>
      <c r="D122" s="199">
        <f>SUMIFS(Ф25[м2],Ф25[МОП],$A122,Ф25[№ дома],$C$119,Ф25[Комнатность],"&lt;&gt;Офис")</f>
        <v>115.38</v>
      </c>
      <c r="E122" s="200">
        <f>SUMIFS(Ф25[Сумма без отделки],Ф25[МОП],$A122,Ф25[№ дома],$C$119,Ф25[Комнатность],"&lt;&gt;Офис")</f>
        <v>13208296</v>
      </c>
      <c r="F122" s="201">
        <f>COUNTIFS(Ф25[МОП],$A122,Ф25[№ дома],$C$119,Ф25[Комнатность],"&lt;&gt;Офис")</f>
        <v>2</v>
      </c>
      <c r="G122" s="202">
        <f>SUMIFS(РД[S],РД[Дом],$C$119,РД[МОП],A122,РД[Дата подачи на регистрацию],"&lt;="&amp;$A$1,РД[Дата подачи на регистрацию],"&gt;="&amp;DATE(YEAR($A$1),MONTH($A$1),1),РД[Состояние],"Продажа")</f>
        <v>240.43</v>
      </c>
      <c r="H122" s="203">
        <f>SUMIFS(РД[Стоимость без отделки итог],РД[Дом],$C$119,РД[МОП],A122,РД[Дата подачи на регистрацию],"&lt;="&amp;$A$1,РД[Дата подачи на регистрацию],"&gt;="&amp;DATE(YEAR($A$1),MONTH($A$1),1),РД[Состояние],"Продажа")</f>
        <v>29032252</v>
      </c>
      <c r="I122" s="226">
        <f>COUNTIFS(РД[Дом],$C$119,РД[МОП],A122,РД[Дата подачи на регистрацию],"&lt;="&amp;$A$1,РД[Дата подачи на регистрацию],"&gt;="&amp;DATE(YEAR($A$1),MONTH($A$1),1),РД[Состояние],"Продажа")</f>
        <v>5</v>
      </c>
      <c r="J122" s="224">
        <f t="shared" si="16"/>
        <v>11.449047619047619</v>
      </c>
      <c r="K122" s="225">
        <f t="shared" si="16"/>
        <v>11.26983791790853</v>
      </c>
      <c r="L122" s="257">
        <f>COUNTIFS(РД[Тип кв],L$88,РД[МОП],$A122,РД[Дом],$C$119,РД[Дата подачи на регистрацию],"&lt;="&amp;$A$1,РД[Дата подачи на регистрацию],"&gt;="&amp;DATE(YEAR($A$1),MONTH($A$1),1))</f>
        <v>0</v>
      </c>
      <c r="M122" s="226">
        <f>COUNTIFS(РД[Тип кв],M$88,РД[МОП],$A122,РД[Дом],$C$119,РД[Дата подачи на регистрацию],"&lt;="&amp;$A$1,РД[Дата подачи на регистрацию],"&gt;="&amp;DATE(YEAR($A$1),MONTH($A$1),1))</f>
        <v>3</v>
      </c>
      <c r="N122" s="226">
        <f>COUNTIFS(РД[Тип кв],N$88,РД[МОП],$A122,РД[Дом],$C$119,РД[Дата подачи на регистрацию],"&lt;="&amp;$A$1,РД[Дата подачи на регистрацию],"&gt;="&amp;DATE(YEAR($A$1),MONTH($A$1),1))</f>
        <v>2</v>
      </c>
      <c r="O122" s="226">
        <f>COUNTIFS(РД[Тип кв],O$88,РД[МОП],$A122,РД[Дом],$C$119,РД[Дата подачи на регистрацию],"&lt;="&amp;$A$1,РД[Дата подачи на регистрацию],"&gt;="&amp;DATE(YEAR($A$1),MONTH($A$1),1))</f>
        <v>0</v>
      </c>
      <c r="P122" s="227">
        <f>COUNTIFS(РД[Тип кв],P$88,РД[МОП],$A122,РД[Дом],$C$119,РД[Дата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50" t="s">
        <v>20</v>
      </c>
      <c r="B123" s="143">
        <f>IFERROR(VLOOKUP(A123,'ИПП 1кв25'!$B$23:$N$34,10,0),"")</f>
        <v>49</v>
      </c>
      <c r="C123" s="144">
        <f>IFERROR(VLOOKUP(A123,'ИПП 1кв25'!$B$23:$N$34,11,0),"")</f>
        <v>5903566</v>
      </c>
      <c r="D123" s="199">
        <f>SUMIFS(Ф25[м2],Ф25[МОП],$A123,Ф25[№ дома],$C$119,Ф25[Комнатность],"&lt;&gt;Офис")</f>
        <v>54.08</v>
      </c>
      <c r="E123" s="200">
        <f>SUMIFS(Ф25[Сумма без отделки],Ф25[МОП],$A123,Ф25[№ дома],$C$119,Ф25[Комнатность],"&lt;&gt;Офис")</f>
        <v>6469512</v>
      </c>
      <c r="F123" s="201">
        <f>COUNTIFS(Ф25[МОП],$A123,Ф25[№ дома],$C$119,Ф25[Комнатность],"&lt;&gt;Офис")</f>
        <v>1</v>
      </c>
      <c r="G123" s="202">
        <f>SUMIFS(РД[S],РД[Дом],$C$119,РД[МОП],A123,РД[Дата подачи на регистрацию],"&lt;="&amp;$A$1,РД[Дата подачи на регистрацию],"&gt;="&amp;DATE(YEAR($A$1),MONTH($A$1),1),РД[Состояние],"Продажа")</f>
        <v>200.54000000000002</v>
      </c>
      <c r="H123" s="203">
        <f>SUMIFS(РД[Стоимость без отделки итог],РД[Дом],$C$119,РД[МОП],A123,РД[Дата подачи на регистрацию],"&lt;="&amp;$A$1,РД[Дата подачи на регистрацию],"&gt;="&amp;DATE(YEAR($A$1),MONTH($A$1),1),РД[Состояние],"Продажа")</f>
        <v>23891597</v>
      </c>
      <c r="I123" s="226">
        <f>COUNTIFS(РД[Дом],$C$119,РД[МОП],A123,РД[Дата подачи на регистрацию],"&lt;="&amp;$A$1,РД[Дата подачи на регистрацию],"&gt;="&amp;DATE(YEAR($A$1),MONTH($A$1),1),РД[Состояние],"Продажа")</f>
        <v>4</v>
      </c>
      <c r="J123" s="224">
        <f t="shared" si="16"/>
        <v>4.0926530612244898</v>
      </c>
      <c r="K123" s="225">
        <f t="shared" si="16"/>
        <v>4.0469771998822406</v>
      </c>
      <c r="L123" s="257">
        <f>COUNTIFS(РД[Тип кв],L$88,РД[МОП],$A123,РД[Дом],$C$119,РД[Дата подачи на регистрацию],"&lt;="&amp;$A$1,РД[Дата подачи на регистрацию],"&gt;="&amp;DATE(YEAR($A$1),MONTH($A$1),1))</f>
        <v>0</v>
      </c>
      <c r="M123" s="226">
        <f>COUNTIFS(РД[Тип кв],M$88,РД[МОП],$A123,РД[Дом],$C$119,РД[Дата подачи на регистрацию],"&lt;="&amp;$A$1,РД[Дата подачи на регистрацию],"&gt;="&amp;DATE(YEAR($A$1),MONTH($A$1),1))</f>
        <v>2</v>
      </c>
      <c r="N123" s="226">
        <f>COUNTIFS(РД[Тип кв],N$88,РД[МОП],$A123,РД[Дом],$C$119,РД[Дата подачи на регистрацию],"&lt;="&amp;$A$1,РД[Дата подачи на регистрацию],"&gt;="&amp;DATE(YEAR($A$1),MONTH($A$1),1))</f>
        <v>2</v>
      </c>
      <c r="O123" s="226">
        <f>COUNTIFS(РД[Тип кв],O$88,РД[МОП],$A123,РД[Дом],$C$119,РД[Дата подачи на регистрацию],"&lt;="&amp;$A$1,РД[Дата подачи на регистрацию],"&gt;="&amp;DATE(YEAR($A$1),MONTH($A$1),1))</f>
        <v>0</v>
      </c>
      <c r="P123" s="227">
        <f>COUNTIFS(РД[Тип кв],P$88,РД[МОП],$A123,РД[Дом],$C$119,РД[Дата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153" t="s">
        <v>24</v>
      </c>
      <c r="B124" s="143">
        <f>IFERROR(VLOOKUP(A124,'ИПП 1кв25'!$B$23:$N$34,10,0),"")</f>
        <v>49</v>
      </c>
      <c r="C124" s="144">
        <f>IFERROR(VLOOKUP(A124,'ИПП 1кв25'!$B$23:$N$34,11,0),"")</f>
        <v>5903566</v>
      </c>
      <c r="D124" s="199">
        <f>SUMIFS(Ф25[м2],Ф25[МОП],$A124,Ф25[№ дома],$C$119,Ф25[Комнатность],"&lt;&gt;Офис")</f>
        <v>111.03</v>
      </c>
      <c r="E124" s="200">
        <f>SUMIFS(Ф25[Сумма без отделки],Ф25[МОП],$A124,Ф25[№ дома],$C$119,Ф25[Комнатность],"&lt;&gt;Офис")</f>
        <v>14003318</v>
      </c>
      <c r="F124" s="201">
        <f>COUNTIFS(Ф25[МОП],$A124,Ф25[№ дома],$C$119,Ф25[Комнатность],"&lt;&gt;Офис")</f>
        <v>3</v>
      </c>
      <c r="G124" s="202">
        <f>SUMIFS(РД[S],РД[Дом],$C$119,РД[МОП],A124,РД[Дата подачи на регистрацию],"&lt;="&amp;$A$1,РД[Дата подачи на регистрацию],"&gt;="&amp;DATE(YEAR($A$1),MONTH($A$1),1),РД[Состояние],"Продажа")</f>
        <v>147.85999999999999</v>
      </c>
      <c r="H124" s="203">
        <f>SUMIFS(РД[Стоимость без отделки итог],РД[Дом],$C$119,РД[МОП],A124,РД[Дата подачи на регистрацию],"&lt;="&amp;$A$1,РД[Дата подачи на регистрацию],"&gt;="&amp;DATE(YEAR($A$1),MONTH($A$1),1),РД[Состояние],"Продажа")</f>
        <v>18616962</v>
      </c>
      <c r="I124" s="226">
        <f>COUNTIFS(РД[Дом],$C$119,РД[МОП],A124,РД[Дата подачи на регистрацию],"&lt;="&amp;$A$1,РД[Дата подачи на регистрацию],"&gt;="&amp;DATE(YEAR($A$1),MONTH($A$1),1),РД[Состояние],"Продажа")</f>
        <v>4</v>
      </c>
      <c r="J124" s="224">
        <f t="shared" si="16"/>
        <v>3.0175510204081628</v>
      </c>
      <c r="K124" s="225">
        <f t="shared" si="16"/>
        <v>3.1535112845354822</v>
      </c>
      <c r="L124" s="257">
        <f>COUNTIFS(РД[Тип кв],L$88,РД[МОП],$A124,РД[Дом],$C$119,РД[Дата подачи на регистрацию],"&lt;="&amp;$A$1,РД[Дата подачи на регистрацию],"&gt;="&amp;DATE(YEAR($A$1),MONTH($A$1),1))</f>
        <v>0</v>
      </c>
      <c r="M124" s="226">
        <f>COUNTIFS(РД[Тип кв],M$88,РД[МОП],$A124,РД[Дом],$C$119,РД[Дата подачи на регистрацию],"&lt;="&amp;$A$1,РД[Дата подачи на регистрацию],"&gt;="&amp;DATE(YEAR($A$1),MONTH($A$1),1))</f>
        <v>4</v>
      </c>
      <c r="N124" s="226">
        <f>COUNTIFS(РД[Тип кв],N$88,РД[МОП],$A124,РД[Дом],$C$119,РД[Дата подачи на регистрацию],"&lt;="&amp;$A$1,РД[Дата подачи на регистрацию],"&gt;="&amp;DATE(YEAR($A$1),MONTH($A$1),1))</f>
        <v>0</v>
      </c>
      <c r="O124" s="226">
        <f>COUNTIFS(РД[Тип кв],O$88,РД[МОП],$A124,РД[Дом],$C$119,РД[Дата подачи на регистрацию],"&lt;="&amp;$A$1,РД[Дата подачи на регистрацию],"&gt;="&amp;DATE(YEAR($A$1),MONTH($A$1),1))</f>
        <v>0</v>
      </c>
      <c r="P124" s="227">
        <f>COUNTIFS(РД[Тип кв],P$88,РД[МОП],$A124,РД[Дом],$C$119,РД[Дата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153" t="s">
        <v>14</v>
      </c>
      <c r="B125" s="143">
        <f>IFERROR(VLOOKUP(A125,'ИПП 1кв25'!$B$23:$N$34,10,0),"")</f>
        <v>49</v>
      </c>
      <c r="C125" s="144">
        <f>IFERROR(VLOOKUP(A125,'ИПП 1кв25'!$B$23:$N$34,11,0),"")</f>
        <v>5903566</v>
      </c>
      <c r="D125" s="299">
        <f>SUMIFS(Ф25[м2],Ф25[МОП],$A125,Ф25[№ дома],$C$119,Ф25[Комнатность],"&lt;&gt;Офис")</f>
        <v>127.27</v>
      </c>
      <c r="E125" s="300">
        <f>SUMIFS(Ф25[Сумма без отделки],Ф25[МОП],$A125,Ф25[№ дома],$C$119,Ф25[Комнатность],"&lt;&gt;Офис")</f>
        <v>15829380</v>
      </c>
      <c r="F125" s="301">
        <f>COUNTIFS(Ф25[МОП],$A125,Ф25[№ дома],$C$119,Ф25[Комнатность],"&lt;&gt;Офис")</f>
        <v>3</v>
      </c>
      <c r="G125" s="358">
        <f>SUMIFS(РД[S],РД[Дом],$C$119,РД[МОП],A125,РД[Дата подачи на регистрацию],"&lt;="&amp;$A$1,РД[Дата подачи на регистрацию],"&gt;="&amp;DATE(YEAR($A$1),MONTH($A$1),1),РД[Состояние],"Продажа")</f>
        <v>164.19</v>
      </c>
      <c r="H125" s="359">
        <f>SUMIFS(РД[Стоимость без отделки итог],РД[Дом],$C$119,РД[МОП],A125,РД[Дата подачи на регистрацию],"&lt;="&amp;$A$1,РД[Дата подачи на регистрацию],"&gt;="&amp;DATE(YEAR($A$1),MONTH($A$1),1),РД[Состояние],"Продажа")</f>
        <v>20626980</v>
      </c>
      <c r="I125" s="330">
        <f>COUNTIFS(РД[Дом],$C$119,РД[МОП],A125,РД[Дата подачи на регистрацию],"&lt;="&amp;$A$1,РД[Дата подачи на регистрацию],"&gt;="&amp;DATE(YEAR($A$1),MONTH($A$1),1),РД[Состояние],"Продажа")</f>
        <v>4</v>
      </c>
      <c r="J125" s="360">
        <f t="shared" si="16"/>
        <v>3.3508163265306123</v>
      </c>
      <c r="K125" s="361">
        <f t="shared" si="16"/>
        <v>3.4939865159464634</v>
      </c>
      <c r="L125" s="329">
        <f>COUNTIFS(РД[Тип кв],L$88,РД[МОП],$A125,РД[Дом],$C$119,РД[Дата подачи на регистрацию],"&lt;="&amp;$A$1,РД[Дата подачи на регистрацию],"&gt;="&amp;DATE(YEAR($A$1),MONTH($A$1),1))</f>
        <v>0</v>
      </c>
      <c r="M125" s="330">
        <f>COUNTIFS(РД[Тип кв],M$88,РД[МОП],$A125,РД[Дом],$C$119,РД[Дата подачи на регистрацию],"&lt;="&amp;$A$1,РД[Дата подачи на регистрацию],"&gt;="&amp;DATE(YEAR($A$1),MONTH($A$1),1))</f>
        <v>3</v>
      </c>
      <c r="N125" s="330">
        <f>COUNTIFS(РД[Тип кв],N$88,РД[МОП],$A125,РД[Дом],$C$119,РД[Дата подачи на регистрацию],"&lt;="&amp;$A$1,РД[Дата подачи на регистрацию],"&gt;="&amp;DATE(YEAR($A$1),MONTH($A$1),1))</f>
        <v>1</v>
      </c>
      <c r="O125" s="330">
        <f>COUNTIFS(РД[Тип кв],O$88,РД[МОП],$A125,РД[Дом],$C$119,РД[Дата подачи на регистрацию],"&lt;="&amp;$A$1,РД[Дата подачи на регистрацию],"&gt;="&amp;DATE(YEAR($A$1),MONTH($A$1),1))</f>
        <v>0</v>
      </c>
      <c r="P125" s="331">
        <f>COUNTIFS(РД[Тип кв],P$88,РД[МОП],$A125,РД[Дом],$C$119,РД[Дата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54" t="s">
        <v>29</v>
      </c>
      <c r="B126" s="155"/>
      <c r="C126" s="156"/>
      <c r="D126" s="157">
        <f>SUMIFS(Ф25[м2],Ф25[МОП],$A126,Ф25[№ дома],$C$119,Ф25[Комнатность],"&lt;&gt;Офис")</f>
        <v>0</v>
      </c>
      <c r="E126" s="156">
        <f>SUMIFS(Ф25[Сумма без отделки],Ф25[МОП],$A126,Ф25[№ дома],$C$119,Ф25[Комнатность],"&lt;&gt;Офис")</f>
        <v>0</v>
      </c>
      <c r="F126" s="158">
        <f>COUNTIFS(Ф25[МОП],$A126,Ф25[№ дома],$C$119,Ф25[Комнатность],"&lt;&gt;Офис")</f>
        <v>0</v>
      </c>
      <c r="G126" s="159">
        <f>SUMIFS(РД[S],РД[Дом],$C$119,РД[МОП],A126,РД[Дата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160">
        <f>SUMIFS(РД[Стоимость без отделки итог],РД[Дом],$C$119,РД[МОП],A126,РД[Дата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28">
        <f>COUNTIFS(РД[Дом],$C$119,РД[МОП],A126,РД[Дата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29">
        <f t="shared" si="16"/>
        <v>0</v>
      </c>
      <c r="K126" s="230">
        <f t="shared" si="16"/>
        <v>0</v>
      </c>
      <c r="L126" s="159">
        <f>COUNTIFS(РД[Тип кв],L$88,РД[МОП],$A126,РД[Дом],$C$119,РД[Дата подачи на регистрацию],"&lt;="&amp;$A$1,РД[Дата подачи на регистрацию],"&gt;="&amp;DATE(YEAR($A$1),MONTH($A$1),1))</f>
        <v>0</v>
      </c>
      <c r="M126" s="228">
        <f>COUNTIFS(РД[Тип кв],M$88,РД[МОП],$A126,РД[Дом],$C$119,РД[Дата подачи на регистрацию],"&lt;="&amp;$A$1,РД[Дата подачи на регистрацию],"&gt;="&amp;DATE(YEAR($A$1),MONTH($A$1),1))</f>
        <v>0</v>
      </c>
      <c r="N126" s="228">
        <f>COUNTIFS(РД[Тип кв],N$88,РД[МОП],$A126,РД[Дом],$C$119,РД[Дата подачи на регистрацию],"&lt;="&amp;$A$1,РД[Дата подачи на регистрацию],"&gt;="&amp;DATE(YEAR($A$1),MONTH($A$1),1))</f>
        <v>0</v>
      </c>
      <c r="O126" s="228">
        <f>COUNTIFS(РД[Тип кв],O$88,РД[МОП],$A126,РД[Дом],$C$119,РД[Дата подачи на регистрацию],"&lt;="&amp;$A$1,РД[Дата подачи на регистрацию],"&gt;="&amp;DATE(YEAR($A$1),MONTH($A$1),1))</f>
        <v>0</v>
      </c>
      <c r="P126" s="231">
        <f>COUNTIFS(РД[Тип кв],P$88,РД[МОП],$A126,РД[Дом],$C$119,РД[Дата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61" t="s">
        <v>1919</v>
      </c>
      <c r="B127" s="162"/>
      <c r="C127" s="163"/>
      <c r="D127" s="164">
        <f>SUMIFS(Ф25[м2],Ф25[МОП],$A127,Ф25[№ дома],$C$119,Ф25[Комнатность],"&lt;&gt;Офис")</f>
        <v>330.59</v>
      </c>
      <c r="E127" s="163">
        <f>SUMIFS(Ф25[Сумма без отделки],Ф25[МОП],$A127,Ф25[№ дома],$C$119,Ф25[Комнатность],"&lt;&gt;Офис")</f>
        <v>41621361</v>
      </c>
      <c r="F127" s="165">
        <f>COUNTIFS(Ф25[МОП],$A127,Ф25[№ дома],$C$119,Ф25[Комнатность],"&lt;&gt;Офис")</f>
        <v>8</v>
      </c>
      <c r="G127" s="166">
        <f>SUMIFS(РД[S],РД[Дом],$C$119,РД[МОП],A127,РД[Дата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H127" s="167">
        <f>SUMIFS(РД[Стоимость без отделки итог],РД[Дом],$C$119,РД[МОП],A127,РД[Дата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I127" s="232">
        <f>COUNTIFS(РД[Дом],$C$119,РД[МОП],A127,РД[Дата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J127" s="233">
        <f t="shared" si="16"/>
        <v>0</v>
      </c>
      <c r="K127" s="234">
        <f t="shared" si="16"/>
        <v>0</v>
      </c>
      <c r="L127" s="235">
        <f>COUNTIFS(РД[Тип кв],L$88,РД[МОП],$A127,РД[Дом],$C$119,РД[Дата подачи на регистрацию],"&lt;="&amp;$A$1,РД[Дата подачи на регистрацию],"&gt;="&amp;DATE(YEAR($A$1),MONTH($A$1),1))</f>
        <v>0</v>
      </c>
      <c r="M127" s="236">
        <f>COUNTIFS(РД[Тип кв],M$88,РД[МОП],$A127,РД[Дом],$C$119,РД[Дата подачи на регистрацию],"&lt;="&amp;$A$1,РД[Дата подачи на регистрацию],"&gt;="&amp;DATE(YEAR($A$1),MONTH($A$1),1))</f>
        <v>0</v>
      </c>
      <c r="N127" s="236">
        <f>COUNTIFS(РД[Тип кв],N$88,РД[МОП],$A127,РД[Дом],$C$119,РД[Дата подачи на регистрацию],"&lt;="&amp;$A$1,РД[Дата подачи на регистрацию],"&gt;="&amp;DATE(YEAR($A$1),MONTH($A$1),1))</f>
        <v>0</v>
      </c>
      <c r="O127" s="236">
        <f>COUNTIFS(РД[Тип кв],O$88,РД[МОП],$A127,РД[Дом],$C$119,РД[Дата подачи на регистрацию],"&lt;="&amp;$A$1,РД[Дата подачи на регистрацию],"&gt;="&amp;DATE(YEAR($A$1),MONTH($A$1),1))</f>
        <v>0</v>
      </c>
      <c r="P127" s="237">
        <f>COUNTIFS(РД[Тип кв],P$88,РД[МОП],$A127,РД[Дом],$C$119,РД[Дата подачи на регистрацию],"&lt;="&amp;$A$1,РД[Дата подачи на регистрацию],"&gt;="&amp;DATE(YEAR($A$1),MONTH($A$1),1))</f>
        <v>0</v>
      </c>
      <c r="Q127" s="134"/>
      <c r="U127" s="66"/>
    </row>
    <row r="128" spans="1:21" s="65" customFormat="1">
      <c r="A128" s="168" t="s">
        <v>114</v>
      </c>
      <c r="B128" s="169">
        <f t="shared" ref="B128:I128" si="17">SUM(B121:B127)</f>
        <v>195</v>
      </c>
      <c r="C128" s="170">
        <f t="shared" si="17"/>
        <v>23578485</v>
      </c>
      <c r="D128" s="170">
        <f t="shared" si="17"/>
        <v>774.7</v>
      </c>
      <c r="E128" s="170">
        <f t="shared" si="17"/>
        <v>95721907</v>
      </c>
      <c r="F128" s="171">
        <f t="shared" si="17"/>
        <v>18</v>
      </c>
      <c r="G128" s="172">
        <f t="shared" si="17"/>
        <v>818.77</v>
      </c>
      <c r="H128" s="173">
        <f t="shared" si="17"/>
        <v>100818363</v>
      </c>
      <c r="I128" s="170">
        <f t="shared" si="17"/>
        <v>19</v>
      </c>
      <c r="J128" s="238">
        <f t="shared" ref="J128:K128" si="18">IFERROR(G128/B128,"")</f>
        <v>4.1988205128205127</v>
      </c>
      <c r="K128" s="239">
        <f t="shared" si="18"/>
        <v>4.2758626349402853</v>
      </c>
      <c r="L128" s="240">
        <f>SUM(L121:L127)</f>
        <v>1</v>
      </c>
      <c r="M128" s="241">
        <f>SUM(M121:M127)</f>
        <v>13</v>
      </c>
      <c r="N128" s="241">
        <f>SUM(N121:N127)</f>
        <v>5</v>
      </c>
      <c r="O128" s="241">
        <f>SUM(O121:O127)</f>
        <v>0</v>
      </c>
      <c r="P128" s="242">
        <f>SUM(P121:P127)</f>
        <v>0</v>
      </c>
      <c r="Q128" s="134"/>
      <c r="U128" s="66"/>
    </row>
    <row r="129" spans="1:21" s="65" customFormat="1">
      <c r="A129" s="135" t="s">
        <v>115</v>
      </c>
      <c r="B129" s="213" t="s">
        <v>100</v>
      </c>
      <c r="C129" s="214" t="s">
        <v>97</v>
      </c>
      <c r="D129" s="174" t="s">
        <v>494</v>
      </c>
      <c r="E129" s="175" t="s">
        <v>495</v>
      </c>
      <c r="F129" s="176" t="s">
        <v>496</v>
      </c>
      <c r="G129" s="140" t="s">
        <v>101</v>
      </c>
      <c r="H129" s="141" t="s">
        <v>98</v>
      </c>
      <c r="I129" s="141" t="s">
        <v>96</v>
      </c>
      <c r="J129" s="141" t="s">
        <v>715</v>
      </c>
      <c r="K129" s="216" t="s">
        <v>716</v>
      </c>
      <c r="L129" s="217">
        <v>0</v>
      </c>
      <c r="M129" s="218">
        <v>1</v>
      </c>
      <c r="N129" s="218">
        <v>2</v>
      </c>
      <c r="O129" s="218">
        <v>3</v>
      </c>
      <c r="P129" s="219" t="s">
        <v>1367</v>
      </c>
      <c r="Q129" s="134"/>
      <c r="U129" s="66"/>
    </row>
    <row r="130" spans="1:21" s="65" customFormat="1">
      <c r="A130" s="177" t="s">
        <v>22</v>
      </c>
      <c r="B130" s="178">
        <f>IFERROR(VLOOKUP(A130,'ИПП 1кв25'!$B$23:$N$34,10,0),"")</f>
        <v>56.908163265306122</v>
      </c>
      <c r="C130" s="179">
        <f>IFERROR(VLOOKUP(A130,'ИПП 1кв25'!$B$23:$N$34,11,0),"")</f>
        <v>6881068.0714285718</v>
      </c>
      <c r="D130" s="180">
        <f>SUMIFS(Ф25[м2],Ф25[ИМ],A130,Ф25[№ дома],$C$119,Ф25[Комнатность],"&lt;&gt;Офис")</f>
        <v>0</v>
      </c>
      <c r="E130" s="181">
        <f>SUMIFS(Ф25[Сумма без отделки],Ф25[ИМ],$A130,Ф25[№ дома],$C$119,Ф25[Комнатность],"&lt;&gt;Офис")</f>
        <v>0</v>
      </c>
      <c r="F130" s="204">
        <f>COUNTIFS(Ф25[ИМ],$A130,Ф25[№ дома],$C$119,Ф25[Комнатность],"&lt;&gt;Офис")</f>
        <v>0</v>
      </c>
      <c r="G130" s="183">
        <f>SUMIFS(РД[S],РД[Дом],$C$119,РД[ИМ],A130,РД[Дата подачи на регистрацию],"&lt;="&amp;$A$1,РД[Дата подачи на регистрацию],"&gt;="&amp;DATE(YEAR($A$1),MONTH($A$1),1),РД[Состояние],"Продажа")</f>
        <v>0</v>
      </c>
      <c r="H130" s="184">
        <f>SUMIFS(РД[Стоимость без отделки итог],РД[Дом],$C$119,РД[ИМ],A130,РД[Дата подачи на регистрацию],"&lt;="&amp;$A$1,РД[Дата подачи на регистрацию],"&gt;="&amp;DATE(YEAR($A$1),MONTH($A$1),1),РД[Состояние],"Продажа")</f>
        <v>0</v>
      </c>
      <c r="I130" s="243">
        <f>COUNTIFS(РД[Дом],$C$119,РД[ИМ],A130,РД[Дата подачи на регистрацию],"&lt;="&amp;$A$1,РД[Дата подачи на регистрацию],"&gt;="&amp;DATE(YEAR($A$1),MONTH($A$1),1),РД[Состояние],"Продажа")</f>
        <v>0</v>
      </c>
      <c r="J130" s="244">
        <f t="shared" ref="J130:K132" si="19">IFERROR(G130/B130,"")</f>
        <v>0</v>
      </c>
      <c r="K130" s="258">
        <f t="shared" si="19"/>
        <v>0</v>
      </c>
      <c r="L130" s="183">
        <f>COUNTIFS(РД[Тип кв],L120,РД[ИМ],$A130,РД[Дом],$C$119,РД[Дата подачи на регистрацию],"&lt;="&amp;$A$1,РД[Дата подачи на регистрацию],"&gt;="&amp;DATE(YEAR($A$1),MONTH($A$1),1))</f>
        <v>0</v>
      </c>
      <c r="M130" s="243">
        <f>COUNTIFS(РД[Тип кв],M120,РД[ИМ],$A130,РД[Дом],$C$119,РД[Дата подачи на регистрацию],"&lt;="&amp;$A$1,РД[Дата подачи на регистрацию],"&gt;="&amp;DATE(YEAR($A$1),MONTH($A$1),1))</f>
        <v>0</v>
      </c>
      <c r="N130" s="243">
        <f>COUNTIFS(РД[Тип кв],N120,РД[ИМ],$A130,РД[Дом],$C$119,РД[Дата подачи на регистрацию],"&lt;="&amp;$A$1,РД[Дата подачи на регистрацию],"&gt;="&amp;DATE(YEAR($A$1),MONTH($A$1),1))</f>
        <v>0</v>
      </c>
      <c r="O130" s="243">
        <f>COUNTIFS(РД[Тип кв],O120,РД[ИМ],$A130,РД[Дом],$C$119,РД[Дата подачи на регистрацию],"&lt;="&amp;$A$1,РД[Дата подачи на регистрацию],"&gt;="&amp;DATE(YEAR($A$1),MONTH($A$1),1))</f>
        <v>0</v>
      </c>
      <c r="P130" s="246">
        <f>COUNTIFS(РД[Тип кв],P120,РД[ИМ],$A130,РД[Дом],$C$119,РД[Дата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150" t="s">
        <v>26</v>
      </c>
      <c r="B131" s="143">
        <f>IFERROR(VLOOKUP(A131,'ИПП 1кв25'!$B$23:$N$34,10,0),"")</f>
        <v>69.841836734693871</v>
      </c>
      <c r="C131" s="144">
        <f>IFERROR(VLOOKUP(A131,'ИПП 1кв25'!$B$23:$N$34,11,0),"")</f>
        <v>8444947.1785714272</v>
      </c>
      <c r="D131" s="205">
        <f>SUMIFS(Ф25[м2],Ф25[ИМ],A131,Ф25[№ дома],$C$119,Ф25[Комнатность],"&lt;&gt;Офис")</f>
        <v>0</v>
      </c>
      <c r="E131" s="206">
        <f>SUMIFS(Ф25[Сумма без отделки],Ф25[ИМ],$A131,Ф25[№ дома],$C$119,Ф25[Комнатность],"&lt;&gt;Офис")</f>
        <v>0</v>
      </c>
      <c r="F131" s="207">
        <f>COUNTIFS(Ф25[ИМ],$A131,Ф25[№ дома],$C$119,Ф25[Комнатность],"&lt;&gt;Офис")</f>
        <v>0</v>
      </c>
      <c r="G131" s="187">
        <f>SUMIFS(РД[S],РД[Дом],$C$119,РД[ИМ],A131,РД[Дата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H131" s="188">
        <f>SUMIFS(РД[Стоимость без отделки итог],РД[Дом],$C$119,РД[ИМ],A131,РД[Дата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I131" s="247">
        <f>COUNTIFS(РД[Дом],$C$119,РД[ИМ],A131,РД[Дата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J131" s="248">
        <f t="shared" si="19"/>
        <v>0</v>
      </c>
      <c r="K131" s="259">
        <f t="shared" si="19"/>
        <v>0</v>
      </c>
      <c r="L131" s="187">
        <f>COUNTIFS(РД[Тип кв],L$88,РД[ИМ],$A131,РД[Дом],$C$119,РД[Дата подачи на регистрацию],"&lt;="&amp;$A$1,РД[Дата подачи на регистрацию],"&gt;="&amp;DATE(YEAR($A$1),MONTH($A$1),1))</f>
        <v>0</v>
      </c>
      <c r="M131" s="247">
        <f>COUNTIFS(РД[Тип кв],M$88,РД[ИМ],$A131,РД[Дом],$C$119,РД[Дата подачи на регистрацию],"&lt;="&amp;$A$1,РД[Дата подачи на регистрацию],"&gt;="&amp;DATE(YEAR($A$1),MONTH($A$1),1))</f>
        <v>0</v>
      </c>
      <c r="N131" s="247">
        <f>COUNTIFS(РД[Тип кв],N$88,РД[ИМ],$A131,РД[Дом],$C$119,РД[Дата подачи на регистрацию],"&lt;="&amp;$A$1,РД[Дата подачи на регистрацию],"&gt;="&amp;DATE(YEAR($A$1),MONTH($A$1),1))</f>
        <v>0</v>
      </c>
      <c r="O131" s="247">
        <f>COUNTIFS(РД[Тип кв],O$88,РД[ИМ],$A131,РД[Дом],$C$119,РД[Дата подачи на регистрацию],"&lt;="&amp;$A$1,РД[Дата подачи на регистрацию],"&gt;="&amp;DATE(YEAR($A$1),MONTH($A$1),1))</f>
        <v>0</v>
      </c>
      <c r="P131" s="250">
        <f>COUNTIFS(РД[Тип кв],P$88,РД[ИМ],$A131,РД[Дом],$C$119,РД[Дата подачи на регистрацию],"&lt;="&amp;$A$1,РД[Дата подачи на регистрацию],"&gt;="&amp;DATE(YEAR($A$1),MONTH($A$1),1))</f>
        <v>0</v>
      </c>
      <c r="Q131" s="134"/>
      <c r="U131" s="66"/>
    </row>
    <row r="132" spans="1:21" s="65" customFormat="1">
      <c r="A132" s="189" t="s">
        <v>3</v>
      </c>
      <c r="B132" s="190">
        <f>IFERROR(VLOOKUP(A132,'ИПП 1кв25'!$B$23:$N$34,10,0),"")</f>
        <v>0</v>
      </c>
      <c r="C132" s="191">
        <f>IFERROR(VLOOKUP(A132,'ИПП 1кв25'!$B$23:$N$34,11,0),"")</f>
        <v>0</v>
      </c>
      <c r="D132" s="208">
        <f>SUMIFS(Ф25[м2],Ф25[ИМ],A132,Ф25[№ дома],$C$119,Ф25[Комнатность],"&lt;&gt;Офис")</f>
        <v>0</v>
      </c>
      <c r="E132" s="209">
        <f>SUMIFS(Ф25[Сумма без отделки],Ф25[ИМ],$A132,Ф25[№ дома],$C$119,Ф25[Комнатность],"&lt;&gt;Офис")</f>
        <v>0</v>
      </c>
      <c r="F132" s="210">
        <f>COUNTIFS(Ф25[ИМ],$A132,Ф25[№ дома],$C$119,Ф25[Комнатность],"&lt;&gt;Офис")</f>
        <v>0</v>
      </c>
      <c r="G132" s="195">
        <f>SUMIFS(РД[S],РД[Дом],$C$119,РД[ИМ],A132,РД[Дата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H132" s="196">
        <f>SUMIFS(РД[Стоимость без отделки итог],РД[Дом],$C$119,РД[ИМ],A132,РД[Дата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I132" s="251">
        <f>COUNTIFS(РД[Дом],$C$119,РД[ИМ],A132,РД[Дата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J132" s="252" t="str">
        <f t="shared" si="19"/>
        <v/>
      </c>
      <c r="K132" s="260" t="str">
        <f t="shared" si="19"/>
        <v/>
      </c>
      <c r="L132" s="195">
        <f>COUNTIFS(РД[Тип кв],L$88,РД[ИМ],$A132,РД[Дом],$C$119,РД[Дата подачи на регистрацию],"&lt;="&amp;$A$1,РД[Дата подачи на регистрацию],"&gt;="&amp;DATE(YEAR($A$1),MONTH($A$1),1))</f>
        <v>0</v>
      </c>
      <c r="M132" s="251">
        <f>COUNTIFS(РД[Тип кв],M$88,РД[ИМ],$A132,РД[Дом],$C$119,РД[Дата подачи на регистрацию],"&lt;="&amp;$A$1,РД[Дата подачи на регистрацию],"&gt;="&amp;DATE(YEAR($A$1),MONTH($A$1),1))</f>
        <v>0</v>
      </c>
      <c r="N132" s="251">
        <f>COUNTIFS(РД[Тип кв],N$88,РД[ИМ],$A132,РД[Дом],$C$119,РД[Дата подачи на регистрацию],"&lt;="&amp;$A$1,РД[Дата подачи на регистрацию],"&gt;="&amp;DATE(YEAR($A$1),MONTH($A$1),1))</f>
        <v>0</v>
      </c>
      <c r="O132" s="251">
        <f>COUNTIFS(РД[Тип кв],O$88,РД[ИМ],$A132,РД[Дом],$C$119,РД[Дата подачи на регистрацию],"&lt;="&amp;$A$1,РД[Дата подачи на регистрацию],"&gt;="&amp;DATE(YEAR($A$1),MONTH($A$1),1))</f>
        <v>0</v>
      </c>
      <c r="P132" s="254">
        <f>COUNTIFS(РД[Тип кв],P$88,РД[ИМ],$A132,РД[Дом],$C$119,РД[Дата подачи на регистрацию],"&lt;="&amp;$A$1,РД[Дата подачи на регистрацию],"&gt;="&amp;DATE(YEAR($A$1),MONTH($A$1),1))</f>
        <v>0</v>
      </c>
      <c r="Q132" s="134"/>
      <c r="U132" s="66"/>
    </row>
    <row r="133" spans="1:21" s="65" customFormat="1">
      <c r="A133" s="168" t="s">
        <v>114</v>
      </c>
      <c r="B133" s="169">
        <f t="shared" ref="B133:I133" si="20">SUM(B130:B132)</f>
        <v>126.75</v>
      </c>
      <c r="C133" s="170">
        <f t="shared" si="20"/>
        <v>15326015.25</v>
      </c>
      <c r="D133" s="170">
        <f t="shared" si="20"/>
        <v>0</v>
      </c>
      <c r="E133" s="170">
        <f t="shared" si="20"/>
        <v>0</v>
      </c>
      <c r="F133" s="171">
        <f t="shared" si="20"/>
        <v>0</v>
      </c>
      <c r="G133" s="172">
        <f t="shared" si="20"/>
        <v>0</v>
      </c>
      <c r="H133" s="173">
        <f t="shared" si="20"/>
        <v>0</v>
      </c>
      <c r="I133" s="170">
        <f t="shared" si="20"/>
        <v>0</v>
      </c>
      <c r="J133" s="238">
        <f>IFERROR(G133/B133,)</f>
        <v>0</v>
      </c>
      <c r="K133" s="239">
        <f>IFERROR(H133/C133,)</f>
        <v>0</v>
      </c>
      <c r="L133" s="240">
        <f t="shared" ref="L133:P133" si="21">SUM(L130:L132)</f>
        <v>0</v>
      </c>
      <c r="M133" s="241">
        <f t="shared" si="21"/>
        <v>0</v>
      </c>
      <c r="N133" s="241">
        <f t="shared" si="21"/>
        <v>0</v>
      </c>
      <c r="O133" s="241">
        <f t="shared" si="21"/>
        <v>0</v>
      </c>
      <c r="P133" s="242">
        <f t="shared" si="21"/>
        <v>0</v>
      </c>
      <c r="Q133" s="134"/>
      <c r="U133" s="66"/>
    </row>
    <row r="134" spans="1:21" s="65" customFormat="1">
      <c r="A134" s="134"/>
      <c r="B134" s="197"/>
      <c r="C134" s="197"/>
      <c r="D134" s="197"/>
      <c r="E134" s="197"/>
      <c r="F134" s="215"/>
      <c r="G134" s="197"/>
      <c r="H134" s="197"/>
      <c r="I134" s="215"/>
      <c r="J134" s="255"/>
      <c r="K134" s="256"/>
      <c r="L134" s="215"/>
      <c r="M134" s="215"/>
      <c r="N134" s="215"/>
      <c r="O134" s="215"/>
      <c r="P134" s="215"/>
      <c r="Q134" s="134"/>
      <c r="U134" s="66"/>
    </row>
    <row r="135" spans="1:21" s="65" customFormat="1">
      <c r="A135" s="2325" t="s">
        <v>713</v>
      </c>
      <c r="B135" s="2326"/>
      <c r="C135" s="133" t="s">
        <v>718</v>
      </c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T135" s="66"/>
    </row>
    <row r="136" spans="1:21" s="65" customFormat="1">
      <c r="A136" s="135" t="s">
        <v>1</v>
      </c>
      <c r="B136" s="135" t="s">
        <v>100</v>
      </c>
      <c r="C136" s="136" t="s">
        <v>97</v>
      </c>
      <c r="D136" s="137" t="s">
        <v>494</v>
      </c>
      <c r="E136" s="138" t="s">
        <v>495</v>
      </c>
      <c r="F136" s="139" t="s">
        <v>496</v>
      </c>
      <c r="G136" s="140" t="s">
        <v>101</v>
      </c>
      <c r="H136" s="141" t="s">
        <v>98</v>
      </c>
      <c r="I136" s="141" t="s">
        <v>96</v>
      </c>
      <c r="J136" s="141" t="s">
        <v>715</v>
      </c>
      <c r="K136" s="216" t="s">
        <v>716</v>
      </c>
      <c r="L136" s="217">
        <v>0</v>
      </c>
      <c r="M136" s="218">
        <v>1</v>
      </c>
      <c r="N136" s="218">
        <v>2</v>
      </c>
      <c r="O136" s="218">
        <v>3</v>
      </c>
      <c r="P136" s="219" t="s">
        <v>1367</v>
      </c>
      <c r="T136" s="66"/>
    </row>
    <row r="137" spans="1:21" s="65" customFormat="1">
      <c r="A137" s="142" t="s">
        <v>28</v>
      </c>
      <c r="B137" s="143">
        <f>IFERROR(VLOOKUP(A137,'ИПП 1кв25'!$B$23:$N$34,12,0),"")</f>
        <v>206</v>
      </c>
      <c r="C137" s="144">
        <f>IFERROR(VLOOKUP(A137,'ИПП 1кв25'!$B$23:$N$34,13,0),"")</f>
        <v>26104824</v>
      </c>
      <c r="D137" s="199">
        <f>SUMIFS(Ф25[м2],Ф25[МОП],$A137,Ф25[Комнатность],"&lt;&gt;Офис")</f>
        <v>94.550000000000011</v>
      </c>
      <c r="E137" s="200">
        <f>SUMIFS(Ф25[Сумма без отделки],Ф25[МОП],$A137,Ф25[Комнатность],"&lt;&gt;Офис")</f>
        <v>11719340</v>
      </c>
      <c r="F137" s="201">
        <f>COUNTIFS(Ф25[МОП],$A137,Ф25[Комнатность],"&lt;&gt;Офис")</f>
        <v>2</v>
      </c>
      <c r="G137" s="202">
        <f>SUMIFS(РД[S],РД[МОП],A137,РД[Дата подачи на регистрацию],"&lt;="&amp;$A$1,РД[Дата подачи на регистрацию],"&gt;="&amp;DATE(YEAR($A$1),MONTH($A$1),1),РД[Состояние],"Продажа")</f>
        <v>123.99000000000001</v>
      </c>
      <c r="H137" s="203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15779872</v>
      </c>
      <c r="I137" s="226">
        <f>COUNTIFS(РД[МОП],A137,РД[Дата подачи на регистрацию],"&lt;="&amp;$A$1,РД[Дата подачи на регистрацию],"&gt;="&amp;DATE(YEAR($A$1),MONTH($A$1),1),РД[Состояние],"Продажа")</f>
        <v>3</v>
      </c>
      <c r="J137" s="224">
        <f t="shared" ref="J137:K144" si="22">IFERROR(G137/B137,"")</f>
        <v>0.60189320388349521</v>
      </c>
      <c r="K137" s="225">
        <f t="shared" si="22"/>
        <v>0.60448107215739133</v>
      </c>
      <c r="L137" s="257">
        <f>COUNTIFS(РД[Тип кв],L$88,РД[МОП],$A137,РД[Дата подачи на регистрацию],"&lt;="&amp;$A$1,РД[Дата подачи на регистрацию],"&gt;="&amp;DATE(YEAR($A$1),MONTH($A$1),1))</f>
        <v>1</v>
      </c>
      <c r="M137" s="226">
        <f>COUNTIFS(РД[Тип кв],M$88,РД[МОП],$A137,РД[Дата подачи на регистрацию],"&lt;="&amp;$A$1,РД[Дата подачи на регистрацию],"&gt;="&amp;DATE(YEAR($A$1),MONTH($A$1),1))</f>
        <v>1</v>
      </c>
      <c r="N137" s="226">
        <f>COUNTIFS(РД[Тип кв],N$88,РД[МОП],$A137,РД[Дата подачи на регистрацию],"&lt;="&amp;$A$1,РД[Дата подачи на регистрацию],"&gt;="&amp;DATE(YEAR($A$1),MONTH($A$1),1))</f>
        <v>1</v>
      </c>
      <c r="O137" s="226">
        <f>COUNTIFS(РД[Тип кв],O$88,РД[МОП],$A137,РД[Дата подачи на регистрацию],"&lt;="&amp;$A$1,РД[Дата подачи на регистрацию],"&gt;="&amp;DATE(YEAR($A$1),MONTH($A$1),1))</f>
        <v>0</v>
      </c>
      <c r="P137" s="227">
        <f>COUNTIFS(РД[Тип кв],P$88,РД[МОП],$A137,РД[Дата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42" t="s">
        <v>8</v>
      </c>
      <c r="B138" s="143">
        <f>IFERROR(VLOOKUP(A138,'ИПП 1кв25'!$B$23:$N$34,12,0),"")</f>
        <v>161</v>
      </c>
      <c r="C138" s="144">
        <f>IFERROR(VLOOKUP(A138,'ИПП 1кв25'!$B$23:$N$34,13,0),"")</f>
        <v>20429863</v>
      </c>
      <c r="D138" s="199">
        <f>SUMIFS(Ф25[м2],Ф25[МОП],$A138,Ф25[Комнатность],"&lt;&gt;Офис")</f>
        <v>322.98999999999995</v>
      </c>
      <c r="E138" s="200">
        <f>SUMIFS(Ф25[Сумма без отделки],Ф25[МОП],$A138,Ф25[Комнатность],"&lt;&gt;Офис")</f>
        <v>39449934</v>
      </c>
      <c r="F138" s="201">
        <f>COUNTIFS(Ф25[МОП],$A138,Ф25[Комнатность],"&lt;&gt;Офис")</f>
        <v>6</v>
      </c>
      <c r="G138" s="202">
        <f>SUMIFS(РД[S],РД[МОП],A138,РД[Дата подачи на регистрацию],"&lt;="&amp;$A$1,РД[Дата подачи на регистрацию],"&gt;="&amp;DATE(YEAR($A$1),MONTH($A$1),1),РД[Состояние],"Продажа")</f>
        <v>448.03999999999996</v>
      </c>
      <c r="H138" s="203">
        <f>SUMIFS(РД[Стоимость без отделки итог],РД[МОП],A138,РД[Дата подачи на регистрацию],"&lt;="&amp;$A$1,РД[Дата подачи на регистрацию],"&gt;="&amp;DATE(YEAR($A$1),MONTH($A$1),1),РД[Состояние],"Продажа")</f>
        <v>55273890</v>
      </c>
      <c r="I138" s="226">
        <f>COUNTIFS(РД[МОП],A138,РД[Дата подачи на регистрацию],"&lt;="&amp;$A$1,РД[Дата подачи на регистрацию],"&gt;="&amp;DATE(YEAR($A$1),MONTH($A$1),1),РД[Состояние],"Продажа")</f>
        <v>9</v>
      </c>
      <c r="J138" s="224">
        <f t="shared" si="22"/>
        <v>2.7828571428571425</v>
      </c>
      <c r="K138" s="225">
        <f t="shared" si="22"/>
        <v>2.7055438404065657</v>
      </c>
      <c r="L138" s="257">
        <f>COUNTIFS(РД[Тип кв],L$88,РД[МОП],$A138,РД[Дата подачи на регистрацию],"&lt;="&amp;$A$1,РД[Дата подачи на регистрацию],"&gt;="&amp;DATE(YEAR($A$1),MONTH($A$1),1))</f>
        <v>1</v>
      </c>
      <c r="M138" s="226">
        <f>COUNTIFS(РД[Тип кв],M$88,РД[МОП],$A138,РД[Дата подачи на регистрацию],"&lt;="&amp;$A$1,РД[Дата подачи на регистрацию],"&gt;="&amp;DATE(YEAR($A$1),MONTH($A$1),1))</f>
        <v>3</v>
      </c>
      <c r="N138" s="226">
        <f>COUNTIFS(РД[Тип кв],N$88,РД[МОП],$A138,РД[Дата подачи на регистрацию],"&lt;="&amp;$A$1,РД[Дата подачи на регистрацию],"&gt;="&amp;DATE(YEAR($A$1),MONTH($A$1),1))</f>
        <v>5</v>
      </c>
      <c r="O138" s="226">
        <f>COUNTIFS(РД[Тип кв],O$88,РД[МОП],$A138,РД[Дата подачи на регистрацию],"&lt;="&amp;$A$1,РД[Дата подачи на регистрацию],"&gt;="&amp;DATE(YEAR($A$1),MONTH($A$1),1))</f>
        <v>0</v>
      </c>
      <c r="P138" s="227">
        <f>COUNTIFS(РД[Тип кв],P$88,РД[МОП],$A138,РД[Дата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50" t="s">
        <v>20</v>
      </c>
      <c r="B139" s="143">
        <f>IFERROR(VLOOKUP(A139,'ИПП 1кв25'!$B$23:$N$34,12,0),"")</f>
        <v>370</v>
      </c>
      <c r="C139" s="144">
        <f>IFERROR(VLOOKUP(A139,'ИПП 1кв25'!$B$23:$N$34,13,0),"")</f>
        <v>46818436</v>
      </c>
      <c r="D139" s="199">
        <f>SUMIFS(Ф25[м2],Ф25[МОП],$A139,Ф25[Комнатность],"&lt;&gt;Офис")</f>
        <v>89.61</v>
      </c>
      <c r="E139" s="200">
        <f>SUMIFS(Ф25[Сумма без отделки],Ф25[МОП],$A139,Ф25[Комнатность],"&lt;&gt;Офис")</f>
        <v>11267690</v>
      </c>
      <c r="F139" s="201">
        <f>COUNTIFS(Ф25[МОП],$A139,Ф25[Комнатность],"&lt;&gt;Офис")</f>
        <v>2</v>
      </c>
      <c r="G139" s="202">
        <f>SUMIFS(РД[S],РД[МОП],A139,РД[Дата подачи на регистрацию],"&lt;="&amp;$A$1,РД[Дата подачи на регистрацию],"&gt;="&amp;DATE(YEAR($A$1),MONTH($A$1),1),РД[Состояние],"Продажа")</f>
        <v>236.07</v>
      </c>
      <c r="H139" s="203">
        <f>SUMIFS(РД[Стоимость без отделки итог],РД[МОП],A139,РД[Дата подачи на регистрацию],"&lt;="&amp;$A$1,РД[Дата подачи на регистрацию],"&gt;="&amp;DATE(YEAR($A$1),MONTH($A$1),1),РД[Состояние],"Продажа")</f>
        <v>28689775</v>
      </c>
      <c r="I139" s="226">
        <f>COUNTIFS(РД[МОП],A139,РД[Дата подачи на регистрацию],"&lt;="&amp;$A$1,РД[Дата подачи на регистрацию],"&gt;="&amp;DATE(YEAR($A$1),MONTH($A$1),1),РД[Состояние],"Продажа")</f>
        <v>5</v>
      </c>
      <c r="J139" s="224">
        <f t="shared" si="22"/>
        <v>0.63802702702702696</v>
      </c>
      <c r="K139" s="225">
        <f t="shared" si="22"/>
        <v>0.61278798377630561</v>
      </c>
      <c r="L139" s="257">
        <f>COUNTIFS(РД[Тип кв],L$88,РД[МОП],$A139,РД[Дата подачи на регистрацию],"&lt;="&amp;$A$1,РД[Дата подачи на регистрацию],"&gt;="&amp;DATE(YEAR($A$1),MONTH($A$1),1))</f>
        <v>0</v>
      </c>
      <c r="M139" s="226">
        <f>COUNTIFS(РД[Тип кв],M$88,РД[МОП],$A139,РД[Дата подачи на регистрацию],"&lt;="&amp;$A$1,РД[Дата подачи на регистрацию],"&gt;="&amp;DATE(YEAR($A$1),MONTH($A$1),1))</f>
        <v>3</v>
      </c>
      <c r="N139" s="226">
        <f>COUNTIFS(РД[Тип кв],N$88,РД[МОП],$A139,РД[Дата подачи на регистрацию],"&lt;="&amp;$A$1,РД[Дата подачи на регистрацию],"&gt;="&amp;DATE(YEAR($A$1),MONTH($A$1),1))</f>
        <v>3</v>
      </c>
      <c r="O139" s="226">
        <f>COUNTIFS(РД[Тип кв],O$88,РД[МОП],$A139,РД[Дата подачи на регистрацию],"&lt;="&amp;$A$1,РД[Дата подачи на регистрацию],"&gt;="&amp;DATE(YEAR($A$1),MONTH($A$1),1))</f>
        <v>0</v>
      </c>
      <c r="P139" s="227">
        <f>COUNTIFS(РД[Тип кв],P$88,РД[МОП],$A139,РД[Дата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53" t="s">
        <v>24</v>
      </c>
      <c r="B140" s="143">
        <f>IFERROR(VLOOKUP(A140,'ИПП 1кв25'!$B$23:$N$34,12,0),"")</f>
        <v>370</v>
      </c>
      <c r="C140" s="144">
        <f>IFERROR(VLOOKUP(A140,'ИПП 1кв25'!$B$23:$N$34,13,0),"")</f>
        <v>46818436</v>
      </c>
      <c r="D140" s="199">
        <f>SUMIFS(Ф25[м2],Ф25[МОП],$A140,Ф25[Комнатность],"&lt;&gt;Офис")</f>
        <v>148.76</v>
      </c>
      <c r="E140" s="200">
        <f>SUMIFS(Ф25[Сумма без отделки],Ф25[МОП],$A140,Ф25[Комнатность],"&lt;&gt;Офис")</f>
        <v>19411546</v>
      </c>
      <c r="F140" s="201">
        <f>COUNTIFS(Ф25[МОП],$A140,Ф25[Комнатность],"&lt;&gt;Офис")</f>
        <v>4</v>
      </c>
      <c r="G140" s="202">
        <f>SUMIFS(РД[S],РД[МОП],A140,РД[Дата подачи на регистрацию],"&lt;="&amp;$A$1,РД[Дата подачи на регистрацию],"&gt;="&amp;DATE(YEAR($A$1),MONTH($A$1),1),РД[Состояние],"Продажа")</f>
        <v>284.56</v>
      </c>
      <c r="H140" s="203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36769404</v>
      </c>
      <c r="I140" s="226">
        <f>COUNTIFS(РД[МОП],A140,РД[Дата подачи на регистрацию],"&lt;="&amp;$A$1,РД[Дата подачи на регистрацию],"&gt;="&amp;DATE(YEAR($A$1),MONTH($A$1),1),РД[Состояние],"Продажа")</f>
        <v>7</v>
      </c>
      <c r="J140" s="224">
        <f t="shared" si="22"/>
        <v>0.76908108108108109</v>
      </c>
      <c r="K140" s="225">
        <f t="shared" si="22"/>
        <v>0.78536164685210763</v>
      </c>
      <c r="L140" s="325">
        <f>COUNTIFS(РД[Тип кв],L$88,РД[МОП],$A140,РД[Дата подачи на регистрацию],"&lt;="&amp;$A$1,РД[Дата подачи на регистрацию],"&gt;="&amp;DATE(YEAR($A$1),MONTH($A$1),1))</f>
        <v>0</v>
      </c>
      <c r="M140" s="326">
        <f>COUNTIFS(РД[Тип кв],M$88,РД[МОП],$A140,РД[Дата подачи на регистрацию],"&lt;="&amp;$A$1,РД[Дата подачи на регистрацию],"&gt;="&amp;DATE(YEAR($A$1),MONTH($A$1),1))</f>
        <v>6</v>
      </c>
      <c r="N140" s="326">
        <f>COUNTIFS(РД[Тип кв],N$88,РД[МОП],$A140,РД[Дата подачи на регистрацию],"&lt;="&amp;$A$1,РД[Дата подачи на регистрацию],"&gt;="&amp;DATE(YEAR($A$1),MONTH($A$1),1))</f>
        <v>1</v>
      </c>
      <c r="O140" s="326">
        <f>COUNTIFS(РД[Тип кв],O$88,РД[МОП],$A140,РД[Дата подачи на регистрацию],"&lt;="&amp;$A$1,РД[Дата подачи на регистрацию],"&gt;="&amp;DATE(YEAR($A$1),MONTH($A$1),1))</f>
        <v>0</v>
      </c>
      <c r="P140" s="327">
        <f>COUNTIFS(РД[Тип кв],P$88,РД[МОП],$A140,РД[Дата подачи на регистрацию],"&lt;="&amp;$A$1,РД[Дата подачи на регистрацию],"&gt;="&amp;DATE(YEAR($A$1),MONTH($A$1),1))</f>
        <v>0</v>
      </c>
      <c r="T140" s="66"/>
    </row>
    <row r="141" spans="1:21" s="65" customFormat="1">
      <c r="A141" s="153" t="s">
        <v>14</v>
      </c>
      <c r="B141" s="143">
        <f>IFERROR(VLOOKUP(A141,'ИПП 1кв25'!$B$23:$N$34,12,0),"")</f>
        <v>370</v>
      </c>
      <c r="C141" s="144">
        <f>IFERROR(VLOOKUP(A141,'ИПП 1кв25'!$B$23:$N$34,13,0),"")</f>
        <v>46818436</v>
      </c>
      <c r="D141" s="299">
        <f>SUMIFS(Ф25[м2],Ф25[МОП],$A141,Ф25[Комнатность],"&lt;&gt;Офис")</f>
        <v>254.67000000000002</v>
      </c>
      <c r="E141" s="300">
        <f>SUMIFS(Ф25[Сумма без отделки],Ф25[МОП],$A141,Ф25[Комнатность],"&lt;&gt;Офис")</f>
        <v>33157431</v>
      </c>
      <c r="F141" s="301">
        <f>COUNTIFS(Ф25[МОП],$A141,Ф25[Комнатность],"&lt;&gt;Офис")</f>
        <v>7</v>
      </c>
      <c r="G141" s="358">
        <f>SUMIFS(РД[S],РД[МОП],A141,РД[Дата подачи на регистрацию],"&lt;="&amp;$A$1,РД[Дата подачи на регистрацию],"&gt;="&amp;DATE(YEAR($A$1),MONTH($A$1),1),РД[Состояние],"Продажа")</f>
        <v>291.16999999999996</v>
      </c>
      <c r="H141" s="359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38225426</v>
      </c>
      <c r="I141" s="330">
        <f>COUNTIFS(РД[МОП],A141,РД[Дата подачи на регистрацию],"&lt;="&amp;$A$1,РД[Дата подачи на регистрацию],"&gt;="&amp;DATE(YEAR($A$1),MONTH($A$1),1),РД[Состояние],"Продажа")</f>
        <v>8</v>
      </c>
      <c r="J141" s="360">
        <f t="shared" si="22"/>
        <v>0.7869459459459458</v>
      </c>
      <c r="K141" s="361">
        <f t="shared" si="22"/>
        <v>0.81646097703904508</v>
      </c>
      <c r="L141" s="364">
        <f>COUNTIFS(РД[Тип кв],L$88,РД[МОП],$A141,РД[Дата подачи на регистрацию],"&lt;="&amp;$A$1,РД[Дата подачи на регистрацию],"&gt;="&amp;DATE(YEAR($A$1),MONTH($A$1),1))</f>
        <v>2</v>
      </c>
      <c r="M141" s="365">
        <f>COUNTIFS(РД[Тип кв],M$88,РД[МОП],$A141,РД[Дата подачи на регистрацию],"&lt;="&amp;$A$1,РД[Дата подачи на регистрацию],"&gt;="&amp;DATE(YEAR($A$1),MONTH($A$1),1))</f>
        <v>5</v>
      </c>
      <c r="N141" s="365">
        <f>COUNTIFS(РД[Тип кв],N$88,РД[МОП],$A141,РД[Дата подачи на регистрацию],"&lt;="&amp;$A$1,РД[Дата подачи на регистрацию],"&gt;="&amp;DATE(YEAR($A$1),MONTH($A$1),1))</f>
        <v>1</v>
      </c>
      <c r="O141" s="365">
        <f>COUNTIFS(РД[Тип кв],O$88,РД[МОП],$A141,РД[Дата подачи на регистрацию],"&lt;="&amp;$A$1,РД[Дата подачи на регистрацию],"&gt;="&amp;DATE(YEAR($A$1),MONTH($A$1),1))</f>
        <v>0</v>
      </c>
      <c r="P141" s="366">
        <f>COUNTIFS(РД[Тип кв],P$88,РД[МОП],$A141,РД[Дата подачи на регистрацию],"&lt;="&amp;$A$1,РД[Дата подачи на регистрацию],"&gt;="&amp;DATE(YEAR($A$1),MONTH($A$1),1))</f>
        <v>0</v>
      </c>
      <c r="Q141" s="86"/>
      <c r="R141" s="86"/>
      <c r="S141" s="86"/>
      <c r="T141" s="66"/>
    </row>
    <row r="142" spans="1:21" s="65" customFormat="1">
      <c r="A142" s="154" t="s">
        <v>29</v>
      </c>
      <c r="B142" s="155"/>
      <c r="C142" s="156"/>
      <c r="D142" s="157">
        <f>SUMIFS(Ф25[м2],Ф25[МОП],$A142,Ф25[Комнатность],"&lt;&gt;Офис")</f>
        <v>0</v>
      </c>
      <c r="E142" s="156">
        <f>SUMIFS(Ф25[Сумма без отделки],Ф25[МОП],$A142,Ф25[Комнатность],"&lt;&gt;Офис")</f>
        <v>0</v>
      </c>
      <c r="F142" s="158">
        <f>COUNTIFS(Ф25[МОП],$A142,Ф25[Комнатность],"&lt;&gt;Офис")</f>
        <v>0</v>
      </c>
      <c r="G142" s="159">
        <f>SUMIFS(РД[S],РД[МОП],A142,РД[Дата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160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28">
        <f>COUNTIFS(РД[МОП],A142,РД[Дата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29" t="str">
        <f t="shared" si="22"/>
        <v/>
      </c>
      <c r="K142" s="230" t="str">
        <f t="shared" si="22"/>
        <v/>
      </c>
      <c r="L142" s="159">
        <f>COUNTIFS(РД[Тип кв],L$88,РД[МОП],$A142,РД[Дата подачи на регистрацию],"&lt;="&amp;$A$1,РД[Дата подачи на регистрацию],"&gt;="&amp;DATE(YEAR($A$1),MONTH($A$1),1))</f>
        <v>0</v>
      </c>
      <c r="M142" s="228">
        <f>COUNTIFS(РД[Тип кв],M$88,РД[МОП],$A142,РД[Дата подачи на регистрацию],"&lt;="&amp;$A$1,РД[Дата подачи на регистрацию],"&gt;="&amp;DATE(YEAR($A$1),MONTH($A$1),1))</f>
        <v>0</v>
      </c>
      <c r="N142" s="228">
        <f>COUNTIFS(РД[Тип кв],N$88,РД[МОП],$A142,РД[Дата подачи на регистрацию],"&lt;="&amp;$A$1,РД[Дата подачи на регистрацию],"&gt;="&amp;DATE(YEAR($A$1),MONTH($A$1),1))</f>
        <v>0</v>
      </c>
      <c r="O142" s="228">
        <f>COUNTIFS(РД[Тип кв],O$88,РД[МОП],$A142,РД[Дата подачи на регистрацию],"&lt;="&amp;$A$1,РД[Дата подачи на регистрацию],"&gt;="&amp;DATE(YEAR($A$1),MONTH($A$1),1))</f>
        <v>0</v>
      </c>
      <c r="P142" s="231">
        <f>COUNTIFS(РД[Тип кв],P$88,РД[МОП],$A142,РД[Дата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61" t="s">
        <v>1919</v>
      </c>
      <c r="B143" s="162"/>
      <c r="C143" s="163"/>
      <c r="D143" s="164">
        <f>SUMIFS(Ф25[м2],Ф25[МОП],$A143,Ф25[Комнатность],"&lt;&gt;Офис")</f>
        <v>513.15</v>
      </c>
      <c r="E143" s="163">
        <f>SUMIFS(Ф25[Сумма без отделки],Ф25[МОП],$A143,Ф25[Комнатность],"&lt;&gt;Офис")</f>
        <v>65819685</v>
      </c>
      <c r="F143" s="165">
        <f>COUNTIFS(Ф25[МОП],$A143,Ф25[Комнатность],"&lt;&gt;Офис")</f>
        <v>12</v>
      </c>
      <c r="G143" s="166">
        <f>SUMIFS(РД[S],РД[МОП],A143,РД[Дата подачи на регистрацию],"&lt;="&amp;$A$1,РД[Дата подачи на регистрацию],"&gt;="&amp;DATE(YEAR($A$1),MONTH($A$1),1),РД[Состояние],"Продажа")</f>
        <v>0</v>
      </c>
      <c r="H143" s="167">
        <f>SUMIFS(РД[Стоимость без отделки итог],РД[МОП],A143,РД[Дата подачи на регистрацию],"&lt;="&amp;$A$1,РД[Дата подачи на регистрацию],"&gt;="&amp;DATE(YEAR($A$1),MONTH($A$1),1),РД[Состояние],"Продажа")</f>
        <v>0</v>
      </c>
      <c r="I143" s="232">
        <f>COUNTIFS(РД[МОП],A143,РД[Дата подачи на регистрацию],"&lt;="&amp;$A$1,РД[Дата подачи на регистрацию],"&gt;="&amp;DATE(YEAR($A$1),MONTH($A$1),1),РД[Состояние],"Продажа")</f>
        <v>0</v>
      </c>
      <c r="J143" s="233" t="str">
        <f t="shared" si="22"/>
        <v/>
      </c>
      <c r="K143" s="234" t="str">
        <f t="shared" si="22"/>
        <v/>
      </c>
      <c r="L143" s="235">
        <f>COUNTIFS(РД[Тип кв],L$88,РД[МОП],$A143,РД[Дата подачи на регистрацию],"&lt;="&amp;$A$1,РД[Дата подачи на регистрацию],"&gt;="&amp;DATE(YEAR($A$1),MONTH($A$1),1))</f>
        <v>0</v>
      </c>
      <c r="M143" s="236">
        <f>COUNTIFS(РД[Тип кв],M$88,РД[МОП],$A143,РД[Дата подачи на регистрацию],"&lt;="&amp;$A$1,РД[Дата подачи на регистрацию],"&gt;="&amp;DATE(YEAR($A$1),MONTH($A$1),1))</f>
        <v>0</v>
      </c>
      <c r="N143" s="236">
        <f>COUNTIFS(РД[Тип кв],N$88,РД[МОП],$A143,РД[Дата подачи на регистрацию],"&lt;="&amp;$A$1,РД[Дата подачи на регистрацию],"&gt;="&amp;DATE(YEAR($A$1),MONTH($A$1),1))</f>
        <v>0</v>
      </c>
      <c r="O143" s="236">
        <f>COUNTIFS(РД[Тип кв],O$88,РД[МОП],$A143,РД[Дата подачи на регистрацию],"&lt;="&amp;$A$1,РД[Дата подачи на регистрацию],"&gt;="&amp;DATE(YEAR($A$1),MONTH($A$1),1))</f>
        <v>0</v>
      </c>
      <c r="P143" s="237">
        <f>COUNTIFS(РД[Тип кв],P$88,РД[МОП],$A143,РД[Дата подачи на регистрацию],"&lt;="&amp;$A$1,РД[Дата подачи на регистрацию],"&gt;="&amp;DATE(YEAR($A$1),MONTH($A$1),1))</f>
        <v>0</v>
      </c>
      <c r="T143" s="66"/>
    </row>
    <row r="144" spans="1:21" s="65" customFormat="1">
      <c r="A144" s="168" t="s">
        <v>114</v>
      </c>
      <c r="B144" s="169">
        <f t="shared" ref="B144:I144" si="23">SUM(B137:B143)</f>
        <v>1477</v>
      </c>
      <c r="C144" s="170">
        <f t="shared" si="23"/>
        <v>186989995</v>
      </c>
      <c r="D144" s="170">
        <f t="shared" si="23"/>
        <v>1423.73</v>
      </c>
      <c r="E144" s="170">
        <f t="shared" si="23"/>
        <v>180825626</v>
      </c>
      <c r="F144" s="171">
        <f t="shared" si="23"/>
        <v>33</v>
      </c>
      <c r="G144" s="172">
        <f t="shared" si="23"/>
        <v>1383.83</v>
      </c>
      <c r="H144" s="173">
        <f t="shared" si="23"/>
        <v>174738367</v>
      </c>
      <c r="I144" s="170">
        <f t="shared" si="23"/>
        <v>32</v>
      </c>
      <c r="J144" s="238">
        <f t="shared" si="22"/>
        <v>0.93691943127962085</v>
      </c>
      <c r="K144" s="239">
        <f t="shared" si="22"/>
        <v>0.93447976721963122</v>
      </c>
      <c r="L144" s="240">
        <f>SUM(L137:L143)</f>
        <v>4</v>
      </c>
      <c r="M144" s="241">
        <f>SUM(M137:M143)</f>
        <v>18</v>
      </c>
      <c r="N144" s="241">
        <f>SUM(N137:N143)</f>
        <v>11</v>
      </c>
      <c r="O144" s="241">
        <f>SUM(O137:O143)</f>
        <v>0</v>
      </c>
      <c r="P144" s="242">
        <f>SUM(P137:P143)</f>
        <v>0</v>
      </c>
      <c r="T144" s="66"/>
    </row>
    <row r="145" spans="1:21" s="65" customFormat="1">
      <c r="A145" s="135" t="s">
        <v>115</v>
      </c>
      <c r="B145" s="213" t="s">
        <v>100</v>
      </c>
      <c r="C145" s="214" t="s">
        <v>97</v>
      </c>
      <c r="D145" s="174" t="s">
        <v>494</v>
      </c>
      <c r="E145" s="175" t="s">
        <v>495</v>
      </c>
      <c r="F145" s="176" t="s">
        <v>496</v>
      </c>
      <c r="G145" s="140" t="s">
        <v>101</v>
      </c>
      <c r="H145" s="141" t="s">
        <v>98</v>
      </c>
      <c r="I145" s="141" t="s">
        <v>96</v>
      </c>
      <c r="J145" s="141" t="s">
        <v>715</v>
      </c>
      <c r="K145" s="216" t="s">
        <v>716</v>
      </c>
      <c r="L145" s="217">
        <v>0</v>
      </c>
      <c r="M145" s="218">
        <v>1</v>
      </c>
      <c r="N145" s="218">
        <v>2</v>
      </c>
      <c r="O145" s="218">
        <v>3</v>
      </c>
      <c r="P145" s="219" t="s">
        <v>1367</v>
      </c>
      <c r="T145" s="66"/>
    </row>
    <row r="146" spans="1:21" s="65" customFormat="1">
      <c r="A146" s="177" t="s">
        <v>22</v>
      </c>
      <c r="B146" s="178">
        <f>IFERROR(VLOOKUP(A146,'ИПП 1кв25'!$B$23:$N$34,12,0),"")</f>
        <v>431.0428571428572</v>
      </c>
      <c r="C146" s="179">
        <f>IFERROR(VLOOKUP(A146,'ИПП 1кв25'!$B$23:$N$34,13,0),"")</f>
        <v>54570549.56122449</v>
      </c>
      <c r="D146" s="180">
        <f>SUMIFS(Ф25[м2],Ф25[ИМ],A146,Ф25[Комнатность],"&lt;&gt;Офис")</f>
        <v>276.52</v>
      </c>
      <c r="E146" s="181">
        <f>SUMIFS(Ф25[Сумма без отделки],Ф25[ИМ],$A146,Ф25[Комнатность],"&lt;&gt;Офис")</f>
        <v>36023852</v>
      </c>
      <c r="F146" s="204">
        <f>COUNTIFS(Ф25[ИМ],A146,Ф25[Комнатность],"&lt;&gt;Офис")</f>
        <v>7</v>
      </c>
      <c r="G146" s="183">
        <f>SUMIFS(РД[S],РД[ИМ],A146,РД[Дата подачи на регистрацию],"&lt;="&amp;$A$1,РД[Дата подачи на регистрацию],"&gt;="&amp;DATE(YEAR($A$1),MONTH($A$1),1),РД[Состояние],"Продажа")</f>
        <v>276.52</v>
      </c>
      <c r="H146" s="184">
        <f>SUMIFS(РД[Стоимость без отделки итог],РД[ИМ],A146,РД[Дата подачи на регистрацию],"&lt;="&amp;$A$1,РД[Дата подачи на регистрацию],"&gt;="&amp;DATE(YEAR($A$1),MONTH($A$1),1),РД[Состояние],"Продажа")</f>
        <v>36274852</v>
      </c>
      <c r="I146" s="243">
        <f>COUNTIFS(РД[ИМ],A146,РД[Дата подачи на регистрацию],"&lt;="&amp;$A$1,РД[Дата подачи на регистрацию],"&gt;="&amp;DATE(YEAR($A$1),MONTH($A$1),1),РД[Состояние],"Продажа")</f>
        <v>7</v>
      </c>
      <c r="J146" s="244">
        <f t="shared" ref="J146:K149" si="24">IFERROR(G146/B146,"")</f>
        <v>0.641513936300666</v>
      </c>
      <c r="K146" s="258">
        <f t="shared" si="24"/>
        <v>0.66473312604818191</v>
      </c>
      <c r="L146" s="183">
        <f>COUNTIFS(РД[Тип кв],L136,РД[ИМ],$A146,РД[Дата подачи на регистрацию],"&lt;="&amp;$A$1,РД[Дата подачи на регистрацию],"&gt;="&amp;DATE(YEAR($A$1),MONTH($A$1),1))</f>
        <v>3</v>
      </c>
      <c r="M146" s="243">
        <f>COUNTIFS(РД[Тип кв],M136,РД[ИМ],$A146,РД[Дата подачи на регистрацию],"&lt;="&amp;$A$1,РД[Дата подачи на регистрацию],"&gt;="&amp;DATE(YEAR($A$1),MONTH($A$1),1))</f>
        <v>2</v>
      </c>
      <c r="N146" s="243">
        <f>COUNTIFS(РД[Тип кв],N136,РД[ИМ],$A146,РД[Дата подачи на регистрацию],"&lt;="&amp;$A$1,РД[Дата подачи на регистрацию],"&gt;="&amp;DATE(YEAR($A$1),MONTH($A$1),1))</f>
        <v>2</v>
      </c>
      <c r="O146" s="243">
        <f>COUNTIFS(РД[Тип кв],O136,РД[ИМ],$A146,РД[Дата подачи на регистрацию],"&lt;="&amp;$A$1,РД[Дата подачи на регистрацию],"&gt;="&amp;DATE(YEAR($A$1),MONTH($A$1),1))</f>
        <v>0</v>
      </c>
      <c r="P146" s="246">
        <f>COUNTIFS(РД[Тип кв],P136,РД[ИМ],$A146,РД[Дата подачи на регистрацию],"&lt;="&amp;$A$1,РД[Дата подачи на регистрацию],"&gt;="&amp;DATE(YEAR($A$1),MONTH($A$1),1))</f>
        <v>0</v>
      </c>
      <c r="Q146" s="66"/>
      <c r="R146" s="66"/>
      <c r="S146" s="66"/>
      <c r="T146" s="66"/>
    </row>
    <row r="147" spans="1:21" s="65" customFormat="1">
      <c r="A147" s="150" t="s">
        <v>26</v>
      </c>
      <c r="B147" s="143">
        <f>IFERROR(VLOOKUP(A147,'ИПП 1кв25'!$B$23:$N$34,12,0),"")</f>
        <v>529.00714285714287</v>
      </c>
      <c r="C147" s="144">
        <f>IFERROR(VLOOKUP(A147,'ИПП 1кв25'!$B$23:$N$34,13,0),"")</f>
        <v>66972947.188775502</v>
      </c>
      <c r="D147" s="205">
        <f>SUMIFS(Ф25[м2],Ф25[ИМ],A147,Ф25[Комнатность],"&lt;&gt;Офис")</f>
        <v>252.96999999999997</v>
      </c>
      <c r="E147" s="206">
        <f>SUMIFS(Ф25[Сумма без отделки],Ф25[ИМ],$A147,Ф25[Комнатность],"&lt;&gt;Офис")</f>
        <v>33106804</v>
      </c>
      <c r="F147" s="207">
        <f>COUNTIFS(Ф25[ИМ],$A147,Ф25[Комнатность],"&lt;&gt;Офис")</f>
        <v>5</v>
      </c>
      <c r="G147" s="187">
        <f>SUMIFS(РД[S],РД[ИМ],A147,РД[Дата подачи на регистрацию],"&lt;="&amp;$A$1,РД[Дата подачи на регистрацию],"&gt;="&amp;DATE(YEAR($A$1),MONTH($A$1),1),РД[Состояние],"Продажа")</f>
        <v>253.01</v>
      </c>
      <c r="H147" s="188">
        <f>SUMIFS(РД[Стоимость без отделки итог],РД[ИМ],A147,РД[Дата подачи на регистрацию],"&lt;="&amp;$A$1,РД[Дата подачи на регистрацию],"&gt;="&amp;DATE(YEAR($A$1),MONTH($A$1),1),РД[Состояние],"Продажа")</f>
        <v>32846974</v>
      </c>
      <c r="I147" s="247">
        <f>COUNTIFS(РД[ИМ],A147,РД[Дата подачи на регистрацию],"&lt;="&amp;$A$1,РД[Дата подачи на регистрацию],"&gt;="&amp;DATE(YEAR($A$1),MONTH($A$1),1),РД[Состояние],"Продажа")</f>
        <v>5</v>
      </c>
      <c r="J147" s="248">
        <f t="shared" si="24"/>
        <v>0.47827331524013988</v>
      </c>
      <c r="K147" s="259">
        <f t="shared" si="24"/>
        <v>0.49045137445444642</v>
      </c>
      <c r="L147" s="328">
        <f>COUNTIFS(РД[Тип кв],L138,РД[ИМ],$A147,РД[Дата подачи на регистрацию],"&lt;="&amp;$A$1,РД[Дата подачи на регистрацию],"&gt;="&amp;DATE(YEAR($A$1),MONTH($A$1),1))</f>
        <v>2</v>
      </c>
      <c r="M147" s="247">
        <f>COUNTIFS(РД[Тип кв],M138,РД[ИМ],$A147,РД[Дата подачи на регистрацию],"&lt;="&amp;$A$1,РД[Дата подачи на регистрацию],"&gt;="&amp;DATE(YEAR($A$1),MONTH($A$1),1))</f>
        <v>0</v>
      </c>
      <c r="N147" s="247">
        <f>COUNTIFS(РД[Тип кв],N138,РД[ИМ],$A147,РД[Дата подачи на регистрацию],"&lt;="&amp;$A$1,РД[Дата подачи на регистрацию],"&gt;="&amp;DATE(YEAR($A$1),MONTH($A$1),1))</f>
        <v>0</v>
      </c>
      <c r="O147" s="247">
        <f>COUNTIFS(РД[Тип кв],O138,РД[ИМ],$A147,РД[Дата подачи на регистрацию],"&lt;="&amp;$A$1,РД[Дата подачи на регистрацию],"&gt;="&amp;DATE(YEAR($A$1),MONTH($A$1),1))</f>
        <v>0</v>
      </c>
      <c r="P147" s="250">
        <f>COUNTIFS(РД[Тип кв],P138,РД[ИМ],$A147,РД[Дата подачи на регистрацию],"&lt;="&amp;$A$1,РД[Дата подачи на регистрацию],"&gt;="&amp;DATE(YEAR($A$1),MONTH($A$1),1))</f>
        <v>0</v>
      </c>
      <c r="Q147" s="66"/>
      <c r="R147" s="66"/>
      <c r="S147" s="66"/>
      <c r="T147" s="66"/>
    </row>
    <row r="148" spans="1:21" s="65" customFormat="1">
      <c r="A148" s="189" t="s">
        <v>3</v>
      </c>
      <c r="B148" s="190">
        <f>IFERROR(VLOOKUP(A148,'ИПП 1кв25'!$B$23:$N$34,12,0),"")</f>
        <v>0</v>
      </c>
      <c r="C148" s="191">
        <f>IFERROR(VLOOKUP(A148,'ИПП 1кв25'!$B$23:$N$34,13,0),"")</f>
        <v>0</v>
      </c>
      <c r="D148" s="208">
        <f>SUMIFS(Ф25[м2],Ф25[ИМ],A148,Ф25[Комнатность],"&lt;&gt;Офис")</f>
        <v>0</v>
      </c>
      <c r="E148" s="209">
        <f>SUMIFS(Ф25[Сумма без отделки],Ф25[ИМ],$A148,Ф25[Комнатность],"&lt;&gt;Офис")</f>
        <v>0</v>
      </c>
      <c r="F148" s="210">
        <f>COUNTIFS(Ф25[ИМ],$A148,Ф25[Комнатность],"&lt;&gt;Офис")</f>
        <v>0</v>
      </c>
      <c r="G148" s="195">
        <f>SUMIFS(РД[S],РД[ИМ],A148,РД[Дата подачи на регистрацию],"&lt;="&amp;$A$1,РД[Дата подачи на регистрацию],"&gt;="&amp;DATE(YEAR($A$1),MONTH($A$1),1),РД[Состояние],"Продажа")</f>
        <v>0</v>
      </c>
      <c r="H148" s="196">
        <f>SUMIFS(РД[Стоимость без отделки итог],РД[ИМ],A148,РД[Дата подачи на регистрацию],"&lt;="&amp;$A$1,РД[Дата подачи на регистрацию],"&gt;="&amp;DATE(YEAR($A$1),MONTH($A$1),1),РД[Состояние],"Продажа")</f>
        <v>0</v>
      </c>
      <c r="I148" s="251">
        <f>COUNTIFS(РД[ИМ],A148,РД[Дата подачи на регистрацию],"&lt;="&amp;$A$1,РД[Дата подачи на регистрацию],"&gt;="&amp;DATE(YEAR($A$1),MONTH($A$1),1),РД[Состояние],"Продажа")</f>
        <v>0</v>
      </c>
      <c r="J148" s="252" t="str">
        <f t="shared" si="24"/>
        <v/>
      </c>
      <c r="K148" s="260" t="str">
        <f t="shared" si="24"/>
        <v/>
      </c>
      <c r="L148" s="329">
        <f>COUNTIFS(РД[Тип кв],L140,РД[ИМ],$A148,РД[Дата подачи на регистрацию],"&lt;="&amp;$A$1,РД[Дата подачи на регистрацию],"&gt;="&amp;DATE(YEAR($A$1),MONTH($A$1),1))</f>
        <v>0</v>
      </c>
      <c r="M148" s="330">
        <f>COUNTIFS(РД[Тип кв],M140,РД[ИМ],$A148,РД[Дата подачи на регистрацию],"&lt;="&amp;$A$1,РД[Дата подачи на регистрацию],"&gt;="&amp;DATE(YEAR($A$1),MONTH($A$1),1))</f>
        <v>0</v>
      </c>
      <c r="N148" s="330">
        <f>COUNTIFS(РД[Тип кв],N140,РД[ИМ],$A148,РД[Дата подачи на регистрацию],"&lt;="&amp;$A$1,РД[Дата подачи на регистрацию],"&gt;="&amp;DATE(YEAR($A$1),MONTH($A$1),1))</f>
        <v>0</v>
      </c>
      <c r="O148" s="330">
        <f>COUNTIFS(РД[Тип кв],O140,РД[ИМ],$A148,РД[Дата подачи на регистрацию],"&lt;="&amp;$A$1,РД[Дата подачи на регистрацию],"&gt;="&amp;DATE(YEAR($A$1),MONTH($A$1),1))</f>
        <v>0</v>
      </c>
      <c r="P148" s="331">
        <f>COUNTIFS(РД[Тип кв],P140,РД[ИМ],$A148,РД[Дата подачи на регистрацию],"&lt;="&amp;$A$1,РД[Дата подачи на регистрацию],"&gt;="&amp;DATE(YEAR($A$1),MONTH($A$1),1))</f>
        <v>0</v>
      </c>
      <c r="Q148" s="66"/>
      <c r="R148" s="66"/>
      <c r="S148" s="66"/>
      <c r="T148" s="66"/>
    </row>
    <row r="149" spans="1:21" s="65" customFormat="1">
      <c r="A149" s="168" t="s">
        <v>114</v>
      </c>
      <c r="B149" s="169">
        <f>SUM(B146:B148)</f>
        <v>960.05000000000007</v>
      </c>
      <c r="C149" s="170">
        <f>SUM(C146:C148)</f>
        <v>121543496.75</v>
      </c>
      <c r="D149" s="170">
        <f t="shared" ref="D149:P149" si="25">SUM(D146:D148)</f>
        <v>529.49</v>
      </c>
      <c r="E149" s="170">
        <f t="shared" si="25"/>
        <v>69130656</v>
      </c>
      <c r="F149" s="171">
        <f t="shared" si="25"/>
        <v>12</v>
      </c>
      <c r="G149" s="172">
        <f t="shared" si="25"/>
        <v>529.53</v>
      </c>
      <c r="H149" s="173">
        <f t="shared" si="25"/>
        <v>69121826</v>
      </c>
      <c r="I149" s="170">
        <f t="shared" si="25"/>
        <v>12</v>
      </c>
      <c r="J149" s="238">
        <f t="shared" si="24"/>
        <v>0.55156502265507001</v>
      </c>
      <c r="K149" s="239">
        <f t="shared" si="24"/>
        <v>0.56870032414959293</v>
      </c>
      <c r="L149" s="240">
        <f t="shared" si="25"/>
        <v>5</v>
      </c>
      <c r="M149" s="241">
        <f t="shared" si="25"/>
        <v>2</v>
      </c>
      <c r="N149" s="241">
        <f t="shared" si="25"/>
        <v>2</v>
      </c>
      <c r="O149" s="241">
        <f t="shared" si="25"/>
        <v>0</v>
      </c>
      <c r="P149" s="242">
        <f t="shared" si="25"/>
        <v>0</v>
      </c>
      <c r="Q149" s="66"/>
      <c r="R149" s="66"/>
      <c r="S149" s="66"/>
      <c r="T149" s="66"/>
    </row>
    <row r="150" spans="1:21" s="65" customFormat="1">
      <c r="A150" s="134"/>
      <c r="B150" s="44"/>
      <c r="C150" s="44"/>
      <c r="D150" s="134"/>
      <c r="E150" s="134"/>
      <c r="F150" s="44"/>
      <c r="G150" s="134"/>
      <c r="H150" s="134"/>
      <c r="I150" s="134"/>
      <c r="J150" s="134"/>
      <c r="K150" s="255"/>
      <c r="L150" s="256"/>
      <c r="M150" s="134"/>
      <c r="N150" s="134"/>
      <c r="O150" s="134"/>
      <c r="P150" s="134"/>
      <c r="Q150" s="134"/>
      <c r="T150" s="66"/>
      <c r="U150" s="66"/>
    </row>
    <row r="151" spans="1:21" s="65" customFormat="1" ht="15">
      <c r="A151" s="2400" t="s">
        <v>1368</v>
      </c>
      <c r="B151" s="2401"/>
      <c r="C151" s="2401"/>
      <c r="D151" s="2401"/>
      <c r="E151" s="2401"/>
      <c r="F151" s="2401"/>
      <c r="G151" s="2401"/>
      <c r="H151" s="2401"/>
      <c r="I151" s="2401"/>
      <c r="J151" s="2401"/>
      <c r="K151" s="2401"/>
      <c r="L151" s="2401"/>
      <c r="M151" s="2401"/>
      <c r="N151" s="2401"/>
      <c r="O151" s="2401"/>
      <c r="P151" s="66"/>
      <c r="S151" s="66"/>
      <c r="T151" s="66"/>
    </row>
    <row r="152" spans="1:21" s="65" customFormat="1">
      <c r="A152" s="135" t="s">
        <v>1</v>
      </c>
      <c r="B152" s="135" t="s">
        <v>100</v>
      </c>
      <c r="C152" s="136" t="s">
        <v>97</v>
      </c>
      <c r="D152" s="264" t="s">
        <v>494</v>
      </c>
      <c r="E152" s="265" t="s">
        <v>495</v>
      </c>
      <c r="F152" s="266" t="s">
        <v>496</v>
      </c>
      <c r="G152" s="140" t="s">
        <v>101</v>
      </c>
      <c r="H152" s="141" t="s">
        <v>98</v>
      </c>
      <c r="I152" s="141" t="s">
        <v>96</v>
      </c>
      <c r="J152" s="141" t="s">
        <v>715</v>
      </c>
      <c r="K152" s="216" t="s">
        <v>716</v>
      </c>
      <c r="L152" s="332" t="s">
        <v>121</v>
      </c>
      <c r="M152" s="218" t="s">
        <v>27</v>
      </c>
      <c r="N152" s="219" t="s">
        <v>7</v>
      </c>
      <c r="O152" s="219" t="s">
        <v>19</v>
      </c>
      <c r="P152" s="66"/>
      <c r="S152" s="66"/>
      <c r="T152" s="66"/>
    </row>
    <row r="153" spans="1:21" s="65" customFormat="1">
      <c r="A153" s="142" t="s">
        <v>28</v>
      </c>
      <c r="B153" s="267"/>
      <c r="C153" s="268"/>
      <c r="D153" s="269">
        <f>SUMIFS(Ф25[м2],Ф25[МОП],A153,Ф25[Комнатность],"Офис")</f>
        <v>0</v>
      </c>
      <c r="E153" s="144">
        <f>SUMIFS(Ф25[Сумма без отделки],Ф25[МОП],$A153,Ф25[Комнатность],"оФИС")</f>
        <v>0</v>
      </c>
      <c r="F153" s="270">
        <f>COUNTIFS(Ф25[МОП],$A153,Ф25[Комнатность],"Офис")</f>
        <v>0</v>
      </c>
      <c r="G153" s="267">
        <f>SUMIFS(РД[S],РД[МОП],A153,РД[Дата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H153" s="146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I153" s="220">
        <f>COUNTIFS(РД[МОП],A153,РД[Дата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J153" s="221" t="str">
        <f t="shared" ref="J153:K159" si="26">IFERROR(G153/B153,"")</f>
        <v/>
      </c>
      <c r="K153" s="333" t="str">
        <f t="shared" si="26"/>
        <v/>
      </c>
      <c r="L153" s="148">
        <f>COUNTIFS(РД[Дом],L$152,РД[МОП],$A153,РД[Дата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M153" s="220">
        <f>COUNTIFS(РД[Дом],M$152,РД[МОП],$A153,РД[Дата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N153" s="223">
        <f>COUNTIFS(РД[Дом],N$152,РД[МОП],$A153,РД[Дата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O153" s="223">
        <f>COUNTIFS(РД[Дом],O$152,РД[МОП],$A153,РД[Дата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P153" s="66"/>
      <c r="S153" s="66"/>
      <c r="T153" s="66"/>
    </row>
    <row r="154" spans="1:21" s="65" customFormat="1">
      <c r="A154" s="142" t="s">
        <v>8</v>
      </c>
      <c r="B154" s="267"/>
      <c r="C154" s="268"/>
      <c r="D154" s="269">
        <f>SUMIFS(Ф25[м2],Ф25[МОП],A154,Ф25[Комнатность],"Офис")</f>
        <v>0</v>
      </c>
      <c r="E154" s="144">
        <f>SUMIFS(Ф25[Сумма без отделки],Ф25[МОП],$A154,Ф25[Комнатность],"оФИС")</f>
        <v>0</v>
      </c>
      <c r="F154" s="270">
        <f>COUNTIFS(Ф25[МОП],$A154,Ф25[Комнатность],"Офис")</f>
        <v>0</v>
      </c>
      <c r="G154" s="267">
        <f>SUMIFS(РД[S],РД[МОП],A154,РД[Дата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H154" s="146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I154" s="220">
        <f>COUNTIFS(РД[МОП],A154,РД[Дата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J154" s="221" t="str">
        <f t="shared" si="26"/>
        <v/>
      </c>
      <c r="K154" s="333" t="str">
        <f t="shared" si="26"/>
        <v/>
      </c>
      <c r="L154" s="148">
        <f>COUNTIFS(РД[Дом],L$152,РД[МОП],$A154,РД[Дата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M154" s="220">
        <f>COUNTIFS(РД[Дом],M$152,РД[МОП],$A154,РД[Дата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N154" s="223">
        <f>COUNTIFS(РД[Дом],N$152,РД[МОП],$A154,РД[Дата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O154" s="223">
        <f>COUNTIFS(РД[Дом],O$152,РД[МОП],$A154,РД[Дата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S154" s="66"/>
      <c r="T154" s="66"/>
    </row>
    <row r="155" spans="1:21" s="65" customFormat="1">
      <c r="A155" s="150" t="s">
        <v>20</v>
      </c>
      <c r="B155" s="267"/>
      <c r="C155" s="268"/>
      <c r="D155" s="269">
        <f>SUMIFS(Ф25[м2],Ф25[МОП],A155,Ф25[Комнатность],"Офис")</f>
        <v>0</v>
      </c>
      <c r="E155" s="144">
        <f>SUMIFS(Ф25[Сумма без отделки],Ф25[МОП],$A155,Ф25[Комнатность],"оФИС")</f>
        <v>0</v>
      </c>
      <c r="F155" s="270">
        <f>COUNTIFS(Ф25[МОП],$A155,Ф25[Комнатность],"Офис")</f>
        <v>0</v>
      </c>
      <c r="G155" s="267">
        <f>SUMIFS(РД[S],РД[МОП],A155,РД[Дата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H155" s="146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I155" s="220">
        <f>COUNTIFS(РД[МОП],A155,РД[Дата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J155" s="221" t="str">
        <f t="shared" si="26"/>
        <v/>
      </c>
      <c r="K155" s="333" t="str">
        <f t="shared" si="26"/>
        <v/>
      </c>
      <c r="L155" s="148">
        <f>COUNTIFS(РД[Дом],L$152,РД[МОП],$A155,РД[Дата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0">
        <f>COUNTIFS(РД[Дом],M$152,РД[МОП],$A155,РД[Дата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N155" s="223">
        <f>COUNTIFS(РД[Дом],N$152,РД[МОП],$A155,РД[Дата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O155" s="223">
        <f>COUNTIFS(РД[Дом],O$152,РД[МОП],$A155,РД[Дата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S155" s="66"/>
      <c r="T155" s="66"/>
    </row>
    <row r="156" spans="1:21" s="65" customFormat="1">
      <c r="A156" s="153" t="s">
        <v>24</v>
      </c>
      <c r="B156" s="271"/>
      <c r="C156" s="272"/>
      <c r="D156" s="269">
        <f>SUMIFS(Ф25[м2],Ф25[МОП],A156,Ф25[Комнатность],"Офис")</f>
        <v>0</v>
      </c>
      <c r="E156" s="200">
        <f>SUMIFS(Ф25[Сумма без отделки],Ф25[МОП],$A156,Ф25[Комнатность],"оФИС")</f>
        <v>0</v>
      </c>
      <c r="F156" s="273">
        <f>COUNTIFS(Ф25[МОП],$A156,Ф25[Комнатность],"Офис")</f>
        <v>0</v>
      </c>
      <c r="G156" s="271">
        <f>SUMIFS(РД[S],РД[МОП],A156,РД[Дата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H156" s="52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I156" s="220">
        <f>COUNTIFS(РД[МОП],A156,РД[Дата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J156" s="224" t="str">
        <f t="shared" si="26"/>
        <v/>
      </c>
      <c r="K156" s="334" t="str">
        <f t="shared" si="26"/>
        <v/>
      </c>
      <c r="L156" s="202">
        <f>COUNTIFS(РД[Дом],L$152,РД[МОП],$A156,РД[Дата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226">
        <f>COUNTIFS(РД[Дом],M$152,РД[МОП],$A156,РД[Дата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227">
        <f>COUNTIFS(РД[Дом],N$152,РД[МОП],$A156,РД[Дата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227">
        <f>COUNTIFS(РД[Дом],O$152,РД[МОП],$A156,РД[Дата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S156" s="66"/>
      <c r="T156" s="66"/>
    </row>
    <row r="157" spans="1:21" s="65" customFormat="1">
      <c r="A157" s="153" t="s">
        <v>14</v>
      </c>
      <c r="B157" s="315"/>
      <c r="C157" s="316"/>
      <c r="D157" s="362">
        <f>SUMIFS(Ф25[м2],Ф25[МОП],A157,Ф25[Комнатность],"Офис")</f>
        <v>0</v>
      </c>
      <c r="E157" s="300">
        <f>SUMIFS(Ф25[Сумма без отделки],Ф25[МОП],$A157,Ф25[Комнатность],"оФИС")</f>
        <v>0</v>
      </c>
      <c r="F157" s="301">
        <f>COUNTIFS(Ф25[МОП],$A157,Ф25[Комнатность],"Офис")</f>
        <v>0</v>
      </c>
      <c r="G157" s="315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363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47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360" t="str">
        <f t="shared" si="26"/>
        <v/>
      </c>
      <c r="K157" s="367" t="str">
        <f t="shared" si="26"/>
        <v/>
      </c>
      <c r="L157" s="358">
        <f>COUNTIFS(РД[Дом],L$152,РД[МОП],$A157,РД[Дата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330">
        <f>COUNTIFS(РД[Дом],M$152,РД[МОП],$A157,РД[Дата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331">
        <f>COUNTIFS(РД[Дом],N$152,РД[МОП],$A157,РД[Дата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331">
        <f>COUNTIFS(РД[Дом],O$152,РД[МОП],$A157,РД[Дата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S157" s="66"/>
      <c r="T157" s="66"/>
    </row>
    <row r="158" spans="1:21" s="65" customFormat="1">
      <c r="A158" s="154" t="s">
        <v>29</v>
      </c>
      <c r="B158" s="274"/>
      <c r="C158" s="275"/>
      <c r="D158" s="276">
        <f>SUMIFS(Ф25[м2],Ф25[МОП],A158,Ф25[Комнатность],"Офис")</f>
        <v>0</v>
      </c>
      <c r="E158" s="156">
        <f>SUMIFS(Ф25[Сумма без отделки],Ф25[МОП],$A158,Ф25[Комнатность],"оФИС")</f>
        <v>0</v>
      </c>
      <c r="F158" s="158">
        <f>COUNTIFS(Ф25[МОП],$A158,Ф25[Комнатность],"Офис")</f>
        <v>0</v>
      </c>
      <c r="G158" s="274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H158" s="277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I158" s="228">
        <f>COUNTIFS(РД[МОП],A158,РД[Дата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J158" s="229" t="str">
        <f t="shared" si="26"/>
        <v/>
      </c>
      <c r="K158" s="335" t="str">
        <f t="shared" si="26"/>
        <v/>
      </c>
      <c r="L158" s="159">
        <f>COUNTIFS(РД[Дом],L$152,РД[МОП],$A158,РД[Дата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28">
        <f>COUNTIFS(РД[Дом],M$152,РД[МОП],$A158,РД[Дата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231">
        <f>COUNTIFS(РД[Дом],N$152,РД[МОП],$A158,РД[Дата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231">
        <f>COUNTIFS(РД[Дом],O$152,РД[МОП],$A158,РД[Дата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S158" s="66"/>
      <c r="T158" s="66"/>
    </row>
    <row r="159" spans="1:21" s="65" customFormat="1">
      <c r="A159" s="161" t="s">
        <v>1919</v>
      </c>
      <c r="B159" s="278"/>
      <c r="C159" s="279"/>
      <c r="D159" s="280">
        <f>SUMIFS(Ф25[м2],Ф25[МОП],A159,Ф25[Комнатность],"Офис")</f>
        <v>0</v>
      </c>
      <c r="E159" s="163">
        <f>SUMIFS(Ф25[Сумма без отделки],Ф25[МОП],$A159,Ф25[Комнатность],"оФИС")</f>
        <v>0</v>
      </c>
      <c r="F159" s="165">
        <f>COUNTIFS(Ф25[МОП],$A159,Ф25[Комнатность],"Офис")</f>
        <v>0</v>
      </c>
      <c r="G159" s="278">
        <f>SUMIFS(РД[S],РД[МОП],A159,РД[Дата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H159" s="281">
        <f>SUMIFS(РД[Стоимость без отделки итог],РД[МОП],A159,РД[Дата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I159" s="232">
        <f>COUNTIFS(РД[МОП],A159,РД[Дата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J159" s="233" t="str">
        <f t="shared" si="26"/>
        <v/>
      </c>
      <c r="K159" s="336" t="str">
        <f t="shared" si="26"/>
        <v/>
      </c>
      <c r="L159" s="166">
        <f>COUNTIFS(РД[Дом],L$152,РД[МОП],$A159,РД[Дата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M159" s="232">
        <f>COUNTIFS(РД[Дом],M$152,РД[МОП],$A159,РД[Дата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N159" s="337">
        <f>COUNTIFS(РД[Дом],N$152,РД[МОП],$A159,РД[Дата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O159" s="337">
        <f>COUNTIFS(РД[Дом],O$152,РД[МОП],$A159,РД[Дата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S159" s="66"/>
      <c r="T159" s="66"/>
    </row>
    <row r="160" spans="1:21" s="65" customFormat="1">
      <c r="A160" s="168" t="s">
        <v>114</v>
      </c>
      <c r="B160" s="282">
        <f>SUM(B153:B159)</f>
        <v>0</v>
      </c>
      <c r="C160" s="283">
        <f t="shared" ref="C160:O160" si="27">SUM(C153:C159)</f>
        <v>0</v>
      </c>
      <c r="D160" s="284">
        <f t="shared" si="27"/>
        <v>0</v>
      </c>
      <c r="E160" s="285">
        <f t="shared" si="27"/>
        <v>0</v>
      </c>
      <c r="F160" s="286">
        <f t="shared" si="27"/>
        <v>0</v>
      </c>
      <c r="G160" s="282">
        <f t="shared" si="27"/>
        <v>0</v>
      </c>
      <c r="H160" s="287">
        <f t="shared" si="27"/>
        <v>0</v>
      </c>
      <c r="I160" s="287">
        <f t="shared" si="27"/>
        <v>0</v>
      </c>
      <c r="J160" s="238">
        <f t="shared" si="27"/>
        <v>0</v>
      </c>
      <c r="K160" s="338">
        <f t="shared" si="27"/>
        <v>0</v>
      </c>
      <c r="L160" s="318">
        <f t="shared" si="27"/>
        <v>0</v>
      </c>
      <c r="M160" s="321">
        <f t="shared" si="27"/>
        <v>0</v>
      </c>
      <c r="N160" s="319">
        <f t="shared" si="27"/>
        <v>0</v>
      </c>
      <c r="O160" s="319">
        <f t="shared" si="27"/>
        <v>0</v>
      </c>
      <c r="S160" s="66"/>
      <c r="T160" s="66"/>
    </row>
    <row r="161" spans="1:21" s="65" customFormat="1">
      <c r="A161" s="135" t="s">
        <v>115</v>
      </c>
      <c r="B161" s="135" t="s">
        <v>100</v>
      </c>
      <c r="C161" s="136" t="s">
        <v>97</v>
      </c>
      <c r="D161" s="288" t="s">
        <v>494</v>
      </c>
      <c r="E161" s="289" t="s">
        <v>495</v>
      </c>
      <c r="F161" s="290" t="s">
        <v>496</v>
      </c>
      <c r="G161" s="140" t="s">
        <v>101</v>
      </c>
      <c r="H161" s="141" t="s">
        <v>98</v>
      </c>
      <c r="I161" s="141" t="s">
        <v>96</v>
      </c>
      <c r="J161" s="141" t="s">
        <v>715</v>
      </c>
      <c r="K161" s="216" t="s">
        <v>716</v>
      </c>
      <c r="L161" s="332" t="s">
        <v>121</v>
      </c>
      <c r="M161" s="218" t="s">
        <v>27</v>
      </c>
      <c r="N161" s="219" t="s">
        <v>7</v>
      </c>
      <c r="O161" s="219" t="s">
        <v>7</v>
      </c>
      <c r="T161" s="66"/>
    </row>
    <row r="162" spans="1:21" s="65" customFormat="1">
      <c r="A162" s="177" t="s">
        <v>22</v>
      </c>
      <c r="B162" s="291"/>
      <c r="C162" s="292"/>
      <c r="D162" s="180">
        <f>SUMIFS(Ф25[м2],Ф25[ИМ],A162,Ф25[Комнатность],"Офис")</f>
        <v>0</v>
      </c>
      <c r="E162" s="181">
        <f>SUMIFS(Ф25[Сумма без отделки],Ф25[ИМ],$A162,Ф25[Комнатность],"оФИС")</f>
        <v>0</v>
      </c>
      <c r="F162" s="204">
        <f>COUNTIFS(Ф25[ИМ],$A162,Ф25[Комнатность],"Офис")</f>
        <v>0</v>
      </c>
      <c r="G162" s="183">
        <f>SUMIFS(РД[S],РД[ИМ],A162,РД[Дата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H162" s="184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43">
        <f>COUNTIFS(РД[ИМ],A162,РД[Дата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44" t="str">
        <f t="shared" ref="J162:K165" si="28">IFERROR(G162/B162,"")</f>
        <v/>
      </c>
      <c r="K162" s="258" t="str">
        <f t="shared" si="28"/>
        <v/>
      </c>
      <c r="L162" s="148">
        <f>COUNTIFS(РД[Дом],L$152,РД[ИМ],$A162,РД[Дата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0">
        <f>COUNTIFS(РД[Дом],M$152,РД[ИМ],$A162,РД[Дата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3">
        <f>COUNTIFS(РД[Дом],N$152,РД[ИМ],$A162,РД[Дата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3">
        <f>COUNTIFS(РД[Дом],O$152,РД[ИМ],$A162,РД[Дата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T162" s="66"/>
    </row>
    <row r="163" spans="1:21" s="65" customFormat="1">
      <c r="A163" s="150" t="s">
        <v>26</v>
      </c>
      <c r="B163" s="267"/>
      <c r="C163" s="146"/>
      <c r="D163" s="205">
        <f>SUMIFS(Ф25[м2],Ф25[ИМ],A163,Ф25[Комнатность],"Офис")</f>
        <v>0</v>
      </c>
      <c r="E163" s="206">
        <f>SUMIFS(Ф25[Сумма без отделки],Ф25[ИМ],$A163,Ф25[Комнатность],"оФИС")</f>
        <v>0</v>
      </c>
      <c r="F163" s="207">
        <f>COUNTIFS(Ф25[ИМ],$A163,Ф25[Комнатность],"Офис")</f>
        <v>0</v>
      </c>
      <c r="G163" s="187">
        <f>SUMIFS(РД[S],РД[ИМ],A163,РД[Дата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88">
        <f>SUMIFS(РД[Стоимость без отделки итог],РД[ИМ],A163,РД[Дата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47">
        <f>COUNTIFS(РД[ИМ],A163,РД[Дата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48" t="str">
        <f t="shared" si="28"/>
        <v/>
      </c>
      <c r="K163" s="259" t="str">
        <f t="shared" si="28"/>
        <v/>
      </c>
      <c r="L163" s="148">
        <f>COUNTIFS(РД[Дом],L$152,РД[ИМ],$A163,РД[Дата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0">
        <f>COUNTIFS(РД[Дом],M$152,РД[ИМ],$A163,РД[Дата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3">
        <f>COUNTIFS(РД[Дом],N$152,РД[ИМ],$A163,РД[Дата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3">
        <f>COUNTIFS(РД[Дом],O$152,РД[ИМ],$A163,РД[Дата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T163" s="66"/>
    </row>
    <row r="164" spans="1:21" s="65" customFormat="1">
      <c r="A164" s="189" t="s">
        <v>3</v>
      </c>
      <c r="B164" s="293"/>
      <c r="C164" s="294"/>
      <c r="D164" s="208">
        <f>SUMIFS(Ф25[м2],Ф25[ИМ],A164,Ф25[Комнатность],"Офис")</f>
        <v>0</v>
      </c>
      <c r="E164" s="209">
        <f>SUMIFS(Ф25[Сумма без отделки],Ф25[ИМ],$A164,Ф25[Комнатность],"оФИС")</f>
        <v>0</v>
      </c>
      <c r="F164" s="210">
        <f>COUNTIFS(Ф25[ИМ],$A164,Ф25[Комнатность],"Офис")</f>
        <v>0</v>
      </c>
      <c r="G164" s="195">
        <f>SUMIFS(РД[S],РД[ИМ],A164,РД[Дата подачи на регистрацию],"&lt;="&amp;$A$1,РД[Дата подачи на регистрацию],"&gt;="&amp;DATE(YEAR($A$1),MONTH($A$1),1),РД[Состояние],"Коммерция")</f>
        <v>0</v>
      </c>
      <c r="H164" s="196">
        <f>SUMIFS(РД[Стоимость без отделки итог],РД[ИМ],A164,РД[Дата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51">
        <f>COUNTIFS(РД[ИМ],A164,РД[Дата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52" t="str">
        <f t="shared" si="28"/>
        <v/>
      </c>
      <c r="K164" s="260" t="str">
        <f t="shared" si="28"/>
        <v/>
      </c>
      <c r="L164" s="202">
        <f>COUNTIFS(РД[Дом],L$152,РД[ИМ],$A164,РД[Дата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26">
        <f>COUNTIFS(РД[Дом],M$152,РД[ИМ],$A164,РД[Дата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7">
        <f>COUNTIFS(РД[Дом],N$152,РД[ИМ],$A164,РД[Дата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27">
        <f>COUNTIFS(РД[Дом],O$152,РД[ИМ],$A164,РД[Дата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T164" s="66"/>
    </row>
    <row r="165" spans="1:21" s="65" customFormat="1">
      <c r="A165" s="168" t="s">
        <v>114</v>
      </c>
      <c r="B165" s="282">
        <f>SUM(B162:B164)</f>
        <v>0</v>
      </c>
      <c r="C165" s="283">
        <f>SUM(C162:C164)</f>
        <v>0</v>
      </c>
      <c r="D165" s="284">
        <f t="shared" ref="D165:I165" si="29">SUM(D162:D164)</f>
        <v>0</v>
      </c>
      <c r="E165" s="285">
        <f t="shared" si="29"/>
        <v>0</v>
      </c>
      <c r="F165" s="286">
        <f t="shared" si="29"/>
        <v>0</v>
      </c>
      <c r="G165" s="282">
        <f t="shared" si="29"/>
        <v>0</v>
      </c>
      <c r="H165" s="287">
        <f t="shared" si="29"/>
        <v>0</v>
      </c>
      <c r="I165" s="287">
        <f t="shared" si="29"/>
        <v>0</v>
      </c>
      <c r="J165" s="238" t="str">
        <f t="shared" si="28"/>
        <v/>
      </c>
      <c r="K165" s="338" t="str">
        <f t="shared" si="28"/>
        <v/>
      </c>
      <c r="L165" s="318">
        <f>SUM(L162:L164)</f>
        <v>0</v>
      </c>
      <c r="M165" s="321">
        <f>SUM(M162:M164)</f>
        <v>0</v>
      </c>
      <c r="N165" s="319">
        <f>SUM(N162:N164)</f>
        <v>0</v>
      </c>
      <c r="O165" s="319">
        <f>SUM(O162:O164)</f>
        <v>0</v>
      </c>
      <c r="T165" s="66"/>
    </row>
    <row r="166" spans="1:21" s="65" customFormat="1">
      <c r="A166" s="134"/>
      <c r="B166" s="44"/>
      <c r="C166" s="44"/>
      <c r="D166" s="134"/>
      <c r="E166" s="134"/>
      <c r="F166" s="44"/>
      <c r="G166" s="134"/>
      <c r="H166" s="134"/>
      <c r="I166" s="134"/>
      <c r="J166" s="134"/>
      <c r="K166" s="255"/>
      <c r="L166" s="256"/>
      <c r="M166" s="134"/>
      <c r="N166" s="134"/>
      <c r="O166" s="134"/>
      <c r="P166" s="134"/>
      <c r="Q166" s="72"/>
      <c r="U166" s="66"/>
    </row>
    <row r="167" spans="1:21" s="65" customFormat="1" ht="15">
      <c r="A167" s="2402" t="s">
        <v>945</v>
      </c>
      <c r="B167" s="2403"/>
      <c r="C167" s="2403"/>
      <c r="D167" s="2403"/>
      <c r="E167" s="2403"/>
      <c r="F167" s="2403"/>
      <c r="G167" s="2403"/>
      <c r="H167" s="2403"/>
      <c r="I167" s="2403"/>
      <c r="J167" s="2403"/>
      <c r="K167" s="2403"/>
      <c r="L167" s="2403"/>
      <c r="M167" s="2404"/>
      <c r="N167" s="339"/>
      <c r="O167" s="339"/>
      <c r="P167" s="86"/>
      <c r="T167" s="66"/>
    </row>
    <row r="168" spans="1:21" s="65" customFormat="1">
      <c r="A168" s="135" t="s">
        <v>1</v>
      </c>
      <c r="B168" s="135" t="s">
        <v>101</v>
      </c>
      <c r="C168" s="136" t="s">
        <v>98</v>
      </c>
      <c r="D168" s="295" t="s">
        <v>494</v>
      </c>
      <c r="E168" s="138" t="s">
        <v>495</v>
      </c>
      <c r="F168" s="296" t="s">
        <v>496</v>
      </c>
      <c r="G168" s="140" t="s">
        <v>946</v>
      </c>
      <c r="H168" s="141" t="s">
        <v>947</v>
      </c>
      <c r="I168" s="217">
        <v>0</v>
      </c>
      <c r="J168" s="218">
        <v>1</v>
      </c>
      <c r="K168" s="340">
        <v>2</v>
      </c>
      <c r="L168" s="218">
        <v>3</v>
      </c>
      <c r="M168" s="219" t="s">
        <v>1367</v>
      </c>
      <c r="N168" s="339"/>
      <c r="O168" s="339"/>
      <c r="P168" s="86"/>
      <c r="T168" s="66"/>
    </row>
    <row r="169" spans="1:21" s="65" customFormat="1">
      <c r="A169" s="142" t="s">
        <v>28</v>
      </c>
      <c r="B169" s="297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29.4</v>
      </c>
      <c r="C169" s="298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4060532</v>
      </c>
      <c r="D169" s="299">
        <f>SUMIFS(Ф25[м2],Ф25[Встреча],$A169,Ф25[КТУ],"АН -*")</f>
        <v>0</v>
      </c>
      <c r="E169" s="300">
        <f>SUMIFS(Ф25[Сумма без отделки],Ф25[Встреча],$A169,Ф25[КТУ],"АН -*")</f>
        <v>0</v>
      </c>
      <c r="F169" s="301">
        <f>COUNTIFS(Ф25[Встреча],$A169,Ф25[КТУ],"АН -*")</f>
        <v>0</v>
      </c>
      <c r="G169" s="271">
        <f>SUMIFS(РД[S],РД[МОП],A169,РД[Дата подачи на регистрацию],"&lt;="&amp;$A$1,РД[Дата подачи на регистрацию],"&gt;="&amp;DATE(YEAR($A$1),MONTH($A$1),1),РД[Источник рекламы],"Н -*")/2</f>
        <v>14.7</v>
      </c>
      <c r="H169" s="272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-*")/2</f>
        <v>2030266</v>
      </c>
      <c r="I169" s="257">
        <f>COUNTIFS(РД[Тип кв],I$168,РД[МОП],$A169,РД[Дата подачи на регистрацию],"&lt;="&amp;$A$1,РД[Дата подачи на регистрацию],"&gt;="&amp;DATE(YEAR($A$1),MONTH($A$1),1),РД[Источник рекламы],"Н -*")</f>
        <v>1</v>
      </c>
      <c r="J169" s="226">
        <f>COUNTIFS(РД[Тип кв],J$168,РД[МОП],$A169,РД[Дата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K169" s="226">
        <f>COUNTIFS(РД[Тип кв],K$168,РД[МОП],$A169,РД[Дата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L169" s="226">
        <f>COUNTIFS(РД[Тип кв],L$168,РД[МОП],$A169,РД[Дата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M169" s="227">
        <f>COUNTIFS(РД[Тип кв],M$168,РД[МОП],$A169,РД[Дата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42" t="s">
        <v>8</v>
      </c>
      <c r="B170" s="297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125.05</v>
      </c>
      <c r="C170" s="298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15823956</v>
      </c>
      <c r="D170" s="299">
        <f>SUMIFS(Ф25[м2],Ф25[Встреча],$A170,Ф25[КТУ],"АН -*")</f>
        <v>0</v>
      </c>
      <c r="E170" s="300">
        <f>SUMIFS(Ф25[Сумма без отделки],Ф25[Встреча],$A170,Ф25[КТУ],"АН -*")</f>
        <v>0</v>
      </c>
      <c r="F170" s="301">
        <f>COUNTIFS(Ф25[Встреча],$A170,Ф25[КТУ],"АН -*")</f>
        <v>0</v>
      </c>
      <c r="G170" s="271">
        <f>SUMIFS(РД[S],РД[МОП],A170,РД[Дата подачи на регистрацию],"&lt;="&amp;$A$1,РД[Дата подачи на регистрацию],"&gt;="&amp;DATE(YEAR($A$1),MONTH($A$1),1),РД[Источник рекламы],"Н -*")/2</f>
        <v>62.524999999999999</v>
      </c>
      <c r="H170" s="272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-*")/2</f>
        <v>7911978</v>
      </c>
      <c r="I170" s="257">
        <f>COUNTIFS(РД[Тип кв],I$168,РД[МОП],$A170,РД[Дата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кв],J$168,РД[МОП],$A170,РД[Дата подачи на регистрацию],"&lt;="&amp;$A$1,РД[Дата подачи на регистрацию],"&gt;="&amp;DATE(YEAR($A$1),MONTH($A$1),1),РД[Источник рекламы],"Н -*")</f>
        <v>3</v>
      </c>
      <c r="K170" s="226">
        <f>COUNTIFS(РД[Тип кв],K$168,РД[МОП],$A170,РД[Дата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L170" s="226">
        <f>COUNTIFS(РД[Тип кв],L$168,РД[МОП],$A170,РД[Дата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50" t="s">
        <v>20</v>
      </c>
      <c r="B171" s="297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195.66000000000003</v>
      </c>
      <c r="C171" s="298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23626205</v>
      </c>
      <c r="D171" s="299">
        <f>SUMIFS(Ф25[м2],Ф25[Встреча],$A171,Ф25[КТУ],"АН -*")</f>
        <v>195.66000000000003</v>
      </c>
      <c r="E171" s="300">
        <f>SUMIFS(Ф25[Сумма без отделки],Ф25[Встреча],$A171,Ф25[КТУ],"АН -*")</f>
        <v>23626205</v>
      </c>
      <c r="F171" s="301">
        <f>COUNTIFS(Ф25[Встреча],$A171,Ф25[КТУ],"АН -*")</f>
        <v>4</v>
      </c>
      <c r="G171" s="271">
        <f>SUMIFS(РД[S],РД[МОП],A171,РД[Дата подачи на регистрацию],"&lt;="&amp;$A$1,РД[Дата подачи на регистрацию],"&gt;="&amp;DATE(YEAR($A$1),MONTH($A$1),1),РД[Источник рекламы],"Н -*")/2</f>
        <v>97.830000000000013</v>
      </c>
      <c r="H171" s="272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-*")/2</f>
        <v>11813102.5</v>
      </c>
      <c r="I171" s="257">
        <f>COUNTIFS(РД[Тип кв],I$168,РД[МОП],$A171,РД[Дата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J171" s="226">
        <f>COUNTIFS(РД[Тип кв],J$168,РД[МОП],$A171,РД[Дата подачи на регистрацию],"&lt;="&amp;$A$1,РД[Дата подачи на регистрацию],"&gt;="&amp;DATE(YEAR($A$1),MONTH($A$1),1),РД[Источник рекламы],"Н -*")</f>
        <v>2</v>
      </c>
      <c r="K171" s="226">
        <f>COUNTIFS(РД[Тип кв],K$168,РД[МОП],$A171,РД[Дата подачи на регистрацию],"&lt;="&amp;$A$1,РД[Дата подачи на регистрацию],"&gt;="&amp;DATE(YEAR($A$1),MONTH($A$1),1),РД[Источник рекламы],"Н -*")</f>
        <v>2</v>
      </c>
      <c r="L171" s="226">
        <f>COUNTIFS(РД[Тип кв],L$168,РД[МОП],$A171,РД[Дата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227">
        <f>COUNTIFS(РД[Тип кв],M$168,РД[МОП],$A171,РД[Дата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153" t="s">
        <v>24</v>
      </c>
      <c r="B172" s="297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135.88999999999999</v>
      </c>
      <c r="C172" s="298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17357858</v>
      </c>
      <c r="D172" s="299">
        <f>SUMIFS(Ф25[м2],Ф25[Встреча],$A172,Ф25[КТУ],"АН -*")</f>
        <v>135.88999999999999</v>
      </c>
      <c r="E172" s="300">
        <f>SUMIFS(Ф25[Сумма без отделки],Ф25[Встреча],$A172,Ф25[КТУ],"АН -*")</f>
        <v>17986888</v>
      </c>
      <c r="F172" s="301">
        <f>COUNTIFS(Ф25[Встреча],$A172,Ф25[КТУ],"АН -*")</f>
        <v>3</v>
      </c>
      <c r="G172" s="271">
        <f>SUMIFS(РД[S],РД[МОП],A172,РД[Дата подачи на регистрацию],"&lt;="&amp;$A$1,РД[Дата подачи на регистрацию],"&gt;="&amp;DATE(YEAR($A$1),MONTH($A$1),1),РД[Источник рекламы],"Н -*")/2</f>
        <v>67.944999999999993</v>
      </c>
      <c r="H172" s="272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-*")/2</f>
        <v>8678929</v>
      </c>
      <c r="I172" s="257">
        <f>COUNTIFS(РД[Тип кв],I$168,РД[МОП],$A172,РД[Дата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J172" s="226">
        <f>COUNTIFS(РД[Тип кв],J$168,РД[МОП],$A172,РД[Дата подачи на регистрацию],"&lt;="&amp;$A$1,РД[Дата подачи на регистрацию],"&gt;="&amp;DATE(YEAR($A$1),MONTH($A$1),1),РД[Источник рекламы],"Н -*")</f>
        <v>2</v>
      </c>
      <c r="K172" s="226">
        <f>COUNTIFS(РД[Тип кв],K$168,РД[МОП],$A172,РД[Дата подачи на регистрацию],"&lt;="&amp;$A$1,РД[Дата подачи на регистрацию],"&gt;="&amp;DATE(YEAR($A$1),MONTH($A$1),1),РД[Источник рекламы],"Н -*")</f>
        <v>1</v>
      </c>
      <c r="L172" s="226">
        <f>COUNTIFS(РД[Тип кв],L$168,РД[МОП],$A172,РД[Дата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M172" s="227">
        <f>COUNTIFS(РД[Тип кв],M$168,РД[МОП],$A172,РД[Дата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N172" s="339"/>
      <c r="O172" s="339"/>
      <c r="P172" s="86"/>
      <c r="T172" s="66"/>
    </row>
    <row r="173" spans="1:21" s="65" customFormat="1">
      <c r="A173" s="153" t="s">
        <v>14</v>
      </c>
      <c r="B173" s="313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71.31</v>
      </c>
      <c r="C173" s="314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9787760</v>
      </c>
      <c r="D173" s="299">
        <f>SUMIFS(Ф25[м2],Ф25[Встреча],$A173,Ф25[КТУ],"АН -*")</f>
        <v>71.31</v>
      </c>
      <c r="E173" s="300">
        <f>SUMIFS(Ф25[Сумма без отделки],Ф25[Встреча],$A173,Ф25[КТУ],"АН -*")</f>
        <v>9787760</v>
      </c>
      <c r="F173" s="301">
        <f>COUNTIFS(Ф25[Встреча],$A173,Ф25[КТУ],"АН -*")</f>
        <v>2</v>
      </c>
      <c r="G173" s="315">
        <f>SUMIFS(РД[S],РД[МОП],A173,РД[Дата подачи на регистрацию],"&lt;="&amp;$A$1,РД[Дата подачи на регистрацию],"&gt;="&amp;DATE(YEAR($A$1),MONTH($A$1),1),РД[Источник рекламы],"Н -*")/2</f>
        <v>35.655000000000001</v>
      </c>
      <c r="H173" s="316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-*")/2</f>
        <v>4893880</v>
      </c>
      <c r="I173" s="329">
        <f>COUNTIFS(РД[Тип кв],I$168,РД[МОП],$A173,РД[Дата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J173" s="330">
        <f>COUNTIFS(РД[Тип кв],J$168,РД[МОП],$A173,РД[Дата подачи на регистрацию],"&lt;="&amp;$A$1,РД[Дата подачи на регистрацию],"&gt;="&amp;DATE(YEAR($A$1),MONTH($A$1),1),РД[Источник рекламы],"Н -*")</f>
        <v>2</v>
      </c>
      <c r="K173" s="330">
        <f>COUNTIFS(РД[Тип кв],K$168,РД[МОП],$A173,РД[Дата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L173" s="330">
        <f>COUNTIFS(РД[Тип кв],L$168,РД[МОП],$A173,РД[Дата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M173" s="331">
        <f>COUNTIFS(РД[Тип кв],M$168,РД[МОП],$A173,РД[Дата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N173" s="339"/>
      <c r="O173" s="339"/>
      <c r="P173" s="86"/>
      <c r="T173" s="66"/>
    </row>
    <row r="174" spans="1:21" s="65" customFormat="1">
      <c r="A174" s="302" t="s">
        <v>29</v>
      </c>
      <c r="B174" s="276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C174" s="303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D174" s="157">
        <f>SUMIFS(Ф25[м2],Ф25[Встреча],$A174,Ф25[КТУ],"АН -*")</f>
        <v>0</v>
      </c>
      <c r="E174" s="156">
        <f>SUMIFS(Ф25[Сумма без отделки],Ф25[Встреча],$A174,Ф25[КТУ],"АН -*")</f>
        <v>0</v>
      </c>
      <c r="F174" s="158">
        <f>COUNTIFS(Ф25[Встреча],$A174,Ф25[КТУ],"АН -*")</f>
        <v>0</v>
      </c>
      <c r="G174" s="274">
        <f>SUMIFS(РД[S],РД[МОП],A174,РД[Дата подачи на регистрацию],"&lt;="&amp;$A$1,РД[Дата подачи на регистрацию],"&gt;="&amp;DATE(YEAR($A$1),MONTH($A$1),1),РД[Источник рекламы],"Н -*")/2</f>
        <v>0</v>
      </c>
      <c r="H174" s="275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-*")/2</f>
        <v>0</v>
      </c>
      <c r="I174" s="341">
        <f>COUNTIFS(РД[Тип кв],I$168,РД[МОП],$A174,РД[Дата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J174" s="228">
        <f>COUNTIFS(РД[Тип кв],J$168,РД[МОП],$A174,РД[Дата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K174" s="228">
        <f>COUNTIFS(РД[Тип кв],K$168,РД[МОП],$A174,РД[Дата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L174" s="228">
        <f>COUNTIFS(РД[Тип кв],L$168,РД[МОП],$A174,РД[Дата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M174" s="231">
        <f>COUNTIFS(РД[Тип кв],M$168,РД[МОП],$A174,РД[Дата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N174" s="339"/>
      <c r="O174" s="339"/>
      <c r="P174" s="86"/>
      <c r="T174" s="66"/>
    </row>
    <row r="175" spans="1:21" s="65" customFormat="1">
      <c r="A175" s="304" t="s">
        <v>114</v>
      </c>
      <c r="B175" s="284">
        <f>SUM(B169:B173)</f>
        <v>557.30999999999995</v>
      </c>
      <c r="C175" s="305">
        <f t="shared" ref="C175:M175" si="30">SUM(C169:C173)</f>
        <v>70656311</v>
      </c>
      <c r="D175" s="284">
        <f t="shared" si="30"/>
        <v>402.86</v>
      </c>
      <c r="E175" s="285">
        <f t="shared" si="30"/>
        <v>51400853</v>
      </c>
      <c r="F175" s="286">
        <f t="shared" si="30"/>
        <v>9</v>
      </c>
      <c r="G175" s="282">
        <f t="shared" si="30"/>
        <v>278.65499999999997</v>
      </c>
      <c r="H175" s="283">
        <f t="shared" si="30"/>
        <v>35328155.5</v>
      </c>
      <c r="I175" s="284">
        <f t="shared" si="30"/>
        <v>1</v>
      </c>
      <c r="J175" s="285">
        <f t="shared" si="30"/>
        <v>9</v>
      </c>
      <c r="K175" s="285">
        <f t="shared" si="30"/>
        <v>3</v>
      </c>
      <c r="L175" s="285">
        <f t="shared" si="30"/>
        <v>0</v>
      </c>
      <c r="M175" s="305">
        <f t="shared" si="30"/>
        <v>0</v>
      </c>
      <c r="N175" s="339"/>
      <c r="O175" s="339"/>
      <c r="P175" s="86"/>
      <c r="T175" s="66"/>
    </row>
    <row r="176" spans="1:21" s="65" customFormat="1">
      <c r="A176" s="306" t="s">
        <v>115</v>
      </c>
      <c r="B176" s="307" t="s">
        <v>101</v>
      </c>
      <c r="C176" s="308" t="s">
        <v>98</v>
      </c>
      <c r="D176" s="288" t="s">
        <v>494</v>
      </c>
      <c r="E176" s="289" t="s">
        <v>495</v>
      </c>
      <c r="F176" s="290" t="s">
        <v>496</v>
      </c>
      <c r="G176" s="309" t="s">
        <v>946</v>
      </c>
      <c r="H176" s="310" t="s">
        <v>947</v>
      </c>
      <c r="I176" s="342">
        <v>0</v>
      </c>
      <c r="J176" s="343">
        <v>1</v>
      </c>
      <c r="K176" s="344">
        <v>2</v>
      </c>
      <c r="L176" s="343">
        <v>3</v>
      </c>
      <c r="M176" s="345" t="s">
        <v>1367</v>
      </c>
      <c r="N176" s="339"/>
      <c r="O176" s="339"/>
      <c r="P176" s="86"/>
      <c r="T176" s="66"/>
    </row>
    <row r="177" spans="1:21" s="65" customFormat="1">
      <c r="A177" s="177" t="s">
        <v>22</v>
      </c>
      <c r="B177" s="178">
        <f>SUMIFS(РД[S],РД[ИМ],A177,РД[Дата подачи на регистрацию],"&lt;="&amp;$A$1,РД[Дата подачи на регистрацию],"&gt;="&amp;DATE(YEAR($A$1),MONTH($A$1),1),РД[Источник рекламы],"Н -*")</f>
        <v>0</v>
      </c>
      <c r="C177" s="311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0</v>
      </c>
      <c r="D177" s="180">
        <f>SUMIFS(Ф25[м2],Ф25[ИМ],$A177,Ф25[КТУ],"АН -*")</f>
        <v>0</v>
      </c>
      <c r="E177" s="179">
        <f>SUMIFS(Ф25[Сумма без отделки],Ф25[ИМ],$A177,Ф25[КТУ],"АН -*")</f>
        <v>0</v>
      </c>
      <c r="F177" s="204">
        <f>COUNTIFS(Ф25[ИМ],$A177,Ф25[КТУ],"АН -*")</f>
        <v>0</v>
      </c>
      <c r="G177" s="291">
        <f>SUMIFS(РД[S],РД[ИМ],A177,РД[Дата подачи на регистрацию],"&lt;="&amp;$A$1,РД[Дата подачи на регистрацию],"&gt;="&amp;DATE(YEAR($A$1),MONTH($A$1),1),РД[Источник рекламы],"Н -*")/2</f>
        <v>0</v>
      </c>
      <c r="H177" s="312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-*")/2</f>
        <v>0</v>
      </c>
      <c r="I177" s="346">
        <f>COUNTIFS(РД[Тип кв],I$168,РД[ИМ],$A177,РД[Дата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J177" s="243">
        <f>COUNTIFS(РД[Тип кв],J$168,РД[ИМ],$A177,РД[Дата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43">
        <f>COUNTIFS(РД[Тип кв],K$168,РД[ИМ],$A177,РД[Дата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L177" s="243">
        <f>COUNTIFS(РД[Тип кв],L$168,РД[ИМ],$A177,РД[Дата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46">
        <f>COUNTIFS(РД[Тип кв],M$168,РД[ИМ],$A177,РД[Дата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50" t="s">
        <v>26</v>
      </c>
      <c r="B178" s="297">
        <f>SUMIFS(РД[S],РД[ИМ],A178,РД[Дата подачи на регистрацию],"&lt;="&amp;$A$1,РД[Дата подачи на регистрацию],"&gt;="&amp;DATE(YEAR($A$1),MONTH($A$1),1),РД[Источник рекламы],"Н -*")</f>
        <v>133.36000000000001</v>
      </c>
      <c r="C178" s="298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17734374</v>
      </c>
      <c r="D178" s="199">
        <f>SUMIFS(Ф25[м2],Ф25[ИМ],$A178,Ф25[КТУ],"АН -*")</f>
        <v>133.36000000000001</v>
      </c>
      <c r="E178" s="200">
        <f>SUMIFS(Ф25[Сумма без отделки],Ф25[ИМ],$A178,Ф25[КТУ],"АН -*")</f>
        <v>17994204</v>
      </c>
      <c r="F178" s="201">
        <f>COUNTIFS(Ф25[ИМ],$A178,Ф25[КТУ],"АН -*")</f>
        <v>3</v>
      </c>
      <c r="G178" s="271">
        <f>SUMIFS(РД[S],РД[ИМ],A178,РД[Дата подачи на регистрацию],"&lt;="&amp;$A$1,РД[Дата подачи на регистрацию],"&gt;="&amp;DATE(YEAR($A$1),MONTH($A$1),1),РД[Источник рекламы],"Н -*")/2</f>
        <v>66.680000000000007</v>
      </c>
      <c r="H178" s="272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-*")/2</f>
        <v>8867187</v>
      </c>
      <c r="I178" s="257">
        <f>COUNTIFS(РД[Тип кв],I$168,РД[ИМ],$A178,РД[Дата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226">
        <f>COUNTIFS(РД[Тип кв],J$168,РД[ИМ],$A178,РД[Дата подачи на регистрацию],"&lt;="&amp;$A$1,РД[Дата подачи на регистрацию],"&gt;="&amp;DATE(YEAR($A$1),MONTH($A$1),1),РД[Источник рекламы],"Н -*")</f>
        <v>2</v>
      </c>
      <c r="K178" s="226">
        <f>COUNTIFS(РД[Тип кв],K$168,РД[ИМ],$A178,РД[Дата подачи на регистрацию],"&lt;="&amp;$A$1,РД[Дата подачи на регистрацию],"&gt;="&amp;DATE(YEAR($A$1),MONTH($A$1),1),РД[Источник рекламы],"Н -*")</f>
        <v>1</v>
      </c>
      <c r="L178" s="226">
        <f>COUNTIFS(РД[Тип кв],L$168,РД[ИМ],$A178,РД[Дата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227">
        <f>COUNTIFS(РД[Тип кв],M$168,РД[ИМ],$A178,РД[Дата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189" t="s">
        <v>3</v>
      </c>
      <c r="B179" s="313">
        <f>SUMIFS(РД[S],РД[ИМ],A179,РД[Дата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C179" s="314">
        <f>SUMIFS(РД[Стоимость без отделки итог],РД[ИМ],A179,РД[Дата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D179" s="299">
        <f>SUMIFS(Ф25[м2],Ф25[ИМ],$A179,Ф25[КТУ],"АН -*")</f>
        <v>0</v>
      </c>
      <c r="E179" s="300">
        <f>SUMIFS(Ф25[Сумма без отделки],Ф25[ИМ],$A179,Ф25[КТУ],"АН -*")</f>
        <v>0</v>
      </c>
      <c r="F179" s="301">
        <f>COUNTIFS(Ф25[ИМ],$A179,Ф25[КТУ],"АН -*")</f>
        <v>0</v>
      </c>
      <c r="G179" s="315">
        <f>SUMIFS(РД[S],РД[ИМ],A179,РД[Дата подачи на регистрацию],"&lt;="&amp;$A$1,РД[Дата подачи на регистрацию],"&gt;="&amp;DATE(YEAR($A$1),MONTH($A$1),1),РД[Источник рекламы],"Н -*")/2</f>
        <v>0</v>
      </c>
      <c r="H179" s="316">
        <f>SUMIFS(РД[Стоимость без отделки итог],РД[ИМ],A179,РД[Дата подачи на регистрацию],"&lt;="&amp;$A$1,РД[Дата подачи на регистрацию],"&gt;="&amp;DATE(YEAR($A$1),MONTH($A$1),1),РД[Источник рекламы],"Н -*")/2</f>
        <v>0</v>
      </c>
      <c r="I179" s="329">
        <f>COUNTIFS(РД[Тип кв],I$168,РД[ИМ],$A179,РД[Дата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J179" s="330">
        <f>COUNTIFS(РД[Тип кв],J$168,РД[ИМ],$A179,РД[Дата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330">
        <f>COUNTIFS(РД[Тип кв],K$168,РД[ИМ],$A179,РД[Дата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330">
        <f>COUNTIFS(РД[Тип кв],L$168,РД[ИМ],$A179,РД[Дата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M179" s="331">
        <f>COUNTIFS(РД[Тип кв],M$168,РД[ИМ],$A179,РД[Дата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N179" s="339"/>
      <c r="O179" s="339"/>
      <c r="P179" s="86"/>
      <c r="T179" s="66"/>
    </row>
    <row r="180" spans="1:21" s="65" customFormat="1">
      <c r="A180" s="317" t="s">
        <v>114</v>
      </c>
      <c r="B180" s="318">
        <f>SUM(B177:B179)</f>
        <v>133.36000000000001</v>
      </c>
      <c r="C180" s="319">
        <f t="shared" ref="C180:M180" si="31">SUM(C177:C179)</f>
        <v>17734374</v>
      </c>
      <c r="D180" s="320">
        <f t="shared" si="31"/>
        <v>133.36000000000001</v>
      </c>
      <c r="E180" s="321">
        <f t="shared" si="31"/>
        <v>17994204</v>
      </c>
      <c r="F180" s="322">
        <f t="shared" si="31"/>
        <v>3</v>
      </c>
      <c r="G180" s="323">
        <f t="shared" si="31"/>
        <v>66.680000000000007</v>
      </c>
      <c r="H180" s="324">
        <f t="shared" si="31"/>
        <v>8867187</v>
      </c>
      <c r="I180" s="318">
        <f t="shared" si="31"/>
        <v>0</v>
      </c>
      <c r="J180" s="321">
        <f t="shared" si="31"/>
        <v>2</v>
      </c>
      <c r="K180" s="321">
        <f t="shared" si="31"/>
        <v>1</v>
      </c>
      <c r="L180" s="321">
        <f t="shared" si="31"/>
        <v>0</v>
      </c>
      <c r="M180" s="319">
        <f t="shared" si="31"/>
        <v>0</v>
      </c>
      <c r="N180" s="339"/>
      <c r="O180" s="339"/>
      <c r="P180" s="86"/>
      <c r="T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</row>
    <row r="218" spans="1:2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86"/>
      <c r="R218" s="65"/>
      <c r="S218" s="65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R305" s="66"/>
      <c r="S305" s="66"/>
      <c r="U305" s="66"/>
    </row>
    <row r="306" spans="17:21" s="65" customFormat="1">
      <c r="Q306" s="86"/>
      <c r="R306" s="66"/>
      <c r="S306" s="66"/>
      <c r="U306" s="66"/>
    </row>
    <row r="307" spans="17:21" s="65" customFormat="1">
      <c r="Q307" s="86"/>
      <c r="R307" s="66"/>
      <c r="S307" s="66"/>
      <c r="U307" s="66"/>
    </row>
    <row r="308" spans="17:21" s="65" customFormat="1">
      <c r="Q308" s="86"/>
      <c r="R308" s="66"/>
      <c r="S308" s="66"/>
      <c r="U308" s="66"/>
    </row>
  </sheetData>
  <sheetProtection algorithmName="SHA-512" hashValue="jFOEhBzt/teW3wYyC0AUEyj1yyRCLc36gSdNrhH2JaNAYrI7MN4NDtv3GEWbCiTSPjj0oodAQ6ek2lsJjAht7Q==" saltValue="tNorMnJVKNOC1wOJsSCyAA==" spinCount="100000" sheet="1" formatCells="0" formatColumns="0" formatRows="0" sort="0" autoFilter="0" pivotTables="0"/>
  <mergeCells count="8">
    <mergeCell ref="A135:B135"/>
    <mergeCell ref="A151:O151"/>
    <mergeCell ref="A167:M167"/>
    <mergeCell ref="A1:U1"/>
    <mergeCell ref="A71:B71"/>
    <mergeCell ref="A87:B87"/>
    <mergeCell ref="A103:B103"/>
    <mergeCell ref="A119:B119"/>
  </mergeCells>
  <pageMargins left="0.25" right="0.25" top="0.75" bottom="0.75" header="0.3" footer="0.3"/>
  <pageSetup paperSize="9" scale="30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A00-000000000000}">
          <x14:formula1>
            <xm:f>Списки!$C$2:$C$27</xm:f>
          </x14:formula1>
          <xm:sqref>U9 U24 K4:K21 K24:K27 K29:K65 T4:U8 T10:U23 T25:U27 T29:U65</xm:sqref>
        </x14:dataValidation>
        <x14:dataValidation type="list" allowBlank="1" showInputMessage="1" showErrorMessage="1" xr:uid="{00000000-0002-0000-3A00-000001000000}">
          <x14:formula1>
            <xm:f>Списки!$H$2</xm:f>
          </x14:formula1>
          <xm:sqref>B4:B65</xm:sqref>
        </x14:dataValidation>
        <x14:dataValidation type="list" allowBlank="1" showInputMessage="1" showErrorMessage="1" xr:uid="{00000000-0002-0000-3A00-000002000000}">
          <x14:formula1>
            <xm:f>Списки!$B$3:$B$10</xm:f>
          </x14:formula1>
          <xm:sqref>D4:D65</xm:sqref>
        </x14:dataValidation>
        <x14:dataValidation type="list" allowBlank="1" showInputMessage="1" showErrorMessage="1" xr:uid="{00000000-0002-0000-3A00-000003000000}">
          <x14:formula1>
            <xm:f>Списки!$C$3:$C$4</xm:f>
          </x14:formula1>
          <xm:sqref>D68:D69</xm:sqref>
        </x14:dataValidation>
        <x14:dataValidation type="list" allowBlank="1" showInputMessage="1" showErrorMessage="1" xr:uid="{00000000-0002-0000-3A00-000004000000}">
          <x14:formula1>
            <xm:f>Списки!$D$2:$D$7</xm:f>
          </x14:formula1>
          <xm:sqref>H4:H21 H24:H27 H29:H65</xm:sqref>
        </x14:dataValidation>
        <x14:dataValidation type="list" allowBlank="1" showInputMessage="1" showErrorMessage="1" xr:uid="{00000000-0002-0000-3A00-000005000000}">
          <x14:formula1>
            <xm:f>Списки!$E$2:$E$7</xm:f>
          </x14:formula1>
          <xm:sqref>L4:L21 L24:L27 L29:L65</xm:sqref>
        </x14:dataValidation>
        <x14:dataValidation type="list" allowBlank="1" showInputMessage="1" showErrorMessage="1" xr:uid="{00000000-0002-0000-3A00-000006000000}">
          <x14:formula1>
            <xm:f>Списки!$G$2:$G$3</xm:f>
          </x14:formula1>
          <xm:sqref>L68:L69 N4:N21 N24:N27 N29:N65</xm:sqref>
        </x14:dataValidation>
        <x14:dataValidation type="list" allowBlank="1" showInputMessage="1" showErrorMessage="1" xr:uid="{00000000-0002-0000-3A00-000007000000}">
          <x14:formula1>
            <xm:f>Списки!$F$2:$F$3</xm:f>
          </x14:formula1>
          <xm:sqref>P4:P21 P24:P27 P29:P65 X68:X69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F308"/>
  <sheetViews>
    <sheetView view="pageBreakPreview" zoomScaleNormal="85" workbookViewId="0">
      <pane ySplit="3" topLeftCell="A4" activePane="bottomLeft" state="frozen"/>
      <selection pane="bottomLeft" activeCell="K68" sqref="K68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45747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>
      <c r="A2" s="67"/>
      <c r="B2" s="67"/>
      <c r="C2" s="68">
        <f>SUBTOTAL(3,Март25[заявка №])</f>
        <v>2</v>
      </c>
      <c r="D2" s="67"/>
      <c r="E2" s="67"/>
      <c r="F2" s="67"/>
      <c r="G2" s="69">
        <f>SUBTOTAL(9,Март25[м2])</f>
        <v>123.32</v>
      </c>
      <c r="H2" s="67"/>
      <c r="I2" s="67"/>
      <c r="J2" s="69">
        <f>SUBTOTAL(9,Март25[сумма])</f>
        <v>14955070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SUBTOTAL(9,Март25[Сумма без отделки])</f>
        <v>14394570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73" t="s">
        <v>2036</v>
      </c>
      <c r="J3" s="70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61" customFormat="1" hidden="1">
      <c r="A4" s="62">
        <v>1</v>
      </c>
      <c r="B4" s="62"/>
      <c r="C4" s="74">
        <v>40645</v>
      </c>
      <c r="D4" s="62" t="s">
        <v>23</v>
      </c>
      <c r="E4" s="75">
        <v>237</v>
      </c>
      <c r="F4" s="62">
        <v>2</v>
      </c>
      <c r="G4" s="62">
        <v>54.4</v>
      </c>
      <c r="H4" s="62" t="s">
        <v>2349</v>
      </c>
      <c r="I4" s="62"/>
      <c r="J4" s="95">
        <v>6581288</v>
      </c>
      <c r="K4" s="62" t="s">
        <v>28</v>
      </c>
      <c r="L4" s="62" t="s">
        <v>22</v>
      </c>
      <c r="M4" s="62" t="s">
        <v>286</v>
      </c>
      <c r="N4" s="62" t="s">
        <v>91</v>
      </c>
      <c r="O4" s="92">
        <v>45722</v>
      </c>
      <c r="P4" s="62" t="s">
        <v>17</v>
      </c>
      <c r="Q4" s="120" t="s">
        <v>2350</v>
      </c>
      <c r="R4" s="62" t="s">
        <v>67</v>
      </c>
      <c r="S4" s="113" t="s">
        <v>2351</v>
      </c>
      <c r="T4" s="62" t="s">
        <v>28</v>
      </c>
      <c r="U4" s="62" t="s">
        <v>28</v>
      </c>
      <c r="V4" s="114">
        <f>Март25[[#This Row],[сумма]]-Март25[[#This Row],[Цена м2 отделки]]*Март25[[#This Row],[м2]]</f>
        <v>6581288</v>
      </c>
    </row>
    <row r="5" spans="1:32" s="62" customFormat="1" hidden="1">
      <c r="A5" s="62">
        <v>2</v>
      </c>
      <c r="B5" s="62" t="s">
        <v>6</v>
      </c>
      <c r="C5" s="62">
        <v>40527</v>
      </c>
      <c r="D5" s="62" t="s">
        <v>23</v>
      </c>
      <c r="E5" s="62">
        <v>247</v>
      </c>
      <c r="F5" s="62">
        <v>1</v>
      </c>
      <c r="G5" s="62">
        <v>44.16</v>
      </c>
      <c r="H5" s="62" t="s">
        <v>9</v>
      </c>
      <c r="J5" s="95">
        <v>5480000</v>
      </c>
      <c r="K5" s="62" t="s">
        <v>45</v>
      </c>
      <c r="L5" s="62" t="s">
        <v>26</v>
      </c>
      <c r="M5" s="62" t="s">
        <v>286</v>
      </c>
      <c r="N5" s="62" t="s">
        <v>18</v>
      </c>
      <c r="O5" s="96">
        <v>45720</v>
      </c>
      <c r="P5" s="62" t="s">
        <v>17</v>
      </c>
      <c r="Q5" s="120" t="s">
        <v>2352</v>
      </c>
      <c r="R5" s="62" t="s">
        <v>67</v>
      </c>
      <c r="T5" s="62" t="s">
        <v>20</v>
      </c>
      <c r="U5" s="62" t="s">
        <v>20</v>
      </c>
      <c r="V5" s="114">
        <f>Март25[[#This Row],[сумма]]-Март25[[#This Row],[Цена м2 отделки]]*Март25[[#This Row],[м2]]</f>
        <v>5480000</v>
      </c>
    </row>
    <row r="6" spans="1:32" s="62" customFormat="1" hidden="1">
      <c r="A6" s="62">
        <v>3</v>
      </c>
      <c r="C6" s="62">
        <v>40001</v>
      </c>
      <c r="D6" s="62" t="s">
        <v>13</v>
      </c>
      <c r="E6" s="62">
        <v>305</v>
      </c>
      <c r="F6" s="62">
        <v>1</v>
      </c>
      <c r="G6" s="62">
        <v>34.81</v>
      </c>
      <c r="H6" s="62" t="s">
        <v>25</v>
      </c>
      <c r="I6" s="62">
        <v>25000</v>
      </c>
      <c r="J6" s="95">
        <v>5841015</v>
      </c>
      <c r="K6" s="62" t="s">
        <v>14</v>
      </c>
      <c r="L6" s="62" t="s">
        <v>26</v>
      </c>
      <c r="M6" s="62" t="s">
        <v>286</v>
      </c>
      <c r="N6" s="62" t="s">
        <v>91</v>
      </c>
      <c r="O6" s="96">
        <v>45719</v>
      </c>
      <c r="P6" s="62" t="s">
        <v>17</v>
      </c>
      <c r="Q6" s="120" t="s">
        <v>2353</v>
      </c>
      <c r="R6" s="62" t="s">
        <v>67</v>
      </c>
      <c r="T6" s="62" t="s">
        <v>14</v>
      </c>
      <c r="U6" s="62" t="s">
        <v>14</v>
      </c>
      <c r="V6" s="116">
        <f>Март25[[#This Row],[сумма]]-Март25[[#This Row],[Цена м2 отделки]]*Март25[[#This Row],[м2]]</f>
        <v>4970765</v>
      </c>
    </row>
    <row r="7" spans="1:32" s="62" customFormat="1" hidden="1">
      <c r="A7" s="62">
        <v>4</v>
      </c>
      <c r="C7" s="62" t="s">
        <v>2354</v>
      </c>
      <c r="D7" s="62" t="s">
        <v>23</v>
      </c>
      <c r="E7" s="62">
        <v>187</v>
      </c>
      <c r="F7" s="62">
        <v>1</v>
      </c>
      <c r="G7" s="62">
        <v>44.25</v>
      </c>
      <c r="H7" s="62" t="s">
        <v>9</v>
      </c>
      <c r="J7" s="95">
        <v>5434100</v>
      </c>
      <c r="K7" s="62" t="s">
        <v>14</v>
      </c>
      <c r="L7" s="62" t="s">
        <v>26</v>
      </c>
      <c r="M7" s="62" t="s">
        <v>286</v>
      </c>
      <c r="N7" s="62" t="s">
        <v>91</v>
      </c>
      <c r="O7" s="96">
        <v>45719</v>
      </c>
      <c r="P7" s="62" t="s">
        <v>17</v>
      </c>
      <c r="Q7" s="62" t="s">
        <v>2355</v>
      </c>
      <c r="R7" s="62" t="s">
        <v>67</v>
      </c>
      <c r="T7" s="62" t="s">
        <v>14</v>
      </c>
      <c r="U7" s="62" t="s">
        <v>14</v>
      </c>
      <c r="V7" s="116">
        <f>Март25[[#This Row],[сумма]]-Март25[[#This Row],[Цена м2 отделки]]*Март25[[#This Row],[м2]]</f>
        <v>5434100</v>
      </c>
    </row>
    <row r="8" spans="1:32" s="61" customFormat="1" hidden="1">
      <c r="A8" s="62">
        <v>5</v>
      </c>
      <c r="B8" s="62" t="s">
        <v>6</v>
      </c>
      <c r="C8" s="74">
        <v>40561</v>
      </c>
      <c r="D8" s="62" t="s">
        <v>23</v>
      </c>
      <c r="E8" s="75">
        <v>95</v>
      </c>
      <c r="F8" s="62">
        <v>1</v>
      </c>
      <c r="G8" s="62">
        <v>36.64</v>
      </c>
      <c r="H8" s="76" t="s">
        <v>21</v>
      </c>
      <c r="I8" s="76">
        <v>10000</v>
      </c>
      <c r="J8" s="91">
        <v>5040706</v>
      </c>
      <c r="K8" s="62" t="s">
        <v>37</v>
      </c>
      <c r="L8" s="62" t="s">
        <v>22</v>
      </c>
      <c r="M8" s="62" t="s">
        <v>286</v>
      </c>
      <c r="N8" s="62" t="s">
        <v>91</v>
      </c>
      <c r="O8" s="92">
        <v>45733</v>
      </c>
      <c r="P8" s="62" t="s">
        <v>17</v>
      </c>
      <c r="Q8" s="112" t="s">
        <v>2356</v>
      </c>
      <c r="R8" s="113" t="s">
        <v>67</v>
      </c>
      <c r="S8" s="113"/>
      <c r="T8" s="117" t="s">
        <v>20</v>
      </c>
      <c r="U8" s="62" t="s">
        <v>20</v>
      </c>
      <c r="V8" s="114">
        <f>Март25[[#This Row],[сумма]]-Март25[[#This Row],[Цена м2 отделки]]*Март25[[#This Row],[м2]]</f>
        <v>4674306</v>
      </c>
    </row>
    <row r="9" spans="1:32" s="61" customFormat="1" hidden="1">
      <c r="A9" s="62">
        <v>6</v>
      </c>
      <c r="B9" s="62"/>
      <c r="C9" s="74">
        <v>40580</v>
      </c>
      <c r="D9" s="62" t="s">
        <v>19</v>
      </c>
      <c r="E9" s="75">
        <v>81</v>
      </c>
      <c r="F9" s="62">
        <v>1</v>
      </c>
      <c r="G9" s="62">
        <v>49.2</v>
      </c>
      <c r="H9" s="117" t="s">
        <v>9</v>
      </c>
      <c r="I9" s="117"/>
      <c r="J9" s="95">
        <v>6204120</v>
      </c>
      <c r="K9" s="117" t="s">
        <v>45</v>
      </c>
      <c r="L9" s="62" t="s">
        <v>22</v>
      </c>
      <c r="M9" s="102" t="s">
        <v>583</v>
      </c>
      <c r="N9" s="62" t="s">
        <v>91</v>
      </c>
      <c r="O9" s="92">
        <v>45722</v>
      </c>
      <c r="P9" s="117" t="s">
        <v>17</v>
      </c>
      <c r="Q9" s="353" t="s">
        <v>2357</v>
      </c>
      <c r="R9" s="113" t="s">
        <v>67</v>
      </c>
      <c r="S9" s="76"/>
      <c r="T9" s="117" t="s">
        <v>8</v>
      </c>
      <c r="U9" s="354" t="s">
        <v>8</v>
      </c>
      <c r="V9" s="114">
        <f>Март25[[#This Row],[сумма]]-Март25[[#This Row],[Цена м2 отделки]]*Март25[[#This Row],[м2]]</f>
        <v>6204120</v>
      </c>
    </row>
    <row r="10" spans="1:32" s="62" customFormat="1" hidden="1">
      <c r="A10" s="62">
        <v>7</v>
      </c>
      <c r="C10" s="62">
        <v>40139</v>
      </c>
      <c r="D10" s="62" t="s">
        <v>23</v>
      </c>
      <c r="E10" s="62">
        <v>199</v>
      </c>
      <c r="F10" s="62">
        <v>1</v>
      </c>
      <c r="G10" s="62">
        <v>45.75</v>
      </c>
      <c r="H10" s="62" t="s">
        <v>21</v>
      </c>
      <c r="I10" s="62">
        <v>10000</v>
      </c>
      <c r="J10" s="95">
        <v>5928638</v>
      </c>
      <c r="K10" s="62" t="s">
        <v>14</v>
      </c>
      <c r="L10" s="62" t="s">
        <v>22</v>
      </c>
      <c r="M10" s="62" t="s">
        <v>583</v>
      </c>
      <c r="N10" s="62" t="s">
        <v>18</v>
      </c>
      <c r="O10" s="96">
        <v>45722</v>
      </c>
      <c r="P10" s="62" t="s">
        <v>17</v>
      </c>
      <c r="Q10" s="120" t="s">
        <v>2358</v>
      </c>
      <c r="T10" s="62" t="s">
        <v>14</v>
      </c>
      <c r="U10" s="62" t="s">
        <v>14</v>
      </c>
      <c r="V10" s="114">
        <f>Март25[[#This Row],[сумма]]-Март25[[#This Row],[Цена м2 отделки]]*Март25[[#This Row],[м2]]</f>
        <v>5471138</v>
      </c>
    </row>
    <row r="11" spans="1:32" s="62" customFormat="1">
      <c r="A11" s="62">
        <v>8</v>
      </c>
      <c r="C11" s="62">
        <v>30515</v>
      </c>
      <c r="D11" s="62" t="s">
        <v>23</v>
      </c>
      <c r="E11" s="62">
        <v>109</v>
      </c>
      <c r="F11" s="62">
        <v>2</v>
      </c>
      <c r="G11" s="62">
        <v>67.27</v>
      </c>
      <c r="H11" s="62" t="s">
        <v>9</v>
      </c>
      <c r="J11" s="95">
        <v>7650370</v>
      </c>
      <c r="K11" s="62" t="s">
        <v>8</v>
      </c>
      <c r="L11" s="62" t="s">
        <v>22</v>
      </c>
      <c r="M11" s="62" t="s">
        <v>286</v>
      </c>
      <c r="N11" s="62" t="s">
        <v>18</v>
      </c>
      <c r="O11" s="96">
        <v>45726</v>
      </c>
      <c r="P11" s="62" t="s">
        <v>17</v>
      </c>
      <c r="Q11" s="120" t="s">
        <v>2359</v>
      </c>
      <c r="R11" s="62" t="s">
        <v>2360</v>
      </c>
      <c r="T11" s="62" t="s">
        <v>8</v>
      </c>
      <c r="U11" s="62" t="s">
        <v>8</v>
      </c>
      <c r="V11" s="114">
        <f>Март25[[#This Row],[сумма]]-Март25[[#This Row],[Цена м2 отделки]]*Март25[[#This Row],[м2]]</f>
        <v>7650370</v>
      </c>
    </row>
    <row r="12" spans="1:32" s="63" customFormat="1" hidden="1">
      <c r="A12" s="82">
        <v>9</v>
      </c>
      <c r="B12" s="82"/>
      <c r="C12" s="83">
        <v>40763</v>
      </c>
      <c r="D12" s="82" t="s">
        <v>13</v>
      </c>
      <c r="E12" s="83">
        <v>256</v>
      </c>
      <c r="F12" s="82">
        <v>1</v>
      </c>
      <c r="G12" s="82">
        <v>34.81</v>
      </c>
      <c r="H12" s="82" t="s">
        <v>9</v>
      </c>
      <c r="I12" s="82"/>
      <c r="J12" s="100">
        <v>4974480</v>
      </c>
      <c r="K12" s="82" t="s">
        <v>24</v>
      </c>
      <c r="L12" s="82" t="s">
        <v>22</v>
      </c>
      <c r="M12" s="82" t="s">
        <v>583</v>
      </c>
      <c r="N12" s="82" t="s">
        <v>18</v>
      </c>
      <c r="O12" s="101">
        <v>45735</v>
      </c>
      <c r="P12" s="82" t="s">
        <v>17</v>
      </c>
      <c r="Q12" s="121" t="s">
        <v>2361</v>
      </c>
      <c r="R12" s="122" t="s">
        <v>67</v>
      </c>
      <c r="S12" s="123"/>
      <c r="T12" s="82" t="s">
        <v>24</v>
      </c>
      <c r="U12" s="82" t="s">
        <v>24</v>
      </c>
      <c r="V12" s="124">
        <f>Март25[[#This Row],[сумма]]-Март25[[#This Row],[Цена м2 отделки]]*Март25[[#This Row],[м2]]</f>
        <v>4974480</v>
      </c>
    </row>
    <row r="13" spans="1:32" s="61" customFormat="1" hidden="1">
      <c r="A13" s="62">
        <v>10</v>
      </c>
      <c r="B13" s="62"/>
      <c r="C13" s="74">
        <v>40660</v>
      </c>
      <c r="D13" s="62" t="s">
        <v>23</v>
      </c>
      <c r="E13" s="75">
        <v>91</v>
      </c>
      <c r="F13" s="62">
        <v>0</v>
      </c>
      <c r="G13" s="62">
        <v>29.4</v>
      </c>
      <c r="H13" s="76" t="s">
        <v>21</v>
      </c>
      <c r="I13" s="76">
        <v>10000</v>
      </c>
      <c r="J13" s="91">
        <v>4361196</v>
      </c>
      <c r="K13" s="62" t="s">
        <v>43</v>
      </c>
      <c r="L13" s="62" t="s">
        <v>22</v>
      </c>
      <c r="M13" s="62" t="s">
        <v>286</v>
      </c>
      <c r="N13" s="62" t="s">
        <v>18</v>
      </c>
      <c r="O13" s="92">
        <v>45728</v>
      </c>
      <c r="P13" s="62" t="s">
        <v>17</v>
      </c>
      <c r="Q13" s="112" t="s">
        <v>2362</v>
      </c>
      <c r="R13" s="113" t="s">
        <v>2363</v>
      </c>
      <c r="S13" s="113"/>
      <c r="T13" s="62" t="s">
        <v>28</v>
      </c>
      <c r="U13" s="62" t="s">
        <v>28</v>
      </c>
      <c r="V13" s="114">
        <f>Март25[[#This Row],[сумма]]-Март25[[#This Row],[Цена м2 отделки]]*Март25[[#This Row],[м2]]</f>
        <v>4067196</v>
      </c>
    </row>
    <row r="14" spans="1:32" s="61" customFormat="1" hidden="1">
      <c r="A14" s="62">
        <v>11</v>
      </c>
      <c r="B14" s="62"/>
      <c r="C14" s="74">
        <v>40750</v>
      </c>
      <c r="D14" s="62" t="s">
        <v>23</v>
      </c>
      <c r="E14" s="75">
        <v>219</v>
      </c>
      <c r="F14" s="62">
        <v>2</v>
      </c>
      <c r="G14" s="62">
        <v>56.05</v>
      </c>
      <c r="H14" s="62" t="s">
        <v>9</v>
      </c>
      <c r="I14" s="62"/>
      <c r="J14" s="378">
        <v>6625094</v>
      </c>
      <c r="K14" s="62" t="s">
        <v>45</v>
      </c>
      <c r="L14" s="62" t="s">
        <v>26</v>
      </c>
      <c r="M14" s="62" t="s">
        <v>286</v>
      </c>
      <c r="N14" s="62" t="s">
        <v>18</v>
      </c>
      <c r="O14" s="92">
        <v>45726</v>
      </c>
      <c r="P14" s="62" t="s">
        <v>17</v>
      </c>
      <c r="Q14" s="112" t="s">
        <v>2364</v>
      </c>
      <c r="R14" s="113" t="s">
        <v>67</v>
      </c>
      <c r="S14" s="113"/>
      <c r="T14" s="62" t="s">
        <v>24</v>
      </c>
      <c r="U14" s="62" t="s">
        <v>24</v>
      </c>
      <c r="V14" s="114">
        <f>Март25[[#This Row],[сумма]]-Март25[[#This Row],[Цена м2 отделки]]*Март25[[#This Row],[м2]]</f>
        <v>6625094</v>
      </c>
      <c r="AF14" s="132"/>
    </row>
    <row r="15" spans="1:32" s="61" customFormat="1" hidden="1">
      <c r="A15" s="62">
        <v>12</v>
      </c>
      <c r="B15" s="62" t="s">
        <v>6</v>
      </c>
      <c r="C15" s="75">
        <v>40679</v>
      </c>
      <c r="D15" s="62" t="s">
        <v>13</v>
      </c>
      <c r="E15" s="75">
        <v>528</v>
      </c>
      <c r="F15" s="62">
        <v>2</v>
      </c>
      <c r="G15" s="62">
        <v>58.24</v>
      </c>
      <c r="H15" s="62" t="s">
        <v>9</v>
      </c>
      <c r="I15" s="62"/>
      <c r="J15" s="95">
        <v>6548976</v>
      </c>
      <c r="K15" s="62" t="s">
        <v>20</v>
      </c>
      <c r="L15" s="62"/>
      <c r="M15" s="62" t="s">
        <v>514</v>
      </c>
      <c r="N15" s="62" t="s">
        <v>91</v>
      </c>
      <c r="O15" s="92">
        <v>45737</v>
      </c>
      <c r="P15" s="62" t="s">
        <v>17</v>
      </c>
      <c r="Q15" s="120" t="s">
        <v>2365</v>
      </c>
      <c r="R15" s="113" t="s">
        <v>67</v>
      </c>
      <c r="S15" s="113" t="s">
        <v>2366</v>
      </c>
      <c r="T15" s="62" t="s">
        <v>20</v>
      </c>
      <c r="U15" s="62" t="s">
        <v>20</v>
      </c>
      <c r="V15" s="114">
        <f>Март25[[#This Row],[сумма]]-Март25[[#This Row],[Цена м2 отделки]]*Март25[[#This Row],[м2]]</f>
        <v>6548976</v>
      </c>
    </row>
    <row r="16" spans="1:32" s="64" customFormat="1" hidden="1">
      <c r="A16" s="120">
        <v>13</v>
      </c>
      <c r="B16" s="120" t="s">
        <v>6</v>
      </c>
      <c r="C16" s="347">
        <v>40329</v>
      </c>
      <c r="D16" s="120" t="s">
        <v>13</v>
      </c>
      <c r="E16" s="347">
        <v>309</v>
      </c>
      <c r="F16" s="120">
        <v>2</v>
      </c>
      <c r="G16" s="120">
        <v>60.24</v>
      </c>
      <c r="H16" s="120" t="s">
        <v>25</v>
      </c>
      <c r="I16" s="120">
        <v>25000</v>
      </c>
      <c r="J16" s="95">
        <v>8686910</v>
      </c>
      <c r="K16" s="120" t="s">
        <v>20</v>
      </c>
      <c r="L16" s="120" t="s">
        <v>22</v>
      </c>
      <c r="M16" s="120" t="s">
        <v>583</v>
      </c>
      <c r="N16" s="120" t="s">
        <v>18</v>
      </c>
      <c r="O16" s="370">
        <v>45742</v>
      </c>
      <c r="P16" s="120" t="s">
        <v>17</v>
      </c>
      <c r="Q16" s="120" t="s">
        <v>2367</v>
      </c>
      <c r="R16" s="355" t="s">
        <v>67</v>
      </c>
      <c r="S16" s="355" t="s">
        <v>2368</v>
      </c>
      <c r="T16" s="62" t="s">
        <v>20</v>
      </c>
      <c r="U16" s="62" t="s">
        <v>20</v>
      </c>
      <c r="V16" s="356">
        <f>Март25[[#This Row],[сумма]]-Март25[[#This Row],[Цена м2 отделки]]*Март25[[#This Row],[м2]]</f>
        <v>7180910</v>
      </c>
    </row>
    <row r="17" spans="1:22" s="61" customFormat="1" hidden="1">
      <c r="A17" s="62">
        <v>14</v>
      </c>
      <c r="B17" s="62"/>
      <c r="C17" s="74">
        <v>40722</v>
      </c>
      <c r="D17" s="62" t="s">
        <v>19</v>
      </c>
      <c r="E17" s="75">
        <v>101</v>
      </c>
      <c r="F17" s="62">
        <v>2</v>
      </c>
      <c r="G17" s="62">
        <v>49.2</v>
      </c>
      <c r="H17" s="76" t="s">
        <v>9</v>
      </c>
      <c r="I17" s="76"/>
      <c r="J17" s="91">
        <v>6268080</v>
      </c>
      <c r="K17" s="62" t="s">
        <v>28</v>
      </c>
      <c r="L17" s="62" t="s">
        <v>26</v>
      </c>
      <c r="M17" s="62" t="s">
        <v>286</v>
      </c>
      <c r="N17" s="62" t="s">
        <v>91</v>
      </c>
      <c r="O17" s="92">
        <v>45728</v>
      </c>
      <c r="P17" s="62" t="s">
        <v>17</v>
      </c>
      <c r="Q17" s="112" t="s">
        <v>2369</v>
      </c>
      <c r="R17" s="113"/>
      <c r="S17" s="113"/>
      <c r="T17" s="62" t="s">
        <v>28</v>
      </c>
      <c r="U17" s="62" t="s">
        <v>28</v>
      </c>
      <c r="V17" s="114">
        <f>Март25[[#This Row],[сумма]]-Март25[[#This Row],[Цена м2 отделки]]*Март25[[#This Row],[м2]]</f>
        <v>6268080</v>
      </c>
    </row>
    <row r="18" spans="1:22" s="61" customFormat="1" hidden="1">
      <c r="A18" s="62">
        <v>15</v>
      </c>
      <c r="B18" s="62"/>
      <c r="C18" s="74">
        <v>40880</v>
      </c>
      <c r="D18" s="62" t="s">
        <v>23</v>
      </c>
      <c r="E18" s="75">
        <v>283</v>
      </c>
      <c r="F18" s="62">
        <v>1</v>
      </c>
      <c r="G18" s="62">
        <v>43.88</v>
      </c>
      <c r="H18" s="76" t="s">
        <v>9</v>
      </c>
      <c r="I18" s="76"/>
      <c r="J18" s="91">
        <v>5573358</v>
      </c>
      <c r="K18" s="62" t="s">
        <v>45</v>
      </c>
      <c r="L18" s="62" t="s">
        <v>22</v>
      </c>
      <c r="M18" s="62" t="s">
        <v>286</v>
      </c>
      <c r="N18" s="62" t="s">
        <v>18</v>
      </c>
      <c r="O18" s="92">
        <v>45730</v>
      </c>
      <c r="P18" s="62" t="s">
        <v>17</v>
      </c>
      <c r="Q18" s="112" t="s">
        <v>2370</v>
      </c>
      <c r="R18" s="113"/>
      <c r="S18" s="113"/>
      <c r="T18" s="62" t="s">
        <v>24</v>
      </c>
      <c r="U18" s="62" t="s">
        <v>24</v>
      </c>
      <c r="V18" s="114">
        <f>Март25[[#This Row],[сумма]]-Март25[[#This Row],[Цена м2 отделки]]*Март25[[#This Row],[м2]]</f>
        <v>5573358</v>
      </c>
    </row>
    <row r="19" spans="1:22" s="61" customFormat="1" ht="18.75" hidden="1" customHeight="1">
      <c r="A19" s="62">
        <v>16</v>
      </c>
      <c r="B19" s="62"/>
      <c r="C19" s="74">
        <v>40935</v>
      </c>
      <c r="D19" s="62" t="s">
        <v>23</v>
      </c>
      <c r="E19" s="75">
        <v>259</v>
      </c>
      <c r="F19" s="62">
        <v>1</v>
      </c>
      <c r="G19" s="62">
        <v>43.88</v>
      </c>
      <c r="H19" s="62" t="s">
        <v>9</v>
      </c>
      <c r="I19" s="62"/>
      <c r="J19" s="95">
        <v>5468204</v>
      </c>
      <c r="K19" s="62" t="s">
        <v>45</v>
      </c>
      <c r="L19" s="62" t="s">
        <v>26</v>
      </c>
      <c r="M19" s="62" t="s">
        <v>286</v>
      </c>
      <c r="N19" s="62" t="s">
        <v>18</v>
      </c>
      <c r="O19" s="92">
        <v>45730</v>
      </c>
      <c r="P19" s="62" t="s">
        <v>17</v>
      </c>
      <c r="Q19" s="112" t="s">
        <v>2371</v>
      </c>
      <c r="R19" s="113"/>
      <c r="S19" s="62"/>
      <c r="T19" s="62" t="s">
        <v>14</v>
      </c>
      <c r="U19" s="62" t="s">
        <v>14</v>
      </c>
      <c r="V19" s="114">
        <f>Март25[[#This Row],[сумма]]-Март25[[#This Row],[Цена м2 отделки]]*Март25[[#This Row],[м2]]</f>
        <v>5468204</v>
      </c>
    </row>
    <row r="20" spans="1:22" s="61" customFormat="1" hidden="1">
      <c r="A20" s="62">
        <v>17</v>
      </c>
      <c r="B20" s="62" t="s">
        <v>6</v>
      </c>
      <c r="C20" s="74">
        <v>37035</v>
      </c>
      <c r="D20" s="62" t="s">
        <v>23</v>
      </c>
      <c r="E20" s="75">
        <v>279</v>
      </c>
      <c r="F20" s="62">
        <v>2</v>
      </c>
      <c r="G20" s="62">
        <v>54.08</v>
      </c>
      <c r="H20" s="62" t="s">
        <v>9</v>
      </c>
      <c r="I20" s="62"/>
      <c r="J20" s="95">
        <v>6670860</v>
      </c>
      <c r="K20" s="62" t="s">
        <v>24</v>
      </c>
      <c r="L20" s="62" t="s">
        <v>22</v>
      </c>
      <c r="M20" s="62" t="s">
        <v>286</v>
      </c>
      <c r="N20" s="62" t="s">
        <v>18</v>
      </c>
      <c r="O20" s="92">
        <v>45743</v>
      </c>
      <c r="P20" s="62" t="s">
        <v>17</v>
      </c>
      <c r="Q20" s="112" t="s">
        <v>2372</v>
      </c>
      <c r="R20" s="113" t="s">
        <v>67</v>
      </c>
      <c r="S20" s="113" t="s">
        <v>2373</v>
      </c>
      <c r="T20" s="62" t="s">
        <v>24</v>
      </c>
      <c r="U20" s="62" t="s">
        <v>20</v>
      </c>
      <c r="V20" s="114">
        <f>Март25[[#This Row],[сумма]]-Март25[[#This Row],[Цена м2 отделки]]*Март25[[#This Row],[м2]]</f>
        <v>6670860</v>
      </c>
    </row>
    <row r="21" spans="1:22" s="61" customFormat="1" hidden="1">
      <c r="A21" s="62">
        <v>18</v>
      </c>
      <c r="B21" s="62" t="s">
        <v>6</v>
      </c>
      <c r="C21" s="74">
        <v>40685</v>
      </c>
      <c r="D21" s="62" t="s">
        <v>27</v>
      </c>
      <c r="E21" s="75">
        <v>6</v>
      </c>
      <c r="F21" s="62" t="s">
        <v>1337</v>
      </c>
      <c r="G21" s="62">
        <v>149.19999999999999</v>
      </c>
      <c r="H21" s="76" t="s">
        <v>9</v>
      </c>
      <c r="I21" s="76"/>
      <c r="J21" s="91">
        <v>18000000</v>
      </c>
      <c r="K21" s="62" t="s">
        <v>20</v>
      </c>
      <c r="L21" s="62"/>
      <c r="M21" s="62" t="s">
        <v>514</v>
      </c>
      <c r="N21" s="62" t="s">
        <v>18</v>
      </c>
      <c r="O21" s="92">
        <v>45737</v>
      </c>
      <c r="P21" s="62" t="s">
        <v>11</v>
      </c>
      <c r="Q21" s="112" t="s">
        <v>2374</v>
      </c>
      <c r="R21" s="113"/>
      <c r="S21" s="113" t="s">
        <v>2375</v>
      </c>
      <c r="T21" s="62" t="s">
        <v>20</v>
      </c>
      <c r="U21" s="62" t="s">
        <v>20</v>
      </c>
      <c r="V21" s="114">
        <f>Март25[[#This Row],[сумма]]-Март25[[#This Row],[Цена м2 отделки]]*Март25[[#This Row],[м2]]</f>
        <v>18000000</v>
      </c>
    </row>
    <row r="22" spans="1:22" s="61" customFormat="1" hidden="1">
      <c r="A22" s="62">
        <v>19</v>
      </c>
      <c r="B22" s="62"/>
      <c r="C22" s="349">
        <v>40995</v>
      </c>
      <c r="D22" s="62" t="s">
        <v>23</v>
      </c>
      <c r="E22" s="62">
        <v>218</v>
      </c>
      <c r="F22" s="349">
        <v>1</v>
      </c>
      <c r="G22" s="62">
        <v>38.1</v>
      </c>
      <c r="H22" s="117" t="s">
        <v>21</v>
      </c>
      <c r="I22" s="348">
        <v>10000</v>
      </c>
      <c r="J22" s="379">
        <v>5110776</v>
      </c>
      <c r="K22" s="62" t="s">
        <v>37</v>
      </c>
      <c r="L22" s="117" t="s">
        <v>26</v>
      </c>
      <c r="M22" s="117" t="s">
        <v>286</v>
      </c>
      <c r="N22" s="117" t="s">
        <v>91</v>
      </c>
      <c r="O22" s="92">
        <v>45733</v>
      </c>
      <c r="P22" s="117" t="s">
        <v>17</v>
      </c>
      <c r="Q22" s="82" t="s">
        <v>2376</v>
      </c>
      <c r="R22" s="113" t="s">
        <v>67</v>
      </c>
      <c r="S22" s="113" t="s">
        <v>2377</v>
      </c>
      <c r="T22" s="62" t="s">
        <v>24</v>
      </c>
      <c r="U22" s="62" t="s">
        <v>24</v>
      </c>
      <c r="V22" s="114">
        <f>Март25[[#This Row],[сумма]]-Март25[[#This Row],[Цена м2 отделки]]*Март25[[#This Row],[м2]]</f>
        <v>4729776</v>
      </c>
    </row>
    <row r="23" spans="1:22" s="61" customFormat="1" ht="14.25" hidden="1" customHeight="1">
      <c r="A23" s="62">
        <v>20</v>
      </c>
      <c r="B23" s="62"/>
      <c r="C23" s="74">
        <v>40995</v>
      </c>
      <c r="D23" s="62" t="s">
        <v>23</v>
      </c>
      <c r="E23" s="75">
        <v>236</v>
      </c>
      <c r="F23" s="62">
        <v>1</v>
      </c>
      <c r="G23" s="62">
        <v>38.1</v>
      </c>
      <c r="H23" s="76" t="s">
        <v>21</v>
      </c>
      <c r="I23" s="76">
        <v>10000</v>
      </c>
      <c r="J23" s="91">
        <v>5098312</v>
      </c>
      <c r="K23" s="62" t="s">
        <v>37</v>
      </c>
      <c r="L23" s="62" t="s">
        <v>22</v>
      </c>
      <c r="M23" s="62" t="s">
        <v>286</v>
      </c>
      <c r="N23" s="62" t="s">
        <v>91</v>
      </c>
      <c r="O23" s="92">
        <v>45733</v>
      </c>
      <c r="P23" s="62" t="s">
        <v>17</v>
      </c>
      <c r="Q23" s="112" t="s">
        <v>2376</v>
      </c>
      <c r="R23" s="113" t="s">
        <v>67</v>
      </c>
      <c r="S23" s="113" t="s">
        <v>2377</v>
      </c>
      <c r="T23" s="62" t="s">
        <v>24</v>
      </c>
      <c r="U23" s="62" t="s">
        <v>24</v>
      </c>
      <c r="V23" s="114">
        <f>Март25[[#This Row],[сумма]]-Март25[[#This Row],[Цена м2 отделки]]*Март25[[#This Row],[м2]]</f>
        <v>4717312</v>
      </c>
    </row>
    <row r="24" spans="1:22" s="61" customFormat="1" hidden="1">
      <c r="A24" s="62">
        <v>21</v>
      </c>
      <c r="B24" s="62"/>
      <c r="C24" s="349">
        <v>40929</v>
      </c>
      <c r="D24" s="62" t="s">
        <v>23</v>
      </c>
      <c r="E24" s="62">
        <v>278</v>
      </c>
      <c r="F24" s="349">
        <v>1</v>
      </c>
      <c r="G24" s="62">
        <v>37.81</v>
      </c>
      <c r="H24" s="117" t="s">
        <v>9</v>
      </c>
      <c r="I24" s="348"/>
      <c r="J24" s="352">
        <v>4745919</v>
      </c>
      <c r="K24" s="62" t="s">
        <v>24</v>
      </c>
      <c r="L24" s="117" t="s">
        <v>26</v>
      </c>
      <c r="M24" s="117" t="s">
        <v>286</v>
      </c>
      <c r="N24" s="117" t="s">
        <v>91</v>
      </c>
      <c r="O24" s="92">
        <v>45743</v>
      </c>
      <c r="P24" s="117" t="s">
        <v>17</v>
      </c>
      <c r="Q24" s="82" t="s">
        <v>2378</v>
      </c>
      <c r="R24" s="113"/>
      <c r="S24" s="113" t="s">
        <v>2373</v>
      </c>
      <c r="T24" s="62" t="s">
        <v>24</v>
      </c>
      <c r="U24" s="62" t="s">
        <v>24</v>
      </c>
      <c r="V24" s="114">
        <f>Март25[[#This Row],[сумма]]-Март25[[#This Row],[Цена м2 отделки]]*Март25[[#This Row],[м2]]</f>
        <v>4745919</v>
      </c>
    </row>
    <row r="25" spans="1:22" s="61" customFormat="1" hidden="1">
      <c r="A25" s="62">
        <v>22</v>
      </c>
      <c r="B25" s="62"/>
      <c r="C25" s="74">
        <v>29453</v>
      </c>
      <c r="D25" s="62" t="s">
        <v>13</v>
      </c>
      <c r="E25" s="75">
        <v>374</v>
      </c>
      <c r="F25" s="349">
        <v>3</v>
      </c>
      <c r="G25" s="62">
        <v>80.97</v>
      </c>
      <c r="H25" s="62" t="s">
        <v>2349</v>
      </c>
      <c r="I25" s="348"/>
      <c r="J25" s="352">
        <v>6000000</v>
      </c>
      <c r="K25" s="348" t="s">
        <v>14</v>
      </c>
      <c r="L25" s="62" t="s">
        <v>22</v>
      </c>
      <c r="M25" s="62" t="s">
        <v>286</v>
      </c>
      <c r="N25" s="62" t="s">
        <v>91</v>
      </c>
      <c r="O25" s="92">
        <v>45747</v>
      </c>
      <c r="P25" s="62" t="s">
        <v>1772</v>
      </c>
      <c r="Q25" s="380" t="s">
        <v>2379</v>
      </c>
      <c r="R25" s="113"/>
      <c r="S25" s="113"/>
      <c r="T25" s="62" t="s">
        <v>14</v>
      </c>
      <c r="U25" s="62" t="s">
        <v>14</v>
      </c>
      <c r="V25" s="114">
        <f>Март25[[#This Row],[сумма]]-Март25[[#This Row],[Цена м2 отделки]]*Март25[[#This Row],[м2]]</f>
        <v>6000000</v>
      </c>
    </row>
    <row r="26" spans="1:22" s="61" customFormat="1" hidden="1">
      <c r="A26" s="62">
        <v>23</v>
      </c>
      <c r="B26" s="62"/>
      <c r="C26" s="75">
        <v>39675</v>
      </c>
      <c r="D26" s="62" t="s">
        <v>23</v>
      </c>
      <c r="E26" s="75">
        <v>266</v>
      </c>
      <c r="F26" s="349">
        <v>1</v>
      </c>
      <c r="G26" s="62">
        <v>36.35</v>
      </c>
      <c r="H26" s="62" t="s">
        <v>9</v>
      </c>
      <c r="I26" s="348"/>
      <c r="J26" s="352">
        <v>4581795</v>
      </c>
      <c r="K26" s="62" t="s">
        <v>14</v>
      </c>
      <c r="L26" s="62" t="s">
        <v>26</v>
      </c>
      <c r="M26" s="62" t="s">
        <v>286</v>
      </c>
      <c r="N26" s="62" t="s">
        <v>515</v>
      </c>
      <c r="O26" s="92">
        <v>45744</v>
      </c>
      <c r="P26" s="62" t="s">
        <v>17</v>
      </c>
      <c r="Q26" s="62" t="s">
        <v>2380</v>
      </c>
      <c r="R26" s="113"/>
      <c r="S26" s="113" t="s">
        <v>2381</v>
      </c>
      <c r="T26" s="62" t="s">
        <v>14</v>
      </c>
      <c r="U26" s="62" t="s">
        <v>14</v>
      </c>
      <c r="V26" s="114">
        <f>Март25[[#This Row],[сумма]]-Март25[[#This Row],[Цена м2 отделки]]*Март25[[#This Row],[м2]]</f>
        <v>4581795</v>
      </c>
    </row>
    <row r="27" spans="1:22" s="61" customFormat="1" hidden="1">
      <c r="A27" s="62">
        <v>24</v>
      </c>
      <c r="B27" s="62"/>
      <c r="C27" s="350">
        <v>40698</v>
      </c>
      <c r="D27" s="62" t="s">
        <v>13</v>
      </c>
      <c r="E27" s="62">
        <v>530</v>
      </c>
      <c r="F27" s="349">
        <v>1</v>
      </c>
      <c r="G27" s="62">
        <v>38.299999999999997</v>
      </c>
      <c r="H27" s="117" t="s">
        <v>25</v>
      </c>
      <c r="I27" s="348">
        <v>25000</v>
      </c>
      <c r="J27" s="352">
        <v>6145718</v>
      </c>
      <c r="K27" s="62" t="s">
        <v>28</v>
      </c>
      <c r="L27" s="117" t="s">
        <v>22</v>
      </c>
      <c r="M27" s="117" t="s">
        <v>286</v>
      </c>
      <c r="N27" s="117" t="s">
        <v>91</v>
      </c>
      <c r="O27" s="92">
        <v>45740</v>
      </c>
      <c r="P27" s="117" t="s">
        <v>17</v>
      </c>
      <c r="Q27" s="82" t="s">
        <v>2382</v>
      </c>
      <c r="R27" s="113"/>
      <c r="S27" s="113"/>
      <c r="T27" s="62" t="s">
        <v>28</v>
      </c>
      <c r="U27" s="62" t="s">
        <v>28</v>
      </c>
      <c r="V27" s="114">
        <f>Март25[[#This Row],[сумма]]-Март25[[#This Row],[Цена м2 отделки]]*Март25[[#This Row],[м2]]</f>
        <v>5188218</v>
      </c>
    </row>
    <row r="28" spans="1:22" s="61" customFormat="1" hidden="1">
      <c r="A28" s="62">
        <v>25</v>
      </c>
      <c r="B28" s="62"/>
      <c r="C28" s="62">
        <v>41029</v>
      </c>
      <c r="D28" s="62" t="s">
        <v>23</v>
      </c>
      <c r="E28" s="62">
        <v>260</v>
      </c>
      <c r="F28" s="62">
        <v>1</v>
      </c>
      <c r="G28" s="62">
        <v>36.35</v>
      </c>
      <c r="H28" s="62" t="s">
        <v>2349</v>
      </c>
      <c r="I28" s="62"/>
      <c r="J28" s="95">
        <v>4851000</v>
      </c>
      <c r="K28" s="348" t="s">
        <v>28</v>
      </c>
      <c r="L28" s="62" t="s">
        <v>26</v>
      </c>
      <c r="M28" s="62" t="s">
        <v>286</v>
      </c>
      <c r="N28" s="62" t="s">
        <v>91</v>
      </c>
      <c r="O28" s="96">
        <v>45737</v>
      </c>
      <c r="P28" s="62" t="s">
        <v>17</v>
      </c>
      <c r="Q28" s="62" t="s">
        <v>2383</v>
      </c>
      <c r="R28" s="61" t="s">
        <v>67</v>
      </c>
      <c r="T28" s="62" t="s">
        <v>28</v>
      </c>
      <c r="U28" s="62" t="s">
        <v>28</v>
      </c>
      <c r="V28" s="114">
        <f>Март25[[#This Row],[сумма]]-Март25[[#This Row],[Цена м2 отделки]]*Март25[[#This Row],[м2]]</f>
        <v>4851000</v>
      </c>
    </row>
    <row r="29" spans="1:22" s="61" customFormat="1" ht="11.25" hidden="1" customHeight="1">
      <c r="A29" s="62">
        <v>26</v>
      </c>
      <c r="B29" s="62" t="s">
        <v>6</v>
      </c>
      <c r="C29" s="62">
        <v>40807</v>
      </c>
      <c r="D29" s="62" t="s">
        <v>23</v>
      </c>
      <c r="E29" s="62">
        <v>193</v>
      </c>
      <c r="F29" s="62">
        <v>1</v>
      </c>
      <c r="G29" s="62">
        <v>44.25</v>
      </c>
      <c r="H29" s="62" t="s">
        <v>21</v>
      </c>
      <c r="I29" s="62">
        <v>10000</v>
      </c>
      <c r="J29" s="95">
        <v>5958430</v>
      </c>
      <c r="K29" s="62" t="s">
        <v>37</v>
      </c>
      <c r="L29" s="62" t="s">
        <v>22</v>
      </c>
      <c r="M29" s="62" t="s">
        <v>286</v>
      </c>
      <c r="N29" s="62" t="s">
        <v>91</v>
      </c>
      <c r="O29" s="92">
        <v>45744</v>
      </c>
      <c r="P29" s="117" t="s">
        <v>17</v>
      </c>
      <c r="Q29" s="62" t="s">
        <v>2384</v>
      </c>
      <c r="R29" s="113"/>
      <c r="S29" s="113"/>
      <c r="T29" s="117" t="s">
        <v>20</v>
      </c>
      <c r="U29" s="117" t="s">
        <v>20</v>
      </c>
      <c r="V29" s="114">
        <f>Март25[[#This Row],[сумма]]-Март25[[#This Row],[Цена м2 отделки]]*Март25[[#This Row],[м2]]</f>
        <v>5515930</v>
      </c>
    </row>
    <row r="30" spans="1:22" s="61" customFormat="1" hidden="1">
      <c r="A30" s="62">
        <v>27</v>
      </c>
      <c r="B30" s="62" t="s">
        <v>6</v>
      </c>
      <c r="C30" s="75">
        <v>39882</v>
      </c>
      <c r="D30" s="62" t="s">
        <v>23</v>
      </c>
      <c r="E30" s="75">
        <v>207</v>
      </c>
      <c r="F30" s="62">
        <v>2</v>
      </c>
      <c r="G30" s="62">
        <v>54.44</v>
      </c>
      <c r="H30" s="62" t="s">
        <v>21</v>
      </c>
      <c r="I30" s="62">
        <v>10000</v>
      </c>
      <c r="J30" s="95">
        <v>7169494</v>
      </c>
      <c r="K30" s="117" t="s">
        <v>41</v>
      </c>
      <c r="L30" s="62" t="s">
        <v>26</v>
      </c>
      <c r="M30" s="62" t="s">
        <v>286</v>
      </c>
      <c r="N30" s="62" t="s">
        <v>91</v>
      </c>
      <c r="O30" s="92">
        <v>45740</v>
      </c>
      <c r="P30" s="117" t="s">
        <v>17</v>
      </c>
      <c r="Q30" s="62" t="s">
        <v>2385</v>
      </c>
      <c r="R30" s="76"/>
      <c r="S30" s="76" t="s">
        <v>2386</v>
      </c>
      <c r="T30" s="117" t="s">
        <v>20</v>
      </c>
      <c r="U30" s="117" t="s">
        <v>20</v>
      </c>
      <c r="V30" s="114">
        <f>Март25[[#This Row],[сумма]]-Март25[[#This Row],[Цена м2 отделки]]*Март25[[#This Row],[м2]]</f>
        <v>6625094</v>
      </c>
    </row>
    <row r="31" spans="1:22" s="61" customFormat="1" hidden="1">
      <c r="A31" s="62">
        <v>28</v>
      </c>
      <c r="B31" s="62" t="s">
        <v>6</v>
      </c>
      <c r="C31" s="75">
        <v>41091.398280000001</v>
      </c>
      <c r="D31" s="62" t="s">
        <v>23</v>
      </c>
      <c r="E31" s="75">
        <v>249</v>
      </c>
      <c r="F31" s="349">
        <v>2</v>
      </c>
      <c r="G31" s="75">
        <v>54.35</v>
      </c>
      <c r="H31" s="62" t="s">
        <v>9</v>
      </c>
      <c r="I31" s="348"/>
      <c r="J31" s="95">
        <v>6749100</v>
      </c>
      <c r="K31" s="117" t="s">
        <v>20</v>
      </c>
      <c r="L31" s="62" t="s">
        <v>22</v>
      </c>
      <c r="M31" s="62" t="s">
        <v>286</v>
      </c>
      <c r="N31" s="62" t="s">
        <v>91</v>
      </c>
      <c r="O31" s="92">
        <v>45740</v>
      </c>
      <c r="P31" s="117" t="s">
        <v>17</v>
      </c>
      <c r="Q31" s="62" t="s">
        <v>2387</v>
      </c>
      <c r="R31" s="113"/>
      <c r="S31" s="113"/>
      <c r="T31" s="117" t="s">
        <v>20</v>
      </c>
      <c r="U31" s="117" t="s">
        <v>20</v>
      </c>
      <c r="V31" s="114">
        <f>Март25[[#This Row],[сумма]]-Март25[[#This Row],[Цена м2 отделки]]*Март25[[#This Row],[м2]]</f>
        <v>6749100</v>
      </c>
    </row>
    <row r="32" spans="1:22" s="61" customFormat="1" hidden="1">
      <c r="A32" s="62">
        <v>29</v>
      </c>
      <c r="B32" s="62"/>
      <c r="C32" s="75">
        <v>40384</v>
      </c>
      <c r="D32" s="62" t="s">
        <v>23</v>
      </c>
      <c r="E32" s="75">
        <v>83</v>
      </c>
      <c r="F32" s="349">
        <v>1</v>
      </c>
      <c r="G32" s="75">
        <v>38.15</v>
      </c>
      <c r="H32" s="62" t="s">
        <v>9</v>
      </c>
      <c r="I32" s="348"/>
      <c r="J32" s="95">
        <v>4658718</v>
      </c>
      <c r="K32" s="62" t="s">
        <v>24</v>
      </c>
      <c r="L32" s="62" t="s">
        <v>26</v>
      </c>
      <c r="M32" s="62" t="s">
        <v>286</v>
      </c>
      <c r="N32" s="62" t="s">
        <v>12</v>
      </c>
      <c r="O32" s="92">
        <v>45737</v>
      </c>
      <c r="P32" s="62" t="s">
        <v>17</v>
      </c>
      <c r="Q32" s="62" t="s">
        <v>2388</v>
      </c>
      <c r="R32" s="113" t="s">
        <v>67</v>
      </c>
      <c r="S32" s="113"/>
      <c r="T32" s="62" t="s">
        <v>24</v>
      </c>
      <c r="U32" s="62" t="s">
        <v>24</v>
      </c>
      <c r="V32" s="114">
        <f>Март25[[#This Row],[сумма]]-Март25[[#This Row],[Цена м2 отделки]]*Март25[[#This Row],[м2]]</f>
        <v>4658718</v>
      </c>
    </row>
    <row r="33" spans="1:22" s="61" customFormat="1" hidden="1">
      <c r="A33" s="62">
        <v>30</v>
      </c>
      <c r="B33" s="62"/>
      <c r="C33" s="75">
        <v>41101</v>
      </c>
      <c r="D33" s="62" t="s">
        <v>13</v>
      </c>
      <c r="E33" s="75">
        <v>439</v>
      </c>
      <c r="F33" s="62">
        <v>0</v>
      </c>
      <c r="G33" s="62">
        <v>24.5</v>
      </c>
      <c r="H33" s="62" t="s">
        <v>9</v>
      </c>
      <c r="I33" s="62"/>
      <c r="J33" s="351">
        <v>3515200</v>
      </c>
      <c r="K33" s="117" t="s">
        <v>24</v>
      </c>
      <c r="L33" s="62" t="s">
        <v>22</v>
      </c>
      <c r="M33" s="62" t="s">
        <v>583</v>
      </c>
      <c r="N33" s="62" t="s">
        <v>18</v>
      </c>
      <c r="O33" s="92">
        <v>45742</v>
      </c>
      <c r="P33" s="117" t="s">
        <v>17</v>
      </c>
      <c r="Q33" s="62" t="s">
        <v>2389</v>
      </c>
      <c r="R33" s="113"/>
      <c r="S33" s="113"/>
      <c r="T33" s="117" t="s">
        <v>24</v>
      </c>
      <c r="U33" s="117" t="s">
        <v>24</v>
      </c>
      <c r="V33" s="114">
        <f>Март25[[#This Row],[сумма]]-Март25[[#This Row],[Цена м2 отделки]]*Март25[[#This Row],[м2]]</f>
        <v>3515200</v>
      </c>
    </row>
    <row r="34" spans="1:22" s="61" customFormat="1">
      <c r="A34" s="62">
        <v>31</v>
      </c>
      <c r="B34" s="62"/>
      <c r="C34" s="74">
        <v>40638</v>
      </c>
      <c r="D34" s="62" t="s">
        <v>23</v>
      </c>
      <c r="E34" s="75">
        <v>225</v>
      </c>
      <c r="F34" s="62">
        <v>2</v>
      </c>
      <c r="G34" s="62">
        <v>56.05</v>
      </c>
      <c r="H34" s="62" t="s">
        <v>21</v>
      </c>
      <c r="I34" s="62">
        <v>10000</v>
      </c>
      <c r="J34" s="95">
        <v>7304700</v>
      </c>
      <c r="K34" s="117" t="s">
        <v>8</v>
      </c>
      <c r="L34" s="62" t="s">
        <v>22</v>
      </c>
      <c r="M34" s="371" t="s">
        <v>286</v>
      </c>
      <c r="N34" s="62" t="s">
        <v>18</v>
      </c>
      <c r="O34" s="92">
        <v>45743</v>
      </c>
      <c r="P34" s="117" t="s">
        <v>17</v>
      </c>
      <c r="Q34" s="62" t="s">
        <v>2390</v>
      </c>
      <c r="R34" s="113"/>
      <c r="S34" s="377"/>
      <c r="T34" s="117" t="s">
        <v>8</v>
      </c>
      <c r="U34" s="117" t="s">
        <v>8</v>
      </c>
      <c r="V34" s="114">
        <f>Март25[[#This Row],[сумма]]-Март25[[#This Row],[Цена м2 отделки]]*Март25[[#This Row],[м2]]</f>
        <v>6744200</v>
      </c>
    </row>
    <row r="35" spans="1:22" s="61" customFormat="1" hidden="1">
      <c r="A35" s="62">
        <v>32</v>
      </c>
      <c r="B35" s="62"/>
      <c r="C35" s="81">
        <v>41185</v>
      </c>
      <c r="D35" s="62" t="s">
        <v>23</v>
      </c>
      <c r="E35" s="62">
        <v>285</v>
      </c>
      <c r="F35" s="62">
        <v>2</v>
      </c>
      <c r="G35" s="75">
        <v>55.69</v>
      </c>
      <c r="H35" s="62" t="s">
        <v>21</v>
      </c>
      <c r="I35" s="62">
        <v>10000</v>
      </c>
      <c r="J35" s="95">
        <v>7244980</v>
      </c>
      <c r="K35" s="62" t="s">
        <v>14</v>
      </c>
      <c r="L35" s="62" t="s">
        <v>26</v>
      </c>
      <c r="M35" s="62" t="s">
        <v>286</v>
      </c>
      <c r="N35" s="62" t="s">
        <v>18</v>
      </c>
      <c r="O35" s="92">
        <v>45743</v>
      </c>
      <c r="P35" s="117" t="s">
        <v>17</v>
      </c>
      <c r="Q35" s="62" t="s">
        <v>2391</v>
      </c>
      <c r="R35" s="76"/>
      <c r="S35" s="76"/>
      <c r="T35" s="117" t="s">
        <v>14</v>
      </c>
      <c r="U35" s="117" t="s">
        <v>14</v>
      </c>
      <c r="V35" s="114">
        <f>Март25[[#This Row],[сумма]]-Март25[[#This Row],[Цена м2 отделки]]*Март25[[#This Row],[м2]]</f>
        <v>6688080</v>
      </c>
    </row>
    <row r="36" spans="1:22" s="61" customFormat="1" hidden="1">
      <c r="A36" s="62">
        <v>33</v>
      </c>
      <c r="B36" s="62"/>
      <c r="C36" s="75">
        <v>32815</v>
      </c>
      <c r="D36" s="62" t="s">
        <v>13</v>
      </c>
      <c r="E36" s="75">
        <v>172</v>
      </c>
      <c r="F36" s="62">
        <v>3</v>
      </c>
      <c r="G36" s="62">
        <v>84.99</v>
      </c>
      <c r="H36" s="62" t="s">
        <v>9</v>
      </c>
      <c r="I36" s="62"/>
      <c r="J36" s="95">
        <v>8753696</v>
      </c>
      <c r="K36" s="117" t="s">
        <v>14</v>
      </c>
      <c r="L36" s="62" t="s">
        <v>22</v>
      </c>
      <c r="M36" s="62" t="s">
        <v>286</v>
      </c>
      <c r="N36" s="62" t="s">
        <v>18</v>
      </c>
      <c r="O36" s="92">
        <v>45744</v>
      </c>
      <c r="P36" s="117" t="s">
        <v>17</v>
      </c>
      <c r="Q36" s="62" t="s">
        <v>2392</v>
      </c>
      <c r="R36" s="113"/>
      <c r="S36" s="113"/>
      <c r="T36" s="117" t="s">
        <v>14</v>
      </c>
      <c r="U36" s="117" t="s">
        <v>14</v>
      </c>
      <c r="V36" s="114">
        <f>Март25[[#This Row],[сумма]]-Март25[[#This Row],[Цена м2 отделки]]*Март25[[#This Row],[м2]]</f>
        <v>8753696</v>
      </c>
    </row>
    <row r="37" spans="1:22" s="61" customFormat="1" hidden="1">
      <c r="A37" s="62">
        <v>34</v>
      </c>
      <c r="B37" s="62"/>
      <c r="C37" s="75">
        <v>39978</v>
      </c>
      <c r="D37" s="62" t="s">
        <v>7</v>
      </c>
      <c r="E37" s="75">
        <v>512</v>
      </c>
      <c r="F37" s="62">
        <v>3</v>
      </c>
      <c r="G37" s="62">
        <v>74.28</v>
      </c>
      <c r="H37" s="62" t="s">
        <v>9</v>
      </c>
      <c r="I37" s="62"/>
      <c r="J37" s="95">
        <v>8374500</v>
      </c>
      <c r="K37" s="117" t="s">
        <v>24</v>
      </c>
      <c r="L37" s="62" t="s">
        <v>22</v>
      </c>
      <c r="M37" s="62" t="s">
        <v>583</v>
      </c>
      <c r="N37" s="62" t="s">
        <v>18</v>
      </c>
      <c r="O37" s="92">
        <v>45743</v>
      </c>
      <c r="P37" s="117" t="s">
        <v>17</v>
      </c>
      <c r="Q37" s="62" t="s">
        <v>2393</v>
      </c>
      <c r="R37" s="113"/>
      <c r="S37" s="113"/>
      <c r="T37" s="117" t="s">
        <v>24</v>
      </c>
      <c r="U37" s="117" t="s">
        <v>24</v>
      </c>
      <c r="V37" s="114">
        <f>Март25[[#This Row],[сумма]]-Март25[[#This Row],[Цена м2 отделки]]*Март25[[#This Row],[м2]]</f>
        <v>8374500</v>
      </c>
    </row>
    <row r="38" spans="1:22" s="61" customFormat="1" hidden="1">
      <c r="A38" s="62">
        <v>35</v>
      </c>
      <c r="B38" s="62"/>
      <c r="C38" s="75"/>
      <c r="D38" s="62" t="s">
        <v>23</v>
      </c>
      <c r="E38" s="75">
        <v>256</v>
      </c>
      <c r="F38" s="62">
        <v>2</v>
      </c>
      <c r="G38" s="62">
        <v>55.73</v>
      </c>
      <c r="H38" s="62" t="s">
        <v>9</v>
      </c>
      <c r="I38" s="62"/>
      <c r="J38" s="95">
        <v>6784600</v>
      </c>
      <c r="K38" s="117" t="s">
        <v>45</v>
      </c>
      <c r="L38" s="62" t="s">
        <v>26</v>
      </c>
      <c r="M38" s="62" t="s">
        <v>286</v>
      </c>
      <c r="N38" s="62" t="s">
        <v>91</v>
      </c>
      <c r="O38" s="92">
        <v>45747</v>
      </c>
      <c r="P38" s="117" t="s">
        <v>17</v>
      </c>
      <c r="Q38" s="62" t="s">
        <v>2394</v>
      </c>
      <c r="R38" s="113"/>
      <c r="S38" s="113"/>
      <c r="T38" s="117" t="s">
        <v>24</v>
      </c>
      <c r="U38" s="117" t="s">
        <v>24</v>
      </c>
      <c r="V38" s="114">
        <f>Март25[[#This Row],[сумма]]-Март25[[#This Row],[Цена м2 отделки]]*Март25[[#This Row],[м2]]</f>
        <v>6784600</v>
      </c>
    </row>
    <row r="39" spans="1:22" s="61" customFormat="1" hidden="1">
      <c r="A39" s="65"/>
      <c r="B39" s="65"/>
      <c r="C39" s="79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108"/>
      <c r="O39" s="98"/>
      <c r="P39" s="80"/>
      <c r="Q39" s="65"/>
      <c r="R39" s="86"/>
      <c r="S39" s="118"/>
      <c r="T39" s="80"/>
      <c r="U39" s="80"/>
      <c r="V39" s="115">
        <f>Март25[[#This Row],[сумма]]-Март25[[#This Row],[Цена м2 отделки]]*Март25[[#This Row],[м2]]</f>
        <v>0</v>
      </c>
    </row>
    <row r="40" spans="1:22" s="61" customFormat="1" hidden="1">
      <c r="A40" s="65"/>
      <c r="B40" s="65"/>
      <c r="C40" s="78"/>
      <c r="D40" s="65"/>
      <c r="E40" s="79"/>
      <c r="F40" s="65"/>
      <c r="G40" s="65"/>
      <c r="H40" s="65"/>
      <c r="I40" s="65"/>
      <c r="J40" s="93"/>
      <c r="K40" s="80"/>
      <c r="L40" s="65"/>
      <c r="M40" s="65"/>
      <c r="N40" s="65"/>
      <c r="O40" s="98"/>
      <c r="P40" s="80"/>
      <c r="Q40" s="65"/>
      <c r="R40" s="118"/>
      <c r="S40" s="118"/>
      <c r="T40" s="80"/>
      <c r="U40" s="80"/>
      <c r="V40" s="115">
        <f>Март25[[#This Row],[сумма]]-Март25[[#This Row],[Цена м2 отделки]]*Март25[[#This Row],[м2]]</f>
        <v>0</v>
      </c>
    </row>
    <row r="41" spans="1:22" hidden="1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65"/>
      <c r="L41" s="65"/>
      <c r="M41" s="65"/>
      <c r="N41" s="65"/>
      <c r="O41" s="98"/>
      <c r="P41" s="80"/>
      <c r="Q41" s="86"/>
      <c r="R41" s="118"/>
      <c r="S41" s="118"/>
      <c r="U41" s="65"/>
      <c r="V41" s="115">
        <f>Март25[[#This Row],[сумма]]-Март25[[#This Row],[Цена м2 отделки]]*Март25[[#This Row],[м2]]</f>
        <v>0</v>
      </c>
    </row>
    <row r="42" spans="1:22" hidden="1">
      <c r="A42" s="65"/>
      <c r="B42" s="65"/>
      <c r="C42" s="79"/>
      <c r="D42" s="65"/>
      <c r="E42" s="79"/>
      <c r="F42" s="65"/>
      <c r="G42" s="65"/>
      <c r="H42" s="65"/>
      <c r="I42" s="65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Март25[[#This Row],[сумма]]-Март25[[#This Row],[Цена м2 отделки]]*Март25[[#This Row],[м2]]</f>
        <v>0</v>
      </c>
    </row>
    <row r="43" spans="1:22" hidden="1">
      <c r="A43" s="65"/>
      <c r="B43" s="65"/>
      <c r="C43" s="78"/>
      <c r="D43" s="65"/>
      <c r="E43" s="79"/>
      <c r="F43" s="65"/>
      <c r="G43" s="65"/>
      <c r="H43" s="89"/>
      <c r="I43" s="89"/>
      <c r="J43" s="93"/>
      <c r="K43" s="80"/>
      <c r="L43" s="65"/>
      <c r="M43" s="65"/>
      <c r="N43" s="65"/>
      <c r="O43" s="98"/>
      <c r="P43" s="80"/>
      <c r="Q43" s="65"/>
      <c r="R43" s="118"/>
      <c r="S43" s="118"/>
      <c r="T43" s="80"/>
      <c r="U43" s="80"/>
      <c r="V43" s="115">
        <f>Март25[[#This Row],[сумма]]-Март25[[#This Row],[Цена м2 отделки]]*Март25[[#This Row],[м2]]</f>
        <v>0</v>
      </c>
    </row>
    <row r="44" spans="1:22" hidden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Март25[[#This Row],[сумма]]-Март25[[#This Row],[Цена м2 отделки]]*Март25[[#This Row],[м2]]</f>
        <v>0</v>
      </c>
    </row>
    <row r="45" spans="1:22" hidden="1">
      <c r="A45" s="65"/>
      <c r="B45" s="65"/>
      <c r="C45" s="79"/>
      <c r="D45" s="65"/>
      <c r="E45" s="79"/>
      <c r="F45" s="65"/>
      <c r="G45" s="65"/>
      <c r="H45" s="65"/>
      <c r="I45" s="65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Март25[[#This Row],[сумма]]-Март25[[#This Row],[Цена м2 отделки]]*Март25[[#This Row],[м2]]</f>
        <v>0</v>
      </c>
    </row>
    <row r="46" spans="1:22" hidden="1">
      <c r="A46" s="65"/>
      <c r="B46" s="65"/>
      <c r="C46" s="78"/>
      <c r="D46" s="65"/>
      <c r="E46" s="79"/>
      <c r="F46" s="65"/>
      <c r="G46" s="65"/>
      <c r="H46" s="65"/>
      <c r="I46" s="77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Март25[[#This Row],[сумма]]-Март25[[#This Row],[Цена м2 отделки]]*Март25[[#This Row],[м2]]</f>
        <v>0</v>
      </c>
    </row>
    <row r="47" spans="1:22" hidden="1">
      <c r="A47" s="65"/>
      <c r="B47" s="65"/>
      <c r="C47" s="79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Март25[[#This Row],[сумма]]-Март25[[#This Row],[Цена м2 отделки]]*Март25[[#This Row],[м2]]</f>
        <v>0</v>
      </c>
    </row>
    <row r="48" spans="1:22" hidden="1">
      <c r="A48" s="65"/>
      <c r="B48" s="65"/>
      <c r="C48" s="78"/>
      <c r="D48" s="65"/>
      <c r="E48" s="79"/>
      <c r="F48" s="65"/>
      <c r="G48" s="65"/>
      <c r="H48" s="65"/>
      <c r="I48" s="65"/>
      <c r="J48" s="93"/>
      <c r="K48" s="80"/>
      <c r="L48" s="65"/>
      <c r="M48" s="65"/>
      <c r="N48" s="65"/>
      <c r="O48" s="98"/>
      <c r="P48" s="65"/>
      <c r="Q48" s="65"/>
      <c r="R48" s="118"/>
      <c r="S48" s="118"/>
      <c r="T48" s="80"/>
      <c r="U48" s="80"/>
      <c r="V48" s="115">
        <f>Март25[[#This Row],[сумма]]-Март25[[#This Row],[Цена м2 отделки]]*Март25[[#This Row],[м2]]</f>
        <v>0</v>
      </c>
    </row>
    <row r="49" spans="1:22" hidden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86"/>
      <c r="R49" s="86"/>
      <c r="S49" s="86"/>
      <c r="T49" s="80"/>
      <c r="U49" s="80"/>
      <c r="V49" s="115">
        <f>Март25[[#This Row],[сумма]]-Март25[[#This Row],[Цена м2 отделки]]*Март25[[#This Row],[м2]]</f>
        <v>0</v>
      </c>
    </row>
    <row r="50" spans="1:22" hidden="1">
      <c r="A50" s="65"/>
      <c r="B50" s="65"/>
      <c r="C50" s="79"/>
      <c r="D50" s="65"/>
      <c r="E50" s="79"/>
      <c r="F50" s="65"/>
      <c r="G50" s="65"/>
      <c r="H50" s="80"/>
      <c r="I50" s="80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Март25[[#This Row],[сумма]]-Март25[[#This Row],[Цена м2 отделки]]*Март25[[#This Row],[м2]]</f>
        <v>0</v>
      </c>
    </row>
    <row r="51" spans="1:22" hidden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86"/>
      <c r="S51" s="86"/>
      <c r="T51" s="80"/>
      <c r="U51" s="80"/>
      <c r="V51" s="115">
        <f>Март25[[#This Row],[сумма]]-Март25[[#This Row],[Цена м2 отделки]]*Март25[[#This Row],[м2]]</f>
        <v>0</v>
      </c>
    </row>
    <row r="52" spans="1:22" hidden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65"/>
      <c r="O52" s="98"/>
      <c r="P52" s="80"/>
      <c r="Q52" s="65"/>
      <c r="R52" s="118"/>
      <c r="S52" s="86"/>
      <c r="T52" s="80"/>
      <c r="U52" s="80"/>
      <c r="V52" s="115">
        <f>Март25[[#This Row],[сумма]]-Март25[[#This Row],[Цена м2 отделки]]*Март25[[#This Row],[м2]]</f>
        <v>0</v>
      </c>
    </row>
    <row r="53" spans="1:22" hidden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108"/>
      <c r="O53" s="98"/>
      <c r="P53" s="80"/>
      <c r="Q53" s="65"/>
      <c r="R53" s="86"/>
      <c r="S53" s="86"/>
      <c r="T53" s="80"/>
      <c r="U53" s="80"/>
      <c r="V53" s="115">
        <f>Март25[[#This Row],[сумма]]-Март25[[#This Row],[Цена м2 отделки]]*Март25[[#This Row],[м2]]</f>
        <v>0</v>
      </c>
    </row>
    <row r="54" spans="1:22" hidden="1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98"/>
      <c r="P54" s="80"/>
      <c r="Q54" s="86"/>
      <c r="R54" s="86"/>
      <c r="S54" s="86"/>
      <c r="T54" s="80"/>
      <c r="U54" s="80"/>
      <c r="V54" s="115">
        <f>Март25[[#This Row],[сумма]]-Март25[[#This Row],[Цена м2 отделки]]*Март25[[#This Row],[м2]]</f>
        <v>0</v>
      </c>
    </row>
    <row r="55" spans="1:22" hidden="1">
      <c r="A55" s="65"/>
      <c r="B55" s="65"/>
      <c r="C55" s="79"/>
      <c r="D55" s="65"/>
      <c r="E55" s="79"/>
      <c r="F55" s="65"/>
      <c r="G55" s="65"/>
      <c r="H55" s="65"/>
      <c r="I55" s="65"/>
      <c r="J55" s="93"/>
      <c r="K55" s="80"/>
      <c r="L55" s="65"/>
      <c r="M55" s="65"/>
      <c r="N55" s="65"/>
      <c r="O55" s="109"/>
      <c r="P55" s="80"/>
      <c r="Q55" s="86"/>
      <c r="R55" s="86"/>
      <c r="S55" s="86"/>
      <c r="T55" s="80"/>
      <c r="U55" s="80"/>
      <c r="V55" s="115">
        <f>Март25[[#This Row],[сумма]]-Март25[[#This Row],[Цена м2 отделки]]*Март25[[#This Row],[м2]]</f>
        <v>0</v>
      </c>
    </row>
    <row r="56" spans="1:22" hidden="1">
      <c r="A56" s="65"/>
      <c r="B56" s="65"/>
      <c r="C56" s="79"/>
      <c r="D56" s="65"/>
      <c r="E56" s="79"/>
      <c r="F56" s="65"/>
      <c r="G56" s="65"/>
      <c r="H56" s="86"/>
      <c r="I56" s="86"/>
      <c r="J56" s="104"/>
      <c r="K56" s="80"/>
      <c r="L56" s="80"/>
      <c r="M56" s="80"/>
      <c r="N56" s="80"/>
      <c r="O56" s="109"/>
      <c r="P56" s="80"/>
      <c r="Q56" s="86"/>
      <c r="R56" s="86"/>
      <c r="S56" s="86"/>
      <c r="T56" s="80"/>
      <c r="U56" s="80"/>
      <c r="V56" s="115">
        <f>Март25[[#This Row],[сумма]]-Март25[[#This Row],[Цена м2 отделки]]*Март25[[#This Row],[м2]]</f>
        <v>0</v>
      </c>
    </row>
    <row r="57" spans="1:22" hidden="1">
      <c r="A57" s="65"/>
      <c r="B57" s="65"/>
      <c r="C57" s="79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109"/>
      <c r="P57" s="80"/>
      <c r="Q57" s="65"/>
      <c r="R57" s="118"/>
      <c r="S57" s="86"/>
      <c r="T57" s="80"/>
      <c r="U57" s="80"/>
      <c r="V57" s="115">
        <f>Март25[[#This Row],[сумма]]-Март25[[#This Row],[Цена м2 отделки]]*Март25[[#This Row],[м2]]</f>
        <v>0</v>
      </c>
    </row>
    <row r="58" spans="1:22" hidden="1">
      <c r="A58" s="65"/>
      <c r="B58" s="65"/>
      <c r="C58" s="78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118"/>
      <c r="T58" s="80"/>
      <c r="U58" s="80"/>
      <c r="V58" s="115">
        <f>Март25[[#This Row],[сумма]]-Март25[[#This Row],[Цена м2 отделки]]*Март25[[#This Row],[м2]]</f>
        <v>0</v>
      </c>
    </row>
    <row r="59" spans="1:22" hidden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80"/>
      <c r="L59" s="65"/>
      <c r="M59" s="65"/>
      <c r="N59" s="65"/>
      <c r="O59" s="98"/>
      <c r="P59" s="80"/>
      <c r="Q59" s="65"/>
      <c r="R59" s="118"/>
      <c r="S59" s="86"/>
      <c r="T59" s="80"/>
      <c r="U59" s="80"/>
      <c r="V59" s="115">
        <f>Март25[[#This Row],[сумма]]-Март25[[#This Row],[Цена м2 отделки]]*Март25[[#This Row],[м2]]</f>
        <v>0</v>
      </c>
    </row>
    <row r="60" spans="1:22" hidden="1">
      <c r="A60" s="65"/>
      <c r="B60" s="65"/>
      <c r="C60" s="79"/>
      <c r="D60" s="65"/>
      <c r="E60" s="79"/>
      <c r="F60" s="65"/>
      <c r="G60" s="65"/>
      <c r="H60" s="65"/>
      <c r="I60" s="65"/>
      <c r="J60" s="93"/>
      <c r="K60" s="65"/>
      <c r="L60" s="65"/>
      <c r="M60" s="65"/>
      <c r="N60" s="65"/>
      <c r="O60" s="98"/>
      <c r="P60" s="65"/>
      <c r="Q60" s="65"/>
      <c r="R60" s="86"/>
      <c r="S60" s="86"/>
      <c r="U60" s="65"/>
      <c r="V60" s="115">
        <f>Март25[[#This Row],[сумма]]-Март25[[#This Row],[Цена м2 отделки]]*Март25[[#This Row],[м2]]</f>
        <v>0</v>
      </c>
    </row>
    <row r="61" spans="1:22" hidden="1">
      <c r="A61" s="65"/>
      <c r="B61" s="65"/>
      <c r="C61" s="79"/>
      <c r="D61" s="65"/>
      <c r="E61" s="79"/>
      <c r="F61" s="65"/>
      <c r="G61" s="65"/>
      <c r="H61" s="65"/>
      <c r="I61" s="72"/>
      <c r="J61" s="93"/>
      <c r="K61" s="80"/>
      <c r="L61" s="65"/>
      <c r="M61" s="65"/>
      <c r="N61" s="65"/>
      <c r="O61" s="110"/>
      <c r="P61" s="65"/>
      <c r="Q61" s="72"/>
      <c r="R61" s="118"/>
      <c r="S61" s="118"/>
      <c r="T61" s="80"/>
      <c r="U61" s="80"/>
      <c r="V61" s="115">
        <f>Март25[[#This Row],[сумма]]-Март25[[#This Row],[Цена м2 отделки]]*Март25[[#This Row],[м2]]</f>
        <v>0</v>
      </c>
    </row>
    <row r="62" spans="1:22" hidden="1">
      <c r="A62" s="65"/>
      <c r="B62" s="65"/>
      <c r="C62" s="79"/>
      <c r="D62" s="65"/>
      <c r="E62" s="79"/>
      <c r="F62" s="65"/>
      <c r="G62" s="65"/>
      <c r="H62" s="65"/>
      <c r="I62" s="65"/>
      <c r="J62" s="93"/>
      <c r="K62" s="80"/>
      <c r="L62" s="65"/>
      <c r="M62" s="65"/>
      <c r="N62" s="65"/>
      <c r="O62" s="98"/>
      <c r="P62" s="65"/>
      <c r="Q62" s="65"/>
      <c r="R62" s="118"/>
      <c r="S62" s="118"/>
      <c r="T62" s="80"/>
      <c r="U62" s="80"/>
      <c r="V62" s="115">
        <f>Март25[[#This Row],[сумма]]-Март25[[#This Row],[Цена м2 отделки]]*Март25[[#This Row],[м2]]</f>
        <v>0</v>
      </c>
    </row>
    <row r="63" spans="1:22" hidden="1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98"/>
      <c r="P63" s="65"/>
      <c r="Q63" s="65"/>
      <c r="R63" s="118"/>
      <c r="S63" s="86"/>
      <c r="T63" s="80"/>
      <c r="U63" s="80"/>
      <c r="V63" s="115">
        <f>Март25[[#This Row],[сумма]]-Март25[[#This Row],[Цена м2 отделки]]*Март25[[#This Row],[м2]]</f>
        <v>0</v>
      </c>
    </row>
    <row r="64" spans="1:22" hidden="1">
      <c r="A64" s="65"/>
      <c r="B64" s="65"/>
      <c r="C64" s="79"/>
      <c r="D64" s="65"/>
      <c r="E64" s="79"/>
      <c r="F64" s="65"/>
      <c r="G64" s="65"/>
      <c r="H64" s="65"/>
      <c r="I64" s="72"/>
      <c r="J64" s="93"/>
      <c r="K64" s="80"/>
      <c r="L64" s="65"/>
      <c r="M64" s="65"/>
      <c r="N64" s="65"/>
      <c r="O64" s="110"/>
      <c r="P64" s="65"/>
      <c r="Q64" s="65"/>
      <c r="R64" s="118"/>
      <c r="S64" s="118"/>
      <c r="T64" s="80"/>
      <c r="U64" s="80"/>
      <c r="V64" s="115">
        <f>Март25[[#This Row],[сумма]]-Март25[[#This Row],[Цена м2 отделки]]*Март25[[#This Row],[м2]]</f>
        <v>0</v>
      </c>
    </row>
    <row r="65" spans="1:27" hidden="1">
      <c r="A65" s="65"/>
      <c r="B65" s="65"/>
      <c r="C65" s="79"/>
      <c r="D65" s="65"/>
      <c r="E65" s="79"/>
      <c r="F65" s="65"/>
      <c r="G65" s="65"/>
      <c r="H65" s="65"/>
      <c r="I65" s="65"/>
      <c r="J65" s="93"/>
      <c r="K65" s="65"/>
      <c r="L65" s="65"/>
      <c r="M65" s="65"/>
      <c r="N65" s="65"/>
      <c r="O65" s="98"/>
      <c r="P65" s="65"/>
      <c r="Q65" s="65"/>
      <c r="R65" s="118"/>
      <c r="S65" s="118"/>
      <c r="U65" s="65"/>
      <c r="V65" s="115">
        <f>Март25[[#This Row],[сумма]]-Март25[[#This Row],[Цена м2 отделки]]*Март25[[#This Row],[м2]]</f>
        <v>0</v>
      </c>
    </row>
    <row r="66" spans="1:27">
      <c r="A66" s="65"/>
      <c r="B66" s="87"/>
      <c r="C66" s="65"/>
      <c r="D66" s="65"/>
      <c r="E66" s="87"/>
      <c r="F66" s="65"/>
      <c r="G66" s="65"/>
      <c r="H66" s="72"/>
      <c r="I66" s="105"/>
      <c r="J66" s="72"/>
      <c r="K66" s="65"/>
      <c r="L66" s="65"/>
      <c r="M66" s="65"/>
      <c r="N66" s="98"/>
      <c r="O66" s="65"/>
      <c r="P66" s="65"/>
      <c r="Q66" s="65"/>
      <c r="R66" s="65"/>
      <c r="S66" s="65"/>
      <c r="T66" s="93"/>
    </row>
    <row r="67" spans="1:27">
      <c r="A67" s="65"/>
      <c r="B67" s="87"/>
      <c r="C67" s="65"/>
      <c r="D67" s="65"/>
      <c r="E67" s="65"/>
      <c r="F67" s="65"/>
      <c r="G67" s="65"/>
      <c r="H67" s="65"/>
      <c r="I67" s="65"/>
      <c r="L67" s="65"/>
      <c r="M67" s="65"/>
      <c r="N67" s="98"/>
      <c r="O67" s="65"/>
    </row>
    <row r="68" spans="1:27" s="65" customFormat="1">
      <c r="B68" s="79"/>
      <c r="D68" s="79"/>
      <c r="J68" s="66"/>
      <c r="X68" s="98"/>
      <c r="Y68" s="80"/>
      <c r="AA68" s="86"/>
    </row>
    <row r="69" spans="1:27" s="65" customFormat="1">
      <c r="B69" s="79"/>
      <c r="C69" s="79"/>
      <c r="D69" s="80"/>
      <c r="J69" s="66"/>
      <c r="W69" s="110"/>
      <c r="Y69" s="72"/>
      <c r="Z69" s="86"/>
      <c r="AA69" s="86"/>
    </row>
    <row r="70" spans="1:27" s="65" customFormat="1">
      <c r="U70" s="66"/>
    </row>
    <row r="71" spans="1:27" s="65" customFormat="1">
      <c r="A71" s="2325" t="s">
        <v>713</v>
      </c>
      <c r="B71" s="2326"/>
      <c r="C71" s="133" t="s">
        <v>7</v>
      </c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T71" s="66"/>
    </row>
    <row r="72" spans="1:27" s="65" customFormat="1">
      <c r="A72" s="135" t="s">
        <v>1</v>
      </c>
      <c r="B72" s="135" t="s">
        <v>100</v>
      </c>
      <c r="C72" s="136" t="s">
        <v>97</v>
      </c>
      <c r="D72" s="137" t="s">
        <v>494</v>
      </c>
      <c r="E72" s="138" t="s">
        <v>495</v>
      </c>
      <c r="F72" s="139" t="s">
        <v>496</v>
      </c>
      <c r="G72" s="140" t="s">
        <v>101</v>
      </c>
      <c r="H72" s="141" t="s">
        <v>98</v>
      </c>
      <c r="I72" s="141" t="s">
        <v>96</v>
      </c>
      <c r="J72" s="141" t="s">
        <v>715</v>
      </c>
      <c r="K72" s="216" t="s">
        <v>716</v>
      </c>
      <c r="L72" s="217">
        <v>0</v>
      </c>
      <c r="M72" s="218">
        <v>1</v>
      </c>
      <c r="N72" s="218">
        <v>2</v>
      </c>
      <c r="O72" s="218">
        <v>3</v>
      </c>
      <c r="P72" s="219" t="s">
        <v>1367</v>
      </c>
      <c r="T72" s="66"/>
    </row>
    <row r="73" spans="1:27" s="65" customFormat="1">
      <c r="A73" s="142" t="s">
        <v>28</v>
      </c>
      <c r="B73" s="143">
        <f>IFERROR(VLOOKUP(A73,'ИПП 1кв25'!$B$40:$N$51,4,0),"")</f>
        <v>8</v>
      </c>
      <c r="C73" s="144">
        <f>IFERROR(VLOOKUP(A73,'ИПП 1кв25'!$B$40:$N$51,5,0),"")</f>
        <v>1082746</v>
      </c>
      <c r="D73" s="145">
        <f>SUMIFS(Март25[м2],Март25[КТУ],$A73,Март25[№ дома],$C$71,Март25[Комнатность],"&lt;&gt;Офис")</f>
        <v>0</v>
      </c>
      <c r="E73" s="146">
        <f>SUMIFS(Март25[Сумма без отделки],Март25[КТУ],$A73,Март25[№ дома],$C$71,Март25[Комнатность],"&lt;&gt;Офис")</f>
        <v>0</v>
      </c>
      <c r="F73" s="147">
        <f>COUNTIFS(Март25[КТУ],$A73,Март25[№ дома],$C$71,Март25[Комнатность],"&lt;&gt;Офис")</f>
        <v>0</v>
      </c>
      <c r="G73" s="148">
        <f>SUMIFS(РД[S],РД[Дом],$C$71,РД[МОП],A73,РД[Дата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COUNTIFS(РД[Дом],$C$71,РД[МОП],A73,РД[Дата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ref="J73:K80" si="0">IFERROR(G73/B73,"")</f>
        <v>0</v>
      </c>
      <c r="K73" s="222">
        <f t="shared" si="0"/>
        <v>0</v>
      </c>
      <c r="L73" s="148">
        <f>COUNTIFS(РД[Тип кв],L$72,РД[МОП],$A73,РД[Дом],$C$71,РД[Дата подачи на регистрацию],"&lt;="&amp;$A$1,РД[Дата подачи на регистрацию],"&gt;="&amp;DATE(YEAR($A$1),MONTH($A$1),1))</f>
        <v>0</v>
      </c>
      <c r="M73" s="220">
        <f>COUNTIFS(РД[Тип кв],M$72,РД[МОП],$A73,РД[Дом],$C$71,РД[Дата подачи на регистрацию],"&lt;="&amp;$A$1,РД[Дата подачи на регистрацию],"&gt;="&amp;DATE(YEAR($A$1),MONTH($A$1),1))</f>
        <v>0</v>
      </c>
      <c r="N73" s="220">
        <f>COUNTIFS(РД[Тип кв],N$72,РД[МОП],$A73,РД[Дом],$C$71,РД[Дата подачи на регистрацию],"&lt;="&amp;$A$1,РД[Дата подачи на регистрацию],"&gt;="&amp;DATE(YEAR($A$1),MONTH($A$1),1))</f>
        <v>0</v>
      </c>
      <c r="O73" s="220">
        <f>COUNTIFS(РД[Тип кв],O$72,РД[МОП],$A73,РД[Дом],$C$71,РД[Дата подачи на регистрацию],"&lt;="&amp;$A$1,РД[Дата подачи на регистрацию],"&gt;="&amp;DATE(YEAR($A$1),MONTH($A$1),1))</f>
        <v>0</v>
      </c>
      <c r="P73" s="223">
        <f>COUNTIFS(РД[Тип кв],P$72,РД[МОП],$A73,РД[Дом],$C$71,РД[Дата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42" t="s">
        <v>8</v>
      </c>
      <c r="B74" s="143">
        <f>IFERROR(VLOOKUP(A74,'ИПП 1кв25'!$B$40:$N$51,4,0),"")</f>
        <v>11</v>
      </c>
      <c r="C74" s="144">
        <f>IFERROR(VLOOKUP(A74,'ИПП 1кв25'!$B$40:$N$51,5,0),"")</f>
        <v>1484909</v>
      </c>
      <c r="D74" s="145">
        <f>SUMIFS(Март25[м2],Март25[КТУ],$A74,Март25[№ дома],$C$71,Март25[Комнатность],"&lt;&gt;Офис")</f>
        <v>0</v>
      </c>
      <c r="E74" s="146">
        <f>SUMIFS(Март25[Сумма без отделки],Март25[КТУ],$A74,Март25[№ дома],$C$71,Март25[Комнатность],"&lt;&gt;Офис")</f>
        <v>0</v>
      </c>
      <c r="F74" s="147">
        <f>COUNTIFS(Март25[КТУ],$A74,Март25[№ дома],$C$71,Март25[Комнатность],"&lt;&gt;Офис")</f>
        <v>0</v>
      </c>
      <c r="G74" s="148">
        <f>SUMIFS(РД[S],РД[Дом],$C$71,РД[МОП],A74,РД[Дата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COUNTIFS(РД[Дом],$C$71,РД[МОП],A74,РД[Дата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1">
        <f t="shared" si="0"/>
        <v>0</v>
      </c>
      <c r="K74" s="222">
        <f t="shared" si="0"/>
        <v>0</v>
      </c>
      <c r="L74" s="148">
        <f>COUNTIFS(РД[Тип кв],L$72,РД[МОП],$A74,РД[Дом],$C$71,РД[Дата подачи на регистрацию],"&lt;="&amp;$A$1,РД[Дата подачи на регистрацию],"&gt;="&amp;DATE(YEAR($A$1),MONTH($A$1),1))</f>
        <v>0</v>
      </c>
      <c r="M74" s="220">
        <f>COUNTIFS(РД[Тип кв],M$72,РД[МОП],$A74,РД[Дом],$C$71,РД[Дата подачи на регистрацию],"&lt;="&amp;$A$1,РД[Дата подачи на регистрацию],"&gt;="&amp;DATE(YEAR($A$1),MONTH($A$1),1))</f>
        <v>0</v>
      </c>
      <c r="N74" s="220">
        <f>COUNTIFS(РД[Тип кв],N$72,РД[МОП],$A74,РД[Дом],$C$71,РД[Дата подачи на регистрацию],"&lt;="&amp;$A$1,РД[Дата подачи на регистрацию],"&gt;="&amp;DATE(YEAR($A$1),MONTH($A$1),1))</f>
        <v>0</v>
      </c>
      <c r="O74" s="220">
        <f>COUNTIFS(РД[Тип кв],O$72,РД[МОП],$A74,РД[Дом],$C$71,РД[Дата подачи на регистрацию],"&lt;="&amp;$A$1,РД[Дата подачи на регистрацию],"&gt;="&amp;DATE(YEAR($A$1),MONTH($A$1),1))</f>
        <v>0</v>
      </c>
      <c r="P74" s="223">
        <f>COUNTIFS(РД[Тип кв],P$72,РД[МОП],$A74,РД[Дом],$C$71,РД[Дата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0" t="s">
        <v>20</v>
      </c>
      <c r="B75" s="143">
        <f>IFERROR(VLOOKUP(A75,'ИПП 1кв25'!$B$40:$N$51,4,0),"")</f>
        <v>11</v>
      </c>
      <c r="C75" s="144">
        <f>IFERROR(VLOOKUP(A75,'ИПП 1кв25'!$B$40:$N$51,5,0),"")</f>
        <v>1461707</v>
      </c>
      <c r="D75" s="151">
        <f>SUMIFS(Март25[м2],Март25[КТУ],$A75,Март25[№ дома],$C$71,Март25[Комнатность],"&lt;&gt;Офис")</f>
        <v>0</v>
      </c>
      <c r="E75" s="144">
        <f>SUMIFS(Март25[Сумма без отделки],Март25[КТУ],$A75,Март25[№ дома],$C$71,Март25[Комнатность],"&lt;&gt;Офис")</f>
        <v>0</v>
      </c>
      <c r="F75" s="152">
        <f>COUNTIFS(Март25[КТУ],$A75,Март25[№ дома],$C$71,Март25[Комнатность],"&lt;&gt;Офис")</f>
        <v>0</v>
      </c>
      <c r="G75" s="148">
        <f>SUMIFS(РД[S],РД[Дом],$C$71,РД[МОП],A75,РД[Дата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COUNTIFS(РД[Дом],$C$71,РД[МОП],A75,РД[Дата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21">
        <f t="shared" si="0"/>
        <v>0</v>
      </c>
      <c r="K75" s="222">
        <f t="shared" si="0"/>
        <v>0</v>
      </c>
      <c r="L75" s="148">
        <f>COUNTIFS(РД[Тип кв],L$72,РД[МОП],$A75,РД[Дом],$C$71,РД[Дата подачи на регистрацию],"&lt;="&amp;$A$1,РД[Дата подачи на регистрацию],"&gt;="&amp;DATE(YEAR($A$1),MONTH($A$1),1))</f>
        <v>0</v>
      </c>
      <c r="M75" s="220">
        <f>COUNTIFS(РД[Тип кв],M$72,РД[МОП],$A75,РД[Дом],$C$71,РД[Дата подачи на регистрацию],"&lt;="&amp;$A$1,РД[Дата подачи на регистрацию],"&gt;="&amp;DATE(YEAR($A$1),MONTH($A$1),1))</f>
        <v>0</v>
      </c>
      <c r="N75" s="220">
        <f>COUNTIFS(РД[Тип кв],N$72,РД[МОП],$A75,РД[Дом],$C$71,РД[Дата подачи на регистрацию],"&lt;="&amp;$A$1,РД[Дата подачи на регистрацию],"&gt;="&amp;DATE(YEAR($A$1),MONTH($A$1),1))</f>
        <v>0</v>
      </c>
      <c r="O75" s="220">
        <f>COUNTIFS(РД[Тип кв],O$72,РД[МОП],$A75,РД[Дом],$C$71,РД[Дата подачи на регистрацию],"&lt;="&amp;$A$1,РД[Дата подачи на регистрацию],"&gt;="&amp;DATE(YEAR($A$1),MONTH($A$1),1))</f>
        <v>0</v>
      </c>
      <c r="P75" s="223">
        <f>COUNTIFS(РД[Тип кв],P$72,РД[МОП],$A75,РД[Дом],$C$71,РД[Дата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3" t="s">
        <v>24</v>
      </c>
      <c r="B76" s="143">
        <f>IFERROR(VLOOKUP(A76,'ИПП 1кв25'!$B$40:$N$51,4,0),"")</f>
        <v>10</v>
      </c>
      <c r="C76" s="144">
        <f>IFERROR(VLOOKUP(A76,'ИПП 1кв25'!$B$40:$N$51,5,0),"")</f>
        <v>1368900</v>
      </c>
      <c r="D76" s="151">
        <f>SUMIFS(Март25[м2],Март25[КТУ],$A76,Март25[№ дома],$C$71,Март25[Комнатность],"&lt;&gt;Офис")</f>
        <v>74.28</v>
      </c>
      <c r="E76" s="144">
        <f>SUMIFS(Март25[Сумма без отделки],Март25[КТУ],$A76,Март25[№ дома],$C$71,Март25[Комнатность],"&lt;&gt;Офис")</f>
        <v>8374500</v>
      </c>
      <c r="F76" s="152">
        <f>COUNTIFS(Март25[КТУ],$A76,Март25[№ дома],$C$71,Март25[Комнатность],"&lt;&gt;Офис")</f>
        <v>1</v>
      </c>
      <c r="G76" s="148">
        <f>SUMIFS(РД[S],РД[Дом],$C$71,РД[МОП],A76,РД[Дата подачи на регистрацию],"&lt;="&amp;$A$1,РД[Дата подачи на регистрацию],"&gt;="&amp;DATE(YEAR($A$1),MONTH($A$1),1),РД[Состояние],"Продажа")</f>
        <v>75.7</v>
      </c>
      <c r="H76" s="149">
        <f>SUMIFS(РД[Стоимость без отделки итог],РД[Дом],$C$71,РД[МОП],A76,РД[Дата подачи на регистрацию],"&lt;="&amp;$A$1,РД[Дата подачи на регистрацию],"&gt;="&amp;DATE(YEAR($A$1),MONTH($A$1),1),РД[Состояние],"Продажа")</f>
        <v>8374500</v>
      </c>
      <c r="I76" s="220">
        <f>COUNTIFS(РД[Дом],$C$71,РД[МОП],A76,РД[Дата подачи на регистрацию],"&lt;="&amp;$A$1,РД[Дата подачи на регистрацию],"&gt;="&amp;DATE(YEAR($A$1),MONTH($A$1),1),РД[Состояние],"Продажа")</f>
        <v>1</v>
      </c>
      <c r="J76" s="224">
        <f t="shared" si="0"/>
        <v>7.57</v>
      </c>
      <c r="K76" s="225">
        <f t="shared" si="0"/>
        <v>6.1176857330703482</v>
      </c>
      <c r="L76" s="202">
        <f>COUNTIFS(РД[Тип кв],L$72,РД[МОП],$A76,РД[Дом],$C$71,РД[Дата подачи на регистрацию],"&lt;="&amp;$A$1,РД[Дата подачи на регистрацию],"&gt;="&amp;DATE(YEAR($A$1),MONTH($A$1),1))</f>
        <v>0</v>
      </c>
      <c r="M76" s="226">
        <f>COUNTIFS(РД[Тип кв],M$72,РД[МОП],$A76,РД[Дом],$C$71,РД[Дата подачи на регистрацию],"&lt;="&amp;$A$1,РД[Дата подачи на регистрацию],"&gt;="&amp;DATE(YEAR($A$1),MONTH($A$1),1))</f>
        <v>0</v>
      </c>
      <c r="N76" s="226">
        <f>COUNTIFS(РД[Тип кв],N$72,РД[МОП],$A76,РД[Дом],$C$71,РД[Дата подачи на регистрацию],"&lt;="&amp;$A$1,РД[Дата подачи на регистрацию],"&gt;="&amp;DATE(YEAR($A$1),MONTH($A$1),1))</f>
        <v>0</v>
      </c>
      <c r="O76" s="226">
        <f>COUNTIFS(РД[Тип кв],O$72,РД[МОП],$A76,РД[Дом],$C$71,РД[Дата подачи на регистрацию],"&lt;="&amp;$A$1,РД[Дата подачи на регистрацию],"&gt;="&amp;DATE(YEAR($A$1),MONTH($A$1),1))</f>
        <v>1</v>
      </c>
      <c r="P76" s="227">
        <f>COUNTIFS(РД[Тип кв],P$72,РД[МОП],$A76,РД[Дом],$C$71,РД[Дата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53" t="s">
        <v>14</v>
      </c>
      <c r="B77" s="143">
        <f>IFERROR(VLOOKUP(A77,'ИПП 1кв25'!$B$40:$N$51,4,0),"")</f>
        <v>7</v>
      </c>
      <c r="C77" s="144">
        <f>IFERROR(VLOOKUP(A77,'ИПП 1кв25'!$B$40:$N$51,5,0),"")</f>
        <v>1020875</v>
      </c>
      <c r="D77" s="205">
        <f>SUMIFS(Март25[м2],Март25[КТУ],$A77,Март25[№ дома],$C$71,Март25[Комнатность],"&lt;&gt;Офис")</f>
        <v>0</v>
      </c>
      <c r="E77" s="357">
        <f>SUMIFS(Март25[Сумма без отделки],Март25[КТУ],$A77,Март25[№ дома],$C$71,Март25[Комнатность],"&lt;&gt;Офис")</f>
        <v>0</v>
      </c>
      <c r="F77" s="207">
        <f>COUNTIFS(Март25[КТУ],$A77,Март25[№ дома],$C$71,Март25[Комнатность],"&lt;&gt;Офис")</f>
        <v>0</v>
      </c>
      <c r="G77" s="187">
        <f>SUMIFS(РД[S],РД[Дом],$C$71,РД[МОП],A77,РД[Дата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88">
        <f>SUMIFS(РД[Стоимость без отделки итог],РД[Дом],$C$71,РД[МОП],A77,РД[Дата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47">
        <f>COUNTIFS(РД[Дом],$C$71,РД[МОП],A77,РД[Дата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360">
        <f t="shared" si="0"/>
        <v>0</v>
      </c>
      <c r="K77" s="361">
        <f t="shared" si="0"/>
        <v>0</v>
      </c>
      <c r="L77" s="358">
        <f>COUNTIFS(РД[Тип кв],L$72,РД[МОП],$A77,РД[Дом],$C$71,РД[Дата подачи на регистрацию],"&lt;="&amp;$A$1,РД[Дата подачи на регистрацию],"&gt;="&amp;DATE(YEAR($A$1),MONTH($A$1),1))</f>
        <v>0</v>
      </c>
      <c r="M77" s="330">
        <f>COUNTIFS(РД[Тип кв],M$72,РД[МОП],$A77,РД[Дом],$C$71,РД[Дата подачи на регистрацию],"&lt;="&amp;$A$1,РД[Дата подачи на регистрацию],"&gt;="&amp;DATE(YEAR($A$1),MONTH($A$1),1))</f>
        <v>0</v>
      </c>
      <c r="N77" s="330">
        <f>COUNTIFS(РД[Тип кв],N$72,РД[МОП],$A77,РД[Дом],$C$71,РД[Дата подачи на регистрацию],"&lt;="&amp;$A$1,РД[Дата подачи на регистрацию],"&gt;="&amp;DATE(YEAR($A$1),MONTH($A$1),1))</f>
        <v>0</v>
      </c>
      <c r="O77" s="330">
        <f>COUNTIFS(РД[Тип кв],O$72,РД[МОП],$A77,РД[Дом],$C$71,РД[Дата подачи на регистрацию],"&lt;="&amp;$A$1,РД[Дата подачи на регистрацию],"&gt;="&amp;DATE(YEAR($A$1),MONTH($A$1),1))</f>
        <v>0</v>
      </c>
      <c r="P77" s="331">
        <f>COUNTIFS(РД[Тип кв],P$72,РД[МОП],$A77,РД[Дом],$C$71,РД[Дата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54" t="s">
        <v>29</v>
      </c>
      <c r="B78" s="155"/>
      <c r="C78" s="156"/>
      <c r="D78" s="157">
        <f>SUMIFS(Март25[м2],Март25[КТУ],$A78,Март25[№ дома],$C$71,Март25[Комнатность],"&lt;&gt;Офис")</f>
        <v>0</v>
      </c>
      <c r="E78" s="156">
        <f>SUMIFS(Март25[Сумма без отделки],Март25[КТУ],$A78,Март25[№ дома],$C$71,Март25[Комнатность],"&lt;&gt;Офис")</f>
        <v>0</v>
      </c>
      <c r="F78" s="158">
        <f>COUNTIFS(Март25[КТУ],$A78,Март25[№ дома],$C$71,Март25[Комнатность],"&lt;&gt;Офис")</f>
        <v>0</v>
      </c>
      <c r="G78" s="159">
        <f>SUMIFS(РД[S],РД[Дом],$C$71,РД[МОП],A78,РД[Дата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0">
        <f>SUMIFS(РД[Стоимость без отделки итог],РД[Дом],$C$71,РД[МОП],A78,РД[Дата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28">
        <f>COUNTIFS(РД[Дом],$C$71,РД[МОП],A78,РД[Дата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29" t="str">
        <f t="shared" si="0"/>
        <v/>
      </c>
      <c r="K78" s="230" t="str">
        <f t="shared" si="0"/>
        <v/>
      </c>
      <c r="L78" s="159">
        <f>COUNTIFS(РД[Тип кв],L$72,РД[МОП],$A78,РД[Дом],$C$71,РД[Дата подачи на регистрацию],"&lt;="&amp;$A$1,РД[Дата подачи на регистрацию],"&gt;="&amp;DATE(YEAR($A$1),MONTH($A$1),1))</f>
        <v>0</v>
      </c>
      <c r="M78" s="228">
        <f>COUNTIFS(РД[Тип кв],M$72,РД[МОП],$A78,РД[Дом],$C$71,РД[Дата подачи на регистрацию],"&lt;="&amp;$A$1,РД[Дата подачи на регистрацию],"&gt;="&amp;DATE(YEAR($A$1),MONTH($A$1),1))</f>
        <v>0</v>
      </c>
      <c r="N78" s="228">
        <f>COUNTIFS(РД[Тип кв],N$72,РД[МОП],$A78,РД[Дом],$C$71,РД[Дата подачи на регистрацию],"&lt;="&amp;$A$1,РД[Дата подачи на регистрацию],"&gt;="&amp;DATE(YEAR($A$1),MONTH($A$1),1))</f>
        <v>0</v>
      </c>
      <c r="O78" s="228">
        <f>COUNTIFS(РД[Тип кв],O$72,РД[МОП],$A78,РД[Дом],$C$71,РД[Дата подачи на регистрацию],"&lt;="&amp;$A$1,РД[Дата подачи на регистрацию],"&gt;="&amp;DATE(YEAR($A$1),MONTH($A$1),1))</f>
        <v>0</v>
      </c>
      <c r="P78" s="231">
        <f>COUNTIFS(РД[Тип кв],P$72,РД[МОП],$A78,РД[Дом],$C$71,РД[Дата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161" t="s">
        <v>1919</v>
      </c>
      <c r="B79" s="162"/>
      <c r="C79" s="163"/>
      <c r="D79" s="164">
        <f>SUMIFS(Март25[м2],Март25[МОП],$A79,Март25[№ дома],$C$71,Март25[Комнатность],"&lt;&gt;Офис")</f>
        <v>0</v>
      </c>
      <c r="E79" s="163">
        <f>SUMIFS(Март25[Сумма без отделки],Март25[МОП],$A79,Март25[№ дома],$C$71,Март25[Комнатность],"&lt;&gt;Офис")</f>
        <v>0</v>
      </c>
      <c r="F79" s="165">
        <f>COUNTIFS(Март25[МОП],$A79,Март25[№ дома],$C$71,Март25[Комнатность],"&lt;&gt;Офис")</f>
        <v>0</v>
      </c>
      <c r="G79" s="166">
        <f>SUMIFS(РД[S],РД[Дом],$C$71,РД[МОП],A79,РД[Дата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H79" s="167">
        <f>SUMIFS(РД[Стоимость без отделки итог],РД[Дом],$C$71,РД[МОП],A79,РД[Дата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I79" s="232">
        <f>COUNTIFS(РД[Дом],$C$71,РД[МОП],A79,РД[Дата подачи на регистрацию],"&lt;="&amp;$A$1,РД[Дата подачи на регистрацию],"&gt;="&amp;DATE(YEAR($A$1),MONTH($A$1),1),РД[Состояние],"Продажа")</f>
        <v>0</v>
      </c>
      <c r="J79" s="233" t="str">
        <f t="shared" si="0"/>
        <v/>
      </c>
      <c r="K79" s="234" t="str">
        <f t="shared" si="0"/>
        <v/>
      </c>
      <c r="L79" s="235">
        <f>COUNTIFS(РД[Тип кв],L$72,РД[МОП],$A79,РД[Дом],$C$71,РД[Дата подачи на регистрацию],"&lt;="&amp;$A$1,РД[Дата подачи на регистрацию],"&gt;="&amp;DATE(YEAR($A$1),MONTH($A$1),1))</f>
        <v>0</v>
      </c>
      <c r="M79" s="236">
        <f>COUNTIFS(РД[Тип кв],M$72,РД[МОП],$A79,РД[Дом],$C$71,РД[Дата подачи на регистрацию],"&lt;="&amp;$A$1,РД[Дата подачи на регистрацию],"&gt;="&amp;DATE(YEAR($A$1),MONTH($A$1),1))</f>
        <v>0</v>
      </c>
      <c r="N79" s="236">
        <f>COUNTIFS(РД[Тип кв],N$72,РД[МОП],$A79,РД[Дом],$C$71,РД[Дата подачи на регистрацию],"&lt;="&amp;$A$1,РД[Дата подачи на регистрацию],"&gt;="&amp;DATE(YEAR($A$1),MONTH($A$1),1))</f>
        <v>0</v>
      </c>
      <c r="O79" s="236">
        <f>COUNTIFS(РД[Тип кв],O$72,РД[МОП],$A79,РД[Дом],$C$71,РД[Дата подачи на регистрацию],"&lt;="&amp;$A$1,РД[Дата подачи на регистрацию],"&gt;="&amp;DATE(YEAR($A$1),MONTH($A$1),1))</f>
        <v>0</v>
      </c>
      <c r="P79" s="237">
        <f>COUNTIFS(РД[Тип кв],P$72,РД[МОП],$A79,РД[Дом],$C$71,РД[Дата подачи на регистрацию],"&lt;="&amp;$A$1,РД[Дата подачи на регистрацию],"&gt;="&amp;DATE(YEAR($A$1),MONTH($A$1),1))</f>
        <v>0</v>
      </c>
      <c r="T79" s="66"/>
    </row>
    <row r="80" spans="1:27" s="65" customFormat="1">
      <c r="A80" s="168" t="s">
        <v>114</v>
      </c>
      <c r="B80" s="169">
        <f t="shared" ref="B80:I80" si="1">SUM(B73:B79)</f>
        <v>47</v>
      </c>
      <c r="C80" s="170">
        <f t="shared" si="1"/>
        <v>6419137</v>
      </c>
      <c r="D80" s="170">
        <f t="shared" si="1"/>
        <v>74.28</v>
      </c>
      <c r="E80" s="170">
        <f t="shared" si="1"/>
        <v>8374500</v>
      </c>
      <c r="F80" s="171">
        <f t="shared" si="1"/>
        <v>1</v>
      </c>
      <c r="G80" s="172">
        <f t="shared" si="1"/>
        <v>75.7</v>
      </c>
      <c r="H80" s="173">
        <f t="shared" si="1"/>
        <v>8374500</v>
      </c>
      <c r="I80" s="170">
        <f t="shared" si="1"/>
        <v>1</v>
      </c>
      <c r="J80" s="238">
        <f t="shared" si="0"/>
        <v>1.6106382978723406</v>
      </c>
      <c r="K80" s="239">
        <f t="shared" si="0"/>
        <v>1.3046146234299096</v>
      </c>
      <c r="L80" s="240">
        <f>SUM(L73:L79)</f>
        <v>0</v>
      </c>
      <c r="M80" s="241">
        <f>SUM(M73:M79)</f>
        <v>0</v>
      </c>
      <c r="N80" s="241">
        <f>SUM(N73:N79)</f>
        <v>0</v>
      </c>
      <c r="O80" s="241">
        <f>SUM(O73:O79)</f>
        <v>1</v>
      </c>
      <c r="P80" s="242">
        <f>SUM(P73:P79)</f>
        <v>0</v>
      </c>
      <c r="T80" s="66"/>
    </row>
    <row r="81" spans="1:21" s="65" customFormat="1">
      <c r="A81" s="135" t="s">
        <v>115</v>
      </c>
      <c r="B81" s="135" t="s">
        <v>100</v>
      </c>
      <c r="C81" s="136" t="s">
        <v>97</v>
      </c>
      <c r="D81" s="174" t="s">
        <v>494</v>
      </c>
      <c r="E81" s="175" t="s">
        <v>495</v>
      </c>
      <c r="F81" s="176" t="s">
        <v>496</v>
      </c>
      <c r="G81" s="140" t="s">
        <v>101</v>
      </c>
      <c r="H81" s="141" t="s">
        <v>98</v>
      </c>
      <c r="I81" s="141" t="s">
        <v>96</v>
      </c>
      <c r="J81" s="141" t="s">
        <v>715</v>
      </c>
      <c r="K81" s="216" t="s">
        <v>716</v>
      </c>
      <c r="L81" s="217">
        <v>0</v>
      </c>
      <c r="M81" s="218">
        <v>1</v>
      </c>
      <c r="N81" s="218">
        <v>2</v>
      </c>
      <c r="O81" s="218">
        <v>3</v>
      </c>
      <c r="P81" s="219" t="s">
        <v>1367</v>
      </c>
      <c r="T81" s="66"/>
    </row>
    <row r="82" spans="1:21" s="65" customFormat="1">
      <c r="A82" s="177" t="s">
        <v>22</v>
      </c>
      <c r="B82" s="178">
        <f>IFERROR(VLOOKUP(A82,'ИПП 1кв25'!$B$40:$N$51,4,0),"")</f>
        <v>15.826530612244897</v>
      </c>
      <c r="C82" s="179">
        <f>IFERROR(VLOOKUP(A82,'ИПП 1кв25'!$B$40:$N$51,5,0),"")</f>
        <v>2161546.1326530608</v>
      </c>
      <c r="D82" s="180">
        <f>SUMIFS(Март25[м2],Март25[ИМ],A82,Март25[№ дома],$C$71,Март25[Комнатность],"&lt;&gt;Офис")</f>
        <v>74.28</v>
      </c>
      <c r="E82" s="181">
        <f>SUMIFS(Март25[Сумма без отделки],Март25[ИМ],$A82,Март25[№ дома],$C$71,Март25[Комнатность],"&lt;&gt;Офис")</f>
        <v>8374500</v>
      </c>
      <c r="F82" s="182">
        <f>COUNTIFS(Март25[ИМ],$A82,Март25[№ дома],$C$71,Март25[Комнатность],"&lt;&gt;Офис")</f>
        <v>1</v>
      </c>
      <c r="G82" s="183">
        <f>SUMIFS(РД[S],РД[Дом],$C$71,РД[ИМ],A82,РД[Дата подачи на регистрацию],"&lt;="&amp;$A$1,РД[Дата подачи на регистрацию],"&gt;="&amp;DATE(YEAR($A$1),MONTH($A$1),1),РД[Состояние],"Продажа")</f>
        <v>75.7</v>
      </c>
      <c r="H82" s="184">
        <f>SUMIFS(РД[Стоимость без отделки итог],РД[Дом],$C$71,РД[ИМ],A82,РД[Дата подачи на регистрацию],"&lt;="&amp;$A$1,РД[Дата подачи на регистрацию],"&gt;="&amp;DATE(YEAR($A$1),MONTH($A$1),1),РД[Состояние],"Продажа")</f>
        <v>8374500</v>
      </c>
      <c r="I82" s="243">
        <f>COUNTIFS(РД[Дом],$C$71,РД[ИМ],A82,РД[Дата подачи на регистрацию],"&lt;="&amp;$A$1,РД[Дата подачи на регистрацию],"&gt;="&amp;DATE(YEAR($A$1),MONTH($A$1),1),РД[Состояние],"Продажа")</f>
        <v>1</v>
      </c>
      <c r="J82" s="244">
        <f t="shared" ref="J82:K85" si="2">IFERROR(G82/B82,"")</f>
        <v>4.7831076724693755</v>
      </c>
      <c r="K82" s="245">
        <f t="shared" si="2"/>
        <v>3.8743100938221566</v>
      </c>
      <c r="L82" s="183">
        <f>COUNTIFS(РД[Тип кв],L72,РД[ИМ],$A82,РД[Дом],$C$71,РД[Дата подачи на регистрацию],"&lt;="&amp;$A$1,РД[Дата подачи на регистрацию],"&gt;="&amp;DATE(YEAR($A$1),MONTH($A$1),1))</f>
        <v>0</v>
      </c>
      <c r="M82" s="243">
        <f>COUNTIFS(РД[Тип кв],M72,РД[ИМ],$A82,РД[Дом],$C$71,РД[Дата подачи на регистрацию],"&lt;="&amp;$A$1,РД[Дата подачи на регистрацию],"&gt;="&amp;DATE(YEAR($A$1),MONTH($A$1),1))</f>
        <v>0</v>
      </c>
      <c r="N82" s="243">
        <f>COUNTIFS(РД[Тип кв],N72,РД[ИМ],$A82,РД[Дом],$C$71,РД[Дата подачи на регистрацию],"&lt;="&amp;$A$1,РД[Дата подачи на регистрацию],"&gt;="&amp;DATE(YEAR($A$1),MONTH($A$1),1))</f>
        <v>0</v>
      </c>
      <c r="O82" s="243">
        <f>COUNTIFS(РД[Тип кв],O72,РД[ИМ],$A82,РД[Дом],$C$71,РД[Дата подачи на регистрацию],"&lt;="&amp;$A$1,РД[Дата подачи на регистрацию],"&gt;="&amp;DATE(YEAR($A$1),MONTH($A$1),1))</f>
        <v>1</v>
      </c>
      <c r="P82" s="246">
        <f>COUNTIFS(РД[Тип кв],P72,РД[ИМ],$A82,РД[Дом],$C$71,РД[Дата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50" t="s">
        <v>26</v>
      </c>
      <c r="B83" s="143">
        <f>IFERROR(VLOOKUP(A83,'ИПП 1кв25'!$B$40:$N$51,4,0),"")</f>
        <v>12.373469387755101</v>
      </c>
      <c r="C83" s="144">
        <f>IFERROR(VLOOKUP(A83,'ИПП 1кв25'!$B$40:$N$51,5,0),"")</f>
        <v>1689936.0673469387</v>
      </c>
      <c r="D83" s="151">
        <f>SUMIFS(Март25[м2],Март25[ИМ],A83,Март25[№ дома],$C$71,Март25[Комнатность],"&lt;&gt;Офис")</f>
        <v>0</v>
      </c>
      <c r="E83" s="185">
        <f>SUMIFS(Март25[Сумма без отделки],Март25[ИМ],$A83,Март25[№ дома],$C$71,Март25[Комнатность],"&lt;&gt;Офис")</f>
        <v>0</v>
      </c>
      <c r="F83" s="186">
        <f>COUNTIFS(Март25[ИМ],$A83,Март25[№ дома],$C$71,Март25[Комнатность],"&lt;&gt;Офис")</f>
        <v>0</v>
      </c>
      <c r="G83" s="187">
        <f>SUMIFS(РД[S],РД[Дом],$C$71,РД[ИМ],A83,РД[Дата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88">
        <f>SUMIFS(РД[Стоимость без отделки итог],РД[Дом],$C$71,РД[ИМ],A83,РД[Дата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47">
        <f>COUNTIFS(РД[Дом],$C$71,РД[ИМ],A83,РД[Дата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48">
        <f t="shared" si="2"/>
        <v>0</v>
      </c>
      <c r="K83" s="249">
        <f t="shared" si="2"/>
        <v>0</v>
      </c>
      <c r="L83" s="18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M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N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O83" s="247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P83" s="250">
        <f>COUNTIFS(РД[Тип кв],#REF!,РД[ИМ],$A83,РД[Дом],$C$71,РД[Дата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189" t="s">
        <v>3</v>
      </c>
      <c r="B84" s="190">
        <f>IFERROR(VLOOKUP(A84,'ИПП 1кв25'!$B$40:$N$51,4,0),"")</f>
        <v>0</v>
      </c>
      <c r="C84" s="191">
        <f>IFERROR(VLOOKUP(A84,'ИПП 1кв25'!$B$40:$N$51,5,0),"")</f>
        <v>0</v>
      </c>
      <c r="D84" s="192">
        <f>SUMIFS(Март25[м2],Март25[ИМ],A84,Март25[№ дома],$C$71,Март25[Комнатность],"&lt;&gt;Офис")</f>
        <v>0</v>
      </c>
      <c r="E84" s="193">
        <f>SUMIFS(Март25[Сумма без отделки],Март25[ИМ],$A84,Март25[№ дома],$C$71,Март25[Комнатность],"&lt;&gt;Офис")</f>
        <v>0</v>
      </c>
      <c r="F84" s="194">
        <f>COUNTIFS(Март25[ИМ],$A84,Март25[№ дома],$C$71,Март25[Комнатность],"&lt;&gt;Офис")</f>
        <v>0</v>
      </c>
      <c r="G84" s="195">
        <f>SUMIFS(РД[S],РД[Дом],$C$71,РД[ИМ],A84,РД[Дата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H84" s="196">
        <f>SUMIFS(РД[Стоимость без отделки итог],РД[Дом],$C$71,РД[ИМ],A84,РД[Дата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I84" s="251">
        <f>COUNTIFS(РД[Дом],$C$71,РД[ИМ],A84,РД[Дата подачи на регистрацию],"&lt;="&amp;$A$1,РД[Дата подачи на регистрацию],"&gt;="&amp;DATE(YEAR($A$1),MONTH($A$1),1),РД[Состояние],"Продажа")</f>
        <v>0</v>
      </c>
      <c r="J84" s="252" t="str">
        <f t="shared" si="2"/>
        <v/>
      </c>
      <c r="K84" s="253" t="str">
        <f t="shared" si="2"/>
        <v/>
      </c>
      <c r="L84" s="195">
        <f>COUNTIFS(РД[Тип кв],L72,РД[ИМ],$A84,РД[Дом],$C$71,РД[Дата подачи на регистрацию],"&lt;="&amp;$A$1,РД[Дата подачи на регистрацию],"&gt;="&amp;DATE(YEAR($A$1),MONTH($A$1),1))</f>
        <v>0</v>
      </c>
      <c r="M84" s="251">
        <f>COUNTIFS(РД[Тип кв],M72,РД[ИМ],$A84,РД[Дом],$C$71,РД[Дата подачи на регистрацию],"&lt;="&amp;$A$1,РД[Дата подачи на регистрацию],"&gt;="&amp;DATE(YEAR($A$1),MONTH($A$1),1))</f>
        <v>0</v>
      </c>
      <c r="N84" s="251">
        <f>COUNTIFS(РД[Тип кв],N72,РД[ИМ],$A84,РД[Дом],$C$71,РД[Дата подачи на регистрацию],"&lt;="&amp;$A$1,РД[Дата подачи на регистрацию],"&gt;="&amp;DATE(YEAR($A$1),MONTH($A$1),1))</f>
        <v>0</v>
      </c>
      <c r="O84" s="251">
        <f>COUNTIFS(РД[Тип кв],O72,РД[ИМ],$A84,РД[Дом],$C$71,РД[Дата подачи на регистрацию],"&lt;="&amp;$A$1,РД[Дата подачи на регистрацию],"&gt;="&amp;DATE(YEAR($A$1),MONTH($A$1),1))</f>
        <v>0</v>
      </c>
      <c r="P84" s="254">
        <f>COUNTIFS(РД[Тип кв],P72,РД[ИМ],$A84,РД[Дом],$C$71,РД[Дата подачи на регистрацию],"&lt;="&amp;$A$1,РД[Дата подачи на регистрацию],"&gt;="&amp;DATE(YEAR($A$1),MONTH($A$1),1))</f>
        <v>0</v>
      </c>
      <c r="T84" s="66"/>
    </row>
    <row r="85" spans="1:21" s="65" customFormat="1">
      <c r="A85" s="168" t="s">
        <v>114</v>
      </c>
      <c r="B85" s="169">
        <f t="shared" ref="B85:P85" si="3">SUM(B82:B84)</f>
        <v>28.199999999999996</v>
      </c>
      <c r="C85" s="170">
        <f t="shared" si="3"/>
        <v>3851482.1999999993</v>
      </c>
      <c r="D85" s="170">
        <f t="shared" si="3"/>
        <v>74.28</v>
      </c>
      <c r="E85" s="170">
        <f t="shared" si="3"/>
        <v>8374500</v>
      </c>
      <c r="F85" s="171">
        <f t="shared" si="3"/>
        <v>1</v>
      </c>
      <c r="G85" s="172">
        <f t="shared" si="3"/>
        <v>75.7</v>
      </c>
      <c r="H85" s="173">
        <f t="shared" si="3"/>
        <v>8374500</v>
      </c>
      <c r="I85" s="170">
        <f t="shared" si="3"/>
        <v>1</v>
      </c>
      <c r="J85" s="238">
        <f t="shared" si="2"/>
        <v>2.6843971631205679</v>
      </c>
      <c r="K85" s="239">
        <f t="shared" si="2"/>
        <v>2.1743577057165164</v>
      </c>
      <c r="L85" s="240">
        <f t="shared" si="3"/>
        <v>0</v>
      </c>
      <c r="M85" s="241">
        <f t="shared" si="3"/>
        <v>0</v>
      </c>
      <c r="N85" s="241">
        <f t="shared" si="3"/>
        <v>0</v>
      </c>
      <c r="O85" s="241">
        <f t="shared" si="3"/>
        <v>1</v>
      </c>
      <c r="P85" s="242">
        <f t="shared" si="3"/>
        <v>0</v>
      </c>
      <c r="T85" s="66"/>
    </row>
    <row r="86" spans="1:21" s="65" customFormat="1">
      <c r="A86" s="134"/>
      <c r="B86" s="197"/>
      <c r="C86" s="197"/>
      <c r="D86" s="198"/>
      <c r="E86" s="134"/>
      <c r="F86" s="44"/>
      <c r="G86" s="134"/>
      <c r="H86" s="134"/>
      <c r="I86" s="44"/>
      <c r="J86" s="134"/>
      <c r="K86" s="255"/>
      <c r="L86" s="256"/>
      <c r="M86" s="134"/>
      <c r="N86" s="134"/>
      <c r="O86" s="134"/>
      <c r="P86" s="134"/>
      <c r="Q86" s="134"/>
      <c r="U86" s="66"/>
    </row>
    <row r="87" spans="1:21" s="65" customFormat="1">
      <c r="A87" s="2325" t="s">
        <v>713</v>
      </c>
      <c r="B87" s="2326"/>
      <c r="C87" s="133" t="s">
        <v>13</v>
      </c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T87" s="66"/>
    </row>
    <row r="88" spans="1:21" s="65" customFormat="1">
      <c r="A88" s="135" t="s">
        <v>1</v>
      </c>
      <c r="B88" s="135" t="s">
        <v>100</v>
      </c>
      <c r="C88" s="136" t="s">
        <v>97</v>
      </c>
      <c r="D88" s="137" t="s">
        <v>494</v>
      </c>
      <c r="E88" s="138" t="s">
        <v>495</v>
      </c>
      <c r="F88" s="139" t="s">
        <v>496</v>
      </c>
      <c r="G88" s="140" t="s">
        <v>101</v>
      </c>
      <c r="H88" s="141" t="s">
        <v>98</v>
      </c>
      <c r="I88" s="141" t="s">
        <v>96</v>
      </c>
      <c r="J88" s="141" t="s">
        <v>715</v>
      </c>
      <c r="K88" s="216" t="s">
        <v>716</v>
      </c>
      <c r="L88" s="217">
        <v>0</v>
      </c>
      <c r="M88" s="218">
        <v>1</v>
      </c>
      <c r="N88" s="218">
        <v>2</v>
      </c>
      <c r="O88" s="218">
        <v>3</v>
      </c>
      <c r="P88" s="219" t="s">
        <v>1367</v>
      </c>
      <c r="T88" s="66"/>
    </row>
    <row r="89" spans="1:21" s="65" customFormat="1">
      <c r="A89" s="142" t="s">
        <v>28</v>
      </c>
      <c r="B89" s="143">
        <f>IFERROR(VLOOKUP(A89,'ИПП 1кв25'!$B$40:$N$51,6,0),"")</f>
        <v>233</v>
      </c>
      <c r="C89" s="144">
        <f>IFERROR(VLOOKUP(A89,'ИПП 1кв25'!$B$40:$N$51,7,0),"")</f>
        <v>29737502</v>
      </c>
      <c r="D89" s="199">
        <f>SUMIFS(Март25[м2],Март25[КТУ],$A89,Март25[№ дома],$C$87,Март25[Комнатность],"&lt;&gt;Офис")</f>
        <v>38.299999999999997</v>
      </c>
      <c r="E89" s="200">
        <f>SUMIFS(Март25[Сумма без отделки],Март25[КТУ],$A89,Март25[№ дома],$C$87,Март25[Комнатность],"&lt;&gt;Офис")</f>
        <v>5188218</v>
      </c>
      <c r="F89" s="201">
        <f>COUNTIFS(Март25[КТУ],$A89,Март25[№ дома],$C$87,Март25[Комнатность],"&lt;&gt;Офис")</f>
        <v>1</v>
      </c>
      <c r="G89" s="202">
        <f>SUMIFS(РД[S],РД[Дом],$C$87,РД[МОП],A89,РД[Дата подачи на регистрацию],"&lt;="&amp;$A$1,РД[Дата подачи на регистрацию],"&gt;="&amp;DATE(YEAR($A$1),MONTH($A$1),1),РД[Состояние],"Продажа")</f>
        <v>38.299999999999997</v>
      </c>
      <c r="H89" s="203">
        <f>SUMIFS(РД[Стоимость без отделки итог],РД[Дом],$C$87,РД[МОП],A89,РД[Дата подачи на регистрацию],"&lt;="&amp;$A$1,РД[Дата подачи на регистрацию],"&gt;="&amp;DATE(YEAR($A$1),MONTH($A$1),1),РД[Состояние],"Продажа")</f>
        <v>5188218</v>
      </c>
      <c r="I89" s="226">
        <f>COUNTIFS(РД[Дом],$C$87,РД[МОП],A89,РД[Дата подачи на регистрацию],"&lt;="&amp;$A$1,РД[Дата подачи на регистрацию],"&gt;="&amp;DATE(YEAR($A$1),MONTH($A$1),1),РД[Состояние],"Продажа")</f>
        <v>1</v>
      </c>
      <c r="J89" s="224">
        <f t="shared" ref="J89:K95" si="4">IFERROR(G89/B89,)</f>
        <v>0.16437768240343345</v>
      </c>
      <c r="K89" s="225">
        <f t="shared" si="4"/>
        <v>0.17446717616025717</v>
      </c>
      <c r="L89" s="257">
        <f>COUNTIFS(РД[Тип кв],L$88,РД[МОП],$A89,РД[Дом],$C$87,РД[Дата подачи на регистрацию],"&lt;="&amp;$A$1,РД[Дата подачи на регистрацию],"&gt;="&amp;DATE(YEAR($A$1),MONTH($A$1),1))</f>
        <v>0</v>
      </c>
      <c r="M89" s="226">
        <f>COUNTIFS(РД[Тип кв],M$88,РД[МОП],$A89,РД[Дом],$C$87,РД[Дата подачи на регистрацию],"&lt;="&amp;$A$1,РД[Дата подачи на регистрацию],"&gt;="&amp;DATE(YEAR($A$1),MONTH($A$1),1))</f>
        <v>1</v>
      </c>
      <c r="N89" s="226">
        <f>COUNTIFS(РД[Тип кв],N$88,РД[МОП],$A89,РД[Дом],$C$87,РД[Дата подачи на регистрацию],"&lt;="&amp;$A$1,РД[Дата подачи на регистрацию],"&gt;="&amp;DATE(YEAR($A$1),MONTH($A$1),1))</f>
        <v>0</v>
      </c>
      <c r="O89" s="226">
        <f>COUNTIFS(РД[Тип кв],O$88,РД[МОП],$A89,РД[Дом],$C$87,РД[Дата подачи на регистрацию],"&lt;="&amp;$A$1,РД[Дата подачи на регистрацию],"&gt;="&amp;DATE(YEAR($A$1),MONTH($A$1),1))</f>
        <v>0</v>
      </c>
      <c r="P89" s="227">
        <f>COUNTIFS(РД[Тип кв],P$88,РД[МОП],$A89,РД[Дом],$C$87,РД[Дата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42" t="s">
        <v>8</v>
      </c>
      <c r="B90" s="143">
        <f>IFERROR(VLOOKUP(A90,'ИПП 1кв25'!$B$40:$N$51,6,0),"")</f>
        <v>320</v>
      </c>
      <c r="C90" s="144">
        <f>IFERROR(VLOOKUP(A90,'ИПП 1кв25'!$B$40:$N$51,7,0),"")</f>
        <v>40782860</v>
      </c>
      <c r="D90" s="199">
        <f>SUMIFS(Март25[м2],Март25[КТУ],$A90,Март25[№ дома],$C$87,Март25[Комнатность],"&lt;&gt;Офис")</f>
        <v>0</v>
      </c>
      <c r="E90" s="200">
        <f>SUMIFS(Март25[Сумма без отделки],Март25[КТУ],$A90,Март25[№ дома],$C$87,Март25[Комнатность],"&lt;&gt;Офис")</f>
        <v>0</v>
      </c>
      <c r="F90" s="201">
        <f>COUNTIFS(Март25[КТУ],$A90,Март25[№ дома],$C$87,Март25[Комнатность],"&lt;&gt;Офис")</f>
        <v>0</v>
      </c>
      <c r="G90" s="202">
        <f>SUMIFS(РД[S],РД[Дом],$C$87,РД[МОП],A90,РД[Дата подачи на регистрацию],"&lt;="&amp;$A$1,РД[Дата подачи на регистрацию],"&gt;="&amp;DATE(YEAR($A$1),MONTH($A$1),1),РД[Состояние],"Продажа")</f>
        <v>0</v>
      </c>
      <c r="H90" s="203">
        <f>SUMIFS(РД[Стоимость без отделки итог],РД[Дом],$C$87,РД[МОП],A90,РД[Дата подачи на регистрацию],"&lt;="&amp;$A$1,РД[Дата подачи на регистрацию],"&gt;="&amp;DATE(YEAR($A$1),MONTH($A$1),1),РД[Состояние],"Продажа")</f>
        <v>0</v>
      </c>
      <c r="I90" s="226">
        <f>COUNTIFS(РД[Дом],$C$87,РД[МОП],A90,РД[Дата подачи на регистрацию],"&lt;="&amp;$A$1,РД[Дата подачи на регистрацию],"&gt;="&amp;DATE(YEAR($A$1),MONTH($A$1),1),РД[Состояние],"Продажа")</f>
        <v>0</v>
      </c>
      <c r="J90" s="224">
        <f t="shared" si="4"/>
        <v>0</v>
      </c>
      <c r="K90" s="225">
        <f t="shared" si="4"/>
        <v>0</v>
      </c>
      <c r="L90" s="257">
        <f>COUNTIFS(РД[Тип кв],L$88,РД[МОП],$A90,РД[Дом],$C$87,РД[Дата подачи на регистрацию],"&lt;="&amp;$A$1,РД[Дата подачи на регистрацию],"&gt;="&amp;DATE(YEAR($A$1),MONTH($A$1),1))</f>
        <v>0</v>
      </c>
      <c r="M90" s="226">
        <f>COUNTIFS(РД[Тип кв],M$88,РД[МОП],$A90,РД[Дом],$C$87,РД[Дата подачи на регистрацию],"&lt;="&amp;$A$1,РД[Дата подачи на регистрацию],"&gt;="&amp;DATE(YEAR($A$1),MONTH($A$1),1))</f>
        <v>0</v>
      </c>
      <c r="N90" s="226">
        <f>COUNTIFS(РД[Тип кв],N$88,РД[МОП],$A90,РД[Дом],$C$87,РД[Дата подачи на регистрацию],"&lt;="&amp;$A$1,РД[Дата подачи на регистрацию],"&gt;="&amp;DATE(YEAR($A$1),MONTH($A$1),1))</f>
        <v>0</v>
      </c>
      <c r="O90" s="226">
        <f>COUNTIFS(РД[Тип кв],O$88,РД[МОП],$A90,РД[Дом],$C$87,РД[Дата подачи на регистрацию],"&lt;="&amp;$A$1,РД[Дата подачи на регистрацию],"&gt;="&amp;DATE(YEAR($A$1),MONTH($A$1),1))</f>
        <v>0</v>
      </c>
      <c r="P90" s="227">
        <f>COUNTIFS(РД[Тип кв],P$88,РД[МОП],$A90,РД[Дом],$C$87,РД[Дата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0" t="s">
        <v>20</v>
      </c>
      <c r="B91" s="143">
        <f>IFERROR(VLOOKUP(A91,'ИПП 1кв25'!$B$40:$N$51,6,0),"")</f>
        <v>315</v>
      </c>
      <c r="C91" s="144">
        <f>IFERROR(VLOOKUP(A91,'ИПП 1кв25'!$B$40:$N$51,7,0),"")</f>
        <v>40145628</v>
      </c>
      <c r="D91" s="199">
        <f>SUMIFS(Март25[м2],Март25[КТУ],$A91,Март25[№ дома],$C$87,Март25[Комнатность],"&lt;&gt;Офис")</f>
        <v>118.48</v>
      </c>
      <c r="E91" s="200">
        <f>SUMIFS(Март25[Сумма без отделки],Март25[КТУ],$A91,Март25[№ дома],$C$87,Март25[Комнатность],"&lt;&gt;Офис")</f>
        <v>13729886</v>
      </c>
      <c r="F91" s="201">
        <f>COUNTIFS(Март25[КТУ],$A91,Март25[№ дома],$C$87,Март25[Комнатность],"&lt;&gt;Офис")</f>
        <v>2</v>
      </c>
      <c r="G91" s="202">
        <f>SUMIFS(РД[S],РД[Дом],$C$87,РД[МОП],A91,РД[Дата подачи на регистрацию],"&lt;="&amp;$A$1,РД[Дата подачи на регистрацию],"&gt;="&amp;DATE(YEAR($A$1),MONTH($A$1),1),РД[Состояние],"Продажа")</f>
        <v>118.48</v>
      </c>
      <c r="H91" s="203">
        <f>SUMIFS(РД[Стоимость без отделки итог],РД[Дом],$C$87,РД[МОП],A91,РД[Дата подачи на регистрацию],"&lt;="&amp;$A$1,РД[Дата подачи на регистрацию],"&gt;="&amp;DATE(YEAR($A$1),MONTH($A$1),1),РД[Состояние],"Продажа")</f>
        <v>13729886</v>
      </c>
      <c r="I91" s="226">
        <f>COUNTIFS(РД[Дом],$C$87,РД[МОП],A91,РД[Дата подачи на регистрацию],"&lt;="&amp;$A$1,РД[Дата подачи на регистрацию],"&gt;="&amp;DATE(YEAR($A$1),MONTH($A$1),1),РД[Состояние],"Продажа")</f>
        <v>2</v>
      </c>
      <c r="J91" s="224">
        <f t="shared" si="4"/>
        <v>0.37612698412698414</v>
      </c>
      <c r="K91" s="225">
        <f t="shared" si="4"/>
        <v>0.34200202323401191</v>
      </c>
      <c r="L91" s="257">
        <f>COUNTIFS(РД[Тип кв],L$88,РД[МОП],$A91,РД[Дом],$C$87,РД[Дата подачи на регистрацию],"&lt;="&amp;$A$1,РД[Дата подачи на регистрацию],"&gt;="&amp;DATE(YEAR($A$1),MONTH($A$1),1))</f>
        <v>0</v>
      </c>
      <c r="M91" s="226">
        <f>COUNTIFS(РД[Тип кв],M$88,РД[МОП],$A91,РД[Дом],$C$87,РД[Дата подачи на регистрацию],"&lt;="&amp;$A$1,РД[Дата подачи на регистрацию],"&gt;="&amp;DATE(YEAR($A$1),MONTH($A$1),1))</f>
        <v>0</v>
      </c>
      <c r="N91" s="226">
        <f>COUNTIFS(РД[Тип кв],N$88,РД[МОП],$A91,РД[Дом],$C$87,РД[Дата подачи на регистрацию],"&lt;="&amp;$A$1,РД[Дата подачи на регистрацию],"&gt;="&amp;DATE(YEAR($A$1),MONTH($A$1),1))</f>
        <v>2</v>
      </c>
      <c r="O91" s="226">
        <f>COUNTIFS(РД[Тип кв],O$88,РД[МОП],$A91,РД[Дом],$C$87,РД[Дата подачи на регистрацию],"&lt;="&amp;$A$1,РД[Дата подачи на регистрацию],"&gt;="&amp;DATE(YEAR($A$1),MONTH($A$1),1))</f>
        <v>0</v>
      </c>
      <c r="P91" s="227">
        <f>COUNTIFS(РД[Тип кв],P$88,РД[МОП],$A91,РД[Дом],$C$87,РД[Дата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53" t="s">
        <v>24</v>
      </c>
      <c r="B92" s="143">
        <f>IFERROR(VLOOKUP(A92,'ИПП 1кв25'!$B$40:$N$51,6,0),"")</f>
        <v>295</v>
      </c>
      <c r="C92" s="144">
        <f>IFERROR(VLOOKUP(A92,'ИПП 1кв25'!$B$40:$N$51,7,0),"")</f>
        <v>37596699</v>
      </c>
      <c r="D92" s="199">
        <f>SUMIFS(Март25[м2],Март25[КТУ],$A92,Март25[№ дома],$C$87,Март25[Комнатность],"&lt;&gt;Офис")</f>
        <v>59.31</v>
      </c>
      <c r="E92" s="200">
        <f>SUMIFS(Март25[Сумма без отделки],Март25[КТУ],$A92,Март25[№ дома],$C$87,Март25[Комнатность],"&lt;&gt;Офис")</f>
        <v>8489680</v>
      </c>
      <c r="F92" s="201">
        <f>COUNTIFS(Март25[КТУ],$A92,Март25[№ дома],$C$87,Март25[Комнатность],"&lt;&gt;Офис")</f>
        <v>2</v>
      </c>
      <c r="G92" s="202">
        <f>SUMIFS(РД[S],РД[Дом],$C$87,РД[МОП],A92,РД[Дата подачи на регистрацию],"&lt;="&amp;$A$1,РД[Дата подачи на регистрацию],"&gt;="&amp;DATE(YEAR($A$1),MONTH($A$1),1),РД[Состояние],"Продажа")</f>
        <v>59.31</v>
      </c>
      <c r="H92" s="203">
        <f>SUMIFS(РД[Стоимость без отделки итог],РД[Дом],$C$87,РД[МОП],A92,РД[Дата подачи на регистрацию],"&lt;="&amp;$A$1,РД[Дата подачи на регистрацию],"&gt;="&amp;DATE(YEAR($A$1),MONTH($A$1),1),РД[Состояние],"Продажа")</f>
        <v>8489680</v>
      </c>
      <c r="I92" s="226">
        <f>COUNTIFS(РД[Дом],$C$87,РД[МОП],A92,РД[Дата подачи на регистрацию],"&lt;="&amp;$A$1,РД[Дата подачи на регистрацию],"&gt;="&amp;DATE(YEAR($A$1),MONTH($A$1),1),РД[Состояние],"Продажа")</f>
        <v>2</v>
      </c>
      <c r="J92" s="224">
        <f t="shared" si="4"/>
        <v>0.20105084745762714</v>
      </c>
      <c r="K92" s="225">
        <f t="shared" si="4"/>
        <v>0.22580918606710659</v>
      </c>
      <c r="L92" s="257">
        <f>COUNTIFS(РД[Тип кв],L$88,РД[МОП],$A92,РД[Дом],$C$87,РД[Дата подачи на регистрацию],"&lt;="&amp;$A$1,РД[Дата подачи на регистрацию],"&gt;="&amp;DATE(YEAR($A$1),MONTH($A$1),1))</f>
        <v>1</v>
      </c>
      <c r="M92" s="226">
        <f>COUNTIFS(РД[Тип кв],M$88,РД[МОП],$A92,РД[Дом],$C$87,РД[Дата подачи на регистрацию],"&lt;="&amp;$A$1,РД[Дата подачи на регистрацию],"&gt;="&amp;DATE(YEAR($A$1),MONTH($A$1),1))</f>
        <v>1</v>
      </c>
      <c r="N92" s="226">
        <f>COUNTIFS(РД[Тип кв],N$88,РД[МОП],$A92,РД[Дом],$C$87,РД[Дата подачи на регистрацию],"&lt;="&amp;$A$1,РД[Дата подачи на регистрацию],"&gt;="&amp;DATE(YEAR($A$1),MONTH($A$1),1))</f>
        <v>0</v>
      </c>
      <c r="O92" s="226">
        <f>COUNTIFS(РД[Тип кв],O$88,РД[МОП],$A92,РД[Дом],$C$87,РД[Дата подачи на регистрацию],"&lt;="&amp;$A$1,РД[Дата подачи на регистрацию],"&gt;="&amp;DATE(YEAR($A$1),MONTH($A$1),1))</f>
        <v>0</v>
      </c>
      <c r="P92" s="227">
        <f>COUNTIFS(РД[Тип кв],P$88,РД[МОП],$A92,РД[Дом],$C$87,РД[Дата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53" t="s">
        <v>14</v>
      </c>
      <c r="B93" s="143">
        <f>IFERROR(VLOOKUP(A93,'ИПП 1кв25'!$B$40:$N$51,6,0),"")</f>
        <v>220</v>
      </c>
      <c r="C93" s="144">
        <f>IFERROR(VLOOKUP(A93,'ИПП 1кв25'!$B$40:$N$51,7,0),"")</f>
        <v>28038217</v>
      </c>
      <c r="D93" s="299">
        <f>SUMIFS(Март25[м2],Март25[КТУ],$A93,Март25[№ дома],$C$87,Март25[Комнатность],"&lt;&gt;Офис")</f>
        <v>200.76999999999998</v>
      </c>
      <c r="E93" s="300">
        <f>SUMIFS(Март25[Сумма без отделки],Март25[КТУ],$A93,Март25[№ дома],$C$87,Март25[Комнатность],"&lt;&gt;Офис")</f>
        <v>19724461</v>
      </c>
      <c r="F93" s="301">
        <f>COUNTIFS(Март25[КТУ],$A93,Март25[№ дома],$C$87,Март25[Комнатность],"&lt;&gt;Офис")</f>
        <v>3</v>
      </c>
      <c r="G93" s="358">
        <f>SUMIFS(РД[S],РД[Дом],$C$87,РД[МОП],A93,РД[Дата подачи на регистрацию],"&lt;="&amp;$A$1,РД[Дата подачи на регистрацию],"&gt;="&amp;DATE(YEAR($A$1),MONTH($A$1),1),РД[Состояние],"Продажа")</f>
        <v>165.95999999999998</v>
      </c>
      <c r="H93" s="359">
        <f>SUMIFS(РД[Стоимость без отделки итог],РД[Дом],$C$87,РД[МОП],A93,РД[Дата подачи на регистрацию],"&lt;="&amp;$A$1,РД[Дата подачи на регистрацию],"&gt;="&amp;DATE(YEAR($A$1),MONTH($A$1),1),РД[Состояние],"Продажа")</f>
        <v>14753696</v>
      </c>
      <c r="I93" s="330">
        <f>COUNTIFS(РД[Дом],$C$87,РД[МОП],A93,РД[Дата подачи на регистрацию],"&lt;="&amp;$A$1,РД[Дата подачи на регистрацию],"&gt;="&amp;DATE(YEAR($A$1),MONTH($A$1),1),РД[Состояние],"Продажа")</f>
        <v>2</v>
      </c>
      <c r="J93" s="360">
        <f t="shared" si="4"/>
        <v>0.75436363636363624</v>
      </c>
      <c r="K93" s="361">
        <f t="shared" si="4"/>
        <v>0.52619950833535523</v>
      </c>
      <c r="L93" s="329">
        <f>COUNTIFS(РД[Тип кв],L$88,РД[МОП],$A93,РД[Дом],$C$87,РД[Дата подачи на регистрацию],"&lt;="&amp;$A$1,РД[Дата подачи на регистрацию],"&gt;="&amp;DATE(YEAR($A$1),MONTH($A$1),1))</f>
        <v>0</v>
      </c>
      <c r="M93" s="330">
        <f>COUNTIFS(РД[Тип кв],M$88,РД[МОП],$A93,РД[Дом],$C$87,РД[Дата подачи на регистрацию],"&lt;="&amp;$A$1,РД[Дата подачи на регистрацию],"&gt;="&amp;DATE(YEAR($A$1),MONTH($A$1),1))</f>
        <v>1</v>
      </c>
      <c r="N93" s="330">
        <f>COUNTIFS(РД[Тип кв],N$88,РД[МОП],$A93,РД[Дом],$C$87,РД[Дата подачи на регистрацию],"&lt;="&amp;$A$1,РД[Дата подачи на регистрацию],"&gt;="&amp;DATE(YEAR($A$1),MONTH($A$1),1))</f>
        <v>0</v>
      </c>
      <c r="O93" s="330">
        <f>COUNTIFS(РД[Тип кв],O$88,РД[МОП],$A93,РД[Дом],$C$87,РД[Дата подачи на регистрацию],"&lt;="&amp;$A$1,РД[Дата подачи на регистрацию],"&gt;="&amp;DATE(YEAR($A$1),MONTH($A$1),1))</f>
        <v>2</v>
      </c>
      <c r="P93" s="331">
        <f>COUNTIFS(РД[Тип кв],P$88,РД[МОП],$A93,РД[Дом],$C$87,РД[Дата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154" t="s">
        <v>29</v>
      </c>
      <c r="B94" s="155"/>
      <c r="C94" s="156"/>
      <c r="D94" s="157">
        <f>SUMIFS(Март25[м2],Март25[КТУ],$A94,Март25[№ дома],$C$87,Март25[Комнатность],"&lt;&gt;Офис")</f>
        <v>0</v>
      </c>
      <c r="E94" s="156">
        <f>SUMIFS(Март25[Сумма без отделки],Март25[КТУ],$A94,Март25[№ дома],$C$87,Март25[Комнатность],"&lt;&gt;Офис")</f>
        <v>0</v>
      </c>
      <c r="F94" s="158">
        <f>COUNTIFS(Март25[КТУ],$A94,Март25[№ дома],$C$87,Март25[Комнатность],"&lt;&gt;Офис")</f>
        <v>0</v>
      </c>
      <c r="G94" s="159">
        <f>SUMIFS(РД[S],РД[Дом],$C$87,РД[МОП],A94,РД[Дата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H94" s="160">
        <f>SUMIFS(РД[Стоимость без отделки итог],РД[Дом],$C$87,РД[МОП],A94,РД[Дата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I94" s="228">
        <f>COUNTIFS(РД[Дом],$C$87,РД[МОП],A94,РД[Дата подачи на регистрацию],"&lt;="&amp;$A$1,РД[Дата подачи на регистрацию],"&gt;="&amp;DATE(YEAR($A$1),MONTH($A$1),1),РД[Состояние],"Продажа")</f>
        <v>0</v>
      </c>
      <c r="J94" s="229">
        <f t="shared" si="4"/>
        <v>0</v>
      </c>
      <c r="K94" s="230">
        <f t="shared" si="4"/>
        <v>0</v>
      </c>
      <c r="L94" s="159">
        <f>COUNTIFS(РД[Тип кв],L$88,РД[МОП],$A94,РД[Дом],$C$87,РД[Дата подачи на регистрацию],"&lt;="&amp;$A$1,РД[Дата подачи на регистрацию],"&gt;="&amp;DATE(YEAR($A$1),MONTH($A$1),1))</f>
        <v>0</v>
      </c>
      <c r="M94" s="228">
        <f>COUNTIFS(РД[Тип кв],M$88,РД[МОП],$A94,РД[Дом],$C$87,РД[Дата подачи на регистрацию],"&lt;="&amp;$A$1,РД[Дата подачи на регистрацию],"&gt;="&amp;DATE(YEAR($A$1),MONTH($A$1),1))</f>
        <v>0</v>
      </c>
      <c r="N94" s="228">
        <f>COUNTIFS(РД[Тип кв],N$88,РД[МОП],$A94,РД[Дом],$C$87,РД[Дата подачи на регистрацию],"&lt;="&amp;$A$1,РД[Дата подачи на регистрацию],"&gt;="&amp;DATE(YEAR($A$1),MONTH($A$1),1))</f>
        <v>0</v>
      </c>
      <c r="O94" s="228">
        <f>COUNTIFS(РД[Тип кв],O$88,РД[МОП],$A94,РД[Дом],$C$87,РД[Дата подачи на регистрацию],"&lt;="&amp;$A$1,РД[Дата подачи на регистрацию],"&gt;="&amp;DATE(YEAR($A$1),MONTH($A$1),1))</f>
        <v>0</v>
      </c>
      <c r="P94" s="231">
        <f>COUNTIFS(РД[Тип кв],P$88,РД[МОП],$A94,РД[Дом],$C$87,РД[Дата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61" t="s">
        <v>1919</v>
      </c>
      <c r="B95" s="162"/>
      <c r="C95" s="163"/>
      <c r="D95" s="164">
        <f>SUMIFS(Март25[м2],Март25[МОП],$A95,Март25[№ дома],$C$87,Март25[Комнатность],"&lt;&gt;Офис")</f>
        <v>0</v>
      </c>
      <c r="E95" s="163">
        <f>SUMIFS(Март25[Сумма без отделки],Март25[МОП],$A95,Март25[№ дома],$C$87,Март25[Комнатность],"&lt;&gt;Офис")</f>
        <v>0</v>
      </c>
      <c r="F95" s="165">
        <f>COUNTIFS(Март25[МОП],$A95,Март25[№ дома],$C$87,Март25[Комнатность],"&lt;&gt;Офис")</f>
        <v>0</v>
      </c>
      <c r="G95" s="166">
        <f>SUMIFS(РД[S],РД[Дом],$C$87,РД[МОП],A95,РД[Дата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H95" s="167">
        <f>SUMIFS(РД[Стоимость без отделки итог],РД[Дом],$C$87,РД[МОП],A95,РД[Дата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I95" s="232">
        <f>COUNTIFS(РД[Дом],$C$87,РД[МОП],A95,РД[Дата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J95" s="233">
        <f t="shared" si="4"/>
        <v>0</v>
      </c>
      <c r="K95" s="234">
        <f t="shared" si="4"/>
        <v>0</v>
      </c>
      <c r="L95" s="235">
        <f>COUNTIFS(РД[Тип кв],L$88,РД[МОП],$A95,РД[Дом],$C$87,РД[Дата подачи на регистрацию],"&lt;="&amp;$A$1,РД[Дата подачи на регистрацию],"&gt;="&amp;DATE(YEAR($A$1),MONTH($A$1),1))</f>
        <v>0</v>
      </c>
      <c r="M95" s="236">
        <f>COUNTIFS(РД[Тип кв],M$88,РД[МОП],$A95,РД[Дом],$C$87,РД[Дата подачи на регистрацию],"&lt;="&amp;$A$1,РД[Дата подачи на регистрацию],"&gt;="&amp;DATE(YEAR($A$1),MONTH($A$1),1))</f>
        <v>0</v>
      </c>
      <c r="N95" s="236">
        <f>COUNTIFS(РД[Тип кв],N$88,РД[МОП],$A95,РД[Дом],$C$87,РД[Дата подачи на регистрацию],"&lt;="&amp;$A$1,РД[Дата подачи на регистрацию],"&gt;="&amp;DATE(YEAR($A$1),MONTH($A$1),1))</f>
        <v>0</v>
      </c>
      <c r="O95" s="236">
        <f>COUNTIFS(РД[Тип кв],O$88,РД[МОП],$A95,РД[Дом],$C$87,РД[Дата подачи на регистрацию],"&lt;="&amp;$A$1,РД[Дата подачи на регистрацию],"&gt;="&amp;DATE(YEAR($A$1),MONTH($A$1),1))</f>
        <v>0</v>
      </c>
      <c r="P95" s="237">
        <f>COUNTIFS(РД[Тип кв],P$88,РД[МОП],$A95,РД[Дом],$C$87,РД[Дата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168" t="s">
        <v>114</v>
      </c>
      <c r="B96" s="169">
        <f t="shared" ref="B96:I96" si="5">SUM(B89:B95)</f>
        <v>1383</v>
      </c>
      <c r="C96" s="170">
        <f t="shared" si="5"/>
        <v>176300906</v>
      </c>
      <c r="D96" s="170">
        <f t="shared" si="5"/>
        <v>416.86</v>
      </c>
      <c r="E96" s="170">
        <f t="shared" si="5"/>
        <v>47132245</v>
      </c>
      <c r="F96" s="171">
        <f t="shared" si="5"/>
        <v>8</v>
      </c>
      <c r="G96" s="172">
        <f t="shared" si="5"/>
        <v>382.04999999999995</v>
      </c>
      <c r="H96" s="173">
        <f t="shared" si="5"/>
        <v>42161480</v>
      </c>
      <c r="I96" s="170">
        <f t="shared" si="5"/>
        <v>7</v>
      </c>
      <c r="J96" s="238">
        <f t="shared" ref="J96:K96" si="6">IFERROR(G96/B96,"")</f>
        <v>0.27624728850325375</v>
      </c>
      <c r="K96" s="239">
        <f t="shared" si="6"/>
        <v>0.23914499906200143</v>
      </c>
      <c r="L96" s="240">
        <f>SUM(L89:L95)</f>
        <v>1</v>
      </c>
      <c r="M96" s="241">
        <f>SUM(M89:M95)</f>
        <v>3</v>
      </c>
      <c r="N96" s="241">
        <f>SUM(N89:N95)</f>
        <v>2</v>
      </c>
      <c r="O96" s="241">
        <f>SUM(O89:O95)</f>
        <v>2</v>
      </c>
      <c r="P96" s="242">
        <f>SUM(P89:P95)</f>
        <v>0</v>
      </c>
      <c r="T96" s="66"/>
    </row>
    <row r="97" spans="1:21" s="65" customFormat="1">
      <c r="A97" s="135" t="s">
        <v>115</v>
      </c>
      <c r="B97" s="135" t="s">
        <v>100</v>
      </c>
      <c r="C97" s="136" t="s">
        <v>97</v>
      </c>
      <c r="D97" s="174" t="s">
        <v>494</v>
      </c>
      <c r="E97" s="175" t="s">
        <v>495</v>
      </c>
      <c r="F97" s="176" t="s">
        <v>496</v>
      </c>
      <c r="G97" s="140" t="s">
        <v>101</v>
      </c>
      <c r="H97" s="141" t="s">
        <v>98</v>
      </c>
      <c r="I97" s="141" t="s">
        <v>96</v>
      </c>
      <c r="J97" s="141" t="s">
        <v>715</v>
      </c>
      <c r="K97" s="216" t="s">
        <v>716</v>
      </c>
      <c r="L97" s="217">
        <v>0</v>
      </c>
      <c r="M97" s="218">
        <v>1</v>
      </c>
      <c r="N97" s="218">
        <v>2</v>
      </c>
      <c r="O97" s="218">
        <v>3</v>
      </c>
      <c r="P97" s="219" t="s">
        <v>1367</v>
      </c>
      <c r="T97" s="66"/>
    </row>
    <row r="98" spans="1:21" s="65" customFormat="1">
      <c r="A98" s="177" t="s">
        <v>22</v>
      </c>
      <c r="B98" s="178">
        <f>IFERROR(VLOOKUP(A98,'ИПП 1кв25'!$B$40:$N$51,6,0),"")</f>
        <v>465.70408163265301</v>
      </c>
      <c r="C98" s="179">
        <f>IFERROR(VLOOKUP(A98,'ИПП 1кв25'!$B$40:$N$51,7,0),"")</f>
        <v>59366631.612244889</v>
      </c>
      <c r="D98" s="180">
        <f>SUMIFS(Март25[м2],Март25[ИМ],A98,Март25[№ дома],$C$87,Март25[Комнатность],"&lt;&gt;Офис")</f>
        <v>323.81</v>
      </c>
      <c r="E98" s="181">
        <f>SUMIFS(Март25[Сумма без отделки],Март25[ИМ],$A98,Март25[№ дома],$C$87,Март25[Комнатность],"&lt;&gt;Офис")</f>
        <v>35612504</v>
      </c>
      <c r="F98" s="204">
        <f>COUNTIFS(Март25[ИМ],$A98,Март25[№ дома],$C$87,Март25[Комнатность],"&lt;&gt;Офис")</f>
        <v>6</v>
      </c>
      <c r="G98" s="183">
        <f>SUMIFS(РД[S],РД[Дом],$C$87,РД[ИМ],A98,РД[Дата подачи на регистрацию],"&lt;="&amp;$A$1,РД[Дата подачи на регистрацию],"&gt;="&amp;DATE(YEAR($A$1),MONTH($A$1),1),РД[Состояние],"Продажа")</f>
        <v>204.54000000000002</v>
      </c>
      <c r="H98" s="184">
        <f>SUMIFS(РД[Стоимость без отделки итог],РД[Дом],$C$87,РД[ИМ],A98,РД[Дата подачи на регистрацию],"&lt;="&amp;$A$1,РД[Дата подачи на регистрацию],"&gt;="&amp;DATE(YEAR($A$1),MONTH($A$1),1),РД[Состояние],"Продажа")</f>
        <v>24424286</v>
      </c>
      <c r="I98" s="243">
        <f>COUNTIFS(РД[Дом],$C$87,РД[ИМ],A98,РД[Дата подачи на регистрацию],"&lt;="&amp;$A$1,РД[Дата подачи на регистрацию],"&gt;="&amp;DATE(YEAR($A$1),MONTH($A$1),1),РД[Состояние],"Продажа")</f>
        <v>4</v>
      </c>
      <c r="J98" s="244">
        <f t="shared" ref="J98:K100" si="7">IFERROR(G98/B98,"")</f>
        <v>0.43920594228620269</v>
      </c>
      <c r="K98" s="258">
        <f t="shared" si="7"/>
        <v>0.41141438105378841</v>
      </c>
      <c r="L98" s="183">
        <f>COUNTIFS(РД[Тип кв],L88,РД[ИМ],$A98,РД[Дом],$C$87,РД[Дата подачи на регистрацию],"&lt;="&amp;$A$1,РД[Дата подачи на регистрацию],"&gt;="&amp;DATE(YEAR($A$1),MONTH($A$1),1))</f>
        <v>1</v>
      </c>
      <c r="M98" s="243">
        <f>COUNTIFS(РД[Тип кв],M88,РД[ИМ],$A98,РД[Дом],$C$87,РД[Дата подачи на регистрацию],"&lt;="&amp;$A$1,РД[Дата подачи на регистрацию],"&gt;="&amp;DATE(YEAR($A$1),MONTH($A$1),1))</f>
        <v>2</v>
      </c>
      <c r="N98" s="243">
        <f>COUNTIFS(РД[Тип кв],N88,РД[ИМ],$A98,РД[Дом],$C$87,РД[Дата подачи на регистрацию],"&lt;="&amp;$A$1,РД[Дата подачи на регистрацию],"&gt;="&amp;DATE(YEAR($A$1),MONTH($A$1),1))</f>
        <v>1</v>
      </c>
      <c r="O98" s="243">
        <f>COUNTIFS(РД[Тип кв],O88,РД[ИМ],$A98,РД[Дом],$C$87,РД[Дата подачи на регистрацию],"&lt;="&amp;$A$1,РД[Дата подачи на регистрацию],"&gt;="&amp;DATE(YEAR($A$1),MONTH($A$1),1))</f>
        <v>1</v>
      </c>
      <c r="P98" s="246">
        <f>COUNTIFS(РД[Тип кв],P88,РД[ИМ],$A98,РД[Дом],$C$87,РД[Дата подачи на регистрацию],"&lt;="&amp;$A$1,РД[Дата подачи на регистрацию],"&gt;="&amp;DATE(YEAR($A$1),MONTH($A$1),1))</f>
        <v>0</v>
      </c>
      <c r="T98" s="66"/>
    </row>
    <row r="99" spans="1:21" s="65" customFormat="1">
      <c r="A99" s="150" t="s">
        <v>26</v>
      </c>
      <c r="B99" s="143">
        <f>IFERROR(VLOOKUP(A99,'ИПП 1кв25'!$B$40:$N$51,6,0),"")</f>
        <v>364.09591836734688</v>
      </c>
      <c r="C99" s="144">
        <f>IFERROR(VLOOKUP(A99,'ИПП 1кв25'!$B$40:$N$51,7,0),"")</f>
        <v>46413911.987755097</v>
      </c>
      <c r="D99" s="205">
        <f>SUMIFS(Март25[м2],Март25[ИМ],A99,Март25[№ дома],$C$87,Март25[Комнатность],"&lt;&gt;Офис")</f>
        <v>34.81</v>
      </c>
      <c r="E99" s="206">
        <f>SUMIFS(Март25[Сумма без отделки],Март25[ИМ],$A99,Март25[№ дома],$C$87,Март25[Комнатность],"&lt;&gt;Офис")</f>
        <v>4970765</v>
      </c>
      <c r="F99" s="207">
        <f>COUNTIFS(Март25[ИМ],$A99,Март25[№ дома],$C$87,Март25[Комнатность],"&lt;&gt;Офис")</f>
        <v>1</v>
      </c>
      <c r="G99" s="187">
        <f>SUMIFS(РД[S],РД[Дом],$C$87,РД[ИМ],A99,РД[Дата подачи на регистрацию],"&lt;="&amp;$A$1,РД[Дата подачи на регистрацию],"&gt;="&amp;DATE(YEAR($A$1),MONTH($A$1),1),РД[Состояние],"Продажа")</f>
        <v>0</v>
      </c>
      <c r="H99" s="188">
        <f>SUMIFS(РД[Стоимость без отделки итог],РД[Дом],$C$87,РД[ИМ],A99,РД[Дата подачи на регистрацию],"&lt;="&amp;$A$1,РД[Дата подачи на регистрацию],"&gt;="&amp;DATE(YEAR($A$1),MONTH($A$1),1),РД[Состояние],"Продажа")</f>
        <v>0</v>
      </c>
      <c r="I99" s="247">
        <f>COUNTIFS(РД[Дом],$C$87,РД[ИМ],A99,РД[Дата подачи на регистрацию],"&lt;="&amp;$A$1,РД[Дата подачи на регистрацию],"&gt;="&amp;DATE(YEAR($A$1),MONTH($A$1),1),РД[Состояние],"Продажа")</f>
        <v>0</v>
      </c>
      <c r="J99" s="248">
        <f t="shared" si="7"/>
        <v>0</v>
      </c>
      <c r="K99" s="259">
        <f t="shared" si="7"/>
        <v>0</v>
      </c>
      <c r="L99" s="187">
        <f>COUNTIFS(РД[Тип кв],L$88,РД[ИМ],$A99,РД[Дом],$C$87,РД[Дата подачи на регистрацию],"&lt;="&amp;$A$1,РД[Дата подачи на регистрацию],"&gt;="&amp;DATE(YEAR($A$1),MONTH($A$1),1))</f>
        <v>0</v>
      </c>
      <c r="M99" s="247">
        <f>COUNTIFS(РД[Тип кв],M$88,РД[ИМ],$A99,РД[Дом],$C$87,РД[Дата подачи на регистрацию],"&lt;="&amp;$A$1,РД[Дата подачи на регистрацию],"&gt;="&amp;DATE(YEAR($A$1),MONTH($A$1),1))</f>
        <v>0</v>
      </c>
      <c r="N99" s="247">
        <f>COUNTIFS(РД[Тип кв],N$88,РД[ИМ],$A99,РД[Дом],$C$87,РД[Дата подачи на регистрацию],"&lt;="&amp;$A$1,РД[Дата подачи на регистрацию],"&gt;="&amp;DATE(YEAR($A$1),MONTH($A$1),1))</f>
        <v>0</v>
      </c>
      <c r="O99" s="247">
        <f>COUNTIFS(РД[Тип кв],O$88,РД[ИМ],$A99,РД[Дом],$C$87,РД[Дата подачи на регистрацию],"&lt;="&amp;$A$1,РД[Дата подачи на регистрацию],"&gt;="&amp;DATE(YEAR($A$1),MONTH($A$1),1))</f>
        <v>0</v>
      </c>
      <c r="P99" s="250">
        <f>COUNTIFS(РД[Тип кв],P$88,РД[ИМ],$A99,РД[Дом],$C$87,РД[Дата подачи на регистрацию],"&lt;="&amp;$A$1,РД[Дата подачи на регистрацию],"&gt;="&amp;DATE(YEAR($A$1),MONTH($A$1),1))</f>
        <v>0</v>
      </c>
      <c r="T99" s="66"/>
    </row>
    <row r="100" spans="1:21" s="65" customFormat="1">
      <c r="A100" s="189" t="s">
        <v>3</v>
      </c>
      <c r="B100" s="190">
        <f>IFERROR(VLOOKUP(A100,'ИПП 1кв25'!$B$40:$N$51,6,0),"")</f>
        <v>0</v>
      </c>
      <c r="C100" s="191">
        <f>IFERROR(VLOOKUP(A100,'ИПП 1кв25'!$B$40:$N$51,7,0),"")</f>
        <v>0</v>
      </c>
      <c r="D100" s="208">
        <f>SUMIFS(Март25[м2],Март25[ИМ],A100,Март25[№ дома],$C$87,Март25[Комнатность],"&lt;&gt;Офис")</f>
        <v>0</v>
      </c>
      <c r="E100" s="209">
        <f>SUMIFS(Март25[Сумма без отделки],Март25[ИМ],$A100,Март25[№ дома],$C$87,Март25[Комнатность],"&lt;&gt;Офис")</f>
        <v>0</v>
      </c>
      <c r="F100" s="210">
        <f>COUNTIFS(Март25[ИМ],$A100,Март25[№ дома],$C$87,Март25[Комнатность],"&lt;&gt;Офис")</f>
        <v>0</v>
      </c>
      <c r="G100" s="195">
        <f>SUMIFS(РД[S],РД[Дом],$C$87,РД[ИМ],A100,РД[Дата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H100" s="196">
        <f>SUMIFS(РД[Стоимость без отделки итог],РД[Дом],$C$87,РД[ИМ],A100,РД[Дата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I100" s="251">
        <f>COUNTIFS(РД[Дом],$C$87,РД[ИМ],A100,РД[Дата подачи на регистрацию],"&lt;="&amp;$A$1,РД[Дата подачи на регистрацию],"&gt;="&amp;DATE(YEAR($A$1),MONTH($A$1),1),РД[Состояние],"Продажа")</f>
        <v>0</v>
      </c>
      <c r="J100" s="252" t="str">
        <f t="shared" si="7"/>
        <v/>
      </c>
      <c r="K100" s="260" t="str">
        <f t="shared" si="7"/>
        <v/>
      </c>
      <c r="L100" s="195">
        <f>COUNTIFS(РД[Тип кв],L$88,РД[ИМ],$A100,РД[Дом],$C$87,РД[Дата подачи на регистрацию],"&lt;="&amp;$A$1,РД[Дата подачи на регистрацию],"&gt;="&amp;DATE(YEAR($A$1),MONTH($A$1),1))</f>
        <v>0</v>
      </c>
      <c r="M100" s="251">
        <f>COUNTIFS(РД[Тип кв],M$88,РД[ИМ],$A100,РД[Дом],$C$87,РД[Дата подачи на регистрацию],"&lt;="&amp;$A$1,РД[Дата подачи на регистрацию],"&gt;="&amp;DATE(YEAR($A$1),MONTH($A$1),1))</f>
        <v>0</v>
      </c>
      <c r="N100" s="251">
        <f>COUNTIFS(РД[Тип кв],N$88,РД[ИМ],$A100,РД[Дом],$C$87,РД[Дата подачи на регистрацию],"&lt;="&amp;$A$1,РД[Дата подачи на регистрацию],"&gt;="&amp;DATE(YEAR($A$1),MONTH($A$1),1))</f>
        <v>0</v>
      </c>
      <c r="O100" s="251">
        <f>COUNTIFS(РД[Тип кв],O$88,РД[ИМ],$A100,РД[Дом],$C$87,РД[Дата подачи на регистрацию],"&lt;="&amp;$A$1,РД[Дата подачи на регистрацию],"&gt;="&amp;DATE(YEAR($A$1),MONTH($A$1),1))</f>
        <v>0</v>
      </c>
      <c r="P100" s="254">
        <f>COUNTIFS(РД[Тип кв],P$88,РД[ИМ],$A100,РД[Дом],$C$87,РД[Дата подачи на регистрацию],"&lt;="&amp;$A$1,РД[Дата подачи на регистрацию],"&gt;="&amp;DATE(YEAR($A$1),MONTH($A$1),1))</f>
        <v>0</v>
      </c>
      <c r="Q100" s="86"/>
      <c r="R100" s="86"/>
      <c r="S100" s="86"/>
      <c r="T100" s="66"/>
    </row>
    <row r="101" spans="1:21" s="65" customFormat="1">
      <c r="A101" s="168" t="s">
        <v>114</v>
      </c>
      <c r="B101" s="169">
        <f t="shared" ref="B101:I101" si="8">SUM(B98:B100)</f>
        <v>829.8</v>
      </c>
      <c r="C101" s="170">
        <f t="shared" si="8"/>
        <v>105780543.59999999</v>
      </c>
      <c r="D101" s="173">
        <f t="shared" si="8"/>
        <v>358.62</v>
      </c>
      <c r="E101" s="173">
        <f t="shared" si="8"/>
        <v>40583269</v>
      </c>
      <c r="F101" s="171">
        <f t="shared" si="8"/>
        <v>7</v>
      </c>
      <c r="G101" s="172">
        <f t="shared" si="8"/>
        <v>204.54000000000002</v>
      </c>
      <c r="H101" s="173">
        <f t="shared" si="8"/>
        <v>24424286</v>
      </c>
      <c r="I101" s="170">
        <f t="shared" si="8"/>
        <v>4</v>
      </c>
      <c r="J101" s="238">
        <f>IFERROR(G101/B101,)</f>
        <v>0.24649313087490965</v>
      </c>
      <c r="K101" s="239">
        <f>IFERROR(H101/C101,)</f>
        <v>0.23089582610161594</v>
      </c>
      <c r="L101" s="240">
        <f t="shared" ref="L101:P101" si="9">SUM(L98:L100)</f>
        <v>1</v>
      </c>
      <c r="M101" s="241">
        <f t="shared" si="9"/>
        <v>2</v>
      </c>
      <c r="N101" s="241">
        <f t="shared" si="9"/>
        <v>1</v>
      </c>
      <c r="O101" s="241">
        <f t="shared" si="9"/>
        <v>1</v>
      </c>
      <c r="P101" s="242">
        <f t="shared" si="9"/>
        <v>0</v>
      </c>
      <c r="Q101" s="86"/>
      <c r="R101" s="86"/>
      <c r="S101" s="86"/>
      <c r="T101" s="66"/>
    </row>
    <row r="102" spans="1:21" s="65" customFormat="1">
      <c r="A102" s="134"/>
      <c r="B102" s="211"/>
      <c r="C102" s="211"/>
      <c r="D102" s="212"/>
      <c r="E102" s="134"/>
      <c r="F102" s="134"/>
      <c r="G102" s="134"/>
      <c r="H102" s="134"/>
      <c r="I102" s="134"/>
      <c r="J102" s="134"/>
      <c r="K102" s="134"/>
      <c r="L102" s="261"/>
      <c r="M102" s="134"/>
      <c r="N102" s="134"/>
      <c r="O102" s="134"/>
      <c r="P102" s="262"/>
      <c r="Q102" s="134"/>
      <c r="U102" s="66"/>
    </row>
    <row r="103" spans="1:21" s="65" customFormat="1">
      <c r="A103" s="2325" t="s">
        <v>713</v>
      </c>
      <c r="B103" s="2326"/>
      <c r="C103" s="133" t="s">
        <v>19</v>
      </c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263"/>
      <c r="T103" s="66"/>
    </row>
    <row r="104" spans="1:21" s="65" customFormat="1">
      <c r="A104" s="135" t="s">
        <v>1</v>
      </c>
      <c r="B104" s="135" t="s">
        <v>100</v>
      </c>
      <c r="C104" s="136" t="s">
        <v>97</v>
      </c>
      <c r="D104" s="137" t="s">
        <v>494</v>
      </c>
      <c r="E104" s="138" t="s">
        <v>495</v>
      </c>
      <c r="F104" s="139" t="s">
        <v>496</v>
      </c>
      <c r="G104" s="140" t="s">
        <v>101</v>
      </c>
      <c r="H104" s="141" t="s">
        <v>98</v>
      </c>
      <c r="I104" s="141" t="s">
        <v>96</v>
      </c>
      <c r="J104" s="141" t="s">
        <v>715</v>
      </c>
      <c r="K104" s="216" t="s">
        <v>716</v>
      </c>
      <c r="L104" s="217">
        <v>0</v>
      </c>
      <c r="M104" s="218">
        <v>1</v>
      </c>
      <c r="N104" s="218">
        <v>2</v>
      </c>
      <c r="O104" s="218">
        <v>3</v>
      </c>
      <c r="P104" s="219" t="s">
        <v>1367</v>
      </c>
      <c r="Q104" s="134"/>
      <c r="U104" s="66"/>
    </row>
    <row r="105" spans="1:21" s="65" customFormat="1">
      <c r="A105" s="142" t="s">
        <v>28</v>
      </c>
      <c r="B105" s="143">
        <f>IFERROR(VLOOKUP(A105,'ИПП 1кв25'!$B$40:$N$51,8,0),"")</f>
        <v>29</v>
      </c>
      <c r="C105" s="144">
        <f>IFERROR(VLOOKUP(A105,'ИПП 1кв25'!$B$40:$N$51,9,0),"")</f>
        <v>3684614</v>
      </c>
      <c r="D105" s="199">
        <f>SUMIFS(Март25[м2],Март25[КТУ],$A105,Март25[№ дома],$C$103,Март25[Комнатность],"&lt;&gt;Офис")</f>
        <v>49.2</v>
      </c>
      <c r="E105" s="200">
        <f>SUMIFS(Март25[Сумма без отделки],Март25[КТУ],$A105,Март25[№ дома],$C$103,Март25[Комнатность],"&lt;&gt;Офис")</f>
        <v>6268080</v>
      </c>
      <c r="F105" s="201">
        <f>COUNTIFS(Март25[КТУ],$A105,Март25[№ дома],$C$103,Март25[Комнатность],"&lt;&gt;Офис")</f>
        <v>1</v>
      </c>
      <c r="G105" s="202">
        <f>SUMIFS(РД[S],РД[Дом],$C$103,РД[МОП],A105,РД[Дата подачи на регистрацию],"&lt;="&amp;$A$1,РД[Дата подачи на регистрацию],"&gt;="&amp;DATE(YEAR($A$1),MONTH($A$1),1),РД[Состояние],"Продажа")</f>
        <v>49.2</v>
      </c>
      <c r="H105" s="203">
        <f>SUMIFS(РД[Стоимость без отделки итог],РД[Дом],$C$103,РД[МОП],A105,РД[Дата подачи на регистрацию],"&lt;="&amp;$A$1,РД[Дата подачи на регистрацию],"&gt;="&amp;DATE(YEAR($A$1),MONTH($A$1),1),РД[Состояние],"Продажа")</f>
        <v>6268080</v>
      </c>
      <c r="I105" s="226">
        <f>COUNTIFS(РД[Дом],$C$103,РД[МОП],A105,РД[Дата подачи на регистрацию],"&lt;="&amp;$A$1,РД[Дата подачи на регистрацию],"&gt;="&amp;DATE(YEAR($A$1),MONTH($A$1),1),РД[Состояние],"Продажа")</f>
        <v>1</v>
      </c>
      <c r="J105" s="224">
        <f t="shared" ref="J105:K111" si="10">IFERROR(G105/B105,)</f>
        <v>1.6965517241379311</v>
      </c>
      <c r="K105" s="225">
        <f t="shared" si="10"/>
        <v>1.7011496998057327</v>
      </c>
      <c r="L105" s="257">
        <f>COUNTIFS(РД[Тип кв],L$88,РД[МОП],$A105,РД[Дом],$C$103,РД[Дата подачи на регистрацию],"&lt;="&amp;$A$1,РД[Дата подачи на регистрацию],"&gt;="&amp;DATE(YEAR($A$1),MONTH($A$1),1))</f>
        <v>0</v>
      </c>
      <c r="M105" s="226">
        <f>COUNTIFS(РД[Тип кв],M$88,РД[МОП],$A105,РД[Дом],$C$103,РД[Дата подачи на регистрацию],"&lt;="&amp;$A$1,РД[Дата подачи на регистрацию],"&gt;="&amp;DATE(YEAR($A$1),MONTH($A$1),1))</f>
        <v>0</v>
      </c>
      <c r="N105" s="226">
        <f>COUNTIFS(РД[Тип кв],N$88,РД[МОП],$A105,РД[Дом],$C$103,РД[Дата подачи на регистрацию],"&lt;="&amp;$A$1,РД[Дата подачи на регистрацию],"&gt;="&amp;DATE(YEAR($A$1),MONTH($A$1),1))</f>
        <v>1</v>
      </c>
      <c r="O105" s="226">
        <f>COUNTIFS(РД[Тип кв],O$88,РД[МОП],$A105,РД[Дом],$C$103,РД[Дата подачи на регистрацию],"&lt;="&amp;$A$1,РД[Дата подачи на регистрацию],"&gt;="&amp;DATE(YEAR($A$1),MONTH($A$1),1))</f>
        <v>0</v>
      </c>
      <c r="P105" s="227">
        <f>COUNTIFS(РД[Тип кв],P$88,РД[МОП],$A105,РД[Дом],$C$103,РД[Дата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42" t="s">
        <v>8</v>
      </c>
      <c r="B106" s="143">
        <f>IFERROR(VLOOKUP(A106,'ИПП 1кв25'!$B$40:$N$51,8,0),"")</f>
        <v>39</v>
      </c>
      <c r="C106" s="144">
        <f>IFERROR(VLOOKUP(A106,'ИПП 1кв25'!$B$40:$N$51,9,0),"")</f>
        <v>5053185</v>
      </c>
      <c r="D106" s="199">
        <f>SUMIFS(Март25[м2],Март25[КТУ],$A106,Март25[№ дома],$C$103,Март25[Комнатность],"&lt;&gt;Офис")</f>
        <v>49.2</v>
      </c>
      <c r="E106" s="200">
        <f>SUMIFS(Март25[Сумма без отделки],Март25[КТУ],$A106,Март25[№ дома],$C$103,Март25[Комнатность],"&lt;&gt;Офис")</f>
        <v>6204120</v>
      </c>
      <c r="F106" s="201">
        <f>COUNTIFS(Март25[КТУ],$A106,Март25[№ дома],$C$103,Март25[Комнатность],"&lt;&gt;Офис")</f>
        <v>1</v>
      </c>
      <c r="G106" s="202">
        <f>SUMIFS(РД[S],РД[Дом],$C$103,РД[МОП],A106,РД[Дата подачи на регистрацию],"&lt;="&amp;$A$1,РД[Дата подачи на регистрацию],"&gt;="&amp;DATE(YEAR($A$1),MONTH($A$1),1),РД[Состояние],"Продажа")</f>
        <v>49.2</v>
      </c>
      <c r="H106" s="203">
        <f>SUMIFS(РД[Стоимость без отделки итог],РД[Дом],$C$103,РД[МОП],A106,РД[Дата подачи на регистрацию],"&lt;="&amp;$A$1,РД[Дата подачи на регистрацию],"&gt;="&amp;DATE(YEAR($A$1),MONTH($A$1),1),РД[Состояние],"Продажа")</f>
        <v>6204120</v>
      </c>
      <c r="I106" s="226">
        <f>COUNTIFS(РД[Дом],$C$103,РД[МОП],A106,РД[Дата подачи на регистрацию],"&lt;="&amp;$A$1,РД[Дата подачи на регистрацию],"&gt;="&amp;DATE(YEAR($A$1),MONTH($A$1),1),РД[Состояние],"Продажа")</f>
        <v>1</v>
      </c>
      <c r="J106" s="224">
        <f t="shared" si="10"/>
        <v>1.2615384615384617</v>
      </c>
      <c r="K106" s="225">
        <f t="shared" si="10"/>
        <v>1.2277642714446433</v>
      </c>
      <c r="L106" s="257">
        <f>COUNTIFS(РД[Тип кв],L$88,РД[МОП],$A106,РД[Дом],$C$103,РД[Дата подачи на регистрацию],"&lt;="&amp;$A$1,РД[Дата подачи на регистрацию],"&gt;="&amp;DATE(YEAR($A$1),MONTH($A$1),1))</f>
        <v>0</v>
      </c>
      <c r="M106" s="226">
        <f>COUNTIFS(РД[Тип кв],M$88,РД[МОП],$A106,РД[Дом],$C$103,РД[Дата подачи на регистрацию],"&lt;="&amp;$A$1,РД[Дата подачи на регистрацию],"&gt;="&amp;DATE(YEAR($A$1),MONTH($A$1),1))</f>
        <v>0</v>
      </c>
      <c r="N106" s="226">
        <f>COUNTIFS(РД[Тип кв],N$88,РД[МОП],$A106,РД[Дом],$C$103,РД[Дата подачи на регистрацию],"&lt;="&amp;$A$1,РД[Дата подачи на регистрацию],"&gt;="&amp;DATE(YEAR($A$1),MONTH($A$1),1))</f>
        <v>1</v>
      </c>
      <c r="O106" s="226">
        <f>COUNTIFS(РД[Тип кв],O$88,РД[МОП],$A106,РД[Дом],$C$103,РД[Дата подачи на регистрацию],"&lt;="&amp;$A$1,РД[Дата подачи на регистрацию],"&gt;="&amp;DATE(YEAR($A$1),MONTH($A$1),1))</f>
        <v>0</v>
      </c>
      <c r="P106" s="227">
        <f>COUNTIFS(РД[Тип кв],P$88,РД[МОП],$A106,РД[Дом],$C$103,РД[Дата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50" t="s">
        <v>20</v>
      </c>
      <c r="B107" s="143">
        <f>IFERROR(VLOOKUP(A107,'ИПП 1кв25'!$B$40:$N$51,8,0),"")</f>
        <v>39</v>
      </c>
      <c r="C107" s="144">
        <f>IFERROR(VLOOKUP(A107,'ИПП 1кв25'!$B$40:$N$51,9,0),"")</f>
        <v>4974229</v>
      </c>
      <c r="D107" s="199">
        <f>SUMIFS(Март25[м2],Март25[КТУ],$A107,Март25[№ дома],$C$103,Март25[Комнатность],"&lt;&gt;Офис")</f>
        <v>0</v>
      </c>
      <c r="E107" s="200">
        <f>SUMIFS(Март25[Сумма без отделки],Март25[КТУ],$A107,Март25[№ дома],$C$103,Март25[Комнатность],"&lt;&gt;Офис")</f>
        <v>0</v>
      </c>
      <c r="F107" s="201">
        <f>COUNTIFS(Март25[КТУ],$A107,Март25[№ дома],$C$103,Март25[Комнатность],"&lt;&gt;Офис")</f>
        <v>0</v>
      </c>
      <c r="G107" s="202">
        <f>SUMIFS(РД[S],РД[Дом],$C$103,РД[МОП],A107,РД[Дата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203">
        <f>SUMIFS(РД[Стоимость без отделки итог],РД[Дом],$C$103,РД[МОП],A107,РД[Дата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26">
        <f>COUNTIFS(РД[Дом],$C$103,РД[МОП],A107,РД[Дата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24">
        <f t="shared" si="10"/>
        <v>0</v>
      </c>
      <c r="K107" s="225">
        <f t="shared" si="10"/>
        <v>0</v>
      </c>
      <c r="L107" s="257">
        <f>COUNTIFS(РД[Тип кв],L$88,РД[МОП],$A107,РД[Дом],$C$103,РД[Дата подачи на регистрацию],"&lt;="&amp;$A$1,РД[Дата подачи на регистрацию],"&gt;="&amp;DATE(YEAR($A$1),MONTH($A$1),1))</f>
        <v>0</v>
      </c>
      <c r="M107" s="226">
        <f>COUNTIFS(РД[Тип кв],M$88,РД[МОП],$A107,РД[Дом],$C$103,РД[Дата подачи на регистрацию],"&lt;="&amp;$A$1,РД[Дата подачи на регистрацию],"&gt;="&amp;DATE(YEAR($A$1),MONTH($A$1),1))</f>
        <v>0</v>
      </c>
      <c r="N107" s="226">
        <f>COUNTIFS(РД[Тип кв],N$88,РД[МОП],$A107,РД[Дом],$C$103,РД[Дата подачи на регистрацию],"&lt;="&amp;$A$1,РД[Дата подачи на регистрацию],"&gt;="&amp;DATE(YEAR($A$1),MONTH($A$1),1))</f>
        <v>0</v>
      </c>
      <c r="O107" s="226">
        <f>COUNTIFS(РД[Тип кв],O$88,РД[МОП],$A107,РД[Дом],$C$103,РД[Дата подачи на регистрацию],"&lt;="&amp;$A$1,РД[Дата подачи на регистрацию],"&gt;="&amp;DATE(YEAR($A$1),MONTH($A$1),1))</f>
        <v>0</v>
      </c>
      <c r="P107" s="227">
        <f>COUNTIFS(РД[Тип кв],P$88,РД[МОП],$A107,РД[Дом],$C$103,РД[Дата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53" t="s">
        <v>24</v>
      </c>
      <c r="B108" s="143">
        <f>IFERROR(VLOOKUP(A108,'ИПП 1кв25'!$B$40:$N$51,8,0),"")</f>
        <v>36</v>
      </c>
      <c r="C108" s="144">
        <f>IFERROR(VLOOKUP(A108,'ИПП 1кв25'!$B$40:$N$51,9,0),"")</f>
        <v>4658405</v>
      </c>
      <c r="D108" s="199">
        <f>SUMIFS(Март25[м2],Март25[КТУ],$A108,Март25[№ дома],$C$103,Март25[Комнатность],"&lt;&gt;Офис")</f>
        <v>0</v>
      </c>
      <c r="E108" s="200">
        <f>SUMIFS(Март25[Сумма без отделки],Март25[КТУ],$A108,Март25[№ дома],$C$103,Март25[Комнатность],"&lt;&gt;Офис")</f>
        <v>0</v>
      </c>
      <c r="F108" s="201">
        <f>COUNTIFS(Март25[КТУ],$A108,Март25[№ дома],$C$103,Март25[Комнатность],"&lt;&gt;Офис")</f>
        <v>0</v>
      </c>
      <c r="G108" s="202">
        <f>SUMIFS(РД[S],РД[Дом],$C$103,РД[МОП],A108,РД[Дата подачи на регистрацию],"&lt;="&amp;$A$1,РД[Дата подачи на регистрацию],"&gt;="&amp;DATE(YEAR($A$1),MONTH($A$1),1),РД[Состояние],"Продажа")</f>
        <v>0</v>
      </c>
      <c r="H108" s="203">
        <f>SUMIFS(РД[Стоимость без отделки итог],РД[Дом],$C$103,РД[МОП],A108,РД[Дата подачи на регистрацию],"&lt;="&amp;$A$1,РД[Дата подачи на регистрацию],"&gt;="&amp;DATE(YEAR($A$1),MONTH($A$1),1),РД[Состояние],"Продажа")</f>
        <v>0</v>
      </c>
      <c r="I108" s="226">
        <f>COUNTIFS(РД[Дом],$C$103,РД[МОП],A108,РД[Дата подачи на регистрацию],"&lt;="&amp;$A$1,РД[Дата подачи на регистрацию],"&gt;="&amp;DATE(YEAR($A$1),MONTH($A$1),1),РД[Состояние],"Продажа")</f>
        <v>0</v>
      </c>
      <c r="J108" s="224">
        <f t="shared" si="10"/>
        <v>0</v>
      </c>
      <c r="K108" s="225">
        <f t="shared" si="10"/>
        <v>0</v>
      </c>
      <c r="L108" s="257">
        <f>COUNTIFS(РД[Тип кв],L$88,РД[МОП],$A108,РД[Дом],$C$103,РД[Дата подачи на регистрацию],"&lt;="&amp;$A$1,РД[Дата подачи на регистрацию],"&gt;="&amp;DATE(YEAR($A$1),MONTH($A$1),1))</f>
        <v>0</v>
      </c>
      <c r="M108" s="226">
        <f>COUNTIFS(РД[Тип кв],M$88,РД[МОП],$A108,РД[Дом],$C$103,РД[Дата подачи на регистрацию],"&lt;="&amp;$A$1,РД[Дата подачи на регистрацию],"&gt;="&amp;DATE(YEAR($A$1),MONTH($A$1),1))</f>
        <v>0</v>
      </c>
      <c r="N108" s="226">
        <f>COUNTIFS(РД[Тип кв],N$88,РД[МОП],$A108,РД[Дом],$C$103,РД[Дата подачи на регистрацию],"&lt;="&amp;$A$1,РД[Дата подачи на регистрацию],"&gt;="&amp;DATE(YEAR($A$1),MONTH($A$1),1))</f>
        <v>0</v>
      </c>
      <c r="O108" s="226">
        <f>COUNTIFS(РД[Тип кв],O$88,РД[МОП],$A108,РД[Дом],$C$103,РД[Дата подачи на регистрацию],"&lt;="&amp;$A$1,РД[Дата подачи на регистрацию],"&gt;="&amp;DATE(YEAR($A$1),MONTH($A$1),1))</f>
        <v>0</v>
      </c>
      <c r="P108" s="227">
        <f>COUNTIFS(РД[Тип кв],P$88,РД[МОП],$A108,РД[Дом],$C$103,РД[Дата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3" t="s">
        <v>14</v>
      </c>
      <c r="B109" s="143">
        <f>IFERROR(VLOOKUP(A109,'ИПП 1кв25'!$B$40:$N$51,8,0),"")</f>
        <v>27</v>
      </c>
      <c r="C109" s="144">
        <f>IFERROR(VLOOKUP(A109,'ИПП 1кв25'!$B$40:$N$51,9,0),"")</f>
        <v>3474065</v>
      </c>
      <c r="D109" s="299">
        <f>SUMIFS(Март25[м2],Март25[КТУ],$A109,Март25[№ дома],$C$103,Март25[Комнатность],"&lt;&gt;Офис")</f>
        <v>0</v>
      </c>
      <c r="E109" s="300">
        <f>SUMIFS(Март25[Сумма без отделки],Март25[КТУ],$A109,Март25[№ дома],$C$103,Март25[Комнатность],"&lt;&gt;Офис")</f>
        <v>0</v>
      </c>
      <c r="F109" s="301">
        <f>COUNTIFS(Март25[КТУ],$A109,Март25[№ дома],$C$103,Март25[Комнатность],"&lt;&gt;Офис")</f>
        <v>0</v>
      </c>
      <c r="G109" s="358">
        <f>SUMIFS(РД[S],РД[Дом],$C$103,РД[МОП],A109,РД[Дата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359">
        <f>SUMIFS(РД[Стоимость без отделки итог],РД[Дом],$C$103,РД[МОП],A109,РД[Дата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330">
        <f>COUNTIFS(РД[Дом],$C$103,РД[МОП],A109,РД[Дата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360">
        <f t="shared" si="10"/>
        <v>0</v>
      </c>
      <c r="K109" s="361">
        <f t="shared" si="10"/>
        <v>0</v>
      </c>
      <c r="L109" s="329">
        <f>COUNTIFS(РД[Тип кв],L$88,РД[МОП],$A109,РД[Дом],$C$103,РД[Дата подачи на регистрацию],"&lt;="&amp;$A$1,РД[Дата подачи на регистрацию],"&gt;="&amp;DATE(YEAR($A$1),MONTH($A$1),1))</f>
        <v>0</v>
      </c>
      <c r="M109" s="330">
        <f>COUNTIFS(РД[Тип кв],M$88,РД[МОП],$A109,РД[Дом],$C$103,РД[Дата подачи на регистрацию],"&lt;="&amp;$A$1,РД[Дата подачи на регистрацию],"&gt;="&amp;DATE(YEAR($A$1),MONTH($A$1),1))</f>
        <v>0</v>
      </c>
      <c r="N109" s="330">
        <f>COUNTIFS(РД[Тип кв],N$88,РД[МОП],$A109,РД[Дом],$C$103,РД[Дата подачи на регистрацию],"&lt;="&amp;$A$1,РД[Дата подачи на регистрацию],"&gt;="&amp;DATE(YEAR($A$1),MONTH($A$1),1))</f>
        <v>0</v>
      </c>
      <c r="O109" s="330">
        <f>COUNTIFS(РД[Тип кв],O$88,РД[МОП],$A109,РД[Дом],$C$103,РД[Дата подачи на регистрацию],"&lt;="&amp;$A$1,РД[Дата подачи на регистрацию],"&gt;="&amp;DATE(YEAR($A$1),MONTH($A$1),1))</f>
        <v>0</v>
      </c>
      <c r="P109" s="331">
        <f>COUNTIFS(РД[Тип кв],P$88,РД[МОП],$A109,РД[Дом],$C$103,РД[Дата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154" t="s">
        <v>29</v>
      </c>
      <c r="B110" s="155"/>
      <c r="C110" s="156"/>
      <c r="D110" s="157">
        <f>SUMIFS(Март25[м2],Март25[КТУ],$A110,Март25[№ дома],$C$103,Март25[Комнатность],"&lt;&gt;Офис")</f>
        <v>0</v>
      </c>
      <c r="E110" s="156">
        <f>SUMIFS(Март25[Сумма без отделки],Март25[КТУ],$A110,Март25[№ дома],$C$103,Март25[Комнатность],"&lt;&gt;Офис")</f>
        <v>0</v>
      </c>
      <c r="F110" s="158">
        <f>COUNTIFS(Март25[КТУ],$A110,Март25[№ дома],$C$103,Март25[Комнатность],"&lt;&gt;Офис")</f>
        <v>0</v>
      </c>
      <c r="G110" s="159">
        <f>SUMIFS(РД[S],РД[Дом],$C$103,РД[МОП],A110,РД[Дата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160">
        <f>SUMIFS(РД[Стоимость без отделки итог],РД[Дом],$C$103,РД[МОП],A110,РД[Дата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28">
        <f>COUNTIFS(РД[Дом],$C$103,РД[МОП],A110,РД[Дата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29">
        <f t="shared" si="10"/>
        <v>0</v>
      </c>
      <c r="K110" s="230">
        <f t="shared" si="10"/>
        <v>0</v>
      </c>
      <c r="L110" s="159">
        <f>COUNTIFS(РД[Тип кв],L$88,РД[МОП],$A110,РД[Дом],$C$103,РД[Дата подачи на регистрацию],"&lt;="&amp;$A$1,РД[Дата подачи на регистрацию],"&gt;="&amp;DATE(YEAR($A$1),MONTH($A$1),1))</f>
        <v>0</v>
      </c>
      <c r="M110" s="228">
        <f>COUNTIFS(РД[Тип кв],M$88,РД[МОП],$A110,РД[Дом],$C$103,РД[Дата подачи на регистрацию],"&lt;="&amp;$A$1,РД[Дата подачи на регистрацию],"&gt;="&amp;DATE(YEAR($A$1),MONTH($A$1),1))</f>
        <v>0</v>
      </c>
      <c r="N110" s="228">
        <f>COUNTIFS(РД[Тип кв],N$88,РД[МОП],$A110,РД[Дом],$C$103,РД[Дата подачи на регистрацию],"&lt;="&amp;$A$1,РД[Дата подачи на регистрацию],"&gt;="&amp;DATE(YEAR($A$1),MONTH($A$1),1))</f>
        <v>0</v>
      </c>
      <c r="O110" s="228">
        <f>COUNTIFS(РД[Тип кв],O$88,РД[МОП],$A110,РД[Дом],$C$103,РД[Дата подачи на регистрацию],"&lt;="&amp;$A$1,РД[Дата подачи на регистрацию],"&gt;="&amp;DATE(YEAR($A$1),MONTH($A$1),1))</f>
        <v>0</v>
      </c>
      <c r="P110" s="231">
        <f>COUNTIFS(РД[Тип кв],P$88,РД[МОП],$A110,РД[Дом],$C$103,РД[Дата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61" t="s">
        <v>1919</v>
      </c>
      <c r="B111" s="162"/>
      <c r="C111" s="163"/>
      <c r="D111" s="164">
        <f>SUMIFS(Март25[м2],Март25[МОП],$A111,Март25[№ дома],$C$103,Март25[Комнатность],"&lt;&gt;Офис")</f>
        <v>49.2</v>
      </c>
      <c r="E111" s="163">
        <f>SUMIFS(Март25[Сумма без отделки],Март25[МОП],$A111,Март25[№ дома],$C$103,Март25[Комнатность],"&lt;&gt;Офис")</f>
        <v>6204120</v>
      </c>
      <c r="F111" s="165">
        <f>COUNTIFS(Март25[МОП],$A111,Март25[№ дома],$C$103,Март25[Комнатность],"&lt;&gt;Офис")</f>
        <v>1</v>
      </c>
      <c r="G111" s="166">
        <f>SUMIFS(РД[S],РД[Дом],$C$103,РД[МОП],A111,РД[Дата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H111" s="167">
        <f>SUMIFS(РД[Стоимость без отделки итог],РД[Дом],$C$103,РД[МОП],A111,РД[Дата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232">
        <f>COUNTIFS(РД[Дом],$C$103,РД[МОП],A111,РД[Дата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33">
        <f t="shared" si="10"/>
        <v>0</v>
      </c>
      <c r="K111" s="234">
        <f t="shared" si="10"/>
        <v>0</v>
      </c>
      <c r="L111" s="235">
        <f>COUNTIFS(РД[Тип кв],L$88,РД[МОП],$A111,РД[Дом],$C$103,РД[Дата подачи на регистрацию],"&lt;="&amp;$A$1,РД[Дата подачи на регистрацию],"&gt;="&amp;DATE(YEAR($A$1),MONTH($A$1),1))</f>
        <v>0</v>
      </c>
      <c r="M111" s="236">
        <f>COUNTIFS(РД[Тип кв],M$88,РД[МОП],$A111,РД[Дом],$C$103,РД[Дата подачи на регистрацию],"&lt;="&amp;$A$1,РД[Дата подачи на регистрацию],"&gt;="&amp;DATE(YEAR($A$1),MONTH($A$1),1))</f>
        <v>0</v>
      </c>
      <c r="N111" s="236">
        <f>COUNTIFS(РД[Тип кв],N$88,РД[МОП],$A111,РД[Дом],$C$103,РД[Дата подачи на регистрацию],"&lt;="&amp;$A$1,РД[Дата подачи на регистрацию],"&gt;="&amp;DATE(YEAR($A$1),MONTH($A$1),1))</f>
        <v>0</v>
      </c>
      <c r="O111" s="236">
        <f>COUNTIFS(РД[Тип кв],O$88,РД[МОП],$A111,РД[Дом],$C$103,РД[Дата подачи на регистрацию],"&lt;="&amp;$A$1,РД[Дата подачи на регистрацию],"&gt;="&amp;DATE(YEAR($A$1),MONTH($A$1),1))</f>
        <v>0</v>
      </c>
      <c r="P111" s="237">
        <f>COUNTIFS(РД[Тип кв],P$88,РД[МОП],$A111,РД[Дом],$C$103,РД[Дата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168" t="s">
        <v>114</v>
      </c>
      <c r="B112" s="169">
        <f t="shared" ref="B112:I112" si="11">SUM(B105:B111)</f>
        <v>170</v>
      </c>
      <c r="C112" s="170">
        <f t="shared" si="11"/>
        <v>21844498</v>
      </c>
      <c r="D112" s="170">
        <f t="shared" si="11"/>
        <v>147.60000000000002</v>
      </c>
      <c r="E112" s="170">
        <f t="shared" si="11"/>
        <v>18676320</v>
      </c>
      <c r="F112" s="171">
        <f t="shared" si="11"/>
        <v>3</v>
      </c>
      <c r="G112" s="172">
        <f t="shared" si="11"/>
        <v>98.4</v>
      </c>
      <c r="H112" s="173">
        <f t="shared" si="11"/>
        <v>12472200</v>
      </c>
      <c r="I112" s="170">
        <f t="shared" si="11"/>
        <v>2</v>
      </c>
      <c r="J112" s="238">
        <f t="shared" ref="J112:K112" si="12">IFERROR(G112/B112,"")</f>
        <v>0.57882352941176474</v>
      </c>
      <c r="K112" s="239">
        <f t="shared" si="12"/>
        <v>0.57095383926881726</v>
      </c>
      <c r="L112" s="240">
        <f>SUM(L105:L111)</f>
        <v>0</v>
      </c>
      <c r="M112" s="241">
        <f>SUM(M105:M111)</f>
        <v>0</v>
      </c>
      <c r="N112" s="241">
        <f>SUM(N105:N111)</f>
        <v>2</v>
      </c>
      <c r="O112" s="241">
        <f>SUM(O105:O111)</f>
        <v>0</v>
      </c>
      <c r="P112" s="242">
        <f>SUM(P105:P111)</f>
        <v>0</v>
      </c>
      <c r="Q112" s="134"/>
      <c r="U112" s="66"/>
    </row>
    <row r="113" spans="1:21" s="65" customFormat="1">
      <c r="A113" s="135" t="s">
        <v>115</v>
      </c>
      <c r="B113" s="213" t="s">
        <v>100</v>
      </c>
      <c r="C113" s="214" t="s">
        <v>97</v>
      </c>
      <c r="D113" s="174" t="s">
        <v>494</v>
      </c>
      <c r="E113" s="175" t="s">
        <v>495</v>
      </c>
      <c r="F113" s="176" t="s">
        <v>496</v>
      </c>
      <c r="G113" s="140" t="s">
        <v>101</v>
      </c>
      <c r="H113" s="141" t="s">
        <v>98</v>
      </c>
      <c r="I113" s="141" t="s">
        <v>96</v>
      </c>
      <c r="J113" s="141" t="s">
        <v>715</v>
      </c>
      <c r="K113" s="216" t="s">
        <v>716</v>
      </c>
      <c r="L113" s="217">
        <v>0</v>
      </c>
      <c r="M113" s="218">
        <v>1</v>
      </c>
      <c r="N113" s="218">
        <v>2</v>
      </c>
      <c r="O113" s="218">
        <v>3</v>
      </c>
      <c r="P113" s="219" t="s">
        <v>1367</v>
      </c>
      <c r="Q113" s="134"/>
      <c r="U113" s="66"/>
    </row>
    <row r="114" spans="1:21" s="65" customFormat="1">
      <c r="A114" s="177" t="s">
        <v>22</v>
      </c>
      <c r="B114" s="178">
        <f>IFERROR(VLOOKUP(A114,'ИПП 1кв25'!$B$40:$N$51,8,0),"")</f>
        <v>57.244897959183668</v>
      </c>
      <c r="C114" s="179">
        <f>IFERROR(VLOOKUP(A114,'ИПП 1кв25'!$B$40:$N$51,9,0),"")</f>
        <v>7355800.346938774</v>
      </c>
      <c r="D114" s="180">
        <f>SUMIFS(Март25[м2],Март25[ИМ],A114,Март25[№ дома],$C$103,Март25[Комнатность],"&lt;&gt;Офис")</f>
        <v>49.2</v>
      </c>
      <c r="E114" s="181">
        <f>SUMIFS(Март25[Сумма без отделки],Март25[ИМ],$A114,Март25[№ дома],$C$103,Март25[Комнатность],"&lt;&gt;Офис")</f>
        <v>6204120</v>
      </c>
      <c r="F114" s="204">
        <f>COUNTIFS(Март25[ИМ],$A114,Март25[№ дома],$C$103,Март25[Комнатность],"&lt;&gt;Офис")</f>
        <v>1</v>
      </c>
      <c r="G114" s="183">
        <f>SUMIFS(РД[S],РД[Дом],$C$103,РД[ИМ],A114,РД[Дата подачи на регистрацию],"&lt;="&amp;$A$1,РД[Дата подачи на регистрацию],"&gt;="&amp;DATE(YEAR($A$1),MONTH($A$1),1),РД[Состояние],"Продажа")</f>
        <v>49.2</v>
      </c>
      <c r="H114" s="184">
        <f>SUMIFS(РД[Стоимость без отделки итог],РД[Дом],$C$103,РД[ИМ],A114,РД[Дата подачи на регистрацию],"&lt;="&amp;$A$1,РД[Дата подачи на регистрацию],"&gt;="&amp;DATE(YEAR($A$1),MONTH($A$1),1),РД[Состояние],"Продажа")</f>
        <v>6204120</v>
      </c>
      <c r="I114" s="243">
        <f>COUNTIFS(РД[Дом],$C$103,РД[ИМ],A114,РД[Дата подачи на регистрацию],"&lt;="&amp;$A$1,РД[Дата подачи на регистрацию],"&gt;="&amp;DATE(YEAR($A$1),MONTH($A$1),1),РД[Состояние],"Продажа")</f>
        <v>1</v>
      </c>
      <c r="J114" s="244">
        <f t="shared" ref="J114:K116" si="13">IFERROR(G114/B114,"")</f>
        <v>0.85946524064171137</v>
      </c>
      <c r="K114" s="258">
        <f t="shared" si="13"/>
        <v>0.84343235370464309</v>
      </c>
      <c r="L114" s="183">
        <f>COUNTIFS(РД[Тип кв],L104,РД[ИМ],$A114,РД[Дом],$C$103,РД[Дата подачи на регистрацию],"&lt;="&amp;$A$1,РД[Дата подачи на регистрацию],"&gt;="&amp;DATE(YEAR($A$1),MONTH($A$1),1))</f>
        <v>0</v>
      </c>
      <c r="M114" s="243">
        <f>COUNTIFS(РД[Тип кв],M104,РД[ИМ],$A114,РД[Дом],$C$103,РД[Дата подачи на регистрацию],"&lt;="&amp;$A$1,РД[Дата подачи на регистрацию],"&gt;="&amp;DATE(YEAR($A$1),MONTH($A$1),1))</f>
        <v>0</v>
      </c>
      <c r="N114" s="243">
        <f>COUNTIFS(РД[Тип кв],N104,РД[ИМ],$A114,РД[Дом],$C$103,РД[Дата подачи на регистрацию],"&lt;="&amp;$A$1,РД[Дата подачи на регистрацию],"&gt;="&amp;DATE(YEAR($A$1),MONTH($A$1),1))</f>
        <v>1</v>
      </c>
      <c r="O114" s="243">
        <f>COUNTIFS(РД[Тип кв],O104,РД[ИМ],$A114,РД[Дом],$C$103,РД[Дата подачи на регистрацию],"&lt;="&amp;$A$1,РД[Дата подачи на регистрацию],"&gt;="&amp;DATE(YEAR($A$1),MONTH($A$1),1))</f>
        <v>0</v>
      </c>
      <c r="P114" s="246">
        <f>COUNTIFS(РД[Тип кв],P104,РД[ИМ],$A114,РД[Дом],$C$103,РД[Дата подачи на регистрацию],"&lt;="&amp;$A$1,РД[Дата подачи на регистрацию],"&gt;="&amp;DATE(YEAR($A$1),MONTH($A$1),1))</f>
        <v>0</v>
      </c>
      <c r="Q114" s="134"/>
      <c r="U114" s="66"/>
    </row>
    <row r="115" spans="1:21" s="65" customFormat="1">
      <c r="A115" s="150" t="s">
        <v>26</v>
      </c>
      <c r="B115" s="143">
        <f>IFERROR(VLOOKUP(A115,'ИПП 1кв25'!$B$40:$N$51,8,0),"")</f>
        <v>44.755102040816325</v>
      </c>
      <c r="C115" s="144">
        <f>IFERROR(VLOOKUP(A115,'ИПП 1кв25'!$B$40:$N$51,9,0),"")</f>
        <v>5750898.453061224</v>
      </c>
      <c r="D115" s="205">
        <f>SUMIFS(Март25[м2],Март25[ИМ],A115,Март25[№ дома],$C$103,Март25[Комнатность],"&lt;&gt;Офис")</f>
        <v>49.2</v>
      </c>
      <c r="E115" s="206">
        <f>SUMIFS(Март25[Сумма без отделки],Март25[ИМ],$A115,Март25[№ дома],$C$103,Март25[Комнатность],"&lt;&gt;Офис")</f>
        <v>6268080</v>
      </c>
      <c r="F115" s="207">
        <f>COUNTIFS(Март25[ИМ],$A115,Март25[№ дома],$C$103,Март25[Комнатность],"&lt;&gt;Офис")</f>
        <v>1</v>
      </c>
      <c r="G115" s="187">
        <f>SUMIFS(РД[S],РД[Дом],$C$103,РД[ИМ],A115,РД[Дата подачи на регистрацию],"&lt;="&amp;$A$1,РД[Дата подачи на регистрацию],"&gt;="&amp;DATE(YEAR($A$1),MONTH($A$1),1),РД[Состояние],"Продажа")</f>
        <v>0</v>
      </c>
      <c r="H115" s="188">
        <f>SUMIFS(РД[Стоимость без отделки итог],РД[Дом],$C$103,РД[ИМ],A115,РД[Дата подачи на регистрацию],"&lt;="&amp;$A$1,РД[Дата подачи на регистрацию],"&gt;="&amp;DATE(YEAR($A$1),MONTH($A$1),1),РД[Состояние],"Продажа")</f>
        <v>0</v>
      </c>
      <c r="I115" s="247">
        <f>COUNTIFS(РД[Дом],$C$103,РД[ИМ],A115,РД[Дата подачи на регистрацию],"&lt;="&amp;$A$1,РД[Дата подачи на регистрацию],"&gt;="&amp;DATE(YEAR($A$1),MONTH($A$1),1),РД[Состояние],"Продажа")</f>
        <v>0</v>
      </c>
      <c r="J115" s="248">
        <f t="shared" si="13"/>
        <v>0</v>
      </c>
      <c r="K115" s="259">
        <f t="shared" si="13"/>
        <v>0</v>
      </c>
      <c r="L115" s="187">
        <f>COUNTIFS(РД[Тип кв],L$88,РД[ИМ],$A115,РД[Дом],$C$103,РД[Дата подачи на регистрацию],"&lt;="&amp;$A$1,РД[Дата подачи на регистрацию],"&gt;="&amp;DATE(YEAR($A$1),MONTH($A$1),1))</f>
        <v>0</v>
      </c>
      <c r="M115" s="247">
        <f>COUNTIFS(РД[Тип кв],M$88,РД[ИМ],$A115,РД[Дом],$C$103,РД[Дата подачи на регистрацию],"&lt;="&amp;$A$1,РД[Дата подачи на регистрацию],"&gt;="&amp;DATE(YEAR($A$1),MONTH($A$1),1))</f>
        <v>0</v>
      </c>
      <c r="N115" s="247">
        <f>COUNTIFS(РД[Тип кв],N$88,РД[ИМ],$A115,РД[Дом],$C$103,РД[Дата подачи на регистрацию],"&lt;="&amp;$A$1,РД[Дата подачи на регистрацию],"&gt;="&amp;DATE(YEAR($A$1),MONTH($A$1),1))</f>
        <v>0</v>
      </c>
      <c r="O115" s="247">
        <f>COUNTIFS(РД[Тип кв],O$88,РД[ИМ],$A115,РД[Дом],$C$103,РД[Дата подачи на регистрацию],"&lt;="&amp;$A$1,РД[Дата подачи на регистрацию],"&gt;="&amp;DATE(YEAR($A$1),MONTH($A$1),1))</f>
        <v>0</v>
      </c>
      <c r="P115" s="250">
        <f>COUNTIFS(РД[Тип кв],P$88,РД[ИМ],$A115,РД[Дом],$C$103,РД[Дата подачи на регистрацию],"&lt;="&amp;$A$1,РД[Дата подачи на регистрацию],"&gt;="&amp;DATE(YEAR($A$1),MONTH($A$1),1))</f>
        <v>0</v>
      </c>
      <c r="Q115" s="134"/>
      <c r="U115" s="66"/>
    </row>
    <row r="116" spans="1:21" s="65" customFormat="1">
      <c r="A116" s="189" t="s">
        <v>3</v>
      </c>
      <c r="B116" s="190">
        <f>IFERROR(VLOOKUP(A116,'ИПП 1кв25'!$B$40:$N$51,8,0),"")</f>
        <v>0</v>
      </c>
      <c r="C116" s="191">
        <f>IFERROR(VLOOKUP(A116,'ИПП 1кв25'!$B$40:$N$51,9,0),"")</f>
        <v>0</v>
      </c>
      <c r="D116" s="208">
        <f>SUMIFS(Март25[м2],Март25[ИМ],A116,Март25[№ дома],$C$103,Март25[Комнатность],"&lt;&gt;Офис")</f>
        <v>0</v>
      </c>
      <c r="E116" s="209">
        <f>SUMIFS(Март25[Сумма без отделки],Март25[ИМ],$A116,Март25[№ дома],$C$103,Март25[Комнатность],"&lt;&gt;Офис")</f>
        <v>0</v>
      </c>
      <c r="F116" s="210">
        <f>COUNTIFS(Март25[ИМ],$A116,Март25[№ дома],$C$103,Март25[Комнатность],"&lt;&gt;Офис")</f>
        <v>0</v>
      </c>
      <c r="G116" s="195">
        <f>SUMIFS(РД[S],РД[Дом],$C$103,РД[ИМ],A116,РД[Дата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H116" s="196">
        <f>SUMIFS(РД[Стоимость без отделки итог],РД[Дом],$C$103,РД[ИМ],A116,РД[Дата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I116" s="251">
        <f>COUNTIFS(РД[Дом],$C$103,РД[ИМ],A116,РД[Дата подачи на регистрацию],"&lt;="&amp;$A$1,РД[Дата подачи на регистрацию],"&gt;="&amp;DATE(YEAR($A$1),MONTH($A$1),1),РД[Состояние],"Продажа")</f>
        <v>0</v>
      </c>
      <c r="J116" s="252" t="str">
        <f t="shared" si="13"/>
        <v/>
      </c>
      <c r="K116" s="260" t="str">
        <f t="shared" si="13"/>
        <v/>
      </c>
      <c r="L116" s="195">
        <f>COUNTIFS(РД[Тип кв],L$88,РД[ИМ],$A116,РД[Дом],$C$103,РД[Дата подачи на регистрацию],"&lt;="&amp;$A$1,РД[Дата подачи на регистрацию],"&gt;="&amp;DATE(YEAR($A$1),MONTH($A$1),1))</f>
        <v>0</v>
      </c>
      <c r="M116" s="251">
        <f>COUNTIFS(РД[Тип кв],M$88,РД[ИМ],$A116,РД[Дом],$C$103,РД[Дата подачи на регистрацию],"&lt;="&amp;$A$1,РД[Дата подачи на регистрацию],"&gt;="&amp;DATE(YEAR($A$1),MONTH($A$1),1))</f>
        <v>0</v>
      </c>
      <c r="N116" s="251">
        <f>COUNTIFS(РД[Тип кв],N$88,РД[ИМ],$A116,РД[Дом],$C$103,РД[Дата подачи на регистрацию],"&lt;="&amp;$A$1,РД[Дата подачи на регистрацию],"&gt;="&amp;DATE(YEAR($A$1),MONTH($A$1),1))</f>
        <v>0</v>
      </c>
      <c r="O116" s="251">
        <f>COUNTIFS(РД[Тип кв],O$88,РД[ИМ],$A116,РД[Дом],$C$103,РД[Дата подачи на регистрацию],"&lt;="&amp;$A$1,РД[Дата подачи на регистрацию],"&gt;="&amp;DATE(YEAR($A$1),MONTH($A$1),1))</f>
        <v>0</v>
      </c>
      <c r="P116" s="254">
        <f>COUNTIFS(РД[Тип кв],P$88,РД[ИМ],$A116,РД[Дом],$C$103,РД[Дата подачи на регистрацию],"&lt;="&amp;$A$1,РД[Дата подачи на регистрацию],"&gt;="&amp;DATE(YEAR($A$1),MONTH($A$1),1))</f>
        <v>0</v>
      </c>
      <c r="Q116" s="134"/>
      <c r="U116" s="66"/>
    </row>
    <row r="117" spans="1:21" s="65" customFormat="1">
      <c r="A117" s="168" t="s">
        <v>114</v>
      </c>
      <c r="B117" s="169">
        <f t="shared" ref="B117:I117" si="14">SUM(B114:B116)</f>
        <v>102</v>
      </c>
      <c r="C117" s="170">
        <f t="shared" si="14"/>
        <v>13106698.799999997</v>
      </c>
      <c r="D117" s="170">
        <f t="shared" si="14"/>
        <v>98.4</v>
      </c>
      <c r="E117" s="170">
        <f t="shared" si="14"/>
        <v>12472200</v>
      </c>
      <c r="F117" s="171">
        <f t="shared" si="14"/>
        <v>2</v>
      </c>
      <c r="G117" s="172">
        <f t="shared" si="14"/>
        <v>49.2</v>
      </c>
      <c r="H117" s="173">
        <f t="shared" si="14"/>
        <v>6204120</v>
      </c>
      <c r="I117" s="170">
        <f t="shared" si="14"/>
        <v>1</v>
      </c>
      <c r="J117" s="238">
        <f>IFERROR(G117/B117,)</f>
        <v>0.4823529411764706</v>
      </c>
      <c r="K117" s="239">
        <f>IFERROR(H117/C117,)</f>
        <v>0.47335489238525885</v>
      </c>
      <c r="L117" s="240">
        <f t="shared" ref="L117:P117" si="15">SUM(L114:L116)</f>
        <v>0</v>
      </c>
      <c r="M117" s="241">
        <f t="shared" si="15"/>
        <v>0</v>
      </c>
      <c r="N117" s="241">
        <f t="shared" si="15"/>
        <v>1</v>
      </c>
      <c r="O117" s="241">
        <f t="shared" si="15"/>
        <v>0</v>
      </c>
      <c r="P117" s="242">
        <f t="shared" si="15"/>
        <v>0</v>
      </c>
      <c r="Q117" s="134"/>
      <c r="U117" s="66"/>
    </row>
    <row r="118" spans="1:21" s="65" customFormat="1">
      <c r="A118" s="134"/>
      <c r="B118" s="197"/>
      <c r="C118" s="197"/>
      <c r="D118" s="197"/>
      <c r="E118" s="197"/>
      <c r="F118" s="215"/>
      <c r="G118" s="197"/>
      <c r="H118" s="197"/>
      <c r="I118" s="215"/>
      <c r="J118" s="255"/>
      <c r="K118" s="256"/>
      <c r="L118" s="215"/>
      <c r="M118" s="215"/>
      <c r="N118" s="215"/>
      <c r="O118" s="215"/>
      <c r="P118" s="215"/>
      <c r="Q118" s="134"/>
      <c r="U118" s="66"/>
    </row>
    <row r="119" spans="1:21" s="65" customFormat="1">
      <c r="A119" s="2325" t="s">
        <v>713</v>
      </c>
      <c r="B119" s="2326"/>
      <c r="C119" s="133" t="s">
        <v>23</v>
      </c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U119" s="66"/>
    </row>
    <row r="120" spans="1:21" s="65" customFormat="1">
      <c r="A120" s="135" t="s">
        <v>1</v>
      </c>
      <c r="B120" s="135" t="s">
        <v>100</v>
      </c>
      <c r="C120" s="136" t="s">
        <v>97</v>
      </c>
      <c r="D120" s="137" t="s">
        <v>494</v>
      </c>
      <c r="E120" s="138" t="s">
        <v>495</v>
      </c>
      <c r="F120" s="139" t="s">
        <v>496</v>
      </c>
      <c r="G120" s="140" t="s">
        <v>101</v>
      </c>
      <c r="H120" s="141" t="s">
        <v>98</v>
      </c>
      <c r="I120" s="141" t="s">
        <v>96</v>
      </c>
      <c r="J120" s="141" t="s">
        <v>715</v>
      </c>
      <c r="K120" s="216" t="s">
        <v>716</v>
      </c>
      <c r="L120" s="217">
        <v>0</v>
      </c>
      <c r="M120" s="218">
        <v>1</v>
      </c>
      <c r="N120" s="218">
        <v>2</v>
      </c>
      <c r="O120" s="218">
        <v>3</v>
      </c>
      <c r="P120" s="219" t="s">
        <v>1367</v>
      </c>
      <c r="Q120" s="134"/>
      <c r="U120" s="66"/>
    </row>
    <row r="121" spans="1:21" s="65" customFormat="1">
      <c r="A121" s="142" t="s">
        <v>28</v>
      </c>
      <c r="B121" s="143">
        <f>IFERROR(VLOOKUP(A121,'ИПП 1кв25'!$B$40:$N$51,10,0),"")</f>
        <v>61</v>
      </c>
      <c r="C121" s="144">
        <f>IFERROR(VLOOKUP(A121,'ИПП 1кв25'!$B$40:$N$51,11,0),"")</f>
        <v>7236605</v>
      </c>
      <c r="D121" s="199">
        <f>SUMIFS(Март25[м2],Март25[КТУ],$A121,Март25[№ дома],$C$119,Март25[Комнатность],"&lt;&gt;Офис")</f>
        <v>120.15</v>
      </c>
      <c r="E121" s="200">
        <f>SUMIFS(Март25[Сумма без отделки],Март25[КТУ],$A121,Март25[№ дома],$C$119,Март25[Комнатность],"&lt;&gt;Офис")</f>
        <v>15499484</v>
      </c>
      <c r="F121" s="201">
        <f>COUNTIFS(Март25[КТУ],$A121,Март25[№ дома],$C$119,Март25[Комнатность],"&lt;&gt;Офис")</f>
        <v>3</v>
      </c>
      <c r="G121" s="202">
        <f>SUMIFS(РД[S],РД[Дом],$C$119,РД[МОП],A121,РД[Дата подачи на регистрацию],"&lt;="&amp;$A$1,РД[Дата подачи на регистрацию],"&gt;="&amp;DATE(YEAR($A$1),MONTH($A$1),1),РД[Состояние],"Продажа")</f>
        <v>90.7</v>
      </c>
      <c r="H121" s="203">
        <f>SUMIFS(РД[Стоимость без отделки итог],РД[Дом],$C$119,РД[МОП],A121,РД[Дата подачи на регистрацию],"&lt;="&amp;$A$1,РД[Дата подачи на регистрацию],"&gt;="&amp;DATE(YEAR($A$1),MONTH($A$1),1),РД[Состояние],"Продажа")</f>
        <v>11432288</v>
      </c>
      <c r="I121" s="226">
        <f>COUNTIFS(РД[Дом],$C$119,РД[МОП],A121,РД[Дата подачи на регистрацию],"&lt;="&amp;$A$1,РД[Дата подачи на регистрацию],"&gt;="&amp;DATE(YEAR($A$1),MONTH($A$1),1),РД[Состояние],"Продажа")</f>
        <v>2</v>
      </c>
      <c r="J121" s="224">
        <f t="shared" ref="J121:K127" si="16">IFERROR(G121/B121,)</f>
        <v>1.4868852459016393</v>
      </c>
      <c r="K121" s="225">
        <f t="shared" si="16"/>
        <v>1.579786101355539</v>
      </c>
      <c r="L121" s="257">
        <f>COUNTIFS(РД[Тип кв],L$88,РД[МОП],$A121,РД[Дом],$C$119,РД[Дата подачи на регистрацию],"&lt;="&amp;$A$1,РД[Дата подачи на регистрацию],"&gt;="&amp;DATE(YEAR($A$1),MONTH($A$1),1))</f>
        <v>1</v>
      </c>
      <c r="M121" s="226">
        <f>COUNTIFS(РД[Тип кв],M$88,РД[МОП],$A121,РД[Дом],$C$119,РД[Дата подачи на регистрацию],"&lt;="&amp;$A$1,РД[Дата подачи на регистрацию],"&gt;="&amp;DATE(YEAR($A$1),MONTH($A$1),1))</f>
        <v>1</v>
      </c>
      <c r="N121" s="226">
        <f>COUNTIFS(РД[Тип кв],N$88,РД[МОП],$A121,РД[Дом],$C$119,РД[Дата подачи на регистрацию],"&lt;="&amp;$A$1,РД[Дата подачи на регистрацию],"&gt;="&amp;DATE(YEAR($A$1),MONTH($A$1),1))</f>
        <v>1</v>
      </c>
      <c r="O121" s="226">
        <f>COUNTIFS(РД[Тип кв],O$88,РД[МОП],$A121,РД[Дом],$C$119,РД[Дата подачи на регистрацию],"&lt;="&amp;$A$1,РД[Дата подачи на регистрацию],"&gt;="&amp;DATE(YEAR($A$1),MONTH($A$1),1))</f>
        <v>0</v>
      </c>
      <c r="P121" s="227">
        <f>COUNTIFS(РД[Тип кв],P$88,РД[МОП],$A121,РД[Дом],$C$119,РД[Дата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42" t="s">
        <v>8</v>
      </c>
      <c r="B122" s="143">
        <f>IFERROR(VLOOKUP(A122,'ИПП 1кв25'!$B$40:$N$51,10,0),"")</f>
        <v>84</v>
      </c>
      <c r="C122" s="144">
        <f>IFERROR(VLOOKUP(A122,'ИПП 1кв25'!$B$40:$N$51,11,0),"")</f>
        <v>9924487</v>
      </c>
      <c r="D122" s="199">
        <f>SUMIFS(Март25[м2],Март25[КТУ],$A122,Март25[№ дома],$C$119,Март25[Комнатность],"&lt;&gt;Офис")</f>
        <v>123.32</v>
      </c>
      <c r="E122" s="200">
        <f>SUMIFS(Март25[Сумма без отделки],Март25[КТУ],$A122,Март25[№ дома],$C$119,Март25[Комнатность],"&lt;&gt;Офис")</f>
        <v>14394570</v>
      </c>
      <c r="F122" s="201">
        <f>COUNTIFS(Март25[КТУ],$A122,Март25[№ дома],$C$119,Март25[Комнатность],"&lt;&gt;Офис")</f>
        <v>2</v>
      </c>
      <c r="G122" s="202">
        <f>SUMIFS(РД[S],РД[Дом],$C$119,РД[МОП],A122,РД[Дата подачи на регистрацию],"&lt;="&amp;$A$1,РД[Дата подачи на регистрацию],"&gt;="&amp;DATE(YEAR($A$1),MONTH($A$1),1),РД[Состояние],"Продажа")</f>
        <v>120.16</v>
      </c>
      <c r="H122" s="203">
        <f>SUMIFS(РД[Стоимость без отделки итог],РД[Дом],$C$119,РД[МОП],A122,РД[Дата подачи на регистрацию],"&lt;="&amp;$A$1,РД[Дата подачи на регистрацию],"&gt;="&amp;DATE(YEAR($A$1),MONTH($A$1),1),РД[Состояние],"Продажа")</f>
        <v>14410670</v>
      </c>
      <c r="I122" s="226">
        <f>COUNTIFS(РД[Дом],$C$119,РД[МОП],A122,РД[Дата подачи на регистрацию],"&lt;="&amp;$A$1,РД[Дата подачи на регистрацию],"&gt;="&amp;DATE(YEAR($A$1),MONTH($A$1),1),РД[Состояние],"Продажа")</f>
        <v>2</v>
      </c>
      <c r="J122" s="224">
        <f t="shared" si="16"/>
        <v>1.4304761904761905</v>
      </c>
      <c r="K122" s="225">
        <f t="shared" si="16"/>
        <v>1.4520317271814653</v>
      </c>
      <c r="L122" s="257">
        <f>COUNTIFS(РД[Тип кв],L$88,РД[МОП],$A122,РД[Дом],$C$119,РД[Дата подачи на регистрацию],"&lt;="&amp;$A$1,РД[Дата подачи на регистрацию],"&gt;="&amp;DATE(YEAR($A$1),MONTH($A$1),1))</f>
        <v>0</v>
      </c>
      <c r="M122" s="226">
        <f>COUNTIFS(РД[Тип кв],M$88,РД[МОП],$A122,РД[Дом],$C$119,РД[Дата подачи на регистрацию],"&lt;="&amp;$A$1,РД[Дата подачи на регистрацию],"&gt;="&amp;DATE(YEAR($A$1),MONTH($A$1),1))</f>
        <v>0</v>
      </c>
      <c r="N122" s="226">
        <f>COUNTIFS(РД[Тип кв],N$88,РД[МОП],$A122,РД[Дом],$C$119,РД[Дата подачи на регистрацию],"&lt;="&amp;$A$1,РД[Дата подачи на регистрацию],"&gt;="&amp;DATE(YEAR($A$1),MONTH($A$1),1))</f>
        <v>2</v>
      </c>
      <c r="O122" s="226">
        <f>COUNTIFS(РД[Тип кв],O$88,РД[МОП],$A122,РД[Дом],$C$119,РД[Дата подачи на регистрацию],"&lt;="&amp;$A$1,РД[Дата подачи на регистрацию],"&gt;="&amp;DATE(YEAR($A$1),MONTH($A$1),1))</f>
        <v>0</v>
      </c>
      <c r="P122" s="227">
        <f>COUNTIFS(РД[Тип кв],P$88,РД[МОП],$A122,РД[Дом],$C$119,РД[Дата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50" t="s">
        <v>20</v>
      </c>
      <c r="B123" s="143">
        <f>IFERROR(VLOOKUP(A123,'ИПП 1кв25'!$B$40:$N$51,10,0),"")</f>
        <v>82</v>
      </c>
      <c r="C123" s="144">
        <f>IFERROR(VLOOKUP(A123,'ИПП 1кв25'!$B$40:$N$51,11,0),"")</f>
        <v>9769417</v>
      </c>
      <c r="D123" s="199">
        <f>SUMIFS(Март25[м2],Март25[КТУ],$A123,Март25[№ дома],$C$119,Март25[Комнатность],"&lt;&gt;Офис")</f>
        <v>233.84</v>
      </c>
      <c r="E123" s="200">
        <f>SUMIFS(Март25[Сумма без отделки],Март25[КТУ],$A123,Март25[№ дома],$C$119,Март25[Комнатность],"&lt;&gt;Офис")</f>
        <v>29044430</v>
      </c>
      <c r="F123" s="201">
        <f>COUNTIFS(Март25[КТУ],$A123,Март25[№ дома],$C$119,Март25[Комнатность],"&lt;&gt;Офис")</f>
        <v>5</v>
      </c>
      <c r="G123" s="202">
        <f>SUMIFS(РД[S],РД[Дом],$C$119,РД[МОП],A123,РД[Дата подачи на регистрацию],"&lt;="&amp;$A$1,РД[Дата подачи на регистрацию],"&gt;="&amp;DATE(YEAR($A$1),MONTH($A$1),1),РД[Состояние],"Продажа")</f>
        <v>233.84</v>
      </c>
      <c r="H123" s="203">
        <f>SUMIFS(РД[Стоимость без отделки итог],РД[Дом],$C$119,РД[МОП],A123,РД[Дата подачи на регистрацию],"&lt;="&amp;$A$1,РД[Дата подачи на регистрацию],"&gt;="&amp;DATE(YEAR($A$1),MONTH($A$1),1),РД[Состояние],"Продажа")</f>
        <v>29044430</v>
      </c>
      <c r="I123" s="226">
        <f>COUNTIFS(РД[Дом],$C$119,РД[МОП],A123,РД[Дата подачи на регистрацию],"&lt;="&amp;$A$1,РД[Дата подачи на регистрацию],"&gt;="&amp;DATE(YEAR($A$1),MONTH($A$1),1),РД[Состояние],"Продажа")</f>
        <v>5</v>
      </c>
      <c r="J123" s="224">
        <f t="shared" si="16"/>
        <v>2.8517073170731706</v>
      </c>
      <c r="K123" s="225">
        <f t="shared" si="16"/>
        <v>2.9729952155793944</v>
      </c>
      <c r="L123" s="257">
        <f>COUNTIFS(РД[Тип кв],L$88,РД[МОП],$A123,РД[Дом],$C$119,РД[Дата подачи на регистрацию],"&lt;="&amp;$A$1,РД[Дата подачи на регистрацию],"&gt;="&amp;DATE(YEAR($A$1),MONTH($A$1),1))</f>
        <v>0</v>
      </c>
      <c r="M123" s="226">
        <f>COUNTIFS(РД[Тип кв],M$88,РД[МОП],$A123,РД[Дом],$C$119,РД[Дата подачи на регистрацию],"&lt;="&amp;$A$1,РД[Дата подачи на регистрацию],"&gt;="&amp;DATE(YEAR($A$1),MONTH($A$1),1))</f>
        <v>3</v>
      </c>
      <c r="N123" s="226">
        <f>COUNTIFS(РД[Тип кв],N$88,РД[МОП],$A123,РД[Дом],$C$119,РД[Дата подачи на регистрацию],"&lt;="&amp;$A$1,РД[Дата подачи на регистрацию],"&gt;="&amp;DATE(YEAR($A$1),MONTH($A$1),1))</f>
        <v>2</v>
      </c>
      <c r="O123" s="226">
        <f>COUNTIFS(РД[Тип кв],O$88,РД[МОП],$A123,РД[Дом],$C$119,РД[Дата подачи на регистрацию],"&lt;="&amp;$A$1,РД[Дата подачи на регистрацию],"&gt;="&amp;DATE(YEAR($A$1),MONTH($A$1),1))</f>
        <v>0</v>
      </c>
      <c r="P123" s="227">
        <f>COUNTIFS(РД[Тип кв],P$88,РД[МОП],$A123,РД[Дом],$C$119,РД[Дата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153" t="s">
        <v>24</v>
      </c>
      <c r="B124" s="143">
        <f>IFERROR(VLOOKUP(A124,'ИПП 1кв25'!$B$40:$N$51,10,0),"")</f>
        <v>77</v>
      </c>
      <c r="C124" s="144">
        <f>IFERROR(VLOOKUP(A124,'ИПП 1кв25'!$B$40:$N$51,11,0),"")</f>
        <v>9149137</v>
      </c>
      <c r="D124" s="199">
        <f>SUMIFS(Март25[м2],Март25[КТУ],$A124,Март25[№ дома],$C$119,Март25[Комнатность],"&lt;&gt;Офис")</f>
        <v>361.9</v>
      </c>
      <c r="E124" s="200">
        <f>SUMIFS(Март25[Сумма без отделки],Март25[КТУ],$A124,Март25[№ дома],$C$119,Март25[Комнатность],"&lt;&gt;Офис")</f>
        <v>44505637</v>
      </c>
      <c r="F124" s="201">
        <f>COUNTIFS(Март25[КТУ],$A124,Март25[№ дома],$C$119,Март25[Комнатность],"&lt;&gt;Офис")</f>
        <v>8</v>
      </c>
      <c r="G124" s="202">
        <f>SUMIFS(РД[S],РД[Дом],$C$119,РД[МОП],A124,РД[Дата подачи на регистрацию],"&lt;="&amp;$A$1,РД[Дата подачи на регистрацию],"&gt;="&amp;DATE(YEAR($A$1),MONTH($A$1),1),РД[Состояние],"Продажа")</f>
        <v>354.31</v>
      </c>
      <c r="H124" s="203">
        <f>SUMIFS(РД[Стоимость без отделки итог],РД[Дом],$C$119,РД[МОП],A124,РД[Дата подачи на регистрацию],"&lt;="&amp;$A$1,РД[Дата подачи на регистрацию],"&gt;="&amp;DATE(YEAR($A$1),MONTH($A$1),1),РД[Состояние],"Продажа")</f>
        <v>44550737</v>
      </c>
      <c r="I124" s="226">
        <f>COUNTIFS(РД[Дом],$C$119,РД[МОП],A124,РД[Дата подачи на регистрацию],"&lt;="&amp;$A$1,РД[Дата подачи на регистрацию],"&gt;="&amp;DATE(YEAR($A$1),MONTH($A$1),1),РД[Состояние],"Продажа")</f>
        <v>8</v>
      </c>
      <c r="J124" s="224">
        <f t="shared" si="16"/>
        <v>4.6014285714285714</v>
      </c>
      <c r="K124" s="225">
        <f t="shared" si="16"/>
        <v>4.8693922716426696</v>
      </c>
      <c r="L124" s="257">
        <f>COUNTIFS(РД[Тип кв],L$88,РД[МОП],$A124,РД[Дом],$C$119,РД[Дата подачи на регистрацию],"&lt;="&amp;$A$1,РД[Дата подачи на регистрацию],"&gt;="&amp;DATE(YEAR($A$1),MONTH($A$1),1))</f>
        <v>0</v>
      </c>
      <c r="M124" s="226">
        <f>COUNTIFS(РД[Тип кв],M$88,РД[МОП],$A124,РД[Дом],$C$119,РД[Дата подачи на регистрацию],"&lt;="&amp;$A$1,РД[Дата подачи на регистрацию],"&gt;="&amp;DATE(YEAR($A$1),MONTH($A$1),1))</f>
        <v>5</v>
      </c>
      <c r="N124" s="226">
        <f>COUNTIFS(РД[Тип кв],N$88,РД[МОП],$A124,РД[Дом],$C$119,РД[Дата подачи на регистрацию],"&lt;="&amp;$A$1,РД[Дата подачи на регистрацию],"&gt;="&amp;DATE(YEAR($A$1),MONTH($A$1),1))</f>
        <v>3</v>
      </c>
      <c r="O124" s="226">
        <f>COUNTIFS(РД[Тип кв],O$88,РД[МОП],$A124,РД[Дом],$C$119,РД[Дата подачи на регистрацию],"&lt;="&amp;$A$1,РД[Дата подачи на регистрацию],"&gt;="&amp;DATE(YEAR($A$1),MONTH($A$1),1))</f>
        <v>0</v>
      </c>
      <c r="P124" s="227">
        <f>COUNTIFS(РД[Тип кв],P$88,РД[МОП],$A124,РД[Дом],$C$119,РД[Дата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153" t="s">
        <v>14</v>
      </c>
      <c r="B125" s="143">
        <f>IFERROR(VLOOKUP(A125,'ИПП 1кв25'!$B$40:$N$51,10,0),"")</f>
        <v>58</v>
      </c>
      <c r="C125" s="144">
        <f>IFERROR(VLOOKUP(A125,'ИПП 1кв25'!$B$40:$N$51,11,0),"")</f>
        <v>6823085</v>
      </c>
      <c r="D125" s="299">
        <f>SUMIFS(Март25[м2],Март25[КТУ],$A125,Март25[№ дома],$C$119,Март25[Комнатность],"&lt;&gt;Офис")</f>
        <v>225.92</v>
      </c>
      <c r="E125" s="300">
        <f>SUMIFS(Март25[Сумма без отделки],Март25[КТУ],$A125,Март25[№ дома],$C$119,Март25[Комнатность],"&lt;&gt;Офис")</f>
        <v>27643317</v>
      </c>
      <c r="F125" s="301">
        <f>COUNTIFS(Март25[КТУ],$A125,Март25[№ дома],$C$119,Март25[Комнатность],"&lt;&gt;Офис")</f>
        <v>5</v>
      </c>
      <c r="G125" s="358">
        <f>SUMIFS(РД[S],РД[Дом],$C$119,РД[МОП],A125,РД[Дата подачи на регистрацию],"&lt;="&amp;$A$1,РД[Дата подачи на регистрацию],"&gt;="&amp;DATE(YEAR($A$1),MONTH($A$1),1),РД[Состояние],"Продажа")</f>
        <v>222.80999999999997</v>
      </c>
      <c r="H125" s="359">
        <f>SUMIFS(РД[Стоимость без отделки итог],РД[Дом],$C$119,РД[МОП],A125,РД[Дата подачи на регистрацию],"&lt;="&amp;$A$1,РД[Дата подачи на регистрацию],"&gt;="&amp;DATE(YEAR($A$1),MONTH($A$1),1),РД[Состояние],"Продажа")</f>
        <v>27674417</v>
      </c>
      <c r="I125" s="330">
        <f>COUNTIFS(РД[Дом],$C$119,РД[МОП],A125,РД[Дата подачи на регистрацию],"&lt;="&amp;$A$1,РД[Дата подачи на регистрацию],"&gt;="&amp;DATE(YEAR($A$1),MONTH($A$1),1),РД[Состояние],"Продажа")</f>
        <v>5</v>
      </c>
      <c r="J125" s="360">
        <f t="shared" si="16"/>
        <v>3.8415517241379304</v>
      </c>
      <c r="K125" s="361">
        <f t="shared" si="16"/>
        <v>4.0559976901943919</v>
      </c>
      <c r="L125" s="329">
        <f>COUNTIFS(РД[Тип кв],L$88,РД[МОП],$A125,РД[Дом],$C$119,РД[Дата подачи на регистрацию],"&lt;="&amp;$A$1,РД[Дата подачи на регистрацию],"&gt;="&amp;DATE(YEAR($A$1),MONTH($A$1),1))</f>
        <v>0</v>
      </c>
      <c r="M125" s="330">
        <f>COUNTIFS(РД[Тип кв],M$88,РД[МОП],$A125,РД[Дом],$C$119,РД[Дата подачи на регистрацию],"&lt;="&amp;$A$1,РД[Дата подачи на регистрацию],"&gt;="&amp;DATE(YEAR($A$1),MONTH($A$1),1))</f>
        <v>4</v>
      </c>
      <c r="N125" s="330">
        <f>COUNTIFS(РД[Тип кв],N$88,РД[МОП],$A125,РД[Дом],$C$119,РД[Дата подачи на регистрацию],"&lt;="&amp;$A$1,РД[Дата подачи на регистрацию],"&gt;="&amp;DATE(YEAR($A$1),MONTH($A$1),1))</f>
        <v>1</v>
      </c>
      <c r="O125" s="330">
        <f>COUNTIFS(РД[Тип кв],O$88,РД[МОП],$A125,РД[Дом],$C$119,РД[Дата подачи на регистрацию],"&lt;="&amp;$A$1,РД[Дата подачи на регистрацию],"&gt;="&amp;DATE(YEAR($A$1),MONTH($A$1),1))</f>
        <v>0</v>
      </c>
      <c r="P125" s="331">
        <f>COUNTIFS(РД[Тип кв],P$88,РД[МОП],$A125,РД[Дом],$C$119,РД[Дата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54" t="s">
        <v>29</v>
      </c>
      <c r="B126" s="155"/>
      <c r="C126" s="156"/>
      <c r="D126" s="157">
        <f>SUMIFS(Март25[м2],Март25[КТУ],$A126,Март25[№ дома],$C$119,Март25[Комнатность],"&lt;&gt;Офис")</f>
        <v>0</v>
      </c>
      <c r="E126" s="156">
        <f>SUMIFS(Март25[Сумма без отделки],Март25[КТУ],$A126,Март25[№ дома],$C$119,Март25[Комнатность],"&lt;&gt;Офис")</f>
        <v>0</v>
      </c>
      <c r="F126" s="158">
        <f>COUNTIFS(Март25[КТУ],$A126,Март25[№ дома],$C$119,Март25[Комнатность],"&lt;&gt;Офис")</f>
        <v>0</v>
      </c>
      <c r="G126" s="159">
        <f>SUMIFS(РД[S],РД[Дом],$C$119,РД[МОП],A126,РД[Дата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160">
        <f>SUMIFS(РД[Стоимость без отделки итог],РД[Дом],$C$119,РД[МОП],A126,РД[Дата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28">
        <f>COUNTIFS(РД[Дом],$C$119,РД[МОП],A126,РД[Дата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29">
        <f t="shared" si="16"/>
        <v>0</v>
      </c>
      <c r="K126" s="230">
        <f t="shared" si="16"/>
        <v>0</v>
      </c>
      <c r="L126" s="159">
        <f>COUNTIFS(РД[Тип кв],L$88,РД[МОП],$A126,РД[Дом],$C$119,РД[Дата подачи на регистрацию],"&lt;="&amp;$A$1,РД[Дата подачи на регистрацию],"&gt;="&amp;DATE(YEAR($A$1),MONTH($A$1),1))</f>
        <v>0</v>
      </c>
      <c r="M126" s="228">
        <f>COUNTIFS(РД[Тип кв],M$88,РД[МОП],$A126,РД[Дом],$C$119,РД[Дата подачи на регистрацию],"&lt;="&amp;$A$1,РД[Дата подачи на регистрацию],"&gt;="&amp;DATE(YEAR($A$1),MONTH($A$1),1))</f>
        <v>0</v>
      </c>
      <c r="N126" s="228">
        <f>COUNTIFS(РД[Тип кв],N$88,РД[МОП],$A126,РД[Дом],$C$119,РД[Дата подачи на регистрацию],"&lt;="&amp;$A$1,РД[Дата подачи на регистрацию],"&gt;="&amp;DATE(YEAR($A$1),MONTH($A$1),1))</f>
        <v>0</v>
      </c>
      <c r="O126" s="228">
        <f>COUNTIFS(РД[Тип кв],O$88,РД[МОП],$A126,РД[Дом],$C$119,РД[Дата подачи на регистрацию],"&lt;="&amp;$A$1,РД[Дата подачи на регистрацию],"&gt;="&amp;DATE(YEAR($A$1),MONTH($A$1),1))</f>
        <v>0</v>
      </c>
      <c r="P126" s="231">
        <f>COUNTIFS(РД[Тип кв],P$88,РД[МОП],$A126,РД[Дом],$C$119,РД[Дата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61" t="s">
        <v>1919</v>
      </c>
      <c r="B127" s="162"/>
      <c r="C127" s="163"/>
      <c r="D127" s="164">
        <f>SUMIFS(Март25[м2],Март25[МОП],$A127,Март25[№ дома],$C$119,Март25[Комнатность],"&lt;&gt;Офис")</f>
        <v>484.63000000000005</v>
      </c>
      <c r="E127" s="163">
        <f>SUMIFS(Март25[Сумма без отделки],Март25[МОП],$A127,Март25[№ дома],$C$119,Март25[Комнатность],"&lt;&gt;Офис")</f>
        <v>60260870</v>
      </c>
      <c r="F127" s="165">
        <f>COUNTIFS(Март25[МОП],$A127,Март25[№ дома],$C$119,Март25[Комнатность],"&lt;&gt;Офис")</f>
        <v>11</v>
      </c>
      <c r="G127" s="166">
        <f>SUMIFS(РД[S],РД[Дом],$C$119,РД[МОП],A127,РД[Дата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H127" s="167">
        <f>SUMIFS(РД[Стоимость без отделки итог],РД[Дом],$C$119,РД[МОП],A127,РД[Дата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I127" s="232">
        <f>COUNTIFS(РД[Дом],$C$119,РД[МОП],A127,РД[Дата подачи на регистрацию],"&lt;="&amp;$A$1,РД[Дата подачи на регистрацию],"&gt;="&amp;DATE(YEAR($A$1),MONTH($A$1),1),РД[Состояние],"Продажа")</f>
        <v>0</v>
      </c>
      <c r="J127" s="233">
        <f t="shared" si="16"/>
        <v>0</v>
      </c>
      <c r="K127" s="234">
        <f t="shared" si="16"/>
        <v>0</v>
      </c>
      <c r="L127" s="235">
        <f>COUNTIFS(РД[Тип кв],L$88,РД[МОП],$A127,РД[Дом],$C$119,РД[Дата подачи на регистрацию],"&lt;="&amp;$A$1,РД[Дата подачи на регистрацию],"&gt;="&amp;DATE(YEAR($A$1),MONTH($A$1),1))</f>
        <v>0</v>
      </c>
      <c r="M127" s="236">
        <f>COUNTIFS(РД[Тип кв],M$88,РД[МОП],$A127,РД[Дом],$C$119,РД[Дата подачи на регистрацию],"&lt;="&amp;$A$1,РД[Дата подачи на регистрацию],"&gt;="&amp;DATE(YEAR($A$1),MONTH($A$1),1))</f>
        <v>0</v>
      </c>
      <c r="N127" s="236">
        <f>COUNTIFS(РД[Тип кв],N$88,РД[МОП],$A127,РД[Дом],$C$119,РД[Дата подачи на регистрацию],"&lt;="&amp;$A$1,РД[Дата подачи на регистрацию],"&gt;="&amp;DATE(YEAR($A$1),MONTH($A$1),1))</f>
        <v>0</v>
      </c>
      <c r="O127" s="236">
        <f>COUNTIFS(РД[Тип кв],O$88,РД[МОП],$A127,РД[Дом],$C$119,РД[Дата подачи на регистрацию],"&lt;="&amp;$A$1,РД[Дата подачи на регистрацию],"&gt;="&amp;DATE(YEAR($A$1),MONTH($A$1),1))</f>
        <v>0</v>
      </c>
      <c r="P127" s="237">
        <f>COUNTIFS(РД[Тип кв],P$88,РД[МОП],$A127,РД[Дом],$C$119,РД[Дата подачи на регистрацию],"&lt;="&amp;$A$1,РД[Дата подачи на регистрацию],"&gt;="&amp;DATE(YEAR($A$1),MONTH($A$1),1))</f>
        <v>0</v>
      </c>
      <c r="Q127" s="134"/>
      <c r="U127" s="66"/>
    </row>
    <row r="128" spans="1:21" s="65" customFormat="1">
      <c r="A128" s="168" t="s">
        <v>114</v>
      </c>
      <c r="B128" s="169">
        <f t="shared" ref="B128:I128" si="17">SUM(B121:B127)</f>
        <v>362</v>
      </c>
      <c r="C128" s="170">
        <f t="shared" si="17"/>
        <v>42902731</v>
      </c>
      <c r="D128" s="170">
        <f t="shared" si="17"/>
        <v>1549.7600000000002</v>
      </c>
      <c r="E128" s="170">
        <f t="shared" si="17"/>
        <v>191348308</v>
      </c>
      <c r="F128" s="171">
        <f t="shared" si="17"/>
        <v>34</v>
      </c>
      <c r="G128" s="172">
        <f t="shared" si="17"/>
        <v>1021.8199999999999</v>
      </c>
      <c r="H128" s="173">
        <f t="shared" si="17"/>
        <v>127112542</v>
      </c>
      <c r="I128" s="170">
        <f t="shared" si="17"/>
        <v>22</v>
      </c>
      <c r="J128" s="238">
        <f t="shared" ref="J128:K128" si="18">IFERROR(G128/B128,"")</f>
        <v>2.8227071823204417</v>
      </c>
      <c r="K128" s="239">
        <f t="shared" si="18"/>
        <v>2.9628077056446593</v>
      </c>
      <c r="L128" s="240">
        <f>SUM(L121:L127)</f>
        <v>1</v>
      </c>
      <c r="M128" s="241">
        <f>SUM(M121:M127)</f>
        <v>13</v>
      </c>
      <c r="N128" s="241">
        <f>SUM(N121:N127)</f>
        <v>9</v>
      </c>
      <c r="O128" s="241">
        <f>SUM(O121:O127)</f>
        <v>0</v>
      </c>
      <c r="P128" s="242">
        <f>SUM(P121:P127)</f>
        <v>0</v>
      </c>
      <c r="Q128" s="134"/>
      <c r="U128" s="66"/>
    </row>
    <row r="129" spans="1:21" s="65" customFormat="1">
      <c r="A129" s="135" t="s">
        <v>115</v>
      </c>
      <c r="B129" s="213" t="s">
        <v>100</v>
      </c>
      <c r="C129" s="214" t="s">
        <v>97</v>
      </c>
      <c r="D129" s="174" t="s">
        <v>494</v>
      </c>
      <c r="E129" s="175" t="s">
        <v>495</v>
      </c>
      <c r="F129" s="176" t="s">
        <v>496</v>
      </c>
      <c r="G129" s="140" t="s">
        <v>101</v>
      </c>
      <c r="H129" s="141" t="s">
        <v>98</v>
      </c>
      <c r="I129" s="141" t="s">
        <v>96</v>
      </c>
      <c r="J129" s="141" t="s">
        <v>715</v>
      </c>
      <c r="K129" s="216" t="s">
        <v>716</v>
      </c>
      <c r="L129" s="217">
        <v>0</v>
      </c>
      <c r="M129" s="218">
        <v>1</v>
      </c>
      <c r="N129" s="218">
        <v>2</v>
      </c>
      <c r="O129" s="218">
        <v>3</v>
      </c>
      <c r="P129" s="219" t="s">
        <v>1367</v>
      </c>
      <c r="Q129" s="134"/>
      <c r="U129" s="66"/>
    </row>
    <row r="130" spans="1:21" s="65" customFormat="1">
      <c r="A130" s="177" t="s">
        <v>22</v>
      </c>
      <c r="B130" s="178">
        <f>IFERROR(VLOOKUP(A130,'ИПП 1кв25'!$B$40:$N$51,10,0),"")</f>
        <v>121.89795918367345</v>
      </c>
      <c r="C130" s="179">
        <f>IFERROR(VLOOKUP(A130,'ИПП 1кв25'!$B$40:$N$51,11,0),"")</f>
        <v>14446837.989795916</v>
      </c>
      <c r="D130" s="180">
        <f>SUMIFS(Март25[м2],Март25[ИМ],A130,Март25[№ дома],$C$119,Март25[Комнатность],"&lt;&gt;Офис")</f>
        <v>524.17000000000007</v>
      </c>
      <c r="E130" s="181">
        <f>SUMIFS(Март25[Сумма без отделки],Март25[ИМ],$A130,Март25[№ дома],$C$119,Март25[Комнатность],"&lt;&gt;Офис")</f>
        <v>64415058</v>
      </c>
      <c r="F130" s="204">
        <f>COUNTIFS(Март25[ИМ],$A130,Март25[№ дома],$C$119,Март25[Комнатность],"&lt;&gt;Офис")</f>
        <v>11</v>
      </c>
      <c r="G130" s="183">
        <f>SUMIFS(РД[S],РД[Дом],$C$119,РД[ИМ],A130,РД[Дата подачи на регистрацию],"&lt;="&amp;$A$1,РД[Дата подачи на регистрацию],"&gt;="&amp;DATE(YEAR($A$1),MONTH($A$1),1),РД[Состояние],"Продажа")</f>
        <v>44.25</v>
      </c>
      <c r="H130" s="184">
        <f>SUMIFS(РД[Стоимость без отделки итог],РД[Дом],$C$119,РД[ИМ],A130,РД[Дата подачи на регистрацию],"&lt;="&amp;$A$1,РД[Дата подачи на регистрацию],"&gt;="&amp;DATE(YEAR($A$1),MONTH($A$1),1),РД[Состояние],"Продажа")</f>
        <v>5486138</v>
      </c>
      <c r="I130" s="243">
        <f>COUNTIFS(РД[Дом],$C$119,РД[ИМ],A130,РД[Дата подачи на регистрацию],"&lt;="&amp;$A$1,РД[Дата подачи на регистрацию],"&gt;="&amp;DATE(YEAR($A$1),MONTH($A$1),1),РД[Состояние],"Продажа")</f>
        <v>1</v>
      </c>
      <c r="J130" s="244">
        <f t="shared" ref="J130:K132" si="19">IFERROR(G130/B130,"")</f>
        <v>0.36300853842290315</v>
      </c>
      <c r="K130" s="258">
        <f t="shared" si="19"/>
        <v>0.37974662717716962</v>
      </c>
      <c r="L130" s="183">
        <f>COUNTIFS(РД[Тип кв],L120,РД[ИМ],$A130,РД[Дом],$C$119,РД[Дата подачи на регистрацию],"&lt;="&amp;$A$1,РД[Дата подачи на регистрацию],"&gt;="&amp;DATE(YEAR($A$1),MONTH($A$1),1))</f>
        <v>0</v>
      </c>
      <c r="M130" s="243">
        <f>COUNTIFS(РД[Тип кв],M120,РД[ИМ],$A130,РД[Дом],$C$119,РД[Дата подачи на регистрацию],"&lt;="&amp;$A$1,РД[Дата подачи на регистрацию],"&gt;="&amp;DATE(YEAR($A$1),MONTH($A$1),1))</f>
        <v>1</v>
      </c>
      <c r="N130" s="243">
        <f>COUNTIFS(РД[Тип кв],N120,РД[ИМ],$A130,РД[Дом],$C$119,РД[Дата подачи на регистрацию],"&lt;="&amp;$A$1,РД[Дата подачи на регистрацию],"&gt;="&amp;DATE(YEAR($A$1),MONTH($A$1),1))</f>
        <v>0</v>
      </c>
      <c r="O130" s="243">
        <f>COUNTIFS(РД[Тип кв],O120,РД[ИМ],$A130,РД[Дом],$C$119,РД[Дата подачи на регистрацию],"&lt;="&amp;$A$1,РД[Дата подачи на регистрацию],"&gt;="&amp;DATE(YEAR($A$1),MONTH($A$1),1))</f>
        <v>0</v>
      </c>
      <c r="P130" s="246">
        <f>COUNTIFS(РД[Тип кв],P120,РД[ИМ],$A130,РД[Дом],$C$119,РД[Дата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150" t="s">
        <v>26</v>
      </c>
      <c r="B131" s="143">
        <f>IFERROR(VLOOKUP(A131,'ИПП 1кв25'!$B$40:$N$51,10,0),"")</f>
        <v>95.302040816326524</v>
      </c>
      <c r="C131" s="144">
        <f>IFERROR(VLOOKUP(A131,'ИПП 1кв25'!$B$40:$N$51,11,0),"")</f>
        <v>11294800.61020408</v>
      </c>
      <c r="D131" s="205">
        <f>SUMIFS(Март25[м2],Март25[ИМ],A131,Март25[№ дома],$C$119,Март25[Комнатность],"&lt;&gt;Офис")</f>
        <v>540.96</v>
      </c>
      <c r="E131" s="206">
        <f>SUMIFS(Март25[Сумма без отделки],Март25[ИМ],$A131,Март25[№ дома],$C$119,Март25[Комнатность],"&lt;&gt;Офис")</f>
        <v>66672380</v>
      </c>
      <c r="F131" s="207">
        <f>COUNTIFS(Март25[ИМ],$A131,Март25[№ дома],$C$119,Март25[Комнатность],"&lt;&gt;Офис")</f>
        <v>12</v>
      </c>
      <c r="G131" s="187">
        <f>SUMIFS(РД[S],РД[Дом],$C$119,РД[ИМ],A131,РД[Дата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H131" s="188">
        <f>SUMIFS(РД[Стоимость без отделки итог],РД[Дом],$C$119,РД[ИМ],A131,РД[Дата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I131" s="247">
        <f>COUNTIFS(РД[Дом],$C$119,РД[ИМ],A131,РД[Дата подачи на регистрацию],"&lt;="&amp;$A$1,РД[Дата подачи на регистрацию],"&gt;="&amp;DATE(YEAR($A$1),MONTH($A$1),1),РД[Состояние],"Продажа")</f>
        <v>0</v>
      </c>
      <c r="J131" s="248">
        <f t="shared" si="19"/>
        <v>0</v>
      </c>
      <c r="K131" s="259">
        <f t="shared" si="19"/>
        <v>0</v>
      </c>
      <c r="L131" s="187">
        <f>COUNTIFS(РД[Тип кв],L$88,РД[ИМ],$A131,РД[Дом],$C$119,РД[Дата подачи на регистрацию],"&lt;="&amp;$A$1,РД[Дата подачи на регистрацию],"&gt;="&amp;DATE(YEAR($A$1),MONTH($A$1),1))</f>
        <v>0</v>
      </c>
      <c r="M131" s="247">
        <f>COUNTIFS(РД[Тип кв],M$88,РД[ИМ],$A131,РД[Дом],$C$119,РД[Дата подачи на регистрацию],"&lt;="&amp;$A$1,РД[Дата подачи на регистрацию],"&gt;="&amp;DATE(YEAR($A$1),MONTH($A$1),1))</f>
        <v>0</v>
      </c>
      <c r="N131" s="247">
        <f>COUNTIFS(РД[Тип кв],N$88,РД[ИМ],$A131,РД[Дом],$C$119,РД[Дата подачи на регистрацию],"&lt;="&amp;$A$1,РД[Дата подачи на регистрацию],"&gt;="&amp;DATE(YEAR($A$1),MONTH($A$1),1))</f>
        <v>0</v>
      </c>
      <c r="O131" s="247">
        <f>COUNTIFS(РД[Тип кв],O$88,РД[ИМ],$A131,РД[Дом],$C$119,РД[Дата подачи на регистрацию],"&lt;="&amp;$A$1,РД[Дата подачи на регистрацию],"&gt;="&amp;DATE(YEAR($A$1),MONTH($A$1),1))</f>
        <v>0</v>
      </c>
      <c r="P131" s="250">
        <f>COUNTIFS(РД[Тип кв],P$88,РД[ИМ],$A131,РД[Дом],$C$119,РД[Дата подачи на регистрацию],"&lt;="&amp;$A$1,РД[Дата подачи на регистрацию],"&gt;="&amp;DATE(YEAR($A$1),MONTH($A$1),1))</f>
        <v>0</v>
      </c>
      <c r="Q131" s="134"/>
      <c r="U131" s="66"/>
    </row>
    <row r="132" spans="1:21" s="65" customFormat="1">
      <c r="A132" s="189" t="s">
        <v>3</v>
      </c>
      <c r="B132" s="190">
        <f>IFERROR(VLOOKUP(A132,'ИПП 1кв25'!$B$40:$N$51,10,0),"")</f>
        <v>0</v>
      </c>
      <c r="C132" s="191">
        <f>IFERROR(VLOOKUP(A132,'ИПП 1кв25'!$B$40:$N$51,11,0),"")</f>
        <v>0</v>
      </c>
      <c r="D132" s="208">
        <f>SUMIFS(Март25[м2],Март25[ИМ],A132,Март25[№ дома],$C$119,Март25[Комнатность],"&lt;&gt;Офис")</f>
        <v>0</v>
      </c>
      <c r="E132" s="209">
        <f>SUMIFS(Март25[Сумма без отделки],Март25[ИМ],$A132,Март25[№ дома],$C$119,Март25[Комнатность],"&lt;&gt;Офис")</f>
        <v>0</v>
      </c>
      <c r="F132" s="210">
        <f>COUNTIFS(Март25[ИМ],$A132,Март25[№ дома],$C$119,Март25[Комнатность],"&lt;&gt;Офис")</f>
        <v>0</v>
      </c>
      <c r="G132" s="195">
        <f>SUMIFS(РД[S],РД[Дом],$C$119,РД[ИМ],A132,РД[Дата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H132" s="196">
        <f>SUMIFS(РД[Стоимость без отделки итог],РД[Дом],$C$119,РД[ИМ],A132,РД[Дата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I132" s="251">
        <f>COUNTIFS(РД[Дом],$C$119,РД[ИМ],A132,РД[Дата подачи на регистрацию],"&lt;="&amp;$A$1,РД[Дата подачи на регистрацию],"&gt;="&amp;DATE(YEAR($A$1),MONTH($A$1),1),РД[Состояние],"Продажа")</f>
        <v>0</v>
      </c>
      <c r="J132" s="252" t="str">
        <f t="shared" si="19"/>
        <v/>
      </c>
      <c r="K132" s="260" t="str">
        <f t="shared" si="19"/>
        <v/>
      </c>
      <c r="L132" s="195">
        <f>COUNTIFS(РД[Тип кв],L$88,РД[ИМ],$A132,РД[Дом],$C$119,РД[Дата подачи на регистрацию],"&lt;="&amp;$A$1,РД[Дата подачи на регистрацию],"&gt;="&amp;DATE(YEAR($A$1),MONTH($A$1),1))</f>
        <v>0</v>
      </c>
      <c r="M132" s="251">
        <f>COUNTIFS(РД[Тип кв],M$88,РД[ИМ],$A132,РД[Дом],$C$119,РД[Дата подачи на регистрацию],"&lt;="&amp;$A$1,РД[Дата подачи на регистрацию],"&gt;="&amp;DATE(YEAR($A$1),MONTH($A$1),1))</f>
        <v>0</v>
      </c>
      <c r="N132" s="251">
        <f>COUNTIFS(РД[Тип кв],N$88,РД[ИМ],$A132,РД[Дом],$C$119,РД[Дата подачи на регистрацию],"&lt;="&amp;$A$1,РД[Дата подачи на регистрацию],"&gt;="&amp;DATE(YEAR($A$1),MONTH($A$1),1))</f>
        <v>0</v>
      </c>
      <c r="O132" s="251">
        <f>COUNTIFS(РД[Тип кв],O$88,РД[ИМ],$A132,РД[Дом],$C$119,РД[Дата подачи на регистрацию],"&lt;="&amp;$A$1,РД[Дата подачи на регистрацию],"&gt;="&amp;DATE(YEAR($A$1),MONTH($A$1),1))</f>
        <v>0</v>
      </c>
      <c r="P132" s="254">
        <f>COUNTIFS(РД[Тип кв],P$88,РД[ИМ],$A132,РД[Дом],$C$119,РД[Дата подачи на регистрацию],"&lt;="&amp;$A$1,РД[Дата подачи на регистрацию],"&gt;="&amp;DATE(YEAR($A$1),MONTH($A$1),1))</f>
        <v>0</v>
      </c>
      <c r="Q132" s="134"/>
      <c r="U132" s="66"/>
    </row>
    <row r="133" spans="1:21" s="65" customFormat="1">
      <c r="A133" s="168" t="s">
        <v>114</v>
      </c>
      <c r="B133" s="169">
        <f t="shared" ref="B133:I133" si="20">SUM(B130:B132)</f>
        <v>217.2</v>
      </c>
      <c r="C133" s="170">
        <f t="shared" si="20"/>
        <v>25741638.599999994</v>
      </c>
      <c r="D133" s="170">
        <f t="shared" si="20"/>
        <v>1065.1300000000001</v>
      </c>
      <c r="E133" s="170">
        <f t="shared" si="20"/>
        <v>131087438</v>
      </c>
      <c r="F133" s="171">
        <f t="shared" si="20"/>
        <v>23</v>
      </c>
      <c r="G133" s="172">
        <f t="shared" si="20"/>
        <v>44.25</v>
      </c>
      <c r="H133" s="173">
        <f t="shared" si="20"/>
        <v>5486138</v>
      </c>
      <c r="I133" s="170">
        <f t="shared" si="20"/>
        <v>1</v>
      </c>
      <c r="J133" s="238">
        <f>IFERROR(G133/B133,)</f>
        <v>0.20372928176795582</v>
      </c>
      <c r="K133" s="239">
        <f>IFERROR(H133/C133,)</f>
        <v>0.21312310708922785</v>
      </c>
      <c r="L133" s="240">
        <f t="shared" ref="L133:P133" si="21">SUM(L130:L132)</f>
        <v>0</v>
      </c>
      <c r="M133" s="241">
        <f t="shared" si="21"/>
        <v>1</v>
      </c>
      <c r="N133" s="241">
        <f t="shared" si="21"/>
        <v>0</v>
      </c>
      <c r="O133" s="241">
        <f t="shared" si="21"/>
        <v>0</v>
      </c>
      <c r="P133" s="242">
        <f t="shared" si="21"/>
        <v>0</v>
      </c>
      <c r="Q133" s="134"/>
      <c r="U133" s="66"/>
    </row>
    <row r="134" spans="1:21" s="65" customFormat="1">
      <c r="A134" s="134"/>
      <c r="B134" s="197"/>
      <c r="C134" s="197"/>
      <c r="D134" s="197"/>
      <c r="E134" s="197"/>
      <c r="F134" s="215"/>
      <c r="G134" s="197"/>
      <c r="H134" s="197"/>
      <c r="I134" s="215"/>
      <c r="J134" s="255"/>
      <c r="K134" s="256"/>
      <c r="L134" s="215"/>
      <c r="M134" s="215"/>
      <c r="N134" s="215"/>
      <c r="O134" s="215"/>
      <c r="P134" s="215"/>
      <c r="Q134" s="134"/>
      <c r="U134" s="66"/>
    </row>
    <row r="135" spans="1:21" s="65" customFormat="1">
      <c r="A135" s="2325" t="s">
        <v>713</v>
      </c>
      <c r="B135" s="2326"/>
      <c r="C135" s="133" t="s">
        <v>718</v>
      </c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T135" s="66"/>
    </row>
    <row r="136" spans="1:21" s="65" customFormat="1">
      <c r="A136" s="135" t="s">
        <v>1</v>
      </c>
      <c r="B136" s="135" t="s">
        <v>100</v>
      </c>
      <c r="C136" s="136" t="s">
        <v>97</v>
      </c>
      <c r="D136" s="137" t="s">
        <v>494</v>
      </c>
      <c r="E136" s="138" t="s">
        <v>495</v>
      </c>
      <c r="F136" s="139" t="s">
        <v>496</v>
      </c>
      <c r="G136" s="140" t="s">
        <v>101</v>
      </c>
      <c r="H136" s="141" t="s">
        <v>98</v>
      </c>
      <c r="I136" s="141" t="s">
        <v>96</v>
      </c>
      <c r="J136" s="141" t="s">
        <v>715</v>
      </c>
      <c r="K136" s="216" t="s">
        <v>716</v>
      </c>
      <c r="L136" s="217">
        <v>0</v>
      </c>
      <c r="M136" s="218">
        <v>1</v>
      </c>
      <c r="N136" s="218">
        <v>2</v>
      </c>
      <c r="O136" s="218">
        <v>3</v>
      </c>
      <c r="P136" s="219" t="s">
        <v>1367</v>
      </c>
      <c r="T136" s="66"/>
    </row>
    <row r="137" spans="1:21" s="65" customFormat="1">
      <c r="A137" s="142" t="s">
        <v>28</v>
      </c>
      <c r="B137" s="143">
        <f>IFERROR(VLOOKUP(A137,'ИПП 1кв25'!$B$40:$N$51,12,0),"")</f>
        <v>331</v>
      </c>
      <c r="C137" s="144">
        <f>IFERROR(VLOOKUP(A137,'ИПП 1кв25'!$B$40:$N$51,13,0),"")</f>
        <v>41741467</v>
      </c>
      <c r="D137" s="199">
        <f>SUMIFS(Март25[м2],Март25[КТУ],$A137,Март25[Комнатность],"&lt;&gt;Офис")</f>
        <v>207.65</v>
      </c>
      <c r="E137" s="200">
        <f>SUMIFS(Март25[Сумма без отделки],Март25[КТУ],$A137,Март25[Комнатность],"&lt;&gt;Офис")</f>
        <v>26955782</v>
      </c>
      <c r="F137" s="201">
        <f>COUNTIFS(Март25[КТУ],$A137,Март25[Комнатность],"&lt;&gt;Офис")</f>
        <v>5</v>
      </c>
      <c r="G137" s="202">
        <f>SUMIFS(РД[S],РД[МОП],A137,РД[Дата подачи на регистрацию],"&lt;="&amp;$A$1,РД[Дата подачи на регистрацию],"&gt;="&amp;DATE(YEAR($A$1),MONTH($A$1),1),РД[Состояние],"Продажа")</f>
        <v>178.2</v>
      </c>
      <c r="H137" s="203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22888586</v>
      </c>
      <c r="I137" s="226">
        <f>COUNTIFS(РД[МОП],A137,РД[Дата подачи на регистрацию],"&lt;="&amp;$A$1,РД[Дата подачи на регистрацию],"&gt;="&amp;DATE(YEAR($A$1),MONTH($A$1),1),РД[Состояние],"Продажа")</f>
        <v>4</v>
      </c>
      <c r="J137" s="224">
        <f t="shared" ref="J137:K144" si="22">IFERROR(G137/B137,"")</f>
        <v>0.53836858006042287</v>
      </c>
      <c r="K137" s="225">
        <f t="shared" si="22"/>
        <v>0.54834167663537081</v>
      </c>
      <c r="L137" s="257">
        <f>COUNTIFS(РД[Тип кв],L$88,РД[МОП],$A137,РД[Дата подачи на регистрацию],"&lt;="&amp;$A$1,РД[Дата подачи на регистрацию],"&gt;="&amp;DATE(YEAR($A$1),MONTH($A$1),1))</f>
        <v>1</v>
      </c>
      <c r="M137" s="226">
        <f>COUNTIFS(РД[Тип кв],M$88,РД[МОП],$A137,РД[Дата подачи на регистрацию],"&lt;="&amp;$A$1,РД[Дата подачи на регистрацию],"&gt;="&amp;DATE(YEAR($A$1),MONTH($A$1),1))</f>
        <v>2</v>
      </c>
      <c r="N137" s="226">
        <f>COUNTIFS(РД[Тип кв],N$88,РД[МОП],$A137,РД[Дата подачи на регистрацию],"&lt;="&amp;$A$1,РД[Дата подачи на регистрацию],"&gt;="&amp;DATE(YEAR($A$1),MONTH($A$1),1))</f>
        <v>2</v>
      </c>
      <c r="O137" s="226">
        <f>COUNTIFS(РД[Тип кв],O$88,РД[МОП],$A137,РД[Дата подачи на регистрацию],"&lt;="&amp;$A$1,РД[Дата подачи на регистрацию],"&gt;="&amp;DATE(YEAR($A$1),MONTH($A$1),1))</f>
        <v>0</v>
      </c>
      <c r="P137" s="227">
        <f>COUNTIFS(РД[Тип кв],P$88,РД[МОП],$A137,РД[Дата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42" t="s">
        <v>8</v>
      </c>
      <c r="B138" s="143">
        <f>IFERROR(VLOOKUP(A138,'ИПП 1кв25'!$B$40:$N$51,12,0),"")</f>
        <v>454</v>
      </c>
      <c r="C138" s="144">
        <f>IFERROR(VLOOKUP(A138,'ИПП 1кв25'!$B$40:$N$51,13,0),"")</f>
        <v>57245441</v>
      </c>
      <c r="D138" s="199">
        <f>SUMIFS(Март25[м2],Март25[КТУ],$A138,Март25[Комнатность],"&lt;&gt;Офис")</f>
        <v>172.51999999999998</v>
      </c>
      <c r="E138" s="200">
        <f>SUMIFS(Март25[Сумма без отделки],Март25[КТУ],$A138,Март25[Комнатность],"&lt;&gt;Офис")</f>
        <v>20598690</v>
      </c>
      <c r="F138" s="201">
        <f>COUNTIFS(Март25[КТУ],$A138,Март25[Комнатность],"&lt;&gt;Офис")</f>
        <v>3</v>
      </c>
      <c r="G138" s="202">
        <f>SUMIFS(РД[S],РД[МОП],A138,РД[Дата подачи на регистрацию],"&lt;="&amp;$A$1,РД[Дата подачи на регистрацию],"&gt;="&amp;DATE(YEAR($A$1),MONTH($A$1),1),РД[Состояние],"Продажа")</f>
        <v>169.36</v>
      </c>
      <c r="H138" s="203">
        <f>SUMIFS(РД[Стоимость без отделки итог],РД[МОП],A138,РД[Дата подачи на регистрацию],"&lt;="&amp;$A$1,РД[Дата подачи на регистрацию],"&gt;="&amp;DATE(YEAR($A$1),MONTH($A$1),1),РД[Состояние],"Продажа")</f>
        <v>20614790</v>
      </c>
      <c r="I138" s="226">
        <f>COUNTIFS(РД[МОП],A138,РД[Дата подачи на регистрацию],"&lt;="&amp;$A$1,РД[Дата подачи на регистрацию],"&gt;="&amp;DATE(YEAR($A$1),MONTH($A$1),1),РД[Состояние],"Продажа")</f>
        <v>3</v>
      </c>
      <c r="J138" s="224">
        <f t="shared" si="22"/>
        <v>0.37303964757709251</v>
      </c>
      <c r="K138" s="225">
        <f t="shared" si="22"/>
        <v>0.36011234501626077</v>
      </c>
      <c r="L138" s="257">
        <f>COUNTIFS(РД[Тип кв],L$88,РД[МОП],$A138,РД[Дата подачи на регистрацию],"&lt;="&amp;$A$1,РД[Дата подачи на регистрацию],"&gt;="&amp;DATE(YEAR($A$1),MONTH($A$1),1))</f>
        <v>0</v>
      </c>
      <c r="M138" s="226">
        <f>COUNTIFS(РД[Тип кв],M$88,РД[МОП],$A138,РД[Дата подачи на регистрацию],"&lt;="&amp;$A$1,РД[Дата подачи на регистрацию],"&gt;="&amp;DATE(YEAR($A$1),MONTH($A$1),1))</f>
        <v>0</v>
      </c>
      <c r="N138" s="226">
        <f>COUNTIFS(РД[Тип кв],N$88,РД[МОП],$A138,РД[Дата подачи на регистрацию],"&lt;="&amp;$A$1,РД[Дата подачи на регистрацию],"&gt;="&amp;DATE(YEAR($A$1),MONTH($A$1),1))</f>
        <v>3</v>
      </c>
      <c r="O138" s="226">
        <f>COUNTIFS(РД[Тип кв],O$88,РД[МОП],$A138,РД[Дата подачи на регистрацию],"&lt;="&amp;$A$1,РД[Дата подачи на регистрацию],"&gt;="&amp;DATE(YEAR($A$1),MONTH($A$1),1))</f>
        <v>0</v>
      </c>
      <c r="P138" s="227">
        <f>COUNTIFS(РД[Тип кв],P$88,РД[МОП],$A138,РД[Дата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50" t="s">
        <v>20</v>
      </c>
      <c r="B139" s="143">
        <f>IFERROR(VLOOKUP(A139,'ИПП 1кв25'!$B$40:$N$51,12,0),"")</f>
        <v>447</v>
      </c>
      <c r="C139" s="144">
        <f>IFERROR(VLOOKUP(A139,'ИПП 1кв25'!$B$40:$N$51,13,0),"")</f>
        <v>56350981</v>
      </c>
      <c r="D139" s="199">
        <f>SUMIFS(Март25[м2],Март25[КТУ],$A139,Март25[Комнатность],"&lt;&gt;Офис")</f>
        <v>352.32000000000005</v>
      </c>
      <c r="E139" s="200">
        <f>SUMIFS(Март25[Сумма без отделки],Март25[КТУ],$A139,Март25[Комнатность],"&lt;&gt;Офис")</f>
        <v>42774316</v>
      </c>
      <c r="F139" s="201">
        <f>COUNTIFS(Март25[КТУ],$A139,Март25[Комнатность],"&lt;&gt;Офис")</f>
        <v>7</v>
      </c>
      <c r="G139" s="202">
        <f>SUMIFS(РД[S],РД[МОП],A139,РД[Дата подачи на регистрацию],"&lt;="&amp;$A$1,РД[Дата подачи на регистрацию],"&gt;="&amp;DATE(YEAR($A$1),MONTH($A$1),1),РД[Состояние],"Продажа")</f>
        <v>352.32</v>
      </c>
      <c r="H139" s="203">
        <f>SUMIFS(РД[Стоимость без отделки итог],РД[МОП],A139,РД[Дата подачи на регистрацию],"&lt;="&amp;$A$1,РД[Дата подачи на регистрацию],"&gt;="&amp;DATE(YEAR($A$1),MONTH($A$1),1),РД[Состояние],"Продажа")</f>
        <v>42774316</v>
      </c>
      <c r="I139" s="226">
        <f>COUNTIFS(РД[МОП],A139,РД[Дата подачи на регистрацию],"&lt;="&amp;$A$1,РД[Дата подачи на регистрацию],"&gt;="&amp;DATE(YEAR($A$1),MONTH($A$1),1),РД[Состояние],"Продажа")</f>
        <v>7</v>
      </c>
      <c r="J139" s="224">
        <f t="shared" si="22"/>
        <v>0.78818791946308719</v>
      </c>
      <c r="K139" s="225">
        <f t="shared" si="22"/>
        <v>0.75906958922330026</v>
      </c>
      <c r="L139" s="257">
        <f>COUNTIFS(РД[Тип кв],L$88,РД[МОП],$A139,РД[Дата подачи на регистрацию],"&lt;="&amp;$A$1,РД[Дата подачи на регистрацию],"&gt;="&amp;DATE(YEAR($A$1),MONTH($A$1),1))</f>
        <v>0</v>
      </c>
      <c r="M139" s="226">
        <f>COUNTIFS(РД[Тип кв],M$88,РД[МОП],$A139,РД[Дата подачи на регистрацию],"&lt;="&amp;$A$1,РД[Дата подачи на регистрацию],"&gt;="&amp;DATE(YEAR($A$1),MONTH($A$1),1))</f>
        <v>3</v>
      </c>
      <c r="N139" s="226">
        <f>COUNTIFS(РД[Тип кв],N$88,РД[МОП],$A139,РД[Дата подачи на регистрацию],"&lt;="&amp;$A$1,РД[Дата подачи на регистрацию],"&gt;="&amp;DATE(YEAR($A$1),MONTH($A$1),1))</f>
        <v>4</v>
      </c>
      <c r="O139" s="226">
        <f>COUNTIFS(РД[Тип кв],O$88,РД[МОП],$A139,РД[Дата подачи на регистрацию],"&lt;="&amp;$A$1,РД[Дата подачи на регистрацию],"&gt;="&amp;DATE(YEAR($A$1),MONTH($A$1),1))</f>
        <v>0</v>
      </c>
      <c r="P139" s="227">
        <f>COUNTIFS(РД[Тип кв],P$88,РД[МОП],$A139,РД[Дата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53" t="s">
        <v>24</v>
      </c>
      <c r="B140" s="143">
        <f>IFERROR(VLOOKUP(A140,'ИПП 1кв25'!$B$40:$N$51,12,0),"")</f>
        <v>418</v>
      </c>
      <c r="C140" s="144">
        <f>IFERROR(VLOOKUP(A140,'ИПП 1кв25'!$B$40:$N$51,13,0),"")</f>
        <v>52773141</v>
      </c>
      <c r="D140" s="199">
        <f>SUMIFS(Март25[м2],Март25[КТУ],$A140,Март25[Комнатность],"&lt;&gt;Офис")</f>
        <v>495.49</v>
      </c>
      <c r="E140" s="200">
        <f>SUMIFS(Март25[Сумма без отделки],Март25[КТУ],$A140,Март25[Комнатность],"&lt;&gt;Офис")</f>
        <v>61369817</v>
      </c>
      <c r="F140" s="201">
        <f>COUNTIFS(Март25[КТУ],$A140,Март25[Комнатность],"&lt;&gt;Офис")</f>
        <v>11</v>
      </c>
      <c r="G140" s="202">
        <f>SUMIFS(РД[S],РД[МОП],A140,РД[Дата подачи на регистрацию],"&lt;="&amp;$A$1,РД[Дата подачи на регистрацию],"&gt;="&amp;DATE(YEAR($A$1),MONTH($A$1),1),РД[Состояние],"Продажа")</f>
        <v>489.32</v>
      </c>
      <c r="H140" s="203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61414917</v>
      </c>
      <c r="I140" s="226">
        <f>COUNTIFS(РД[МОП],A140,РД[Дата подачи на регистрацию],"&lt;="&amp;$A$1,РД[Дата подачи на регистрацию],"&gt;="&amp;DATE(YEAR($A$1),MONTH($A$1),1),РД[Состояние],"Продажа")</f>
        <v>11</v>
      </c>
      <c r="J140" s="224">
        <f t="shared" si="22"/>
        <v>1.170622009569378</v>
      </c>
      <c r="K140" s="225">
        <f t="shared" si="22"/>
        <v>1.1637533001873055</v>
      </c>
      <c r="L140" s="325">
        <f>COUNTIFS(РД[Тип кв],L$88,РД[МОП],$A140,РД[Дата подачи на регистрацию],"&lt;="&amp;$A$1,РД[Дата подачи на регистрацию],"&gt;="&amp;DATE(YEAR($A$1),MONTH($A$1),1))</f>
        <v>1</v>
      </c>
      <c r="M140" s="326">
        <f>COUNTIFS(РД[Тип кв],M$88,РД[МОП],$A140,РД[Дата подачи на регистрацию],"&lt;="&amp;$A$1,РД[Дата подачи на регистрацию],"&gt;="&amp;DATE(YEAR($A$1),MONTH($A$1),1))</f>
        <v>6</v>
      </c>
      <c r="N140" s="326">
        <f>COUNTIFS(РД[Тип кв],N$88,РД[МОП],$A140,РД[Дата подачи на регистрацию],"&lt;="&amp;$A$1,РД[Дата подачи на регистрацию],"&gt;="&amp;DATE(YEAR($A$1),MONTH($A$1),1))</f>
        <v>3</v>
      </c>
      <c r="O140" s="326">
        <f>COUNTIFS(РД[Тип кв],O$88,РД[МОП],$A140,РД[Дата подачи на регистрацию],"&lt;="&amp;$A$1,РД[Дата подачи на регистрацию],"&gt;="&amp;DATE(YEAR($A$1),MONTH($A$1),1))</f>
        <v>1</v>
      </c>
      <c r="P140" s="327">
        <f>COUNTIFS(РД[Тип кв],P$88,РД[МОП],$A140,РД[Дата подачи на регистрацию],"&lt;="&amp;$A$1,РД[Дата подачи на регистрацию],"&gt;="&amp;DATE(YEAR($A$1),MONTH($A$1),1))</f>
        <v>0</v>
      </c>
      <c r="T140" s="66"/>
    </row>
    <row r="141" spans="1:21" s="65" customFormat="1">
      <c r="A141" s="153" t="s">
        <v>14</v>
      </c>
      <c r="B141" s="143">
        <f>IFERROR(VLOOKUP(A141,'ИПП 1кв25'!$B$40:$N$51,12,0),"")</f>
        <v>312</v>
      </c>
      <c r="C141" s="144">
        <f>IFERROR(VLOOKUP(A141,'ИПП 1кв25'!$B$40:$N$51,13,0),"")</f>
        <v>39356242</v>
      </c>
      <c r="D141" s="299">
        <f>SUMIFS(Март25[м2],Март25[КТУ],$A141,Март25[Комнатность],"&lt;&gt;Офис")</f>
        <v>426.69</v>
      </c>
      <c r="E141" s="300">
        <f>SUMIFS(Март25[Сумма без отделки],Март25[КТУ],$A141,Март25[Комнатность],"&lt;&gt;Офис")</f>
        <v>47367778</v>
      </c>
      <c r="F141" s="301">
        <f>COUNTIFS(Март25[КТУ],$A141,Март25[Комнатность],"&lt;&gt;Офис")</f>
        <v>8</v>
      </c>
      <c r="G141" s="358">
        <f>SUMIFS(РД[S],РД[МОП],A141,РД[Дата подачи на регистрацию],"&lt;="&amp;$A$1,РД[Дата подачи на регистрацию],"&gt;="&amp;DATE(YEAR($A$1),MONTH($A$1),1),РД[Состояние],"Продажа")</f>
        <v>388.77</v>
      </c>
      <c r="H141" s="359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42428113</v>
      </c>
      <c r="I141" s="330">
        <f>COUNTIFS(РД[МОП],A141,РД[Дата подачи на регистрацию],"&lt;="&amp;$A$1,РД[Дата подачи на регистрацию],"&gt;="&amp;DATE(YEAR($A$1),MONTH($A$1),1),РД[Состояние],"Продажа")</f>
        <v>7</v>
      </c>
      <c r="J141" s="360">
        <f t="shared" si="22"/>
        <v>1.2460576923076923</v>
      </c>
      <c r="K141" s="361">
        <f t="shared" si="22"/>
        <v>1.078052955360931</v>
      </c>
      <c r="L141" s="364">
        <f>COUNTIFS(РД[Тип кв],L$88,РД[МОП],$A141,РД[Дата подачи на регистрацию],"&lt;="&amp;$A$1,РД[Дата подачи на регистрацию],"&gt;="&amp;DATE(YEAR($A$1),MONTH($A$1),1))</f>
        <v>0</v>
      </c>
      <c r="M141" s="365">
        <f>COUNTIFS(РД[Тип кв],M$88,РД[МОП],$A141,РД[Дата подачи на регистрацию],"&lt;="&amp;$A$1,РД[Дата подачи на регистрацию],"&gt;="&amp;DATE(YEAR($A$1),MONTH($A$1),1))</f>
        <v>5</v>
      </c>
      <c r="N141" s="365">
        <f>COUNTIFS(РД[Тип кв],N$88,РД[МОП],$A141,РД[Дата подачи на регистрацию],"&lt;="&amp;$A$1,РД[Дата подачи на регистрацию],"&gt;="&amp;DATE(YEAR($A$1),MONTH($A$1),1))</f>
        <v>1</v>
      </c>
      <c r="O141" s="365">
        <f>COUNTIFS(РД[Тип кв],O$88,РД[МОП],$A141,РД[Дата подачи на регистрацию],"&lt;="&amp;$A$1,РД[Дата подачи на регистрацию],"&gt;="&amp;DATE(YEAR($A$1),MONTH($A$1),1))</f>
        <v>2</v>
      </c>
      <c r="P141" s="366">
        <f>COUNTIFS(РД[Тип кв],P$88,РД[МОП],$A141,РД[Дата подачи на регистрацию],"&lt;="&amp;$A$1,РД[Дата подачи на регистрацию],"&gt;="&amp;DATE(YEAR($A$1),MONTH($A$1),1))</f>
        <v>0</v>
      </c>
      <c r="Q141" s="86"/>
      <c r="R141" s="86"/>
      <c r="S141" s="86"/>
      <c r="T141" s="66"/>
    </row>
    <row r="142" spans="1:21" s="65" customFormat="1">
      <c r="A142" s="154" t="s">
        <v>29</v>
      </c>
      <c r="B142" s="155"/>
      <c r="C142" s="156"/>
      <c r="D142" s="157">
        <f>SUMIFS(Март25[м2],Март25[КТУ],$A142,Март25[Комнатность],"&lt;&gt;Офис")</f>
        <v>0</v>
      </c>
      <c r="E142" s="156">
        <f>SUMIFS(Март25[Сумма без отделки],Март25[КТУ],$A142,Март25[Комнатность],"&lt;&gt;Офис")</f>
        <v>0</v>
      </c>
      <c r="F142" s="158">
        <f>COUNTIFS(Март25[КТУ],$A142,Март25[Комнатность],"&lt;&gt;Офис")</f>
        <v>0</v>
      </c>
      <c r="G142" s="159">
        <f>SUMIFS(РД[S],РД[МОП],A142,РД[Дата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160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28">
        <f>COUNTIFS(РД[МОП],A142,РД[Дата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29" t="str">
        <f t="shared" si="22"/>
        <v/>
      </c>
      <c r="K142" s="230" t="str">
        <f t="shared" si="22"/>
        <v/>
      </c>
      <c r="L142" s="159">
        <f>COUNTIFS(РД[Тип кв],L$88,РД[МОП],$A142,РД[Дата подачи на регистрацию],"&lt;="&amp;$A$1,РД[Дата подачи на регистрацию],"&gt;="&amp;DATE(YEAR($A$1),MONTH($A$1),1))</f>
        <v>0</v>
      </c>
      <c r="M142" s="228">
        <f>COUNTIFS(РД[Тип кв],M$88,РД[МОП],$A142,РД[Дата подачи на регистрацию],"&lt;="&amp;$A$1,РД[Дата подачи на регистрацию],"&gt;="&amp;DATE(YEAR($A$1),MONTH($A$1),1))</f>
        <v>0</v>
      </c>
      <c r="N142" s="228">
        <f>COUNTIFS(РД[Тип кв],N$88,РД[МОП],$A142,РД[Дата подачи на регистрацию],"&lt;="&amp;$A$1,РД[Дата подачи на регистрацию],"&gt;="&amp;DATE(YEAR($A$1),MONTH($A$1),1))</f>
        <v>0</v>
      </c>
      <c r="O142" s="228">
        <f>COUNTIFS(РД[Тип кв],O$88,РД[МОП],$A142,РД[Дата подачи на регистрацию],"&lt;="&amp;$A$1,РД[Дата подачи на регистрацию],"&gt;="&amp;DATE(YEAR($A$1),MONTH($A$1),1))</f>
        <v>0</v>
      </c>
      <c r="P142" s="231">
        <f>COUNTIFS(РД[Тип кв],P$88,РД[МОП],$A142,РД[Дата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61" t="s">
        <v>1919</v>
      </c>
      <c r="B143" s="162"/>
      <c r="C143" s="163"/>
      <c r="D143" s="164">
        <f>SUMIFS(Март25[м2],Март25[МОП],$A143,Март25[Комнатность],"&lt;&gt;Офис")</f>
        <v>533.83000000000004</v>
      </c>
      <c r="E143" s="163">
        <f>SUMIFS(Март25[Сумма без отделки],Март25[МОП],$A143,Март25[Комнатность],"&lt;&gt;Офис")</f>
        <v>66464990</v>
      </c>
      <c r="F143" s="165">
        <f>COUNTIFS(Март25[МОП],$A143,Март25[Комнатность],"&lt;&gt;Офис")</f>
        <v>12</v>
      </c>
      <c r="G143" s="166">
        <f>SUMIFS(РД[S],РД[МОП],A143,РД[Дата подачи на регистрацию],"&lt;="&amp;$A$1,РД[Дата подачи на регистрацию],"&gt;="&amp;DATE(YEAR($A$1),MONTH($A$1),1),РД[Состояние],"Продажа")</f>
        <v>0</v>
      </c>
      <c r="H143" s="167">
        <f>SUMIFS(РД[Стоимость без отделки итог],РД[МОП],A143,РД[Дата подачи на регистрацию],"&lt;="&amp;$A$1,РД[Дата подачи на регистрацию],"&gt;="&amp;DATE(YEAR($A$1),MONTH($A$1),1),РД[Состояние],"Продажа")</f>
        <v>0</v>
      </c>
      <c r="I143" s="232">
        <f>COUNTIFS(РД[МОП],A143,РД[Дата подачи на регистрацию],"&lt;="&amp;$A$1,РД[Дата подачи на регистрацию],"&gt;="&amp;DATE(YEAR($A$1),MONTH($A$1),1),РД[Состояние],"Продажа")</f>
        <v>0</v>
      </c>
      <c r="J143" s="233" t="str">
        <f t="shared" si="22"/>
        <v/>
      </c>
      <c r="K143" s="234" t="str">
        <f t="shared" si="22"/>
        <v/>
      </c>
      <c r="L143" s="235">
        <f>COUNTIFS(РД[Тип кв],L$88,РД[МОП],$A143,РД[Дата подачи на регистрацию],"&lt;="&amp;$A$1,РД[Дата подачи на регистрацию],"&gt;="&amp;DATE(YEAR($A$1),MONTH($A$1),1))</f>
        <v>0</v>
      </c>
      <c r="M143" s="236">
        <f>COUNTIFS(РД[Тип кв],M$88,РД[МОП],$A143,РД[Дата подачи на регистрацию],"&lt;="&amp;$A$1,РД[Дата подачи на регистрацию],"&gt;="&amp;DATE(YEAR($A$1),MONTH($A$1),1))</f>
        <v>0</v>
      </c>
      <c r="N143" s="236">
        <f>COUNTIFS(РД[Тип кв],N$88,РД[МОП],$A143,РД[Дата подачи на регистрацию],"&lt;="&amp;$A$1,РД[Дата подачи на регистрацию],"&gt;="&amp;DATE(YEAR($A$1),MONTH($A$1),1))</f>
        <v>0</v>
      </c>
      <c r="O143" s="236">
        <f>COUNTIFS(РД[Тип кв],O$88,РД[МОП],$A143,РД[Дата подачи на регистрацию],"&lt;="&amp;$A$1,РД[Дата подачи на регистрацию],"&gt;="&amp;DATE(YEAR($A$1),MONTH($A$1),1))</f>
        <v>0</v>
      </c>
      <c r="P143" s="237">
        <f>COUNTIFS(РД[Тип кв],P$88,РД[МОП],$A143,РД[Дата подачи на регистрацию],"&lt;="&amp;$A$1,РД[Дата подачи на регистрацию],"&gt;="&amp;DATE(YEAR($A$1),MONTH($A$1),1))</f>
        <v>0</v>
      </c>
      <c r="T143" s="66"/>
    </row>
    <row r="144" spans="1:21" s="65" customFormat="1">
      <c r="A144" s="168" t="s">
        <v>114</v>
      </c>
      <c r="B144" s="169">
        <f t="shared" ref="B144:I144" si="23">SUM(B137:B143)</f>
        <v>1962</v>
      </c>
      <c r="C144" s="170">
        <f t="shared" si="23"/>
        <v>247467272</v>
      </c>
      <c r="D144" s="170">
        <f t="shared" si="23"/>
        <v>2188.5</v>
      </c>
      <c r="E144" s="170">
        <f t="shared" si="23"/>
        <v>265531373</v>
      </c>
      <c r="F144" s="171">
        <f t="shared" si="23"/>
        <v>46</v>
      </c>
      <c r="G144" s="172">
        <f t="shared" si="23"/>
        <v>1577.97</v>
      </c>
      <c r="H144" s="173">
        <f t="shared" si="23"/>
        <v>190120722</v>
      </c>
      <c r="I144" s="170">
        <f t="shared" si="23"/>
        <v>32</v>
      </c>
      <c r="J144" s="238">
        <f t="shared" si="22"/>
        <v>0.80426605504587156</v>
      </c>
      <c r="K144" s="239">
        <f t="shared" si="22"/>
        <v>0.7682661244998894</v>
      </c>
      <c r="L144" s="240">
        <f>SUM(L137:L143)</f>
        <v>2</v>
      </c>
      <c r="M144" s="241">
        <f>SUM(M137:M143)</f>
        <v>16</v>
      </c>
      <c r="N144" s="241">
        <f>SUM(N137:N143)</f>
        <v>13</v>
      </c>
      <c r="O144" s="241">
        <f>SUM(O137:O143)</f>
        <v>3</v>
      </c>
      <c r="P144" s="242">
        <f>SUM(P137:P143)</f>
        <v>0</v>
      </c>
      <c r="T144" s="66"/>
    </row>
    <row r="145" spans="1:21" s="65" customFormat="1">
      <c r="A145" s="135" t="s">
        <v>115</v>
      </c>
      <c r="B145" s="213" t="s">
        <v>100</v>
      </c>
      <c r="C145" s="214" t="s">
        <v>97</v>
      </c>
      <c r="D145" s="174" t="s">
        <v>494</v>
      </c>
      <c r="E145" s="175" t="s">
        <v>495</v>
      </c>
      <c r="F145" s="176" t="s">
        <v>496</v>
      </c>
      <c r="G145" s="140" t="s">
        <v>101</v>
      </c>
      <c r="H145" s="141" t="s">
        <v>98</v>
      </c>
      <c r="I145" s="141" t="s">
        <v>96</v>
      </c>
      <c r="J145" s="141" t="s">
        <v>715</v>
      </c>
      <c r="K145" s="216" t="s">
        <v>716</v>
      </c>
      <c r="L145" s="217">
        <v>0</v>
      </c>
      <c r="M145" s="218">
        <v>1</v>
      </c>
      <c r="N145" s="218">
        <v>2</v>
      </c>
      <c r="O145" s="218">
        <v>3</v>
      </c>
      <c r="P145" s="219" t="s">
        <v>1367</v>
      </c>
      <c r="T145" s="66"/>
    </row>
    <row r="146" spans="1:21" s="65" customFormat="1">
      <c r="A146" s="177" t="s">
        <v>22</v>
      </c>
      <c r="B146" s="178">
        <f>IFERROR(VLOOKUP(A146,'ИПП 1кв25'!$B$40:$N$51,12,0),"")</f>
        <v>660.67346938775506</v>
      </c>
      <c r="C146" s="179">
        <f>IFERROR(VLOOKUP(A146,'ИПП 1кв25'!$B$40:$N$51,13,0),"")</f>
        <v>83330816.081632644</v>
      </c>
      <c r="D146" s="180">
        <f>SUMIFS(Март25[м2],Март25[ИМ],A146,Март25[Комнатность],"&lt;&gt;Офис")</f>
        <v>971.45999999999992</v>
      </c>
      <c r="E146" s="181">
        <f>SUMIFS(Март25[Сумма без отделки],Март25[ИМ],$A146,Март25[Комнатность],"&lt;&gt;Офис")</f>
        <v>114606182</v>
      </c>
      <c r="F146" s="204">
        <f>COUNTIFS(Март25[ИМ],A146,Март25[Комнатность],"&lt;&gt;Офис")</f>
        <v>19</v>
      </c>
      <c r="G146" s="183">
        <f>SUMIFS(РД[S],РД[ИМ],A146,РД[Дата подачи на регистрацию],"&lt;="&amp;$A$1,РД[Дата подачи на регистрацию],"&gt;="&amp;DATE(YEAR($A$1),MONTH($A$1),1),РД[Состояние],"Продажа")</f>
        <v>373.69</v>
      </c>
      <c r="H146" s="184">
        <f>SUMIFS(РД[Стоимость без отделки итог],РД[ИМ],A146,РД[Дата подачи на регистрацию],"&lt;="&amp;$A$1,РД[Дата подачи на регистрацию],"&gt;="&amp;DATE(YEAR($A$1),MONTH($A$1),1),РД[Состояние],"Продажа")</f>
        <v>44489044</v>
      </c>
      <c r="I146" s="243">
        <f>COUNTIFS(РД[ИМ],A146,РД[Дата подачи на регистрацию],"&lt;="&amp;$A$1,РД[Дата подачи на регистрацию],"&gt;="&amp;DATE(YEAR($A$1),MONTH($A$1),1),РД[Состояние],"Продажа")</f>
        <v>7</v>
      </c>
      <c r="J146" s="244">
        <f t="shared" ref="J146:K149" si="24">IFERROR(G146/B146,"")</f>
        <v>0.56561980662898093</v>
      </c>
      <c r="K146" s="258">
        <f t="shared" si="24"/>
        <v>0.5338846550646712</v>
      </c>
      <c r="L146" s="183">
        <f>COUNTIFS(РД[Тип кв],L136,РД[ИМ],$A146,РД[Дата подачи на регистрацию],"&lt;="&amp;$A$1,РД[Дата подачи на регистрацию],"&gt;="&amp;DATE(YEAR($A$1),MONTH($A$1),1))</f>
        <v>1</v>
      </c>
      <c r="M146" s="243">
        <f>COUNTIFS(РД[Тип кв],M136,РД[ИМ],$A146,РД[Дата подачи на регистрацию],"&lt;="&amp;$A$1,РД[Дата подачи на регистрацию],"&gt;="&amp;DATE(YEAR($A$1),MONTH($A$1),1))</f>
        <v>3</v>
      </c>
      <c r="N146" s="243">
        <f>COUNTIFS(РД[Тип кв],N136,РД[ИМ],$A146,РД[Дата подачи на регистрацию],"&lt;="&amp;$A$1,РД[Дата подачи на регистрацию],"&gt;="&amp;DATE(YEAR($A$1),MONTH($A$1),1))</f>
        <v>2</v>
      </c>
      <c r="O146" s="243">
        <f>COUNTIFS(РД[Тип кв],O136,РД[ИМ],$A146,РД[Дата подачи на регистрацию],"&lt;="&amp;$A$1,РД[Дата подачи на регистрацию],"&gt;="&amp;DATE(YEAR($A$1),MONTH($A$1),1))</f>
        <v>2</v>
      </c>
      <c r="P146" s="246">
        <f>COUNTIFS(РД[Тип кв],P136,РД[ИМ],$A146,РД[Дата подачи на регистрацию],"&lt;="&amp;$A$1,РД[Дата подачи на регистрацию],"&gt;="&amp;DATE(YEAR($A$1),MONTH($A$1),1))</f>
        <v>0</v>
      </c>
      <c r="Q146" s="66"/>
      <c r="R146" s="66"/>
      <c r="S146" s="66"/>
      <c r="T146" s="66"/>
    </row>
    <row r="147" spans="1:21" s="65" customFormat="1">
      <c r="A147" s="150" t="s">
        <v>26</v>
      </c>
      <c r="B147" s="143">
        <f>IFERROR(VLOOKUP(A147,'ИПП 1кв25'!$B$40:$N$51,12,0),"")</f>
        <v>516.52653061224487</v>
      </c>
      <c r="C147" s="144">
        <f>IFERROR(VLOOKUP(A147,'ИПП 1кв25'!$B$40:$N$51,13,0),"")</f>
        <v>65149547.118367337</v>
      </c>
      <c r="D147" s="205">
        <f>SUMIFS(Март25[м2],Март25[ИМ],A147,Март25[Комнатность],"&lt;&gt;Офис")</f>
        <v>624.97</v>
      </c>
      <c r="E147" s="206">
        <f>SUMIFS(Март25[Сумма без отделки],Март25[ИМ],$A147,Март25[Комнатность],"&lt;&gt;Офис")</f>
        <v>77911225</v>
      </c>
      <c r="F147" s="207">
        <f>COUNTIFS(Март25[ИМ],$A147,Март25[Комнатность],"&lt;&gt;Офис")</f>
        <v>14</v>
      </c>
      <c r="G147" s="187">
        <f>SUMIFS(РД[S],РД[ИМ],A147,РД[Дата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188">
        <f>SUMIFS(РД[Стоимость без отделки итог],РД[ИМ],A147,РД[Дата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47">
        <f>COUNTIFS(РД[ИМ],A147,РД[Дата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48">
        <f t="shared" si="24"/>
        <v>0</v>
      </c>
      <c r="K147" s="259">
        <f t="shared" si="24"/>
        <v>0</v>
      </c>
      <c r="L147" s="328">
        <f>COUNTIFS(РД[Тип кв],L138,РД[ИМ],$A147,РД[Дата подачи на регистрацию],"&lt;="&amp;$A$1,РД[Дата подачи на регистрацию],"&gt;="&amp;DATE(YEAR($A$1),MONTH($A$1),1))</f>
        <v>0</v>
      </c>
      <c r="M147" s="247">
        <f>COUNTIFS(РД[Тип кв],M138,РД[ИМ],$A147,РД[Дата подачи на регистрацию],"&lt;="&amp;$A$1,РД[Дата подачи на регистрацию],"&gt;="&amp;DATE(YEAR($A$1),MONTH($A$1),1))</f>
        <v>0</v>
      </c>
      <c r="N147" s="247">
        <f>COUNTIFS(РД[Тип кв],N138,РД[ИМ],$A147,РД[Дата подачи на регистрацию],"&lt;="&amp;$A$1,РД[Дата подачи на регистрацию],"&gt;="&amp;DATE(YEAR($A$1),MONTH($A$1),1))</f>
        <v>0</v>
      </c>
      <c r="O147" s="247">
        <f>COUNTIFS(РД[Тип кв],O138,РД[ИМ],$A147,РД[Дата подачи на регистрацию],"&lt;="&amp;$A$1,РД[Дата подачи на регистрацию],"&gt;="&amp;DATE(YEAR($A$1),MONTH($A$1),1))</f>
        <v>0</v>
      </c>
      <c r="P147" s="250">
        <f>COUNTIFS(РД[Тип кв],P138,РД[ИМ],$A147,РД[Дата подачи на регистрацию],"&lt;="&amp;$A$1,РД[Дата подачи на регистрацию],"&gt;="&amp;DATE(YEAR($A$1),MONTH($A$1),1))</f>
        <v>0</v>
      </c>
      <c r="Q147" s="66"/>
      <c r="R147" s="66"/>
      <c r="S147" s="66"/>
      <c r="T147" s="66"/>
    </row>
    <row r="148" spans="1:21" s="65" customFormat="1">
      <c r="A148" s="189" t="s">
        <v>3</v>
      </c>
      <c r="B148" s="190">
        <f>IFERROR(VLOOKUP(A148,'ИПП 1кв25'!$B$40:$N$51,12,0),"")</f>
        <v>0</v>
      </c>
      <c r="C148" s="191">
        <f>IFERROR(VLOOKUP(A148,'ИПП 1кв25'!$B$40:$N$51,13,0),"")</f>
        <v>0</v>
      </c>
      <c r="D148" s="208">
        <f>SUMIFS(Март25[м2],Март25[ИМ],A148,Март25[Комнатность],"&lt;&gt;Офис")</f>
        <v>0</v>
      </c>
      <c r="E148" s="209">
        <f>SUMIFS(Март25[Сумма без отделки],Март25[ИМ],$A148,Март25[Комнатность],"&lt;&gt;Офис")</f>
        <v>0</v>
      </c>
      <c r="F148" s="210">
        <f>COUNTIFS(Март25[ИМ],$A148,Март25[Комнатность],"&lt;&gt;Офис")</f>
        <v>0</v>
      </c>
      <c r="G148" s="195">
        <f>SUMIFS(РД[S],РД[ИМ],A148,РД[Дата подачи на регистрацию],"&lt;="&amp;$A$1,РД[Дата подачи на регистрацию],"&gt;="&amp;DATE(YEAR($A$1),MONTH($A$1),1),РД[Состояние],"Продажа")</f>
        <v>0</v>
      </c>
      <c r="H148" s="196">
        <f>SUMIFS(РД[Стоимость без отделки итог],РД[ИМ],A148,РД[Дата подачи на регистрацию],"&lt;="&amp;$A$1,РД[Дата подачи на регистрацию],"&gt;="&amp;DATE(YEAR($A$1),MONTH($A$1),1),РД[Состояние],"Продажа")</f>
        <v>0</v>
      </c>
      <c r="I148" s="251">
        <f>COUNTIFS(РД[ИМ],A148,РД[Дата подачи на регистрацию],"&lt;="&amp;$A$1,РД[Дата подачи на регистрацию],"&gt;="&amp;DATE(YEAR($A$1),MONTH($A$1),1),РД[Состояние],"Продажа")</f>
        <v>0</v>
      </c>
      <c r="J148" s="252" t="str">
        <f t="shared" si="24"/>
        <v/>
      </c>
      <c r="K148" s="260" t="str">
        <f t="shared" si="24"/>
        <v/>
      </c>
      <c r="L148" s="329">
        <f>COUNTIFS(РД[Тип кв],L140,РД[ИМ],$A148,РД[Дата подачи на регистрацию],"&lt;="&amp;$A$1,РД[Дата подачи на регистрацию],"&gt;="&amp;DATE(YEAR($A$1),MONTH($A$1),1))</f>
        <v>0</v>
      </c>
      <c r="M148" s="330">
        <f>COUNTIFS(РД[Тип кв],M140,РД[ИМ],$A148,РД[Дата подачи на регистрацию],"&lt;="&amp;$A$1,РД[Дата подачи на регистрацию],"&gt;="&amp;DATE(YEAR($A$1),MONTH($A$1),1))</f>
        <v>0</v>
      </c>
      <c r="N148" s="330">
        <f>COUNTIFS(РД[Тип кв],N140,РД[ИМ],$A148,РД[Дата подачи на регистрацию],"&lt;="&amp;$A$1,РД[Дата подачи на регистрацию],"&gt;="&amp;DATE(YEAR($A$1),MONTH($A$1),1))</f>
        <v>0</v>
      </c>
      <c r="O148" s="330">
        <f>COUNTIFS(РД[Тип кв],O140,РД[ИМ],$A148,РД[Дата подачи на регистрацию],"&lt;="&amp;$A$1,РД[Дата подачи на регистрацию],"&gt;="&amp;DATE(YEAR($A$1),MONTH($A$1),1))</f>
        <v>0</v>
      </c>
      <c r="P148" s="331">
        <f>COUNTIFS(РД[Тип кв],P140,РД[ИМ],$A148,РД[Дата подачи на регистрацию],"&lt;="&amp;$A$1,РД[Дата подачи на регистрацию],"&gt;="&amp;DATE(YEAR($A$1),MONTH($A$1),1))</f>
        <v>0</v>
      </c>
      <c r="Q148" s="66"/>
      <c r="R148" s="66"/>
      <c r="S148" s="66"/>
      <c r="T148" s="66"/>
    </row>
    <row r="149" spans="1:21" s="65" customFormat="1">
      <c r="A149" s="168" t="s">
        <v>114</v>
      </c>
      <c r="B149" s="169">
        <f>SUM(B146:B148)</f>
        <v>1177.1999999999998</v>
      </c>
      <c r="C149" s="170">
        <f>SUM(C146:C148)</f>
        <v>148480363.19999999</v>
      </c>
      <c r="D149" s="170">
        <f t="shared" ref="D149:P149" si="25">SUM(D146:D148)</f>
        <v>1596.4299999999998</v>
      </c>
      <c r="E149" s="170">
        <f t="shared" si="25"/>
        <v>192517407</v>
      </c>
      <c r="F149" s="171">
        <f t="shared" si="25"/>
        <v>33</v>
      </c>
      <c r="G149" s="172">
        <f t="shared" si="25"/>
        <v>373.69</v>
      </c>
      <c r="H149" s="173">
        <f t="shared" si="25"/>
        <v>44489044</v>
      </c>
      <c r="I149" s="170">
        <f t="shared" si="25"/>
        <v>7</v>
      </c>
      <c r="J149" s="238">
        <f t="shared" si="24"/>
        <v>0.31743968739381589</v>
      </c>
      <c r="K149" s="239">
        <f t="shared" si="24"/>
        <v>0.29962914314853994</v>
      </c>
      <c r="L149" s="240">
        <f t="shared" si="25"/>
        <v>1</v>
      </c>
      <c r="M149" s="241">
        <f t="shared" si="25"/>
        <v>3</v>
      </c>
      <c r="N149" s="241">
        <f t="shared" si="25"/>
        <v>2</v>
      </c>
      <c r="O149" s="241">
        <f t="shared" si="25"/>
        <v>2</v>
      </c>
      <c r="P149" s="242">
        <f t="shared" si="25"/>
        <v>0</v>
      </c>
      <c r="Q149" s="66"/>
      <c r="R149" s="66"/>
      <c r="S149" s="66"/>
      <c r="T149" s="66"/>
    </row>
    <row r="150" spans="1:21" s="65" customFormat="1">
      <c r="A150" s="134"/>
      <c r="B150" s="44"/>
      <c r="C150" s="44"/>
      <c r="D150" s="134"/>
      <c r="E150" s="134"/>
      <c r="F150" s="44"/>
      <c r="G150" s="134"/>
      <c r="H150" s="134"/>
      <c r="I150" s="134"/>
      <c r="J150" s="134"/>
      <c r="K150" s="255"/>
      <c r="L150" s="256"/>
      <c r="M150" s="134"/>
      <c r="N150" s="134"/>
      <c r="O150" s="134"/>
      <c r="P150" s="134"/>
      <c r="Q150" s="134"/>
      <c r="T150" s="66"/>
      <c r="U150" s="66"/>
    </row>
    <row r="151" spans="1:21" s="65" customFormat="1" ht="15">
      <c r="A151" s="2400" t="s">
        <v>1368</v>
      </c>
      <c r="B151" s="2401"/>
      <c r="C151" s="2401"/>
      <c r="D151" s="2401"/>
      <c r="E151" s="2401"/>
      <c r="F151" s="2401"/>
      <c r="G151" s="2401"/>
      <c r="H151" s="2401"/>
      <c r="I151" s="2401"/>
      <c r="J151" s="2401"/>
      <c r="K151" s="2401"/>
      <c r="L151" s="2401"/>
      <c r="M151" s="2401"/>
      <c r="N151" s="2401"/>
      <c r="O151" s="2401"/>
      <c r="P151" s="66"/>
      <c r="S151" s="66"/>
      <c r="T151" s="66"/>
    </row>
    <row r="152" spans="1:21" s="65" customFormat="1">
      <c r="A152" s="135" t="s">
        <v>1</v>
      </c>
      <c r="B152" s="135" t="s">
        <v>100</v>
      </c>
      <c r="C152" s="136" t="s">
        <v>97</v>
      </c>
      <c r="D152" s="264" t="s">
        <v>494</v>
      </c>
      <c r="E152" s="265" t="s">
        <v>495</v>
      </c>
      <c r="F152" s="266" t="s">
        <v>496</v>
      </c>
      <c r="G152" s="140" t="s">
        <v>101</v>
      </c>
      <c r="H152" s="141" t="s">
        <v>98</v>
      </c>
      <c r="I152" s="141" t="s">
        <v>96</v>
      </c>
      <c r="J152" s="141" t="s">
        <v>715</v>
      </c>
      <c r="K152" s="216" t="s">
        <v>716</v>
      </c>
      <c r="L152" s="332" t="s">
        <v>121</v>
      </c>
      <c r="M152" s="218" t="s">
        <v>27</v>
      </c>
      <c r="N152" s="219" t="s">
        <v>7</v>
      </c>
      <c r="O152" s="219" t="s">
        <v>19</v>
      </c>
      <c r="P152" s="66"/>
      <c r="S152" s="66"/>
      <c r="T152" s="66"/>
    </row>
    <row r="153" spans="1:21" s="65" customFormat="1">
      <c r="A153" s="142" t="s">
        <v>28</v>
      </c>
      <c r="B153" s="267"/>
      <c r="C153" s="268"/>
      <c r="D153" s="269">
        <f>SUMIFS(Март25[м2],Март25[КТУ],A153,Март25[Комнатность],"Офис")</f>
        <v>0</v>
      </c>
      <c r="E153" s="144">
        <f>SUMIFS(Март25[Сумма без отделки],Март25[КТУ],$A153,Март25[Комнатность],"оФИС")</f>
        <v>0</v>
      </c>
      <c r="F153" s="270">
        <f>COUNTIFS(Март25[КТУ],$A153,Март25[Комнатность],"Офис")</f>
        <v>0</v>
      </c>
      <c r="G153" s="267">
        <f>SUMIFS(РД[S],РД[МОП],A153,РД[Дата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H153" s="146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I153" s="220">
        <f>COUNTIFS(РД[МОП],A153,РД[Дата подачи на регистрацию],"&lt;="&amp;$A$1,РД[Дата подачи на регистрацию],"&gt;="&amp;DATE(YEAR($A$1),MONTH($A$1),1),РД[Состояние],"Коммерция")</f>
        <v>0</v>
      </c>
      <c r="J153" s="221" t="str">
        <f t="shared" ref="J153:K159" si="26">IFERROR(G153/B153,"")</f>
        <v/>
      </c>
      <c r="K153" s="333" t="str">
        <f t="shared" si="26"/>
        <v/>
      </c>
      <c r="L153" s="148">
        <f>COUNTIFS(РД[Дом],L$152,РД[МОП],$A153,РД[Дата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M153" s="220">
        <f>COUNTIFS(РД[Дом],M$152,РД[МОП],$A153,РД[Дата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N153" s="223">
        <f>COUNTIFS(РД[Дом],N$152,РД[МОП],$A153,РД[Дата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O153" s="223">
        <f>COUNTIFS(РД[Дом],O$152,РД[МОП],$A153,РД[Дата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P153" s="66"/>
      <c r="S153" s="66"/>
      <c r="T153" s="66"/>
    </row>
    <row r="154" spans="1:21" s="65" customFormat="1">
      <c r="A154" s="142" t="s">
        <v>8</v>
      </c>
      <c r="B154" s="267"/>
      <c r="C154" s="268"/>
      <c r="D154" s="269">
        <f>SUMIFS(Март25[м2],Март25[КТУ],A154,Март25[Комнатность],"Офис")</f>
        <v>0</v>
      </c>
      <c r="E154" s="144">
        <f>SUMIFS(Март25[Сумма без отделки],Март25[КТУ],$A154,Март25[Комнатность],"оФИС")</f>
        <v>0</v>
      </c>
      <c r="F154" s="270">
        <f>COUNTIFS(Март25[КТУ],$A154,Март25[Комнатность],"Офис")</f>
        <v>0</v>
      </c>
      <c r="G154" s="267">
        <f>SUMIFS(РД[S],РД[МОП],A154,РД[Дата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H154" s="146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I154" s="220">
        <f>COUNTIFS(РД[МОП],A154,РД[Дата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J154" s="221" t="str">
        <f t="shared" si="26"/>
        <v/>
      </c>
      <c r="K154" s="333" t="str">
        <f t="shared" si="26"/>
        <v/>
      </c>
      <c r="L154" s="148">
        <f>COUNTIFS(РД[Дом],L$152,РД[МОП],$A154,РД[Дата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M154" s="220">
        <f>COUNTIFS(РД[Дом],M$152,РД[МОП],$A154,РД[Дата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N154" s="223">
        <f>COUNTIFS(РД[Дом],N$152,РД[МОП],$A154,РД[Дата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O154" s="223">
        <f>COUNTIFS(РД[Дом],O$152,РД[МОП],$A154,РД[Дата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S154" s="66"/>
      <c r="T154" s="66"/>
    </row>
    <row r="155" spans="1:21" s="65" customFormat="1">
      <c r="A155" s="150" t="s">
        <v>20</v>
      </c>
      <c r="B155" s="267"/>
      <c r="C155" s="268"/>
      <c r="D155" s="269">
        <f>SUMIFS(Март25[м2],Март25[КТУ],A155,Март25[Комнатность],"Офис")</f>
        <v>149.19999999999999</v>
      </c>
      <c r="E155" s="144">
        <f>SUMIFS(Март25[Сумма без отделки],Март25[КТУ],$A155,Март25[Комнатность],"оФИС")</f>
        <v>18000000</v>
      </c>
      <c r="F155" s="270">
        <f>COUNTIFS(Март25[КТУ],$A155,Март25[Комнатность],"Офис")</f>
        <v>1</v>
      </c>
      <c r="G155" s="267">
        <f>SUMIFS(РД[S],РД[МОП],A155,РД[Дата подачи на регистрацию],"&lt;="&amp;$A$1,РД[Дата подачи на регистрацию],"&gt;="&amp;DATE(YEAR($A$1),MONTH($A$1),1),РД[Состояние],"Коммерция")</f>
        <v>149.19999999999999</v>
      </c>
      <c r="H155" s="146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регистрацию],"&gt;="&amp;DATE(YEAR($A$1),MONTH($A$1),1),РД[Состояние],"Коммерция")</f>
        <v>18000000</v>
      </c>
      <c r="I155" s="220">
        <f>COUNTIFS(РД[МОП],A155,РД[Дата подачи на регистрацию],"&lt;="&amp;$A$1,РД[Дата подачи на регистрацию],"&gt;="&amp;DATE(YEAR($A$1),MONTH($A$1),1),РД[Состояние],"Коммерция")</f>
        <v>1</v>
      </c>
      <c r="J155" s="221" t="str">
        <f t="shared" si="26"/>
        <v/>
      </c>
      <c r="K155" s="333" t="str">
        <f t="shared" si="26"/>
        <v/>
      </c>
      <c r="L155" s="148">
        <f>COUNTIFS(РД[Дом],L$152,РД[МОП],$A155,РД[Дата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0">
        <f>COUNTIFS(РД[Дом],M$152,РД[МОП],$A155,РД[Дата подачи на регистрацию],"&lt;="&amp;$A$1,РД[Дата подачи на регистрацию],"&gt;="&amp;DATE(YEAR($A$1),MONTH($A$1),1),РД[Состояние],"Коммерция")</f>
        <v>1</v>
      </c>
      <c r="N155" s="223">
        <f>COUNTIFS(РД[Дом],N$152,РД[МОП],$A155,РД[Дата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O155" s="223">
        <f>COUNTIFS(РД[Дом],O$152,РД[МОП],$A155,РД[Дата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S155" s="66"/>
      <c r="T155" s="66"/>
    </row>
    <row r="156" spans="1:21" s="65" customFormat="1">
      <c r="A156" s="153" t="s">
        <v>24</v>
      </c>
      <c r="B156" s="271"/>
      <c r="C156" s="272"/>
      <c r="D156" s="269">
        <f>SUMIFS(Март25[м2],Март25[КТУ],A156,Март25[Комнатность],"Офис")</f>
        <v>0</v>
      </c>
      <c r="E156" s="200">
        <f>SUMIFS(Март25[Сумма без отделки],Март25[КТУ],$A156,Март25[Комнатность],"оФИС")</f>
        <v>0</v>
      </c>
      <c r="F156" s="273">
        <f>COUNTIFS(Март25[КТУ],$A156,Март25[Комнатность],"Офис")</f>
        <v>0</v>
      </c>
      <c r="G156" s="271">
        <f>SUMIFS(РД[S],РД[МОП],A156,РД[Дата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H156" s="52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I156" s="220">
        <f>COUNTIFS(РД[МОП],A156,РД[Дата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J156" s="224" t="str">
        <f t="shared" si="26"/>
        <v/>
      </c>
      <c r="K156" s="334" t="str">
        <f t="shared" si="26"/>
        <v/>
      </c>
      <c r="L156" s="202">
        <f>COUNTIFS(РД[Дом],L$152,РД[МОП],$A156,РД[Дата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226">
        <f>COUNTIFS(РД[Дом],M$152,РД[МОП],$A156,РД[Дата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227">
        <f>COUNTIFS(РД[Дом],N$152,РД[МОП],$A156,РД[Дата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227">
        <f>COUNTIFS(РД[Дом],O$152,РД[МОП],$A156,РД[Дата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S156" s="66"/>
      <c r="T156" s="66"/>
    </row>
    <row r="157" spans="1:21" s="65" customFormat="1">
      <c r="A157" s="153" t="s">
        <v>14</v>
      </c>
      <c r="B157" s="315"/>
      <c r="C157" s="316"/>
      <c r="D157" s="362">
        <f>SUMIFS(Март25[м2],Март25[КТУ],A157,Март25[Комнатность],"Офис")</f>
        <v>0</v>
      </c>
      <c r="E157" s="300">
        <f>SUMIFS(Март25[Сумма без отделки],Март25[КТУ],$A157,Март25[Комнатность],"оФИС")</f>
        <v>0</v>
      </c>
      <c r="F157" s="301">
        <f>COUNTIFS(Март25[КТУ],$A157,Март25[Комнатность],"Офис")</f>
        <v>0</v>
      </c>
      <c r="G157" s="315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363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47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360" t="str">
        <f t="shared" si="26"/>
        <v/>
      </c>
      <c r="K157" s="367" t="str">
        <f t="shared" si="26"/>
        <v/>
      </c>
      <c r="L157" s="358">
        <f>COUNTIFS(РД[Дом],L$152,РД[МОП],$A157,РД[Дата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330">
        <f>COUNTIFS(РД[Дом],M$152,РД[МОП],$A157,РД[Дата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331">
        <f>COUNTIFS(РД[Дом],N$152,РД[МОП],$A157,РД[Дата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331">
        <f>COUNTIFS(РД[Дом],O$152,РД[МОП],$A157,РД[Дата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S157" s="66"/>
      <c r="T157" s="66"/>
    </row>
    <row r="158" spans="1:21" s="65" customFormat="1">
      <c r="A158" s="154" t="s">
        <v>29</v>
      </c>
      <c r="B158" s="274"/>
      <c r="C158" s="275"/>
      <c r="D158" s="276">
        <f>SUMIFS(Март25[м2],Март25[КТУ],A158,Март25[Комнатность],"Офис")</f>
        <v>0</v>
      </c>
      <c r="E158" s="156">
        <f>SUMIFS(Март25[Сумма без отделки],Март25[КТУ],$A158,Март25[Комнатность],"оФИС")</f>
        <v>0</v>
      </c>
      <c r="F158" s="158">
        <f>COUNTIFS(Март25[КТУ],$A158,Март25[Комнатность],"Офис")</f>
        <v>0</v>
      </c>
      <c r="G158" s="274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H158" s="277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I158" s="228">
        <f>COUNTIFS(РД[МОП],A158,РД[Дата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J158" s="229" t="str">
        <f t="shared" si="26"/>
        <v/>
      </c>
      <c r="K158" s="335" t="str">
        <f t="shared" si="26"/>
        <v/>
      </c>
      <c r="L158" s="159">
        <f>COUNTIFS(РД[Дом],L$152,РД[МОП],$A158,РД[Дата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28">
        <f>COUNTIFS(РД[Дом],M$152,РД[МОП],$A158,РД[Дата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231">
        <f>COUNTIFS(РД[Дом],N$152,РД[МОП],$A158,РД[Дата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231">
        <f>COUNTIFS(РД[Дом],O$152,РД[МОП],$A158,РД[Дата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S158" s="66"/>
      <c r="T158" s="66"/>
    </row>
    <row r="159" spans="1:21" s="65" customFormat="1">
      <c r="A159" s="161" t="s">
        <v>1919</v>
      </c>
      <c r="B159" s="278"/>
      <c r="C159" s="279"/>
      <c r="D159" s="280">
        <f>SUMIFS(Март25[м2],Март25[МОП],A159,Март25[Комнатность],"Офис")</f>
        <v>0</v>
      </c>
      <c r="E159" s="163">
        <f>SUMIFS(Март25[Сумма без отделки],Март25[МОП],$A159,Март25[Комнатность],"оФИС")</f>
        <v>0</v>
      </c>
      <c r="F159" s="165">
        <f>COUNTIFS(Март25[МОП],$A159,Март25[Комнатность],"Офис")</f>
        <v>0</v>
      </c>
      <c r="G159" s="278">
        <f>SUMIFS(РД[S],РД[МОП],A159,РД[Дата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H159" s="281">
        <f>SUMIFS(РД[Стоимость без отделки итог],РД[МОП],A159,РД[Дата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I159" s="232">
        <f>COUNTIFS(РД[МОП],A159,РД[Дата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J159" s="233" t="str">
        <f t="shared" si="26"/>
        <v/>
      </c>
      <c r="K159" s="336" t="str">
        <f t="shared" si="26"/>
        <v/>
      </c>
      <c r="L159" s="166">
        <f>COUNTIFS(РД[Дом],L$152,РД[МОП],$A159,РД[Дата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M159" s="232">
        <f>COUNTIFS(РД[Дом],M$152,РД[МОП],$A159,РД[Дата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N159" s="337">
        <f>COUNTIFS(РД[Дом],N$152,РД[МОП],$A159,РД[Дата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O159" s="337">
        <f>COUNTIFS(РД[Дом],O$152,РД[МОП],$A159,РД[Дата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S159" s="66"/>
      <c r="T159" s="66"/>
    </row>
    <row r="160" spans="1:21" s="65" customFormat="1">
      <c r="A160" s="168" t="s">
        <v>114</v>
      </c>
      <c r="B160" s="282">
        <f>SUM(B153:B159)</f>
        <v>0</v>
      </c>
      <c r="C160" s="283">
        <f t="shared" ref="C160:O160" si="27">SUM(C153:C159)</f>
        <v>0</v>
      </c>
      <c r="D160" s="284">
        <f t="shared" si="27"/>
        <v>149.19999999999999</v>
      </c>
      <c r="E160" s="285">
        <f t="shared" si="27"/>
        <v>18000000</v>
      </c>
      <c r="F160" s="286">
        <f t="shared" si="27"/>
        <v>1</v>
      </c>
      <c r="G160" s="282">
        <f t="shared" si="27"/>
        <v>149.19999999999999</v>
      </c>
      <c r="H160" s="287">
        <f t="shared" si="27"/>
        <v>18000000</v>
      </c>
      <c r="I160" s="287">
        <f t="shared" si="27"/>
        <v>1</v>
      </c>
      <c r="J160" s="238">
        <f t="shared" si="27"/>
        <v>0</v>
      </c>
      <c r="K160" s="338">
        <f t="shared" si="27"/>
        <v>0</v>
      </c>
      <c r="L160" s="318">
        <f t="shared" si="27"/>
        <v>0</v>
      </c>
      <c r="M160" s="321">
        <f t="shared" si="27"/>
        <v>1</v>
      </c>
      <c r="N160" s="319">
        <f t="shared" si="27"/>
        <v>0</v>
      </c>
      <c r="O160" s="319">
        <f t="shared" si="27"/>
        <v>0</v>
      </c>
      <c r="S160" s="66"/>
      <c r="T160" s="66"/>
    </row>
    <row r="161" spans="1:21" s="65" customFormat="1">
      <c r="A161" s="135" t="s">
        <v>115</v>
      </c>
      <c r="B161" s="135" t="s">
        <v>100</v>
      </c>
      <c r="C161" s="136" t="s">
        <v>97</v>
      </c>
      <c r="D161" s="288" t="s">
        <v>494</v>
      </c>
      <c r="E161" s="289" t="s">
        <v>495</v>
      </c>
      <c r="F161" s="290" t="s">
        <v>496</v>
      </c>
      <c r="G161" s="140" t="s">
        <v>101</v>
      </c>
      <c r="H161" s="141" t="s">
        <v>98</v>
      </c>
      <c r="I161" s="141" t="s">
        <v>96</v>
      </c>
      <c r="J161" s="141" t="s">
        <v>715</v>
      </c>
      <c r="K161" s="216" t="s">
        <v>716</v>
      </c>
      <c r="L161" s="332" t="s">
        <v>121</v>
      </c>
      <c r="M161" s="218" t="s">
        <v>27</v>
      </c>
      <c r="N161" s="219" t="s">
        <v>7</v>
      </c>
      <c r="O161" s="219" t="s">
        <v>7</v>
      </c>
      <c r="T161" s="66"/>
    </row>
    <row r="162" spans="1:21" s="65" customFormat="1">
      <c r="A162" s="177" t="s">
        <v>22</v>
      </c>
      <c r="B162" s="291"/>
      <c r="C162" s="292"/>
      <c r="D162" s="180">
        <f>SUMIFS(Март25[м2],Март25[ИМ],A162,Март25[Комнатность],"Офис")</f>
        <v>0</v>
      </c>
      <c r="E162" s="181">
        <f>SUMIFS(Март25[Сумма без отделки],Март25[ИМ],$A162,Март25[Комнатность],"оФИС")</f>
        <v>0</v>
      </c>
      <c r="F162" s="204">
        <f>COUNTIFS(Март25[ИМ],$A162,Март25[Комнатность],"Офис")</f>
        <v>0</v>
      </c>
      <c r="G162" s="183">
        <f>SUMIFS(РД[S],РД[ИМ],A162,РД[Дата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H162" s="184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43">
        <f>COUNTIFS(РД[ИМ],A162,РД[Дата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44" t="str">
        <f t="shared" ref="J162:K165" si="28">IFERROR(G162/B162,"")</f>
        <v/>
      </c>
      <c r="K162" s="258" t="str">
        <f t="shared" si="28"/>
        <v/>
      </c>
      <c r="L162" s="148">
        <f>COUNTIFS(РД[Дом],L$152,РД[ИМ],$A162,РД[Дата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0">
        <f>COUNTIFS(РД[Дом],M$152,РД[ИМ],$A162,РД[Дата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3">
        <f>COUNTIFS(РД[Дом],N$152,РД[ИМ],$A162,РД[Дата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3">
        <f>COUNTIFS(РД[Дом],O$152,РД[ИМ],$A162,РД[Дата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T162" s="66"/>
    </row>
    <row r="163" spans="1:21" s="65" customFormat="1">
      <c r="A163" s="150" t="s">
        <v>26</v>
      </c>
      <c r="B163" s="267"/>
      <c r="C163" s="146"/>
      <c r="D163" s="205">
        <f>SUMIFS(Март25[м2],Март25[ИМ],A163,Март25[Комнатность],"Офис")</f>
        <v>0</v>
      </c>
      <c r="E163" s="206">
        <f>SUMIFS(Март25[Сумма без отделки],Март25[ИМ],$A163,Март25[Комнатность],"оФИС")</f>
        <v>0</v>
      </c>
      <c r="F163" s="207">
        <f>COUNTIFS(Март25[ИМ],$A163,Март25[Комнатность],"Офис")</f>
        <v>0</v>
      </c>
      <c r="G163" s="187">
        <f>SUMIFS(РД[S],РД[ИМ],A163,РД[Дата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88">
        <f>SUMIFS(РД[Стоимость без отделки итог],РД[ИМ],A163,РД[Дата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47">
        <f>COUNTIFS(РД[ИМ],A163,РД[Дата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48" t="str">
        <f t="shared" si="28"/>
        <v/>
      </c>
      <c r="K163" s="259" t="str">
        <f t="shared" si="28"/>
        <v/>
      </c>
      <c r="L163" s="148">
        <f>COUNTIFS(РД[Дом],L$152,РД[ИМ],$A163,РД[Дата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0">
        <f>COUNTIFS(РД[Дом],M$152,РД[ИМ],$A163,РД[Дата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3">
        <f>COUNTIFS(РД[Дом],N$152,РД[ИМ],$A163,РД[Дата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3">
        <f>COUNTIFS(РД[Дом],O$152,РД[ИМ],$A163,РД[Дата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T163" s="66"/>
    </row>
    <row r="164" spans="1:21" s="65" customFormat="1">
      <c r="A164" s="189" t="s">
        <v>3</v>
      </c>
      <c r="B164" s="293"/>
      <c r="C164" s="294"/>
      <c r="D164" s="208">
        <f>SUMIFS(Март25[м2],Март25[ИМ],A164,Март25[Комнатность],"Офис")</f>
        <v>0</v>
      </c>
      <c r="E164" s="209">
        <f>SUMIFS(Март25[Сумма без отделки],Март25[ИМ],$A164,Март25[Комнатность],"оФИС")</f>
        <v>0</v>
      </c>
      <c r="F164" s="210">
        <f>COUNTIFS(Март25[ИМ],$A164,Март25[Комнатность],"Офис")</f>
        <v>0</v>
      </c>
      <c r="G164" s="195">
        <f>SUMIFS(РД[S],РД[ИМ],A164,РД[Дата подачи на регистрацию],"&lt;="&amp;$A$1,РД[Дата подачи на регистрацию],"&gt;="&amp;DATE(YEAR($A$1),MONTH($A$1),1),РД[Состояние],"Коммерция")</f>
        <v>0</v>
      </c>
      <c r="H164" s="196">
        <f>SUMIFS(РД[Стоимость без отделки итог],РД[ИМ],A164,РД[Дата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51">
        <f>COUNTIFS(РД[ИМ],A164,РД[Дата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52" t="str">
        <f t="shared" si="28"/>
        <v/>
      </c>
      <c r="K164" s="260" t="str">
        <f t="shared" si="28"/>
        <v/>
      </c>
      <c r="L164" s="202">
        <f>COUNTIFS(РД[Дом],L$152,РД[ИМ],$A164,РД[Дата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26">
        <f>COUNTIFS(РД[Дом],M$152,РД[ИМ],$A164,РД[Дата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227">
        <f>COUNTIFS(РД[Дом],N$152,РД[ИМ],$A164,РД[Дата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227">
        <f>COUNTIFS(РД[Дом],O$152,РД[ИМ],$A164,РД[Дата подачи на регистрацию],"&lt;="&amp;$A$1,РД[Дата подачи на регистрацию],"&gt;="&amp;DATE(YEAR($A$1),MONTH($A$1),1),РД[Состояние],"Коммерция")</f>
        <v>0</v>
      </c>
      <c r="T164" s="66"/>
    </row>
    <row r="165" spans="1:21" s="65" customFormat="1">
      <c r="A165" s="168" t="s">
        <v>114</v>
      </c>
      <c r="B165" s="282">
        <f>SUM(B162:B164)</f>
        <v>0</v>
      </c>
      <c r="C165" s="283">
        <f>SUM(C162:C164)</f>
        <v>0</v>
      </c>
      <c r="D165" s="284">
        <f t="shared" ref="D165:I165" si="29">SUM(D162:D164)</f>
        <v>0</v>
      </c>
      <c r="E165" s="285">
        <f t="shared" si="29"/>
        <v>0</v>
      </c>
      <c r="F165" s="286">
        <f t="shared" si="29"/>
        <v>0</v>
      </c>
      <c r="G165" s="282">
        <f t="shared" si="29"/>
        <v>0</v>
      </c>
      <c r="H165" s="287">
        <f t="shared" si="29"/>
        <v>0</v>
      </c>
      <c r="I165" s="287">
        <f t="shared" si="29"/>
        <v>0</v>
      </c>
      <c r="J165" s="238" t="str">
        <f t="shared" si="28"/>
        <v/>
      </c>
      <c r="K165" s="338" t="str">
        <f t="shared" si="28"/>
        <v/>
      </c>
      <c r="L165" s="318">
        <f>SUM(L162:L164)</f>
        <v>0</v>
      </c>
      <c r="M165" s="321">
        <f>SUM(M162:M164)</f>
        <v>0</v>
      </c>
      <c r="N165" s="319">
        <f>SUM(N162:N164)</f>
        <v>0</v>
      </c>
      <c r="O165" s="319">
        <f>SUM(O162:O164)</f>
        <v>0</v>
      </c>
      <c r="T165" s="66"/>
    </row>
    <row r="166" spans="1:21" s="65" customFormat="1">
      <c r="A166" s="134"/>
      <c r="B166" s="44"/>
      <c r="C166" s="44"/>
      <c r="D166" s="134"/>
      <c r="E166" s="134"/>
      <c r="F166" s="44"/>
      <c r="G166" s="134"/>
      <c r="H166" s="134"/>
      <c r="I166" s="134"/>
      <c r="J166" s="134"/>
      <c r="K166" s="255"/>
      <c r="L166" s="256"/>
      <c r="M166" s="134"/>
      <c r="N166" s="134"/>
      <c r="O166" s="134"/>
      <c r="P166" s="134"/>
      <c r="Q166" s="72"/>
      <c r="U166" s="66"/>
    </row>
    <row r="167" spans="1:21" s="65" customFormat="1" ht="15">
      <c r="A167" s="2402" t="s">
        <v>945</v>
      </c>
      <c r="B167" s="2403"/>
      <c r="C167" s="2403"/>
      <c r="D167" s="2403"/>
      <c r="E167" s="2403"/>
      <c r="F167" s="2403"/>
      <c r="G167" s="2403"/>
      <c r="H167" s="2403"/>
      <c r="I167" s="2403"/>
      <c r="J167" s="2403"/>
      <c r="K167" s="2403"/>
      <c r="L167" s="2403"/>
      <c r="M167" s="2404"/>
      <c r="N167" s="339"/>
      <c r="O167" s="339"/>
      <c r="P167" s="86"/>
      <c r="T167" s="66"/>
    </row>
    <row r="168" spans="1:21" s="65" customFormat="1">
      <c r="A168" s="135" t="s">
        <v>1</v>
      </c>
      <c r="B168" s="135" t="s">
        <v>101</v>
      </c>
      <c r="C168" s="136" t="s">
        <v>98</v>
      </c>
      <c r="D168" s="295" t="s">
        <v>494</v>
      </c>
      <c r="E168" s="138" t="s">
        <v>495</v>
      </c>
      <c r="F168" s="296" t="s">
        <v>496</v>
      </c>
      <c r="G168" s="140" t="s">
        <v>946</v>
      </c>
      <c r="H168" s="141" t="s">
        <v>947</v>
      </c>
      <c r="I168" s="217">
        <v>0</v>
      </c>
      <c r="J168" s="218">
        <v>1</v>
      </c>
      <c r="K168" s="340">
        <v>2</v>
      </c>
      <c r="L168" s="218">
        <v>3</v>
      </c>
      <c r="M168" s="219" t="s">
        <v>1367</v>
      </c>
      <c r="N168" s="339"/>
      <c r="O168" s="339"/>
      <c r="P168" s="86"/>
      <c r="T168" s="66"/>
    </row>
    <row r="169" spans="1:21" s="65" customFormat="1">
      <c r="A169" s="142" t="s">
        <v>28</v>
      </c>
      <c r="B169" s="297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29.4</v>
      </c>
      <c r="C169" s="298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4067196</v>
      </c>
      <c r="D169" s="299">
        <f>SUMIFS(Март25[м2],Март25[КТУ],$A169,Март25[МОП],"АН -*")</f>
        <v>29.4</v>
      </c>
      <c r="E169" s="300">
        <f>SUMIFS(Март25[Сумма без отделки],Март25[КТУ],$A169,Март25[МОП],"АН -*")</f>
        <v>4067196</v>
      </c>
      <c r="F169" s="301">
        <f>COUNTIFS(Март25[КТУ],$A169,Март25[МОП],"АН -*")</f>
        <v>1</v>
      </c>
      <c r="G169" s="271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29.4</v>
      </c>
      <c r="H169" s="272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4067196</v>
      </c>
      <c r="I169" s="257">
        <f>COUNTIFS(РД[Тип кв],I$168,РД[МОП],$A169,РД[Дата подачи на регистрацию],"&lt;="&amp;$A$1,РД[Дата подачи на регистрацию],"&gt;="&amp;DATE(YEAR($A$1),MONTH($A$1),1),РД[Источник рекламы],"Н -*")</f>
        <v>1</v>
      </c>
      <c r="J169" s="226">
        <f>COUNTIFS(РД[Тип кв],J$168,РД[МОП],$A169,РД[Дата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K169" s="226">
        <f>COUNTIFS(РД[Тип кв],K$168,РД[МОП],$A169,РД[Дата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L169" s="226">
        <f>COUNTIFS(РД[Тип кв],L$168,РД[МОП],$A169,РД[Дата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M169" s="227">
        <f>COUNTIFS(РД[Тип кв],M$168,РД[МОП],$A169,РД[Дата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42" t="s">
        <v>8</v>
      </c>
      <c r="B170" s="297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49.2</v>
      </c>
      <c r="C170" s="298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6204120</v>
      </c>
      <c r="D170" s="299">
        <f>SUMIFS(Март25[м2],Март25[КТУ],$A170,Март25[МОП],"АН -*")</f>
        <v>49.2</v>
      </c>
      <c r="E170" s="300">
        <f>SUMIFS(Март25[Сумма без отделки],Март25[КТУ],$A170,Март25[МОП],"АН -*")</f>
        <v>6204120</v>
      </c>
      <c r="F170" s="301">
        <f>COUNTIFS(Март25[КТУ],$A170,Март25[МОП],"АН -*")</f>
        <v>1</v>
      </c>
      <c r="G170" s="271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49.2</v>
      </c>
      <c r="H170" s="272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6204120</v>
      </c>
      <c r="I170" s="257">
        <f>COUNTIFS(РД[Тип кв],I$168,РД[МОП],$A170,РД[Дата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K170" s="226">
        <f>COUNTIFS(РД[Тип кв],K$168,РД[МОП],$A170,РД[Дата подачи на регистрацию],"&lt;="&amp;$A$1,РД[Дата подачи на регистрацию],"&gt;="&amp;DATE(YEAR($A$1),MONTH($A$1),1),РД[Источник рекламы],"Н -*")</f>
        <v>1</v>
      </c>
      <c r="L170" s="226">
        <f>COUNTIFS(РД[Тип кв],L$168,РД[МОП],$A170,РД[Дата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кв],M$168,РД[МОП],$A170,РД[Дата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50" t="s">
        <v>20</v>
      </c>
      <c r="B171" s="297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179.49</v>
      </c>
      <c r="C171" s="298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22295330</v>
      </c>
      <c r="D171" s="299">
        <f>SUMIFS(Март25[м2],Март25[КТУ],$A171,Март25[МОП],"АН -*")</f>
        <v>179.49</v>
      </c>
      <c r="E171" s="300">
        <f>SUMIFS(Март25[Сумма без отделки],Март25[КТУ],$A171,Март25[МОП],"АН -*")</f>
        <v>22295330</v>
      </c>
      <c r="F171" s="301">
        <f>COUNTIFS(Март25[КТУ],$A171,Март25[МОП],"АН -*")</f>
        <v>4</v>
      </c>
      <c r="G171" s="271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179.49</v>
      </c>
      <c r="H171" s="272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22295330</v>
      </c>
      <c r="I171" s="257">
        <f>COUNTIFS(РД[Тип кв],I$168,РД[МОП],$A171,РД[Дата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J171" s="226">
        <f>COUNTIFS(РД[Тип кв],J$168,РД[МОП],$A171,РД[Дата подачи на регистрацию],"&lt;="&amp;$A$1,РД[Дата подачи на регистрацию],"&gt;="&amp;DATE(YEAR($A$1),MONTH($A$1),1),РД[Источник рекламы],"Н -*")</f>
        <v>3</v>
      </c>
      <c r="K171" s="226">
        <f>COUNTIFS(РД[Тип кв],K$168,РД[МОП],$A171,РД[Дата подачи на регистрацию],"&lt;="&amp;$A$1,РД[Дата подачи на регистрацию],"&gt;="&amp;DATE(YEAR($A$1),MONTH($A$1),1),РД[Источник рекламы],"Н -*")</f>
        <v>1</v>
      </c>
      <c r="L171" s="226">
        <f>COUNTIFS(РД[Тип кв],L$168,РД[МОП],$A171,РД[Дата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227">
        <f>COUNTIFS(РД[Тип кв],M$168,РД[МОП],$A171,РД[Дата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153" t="s">
        <v>24</v>
      </c>
      <c r="B172" s="297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227.23999999999998</v>
      </c>
      <c r="C172" s="298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28460240</v>
      </c>
      <c r="D172" s="299">
        <f>SUMIFS(Март25[м2],Март25[КТУ],$A172,Март25[МОП],"АН -*")</f>
        <v>231.85999999999999</v>
      </c>
      <c r="E172" s="300">
        <f>SUMIFS(Март25[Сумма без отделки],Март25[КТУ],$A172,Март25[МОП],"АН -*")</f>
        <v>28430140</v>
      </c>
      <c r="F172" s="301">
        <f>COUNTIFS(Март25[КТУ],$A172,Март25[МОП],"АН -*")</f>
        <v>5</v>
      </c>
      <c r="G172" s="271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227.23999999999998</v>
      </c>
      <c r="H172" s="272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28460240</v>
      </c>
      <c r="I172" s="257">
        <f>COUNTIFS(РД[Тип кв],I$168,РД[МОП],$A172,РД[Дата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J172" s="226">
        <f>COUNTIFS(РД[Тип кв],J$168,РД[МОП],$A172,РД[Дата подачи на регистрацию],"&lt;="&amp;$A$1,РД[Дата подачи на регистрацию],"&gt;="&amp;DATE(YEAR($A$1),MONTH($A$1),1),РД[Источник рекламы],"Н -*")</f>
        <v>3</v>
      </c>
      <c r="K172" s="226">
        <f>COUNTIFS(РД[Тип кв],K$168,РД[МОП],$A172,РД[Дата подачи на регистрацию],"&lt;="&amp;$A$1,РД[Дата подачи на регистрацию],"&gt;="&amp;DATE(YEAR($A$1),MONTH($A$1),1),РД[Источник рекламы],"Н -*")</f>
        <v>2</v>
      </c>
      <c r="L172" s="226">
        <f>COUNTIFS(РД[Тип кв],L$168,РД[МОП],$A172,РД[Дата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M172" s="227">
        <f>COUNTIFS(РД[Тип кв],M$168,РД[МОП],$A172,РД[Дата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N172" s="339"/>
      <c r="O172" s="339"/>
      <c r="P172" s="86"/>
      <c r="T172" s="66"/>
    </row>
    <row r="173" spans="1:21" s="65" customFormat="1">
      <c r="A173" s="153" t="s">
        <v>14</v>
      </c>
      <c r="B173" s="313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43.88</v>
      </c>
      <c r="C173" s="314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5468204</v>
      </c>
      <c r="D173" s="299">
        <f>SUMIFS(Март25[м2],Март25[КТУ],$A173,Март25[МОП],"АН -*")</f>
        <v>43.88</v>
      </c>
      <c r="E173" s="300">
        <f>SUMIFS(Март25[Сумма без отделки],Март25[КТУ],$A173,Март25[МОП],"АН -*")</f>
        <v>5468204</v>
      </c>
      <c r="F173" s="301">
        <f>COUNTIFS(Март25[КТУ],$A173,Март25[МОП],"АН -*")</f>
        <v>1</v>
      </c>
      <c r="G173" s="315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43.88</v>
      </c>
      <c r="H173" s="316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5468204</v>
      </c>
      <c r="I173" s="329">
        <f>COUNTIFS(РД[Тип кв],I$168,РД[МОП],$A173,РД[Дата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J173" s="330">
        <f>COUNTIFS(РД[Тип кв],J$168,РД[МОП],$A173,РД[Дата подачи на регистрацию],"&lt;="&amp;$A$1,РД[Дата подачи на регистрацию],"&gt;="&amp;DATE(YEAR($A$1),MONTH($A$1),1),РД[Источник рекламы],"Н -*")</f>
        <v>1</v>
      </c>
      <c r="K173" s="330">
        <f>COUNTIFS(РД[Тип кв],K$168,РД[МОП],$A173,РД[Дата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L173" s="330">
        <f>COUNTIFS(РД[Тип кв],L$168,РД[МОП],$A173,РД[Дата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M173" s="331">
        <f>COUNTIFS(РД[Тип кв],M$168,РД[МОП],$A173,РД[Дата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N173" s="339"/>
      <c r="O173" s="339"/>
      <c r="P173" s="86"/>
      <c r="T173" s="66"/>
    </row>
    <row r="174" spans="1:21" s="65" customFormat="1">
      <c r="A174" s="302" t="s">
        <v>29</v>
      </c>
      <c r="B174" s="276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C174" s="303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D174" s="157">
        <f>SUMIFS(Март25[м2],Март25[КТУ],$A174,Март25[МОП],"АН -*")</f>
        <v>0</v>
      </c>
      <c r="E174" s="156">
        <f>SUMIFS(Март25[Сумма без отделки],Март25[КТУ],$A174,Март25[МОП],"АН -*")</f>
        <v>0</v>
      </c>
      <c r="F174" s="158">
        <f>COUNTIFS(Март25[КТУ],$A174,Март25[МОП],"АН -*")</f>
        <v>0</v>
      </c>
      <c r="G174" s="274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H174" s="275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I174" s="341">
        <f>COUNTIFS(РД[Тип кв],I$168,РД[МОП],$A174,РД[Дата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J174" s="228">
        <f>COUNTIFS(РД[Тип кв],J$168,РД[МОП],$A174,РД[Дата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K174" s="228">
        <f>COUNTIFS(РД[Тип кв],K$168,РД[МОП],$A174,РД[Дата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L174" s="228">
        <f>COUNTIFS(РД[Тип кв],L$168,РД[МОП],$A174,РД[Дата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M174" s="231">
        <f>COUNTIFS(РД[Тип кв],M$168,РД[МОП],$A174,РД[Дата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N174" s="339"/>
      <c r="O174" s="339"/>
      <c r="P174" s="86"/>
      <c r="T174" s="66"/>
    </row>
    <row r="175" spans="1:21" s="65" customFormat="1">
      <c r="A175" s="304" t="s">
        <v>114</v>
      </c>
      <c r="B175" s="284">
        <f>SUM(B169:B173)</f>
        <v>529.21</v>
      </c>
      <c r="C175" s="305">
        <f t="shared" ref="C175:M175" si="30">SUM(C169:C173)</f>
        <v>66495090</v>
      </c>
      <c r="D175" s="284">
        <f t="shared" si="30"/>
        <v>533.83000000000004</v>
      </c>
      <c r="E175" s="285">
        <f t="shared" si="30"/>
        <v>66464990</v>
      </c>
      <c r="F175" s="286">
        <f t="shared" si="30"/>
        <v>12</v>
      </c>
      <c r="G175" s="282">
        <f t="shared" si="30"/>
        <v>529.21</v>
      </c>
      <c r="H175" s="283">
        <f t="shared" si="30"/>
        <v>66495090</v>
      </c>
      <c r="I175" s="284">
        <f t="shared" si="30"/>
        <v>1</v>
      </c>
      <c r="J175" s="285">
        <f t="shared" si="30"/>
        <v>7</v>
      </c>
      <c r="K175" s="285">
        <f t="shared" si="30"/>
        <v>4</v>
      </c>
      <c r="L175" s="285">
        <f t="shared" si="30"/>
        <v>0</v>
      </c>
      <c r="M175" s="305">
        <f t="shared" si="30"/>
        <v>0</v>
      </c>
      <c r="N175" s="339"/>
      <c r="O175" s="339"/>
      <c r="P175" s="86"/>
      <c r="T175" s="66"/>
    </row>
    <row r="176" spans="1:21" s="65" customFormat="1">
      <c r="A176" s="306" t="s">
        <v>115</v>
      </c>
      <c r="B176" s="307" t="s">
        <v>101</v>
      </c>
      <c r="C176" s="308" t="s">
        <v>98</v>
      </c>
      <c r="D176" s="288" t="s">
        <v>494</v>
      </c>
      <c r="E176" s="289" t="s">
        <v>495</v>
      </c>
      <c r="F176" s="290" t="s">
        <v>496</v>
      </c>
      <c r="G176" s="309" t="s">
        <v>101</v>
      </c>
      <c r="H176" s="310" t="s">
        <v>98</v>
      </c>
      <c r="I176" s="342">
        <v>0</v>
      </c>
      <c r="J176" s="343">
        <v>1</v>
      </c>
      <c r="K176" s="344">
        <v>2</v>
      </c>
      <c r="L176" s="343">
        <v>3</v>
      </c>
      <c r="M176" s="345" t="s">
        <v>1367</v>
      </c>
      <c r="N176" s="339"/>
      <c r="O176" s="339"/>
      <c r="P176" s="86"/>
      <c r="T176" s="66"/>
    </row>
    <row r="177" spans="1:21" s="65" customFormat="1">
      <c r="A177" s="177" t="s">
        <v>22</v>
      </c>
      <c r="B177" s="178">
        <f>SUMIFS(РД[S],РД[ИМ],A177,РД[Дата подачи на регистрацию],"&lt;="&amp;$A$1,РД[Дата подачи на регистрацию],"&gt;="&amp;DATE(YEAR($A$1),MONTH($A$1),1),РД[Источник рекламы],"Н -*")</f>
        <v>49.2</v>
      </c>
      <c r="C177" s="311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6204120</v>
      </c>
      <c r="D177" s="180">
        <f>SUMIFS(Март25[м2],Март25[ИМ],$A177,Март25[КТУ],"АН -*")</f>
        <v>0</v>
      </c>
      <c r="E177" s="179">
        <f>SUMIFS(Март25[Сумма без отделки],Март25[ИМ],$A177,Март25[КТУ],"АН -*")</f>
        <v>0</v>
      </c>
      <c r="F177" s="204">
        <f>COUNTIFS(Март25[ИМ],$A177,Март25[КТУ],"АН -*")</f>
        <v>0</v>
      </c>
      <c r="G177" s="291">
        <f>SUMIFS(РД[S],РД[ИМ],A177,РД[Дата подачи на регистрацию],"&lt;="&amp;$A$1,РД[Дата подачи на регистрацию],"&gt;="&amp;DATE(YEAR($A$1),MONTH($A$1),1),РД[Источник рекламы],"Н -*")</f>
        <v>49.2</v>
      </c>
      <c r="H177" s="312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6204120</v>
      </c>
      <c r="I177" s="346">
        <f>COUNTIFS(РД[Тип кв],I$168,РД[ИМ],$A177,РД[Дата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J177" s="243">
        <f>COUNTIFS(РД[Тип кв],J$168,РД[ИМ],$A177,РД[Дата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43">
        <f>COUNTIFS(РД[Тип кв],K$168,РД[ИМ],$A177,РД[Дата подачи на регистрацию],"&lt;="&amp;$A$1,РД[Дата подачи на регистрацию],"&gt;="&amp;DATE(YEAR($A$1),MONTH($A$1),1),РД[Источник рекламы],"Н -*")</f>
        <v>1</v>
      </c>
      <c r="L177" s="243">
        <f>COUNTIFS(РД[Тип кв],L$168,РД[ИМ],$A177,РД[Дата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46">
        <f>COUNTIFS(РД[Тип кв],M$168,РД[ИМ],$A177,РД[Дата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50" t="s">
        <v>26</v>
      </c>
      <c r="B178" s="297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C178" s="298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D178" s="199">
        <f>SUMIFS(Март25[м2],Март25[ИМ],$A178,Март25[КТУ],"АН -*")</f>
        <v>0</v>
      </c>
      <c r="E178" s="200">
        <f>SUMIFS(Март25[Сумма без отделки],Март25[ИМ],$A178,Март25[КТУ],"АН -*")</f>
        <v>0</v>
      </c>
      <c r="F178" s="201">
        <f>COUNTIFS(Март25[ИМ],$A178,Март25[КТУ],"АН -*")</f>
        <v>0</v>
      </c>
      <c r="G178" s="271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H178" s="272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I178" s="257">
        <f>COUNTIFS(РД[Тип кв],I$168,РД[ИМ],$A178,РД[Дата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226">
        <f>COUNTIFS(РД[Тип кв],J$168,РД[ИМ],$A178,РД[Дата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226">
        <f>COUNTIFS(РД[Тип кв],K$168,РД[ИМ],$A178,РД[Дата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226">
        <f>COUNTIFS(РД[Тип кв],L$168,РД[ИМ],$A178,РД[Дата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227">
        <f>COUNTIFS(РД[Тип кв],M$168,РД[ИМ],$A178,РД[Дата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189" t="s">
        <v>3</v>
      </c>
      <c r="B179" s="313">
        <f>SUMIFS(РД[S],РД[ИМ],A179,РД[Дата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C179" s="314">
        <f>SUMIFS(РД[Стоимость без отделки итог],РД[ИМ],A179,РД[Дата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D179" s="299">
        <f>SUMIFS(Март25[м2],Март25[ИМ],$A179,Март25[КТУ],"АН -*")</f>
        <v>0</v>
      </c>
      <c r="E179" s="300">
        <f>SUMIFS(Март25[Сумма без отделки],Март25[ИМ],$A179,Март25[КТУ],"АН -*")</f>
        <v>0</v>
      </c>
      <c r="F179" s="301">
        <f>COUNTIFS(Март25[ИМ],$A179,Март25[КТУ],"АН -*")</f>
        <v>0</v>
      </c>
      <c r="G179" s="315">
        <f>SUMIFS(РД[S],РД[ИМ],A179,РД[Дата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H179" s="316">
        <f>SUMIFS(РД[Стоимость без отделки итог],РД[ИМ],A179,РД[Дата подачи на регистрацию],"&lt;="&amp;$A$1,РД[Дата подачи на регистрацию],"&gt;="&amp;DATE(YEAR($A$1),MONTH($A$1),1),РД[Источник рекламы],"Н -*")</f>
        <v>0</v>
      </c>
      <c r="I179" s="329">
        <f>COUNTIFS(РД[Тип кв],I$168,РД[ИМ],$A179,РД[Дата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J179" s="330">
        <f>COUNTIFS(РД[Тип кв],J$168,РД[ИМ],$A179,РД[Дата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K179" s="330">
        <f>COUNTIFS(РД[Тип кв],K$168,РД[ИМ],$A179,РД[Дата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330">
        <f>COUNTIFS(РД[Тип кв],L$168,РД[ИМ],$A179,РД[Дата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M179" s="331">
        <f>COUNTIFS(РД[Тип кв],M$168,РД[ИМ],$A179,РД[Дата подачи на регистрацию],"&lt;="&amp;$A$1,РД[Дата подачи на регистрацию],"&gt;="&amp;DATE(YEAR($A$1),MONTH($A$1),1),РД[Источник рекламы],"Н -*")</f>
        <v>0</v>
      </c>
      <c r="N179" s="339"/>
      <c r="O179" s="339"/>
      <c r="P179" s="86"/>
      <c r="T179" s="66"/>
    </row>
    <row r="180" spans="1:21" s="65" customFormat="1">
      <c r="A180" s="317" t="s">
        <v>114</v>
      </c>
      <c r="B180" s="318">
        <f>SUM(B177:B179)</f>
        <v>49.2</v>
      </c>
      <c r="C180" s="319">
        <f t="shared" ref="C180:M180" si="31">SUM(C177:C179)</f>
        <v>6204120</v>
      </c>
      <c r="D180" s="320">
        <f t="shared" si="31"/>
        <v>0</v>
      </c>
      <c r="E180" s="321">
        <f t="shared" si="31"/>
        <v>0</v>
      </c>
      <c r="F180" s="322">
        <f t="shared" si="31"/>
        <v>0</v>
      </c>
      <c r="G180" s="323">
        <f t="shared" si="31"/>
        <v>49.2</v>
      </c>
      <c r="H180" s="324">
        <f t="shared" si="31"/>
        <v>6204120</v>
      </c>
      <c r="I180" s="318">
        <f t="shared" si="31"/>
        <v>0</v>
      </c>
      <c r="J180" s="321">
        <f t="shared" si="31"/>
        <v>0</v>
      </c>
      <c r="K180" s="321">
        <f t="shared" si="31"/>
        <v>1</v>
      </c>
      <c r="L180" s="321">
        <f t="shared" si="31"/>
        <v>0</v>
      </c>
      <c r="M180" s="319">
        <f t="shared" si="31"/>
        <v>0</v>
      </c>
      <c r="N180" s="339"/>
      <c r="O180" s="339"/>
      <c r="P180" s="86"/>
      <c r="T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 s="65" customFormat="1">
      <c r="Q216" s="86"/>
      <c r="U216" s="66"/>
    </row>
    <row r="217" spans="1:2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</row>
    <row r="218" spans="1:2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86"/>
      <c r="R218" s="65"/>
      <c r="S218" s="65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U304" s="66"/>
    </row>
    <row r="305" spans="17:21" s="65" customFormat="1">
      <c r="Q305" s="86"/>
      <c r="R305" s="66"/>
      <c r="S305" s="66"/>
      <c r="U305" s="66"/>
    </row>
    <row r="306" spans="17:21" s="65" customFormat="1">
      <c r="Q306" s="86"/>
      <c r="R306" s="66"/>
      <c r="S306" s="66"/>
      <c r="U306" s="66"/>
    </row>
    <row r="307" spans="17:21" s="65" customFormat="1">
      <c r="Q307" s="86"/>
      <c r="R307" s="66"/>
      <c r="S307" s="66"/>
      <c r="U307" s="66"/>
    </row>
    <row r="308" spans="17:21" s="65" customFormat="1">
      <c r="Q308" s="86"/>
      <c r="R308" s="66"/>
      <c r="S308" s="66"/>
      <c r="U308" s="66"/>
    </row>
  </sheetData>
  <sheetProtection algorithmName="SHA-512" hashValue="mchdCT4YckHw1nO5Uk5AS5kg7tF3jnPBduYaSilOlBETTdYUbM6WAjA14JuKah6Ayzq6nn2vhBL+AzB/PI0/hQ==" saltValue="+39x/3/8tj16Dtz6ebwQ/w==" spinCount="100000" sheet="1" formatCells="0" formatColumns="0" formatRows="0" sort="0" autoFilter="0" pivotTables="0"/>
  <mergeCells count="8">
    <mergeCell ref="A135:B135"/>
    <mergeCell ref="A151:O151"/>
    <mergeCell ref="A167:M167"/>
    <mergeCell ref="A1:U1"/>
    <mergeCell ref="A71:B71"/>
    <mergeCell ref="A87:B87"/>
    <mergeCell ref="A103:B103"/>
    <mergeCell ref="A119:B119"/>
  </mergeCells>
  <pageMargins left="0.25" right="0.25" top="0.75" bottom="0.75" header="0.3" footer="0.3"/>
  <pageSetup paperSize="9" scale="32" orientation="landscape" r:id="rId1"/>
  <rowBreaks count="1" manualBreakCount="1">
    <brk id="62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B00-000000000000}">
          <x14:formula1>
            <xm:f>Списки!$C$2:$C$27</xm:f>
          </x14:formula1>
          <xm:sqref>U9 U24 K4:K21 K24:K27 K29:K65 T29:U65 T10:U23 T25:U27 T4:U8</xm:sqref>
        </x14:dataValidation>
        <x14:dataValidation type="list" allowBlank="1" showInputMessage="1" showErrorMessage="1" xr:uid="{00000000-0002-0000-3B00-000001000000}">
          <x14:formula1>
            <xm:f>Списки!$H$2</xm:f>
          </x14:formula1>
          <xm:sqref>B4:B65</xm:sqref>
        </x14:dataValidation>
        <x14:dataValidation type="list" allowBlank="1" showInputMessage="1" showErrorMessage="1" xr:uid="{00000000-0002-0000-3B00-000002000000}">
          <x14:formula1>
            <xm:f>Списки!$B$2:$B$10</xm:f>
          </x14:formula1>
          <xm:sqref>D4:D65</xm:sqref>
        </x14:dataValidation>
        <x14:dataValidation type="list" allowBlank="1" showInputMessage="1" showErrorMessage="1" xr:uid="{00000000-0002-0000-3B00-000003000000}">
          <x14:formula1>
            <xm:f>Списки!$C$3:$C$4</xm:f>
          </x14:formula1>
          <xm:sqref>D68:D69</xm:sqref>
        </x14:dataValidation>
        <x14:dataValidation type="list" allowBlank="1" showInputMessage="1" showErrorMessage="1" xr:uid="{00000000-0002-0000-3B00-000004000000}">
          <x14:formula1>
            <xm:f>Списки!$D$2:$D$7</xm:f>
          </x14:formula1>
          <xm:sqref>H4:H21 H24:H27 H29:H65</xm:sqref>
        </x14:dataValidation>
        <x14:dataValidation type="list" allowBlank="1" showInputMessage="1" showErrorMessage="1" xr:uid="{00000000-0002-0000-3B00-000005000000}">
          <x14:formula1>
            <xm:f>Списки!$E$2:$E$7</xm:f>
          </x14:formula1>
          <xm:sqref>L4:L21 L24:L27 L29:L65</xm:sqref>
        </x14:dataValidation>
        <x14:dataValidation type="list" allowBlank="1" showInputMessage="1" showErrorMessage="1" xr:uid="{00000000-0002-0000-3B00-000006000000}">
          <x14:formula1>
            <xm:f>Списки!$G$2:$G$3</xm:f>
          </x14:formula1>
          <xm:sqref>L68:L69 N4:N21 N24:N27 N29:N65</xm:sqref>
        </x14:dataValidation>
        <x14:dataValidation type="list" allowBlank="1" showInputMessage="1" showErrorMessage="1" xr:uid="{00000000-0002-0000-3B00-000007000000}">
          <x14:formula1>
            <xm:f>Списки!$F$2:$F$3</xm:f>
          </x14:formula1>
          <xm:sqref>P4:P21 P24:P27 P29:P65 X68:X69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F307"/>
  <sheetViews>
    <sheetView view="pageBreakPreview" zoomScale="98" zoomScaleNormal="85" workbookViewId="0">
      <pane ySplit="3" topLeftCell="A4" activePane="bottomLeft" state="frozen"/>
      <selection pane="bottomLeft" activeCell="C4" sqref="C4:Q13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45777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>
      <c r="A2" s="67"/>
      <c r="B2" s="67"/>
      <c r="C2" s="68">
        <f>SUBTOTAL(3,Март2551[заявка №])</f>
        <v>6</v>
      </c>
      <c r="D2" s="67"/>
      <c r="E2" s="67"/>
      <c r="F2" s="67"/>
      <c r="G2" s="69">
        <f>SUBTOTAL(9,Март2551[м2])</f>
        <v>206.42</v>
      </c>
      <c r="H2" s="67"/>
      <c r="I2" s="67"/>
      <c r="J2" s="69">
        <f>SUBTOTAL(9,Март2551[сумма])</f>
        <v>29677848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SUBTOTAL(9,Март2551[Сумма без отделки])</f>
        <v>24809098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73" t="s">
        <v>2036</v>
      </c>
      <c r="J3" s="70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368" customFormat="1">
      <c r="A4" s="62">
        <v>1</v>
      </c>
      <c r="B4" s="62" t="s">
        <v>6</v>
      </c>
      <c r="C4" s="74">
        <v>38043</v>
      </c>
      <c r="D4" s="62" t="s">
        <v>13</v>
      </c>
      <c r="E4" s="75">
        <v>61</v>
      </c>
      <c r="F4" s="62">
        <v>2</v>
      </c>
      <c r="G4" s="62">
        <v>58.16</v>
      </c>
      <c r="H4" s="62" t="s">
        <v>25</v>
      </c>
      <c r="I4" s="62">
        <v>25000</v>
      </c>
      <c r="J4" s="95">
        <v>8412400</v>
      </c>
      <c r="K4" s="62" t="s">
        <v>8</v>
      </c>
      <c r="L4" s="62" t="s">
        <v>22</v>
      </c>
      <c r="M4" s="62" t="s">
        <v>65</v>
      </c>
      <c r="N4" s="62" t="s">
        <v>18</v>
      </c>
      <c r="O4" s="92">
        <v>45749</v>
      </c>
      <c r="P4" s="62" t="s">
        <v>17</v>
      </c>
      <c r="Q4" s="120" t="s">
        <v>2395</v>
      </c>
      <c r="R4" s="62"/>
      <c r="S4" s="372"/>
      <c r="T4" s="369" t="s">
        <v>8</v>
      </c>
      <c r="U4" s="369" t="s">
        <v>8</v>
      </c>
      <c r="V4" s="373">
        <f>Март2551[[#This Row],[сумма]]-Март2551[[#This Row],[Цена м2 отделки]]*Март2551[[#This Row],[м2]]</f>
        <v>6958400</v>
      </c>
    </row>
    <row r="5" spans="1:32" s="369" customFormat="1" hidden="1">
      <c r="A5" s="62">
        <v>2</v>
      </c>
      <c r="B5" s="62" t="s">
        <v>6</v>
      </c>
      <c r="C5" s="62">
        <v>40624</v>
      </c>
      <c r="D5" s="62" t="s">
        <v>23</v>
      </c>
      <c r="E5" s="62">
        <v>23</v>
      </c>
      <c r="F5" s="62">
        <v>1</v>
      </c>
      <c r="G5" s="62">
        <v>38.520000000000003</v>
      </c>
      <c r="H5" s="62" t="s">
        <v>21</v>
      </c>
      <c r="I5" s="62">
        <v>10000</v>
      </c>
      <c r="J5" s="95">
        <v>5043463</v>
      </c>
      <c r="K5" s="62" t="s">
        <v>43</v>
      </c>
      <c r="L5" s="62" t="s">
        <v>26</v>
      </c>
      <c r="M5" s="62" t="s">
        <v>130</v>
      </c>
      <c r="N5" s="62" t="s">
        <v>18</v>
      </c>
      <c r="O5" s="96">
        <v>45749</v>
      </c>
      <c r="P5" s="62" t="s">
        <v>17</v>
      </c>
      <c r="Q5" s="120" t="s">
        <v>2396</v>
      </c>
      <c r="R5" s="62"/>
      <c r="T5" s="369" t="s">
        <v>28</v>
      </c>
      <c r="U5" s="369" t="s">
        <v>28</v>
      </c>
      <c r="V5" s="373">
        <f>Март2551[[#This Row],[сумма]]-Март2551[[#This Row],[Цена м2 отделки]]*Март2551[[#This Row],[м2]]</f>
        <v>4658263</v>
      </c>
    </row>
    <row r="6" spans="1:32" s="369" customFormat="1" hidden="1">
      <c r="A6" s="62">
        <v>3</v>
      </c>
      <c r="B6" s="62" t="s">
        <v>6</v>
      </c>
      <c r="C6" s="62">
        <v>38995</v>
      </c>
      <c r="D6" s="62" t="s">
        <v>23</v>
      </c>
      <c r="E6" s="62">
        <v>212</v>
      </c>
      <c r="F6" s="62">
        <v>1</v>
      </c>
      <c r="G6" s="62">
        <v>38.1</v>
      </c>
      <c r="H6" s="62" t="s">
        <v>9</v>
      </c>
      <c r="I6" s="62"/>
      <c r="J6" s="95">
        <v>4889700</v>
      </c>
      <c r="K6" s="62" t="s">
        <v>8</v>
      </c>
      <c r="L6" s="62" t="s">
        <v>22</v>
      </c>
      <c r="M6" s="62" t="s">
        <v>130</v>
      </c>
      <c r="N6" s="62" t="s">
        <v>18</v>
      </c>
      <c r="O6" s="96">
        <v>45750</v>
      </c>
      <c r="P6" s="62" t="s">
        <v>17</v>
      </c>
      <c r="Q6" s="120" t="s">
        <v>2397</v>
      </c>
      <c r="R6" s="62"/>
      <c r="T6" s="369" t="s">
        <v>8</v>
      </c>
      <c r="U6" s="369" t="s">
        <v>8</v>
      </c>
      <c r="V6" s="374">
        <f>Март2551[[#This Row],[сумма]]-Март2551[[#This Row],[Цена м2 отделки]]*Март2551[[#This Row],[м2]]</f>
        <v>4889700</v>
      </c>
    </row>
    <row r="7" spans="1:32" s="62" customFormat="1">
      <c r="A7" s="62">
        <v>4</v>
      </c>
      <c r="B7" s="62" t="s">
        <v>6</v>
      </c>
      <c r="C7" s="62">
        <v>41655</v>
      </c>
      <c r="D7" s="62" t="s">
        <v>13</v>
      </c>
      <c r="E7" s="62">
        <v>331</v>
      </c>
      <c r="F7" s="62">
        <v>1</v>
      </c>
      <c r="G7" s="62">
        <v>37.81</v>
      </c>
      <c r="H7" s="62" t="s">
        <v>25</v>
      </c>
      <c r="I7" s="62">
        <v>25000</v>
      </c>
      <c r="J7" s="95">
        <v>5927670</v>
      </c>
      <c r="K7" s="62" t="s">
        <v>8</v>
      </c>
      <c r="L7" s="62" t="s">
        <v>22</v>
      </c>
      <c r="M7" s="62" t="s">
        <v>65</v>
      </c>
      <c r="N7" s="62" t="s">
        <v>18</v>
      </c>
      <c r="O7" s="96">
        <v>45760</v>
      </c>
      <c r="P7" s="62" t="s">
        <v>17</v>
      </c>
      <c r="Q7" s="62" t="s">
        <v>2398</v>
      </c>
      <c r="T7" s="62" t="s">
        <v>8</v>
      </c>
      <c r="U7" s="62" t="s">
        <v>8</v>
      </c>
      <c r="V7" s="116">
        <f>Март2551[[#This Row],[сумма]]-Март2551[[#This Row],[Цена м2 отделки]]*Март2551[[#This Row],[м2]]</f>
        <v>4982420</v>
      </c>
    </row>
    <row r="8" spans="1:32" s="61" customFormat="1" hidden="1">
      <c r="A8" s="62">
        <v>5</v>
      </c>
      <c r="B8" s="62"/>
      <c r="C8" s="74">
        <v>39909</v>
      </c>
      <c r="D8" s="62" t="s">
        <v>13</v>
      </c>
      <c r="E8" s="75">
        <v>239</v>
      </c>
      <c r="F8" s="62">
        <v>2</v>
      </c>
      <c r="G8" s="62">
        <v>60.24</v>
      </c>
      <c r="H8" s="76" t="s">
        <v>9</v>
      </c>
      <c r="I8" s="76"/>
      <c r="J8" s="91">
        <v>7103000</v>
      </c>
      <c r="K8" s="62" t="s">
        <v>14</v>
      </c>
      <c r="L8" s="62" t="s">
        <v>22</v>
      </c>
      <c r="M8" s="62" t="s">
        <v>65</v>
      </c>
      <c r="N8" s="62" t="s">
        <v>18</v>
      </c>
      <c r="O8" s="92">
        <v>45756</v>
      </c>
      <c r="P8" s="62" t="s">
        <v>17</v>
      </c>
      <c r="Q8" s="112" t="s">
        <v>2399</v>
      </c>
      <c r="R8" s="113"/>
      <c r="S8" s="113"/>
      <c r="T8" s="117" t="s">
        <v>14</v>
      </c>
      <c r="U8" s="62" t="s">
        <v>14</v>
      </c>
      <c r="V8" s="114">
        <f>Март2551[[#This Row],[сумма]]-Март2551[[#This Row],[Цена м2 отделки]]*Март2551[[#This Row],[м2]]</f>
        <v>7103000</v>
      </c>
    </row>
    <row r="9" spans="1:32" s="61" customFormat="1" hidden="1">
      <c r="A9" s="62">
        <v>6</v>
      </c>
      <c r="B9" s="62"/>
      <c r="C9" s="74">
        <v>38298</v>
      </c>
      <c r="D9" s="62" t="s">
        <v>13</v>
      </c>
      <c r="E9" s="75">
        <v>479</v>
      </c>
      <c r="F9" s="62">
        <v>0</v>
      </c>
      <c r="G9" s="62">
        <v>24.5</v>
      </c>
      <c r="H9" s="117" t="s">
        <v>9</v>
      </c>
      <c r="I9" s="117"/>
      <c r="J9" s="95">
        <v>3319200</v>
      </c>
      <c r="K9" s="117" t="s">
        <v>24</v>
      </c>
      <c r="L9" s="62" t="s">
        <v>22</v>
      </c>
      <c r="M9" s="102" t="s">
        <v>65</v>
      </c>
      <c r="N9" s="62" t="s">
        <v>18</v>
      </c>
      <c r="O9" s="92">
        <v>45755</v>
      </c>
      <c r="P9" s="117" t="s">
        <v>17</v>
      </c>
      <c r="Q9" s="353" t="s">
        <v>2400</v>
      </c>
      <c r="R9" s="113" t="s">
        <v>67</v>
      </c>
      <c r="S9" s="76"/>
      <c r="T9" s="117" t="s">
        <v>24</v>
      </c>
      <c r="U9" s="354" t="s">
        <v>8</v>
      </c>
      <c r="V9" s="114">
        <f>Март2551[[#This Row],[сумма]]-Март2551[[#This Row],[Цена м2 отделки]]*Март2551[[#This Row],[м2]]</f>
        <v>3319200</v>
      </c>
    </row>
    <row r="10" spans="1:32" s="62" customFormat="1" hidden="1">
      <c r="A10" s="62">
        <v>7</v>
      </c>
      <c r="C10" s="81">
        <v>39050</v>
      </c>
      <c r="D10" s="62" t="s">
        <v>13</v>
      </c>
      <c r="E10" s="62">
        <v>282</v>
      </c>
      <c r="F10" s="62">
        <v>1</v>
      </c>
      <c r="G10" s="62">
        <v>37.81</v>
      </c>
      <c r="H10" s="62" t="s">
        <v>21</v>
      </c>
      <c r="I10" s="62">
        <v>10000</v>
      </c>
      <c r="J10" s="95">
        <v>5312620</v>
      </c>
      <c r="K10" s="62" t="s">
        <v>24</v>
      </c>
      <c r="L10" s="62" t="s">
        <v>26</v>
      </c>
      <c r="M10" s="62" t="s">
        <v>65</v>
      </c>
      <c r="N10" s="62" t="s">
        <v>18</v>
      </c>
      <c r="O10" s="96">
        <v>45749</v>
      </c>
      <c r="P10" s="62" t="s">
        <v>17</v>
      </c>
      <c r="Q10" s="120" t="s">
        <v>2401</v>
      </c>
      <c r="T10" s="62" t="s">
        <v>24</v>
      </c>
      <c r="U10" s="62" t="s">
        <v>24</v>
      </c>
      <c r="V10" s="114">
        <f>Март2551[[#This Row],[сумма]]-Март2551[[#This Row],[Цена м2 отделки]]*Март2551[[#This Row],[м2]]</f>
        <v>4934520</v>
      </c>
    </row>
    <row r="11" spans="1:32" s="63" customFormat="1" hidden="1">
      <c r="A11" s="62">
        <v>8</v>
      </c>
      <c r="B11" s="82"/>
      <c r="C11" s="83">
        <v>33281</v>
      </c>
      <c r="D11" s="82" t="s">
        <v>13</v>
      </c>
      <c r="E11" s="83">
        <v>435</v>
      </c>
      <c r="F11" s="82">
        <v>3</v>
      </c>
      <c r="G11" s="82">
        <v>79.44</v>
      </c>
      <c r="H11" s="82" t="s">
        <v>9</v>
      </c>
      <c r="I11" s="82"/>
      <c r="J11" s="100">
        <v>9234400</v>
      </c>
      <c r="K11" s="82" t="s">
        <v>20</v>
      </c>
      <c r="L11" s="82" t="s">
        <v>22</v>
      </c>
      <c r="M11" s="82" t="s">
        <v>65</v>
      </c>
      <c r="N11" s="82" t="s">
        <v>18</v>
      </c>
      <c r="O11" s="101"/>
      <c r="P11" s="82" t="s">
        <v>17</v>
      </c>
      <c r="Q11" s="121" t="s">
        <v>2402</v>
      </c>
      <c r="R11" s="122"/>
      <c r="S11" s="123"/>
      <c r="T11" s="82" t="s">
        <v>20</v>
      </c>
      <c r="U11" s="82" t="s">
        <v>20</v>
      </c>
      <c r="V11" s="124">
        <f>Март2551[[#This Row],[сумма]]-Март2551[[#This Row],[Цена м2 отделки]]*Март2551[[#This Row],[м2]]</f>
        <v>9234400</v>
      </c>
    </row>
    <row r="12" spans="1:32" s="61" customFormat="1" hidden="1">
      <c r="A12" s="62">
        <v>9</v>
      </c>
      <c r="B12" s="62" t="s">
        <v>6</v>
      </c>
      <c r="C12" s="74">
        <v>42124</v>
      </c>
      <c r="D12" s="62" t="s">
        <v>13</v>
      </c>
      <c r="E12" s="75" t="s">
        <v>2403</v>
      </c>
      <c r="F12" s="62">
        <v>0</v>
      </c>
      <c r="G12" s="62">
        <v>3.87</v>
      </c>
      <c r="H12" s="76" t="s">
        <v>9</v>
      </c>
      <c r="I12" s="76"/>
      <c r="J12" s="91">
        <v>425700</v>
      </c>
      <c r="K12" s="62" t="s">
        <v>28</v>
      </c>
      <c r="L12" s="62"/>
      <c r="M12" s="62" t="s">
        <v>2404</v>
      </c>
      <c r="N12" s="62" t="s">
        <v>18</v>
      </c>
      <c r="O12" s="92">
        <v>45757</v>
      </c>
      <c r="P12" s="62" t="s">
        <v>17</v>
      </c>
      <c r="Q12" s="112" t="s">
        <v>2308</v>
      </c>
      <c r="R12" s="113"/>
      <c r="S12" s="113"/>
      <c r="T12" s="62" t="s">
        <v>28</v>
      </c>
      <c r="U12" s="62" t="s">
        <v>28</v>
      </c>
      <c r="V12" s="114">
        <f>Март2551[[#This Row],[сумма]]-Март2551[[#This Row],[Цена м2 отделки]]*Март2551[[#This Row],[м2]]</f>
        <v>425700</v>
      </c>
    </row>
    <row r="13" spans="1:32" s="61" customFormat="1">
      <c r="A13" s="62">
        <v>10</v>
      </c>
      <c r="B13" s="62" t="s">
        <v>6</v>
      </c>
      <c r="C13" s="74">
        <v>37222</v>
      </c>
      <c r="D13" s="62" t="s">
        <v>13</v>
      </c>
      <c r="E13" s="75">
        <v>108</v>
      </c>
      <c r="F13" s="62">
        <v>2</v>
      </c>
      <c r="G13" s="62">
        <v>59.09</v>
      </c>
      <c r="H13" s="62" t="s">
        <v>25</v>
      </c>
      <c r="I13" s="62">
        <v>25000</v>
      </c>
      <c r="J13" s="95">
        <v>8143648</v>
      </c>
      <c r="K13" s="62" t="s">
        <v>8</v>
      </c>
      <c r="L13" s="62" t="s">
        <v>26</v>
      </c>
      <c r="M13" s="62" t="s">
        <v>65</v>
      </c>
      <c r="N13" s="62" t="s">
        <v>18</v>
      </c>
      <c r="O13" s="92">
        <v>45759</v>
      </c>
      <c r="P13" s="62" t="s">
        <v>17</v>
      </c>
      <c r="Q13" s="112" t="s">
        <v>2405</v>
      </c>
      <c r="R13" s="113"/>
      <c r="S13" s="113"/>
      <c r="T13" s="62" t="s">
        <v>8</v>
      </c>
      <c r="U13" s="62" t="s">
        <v>8</v>
      </c>
      <c r="V13" s="114">
        <f>Март2551[[#This Row],[сумма]]-Март2551[[#This Row],[Цена м2 отделки]]*Март2551[[#This Row],[м2]]</f>
        <v>6666398</v>
      </c>
      <c r="AF13" s="132"/>
    </row>
    <row r="14" spans="1:32" s="61" customFormat="1" hidden="1">
      <c r="A14" s="62">
        <v>11</v>
      </c>
      <c r="B14" s="62" t="s">
        <v>6</v>
      </c>
      <c r="C14" s="74">
        <v>42147</v>
      </c>
      <c r="D14" s="62" t="s">
        <v>13</v>
      </c>
      <c r="E14" s="75" t="s">
        <v>2406</v>
      </c>
      <c r="F14" s="62">
        <v>0</v>
      </c>
      <c r="G14" s="62">
        <v>5.07</v>
      </c>
      <c r="H14" s="62" t="s">
        <v>9</v>
      </c>
      <c r="I14" s="62"/>
      <c r="J14" s="95">
        <v>557700</v>
      </c>
      <c r="K14" s="62" t="s">
        <v>28</v>
      </c>
      <c r="L14" s="62"/>
      <c r="M14" s="62" t="s">
        <v>130</v>
      </c>
      <c r="N14" s="62" t="s">
        <v>18</v>
      </c>
      <c r="O14" s="92">
        <v>45758</v>
      </c>
      <c r="P14" s="62" t="s">
        <v>17</v>
      </c>
      <c r="Q14" s="120" t="s">
        <v>2407</v>
      </c>
      <c r="R14" s="113"/>
      <c r="S14" s="113"/>
      <c r="T14" s="62" t="s">
        <v>28</v>
      </c>
      <c r="U14" s="62" t="s">
        <v>28</v>
      </c>
      <c r="V14" s="114">
        <f>Март2551[[#This Row],[сумма]]-Март2551[[#This Row],[Цена м2 отделки]]*Март2551[[#This Row],[м2]]</f>
        <v>557700</v>
      </c>
    </row>
    <row r="15" spans="1:32" s="64" customFormat="1" hidden="1">
      <c r="A15" s="62">
        <v>12</v>
      </c>
      <c r="B15" s="120"/>
      <c r="C15" s="347">
        <v>39855</v>
      </c>
      <c r="D15" s="120" t="s">
        <v>13</v>
      </c>
      <c r="E15" s="347">
        <v>329</v>
      </c>
      <c r="F15" s="120">
        <v>2</v>
      </c>
      <c r="G15" s="120">
        <v>56.58</v>
      </c>
      <c r="H15" s="120" t="s">
        <v>9</v>
      </c>
      <c r="I15" s="120"/>
      <c r="J15" s="95">
        <v>6663533</v>
      </c>
      <c r="K15" s="120" t="s">
        <v>14</v>
      </c>
      <c r="L15" s="120" t="s">
        <v>22</v>
      </c>
      <c r="M15" s="120" t="s">
        <v>65</v>
      </c>
      <c r="N15" s="120" t="s">
        <v>18</v>
      </c>
      <c r="O15" s="370">
        <v>45763</v>
      </c>
      <c r="P15" s="120" t="s">
        <v>17</v>
      </c>
      <c r="Q15" s="120" t="s">
        <v>2408</v>
      </c>
      <c r="R15" s="355"/>
      <c r="S15" s="355"/>
      <c r="T15" s="62" t="s">
        <v>14</v>
      </c>
      <c r="U15" s="62" t="s">
        <v>14</v>
      </c>
      <c r="V15" s="356">
        <f>Март2551[[#This Row],[сумма]]-Март2551[[#This Row],[Цена м2 отделки]]*Март2551[[#This Row],[м2]]</f>
        <v>6663533</v>
      </c>
    </row>
    <row r="16" spans="1:32" s="61" customFormat="1" hidden="1">
      <c r="A16" s="62">
        <v>13</v>
      </c>
      <c r="B16" s="62"/>
      <c r="C16" s="74">
        <v>33615</v>
      </c>
      <c r="D16" s="62" t="s">
        <v>13</v>
      </c>
      <c r="E16" s="75">
        <v>60</v>
      </c>
      <c r="F16" s="62">
        <v>2</v>
      </c>
      <c r="G16" s="62">
        <v>62.17</v>
      </c>
      <c r="H16" s="76" t="s">
        <v>21</v>
      </c>
      <c r="I16" s="76">
        <v>10000</v>
      </c>
      <c r="J16" s="91">
        <v>7814174</v>
      </c>
      <c r="K16" s="62" t="s">
        <v>14</v>
      </c>
      <c r="L16" s="62" t="s">
        <v>22</v>
      </c>
      <c r="M16" s="62" t="s">
        <v>65</v>
      </c>
      <c r="N16" s="62" t="s">
        <v>18</v>
      </c>
      <c r="O16" s="92">
        <v>45765</v>
      </c>
      <c r="P16" s="62" t="s">
        <v>17</v>
      </c>
      <c r="Q16" s="112" t="s">
        <v>2409</v>
      </c>
      <c r="R16" s="113"/>
      <c r="S16" s="113"/>
      <c r="T16" s="62" t="s">
        <v>14</v>
      </c>
      <c r="U16" s="62" t="s">
        <v>14</v>
      </c>
      <c r="V16" s="114">
        <f>Март2551[[#This Row],[сумма]]-Март2551[[#This Row],[Цена м2 отделки]]*Март2551[[#This Row],[м2]]</f>
        <v>7192474</v>
      </c>
    </row>
    <row r="17" spans="1:22" s="61" customFormat="1" hidden="1">
      <c r="A17" s="62">
        <v>14</v>
      </c>
      <c r="B17" s="62" t="s">
        <v>6</v>
      </c>
      <c r="C17" s="74">
        <v>38993</v>
      </c>
      <c r="D17" s="62" t="s">
        <v>23</v>
      </c>
      <c r="E17" s="75">
        <v>229</v>
      </c>
      <c r="F17" s="62">
        <v>1</v>
      </c>
      <c r="G17" s="62">
        <v>44.16</v>
      </c>
      <c r="H17" s="76" t="s">
        <v>21</v>
      </c>
      <c r="I17" s="76">
        <v>10000</v>
      </c>
      <c r="J17" s="91">
        <v>5929692</v>
      </c>
      <c r="K17" s="62" t="s">
        <v>8</v>
      </c>
      <c r="L17" s="62" t="s">
        <v>22</v>
      </c>
      <c r="M17" s="62" t="s">
        <v>130</v>
      </c>
      <c r="N17" s="62" t="s">
        <v>18</v>
      </c>
      <c r="O17" s="92">
        <v>45762</v>
      </c>
      <c r="P17" s="62" t="s">
        <v>17</v>
      </c>
      <c r="Q17" s="375" t="s">
        <v>2410</v>
      </c>
      <c r="R17" s="113"/>
      <c r="S17" s="113"/>
      <c r="T17" s="62" t="s">
        <v>8</v>
      </c>
      <c r="U17" s="62" t="s">
        <v>8</v>
      </c>
      <c r="V17" s="114">
        <f>Март2551[[#This Row],[сумма]]-Март2551[[#This Row],[Цена м2 отделки]]*Март2551[[#This Row],[м2]]</f>
        <v>5488092</v>
      </c>
    </row>
    <row r="18" spans="1:22" s="61" customFormat="1" ht="18.75" hidden="1" customHeight="1">
      <c r="A18" s="62">
        <v>15</v>
      </c>
      <c r="B18" s="62"/>
      <c r="C18" s="74">
        <v>42373</v>
      </c>
      <c r="D18" s="62" t="s">
        <v>19</v>
      </c>
      <c r="E18" s="75">
        <v>29</v>
      </c>
      <c r="F18" s="62">
        <v>2</v>
      </c>
      <c r="G18" s="62">
        <v>61.41</v>
      </c>
      <c r="H18" s="62" t="s">
        <v>21</v>
      </c>
      <c r="I18" s="62">
        <v>10000</v>
      </c>
      <c r="J18" s="95">
        <v>8437734</v>
      </c>
      <c r="K18" s="62" t="s">
        <v>24</v>
      </c>
      <c r="L18" s="62" t="s">
        <v>22</v>
      </c>
      <c r="M18" s="62" t="s">
        <v>65</v>
      </c>
      <c r="N18" s="62" t="s">
        <v>18</v>
      </c>
      <c r="O18" s="92">
        <v>45766</v>
      </c>
      <c r="P18" s="62" t="s">
        <v>17</v>
      </c>
      <c r="Q18" s="112" t="s">
        <v>2411</v>
      </c>
      <c r="R18" s="113"/>
      <c r="S18" s="62"/>
      <c r="T18" s="62" t="s">
        <v>24</v>
      </c>
      <c r="U18" s="62" t="s">
        <v>24</v>
      </c>
      <c r="V18" s="114">
        <f>Март2551[[#This Row],[сумма]]-Март2551[[#This Row],[Цена м2 отделки]]*Март2551[[#This Row],[м2]]</f>
        <v>7823634</v>
      </c>
    </row>
    <row r="19" spans="1:22" s="61" customFormat="1" hidden="1">
      <c r="A19" s="62">
        <v>16</v>
      </c>
      <c r="B19" s="62" t="s">
        <v>6</v>
      </c>
      <c r="C19" s="74">
        <v>41548</v>
      </c>
      <c r="D19" s="62" t="s">
        <v>23</v>
      </c>
      <c r="E19" s="75">
        <v>101</v>
      </c>
      <c r="F19" s="62">
        <v>1</v>
      </c>
      <c r="G19" s="62">
        <v>36.64</v>
      </c>
      <c r="H19" s="62" t="s">
        <v>9</v>
      </c>
      <c r="I19" s="62"/>
      <c r="J19" s="95">
        <v>4930282</v>
      </c>
      <c r="K19" s="62" t="s">
        <v>8</v>
      </c>
      <c r="L19" s="62" t="s">
        <v>26</v>
      </c>
      <c r="M19" s="62" t="s">
        <v>130</v>
      </c>
      <c r="N19" s="62" t="s">
        <v>18</v>
      </c>
      <c r="O19" s="92">
        <v>45765</v>
      </c>
      <c r="P19" s="62" t="s">
        <v>17</v>
      </c>
      <c r="Q19" s="112" t="s">
        <v>2412</v>
      </c>
      <c r="R19" s="113"/>
      <c r="S19" s="113"/>
      <c r="T19" s="62" t="s">
        <v>8</v>
      </c>
      <c r="U19" s="62" t="s">
        <v>8</v>
      </c>
      <c r="V19" s="114">
        <f>Март2551[[#This Row],[сумма]]-Март2551[[#This Row],[Цена м2 отделки]]*Март2551[[#This Row],[м2]]</f>
        <v>4930282</v>
      </c>
    </row>
    <row r="20" spans="1:22" s="61" customFormat="1">
      <c r="A20" s="62">
        <v>17</v>
      </c>
      <c r="B20" s="62" t="s">
        <v>6</v>
      </c>
      <c r="C20" s="74">
        <v>42311</v>
      </c>
      <c r="D20" s="62" t="s">
        <v>13</v>
      </c>
      <c r="E20" s="75" t="s">
        <v>2413</v>
      </c>
      <c r="F20" s="62">
        <v>0</v>
      </c>
      <c r="G20" s="62">
        <v>4.7</v>
      </c>
      <c r="H20" s="76" t="s">
        <v>9</v>
      </c>
      <c r="I20" s="76"/>
      <c r="J20" s="91">
        <v>517000</v>
      </c>
      <c r="K20" s="62" t="s">
        <v>8</v>
      </c>
      <c r="L20" s="62"/>
      <c r="M20" s="62" t="s">
        <v>130</v>
      </c>
      <c r="N20" s="62" t="s">
        <v>18</v>
      </c>
      <c r="O20" s="92">
        <v>45768</v>
      </c>
      <c r="P20" s="62" t="s">
        <v>17</v>
      </c>
      <c r="Q20" s="112" t="s">
        <v>2414</v>
      </c>
      <c r="R20" s="113"/>
      <c r="S20" s="113"/>
      <c r="T20" s="62" t="s">
        <v>8</v>
      </c>
      <c r="U20" s="62" t="s">
        <v>8</v>
      </c>
      <c r="V20" s="114">
        <f>Март2551[[#This Row],[сумма]]-Март2551[[#This Row],[Цена м2 отделки]]*Март2551[[#This Row],[м2]]</f>
        <v>517000</v>
      </c>
    </row>
    <row r="21" spans="1:22" s="61" customFormat="1">
      <c r="A21" s="62">
        <v>18</v>
      </c>
      <c r="B21" s="62" t="s">
        <v>6</v>
      </c>
      <c r="C21" s="349">
        <v>42503</v>
      </c>
      <c r="D21" s="62" t="s">
        <v>13</v>
      </c>
      <c r="E21" s="62" t="s">
        <v>2415</v>
      </c>
      <c r="F21" s="349">
        <v>0</v>
      </c>
      <c r="G21" s="62">
        <v>6.97</v>
      </c>
      <c r="H21" s="76" t="s">
        <v>9</v>
      </c>
      <c r="I21" s="348"/>
      <c r="J21" s="91">
        <v>697000</v>
      </c>
      <c r="K21" s="62" t="s">
        <v>8</v>
      </c>
      <c r="L21" s="62"/>
      <c r="M21" s="62" t="s">
        <v>130</v>
      </c>
      <c r="N21" s="62" t="s">
        <v>18</v>
      </c>
      <c r="O21" s="92">
        <v>45769</v>
      </c>
      <c r="P21" s="62" t="s">
        <v>17</v>
      </c>
      <c r="Q21" s="82" t="s">
        <v>2416</v>
      </c>
      <c r="R21" s="113"/>
      <c r="S21" s="113"/>
      <c r="T21" s="62" t="s">
        <v>8</v>
      </c>
      <c r="U21" s="62" t="s">
        <v>14</v>
      </c>
      <c r="V21" s="114">
        <f>Март2551[[#This Row],[сумма]]-Март2551[[#This Row],[Цена м2 отделки]]*Март2551[[#This Row],[м2]]</f>
        <v>697000</v>
      </c>
    </row>
    <row r="22" spans="1:22" s="61" customFormat="1" ht="14.25" hidden="1" customHeight="1">
      <c r="A22" s="62">
        <v>19</v>
      </c>
      <c r="B22" s="62"/>
      <c r="C22" s="74">
        <v>42456</v>
      </c>
      <c r="D22" s="62" t="s">
        <v>13</v>
      </c>
      <c r="E22" s="75">
        <v>323</v>
      </c>
      <c r="F22" s="62">
        <v>2</v>
      </c>
      <c r="G22" s="62">
        <v>60.24</v>
      </c>
      <c r="H22" s="76" t="s">
        <v>21</v>
      </c>
      <c r="I22" s="76">
        <v>10000</v>
      </c>
      <c r="J22" s="91">
        <v>7705400</v>
      </c>
      <c r="K22" s="62" t="s">
        <v>14</v>
      </c>
      <c r="L22" s="62" t="s">
        <v>22</v>
      </c>
      <c r="M22" s="62" t="s">
        <v>65</v>
      </c>
      <c r="N22" s="62" t="s">
        <v>18</v>
      </c>
      <c r="O22" s="92"/>
      <c r="P22" s="62" t="s">
        <v>17</v>
      </c>
      <c r="Q22" s="112" t="s">
        <v>2417</v>
      </c>
      <c r="R22" s="113"/>
      <c r="S22" s="113"/>
      <c r="T22" s="62" t="s">
        <v>14</v>
      </c>
      <c r="U22" s="62" t="s">
        <v>14</v>
      </c>
      <c r="V22" s="114">
        <f>Март2551[[#This Row],[сумма]]-Март2551[[#This Row],[Цена м2 отделки]]*Март2551[[#This Row],[м2]]</f>
        <v>7103000</v>
      </c>
    </row>
    <row r="23" spans="1:22" s="61" customFormat="1" hidden="1">
      <c r="A23" s="62">
        <v>20</v>
      </c>
      <c r="B23" s="62" t="s">
        <v>6</v>
      </c>
      <c r="C23" s="349">
        <v>41397</v>
      </c>
      <c r="D23" s="62" t="s">
        <v>23</v>
      </c>
      <c r="E23" s="62">
        <v>227</v>
      </c>
      <c r="F23" s="349">
        <v>3</v>
      </c>
      <c r="G23" s="62">
        <v>78.16</v>
      </c>
      <c r="H23" s="117" t="s">
        <v>9</v>
      </c>
      <c r="I23" s="348"/>
      <c r="J23" s="91">
        <v>8407700</v>
      </c>
      <c r="K23" s="62" t="s">
        <v>8</v>
      </c>
      <c r="L23" s="117" t="s">
        <v>22</v>
      </c>
      <c r="M23" s="117" t="s">
        <v>130</v>
      </c>
      <c r="N23" s="117" t="s">
        <v>18</v>
      </c>
      <c r="O23" s="92"/>
      <c r="P23" s="117" t="s">
        <v>17</v>
      </c>
      <c r="Q23" s="82" t="s">
        <v>2418</v>
      </c>
      <c r="R23" s="113"/>
      <c r="S23" s="113"/>
      <c r="T23" s="62" t="s">
        <v>8</v>
      </c>
      <c r="U23" s="62" t="s">
        <v>8</v>
      </c>
      <c r="V23" s="114">
        <f>Март2551[[#This Row],[сумма]]-Март2551[[#This Row],[Цена м2 отделки]]*Март2551[[#This Row],[м2]]</f>
        <v>8407700</v>
      </c>
    </row>
    <row r="24" spans="1:22" s="61" customFormat="1" hidden="1">
      <c r="A24" s="62">
        <v>21</v>
      </c>
      <c r="B24" s="62"/>
      <c r="C24" s="74">
        <v>42206</v>
      </c>
      <c r="D24" s="62" t="s">
        <v>13</v>
      </c>
      <c r="E24" s="75">
        <v>140</v>
      </c>
      <c r="F24" s="349">
        <v>0</v>
      </c>
      <c r="G24" s="62">
        <v>24.28</v>
      </c>
      <c r="H24" s="62" t="s">
        <v>9</v>
      </c>
      <c r="I24" s="348"/>
      <c r="J24" s="352">
        <v>3442060</v>
      </c>
      <c r="K24" s="348" t="s">
        <v>43</v>
      </c>
      <c r="L24" s="62" t="s">
        <v>26</v>
      </c>
      <c r="M24" s="62" t="s">
        <v>65</v>
      </c>
      <c r="N24" s="62" t="s">
        <v>18</v>
      </c>
      <c r="O24" s="92"/>
      <c r="P24" s="62" t="s">
        <v>17</v>
      </c>
      <c r="Q24" s="375" t="s">
        <v>2419</v>
      </c>
      <c r="R24" s="113"/>
      <c r="S24" s="113"/>
      <c r="T24" s="62" t="s">
        <v>24</v>
      </c>
      <c r="U24" s="62" t="s">
        <v>24</v>
      </c>
      <c r="V24" s="114">
        <f>Март2551[[#This Row],[сумма]]-Март2551[[#This Row],[Цена м2 отделки]]*Март2551[[#This Row],[м2]]</f>
        <v>3442060</v>
      </c>
    </row>
    <row r="25" spans="1:22" s="61" customFormat="1" hidden="1">
      <c r="A25" s="62">
        <v>22</v>
      </c>
      <c r="B25" s="62"/>
      <c r="C25" s="75">
        <v>37630</v>
      </c>
      <c r="D25" s="62" t="s">
        <v>13</v>
      </c>
      <c r="E25" s="75">
        <v>200</v>
      </c>
      <c r="F25" s="349">
        <v>3</v>
      </c>
      <c r="G25" s="62">
        <v>84.99</v>
      </c>
      <c r="H25" s="62" t="s">
        <v>9</v>
      </c>
      <c r="I25" s="348"/>
      <c r="J25" s="352">
        <v>9036800</v>
      </c>
      <c r="K25" s="62" t="s">
        <v>24</v>
      </c>
      <c r="L25" s="62" t="s">
        <v>26</v>
      </c>
      <c r="M25" s="62" t="s">
        <v>65</v>
      </c>
      <c r="N25" s="62" t="s">
        <v>18</v>
      </c>
      <c r="O25" s="92">
        <v>45777</v>
      </c>
      <c r="P25" s="62" t="s">
        <v>17</v>
      </c>
      <c r="Q25" s="376" t="s">
        <v>2420</v>
      </c>
      <c r="R25" s="113"/>
      <c r="S25" s="113"/>
      <c r="T25" s="62" t="s">
        <v>24</v>
      </c>
      <c r="U25" s="62" t="s">
        <v>24</v>
      </c>
      <c r="V25" s="114">
        <f>Март2551[[#This Row],[сумма]]-Март2551[[#This Row],[Цена м2 отделки]]*Март2551[[#This Row],[м2]]</f>
        <v>9036800</v>
      </c>
    </row>
    <row r="26" spans="1:22" s="61" customFormat="1">
      <c r="A26" s="62">
        <v>23</v>
      </c>
      <c r="B26" s="62"/>
      <c r="C26" s="350">
        <v>42184</v>
      </c>
      <c r="D26" s="62" t="s">
        <v>13</v>
      </c>
      <c r="E26" s="62">
        <v>468</v>
      </c>
      <c r="F26" s="349">
        <v>1</v>
      </c>
      <c r="G26" s="62">
        <v>39.69</v>
      </c>
      <c r="H26" s="117" t="s">
        <v>25</v>
      </c>
      <c r="I26" s="348">
        <v>25000</v>
      </c>
      <c r="J26" s="352">
        <v>5980130</v>
      </c>
      <c r="K26" s="62" t="s">
        <v>8</v>
      </c>
      <c r="L26" s="117" t="s">
        <v>26</v>
      </c>
      <c r="M26" s="117" t="s">
        <v>65</v>
      </c>
      <c r="N26" s="117" t="s">
        <v>18</v>
      </c>
      <c r="O26" s="92"/>
      <c r="P26" s="117" t="s">
        <v>17</v>
      </c>
      <c r="Q26" s="82" t="s">
        <v>2421</v>
      </c>
      <c r="R26" s="113"/>
      <c r="S26" s="113"/>
      <c r="T26" s="62" t="s">
        <v>8</v>
      </c>
      <c r="U26" s="62" t="s">
        <v>14</v>
      </c>
      <c r="V26" s="114">
        <f>Март2551[[#This Row],[сумма]]-Март2551[[#This Row],[Цена м2 отделки]]*Март2551[[#This Row],[м2]]</f>
        <v>4987880</v>
      </c>
    </row>
    <row r="27" spans="1:22" s="61" customFormat="1" hidden="1">
      <c r="A27" s="62">
        <v>24</v>
      </c>
      <c r="B27" s="62"/>
      <c r="C27" s="62">
        <v>41962</v>
      </c>
      <c r="D27" s="62" t="s">
        <v>23</v>
      </c>
      <c r="E27" s="62">
        <v>253</v>
      </c>
      <c r="F27" s="62">
        <v>1</v>
      </c>
      <c r="G27" s="62">
        <v>43.88</v>
      </c>
      <c r="H27" s="62" t="s">
        <v>21</v>
      </c>
      <c r="I27" s="62">
        <v>10000</v>
      </c>
      <c r="J27" s="95">
        <v>6016960</v>
      </c>
      <c r="K27" s="348" t="s">
        <v>14</v>
      </c>
      <c r="L27" s="62" t="s">
        <v>26</v>
      </c>
      <c r="M27" s="62" t="s">
        <v>130</v>
      </c>
      <c r="N27" s="62" t="s">
        <v>18</v>
      </c>
      <c r="O27" s="96"/>
      <c r="P27" s="62" t="s">
        <v>1772</v>
      </c>
      <c r="Q27" s="62" t="s">
        <v>2422</v>
      </c>
      <c r="T27" s="62" t="s">
        <v>14</v>
      </c>
      <c r="U27" s="62" t="s">
        <v>14</v>
      </c>
      <c r="V27" s="114">
        <f>Март2551[[#This Row],[сумма]]-Март2551[[#This Row],[Цена м2 отделки]]*Март2551[[#This Row],[м2]]</f>
        <v>5578160</v>
      </c>
    </row>
    <row r="28" spans="1:22" s="61" customFormat="1" ht="11.25" hidden="1" customHeight="1">
      <c r="A28" s="65"/>
      <c r="B28" s="65"/>
      <c r="C28" s="65"/>
      <c r="D28" s="65"/>
      <c r="E28" s="65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Март2551[[#This Row],[сумма]]-Март2551[[#This Row],[Цена м2 отделки]]*Март2551[[#This Row],[м2]]</f>
        <v>0</v>
      </c>
    </row>
    <row r="29" spans="1:22" s="61" customFormat="1" hidden="1">
      <c r="A29" s="62">
        <v>26</v>
      </c>
      <c r="B29" s="62"/>
      <c r="C29" s="75">
        <v>34142</v>
      </c>
      <c r="D29" s="62" t="s">
        <v>13</v>
      </c>
      <c r="E29" s="75" t="s">
        <v>2423</v>
      </c>
      <c r="F29" s="62">
        <v>0</v>
      </c>
      <c r="G29" s="62">
        <v>6.94</v>
      </c>
      <c r="H29" s="62" t="s">
        <v>9</v>
      </c>
      <c r="I29" s="62"/>
      <c r="J29" s="95">
        <v>694000</v>
      </c>
      <c r="K29" s="117" t="s">
        <v>14</v>
      </c>
      <c r="L29" s="62"/>
      <c r="M29" s="62"/>
      <c r="N29" s="62" t="s">
        <v>18</v>
      </c>
      <c r="O29" s="92"/>
      <c r="P29" s="117" t="s">
        <v>17</v>
      </c>
      <c r="Q29" s="62" t="s">
        <v>2424</v>
      </c>
      <c r="R29" s="76"/>
      <c r="S29" s="76"/>
      <c r="T29" s="117" t="s">
        <v>14</v>
      </c>
      <c r="U29" s="117" t="s">
        <v>14</v>
      </c>
      <c r="V29" s="114">
        <f>Март2551[[#This Row],[сумма]]-Март2551[[#This Row],[Цена м2 отделки]]*Март2551[[#This Row],[м2]]</f>
        <v>694000</v>
      </c>
    </row>
    <row r="30" spans="1:22" s="61" customFormat="1" hidden="1">
      <c r="A30" s="62">
        <v>27</v>
      </c>
      <c r="B30" s="62" t="s">
        <v>6</v>
      </c>
      <c r="C30" s="75">
        <v>30003</v>
      </c>
      <c r="D30" s="62" t="s">
        <v>19</v>
      </c>
      <c r="E30" s="75">
        <v>26</v>
      </c>
      <c r="F30" s="349">
        <v>1</v>
      </c>
      <c r="G30" s="75">
        <v>35.53</v>
      </c>
      <c r="H30" s="62" t="s">
        <v>9</v>
      </c>
      <c r="I30" s="348"/>
      <c r="J30" s="95">
        <v>4798178</v>
      </c>
      <c r="K30" s="117" t="s">
        <v>8</v>
      </c>
      <c r="L30" s="62" t="s">
        <v>26</v>
      </c>
      <c r="M30" s="62" t="s">
        <v>130</v>
      </c>
      <c r="N30" s="62" t="s">
        <v>18</v>
      </c>
      <c r="O30" s="92">
        <v>45772</v>
      </c>
      <c r="P30" s="117" t="s">
        <v>17</v>
      </c>
      <c r="Q30" s="62" t="s">
        <v>1204</v>
      </c>
      <c r="R30" s="113"/>
      <c r="S30" s="113"/>
      <c r="T30" s="117" t="s">
        <v>8</v>
      </c>
      <c r="U30" s="117" t="s">
        <v>8</v>
      </c>
      <c r="V30" s="114">
        <f>Март2551[[#This Row],[сумма]]-Март2551[[#This Row],[Цена м2 отделки]]*Март2551[[#This Row],[м2]]</f>
        <v>4798178</v>
      </c>
    </row>
    <row r="31" spans="1:22" s="61" customFormat="1" hidden="1">
      <c r="A31" s="62">
        <v>28</v>
      </c>
      <c r="B31" s="62"/>
      <c r="C31" s="75">
        <v>42250</v>
      </c>
      <c r="D31" s="62" t="s">
        <v>13</v>
      </c>
      <c r="E31" s="75" t="s">
        <v>2425</v>
      </c>
      <c r="F31" s="349">
        <v>0</v>
      </c>
      <c r="G31" s="75">
        <v>5.23</v>
      </c>
      <c r="H31" s="62" t="s">
        <v>9</v>
      </c>
      <c r="I31" s="348"/>
      <c r="J31" s="95">
        <v>575300</v>
      </c>
      <c r="K31" s="62" t="s">
        <v>20</v>
      </c>
      <c r="L31" s="62"/>
      <c r="M31" s="62" t="s">
        <v>130</v>
      </c>
      <c r="N31" s="62" t="s">
        <v>18</v>
      </c>
      <c r="O31" s="92"/>
      <c r="P31" s="62" t="s">
        <v>17</v>
      </c>
      <c r="Q31" s="62" t="s">
        <v>2426</v>
      </c>
      <c r="R31" s="113"/>
      <c r="S31" s="113"/>
      <c r="T31" s="62" t="s">
        <v>20</v>
      </c>
      <c r="U31" s="62" t="s">
        <v>14</v>
      </c>
      <c r="V31" s="114">
        <f>Март2551[[#This Row],[сумма]]-Март2551[[#This Row],[Цена м2 отделки]]*Март2551[[#This Row],[м2]]</f>
        <v>575300</v>
      </c>
    </row>
    <row r="32" spans="1:22" s="61" customFormat="1" hidden="1">
      <c r="A32" s="65">
        <v>29</v>
      </c>
      <c r="B32" s="65"/>
      <c r="C32" s="79">
        <v>42683</v>
      </c>
      <c r="D32" s="65" t="s">
        <v>13</v>
      </c>
      <c r="E32" s="79">
        <v>10</v>
      </c>
      <c r="F32" s="65">
        <v>1</v>
      </c>
      <c r="G32" s="65">
        <v>58.39</v>
      </c>
      <c r="H32" s="65" t="s">
        <v>9</v>
      </c>
      <c r="I32" s="65"/>
      <c r="J32" s="106"/>
      <c r="K32" s="80" t="s">
        <v>20</v>
      </c>
      <c r="L32" s="65"/>
      <c r="M32" s="65" t="s">
        <v>583</v>
      </c>
      <c r="N32" s="65" t="s">
        <v>18</v>
      </c>
      <c r="O32" s="98"/>
      <c r="P32" s="80"/>
      <c r="Q32" s="65" t="s">
        <v>2427</v>
      </c>
      <c r="R32" s="118"/>
      <c r="S32" s="118"/>
      <c r="T32" s="80" t="s">
        <v>20</v>
      </c>
      <c r="U32" s="80" t="s">
        <v>20</v>
      </c>
      <c r="V32" s="115">
        <f>Март2551[[#This Row],[сумма]]-Март2551[[#This Row],[Цена м2 отделки]]*Март2551[[#This Row],[м2]]</f>
        <v>0</v>
      </c>
    </row>
    <row r="33" spans="1:22" s="61" customFormat="1" hidden="1">
      <c r="A33" s="62">
        <v>30</v>
      </c>
      <c r="B33" s="62" t="s">
        <v>6</v>
      </c>
      <c r="C33" s="74">
        <v>42832</v>
      </c>
      <c r="D33" s="62" t="s">
        <v>23</v>
      </c>
      <c r="E33" s="75">
        <v>89</v>
      </c>
      <c r="F33" s="62">
        <v>1</v>
      </c>
      <c r="G33" s="62">
        <v>36.64</v>
      </c>
      <c r="H33" s="62" t="s">
        <v>9</v>
      </c>
      <c r="I33" s="62"/>
      <c r="J33" s="95">
        <v>4749374</v>
      </c>
      <c r="K33" s="117" t="s">
        <v>24</v>
      </c>
      <c r="L33" s="62" t="s">
        <v>26</v>
      </c>
      <c r="M33" s="371" t="s">
        <v>130</v>
      </c>
      <c r="N33" s="62" t="s">
        <v>91</v>
      </c>
      <c r="O33" s="92">
        <v>45777</v>
      </c>
      <c r="P33" s="117" t="s">
        <v>17</v>
      </c>
      <c r="Q33" s="62" t="s">
        <v>2428</v>
      </c>
      <c r="R33" s="113"/>
      <c r="S33" s="377"/>
      <c r="T33" s="117" t="s">
        <v>24</v>
      </c>
      <c r="U33" s="117" t="s">
        <v>24</v>
      </c>
      <c r="V33" s="114">
        <f>Март2551[[#This Row],[сумма]]-Март2551[[#This Row],[Цена м2 отделки]]*Март2551[[#This Row],[м2]]</f>
        <v>4749374</v>
      </c>
    </row>
    <row r="34" spans="1:22" s="61" customFormat="1" hidden="1">
      <c r="A34" s="65">
        <v>31</v>
      </c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Март2551[[#This Row],[сумма]]-Март2551[[#This Row],[Цена м2 отделки]]*Март2551[[#This Row],[м2]]</f>
        <v>0</v>
      </c>
    </row>
    <row r="35" spans="1:22" s="61" customFormat="1" hidden="1">
      <c r="A35" s="65">
        <v>32</v>
      </c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Март2551[[#This Row],[сумма]]-Март2551[[#This Row],[Цена м2 отделки]]*Март2551[[#This Row],[м2]]</f>
        <v>0</v>
      </c>
    </row>
    <row r="36" spans="1:22" s="61" customFormat="1" hidden="1">
      <c r="A36" s="65">
        <v>33</v>
      </c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Март2551[[#This Row],[сумма]]-Март2551[[#This Row],[Цена м2 отделки]]*Март2551[[#This Row],[м2]]</f>
        <v>0</v>
      </c>
    </row>
    <row r="37" spans="1:22" s="61" customFormat="1" hidden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Март2551[[#This Row],[сумма]]-Март2551[[#This Row],[Цена м2 отделки]]*Март2551[[#This Row],[м2]]</f>
        <v>0</v>
      </c>
    </row>
    <row r="38" spans="1:22" s="61" customFormat="1" hidden="1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Март2551[[#This Row],[сумма]]-Март2551[[#This Row],[Цена м2 отделки]]*Март2551[[#This Row],[м2]]</f>
        <v>0</v>
      </c>
    </row>
    <row r="39" spans="1:22" s="61" customFormat="1" hidden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Март2551[[#This Row],[сумма]]-Март2551[[#This Row],[Цена м2 отделки]]*Март2551[[#This Row],[м2]]</f>
        <v>0</v>
      </c>
    </row>
    <row r="40" spans="1:22" hidden="1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Март2551[[#This Row],[сумма]]-Март2551[[#This Row],[Цена м2 отделки]]*Март2551[[#This Row],[м2]]</f>
        <v>0</v>
      </c>
    </row>
    <row r="41" spans="1:22" hidden="1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Март2551[[#This Row],[сумма]]-Март2551[[#This Row],[Цена м2 отделки]]*Март2551[[#This Row],[м2]]</f>
        <v>0</v>
      </c>
    </row>
    <row r="42" spans="1:22" hidden="1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Март2551[[#This Row],[сумма]]-Март2551[[#This Row],[Цена м2 отделки]]*Март2551[[#This Row],[м2]]</f>
        <v>0</v>
      </c>
    </row>
    <row r="43" spans="1:22" hidden="1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Март2551[[#This Row],[сумма]]-Март2551[[#This Row],[Цена м2 отделки]]*Март2551[[#This Row],[м2]]</f>
        <v>0</v>
      </c>
    </row>
    <row r="44" spans="1:22" hidden="1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Март2551[[#This Row],[сумма]]-Март2551[[#This Row],[Цена м2 отделки]]*Март2551[[#This Row],[м2]]</f>
        <v>0</v>
      </c>
    </row>
    <row r="45" spans="1:22" hidden="1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Март2551[[#This Row],[сумма]]-Март2551[[#This Row],[Цена м2 отделки]]*Март2551[[#This Row],[м2]]</f>
        <v>0</v>
      </c>
    </row>
    <row r="46" spans="1:22" hidden="1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Март2551[[#This Row],[сумма]]-Март2551[[#This Row],[Цена м2 отделки]]*Март2551[[#This Row],[м2]]</f>
        <v>0</v>
      </c>
    </row>
    <row r="47" spans="1:22" hidden="1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Март2551[[#This Row],[сумма]]-Март2551[[#This Row],[Цена м2 отделки]]*Март2551[[#This Row],[м2]]</f>
        <v>0</v>
      </c>
    </row>
    <row r="48" spans="1:22" hidden="1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Март2551[[#This Row],[сумма]]-Март2551[[#This Row],[Цена м2 отделки]]*Март2551[[#This Row],[м2]]</f>
        <v>0</v>
      </c>
    </row>
    <row r="49" spans="1:22" hidden="1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Март2551[[#This Row],[сумма]]-Март2551[[#This Row],[Цена м2 отделки]]*Март2551[[#This Row],[м2]]</f>
        <v>0</v>
      </c>
    </row>
    <row r="50" spans="1:22" hidden="1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Март2551[[#This Row],[сумма]]-Март2551[[#This Row],[Цена м2 отделки]]*Март2551[[#This Row],[м2]]</f>
        <v>0</v>
      </c>
    </row>
    <row r="51" spans="1:22" hidden="1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Март2551[[#This Row],[сумма]]-Март2551[[#This Row],[Цена м2 отделки]]*Март2551[[#This Row],[м2]]</f>
        <v>0</v>
      </c>
    </row>
    <row r="52" spans="1:22" hidden="1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Март2551[[#This Row],[сумма]]-Март2551[[#This Row],[Цена м2 отделки]]*Март2551[[#This Row],[м2]]</f>
        <v>0</v>
      </c>
    </row>
    <row r="53" spans="1:22" hidden="1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Март2551[[#This Row],[сумма]]-Март2551[[#This Row],[Цена м2 отделки]]*Март2551[[#This Row],[м2]]</f>
        <v>0</v>
      </c>
    </row>
    <row r="54" spans="1:22" hidden="1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Март2551[[#This Row],[сумма]]-Март2551[[#This Row],[Цена м2 отделки]]*Март2551[[#This Row],[м2]]</f>
        <v>0</v>
      </c>
    </row>
    <row r="55" spans="1:22" hidden="1">
      <c r="A55" s="65"/>
      <c r="B55" s="65"/>
      <c r="C55" s="79"/>
      <c r="D55" s="65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Март2551[[#This Row],[сумма]]-Март2551[[#This Row],[Цена м2 отделки]]*Март2551[[#This Row],[м2]]</f>
        <v>0</v>
      </c>
    </row>
    <row r="56" spans="1:22" hidden="1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Март2551[[#This Row],[сумма]]-Март2551[[#This Row],[Цена м2 отделки]]*Март2551[[#This Row],[м2]]</f>
        <v>0</v>
      </c>
    </row>
    <row r="57" spans="1:22" hidden="1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Март2551[[#This Row],[сумма]]-Март2551[[#This Row],[Цена м2 отделки]]*Март2551[[#This Row],[м2]]</f>
        <v>0</v>
      </c>
    </row>
    <row r="58" spans="1:22" hidden="1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Март2551[[#This Row],[сумма]]-Март2551[[#This Row],[Цена м2 отделки]]*Март2551[[#This Row],[м2]]</f>
        <v>0</v>
      </c>
    </row>
    <row r="59" spans="1:22" hidden="1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Март2551[[#This Row],[сумма]]-Март2551[[#This Row],[Цена м2 отделки]]*Март2551[[#This Row],[м2]]</f>
        <v>0</v>
      </c>
    </row>
    <row r="60" spans="1:22" hidden="1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Март2551[[#This Row],[сумма]]-Март2551[[#This Row],[Цена м2 отделки]]*Март2551[[#This Row],[м2]]</f>
        <v>0</v>
      </c>
    </row>
    <row r="61" spans="1:22" hidden="1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Март2551[[#This Row],[сумма]]-Март2551[[#This Row],[Цена м2 отделки]]*Март2551[[#This Row],[м2]]</f>
        <v>0</v>
      </c>
    </row>
    <row r="62" spans="1:22" hidden="1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Март2551[[#This Row],[сумма]]-Март2551[[#This Row],[Цена м2 отделки]]*Март2551[[#This Row],[м2]]</f>
        <v>0</v>
      </c>
    </row>
    <row r="63" spans="1:22" hidden="1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Март2551[[#This Row],[сумма]]-Март2551[[#This Row],[Цена м2 отделки]]*Март2551[[#This Row],[м2]]</f>
        <v>0</v>
      </c>
    </row>
    <row r="64" spans="1:22" hidden="1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Март2551[[#This Row],[сумма]]-Март2551[[#This Row],[Цена м2 отделки]]*Март2551[[#This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65"/>
      <c r="F66" s="65"/>
      <c r="G66" s="65"/>
      <c r="H66" s="65"/>
      <c r="I66" s="65"/>
      <c r="L66" s="65"/>
      <c r="M66" s="65"/>
      <c r="N66" s="98"/>
      <c r="O66" s="65"/>
    </row>
    <row r="67" spans="1:27" s="65" customFormat="1">
      <c r="B67" s="79"/>
      <c r="D67" s="79"/>
      <c r="J67" s="66"/>
      <c r="U67" s="110"/>
      <c r="X67" s="98"/>
      <c r="Y67" s="80"/>
      <c r="AA67" s="86"/>
    </row>
    <row r="68" spans="1:27" s="65" customFormat="1">
      <c r="B68" s="79"/>
      <c r="C68" s="79"/>
      <c r="D68" s="80"/>
      <c r="J68" s="66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28</v>
      </c>
      <c r="B72" s="143">
        <f>IFERROR(VLOOKUP(A72,'ИПП 2кв25'!$B$6:$N$17,4,0),"")</f>
        <v>13</v>
      </c>
      <c r="C72" s="144">
        <f>IFERROR(VLOOKUP(A72,'ИПП 2кв25'!$B$6:$N$17,5,0),"")</f>
        <v>1601219</v>
      </c>
      <c r="D72" s="145">
        <f>SUMIFS(Март2551[м2],Март2551[КТУ],$A72,Март2551[№ дома],$C$70,Март2551[Комнатность],"&lt;&gt;Офис")</f>
        <v>0</v>
      </c>
      <c r="E72" s="146">
        <f>SUMIFS(Март2551[Сумма без отделки],Март2551[КТУ],$A72,Март2551[№ дома],$C$70,Март2551[Комнатность],"&lt;&gt;Офис")</f>
        <v>0</v>
      </c>
      <c r="F72" s="147">
        <f>COUNTIFS(Март2551[КТУ],$A72,Март2551[№ дома],$C$70,Март2551[Комнатность],"&lt;&gt;Офис")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>
        <f t="shared" ref="J72:K79" si="0">IFERROR(G72/B72,"")</f>
        <v>0</v>
      </c>
      <c r="K72" s="222">
        <f t="shared" si="0"/>
        <v>0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42" t="s">
        <v>8</v>
      </c>
      <c r="B73" s="143">
        <f>IFERROR(VLOOKUP(A73,'ИПП 2кв25'!$B$6:$N$17,4,0),"")</f>
        <v>13</v>
      </c>
      <c r="C73" s="144">
        <f>IFERROR(VLOOKUP(A73,'ИПП 2кв25'!$B$6:$N$17,5,0),"")</f>
        <v>1601219</v>
      </c>
      <c r="D73" s="145">
        <f>SUMIFS(Март2551[м2],Март2551[КТУ],$A73,Март2551[№ дома],$C$70,Март2551[Комнатность],"&lt;&gt;Офис")</f>
        <v>0</v>
      </c>
      <c r="E73" s="146">
        <f>SUMIFS(Март2551[Сумма без отделки],Март2551[КТУ],$A73,Март2551[№ дома],$C$70,Март2551[Комнатность],"&lt;&gt;Офис")</f>
        <v>0</v>
      </c>
      <c r="F73" s="147">
        <f>COUNTIFS(Март2551[КТУ],$A73,Март2551[№ дома],$C$70,Март2551[Комнатность],"&lt;&gt;Офис")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si="0"/>
        <v>0</v>
      </c>
      <c r="K73" s="222">
        <f t="shared" si="0"/>
        <v>0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0" t="s">
        <v>20</v>
      </c>
      <c r="B74" s="143">
        <f>IFERROR(VLOOKUP(A74,'ИПП 2кв25'!$B$6:$N$17,4,0),"")</f>
        <v>12</v>
      </c>
      <c r="C74" s="144">
        <f>IFERROR(VLOOKUP(A74,'ИПП 2кв25'!$B$6:$N$17,5,0),"")</f>
        <v>1494471</v>
      </c>
      <c r="D74" s="151">
        <f>SUMIFS(Март2551[м2],Март2551[КТУ],$A74,Март2551[№ дома],$C$70,Март2551[Комнатность],"&lt;&gt;Офис")</f>
        <v>0</v>
      </c>
      <c r="E74" s="144">
        <f>SUMIFS(Март2551[Сумма без отделки],Март2551[КТУ],$A74,Март2551[№ дома],$C$70,Март2551[Комнатность],"&lt;&gt;Офис")</f>
        <v>0</v>
      </c>
      <c r="F74" s="152">
        <f>COUNTIFS(Март2551[КТУ],$A74,Март2551[№ дома],$C$70,Март2551[Комнатность],"&lt;&gt;Офис")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1">
        <f t="shared" si="0"/>
        <v>0</v>
      </c>
      <c r="K74" s="222">
        <f t="shared" si="0"/>
        <v>0</v>
      </c>
      <c r="L74" s="148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0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0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0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3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24</v>
      </c>
      <c r="B75" s="143">
        <f>IFERROR(VLOOKUP(A75,'ИПП 2кв25'!$B$6:$N$17,4,0),"")</f>
        <v>10</v>
      </c>
      <c r="C75" s="144">
        <f>IFERROR(VLOOKUP(A75,'ИПП 2кв25'!$B$6:$N$17,5,0),"")</f>
        <v>1280975</v>
      </c>
      <c r="D75" s="151">
        <f>SUMIFS(Март2551[м2],Март2551[КТУ],$A75,Март2551[№ дома],$C$70,Март2551[Комнатность],"&lt;&gt;Офис")</f>
        <v>0</v>
      </c>
      <c r="E75" s="144">
        <f>SUMIFS(Март2551[Сумма без отделки],Март2551[КТУ],$A75,Март2551[№ дома],$C$70,Март2551[Комнатность],"&lt;&gt;Офис")</f>
        <v>0</v>
      </c>
      <c r="F75" s="152">
        <f>COUNTIFS(Март2551[КТУ],$A75,Март2551[№ дома],$C$70,Март2551[Комнатность],"&lt;&gt;Офис")</f>
        <v>0</v>
      </c>
      <c r="G75" s="148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24">
        <f t="shared" si="0"/>
        <v>0</v>
      </c>
      <c r="K75" s="225">
        <f t="shared" si="0"/>
        <v>0</v>
      </c>
      <c r="L75" s="202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226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226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226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227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3" t="s">
        <v>14</v>
      </c>
      <c r="B76" s="143">
        <f>IFERROR(VLOOKUP(A76,'ИПП 2кв25'!$B$6:$N$17,4,0),"")</f>
        <v>13</v>
      </c>
      <c r="C76" s="144">
        <f>IFERROR(VLOOKUP(A76,'ИПП 2кв25'!$B$6:$N$17,5,0),"")</f>
        <v>1601219</v>
      </c>
      <c r="D76" s="205">
        <f>SUMIFS(Март2551[м2],Март2551[КТУ],$A76,Март2551[№ дома],$C$70,Март2551[Комнатность],"&lt;&gt;Офис")</f>
        <v>0</v>
      </c>
      <c r="E76" s="357">
        <f>SUMIFS(Март2551[Сумма без отделки],Март2551[КТУ],$A76,Март2551[№ дома],$C$70,Март2551[Комнатность],"&lt;&gt;Офис")</f>
        <v>0</v>
      </c>
      <c r="F76" s="207">
        <f>COUNTIFS(Март2551[КТУ],$A76,Март2551[№ дома],$C$70,Март2551[Комнатность],"&lt;&gt;Офис")</f>
        <v>0</v>
      </c>
      <c r="G76" s="187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88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47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360">
        <f t="shared" si="0"/>
        <v>0</v>
      </c>
      <c r="K76" s="361">
        <f t="shared" si="0"/>
        <v>0</v>
      </c>
      <c r="L76" s="358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330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330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330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3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54" t="s">
        <v>29</v>
      </c>
      <c r="B77" s="155"/>
      <c r="C77" s="156"/>
      <c r="D77" s="157">
        <f>SUMIFS(Март2551[м2],Март2551[КТУ],$A77,Март2551[№ дома],$C$70,Март2551[Комнатность],"&lt;&gt;Офис")</f>
        <v>0</v>
      </c>
      <c r="E77" s="156">
        <f>SUMIFS(Март2551[Сумма без отделки],Март2551[КТУ],$A77,Март2551[№ дома],$C$70,Март2551[Комнатность],"&lt;&gt;Офис")</f>
        <v>0</v>
      </c>
      <c r="F77" s="158">
        <f>COUNTIFS(Март2551[КТУ],$A77,Март2551[№ дома],$C$70,Март2551[Комнатность],"&lt;&gt;Офис")</f>
        <v>0</v>
      </c>
      <c r="G77" s="159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0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28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29" t="str">
        <f t="shared" si="0"/>
        <v/>
      </c>
      <c r="K77" s="230" t="str">
        <f t="shared" si="0"/>
        <v/>
      </c>
      <c r="L77" s="159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28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28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28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1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1" t="s">
        <v>1919</v>
      </c>
      <c r="B78" s="162"/>
      <c r="C78" s="163"/>
      <c r="D78" s="164">
        <f>SUMIFS(Март2551[м2],Март2551[МОП],$A78,Март2551[№ дома],$C$70,Март2551[Комнатность],"&lt;&gt;Офис")</f>
        <v>0</v>
      </c>
      <c r="E78" s="163">
        <f>SUMIFS(Март2551[Сумма без отделки],Март2551[МОП],$A78,Март2551[№ дома],$C$70,Март2551[Комнатность],"&lt;&gt;Офис")</f>
        <v>0</v>
      </c>
      <c r="F78" s="165">
        <f>COUNTIFS(Март2551[МОП],$A78,Март2551[№ дома],$C$70,Март2551[Комнатность],"&lt;&gt;Офис")</f>
        <v>0</v>
      </c>
      <c r="G78" s="166">
        <f>SUMIFS(РД[S],РД[Дом],$C$70,РД[МОП],A78,РД[Дата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7">
        <f>SUMIFS(РД[Стоимость без отделки итог],РД[Дом],$C$70,РД[МОП],A78,РД[Дата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32">
        <f>COUNTIFS(РД[Дом],$C$70,РД[МОП],A78,РД[Дата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33" t="str">
        <f t="shared" si="0"/>
        <v/>
      </c>
      <c r="K78" s="234" t="str">
        <f t="shared" si="0"/>
        <v/>
      </c>
      <c r="L78" s="235">
        <f>COUNTIFS(РД[Тип кв],L$71,РД[МОП],$A78,РД[Дом],$C$70,РД[Дата подачи на регистрацию],"&lt;="&amp;$A$1,РД[Дата подачи на регистрацию],"&gt;="&amp;DATE(YEAR($A$1),MONTH($A$1),1))</f>
        <v>0</v>
      </c>
      <c r="M78" s="236">
        <f>COUNTIFS(РД[Тип кв],M$71,РД[МОП],$A78,РД[Дом],$C$70,РД[Дата подачи на регистрацию],"&lt;="&amp;$A$1,РД[Дата подачи на регистрацию],"&gt;="&amp;DATE(YEAR($A$1),MONTH($A$1),1))</f>
        <v>0</v>
      </c>
      <c r="N78" s="236">
        <f>COUNTIFS(РД[Тип кв],N$71,РД[МОП],$A78,РД[Дом],$C$70,РД[Дата подачи на регистрацию],"&lt;="&amp;$A$1,РД[Дата подачи на регистрацию],"&gt;="&amp;DATE(YEAR($A$1),MONTH($A$1),1))</f>
        <v>0</v>
      </c>
      <c r="O78" s="236">
        <f>COUNTIFS(РД[Тип кв],O$71,РД[МОП],$A78,РД[Дом],$C$70,РД[Дата подачи на регистрацию],"&lt;="&amp;$A$1,РД[Дата подачи на регистрацию],"&gt;="&amp;DATE(YEAR($A$1),MONTH($A$1),1))</f>
        <v>0</v>
      </c>
      <c r="P78" s="237">
        <f>COUNTIFS(РД[Тип кв],P$71,РД[МОП],$A78,РД[Дом],$C$70,РД[Дата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168" t="s">
        <v>114</v>
      </c>
      <c r="B79" s="169">
        <f t="shared" ref="B79:I79" si="1">SUM(B72:B78)</f>
        <v>61</v>
      </c>
      <c r="C79" s="170">
        <f t="shared" si="1"/>
        <v>7579103</v>
      </c>
      <c r="D79" s="170">
        <f t="shared" si="1"/>
        <v>0</v>
      </c>
      <c r="E79" s="170">
        <f t="shared" si="1"/>
        <v>0</v>
      </c>
      <c r="F79" s="171">
        <f t="shared" si="1"/>
        <v>0</v>
      </c>
      <c r="G79" s="172">
        <f t="shared" si="1"/>
        <v>0</v>
      </c>
      <c r="H79" s="173">
        <f t="shared" si="1"/>
        <v>0</v>
      </c>
      <c r="I79" s="170">
        <f t="shared" si="1"/>
        <v>0</v>
      </c>
      <c r="J79" s="238">
        <f t="shared" si="0"/>
        <v>0</v>
      </c>
      <c r="K79" s="239">
        <f t="shared" si="0"/>
        <v>0</v>
      </c>
      <c r="L79" s="240">
        <f>SUM(L72:L78)</f>
        <v>0</v>
      </c>
      <c r="M79" s="241">
        <f>SUM(M72:M78)</f>
        <v>0</v>
      </c>
      <c r="N79" s="241">
        <f>SUM(N72:N78)</f>
        <v>0</v>
      </c>
      <c r="O79" s="241">
        <f>SUM(O72:O78)</f>
        <v>0</v>
      </c>
      <c r="P79" s="242">
        <f>SUM(P72:P78)</f>
        <v>0</v>
      </c>
      <c r="T79" s="66"/>
    </row>
    <row r="80" spans="1:27" s="65" customFormat="1">
      <c r="A80" s="135" t="s">
        <v>115</v>
      </c>
      <c r="B80" s="135" t="s">
        <v>100</v>
      </c>
      <c r="C80" s="136" t="s">
        <v>97</v>
      </c>
      <c r="D80" s="174" t="s">
        <v>494</v>
      </c>
      <c r="E80" s="175" t="s">
        <v>495</v>
      </c>
      <c r="F80" s="176" t="s">
        <v>496</v>
      </c>
      <c r="G80" s="140" t="s">
        <v>101</v>
      </c>
      <c r="H80" s="141" t="s">
        <v>98</v>
      </c>
      <c r="I80" s="141" t="s">
        <v>96</v>
      </c>
      <c r="J80" s="141" t="s">
        <v>715</v>
      </c>
      <c r="K80" s="216" t="s">
        <v>716</v>
      </c>
      <c r="L80" s="217">
        <v>0</v>
      </c>
      <c r="M80" s="218">
        <v>1</v>
      </c>
      <c r="N80" s="218">
        <v>2</v>
      </c>
      <c r="O80" s="218">
        <v>3</v>
      </c>
      <c r="P80" s="219" t="s">
        <v>1367</v>
      </c>
      <c r="T80" s="66"/>
    </row>
    <row r="81" spans="1:21" s="65" customFormat="1">
      <c r="A81" s="177" t="s">
        <v>22</v>
      </c>
      <c r="B81" s="178">
        <f>IFERROR(VLOOKUP(A81,'ИПП 2кв25'!$B$6:$N$17,4,0),"")</f>
        <v>19.824999999999999</v>
      </c>
      <c r="C81" s="179">
        <f>IFERROR(VLOOKUP(A81,'ИПП 2кв25'!$B$6:$N$17,5,0),"")</f>
        <v>2463208.4750000001</v>
      </c>
      <c r="D81" s="180">
        <f>SUMIFS(Март2551[м2],Март2551[ИМ],A81,Март2551[№ дома],$C$70,Март2551[Комнатность],"&lt;&gt;Офис")</f>
        <v>0</v>
      </c>
      <c r="E81" s="181">
        <f>SUMIFS(Март2551[Сумма без отделки],Март2551[ИМ],$A81,Март2551[№ дома],$C$70,Март2551[Комнатность],"&lt;&gt;Офис")</f>
        <v>0</v>
      </c>
      <c r="F81" s="182">
        <f>COUNTIFS(Март2551[ИМ],$A81,Март2551[№ дома],$C$70,Март2551[Комнатность],"&lt;&gt;Офис")</f>
        <v>0</v>
      </c>
      <c r="G81" s="183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4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3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4">
        <f t="shared" ref="J81:K84" si="2">IFERROR(G81/B81,"")</f>
        <v>0</v>
      </c>
      <c r="K81" s="245">
        <f t="shared" si="2"/>
        <v>0</v>
      </c>
      <c r="L81" s="183">
        <f>COUNTIFS(РД[Тип кв],L71,РД[ИМ],$A81,РД[Дом],$C$70,РД[Дата подачи на регистрацию],"&lt;="&amp;$A$1,РД[Дата подачи на регистрацию],"&gt;="&amp;DATE(YEAR($A$1),MONTH($A$1),1))</f>
        <v>0</v>
      </c>
      <c r="M81" s="243">
        <f>COUNTIFS(РД[Тип кв],M71,РД[ИМ],$A81,РД[Дом],$C$70,РД[Дата подачи на регистрацию],"&lt;="&amp;$A$1,РД[Дата подачи на регистрацию],"&gt;="&amp;DATE(YEAR($A$1),MONTH($A$1),1))</f>
        <v>0</v>
      </c>
      <c r="N81" s="243">
        <f>COUNTIFS(РД[Тип кв],N71,РД[ИМ],$A81,РД[Дом],$C$70,РД[Дата подачи на регистрацию],"&lt;="&amp;$A$1,РД[Дата подачи на регистрацию],"&gt;="&amp;DATE(YEAR($A$1),MONTH($A$1),1))</f>
        <v>0</v>
      </c>
      <c r="O81" s="243">
        <f>COUNTIFS(РД[Тип кв],O71,РД[ИМ],$A81,РД[Дом],$C$70,РД[Дата подачи на регистрацию],"&lt;="&amp;$A$1,РД[Дата подачи на регистрацию],"&gt;="&amp;DATE(YEAR($A$1),MONTH($A$1),1))</f>
        <v>0</v>
      </c>
      <c r="P81" s="246">
        <f>COUNTIFS(РД[Тип кв],P71,РД[ИМ],$A81,РД[Дом],$C$70,РД[Дата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50" t="s">
        <v>26</v>
      </c>
      <c r="B82" s="143">
        <f>IFERROR(VLOOKUP(A82,'ИПП 2кв25'!$B$6:$N$17,4,0),"")</f>
        <v>19.824999999999999</v>
      </c>
      <c r="C82" s="144">
        <f>IFERROR(VLOOKUP(A82,'ИПП 2кв25'!$B$6:$N$17,5,0),"")</f>
        <v>2463208.4750000001</v>
      </c>
      <c r="D82" s="151">
        <f>SUMIFS(Март2551[м2],Март2551[ИМ],A82,Март2551[№ дома],$C$70,Март2551[Комнатность],"&lt;&gt;Офис")</f>
        <v>0</v>
      </c>
      <c r="E82" s="185">
        <f>SUMIFS(Март2551[Сумма без отделки],Март2551[ИМ],$A82,Март2551[№ дома],$C$70,Март2551[Комнатность],"&lt;&gt;Офис")</f>
        <v>0</v>
      </c>
      <c r="F82" s="186">
        <f>COUNTIFS(Март2551[ИМ],$A82,Март2551[№ дома],$C$70,Март2551[Комнатность],"&lt;&gt;Офис")</f>
        <v>0</v>
      </c>
      <c r="G82" s="187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88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47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48">
        <f t="shared" si="2"/>
        <v>0</v>
      </c>
      <c r="K82" s="249">
        <f t="shared" si="2"/>
        <v>0</v>
      </c>
      <c r="L82" s="18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M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N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O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P82" s="250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89" t="s">
        <v>3</v>
      </c>
      <c r="B83" s="190">
        <f>IFERROR(VLOOKUP(A83,'ИПП 2кв25'!$B$6:$N$17,4,0),"")</f>
        <v>0</v>
      </c>
      <c r="C83" s="191">
        <f>IFERROR(VLOOKUP(A83,'ИПП 2кв25'!$B$6:$N$17,5,0),"")</f>
        <v>0</v>
      </c>
      <c r="D83" s="192">
        <f>SUMIFS(Март2551[м2],Март2551[ИМ],A83,Март2551[№ дома],$C$70,Март2551[Комнатность],"&lt;&gt;Офис")</f>
        <v>0</v>
      </c>
      <c r="E83" s="193">
        <f>SUMIFS(Март2551[Сумма без отделки],Март2551[ИМ],$A83,Март2551[№ дома],$C$70,Март2551[Комнатность],"&lt;&gt;Офис")</f>
        <v>0</v>
      </c>
      <c r="F83" s="194">
        <f>COUNTIFS(Март2551[ИМ],$A83,Март2551[№ дома],$C$70,Март2551[Комнатность],"&lt;&gt;Офис")</f>
        <v>0</v>
      </c>
      <c r="G83" s="195">
        <f>SUMIFS(РД[S],РД[Дом],$C$70,РД[ИМ],A83,РД[Дата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96">
        <f>SUMIFS(РД[Стоимость без отделки итог],РД[Дом],$C$70,РД[ИМ],A83,РД[Дата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51">
        <f>COUNTIFS(РД[Дом],$C$70,РД[ИМ],A83,РД[Дата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52" t="str">
        <f t="shared" si="2"/>
        <v/>
      </c>
      <c r="K83" s="253" t="str">
        <f t="shared" si="2"/>
        <v/>
      </c>
      <c r="L83" s="195">
        <f>COUNTIFS(РД[Тип кв],L71,РД[ИМ],$A83,РД[Дом],$C$70,РД[Дата подачи на регистрацию],"&lt;="&amp;$A$1,РД[Дата подачи на регистрацию],"&gt;="&amp;DATE(YEAR($A$1),MONTH($A$1),1))</f>
        <v>0</v>
      </c>
      <c r="M83" s="251">
        <f>COUNTIFS(РД[Тип кв],M71,РД[ИМ],$A83,РД[Дом],$C$70,РД[Дата подачи на регистрацию],"&lt;="&amp;$A$1,РД[Дата подачи на регистрацию],"&gt;="&amp;DATE(YEAR($A$1),MONTH($A$1),1))</f>
        <v>0</v>
      </c>
      <c r="N83" s="251">
        <f>COUNTIFS(РД[Тип кв],N71,РД[ИМ],$A83,РД[Дом],$C$70,РД[Дата подачи на регистрацию],"&lt;="&amp;$A$1,РД[Дата подачи на регистрацию],"&gt;="&amp;DATE(YEAR($A$1),MONTH($A$1),1))</f>
        <v>0</v>
      </c>
      <c r="O83" s="251">
        <f>COUNTIFS(РД[Тип кв],O71,РД[ИМ],$A83,РД[Дом],$C$70,РД[Дата подачи на регистрацию],"&lt;="&amp;$A$1,РД[Дата подачи на регистрацию],"&gt;="&amp;DATE(YEAR($A$1),MONTH($A$1),1))</f>
        <v>0</v>
      </c>
      <c r="P83" s="254">
        <f>COUNTIFS(РД[Тип кв],P71,РД[ИМ],$A83,РД[Дом],$C$70,РД[Дата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168" t="s">
        <v>114</v>
      </c>
      <c r="B84" s="169">
        <f t="shared" ref="B84:P84" si="3">SUM(B81:B83)</f>
        <v>39.65</v>
      </c>
      <c r="C84" s="170">
        <f t="shared" si="3"/>
        <v>4926416.95</v>
      </c>
      <c r="D84" s="170">
        <f t="shared" si="3"/>
        <v>0</v>
      </c>
      <c r="E84" s="170">
        <f t="shared" si="3"/>
        <v>0</v>
      </c>
      <c r="F84" s="171">
        <f t="shared" si="3"/>
        <v>0</v>
      </c>
      <c r="G84" s="172">
        <f t="shared" si="3"/>
        <v>0</v>
      </c>
      <c r="H84" s="173">
        <f t="shared" si="3"/>
        <v>0</v>
      </c>
      <c r="I84" s="170">
        <f t="shared" si="3"/>
        <v>0</v>
      </c>
      <c r="J84" s="238">
        <f t="shared" si="2"/>
        <v>0</v>
      </c>
      <c r="K84" s="239">
        <f t="shared" si="2"/>
        <v>0</v>
      </c>
      <c r="L84" s="240">
        <f t="shared" si="3"/>
        <v>0</v>
      </c>
      <c r="M84" s="241">
        <f t="shared" si="3"/>
        <v>0</v>
      </c>
      <c r="N84" s="241">
        <f t="shared" si="3"/>
        <v>0</v>
      </c>
      <c r="O84" s="241">
        <f t="shared" si="3"/>
        <v>0</v>
      </c>
      <c r="P84" s="242">
        <f t="shared" si="3"/>
        <v>0</v>
      </c>
      <c r="T84" s="66"/>
    </row>
    <row r="85" spans="1:21" s="65" customFormat="1">
      <c r="A85" s="134"/>
      <c r="B85" s="197"/>
      <c r="C85" s="197"/>
      <c r="D85" s="198"/>
      <c r="E85" s="134"/>
      <c r="F85" s="44"/>
      <c r="G85" s="134"/>
      <c r="H85" s="134"/>
      <c r="I85" s="44"/>
      <c r="J85" s="134"/>
      <c r="K85" s="255"/>
      <c r="L85" s="256"/>
      <c r="M85" s="134"/>
      <c r="N85" s="134"/>
      <c r="O85" s="134"/>
      <c r="P85" s="134"/>
      <c r="Q85" s="134"/>
      <c r="U85" s="66"/>
    </row>
    <row r="86" spans="1:21" s="65" customFormat="1">
      <c r="A86" s="2325" t="s">
        <v>713</v>
      </c>
      <c r="B86" s="2326"/>
      <c r="C86" s="133" t="s">
        <v>13</v>
      </c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T86" s="66"/>
    </row>
    <row r="87" spans="1:21" s="65" customFormat="1">
      <c r="A87" s="135" t="s">
        <v>1</v>
      </c>
      <c r="B87" s="135" t="s">
        <v>100</v>
      </c>
      <c r="C87" s="136" t="s">
        <v>97</v>
      </c>
      <c r="D87" s="137" t="s">
        <v>494</v>
      </c>
      <c r="E87" s="138" t="s">
        <v>495</v>
      </c>
      <c r="F87" s="139" t="s">
        <v>496</v>
      </c>
      <c r="G87" s="140" t="s">
        <v>101</v>
      </c>
      <c r="H87" s="141" t="s">
        <v>98</v>
      </c>
      <c r="I87" s="141" t="s">
        <v>96</v>
      </c>
      <c r="J87" s="141" t="s">
        <v>715</v>
      </c>
      <c r="K87" s="216" t="s">
        <v>716</v>
      </c>
      <c r="L87" s="217">
        <v>0</v>
      </c>
      <c r="M87" s="218">
        <v>1</v>
      </c>
      <c r="N87" s="218">
        <v>2</v>
      </c>
      <c r="O87" s="218">
        <v>3</v>
      </c>
      <c r="P87" s="219" t="s">
        <v>1367</v>
      </c>
      <c r="T87" s="66"/>
    </row>
    <row r="88" spans="1:21" s="65" customFormat="1">
      <c r="A88" s="142" t="s">
        <v>28</v>
      </c>
      <c r="B88" s="143">
        <f>IFERROR(VLOOKUP(A88,'ИПП 2кв25'!$B$6:$N$17,6,0),"")</f>
        <v>345</v>
      </c>
      <c r="C88" s="144">
        <f>IFERROR(VLOOKUP(A88,'ИПП 2кв25'!$B$6:$N$17,7,0),"")</f>
        <v>44354454</v>
      </c>
      <c r="D88" s="199">
        <f>SUMIFS(Март2551[м2],Март2551[КТУ],$A88,Март2551[№ дома],$C$86,Март2551[Комнатность],"&lt;&gt;Офис")</f>
        <v>8.9400000000000013</v>
      </c>
      <c r="E88" s="200">
        <f>SUMIFS(Март2551[Сумма без отделки],Март2551[КТУ],$A88,Март2551[№ дома],$C$86,Март2551[Комнатность],"&lt;&gt;Офис")</f>
        <v>983400</v>
      </c>
      <c r="F88" s="201">
        <f>COUNTIFS(Март2551[КТУ],$A88,Март2551[№ дома],$C$86,Март2551[Комнатность],"&lt;&gt;Офис")</f>
        <v>2</v>
      </c>
      <c r="G88" s="202">
        <f>SUMIFS(РД[S],РД[Дом],$C$86,РД[МОП],A88,РД[Дата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03">
        <f>SUMIFS(РД[Стоимость без отделки итог],РД[Дом],$C$86,РД[МОП],A88,РД[Дата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COUNTIFS(РД[Дом],$C$86,РД[МОП],A88,РД[Дата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">
        <f t="shared" ref="J88:K94" si="4">IFERROR(G88/B88,)</f>
        <v>0</v>
      </c>
      <c r="K88" s="225">
        <f t="shared" si="4"/>
        <v>0</v>
      </c>
      <c r="L88" s="257">
        <f>COUNTIFS(РД[Тип кв],L$87,РД[МОП],$A88,РД[Дом],$C$86,РД[Дата подачи на регистрацию],"&lt;="&amp;$A$1,РД[Дата подачи на регистрацию],"&gt;="&amp;DATE(YEAR($A$1),MONTH($A$1),1))</f>
        <v>0</v>
      </c>
      <c r="M88" s="226">
        <f>COUNTIFS(РД[Тип кв],M$87,РД[МОП],$A88,РД[Дом],$C$86,РД[Дата подачи на регистрацию],"&lt;="&amp;$A$1,РД[Дата подачи на регистрацию],"&gt;="&amp;DATE(YEAR($A$1),MONTH($A$1),1))</f>
        <v>0</v>
      </c>
      <c r="N88" s="226">
        <f>COUNTIFS(РД[Тип кв],N$87,РД[МОП],$A88,РД[Дом],$C$86,РД[Дата подачи на регистрацию],"&lt;="&amp;$A$1,РД[Дата подачи на регистрацию],"&gt;="&amp;DATE(YEAR($A$1),MONTH($A$1),1))</f>
        <v>0</v>
      </c>
      <c r="O88" s="226">
        <f>COUNTIFS(РД[Тип кв],O$87,РД[МОП],$A88,РД[Дом],$C$86,РД[Дата подачи на регистрацию],"&lt;="&amp;$A$1,РД[Дата подачи на регистрацию],"&gt;="&amp;DATE(YEAR($A$1),MONTH($A$1),1))</f>
        <v>0</v>
      </c>
      <c r="P88" s="227">
        <f>COUNTIFS(РД[Тип кв],P$87,РД[МОП],$A88,РД[Дом],$C$86,РД[Дата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42" t="s">
        <v>8</v>
      </c>
      <c r="B89" s="143">
        <f>IFERROR(VLOOKUP(A89,'ИПП 2кв25'!$B$6:$N$17,6,0),"")</f>
        <v>345</v>
      </c>
      <c r="C89" s="144">
        <f>IFERROR(VLOOKUP(A89,'ИПП 2кв25'!$B$6:$N$17,7,0),"")</f>
        <v>44354454</v>
      </c>
      <c r="D89" s="199">
        <f>SUMIFS(Март2551[м2],Март2551[КТУ],$A89,Март2551[№ дома],$C$86,Март2551[Комнатность],"&lt;&gt;Офис")</f>
        <v>206.42</v>
      </c>
      <c r="E89" s="200">
        <f>SUMIFS(Март2551[Сумма без отделки],Март2551[КТУ],$A89,Март2551[№ дома],$C$86,Март2551[Комнатность],"&lt;&gt;Офис")</f>
        <v>24809098</v>
      </c>
      <c r="F89" s="201">
        <f>COUNTIFS(Март2551[КТУ],$A89,Март2551[№ дома],$C$86,Март2551[Комнатность],"&lt;&gt;Офис")</f>
        <v>6</v>
      </c>
      <c r="G89" s="202">
        <f>SUMIFS(РД[S],РД[Дом],$C$86,РД[МОП],A89,РД[Дата подачи на регистрацию],"&lt;="&amp;$A$1,РД[Дата подачи на регистрацию],"&gt;="&amp;DATE(YEAR($A$1),MONTH($A$1),1),РД[Состояние],"Продажа")</f>
        <v>194.75</v>
      </c>
      <c r="H89" s="203">
        <f>SUMIFS(РД[Стоимость без отделки итог],РД[Дом],$C$86,РД[МОП],A89,РД[Дата подачи на регистрацию],"&lt;="&amp;$A$1,РД[Дата подачи на регистрацию],"&gt;="&amp;DATE(YEAR($A$1),MONTH($A$1),1),РД[Состояние],"Продажа")</f>
        <v>23595098</v>
      </c>
      <c r="I89" s="226">
        <f>COUNTIFS(РД[Дом],$C$86,РД[МОП],A89,РД[Дата подачи на регистрацию],"&lt;="&amp;$A$1,РД[Дата подачи на регистрацию],"&gt;="&amp;DATE(YEAR($A$1),MONTH($A$1),1),РД[Состояние],"Продажа")</f>
        <v>4</v>
      </c>
      <c r="J89" s="224">
        <f t="shared" si="4"/>
        <v>0.5644927536231884</v>
      </c>
      <c r="K89" s="225">
        <f t="shared" si="4"/>
        <v>0.53196682344460833</v>
      </c>
      <c r="L89" s="257">
        <f>COUNTIFS(РД[Тип кв],L$87,РД[МОП],$A89,РД[Дом],$C$86,РД[Дата подачи на регистрацию],"&lt;="&amp;$A$1,РД[Дата подачи на регистрацию],"&gt;="&amp;DATE(YEAR($A$1),MONTH($A$1),1))</f>
        <v>0</v>
      </c>
      <c r="M89" s="226">
        <f>COUNTIFS(РД[Тип кв],M$87,РД[МОП],$A89,РД[Дом],$C$86,РД[Дата подачи на регистрацию],"&lt;="&amp;$A$1,РД[Дата подачи на регистрацию],"&gt;="&amp;DATE(YEAR($A$1),MONTH($A$1),1))</f>
        <v>2</v>
      </c>
      <c r="N89" s="226">
        <f>COUNTIFS(РД[Тип кв],N$87,РД[МОП],$A89,РД[Дом],$C$86,РД[Дата подачи на регистрацию],"&lt;="&amp;$A$1,РД[Дата подачи на регистрацию],"&gt;="&amp;DATE(YEAR($A$1),MONTH($A$1),1))</f>
        <v>2</v>
      </c>
      <c r="O89" s="226">
        <f>COUNTIFS(РД[Тип кв],O$87,РД[МОП],$A89,РД[Дом],$C$86,РД[Дата подачи на регистрацию],"&lt;="&amp;$A$1,РД[Дата подачи на регистрацию],"&gt;="&amp;DATE(YEAR($A$1),MONTH($A$1),1))</f>
        <v>0</v>
      </c>
      <c r="P89" s="227">
        <f>COUNTIFS(РД[Тип кв],P$87,РД[МОП],$A89,РД[Дом],$C$86,РД[Дата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0" t="s">
        <v>20</v>
      </c>
      <c r="B90" s="143">
        <f>IFERROR(VLOOKUP(A90,'ИПП 2кв25'!$B$6:$N$17,6,0),"")</f>
        <v>322</v>
      </c>
      <c r="C90" s="144">
        <f>IFERROR(VLOOKUP(A90,'ИПП 2кв25'!$B$6:$N$17,7,0),"")</f>
        <v>41397490</v>
      </c>
      <c r="D90" s="199">
        <f>SUMIFS(Март2551[м2],Март2551[КТУ],$A90,Март2551[№ дома],$C$86,Март2551[Комнатность],"&lt;&gt;Офис")</f>
        <v>143.06</v>
      </c>
      <c r="E90" s="200">
        <f>SUMIFS(Март2551[Сумма без отделки],Март2551[КТУ],$A90,Март2551[№ дома],$C$86,Март2551[Комнатность],"&lt;&gt;Офис")</f>
        <v>9809700</v>
      </c>
      <c r="F90" s="201">
        <f>COUNTIFS(Март2551[КТУ],$A90,Март2551[№ дома],$C$86,Март2551[Комнатность],"&lt;&gt;Офис")</f>
        <v>3</v>
      </c>
      <c r="G90" s="202">
        <f>SUMIFS(РД[S],РД[Дом],$C$86,РД[МОП],A90,РД[Дата подачи на регистрацию],"&lt;="&amp;$A$1,РД[Дата подачи на регистрацию],"&gt;="&amp;DATE(YEAR($A$1),MONTH($A$1),1),РД[Состояние],"Продажа")</f>
        <v>79.44</v>
      </c>
      <c r="H90" s="203">
        <f>SUMIFS(РД[Стоимость без отделки итог],РД[Дом],$C$86,РД[МОП],A90,РД[Дата подачи на регистрацию],"&lt;="&amp;$A$1,РД[Дата подачи на регистрацию],"&gt;="&amp;DATE(YEAR($A$1),MONTH($A$1),1),РД[Состояние],"Продажа")</f>
        <v>9234400</v>
      </c>
      <c r="I90" s="226">
        <f>COUNTIFS(РД[Дом],$C$86,РД[МОП],A90,РД[Дата подачи на регистрацию],"&lt;="&amp;$A$1,РД[Дата подачи на регистрацию],"&gt;="&amp;DATE(YEAR($A$1),MONTH($A$1),1),РД[Состояние],"Продажа")</f>
        <v>1</v>
      </c>
      <c r="J90" s="224">
        <f t="shared" si="4"/>
        <v>0.24670807453416149</v>
      </c>
      <c r="K90" s="225">
        <f t="shared" si="4"/>
        <v>0.22306666418664514</v>
      </c>
      <c r="L90" s="257">
        <f>COUNTIFS(РД[Тип кв],L$87,РД[МОП],$A90,РД[Дом],$C$86,РД[Дата подачи на регистрацию],"&lt;="&amp;$A$1,РД[Дата подачи на регистрацию],"&gt;="&amp;DATE(YEAR($A$1),MONTH($A$1),1))</f>
        <v>0</v>
      </c>
      <c r="M90" s="226">
        <f>COUNTIFS(РД[Тип кв],M$87,РД[МОП],$A90,РД[Дом],$C$86,РД[Дата подачи на регистрацию],"&lt;="&amp;$A$1,РД[Дата подачи на регистрацию],"&gt;="&amp;DATE(YEAR($A$1),MONTH($A$1),1))</f>
        <v>0</v>
      </c>
      <c r="N90" s="226">
        <f>COUNTIFS(РД[Тип кв],N$87,РД[МОП],$A90,РД[Дом],$C$86,РД[Дата подачи на регистрацию],"&lt;="&amp;$A$1,РД[Дата подачи на регистрацию],"&gt;="&amp;DATE(YEAR($A$1),MONTH($A$1),1))</f>
        <v>0</v>
      </c>
      <c r="O90" s="226">
        <f>COUNTIFS(РД[Тип кв],O$87,РД[МОП],$A90,РД[Дом],$C$86,РД[Дата подачи на регистрацию],"&lt;="&amp;$A$1,РД[Дата подачи на регистрацию],"&gt;="&amp;DATE(YEAR($A$1),MONTH($A$1),1))</f>
        <v>1</v>
      </c>
      <c r="P90" s="227">
        <f>COUNTIFS(РД[Тип кв],P$87,РД[МОП],$A90,РД[Дом],$C$86,РД[Дата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3" t="s">
        <v>24</v>
      </c>
      <c r="B91" s="143">
        <f>IFERROR(VLOOKUP(A91,'ИПП 2кв25'!$B$6:$N$17,6,0),"")</f>
        <v>276</v>
      </c>
      <c r="C91" s="144">
        <f>IFERROR(VLOOKUP(A91,'ИПП 2кв25'!$B$6:$N$17,7,0),"")</f>
        <v>35483563</v>
      </c>
      <c r="D91" s="199">
        <f>SUMIFS(Март2551[м2],Март2551[КТУ],$A91,Март2551[№ дома],$C$86,Март2551[Комнатность],"&lt;&gt;Офис")</f>
        <v>171.57999999999998</v>
      </c>
      <c r="E91" s="200">
        <f>SUMIFS(Март2551[Сумма без отделки],Март2551[КТУ],$A91,Март2551[№ дома],$C$86,Март2551[Комнатность],"&lt;&gt;Офис")</f>
        <v>20732580</v>
      </c>
      <c r="F91" s="201">
        <f>COUNTIFS(Март2551[КТУ],$A91,Март2551[№ дома],$C$86,Март2551[Комнатность],"&lt;&gt;Офис")</f>
        <v>4</v>
      </c>
      <c r="G91" s="202">
        <f>SUMIFS(РД[S],РД[Дом],$C$86,РД[МОП],A91,РД[Дата подачи на регистрацию],"&lt;="&amp;$A$1,РД[Дата подачи на регистрацию],"&gt;="&amp;DATE(YEAR($A$1),MONTH($A$1),1),РД[Состояние],"Продажа")</f>
        <v>171.57999999999998</v>
      </c>
      <c r="H91" s="203">
        <f>SUMIFS(РД[Стоимость без отделки итог],РД[Дом],$C$86,РД[МОП],A91,РД[Дата подачи на регистрацию],"&lt;="&amp;$A$1,РД[Дата подачи на регистрацию],"&gt;="&amp;DATE(YEAR($A$1),MONTH($A$1),1),РД[Состояние],"Продажа")</f>
        <v>20732580</v>
      </c>
      <c r="I91" s="226">
        <f>COUNTIFS(РД[Дом],$C$86,РД[МОП],A91,РД[Дата подачи на регистрацию],"&lt;="&amp;$A$1,РД[Дата подачи на регистрацию],"&gt;="&amp;DATE(YEAR($A$1),MONTH($A$1),1),РД[Состояние],"Продажа")</f>
        <v>4</v>
      </c>
      <c r="J91" s="224">
        <f t="shared" si="4"/>
        <v>0.62166666666666659</v>
      </c>
      <c r="K91" s="225">
        <f t="shared" si="4"/>
        <v>0.58428687107887112</v>
      </c>
      <c r="L91" s="257">
        <f>COUNTIFS(РД[Тип кв],L$87,РД[МОП],$A91,РД[Дом],$C$86,РД[Дата подачи на регистрацию],"&lt;="&amp;$A$1,РД[Дата подачи на регистрацию],"&gt;="&amp;DATE(YEAR($A$1),MONTH($A$1),1))</f>
        <v>2</v>
      </c>
      <c r="M91" s="226">
        <f>COUNTIFS(РД[Тип кв],M$87,РД[МОП],$A91,РД[Дом],$C$86,РД[Дата подачи на регистрацию],"&lt;="&amp;$A$1,РД[Дата подачи на регистрацию],"&gt;="&amp;DATE(YEAR($A$1),MONTH($A$1),1))</f>
        <v>1</v>
      </c>
      <c r="N91" s="226">
        <f>COUNTIFS(РД[Тип кв],N$87,РД[МОП],$A91,РД[Дом],$C$86,РД[Дата подачи на регистрацию],"&lt;="&amp;$A$1,РД[Дата подачи на регистрацию],"&gt;="&amp;DATE(YEAR($A$1),MONTH($A$1),1))</f>
        <v>0</v>
      </c>
      <c r="O91" s="226">
        <f>COUNTIFS(РД[Тип кв],O$87,РД[МОП],$A91,РД[Дом],$C$86,РД[Дата подачи на регистрацию],"&lt;="&amp;$A$1,РД[Дата подачи на регистрацию],"&gt;="&amp;DATE(YEAR($A$1),MONTH($A$1),1))</f>
        <v>1</v>
      </c>
      <c r="P91" s="227">
        <f>COUNTIFS(РД[Тип кв],P$87,РД[МОП],$A91,РД[Дом],$C$86,РД[Дата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53" t="s">
        <v>14</v>
      </c>
      <c r="B92" s="143">
        <f>IFERROR(VLOOKUP(A92,'ИПП 2кв25'!$B$6:$N$17,6,0),"")</f>
        <v>345</v>
      </c>
      <c r="C92" s="144">
        <f>IFERROR(VLOOKUP(A92,'ИПП 2кв25'!$B$6:$N$17,7,0),"")</f>
        <v>44354454</v>
      </c>
      <c r="D92" s="299">
        <f>SUMIFS(Март2551[м2],Март2551[КТУ],$A92,Март2551[№ дома],$C$86,Март2551[Комнатность],"&lt;&gt;Офис")</f>
        <v>246.17000000000002</v>
      </c>
      <c r="E92" s="300">
        <f>SUMIFS(Март2551[Сумма без отделки],Март2551[КТУ],$A92,Март2551[№ дома],$C$86,Март2551[Комнатность],"&lt;&gt;Офис")</f>
        <v>28756007</v>
      </c>
      <c r="F92" s="301">
        <f>COUNTIFS(Март2551[КТУ],$A92,Март2551[№ дома],$C$86,Март2551[Комнатность],"&lt;&gt;Офис")</f>
        <v>5</v>
      </c>
      <c r="G92" s="358">
        <f>SUMIFS(РД[S],РД[Дом],$C$86,РД[МОП],A92,РД[Дата подачи на регистрацию],"&lt;="&amp;$A$1,РД[Дата подачи на регистрацию],"&gt;="&amp;DATE(YEAR($A$1),MONTH($A$1),1),РД[Состояние],"Продажа")</f>
        <v>239.23000000000002</v>
      </c>
      <c r="H92" s="359">
        <f>SUMIFS(РД[Стоимость без отделки итог],РД[Дом],$C$86,РД[МОП],A92,РД[Дата подачи на регистрацию],"&lt;="&amp;$A$1,РД[Дата подачи на регистрацию],"&gt;="&amp;DATE(YEAR($A$1),MONTH($A$1),1),РД[Состояние],"Продажа")</f>
        <v>28062007</v>
      </c>
      <c r="I92" s="330">
        <f>COUNTIFS(РД[Дом],$C$86,РД[МОП],A92,РД[Дата подачи на регистрацию],"&lt;="&amp;$A$1,РД[Дата подачи на регистрацию],"&gt;="&amp;DATE(YEAR($A$1),MONTH($A$1),1),РД[Состояние],"Продажа")</f>
        <v>4</v>
      </c>
      <c r="J92" s="360">
        <f t="shared" si="4"/>
        <v>0.69342028985507254</v>
      </c>
      <c r="K92" s="361">
        <f t="shared" si="4"/>
        <v>0.63267619076090986</v>
      </c>
      <c r="L92" s="329">
        <f>COUNTIFS(РД[Тип кв],L$87,РД[МОП],$A92,РД[Дом],$C$86,РД[Дата подачи на регистрацию],"&lt;="&amp;$A$1,РД[Дата подачи на регистрацию],"&gt;="&amp;DATE(YEAR($A$1),MONTH($A$1),1))</f>
        <v>0</v>
      </c>
      <c r="M92" s="330">
        <f>COUNTIFS(РД[Тип кв],M$87,РД[МОП],$A92,РД[Дом],$C$86,РД[Дата подачи на регистрацию],"&lt;="&amp;$A$1,РД[Дата подачи на регистрацию],"&gt;="&amp;DATE(YEAR($A$1),MONTH($A$1),1))</f>
        <v>0</v>
      </c>
      <c r="N92" s="330">
        <f>COUNTIFS(РД[Тип кв],N$87,РД[МОП],$A92,РД[Дом],$C$86,РД[Дата подачи на регистрацию],"&lt;="&amp;$A$1,РД[Дата подачи на регистрацию],"&gt;="&amp;DATE(YEAR($A$1),MONTH($A$1),1))</f>
        <v>4</v>
      </c>
      <c r="O92" s="330">
        <f>COUNTIFS(РД[Тип кв],O$87,РД[МОП],$A92,РД[Дом],$C$86,РД[Дата подачи на регистрацию],"&lt;="&amp;$A$1,РД[Дата подачи на регистрацию],"&gt;="&amp;DATE(YEAR($A$1),MONTH($A$1),1))</f>
        <v>0</v>
      </c>
      <c r="P92" s="331">
        <f>COUNTIFS(РД[Тип кв],P$87,РД[МОП],$A92,РД[Дом],$C$86,РД[Дата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54" t="s">
        <v>29</v>
      </c>
      <c r="B93" s="155"/>
      <c r="C93" s="156"/>
      <c r="D93" s="157">
        <f>SUMIFS(Март2551[м2],Март2551[КТУ],$A93,Март2551[№ дома],$C$86,Март2551[Комнатность],"&lt;&gt;Офис")</f>
        <v>0</v>
      </c>
      <c r="E93" s="156">
        <f>SUMIFS(Март2551[Сумма без отделки],Март2551[КТУ],$A93,Март2551[№ дома],$C$86,Март2551[Комнатность],"&lt;&gt;Офис")</f>
        <v>0</v>
      </c>
      <c r="F93" s="158">
        <f>COUNTIFS(Март2551[КТУ],$A93,Март2551[№ дома],$C$86,Март2551[Комнатность],"&lt;&gt;Офис")</f>
        <v>0</v>
      </c>
      <c r="G93" s="159">
        <f>SUMIFS(РД[S],РД[Дом],$C$86,РД[МОП],A93,РД[Дата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H93" s="160">
        <f>SUMIFS(РД[Стоимость без отделки итог],РД[Дом],$C$86,РД[МОП],A93,РД[Дата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I93" s="228">
        <f>COUNTIFS(РД[Дом],$C$86,РД[МОП],A93,РД[Дата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J93" s="229">
        <f t="shared" si="4"/>
        <v>0</v>
      </c>
      <c r="K93" s="230">
        <f t="shared" si="4"/>
        <v>0</v>
      </c>
      <c r="L93" s="159">
        <f>COUNTIFS(РД[Тип кв],L$87,РД[МОП],$A93,РД[Дом],$C$86,РД[Дата подачи на регистрацию],"&lt;="&amp;$A$1,РД[Дата подачи на регистрацию],"&gt;="&amp;DATE(YEAR($A$1),MONTH($A$1),1))</f>
        <v>0</v>
      </c>
      <c r="M93" s="228">
        <f>COUNTIFS(РД[Тип кв],M$87,РД[МОП],$A93,РД[Дом],$C$86,РД[Дата подачи на регистрацию],"&lt;="&amp;$A$1,РД[Дата подачи на регистрацию],"&gt;="&amp;DATE(YEAR($A$1),MONTH($A$1),1))</f>
        <v>0</v>
      </c>
      <c r="N93" s="228">
        <f>COUNTIFS(РД[Тип кв],N$87,РД[МОП],$A93,РД[Дом],$C$86,РД[Дата подачи на регистрацию],"&lt;="&amp;$A$1,РД[Дата подачи на регистрацию],"&gt;="&amp;DATE(YEAR($A$1),MONTH($A$1),1))</f>
        <v>0</v>
      </c>
      <c r="O93" s="228">
        <f>COUNTIFS(РД[Тип кв],O$87,РД[МОП],$A93,РД[Дом],$C$86,РД[Дата подачи на регистрацию],"&lt;="&amp;$A$1,РД[Дата подачи на регистрацию],"&gt;="&amp;DATE(YEAR($A$1),MONTH($A$1),1))</f>
        <v>0</v>
      </c>
      <c r="P93" s="231">
        <f>COUNTIFS(РД[Тип кв],P$87,РД[МОП],$A93,РД[Дом],$C$86,РД[Дата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161" t="s">
        <v>1919</v>
      </c>
      <c r="B94" s="162"/>
      <c r="C94" s="163"/>
      <c r="D94" s="164">
        <f>SUMIFS(Март2551[м2],Март2551[МОП],$A94,Март2551[№ дома],$C$86,Март2551[Комнатность],"&lt;&gt;Офис")</f>
        <v>24.28</v>
      </c>
      <c r="E94" s="163">
        <f>SUMIFS(Март2551[Сумма без отделки],Март2551[МОП],$A94,Март2551[№ дома],$C$86,Март2551[Комнатность],"&lt;&gt;Офис")</f>
        <v>3442060</v>
      </c>
      <c r="F94" s="165">
        <f>COUNTIFS(Март2551[МОП],$A94,Март2551[№ дома],$C$86,Март2551[Комнатность],"&lt;&gt;Офис")</f>
        <v>1</v>
      </c>
      <c r="G94" s="166">
        <f>SUMIFS(РД[S],РД[Дом],$C$86,РД[МОП],A94,РД[Дата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H94" s="167">
        <f>SUMIFS(РД[Стоимость без отделки итог],РД[Дом],$C$86,РД[МОП],A94,РД[Дата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I94" s="232">
        <f>COUNTIFS(РД[Дом],$C$86,РД[МОП],A94,РД[Дата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J94" s="233">
        <f t="shared" si="4"/>
        <v>0</v>
      </c>
      <c r="K94" s="234">
        <f t="shared" si="4"/>
        <v>0</v>
      </c>
      <c r="L94" s="235">
        <f>COUNTIFS(РД[Тип кв],L$87,РД[МОП],$A94,РД[Дом],$C$86,РД[Дата подачи на регистрацию],"&lt;="&amp;$A$1,РД[Дата подачи на регистрацию],"&gt;="&amp;DATE(YEAR($A$1),MONTH($A$1),1))</f>
        <v>0</v>
      </c>
      <c r="M94" s="236">
        <f>COUNTIFS(РД[Тип кв],M$87,РД[МОП],$A94,РД[Дом],$C$86,РД[Дата подачи на регистрацию],"&lt;="&amp;$A$1,РД[Дата подачи на регистрацию],"&gt;="&amp;DATE(YEAR($A$1),MONTH($A$1),1))</f>
        <v>0</v>
      </c>
      <c r="N94" s="236">
        <f>COUNTIFS(РД[Тип кв],N$87,РД[МОП],$A94,РД[Дом],$C$86,РД[Дата подачи на регистрацию],"&lt;="&amp;$A$1,РД[Дата подачи на регистрацию],"&gt;="&amp;DATE(YEAR($A$1),MONTH($A$1),1))</f>
        <v>0</v>
      </c>
      <c r="O94" s="236">
        <f>COUNTIFS(РД[Тип кв],O$87,РД[МОП],$A94,РД[Дом],$C$86,РД[Дата подачи на регистрацию],"&lt;="&amp;$A$1,РД[Дата подачи на регистрацию],"&gt;="&amp;DATE(YEAR($A$1),MONTH($A$1),1))</f>
        <v>0</v>
      </c>
      <c r="P94" s="237">
        <f>COUNTIFS(РД[Тип кв],P$87,РД[МОП],$A94,РД[Дом],$C$86,РД[Дата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68" t="s">
        <v>114</v>
      </c>
      <c r="B95" s="169">
        <f t="shared" ref="B95:I95" si="5">SUM(B88:B94)</f>
        <v>1633</v>
      </c>
      <c r="C95" s="170">
        <f t="shared" si="5"/>
        <v>209944415</v>
      </c>
      <c r="D95" s="170">
        <f t="shared" si="5"/>
        <v>800.45</v>
      </c>
      <c r="E95" s="170">
        <f t="shared" si="5"/>
        <v>88532845</v>
      </c>
      <c r="F95" s="171">
        <f t="shared" si="5"/>
        <v>21</v>
      </c>
      <c r="G95" s="172">
        <f t="shared" si="5"/>
        <v>685</v>
      </c>
      <c r="H95" s="173">
        <f t="shared" si="5"/>
        <v>81624085</v>
      </c>
      <c r="I95" s="170">
        <f t="shared" si="5"/>
        <v>13</v>
      </c>
      <c r="J95" s="238">
        <f t="shared" ref="J95:K95" si="6">IFERROR(G95/B95,"")</f>
        <v>0.41947336191059398</v>
      </c>
      <c r="K95" s="239">
        <f t="shared" si="6"/>
        <v>0.38878902780052521</v>
      </c>
      <c r="L95" s="240">
        <f>SUM(L88:L94)</f>
        <v>2</v>
      </c>
      <c r="M95" s="241">
        <f>SUM(M88:M94)</f>
        <v>3</v>
      </c>
      <c r="N95" s="241">
        <f>SUM(N88:N94)</f>
        <v>6</v>
      </c>
      <c r="O95" s="241">
        <f>SUM(O88:O94)</f>
        <v>2</v>
      </c>
      <c r="P95" s="242">
        <f>SUM(P88:P94)</f>
        <v>0</v>
      </c>
      <c r="T95" s="66"/>
    </row>
    <row r="96" spans="1:21" s="65" customFormat="1">
      <c r="A96" s="135" t="s">
        <v>115</v>
      </c>
      <c r="B96" s="135" t="s">
        <v>100</v>
      </c>
      <c r="C96" s="136" t="s">
        <v>97</v>
      </c>
      <c r="D96" s="174" t="s">
        <v>494</v>
      </c>
      <c r="E96" s="175" t="s">
        <v>495</v>
      </c>
      <c r="F96" s="176" t="s">
        <v>496</v>
      </c>
      <c r="G96" s="140" t="s">
        <v>101</v>
      </c>
      <c r="H96" s="141" t="s">
        <v>98</v>
      </c>
      <c r="I96" s="141" t="s">
        <v>96</v>
      </c>
      <c r="J96" s="141" t="s">
        <v>715</v>
      </c>
      <c r="K96" s="216" t="s">
        <v>716</v>
      </c>
      <c r="L96" s="217">
        <v>0</v>
      </c>
      <c r="M96" s="218">
        <v>1</v>
      </c>
      <c r="N96" s="218">
        <v>2</v>
      </c>
      <c r="O96" s="218">
        <v>3</v>
      </c>
      <c r="P96" s="219" t="s">
        <v>1367</v>
      </c>
      <c r="T96" s="66"/>
    </row>
    <row r="97" spans="1:21" s="65" customFormat="1">
      <c r="A97" s="177" t="s">
        <v>22</v>
      </c>
      <c r="B97" s="178">
        <f>IFERROR(VLOOKUP(A97,'ИПП 2кв25'!$B$6:$N$17,6,0),"")</f>
        <v>530.72500000000002</v>
      </c>
      <c r="C97" s="179">
        <f>IFERROR(VLOOKUP(A97,'ИПП 2кв25'!$B$6:$N$17,7,0),"")</f>
        <v>68231934.875</v>
      </c>
      <c r="D97" s="180">
        <f>SUMIFS(Март2551[м2],Март2551[ИМ],A97,Март2551[№ дома],$C$86,Март2551[Комнатность],"&lt;&gt;Офис")</f>
        <v>439.14</v>
      </c>
      <c r="E97" s="181">
        <f>SUMIFS(Март2551[Сумма без отделки],Март2551[ИМ],$A97,Март2551[№ дома],$C$86,Март2551[Комнатность],"&lt;&gt;Офис")</f>
        <v>52556427</v>
      </c>
      <c r="F97" s="204">
        <f>COUNTIFS(Март2551[ИМ],$A97,Март2551[№ дома],$C$86,Март2551[Комнатность],"&lt;&gt;Офис")</f>
        <v>8</v>
      </c>
      <c r="G97" s="183">
        <f>SUMIFS(РД[S],РД[Дом],$C$86,РД[ИМ],A97,РД[Дата подачи на регистрацию],"&lt;="&amp;$A$1,РД[Дата подачи на регистрацию],"&gt;="&amp;DATE(YEAR($A$1),MONTH($A$1),1),РД[Состояние],"Продажа")</f>
        <v>439.14000000000004</v>
      </c>
      <c r="H97" s="184">
        <f>SUMIFS(РД[Стоимость без отделки итог],РД[Дом],$C$86,РД[ИМ],A97,РД[Дата подачи на регистрацию],"&lt;="&amp;$A$1,РД[Дата подачи на регистрацию],"&gt;="&amp;DATE(YEAR($A$1),MONTH($A$1),1),РД[Состояние],"Продажа")</f>
        <v>52556427</v>
      </c>
      <c r="I97" s="243">
        <f>COUNTIFS(РД[Дом],$C$86,РД[ИМ],A97,РД[Дата подачи на регистрацию],"&lt;="&amp;$A$1,РД[Дата подачи на регистрацию],"&gt;="&amp;DATE(YEAR($A$1),MONTH($A$1),1),РД[Состояние],"Продажа")</f>
        <v>8</v>
      </c>
      <c r="J97" s="244">
        <f t="shared" ref="J97:K99" si="7">IFERROR(G97/B97,"")</f>
        <v>0.82743417023882426</v>
      </c>
      <c r="K97" s="258">
        <f t="shared" si="7"/>
        <v>0.7702614193234103</v>
      </c>
      <c r="L97" s="183">
        <f>COUNTIFS(РД[Тип кв],L87,РД[ИМ],$A97,РД[Дом],$C$86,РД[Дата подачи на регистрацию],"&lt;="&amp;$A$1,РД[Дата подачи на регистрацию],"&gt;="&amp;DATE(YEAR($A$1),MONTH($A$1),1))</f>
        <v>1</v>
      </c>
      <c r="M97" s="243">
        <f>COUNTIFS(РД[Тип кв],M87,РД[ИМ],$A97,РД[Дом],$C$86,РД[Дата подачи на регистрацию],"&lt;="&amp;$A$1,РД[Дата подачи на регистрацию],"&gt;="&amp;DATE(YEAR($A$1),MONTH($A$1),1))</f>
        <v>1</v>
      </c>
      <c r="N97" s="243">
        <f>COUNTIFS(РД[Тип кв],N87,РД[ИМ],$A97,РД[Дом],$C$86,РД[Дата подачи на регистрацию],"&lt;="&amp;$A$1,РД[Дата подачи на регистрацию],"&gt;="&amp;DATE(YEAR($A$1),MONTH($A$1),1))</f>
        <v>5</v>
      </c>
      <c r="O97" s="243">
        <f>COUNTIFS(РД[Тип кв],O87,РД[ИМ],$A97,РД[Дом],$C$86,РД[Дата подачи на регистрацию],"&lt;="&amp;$A$1,РД[Дата подачи на регистрацию],"&gt;="&amp;DATE(YEAR($A$1),MONTH($A$1),1))</f>
        <v>1</v>
      </c>
      <c r="P97" s="246">
        <f>COUNTIFS(РД[Тип кв],P87,РД[ИМ],$A97,РД[Дом],$C$86,РД[Дата подачи на регистрацию],"&lt;="&amp;$A$1,РД[Дата подачи на регистрацию],"&gt;="&amp;DATE(YEAR($A$1),MONTH($A$1),1))</f>
        <v>0</v>
      </c>
      <c r="T97" s="66"/>
    </row>
    <row r="98" spans="1:21" s="65" customFormat="1">
      <c r="A98" s="150" t="s">
        <v>26</v>
      </c>
      <c r="B98" s="143">
        <f>IFERROR(VLOOKUP(A98,'ИПП 2кв25'!$B$6:$N$17,6,0),"")</f>
        <v>530.72500000000002</v>
      </c>
      <c r="C98" s="144">
        <f>IFERROR(VLOOKUP(A98,'ИПП 2кв25'!$B$6:$N$17,7,0),"")</f>
        <v>68231934.875</v>
      </c>
      <c r="D98" s="205">
        <f>SUMIFS(Март2551[м2],Март2551[ИМ],A98,Март2551[№ дома],$C$86,Март2551[Комнатность],"&lt;&gt;Офис")</f>
        <v>245.86</v>
      </c>
      <c r="E98" s="206">
        <f>SUMIFS(Март2551[Сумма без отделки],Март2551[ИМ],$A98,Март2551[№ дома],$C$86,Март2551[Комнатность],"&lt;&gt;Офис")</f>
        <v>29067658</v>
      </c>
      <c r="F98" s="207">
        <f>COUNTIFS(Март2551[ИМ],$A98,Март2551[№ дома],$C$86,Март2551[Комнатность],"&lt;&gt;Офис")</f>
        <v>5</v>
      </c>
      <c r="G98" s="187">
        <f>SUMIFS(РД[S],РД[Дом],$C$86,РД[ИМ],A98,РД[Дата подачи на регистрацию],"&lt;="&amp;$A$1,РД[Дата подачи на регистрацию],"&gt;="&amp;DATE(YEAR($A$1),MONTH($A$1),1),РД[Состояние],"Продажа")</f>
        <v>245.86</v>
      </c>
      <c r="H98" s="188">
        <f>SUMIFS(РД[Стоимость без отделки итог],РД[Дом],$C$86,РД[ИМ],A98,РД[Дата подачи на регистрацию],"&lt;="&amp;$A$1,РД[Дата подачи на регистрацию],"&gt;="&amp;DATE(YEAR($A$1),MONTH($A$1),1),РД[Состояние],"Продажа")</f>
        <v>29067658</v>
      </c>
      <c r="I98" s="247">
        <f>COUNTIFS(РД[Дом],$C$86,РД[ИМ],A98,РД[Дата подачи на регистрацию],"&lt;="&amp;$A$1,РД[Дата подачи на регистрацию],"&gt;="&amp;DATE(YEAR($A$1),MONTH($A$1),1),РД[Состояние],"Продажа")</f>
        <v>5</v>
      </c>
      <c r="J98" s="248">
        <f t="shared" si="7"/>
        <v>0.46325309717838808</v>
      </c>
      <c r="K98" s="259">
        <f t="shared" si="7"/>
        <v>0.42601251237051335</v>
      </c>
      <c r="L98" s="187">
        <f>COUNTIFS(РД[Тип кв],L$87,РД[ИМ],$A98,РД[Дом],$C$86,РД[Дата подачи на регистрацию],"&lt;="&amp;$A$1,РД[Дата подачи на регистрацию],"&gt;="&amp;DATE(YEAR($A$1),MONTH($A$1),1))</f>
        <v>1</v>
      </c>
      <c r="M98" s="247">
        <f>COUNTIFS(РД[Тип кв],M$87,РД[ИМ],$A98,РД[Дом],$C$86,РД[Дата подачи на регистрацию],"&lt;="&amp;$A$1,РД[Дата подачи на регистрацию],"&gt;="&amp;DATE(YEAR($A$1),MONTH($A$1),1))</f>
        <v>2</v>
      </c>
      <c r="N98" s="247">
        <f>COUNTIFS(РД[Тип кв],N$87,РД[ИМ],$A98,РД[Дом],$C$86,РД[Дата подачи на регистрацию],"&lt;="&amp;$A$1,РД[Дата подачи на регистрацию],"&gt;="&amp;DATE(YEAR($A$1),MONTH($A$1),1))</f>
        <v>1</v>
      </c>
      <c r="O98" s="247">
        <f>COUNTIFS(РД[Тип кв],O$87,РД[ИМ],$A98,РД[Дом],$C$86,РД[Дата подачи на регистрацию],"&lt;="&amp;$A$1,РД[Дата подачи на регистрацию],"&gt;="&amp;DATE(YEAR($A$1),MONTH($A$1),1))</f>
        <v>1</v>
      </c>
      <c r="P98" s="250">
        <f>COUNTIFS(РД[Тип кв],P$87,РД[ИМ],$A98,РД[Дом],$C$86,РД[Дата подачи на регистрацию],"&lt;="&amp;$A$1,РД[Дата подачи на регистрацию],"&gt;="&amp;DATE(YEAR($A$1),MONTH($A$1),1))</f>
        <v>0</v>
      </c>
      <c r="T98" s="66"/>
    </row>
    <row r="99" spans="1:21" s="65" customFormat="1">
      <c r="A99" s="189" t="s">
        <v>3</v>
      </c>
      <c r="B99" s="190">
        <f>IFERROR(VLOOKUP(A99,'ИПП 2кв25'!$B$6:$N$17,6,0),"")</f>
        <v>0</v>
      </c>
      <c r="C99" s="191">
        <f>IFERROR(VLOOKUP(A99,'ИПП 2кв25'!$B$6:$N$17,7,0),"")</f>
        <v>0</v>
      </c>
      <c r="D99" s="208">
        <f>SUMIFS(Март2551[м2],Март2551[ИМ],A99,Март2551[№ дома],$C$86,Март2551[Комнатность],"&lt;&gt;Офис")</f>
        <v>0</v>
      </c>
      <c r="E99" s="209">
        <f>SUMIFS(Март2551[Сумма без отделки],Март2551[ИМ],$A99,Март2551[№ дома],$C$86,Март2551[Комнатность],"&lt;&gt;Офис")</f>
        <v>0</v>
      </c>
      <c r="F99" s="210">
        <f>COUNTIFS(Март2551[ИМ],$A99,Март2551[№ дома],$C$86,Март2551[Комнатность],"&lt;&gt;Офис")</f>
        <v>0</v>
      </c>
      <c r="G99" s="195">
        <f>SUMIFS(РД[S],РД[Дом],$C$86,РД[ИМ],A99,РД[Дата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H99" s="196">
        <f>SUMIFS(РД[Стоимость без отделки итог],РД[Дом],$C$86,РД[ИМ],A99,РД[Дата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I99" s="251">
        <f>COUNTIFS(РД[Дом],$C$86,РД[ИМ],A99,РД[Дата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J99" s="252" t="str">
        <f t="shared" si="7"/>
        <v/>
      </c>
      <c r="K99" s="260" t="str">
        <f t="shared" si="7"/>
        <v/>
      </c>
      <c r="L99" s="195">
        <f>COUNTIFS(РД[Тип кв],L$87,РД[ИМ],$A99,РД[Дом],$C$86,РД[Дата подачи на регистрацию],"&lt;="&amp;$A$1,РД[Дата подачи на регистрацию],"&gt;="&amp;DATE(YEAR($A$1),MONTH($A$1),1))</f>
        <v>0</v>
      </c>
      <c r="M99" s="251">
        <f>COUNTIFS(РД[Тип кв],M$87,РД[ИМ],$A99,РД[Дом],$C$86,РД[Дата подачи на регистрацию],"&lt;="&amp;$A$1,РД[Дата подачи на регистрацию],"&gt;="&amp;DATE(YEAR($A$1),MONTH($A$1),1))</f>
        <v>0</v>
      </c>
      <c r="N99" s="251">
        <f>COUNTIFS(РД[Тип кв],N$87,РД[ИМ],$A99,РД[Дом],$C$86,РД[Дата подачи на регистрацию],"&lt;="&amp;$A$1,РД[Дата подачи на регистрацию],"&gt;="&amp;DATE(YEAR($A$1),MONTH($A$1),1))</f>
        <v>0</v>
      </c>
      <c r="O99" s="251">
        <f>COUNTIFS(РД[Тип кв],O$87,РД[ИМ],$A99,РД[Дом],$C$86,РД[Дата подачи на регистрацию],"&lt;="&amp;$A$1,РД[Дата подачи на регистрацию],"&gt;="&amp;DATE(YEAR($A$1),MONTH($A$1),1))</f>
        <v>0</v>
      </c>
      <c r="P99" s="254">
        <f>COUNTIFS(РД[Тип кв],P$87,РД[ИМ],$A99,РД[Дом],$C$86,РД[Дата подачи на регистрацию],"&lt;="&amp;$A$1,РД[Дата подачи на регистрацию],"&gt;="&amp;DATE(YEAR($A$1),MONTH($A$1),1))</f>
        <v>0</v>
      </c>
      <c r="Q99" s="86"/>
      <c r="R99" s="86"/>
      <c r="S99" s="86"/>
      <c r="T99" s="66"/>
    </row>
    <row r="100" spans="1:21" s="65" customFormat="1">
      <c r="A100" s="168" t="s">
        <v>114</v>
      </c>
      <c r="B100" s="169">
        <f t="shared" ref="B100:I100" si="8">SUM(B97:B99)</f>
        <v>1061.45</v>
      </c>
      <c r="C100" s="170">
        <f t="shared" si="8"/>
        <v>136463869.75</v>
      </c>
      <c r="D100" s="173">
        <f t="shared" si="8"/>
        <v>685</v>
      </c>
      <c r="E100" s="173">
        <f t="shared" si="8"/>
        <v>81624085</v>
      </c>
      <c r="F100" s="171">
        <f t="shared" si="8"/>
        <v>13</v>
      </c>
      <c r="G100" s="172">
        <f t="shared" si="8"/>
        <v>685</v>
      </c>
      <c r="H100" s="173">
        <f t="shared" si="8"/>
        <v>81624085</v>
      </c>
      <c r="I100" s="170">
        <f t="shared" si="8"/>
        <v>13</v>
      </c>
      <c r="J100" s="238">
        <f>IFERROR(G100/B100,)</f>
        <v>0.64534363370860615</v>
      </c>
      <c r="K100" s="239">
        <f>IFERROR(H100/C100,)</f>
        <v>0.59813696584696185</v>
      </c>
      <c r="L100" s="240">
        <f t="shared" ref="L100:P100" si="9">SUM(L97:L99)</f>
        <v>2</v>
      </c>
      <c r="M100" s="241">
        <f t="shared" si="9"/>
        <v>3</v>
      </c>
      <c r="N100" s="241">
        <f t="shared" si="9"/>
        <v>6</v>
      </c>
      <c r="O100" s="241">
        <f t="shared" si="9"/>
        <v>2</v>
      </c>
      <c r="P100" s="242">
        <f t="shared" si="9"/>
        <v>0</v>
      </c>
      <c r="Q100" s="86"/>
      <c r="R100" s="86"/>
      <c r="S100" s="86"/>
      <c r="T100" s="66"/>
    </row>
    <row r="101" spans="1:21" s="65" customFormat="1">
      <c r="A101" s="134"/>
      <c r="B101" s="211"/>
      <c r="C101" s="211"/>
      <c r="D101" s="212"/>
      <c r="E101" s="134"/>
      <c r="F101" s="134"/>
      <c r="G101" s="134"/>
      <c r="H101" s="134"/>
      <c r="I101" s="134"/>
      <c r="J101" s="134"/>
      <c r="K101" s="134"/>
      <c r="L101" s="261"/>
      <c r="M101" s="134"/>
      <c r="N101" s="134"/>
      <c r="O101" s="134"/>
      <c r="P101" s="262"/>
      <c r="Q101" s="134"/>
      <c r="U101" s="66"/>
    </row>
    <row r="102" spans="1:21" s="65" customFormat="1">
      <c r="A102" s="2325" t="s">
        <v>713</v>
      </c>
      <c r="B102" s="2326"/>
      <c r="C102" s="133" t="s">
        <v>19</v>
      </c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263"/>
      <c r="T102" s="66"/>
    </row>
    <row r="103" spans="1:21" s="65" customFormat="1">
      <c r="A103" s="135" t="s">
        <v>1</v>
      </c>
      <c r="B103" s="135" t="s">
        <v>100</v>
      </c>
      <c r="C103" s="136" t="s">
        <v>97</v>
      </c>
      <c r="D103" s="137" t="s">
        <v>494</v>
      </c>
      <c r="E103" s="138" t="s">
        <v>495</v>
      </c>
      <c r="F103" s="139" t="s">
        <v>496</v>
      </c>
      <c r="G103" s="140" t="s">
        <v>101</v>
      </c>
      <c r="H103" s="141" t="s">
        <v>98</v>
      </c>
      <c r="I103" s="141" t="s">
        <v>96</v>
      </c>
      <c r="J103" s="141" t="s">
        <v>715</v>
      </c>
      <c r="K103" s="216" t="s">
        <v>716</v>
      </c>
      <c r="L103" s="217">
        <v>0</v>
      </c>
      <c r="M103" s="218">
        <v>1</v>
      </c>
      <c r="N103" s="218">
        <v>2</v>
      </c>
      <c r="O103" s="218">
        <v>3</v>
      </c>
      <c r="P103" s="219" t="s">
        <v>1367</v>
      </c>
      <c r="Q103" s="134"/>
      <c r="U103" s="66"/>
    </row>
    <row r="104" spans="1:21" s="65" customFormat="1">
      <c r="A104" s="142" t="s">
        <v>28</v>
      </c>
      <c r="B104" s="143">
        <f>IFERROR(VLOOKUP(A104,'ИПП 2кв25'!$B$6:$N$17,8,0),"")</f>
        <v>36</v>
      </c>
      <c r="C104" s="144">
        <f>IFERROR(VLOOKUP(A104,'ИПП 2кв25'!$B$6:$N$17,9,0),"")</f>
        <v>4615035</v>
      </c>
      <c r="D104" s="199">
        <f>SUMIFS(Март2551[м2],Март2551[КТУ],$A104,Март2551[№ дома],$C$102,Март2551[Комнатность],"&lt;&gt;Офис")</f>
        <v>0</v>
      </c>
      <c r="E104" s="200">
        <f>SUMIFS(Март2551[Сумма без отделки],Март2551[КТУ],$A104,Март2551[№ дома],$C$102,Март2551[Комнатность],"&lt;&gt;Офис")</f>
        <v>0</v>
      </c>
      <c r="F104" s="201">
        <f>COUNTIFS(Март2551[КТУ],$A104,Март2551[№ дома],$C$102,Март2551[Комнатность],"&lt;&gt;Офис")</f>
        <v>0</v>
      </c>
      <c r="G104" s="202">
        <f>SUMIFS(РД[S],РД[Дом],$C$102,РД[МОП],A104,РД[Дата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ref="J104:K110" si="10">IFERROR(G104/B104,)</f>
        <v>0</v>
      </c>
      <c r="K104" s="225">
        <f t="shared" si="10"/>
        <v>0</v>
      </c>
      <c r="L104" s="257">
        <f>COUNTIFS(РД[Тип кв],L$87,РД[МОП],$A104,РД[Дом],$C$102,РД[Дата подачи на регистрацию],"&lt;="&amp;$A$1,РД[Дата подачи на регистрацию],"&gt;="&amp;DATE(YEAR($A$1),MONTH($A$1),1))</f>
        <v>0</v>
      </c>
      <c r="M104" s="226">
        <f>COUNTIFS(РД[Тип кв],M$87,РД[МОП],$A104,РД[Дом],$C$102,РД[Дата подачи на регистрацию],"&lt;="&amp;$A$1,РД[Дата подачи на регистрацию],"&gt;="&amp;DATE(YEAR($A$1),MONTH($A$1),1))</f>
        <v>0</v>
      </c>
      <c r="N104" s="226">
        <f>COUNTIFS(РД[Тип кв],N$87,РД[МОП],$A104,РД[Дом],$C$102,РД[Дата подачи на регистрацию],"&lt;="&amp;$A$1,РД[Дата подачи на регистрацию],"&gt;="&amp;DATE(YEAR($A$1),MONTH($A$1),1))</f>
        <v>0</v>
      </c>
      <c r="O104" s="226">
        <f>COUNTIFS(РД[Тип кв],O$87,РД[МОП],$A104,РД[Дом],$C$102,РД[Дата подачи на регистрацию],"&lt;="&amp;$A$1,РД[Дата подачи на регистрацию],"&gt;="&amp;DATE(YEAR($A$1),MONTH($A$1),1))</f>
        <v>0</v>
      </c>
      <c r="P104" s="227">
        <f>COUNTIFS(РД[Тип кв],P$87,РД[МОП],$A104,РД[Дом],$C$102,РД[Дата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42" t="s">
        <v>8</v>
      </c>
      <c r="B105" s="143">
        <f>IFERROR(VLOOKUP(A105,'ИПП 2кв25'!$B$6:$N$17,8,0),"")</f>
        <v>36</v>
      </c>
      <c r="C105" s="144">
        <f>IFERROR(VLOOKUP(A105,'ИПП 2кв25'!$B$6:$N$17,9,0),"")</f>
        <v>4615035</v>
      </c>
      <c r="D105" s="199">
        <f>SUMIFS(Март2551[м2],Март2551[КТУ],$A105,Март2551[№ дома],$C$102,Март2551[Комнатность],"&lt;&gt;Офис")</f>
        <v>35.53</v>
      </c>
      <c r="E105" s="200">
        <f>SUMIFS(Март2551[Сумма без отделки],Март2551[КТУ],$A105,Март2551[№ дома],$C$102,Март2551[Комнатность],"&lt;&gt;Офис")</f>
        <v>4798178</v>
      </c>
      <c r="F105" s="201">
        <f>COUNTIFS(Март2551[КТУ],$A105,Март2551[№ дома],$C$102,Март2551[Комнатность],"&lt;&gt;Офис")</f>
        <v>1</v>
      </c>
      <c r="G105" s="202">
        <f>SUMIFS(РД[S],РД[Дом],$C$102,РД[МОП],A105,РД[Дата подачи на регистрацию],"&lt;="&amp;$A$1,РД[Дата подачи на регистрацию],"&gt;="&amp;DATE(YEAR($A$1),MONTH($A$1),1),РД[Состояние],"Продажа")</f>
        <v>35.53</v>
      </c>
      <c r="H105" s="203">
        <f>SUMIFS(РД[Стоимость без отделки итог],РД[Дом],$C$102,РД[МОП],A105,РД[Дата подачи на регистрацию],"&lt;="&amp;$A$1,РД[Дата подачи на регистрацию],"&gt;="&amp;DATE(YEAR($A$1),MONTH($A$1),1),РД[Состояние],"Продажа")</f>
        <v>4798178</v>
      </c>
      <c r="I105" s="226">
        <f>COUNTIFS(РД[Дом],$C$102,РД[МОП],A105,РД[Дата подачи на регистрацию],"&lt;="&amp;$A$1,РД[Дата подачи на регистрацию],"&gt;="&amp;DATE(YEAR($A$1),MONTH($A$1),1),РД[Состояние],"Продажа")</f>
        <v>1</v>
      </c>
      <c r="J105" s="224">
        <f t="shared" si="10"/>
        <v>0.98694444444444451</v>
      </c>
      <c r="K105" s="225">
        <f t="shared" si="10"/>
        <v>1.0396839893955301</v>
      </c>
      <c r="L105" s="257">
        <f>COUNTIFS(РД[Тип кв],L$87,РД[МОП],$A105,РД[Дом],$C$102,РД[Дата подачи на регистрацию],"&lt;="&amp;$A$1,РД[Дата подачи на регистрацию],"&gt;="&amp;DATE(YEAR($A$1),MONTH($A$1),1))</f>
        <v>0</v>
      </c>
      <c r="M105" s="226">
        <f>COUNTIFS(РД[Тип кв],M$87,РД[МОП],$A105,РД[Дом],$C$102,РД[Дата подачи на регистрацию],"&lt;="&amp;$A$1,РД[Дата подачи на регистрацию],"&gt;="&amp;DATE(YEAR($A$1),MONTH($A$1),1))</f>
        <v>1</v>
      </c>
      <c r="N105" s="226">
        <f>COUNTIFS(РД[Тип кв],N$87,РД[МОП],$A105,РД[Дом],$C$102,РД[Дата подачи на регистрацию],"&lt;="&amp;$A$1,РД[Дата подачи на регистрацию],"&gt;="&amp;DATE(YEAR($A$1),MONTH($A$1),1))</f>
        <v>0</v>
      </c>
      <c r="O105" s="226">
        <f>COUNTIFS(РД[Тип кв],O$87,РД[МОП],$A105,РД[Дом],$C$102,РД[Дата подачи на регистрацию],"&lt;="&amp;$A$1,РД[Дата подачи на регистрацию],"&gt;="&amp;DATE(YEAR($A$1),MONTH($A$1),1))</f>
        <v>0</v>
      </c>
      <c r="P105" s="227">
        <f>COUNTIFS(РД[Тип кв],P$87,РД[МОП],$A105,РД[Дом],$C$102,РД[Дата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0" t="s">
        <v>20</v>
      </c>
      <c r="B106" s="143">
        <f>IFERROR(VLOOKUP(A106,'ИПП 2кв25'!$B$6:$N$17,8,0),"")</f>
        <v>34</v>
      </c>
      <c r="C106" s="144">
        <f>IFERROR(VLOOKUP(A106,'ИПП 2кв25'!$B$6:$N$17,9,0),"")</f>
        <v>4307366</v>
      </c>
      <c r="D106" s="199">
        <f>SUMIFS(Март2551[м2],Март2551[КТУ],$A106,Март2551[№ дома],$C$102,Март2551[Комнатность],"&lt;&gt;Офис")</f>
        <v>0</v>
      </c>
      <c r="E106" s="200">
        <f>SUMIFS(Март2551[Сумма без отделки],Март2551[КТУ],$A106,Март2551[№ дома],$C$102,Март2551[Комнатность],"&lt;&gt;Офис")</f>
        <v>0</v>
      </c>
      <c r="F106" s="201">
        <f>COUNTIFS(Март2551[КТУ],$A106,Март2551[№ дома],$C$102,Март2551[Комнатность],"&lt;&gt;Офис")</f>
        <v>0</v>
      </c>
      <c r="G106" s="202">
        <f>SUMIFS(РД[S],РД[Дом],$C$102,РД[МОП],A106,РД[Дата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203">
        <f>SUMIFS(РД[Стоимость без отделки итог],РД[Дом],$C$102,РД[МОП],A106,РД[Дата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6">
        <f>COUNTIFS(РД[Дом],$C$102,РД[МОП],A106,РД[Дата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4">
        <f t="shared" si="10"/>
        <v>0</v>
      </c>
      <c r="K106" s="225">
        <f t="shared" si="10"/>
        <v>0</v>
      </c>
      <c r="L106" s="257">
        <f>COUNTIFS(РД[Тип кв],L$87,РД[МОП],$A106,РД[Дом],$C$102,РД[Дата подачи на регистрацию],"&lt;="&amp;$A$1,РД[Дата подачи на регистрацию],"&gt;="&amp;DATE(YEAR($A$1),MONTH($A$1),1))</f>
        <v>0</v>
      </c>
      <c r="M106" s="226">
        <f>COUNTIFS(РД[Тип кв],M$87,РД[МОП],$A106,РД[Дом],$C$102,РД[Дата подачи на регистрацию],"&lt;="&amp;$A$1,РД[Дата подачи на регистрацию],"&gt;="&amp;DATE(YEAR($A$1),MONTH($A$1),1))</f>
        <v>0</v>
      </c>
      <c r="N106" s="226">
        <f>COUNTIFS(РД[Тип кв],N$87,РД[МОП],$A106,РД[Дом],$C$102,РД[Дата подачи на регистрацию],"&lt;="&amp;$A$1,РД[Дата подачи на регистрацию],"&gt;="&amp;DATE(YEAR($A$1),MONTH($A$1),1))</f>
        <v>0</v>
      </c>
      <c r="O106" s="226">
        <f>COUNTIFS(РД[Тип кв],O$87,РД[МОП],$A106,РД[Дом],$C$102,РД[Дата подачи на регистрацию],"&lt;="&amp;$A$1,РД[Дата подачи на регистрацию],"&gt;="&amp;DATE(YEAR($A$1),MONTH($A$1),1))</f>
        <v>0</v>
      </c>
      <c r="P106" s="227">
        <f>COUNTIFS(РД[Тип кв],P$87,РД[МОП],$A106,РД[Дом],$C$102,РД[Дата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53" t="s">
        <v>24</v>
      </c>
      <c r="B107" s="143">
        <f>IFERROR(VLOOKUP(A107,'ИПП 2кв25'!$B$6:$N$17,8,0),"")</f>
        <v>29</v>
      </c>
      <c r="C107" s="144">
        <f>IFERROR(VLOOKUP(A107,'ИПП 2кв25'!$B$6:$N$17,9,0),"")</f>
        <v>3692028</v>
      </c>
      <c r="D107" s="199">
        <f>SUMIFS(Март2551[м2],Март2551[КТУ],$A107,Март2551[№ дома],$C$102,Март2551[Комнатность],"&lt;&gt;Офис")</f>
        <v>61.41</v>
      </c>
      <c r="E107" s="200">
        <f>SUMIFS(Март2551[Сумма без отделки],Март2551[КТУ],$A107,Март2551[№ дома],$C$102,Март2551[Комнатность],"&lt;&gt;Офис")</f>
        <v>7823634</v>
      </c>
      <c r="F107" s="201">
        <f>COUNTIFS(Март2551[КТУ],$A107,Март2551[№ дома],$C$102,Март2551[Комнатность],"&lt;&gt;Офис")</f>
        <v>1</v>
      </c>
      <c r="G107" s="202">
        <f>SUMIFS(РД[S],РД[Дом],$C$102,РД[МОП],A107,РД[Дата подачи на регистрацию],"&lt;="&amp;$A$1,РД[Дата подачи на регистрацию],"&gt;="&amp;DATE(YEAR($A$1),MONTH($A$1),1),РД[Состояние],"Продажа")</f>
        <v>61.41</v>
      </c>
      <c r="H107" s="203">
        <f>SUMIFS(РД[Стоимость без отделки итог],РД[Дом],$C$102,РД[МОП],A107,РД[Дата подачи на регистрацию],"&lt;="&amp;$A$1,РД[Дата подачи на регистрацию],"&gt;="&amp;DATE(YEAR($A$1),MONTH($A$1),1),РД[Состояние],"Продажа")</f>
        <v>7823634</v>
      </c>
      <c r="I107" s="226">
        <f>COUNTIFS(РД[Дом],$C$102,РД[МОП],A107,РД[Дата подачи на регистрацию],"&lt;="&amp;$A$1,РД[Дата подачи на регистрацию],"&gt;="&amp;DATE(YEAR($A$1),MONTH($A$1),1),РД[Состояние],"Продажа")</f>
        <v>1</v>
      </c>
      <c r="J107" s="224">
        <f t="shared" si="10"/>
        <v>2.1175862068965516</v>
      </c>
      <c r="K107" s="225">
        <f t="shared" si="10"/>
        <v>2.119061393900588</v>
      </c>
      <c r="L107" s="257">
        <f>COUNTIFS(РД[Тип кв],L$87,РД[МОП],$A107,РД[Дом],$C$102,РД[Дата подачи на регистрацию],"&lt;="&amp;$A$1,РД[Дата подачи на регистрацию],"&gt;="&amp;DATE(YEAR($A$1),MONTH($A$1),1))</f>
        <v>0</v>
      </c>
      <c r="M107" s="226">
        <f>COUNTIFS(РД[Тип кв],M$87,РД[МОП],$A107,РД[Дом],$C$102,РД[Дата подачи на регистрацию],"&lt;="&amp;$A$1,РД[Дата подачи на регистрацию],"&gt;="&amp;DATE(YEAR($A$1),MONTH($A$1),1))</f>
        <v>0</v>
      </c>
      <c r="N107" s="226">
        <f>COUNTIFS(РД[Тип кв],N$87,РД[МОП],$A107,РД[Дом],$C$102,РД[Дата подачи на регистрацию],"&lt;="&amp;$A$1,РД[Дата подачи на регистрацию],"&gt;="&amp;DATE(YEAR($A$1),MONTH($A$1),1))</f>
        <v>1</v>
      </c>
      <c r="O107" s="226">
        <f>COUNTIFS(РД[Тип кв],O$87,РД[МОП],$A107,РД[Дом],$C$102,РД[Дата подачи на регистрацию],"&lt;="&amp;$A$1,РД[Дата подачи на регистрацию],"&gt;="&amp;DATE(YEAR($A$1),MONTH($A$1),1))</f>
        <v>0</v>
      </c>
      <c r="P107" s="227">
        <f>COUNTIFS(РД[Тип кв],P$87,РД[МОП],$A107,РД[Дом],$C$102,РД[Дата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53" t="s">
        <v>14</v>
      </c>
      <c r="B108" s="143">
        <f>IFERROR(VLOOKUP(A108,'ИПП 2кв25'!$B$6:$N$17,8,0),"")</f>
        <v>36</v>
      </c>
      <c r="C108" s="144">
        <f>IFERROR(VLOOKUP(A108,'ИПП 2кв25'!$B$6:$N$17,9,0),"")</f>
        <v>4615035</v>
      </c>
      <c r="D108" s="299">
        <f>SUMIFS(Март2551[м2],Март2551[КТУ],$A108,Март2551[№ дома],$C$102,Март2551[Комнатность],"&lt;&gt;Офис")</f>
        <v>0</v>
      </c>
      <c r="E108" s="300">
        <f>SUMIFS(Март2551[Сумма без отделки],Март2551[КТУ],$A108,Март2551[№ дома],$C$102,Март2551[Комнатность],"&lt;&gt;Офис")</f>
        <v>0</v>
      </c>
      <c r="F108" s="301">
        <f>COUNTIFS(Март2551[КТУ],$A108,Март2551[№ дома],$C$102,Март2551[Комнатность],"&lt;&gt;Офис")</f>
        <v>0</v>
      </c>
      <c r="G108" s="358">
        <f>SUMIFS(РД[S],РД[Дом],$C$102,РД[МОП],A108,РД[Дата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H108" s="359">
        <f>SUMIFS(РД[Стоимость без отделки итог],РД[Дом],$C$102,РД[МОП],A108,РД[Дата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I108" s="330">
        <f>COUNTIFS(РД[Дом],$C$102,РД[МОП],A108,РД[Дата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J108" s="360">
        <f t="shared" si="10"/>
        <v>0</v>
      </c>
      <c r="K108" s="361">
        <f t="shared" si="10"/>
        <v>0</v>
      </c>
      <c r="L108" s="329">
        <f>COUNTIFS(РД[Тип кв],L$87,РД[МОП],$A108,РД[Дом],$C$102,РД[Дата подачи на регистрацию],"&lt;="&amp;$A$1,РД[Дата подачи на регистрацию],"&gt;="&amp;DATE(YEAR($A$1),MONTH($A$1),1))</f>
        <v>0</v>
      </c>
      <c r="M108" s="330">
        <f>COUNTIFS(РД[Тип кв],M$87,РД[МОП],$A108,РД[Дом],$C$102,РД[Дата подачи на регистрацию],"&lt;="&amp;$A$1,РД[Дата подачи на регистрацию],"&gt;="&amp;DATE(YEAR($A$1),MONTH($A$1),1))</f>
        <v>0</v>
      </c>
      <c r="N108" s="330">
        <f>COUNTIFS(РД[Тип кв],N$87,РД[МОП],$A108,РД[Дом],$C$102,РД[Дата подачи на регистрацию],"&lt;="&amp;$A$1,РД[Дата подачи на регистрацию],"&gt;="&amp;DATE(YEAR($A$1),MONTH($A$1),1))</f>
        <v>0</v>
      </c>
      <c r="O108" s="330">
        <f>COUNTIFS(РД[Тип кв],O$87,РД[МОП],$A108,РД[Дом],$C$102,РД[Дата подачи на регистрацию],"&lt;="&amp;$A$1,РД[Дата подачи на регистрацию],"&gt;="&amp;DATE(YEAR($A$1),MONTH($A$1),1))</f>
        <v>0</v>
      </c>
      <c r="P108" s="331">
        <f>COUNTIFS(РД[Тип кв],P$87,РД[МОП],$A108,РД[Дом],$C$102,РД[Дата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4" t="s">
        <v>29</v>
      </c>
      <c r="B109" s="155"/>
      <c r="C109" s="156"/>
      <c r="D109" s="157">
        <f>SUMIFS(Март2551[м2],Март2551[КТУ],$A109,Март2551[№ дома],$C$102,Март2551[Комнатность],"&lt;&gt;Офис")</f>
        <v>0</v>
      </c>
      <c r="E109" s="156">
        <f>SUMIFS(Март2551[Сумма без отделки],Март2551[КТУ],$A109,Март2551[№ дома],$C$102,Март2551[Комнатность],"&lt;&gt;Офис")</f>
        <v>0</v>
      </c>
      <c r="F109" s="158">
        <f>COUNTIFS(Март2551[КТУ],$A109,Март2551[№ дома],$C$102,Март2551[Комнатность],"&lt;&gt;Офис")</f>
        <v>0</v>
      </c>
      <c r="G109" s="159">
        <f>SUMIFS(РД[S],РД[Дом],$C$102,РД[МОП],A109,РД[Дата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160">
        <f>SUMIFS(РД[Стоимость без отделки итог],РД[Дом],$C$102,РД[МОП],A109,РД[Дата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228">
        <f>COUNTIFS(РД[Дом],$C$102,РД[МОП],A109,РД[Дата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229">
        <f t="shared" si="10"/>
        <v>0</v>
      </c>
      <c r="K109" s="230">
        <f t="shared" si="10"/>
        <v>0</v>
      </c>
      <c r="L109" s="159">
        <f>COUNTIFS(РД[Тип кв],L$87,РД[МОП],$A109,РД[Дом],$C$102,РД[Дата подачи на регистрацию],"&lt;="&amp;$A$1,РД[Дата подачи на регистрацию],"&gt;="&amp;DATE(YEAR($A$1),MONTH($A$1),1))</f>
        <v>0</v>
      </c>
      <c r="M109" s="228">
        <f>COUNTIFS(РД[Тип кв],M$87,РД[МОП],$A109,РД[Дом],$C$102,РД[Дата подачи на регистрацию],"&lt;="&amp;$A$1,РД[Дата подачи на регистрацию],"&gt;="&amp;DATE(YEAR($A$1),MONTH($A$1),1))</f>
        <v>0</v>
      </c>
      <c r="N109" s="228">
        <f>COUNTIFS(РД[Тип кв],N$87,РД[МОП],$A109,РД[Дом],$C$102,РД[Дата подачи на регистрацию],"&lt;="&amp;$A$1,РД[Дата подачи на регистрацию],"&gt;="&amp;DATE(YEAR($A$1),MONTH($A$1),1))</f>
        <v>0</v>
      </c>
      <c r="O109" s="228">
        <f>COUNTIFS(РД[Тип кв],O$87,РД[МОП],$A109,РД[Дом],$C$102,РД[Дата подачи на регистрацию],"&lt;="&amp;$A$1,РД[Дата подачи на регистрацию],"&gt;="&amp;DATE(YEAR($A$1),MONTH($A$1),1))</f>
        <v>0</v>
      </c>
      <c r="P109" s="231">
        <f>COUNTIFS(РД[Тип кв],P$87,РД[МОП],$A109,РД[Дом],$C$102,РД[Дата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161" t="s">
        <v>1919</v>
      </c>
      <c r="B110" s="162"/>
      <c r="C110" s="163"/>
      <c r="D110" s="164">
        <f>SUMIFS(Март2551[м2],Март2551[МОП],$A110,Март2551[№ дома],$C$102,Март2551[Комнатность],"&lt;&gt;Офис")</f>
        <v>0</v>
      </c>
      <c r="E110" s="163">
        <f>SUMIFS(Март2551[Сумма без отделки],Март2551[МОП],$A110,Март2551[№ дома],$C$102,Март2551[Комнатность],"&lt;&gt;Офис")</f>
        <v>0</v>
      </c>
      <c r="F110" s="165">
        <f>COUNTIFS(Март2551[МОП],$A110,Март2551[№ дома],$C$102,Март2551[Комнатность],"&lt;&gt;Офис")</f>
        <v>0</v>
      </c>
      <c r="G110" s="166">
        <f>SUMIFS(РД[S],РД[Дом],$C$102,РД[МОП],A110,РД[Дата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167">
        <f>SUMIFS(РД[Стоимость без отделки итог],РД[Дом],$C$102,РД[МОП],A110,РД[Дата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32">
        <f>COUNTIFS(РД[Дом],$C$102,РД[МОП],A110,РД[Дата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33">
        <f t="shared" si="10"/>
        <v>0</v>
      </c>
      <c r="K110" s="234">
        <f t="shared" si="10"/>
        <v>0</v>
      </c>
      <c r="L110" s="235">
        <f>COUNTIFS(РД[Тип кв],L$87,РД[МОП],$A110,РД[Дом],$C$102,РД[Дата подачи на регистрацию],"&lt;="&amp;$A$1,РД[Дата подачи на регистрацию],"&gt;="&amp;DATE(YEAR($A$1),MONTH($A$1),1))</f>
        <v>0</v>
      </c>
      <c r="M110" s="236">
        <f>COUNTIFS(РД[Тип кв],M$87,РД[МОП],$A110,РД[Дом],$C$102,РД[Дата подачи на регистрацию],"&lt;="&amp;$A$1,РД[Дата подачи на регистрацию],"&gt;="&amp;DATE(YEAR($A$1),MONTH($A$1),1))</f>
        <v>0</v>
      </c>
      <c r="N110" s="236">
        <f>COUNTIFS(РД[Тип кв],N$87,РД[МОП],$A110,РД[Дом],$C$102,РД[Дата подачи на регистрацию],"&lt;="&amp;$A$1,РД[Дата подачи на регистрацию],"&gt;="&amp;DATE(YEAR($A$1),MONTH($A$1),1))</f>
        <v>0</v>
      </c>
      <c r="O110" s="236">
        <f>COUNTIFS(РД[Тип кв],O$87,РД[МОП],$A110,РД[Дом],$C$102,РД[Дата подачи на регистрацию],"&lt;="&amp;$A$1,РД[Дата подачи на регистрацию],"&gt;="&amp;DATE(YEAR($A$1),MONTH($A$1),1))</f>
        <v>0</v>
      </c>
      <c r="P110" s="237">
        <f>COUNTIFS(РД[Тип кв],P$87,РД[МОП],$A110,РД[Дом],$C$102,РД[Дата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68" t="s">
        <v>114</v>
      </c>
      <c r="B111" s="169">
        <f t="shared" ref="B111:I111" si="11">SUM(B104:B110)</f>
        <v>171</v>
      </c>
      <c r="C111" s="170">
        <f t="shared" si="11"/>
        <v>21844499</v>
      </c>
      <c r="D111" s="170">
        <f t="shared" si="11"/>
        <v>96.94</v>
      </c>
      <c r="E111" s="170">
        <f t="shared" si="11"/>
        <v>12621812</v>
      </c>
      <c r="F111" s="171">
        <f t="shared" si="11"/>
        <v>2</v>
      </c>
      <c r="G111" s="172">
        <f t="shared" si="11"/>
        <v>96.94</v>
      </c>
      <c r="H111" s="173">
        <f t="shared" si="11"/>
        <v>12621812</v>
      </c>
      <c r="I111" s="170">
        <f t="shared" si="11"/>
        <v>2</v>
      </c>
      <c r="J111" s="238">
        <f t="shared" ref="J111:K111" si="12">IFERROR(G111/B111,"")</f>
        <v>0.56690058479532157</v>
      </c>
      <c r="K111" s="239">
        <f t="shared" si="12"/>
        <v>0.57780276855971835</v>
      </c>
      <c r="L111" s="240">
        <f>SUM(L104:L110)</f>
        <v>0</v>
      </c>
      <c r="M111" s="241">
        <f>SUM(M104:M110)</f>
        <v>1</v>
      </c>
      <c r="N111" s="241">
        <f>SUM(N104:N110)</f>
        <v>1</v>
      </c>
      <c r="O111" s="241">
        <f>SUM(O104:O110)</f>
        <v>0</v>
      </c>
      <c r="P111" s="242">
        <f>SUM(P104:P110)</f>
        <v>0</v>
      </c>
      <c r="Q111" s="134"/>
      <c r="U111" s="66"/>
    </row>
    <row r="112" spans="1:21" s="65" customFormat="1">
      <c r="A112" s="135" t="s">
        <v>115</v>
      </c>
      <c r="B112" s="213" t="s">
        <v>100</v>
      </c>
      <c r="C112" s="214" t="s">
        <v>97</v>
      </c>
      <c r="D112" s="174" t="s">
        <v>494</v>
      </c>
      <c r="E112" s="175" t="s">
        <v>495</v>
      </c>
      <c r="F112" s="176" t="s">
        <v>496</v>
      </c>
      <c r="G112" s="140" t="s">
        <v>101</v>
      </c>
      <c r="H112" s="141" t="s">
        <v>98</v>
      </c>
      <c r="I112" s="141" t="s">
        <v>96</v>
      </c>
      <c r="J112" s="141" t="s">
        <v>715</v>
      </c>
      <c r="K112" s="216" t="s">
        <v>716</v>
      </c>
      <c r="L112" s="217">
        <v>0</v>
      </c>
      <c r="M112" s="218">
        <v>1</v>
      </c>
      <c r="N112" s="218">
        <v>2</v>
      </c>
      <c r="O112" s="218">
        <v>3</v>
      </c>
      <c r="P112" s="219" t="s">
        <v>1367</v>
      </c>
      <c r="Q112" s="134"/>
      <c r="U112" s="66"/>
    </row>
    <row r="113" spans="1:21" s="65" customFormat="1">
      <c r="A113" s="177" t="s">
        <v>22</v>
      </c>
      <c r="B113" s="178">
        <f>IFERROR(VLOOKUP(A113,'ИПП 2кв25'!$B$6:$N$17,8,0),"")</f>
        <v>55.575000000000003</v>
      </c>
      <c r="C113" s="179">
        <f>IFERROR(VLOOKUP(A113,'ИПП 2кв25'!$B$6:$N$17,9,0),"")</f>
        <v>7099462.1749999998</v>
      </c>
      <c r="D113" s="180">
        <f>SUMIFS(Март2551[м2],Март2551[ИМ],A113,Март2551[№ дома],$C$102,Март2551[Комнатность],"&lt;&gt;Офис")</f>
        <v>61.41</v>
      </c>
      <c r="E113" s="181">
        <f>SUMIFS(Март2551[Сумма без отделки],Март2551[ИМ],$A113,Март2551[№ дома],$C$102,Март2551[Комнатность],"&lt;&gt;Офис")</f>
        <v>7823634</v>
      </c>
      <c r="F113" s="204">
        <f>COUNTIFS(Март2551[ИМ],$A113,Март2551[№ дома],$C$102,Март2551[Комнатность],"&lt;&gt;Офис")</f>
        <v>1</v>
      </c>
      <c r="G113" s="183">
        <f>SUMIFS(РД[S],РД[Дом],$C$102,РД[ИМ],A113,РД[Дата подачи на регистрацию],"&lt;="&amp;$A$1,РД[Дата подачи на регистрацию],"&gt;="&amp;DATE(YEAR($A$1),MONTH($A$1),1),РД[Состояние],"Продажа")</f>
        <v>61.41</v>
      </c>
      <c r="H113" s="184">
        <f>SUMIFS(РД[Стоимость без отделки итог],РД[Дом],$C$102,РД[ИМ],A113,РД[Дата подачи на регистрацию],"&lt;="&amp;$A$1,РД[Дата подачи на регистрацию],"&gt;="&amp;DATE(YEAR($A$1),MONTH($A$1),1),РД[Состояние],"Продажа")</f>
        <v>7823634</v>
      </c>
      <c r="I113" s="243">
        <f>COUNTIFS(РД[Дом],$C$102,РД[ИМ],A113,РД[Дата подачи на регистрацию],"&lt;="&amp;$A$1,РД[Дата подачи на регистрацию],"&gt;="&amp;DATE(YEAR($A$1),MONTH($A$1),1),РД[Состояние],"Продажа")</f>
        <v>1</v>
      </c>
      <c r="J113" s="244">
        <f t="shared" ref="J113:K115" si="13">IFERROR(G113/B113,"")</f>
        <v>1.1049932523616732</v>
      </c>
      <c r="K113" s="258">
        <f t="shared" si="13"/>
        <v>1.1020037584748454</v>
      </c>
      <c r="L113" s="183">
        <f>COUNTIFS(РД[Тип кв],L103,РД[ИМ],$A113,РД[Дом],$C$102,РД[Дата подачи на регистрацию],"&lt;="&amp;$A$1,РД[Дата подачи на регистрацию],"&gt;="&amp;DATE(YEAR($A$1),MONTH($A$1),1))</f>
        <v>0</v>
      </c>
      <c r="M113" s="243">
        <f>COUNTIFS(РД[Тип кв],M103,РД[ИМ],$A113,РД[Дом],$C$102,РД[Дата подачи на регистрацию],"&lt;="&amp;$A$1,РД[Дата подачи на регистрацию],"&gt;="&amp;DATE(YEAR($A$1),MONTH($A$1),1))</f>
        <v>0</v>
      </c>
      <c r="N113" s="243">
        <f>COUNTIFS(РД[Тип кв],N103,РД[ИМ],$A113,РД[Дом],$C$102,РД[Дата подачи на регистрацию],"&lt;="&amp;$A$1,РД[Дата подачи на регистрацию],"&gt;="&amp;DATE(YEAR($A$1),MONTH($A$1),1))</f>
        <v>1</v>
      </c>
      <c r="O113" s="243">
        <f>COUNTIFS(РД[Тип кв],O103,РД[ИМ],$A113,РД[Дом],$C$102,РД[Дата подачи на регистрацию],"&lt;="&amp;$A$1,РД[Дата подачи на регистрацию],"&gt;="&amp;DATE(YEAR($A$1),MONTH($A$1),1))</f>
        <v>0</v>
      </c>
      <c r="P113" s="246">
        <f>COUNTIFS(РД[Тип кв],P103,РД[ИМ],$A113,РД[Дом],$C$102,РД[Дата подачи на регистрацию],"&lt;="&amp;$A$1,РД[Дата подачи на регистрацию],"&gt;="&amp;DATE(YEAR($A$1),MONTH($A$1),1))</f>
        <v>0</v>
      </c>
      <c r="Q113" s="134"/>
      <c r="U113" s="66"/>
    </row>
    <row r="114" spans="1:21" s="65" customFormat="1">
      <c r="A114" s="150" t="s">
        <v>26</v>
      </c>
      <c r="B114" s="143">
        <f>IFERROR(VLOOKUP(A114,'ИПП 2кв25'!$B$6:$N$17,8,0),"")</f>
        <v>55.575000000000003</v>
      </c>
      <c r="C114" s="144">
        <f>IFERROR(VLOOKUP(A114,'ИПП 2кв25'!$B$6:$N$17,9,0),"")</f>
        <v>7099462.1749999998</v>
      </c>
      <c r="D114" s="205">
        <f>SUMIFS(Март2551[м2],Март2551[ИМ],A114,Март2551[№ дома],$C$102,Март2551[Комнатность],"&lt;&gt;Офис")</f>
        <v>35.53</v>
      </c>
      <c r="E114" s="206">
        <f>SUMIFS(Март2551[Сумма без отделки],Март2551[ИМ],$A114,Март2551[№ дома],$C$102,Март2551[Комнатность],"&lt;&gt;Офис")</f>
        <v>4798178</v>
      </c>
      <c r="F114" s="207">
        <f>COUNTIFS(Март2551[ИМ],$A114,Март2551[№ дома],$C$102,Март2551[Комнатность],"&lt;&gt;Офис")</f>
        <v>1</v>
      </c>
      <c r="G114" s="187">
        <f>SUMIFS(РД[S],РД[Дом],$C$102,РД[ИМ],A114,РД[Дата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H114" s="188">
        <f>SUMIFS(РД[Стоимость без отделки итог],РД[Дом],$C$102,РД[ИМ],A114,РД[Дата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I114" s="247">
        <f>COUNTIFS(РД[Дом],$C$102,РД[ИМ],A114,РД[Дата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J114" s="248">
        <f t="shared" si="13"/>
        <v>0</v>
      </c>
      <c r="K114" s="259">
        <f t="shared" si="13"/>
        <v>0</v>
      </c>
      <c r="L114" s="187">
        <f>COUNTIFS(РД[Тип кв],L$87,РД[ИМ],$A114,РД[Дом],$C$102,РД[Дата подачи на регистрацию],"&lt;="&amp;$A$1,РД[Дата подачи на регистрацию],"&gt;="&amp;DATE(YEAR($A$1),MONTH($A$1),1))</f>
        <v>0</v>
      </c>
      <c r="M114" s="247">
        <f>COUNTIFS(РД[Тип кв],M$87,РД[ИМ],$A114,РД[Дом],$C$102,РД[Дата подачи на регистрацию],"&lt;="&amp;$A$1,РД[Дата подачи на регистрацию],"&gt;="&amp;DATE(YEAR($A$1),MONTH($A$1),1))</f>
        <v>0</v>
      </c>
      <c r="N114" s="247">
        <f>COUNTIFS(РД[Тип кв],N$87,РД[ИМ],$A114,РД[Дом],$C$102,РД[Дата подачи на регистрацию],"&lt;="&amp;$A$1,РД[Дата подачи на регистрацию],"&gt;="&amp;DATE(YEAR($A$1),MONTH($A$1),1))</f>
        <v>0</v>
      </c>
      <c r="O114" s="247">
        <f>COUNTIFS(РД[Тип кв],O$87,РД[ИМ],$A114,РД[Дом],$C$102,РД[Дата подачи на регистрацию],"&lt;="&amp;$A$1,РД[Дата подачи на регистрацию],"&gt;="&amp;DATE(YEAR($A$1),MONTH($A$1),1))</f>
        <v>0</v>
      </c>
      <c r="P114" s="250">
        <f>COUNTIFS(РД[Тип кв],P$87,РД[ИМ],$A114,РД[Дом],$C$102,РД[Дата подачи на регистрацию],"&lt;="&amp;$A$1,РД[Дата подачи на регистрацию],"&gt;="&amp;DATE(YEAR($A$1),MONTH($A$1),1))</f>
        <v>0</v>
      </c>
      <c r="Q114" s="134"/>
      <c r="U114" s="66"/>
    </row>
    <row r="115" spans="1:21" s="65" customFormat="1">
      <c r="A115" s="189" t="s">
        <v>3</v>
      </c>
      <c r="B115" s="190">
        <f>IFERROR(VLOOKUP(A115,'ИПП 2кв25'!$B$6:$N$17,8,0),"")</f>
        <v>0</v>
      </c>
      <c r="C115" s="191">
        <f>IFERROR(VLOOKUP(A115,'ИПП 2кв25'!$B$6:$N$17,9,0),"")</f>
        <v>0</v>
      </c>
      <c r="D115" s="208">
        <f>SUMIFS(Март2551[м2],Март2551[ИМ],A115,Март2551[№ дома],$C$102,Март2551[Комнатность],"&lt;&gt;Офис")</f>
        <v>0</v>
      </c>
      <c r="E115" s="209">
        <f>SUMIFS(Март2551[Сумма без отделки],Март2551[ИМ],$A115,Март2551[№ дома],$C$102,Март2551[Комнатность],"&lt;&gt;Офис")</f>
        <v>0</v>
      </c>
      <c r="F115" s="210">
        <f>COUNTIFS(Март2551[ИМ],$A115,Март2551[№ дома],$C$102,Март2551[Комнатность],"&lt;&gt;Офис")</f>
        <v>0</v>
      </c>
      <c r="G115" s="195">
        <f>SUMIFS(РД[S],РД[Дом],$C$102,РД[ИМ],A115,РД[Дата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H115" s="196">
        <f>SUMIFS(РД[Стоимость без отделки итог],РД[Дом],$C$102,РД[ИМ],A115,РД[Дата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I115" s="251">
        <f>COUNTIFS(РД[Дом],$C$102,РД[ИМ],A115,РД[Дата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J115" s="252" t="str">
        <f t="shared" si="13"/>
        <v/>
      </c>
      <c r="K115" s="260" t="str">
        <f t="shared" si="13"/>
        <v/>
      </c>
      <c r="L115" s="195">
        <f>COUNTIFS(РД[Тип кв],L$87,РД[ИМ],$A115,РД[Дом],$C$102,РД[Дата подачи на регистрацию],"&lt;="&amp;$A$1,РД[Дата подачи на регистрацию],"&gt;="&amp;DATE(YEAR($A$1),MONTH($A$1),1))</f>
        <v>0</v>
      </c>
      <c r="M115" s="251">
        <f>COUNTIFS(РД[Тип кв],M$87,РД[ИМ],$A115,РД[Дом],$C$102,РД[Дата подачи на регистрацию],"&lt;="&amp;$A$1,РД[Дата подачи на регистрацию],"&gt;="&amp;DATE(YEAR($A$1),MONTH($A$1),1))</f>
        <v>0</v>
      </c>
      <c r="N115" s="251">
        <f>COUNTIFS(РД[Тип кв],N$87,РД[ИМ],$A115,РД[Дом],$C$102,РД[Дата подачи на регистрацию],"&lt;="&amp;$A$1,РД[Дата подачи на регистрацию],"&gt;="&amp;DATE(YEAR($A$1),MONTH($A$1),1))</f>
        <v>0</v>
      </c>
      <c r="O115" s="251">
        <f>COUNTIFS(РД[Тип кв],O$87,РД[ИМ],$A115,РД[Дом],$C$102,РД[Дата подачи на регистрацию],"&lt;="&amp;$A$1,РД[Дата подачи на регистрацию],"&gt;="&amp;DATE(YEAR($A$1),MONTH($A$1),1))</f>
        <v>0</v>
      </c>
      <c r="P115" s="254">
        <f>COUNTIFS(РД[Тип кв],P$87,РД[ИМ],$A115,РД[Дом],$C$102,РД[Дата подачи на регистрацию],"&lt;="&amp;$A$1,РД[Дата подачи на регистрацию],"&gt;="&amp;DATE(YEAR($A$1),MONTH($A$1),1))</f>
        <v>0</v>
      </c>
      <c r="Q115" s="134"/>
      <c r="U115" s="66"/>
    </row>
    <row r="116" spans="1:21" s="65" customFormat="1">
      <c r="A116" s="168" t="s">
        <v>114</v>
      </c>
      <c r="B116" s="169">
        <f t="shared" ref="B116:I116" si="14">SUM(B113:B115)</f>
        <v>111.15</v>
      </c>
      <c r="C116" s="170">
        <f t="shared" si="14"/>
        <v>14198924.35</v>
      </c>
      <c r="D116" s="170">
        <f t="shared" si="14"/>
        <v>96.94</v>
      </c>
      <c r="E116" s="170">
        <f t="shared" si="14"/>
        <v>12621812</v>
      </c>
      <c r="F116" s="171">
        <f t="shared" si="14"/>
        <v>2</v>
      </c>
      <c r="G116" s="172">
        <f t="shared" si="14"/>
        <v>61.41</v>
      </c>
      <c r="H116" s="173">
        <f t="shared" si="14"/>
        <v>7823634</v>
      </c>
      <c r="I116" s="170">
        <f t="shared" si="14"/>
        <v>1</v>
      </c>
      <c r="J116" s="238">
        <f>IFERROR(G116/B116,)</f>
        <v>0.55249662618083661</v>
      </c>
      <c r="K116" s="239">
        <f>IFERROR(H116/C116,)</f>
        <v>0.55100187923742272</v>
      </c>
      <c r="L116" s="240">
        <f t="shared" ref="L116:P116" si="15">SUM(L113:L115)</f>
        <v>0</v>
      </c>
      <c r="M116" s="241">
        <f t="shared" si="15"/>
        <v>0</v>
      </c>
      <c r="N116" s="241">
        <f t="shared" si="15"/>
        <v>1</v>
      </c>
      <c r="O116" s="241">
        <f t="shared" si="15"/>
        <v>0</v>
      </c>
      <c r="P116" s="242">
        <f t="shared" si="15"/>
        <v>0</v>
      </c>
      <c r="Q116" s="134"/>
      <c r="U116" s="66"/>
    </row>
    <row r="117" spans="1:21" s="65" customFormat="1">
      <c r="A117" s="134"/>
      <c r="B117" s="197"/>
      <c r="C117" s="197"/>
      <c r="D117" s="197"/>
      <c r="E117" s="197"/>
      <c r="F117" s="215"/>
      <c r="G117" s="197"/>
      <c r="H117" s="197"/>
      <c r="I117" s="215"/>
      <c r="J117" s="255"/>
      <c r="K117" s="256"/>
      <c r="L117" s="215"/>
      <c r="M117" s="215"/>
      <c r="N117" s="215"/>
      <c r="O117" s="215"/>
      <c r="P117" s="215"/>
      <c r="Q117" s="134"/>
      <c r="U117" s="66"/>
    </row>
    <row r="118" spans="1:21" s="65" customFormat="1">
      <c r="A118" s="2325" t="s">
        <v>713</v>
      </c>
      <c r="B118" s="2326"/>
      <c r="C118" s="133" t="s">
        <v>23</v>
      </c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U118" s="66"/>
    </row>
    <row r="119" spans="1:21" s="65" customFormat="1">
      <c r="A119" s="135" t="s">
        <v>1</v>
      </c>
      <c r="B119" s="135" t="s">
        <v>100</v>
      </c>
      <c r="C119" s="136" t="s">
        <v>97</v>
      </c>
      <c r="D119" s="137" t="s">
        <v>494</v>
      </c>
      <c r="E119" s="138" t="s">
        <v>495</v>
      </c>
      <c r="F119" s="139" t="s">
        <v>496</v>
      </c>
      <c r="G119" s="140" t="s">
        <v>101</v>
      </c>
      <c r="H119" s="141" t="s">
        <v>98</v>
      </c>
      <c r="I119" s="141" t="s">
        <v>96</v>
      </c>
      <c r="J119" s="141" t="s">
        <v>715</v>
      </c>
      <c r="K119" s="216" t="s">
        <v>716</v>
      </c>
      <c r="L119" s="217">
        <v>0</v>
      </c>
      <c r="M119" s="218">
        <v>1</v>
      </c>
      <c r="N119" s="218">
        <v>2</v>
      </c>
      <c r="O119" s="218">
        <v>3</v>
      </c>
      <c r="P119" s="219" t="s">
        <v>1367</v>
      </c>
      <c r="Q119" s="134"/>
      <c r="U119" s="66"/>
    </row>
    <row r="120" spans="1:21" s="65" customFormat="1">
      <c r="A120" s="142" t="s">
        <v>28</v>
      </c>
      <c r="B120" s="143">
        <f>IFERROR(VLOOKUP(A120,'ИПП 2кв25'!$B$6:$N$17,10,0),"")</f>
        <v>83</v>
      </c>
      <c r="C120" s="144">
        <f>IFERROR(VLOOKUP(A120,'ИПП 2кв25'!$B$6:$N$17,11,0),"")</f>
        <v>10025068</v>
      </c>
      <c r="D120" s="199">
        <f>SUMIFS(Март2551[м2],Март2551[КТУ],$A120,Март2551[№ дома],$C$118,Март2551[Комнатность],"&lt;&gt;Офис")</f>
        <v>38.520000000000003</v>
      </c>
      <c r="E120" s="200">
        <f>SUMIFS(Март2551[Сумма без отделки],Март2551[КТУ],$A120,Март2551[№ дома],$C$118,Март2551[Комнатность],"&lt;&gt;Офис")</f>
        <v>4658263</v>
      </c>
      <c r="F120" s="201">
        <f>COUNTIFS(Март2551[КТУ],$A120,Март2551[№ дома],$C$118,Март2551[Комнатность],"&lt;&gt;Офис")</f>
        <v>1</v>
      </c>
      <c r="G120" s="202">
        <f>SUMIFS(РД[S],РД[Дом],$C$118,РД[МОП],A120,РД[Дата подачи на регистрацию],"&lt;="&amp;$A$1,РД[Дата подачи на регистрацию],"&gt;="&amp;DATE(YEAR($A$1),MONTH($A$1),1),РД[Состояние],"Продажа")</f>
        <v>37.01</v>
      </c>
      <c r="H120" s="203">
        <f>SUMIFS(РД[Стоимость без отделки итог],РД[Дом],$C$118,РД[МОП],A120,РД[Дата подачи на регистрацию],"&lt;="&amp;$A$1,РД[Дата подачи на регистрацию],"&gt;="&amp;DATE(YEAR($A$1),MONTH($A$1),1),РД[Состояние],"Продажа")</f>
        <v>4673363</v>
      </c>
      <c r="I120" s="226">
        <f>COUNTIFS(РД[Дом],$C$118,РД[МОП],A120,РД[Дата подачи на регистрацию],"&lt;="&amp;$A$1,РД[Дата подачи на регистрацию],"&gt;="&amp;DATE(YEAR($A$1),MONTH($A$1),1),РД[Состояние],"Продажа")</f>
        <v>1</v>
      </c>
      <c r="J120" s="224">
        <f t="shared" ref="J120:K126" si="16">IFERROR(G120/B120,)</f>
        <v>0.44590361445783128</v>
      </c>
      <c r="K120" s="225">
        <f t="shared" si="16"/>
        <v>0.46616771078261016</v>
      </c>
      <c r="L120" s="257">
        <f>COUNTIFS(РД[Тип кв],L$87,РД[МОП],$A120,РД[Дом],$C$118,РД[Дата подачи на регистрацию],"&lt;="&amp;$A$1,РД[Дата подачи на регистрацию],"&gt;="&amp;DATE(YEAR($A$1),MONTH($A$1),1))</f>
        <v>0</v>
      </c>
      <c r="M120" s="226">
        <f>COUNTIFS(РД[Тип кв],M$87,РД[МОП],$A120,РД[Дом],$C$118,РД[Дата подачи на регистрацию],"&lt;="&amp;$A$1,РД[Дата подачи на регистрацию],"&gt;="&amp;DATE(YEAR($A$1),MONTH($A$1),1))</f>
        <v>1</v>
      </c>
      <c r="N120" s="226">
        <f>COUNTIFS(РД[Тип кв],N$87,РД[МОП],$A120,РД[Дом],$C$118,РД[Дата подачи на регистрацию],"&lt;="&amp;$A$1,РД[Дата подачи на регистрацию],"&gt;="&amp;DATE(YEAR($A$1),MONTH($A$1),1))</f>
        <v>0</v>
      </c>
      <c r="O120" s="226">
        <f>COUNTIFS(РД[Тип кв],O$87,РД[МОП],$A120,РД[Дом],$C$118,РД[Дата подачи на регистрацию],"&lt;="&amp;$A$1,РД[Дата подачи на регистрацию],"&gt;="&amp;DATE(YEAR($A$1),MONTH($A$1),1))</f>
        <v>0</v>
      </c>
      <c r="P120" s="227">
        <f>COUNTIFS(РД[Тип кв],P$87,РД[МОП],$A120,РД[Дом],$C$118,РД[Дата подачи на регистрацию],"&lt;="&amp;$A$1,РД[Дата подачи на регистрацию],"&gt;="&amp;DATE(YEAR($A$1),MONTH($A$1),1))</f>
        <v>0</v>
      </c>
      <c r="Q120" s="134"/>
      <c r="U120" s="66"/>
    </row>
    <row r="121" spans="1:21" s="65" customFormat="1">
      <c r="A121" s="142" t="s">
        <v>8</v>
      </c>
      <c r="B121" s="143">
        <f>IFERROR(VLOOKUP(A121,'ИПП 2кв25'!$B$6:$N$17,10,0),"")</f>
        <v>83</v>
      </c>
      <c r="C121" s="144">
        <f>IFERROR(VLOOKUP(A121,'ИПП 2кв25'!$B$6:$N$17,11,0),"")</f>
        <v>10025068</v>
      </c>
      <c r="D121" s="199">
        <f>SUMIFS(Март2551[м2],Март2551[КТУ],$A121,Март2551[№ дома],$C$118,Март2551[Комнатность],"&lt;&gt;Офис")</f>
        <v>197.06</v>
      </c>
      <c r="E121" s="200">
        <f>SUMIFS(Март2551[Сумма без отделки],Март2551[КТУ],$A121,Март2551[№ дома],$C$118,Март2551[Комнатность],"&lt;&gt;Офис")</f>
        <v>23715774</v>
      </c>
      <c r="F121" s="201">
        <f>COUNTIFS(Март2551[КТУ],$A121,Март2551[№ дома],$C$118,Март2551[Комнатность],"&lt;&gt;Офис")</f>
        <v>4</v>
      </c>
      <c r="G121" s="202">
        <f>SUMIFS(РД[S],РД[Дом],$C$118,РД[МОП],A121,РД[Дата подачи на регистрацию],"&lt;="&amp;$A$1,РД[Дата подачи на регистрацию],"&gt;="&amp;DATE(YEAR($A$1),MONTH($A$1),1),РД[Состояние],"Продажа")</f>
        <v>117.44</v>
      </c>
      <c r="H121" s="203">
        <f>SUMIFS(РД[Стоимость без отделки итог],РД[Дом],$C$118,РД[МОП],A121,РД[Дата подачи на регистрацию],"&lt;="&amp;$A$1,РД[Дата подачи на регистрацию],"&gt;="&amp;DATE(YEAR($A$1),MONTH($A$1),1),РД[Состояние],"Продажа")</f>
        <v>15323074</v>
      </c>
      <c r="I121" s="226">
        <f>COUNTIFS(РД[Дом],$C$118,РД[МОП],A121,РД[Дата подачи на регистрацию],"&lt;="&amp;$A$1,РД[Дата подачи на регистрацию],"&gt;="&amp;DATE(YEAR($A$1),MONTH($A$1),1),РД[Состояние],"Продажа")</f>
        <v>3</v>
      </c>
      <c r="J121" s="224">
        <f t="shared" si="16"/>
        <v>1.4149397590361446</v>
      </c>
      <c r="K121" s="225">
        <f t="shared" si="16"/>
        <v>1.5284758168223895</v>
      </c>
      <c r="L121" s="257">
        <f>COUNTIFS(РД[Тип кв],L$87,РД[МОП],$A121,РД[Дом],$C$118,РД[Дата подачи на регистрацию],"&lt;="&amp;$A$1,РД[Дата подачи на регистрацию],"&gt;="&amp;DATE(YEAR($A$1),MONTH($A$1),1))</f>
        <v>0</v>
      </c>
      <c r="M121" s="226">
        <f>COUNTIFS(РД[Тип кв],M$87,РД[МОП],$A121,РД[Дом],$C$118,РД[Дата подачи на регистрацию],"&lt;="&amp;$A$1,РД[Дата подачи на регистрацию],"&gt;="&amp;DATE(YEAR($A$1),MONTH($A$1),1))</f>
        <v>3</v>
      </c>
      <c r="N121" s="226">
        <f>COUNTIFS(РД[Тип кв],N$87,РД[МОП],$A121,РД[Дом],$C$118,РД[Дата подачи на регистрацию],"&lt;="&amp;$A$1,РД[Дата подачи на регистрацию],"&gt;="&amp;DATE(YEAR($A$1),MONTH($A$1),1))</f>
        <v>0</v>
      </c>
      <c r="O121" s="226">
        <f>COUNTIFS(РД[Тип кв],O$87,РД[МОП],$A121,РД[Дом],$C$118,РД[Дата подачи на регистрацию],"&lt;="&amp;$A$1,РД[Дата подачи на регистрацию],"&gt;="&amp;DATE(YEAR($A$1),MONTH($A$1),1))</f>
        <v>1</v>
      </c>
      <c r="P121" s="227">
        <f>COUNTIFS(РД[Тип кв],P$87,РД[МОП],$A121,РД[Дом],$C$118,РД[Дата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50" t="s">
        <v>20</v>
      </c>
      <c r="B122" s="143">
        <f>IFERROR(VLOOKUP(A122,'ИПП 2кв25'!$B$6:$N$17,10,0),"")</f>
        <v>77</v>
      </c>
      <c r="C122" s="144">
        <f>IFERROR(VLOOKUP(A122,'ИПП 2кв25'!$B$6:$N$17,11,0),"")</f>
        <v>9356730</v>
      </c>
      <c r="D122" s="199">
        <f>SUMIFS(Март2551[м2],Март2551[КТУ],$A122,Март2551[№ дома],$C$118,Март2551[Комнатность],"&lt;&gt;Офис")</f>
        <v>0</v>
      </c>
      <c r="E122" s="200">
        <f>SUMIFS(Март2551[Сумма без отделки],Март2551[КТУ],$A122,Март2551[№ дома],$C$118,Март2551[Комнатность],"&lt;&gt;Офис")</f>
        <v>0</v>
      </c>
      <c r="F122" s="201">
        <f>COUNTIFS(Март2551[КТУ],$A122,Март2551[№ дома],$C$118,Март2551[Комнатность],"&lt;&gt;Офис")</f>
        <v>0</v>
      </c>
      <c r="G122" s="202">
        <f>SUMIFS(РД[S],РД[Дом],$C$118,РД[МОП],A122,РД[Дата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203">
        <f>SUMIFS(РД[Стоимость без отделки итог],РД[Дом],$C$118,РД[МОП],A122,РД[Дата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6">
        <f>COUNTIFS(РД[Дом],$C$118,РД[МОП],A122,РД[Дата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4">
        <f t="shared" si="16"/>
        <v>0</v>
      </c>
      <c r="K122" s="225">
        <f t="shared" si="16"/>
        <v>0</v>
      </c>
      <c r="L122" s="257">
        <f>COUNTIFS(РД[Тип кв],L$87,РД[МОП],$A122,РД[Дом],$C$118,РД[Дата подачи на регистрацию],"&lt;="&amp;$A$1,РД[Дата подачи на регистрацию],"&gt;="&amp;DATE(YEAR($A$1),MONTH($A$1),1))</f>
        <v>0</v>
      </c>
      <c r="M122" s="226">
        <f>COUNTIFS(РД[Тип кв],M$87,РД[МОП],$A122,РД[Дом],$C$118,РД[Дата подачи на регистрацию],"&lt;="&amp;$A$1,РД[Дата подачи на регистрацию],"&gt;="&amp;DATE(YEAR($A$1),MONTH($A$1),1))</f>
        <v>0</v>
      </c>
      <c r="N122" s="226">
        <f>COUNTIFS(РД[Тип кв],N$87,РД[МОП],$A122,РД[Дом],$C$118,РД[Дата подачи на регистрацию],"&lt;="&amp;$A$1,РД[Дата подачи на регистрацию],"&gt;="&amp;DATE(YEAR($A$1),MONTH($A$1),1))</f>
        <v>0</v>
      </c>
      <c r="O122" s="226">
        <f>COUNTIFS(РД[Тип кв],O$87,РД[МОП],$A122,РД[Дом],$C$118,РД[Дата подачи на регистрацию],"&lt;="&amp;$A$1,РД[Дата подачи на регистрацию],"&gt;="&amp;DATE(YEAR($A$1),MONTH($A$1),1))</f>
        <v>0</v>
      </c>
      <c r="P122" s="227">
        <f>COUNTIFS(РД[Тип кв],P$87,РД[МОП],$A122,РД[Дом],$C$118,РД[Дата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53" t="s">
        <v>24</v>
      </c>
      <c r="B123" s="143">
        <f>IFERROR(VLOOKUP(A123,'ИПП 2кв25'!$B$6:$N$17,10,0),"")</f>
        <v>66</v>
      </c>
      <c r="C123" s="144">
        <f>IFERROR(VLOOKUP(A123,'ИПП 2кв25'!$B$6:$N$17,11,0),"")</f>
        <v>8020054</v>
      </c>
      <c r="D123" s="199">
        <f>SUMIFS(Март2551[м2],Март2551[КТУ],$A123,Март2551[№ дома],$C$118,Март2551[Комнатность],"&lt;&gt;Офис")</f>
        <v>36.64</v>
      </c>
      <c r="E123" s="200">
        <f>SUMIFS(Март2551[Сумма без отделки],Март2551[КТУ],$A123,Март2551[№ дома],$C$118,Март2551[Комнатность],"&lt;&gt;Офис")</f>
        <v>4749374</v>
      </c>
      <c r="F123" s="201">
        <f>COUNTIFS(Март2551[КТУ],$A123,Март2551[№ дома],$C$118,Март2551[Комнатность],"&lt;&gt;Офис")</f>
        <v>1</v>
      </c>
      <c r="G123" s="202">
        <f>SUMIFS(РД[S],РД[Дом],$C$118,РД[МОП],A123,РД[Дата подачи на регистрацию],"&lt;="&amp;$A$1,РД[Дата подачи на регистрацию],"&gt;="&amp;DATE(YEAR($A$1),MONTH($A$1),1),РД[Состояние],"Продажа")</f>
        <v>36.64</v>
      </c>
      <c r="H123" s="203">
        <f>SUMIFS(РД[Стоимость без отделки итог],РД[Дом],$C$118,РД[МОП],A123,РД[Дата подачи на регистрацию],"&lt;="&amp;$A$1,РД[Дата подачи на регистрацию],"&gt;="&amp;DATE(YEAR($A$1),MONTH($A$1),1),РД[Состояние],"Продажа")</f>
        <v>4749374</v>
      </c>
      <c r="I123" s="226">
        <f>COUNTIFS(РД[Дом],$C$118,РД[МОП],A123,РД[Дата подачи на регистрацию],"&lt;="&amp;$A$1,РД[Дата подачи на регистрацию],"&gt;="&amp;DATE(YEAR($A$1),MONTH($A$1),1),РД[Состояние],"Продажа")</f>
        <v>1</v>
      </c>
      <c r="J123" s="224">
        <f t="shared" si="16"/>
        <v>0.55515151515151517</v>
      </c>
      <c r="K123" s="225">
        <f t="shared" si="16"/>
        <v>0.59218728452451819</v>
      </c>
      <c r="L123" s="257">
        <f>COUNTIFS(РД[Тип кв],L$87,РД[МОП],$A123,РД[Дом],$C$118,РД[Дата подачи на регистрацию],"&lt;="&amp;$A$1,РД[Дата подачи на регистрацию],"&gt;="&amp;DATE(YEAR($A$1),MONTH($A$1),1))</f>
        <v>0</v>
      </c>
      <c r="M123" s="226">
        <f>COUNTIFS(РД[Тип кв],M$87,РД[МОП],$A123,РД[Дом],$C$118,РД[Дата подачи на регистрацию],"&lt;="&amp;$A$1,РД[Дата подачи на регистрацию],"&gt;="&amp;DATE(YEAR($A$1),MONTH($A$1),1))</f>
        <v>1</v>
      </c>
      <c r="N123" s="226">
        <f>COUNTIFS(РД[Тип кв],N$87,РД[МОП],$A123,РД[Дом],$C$118,РД[Дата подачи на регистрацию],"&lt;="&amp;$A$1,РД[Дата подачи на регистрацию],"&gt;="&amp;DATE(YEAR($A$1),MONTH($A$1),1))</f>
        <v>0</v>
      </c>
      <c r="O123" s="226">
        <f>COUNTIFS(РД[Тип кв],O$87,РД[МОП],$A123,РД[Дом],$C$118,РД[Дата подачи на регистрацию],"&lt;="&amp;$A$1,РД[Дата подачи на регистрацию],"&gt;="&amp;DATE(YEAR($A$1),MONTH($A$1),1))</f>
        <v>0</v>
      </c>
      <c r="P123" s="227">
        <f>COUNTIFS(РД[Тип кв],P$87,РД[МОП],$A123,РД[Дом],$C$118,РД[Дата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153" t="s">
        <v>14</v>
      </c>
      <c r="B124" s="143">
        <f>IFERROR(VLOOKUP(A124,'ИПП 2кв25'!$B$6:$N$17,10,0),"")</f>
        <v>83</v>
      </c>
      <c r="C124" s="144">
        <f>IFERROR(VLOOKUP(A124,'ИПП 2кв25'!$B$6:$N$17,11,0),"")</f>
        <v>10025068</v>
      </c>
      <c r="D124" s="299">
        <f>SUMIFS(Март2551[м2],Март2551[КТУ],$A124,Март2551[№ дома],$C$118,Март2551[Комнатность],"&lt;&gt;Офис")</f>
        <v>43.88</v>
      </c>
      <c r="E124" s="300">
        <f>SUMIFS(Март2551[Сумма без отделки],Март2551[КТУ],$A124,Март2551[№ дома],$C$118,Март2551[Комнатность],"&lt;&gt;Офис")</f>
        <v>5578160</v>
      </c>
      <c r="F124" s="301">
        <f>COUNTIFS(Март2551[КТУ],$A124,Март2551[№ дома],$C$118,Март2551[Комнатность],"&lt;&gt;Офис")</f>
        <v>1</v>
      </c>
      <c r="G124" s="358">
        <f>SUMIFS(РД[S],РД[Дом],$C$118,РД[МОП],A124,РД[Дата подачи на регистрацию],"&lt;="&amp;$A$1,РД[Дата подачи на регистрацию],"&gt;="&amp;DATE(YEAR($A$1),MONTH($A$1),1),РД[Состояние],"Продажа")</f>
        <v>43.88</v>
      </c>
      <c r="H124" s="359">
        <f>SUMIFS(РД[Стоимость без отделки итог],РД[Дом],$C$118,РД[МОП],A124,РД[Дата подачи на регистрацию],"&lt;="&amp;$A$1,РД[Дата подачи на регистрацию],"&gt;="&amp;DATE(YEAR($A$1),MONTH($A$1),1),РД[Состояние],"Продажа")</f>
        <v>5578160</v>
      </c>
      <c r="I124" s="330">
        <f>COUNTIFS(РД[Дом],$C$118,РД[МОП],A124,РД[Дата подачи на регистрацию],"&lt;="&amp;$A$1,РД[Дата подачи на регистрацию],"&gt;="&amp;DATE(YEAR($A$1),MONTH($A$1),1),РД[Состояние],"Продажа")</f>
        <v>1</v>
      </c>
      <c r="J124" s="360">
        <f t="shared" si="16"/>
        <v>0.52867469879518081</v>
      </c>
      <c r="K124" s="361">
        <f t="shared" si="16"/>
        <v>0.5564211634275199</v>
      </c>
      <c r="L124" s="329">
        <f>COUNTIFS(РД[Тип кв],L$87,РД[МОП],$A124,РД[Дом],$C$118,РД[Дата подачи на регистрацию],"&lt;="&amp;$A$1,РД[Дата подачи на регистрацию],"&gt;="&amp;DATE(YEAR($A$1),MONTH($A$1),1))</f>
        <v>0</v>
      </c>
      <c r="M124" s="330">
        <f>COUNTIFS(РД[Тип кв],M$87,РД[МОП],$A124,РД[Дом],$C$118,РД[Дата подачи на регистрацию],"&lt;="&amp;$A$1,РД[Дата подачи на регистрацию],"&gt;="&amp;DATE(YEAR($A$1),MONTH($A$1),1))</f>
        <v>1</v>
      </c>
      <c r="N124" s="330">
        <f>COUNTIFS(РД[Тип кв],N$87,РД[МОП],$A124,РД[Дом],$C$118,РД[Дата подачи на регистрацию],"&lt;="&amp;$A$1,РД[Дата подачи на регистрацию],"&gt;="&amp;DATE(YEAR($A$1),MONTH($A$1),1))</f>
        <v>0</v>
      </c>
      <c r="O124" s="330">
        <f>COUNTIFS(РД[Тип кв],O$87,РД[МОП],$A124,РД[Дом],$C$118,РД[Дата подачи на регистрацию],"&lt;="&amp;$A$1,РД[Дата подачи на регистрацию],"&gt;="&amp;DATE(YEAR($A$1),MONTH($A$1),1))</f>
        <v>0</v>
      </c>
      <c r="P124" s="331">
        <f>COUNTIFS(РД[Тип кв],P$87,РД[МОП],$A124,РД[Дом],$C$118,РД[Дата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154" t="s">
        <v>29</v>
      </c>
      <c r="B125" s="155"/>
      <c r="C125" s="156"/>
      <c r="D125" s="157">
        <f>SUMIFS(Март2551[м2],Март2551[КТУ],$A125,Март2551[№ дома],$C$118,Март2551[Комнатность],"&lt;&gt;Офис")</f>
        <v>0</v>
      </c>
      <c r="E125" s="156">
        <f>SUMIFS(Март2551[Сумма без отделки],Март2551[КТУ],$A125,Март2551[№ дома],$C$118,Март2551[Комнатность],"&lt;&gt;Офис")</f>
        <v>0</v>
      </c>
      <c r="F125" s="158">
        <f>COUNTIFS(Март2551[КТУ],$A125,Март2551[№ дома],$C$118,Март2551[Комнатность],"&lt;&gt;Офис")</f>
        <v>0</v>
      </c>
      <c r="G125" s="159">
        <f>SUMIFS(РД[S],РД[Дом],$C$118,РД[МОП],A125,РД[Дата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160">
        <f>SUMIFS(РД[Стоимость без отделки итог],РД[Дом],$C$118,РД[МОП],A125,РД[Дата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8">
        <f>COUNTIFS(РД[Дом],$C$118,РД[МОП],A125,РД[Дата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9">
        <f t="shared" si="16"/>
        <v>0</v>
      </c>
      <c r="K125" s="230">
        <f t="shared" si="16"/>
        <v>0</v>
      </c>
      <c r="L125" s="159">
        <f>COUNTIFS(РД[Тип кв],L$87,РД[МОП],$A125,РД[Дом],$C$118,РД[Дата подачи на регистрацию],"&lt;="&amp;$A$1,РД[Дата подачи на регистрацию],"&gt;="&amp;DATE(YEAR($A$1),MONTH($A$1),1))</f>
        <v>0</v>
      </c>
      <c r="M125" s="228">
        <f>COUNTIFS(РД[Тип кв],M$87,РД[МОП],$A125,РД[Дом],$C$118,РД[Дата подачи на регистрацию],"&lt;="&amp;$A$1,РД[Дата подачи на регистрацию],"&gt;="&amp;DATE(YEAR($A$1),MONTH($A$1),1))</f>
        <v>0</v>
      </c>
      <c r="N125" s="228">
        <f>COUNTIFS(РД[Тип кв],N$87,РД[МОП],$A125,РД[Дом],$C$118,РД[Дата подачи на регистрацию],"&lt;="&amp;$A$1,РД[Дата подачи на регистрацию],"&gt;="&amp;DATE(YEAR($A$1),MONTH($A$1),1))</f>
        <v>0</v>
      </c>
      <c r="O125" s="228">
        <f>COUNTIFS(РД[Тип кв],O$87,РД[МОП],$A125,РД[Дом],$C$118,РД[Дата подачи на регистрацию],"&lt;="&amp;$A$1,РД[Дата подачи на регистрацию],"&gt;="&amp;DATE(YEAR($A$1),MONTH($A$1),1))</f>
        <v>0</v>
      </c>
      <c r="P125" s="231">
        <f>COUNTIFS(РД[Тип кв],P$87,РД[МОП],$A125,РД[Дом],$C$118,РД[Дата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61" t="s">
        <v>1919</v>
      </c>
      <c r="B126" s="162"/>
      <c r="C126" s="163"/>
      <c r="D126" s="164">
        <f>SUMIFS(Март2551[м2],Март2551[МОП],$A126,Март2551[№ дома],$C$118,Март2551[Комнатность],"&lt;&gt;Офис")</f>
        <v>38.520000000000003</v>
      </c>
      <c r="E126" s="163">
        <f>SUMIFS(Март2551[Сумма без отделки],Март2551[МОП],$A126,Март2551[№ дома],$C$118,Март2551[Комнатность],"&lt;&gt;Офис")</f>
        <v>4658263</v>
      </c>
      <c r="F126" s="165">
        <f>COUNTIFS(Март2551[МОП],$A126,Март2551[№ дома],$C$118,Март2551[Комнатность],"&lt;&gt;Офис")</f>
        <v>1</v>
      </c>
      <c r="G126" s="166">
        <f>SUMIFS(РД[S],РД[Дом],$C$118,РД[МОП],A126,РД[Дата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167">
        <f>SUMIFS(РД[Стоимость без отделки итог],РД[Дом],$C$118,РД[МОП],A126,РД[Дата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32">
        <f>COUNTIFS(РД[Дом],$C$118,РД[МОП],A126,РД[Дата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33">
        <f t="shared" si="16"/>
        <v>0</v>
      </c>
      <c r="K126" s="234">
        <f t="shared" si="16"/>
        <v>0</v>
      </c>
      <c r="L126" s="235">
        <f>COUNTIFS(РД[Тип кв],L$87,РД[МОП],$A126,РД[Дом],$C$118,РД[Дата подачи на регистрацию],"&lt;="&amp;$A$1,РД[Дата подачи на регистрацию],"&gt;="&amp;DATE(YEAR($A$1),MONTH($A$1),1))</f>
        <v>0</v>
      </c>
      <c r="M126" s="236">
        <f>COUNTIFS(РД[Тип кв],M$87,РД[МОП],$A126,РД[Дом],$C$118,РД[Дата подачи на регистрацию],"&lt;="&amp;$A$1,РД[Дата подачи на регистрацию],"&gt;="&amp;DATE(YEAR($A$1),MONTH($A$1),1))</f>
        <v>0</v>
      </c>
      <c r="N126" s="236">
        <f>COUNTIFS(РД[Тип кв],N$87,РД[МОП],$A126,РД[Дом],$C$118,РД[Дата подачи на регистрацию],"&lt;="&amp;$A$1,РД[Дата подачи на регистрацию],"&gt;="&amp;DATE(YEAR($A$1),MONTH($A$1),1))</f>
        <v>0</v>
      </c>
      <c r="O126" s="236">
        <f>COUNTIFS(РД[Тип кв],O$87,РД[МОП],$A126,РД[Дом],$C$118,РД[Дата подачи на регистрацию],"&lt;="&amp;$A$1,РД[Дата подачи на регистрацию],"&gt;="&amp;DATE(YEAR($A$1),MONTH($A$1),1))</f>
        <v>0</v>
      </c>
      <c r="P126" s="237">
        <f>COUNTIFS(РД[Тип кв],P$87,РД[МОП],$A126,РД[Дом],$C$118,РД[Дата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68" t="s">
        <v>114</v>
      </c>
      <c r="B127" s="169">
        <f t="shared" ref="B127:I127" si="17">SUM(B120:B126)</f>
        <v>392</v>
      </c>
      <c r="C127" s="170">
        <f t="shared" si="17"/>
        <v>47451988</v>
      </c>
      <c r="D127" s="170">
        <f t="shared" si="17"/>
        <v>354.62</v>
      </c>
      <c r="E127" s="170">
        <f t="shared" si="17"/>
        <v>43359834</v>
      </c>
      <c r="F127" s="171">
        <f t="shared" si="17"/>
        <v>8</v>
      </c>
      <c r="G127" s="172">
        <f t="shared" si="17"/>
        <v>234.96999999999997</v>
      </c>
      <c r="H127" s="173">
        <f t="shared" si="17"/>
        <v>30323971</v>
      </c>
      <c r="I127" s="170">
        <f t="shared" si="17"/>
        <v>6</v>
      </c>
      <c r="J127" s="238">
        <f t="shared" ref="J127:K127" si="18">IFERROR(G127/B127,"")</f>
        <v>0.59941326530612238</v>
      </c>
      <c r="K127" s="239">
        <f t="shared" si="18"/>
        <v>0.63904532303261985</v>
      </c>
      <c r="L127" s="240">
        <f>SUM(L120:L126)</f>
        <v>0</v>
      </c>
      <c r="M127" s="241">
        <f>SUM(M120:M126)</f>
        <v>6</v>
      </c>
      <c r="N127" s="241">
        <f>SUM(N120:N126)</f>
        <v>0</v>
      </c>
      <c r="O127" s="241">
        <f>SUM(O120:O126)</f>
        <v>1</v>
      </c>
      <c r="P127" s="242">
        <f>SUM(P120:P126)</f>
        <v>0</v>
      </c>
      <c r="Q127" s="134"/>
      <c r="U127" s="66"/>
    </row>
    <row r="128" spans="1:21" s="65" customFormat="1">
      <c r="A128" s="135" t="s">
        <v>115</v>
      </c>
      <c r="B128" s="213" t="s">
        <v>100</v>
      </c>
      <c r="C128" s="214" t="s">
        <v>97</v>
      </c>
      <c r="D128" s="174" t="s">
        <v>494</v>
      </c>
      <c r="E128" s="175" t="s">
        <v>495</v>
      </c>
      <c r="F128" s="176" t="s">
        <v>496</v>
      </c>
      <c r="G128" s="140" t="s">
        <v>101</v>
      </c>
      <c r="H128" s="141" t="s">
        <v>98</v>
      </c>
      <c r="I128" s="141" t="s">
        <v>96</v>
      </c>
      <c r="J128" s="141" t="s">
        <v>715</v>
      </c>
      <c r="K128" s="216" t="s">
        <v>716</v>
      </c>
      <c r="L128" s="217">
        <v>0</v>
      </c>
      <c r="M128" s="218">
        <v>1</v>
      </c>
      <c r="N128" s="218">
        <v>2</v>
      </c>
      <c r="O128" s="218">
        <v>3</v>
      </c>
      <c r="P128" s="219" t="s">
        <v>1367</v>
      </c>
      <c r="Q128" s="134"/>
      <c r="U128" s="66"/>
    </row>
    <row r="129" spans="1:21" s="65" customFormat="1">
      <c r="A129" s="177" t="s">
        <v>22</v>
      </c>
      <c r="B129" s="178">
        <f>IFERROR(VLOOKUP(A129,'ИПП 2кв25'!$B$6:$N$17,10,0),"")</f>
        <v>127.4</v>
      </c>
      <c r="C129" s="179">
        <f>IFERROR(VLOOKUP(A129,'ИПП 2кв25'!$B$6:$N$17,11,0),"")</f>
        <v>15421896.1</v>
      </c>
      <c r="D129" s="180">
        <f>SUMIFS(Март2551[м2],Март2551[ИМ],A129,Март2551[№ дома],$C$118,Март2551[Комнатность],"&lt;&gt;Офис")</f>
        <v>160.41999999999999</v>
      </c>
      <c r="E129" s="181">
        <f>SUMIFS(Март2551[Сумма без отделки],Март2551[ИМ],$A129,Март2551[№ дома],$C$118,Март2551[Комнатность],"&lt;&gt;Офис")</f>
        <v>18785492</v>
      </c>
      <c r="F129" s="204">
        <f>COUNTIFS(Март2551[ИМ],$A129,Март2551[№ дома],$C$118,Март2551[Комнатность],"&lt;&gt;Офис")</f>
        <v>3</v>
      </c>
      <c r="G129" s="183">
        <f>SUMIFS(РД[S],РД[Дом],$C$118,РД[ИМ],A129,РД[Дата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H129" s="184">
        <f>SUMIFS(РД[Стоимость без отделки итог],РД[Дом],$C$118,РД[ИМ],A129,РД[Дата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I129" s="243">
        <f>COUNTIFS(РД[Дом],$C$118,РД[ИМ],A129,РД[Дата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J129" s="244">
        <f t="shared" ref="J129:K131" si="19">IFERROR(G129/B129,"")</f>
        <v>0</v>
      </c>
      <c r="K129" s="258">
        <f t="shared" si="19"/>
        <v>0</v>
      </c>
      <c r="L129" s="183">
        <f>COUNTIFS(РД[Тип кв],L119,РД[ИМ],$A129,РД[Дом],$C$118,РД[Дата подачи на регистрацию],"&lt;="&amp;$A$1,РД[Дата подачи на регистрацию],"&gt;="&amp;DATE(YEAR($A$1),MONTH($A$1),1))</f>
        <v>0</v>
      </c>
      <c r="M129" s="243">
        <f>COUNTIFS(РД[Тип кв],M119,РД[ИМ],$A129,РД[Дом],$C$118,РД[Дата подачи на регистрацию],"&lt;="&amp;$A$1,РД[Дата подачи на регистрацию],"&gt;="&amp;DATE(YEAR($A$1),MONTH($A$1),1))</f>
        <v>0</v>
      </c>
      <c r="N129" s="243">
        <f>COUNTIFS(РД[Тип кв],N119,РД[ИМ],$A129,РД[Дом],$C$118,РД[Дата подачи на регистрацию],"&lt;="&amp;$A$1,РД[Дата подачи на регистрацию],"&gt;="&amp;DATE(YEAR($A$1),MONTH($A$1),1))</f>
        <v>0</v>
      </c>
      <c r="O129" s="243">
        <f>COUNTIFS(РД[Тип кв],O119,РД[ИМ],$A129,РД[Дом],$C$118,РД[Дата подачи на регистрацию],"&lt;="&amp;$A$1,РД[Дата подачи на регистрацию],"&gt;="&amp;DATE(YEAR($A$1),MONTH($A$1),1))</f>
        <v>0</v>
      </c>
      <c r="P129" s="246">
        <f>COUNTIFS(РД[Тип кв],P119,РД[ИМ],$A129,РД[Дом],$C$118,РД[Дата подачи на регистрацию],"&lt;="&amp;$A$1,РД[Дата подачи на регистрацию],"&gt;="&amp;DATE(YEAR($A$1),MONTH($A$1),1))</f>
        <v>0</v>
      </c>
      <c r="Q129" s="134"/>
      <c r="U129" s="66"/>
    </row>
    <row r="130" spans="1:21" s="65" customFormat="1">
      <c r="A130" s="150" t="s">
        <v>26</v>
      </c>
      <c r="B130" s="143">
        <f>IFERROR(VLOOKUP(A130,'ИПП 2кв25'!$B$6:$N$17,10,0),"")</f>
        <v>127.4</v>
      </c>
      <c r="C130" s="144">
        <f>IFERROR(VLOOKUP(A130,'ИПП 2кв25'!$B$6:$N$17,11,0),"")</f>
        <v>15421896.1</v>
      </c>
      <c r="D130" s="205">
        <f>SUMIFS(Март2551[м2],Март2551[ИМ],A130,Март2551[№ дома],$C$118,Март2551[Комнатность],"&lt;&gt;Офис")</f>
        <v>155.68</v>
      </c>
      <c r="E130" s="206">
        <f>SUMIFS(Март2551[Сумма без отделки],Март2551[ИМ],$A130,Март2551[№ дома],$C$118,Март2551[Комнатность],"&lt;&gt;Офис")</f>
        <v>19916079</v>
      </c>
      <c r="F130" s="207">
        <f>COUNTIFS(Март2551[ИМ],$A130,Март2551[№ дома],$C$118,Март2551[Комнатность],"&lt;&gt;Офис")</f>
        <v>4</v>
      </c>
      <c r="G130" s="187">
        <f>SUMIFS(РД[S],РД[Дом],$C$118,РД[ИМ],A130,РД[Дата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H130" s="188">
        <f>SUMIFS(РД[Стоимость без отделки итог],РД[Дом],$C$118,РД[ИМ],A130,РД[Дата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I130" s="247">
        <f>COUNTIFS(РД[Дом],$C$118,РД[ИМ],A130,РД[Дата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J130" s="248">
        <f t="shared" si="19"/>
        <v>0</v>
      </c>
      <c r="K130" s="259">
        <f t="shared" si="19"/>
        <v>0</v>
      </c>
      <c r="L130" s="187">
        <f>COUNTIFS(РД[Тип кв],L$87,РД[ИМ],$A130,РД[Дом],$C$118,РД[Дата подачи на регистрацию],"&lt;="&amp;$A$1,РД[Дата подачи на регистрацию],"&gt;="&amp;DATE(YEAR($A$1),MONTH($A$1),1))</f>
        <v>0</v>
      </c>
      <c r="M130" s="247">
        <f>COUNTIFS(РД[Тип кв],M$87,РД[ИМ],$A130,РД[Дом],$C$118,РД[Дата подачи на регистрацию],"&lt;="&amp;$A$1,РД[Дата подачи на регистрацию],"&gt;="&amp;DATE(YEAR($A$1),MONTH($A$1),1))</f>
        <v>0</v>
      </c>
      <c r="N130" s="247">
        <f>COUNTIFS(РД[Тип кв],N$87,РД[ИМ],$A130,РД[Дом],$C$118,РД[Дата подачи на регистрацию],"&lt;="&amp;$A$1,РД[Дата подачи на регистрацию],"&gt;="&amp;DATE(YEAR($A$1),MONTH($A$1),1))</f>
        <v>0</v>
      </c>
      <c r="O130" s="247">
        <f>COUNTIFS(РД[Тип кв],O$87,РД[ИМ],$A130,РД[Дом],$C$118,РД[Дата подачи на регистрацию],"&lt;="&amp;$A$1,РД[Дата подачи на регистрацию],"&gt;="&amp;DATE(YEAR($A$1),MONTH($A$1),1))</f>
        <v>0</v>
      </c>
      <c r="P130" s="250">
        <f>COUNTIFS(РД[Тип кв],P$87,РД[ИМ],$A130,РД[Дом],$C$118,РД[Дата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189" t="s">
        <v>3</v>
      </c>
      <c r="B131" s="190">
        <f>IFERROR(VLOOKUP(A131,'ИПП 2кв25'!$B$6:$N$17,10,0),"")</f>
        <v>0</v>
      </c>
      <c r="C131" s="191">
        <f>IFERROR(VLOOKUP(A131,'ИПП 2кв25'!$B$6:$N$17,11,0),"")</f>
        <v>0</v>
      </c>
      <c r="D131" s="208">
        <f>SUMIFS(Март2551[м2],Март2551[ИМ],A131,Март2551[№ дома],$C$118,Март2551[Комнатность],"&lt;&gt;Офис")</f>
        <v>0</v>
      </c>
      <c r="E131" s="209">
        <f>SUMIFS(Март2551[Сумма без отделки],Март2551[ИМ],$A131,Март2551[№ дома],$C$118,Март2551[Комнатность],"&lt;&gt;Офис")</f>
        <v>0</v>
      </c>
      <c r="F131" s="210">
        <f>COUNTIFS(Март2551[ИМ],$A131,Март2551[№ дома],$C$118,Март2551[Комнатность],"&lt;&gt;Офис")</f>
        <v>0</v>
      </c>
      <c r="G131" s="195">
        <f>SUMIFS(РД[S],РД[Дом],$C$118,РД[ИМ],A131,РД[Дата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H131" s="196">
        <f>SUMIFS(РД[Стоимость без отделки итог],РД[Дом],$C$118,РД[ИМ],A131,РД[Дата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I131" s="251">
        <f>COUNTIFS(РД[Дом],$C$118,РД[ИМ],A131,РД[Дата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J131" s="252" t="str">
        <f t="shared" si="19"/>
        <v/>
      </c>
      <c r="K131" s="260" t="str">
        <f t="shared" si="19"/>
        <v/>
      </c>
      <c r="L131" s="195">
        <f>COUNTIFS(РД[Тип кв],L$87,РД[ИМ],$A131,РД[Дом],$C$118,РД[Дата подачи на регистрацию],"&lt;="&amp;$A$1,РД[Дата подачи на регистрацию],"&gt;="&amp;DATE(YEAR($A$1),MONTH($A$1),1))</f>
        <v>0</v>
      </c>
      <c r="M131" s="251">
        <f>COUNTIFS(РД[Тип кв],M$87,РД[ИМ],$A131,РД[Дом],$C$118,РД[Дата подачи на регистрацию],"&lt;="&amp;$A$1,РД[Дата подачи на регистрацию],"&gt;="&amp;DATE(YEAR($A$1),MONTH($A$1),1))</f>
        <v>0</v>
      </c>
      <c r="N131" s="251">
        <f>COUNTIFS(РД[Тип кв],N$87,РД[ИМ],$A131,РД[Дом],$C$118,РД[Дата подачи на регистрацию],"&lt;="&amp;$A$1,РД[Дата подачи на регистрацию],"&gt;="&amp;DATE(YEAR($A$1),MONTH($A$1),1))</f>
        <v>0</v>
      </c>
      <c r="O131" s="251">
        <f>COUNTIFS(РД[Тип кв],O$87,РД[ИМ],$A131,РД[Дом],$C$118,РД[Дата подачи на регистрацию],"&lt;="&amp;$A$1,РД[Дата подачи на регистрацию],"&gt;="&amp;DATE(YEAR($A$1),MONTH($A$1),1))</f>
        <v>0</v>
      </c>
      <c r="P131" s="254">
        <f>COUNTIFS(РД[Тип кв],P$87,РД[ИМ],$A131,РД[Дом],$C$118,РД[Дата подачи на регистрацию],"&lt;="&amp;$A$1,РД[Дата подачи на регистрацию],"&gt;="&amp;DATE(YEAR($A$1),MONTH($A$1),1))</f>
        <v>0</v>
      </c>
      <c r="Q131" s="134"/>
      <c r="U131" s="66"/>
    </row>
    <row r="132" spans="1:21" s="65" customFormat="1">
      <c r="A132" s="168" t="s">
        <v>114</v>
      </c>
      <c r="B132" s="169">
        <f t="shared" ref="B132:I132" si="20">SUM(B129:B131)</f>
        <v>254.8</v>
      </c>
      <c r="C132" s="170">
        <f t="shared" si="20"/>
        <v>30843792.199999999</v>
      </c>
      <c r="D132" s="170">
        <f t="shared" si="20"/>
        <v>316.10000000000002</v>
      </c>
      <c r="E132" s="170">
        <f t="shared" si="20"/>
        <v>38701571</v>
      </c>
      <c r="F132" s="171">
        <f t="shared" si="20"/>
        <v>7</v>
      </c>
      <c r="G132" s="172">
        <f t="shared" si="20"/>
        <v>0</v>
      </c>
      <c r="H132" s="173">
        <f t="shared" si="20"/>
        <v>0</v>
      </c>
      <c r="I132" s="170">
        <f t="shared" si="20"/>
        <v>0</v>
      </c>
      <c r="J132" s="238">
        <f>IFERROR(G132/B132,)</f>
        <v>0</v>
      </c>
      <c r="K132" s="239">
        <f>IFERROR(H132/C132,)</f>
        <v>0</v>
      </c>
      <c r="L132" s="240">
        <f t="shared" ref="L132:P132" si="21">SUM(L129:L131)</f>
        <v>0</v>
      </c>
      <c r="M132" s="241">
        <f t="shared" si="21"/>
        <v>0</v>
      </c>
      <c r="N132" s="241">
        <f t="shared" si="21"/>
        <v>0</v>
      </c>
      <c r="O132" s="241">
        <f t="shared" si="21"/>
        <v>0</v>
      </c>
      <c r="P132" s="242">
        <f t="shared" si="21"/>
        <v>0</v>
      </c>
      <c r="Q132" s="134"/>
      <c r="U132" s="66"/>
    </row>
    <row r="133" spans="1:21" s="65" customFormat="1">
      <c r="A133" s="134"/>
      <c r="B133" s="197"/>
      <c r="C133" s="197"/>
      <c r="D133" s="197"/>
      <c r="E133" s="197"/>
      <c r="F133" s="215"/>
      <c r="G133" s="197"/>
      <c r="H133" s="197"/>
      <c r="I133" s="215"/>
      <c r="J133" s="255"/>
      <c r="K133" s="256"/>
      <c r="L133" s="215"/>
      <c r="M133" s="215"/>
      <c r="N133" s="215"/>
      <c r="O133" s="215"/>
      <c r="P133" s="215"/>
      <c r="Q133" s="134"/>
      <c r="U133" s="66"/>
    </row>
    <row r="134" spans="1:21" s="65" customFormat="1">
      <c r="A134" s="2325" t="s">
        <v>713</v>
      </c>
      <c r="B134" s="2326"/>
      <c r="C134" s="133" t="s">
        <v>718</v>
      </c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T134" s="66"/>
    </row>
    <row r="135" spans="1:21" s="65" customFormat="1">
      <c r="A135" s="135" t="s">
        <v>1</v>
      </c>
      <c r="B135" s="135" t="s">
        <v>100</v>
      </c>
      <c r="C135" s="136" t="s">
        <v>97</v>
      </c>
      <c r="D135" s="137" t="s">
        <v>494</v>
      </c>
      <c r="E135" s="138" t="s">
        <v>495</v>
      </c>
      <c r="F135" s="139" t="s">
        <v>496</v>
      </c>
      <c r="G135" s="140" t="s">
        <v>101</v>
      </c>
      <c r="H135" s="141" t="s">
        <v>98</v>
      </c>
      <c r="I135" s="141" t="s">
        <v>96</v>
      </c>
      <c r="J135" s="141" t="s">
        <v>715</v>
      </c>
      <c r="K135" s="216" t="s">
        <v>716</v>
      </c>
      <c r="L135" s="217">
        <v>0</v>
      </c>
      <c r="M135" s="218">
        <v>1</v>
      </c>
      <c r="N135" s="218">
        <v>2</v>
      </c>
      <c r="O135" s="218">
        <v>3</v>
      </c>
      <c r="P135" s="219" t="s">
        <v>1367</v>
      </c>
      <c r="T135" s="66"/>
    </row>
    <row r="136" spans="1:21" s="65" customFormat="1">
      <c r="A136" s="142" t="s">
        <v>28</v>
      </c>
      <c r="B136" s="143">
        <f>IFERROR(VLOOKUP(A136,'ИПП 2кв25'!$B$6:$N$17,12,0),"")</f>
        <v>477</v>
      </c>
      <c r="C136" s="144">
        <f>IFERROR(VLOOKUP(A136,'ИПП 2кв25'!$B$6:$N$17,13,0),"")</f>
        <v>60595776</v>
      </c>
      <c r="D136" s="199">
        <f>SUMIFS(Март2551[м2],Март2551[КТУ],$A136,Март2551[Комнатность],"&lt;&gt;Офис")</f>
        <v>47.46</v>
      </c>
      <c r="E136" s="200">
        <f>SUMIFS(Март2551[Сумма без отделки],Март2551[КТУ],$A136,Март2551[Комнатность],"&lt;&gt;Офис")</f>
        <v>5641663</v>
      </c>
      <c r="F136" s="201">
        <f>COUNTIFS(Март2551[КТУ],$A136,Март2551[Комнатность],"&lt;&gt;Офис")</f>
        <v>3</v>
      </c>
      <c r="G136" s="202">
        <f>SUMIFS(РД[S],РД[МОП],A136,РД[Дата подачи на регистрацию],"&lt;="&amp;$A$1,РД[Дата подачи на регистрацию],"&gt;="&amp;DATE(YEAR($A$1),MONTH($A$1),1),РД[Состояние],"Продажа")</f>
        <v>37.01</v>
      </c>
      <c r="H136" s="203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регистрацию],"&gt;="&amp;DATE(YEAR($A$1),MONTH($A$1),1),РД[Состояние],"Продажа")</f>
        <v>4673363</v>
      </c>
      <c r="I136" s="226">
        <f>COUNTIFS(РД[МОП],A136,РД[Дата подачи на регистрацию],"&lt;="&amp;$A$1,РД[Дата подачи на регистрацию],"&gt;="&amp;DATE(YEAR($A$1),MONTH($A$1),1),РД[Состояние],"Продажа")</f>
        <v>1</v>
      </c>
      <c r="J136" s="224">
        <f t="shared" ref="J136:K143" si="22">IFERROR(G136/B136,"")</f>
        <v>7.7589098532494752E-2</v>
      </c>
      <c r="K136" s="225">
        <f t="shared" si="22"/>
        <v>7.71235770625332E-2</v>
      </c>
      <c r="L136" s="257">
        <f>COUNTIFS(РД[Тип кв],L$87,РД[МОП],$A136,РД[Дата подачи на регистрацию],"&lt;="&amp;$A$1,РД[Дата подачи на регистрацию],"&gt;="&amp;DATE(YEAR($A$1),MONTH($A$1),1))</f>
        <v>0</v>
      </c>
      <c r="M136" s="226">
        <f>COUNTIFS(РД[Тип кв],M$87,РД[МОП],$A136,РД[Дата подачи на регистрацию],"&lt;="&amp;$A$1,РД[Дата подачи на регистрацию],"&gt;="&amp;DATE(YEAR($A$1),MONTH($A$1),1))</f>
        <v>1</v>
      </c>
      <c r="N136" s="226">
        <f>COUNTIFS(РД[Тип кв],N$87,РД[МОП],$A136,РД[Дата подачи на регистрацию],"&lt;="&amp;$A$1,РД[Дата подачи на регистрацию],"&gt;="&amp;DATE(YEAR($A$1),MONTH($A$1),1))</f>
        <v>0</v>
      </c>
      <c r="O136" s="226">
        <f>COUNTIFS(РД[Тип кв],O$87,РД[МОП],$A136,РД[Дата подачи на регистрацию],"&lt;="&amp;$A$1,РД[Дата подачи на регистрацию],"&gt;="&amp;DATE(YEAR($A$1),MONTH($A$1),1))</f>
        <v>0</v>
      </c>
      <c r="P136" s="227">
        <f>COUNTIFS(РД[Тип кв],P$87,РД[МОП],$A136,РД[Дата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42" t="s">
        <v>8</v>
      </c>
      <c r="B137" s="143">
        <f>IFERROR(VLOOKUP(A137,'ИПП 2кв25'!$B$6:$N$17,12,0),"")</f>
        <v>477</v>
      </c>
      <c r="C137" s="144">
        <f>IFERROR(VLOOKUP(A137,'ИПП 2кв25'!$B$6:$N$17,13,0),"")</f>
        <v>60595776</v>
      </c>
      <c r="D137" s="199">
        <f>SUMIFS(Март2551[м2],Март2551[КТУ],$A137,Март2551[Комнатность],"&lt;&gt;Офис")</f>
        <v>439.01</v>
      </c>
      <c r="E137" s="200">
        <f>SUMIFS(Март2551[Сумма без отделки],Март2551[КТУ],$A137,Март2551[Комнатность],"&lt;&gt;Офис")</f>
        <v>53323050</v>
      </c>
      <c r="F137" s="201">
        <f>COUNTIFS(Март2551[КТУ],$A137,Март2551[Комнатность],"&lt;&gt;Офис")</f>
        <v>11</v>
      </c>
      <c r="G137" s="202">
        <f>SUMIFS(РД[S],РД[МОП],A137,РД[Дата подачи на регистрацию],"&lt;="&amp;$A$1,РД[Дата подачи на регистрацию],"&gt;="&amp;DATE(YEAR($A$1),MONTH($A$1),1),РД[Состояние],"Продажа")</f>
        <v>347.71999999999997</v>
      </c>
      <c r="H137" s="203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43716350</v>
      </c>
      <c r="I137" s="226">
        <f>COUNTIFS(РД[МОП],A137,РД[Дата подачи на регистрацию],"&lt;="&amp;$A$1,РД[Дата подачи на регистрацию],"&gt;="&amp;DATE(YEAR($A$1),MONTH($A$1),1),РД[Состояние],"Продажа")</f>
        <v>8</v>
      </c>
      <c r="J137" s="224">
        <f t="shared" si="22"/>
        <v>0.72897274633123688</v>
      </c>
      <c r="K137" s="225">
        <f t="shared" si="22"/>
        <v>0.72144220085571642</v>
      </c>
      <c r="L137" s="257">
        <f>COUNTIFS(РД[Тип кв],L$87,РД[МОП],$A137,РД[Дата подачи на регистрацию],"&lt;="&amp;$A$1,РД[Дата подачи на регистрацию],"&gt;="&amp;DATE(YEAR($A$1),MONTH($A$1),1))</f>
        <v>0</v>
      </c>
      <c r="M137" s="226">
        <f>COUNTIFS(РД[Тип кв],M$87,РД[МОП],$A137,РД[Дата подачи на регистрацию],"&lt;="&amp;$A$1,РД[Дата подачи на регистрацию],"&gt;="&amp;DATE(YEAR($A$1),MONTH($A$1),1))</f>
        <v>6</v>
      </c>
      <c r="N137" s="226">
        <f>COUNTIFS(РД[Тип кв],N$87,РД[МОП],$A137,РД[Дата подачи на регистрацию],"&lt;="&amp;$A$1,РД[Дата подачи на регистрацию],"&gt;="&amp;DATE(YEAR($A$1),MONTH($A$1),1))</f>
        <v>2</v>
      </c>
      <c r="O137" s="226">
        <f>COUNTIFS(РД[Тип кв],O$87,РД[МОП],$A137,РД[Дата подачи на регистрацию],"&lt;="&amp;$A$1,РД[Дата подачи на регистрацию],"&gt;="&amp;DATE(YEAR($A$1),MONTH($A$1),1))</f>
        <v>1</v>
      </c>
      <c r="P137" s="227">
        <f>COUNTIFS(РД[Тип кв],P$87,РД[МОП],$A137,РД[Дата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50" t="s">
        <v>20</v>
      </c>
      <c r="B138" s="143">
        <f>IFERROR(VLOOKUP(A138,'ИПП 2кв25'!$B$6:$N$17,12,0),"")</f>
        <v>445</v>
      </c>
      <c r="C138" s="144">
        <f>IFERROR(VLOOKUP(A138,'ИПП 2кв25'!$B$6:$N$17,13,0),"")</f>
        <v>56556057</v>
      </c>
      <c r="D138" s="199">
        <f>SUMIFS(Март2551[м2],Март2551[КТУ],$A138,Март2551[Комнатность],"&lt;&gt;Офис")</f>
        <v>143.06</v>
      </c>
      <c r="E138" s="200">
        <f>SUMIFS(Март2551[Сумма без отделки],Март2551[КТУ],$A138,Март2551[Комнатность],"&lt;&gt;Офис")</f>
        <v>9809700</v>
      </c>
      <c r="F138" s="201">
        <f>COUNTIFS(Март2551[КТУ],$A138,Март2551[Комнатность],"&lt;&gt;Офис")</f>
        <v>3</v>
      </c>
      <c r="G138" s="202">
        <f>SUMIFS(РД[S],РД[МОП],A138,РД[Дата подачи на регистрацию],"&lt;="&amp;$A$1,РД[Дата подачи на регистрацию],"&gt;="&amp;DATE(YEAR($A$1),MONTH($A$1),1),РД[Состояние],"Продажа")</f>
        <v>79.44</v>
      </c>
      <c r="H138" s="203">
        <f>SUMIFS(РД[Стоимость без отделки итог],РД[МОП],A138,РД[Дата подачи на регистрацию],"&lt;="&amp;$A$1,РД[Дата подачи на регистрацию],"&gt;="&amp;DATE(YEAR($A$1),MONTH($A$1),1),РД[Состояние],"Продажа")</f>
        <v>9234400</v>
      </c>
      <c r="I138" s="226">
        <f>COUNTIFS(РД[МОП],A138,РД[Дата подачи на регистрацию],"&lt;="&amp;$A$1,РД[Дата подачи на регистрацию],"&gt;="&amp;DATE(YEAR($A$1),MONTH($A$1),1),РД[Состояние],"Продажа")</f>
        <v>1</v>
      </c>
      <c r="J138" s="224">
        <f t="shared" si="22"/>
        <v>0.17851685393258426</v>
      </c>
      <c r="K138" s="225">
        <f t="shared" si="22"/>
        <v>0.16327870947580381</v>
      </c>
      <c r="L138" s="257">
        <f>COUNTIFS(РД[Тип кв],L$87,РД[МОП],$A138,РД[Дата подачи на регистрацию],"&lt;="&amp;$A$1,РД[Дата подачи на регистрацию],"&gt;="&amp;DATE(YEAR($A$1),MONTH($A$1),1))</f>
        <v>0</v>
      </c>
      <c r="M138" s="226">
        <f>COUNTIFS(РД[Тип кв],M$87,РД[МОП],$A138,РД[Дата подачи на регистрацию],"&lt;="&amp;$A$1,РД[Дата подачи на регистрацию],"&gt;="&amp;DATE(YEAR($A$1),MONTH($A$1),1))</f>
        <v>0</v>
      </c>
      <c r="N138" s="226">
        <f>COUNTIFS(РД[Тип кв],N$87,РД[МОП],$A138,РД[Дата подачи на регистрацию],"&lt;="&amp;$A$1,РД[Дата подачи на регистрацию],"&gt;="&amp;DATE(YEAR($A$1),MONTH($A$1),1))</f>
        <v>0</v>
      </c>
      <c r="O138" s="226">
        <f>COUNTIFS(РД[Тип кв],O$87,РД[МОП],$A138,РД[Дата подачи на регистрацию],"&lt;="&amp;$A$1,РД[Дата подачи на регистрацию],"&gt;="&amp;DATE(YEAR($A$1),MONTH($A$1),1))</f>
        <v>1</v>
      </c>
      <c r="P138" s="227">
        <f>COUNTIFS(РД[Тип кв],P$87,РД[МОП],$A138,РД[Дата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53" t="s">
        <v>24</v>
      </c>
      <c r="B139" s="143">
        <f>IFERROR(VLOOKUP(A139,'ИПП 2кв25'!$B$6:$N$17,12,0),"")</f>
        <v>381</v>
      </c>
      <c r="C139" s="144">
        <f>IFERROR(VLOOKUP(A139,'ИПП 2кв25'!$B$6:$N$17,13,0),"")</f>
        <v>48476620</v>
      </c>
      <c r="D139" s="199">
        <f>SUMIFS(Март2551[м2],Март2551[КТУ],$A139,Март2551[Комнатность],"&lt;&gt;Офис")</f>
        <v>269.63</v>
      </c>
      <c r="E139" s="200">
        <f>SUMIFS(Март2551[Сумма без отделки],Март2551[КТУ],$A139,Март2551[Комнатность],"&lt;&gt;Офис")</f>
        <v>33305588</v>
      </c>
      <c r="F139" s="201">
        <f>COUNTIFS(Март2551[КТУ],$A139,Март2551[Комнатность],"&lt;&gt;Офис")</f>
        <v>6</v>
      </c>
      <c r="G139" s="202">
        <f>SUMIFS(РД[S],РД[МОП],A139,РД[Дата подачи на регистрацию],"&lt;="&amp;$A$1,РД[Дата подачи на регистрацию],"&gt;="&amp;DATE(YEAR($A$1),MONTH($A$1),1),РД[Состояние],"Продажа")</f>
        <v>269.63</v>
      </c>
      <c r="H139" s="203">
        <f>SUMIFS(РД[Стоимость без отделки итог],РД[МОП],A139,РД[Дата подачи на регистрацию],"&lt;="&amp;$A$1,РД[Дата подачи на регистрацию],"&gt;="&amp;DATE(YEAR($A$1),MONTH($A$1),1),РД[Состояние],"Продажа")</f>
        <v>33305588</v>
      </c>
      <c r="I139" s="226">
        <f>COUNTIFS(РД[МОП],A139,РД[Дата подачи на регистрацию],"&lt;="&amp;$A$1,РД[Дата подачи на регистрацию],"&gt;="&amp;DATE(YEAR($A$1),MONTH($A$1),1),РД[Состояние],"Продажа")</f>
        <v>6</v>
      </c>
      <c r="J139" s="224">
        <f t="shared" si="22"/>
        <v>0.70769028871391071</v>
      </c>
      <c r="K139" s="225">
        <f t="shared" si="22"/>
        <v>0.6870443525146761</v>
      </c>
      <c r="L139" s="325">
        <f>COUNTIFS(РД[Тип кв],L$87,РД[МОП],$A139,РД[Дата подачи на регистрацию],"&lt;="&amp;$A$1,РД[Дата подачи на регистрацию],"&gt;="&amp;DATE(YEAR($A$1),MONTH($A$1),1))</f>
        <v>2</v>
      </c>
      <c r="M139" s="326">
        <f>COUNTIFS(РД[Тип кв],M$87,РД[МОП],$A139,РД[Дата подачи на регистрацию],"&lt;="&amp;$A$1,РД[Дата подачи на регистрацию],"&gt;="&amp;DATE(YEAR($A$1),MONTH($A$1),1))</f>
        <v>2</v>
      </c>
      <c r="N139" s="326">
        <f>COUNTIFS(РД[Тип кв],N$87,РД[МОП],$A139,РД[Дата подачи на регистрацию],"&lt;="&amp;$A$1,РД[Дата подачи на регистрацию],"&gt;="&amp;DATE(YEAR($A$1),MONTH($A$1),1))</f>
        <v>1</v>
      </c>
      <c r="O139" s="326">
        <f>COUNTIFS(РД[Тип кв],O$87,РД[МОП],$A139,РД[Дата подачи на регистрацию],"&lt;="&amp;$A$1,РД[Дата подачи на регистрацию],"&gt;="&amp;DATE(YEAR($A$1),MONTH($A$1),1))</f>
        <v>1</v>
      </c>
      <c r="P139" s="327">
        <f>COUNTIFS(РД[Тип кв],P$87,РД[МОП],$A139,РД[Дата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53" t="s">
        <v>14</v>
      </c>
      <c r="B140" s="143">
        <f>IFERROR(VLOOKUP(A140,'ИПП 2кв25'!$B$6:$N$17,12,0),"")</f>
        <v>477</v>
      </c>
      <c r="C140" s="144">
        <f>IFERROR(VLOOKUP(A140,'ИПП 2кв25'!$B$6:$N$17,13,0),"")</f>
        <v>60595776</v>
      </c>
      <c r="D140" s="299">
        <f>SUMIFS(Март2551[м2],Март2551[КТУ],$A140,Март2551[Комнатность],"&lt;&gt;Офис")</f>
        <v>290.05</v>
      </c>
      <c r="E140" s="300">
        <f>SUMIFS(Март2551[Сумма без отделки],Март2551[КТУ],$A140,Март2551[Комнатность],"&lt;&gt;Офис")</f>
        <v>34334167</v>
      </c>
      <c r="F140" s="301">
        <f>COUNTIFS(Март2551[КТУ],$A140,Март2551[Комнатность],"&lt;&gt;Офис")</f>
        <v>6</v>
      </c>
      <c r="G140" s="358">
        <f>SUMIFS(РД[S],РД[МОП],A140,РД[Дата подачи на регистрацию],"&lt;="&amp;$A$1,РД[Дата подачи на регистрацию],"&gt;="&amp;DATE(YEAR($A$1),MONTH($A$1),1),РД[Состояние],"Продажа")</f>
        <v>283.11</v>
      </c>
      <c r="H140" s="359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33640167</v>
      </c>
      <c r="I140" s="330">
        <f>COUNTIFS(РД[МОП],A140,РД[Дата подачи на регистрацию],"&lt;="&amp;$A$1,РД[Дата подачи на регистрацию],"&gt;="&amp;DATE(YEAR($A$1),MONTH($A$1),1),РД[Состояние],"Продажа")</f>
        <v>5</v>
      </c>
      <c r="J140" s="360">
        <f t="shared" si="22"/>
        <v>0.59352201257861636</v>
      </c>
      <c r="K140" s="361">
        <f t="shared" si="22"/>
        <v>0.5551569634160638</v>
      </c>
      <c r="L140" s="364">
        <f>COUNTIFS(РД[Тип кв],L$87,РД[МОП],$A140,РД[Дата подачи на регистрацию],"&lt;="&amp;$A$1,РД[Дата подачи на регистрацию],"&gt;="&amp;DATE(YEAR($A$1),MONTH($A$1),1))</f>
        <v>0</v>
      </c>
      <c r="M140" s="365">
        <f>COUNTIFS(РД[Тип кв],M$87,РД[МОП],$A140,РД[Дата подачи на регистрацию],"&lt;="&amp;$A$1,РД[Дата подачи на регистрацию],"&gt;="&amp;DATE(YEAR($A$1),MONTH($A$1),1))</f>
        <v>1</v>
      </c>
      <c r="N140" s="365">
        <f>COUNTIFS(РД[Тип кв],N$87,РД[МОП],$A140,РД[Дата подачи на регистрацию],"&lt;="&amp;$A$1,РД[Дата подачи на регистрацию],"&gt;="&amp;DATE(YEAR($A$1),MONTH($A$1),1))</f>
        <v>4</v>
      </c>
      <c r="O140" s="365">
        <f>COUNTIFS(РД[Тип кв],O$87,РД[МОП],$A140,РД[Дата подачи на регистрацию],"&lt;="&amp;$A$1,РД[Дата подачи на регистрацию],"&gt;="&amp;DATE(YEAR($A$1),MONTH($A$1),1))</f>
        <v>0</v>
      </c>
      <c r="P140" s="366">
        <f>COUNTIFS(РД[Тип кв],P$87,РД[МОП],$A140,РД[Дата подачи на регистрацию],"&lt;="&amp;$A$1,РД[Дата подачи на регистрацию],"&gt;="&amp;DATE(YEAR($A$1),MONTH($A$1),1))</f>
        <v>0</v>
      </c>
      <c r="Q140" s="86"/>
      <c r="R140" s="86"/>
      <c r="S140" s="86"/>
      <c r="T140" s="66"/>
    </row>
    <row r="141" spans="1:21" s="65" customFormat="1">
      <c r="A141" s="154" t="s">
        <v>29</v>
      </c>
      <c r="B141" s="155"/>
      <c r="C141" s="156"/>
      <c r="D141" s="157">
        <f>SUMIFS(Март2551[м2],Март2551[КТУ],$A141,Март2551[Комнатность],"&lt;&gt;Офис")</f>
        <v>0</v>
      </c>
      <c r="E141" s="156">
        <f>SUMIFS(Март2551[Сумма без отделки],Март2551[КТУ],$A141,Март2551[Комнатность],"&lt;&gt;Офис")</f>
        <v>0</v>
      </c>
      <c r="F141" s="158">
        <f>COUNTIFS(Март2551[КТУ],$A141,Март2551[Комнатность],"&lt;&gt;Офис")</f>
        <v>0</v>
      </c>
      <c r="G141" s="159">
        <f>SUMIFS(РД[S],РД[МОП],A141,РД[Дата подачи на регистрацию],"&lt;="&amp;$A$1,РД[Дата подачи на регистрацию],"&gt;="&amp;DATE(YEAR($A$1),MONTH($A$1),1),РД[Состояние],"Продажа")</f>
        <v>0</v>
      </c>
      <c r="H141" s="160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228">
        <f>COUNTIFS(РД[МОП],A141,РД[Дата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9" t="str">
        <f t="shared" si="22"/>
        <v/>
      </c>
      <c r="K141" s="230" t="str">
        <f t="shared" si="22"/>
        <v/>
      </c>
      <c r="L141" s="159">
        <f>COUNTIFS(РД[Тип кв],L$87,РД[МОП],$A141,РД[Дата подачи на регистрацию],"&lt;="&amp;$A$1,РД[Дата подачи на регистрацию],"&gt;="&amp;DATE(YEAR($A$1),MONTH($A$1),1))</f>
        <v>0</v>
      </c>
      <c r="M141" s="228">
        <f>COUNTIFS(РД[Тип кв],M$87,РД[МОП],$A141,РД[Дата подачи на регистрацию],"&lt;="&amp;$A$1,РД[Дата подачи на регистрацию],"&gt;="&amp;DATE(YEAR($A$1),MONTH($A$1),1))</f>
        <v>0</v>
      </c>
      <c r="N141" s="228">
        <f>COUNTIFS(РД[Тип кв],N$87,РД[МОП],$A141,РД[Дата подачи на регистрацию],"&lt;="&amp;$A$1,РД[Дата подачи на регистрацию],"&gt;="&amp;DATE(YEAR($A$1),MONTH($A$1),1))</f>
        <v>0</v>
      </c>
      <c r="O141" s="228">
        <f>COUNTIFS(РД[Тип кв],O$87,РД[МОП],$A141,РД[Дата подачи на регистрацию],"&lt;="&amp;$A$1,РД[Дата подачи на регистрацию],"&gt;="&amp;DATE(YEAR($A$1),MONTH($A$1),1))</f>
        <v>0</v>
      </c>
      <c r="P141" s="231">
        <f>COUNTIFS(РД[Тип кв],P$87,РД[МОП],$A141,РД[Дата подачи на регистрацию],"&lt;="&amp;$A$1,РД[Дата подачи на регистрацию],"&gt;="&amp;DATE(YEAR($A$1),MONTH($A$1),1))</f>
        <v>0</v>
      </c>
      <c r="T141" s="66"/>
    </row>
    <row r="142" spans="1:21" s="65" customFormat="1">
      <c r="A142" s="161" t="s">
        <v>1919</v>
      </c>
      <c r="B142" s="162"/>
      <c r="C142" s="163"/>
      <c r="D142" s="164">
        <f>SUMIFS(Март2551[м2],Март2551[МОП],$A142,Март2551[Комнатность],"&lt;&gt;Офис")</f>
        <v>62.800000000000004</v>
      </c>
      <c r="E142" s="163">
        <f>SUMIFS(Март2551[Сумма без отделки],Март2551[МОП],$A142,Март2551[Комнатность],"&lt;&gt;Офис")</f>
        <v>8100323</v>
      </c>
      <c r="F142" s="165">
        <f>COUNTIFS(Март2551[МОП],$A142,Март2551[Комнатность],"&lt;&gt;Офис")</f>
        <v>2</v>
      </c>
      <c r="G142" s="166">
        <f>SUMIFS(РД[S],РД[МОП],A142,РД[Дата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167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32">
        <f>COUNTIFS(РД[МОП],A142,РД[Дата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33" t="str">
        <f t="shared" si="22"/>
        <v/>
      </c>
      <c r="K142" s="234" t="str">
        <f t="shared" si="22"/>
        <v/>
      </c>
      <c r="L142" s="235">
        <f>COUNTIFS(РД[Тип кв],L$87,РД[МОП],$A142,РД[Дата подачи на регистрацию],"&lt;="&amp;$A$1,РД[Дата подачи на регистрацию],"&gt;="&amp;DATE(YEAR($A$1),MONTH($A$1),1))</f>
        <v>0</v>
      </c>
      <c r="M142" s="236">
        <f>COUNTIFS(РД[Тип кв],M$87,РД[МОП],$A142,РД[Дата подачи на регистрацию],"&lt;="&amp;$A$1,РД[Дата подачи на регистрацию],"&gt;="&amp;DATE(YEAR($A$1),MONTH($A$1),1))</f>
        <v>0</v>
      </c>
      <c r="N142" s="236">
        <f>COUNTIFS(РД[Тип кв],N$87,РД[МОП],$A142,РД[Дата подачи на регистрацию],"&lt;="&amp;$A$1,РД[Дата подачи на регистрацию],"&gt;="&amp;DATE(YEAR($A$1),MONTH($A$1),1))</f>
        <v>0</v>
      </c>
      <c r="O142" s="236">
        <f>COUNTIFS(РД[Тип кв],O$87,РД[МОП],$A142,РД[Дата подачи на регистрацию],"&lt;="&amp;$A$1,РД[Дата подачи на регистрацию],"&gt;="&amp;DATE(YEAR($A$1),MONTH($A$1),1))</f>
        <v>0</v>
      </c>
      <c r="P142" s="237">
        <f>COUNTIFS(РД[Тип кв],P$87,РД[МОП],$A142,РД[Дата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68" t="s">
        <v>114</v>
      </c>
      <c r="B143" s="169">
        <f t="shared" ref="B143:I143" si="23">SUM(B136:B142)</f>
        <v>2257</v>
      </c>
      <c r="C143" s="170">
        <f t="shared" si="23"/>
        <v>286820005</v>
      </c>
      <c r="D143" s="170">
        <f t="shared" si="23"/>
        <v>1252.01</v>
      </c>
      <c r="E143" s="170">
        <f t="shared" si="23"/>
        <v>144514491</v>
      </c>
      <c r="F143" s="171">
        <f t="shared" si="23"/>
        <v>31</v>
      </c>
      <c r="G143" s="172">
        <f t="shared" si="23"/>
        <v>1016.91</v>
      </c>
      <c r="H143" s="173">
        <f t="shared" si="23"/>
        <v>124569868</v>
      </c>
      <c r="I143" s="170">
        <f t="shared" si="23"/>
        <v>21</v>
      </c>
      <c r="J143" s="238">
        <f t="shared" si="22"/>
        <v>0.450558263181214</v>
      </c>
      <c r="K143" s="239">
        <f t="shared" si="22"/>
        <v>0.43431373624025982</v>
      </c>
      <c r="L143" s="240">
        <f>SUM(L136:L142)</f>
        <v>2</v>
      </c>
      <c r="M143" s="241">
        <f>SUM(M136:M142)</f>
        <v>10</v>
      </c>
      <c r="N143" s="241">
        <f>SUM(N136:N142)</f>
        <v>7</v>
      </c>
      <c r="O143" s="241">
        <f>SUM(O136:O142)</f>
        <v>3</v>
      </c>
      <c r="P143" s="242">
        <f>SUM(P136:P142)</f>
        <v>0</v>
      </c>
      <c r="T143" s="66"/>
    </row>
    <row r="144" spans="1:21" s="65" customFormat="1">
      <c r="A144" s="135" t="s">
        <v>115</v>
      </c>
      <c r="B144" s="213" t="s">
        <v>100</v>
      </c>
      <c r="C144" s="214" t="s">
        <v>97</v>
      </c>
      <c r="D144" s="174" t="s">
        <v>494</v>
      </c>
      <c r="E144" s="175" t="s">
        <v>495</v>
      </c>
      <c r="F144" s="176" t="s">
        <v>496</v>
      </c>
      <c r="G144" s="140" t="s">
        <v>101</v>
      </c>
      <c r="H144" s="141" t="s">
        <v>98</v>
      </c>
      <c r="I144" s="141" t="s">
        <v>96</v>
      </c>
      <c r="J144" s="141" t="s">
        <v>715</v>
      </c>
      <c r="K144" s="216" t="s">
        <v>716</v>
      </c>
      <c r="L144" s="217">
        <v>0</v>
      </c>
      <c r="M144" s="218">
        <v>1</v>
      </c>
      <c r="N144" s="218">
        <v>2</v>
      </c>
      <c r="O144" s="218">
        <v>3</v>
      </c>
      <c r="P144" s="219" t="s">
        <v>1367</v>
      </c>
      <c r="T144" s="66"/>
    </row>
    <row r="145" spans="1:21" s="65" customFormat="1">
      <c r="A145" s="177" t="s">
        <v>22</v>
      </c>
      <c r="B145" s="178">
        <f>IFERROR(VLOOKUP(A145,'ИПП 2кв25'!$B$6:$N$17,12,0),"")</f>
        <v>733.52500000000009</v>
      </c>
      <c r="C145" s="179">
        <f>IFERROR(VLOOKUP(A145,'ИПП 2кв25'!$B$6:$N$17,13,0),"")</f>
        <v>93216501.624999985</v>
      </c>
      <c r="D145" s="180">
        <f>SUMIFS(Март2551[м2],Март2551[ИМ],A145,Март2551[Комнатность],"&lt;&gt;Офис")</f>
        <v>660.96999999999991</v>
      </c>
      <c r="E145" s="181">
        <f>SUMIFS(Март2551[Сумма без отделки],Март2551[ИМ],$A145,Март2551[Комнатность],"&lt;&gt;Офис")</f>
        <v>79165553</v>
      </c>
      <c r="F145" s="204">
        <f>COUNTIFS(Март2551[ИМ],A145,Март2551[Комнатность],"&lt;&gt;Офис")</f>
        <v>12</v>
      </c>
      <c r="G145" s="183">
        <f>SUMIFS(РД[S],РД[ИМ],A145,РД[Дата подачи на регистрацию],"&lt;="&amp;$A$1,РД[Дата подачи на регистрацию],"&gt;="&amp;DATE(YEAR($A$1),MONTH($A$1),1),РД[Состояние],"Продажа")</f>
        <v>500.55</v>
      </c>
      <c r="H145" s="184">
        <f>SUMIFS(РД[Стоимость без отделки итог],РД[ИМ],A145,РД[Дата подачи на регистрацию],"&lt;="&amp;$A$1,РД[Дата подачи на регистрацию],"&gt;="&amp;DATE(YEAR($A$1),MONTH($A$1),1),РД[Состояние],"Продажа")</f>
        <v>60380061</v>
      </c>
      <c r="I145" s="243">
        <f>COUNTIFS(РД[ИМ],A145,РД[Дата подачи на регистрацию],"&lt;="&amp;$A$1,РД[Дата подачи на регистрацию],"&gt;="&amp;DATE(YEAR($A$1),MONTH($A$1),1),РД[Состояние],"Продажа")</f>
        <v>9</v>
      </c>
      <c r="J145" s="244">
        <f t="shared" ref="J145:K148" si="24">IFERROR(G145/B145,"")</f>
        <v>0.68238982993081343</v>
      </c>
      <c r="K145" s="258">
        <f t="shared" si="24"/>
        <v>0.64774004545785813</v>
      </c>
      <c r="L145" s="183">
        <f>COUNTIFS(РД[Тип кв],L135,РД[ИМ],$A145,РД[Дата подачи на регистрацию],"&lt;="&amp;$A$1,РД[Дата подачи на регистрацию],"&gt;="&amp;DATE(YEAR($A$1),MONTH($A$1),1))</f>
        <v>1</v>
      </c>
      <c r="M145" s="243">
        <f>COUNTIFS(РД[Тип кв],M135,РД[ИМ],$A145,РД[Дата подачи на регистрацию],"&lt;="&amp;$A$1,РД[Дата подачи на регистрацию],"&gt;="&amp;DATE(YEAR($A$1),MONTH($A$1),1))</f>
        <v>1</v>
      </c>
      <c r="N145" s="243">
        <f>COUNTIFS(РД[Тип кв],N135,РД[ИМ],$A145,РД[Дата подачи на регистрацию],"&lt;="&amp;$A$1,РД[Дата подачи на регистрацию],"&gt;="&amp;DATE(YEAR($A$1),MONTH($A$1),1))</f>
        <v>6</v>
      </c>
      <c r="O145" s="243">
        <f>COUNTIFS(РД[Тип кв],O135,РД[ИМ],$A145,РД[Дата подачи на регистрацию],"&lt;="&amp;$A$1,РД[Дата подачи на регистрацию],"&gt;="&amp;DATE(YEAR($A$1),MONTH($A$1),1))</f>
        <v>1</v>
      </c>
      <c r="P145" s="246">
        <f>COUNTIFS(РД[Тип кв],P135,РД[ИМ],$A145,РД[Дата подачи на регистрацию],"&lt;="&amp;$A$1,РД[Дата подачи на регистрацию],"&gt;="&amp;DATE(YEAR($A$1),MONTH($A$1),1))</f>
        <v>0</v>
      </c>
      <c r="Q145" s="66"/>
      <c r="R145" s="66"/>
      <c r="S145" s="66"/>
      <c r="T145" s="66"/>
    </row>
    <row r="146" spans="1:21" s="65" customFormat="1">
      <c r="A146" s="150" t="s">
        <v>26</v>
      </c>
      <c r="B146" s="143">
        <f>IFERROR(VLOOKUP(A146,'ИПП 2кв25'!$B$6:$N$17,12,0),"")</f>
        <v>733.52500000000009</v>
      </c>
      <c r="C146" s="144">
        <f>IFERROR(VLOOKUP(A146,'ИПП 2кв25'!$B$6:$N$17,13,0),"")</f>
        <v>93216501.624999985</v>
      </c>
      <c r="D146" s="205">
        <f>SUMIFS(Март2551[м2],Март2551[ИМ],A146,Март2551[Комнатность],"&lt;&gt;Офис")</f>
        <v>437.06999999999994</v>
      </c>
      <c r="E146" s="206">
        <f>SUMIFS(Март2551[Сумма без отделки],Март2551[ИМ],$A146,Март2551[Комнатность],"&lt;&gt;Офис")</f>
        <v>53781915</v>
      </c>
      <c r="F146" s="207">
        <f>COUNTIFS(Март2551[ИМ],$A146,Март2551[Комнатность],"&lt;&gt;Офис")</f>
        <v>10</v>
      </c>
      <c r="G146" s="187">
        <f>SUMIFS(РД[S],РД[ИМ],A146,РД[Дата подачи на регистрацию],"&lt;="&amp;$A$1,РД[Дата подачи на регистрацию],"&gt;="&amp;DATE(YEAR($A$1),MONTH($A$1),1),РД[Состояние],"Продажа")</f>
        <v>245.86</v>
      </c>
      <c r="H146" s="188">
        <f>SUMIFS(РД[Стоимость без отделки итог],РД[ИМ],A146,РД[Дата подачи на регистрацию],"&lt;="&amp;$A$1,РД[Дата подачи на регистрацию],"&gt;="&amp;DATE(YEAR($A$1),MONTH($A$1),1),РД[Состояние],"Продажа")</f>
        <v>29067658</v>
      </c>
      <c r="I146" s="247">
        <f>COUNTIFS(РД[ИМ],A146,РД[Дата подачи на регистрацию],"&lt;="&amp;$A$1,РД[Дата подачи на регистрацию],"&gt;="&amp;DATE(YEAR($A$1),MONTH($A$1),1),РД[Состояние],"Продажа")</f>
        <v>5</v>
      </c>
      <c r="J146" s="248">
        <f t="shared" si="24"/>
        <v>0.33517603353668923</v>
      </c>
      <c r="K146" s="259">
        <f t="shared" si="24"/>
        <v>0.31182953118039208</v>
      </c>
      <c r="L146" s="328">
        <f>COUNTIFS(РД[Тип кв],L137,РД[ИМ],$A146,РД[Дата подачи на регистрацию],"&lt;="&amp;$A$1,РД[Дата подачи на регистрацию],"&gt;="&amp;DATE(YEAR($A$1),MONTH($A$1),1))</f>
        <v>1</v>
      </c>
      <c r="M146" s="247">
        <f>COUNTIFS(РД[Тип кв],M137,РД[ИМ],$A146,РД[Дата подачи на регистрацию],"&lt;="&amp;$A$1,РД[Дата подачи на регистрацию],"&gt;="&amp;DATE(YEAR($A$1),MONTH($A$1),1))</f>
        <v>0</v>
      </c>
      <c r="N146" s="247">
        <f>COUNTIFS(РД[Тип кв],N137,РД[ИМ],$A146,РД[Дата подачи на регистрацию],"&lt;="&amp;$A$1,РД[Дата подачи на регистрацию],"&gt;="&amp;DATE(YEAR($A$1),MONTH($A$1),1))</f>
        <v>1</v>
      </c>
      <c r="O146" s="247">
        <f>COUNTIFS(РД[Тип кв],O137,РД[ИМ],$A146,РД[Дата подачи на регистрацию],"&lt;="&amp;$A$1,РД[Дата подачи на регистрацию],"&gt;="&amp;DATE(YEAR($A$1),MONTH($A$1),1))</f>
        <v>2</v>
      </c>
      <c r="P146" s="250">
        <f>COUNTIFS(РД[Тип кв],P137,РД[ИМ],$A146,РД[Дата подачи на регистрацию],"&lt;="&amp;$A$1,РД[Дата подачи на регистрацию],"&gt;="&amp;DATE(YEAR($A$1),MONTH($A$1),1))</f>
        <v>1</v>
      </c>
      <c r="Q146" s="66"/>
      <c r="R146" s="66"/>
      <c r="S146" s="66"/>
      <c r="T146" s="66"/>
    </row>
    <row r="147" spans="1:21" s="65" customFormat="1">
      <c r="A147" s="189" t="s">
        <v>3</v>
      </c>
      <c r="B147" s="190">
        <f>IFERROR(VLOOKUP(A147,'ИПП 2кв25'!$B$6:$N$17,12,0),"")</f>
        <v>0</v>
      </c>
      <c r="C147" s="191">
        <f>IFERROR(VLOOKUP(A147,'ИПП 2кв25'!$B$6:$N$17,13,0),"")</f>
        <v>0</v>
      </c>
      <c r="D147" s="208">
        <f>SUMIFS(Март2551[м2],Март2551[ИМ],A147,Март2551[Комнатность],"&lt;&gt;Офис")</f>
        <v>0</v>
      </c>
      <c r="E147" s="209">
        <f>SUMIFS(Март2551[Сумма без отделки],Март2551[ИМ],$A147,Март2551[Комнатность],"&lt;&gt;Офис")</f>
        <v>0</v>
      </c>
      <c r="F147" s="210">
        <f>COUNTIFS(Март2551[ИМ],$A147,Март2551[Комнатность],"&lt;&gt;Офис")</f>
        <v>0</v>
      </c>
      <c r="G147" s="195">
        <f>SUMIFS(РД[S],РД[ИМ],A147,РД[Дата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196">
        <f>SUMIFS(РД[Стоимость без отделки итог],РД[ИМ],A147,РД[Дата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51">
        <f>COUNTIFS(РД[ИМ],A147,РД[Дата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52" t="str">
        <f t="shared" si="24"/>
        <v/>
      </c>
      <c r="K147" s="260" t="str">
        <f t="shared" si="24"/>
        <v/>
      </c>
      <c r="L147" s="329">
        <f>COUNTIFS(РД[Тип кв],L139,РД[ИМ],$A147,РД[Дата подачи на регистрацию],"&lt;="&amp;$A$1,РД[Дата подачи на регистрацию],"&gt;="&amp;DATE(YEAR($A$1),MONTH($A$1),1))</f>
        <v>0</v>
      </c>
      <c r="M147" s="330">
        <f>COUNTIFS(РД[Тип кв],M139,РД[ИМ],$A147,РД[Дата подачи на регистрацию],"&lt;="&amp;$A$1,РД[Дата подачи на регистрацию],"&gt;="&amp;DATE(YEAR($A$1),MONTH($A$1),1))</f>
        <v>0</v>
      </c>
      <c r="N147" s="330">
        <f>COUNTIFS(РД[Тип кв],N139,РД[ИМ],$A147,РД[Дата подачи на регистрацию],"&lt;="&amp;$A$1,РД[Дата подачи на регистрацию],"&gt;="&amp;DATE(YEAR($A$1),MONTH($A$1),1))</f>
        <v>0</v>
      </c>
      <c r="O147" s="330">
        <f>COUNTIFS(РД[Тип кв],O139,РД[ИМ],$A147,РД[Дата подачи на регистрацию],"&lt;="&amp;$A$1,РД[Дата подачи на регистрацию],"&gt;="&amp;DATE(YEAR($A$1),MONTH($A$1),1))</f>
        <v>0</v>
      </c>
      <c r="P147" s="331">
        <f>COUNTIFS(РД[Тип кв],P139,РД[ИМ],$A147,РД[Дата подачи на регистрацию],"&lt;="&amp;$A$1,РД[Дата подачи на регистрацию],"&gt;="&amp;DATE(YEAR($A$1),MONTH($A$1),1))</f>
        <v>0</v>
      </c>
      <c r="Q147" s="66"/>
      <c r="R147" s="66"/>
      <c r="S147" s="66"/>
      <c r="T147" s="66"/>
    </row>
    <row r="148" spans="1:21" s="65" customFormat="1">
      <c r="A148" s="168" t="s">
        <v>114</v>
      </c>
      <c r="B148" s="169">
        <f>SUM(B145:B147)</f>
        <v>1467.0500000000002</v>
      </c>
      <c r="C148" s="170">
        <f>SUM(C145:C147)</f>
        <v>186433003.24999997</v>
      </c>
      <c r="D148" s="170">
        <f t="shared" ref="D148:P148" si="25">SUM(D145:D147)</f>
        <v>1098.04</v>
      </c>
      <c r="E148" s="170">
        <f t="shared" si="25"/>
        <v>132947468</v>
      </c>
      <c r="F148" s="171">
        <f t="shared" si="25"/>
        <v>22</v>
      </c>
      <c r="G148" s="172">
        <f t="shared" si="25"/>
        <v>746.41000000000008</v>
      </c>
      <c r="H148" s="173">
        <f t="shared" si="25"/>
        <v>89447719</v>
      </c>
      <c r="I148" s="170">
        <f t="shared" si="25"/>
        <v>14</v>
      </c>
      <c r="J148" s="238">
        <f t="shared" si="24"/>
        <v>0.50878293173375144</v>
      </c>
      <c r="K148" s="239">
        <f t="shared" si="24"/>
        <v>0.47978478831912513</v>
      </c>
      <c r="L148" s="240">
        <f t="shared" si="25"/>
        <v>2</v>
      </c>
      <c r="M148" s="241">
        <f t="shared" si="25"/>
        <v>1</v>
      </c>
      <c r="N148" s="241">
        <f t="shared" si="25"/>
        <v>7</v>
      </c>
      <c r="O148" s="241">
        <f t="shared" si="25"/>
        <v>3</v>
      </c>
      <c r="P148" s="242">
        <f t="shared" si="25"/>
        <v>1</v>
      </c>
      <c r="Q148" s="66"/>
      <c r="R148" s="66"/>
      <c r="S148" s="66"/>
      <c r="T148" s="66"/>
    </row>
    <row r="149" spans="1:21" s="65" customFormat="1">
      <c r="A149" s="134"/>
      <c r="B149" s="44"/>
      <c r="C149" s="44"/>
      <c r="D149" s="134"/>
      <c r="E149" s="134"/>
      <c r="F149" s="44"/>
      <c r="G149" s="134"/>
      <c r="H149" s="134"/>
      <c r="I149" s="134"/>
      <c r="J149" s="134"/>
      <c r="K149" s="255"/>
      <c r="L149" s="256"/>
      <c r="M149" s="134"/>
      <c r="N149" s="134"/>
      <c r="O149" s="134"/>
      <c r="P149" s="134"/>
      <c r="Q149" s="134"/>
      <c r="T149" s="66"/>
      <c r="U149" s="66"/>
    </row>
    <row r="150" spans="1:21" s="65" customFormat="1" ht="15">
      <c r="A150" s="2400" t="s">
        <v>1368</v>
      </c>
      <c r="B150" s="2401"/>
      <c r="C150" s="2401"/>
      <c r="D150" s="2401"/>
      <c r="E150" s="2401"/>
      <c r="F150" s="2401"/>
      <c r="G150" s="2401"/>
      <c r="H150" s="2401"/>
      <c r="I150" s="2401"/>
      <c r="J150" s="2401"/>
      <c r="K150" s="2401"/>
      <c r="L150" s="2401"/>
      <c r="M150" s="2401"/>
      <c r="N150" s="2401"/>
      <c r="O150" s="2401"/>
      <c r="P150" s="66"/>
      <c r="S150" s="66"/>
      <c r="T150" s="66"/>
    </row>
    <row r="151" spans="1:21" s="65" customFormat="1">
      <c r="A151" s="135" t="s">
        <v>1</v>
      </c>
      <c r="B151" s="135" t="s">
        <v>100</v>
      </c>
      <c r="C151" s="136" t="s">
        <v>97</v>
      </c>
      <c r="D151" s="264" t="s">
        <v>494</v>
      </c>
      <c r="E151" s="265" t="s">
        <v>495</v>
      </c>
      <c r="F151" s="266" t="s">
        <v>496</v>
      </c>
      <c r="G151" s="140" t="s">
        <v>101</v>
      </c>
      <c r="H151" s="141" t="s">
        <v>98</v>
      </c>
      <c r="I151" s="141" t="s">
        <v>96</v>
      </c>
      <c r="J151" s="141" t="s">
        <v>715</v>
      </c>
      <c r="K151" s="216" t="s">
        <v>716</v>
      </c>
      <c r="L151" s="332" t="s">
        <v>121</v>
      </c>
      <c r="M151" s="218" t="s">
        <v>27</v>
      </c>
      <c r="N151" s="219" t="s">
        <v>7</v>
      </c>
      <c r="O151" s="219" t="s">
        <v>19</v>
      </c>
      <c r="P151" s="66"/>
      <c r="S151" s="66"/>
      <c r="T151" s="66"/>
    </row>
    <row r="152" spans="1:21" s="65" customFormat="1">
      <c r="A152" s="142" t="s">
        <v>28</v>
      </c>
      <c r="B152" s="267"/>
      <c r="C152" s="268"/>
      <c r="D152" s="269">
        <f>SUMIFS(Март2551[м2],Март2551[КТУ],A152,Март2551[Комнатность],"Офис")</f>
        <v>0</v>
      </c>
      <c r="E152" s="144">
        <f>SUMIFS(Март2551[Сумма без отделки],Март2551[КТУ],$A152,Март2551[Комнатность],"оФИС")</f>
        <v>0</v>
      </c>
      <c r="F152" s="270">
        <f>COUNTIFS(Март2551[КТУ],$A152,Март2551[Комнатность],"Офис")</f>
        <v>0</v>
      </c>
      <c r="G152" s="267">
        <f>SUMIFS(РД[S],РД[МОП],A152,РД[Дата подачи на регистрацию],"&lt;="&amp;$A$1,РД[Дата подачи на регистрацию],"&gt;="&amp;DATE(YEAR($A$1),MONTH($A$1),1),РД[Состояние],"Коммерция")</f>
        <v>8.9400000000000013</v>
      </c>
      <c r="H152" s="146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регистрацию],"&gt;="&amp;DATE(YEAR($A$1),MONTH($A$1),1),РД[Состояние],"Коммерция")</f>
        <v>983400</v>
      </c>
      <c r="I152" s="220">
        <f>COUNTIFS(РД[МОП],A152,РД[Дата подачи на регистрацию],"&lt;="&amp;$A$1,РД[Дата подачи на регистрацию],"&gt;="&amp;DATE(YEAR($A$1),MONTH($A$1),1),РД[Состояние],"Коммерция")</f>
        <v>2</v>
      </c>
      <c r="J152" s="221" t="str">
        <f t="shared" ref="J152:K158" si="26">IFERROR(G152/B152,"")</f>
        <v/>
      </c>
      <c r="K152" s="333" t="str">
        <f t="shared" si="26"/>
        <v/>
      </c>
      <c r="L152" s="148">
        <f>COUNTIFS(РД[Дом],L$151,РД[МОП],$A152,РД[Дата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M152" s="220">
        <f>COUNTIFS(РД[Дом],M$151,РД[МОП],$A152,РД[Дата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N152" s="223">
        <f>COUNTIFS(РД[Дом],N$151,РД[МОП],$A152,РД[Дата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O152" s="223">
        <f>COUNTIFS(РД[Дом],O$151,РД[МОП],$A152,РД[Дата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P152" s="66"/>
      <c r="S152" s="66"/>
      <c r="T152" s="66"/>
    </row>
    <row r="153" spans="1:21" s="65" customFormat="1">
      <c r="A153" s="142" t="s">
        <v>8</v>
      </c>
      <c r="B153" s="267"/>
      <c r="C153" s="268"/>
      <c r="D153" s="269">
        <f>SUMIFS(Март2551[м2],Март2551[КТУ],A153,Март2551[Комнатность],"Офис")</f>
        <v>0</v>
      </c>
      <c r="E153" s="144">
        <f>SUMIFS(Март2551[Сумма без отделки],Март2551[КТУ],$A153,Март2551[Комнатность],"оФИС")</f>
        <v>0</v>
      </c>
      <c r="F153" s="270">
        <f>COUNTIFS(Март2551[КТУ],$A153,Март2551[Комнатность],"Офис")</f>
        <v>0</v>
      </c>
      <c r="G153" s="267">
        <f>SUMIFS(РД[S],РД[МОП],A153,РД[Дата подачи на регистрацию],"&lt;="&amp;$A$1,РД[Дата подачи на регистрацию],"&gt;="&amp;DATE(YEAR($A$1),MONTH($A$1),1),РД[Состояние],"Коммерция")</f>
        <v>11.67</v>
      </c>
      <c r="H153" s="146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регистрацию],"&gt;="&amp;DATE(YEAR($A$1),MONTH($A$1),1),РД[Состояние],"Коммерция")</f>
        <v>1214000</v>
      </c>
      <c r="I153" s="220">
        <f>COUNTIFS(РД[МОП],A153,РД[Дата подачи на регистрацию],"&lt;="&amp;$A$1,РД[Дата подачи на регистрацию],"&gt;="&amp;DATE(YEAR($A$1),MONTH($A$1),1),РД[Состояние],"Коммерция")</f>
        <v>2</v>
      </c>
      <c r="J153" s="221" t="str">
        <f t="shared" si="26"/>
        <v/>
      </c>
      <c r="K153" s="333" t="str">
        <f t="shared" si="26"/>
        <v/>
      </c>
      <c r="L153" s="148">
        <f>COUNTIFS(РД[Дом],L$151,РД[МОП],$A153,РД[Дата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M153" s="220">
        <f>COUNTIFS(РД[Дом],M$151,РД[МОП],$A153,РД[Дата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N153" s="223">
        <f>COUNTIFS(РД[Дом],N$151,РД[МОП],$A153,РД[Дата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O153" s="223">
        <f>COUNTIFS(РД[Дом],O$151,РД[МОП],$A153,РД[Дата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S153" s="66"/>
      <c r="T153" s="66"/>
    </row>
    <row r="154" spans="1:21" s="65" customFormat="1">
      <c r="A154" s="150" t="s">
        <v>20</v>
      </c>
      <c r="B154" s="267"/>
      <c r="C154" s="268"/>
      <c r="D154" s="269">
        <f>SUMIFS(Март2551[м2],Март2551[КТУ],A154,Март2551[Комнатность],"Офис")</f>
        <v>0</v>
      </c>
      <c r="E154" s="144">
        <f>SUMIFS(Март2551[Сумма без отделки],Март2551[КТУ],$A154,Март2551[Комнатность],"оФИС")</f>
        <v>0</v>
      </c>
      <c r="F154" s="270">
        <f>COUNTIFS(Март2551[КТУ],$A154,Март2551[Комнатность],"Офис")</f>
        <v>0</v>
      </c>
      <c r="G154" s="267">
        <f>SUMIFS(РД[S],РД[МОП],A154,РД[Дата подачи на регистрацию],"&lt;="&amp;$A$1,РД[Дата подачи на регистрацию],"&gt;="&amp;DATE(YEAR($A$1),MONTH($A$1),1),РД[Состояние],"Коммерция")</f>
        <v>5.23</v>
      </c>
      <c r="H154" s="146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регистрацию],"&gt;="&amp;DATE(YEAR($A$1),MONTH($A$1),1),РД[Состояние],"Коммерция")</f>
        <v>575300</v>
      </c>
      <c r="I154" s="220">
        <f>COUNTIFS(РД[МОП],A154,РД[Дата подачи на регистрацию],"&lt;="&amp;$A$1,РД[Дата подачи на регистрацию],"&gt;="&amp;DATE(YEAR($A$1),MONTH($A$1),1),РД[Состояние],"Коммерция")</f>
        <v>1</v>
      </c>
      <c r="J154" s="221" t="str">
        <f t="shared" si="26"/>
        <v/>
      </c>
      <c r="K154" s="333" t="str">
        <f t="shared" si="26"/>
        <v/>
      </c>
      <c r="L154" s="148">
        <f>COUNTIFS(РД[Дом],L$151,РД[МОП],$A154,РД[Дата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M154" s="220">
        <f>COUNTIFS(РД[Дом],M$151,РД[МОП],$A154,РД[Дата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N154" s="223">
        <f>COUNTIFS(РД[Дом],N$151,РД[МОП],$A154,РД[Дата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O154" s="223">
        <f>COUNTIFS(РД[Дом],O$151,РД[МОП],$A154,РД[Дата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S154" s="66"/>
      <c r="T154" s="66"/>
    </row>
    <row r="155" spans="1:21" s="65" customFormat="1">
      <c r="A155" s="153" t="s">
        <v>24</v>
      </c>
      <c r="B155" s="271"/>
      <c r="C155" s="272"/>
      <c r="D155" s="269">
        <f>SUMIFS(Март2551[м2],Март2551[КТУ],A155,Март2551[Комнатность],"Офис")</f>
        <v>0</v>
      </c>
      <c r="E155" s="200">
        <f>SUMIFS(Март2551[Сумма без отделки],Март2551[КТУ],$A155,Март2551[Комнатность],"оФИС")</f>
        <v>0</v>
      </c>
      <c r="F155" s="273">
        <f>COUNTIFS(Март2551[КТУ],$A155,Март2551[Комнатность],"Офис")</f>
        <v>0</v>
      </c>
      <c r="G155" s="271">
        <f>SUMIFS(РД[S],РД[МОП],A155,РД[Дата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H155" s="52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I155" s="220">
        <f>COUNTIFS(РД[МОП],A155,РД[Дата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J155" s="224" t="str">
        <f t="shared" si="26"/>
        <v/>
      </c>
      <c r="K155" s="334" t="str">
        <f t="shared" si="26"/>
        <v/>
      </c>
      <c r="L155" s="202">
        <f>COUNTIFS(РД[Дом],L$151,РД[МОП],$A155,РД[Дата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6">
        <f>COUNTIFS(РД[Дом],M$151,РД[МОП],$A155,РД[Дата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N155" s="227">
        <f>COUNTIFS(РД[Дом],N$151,РД[МОП],$A155,РД[Дата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O155" s="227">
        <f>COUNTIFS(РД[Дом],O$151,РД[МОП],$A155,РД[Дата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S155" s="66"/>
      <c r="T155" s="66"/>
    </row>
    <row r="156" spans="1:21" s="65" customFormat="1">
      <c r="A156" s="153" t="s">
        <v>14</v>
      </c>
      <c r="B156" s="315"/>
      <c r="C156" s="316"/>
      <c r="D156" s="362">
        <f>SUMIFS(Март2551[м2],Март2551[КТУ],A156,Март2551[Комнатность],"Офис")</f>
        <v>0</v>
      </c>
      <c r="E156" s="300">
        <f>SUMIFS(Март2551[Сумма без отделки],Март2551[КТУ],$A156,Март2551[Комнатность],"оФИС")</f>
        <v>0</v>
      </c>
      <c r="F156" s="301">
        <f>COUNTIFS(Март2551[КТУ],$A156,Март2551[Комнатность],"Офис")</f>
        <v>0</v>
      </c>
      <c r="G156" s="315">
        <f>SUMIFS(РД[S],РД[МОП],A156,РД[Дата подачи на регистрацию],"&lt;="&amp;$A$1,РД[Дата подачи на регистрацию],"&gt;="&amp;DATE(YEAR($A$1),MONTH($A$1),1),РД[Состояние],"Коммерция")</f>
        <v>6.94</v>
      </c>
      <c r="H156" s="363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регистрацию],"&gt;="&amp;DATE(YEAR($A$1),MONTH($A$1),1),РД[Состояние],"Коммерция")</f>
        <v>694000</v>
      </c>
      <c r="I156" s="247">
        <f>COUNTIFS(РД[МОП],A156,РД[Дата подачи на регистрацию],"&lt;="&amp;$A$1,РД[Дата подачи на регистрацию],"&gt;="&amp;DATE(YEAR($A$1),MONTH($A$1),1),РД[Состояние],"Коммерция")</f>
        <v>1</v>
      </c>
      <c r="J156" s="360" t="str">
        <f t="shared" si="26"/>
        <v/>
      </c>
      <c r="K156" s="367" t="str">
        <f t="shared" si="26"/>
        <v/>
      </c>
      <c r="L156" s="358">
        <f>COUNTIFS(РД[Дом],L$151,РД[МОП],$A156,РД[Дата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330">
        <f>COUNTIFS(РД[Дом],M$151,РД[МОП],$A156,РД[Дата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331">
        <f>COUNTIFS(РД[Дом],N$151,РД[МОП],$A156,РД[Дата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331">
        <f>COUNTIFS(РД[Дом],O$151,РД[МОП],$A156,РД[Дата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S156" s="66"/>
      <c r="T156" s="66"/>
    </row>
    <row r="157" spans="1:21" s="65" customFormat="1">
      <c r="A157" s="154" t="s">
        <v>29</v>
      </c>
      <c r="B157" s="274"/>
      <c r="C157" s="275"/>
      <c r="D157" s="276">
        <f>SUMIFS(Март2551[м2],Март2551[КТУ],A157,Март2551[Комнатность],"Офис")</f>
        <v>0</v>
      </c>
      <c r="E157" s="156">
        <f>SUMIFS(Март2551[Сумма без отделки],Март2551[КТУ],$A157,Март2551[Комнатность],"оФИС")</f>
        <v>0</v>
      </c>
      <c r="F157" s="158">
        <f>COUNTIFS(Март2551[КТУ],$A157,Март2551[Комнатность],"Офис")</f>
        <v>0</v>
      </c>
      <c r="G157" s="274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277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28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229" t="str">
        <f t="shared" si="26"/>
        <v/>
      </c>
      <c r="K157" s="335" t="str">
        <f t="shared" si="26"/>
        <v/>
      </c>
      <c r="L157" s="159">
        <f>COUNTIFS(РД[Дом],L$151,РД[МОП],$A157,РД[Дата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228">
        <f>COUNTIFS(РД[Дом],M$151,РД[МОП],$A157,РД[Дата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231">
        <f>COUNTIFS(РД[Дом],N$151,РД[МОП],$A157,РД[Дата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231">
        <f>COUNTIFS(РД[Дом],O$151,РД[МОП],$A157,РД[Дата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S157" s="66"/>
      <c r="T157" s="66"/>
    </row>
    <row r="158" spans="1:21" s="65" customFormat="1">
      <c r="A158" s="161" t="s">
        <v>1919</v>
      </c>
      <c r="B158" s="278"/>
      <c r="C158" s="279"/>
      <c r="D158" s="280">
        <f>SUMIFS(Март2551[м2],Март2551[МОП],A158,Март2551[Комнатность],"Офис")</f>
        <v>0</v>
      </c>
      <c r="E158" s="163">
        <f>SUMIFS(Март2551[Сумма без отделки],Март2551[МОП],$A158,Март2551[Комнатность],"оФИС")</f>
        <v>0</v>
      </c>
      <c r="F158" s="165">
        <f>COUNTIFS(Март2551[МОП],$A158,Март2551[Комнатность],"Офис")</f>
        <v>0</v>
      </c>
      <c r="G158" s="278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H158" s="281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I158" s="232">
        <f>COUNTIFS(РД[МОП],A158,РД[Дата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J158" s="233" t="str">
        <f t="shared" si="26"/>
        <v/>
      </c>
      <c r="K158" s="336" t="str">
        <f t="shared" si="26"/>
        <v/>
      </c>
      <c r="L158" s="166">
        <f>COUNTIFS(РД[Дом],L$151,РД[МОП],$A158,РД[Дата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32">
        <f>COUNTIFS(РД[Дом],M$151,РД[МОП],$A158,РД[Дата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337">
        <f>COUNTIFS(РД[Дом],N$151,РД[МОП],$A158,РД[Дата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337">
        <f>COUNTIFS(РД[Дом],O$151,РД[МОП],$A158,РД[Дата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S158" s="66"/>
      <c r="T158" s="66"/>
    </row>
    <row r="159" spans="1:21" s="65" customFormat="1">
      <c r="A159" s="168" t="s">
        <v>114</v>
      </c>
      <c r="B159" s="282">
        <f>SUM(B152:B158)</f>
        <v>0</v>
      </c>
      <c r="C159" s="283">
        <f t="shared" ref="C159:O159" si="27">SUM(C152:C158)</f>
        <v>0</v>
      </c>
      <c r="D159" s="284">
        <f t="shared" si="27"/>
        <v>0</v>
      </c>
      <c r="E159" s="285">
        <f t="shared" si="27"/>
        <v>0</v>
      </c>
      <c r="F159" s="286">
        <f t="shared" si="27"/>
        <v>0</v>
      </c>
      <c r="G159" s="282">
        <f t="shared" si="27"/>
        <v>32.78</v>
      </c>
      <c r="H159" s="287">
        <f t="shared" si="27"/>
        <v>3466700</v>
      </c>
      <c r="I159" s="287">
        <f t="shared" si="27"/>
        <v>6</v>
      </c>
      <c r="J159" s="238">
        <f t="shared" si="27"/>
        <v>0</v>
      </c>
      <c r="K159" s="338">
        <f t="shared" si="27"/>
        <v>0</v>
      </c>
      <c r="L159" s="318">
        <f t="shared" si="27"/>
        <v>0</v>
      </c>
      <c r="M159" s="321">
        <f t="shared" si="27"/>
        <v>0</v>
      </c>
      <c r="N159" s="319">
        <f t="shared" si="27"/>
        <v>0</v>
      </c>
      <c r="O159" s="319">
        <f t="shared" si="27"/>
        <v>0</v>
      </c>
      <c r="S159" s="66"/>
      <c r="T159" s="66"/>
    </row>
    <row r="160" spans="1:21" s="65" customFormat="1">
      <c r="A160" s="135" t="s">
        <v>115</v>
      </c>
      <c r="B160" s="135" t="s">
        <v>100</v>
      </c>
      <c r="C160" s="136" t="s">
        <v>97</v>
      </c>
      <c r="D160" s="288" t="s">
        <v>494</v>
      </c>
      <c r="E160" s="289" t="s">
        <v>495</v>
      </c>
      <c r="F160" s="290" t="s">
        <v>496</v>
      </c>
      <c r="G160" s="140" t="s">
        <v>101</v>
      </c>
      <c r="H160" s="141" t="s">
        <v>98</v>
      </c>
      <c r="I160" s="141" t="s">
        <v>96</v>
      </c>
      <c r="J160" s="141" t="s">
        <v>715</v>
      </c>
      <c r="K160" s="216" t="s">
        <v>716</v>
      </c>
      <c r="L160" s="332" t="s">
        <v>121</v>
      </c>
      <c r="M160" s="218" t="s">
        <v>27</v>
      </c>
      <c r="N160" s="219" t="s">
        <v>7</v>
      </c>
      <c r="O160" s="219" t="s">
        <v>7</v>
      </c>
      <c r="T160" s="66"/>
    </row>
    <row r="161" spans="1:21" s="65" customFormat="1">
      <c r="A161" s="177" t="s">
        <v>22</v>
      </c>
      <c r="B161" s="291"/>
      <c r="C161" s="292"/>
      <c r="D161" s="180">
        <f>SUMIFS(Март2551[м2],Март2551[ИМ],A161,Март2551[Комнатность],"Офис")</f>
        <v>0</v>
      </c>
      <c r="E161" s="181">
        <f>SUMIFS(Март2551[Сумма без отделки],Март2551[ИМ],$A161,Март2551[Комнатность],"оФИС")</f>
        <v>0</v>
      </c>
      <c r="F161" s="204">
        <f>COUNTIFS(Март2551[ИМ],$A161,Март2551[Комнатность],"Офис")</f>
        <v>0</v>
      </c>
      <c r="G161" s="183">
        <f>SUMIFS(РД[S],РД[ИМ],A161,РД[Дата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H161" s="18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43">
        <f>COUNTIFS(РД[ИМ],A161,РД[Дата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44" t="str">
        <f t="shared" ref="J161:K164" si="28">IFERROR(G161/B161,"")</f>
        <v/>
      </c>
      <c r="K161" s="258" t="str">
        <f t="shared" si="28"/>
        <v/>
      </c>
      <c r="L161" s="148">
        <f>COUNTIFS(РД[Дом],L$151,РД[ИМ],$A161,РД[Дата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0">
        <f>COUNTIFS(РД[Дом],M$151,РД[ИМ],$A161,РД[Дата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3">
        <f>COUNTIFS(РД[Дом],N$151,РД[ИМ],$A161,РД[Дата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3">
        <f>COUNTIFS(РД[Дом],O$151,РД[ИМ],$A161,РД[Дата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T161" s="66"/>
    </row>
    <row r="162" spans="1:21" s="65" customFormat="1">
      <c r="A162" s="150" t="s">
        <v>26</v>
      </c>
      <c r="B162" s="267"/>
      <c r="C162" s="146"/>
      <c r="D162" s="205">
        <f>SUMIFS(Март2551[м2],Март2551[ИМ],A162,Март2551[Комнатность],"Офис")</f>
        <v>0</v>
      </c>
      <c r="E162" s="206">
        <f>SUMIFS(Март2551[Сумма без отделки],Март2551[ИМ],$A162,Март2551[Комнатность],"оФИС")</f>
        <v>0</v>
      </c>
      <c r="F162" s="207">
        <f>COUNTIFS(Март2551[ИМ],$A162,Март2551[Комнатность],"Офис")</f>
        <v>0</v>
      </c>
      <c r="G162" s="187">
        <f>SUMIFS(РД[S],РД[ИМ],A162,РД[Дата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H162" s="188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47">
        <f>COUNTIFS(РД[ИМ],A162,РД[Дата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48" t="str">
        <f t="shared" si="28"/>
        <v/>
      </c>
      <c r="K162" s="259" t="str">
        <f t="shared" si="28"/>
        <v/>
      </c>
      <c r="L162" s="148">
        <f>COUNTIFS(РД[Дом],L$151,РД[ИМ],$A162,РД[Дата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0">
        <f>COUNTIFS(РД[Дом],M$151,РД[ИМ],$A162,РД[Дата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3">
        <f>COUNTIFS(РД[Дом],N$151,РД[ИМ],$A162,РД[Дата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3">
        <f>COUNTIFS(РД[Дом],O$151,РД[ИМ],$A162,РД[Дата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T162" s="66"/>
    </row>
    <row r="163" spans="1:21" s="65" customFormat="1">
      <c r="A163" s="189" t="s">
        <v>3</v>
      </c>
      <c r="B163" s="293"/>
      <c r="C163" s="294"/>
      <c r="D163" s="208">
        <f>SUMIFS(Март2551[м2],Март2551[ИМ],A163,Март2551[Комнатность],"Офис")</f>
        <v>0</v>
      </c>
      <c r="E163" s="209">
        <f>SUMIFS(Март2551[Сумма без отделки],Март2551[ИМ],$A163,Март2551[Комнатность],"оФИС")</f>
        <v>0</v>
      </c>
      <c r="F163" s="210">
        <f>COUNTIFS(Март2551[ИМ],$A163,Март2551[Комнатность],"Офис")</f>
        <v>0</v>
      </c>
      <c r="G163" s="195">
        <f>SUMIFS(РД[S],РД[ИМ],A163,РД[Дата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96">
        <f>SUMIFS(РД[Стоимость без отделки итог],РД[ИМ],A163,РД[Дата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51">
        <f>COUNTIFS(РД[ИМ],A163,РД[Дата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52" t="str">
        <f t="shared" si="28"/>
        <v/>
      </c>
      <c r="K163" s="260" t="str">
        <f t="shared" si="28"/>
        <v/>
      </c>
      <c r="L163" s="202">
        <f>COUNTIFS(РД[Дом],L$151,РД[ИМ],$A163,РД[Дата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6">
        <f>COUNTIFS(РД[Дом],M$151,РД[ИМ],$A163,РД[Дата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7">
        <f>COUNTIFS(РД[Дом],N$151,РД[ИМ],$A163,РД[Дата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7">
        <f>COUNTIFS(РД[Дом],O$151,РД[ИМ],$A163,РД[Дата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T163" s="66"/>
    </row>
    <row r="164" spans="1:21" s="65" customFormat="1">
      <c r="A164" s="168" t="s">
        <v>114</v>
      </c>
      <c r="B164" s="282">
        <f>SUM(B161:B163)</f>
        <v>0</v>
      </c>
      <c r="C164" s="283">
        <f>SUM(C161:C163)</f>
        <v>0</v>
      </c>
      <c r="D164" s="284">
        <f t="shared" ref="D164:I164" si="29">SUM(D161:D163)</f>
        <v>0</v>
      </c>
      <c r="E164" s="285">
        <f t="shared" si="29"/>
        <v>0</v>
      </c>
      <c r="F164" s="286">
        <f t="shared" si="29"/>
        <v>0</v>
      </c>
      <c r="G164" s="282">
        <f t="shared" si="29"/>
        <v>0</v>
      </c>
      <c r="H164" s="287">
        <f t="shared" si="29"/>
        <v>0</v>
      </c>
      <c r="I164" s="287">
        <f t="shared" si="29"/>
        <v>0</v>
      </c>
      <c r="J164" s="238" t="str">
        <f t="shared" si="28"/>
        <v/>
      </c>
      <c r="K164" s="338" t="str">
        <f t="shared" si="28"/>
        <v/>
      </c>
      <c r="L164" s="318">
        <f>SUM(L161:L163)</f>
        <v>0</v>
      </c>
      <c r="M164" s="321">
        <f>SUM(M161:M163)</f>
        <v>0</v>
      </c>
      <c r="N164" s="319">
        <f>SUM(N161:N163)</f>
        <v>0</v>
      </c>
      <c r="O164" s="319">
        <f>SUM(O161:O163)</f>
        <v>0</v>
      </c>
      <c r="T164" s="66"/>
    </row>
    <row r="165" spans="1:21" s="65" customFormat="1">
      <c r="A165" s="134"/>
      <c r="B165" s="44"/>
      <c r="C165" s="44"/>
      <c r="D165" s="134"/>
      <c r="E165" s="134"/>
      <c r="F165" s="44"/>
      <c r="G165" s="134"/>
      <c r="H165" s="134"/>
      <c r="I165" s="134"/>
      <c r="J165" s="134"/>
      <c r="K165" s="255"/>
      <c r="L165" s="256"/>
      <c r="M165" s="134"/>
      <c r="N165" s="134"/>
      <c r="O165" s="134"/>
      <c r="P165" s="134"/>
      <c r="Q165" s="72"/>
      <c r="U165" s="66"/>
    </row>
    <row r="166" spans="1:21" s="65" customFormat="1" ht="15">
      <c r="A166" s="2402" t="s">
        <v>945</v>
      </c>
      <c r="B166" s="2403"/>
      <c r="C166" s="2403"/>
      <c r="D166" s="2403"/>
      <c r="E166" s="2403"/>
      <c r="F166" s="2403"/>
      <c r="G166" s="2403"/>
      <c r="H166" s="2403"/>
      <c r="I166" s="2403"/>
      <c r="J166" s="2403"/>
      <c r="K166" s="2403"/>
      <c r="L166" s="2403"/>
      <c r="M166" s="2404"/>
      <c r="N166" s="339"/>
      <c r="O166" s="339"/>
      <c r="P166" s="86"/>
      <c r="T166" s="66"/>
    </row>
    <row r="167" spans="1:21" s="65" customFormat="1">
      <c r="A167" s="135" t="s">
        <v>1</v>
      </c>
      <c r="B167" s="135" t="s">
        <v>101</v>
      </c>
      <c r="C167" s="136" t="s">
        <v>98</v>
      </c>
      <c r="D167" s="295" t="s">
        <v>494</v>
      </c>
      <c r="E167" s="138" t="s">
        <v>495</v>
      </c>
      <c r="F167" s="296" t="s">
        <v>496</v>
      </c>
      <c r="G167" s="140" t="s">
        <v>101</v>
      </c>
      <c r="H167" s="141" t="s">
        <v>98</v>
      </c>
      <c r="I167" s="217">
        <v>0</v>
      </c>
      <c r="J167" s="218">
        <v>1</v>
      </c>
      <c r="K167" s="340">
        <v>2</v>
      </c>
      <c r="L167" s="218">
        <v>3</v>
      </c>
      <c r="M167" s="219" t="s">
        <v>1367</v>
      </c>
      <c r="N167" s="339"/>
      <c r="O167" s="339"/>
      <c r="P167" s="86"/>
      <c r="T167" s="66"/>
    </row>
    <row r="168" spans="1:21" s="65" customFormat="1">
      <c r="A168" s="142" t="s">
        <v>28</v>
      </c>
      <c r="B168" s="297">
        <f>SUMIFS(РД[S],РД[МОП],A168,РД[Дата подачи на регистрацию],"&lt;="&amp;$A$1,РД[Дата подачи на регистрацию],"&gt;="&amp;DATE(YEAR($A$1),MONTH($A$1),1),РД[Источник рекламы],"Н -*")</f>
        <v>37.01</v>
      </c>
      <c r="C168" s="298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</f>
        <v>4673363</v>
      </c>
      <c r="D168" s="299">
        <f>SUMIFS(Март2551[м2],Март2551[КТУ],$A168,Март2551[МОП],"АН -*")</f>
        <v>38.520000000000003</v>
      </c>
      <c r="E168" s="300">
        <f>SUMIFS(Март2551[Сумма без отделки],Март2551[КТУ],$A168,Март2551[МОП],"АН -*")</f>
        <v>4658263</v>
      </c>
      <c r="F168" s="301">
        <f>COUNTIFS(Март2551[КТУ],$A168,Март2551[МОП],"АН -*")</f>
        <v>1</v>
      </c>
      <c r="G168" s="271">
        <f>SUMIFS(РД[S],РД[МОП],A168,РД[Дата подачи на регистрацию],"&lt;="&amp;$A$1,РД[Дата подачи на регистрацию],"&gt;="&amp;DATE(YEAR($A$1),MONTH($A$1),1),РД[Источник рекламы],"Н -*")</f>
        <v>37.01</v>
      </c>
      <c r="H168" s="272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</f>
        <v>4673363</v>
      </c>
      <c r="I168" s="257">
        <f>COUNTIFS(РД[Тип кв],I$167,РД[МОП],$A168,РД[Дата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J168" s="226">
        <f>COUNTIFS(РД[Тип кв],J$167,РД[МОП],$A168,РД[Дата подачи на регистрацию],"&lt;="&amp;$A$1,РД[Дата подачи на регистрацию],"&gt;="&amp;DATE(YEAR($A$1),MONTH($A$1),1),РД[Источник рекламы],"Н -*")</f>
        <v>1</v>
      </c>
      <c r="K168" s="226">
        <f>COUNTIFS(РД[Тип кв],K$167,РД[МОП],$A168,РД[Дата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L168" s="226">
        <f>COUNTIFS(РД[Тип кв],L$167,РД[МОП],$A168,РД[Дата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M168" s="227">
        <f>COUNTIFS(РД[Тип кв],M$167,РД[МОП],$A168,РД[Дата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N168" s="339"/>
      <c r="O168" s="339"/>
      <c r="P168" s="86"/>
      <c r="T168" s="66"/>
    </row>
    <row r="169" spans="1:21" s="65" customFormat="1">
      <c r="A169" s="142" t="s">
        <v>8</v>
      </c>
      <c r="B169" s="297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78.16</v>
      </c>
      <c r="C169" s="298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8407700</v>
      </c>
      <c r="D169" s="299">
        <f>SUMIFS(Март2551[м2],Март2551[КТУ],$A169,Март2551[МОП],"АН -*")</f>
        <v>0</v>
      </c>
      <c r="E169" s="300">
        <f>SUMIFS(Март2551[Сумма без отделки],Март2551[КТУ],$A169,Март2551[МОП],"АН -*")</f>
        <v>0</v>
      </c>
      <c r="F169" s="301">
        <f>COUNTIFS(Март2551[КТУ],$A169,Март2551[МОП],"АН -*")</f>
        <v>0</v>
      </c>
      <c r="G169" s="271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78.16</v>
      </c>
      <c r="H169" s="272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8407700</v>
      </c>
      <c r="I169" s="257">
        <f>COUNTIFS(РД[Тип кв],I$167,РД[МОП],$A169,РД[Дата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J169" s="226">
        <f>COUNTIFS(РД[Тип кв],J$167,РД[МОП],$A169,РД[Дата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K169" s="226">
        <f>COUNTIFS(РД[Тип кв],K$167,РД[МОП],$A169,РД[Дата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L169" s="226">
        <f>COUNTIFS(РД[Тип кв],L$167,РД[МОП],$A169,РД[Дата подачи на регистрацию],"&lt;="&amp;$A$1,РД[Дата подачи на регистрацию],"&gt;="&amp;DATE(YEAR($A$1),MONTH($A$1),1),РД[Источник рекламы],"Н -*")</f>
        <v>1</v>
      </c>
      <c r="M169" s="227">
        <f>COUNTIFS(РД[Тип кв],M$167,РД[МОП],$A169,РД[Дата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50" t="s">
        <v>20</v>
      </c>
      <c r="B170" s="297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C170" s="298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D170" s="299">
        <f>SUMIFS(Март2551[м2],Март2551[КТУ],$A170,Март2551[МОП],"АН -*")</f>
        <v>0</v>
      </c>
      <c r="E170" s="300">
        <f>SUMIFS(Март2551[Сумма без отделки],Март2551[КТУ],$A170,Март2551[МОП],"АН -*")</f>
        <v>0</v>
      </c>
      <c r="F170" s="301">
        <f>COUNTIFS(Март2551[КТУ],$A170,Март2551[МОП],"АН -*")</f>
        <v>0</v>
      </c>
      <c r="G170" s="271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H170" s="272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0</v>
      </c>
      <c r="I170" s="257">
        <f>COUNTIFS(РД[Тип кв],I$167,РД[МОП],$A170,РД[Дата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K170" s="226">
        <f>COUNTIFS(РД[Тип кв],K$167,РД[МОП],$A170,РД[Дата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L170" s="226">
        <f>COUNTIFS(РД[Тип кв],L$167,РД[МОП],$A170,РД[Дата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53" t="s">
        <v>24</v>
      </c>
      <c r="B171" s="297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48.78</v>
      </c>
      <c r="C171" s="298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6761260</v>
      </c>
      <c r="D171" s="299">
        <f>SUMIFS(Март2551[м2],Март2551[КТУ],$A171,Март2551[МОП],"АН -*")</f>
        <v>24.28</v>
      </c>
      <c r="E171" s="300">
        <f>SUMIFS(Март2551[Сумма без отделки],Март2551[КТУ],$A171,Март2551[МОП],"АН -*")</f>
        <v>3442060</v>
      </c>
      <c r="F171" s="301">
        <f>COUNTIFS(Март2551[КТУ],$A171,Март2551[МОП],"АН -*")</f>
        <v>1</v>
      </c>
      <c r="G171" s="271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48.78</v>
      </c>
      <c r="H171" s="272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6761260</v>
      </c>
      <c r="I171" s="257">
        <f>COUNTIFS(РД[Тип кв],I$167,РД[МОП],$A171,РД[Дата подачи на регистрацию],"&lt;="&amp;$A$1,РД[Дата подачи на регистрацию],"&gt;="&amp;DATE(YEAR($A$1),MONTH($A$1),1),РД[Источник рекламы],"Н -*")</f>
        <v>2</v>
      </c>
      <c r="J171" s="226">
        <f>COUNTIFS(РД[Тип кв],J$167,РД[МОП],$A171,РД[Дата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K171" s="226">
        <f>COUNTIFS(РД[Тип кв],K$167,РД[МОП],$A171,РД[Дата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L171" s="226">
        <f>COUNTIFS(РД[Тип кв],L$167,РД[МОП],$A171,РД[Дата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227">
        <f>COUNTIFS(РД[Тип кв],M$167,РД[МОП],$A171,РД[Дата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153" t="s">
        <v>14</v>
      </c>
      <c r="B172" s="313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C172" s="314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D172" s="299">
        <f>SUMIFS(Март2551[м2],Март2551[КТУ],$A172,Март2551[МОП],"АН -*")</f>
        <v>0</v>
      </c>
      <c r="E172" s="300">
        <f>SUMIFS(Март2551[Сумма без отделки],Март2551[КТУ],$A172,Март2551[МОП],"АН -*")</f>
        <v>0</v>
      </c>
      <c r="F172" s="301">
        <f>COUNTIFS(Март2551[КТУ],$A172,Март2551[МОП],"АН -*")</f>
        <v>0</v>
      </c>
      <c r="G172" s="315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H172" s="316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0</v>
      </c>
      <c r="I172" s="329">
        <f>COUNTIFS(РД[Тип кв],I$167,РД[МОП],$A172,РД[Дата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J172" s="330">
        <f>COUNTIFS(РД[Тип кв],J$167,РД[МОП],$A172,РД[Дата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K172" s="330">
        <f>COUNTIFS(РД[Тип кв],K$167,РД[МОП],$A172,РД[Дата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L172" s="330">
        <f>COUNTIFS(РД[Тип кв],L$167,РД[МОП],$A172,РД[Дата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M172" s="331">
        <f>COUNTIFS(РД[Тип кв],M$167,РД[МОП],$A172,РД[Дата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N172" s="339"/>
      <c r="O172" s="339"/>
      <c r="P172" s="86"/>
      <c r="T172" s="66"/>
    </row>
    <row r="173" spans="1:21" s="65" customFormat="1">
      <c r="A173" s="302" t="s">
        <v>29</v>
      </c>
      <c r="B173" s="276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C173" s="303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D173" s="157">
        <f>SUMIFS(Март2551[м2],Март2551[КТУ],$A173,Март2551[МОП],"АН -*")</f>
        <v>0</v>
      </c>
      <c r="E173" s="156">
        <f>SUMIFS(Март2551[Сумма без отделки],Март2551[КТУ],$A173,Март2551[МОП],"АН -*")</f>
        <v>0</v>
      </c>
      <c r="F173" s="158">
        <f>COUNTIFS(Март2551[КТУ],$A173,Март2551[МОП],"АН -*")</f>
        <v>0</v>
      </c>
      <c r="G173" s="274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H173" s="275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I173" s="341">
        <f>COUNTIFS(РД[Тип кв],I$167,РД[МОП],$A173,РД[Дата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J173" s="228">
        <f>COUNTIFS(РД[Тип кв],J$167,РД[МОП],$A173,РД[Дата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K173" s="228">
        <f>COUNTIFS(РД[Тип кв],K$167,РД[МОП],$A173,РД[Дата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L173" s="228">
        <f>COUNTIFS(РД[Тип кв],L$167,РД[МОП],$A173,РД[Дата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M173" s="231">
        <f>COUNTIFS(РД[Тип кв],M$167,РД[МОП],$A173,РД[Дата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N173" s="339"/>
      <c r="O173" s="339"/>
      <c r="P173" s="86"/>
      <c r="T173" s="66"/>
    </row>
    <row r="174" spans="1:21" s="65" customFormat="1">
      <c r="A174" s="304" t="s">
        <v>114</v>
      </c>
      <c r="B174" s="284">
        <f>SUM(B168:B172)</f>
        <v>163.95</v>
      </c>
      <c r="C174" s="305">
        <f t="shared" ref="C174:M174" si="30">SUM(C168:C172)</f>
        <v>19842323</v>
      </c>
      <c r="D174" s="284">
        <f t="shared" si="30"/>
        <v>62.800000000000004</v>
      </c>
      <c r="E174" s="285">
        <f t="shared" si="30"/>
        <v>8100323</v>
      </c>
      <c r="F174" s="286">
        <f t="shared" si="30"/>
        <v>2</v>
      </c>
      <c r="G174" s="282">
        <f t="shared" si="30"/>
        <v>163.95</v>
      </c>
      <c r="H174" s="283">
        <f t="shared" si="30"/>
        <v>19842323</v>
      </c>
      <c r="I174" s="284">
        <f t="shared" si="30"/>
        <v>2</v>
      </c>
      <c r="J174" s="285">
        <f t="shared" si="30"/>
        <v>1</v>
      </c>
      <c r="K174" s="285">
        <f t="shared" si="30"/>
        <v>0</v>
      </c>
      <c r="L174" s="285">
        <f t="shared" si="30"/>
        <v>1</v>
      </c>
      <c r="M174" s="305">
        <f t="shared" si="30"/>
        <v>0</v>
      </c>
      <c r="N174" s="339"/>
      <c r="O174" s="339"/>
      <c r="P174" s="86"/>
      <c r="T174" s="66"/>
    </row>
    <row r="175" spans="1:21" s="65" customFormat="1">
      <c r="A175" s="306" t="s">
        <v>115</v>
      </c>
      <c r="B175" s="307" t="s">
        <v>101</v>
      </c>
      <c r="C175" s="308" t="s">
        <v>98</v>
      </c>
      <c r="D175" s="288" t="s">
        <v>494</v>
      </c>
      <c r="E175" s="289" t="s">
        <v>495</v>
      </c>
      <c r="F175" s="290" t="s">
        <v>496</v>
      </c>
      <c r="G175" s="309" t="s">
        <v>101</v>
      </c>
      <c r="H175" s="310" t="s">
        <v>98</v>
      </c>
      <c r="I175" s="342">
        <v>0</v>
      </c>
      <c r="J175" s="343">
        <v>1</v>
      </c>
      <c r="K175" s="344">
        <v>2</v>
      </c>
      <c r="L175" s="343">
        <v>3</v>
      </c>
      <c r="M175" s="345" t="s">
        <v>1367</v>
      </c>
      <c r="N175" s="339"/>
      <c r="O175" s="339"/>
      <c r="P175" s="86"/>
      <c r="T175" s="66"/>
    </row>
    <row r="176" spans="1:21" s="65" customFormat="1">
      <c r="A176" s="177" t="s">
        <v>22</v>
      </c>
      <c r="B176" s="178">
        <f>SUMIFS(РД[S],РД[ИМ],A176,РД[Дата подачи на регистрацию],"&lt;="&amp;$A$1,РД[Дата подачи на регистрацию],"&gt;="&amp;DATE(YEAR($A$1),MONTH($A$1),1),РД[Источник рекламы],"Н -*")</f>
        <v>24.5</v>
      </c>
      <c r="C176" s="311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</f>
        <v>3319200</v>
      </c>
      <c r="D176" s="180">
        <f>SUMIFS(Март2551[м2],Март2551[ИМ],$A176,Март2551[КТУ],"АН -*")</f>
        <v>0</v>
      </c>
      <c r="E176" s="179">
        <f>SUMIFS(Март2551[Сумма без отделки],Март2551[ИМ],$A176,Март2551[КТУ],"АН -*")</f>
        <v>0</v>
      </c>
      <c r="F176" s="204">
        <f>COUNTIFS(Март2551[ИМ],$A176,Март2551[КТУ],"АН -*")</f>
        <v>0</v>
      </c>
      <c r="G176" s="291">
        <f>SUMIFS(РД[S],РД[ИМ],A176,РД[Дата подачи на регистрацию],"&lt;="&amp;$A$1,РД[Дата подачи на регистрацию],"&gt;="&amp;DATE(YEAR($A$1),MONTH($A$1),1),РД[Источник рекламы],"Н -*")</f>
        <v>24.5</v>
      </c>
      <c r="H176" s="312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</f>
        <v>3319200</v>
      </c>
      <c r="I176" s="346">
        <f>COUNTIFS(РД[Тип кв],I$167,РД[ИМ],$A176,РД[Дата подачи на регистрацию],"&lt;="&amp;$A$1,РД[Дата подачи на регистрацию],"&gt;="&amp;DATE(YEAR($A$1),MONTH($A$1),1),РД[Источник рекламы],"Н -*")</f>
        <v>1</v>
      </c>
      <c r="J176" s="243">
        <f>COUNTIFS(РД[Тип кв],J$167,РД[ИМ],$A176,РД[Дата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43">
        <f>COUNTIFS(РД[Тип кв],K$167,РД[ИМ],$A176,РД[Дата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43">
        <f>COUNTIFS(РД[Тип кв],L$167,РД[ИМ],$A176,РД[Дата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46">
        <f>COUNTIFS(РД[Тип кв],M$167,РД[ИМ],$A176,РД[Дата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N176" s="339"/>
      <c r="O176" s="339"/>
      <c r="P176" s="86"/>
      <c r="T176" s="66"/>
    </row>
    <row r="177" spans="1:21" s="65" customFormat="1">
      <c r="A177" s="150" t="s">
        <v>26</v>
      </c>
      <c r="B177" s="297">
        <f>SUMIFS(РД[S],РД[ИМ],A177,РД[Дата подачи на регистрацию],"&lt;="&amp;$A$1,РД[Дата подачи на регистрацию],"&gt;="&amp;DATE(YEAR($A$1),MONTH($A$1),1),РД[Источник рекламы],"Н -*")</f>
        <v>24.28</v>
      </c>
      <c r="C177" s="298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3442060</v>
      </c>
      <c r="D177" s="199">
        <f>SUMIFS(Март2551[м2],Март2551[ИМ],$A177,Март2551[КТУ],"АН -*")</f>
        <v>0</v>
      </c>
      <c r="E177" s="200">
        <f>SUMIFS(Март2551[Сумма без отделки],Март2551[ИМ],$A177,Март2551[КТУ],"АН -*")</f>
        <v>0</v>
      </c>
      <c r="F177" s="201">
        <f>COUNTIFS(Март2551[ИМ],$A177,Март2551[КТУ],"АН -*")</f>
        <v>0</v>
      </c>
      <c r="G177" s="271">
        <f>SUMIFS(РД[S],РД[ИМ],A177,РД[Дата подачи на регистрацию],"&lt;="&amp;$A$1,РД[Дата подачи на регистрацию],"&gt;="&amp;DATE(YEAR($A$1),MONTH($A$1),1),РД[Источник рекламы],"Н -*")</f>
        <v>24.28</v>
      </c>
      <c r="H177" s="272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3442060</v>
      </c>
      <c r="I177" s="257">
        <f>COUNTIFS(РД[Тип кв],I$167,РД[ИМ],$A177,РД[Дата подачи на регистрацию],"&lt;="&amp;$A$1,РД[Дата подачи на регистрацию],"&gt;="&amp;DATE(YEAR($A$1),MONTH($A$1),1),РД[Источник рекламы],"Н -*")</f>
        <v>1</v>
      </c>
      <c r="J177" s="226">
        <f>COUNTIFS(РД[Тип кв],J$167,РД[ИМ],$A177,РД[Дата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26">
        <f>COUNTIFS(РД[Тип кв],K$167,РД[ИМ],$A177,РД[Дата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L177" s="226">
        <f>COUNTIFS(РД[Тип кв],L$167,РД[ИМ],$A177,РД[Дата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7">
        <f>COUNTIFS(РД[Тип кв],M$167,РД[ИМ],$A177,РД[Дата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89" t="s">
        <v>3</v>
      </c>
      <c r="B178" s="313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C178" s="314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D178" s="299">
        <f>SUMIFS(Март2551[м2],Март2551[ИМ],$A178,Март2551[КТУ],"АН -*")</f>
        <v>0</v>
      </c>
      <c r="E178" s="300">
        <f>SUMIFS(Март2551[Сумма без отделки],Март2551[ИМ],$A178,Март2551[КТУ],"АН -*")</f>
        <v>0</v>
      </c>
      <c r="F178" s="301">
        <f>COUNTIFS(Март2551[ИМ],$A178,Март2551[КТУ],"АН -*")</f>
        <v>0</v>
      </c>
      <c r="G178" s="315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H178" s="316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I178" s="329">
        <f>COUNTIFS(РД[Тип кв],I$167,РД[ИМ],$A178,РД[Дата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330">
        <f>COUNTIFS(РД[Тип кв],J$167,РД[ИМ],$A178,РД[Дата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330">
        <f>COUNTIFS(РД[Тип кв],K$167,РД[ИМ],$A178,РД[Дата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330">
        <f>COUNTIFS(РД[Тип кв],L$167,РД[ИМ],$A178,РД[Дата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331">
        <f>COUNTIFS(РД[Тип кв],M$167,РД[ИМ],$A178,РД[Дата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317" t="s">
        <v>114</v>
      </c>
      <c r="B179" s="318">
        <f>SUM(B176:B178)</f>
        <v>48.78</v>
      </c>
      <c r="C179" s="319">
        <f t="shared" ref="C179:M179" si="31">SUM(C176:C178)</f>
        <v>6761260</v>
      </c>
      <c r="D179" s="320">
        <f t="shared" si="31"/>
        <v>0</v>
      </c>
      <c r="E179" s="321">
        <f t="shared" si="31"/>
        <v>0</v>
      </c>
      <c r="F179" s="322">
        <f t="shared" si="31"/>
        <v>0</v>
      </c>
      <c r="G179" s="323">
        <f t="shared" si="31"/>
        <v>48.78</v>
      </c>
      <c r="H179" s="324">
        <f t="shared" si="31"/>
        <v>6761260</v>
      </c>
      <c r="I179" s="318">
        <f t="shared" si="31"/>
        <v>2</v>
      </c>
      <c r="J179" s="321">
        <f t="shared" si="31"/>
        <v>0</v>
      </c>
      <c r="K179" s="321">
        <f t="shared" si="31"/>
        <v>0</v>
      </c>
      <c r="L179" s="321">
        <f t="shared" si="31"/>
        <v>0</v>
      </c>
      <c r="M179" s="319">
        <f t="shared" si="31"/>
        <v>0</v>
      </c>
      <c r="N179" s="339"/>
      <c r="O179" s="339"/>
      <c r="P179" s="86"/>
      <c r="T179" s="66"/>
    </row>
    <row r="180" spans="1:21" s="65" customFormat="1">
      <c r="Q180" s="86"/>
      <c r="U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86"/>
      <c r="R216" s="65"/>
      <c r="S216" s="65"/>
    </row>
    <row r="217" spans="1:2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R304" s="66"/>
      <c r="S304" s="66"/>
      <c r="U304" s="66"/>
    </row>
    <row r="305" spans="17:21" s="65" customFormat="1">
      <c r="Q305" s="86"/>
      <c r="R305" s="66"/>
      <c r="S305" s="66"/>
      <c r="U305" s="66"/>
    </row>
    <row r="306" spans="17:21" s="65" customFormat="1">
      <c r="Q306" s="86"/>
      <c r="R306" s="66"/>
      <c r="S306" s="66"/>
      <c r="U306" s="66"/>
    </row>
    <row r="307" spans="17:21" s="65" customFormat="1">
      <c r="Q307" s="86"/>
      <c r="R307" s="66"/>
      <c r="S307" s="66"/>
      <c r="U307" s="66"/>
    </row>
  </sheetData>
  <sheetProtection algorithmName="SHA-512" hashValue="A448k6FQveWiNoohQqHqBBtlma2wV/2PkR2AqAb2deZG0kUTWj22dM7x/tqFeAlZrOdLUKhScc0RQVQohv7zMw==" saltValue="zEqUEPFUOlIGvfM8vzowrw==" spinCount="100000" sheet="1" formatCells="0" formatColumns="0" formatRows="0" sort="0" autoFilter="0" pivotTables="0"/>
  <mergeCells count="8">
    <mergeCell ref="A134:B134"/>
    <mergeCell ref="A150:O150"/>
    <mergeCell ref="A166:M166"/>
    <mergeCell ref="A1:U1"/>
    <mergeCell ref="A70:B70"/>
    <mergeCell ref="A86:B86"/>
    <mergeCell ref="A102:B102"/>
    <mergeCell ref="A118:B118"/>
  </mergeCells>
  <pageMargins left="0.25" right="0.25" top="0.75" bottom="0.75" header="0.3" footer="0.3"/>
  <pageSetup paperSize="9" scale="30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C00-000000000000}">
          <x14:formula1>
            <xm:f>Списки!$C$2:$C$27</xm:f>
          </x14:formula1>
          <xm:sqref>U9 K4:K21 K23:K26 K28:K64 T28:U64 T4:U8 T10:U26</xm:sqref>
        </x14:dataValidation>
        <x14:dataValidation type="list" allowBlank="1" showInputMessage="1" showErrorMessage="1" xr:uid="{00000000-0002-0000-3C00-000001000000}">
          <x14:formula1>
            <xm:f>Списки!$F$2:$F$3</xm:f>
          </x14:formula1>
          <xm:sqref>V67 X67 P4:P21 P23:P26 P28:P64</xm:sqref>
        </x14:dataValidation>
        <x14:dataValidation type="list" allowBlank="1" showInputMessage="1" showErrorMessage="1" xr:uid="{00000000-0002-0000-3C00-000002000000}">
          <x14:formula1>
            <xm:f>Списки!$H$2</xm:f>
          </x14:formula1>
          <xm:sqref>B4:B64</xm:sqref>
        </x14:dataValidation>
        <x14:dataValidation type="list" allowBlank="1" showInputMessage="1" showErrorMessage="1" xr:uid="{00000000-0002-0000-3C00-000003000000}">
          <x14:formula1>
            <xm:f>Списки!$B$2:$B$10</xm:f>
          </x14:formula1>
          <xm:sqref>D4:D64</xm:sqref>
        </x14:dataValidation>
        <x14:dataValidation type="list" allowBlank="1" showInputMessage="1" showErrorMessage="1" xr:uid="{00000000-0002-0000-3C00-000004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C00-000005000000}">
          <x14:formula1>
            <xm:f>Списки!$D$2:$D$7</xm:f>
          </x14:formula1>
          <xm:sqref>H4:H21 H23:H26 H28:H64</xm:sqref>
        </x14:dataValidation>
        <x14:dataValidation type="list" allowBlank="1" showInputMessage="1" showErrorMessage="1" xr:uid="{00000000-0002-0000-3C00-000006000000}">
          <x14:formula1>
            <xm:f>Списки!$E$2:$E$7</xm:f>
          </x14:formula1>
          <xm:sqref>L4:L21 L23:L64</xm:sqref>
        </x14:dataValidation>
        <x14:dataValidation type="list" allowBlank="1" showInputMessage="1" showErrorMessage="1" xr:uid="{00000000-0002-0000-3C00-000007000000}">
          <x14:formula1>
            <xm:f>Списки!$G$2:$G$3</xm:f>
          </x14:formula1>
          <xm:sqref>L67:L68 N4:N21 N23:N26 N28:N64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AF307"/>
  <sheetViews>
    <sheetView view="pageBreakPreview" zoomScaleNormal="85" workbookViewId="0">
      <pane ySplit="3" topLeftCell="A4" activePane="bottomLeft" state="frozen"/>
      <selection pane="bottomLeft" activeCell="M30" sqref="M30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66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45808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>
      <c r="A2" s="67"/>
      <c r="B2" s="67"/>
      <c r="C2" s="68">
        <f>SUBTOTAL(3,Март255152[заявка №])</f>
        <v>20</v>
      </c>
      <c r="D2" s="67"/>
      <c r="E2" s="67"/>
      <c r="F2" s="67"/>
      <c r="G2" s="69">
        <f>SUBTOTAL(9,Март255152[м2])</f>
        <v>1159.1599999999999</v>
      </c>
      <c r="H2" s="67"/>
      <c r="I2" s="67"/>
      <c r="J2" s="69">
        <f>SUBTOTAL(9,Март255152[сумма])</f>
        <v>147248333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SUBTOTAL(9,Март255152[Сумма без отделки])</f>
        <v>142666333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90" t="s">
        <v>2036</v>
      </c>
      <c r="J3" s="70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61" customFormat="1">
      <c r="A4" s="62">
        <v>1</v>
      </c>
      <c r="B4" s="62" t="s">
        <v>6</v>
      </c>
      <c r="C4" s="75">
        <v>42683</v>
      </c>
      <c r="D4" s="62" t="s">
        <v>13</v>
      </c>
      <c r="E4" s="75">
        <v>10</v>
      </c>
      <c r="F4" s="62">
        <v>1</v>
      </c>
      <c r="G4" s="62">
        <v>58.39</v>
      </c>
      <c r="H4" s="62" t="s">
        <v>9</v>
      </c>
      <c r="I4" s="62"/>
      <c r="J4" s="351">
        <v>6202580</v>
      </c>
      <c r="K4" s="117" t="s">
        <v>43</v>
      </c>
      <c r="L4" s="62" t="s">
        <v>26</v>
      </c>
      <c r="M4" s="62" t="s">
        <v>583</v>
      </c>
      <c r="N4" s="62" t="s">
        <v>18</v>
      </c>
      <c r="O4" s="92">
        <v>45782</v>
      </c>
      <c r="P4" s="62"/>
      <c r="Q4" s="120" t="s">
        <v>2427</v>
      </c>
      <c r="R4" s="62"/>
      <c r="S4" s="113"/>
      <c r="T4" s="62" t="s">
        <v>20</v>
      </c>
      <c r="U4" s="62" t="s">
        <v>20</v>
      </c>
      <c r="V4" s="114">
        <f>Март255152[[#This Row],[сумма]]-Март255152[[#This Row],[Цена м2 отделки]]*Март255152[[#This Row],[м2]]</f>
        <v>6202580</v>
      </c>
    </row>
    <row r="5" spans="1:32" s="62" customFormat="1">
      <c r="A5" s="62">
        <v>2</v>
      </c>
      <c r="B5" s="62" t="s">
        <v>6</v>
      </c>
      <c r="C5" s="81">
        <v>42502</v>
      </c>
      <c r="D5" s="62" t="s">
        <v>19</v>
      </c>
      <c r="E5" s="62">
        <v>37</v>
      </c>
      <c r="F5" s="62">
        <v>2</v>
      </c>
      <c r="G5" s="62">
        <v>61.41</v>
      </c>
      <c r="H5" s="62" t="s">
        <v>9</v>
      </c>
      <c r="J5" s="95">
        <v>7584135</v>
      </c>
      <c r="K5" s="62" t="s">
        <v>8</v>
      </c>
      <c r="L5" s="62" t="s">
        <v>26</v>
      </c>
      <c r="M5" s="62" t="s">
        <v>286</v>
      </c>
      <c r="N5" s="62" t="s">
        <v>18</v>
      </c>
      <c r="O5" s="96">
        <v>45783</v>
      </c>
      <c r="Q5" s="120" t="s">
        <v>2429</v>
      </c>
      <c r="T5" s="62" t="s">
        <v>8</v>
      </c>
      <c r="U5" s="62" t="s">
        <v>8</v>
      </c>
      <c r="V5" s="114">
        <f>Март255152[[#This Row],[сумма]]-Март255152[[#This Row],[Цена м2 отделки]]*Март255152[[#This Row],[м2]]</f>
        <v>7584135</v>
      </c>
    </row>
    <row r="6" spans="1:32" s="62" customFormat="1">
      <c r="A6" s="62">
        <v>3</v>
      </c>
      <c r="B6" s="62" t="s">
        <v>6</v>
      </c>
      <c r="C6" s="81">
        <v>42867</v>
      </c>
      <c r="D6" s="62" t="s">
        <v>23</v>
      </c>
      <c r="E6" s="62">
        <v>155</v>
      </c>
      <c r="F6" s="62">
        <v>2</v>
      </c>
      <c r="G6" s="62">
        <v>63.44</v>
      </c>
      <c r="H6" s="62" t="s">
        <v>21</v>
      </c>
      <c r="J6" s="95">
        <v>7760176</v>
      </c>
      <c r="K6" s="62" t="s">
        <v>45</v>
      </c>
      <c r="L6" s="62" t="s">
        <v>26</v>
      </c>
      <c r="M6" s="62" t="s">
        <v>286</v>
      </c>
      <c r="N6" s="62" t="s">
        <v>18</v>
      </c>
      <c r="O6" s="96">
        <v>45790</v>
      </c>
      <c r="Q6" s="120" t="s">
        <v>2430</v>
      </c>
      <c r="T6" s="62" t="s">
        <v>24</v>
      </c>
      <c r="U6" s="62" t="s">
        <v>28</v>
      </c>
      <c r="V6" s="116">
        <f>Март255152[[#This Row],[сумма]]-Март255152[[#This Row],[Цена м2 отделки]]*Март255152[[#This Row],[м2]]</f>
        <v>7760176</v>
      </c>
    </row>
    <row r="7" spans="1:32" s="62" customFormat="1">
      <c r="A7" s="62">
        <v>4</v>
      </c>
      <c r="B7" s="62" t="s">
        <v>6</v>
      </c>
      <c r="C7" s="62">
        <v>41557</v>
      </c>
      <c r="D7" s="62" t="s">
        <v>13</v>
      </c>
      <c r="E7" s="62">
        <v>398</v>
      </c>
      <c r="F7" s="62">
        <v>1</v>
      </c>
      <c r="G7" s="62">
        <v>43.21</v>
      </c>
      <c r="H7" s="62" t="s">
        <v>9</v>
      </c>
      <c r="J7" s="95">
        <v>5459300</v>
      </c>
      <c r="K7" s="62" t="s">
        <v>45</v>
      </c>
      <c r="L7" s="62" t="s">
        <v>22</v>
      </c>
      <c r="M7" s="62" t="s">
        <v>583</v>
      </c>
      <c r="N7" s="62" t="s">
        <v>18</v>
      </c>
      <c r="O7" s="96">
        <v>45792</v>
      </c>
      <c r="Q7" s="62" t="s">
        <v>2431</v>
      </c>
      <c r="T7" s="62" t="s">
        <v>24</v>
      </c>
      <c r="U7" s="62" t="s">
        <v>24</v>
      </c>
      <c r="V7" s="116">
        <f>Март255152[[#This Row],[сумма]]-Март255152[[#This Row],[Цена м2 отделки]]*Март255152[[#This Row],[м2]]</f>
        <v>5459300</v>
      </c>
    </row>
    <row r="8" spans="1:32" s="61" customFormat="1">
      <c r="A8" s="62">
        <v>5</v>
      </c>
      <c r="B8" s="62" t="s">
        <v>6</v>
      </c>
      <c r="C8" s="74">
        <v>42772</v>
      </c>
      <c r="D8" s="62" t="s">
        <v>13</v>
      </c>
      <c r="E8" s="75">
        <v>260</v>
      </c>
      <c r="F8" s="62">
        <v>2</v>
      </c>
      <c r="G8" s="62">
        <v>60.24</v>
      </c>
      <c r="H8" s="76" t="s">
        <v>9</v>
      </c>
      <c r="I8" s="76"/>
      <c r="J8" s="91">
        <v>7033500</v>
      </c>
      <c r="K8" s="62" t="s">
        <v>42</v>
      </c>
      <c r="L8" s="62" t="s">
        <v>26</v>
      </c>
      <c r="M8" s="62" t="s">
        <v>583</v>
      </c>
      <c r="N8" s="62" t="s">
        <v>18</v>
      </c>
      <c r="O8" s="92">
        <v>45793</v>
      </c>
      <c r="P8" s="62"/>
      <c r="Q8" s="112" t="s">
        <v>2432</v>
      </c>
      <c r="R8" s="113"/>
      <c r="S8" s="113"/>
      <c r="T8" s="117" t="s">
        <v>14</v>
      </c>
      <c r="U8" s="62" t="s">
        <v>14</v>
      </c>
      <c r="V8" s="114">
        <f>Март255152[[#This Row],[сумма]]-Март255152[[#This Row],[Цена м2 отделки]]*Март255152[[#This Row],[м2]]</f>
        <v>7033500</v>
      </c>
    </row>
    <row r="9" spans="1:32" s="61" customFormat="1">
      <c r="A9" s="62">
        <v>6</v>
      </c>
      <c r="B9" s="62" t="s">
        <v>6</v>
      </c>
      <c r="C9" s="74">
        <v>42840</v>
      </c>
      <c r="D9" s="62" t="s">
        <v>23</v>
      </c>
      <c r="E9" s="75">
        <v>174</v>
      </c>
      <c r="F9" s="62">
        <v>2</v>
      </c>
      <c r="G9" s="62">
        <v>60.87</v>
      </c>
      <c r="H9" s="117" t="s">
        <v>9</v>
      </c>
      <c r="I9" s="117"/>
      <c r="J9" s="95">
        <v>6991760</v>
      </c>
      <c r="K9" s="117" t="s">
        <v>24</v>
      </c>
      <c r="L9" s="62" t="s">
        <v>22</v>
      </c>
      <c r="M9" s="102" t="s">
        <v>286</v>
      </c>
      <c r="N9" s="62" t="s">
        <v>18</v>
      </c>
      <c r="O9" s="92"/>
      <c r="P9" s="117"/>
      <c r="Q9" s="353" t="s">
        <v>2397</v>
      </c>
      <c r="R9" s="113"/>
      <c r="S9" s="76"/>
      <c r="T9" s="117" t="s">
        <v>24</v>
      </c>
      <c r="U9" s="354" t="s">
        <v>24</v>
      </c>
      <c r="V9" s="114">
        <f>Март255152[[#This Row],[сумма]]-Март255152[[#This Row],[Цена м2 отделки]]*Март255152[[#This Row],[м2]]</f>
        <v>6991760</v>
      </c>
    </row>
    <row r="10" spans="1:32" s="62" customFormat="1">
      <c r="A10" s="62">
        <v>7</v>
      </c>
      <c r="B10" s="62" t="s">
        <v>6</v>
      </c>
      <c r="C10" s="81">
        <v>38711</v>
      </c>
      <c r="D10" s="62" t="s">
        <v>23</v>
      </c>
      <c r="E10" s="62">
        <v>224</v>
      </c>
      <c r="F10" s="62">
        <v>1</v>
      </c>
      <c r="G10" s="62">
        <v>36.64</v>
      </c>
      <c r="H10" s="62" t="s">
        <v>21</v>
      </c>
      <c r="J10" s="95">
        <v>5206228</v>
      </c>
      <c r="K10" s="62" t="s">
        <v>28</v>
      </c>
      <c r="L10" s="62" t="s">
        <v>26</v>
      </c>
      <c r="M10" s="62" t="s">
        <v>286</v>
      </c>
      <c r="N10" s="62" t="s">
        <v>18</v>
      </c>
      <c r="O10" s="96">
        <v>45800</v>
      </c>
      <c r="Q10" s="120" t="s">
        <v>2433</v>
      </c>
      <c r="T10" s="62" t="s">
        <v>28</v>
      </c>
      <c r="U10" s="62" t="s">
        <v>28</v>
      </c>
      <c r="V10" s="114">
        <f>Март255152[[#This Row],[сумма]]-Март255152[[#This Row],[Цена м2 отделки]]*Март255152[[#This Row],[м2]]</f>
        <v>5206228</v>
      </c>
    </row>
    <row r="11" spans="1:32" s="63" customFormat="1">
      <c r="A11" s="62">
        <v>8</v>
      </c>
      <c r="B11" s="82" t="s">
        <v>6</v>
      </c>
      <c r="C11" s="83">
        <v>39185</v>
      </c>
      <c r="D11" s="82" t="s">
        <v>13</v>
      </c>
      <c r="E11" s="83">
        <v>11</v>
      </c>
      <c r="F11" s="82">
        <v>2</v>
      </c>
      <c r="G11" s="82">
        <v>62.17</v>
      </c>
      <c r="H11" s="82" t="s">
        <v>21</v>
      </c>
      <c r="I11" s="82"/>
      <c r="J11" s="100">
        <v>7736477</v>
      </c>
      <c r="K11" s="82" t="s">
        <v>28</v>
      </c>
      <c r="L11" s="82" t="s">
        <v>22</v>
      </c>
      <c r="M11" s="82" t="s">
        <v>583</v>
      </c>
      <c r="N11" s="82" t="s">
        <v>18</v>
      </c>
      <c r="O11" s="101">
        <v>45792</v>
      </c>
      <c r="P11" s="82"/>
      <c r="Q11" s="121" t="s">
        <v>2434</v>
      </c>
      <c r="R11" s="122"/>
      <c r="S11" s="123"/>
      <c r="T11" s="82" t="s">
        <v>28</v>
      </c>
      <c r="U11" s="82" t="s">
        <v>28</v>
      </c>
      <c r="V11" s="124">
        <f>Март255152[[#This Row],[сумма]]-Март255152[[#This Row],[Цена м2 отделки]]*Март255152[[#This Row],[м2]]</f>
        <v>7736477</v>
      </c>
    </row>
    <row r="12" spans="1:32" s="61" customFormat="1">
      <c r="A12" s="62">
        <v>9</v>
      </c>
      <c r="B12" s="62" t="s">
        <v>6</v>
      </c>
      <c r="C12" s="74">
        <v>42764</v>
      </c>
      <c r="D12" s="62" t="s">
        <v>19</v>
      </c>
      <c r="E12" s="75" t="s">
        <v>2435</v>
      </c>
      <c r="F12" s="62"/>
      <c r="G12" s="62">
        <v>58.59</v>
      </c>
      <c r="H12" s="76" t="s">
        <v>9</v>
      </c>
      <c r="I12" s="76"/>
      <c r="J12" s="91">
        <v>8052600</v>
      </c>
      <c r="K12" s="62" t="s">
        <v>28</v>
      </c>
      <c r="L12" s="62" t="s">
        <v>22</v>
      </c>
      <c r="M12" s="62" t="s">
        <v>286</v>
      </c>
      <c r="N12" s="62" t="s">
        <v>18</v>
      </c>
      <c r="O12" s="92">
        <v>45807</v>
      </c>
      <c r="P12" s="62"/>
      <c r="Q12" s="112" t="s">
        <v>2436</v>
      </c>
      <c r="R12" s="113"/>
      <c r="S12" s="113"/>
      <c r="T12" s="62" t="s">
        <v>28</v>
      </c>
      <c r="U12" s="62" t="s">
        <v>28</v>
      </c>
      <c r="V12" s="114">
        <f>Март255152[[#This Row],[сумма]]-Март255152[[#This Row],[Цена м2 отделки]]*Март255152[[#This Row],[м2]]</f>
        <v>8052600</v>
      </c>
    </row>
    <row r="13" spans="1:32" s="61" customFormat="1">
      <c r="A13" s="62">
        <v>10</v>
      </c>
      <c r="B13" s="62" t="s">
        <v>6</v>
      </c>
      <c r="C13" s="74">
        <v>25134</v>
      </c>
      <c r="D13" s="62" t="s">
        <v>13</v>
      </c>
      <c r="E13" s="75">
        <v>123</v>
      </c>
      <c r="F13" s="62">
        <v>3</v>
      </c>
      <c r="G13" s="62">
        <v>84.99</v>
      </c>
      <c r="H13" s="62" t="s">
        <v>9</v>
      </c>
      <c r="I13" s="62"/>
      <c r="J13" s="95">
        <v>8844294</v>
      </c>
      <c r="K13" s="62" t="s">
        <v>24</v>
      </c>
      <c r="L13" s="62" t="s">
        <v>26</v>
      </c>
      <c r="M13" s="62" t="s">
        <v>583</v>
      </c>
      <c r="N13" s="62" t="s">
        <v>18</v>
      </c>
      <c r="O13" s="92">
        <v>45800</v>
      </c>
      <c r="P13" s="62"/>
      <c r="Q13" s="112" t="s">
        <v>2437</v>
      </c>
      <c r="R13" s="113"/>
      <c r="S13" s="113"/>
      <c r="T13" s="62" t="s">
        <v>24</v>
      </c>
      <c r="U13" s="62" t="s">
        <v>24</v>
      </c>
      <c r="V13" s="114">
        <f>Март255152[[#This Row],[сумма]]-Март255152[[#This Row],[Цена м2 отделки]]*Март255152[[#This Row],[м2]]</f>
        <v>8844294</v>
      </c>
      <c r="AF13" s="132"/>
    </row>
    <row r="14" spans="1:32" s="61" customFormat="1">
      <c r="A14" s="62">
        <v>11</v>
      </c>
      <c r="B14" s="62" t="s">
        <v>6</v>
      </c>
      <c r="C14" s="74">
        <v>42632</v>
      </c>
      <c r="D14" s="62" t="s">
        <v>19</v>
      </c>
      <c r="E14" s="75" t="s">
        <v>2438</v>
      </c>
      <c r="F14" s="62"/>
      <c r="G14" s="62">
        <v>71.41</v>
      </c>
      <c r="H14" s="62" t="s">
        <v>9</v>
      </c>
      <c r="I14" s="62"/>
      <c r="J14" s="95">
        <v>9997400</v>
      </c>
      <c r="K14" s="62" t="s">
        <v>8</v>
      </c>
      <c r="L14" s="62" t="s">
        <v>22</v>
      </c>
      <c r="M14" s="62" t="s">
        <v>286</v>
      </c>
      <c r="N14" s="62" t="s">
        <v>18</v>
      </c>
      <c r="O14" s="92">
        <v>45800</v>
      </c>
      <c r="P14" s="62"/>
      <c r="Q14" s="120" t="s">
        <v>2439</v>
      </c>
      <c r="R14" s="113"/>
      <c r="S14" s="113"/>
      <c r="T14" s="62" t="s">
        <v>8</v>
      </c>
      <c r="U14" s="62" t="s">
        <v>14</v>
      </c>
      <c r="V14" s="114">
        <f>Март255152[[#This Row],[сумма]]-Март255152[[#This Row],[Цена м2 отделки]]*Март255152[[#This Row],[м2]]</f>
        <v>9997400</v>
      </c>
    </row>
    <row r="15" spans="1:32" s="64" customFormat="1">
      <c r="A15" s="62">
        <v>12</v>
      </c>
      <c r="B15" s="120" t="s">
        <v>6</v>
      </c>
      <c r="C15" s="347">
        <v>43805</v>
      </c>
      <c r="D15" s="120" t="s">
        <v>19</v>
      </c>
      <c r="E15" s="347" t="s">
        <v>2440</v>
      </c>
      <c r="F15" s="120"/>
      <c r="G15" s="120">
        <v>56.78</v>
      </c>
      <c r="H15" s="120" t="s">
        <v>9</v>
      </c>
      <c r="I15" s="120"/>
      <c r="J15" s="95">
        <v>7949200</v>
      </c>
      <c r="K15" s="120" t="s">
        <v>8</v>
      </c>
      <c r="L15" s="120" t="s">
        <v>26</v>
      </c>
      <c r="M15" s="120" t="s">
        <v>286</v>
      </c>
      <c r="N15" s="120" t="s">
        <v>18</v>
      </c>
      <c r="O15" s="92">
        <v>45800</v>
      </c>
      <c r="P15" s="120"/>
      <c r="Q15" s="120" t="s">
        <v>2439</v>
      </c>
      <c r="R15" s="355"/>
      <c r="S15" s="355"/>
      <c r="T15" s="62" t="s">
        <v>8</v>
      </c>
      <c r="U15" s="62" t="s">
        <v>8</v>
      </c>
      <c r="V15" s="356">
        <f>Март255152[[#This Row],[сумма]]-Март255152[[#This Row],[Цена м2 отделки]]*Март255152[[#This Row],[м2]]</f>
        <v>7949200</v>
      </c>
    </row>
    <row r="16" spans="1:32" s="61" customFormat="1">
      <c r="A16" s="62">
        <v>13</v>
      </c>
      <c r="B16" s="62" t="s">
        <v>6</v>
      </c>
      <c r="C16" s="74">
        <v>43806</v>
      </c>
      <c r="D16" s="62" t="s">
        <v>19</v>
      </c>
      <c r="E16" s="75" t="s">
        <v>2441</v>
      </c>
      <c r="F16" s="62"/>
      <c r="G16" s="62">
        <v>56.67</v>
      </c>
      <c r="H16" s="76" t="s">
        <v>9</v>
      </c>
      <c r="I16" s="76"/>
      <c r="J16" s="91">
        <v>7933800</v>
      </c>
      <c r="K16" s="62" t="s">
        <v>8</v>
      </c>
      <c r="L16" s="62" t="s">
        <v>26</v>
      </c>
      <c r="M16" s="62" t="s">
        <v>286</v>
      </c>
      <c r="N16" s="62" t="s">
        <v>18</v>
      </c>
      <c r="O16" s="92">
        <v>45800</v>
      </c>
      <c r="P16" s="62"/>
      <c r="Q16" s="112" t="s">
        <v>2439</v>
      </c>
      <c r="R16" s="113"/>
      <c r="S16" s="113"/>
      <c r="T16" s="62" t="s">
        <v>8</v>
      </c>
      <c r="U16" s="62" t="s">
        <v>8</v>
      </c>
      <c r="V16" s="114">
        <f>Март255152[[#This Row],[сумма]]-Март255152[[#This Row],[Цена м2 отделки]]*Март255152[[#This Row],[м2]]</f>
        <v>7933800</v>
      </c>
    </row>
    <row r="17" spans="1:22" s="61" customFormat="1">
      <c r="A17" s="65"/>
      <c r="B17" s="65"/>
      <c r="C17" s="78"/>
      <c r="D17" s="65"/>
      <c r="E17" s="79"/>
      <c r="F17" s="65"/>
      <c r="G17" s="65"/>
      <c r="H17" s="86"/>
      <c r="I17" s="86"/>
      <c r="J17" s="104"/>
      <c r="K17" s="65"/>
      <c r="L17" s="65"/>
      <c r="M17" s="65"/>
      <c r="N17" s="65"/>
      <c r="O17" s="98"/>
      <c r="P17" s="65"/>
      <c r="Q17" s="128"/>
      <c r="R17" s="118"/>
      <c r="S17" s="118"/>
      <c r="T17" s="65"/>
      <c r="U17" s="65"/>
      <c r="V17" s="115">
        <f>Март255152[[#This Row],[сумма]]-Март255152[[#This Row],[Цена м2 отделки]]*Март255152[[#This Row],[м2]]</f>
        <v>0</v>
      </c>
    </row>
    <row r="18" spans="1:22" s="61" customFormat="1" ht="18.75" customHeight="1">
      <c r="A18" s="62">
        <v>14</v>
      </c>
      <c r="B18" s="348" t="s">
        <v>6</v>
      </c>
      <c r="C18" s="74">
        <v>42712</v>
      </c>
      <c r="D18" s="62" t="s">
        <v>13</v>
      </c>
      <c r="E18" s="75">
        <v>465</v>
      </c>
      <c r="F18" s="62">
        <v>2</v>
      </c>
      <c r="G18" s="62">
        <v>57.8</v>
      </c>
      <c r="H18" s="62" t="s">
        <v>21</v>
      </c>
      <c r="I18" s="62">
        <v>10000</v>
      </c>
      <c r="J18" s="95">
        <v>7077215</v>
      </c>
      <c r="K18" s="62" t="s">
        <v>14</v>
      </c>
      <c r="L18" s="62" t="s">
        <v>22</v>
      </c>
      <c r="M18" s="62" t="s">
        <v>583</v>
      </c>
      <c r="N18" s="62" t="s">
        <v>18</v>
      </c>
      <c r="O18" s="92">
        <v>45807</v>
      </c>
      <c r="P18" s="62"/>
      <c r="Q18" s="112" t="s">
        <v>2442</v>
      </c>
      <c r="R18" s="113"/>
      <c r="S18" s="62"/>
      <c r="T18" s="62" t="s">
        <v>14</v>
      </c>
      <c r="U18" s="62" t="s">
        <v>24</v>
      </c>
      <c r="V18" s="114">
        <f>Март255152[[#This Row],[сумма]]-Март255152[[#This Row],[Цена м2 отделки]]*Март255152[[#This Row],[м2]]</f>
        <v>6499215</v>
      </c>
    </row>
    <row r="19" spans="1:22" s="61" customFormat="1">
      <c r="A19" s="62">
        <v>15</v>
      </c>
      <c r="B19" s="62" t="s">
        <v>6</v>
      </c>
      <c r="C19" s="74">
        <v>41948</v>
      </c>
      <c r="D19" s="62" t="s">
        <v>23</v>
      </c>
      <c r="E19" s="75">
        <v>217</v>
      </c>
      <c r="F19" s="62">
        <v>1</v>
      </c>
      <c r="G19" s="62">
        <v>44.25</v>
      </c>
      <c r="H19" s="62" t="s">
        <v>9</v>
      </c>
      <c r="I19" s="62"/>
      <c r="J19" s="95">
        <v>5610200</v>
      </c>
      <c r="K19" s="62" t="s">
        <v>24</v>
      </c>
      <c r="L19" s="62" t="s">
        <v>26</v>
      </c>
      <c r="M19" s="62" t="s">
        <v>286</v>
      </c>
      <c r="N19" s="62" t="s">
        <v>18</v>
      </c>
      <c r="O19" s="92"/>
      <c r="P19" s="62"/>
      <c r="Q19" s="112" t="s">
        <v>2443</v>
      </c>
      <c r="R19" s="113"/>
      <c r="S19" s="113"/>
      <c r="T19" s="62" t="s">
        <v>24</v>
      </c>
      <c r="U19" s="62" t="s">
        <v>24</v>
      </c>
      <c r="V19" s="114">
        <f>Март255152[[#This Row],[сумма]]-Март255152[[#This Row],[Цена м2 отделки]]*Март255152[[#This Row],[м2]]</f>
        <v>5610200</v>
      </c>
    </row>
    <row r="20" spans="1:22" s="61" customFormat="1">
      <c r="A20" s="62">
        <v>16</v>
      </c>
      <c r="B20" s="62"/>
      <c r="C20" s="74">
        <v>43561</v>
      </c>
      <c r="D20" s="62" t="s">
        <v>13</v>
      </c>
      <c r="E20" s="75">
        <v>457</v>
      </c>
      <c r="F20" s="62">
        <v>2</v>
      </c>
      <c r="G20" s="62">
        <v>57.8</v>
      </c>
      <c r="H20" s="76" t="s">
        <v>21</v>
      </c>
      <c r="I20" s="76">
        <v>10000</v>
      </c>
      <c r="J20" s="91">
        <v>7287500</v>
      </c>
      <c r="K20" s="62" t="s">
        <v>45</v>
      </c>
      <c r="L20" s="62" t="s">
        <v>26</v>
      </c>
      <c r="M20" s="62" t="s">
        <v>583</v>
      </c>
      <c r="N20" s="62" t="s">
        <v>18</v>
      </c>
      <c r="O20" s="92">
        <v>45804</v>
      </c>
      <c r="P20" s="62"/>
      <c r="Q20" s="112" t="s">
        <v>2444</v>
      </c>
      <c r="R20" s="113"/>
      <c r="S20" s="113"/>
      <c r="T20" s="62" t="s">
        <v>14</v>
      </c>
      <c r="U20" s="62" t="s">
        <v>14</v>
      </c>
      <c r="V20" s="114">
        <f>Март255152[[#This Row],[сумма]]-Март255152[[#This Row],[Цена м2 отделки]]*Март255152[[#This Row],[м2]]</f>
        <v>6709500</v>
      </c>
    </row>
    <row r="21" spans="1:22" s="61" customFormat="1">
      <c r="A21" s="62">
        <v>17</v>
      </c>
      <c r="B21" s="62"/>
      <c r="C21" s="349">
        <v>42484</v>
      </c>
      <c r="D21" s="62" t="s">
        <v>23</v>
      </c>
      <c r="E21" s="62">
        <v>205</v>
      </c>
      <c r="F21" s="349">
        <v>1</v>
      </c>
      <c r="G21" s="62">
        <v>44.25</v>
      </c>
      <c r="H21" s="76" t="s">
        <v>9</v>
      </c>
      <c r="I21" s="348"/>
      <c r="J21" s="91">
        <v>5625200</v>
      </c>
      <c r="K21" s="62" t="s">
        <v>45</v>
      </c>
      <c r="L21" s="62" t="s">
        <v>22</v>
      </c>
      <c r="M21" s="62" t="s">
        <v>286</v>
      </c>
      <c r="N21" s="62" t="s">
        <v>18</v>
      </c>
      <c r="O21" s="92">
        <v>45804</v>
      </c>
      <c r="P21" s="62"/>
      <c r="Q21" s="82" t="s">
        <v>2445</v>
      </c>
      <c r="R21" s="113"/>
      <c r="S21" s="113"/>
      <c r="T21" s="62" t="s">
        <v>14</v>
      </c>
      <c r="U21" s="62" t="s">
        <v>14</v>
      </c>
      <c r="V21" s="114">
        <f>Март255152[[#This Row],[сумма]]-Март255152[[#This Row],[Цена м2 отделки]]*Март255152[[#This Row],[м2]]</f>
        <v>5625200</v>
      </c>
    </row>
    <row r="22" spans="1:22" s="61" customFormat="1" ht="14.25" customHeight="1">
      <c r="A22" s="62">
        <v>18</v>
      </c>
      <c r="B22" s="62"/>
      <c r="C22" s="74">
        <v>43165</v>
      </c>
      <c r="D22" s="62" t="s">
        <v>13</v>
      </c>
      <c r="E22" s="75">
        <v>197</v>
      </c>
      <c r="F22" s="62">
        <v>2</v>
      </c>
      <c r="G22" s="62">
        <v>57.6</v>
      </c>
      <c r="H22" s="76" t="s">
        <v>25</v>
      </c>
      <c r="I22" s="76">
        <v>25000</v>
      </c>
      <c r="J22" s="91">
        <v>8193400</v>
      </c>
      <c r="K22" s="62" t="s">
        <v>14</v>
      </c>
      <c r="L22" s="62" t="s">
        <v>26</v>
      </c>
      <c r="M22" s="62" t="s">
        <v>583</v>
      </c>
      <c r="N22" s="62" t="s">
        <v>18</v>
      </c>
      <c r="O22" s="92">
        <v>45805</v>
      </c>
      <c r="P22" s="62"/>
      <c r="Q22" s="112" t="s">
        <v>2446</v>
      </c>
      <c r="R22" s="113"/>
      <c r="S22" s="113"/>
      <c r="T22" s="62" t="s">
        <v>14</v>
      </c>
      <c r="U22" s="62" t="s">
        <v>14</v>
      </c>
      <c r="V22" s="114">
        <f>Март255152[[#This Row],[сумма]]-Март255152[[#This Row],[Цена м2 отделки]]*Март255152[[#This Row],[м2]]</f>
        <v>6753400</v>
      </c>
    </row>
    <row r="23" spans="1:22" s="61" customFormat="1">
      <c r="A23" s="62">
        <v>19</v>
      </c>
      <c r="B23" s="62"/>
      <c r="C23" s="349">
        <v>42205</v>
      </c>
      <c r="D23" s="62" t="s">
        <v>13</v>
      </c>
      <c r="E23" s="62">
        <v>427</v>
      </c>
      <c r="F23" s="349">
        <v>3</v>
      </c>
      <c r="G23" s="62">
        <v>79.44</v>
      </c>
      <c r="H23" s="117" t="s">
        <v>25</v>
      </c>
      <c r="I23" s="348">
        <v>25000</v>
      </c>
      <c r="J23" s="91">
        <v>10931368</v>
      </c>
      <c r="K23" s="62" t="s">
        <v>14</v>
      </c>
      <c r="L23" s="117" t="s">
        <v>22</v>
      </c>
      <c r="M23" s="117" t="s">
        <v>286</v>
      </c>
      <c r="N23" s="117" t="s">
        <v>18</v>
      </c>
      <c r="O23" s="92">
        <v>45806</v>
      </c>
      <c r="P23" s="117"/>
      <c r="Q23" s="82" t="s">
        <v>2447</v>
      </c>
      <c r="R23" s="113"/>
      <c r="S23" s="113"/>
      <c r="T23" s="62" t="s">
        <v>14</v>
      </c>
      <c r="U23" s="62" t="s">
        <v>14</v>
      </c>
      <c r="V23" s="114">
        <f>Март255152[[#This Row],[сумма]]-Март255152[[#This Row],[Цена м2 отделки]]*Март255152[[#This Row],[м2]]</f>
        <v>8945368</v>
      </c>
    </row>
    <row r="24" spans="1:22" s="61" customFormat="1">
      <c r="A24" s="65"/>
      <c r="B24" s="65"/>
      <c r="C24" s="78"/>
      <c r="D24" s="65"/>
      <c r="E24" s="79"/>
      <c r="F24" s="87"/>
      <c r="G24" s="65"/>
      <c r="H24" s="65"/>
      <c r="I24" s="72"/>
      <c r="J24" s="105"/>
      <c r="K24" s="72"/>
      <c r="L24" s="65"/>
      <c r="M24" s="65"/>
      <c r="N24" s="65"/>
      <c r="O24" s="98"/>
      <c r="P24" s="65"/>
      <c r="Q24" s="128"/>
      <c r="R24" s="118"/>
      <c r="S24" s="118"/>
      <c r="T24" s="65"/>
      <c r="U24" s="65"/>
      <c r="V24" s="115">
        <f>Март255152[[#This Row],[сумма]]-Март255152[[#This Row],[Цена м2 отделки]]*Март255152[[#This Row],[м2]]</f>
        <v>0</v>
      </c>
    </row>
    <row r="25" spans="1:22" s="61" customFormat="1">
      <c r="A25" s="65"/>
      <c r="B25" s="65"/>
      <c r="C25" s="79"/>
      <c r="D25" s="65"/>
      <c r="E25" s="79"/>
      <c r="F25" s="87"/>
      <c r="G25" s="65"/>
      <c r="H25" s="65"/>
      <c r="I25" s="72"/>
      <c r="J25" s="105"/>
      <c r="K25" s="65"/>
      <c r="L25" s="65"/>
      <c r="M25" s="65"/>
      <c r="N25" s="65"/>
      <c r="O25" s="98"/>
      <c r="P25" s="65"/>
      <c r="Q25" s="130"/>
      <c r="R25" s="118"/>
      <c r="S25" s="118"/>
      <c r="T25" s="65"/>
      <c r="U25" s="65"/>
      <c r="V25" s="115">
        <f>Март255152[[#This Row],[сумма]]-Март255152[[#This Row],[Цена м2 отделки]]*Март255152[[#This Row],[м2]]</f>
        <v>0</v>
      </c>
    </row>
    <row r="26" spans="1:22" s="61" customFormat="1">
      <c r="A26" s="62">
        <v>20</v>
      </c>
      <c r="B26" s="62"/>
      <c r="C26" s="350">
        <v>44193</v>
      </c>
      <c r="D26" s="62" t="s">
        <v>13</v>
      </c>
      <c r="E26" s="62">
        <v>542</v>
      </c>
      <c r="F26" s="349">
        <v>1</v>
      </c>
      <c r="G26" s="62">
        <v>43.21</v>
      </c>
      <c r="H26" s="117" t="s">
        <v>9</v>
      </c>
      <c r="I26" s="348"/>
      <c r="J26" s="352">
        <v>5772000</v>
      </c>
      <c r="K26" s="62" t="s">
        <v>24</v>
      </c>
      <c r="L26" s="117" t="s">
        <v>22</v>
      </c>
      <c r="M26" s="117" t="s">
        <v>583</v>
      </c>
      <c r="N26" s="117" t="s">
        <v>18</v>
      </c>
      <c r="O26" s="92">
        <v>45808</v>
      </c>
      <c r="P26" s="117"/>
      <c r="Q26" s="82" t="s">
        <v>2448</v>
      </c>
      <c r="R26" s="113"/>
      <c r="S26" s="113"/>
      <c r="T26" s="62" t="s">
        <v>24</v>
      </c>
      <c r="U26" s="62" t="s">
        <v>24</v>
      </c>
      <c r="V26" s="114">
        <f>Март255152[[#This Row],[сумма]]-Март255152[[#This Row],[Цена м2 отделки]]*Март255152[[#This Row],[м2]]</f>
        <v>5772000</v>
      </c>
    </row>
    <row r="27" spans="1:22" s="61" customFormat="1">
      <c r="A27" s="65"/>
      <c r="B27" s="65"/>
      <c r="C27" s="65"/>
      <c r="D27" s="65"/>
      <c r="E27" s="65"/>
      <c r="F27" s="65"/>
      <c r="G27" s="65"/>
      <c r="H27" s="65"/>
      <c r="I27" s="65"/>
      <c r="J27" s="93"/>
      <c r="K27" s="72"/>
      <c r="L27" s="65"/>
      <c r="M27" s="65"/>
      <c r="N27" s="65"/>
      <c r="O27" s="94"/>
      <c r="P27" s="65"/>
      <c r="Q27" s="65"/>
      <c r="R27" s="66"/>
      <c r="S27" s="66"/>
      <c r="T27" s="65"/>
      <c r="U27" s="65"/>
      <c r="V27" s="115">
        <f>Март255152[[#This Row],[сумма]]-Март255152[[#This Row],[Цена м2 отделки]]*Март255152[[#This Row],[м2]]</f>
        <v>0</v>
      </c>
    </row>
    <row r="28" spans="1:22" s="61" customFormat="1" ht="11.25" customHeight="1">
      <c r="A28" s="65"/>
      <c r="B28" s="65"/>
      <c r="C28" s="65"/>
      <c r="D28" s="65"/>
      <c r="E28" s="65"/>
      <c r="F28" s="65"/>
      <c r="G28" s="65"/>
      <c r="H28" s="65"/>
      <c r="I28" s="65"/>
      <c r="J28" s="93"/>
      <c r="K28" s="65"/>
      <c r="L28" s="65"/>
      <c r="M28" s="65"/>
      <c r="N28" s="65"/>
      <c r="O28" s="98"/>
      <c r="P28" s="80"/>
      <c r="Q28" s="65"/>
      <c r="R28" s="118"/>
      <c r="S28" s="118"/>
      <c r="T28" s="80"/>
      <c r="U28" s="80"/>
      <c r="V28" s="115">
        <f>Март255152[[#This Row],[сумма]]-Март255152[[#This Row],[Цена м2 отделки]]*Март255152[[#This Row],[м2]]</f>
        <v>0</v>
      </c>
    </row>
    <row r="29" spans="1:22" s="61" customFormat="1">
      <c r="A29" s="65"/>
      <c r="B29" s="65"/>
      <c r="C29" s="79"/>
      <c r="D29" s="65"/>
      <c r="E29" s="79"/>
      <c r="F29" s="65"/>
      <c r="G29" s="65"/>
      <c r="H29" s="65"/>
      <c r="I29" s="65"/>
      <c r="J29" s="93"/>
      <c r="K29" s="80"/>
      <c r="L29" s="65"/>
      <c r="M29" s="65"/>
      <c r="N29" s="65"/>
      <c r="O29" s="98"/>
      <c r="P29" s="80"/>
      <c r="Q29" s="65"/>
      <c r="R29" s="86"/>
      <c r="S29" s="86"/>
      <c r="T29" s="80"/>
      <c r="U29" s="80"/>
      <c r="V29" s="115">
        <f>Март255152[[#This Row],[сумма]]-Март255152[[#This Row],[Цена м2 отделки]]*Март255152[[#This Row],[м2]]</f>
        <v>0</v>
      </c>
    </row>
    <row r="30" spans="1:22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93"/>
      <c r="K30" s="80"/>
      <c r="L30" s="65"/>
      <c r="M30" s="65"/>
      <c r="N30" s="65"/>
      <c r="O30" s="98"/>
      <c r="P30" s="80"/>
      <c r="Q30" s="65"/>
      <c r="R30" s="118"/>
      <c r="S30" s="118"/>
      <c r="T30" s="80"/>
      <c r="U30" s="80"/>
      <c r="V30" s="115">
        <f>Март255152[[#This Row],[сумма]]-Март255152[[#This Row],[Цена м2 отделки]]*Март255152[[#This Row],[м2]]</f>
        <v>0</v>
      </c>
    </row>
    <row r="31" spans="1:22" s="61" customFormat="1">
      <c r="A31" s="65"/>
      <c r="B31" s="65"/>
      <c r="C31" s="79"/>
      <c r="D31" s="65"/>
      <c r="E31" s="79"/>
      <c r="F31" s="87"/>
      <c r="G31" s="79"/>
      <c r="H31" s="65"/>
      <c r="I31" s="72"/>
      <c r="J31" s="9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Март255152[[#This Row],[сумма]]-Март255152[[#This Row],[Цена м2 отделки]]*Март255152[[#This Row],[м2]]</f>
        <v>0</v>
      </c>
    </row>
    <row r="32" spans="1:22" s="61" customFormat="1">
      <c r="A32" s="65"/>
      <c r="B32" s="65"/>
      <c r="C32" s="79"/>
      <c r="D32" s="65"/>
      <c r="E32" s="79"/>
      <c r="F32" s="65"/>
      <c r="G32" s="65"/>
      <c r="H32" s="65"/>
      <c r="I32" s="65"/>
      <c r="J32" s="106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Март255152[[#This Row],[сумма]]-Март255152[[#This Row],[Цена м2 отделки]]*Март255152[[#This Row],[м2]]</f>
        <v>0</v>
      </c>
    </row>
    <row r="33" spans="1:22" s="61" customFormat="1">
      <c r="A33" s="65"/>
      <c r="B33" s="65"/>
      <c r="C33" s="78"/>
      <c r="D33" s="65"/>
      <c r="E33" s="79"/>
      <c r="F33" s="65"/>
      <c r="G33" s="65"/>
      <c r="H33" s="65"/>
      <c r="I33" s="65"/>
      <c r="J33" s="9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Март255152[[#This Row],[сумма]]-Март255152[[#This Row],[Цена м2 отделки]]*Март255152[[#This Row],[м2]]</f>
        <v>0</v>
      </c>
    </row>
    <row r="34" spans="1:22" s="61" customFormat="1">
      <c r="A34" s="65"/>
      <c r="B34" s="65"/>
      <c r="C34" s="77"/>
      <c r="D34" s="65"/>
      <c r="E34" s="65"/>
      <c r="F34" s="65"/>
      <c r="G34" s="79"/>
      <c r="H34" s="65"/>
      <c r="I34" s="65"/>
      <c r="J34" s="9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Март255152[[#This Row],[сумма]]-Март255152[[#This Row],[Цена м2 отделки]]*Март255152[[#This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9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Март255152[[#This Row],[сумма]]-Март255152[[#This Row],[Цена м2 отделки]]*Март255152[[#This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9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Март255152[[#This Row],[сумма]]-Март255152[[#This Row],[Цена м2 отделки]]*Март255152[[#This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9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Март255152[[#This Row],[сумма]]-Март255152[[#This Row],[Цена м2 отделки]]*Март255152[[#This Row],[м2]]</f>
        <v>0</v>
      </c>
    </row>
    <row r="38" spans="1:22" s="61" customFormat="1">
      <c r="A38" s="65"/>
      <c r="B38" s="65"/>
      <c r="C38" s="79"/>
      <c r="D38" s="65"/>
      <c r="E38" s="79"/>
      <c r="F38" s="65"/>
      <c r="G38" s="65"/>
      <c r="H38" s="65"/>
      <c r="I38" s="65"/>
      <c r="J38" s="9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Март255152[[#This Row],[сумма]]-Март255152[[#This Row],[Цена м2 отделки]]*Март255152[[#This Row],[м2]]</f>
        <v>0</v>
      </c>
    </row>
    <row r="39" spans="1:22" s="61" customFormat="1">
      <c r="A39" s="65"/>
      <c r="B39" s="65"/>
      <c r="C39" s="78"/>
      <c r="D39" s="65"/>
      <c r="E39" s="79"/>
      <c r="F39" s="65"/>
      <c r="G39" s="65"/>
      <c r="H39" s="65"/>
      <c r="I39" s="65"/>
      <c r="J39" s="9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Март255152[[#This Row],[сумма]]-Март255152[[#This Row],[Цена м2 отделки]]*Март255152[[#This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9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Март255152[[#This Row],[сумма]]-Март255152[[#This Row],[Цена м2 отделки]]*Март255152[[#This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9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Март255152[[#This Row],[сумма]]-Март255152[[#This Row],[Цена м2 отделки]]*Март255152[[#This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9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Март255152[[#This Row],[сумма]]-Март255152[[#This Row],[Цена м2 отделки]]*Март255152[[#This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9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Март255152[[#This Row],[сумма]]-Март255152[[#This Row],[Цена м2 отделки]]*Март255152[[#This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9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Март255152[[#This Row],[сумма]]-Март255152[[#This Row],[Цена м2 отделки]]*Март255152[[#This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9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Март255152[[#This Row],[сумма]]-Март255152[[#This Row],[Цена м2 отделки]]*Март255152[[#This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9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Март255152[[#This Row],[сумма]]-Март255152[[#This Row],[Цена м2 отделки]]*Март255152[[#This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9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Март255152[[#This Row],[сумма]]-Март255152[[#This Row],[Цена м2 отделки]]*Март255152[[#This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9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Март255152[[#This Row],[сумма]]-Март255152[[#This Row],[Цена м2 отделки]]*Март255152[[#This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9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Март255152[[#This Row],[сумма]]-Март255152[[#This Row],[Цена м2 отделки]]*Март255152[[#This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9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Март255152[[#This Row],[сумма]]-Март255152[[#This Row],[Цена м2 отделки]]*Март255152[[#This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9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Март255152[[#This Row],[сумма]]-Март255152[[#This Row],[Цена м2 отделки]]*Март255152[[#This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9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Март255152[[#This Row],[сумма]]-Март255152[[#This Row],[Цена м2 отделки]]*Март255152[[#This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9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Март255152[[#This Row],[сумма]]-Март255152[[#This Row],[Цена м2 отделки]]*Март255152[[#This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9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Март255152[[#This Row],[сумма]]-Март255152[[#This Row],[Цена м2 отделки]]*Март255152[[#This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86"/>
      <c r="I55" s="86"/>
      <c r="J55" s="104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Март255152[[#This Row],[сумма]]-Март255152[[#This Row],[Цена м2 отделки]]*Март255152[[#This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9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Март255152[[#This Row],[сумма]]-Март255152[[#This Row],[Цена м2 отделки]]*Март255152[[#This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9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Март255152[[#This Row],[сумма]]-Март255152[[#This Row],[Цена м2 отделки]]*Март255152[[#This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9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Март255152[[#This Row],[сумма]]-Март255152[[#This Row],[Цена м2 отделки]]*Март255152[[#This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9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Март255152[[#This Row],[сумма]]-Март255152[[#This Row],[Цена м2 отделки]]*Март255152[[#This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9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Март255152[[#This Row],[сумма]]-Март255152[[#This Row],[Цена м2 отделки]]*Март255152[[#This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9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Март255152[[#This Row],[сумма]]-Март255152[[#This Row],[Цена м2 отделки]]*Март255152[[#This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9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Март255152[[#This Row],[сумма]]-Март255152[[#This Row],[Цена м2 отделки]]*Март255152[[#This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9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Март255152[[#This Row],[сумма]]-Март255152[[#This Row],[Цена м2 отделки]]*Март255152[[#This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9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Март255152[[#This Row],[сумма]]-Март255152[[#This Row],[Цена м2 отделки]]*Март255152[[#This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72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65"/>
      <c r="F66" s="65"/>
      <c r="G66" s="65"/>
      <c r="H66" s="65"/>
      <c r="I66" s="65"/>
      <c r="L66" s="65"/>
      <c r="M66" s="65"/>
      <c r="N66" s="98"/>
      <c r="O66" s="65"/>
    </row>
    <row r="67" spans="1:27" s="65" customFormat="1">
      <c r="B67" s="79"/>
      <c r="D67" s="79"/>
      <c r="J67" s="66"/>
      <c r="U67" s="110"/>
      <c r="X67" s="98"/>
      <c r="Y67" s="80"/>
      <c r="AA67" s="86"/>
    </row>
    <row r="68" spans="1:27" s="65" customFormat="1">
      <c r="B68" s="79"/>
      <c r="C68" s="79"/>
      <c r="D68" s="80"/>
      <c r="J68" s="66"/>
      <c r="Y68" s="72"/>
      <c r="Z68" s="86"/>
      <c r="AA68" s="86"/>
    </row>
    <row r="69" spans="1:27" s="65" customFormat="1"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141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142" t="s">
        <v>28</v>
      </c>
      <c r="B72" s="143">
        <f>IFERROR(VLOOKUP(A72,'ИПП 2кв25'!$B$24:$N$35,4,0),"")</f>
        <v>12</v>
      </c>
      <c r="C72" s="144">
        <f>IFERROR(VLOOKUP(A72,'ИПП 2кв25'!$B$24:$N$35,5,0),"")</f>
        <v>1515821</v>
      </c>
      <c r="D72" s="145">
        <f>SUMIFS(Март255152[м2],Март255152[КТУ],$A72,Март255152[№ дома],$C$70,Март255152[Комнатность],"&lt;&gt;Офис")</f>
        <v>0</v>
      </c>
      <c r="E72" s="146">
        <f>SUMIFS(Март255152[Сумма без отделки],Март255152[КТУ],$A72,Март255152[№ дома],$C$70,Март255152[Комнатность],"&lt;&gt;Офис")</f>
        <v>0</v>
      </c>
      <c r="F72" s="147">
        <f>COUNTIFS(Март255152[КТУ],$A72,Март255152[№ дома],$C$70,Март255152[Комнатность],"&lt;&gt;Офис")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1">
        <f t="shared" ref="J72:K79" si="0">IFERROR(G72/B72,"")</f>
        <v>0</v>
      </c>
      <c r="K72" s="222">
        <f t="shared" si="0"/>
        <v>0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142" t="s">
        <v>8</v>
      </c>
      <c r="B73" s="143">
        <f>IFERROR(VLOOKUP(A73,'ИПП 2кв25'!$B$24:$N$35,4,0),"")</f>
        <v>12</v>
      </c>
      <c r="C73" s="144">
        <f>IFERROR(VLOOKUP(A73,'ИПП 2кв25'!$B$24:$N$35,5,0),"")</f>
        <v>1515821</v>
      </c>
      <c r="D73" s="145">
        <f>SUMIFS(Март255152[м2],Март255152[КТУ],$A73,Март255152[№ дома],$C$70,Март255152[Комнатность],"&lt;&gt;Офис")</f>
        <v>0</v>
      </c>
      <c r="E73" s="146">
        <f>SUMIFS(Март255152[Сумма без отделки],Март255152[КТУ],$A73,Март255152[№ дома],$C$70,Март255152[Комнатность],"&lt;&gt;Офис")</f>
        <v>0</v>
      </c>
      <c r="F73" s="147">
        <f>COUNTIFS(Март255152[КТУ],$A73,Март255152[№ дома],$C$70,Март255152[Комнатность],"&lt;&gt;Офис")</f>
        <v>0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1">
        <f t="shared" si="0"/>
        <v>0</v>
      </c>
      <c r="K73" s="222">
        <f t="shared" si="0"/>
        <v>0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0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150" t="s">
        <v>20</v>
      </c>
      <c r="B74" s="143">
        <f>IFERROR(VLOOKUP(A74,'ИПП 2кв25'!$B$24:$N$35,4,0),"")</f>
        <v>12</v>
      </c>
      <c r="C74" s="144">
        <f>IFERROR(VLOOKUP(A74,'ИПП 2кв25'!$B$24:$N$35,5,0),"")</f>
        <v>1515821</v>
      </c>
      <c r="D74" s="151">
        <f>SUMIFS(Март255152[м2],Март255152[КТУ],$A74,Март255152[№ дома],$C$70,Март255152[Комнатность],"&lt;&gt;Офис")</f>
        <v>0</v>
      </c>
      <c r="E74" s="144">
        <f>SUMIFS(Март255152[Сумма без отделки],Март255152[КТУ],$A74,Март255152[№ дома],$C$70,Март255152[Комнатность],"&lt;&gt;Офис")</f>
        <v>0</v>
      </c>
      <c r="F74" s="152">
        <f>COUNTIFS(Март255152[КТУ],$A74,Март255152[№ дома],$C$70,Март255152[Комнатность],"&lt;&gt;Офис")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1">
        <f t="shared" si="0"/>
        <v>0</v>
      </c>
      <c r="K74" s="222">
        <f t="shared" si="0"/>
        <v>0</v>
      </c>
      <c r="L74" s="148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0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0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0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3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153" t="s">
        <v>24</v>
      </c>
      <c r="B75" s="143">
        <f>IFERROR(VLOOKUP(A75,'ИПП 2кв25'!$B$24:$N$35,4,0),"")</f>
        <v>12</v>
      </c>
      <c r="C75" s="144">
        <f>IFERROR(VLOOKUP(A75,'ИПП 2кв25'!$B$24:$N$35,5,0),"")</f>
        <v>1515821</v>
      </c>
      <c r="D75" s="151">
        <f>SUMIFS(Март255152[м2],Март255152[КТУ],$A75,Март255152[№ дома],$C$70,Март255152[Комнатность],"&lt;&gt;Офис")</f>
        <v>0</v>
      </c>
      <c r="E75" s="144">
        <f>SUMIFS(Март255152[Сумма без отделки],Март255152[КТУ],$A75,Март255152[№ дома],$C$70,Март255152[Комнатность],"&lt;&gt;Офис")</f>
        <v>0</v>
      </c>
      <c r="F75" s="152">
        <f>COUNTIFS(Март255152[КТУ],$A75,Март255152[№ дома],$C$70,Март255152[Комнатность],"&lt;&gt;Офис")</f>
        <v>0</v>
      </c>
      <c r="G75" s="148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24">
        <f t="shared" si="0"/>
        <v>0</v>
      </c>
      <c r="K75" s="225">
        <f t="shared" si="0"/>
        <v>0</v>
      </c>
      <c r="L75" s="202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226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226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226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227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153" t="s">
        <v>14</v>
      </c>
      <c r="B76" s="143">
        <f>IFERROR(VLOOKUP(A76,'ИПП 2кв25'!$B$24:$N$35,4,0),"")</f>
        <v>12</v>
      </c>
      <c r="C76" s="144">
        <f>IFERROR(VLOOKUP(A76,'ИПП 2кв25'!$B$24:$N$35,5,0),"")</f>
        <v>1515821</v>
      </c>
      <c r="D76" s="205">
        <f>SUMIFS(Март255152[м2],Март255152[КТУ],$A76,Март255152[№ дома],$C$70,Март255152[Комнатность],"&lt;&gt;Офис")</f>
        <v>0</v>
      </c>
      <c r="E76" s="357">
        <f>SUMIFS(Март255152[Сумма без отделки],Март255152[КТУ],$A76,Март255152[№ дома],$C$70,Март255152[Комнатность],"&lt;&gt;Офис")</f>
        <v>0</v>
      </c>
      <c r="F76" s="207">
        <f>COUNTIFS(Март255152[КТУ],$A76,Март255152[№ дома],$C$70,Март255152[Комнатность],"&lt;&gt;Офис")</f>
        <v>0</v>
      </c>
      <c r="G76" s="187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88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47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360">
        <f t="shared" si="0"/>
        <v>0</v>
      </c>
      <c r="K76" s="361">
        <f t="shared" si="0"/>
        <v>0</v>
      </c>
      <c r="L76" s="358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330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330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330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331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154" t="s">
        <v>29</v>
      </c>
      <c r="B77" s="155"/>
      <c r="C77" s="156"/>
      <c r="D77" s="157">
        <f>SUMIFS(Март255152[м2],Март255152[КТУ],$A77,Март255152[№ дома],$C$70,Март255152[Комнатность],"&lt;&gt;Офис")</f>
        <v>0</v>
      </c>
      <c r="E77" s="156">
        <f>SUMIFS(Март255152[Сумма без отделки],Март255152[КТУ],$A77,Март255152[№ дома],$C$70,Март255152[Комнатность],"&lt;&gt;Офис")</f>
        <v>0</v>
      </c>
      <c r="F77" s="158">
        <f>COUNTIFS(Март255152[КТУ],$A77,Март255152[№ дома],$C$70,Март255152[Комнатность],"&lt;&gt;Офис")</f>
        <v>0</v>
      </c>
      <c r="G77" s="159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60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28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29" t="str">
        <f t="shared" si="0"/>
        <v/>
      </c>
      <c r="K77" s="230" t="str">
        <f t="shared" si="0"/>
        <v/>
      </c>
      <c r="L77" s="159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28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28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28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31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161" t="s">
        <v>1919</v>
      </c>
      <c r="B78" s="162"/>
      <c r="C78" s="163"/>
      <c r="D78" s="164">
        <f>SUMIFS(Март255152[м2],Март255152[МОП],$A78,Март255152[№ дома],$C$70,Март255152[Комнатность],"&lt;&gt;Офис")</f>
        <v>0</v>
      </c>
      <c r="E78" s="163">
        <f>SUMIFS(Март255152[Сумма без отделки],Март255152[МОП],$A78,Март255152[№ дома],$C$70,Март255152[Комнатность],"&lt;&gt;Офис")</f>
        <v>0</v>
      </c>
      <c r="F78" s="165">
        <f>COUNTIFS(Март255152[МОП],$A78,Март255152[№ дома],$C$70,Март255152[Комнатность],"&lt;&gt;Офис")</f>
        <v>0</v>
      </c>
      <c r="G78" s="166">
        <f>SUMIFS(РД[S],РД[Дом],$C$70,РД[МОП],A78,РД[Дата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7">
        <f>SUMIFS(РД[Стоимость без отделки итог],РД[Дом],$C$70,РД[МОП],A78,РД[Дата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32">
        <f>COUNTIFS(РД[Дом],$C$70,РД[МОП],A78,РД[Дата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33" t="str">
        <f t="shared" si="0"/>
        <v/>
      </c>
      <c r="K78" s="234" t="str">
        <f t="shared" si="0"/>
        <v/>
      </c>
      <c r="L78" s="235">
        <f>COUNTIFS(РД[Тип кв],L$71,РД[МОП],$A78,РД[Дом],$C$70,РД[Дата подачи на регистрацию],"&lt;="&amp;$A$1,РД[Дата подачи на регистрацию],"&gt;="&amp;DATE(YEAR($A$1),MONTH($A$1),1))</f>
        <v>0</v>
      </c>
      <c r="M78" s="236">
        <f>COUNTIFS(РД[Тип кв],M$71,РД[МОП],$A78,РД[Дом],$C$70,РД[Дата подачи на регистрацию],"&lt;="&amp;$A$1,РД[Дата подачи на регистрацию],"&gt;="&amp;DATE(YEAR($A$1),MONTH($A$1),1))</f>
        <v>0</v>
      </c>
      <c r="N78" s="236">
        <f>COUNTIFS(РД[Тип кв],N$71,РД[МОП],$A78,РД[Дом],$C$70,РД[Дата подачи на регистрацию],"&lt;="&amp;$A$1,РД[Дата подачи на регистрацию],"&gt;="&amp;DATE(YEAR($A$1),MONTH($A$1),1))</f>
        <v>0</v>
      </c>
      <c r="O78" s="236">
        <f>COUNTIFS(РД[Тип кв],O$71,РД[МОП],$A78,РД[Дом],$C$70,РД[Дата подачи на регистрацию],"&lt;="&amp;$A$1,РД[Дата подачи на регистрацию],"&gt;="&amp;DATE(YEAR($A$1),MONTH($A$1),1))</f>
        <v>0</v>
      </c>
      <c r="P78" s="237">
        <f>COUNTIFS(РД[Тип кв],P$71,РД[МОП],$A78,РД[Дом],$C$70,РД[Дата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168" t="s">
        <v>114</v>
      </c>
      <c r="B79" s="169">
        <f t="shared" ref="B79:I79" si="1">SUM(B72:B78)</f>
        <v>60</v>
      </c>
      <c r="C79" s="170">
        <f t="shared" si="1"/>
        <v>7579105</v>
      </c>
      <c r="D79" s="170">
        <f t="shared" si="1"/>
        <v>0</v>
      </c>
      <c r="E79" s="170">
        <f t="shared" si="1"/>
        <v>0</v>
      </c>
      <c r="F79" s="171">
        <f t="shared" si="1"/>
        <v>0</v>
      </c>
      <c r="G79" s="172">
        <f t="shared" si="1"/>
        <v>0</v>
      </c>
      <c r="H79" s="173">
        <f t="shared" si="1"/>
        <v>0</v>
      </c>
      <c r="I79" s="170">
        <f t="shared" si="1"/>
        <v>0</v>
      </c>
      <c r="J79" s="238">
        <f t="shared" si="0"/>
        <v>0</v>
      </c>
      <c r="K79" s="239">
        <f t="shared" si="0"/>
        <v>0</v>
      </c>
      <c r="L79" s="240">
        <f>SUM(L72:L78)</f>
        <v>0</v>
      </c>
      <c r="M79" s="241">
        <f>SUM(M72:M78)</f>
        <v>0</v>
      </c>
      <c r="N79" s="241">
        <f>SUM(N72:N78)</f>
        <v>0</v>
      </c>
      <c r="O79" s="241">
        <f>SUM(O72:O78)</f>
        <v>0</v>
      </c>
      <c r="P79" s="242">
        <f>SUM(P72:P78)</f>
        <v>0</v>
      </c>
      <c r="T79" s="66"/>
    </row>
    <row r="80" spans="1:27" s="65" customFormat="1">
      <c r="A80" s="135" t="s">
        <v>115</v>
      </c>
      <c r="B80" s="135" t="s">
        <v>100</v>
      </c>
      <c r="C80" s="136" t="s">
        <v>97</v>
      </c>
      <c r="D80" s="174" t="s">
        <v>494</v>
      </c>
      <c r="E80" s="175" t="s">
        <v>495</v>
      </c>
      <c r="F80" s="176" t="s">
        <v>496</v>
      </c>
      <c r="G80" s="140" t="s">
        <v>101</v>
      </c>
      <c r="H80" s="141" t="s">
        <v>98</v>
      </c>
      <c r="I80" s="141" t="s">
        <v>96</v>
      </c>
      <c r="J80" s="141" t="s">
        <v>715</v>
      </c>
      <c r="K80" s="216" t="s">
        <v>716</v>
      </c>
      <c r="L80" s="217">
        <v>0</v>
      </c>
      <c r="M80" s="218">
        <v>1</v>
      </c>
      <c r="N80" s="218">
        <v>2</v>
      </c>
      <c r="O80" s="218">
        <v>3</v>
      </c>
      <c r="P80" s="219" t="s">
        <v>1367</v>
      </c>
      <c r="T80" s="66"/>
    </row>
    <row r="81" spans="1:21" s="65" customFormat="1">
      <c r="A81" s="177" t="s">
        <v>22</v>
      </c>
      <c r="B81" s="178">
        <f>IFERROR(VLOOKUP(A81,'ИПП 2кв25'!$B$24:$N$35,4,0),"")</f>
        <v>17.510204081632654</v>
      </c>
      <c r="C81" s="179">
        <f>IFERROR(VLOOKUP(A81,'ИПП 2кв25'!$B$24:$N$35,5,0),"")</f>
        <v>2211861.2551020407</v>
      </c>
      <c r="D81" s="180">
        <f>SUMIFS(Март255152[м2],Март255152[ИМ],A81,Март255152[№ дома],$C$70,Март255152[Комнатность],"&lt;&gt;Офис")</f>
        <v>0</v>
      </c>
      <c r="E81" s="181">
        <f>SUMIFS(Март255152[Сумма без отделки],Март255152[ИМ],$A81,Март255152[№ дома],$C$70,Март255152[Комнатность],"&lt;&gt;Офис")</f>
        <v>0</v>
      </c>
      <c r="F81" s="182">
        <f>COUNTIFS(Март255152[ИМ],$A81,Март255152[№ дома],$C$70,Март255152[Комнатность],"&lt;&gt;Офис")</f>
        <v>0</v>
      </c>
      <c r="G81" s="183">
        <f>SUMIFS(РД[S],РД[Дом],$C$70,РД[ИМ],A81,РД[Дата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H81" s="184">
        <f>SUMIFS(РД[Стоимость без отделки итог],РД[Дом],$C$70,РД[ИМ],A81,РД[Дата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I81" s="243">
        <f>COUNTIFS(РД[Дом],$C$70,РД[ИМ],A81,РД[Дата подачи на регистрацию],"&lt;="&amp;$A$1,РД[Дата подачи на регистрацию],"&gt;="&amp;DATE(YEAR($A$1),MONTH($A$1),1),РД[Состояние],"Продажа")</f>
        <v>0</v>
      </c>
      <c r="J81" s="244">
        <f t="shared" ref="J81:K84" si="2">IFERROR(G81/B81,"")</f>
        <v>0</v>
      </c>
      <c r="K81" s="245">
        <f t="shared" si="2"/>
        <v>0</v>
      </c>
      <c r="L81" s="183">
        <f>COUNTIFS(РД[Тип кв],L71,РД[ИМ],$A81,РД[Дом],$C$70,РД[Дата подачи на регистрацию],"&lt;="&amp;$A$1,РД[Дата подачи на регистрацию],"&gt;="&amp;DATE(YEAR($A$1),MONTH($A$1),1))</f>
        <v>0</v>
      </c>
      <c r="M81" s="243">
        <f>COUNTIFS(РД[Тип кв],M71,РД[ИМ],$A81,РД[Дом],$C$70,РД[Дата подачи на регистрацию],"&lt;="&amp;$A$1,РД[Дата подачи на регистрацию],"&gt;="&amp;DATE(YEAR($A$1),MONTH($A$1),1))</f>
        <v>0</v>
      </c>
      <c r="N81" s="243">
        <f>COUNTIFS(РД[Тип кв],N71,РД[ИМ],$A81,РД[Дом],$C$70,РД[Дата подачи на регистрацию],"&lt;="&amp;$A$1,РД[Дата подачи на регистрацию],"&gt;="&amp;DATE(YEAR($A$1),MONTH($A$1),1))</f>
        <v>0</v>
      </c>
      <c r="O81" s="243">
        <f>COUNTIFS(РД[Тип кв],O71,РД[ИМ],$A81,РД[Дом],$C$70,РД[Дата подачи на регистрацию],"&lt;="&amp;$A$1,РД[Дата подачи на регистрацию],"&gt;="&amp;DATE(YEAR($A$1),MONTH($A$1),1))</f>
        <v>0</v>
      </c>
      <c r="P81" s="246">
        <f>COUNTIFS(РД[Тип кв],P71,РД[ИМ],$A81,РД[Дом],$C$70,РД[Дата подачи на регистрацию],"&lt;="&amp;$A$1,РД[Дата подачи на регистрацию],"&gt;="&amp;DATE(YEAR($A$1),MONTH($A$1),1))</f>
        <v>0</v>
      </c>
      <c r="T81" s="66"/>
    </row>
    <row r="82" spans="1:21" s="65" customFormat="1">
      <c r="A82" s="150" t="s">
        <v>26</v>
      </c>
      <c r="B82" s="143">
        <f>IFERROR(VLOOKUP(A82,'ИПП 2кв25'!$B$24:$N$35,4,0),"")</f>
        <v>21.489795918367346</v>
      </c>
      <c r="C82" s="144">
        <f>IFERROR(VLOOKUP(A82,'ИПП 2кв25'!$B$24:$N$35,5,0),"")</f>
        <v>2714556.9948979588</v>
      </c>
      <c r="D82" s="151">
        <f>SUMIFS(Март255152[м2],Март255152[ИМ],A82,Март255152[№ дома],$C$70,Март255152[Комнатность],"&lt;&gt;Офис")</f>
        <v>0</v>
      </c>
      <c r="E82" s="185">
        <f>SUMIFS(Март255152[Сумма без отделки],Март255152[ИМ],$A82,Март255152[№ дома],$C$70,Март255152[Комнатность],"&lt;&gt;Офис")</f>
        <v>0</v>
      </c>
      <c r="F82" s="186">
        <f>COUNTIFS(Март255152[ИМ],$A82,Март255152[№ дома],$C$70,Март255152[Комнатность],"&lt;&gt;Офис")</f>
        <v>0</v>
      </c>
      <c r="G82" s="187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88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47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48">
        <f t="shared" si="2"/>
        <v>0</v>
      </c>
      <c r="K82" s="249">
        <f t="shared" si="2"/>
        <v>0</v>
      </c>
      <c r="L82" s="18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M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N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O82" s="247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P82" s="250">
        <f>COUNTIFS(РД[Тип кв],#REF!,РД[ИМ],$A82,РД[Дом],$C$70,РД[Дата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189" t="s">
        <v>3</v>
      </c>
      <c r="B83" s="190">
        <f>IFERROR(VLOOKUP(A83,'ИПП 2кв25'!$B$24:$N$35,4,0),"")</f>
        <v>0</v>
      </c>
      <c r="C83" s="191">
        <f>IFERROR(VLOOKUP(A83,'ИПП 2кв25'!$B$24:$N$35,5,0),"")</f>
        <v>0</v>
      </c>
      <c r="D83" s="192">
        <f>SUMIFS(Март255152[м2],Март255152[ИМ],A83,Март255152[№ дома],$C$70,Март255152[Комнатность],"&lt;&gt;Офис")</f>
        <v>0</v>
      </c>
      <c r="E83" s="193">
        <f>SUMIFS(Март255152[Сумма без отделки],Март255152[ИМ],$A83,Март255152[№ дома],$C$70,Март255152[Комнатность],"&lt;&gt;Офис")</f>
        <v>0</v>
      </c>
      <c r="F83" s="194">
        <f>COUNTIFS(Март255152[ИМ],$A83,Март255152[№ дома],$C$70,Март255152[Комнатность],"&lt;&gt;Офис")</f>
        <v>0</v>
      </c>
      <c r="G83" s="195">
        <f>SUMIFS(РД[S],РД[Дом],$C$70,РД[ИМ],A83,РД[Дата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96">
        <f>SUMIFS(РД[Стоимость без отделки итог],РД[Дом],$C$70,РД[ИМ],A83,РД[Дата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51">
        <f>COUNTIFS(РД[Дом],$C$70,РД[ИМ],A83,РД[Дата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52" t="str">
        <f t="shared" si="2"/>
        <v/>
      </c>
      <c r="K83" s="253" t="str">
        <f t="shared" si="2"/>
        <v/>
      </c>
      <c r="L83" s="195">
        <f>COUNTIFS(РД[Тип кв],L71,РД[ИМ],$A83,РД[Дом],$C$70,РД[Дата подачи на регистрацию],"&lt;="&amp;$A$1,РД[Дата подачи на регистрацию],"&gt;="&amp;DATE(YEAR($A$1),MONTH($A$1),1))</f>
        <v>0</v>
      </c>
      <c r="M83" s="251">
        <f>COUNTIFS(РД[Тип кв],M71,РД[ИМ],$A83,РД[Дом],$C$70,РД[Дата подачи на регистрацию],"&lt;="&amp;$A$1,РД[Дата подачи на регистрацию],"&gt;="&amp;DATE(YEAR($A$1),MONTH($A$1),1))</f>
        <v>0</v>
      </c>
      <c r="N83" s="251">
        <f>COUNTIFS(РД[Тип кв],N71,РД[ИМ],$A83,РД[Дом],$C$70,РД[Дата подачи на регистрацию],"&lt;="&amp;$A$1,РД[Дата подачи на регистрацию],"&gt;="&amp;DATE(YEAR($A$1),MONTH($A$1),1))</f>
        <v>0</v>
      </c>
      <c r="O83" s="251">
        <f>COUNTIFS(РД[Тип кв],O71,РД[ИМ],$A83,РД[Дом],$C$70,РД[Дата подачи на регистрацию],"&lt;="&amp;$A$1,РД[Дата подачи на регистрацию],"&gt;="&amp;DATE(YEAR($A$1),MONTH($A$1),1))</f>
        <v>0</v>
      </c>
      <c r="P83" s="254">
        <f>COUNTIFS(РД[Тип кв],P71,РД[ИМ],$A83,РД[Дом],$C$70,РД[Дата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168" t="s">
        <v>114</v>
      </c>
      <c r="B84" s="169">
        <f t="shared" ref="B84:P84" si="3">SUM(B81:B83)</f>
        <v>39</v>
      </c>
      <c r="C84" s="170">
        <f t="shared" si="3"/>
        <v>4926418.25</v>
      </c>
      <c r="D84" s="170">
        <f t="shared" si="3"/>
        <v>0</v>
      </c>
      <c r="E84" s="170">
        <f t="shared" si="3"/>
        <v>0</v>
      </c>
      <c r="F84" s="171">
        <f t="shared" si="3"/>
        <v>0</v>
      </c>
      <c r="G84" s="172">
        <f t="shared" si="3"/>
        <v>0</v>
      </c>
      <c r="H84" s="173">
        <f t="shared" si="3"/>
        <v>0</v>
      </c>
      <c r="I84" s="170">
        <f t="shared" si="3"/>
        <v>0</v>
      </c>
      <c r="J84" s="238">
        <f t="shared" si="2"/>
        <v>0</v>
      </c>
      <c r="K84" s="239">
        <f t="shared" si="2"/>
        <v>0</v>
      </c>
      <c r="L84" s="240">
        <f t="shared" si="3"/>
        <v>0</v>
      </c>
      <c r="M84" s="241">
        <f t="shared" si="3"/>
        <v>0</v>
      </c>
      <c r="N84" s="241">
        <f t="shared" si="3"/>
        <v>0</v>
      </c>
      <c r="O84" s="241">
        <f t="shared" si="3"/>
        <v>0</v>
      </c>
      <c r="P84" s="242">
        <f t="shared" si="3"/>
        <v>0</v>
      </c>
      <c r="T84" s="66"/>
    </row>
    <row r="85" spans="1:21" s="65" customFormat="1">
      <c r="A85" s="134"/>
      <c r="B85" s="197"/>
      <c r="C85" s="197"/>
      <c r="D85" s="198"/>
      <c r="E85" s="134"/>
      <c r="F85" s="44"/>
      <c r="G85" s="134"/>
      <c r="H85" s="134"/>
      <c r="I85" s="44"/>
      <c r="J85" s="134"/>
      <c r="K85" s="255"/>
      <c r="L85" s="256"/>
      <c r="M85" s="134"/>
      <c r="N85" s="134"/>
      <c r="O85" s="134"/>
      <c r="P85" s="134"/>
      <c r="Q85" s="134"/>
      <c r="U85" s="66"/>
    </row>
    <row r="86" spans="1:21" s="65" customFormat="1">
      <c r="A86" s="2325" t="s">
        <v>713</v>
      </c>
      <c r="B86" s="2326"/>
      <c r="C86" s="133" t="s">
        <v>13</v>
      </c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T86" s="66"/>
    </row>
    <row r="87" spans="1:21" s="65" customFormat="1">
      <c r="A87" s="135" t="s">
        <v>1</v>
      </c>
      <c r="B87" s="135" t="s">
        <v>100</v>
      </c>
      <c r="C87" s="136" t="s">
        <v>97</v>
      </c>
      <c r="D87" s="137" t="s">
        <v>494</v>
      </c>
      <c r="E87" s="138" t="s">
        <v>495</v>
      </c>
      <c r="F87" s="139" t="s">
        <v>496</v>
      </c>
      <c r="G87" s="140" t="s">
        <v>101</v>
      </c>
      <c r="H87" s="141" t="s">
        <v>98</v>
      </c>
      <c r="I87" s="141" t="s">
        <v>96</v>
      </c>
      <c r="J87" s="141" t="s">
        <v>715</v>
      </c>
      <c r="K87" s="216" t="s">
        <v>716</v>
      </c>
      <c r="L87" s="217">
        <v>0</v>
      </c>
      <c r="M87" s="218">
        <v>1</v>
      </c>
      <c r="N87" s="218">
        <v>2</v>
      </c>
      <c r="O87" s="218">
        <v>3</v>
      </c>
      <c r="P87" s="219" t="s">
        <v>1367</v>
      </c>
      <c r="T87" s="66"/>
    </row>
    <row r="88" spans="1:21" s="65" customFormat="1">
      <c r="A88" s="142" t="s">
        <v>28</v>
      </c>
      <c r="B88" s="143">
        <f>IFERROR(VLOOKUP(A88,'ИПП 2кв25'!$B$24:$N$35,6,0),"")</f>
        <v>330</v>
      </c>
      <c r="C88" s="144">
        <f>IFERROR(VLOOKUP(A88,'ИПП 2кв25'!$B$24:$N$35,7,0),"")</f>
        <v>43087241</v>
      </c>
      <c r="D88" s="199">
        <f>SUMIFS(Март255152[м2],Март255152[КТУ],$A88,Март255152[№ дома],$C$86,Март255152[Комнатность],"&lt;&gt;Офис")</f>
        <v>62.17</v>
      </c>
      <c r="E88" s="200">
        <f>SUMIFS(Март255152[Сумма без отделки],Март255152[КТУ],$A88,Март255152[№ дома],$C$86,Март255152[Комнатность],"&lt;&gt;Офис")</f>
        <v>7736477</v>
      </c>
      <c r="F88" s="201">
        <f>COUNTIFS(Март255152[КТУ],$A88,Март255152[№ дома],$C$86,Март255152[Комнатность],"&lt;&gt;Офис")</f>
        <v>1</v>
      </c>
      <c r="G88" s="202">
        <f>SUMIFS(РД[S],РД[Дом],$C$86,РД[МОП],A88,РД[Дата подачи на регистрацию],"&lt;="&amp;$A$1,РД[Дата подачи на регистрацию],"&gt;="&amp;DATE(YEAR($A$1),MONTH($A$1),1),РД[Состояние],"Продажа")</f>
        <v>62.17</v>
      </c>
      <c r="H88" s="203">
        <f>SUMIFS(РД[Стоимость без отделки итог],РД[Дом],$C$86,РД[МОП],A88,РД[Дата подачи на регистрацию],"&lt;="&amp;$A$1,РД[Дата подачи на регистрацию],"&gt;="&amp;DATE(YEAR($A$1),MONTH($A$1),1),РД[Состояние],"Продажа")</f>
        <v>7114777</v>
      </c>
      <c r="I88" s="226">
        <f>COUNTIFS(РД[Дом],$C$86,РД[МОП],A88,РД[Дата подачи на регистрацию],"&lt;="&amp;$A$1,РД[Дата подачи на регистрацию],"&gt;="&amp;DATE(YEAR($A$1),MONTH($A$1),1),РД[Состояние],"Продажа")</f>
        <v>1</v>
      </c>
      <c r="J88" s="224">
        <f t="shared" ref="J88:K94" si="4">IFERROR(G88/B88,)</f>
        <v>0.18839393939393939</v>
      </c>
      <c r="K88" s="225">
        <f t="shared" si="4"/>
        <v>0.16512491482107197</v>
      </c>
      <c r="L88" s="257">
        <f>COUNTIFS(РД[Тип кв],L$87,РД[МОП],$A88,РД[Дом],$C$86,РД[Дата подачи на регистрацию],"&lt;="&amp;$A$1,РД[Дата подачи на регистрацию],"&gt;="&amp;DATE(YEAR($A$1),MONTH($A$1),1))</f>
        <v>0</v>
      </c>
      <c r="M88" s="226">
        <f>COUNTIFS(РД[Тип кв],M$87,РД[МОП],$A88,РД[Дом],$C$86,РД[Дата подачи на регистрацию],"&lt;="&amp;$A$1,РД[Дата подачи на регистрацию],"&gt;="&amp;DATE(YEAR($A$1),MONTH($A$1),1))</f>
        <v>0</v>
      </c>
      <c r="N88" s="226">
        <f>COUNTIFS(РД[Тип кв],N$87,РД[МОП],$A88,РД[Дом],$C$86,РД[Дата подачи на регистрацию],"&lt;="&amp;$A$1,РД[Дата подачи на регистрацию],"&gt;="&amp;DATE(YEAR($A$1),MONTH($A$1),1))</f>
        <v>1</v>
      </c>
      <c r="O88" s="226">
        <f>COUNTIFS(РД[Тип кв],O$87,РД[МОП],$A88,РД[Дом],$C$86,РД[Дата подачи на регистрацию],"&lt;="&amp;$A$1,РД[Дата подачи на регистрацию],"&gt;="&amp;DATE(YEAR($A$1),MONTH($A$1),1))</f>
        <v>0</v>
      </c>
      <c r="P88" s="227">
        <f>COUNTIFS(РД[Тип кв],P$87,РД[МОП],$A88,РД[Дом],$C$86,РД[Дата подачи на регистрацию],"&lt;="&amp;$A$1,РД[Дата подачи на регистрацию],"&gt;="&amp;DATE(YEAR($A$1),MONTH($A$1),1))</f>
        <v>0</v>
      </c>
      <c r="T88" s="66"/>
    </row>
    <row r="89" spans="1:21" s="65" customFormat="1">
      <c r="A89" s="142" t="s">
        <v>8</v>
      </c>
      <c r="B89" s="143">
        <f>IFERROR(VLOOKUP(A89,'ИПП 2кв25'!$B$24:$N$35,6,0),"")</f>
        <v>330</v>
      </c>
      <c r="C89" s="144">
        <f>IFERROR(VLOOKUP(A89,'ИПП 2кв25'!$B$24:$N$35,7,0),"")</f>
        <v>43087241</v>
      </c>
      <c r="D89" s="199">
        <f>SUMIFS(Март255152[м2],Март255152[КТУ],$A89,Март255152[№ дома],$C$86,Март255152[Комнатность],"&lt;&gt;Офис")</f>
        <v>0</v>
      </c>
      <c r="E89" s="200">
        <f>SUMIFS(Март255152[Сумма без отделки],Март255152[КТУ],$A89,Март255152[№ дома],$C$86,Март255152[Комнатность],"&lt;&gt;Офис")</f>
        <v>0</v>
      </c>
      <c r="F89" s="201">
        <f>COUNTIFS(Март255152[КТУ],$A89,Март255152[№ дома],$C$86,Март255152[Комнатность],"&lt;&gt;Офис")</f>
        <v>0</v>
      </c>
      <c r="G89" s="202">
        <f>SUMIFS(РД[S],РД[Дом],$C$86,РД[МОП],A89,РД[Дата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H89" s="203">
        <f>SUMIFS(РД[Стоимость без отделки итог],РД[Дом],$C$86,РД[МОП],A89,РД[Дата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I89" s="226">
        <f>COUNTIFS(РД[Дом],$C$86,РД[МОП],A89,РД[Дата подачи на регистрацию],"&lt;="&amp;$A$1,РД[Дата подачи на регистрацию],"&gt;="&amp;DATE(YEAR($A$1),MONTH($A$1),1),РД[Состояние],"Продажа")</f>
        <v>0</v>
      </c>
      <c r="J89" s="224">
        <f t="shared" si="4"/>
        <v>0</v>
      </c>
      <c r="K89" s="225">
        <f t="shared" si="4"/>
        <v>0</v>
      </c>
      <c r="L89" s="257">
        <f>COUNTIFS(РД[Тип кв],L$87,РД[МОП],$A89,РД[Дом],$C$86,РД[Дата подачи на регистрацию],"&lt;="&amp;$A$1,РД[Дата подачи на регистрацию],"&gt;="&amp;DATE(YEAR($A$1),MONTH($A$1),1))</f>
        <v>0</v>
      </c>
      <c r="M89" s="226">
        <f>COUNTIFS(РД[Тип кв],M$87,РД[МОП],$A89,РД[Дом],$C$86,РД[Дата подачи на регистрацию],"&lt;="&amp;$A$1,РД[Дата подачи на регистрацию],"&gt;="&amp;DATE(YEAR($A$1),MONTH($A$1),1))</f>
        <v>0</v>
      </c>
      <c r="N89" s="226">
        <f>COUNTIFS(РД[Тип кв],N$87,РД[МОП],$A89,РД[Дом],$C$86,РД[Дата подачи на регистрацию],"&lt;="&amp;$A$1,РД[Дата подачи на регистрацию],"&gt;="&amp;DATE(YEAR($A$1),MONTH($A$1),1))</f>
        <v>0</v>
      </c>
      <c r="O89" s="226">
        <f>COUNTIFS(РД[Тип кв],O$87,РД[МОП],$A89,РД[Дом],$C$86,РД[Дата подачи на регистрацию],"&lt;="&amp;$A$1,РД[Дата подачи на регистрацию],"&gt;="&amp;DATE(YEAR($A$1),MONTH($A$1),1))</f>
        <v>0</v>
      </c>
      <c r="P89" s="227">
        <f>COUNTIFS(РД[Тип кв],P$87,РД[МОП],$A89,РД[Дом],$C$86,РД[Дата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150" t="s">
        <v>20</v>
      </c>
      <c r="B90" s="143">
        <f>IFERROR(VLOOKUP(A90,'ИПП 2кв25'!$B$24:$N$35,6,0),"")</f>
        <v>330</v>
      </c>
      <c r="C90" s="144">
        <f>IFERROR(VLOOKUP(A90,'ИПП 2кв25'!$B$24:$N$35,7,0),"")</f>
        <v>43087241</v>
      </c>
      <c r="D90" s="199">
        <f>SUMIFS(Март255152[м2],Март255152[КТУ],$A90,Март255152[№ дома],$C$86,Март255152[Комнатность],"&lt;&gt;Офис")</f>
        <v>58.39</v>
      </c>
      <c r="E90" s="200">
        <f>SUMIFS(Март255152[Сумма без отделки],Март255152[КТУ],$A90,Март255152[№ дома],$C$86,Март255152[Комнатность],"&lt;&gt;Офис")</f>
        <v>6202580</v>
      </c>
      <c r="F90" s="201">
        <f>COUNTIFS(Март255152[КТУ],$A90,Март255152[№ дома],$C$86,Март255152[Комнатность],"&lt;&gt;Офис")</f>
        <v>1</v>
      </c>
      <c r="G90" s="202">
        <f>SUMIFS(РД[S],РД[Дом],$C$86,РД[МОП],A90,РД[Дата подачи на регистрацию],"&lt;="&amp;$A$1,РД[Дата подачи на регистрацию],"&gt;="&amp;DATE(YEAR($A$1),MONTH($A$1),1),РД[Состояние],"Продажа")</f>
        <v>58.39</v>
      </c>
      <c r="H90" s="203">
        <f>SUMIFS(РД[Стоимость без отделки итог],РД[Дом],$C$86,РД[МОП],A90,РД[Дата подачи на регистрацию],"&lt;="&amp;$A$1,РД[Дата подачи на регистрацию],"&gt;="&amp;DATE(YEAR($A$1),MONTH($A$1),1),РД[Состояние],"Продажа")</f>
        <v>6202580</v>
      </c>
      <c r="I90" s="226">
        <f>COUNTIFS(РД[Дом],$C$86,РД[МОП],A90,РД[Дата подачи на регистрацию],"&lt;="&amp;$A$1,РД[Дата подачи на регистрацию],"&gt;="&amp;DATE(YEAR($A$1),MONTH($A$1),1),РД[Состояние],"Продажа")</f>
        <v>1</v>
      </c>
      <c r="J90" s="224">
        <f t="shared" si="4"/>
        <v>0.17693939393939395</v>
      </c>
      <c r="K90" s="225">
        <f t="shared" si="4"/>
        <v>0.1439539839647658</v>
      </c>
      <c r="L90" s="257">
        <f>COUNTIFS(РД[Тип кв],L$87,РД[МОП],$A90,РД[Дом],$C$86,РД[Дата подачи на регистрацию],"&lt;="&amp;$A$1,РД[Дата подачи на регистрацию],"&gt;="&amp;DATE(YEAR($A$1),MONTH($A$1),1))</f>
        <v>0</v>
      </c>
      <c r="M90" s="226">
        <f>COUNTIFS(РД[Тип кв],M$87,РД[МОП],$A90,РД[Дом],$C$86,РД[Дата подачи на регистрацию],"&lt;="&amp;$A$1,РД[Дата подачи на регистрацию],"&gt;="&amp;DATE(YEAR($A$1),MONTH($A$1),1))</f>
        <v>1</v>
      </c>
      <c r="N90" s="226">
        <f>COUNTIFS(РД[Тип кв],N$87,РД[МОП],$A90,РД[Дом],$C$86,РД[Дата подачи на регистрацию],"&lt;="&amp;$A$1,РД[Дата подачи на регистрацию],"&gt;="&amp;DATE(YEAR($A$1),MONTH($A$1),1))</f>
        <v>0</v>
      </c>
      <c r="O90" s="226">
        <f>COUNTIFS(РД[Тип кв],O$87,РД[МОП],$A90,РД[Дом],$C$86,РД[Дата подачи на регистрацию],"&lt;="&amp;$A$1,РД[Дата подачи на регистрацию],"&gt;="&amp;DATE(YEAR($A$1),MONTH($A$1),1))</f>
        <v>0</v>
      </c>
      <c r="P90" s="227">
        <f>COUNTIFS(РД[Тип кв],P$87,РД[МОП],$A90,РД[Дом],$C$86,РД[Дата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153" t="s">
        <v>24</v>
      </c>
      <c r="B91" s="143">
        <f>IFERROR(VLOOKUP(A91,'ИПП 2кв25'!$B$24:$N$35,6,0),"")</f>
        <v>330</v>
      </c>
      <c r="C91" s="144">
        <f>IFERROR(VLOOKUP(A91,'ИПП 2кв25'!$B$24:$N$35,7,0),"")</f>
        <v>43087241</v>
      </c>
      <c r="D91" s="199">
        <f>SUMIFS(Март255152[м2],Март255152[КТУ],$A91,Март255152[№ дома],$C$86,Март255152[Комнатность],"&lt;&gt;Офис")</f>
        <v>171.41</v>
      </c>
      <c r="E91" s="200">
        <f>SUMIFS(Март255152[Сумма без отделки],Март255152[КТУ],$A91,Март255152[№ дома],$C$86,Март255152[Комнатность],"&lt;&gt;Офис")</f>
        <v>20075594</v>
      </c>
      <c r="F91" s="201">
        <f>COUNTIFS(Март255152[КТУ],$A91,Март255152[№ дома],$C$86,Март255152[Комнатность],"&lt;&gt;Офис")</f>
        <v>3</v>
      </c>
      <c r="G91" s="202">
        <f>SUMIFS(РД[S],РД[Дом],$C$86,РД[МОП],A91,РД[Дата подачи на регистрацию],"&lt;="&amp;$A$1,РД[Дата подачи на регистрацию],"&gt;="&amp;DATE(YEAR($A$1),MONTH($A$1),1),РД[Состояние],"Продажа")</f>
        <v>171.41</v>
      </c>
      <c r="H91" s="203">
        <f>SUMIFS(РД[Стоимость без отделки итог],РД[Дом],$C$86,РД[МОП],A91,РД[Дата подачи на регистрацию],"&lt;="&amp;$A$1,РД[Дата подачи на регистрацию],"&gt;="&amp;DATE(YEAR($A$1),MONTH($A$1),1),РД[Состояние],"Продажа")</f>
        <v>20075594</v>
      </c>
      <c r="I91" s="226">
        <f>COUNTIFS(РД[Дом],$C$86,РД[МОП],A91,РД[Дата подачи на регистрацию],"&lt;="&amp;$A$1,РД[Дата подачи на регистрацию],"&gt;="&amp;DATE(YEAR($A$1),MONTH($A$1),1),РД[Состояние],"Продажа")</f>
        <v>3</v>
      </c>
      <c r="J91" s="224">
        <f t="shared" si="4"/>
        <v>0.51942424242424245</v>
      </c>
      <c r="K91" s="225">
        <f t="shared" si="4"/>
        <v>0.4659289741944721</v>
      </c>
      <c r="L91" s="257">
        <f>COUNTIFS(РД[Тип кв],L$87,РД[МОП],$A91,РД[Дом],$C$86,РД[Дата подачи на регистрацию],"&lt;="&amp;$A$1,РД[Дата подачи на регистрацию],"&gt;="&amp;DATE(YEAR($A$1),MONTH($A$1),1))</f>
        <v>0</v>
      </c>
      <c r="M91" s="226">
        <f>COUNTIFS(РД[Тип кв],M$87,РД[МОП],$A91,РД[Дом],$C$86,РД[Дата подачи на регистрацию],"&lt;="&amp;$A$1,РД[Дата подачи на регистрацию],"&gt;="&amp;DATE(YEAR($A$1),MONTH($A$1),1))</f>
        <v>2</v>
      </c>
      <c r="N91" s="226">
        <f>COUNTIFS(РД[Тип кв],N$87,РД[МОП],$A91,РД[Дом],$C$86,РД[Дата подачи на регистрацию],"&lt;="&amp;$A$1,РД[Дата подачи на регистрацию],"&gt;="&amp;DATE(YEAR($A$1),MONTH($A$1),1))</f>
        <v>0</v>
      </c>
      <c r="O91" s="226">
        <f>COUNTIFS(РД[Тип кв],O$87,РД[МОП],$A91,РД[Дом],$C$86,РД[Дата подачи на регистрацию],"&lt;="&amp;$A$1,РД[Дата подачи на регистрацию],"&gt;="&amp;DATE(YEAR($A$1),MONTH($A$1),1))</f>
        <v>1</v>
      </c>
      <c r="P91" s="227">
        <f>COUNTIFS(РД[Тип кв],P$87,РД[МОП],$A91,РД[Дом],$C$86,РД[Дата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153" t="s">
        <v>14</v>
      </c>
      <c r="B92" s="143">
        <f>IFERROR(VLOOKUP(A92,'ИПП 2кв25'!$B$24:$N$35,6,0),"")</f>
        <v>330</v>
      </c>
      <c r="C92" s="144">
        <f>IFERROR(VLOOKUP(A92,'ИПП 2кв25'!$B$24:$N$35,7,0),"")</f>
        <v>43087241</v>
      </c>
      <c r="D92" s="299">
        <f>SUMIFS(Март255152[м2],Март255152[КТУ],$A92,Март255152[№ дома],$C$86,Март255152[Комнатность],"&lt;&gt;Офис")</f>
        <v>312.88</v>
      </c>
      <c r="E92" s="300">
        <f>SUMIFS(Март255152[Сумма без отделки],Март255152[КТУ],$A92,Март255152[№ дома],$C$86,Март255152[Комнатность],"&lt;&gt;Офис")</f>
        <v>35940983</v>
      </c>
      <c r="F92" s="301">
        <f>COUNTIFS(Март255152[КТУ],$A92,Март255152[№ дома],$C$86,Март255152[Комнатность],"&lt;&gt;Офис")</f>
        <v>5</v>
      </c>
      <c r="G92" s="358">
        <f>SUMIFS(РД[S],РД[Дом],$C$86,РД[МОП],A92,РД[Дата подачи на регистрацию],"&lt;="&amp;$A$1,РД[Дата подачи на регистрацию],"&gt;="&amp;DATE(YEAR($A$1),MONTH($A$1),1),РД[Состояние],"Продажа")</f>
        <v>312.88</v>
      </c>
      <c r="H92" s="359">
        <f>SUMIFS(РД[Стоимость без отделки итог],РД[Дом],$C$86,РД[МОП],A92,РД[Дата подачи на регистрацию],"&lt;="&amp;$A$1,РД[Дата подачи на регистрацию],"&gt;="&amp;DATE(YEAR($A$1),MONTH($A$1),1),РД[Состояние],"Продажа")</f>
        <v>35940983</v>
      </c>
      <c r="I92" s="330">
        <f>COUNTIFS(РД[Дом],$C$86,РД[МОП],A92,РД[Дата подачи на регистрацию],"&lt;="&amp;$A$1,РД[Дата подачи на регистрацию],"&gt;="&amp;DATE(YEAR($A$1),MONTH($A$1),1),РД[Состояние],"Продажа")</f>
        <v>5</v>
      </c>
      <c r="J92" s="360">
        <f t="shared" si="4"/>
        <v>0.94812121212121214</v>
      </c>
      <c r="K92" s="361">
        <f t="shared" si="4"/>
        <v>0.83414445125414272</v>
      </c>
      <c r="L92" s="329">
        <f>COUNTIFS(РД[Тип кв],L$87,РД[МОП],$A92,РД[Дом],$C$86,РД[Дата подачи на регистрацию],"&lt;="&amp;$A$1,РД[Дата подачи на регистрацию],"&gt;="&amp;DATE(YEAR($A$1),MONTH($A$1),1))</f>
        <v>0</v>
      </c>
      <c r="M92" s="330">
        <f>COUNTIFS(РД[Тип кв],M$87,РД[МОП],$A92,РД[Дом],$C$86,РД[Дата подачи на регистрацию],"&lt;="&amp;$A$1,РД[Дата подачи на регистрацию],"&gt;="&amp;DATE(YEAR($A$1),MONTH($A$1),1))</f>
        <v>0</v>
      </c>
      <c r="N92" s="330">
        <f>COUNTIFS(РД[Тип кв],N$87,РД[МОП],$A92,РД[Дом],$C$86,РД[Дата подачи на регистрацию],"&lt;="&amp;$A$1,РД[Дата подачи на регистрацию],"&gt;="&amp;DATE(YEAR($A$1),MONTH($A$1),1))</f>
        <v>4</v>
      </c>
      <c r="O92" s="330">
        <f>COUNTIFS(РД[Тип кв],O$87,РД[МОП],$A92,РД[Дом],$C$86,РД[Дата подачи на регистрацию],"&lt;="&amp;$A$1,РД[Дата подачи на регистрацию],"&gt;="&amp;DATE(YEAR($A$1),MONTH($A$1),1))</f>
        <v>1</v>
      </c>
      <c r="P92" s="331">
        <f>COUNTIFS(РД[Тип кв],P$87,РД[МОП],$A92,РД[Дом],$C$86,РД[Дата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154" t="s">
        <v>29</v>
      </c>
      <c r="B93" s="155"/>
      <c r="C93" s="156"/>
      <c r="D93" s="157">
        <f>SUMIFS(Март255152[м2],Март255152[КТУ],$A93,Март255152[№ дома],$C$86,Март255152[Комнатность],"&lt;&gt;Офис")</f>
        <v>0</v>
      </c>
      <c r="E93" s="156">
        <f>SUMIFS(Март255152[Сумма без отделки],Март255152[КТУ],$A93,Март255152[№ дома],$C$86,Март255152[Комнатность],"&lt;&gt;Офис")</f>
        <v>0</v>
      </c>
      <c r="F93" s="158">
        <f>COUNTIFS(Март255152[КТУ],$A93,Март255152[№ дома],$C$86,Март255152[Комнатность],"&lt;&gt;Офис")</f>
        <v>0</v>
      </c>
      <c r="G93" s="159">
        <f>SUMIFS(РД[S],РД[Дом],$C$86,РД[МОП],A93,РД[Дата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H93" s="160">
        <f>SUMIFS(РД[Стоимость без отделки итог],РД[Дом],$C$86,РД[МОП],A93,РД[Дата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I93" s="228">
        <f>COUNTIFS(РД[Дом],$C$86,РД[МОП],A93,РД[Дата подачи на регистрацию],"&lt;="&amp;$A$1,РД[Дата подачи на регистрацию],"&gt;="&amp;DATE(YEAR($A$1),MONTH($A$1),1),РД[Состояние],"Продажа")</f>
        <v>0</v>
      </c>
      <c r="J93" s="229">
        <f t="shared" si="4"/>
        <v>0</v>
      </c>
      <c r="K93" s="230">
        <f t="shared" si="4"/>
        <v>0</v>
      </c>
      <c r="L93" s="159">
        <f>COUNTIFS(РД[Тип кв],L$87,РД[МОП],$A93,РД[Дом],$C$86,РД[Дата подачи на регистрацию],"&lt;="&amp;$A$1,РД[Дата подачи на регистрацию],"&gt;="&amp;DATE(YEAR($A$1),MONTH($A$1),1))</f>
        <v>0</v>
      </c>
      <c r="M93" s="228">
        <f>COUNTIFS(РД[Тип кв],M$87,РД[МОП],$A93,РД[Дом],$C$86,РД[Дата подачи на регистрацию],"&lt;="&amp;$A$1,РД[Дата подачи на регистрацию],"&gt;="&amp;DATE(YEAR($A$1),MONTH($A$1),1))</f>
        <v>0</v>
      </c>
      <c r="N93" s="228">
        <f>COUNTIFS(РД[Тип кв],N$87,РД[МОП],$A93,РД[Дом],$C$86,РД[Дата подачи на регистрацию],"&lt;="&amp;$A$1,РД[Дата подачи на регистрацию],"&gt;="&amp;DATE(YEAR($A$1),MONTH($A$1),1))</f>
        <v>0</v>
      </c>
      <c r="O93" s="228">
        <f>COUNTIFS(РД[Тип кв],O$87,РД[МОП],$A93,РД[Дом],$C$86,РД[Дата подачи на регистрацию],"&lt;="&amp;$A$1,РД[Дата подачи на регистрацию],"&gt;="&amp;DATE(YEAR($A$1),MONTH($A$1),1))</f>
        <v>0</v>
      </c>
      <c r="P93" s="231">
        <f>COUNTIFS(РД[Тип кв],P$87,РД[МОП],$A93,РД[Дом],$C$86,РД[Дата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161" t="s">
        <v>1919</v>
      </c>
      <c r="B94" s="162"/>
      <c r="C94" s="163"/>
      <c r="D94" s="164">
        <f>SUMIFS(Март255152[м2],Март255152[МОП],$A94,Март255152[№ дома],$C$86,Март255152[Комнатность],"&lt;&gt;Офис")</f>
        <v>219.64</v>
      </c>
      <c r="E94" s="163">
        <f>SUMIFS(Март255152[Сумма без отделки],Март255152[МОП],$A94,Март255152[№ дома],$C$86,Март255152[Комнатность],"&lt;&gt;Офис")</f>
        <v>25404880</v>
      </c>
      <c r="F94" s="165">
        <f>COUNTIFS(Март255152[МОП],$A94,Март255152[№ дома],$C$86,Март255152[Комнатность],"&lt;&gt;Офис")</f>
        <v>4</v>
      </c>
      <c r="G94" s="166">
        <f>SUMIFS(РД[S],РД[Дом],$C$86,РД[МОП],A94,РД[Дата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H94" s="167">
        <f>SUMIFS(РД[Стоимость без отделки итог],РД[Дом],$C$86,РД[МОП],A94,РД[Дата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I94" s="232">
        <f>COUNTIFS(РД[Дом],$C$86,РД[МОП],A94,РД[Дата подачи на регистрацию],"&lt;="&amp;$A$1,РД[Дата подачи на регистрацию],"&gt;="&amp;DATE(YEAR($A$1),MONTH($A$1),1),РД[Состояние],"Продажа")</f>
        <v>0</v>
      </c>
      <c r="J94" s="233">
        <f t="shared" si="4"/>
        <v>0</v>
      </c>
      <c r="K94" s="234">
        <f t="shared" si="4"/>
        <v>0</v>
      </c>
      <c r="L94" s="235">
        <f>COUNTIFS(РД[Тип кв],L$87,РД[МОП],$A94,РД[Дом],$C$86,РД[Дата подачи на регистрацию],"&lt;="&amp;$A$1,РД[Дата подачи на регистрацию],"&gt;="&amp;DATE(YEAR($A$1),MONTH($A$1),1))</f>
        <v>0</v>
      </c>
      <c r="M94" s="236">
        <f>COUNTIFS(РД[Тип кв],M$87,РД[МОП],$A94,РД[Дом],$C$86,РД[Дата подачи на регистрацию],"&lt;="&amp;$A$1,РД[Дата подачи на регистрацию],"&gt;="&amp;DATE(YEAR($A$1),MONTH($A$1),1))</f>
        <v>0</v>
      </c>
      <c r="N94" s="236">
        <f>COUNTIFS(РД[Тип кв],N$87,РД[МОП],$A94,РД[Дом],$C$86,РД[Дата подачи на регистрацию],"&lt;="&amp;$A$1,РД[Дата подачи на регистрацию],"&gt;="&amp;DATE(YEAR($A$1),MONTH($A$1),1))</f>
        <v>0</v>
      </c>
      <c r="O94" s="236">
        <f>COUNTIFS(РД[Тип кв],O$87,РД[МОП],$A94,РД[Дом],$C$86,РД[Дата подачи на регистрацию],"&lt;="&amp;$A$1,РД[Дата подачи на регистрацию],"&gt;="&amp;DATE(YEAR($A$1),MONTH($A$1),1))</f>
        <v>0</v>
      </c>
      <c r="P94" s="237">
        <f>COUNTIFS(РД[Тип кв],P$87,РД[МОП],$A94,РД[Дом],$C$86,РД[Дата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168" t="s">
        <v>114</v>
      </c>
      <c r="B95" s="169">
        <f t="shared" ref="B95:I95" si="5">SUM(B88:B94)</f>
        <v>1650</v>
      </c>
      <c r="C95" s="170">
        <f t="shared" si="5"/>
        <v>215436205</v>
      </c>
      <c r="D95" s="170">
        <f t="shared" si="5"/>
        <v>824.49</v>
      </c>
      <c r="E95" s="170">
        <f t="shared" si="5"/>
        <v>95360514</v>
      </c>
      <c r="F95" s="171">
        <f t="shared" si="5"/>
        <v>14</v>
      </c>
      <c r="G95" s="172">
        <f t="shared" si="5"/>
        <v>604.85</v>
      </c>
      <c r="H95" s="173">
        <f t="shared" si="5"/>
        <v>69333934</v>
      </c>
      <c r="I95" s="170">
        <f t="shared" si="5"/>
        <v>10</v>
      </c>
      <c r="J95" s="238">
        <f t="shared" ref="J95:K95" si="6">IFERROR(G95/B95,"")</f>
        <v>0.36657575757575761</v>
      </c>
      <c r="K95" s="239">
        <f t="shared" si="6"/>
        <v>0.32183046484689054</v>
      </c>
      <c r="L95" s="240">
        <f>SUM(L88:L94)</f>
        <v>0</v>
      </c>
      <c r="M95" s="241">
        <f>SUM(M88:M94)</f>
        <v>3</v>
      </c>
      <c r="N95" s="241">
        <f>SUM(N88:N94)</f>
        <v>5</v>
      </c>
      <c r="O95" s="241">
        <f>SUM(O88:O94)</f>
        <v>2</v>
      </c>
      <c r="P95" s="242">
        <f>SUM(P88:P94)</f>
        <v>0</v>
      </c>
      <c r="T95" s="66"/>
    </row>
    <row r="96" spans="1:21" s="65" customFormat="1">
      <c r="A96" s="135" t="s">
        <v>115</v>
      </c>
      <c r="B96" s="135" t="s">
        <v>100</v>
      </c>
      <c r="C96" s="136" t="s">
        <v>97</v>
      </c>
      <c r="D96" s="174" t="s">
        <v>494</v>
      </c>
      <c r="E96" s="175" t="s">
        <v>495</v>
      </c>
      <c r="F96" s="176" t="s">
        <v>496</v>
      </c>
      <c r="G96" s="140" t="s">
        <v>101</v>
      </c>
      <c r="H96" s="141" t="s">
        <v>98</v>
      </c>
      <c r="I96" s="141" t="s">
        <v>96</v>
      </c>
      <c r="J96" s="141" t="s">
        <v>715</v>
      </c>
      <c r="K96" s="216" t="s">
        <v>716</v>
      </c>
      <c r="L96" s="217">
        <v>0</v>
      </c>
      <c r="M96" s="218">
        <v>1</v>
      </c>
      <c r="N96" s="218">
        <v>2</v>
      </c>
      <c r="O96" s="218">
        <v>3</v>
      </c>
      <c r="P96" s="219" t="s">
        <v>1367</v>
      </c>
      <c r="T96" s="66"/>
    </row>
    <row r="97" spans="1:21" s="65" customFormat="1">
      <c r="A97" s="177" t="s">
        <v>22</v>
      </c>
      <c r="B97" s="178">
        <f>IFERROR(VLOOKUP(A97,'ИПП 2кв25'!$B$24:$N$35,6,0),"")</f>
        <v>481.53061224489795</v>
      </c>
      <c r="C97" s="179">
        <f>IFERROR(VLOOKUP(A97,'ИПП 2кв25'!$B$24:$N$35,7,0),"")</f>
        <v>62872198.60204082</v>
      </c>
      <c r="D97" s="180">
        <f>SUMIFS(Март255152[м2],Март255152[ИМ],A97,Март255152[№ дома],$C$86,Март255152[Комнатность],"&lt;&gt;Офис")</f>
        <v>285.83</v>
      </c>
      <c r="E97" s="181">
        <f>SUMIFS(Март255152[Сумма без отделки],Март255152[ИМ],$A97,Март255152[№ дома],$C$86,Март255152[Комнатность],"&lt;&gt;Офис")</f>
        <v>34412360</v>
      </c>
      <c r="F97" s="204">
        <f>COUNTIFS(Март255152[ИМ],$A97,Март255152[№ дома],$C$86,Март255152[Комнатность],"&lt;&gt;Офис")</f>
        <v>5</v>
      </c>
      <c r="G97" s="183">
        <f>SUMIFS(РД[S],РД[Дом],$C$86,РД[ИМ],A97,РД[Дата подачи на регистрацию],"&lt;="&amp;$A$1,РД[Дата подачи на регистрацию],"&gt;="&amp;DATE(YEAR($A$1),MONTH($A$1),1),РД[Состояние],"Продажа")</f>
        <v>206.39000000000001</v>
      </c>
      <c r="H97" s="184">
        <f>SUMIFS(РД[Стоимость без отделки итог],РД[Дом],$C$86,РД[ИМ],A97,РД[Дата подачи на регистрацию],"&lt;="&amp;$A$1,РД[Дата подачи на регистрацию],"&gt;="&amp;DATE(YEAR($A$1),MONTH($A$1),1),РД[Состояние],"Продажа")</f>
        <v>24845292</v>
      </c>
      <c r="I97" s="243">
        <f>COUNTIFS(РД[Дом],$C$86,РД[ИМ],A97,РД[Дата подачи на регистрацию],"&lt;="&amp;$A$1,РД[Дата подачи на регистрацию],"&gt;="&amp;DATE(YEAR($A$1),MONTH($A$1),1),РД[Состояние],"Продажа")</f>
        <v>4</v>
      </c>
      <c r="J97" s="244">
        <f t="shared" ref="J97:K99" si="7">IFERROR(G97/B97,"")</f>
        <v>0.4286124178851452</v>
      </c>
      <c r="K97" s="258">
        <f t="shared" si="7"/>
        <v>0.39517135637743589</v>
      </c>
      <c r="L97" s="183">
        <f>COUNTIFS(РД[Тип кв],L87,РД[ИМ],$A97,РД[Дом],$C$86,РД[Дата подачи на регистрацию],"&lt;="&amp;$A$1,РД[Дата подачи на регистрацию],"&gt;="&amp;DATE(YEAR($A$1),MONTH($A$1),1))</f>
        <v>0</v>
      </c>
      <c r="M97" s="243">
        <f>COUNTIFS(РД[Тип кв],M87,РД[ИМ],$A97,РД[Дом],$C$86,РД[Дата подачи на регистрацию],"&lt;="&amp;$A$1,РД[Дата подачи на регистрацию],"&gt;="&amp;DATE(YEAR($A$1),MONTH($A$1),1))</f>
        <v>2</v>
      </c>
      <c r="N97" s="243">
        <f>COUNTIFS(РД[Тип кв],N87,РД[ИМ],$A97,РД[Дом],$C$86,РД[Дата подачи на регистрацию],"&lt;="&amp;$A$1,РД[Дата подачи на регистрацию],"&gt;="&amp;DATE(YEAR($A$1),MONTH($A$1),1))</f>
        <v>2</v>
      </c>
      <c r="O97" s="243">
        <f>COUNTIFS(РД[Тип кв],O87,РД[ИМ],$A97,РД[Дом],$C$86,РД[Дата подачи на регистрацию],"&lt;="&amp;$A$1,РД[Дата подачи на регистрацию],"&gt;="&amp;DATE(YEAR($A$1),MONTH($A$1),1))</f>
        <v>0</v>
      </c>
      <c r="P97" s="246">
        <f>COUNTIFS(РД[Тип кв],P87,РД[ИМ],$A97,РД[Дом],$C$86,РД[Дата подачи на регистрацию],"&lt;="&amp;$A$1,РД[Дата подачи на регистрацию],"&gt;="&amp;DATE(YEAR($A$1),MONTH($A$1),1))</f>
        <v>0</v>
      </c>
      <c r="T97" s="66"/>
    </row>
    <row r="98" spans="1:21" s="65" customFormat="1">
      <c r="A98" s="150" t="s">
        <v>26</v>
      </c>
      <c r="B98" s="143">
        <f>IFERROR(VLOOKUP(A98,'ИПП 2кв25'!$B$24:$N$35,6,0),"")</f>
        <v>590.96938775510193</v>
      </c>
      <c r="C98" s="144">
        <f>IFERROR(VLOOKUP(A98,'ИПП 2кв25'!$B$24:$N$35,7,0),"")</f>
        <v>77161334.647959173</v>
      </c>
      <c r="D98" s="205">
        <f>SUMIFS(Март255152[м2],Март255152[ИМ],A98,Март255152[№ дома],$C$86,Март255152[Комнатность],"&lt;&gt;Офис")</f>
        <v>319.02000000000004</v>
      </c>
      <c r="E98" s="206">
        <f>SUMIFS(Март255152[Сумма без отделки],Март255152[ИМ],$A98,Март255152[№ дома],$C$86,Март255152[Комнатность],"&lt;&gt;Офис")</f>
        <v>35543274</v>
      </c>
      <c r="F98" s="207">
        <f>COUNTIFS(Март255152[ИМ],$A98,Март255152[№ дома],$C$86,Март255152[Комнатность],"&lt;&gt;Офис")</f>
        <v>5</v>
      </c>
      <c r="G98" s="187">
        <f>SUMIFS(РД[S],РД[Дом],$C$86,РД[ИМ],A98,РД[Дата подачи на регистрацию],"&lt;="&amp;$A$1,РД[Дата подачи на регистрацию],"&gt;="&amp;DATE(YEAR($A$1),MONTH($A$1),1),РД[Состояние],"Продажа")</f>
        <v>319.02000000000004</v>
      </c>
      <c r="H98" s="188">
        <f>SUMIFS(РД[Стоимость без отделки итог],РД[Дом],$C$86,РД[ИМ],A98,РД[Дата подачи на регистрацию],"&lt;="&amp;$A$1,РД[Дата подачи на регистрацию],"&gt;="&amp;DATE(YEAR($A$1),MONTH($A$1),1),РД[Состояние],"Продажа")</f>
        <v>35543274</v>
      </c>
      <c r="I98" s="247">
        <f>COUNTIFS(РД[Дом],$C$86,РД[ИМ],A98,РД[Дата подачи на регистрацию],"&lt;="&amp;$A$1,РД[Дата подачи на регистрацию],"&gt;="&amp;DATE(YEAR($A$1),MONTH($A$1),1),РД[Состояние],"Продажа")</f>
        <v>5</v>
      </c>
      <c r="J98" s="248">
        <f t="shared" si="7"/>
        <v>0.53982491582491599</v>
      </c>
      <c r="K98" s="259">
        <f t="shared" si="7"/>
        <v>0.46063581147426508</v>
      </c>
      <c r="L98" s="187">
        <f>COUNTIFS(РД[Тип кв],L$87,РД[ИМ],$A98,РД[Дом],$C$86,РД[Дата подачи на регистрацию],"&lt;="&amp;$A$1,РД[Дата подачи на регистрацию],"&gt;="&amp;DATE(YEAR($A$1),MONTH($A$1),1))</f>
        <v>0</v>
      </c>
      <c r="M98" s="247">
        <f>COUNTIFS(РД[Тип кв],M$87,РД[ИМ],$A98,РД[Дом],$C$86,РД[Дата подачи на регистрацию],"&lt;="&amp;$A$1,РД[Дата подачи на регистрацию],"&gt;="&amp;DATE(YEAR($A$1),MONTH($A$1),1))</f>
        <v>1</v>
      </c>
      <c r="N98" s="247">
        <f>COUNTIFS(РД[Тип кв],N$87,РД[ИМ],$A98,РД[Дом],$C$86,РД[Дата подачи на регистрацию],"&lt;="&amp;$A$1,РД[Дата подачи на регистрацию],"&gt;="&amp;DATE(YEAR($A$1),MONTH($A$1),1))</f>
        <v>3</v>
      </c>
      <c r="O98" s="247">
        <f>COUNTIFS(РД[Тип кв],O$87,РД[ИМ],$A98,РД[Дом],$C$86,РД[Дата подачи на регистрацию],"&lt;="&amp;$A$1,РД[Дата подачи на регистрацию],"&gt;="&amp;DATE(YEAR($A$1),MONTH($A$1),1))</f>
        <v>1</v>
      </c>
      <c r="P98" s="250">
        <f>COUNTIFS(РД[Тип кв],P$87,РД[ИМ],$A98,РД[Дом],$C$86,РД[Дата подачи на регистрацию],"&lt;="&amp;$A$1,РД[Дата подачи на регистрацию],"&gt;="&amp;DATE(YEAR($A$1),MONTH($A$1),1))</f>
        <v>0</v>
      </c>
      <c r="T98" s="66"/>
    </row>
    <row r="99" spans="1:21" s="65" customFormat="1">
      <c r="A99" s="189" t="s">
        <v>3</v>
      </c>
      <c r="B99" s="190">
        <f>IFERROR(VLOOKUP(A99,'ИПП 2кв25'!$B$24:$N$35,6,0),"")</f>
        <v>0</v>
      </c>
      <c r="C99" s="191">
        <f>IFERROR(VLOOKUP(A99,'ИПП 2кв25'!$B$24:$N$35,7,0),"")</f>
        <v>0</v>
      </c>
      <c r="D99" s="208">
        <f>SUMIFS(Март255152[м2],Март255152[ИМ],A99,Март255152[№ дома],$C$86,Март255152[Комнатность],"&lt;&gt;Офис")</f>
        <v>0</v>
      </c>
      <c r="E99" s="209">
        <f>SUMIFS(Март255152[Сумма без отделки],Март255152[ИМ],$A99,Март255152[№ дома],$C$86,Март255152[Комнатность],"&lt;&gt;Офис")</f>
        <v>0</v>
      </c>
      <c r="F99" s="210">
        <f>COUNTIFS(Март255152[ИМ],$A99,Март255152[№ дома],$C$86,Март255152[Комнатность],"&lt;&gt;Офис")</f>
        <v>0</v>
      </c>
      <c r="G99" s="195">
        <f>SUMIFS(РД[S],РД[Дом],$C$86,РД[ИМ],A99,РД[Дата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H99" s="196">
        <f>SUMIFS(РД[Стоимость без отделки итог],РД[Дом],$C$86,РД[ИМ],A99,РД[Дата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I99" s="251">
        <f>COUNTIFS(РД[Дом],$C$86,РД[ИМ],A99,РД[Дата подачи на регистрацию],"&lt;="&amp;$A$1,РД[Дата подачи на регистрацию],"&gt;="&amp;DATE(YEAR($A$1),MONTH($A$1),1),РД[Состояние],"Продажа")</f>
        <v>0</v>
      </c>
      <c r="J99" s="252" t="str">
        <f t="shared" si="7"/>
        <v/>
      </c>
      <c r="K99" s="260" t="str">
        <f t="shared" si="7"/>
        <v/>
      </c>
      <c r="L99" s="195">
        <f>COUNTIFS(РД[Тип кв],L$87,РД[ИМ],$A99,РД[Дом],$C$86,РД[Дата подачи на регистрацию],"&lt;="&amp;$A$1,РД[Дата подачи на регистрацию],"&gt;="&amp;DATE(YEAR($A$1),MONTH($A$1),1))</f>
        <v>0</v>
      </c>
      <c r="M99" s="251">
        <f>COUNTIFS(РД[Тип кв],M$87,РД[ИМ],$A99,РД[Дом],$C$86,РД[Дата подачи на регистрацию],"&lt;="&amp;$A$1,РД[Дата подачи на регистрацию],"&gt;="&amp;DATE(YEAR($A$1),MONTH($A$1),1))</f>
        <v>0</v>
      </c>
      <c r="N99" s="251">
        <f>COUNTIFS(РД[Тип кв],N$87,РД[ИМ],$A99,РД[Дом],$C$86,РД[Дата подачи на регистрацию],"&lt;="&amp;$A$1,РД[Дата подачи на регистрацию],"&gt;="&amp;DATE(YEAR($A$1),MONTH($A$1),1))</f>
        <v>0</v>
      </c>
      <c r="O99" s="251">
        <f>COUNTIFS(РД[Тип кв],O$87,РД[ИМ],$A99,РД[Дом],$C$86,РД[Дата подачи на регистрацию],"&lt;="&amp;$A$1,РД[Дата подачи на регистрацию],"&gt;="&amp;DATE(YEAR($A$1),MONTH($A$1),1))</f>
        <v>0</v>
      </c>
      <c r="P99" s="254">
        <f>COUNTIFS(РД[Тип кв],P$87,РД[ИМ],$A99,РД[Дом],$C$86,РД[Дата подачи на регистрацию],"&lt;="&amp;$A$1,РД[Дата подачи на регистрацию],"&gt;="&amp;DATE(YEAR($A$1),MONTH($A$1),1))</f>
        <v>0</v>
      </c>
      <c r="Q99" s="86"/>
      <c r="R99" s="86"/>
      <c r="S99" s="86"/>
      <c r="T99" s="66"/>
    </row>
    <row r="100" spans="1:21" s="65" customFormat="1">
      <c r="A100" s="168" t="s">
        <v>114</v>
      </c>
      <c r="B100" s="169">
        <f t="shared" ref="B100:I100" si="8">SUM(B97:B99)</f>
        <v>1072.5</v>
      </c>
      <c r="C100" s="170">
        <f t="shared" si="8"/>
        <v>140033533.25</v>
      </c>
      <c r="D100" s="173">
        <f t="shared" si="8"/>
        <v>604.85</v>
      </c>
      <c r="E100" s="173">
        <f t="shared" si="8"/>
        <v>69955634</v>
      </c>
      <c r="F100" s="171">
        <f t="shared" si="8"/>
        <v>10</v>
      </c>
      <c r="G100" s="172">
        <f t="shared" si="8"/>
        <v>525.41000000000008</v>
      </c>
      <c r="H100" s="173">
        <f t="shared" si="8"/>
        <v>60388566</v>
      </c>
      <c r="I100" s="170">
        <f t="shared" si="8"/>
        <v>9</v>
      </c>
      <c r="J100" s="238">
        <f>IFERROR(G100/B100,)</f>
        <v>0.48989277389277397</v>
      </c>
      <c r="K100" s="239">
        <f>IFERROR(H100/C100,)</f>
        <v>0.43124360714507642</v>
      </c>
      <c r="L100" s="240">
        <f t="shared" ref="L100:P100" si="9">SUM(L97:L99)</f>
        <v>0</v>
      </c>
      <c r="M100" s="241">
        <f t="shared" si="9"/>
        <v>3</v>
      </c>
      <c r="N100" s="241">
        <f t="shared" si="9"/>
        <v>5</v>
      </c>
      <c r="O100" s="241">
        <f t="shared" si="9"/>
        <v>1</v>
      </c>
      <c r="P100" s="242">
        <f t="shared" si="9"/>
        <v>0</v>
      </c>
      <c r="Q100" s="86"/>
      <c r="R100" s="86"/>
      <c r="S100" s="86"/>
      <c r="T100" s="66"/>
    </row>
    <row r="101" spans="1:21" s="65" customFormat="1">
      <c r="A101" s="134"/>
      <c r="B101" s="211"/>
      <c r="C101" s="211"/>
      <c r="D101" s="212"/>
      <c r="E101" s="134"/>
      <c r="F101" s="134"/>
      <c r="G101" s="134"/>
      <c r="H101" s="134"/>
      <c r="I101" s="134"/>
      <c r="J101" s="134"/>
      <c r="K101" s="134"/>
      <c r="L101" s="261"/>
      <c r="M101" s="134"/>
      <c r="N101" s="134"/>
      <c r="O101" s="134"/>
      <c r="P101" s="262"/>
      <c r="Q101" s="134"/>
      <c r="U101" s="66"/>
    </row>
    <row r="102" spans="1:21" s="65" customFormat="1">
      <c r="A102" s="2325" t="s">
        <v>713</v>
      </c>
      <c r="B102" s="2326"/>
      <c r="C102" s="133" t="s">
        <v>19</v>
      </c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263"/>
      <c r="T102" s="66"/>
    </row>
    <row r="103" spans="1:21" s="65" customFormat="1">
      <c r="A103" s="135" t="s">
        <v>1</v>
      </c>
      <c r="B103" s="135" t="s">
        <v>100</v>
      </c>
      <c r="C103" s="136" t="s">
        <v>97</v>
      </c>
      <c r="D103" s="137" t="s">
        <v>494</v>
      </c>
      <c r="E103" s="138" t="s">
        <v>495</v>
      </c>
      <c r="F103" s="139" t="s">
        <v>496</v>
      </c>
      <c r="G103" s="140" t="s">
        <v>101</v>
      </c>
      <c r="H103" s="141" t="s">
        <v>98</v>
      </c>
      <c r="I103" s="141" t="s">
        <v>96</v>
      </c>
      <c r="J103" s="141" t="s">
        <v>715</v>
      </c>
      <c r="K103" s="216" t="s">
        <v>716</v>
      </c>
      <c r="L103" s="217">
        <v>0</v>
      </c>
      <c r="M103" s="218">
        <v>1</v>
      </c>
      <c r="N103" s="218">
        <v>2</v>
      </c>
      <c r="O103" s="218">
        <v>3</v>
      </c>
      <c r="P103" s="219" t="s">
        <v>1367</v>
      </c>
      <c r="Q103" s="134"/>
      <c r="U103" s="66"/>
    </row>
    <row r="104" spans="1:21" s="65" customFormat="1">
      <c r="A104" s="142" t="s">
        <v>28</v>
      </c>
      <c r="B104" s="143">
        <f>IFERROR(VLOOKUP(A104,'ИПП 2кв25'!$B$24:$N$35,8,0),"")</f>
        <v>34</v>
      </c>
      <c r="C104" s="144">
        <f>IFERROR(VLOOKUP(A104,'ИПП 2кв25'!$B$24:$N$35,9,0),"")</f>
        <v>4413940</v>
      </c>
      <c r="D104" s="199">
        <f>SUMIFS(Март255152[м2],Март255152[КТУ],$A104,Март255152[№ дома],$C$102,Март255152[Комнатность],"&lt;&gt;Офис")</f>
        <v>58.59</v>
      </c>
      <c r="E104" s="200">
        <f>SUMIFS(Март255152[Сумма без отделки],Март255152[КТУ],$A104,Март255152[№ дома],$C$102,Март255152[Комнатность],"&lt;&gt;Офис")</f>
        <v>8052600</v>
      </c>
      <c r="F104" s="201">
        <f>COUNTIFS(Март255152[КТУ],$A104,Март255152[№ дома],$C$102,Март255152[Комнатность],"&lt;&gt;Офис")</f>
        <v>1</v>
      </c>
      <c r="G104" s="202">
        <f>SUMIFS(РД[S],РД[Дом],$C$102,РД[МОП],A104,РД[Дата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H104" s="203">
        <f>SUMIFS(РД[Стоимость без отделки итог],РД[Дом],$C$102,РД[МОП],A104,РД[Дата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I104" s="226">
        <f>COUNTIFS(РД[Дом],$C$102,РД[МОП],A104,РД[Дата подачи на регистрацию],"&lt;="&amp;$A$1,РД[Дата подачи на регистрацию],"&gt;="&amp;DATE(YEAR($A$1),MONTH($A$1),1),РД[Состояние],"Продажа")</f>
        <v>0</v>
      </c>
      <c r="J104" s="224">
        <f t="shared" ref="J104:K110" si="10">IFERROR(G104/B104,)</f>
        <v>0</v>
      </c>
      <c r="K104" s="225">
        <f t="shared" si="10"/>
        <v>0</v>
      </c>
      <c r="L104" s="257">
        <f>COUNTIFS(РД[Тип кв],L$87,РД[МОП],$A104,РД[Дом],$C$102,РД[Дата подачи на регистрацию],"&lt;="&amp;$A$1,РД[Дата подачи на регистрацию],"&gt;="&amp;DATE(YEAR($A$1),MONTH($A$1),1))</f>
        <v>0</v>
      </c>
      <c r="M104" s="226">
        <f>COUNTIFS(РД[Тип кв],M$87,РД[МОП],$A104,РД[Дом],$C$102,РД[Дата подачи на регистрацию],"&lt;="&amp;$A$1,РД[Дата подачи на регистрацию],"&gt;="&amp;DATE(YEAR($A$1),MONTH($A$1),1))</f>
        <v>0</v>
      </c>
      <c r="N104" s="226">
        <f>COUNTIFS(РД[Тип кв],N$87,РД[МОП],$A104,РД[Дом],$C$102,РД[Дата подачи на регистрацию],"&lt;="&amp;$A$1,РД[Дата подачи на регистрацию],"&gt;="&amp;DATE(YEAR($A$1),MONTH($A$1),1))</f>
        <v>0</v>
      </c>
      <c r="O104" s="226">
        <f>COUNTIFS(РД[Тип кв],O$87,РД[МОП],$A104,РД[Дом],$C$102,РД[Дата подачи на регистрацию],"&lt;="&amp;$A$1,РД[Дата подачи на регистрацию],"&gt;="&amp;DATE(YEAR($A$1),MONTH($A$1),1))</f>
        <v>0</v>
      </c>
      <c r="P104" s="227">
        <f>COUNTIFS(РД[Тип кв],P$87,РД[МОП],$A104,РД[Дом],$C$102,РД[Дата подачи на регистрацию],"&lt;="&amp;$A$1,РД[Дата подачи на регистрацию],"&gt;="&amp;DATE(YEAR($A$1),MONTH($A$1),1))</f>
        <v>0</v>
      </c>
      <c r="Q104" s="134"/>
      <c r="U104" s="66"/>
    </row>
    <row r="105" spans="1:21" s="65" customFormat="1">
      <c r="A105" s="142" t="s">
        <v>8</v>
      </c>
      <c r="B105" s="143">
        <f>IFERROR(VLOOKUP(A105,'ИПП 2кв25'!$B$24:$N$35,8,0),"")</f>
        <v>34</v>
      </c>
      <c r="C105" s="144">
        <f>IFERROR(VLOOKUP(A105,'ИПП 2кв25'!$B$24:$N$35,9,0),"")</f>
        <v>4413940</v>
      </c>
      <c r="D105" s="199">
        <f>SUMIFS(Март255152[м2],Март255152[КТУ],$A105,Март255152[№ дома],$C$102,Март255152[Комнатность],"&lt;&gt;Офис")</f>
        <v>246.26999999999998</v>
      </c>
      <c r="E105" s="200">
        <f>SUMIFS(Март255152[Сумма без отделки],Март255152[КТУ],$A105,Март255152[№ дома],$C$102,Март255152[Комнатность],"&lt;&gt;Офис")</f>
        <v>33464535</v>
      </c>
      <c r="F105" s="201">
        <f>COUNTIFS(Март255152[КТУ],$A105,Март255152[№ дома],$C$102,Март255152[Комнатность],"&lt;&gt;Офис")</f>
        <v>4</v>
      </c>
      <c r="G105" s="202">
        <f>SUMIFS(РД[S],РД[Дом],$C$102,РД[МОП],A105,РД[Дата подачи на регистрацию],"&lt;="&amp;$A$1,РД[Дата подачи на регистрацию],"&gt;="&amp;DATE(YEAR($A$1),MONTH($A$1),1),РД[Состояние],"Продажа")</f>
        <v>61.41</v>
      </c>
      <c r="H105" s="203">
        <f>SUMIFS(РД[Стоимость без отделки итог],РД[Дом],$C$102,РД[МОП],A105,РД[Дата подачи на регистрацию],"&lt;="&amp;$A$1,РД[Дата подачи на регистрацию],"&gt;="&amp;DATE(YEAR($A$1),MONTH($A$1),1),РД[Состояние],"Продажа")</f>
        <v>7584135</v>
      </c>
      <c r="I105" s="226">
        <f>COUNTIFS(РД[Дом],$C$102,РД[МОП],A105,РД[Дата подачи на регистрацию],"&lt;="&amp;$A$1,РД[Дата подачи на регистрацию],"&gt;="&amp;DATE(YEAR($A$1),MONTH($A$1),1),РД[Состояние],"Продажа")</f>
        <v>1</v>
      </c>
      <c r="J105" s="224">
        <f t="shared" si="10"/>
        <v>1.8061764705882353</v>
      </c>
      <c r="K105" s="225">
        <f t="shared" si="10"/>
        <v>1.7182234013149249</v>
      </c>
      <c r="L105" s="257">
        <f>COUNTIFS(РД[Тип кв],L$87,РД[МОП],$A105,РД[Дом],$C$102,РД[Дата подачи на регистрацию],"&lt;="&amp;$A$1,РД[Дата подачи на регистрацию],"&gt;="&amp;DATE(YEAR($A$1),MONTH($A$1),1))</f>
        <v>0</v>
      </c>
      <c r="M105" s="226">
        <f>COUNTIFS(РД[Тип кв],M$87,РД[МОП],$A105,РД[Дом],$C$102,РД[Дата подачи на регистрацию],"&lt;="&amp;$A$1,РД[Дата подачи на регистрацию],"&gt;="&amp;DATE(YEAR($A$1),MONTH($A$1),1))</f>
        <v>0</v>
      </c>
      <c r="N105" s="226">
        <f>COUNTIFS(РД[Тип кв],N$87,РД[МОП],$A105,РД[Дом],$C$102,РД[Дата подачи на регистрацию],"&lt;="&amp;$A$1,РД[Дата подачи на регистрацию],"&gt;="&amp;DATE(YEAR($A$1),MONTH($A$1),1))</f>
        <v>1</v>
      </c>
      <c r="O105" s="226">
        <f>COUNTIFS(РД[Тип кв],O$87,РД[МОП],$A105,РД[Дом],$C$102,РД[Дата подачи на регистрацию],"&lt;="&amp;$A$1,РД[Дата подачи на регистрацию],"&gt;="&amp;DATE(YEAR($A$1),MONTH($A$1),1))</f>
        <v>0</v>
      </c>
      <c r="P105" s="227">
        <f>COUNTIFS(РД[Тип кв],P$87,РД[МОП],$A105,РД[Дом],$C$102,РД[Дата подачи на регистрацию],"&lt;="&amp;$A$1,РД[Дата подачи на регистрацию],"&gt;="&amp;DATE(YEAR($A$1),MONTH($A$1),1))</f>
        <v>0</v>
      </c>
      <c r="Q105" s="134"/>
      <c r="U105" s="66"/>
    </row>
    <row r="106" spans="1:21" s="65" customFormat="1">
      <c r="A106" s="150" t="s">
        <v>20</v>
      </c>
      <c r="B106" s="143">
        <f>IFERROR(VLOOKUP(A106,'ИПП 2кв25'!$B$24:$N$35,8,0),"")</f>
        <v>34</v>
      </c>
      <c r="C106" s="144">
        <f>IFERROR(VLOOKUP(A106,'ИПП 2кв25'!$B$24:$N$35,9,0),"")</f>
        <v>4413940</v>
      </c>
      <c r="D106" s="199">
        <f>SUMIFS(Март255152[м2],Март255152[КТУ],$A106,Март255152[№ дома],$C$102,Март255152[Комнатность],"&lt;&gt;Офис")</f>
        <v>0</v>
      </c>
      <c r="E106" s="200">
        <f>SUMIFS(Март255152[Сумма без отделки],Март255152[КТУ],$A106,Март255152[№ дома],$C$102,Март255152[Комнатность],"&lt;&gt;Офис")</f>
        <v>0</v>
      </c>
      <c r="F106" s="201">
        <f>COUNTIFS(Март255152[КТУ],$A106,Март255152[№ дома],$C$102,Март255152[Комнатность],"&lt;&gt;Офис")</f>
        <v>0</v>
      </c>
      <c r="G106" s="202">
        <f>SUMIFS(РД[S],РД[Дом],$C$102,РД[МОП],A106,РД[Дата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203">
        <f>SUMIFS(РД[Стоимость без отделки итог],РД[Дом],$C$102,РД[МОП],A106,РД[Дата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6">
        <f>COUNTIFS(РД[Дом],$C$102,РД[МОП],A106,РД[Дата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24">
        <f t="shared" si="10"/>
        <v>0</v>
      </c>
      <c r="K106" s="225">
        <f t="shared" si="10"/>
        <v>0</v>
      </c>
      <c r="L106" s="257">
        <f>COUNTIFS(РД[Тип кв],L$87,РД[МОП],$A106,РД[Дом],$C$102,РД[Дата подачи на регистрацию],"&lt;="&amp;$A$1,РД[Дата подачи на регистрацию],"&gt;="&amp;DATE(YEAR($A$1),MONTH($A$1),1))</f>
        <v>0</v>
      </c>
      <c r="M106" s="226">
        <f>COUNTIFS(РД[Тип кв],M$87,РД[МОП],$A106,РД[Дом],$C$102,РД[Дата подачи на регистрацию],"&lt;="&amp;$A$1,РД[Дата подачи на регистрацию],"&gt;="&amp;DATE(YEAR($A$1),MONTH($A$1),1))</f>
        <v>0</v>
      </c>
      <c r="N106" s="226">
        <f>COUNTIFS(РД[Тип кв],N$87,РД[МОП],$A106,РД[Дом],$C$102,РД[Дата подачи на регистрацию],"&lt;="&amp;$A$1,РД[Дата подачи на регистрацию],"&gt;="&amp;DATE(YEAR($A$1),MONTH($A$1),1))</f>
        <v>0</v>
      </c>
      <c r="O106" s="226">
        <f>COUNTIFS(РД[Тип кв],O$87,РД[МОП],$A106,РД[Дом],$C$102,РД[Дата подачи на регистрацию],"&lt;="&amp;$A$1,РД[Дата подачи на регистрацию],"&gt;="&amp;DATE(YEAR($A$1),MONTH($A$1),1))</f>
        <v>0</v>
      </c>
      <c r="P106" s="227">
        <f>COUNTIFS(РД[Тип кв],P$87,РД[МОП],$A106,РД[Дом],$C$102,РД[Дата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153" t="s">
        <v>24</v>
      </c>
      <c r="B107" s="143">
        <f>IFERROR(VLOOKUP(A107,'ИПП 2кв25'!$B$24:$N$35,8,0),"")</f>
        <v>34</v>
      </c>
      <c r="C107" s="144">
        <f>IFERROR(VLOOKUP(A107,'ИПП 2кв25'!$B$24:$N$35,9,0),"")</f>
        <v>4413940</v>
      </c>
      <c r="D107" s="199">
        <f>SUMIFS(Март255152[м2],Март255152[КТУ],$A107,Март255152[№ дома],$C$102,Март255152[Комнатность],"&lt;&gt;Офис")</f>
        <v>0</v>
      </c>
      <c r="E107" s="200">
        <f>SUMIFS(Март255152[Сумма без отделки],Март255152[КТУ],$A107,Март255152[№ дома],$C$102,Март255152[Комнатность],"&lt;&gt;Офис")</f>
        <v>0</v>
      </c>
      <c r="F107" s="201">
        <f>COUNTIFS(Март255152[КТУ],$A107,Март255152[№ дома],$C$102,Март255152[Комнатность],"&lt;&gt;Офис")</f>
        <v>0</v>
      </c>
      <c r="G107" s="202">
        <f>SUMIFS(РД[S],РД[Дом],$C$102,РД[МОП],A107,РД[Дата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203">
        <f>SUMIFS(РД[Стоимость без отделки итог],РД[Дом],$C$102,РД[МОП],A107,РД[Дата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26">
        <f>COUNTIFS(РД[Дом],$C$102,РД[МОП],A107,РД[Дата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24">
        <f t="shared" si="10"/>
        <v>0</v>
      </c>
      <c r="K107" s="225">
        <f t="shared" si="10"/>
        <v>0</v>
      </c>
      <c r="L107" s="257">
        <f>COUNTIFS(РД[Тип кв],L$87,РД[МОП],$A107,РД[Дом],$C$102,РД[Дата подачи на регистрацию],"&lt;="&amp;$A$1,РД[Дата подачи на регистрацию],"&gt;="&amp;DATE(YEAR($A$1),MONTH($A$1),1))</f>
        <v>0</v>
      </c>
      <c r="M107" s="226">
        <f>COUNTIFS(РД[Тип кв],M$87,РД[МОП],$A107,РД[Дом],$C$102,РД[Дата подачи на регистрацию],"&lt;="&amp;$A$1,РД[Дата подачи на регистрацию],"&gt;="&amp;DATE(YEAR($A$1),MONTH($A$1),1))</f>
        <v>0</v>
      </c>
      <c r="N107" s="226">
        <f>COUNTIFS(РД[Тип кв],N$87,РД[МОП],$A107,РД[Дом],$C$102,РД[Дата подачи на регистрацию],"&lt;="&amp;$A$1,РД[Дата подачи на регистрацию],"&gt;="&amp;DATE(YEAR($A$1),MONTH($A$1),1))</f>
        <v>0</v>
      </c>
      <c r="O107" s="226">
        <f>COUNTIFS(РД[Тип кв],O$87,РД[МОП],$A107,РД[Дом],$C$102,РД[Дата подачи на регистрацию],"&lt;="&amp;$A$1,РД[Дата подачи на регистрацию],"&gt;="&amp;DATE(YEAR($A$1),MONTH($A$1),1))</f>
        <v>0</v>
      </c>
      <c r="P107" s="227">
        <f>COUNTIFS(РД[Тип кв],P$87,РД[МОП],$A107,РД[Дом],$C$102,РД[Дата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153" t="s">
        <v>14</v>
      </c>
      <c r="B108" s="143">
        <f>IFERROR(VLOOKUP(A108,'ИПП 2кв25'!$B$24:$N$35,8,0),"")</f>
        <v>34</v>
      </c>
      <c r="C108" s="144">
        <f>IFERROR(VLOOKUP(A108,'ИПП 2кв25'!$B$24:$N$35,9,0),"")</f>
        <v>4413940</v>
      </c>
      <c r="D108" s="299">
        <f>SUMIFS(Март255152[м2],Март255152[КТУ],$A108,Март255152[№ дома],$C$102,Март255152[Комнатность],"&lt;&gt;Офис")</f>
        <v>0</v>
      </c>
      <c r="E108" s="300">
        <f>SUMIFS(Март255152[Сумма без отделки],Март255152[КТУ],$A108,Март255152[№ дома],$C$102,Март255152[Комнатность],"&lt;&gt;Офис")</f>
        <v>0</v>
      </c>
      <c r="F108" s="301">
        <f>COUNTIFS(Март255152[КТУ],$A108,Март255152[№ дома],$C$102,Март255152[Комнатность],"&lt;&gt;Офис")</f>
        <v>0</v>
      </c>
      <c r="G108" s="358">
        <f>SUMIFS(РД[S],РД[Дом],$C$102,РД[МОП],A108,РД[Дата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H108" s="359">
        <f>SUMIFS(РД[Стоимость без отделки итог],РД[Дом],$C$102,РД[МОП],A108,РД[Дата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I108" s="330">
        <f>COUNTIFS(РД[Дом],$C$102,РД[МОП],A108,РД[Дата подачи на регистрацию],"&lt;="&amp;$A$1,РД[Дата подачи на регистрацию],"&gt;="&amp;DATE(YEAR($A$1),MONTH($A$1),1),РД[Состояние],"Продажа")</f>
        <v>0</v>
      </c>
      <c r="J108" s="360">
        <f t="shared" si="10"/>
        <v>0</v>
      </c>
      <c r="K108" s="361">
        <f t="shared" si="10"/>
        <v>0</v>
      </c>
      <c r="L108" s="329">
        <f>COUNTIFS(РД[Тип кв],L$87,РД[МОП],$A108,РД[Дом],$C$102,РД[Дата подачи на регистрацию],"&lt;="&amp;$A$1,РД[Дата подачи на регистрацию],"&gt;="&amp;DATE(YEAR($A$1),MONTH($A$1),1))</f>
        <v>0</v>
      </c>
      <c r="M108" s="330">
        <f>COUNTIFS(РД[Тип кв],M$87,РД[МОП],$A108,РД[Дом],$C$102,РД[Дата подачи на регистрацию],"&lt;="&amp;$A$1,РД[Дата подачи на регистрацию],"&gt;="&amp;DATE(YEAR($A$1),MONTH($A$1),1))</f>
        <v>0</v>
      </c>
      <c r="N108" s="330">
        <f>COUNTIFS(РД[Тип кв],N$87,РД[МОП],$A108,РД[Дом],$C$102,РД[Дата подачи на регистрацию],"&lt;="&amp;$A$1,РД[Дата подачи на регистрацию],"&gt;="&amp;DATE(YEAR($A$1),MONTH($A$1),1))</f>
        <v>0</v>
      </c>
      <c r="O108" s="330">
        <f>COUNTIFS(РД[Тип кв],O$87,РД[МОП],$A108,РД[Дом],$C$102,РД[Дата подачи на регистрацию],"&lt;="&amp;$A$1,РД[Дата подачи на регистрацию],"&gt;="&amp;DATE(YEAR($A$1),MONTH($A$1),1))</f>
        <v>0</v>
      </c>
      <c r="P108" s="331">
        <f>COUNTIFS(РД[Тип кв],P$87,РД[МОП],$A108,РД[Дом],$C$102,РД[Дата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154" t="s">
        <v>29</v>
      </c>
      <c r="B109" s="155"/>
      <c r="C109" s="156"/>
      <c r="D109" s="157">
        <f>SUMIFS(Март255152[м2],Март255152[КТУ],$A109,Март255152[№ дома],$C$102,Март255152[Комнатность],"&lt;&gt;Офис")</f>
        <v>0</v>
      </c>
      <c r="E109" s="156">
        <f>SUMIFS(Март255152[Сумма без отделки],Март255152[КТУ],$A109,Март255152[№ дома],$C$102,Март255152[Комнатность],"&lt;&gt;Офис")</f>
        <v>0</v>
      </c>
      <c r="F109" s="158">
        <f>COUNTIFS(Март255152[КТУ],$A109,Март255152[№ дома],$C$102,Март255152[Комнатность],"&lt;&gt;Офис")</f>
        <v>0</v>
      </c>
      <c r="G109" s="159">
        <f>SUMIFS(РД[S],РД[Дом],$C$102,РД[МОП],A109,РД[Дата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160">
        <f>SUMIFS(РД[Стоимость без отделки итог],РД[Дом],$C$102,РД[МОП],A109,РД[Дата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228">
        <f>COUNTIFS(РД[Дом],$C$102,РД[МОП],A109,РД[Дата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229">
        <f t="shared" si="10"/>
        <v>0</v>
      </c>
      <c r="K109" s="230">
        <f t="shared" si="10"/>
        <v>0</v>
      </c>
      <c r="L109" s="159">
        <f>COUNTIFS(РД[Тип кв],L$87,РД[МОП],$A109,РД[Дом],$C$102,РД[Дата подачи на регистрацию],"&lt;="&amp;$A$1,РД[Дата подачи на регистрацию],"&gt;="&amp;DATE(YEAR($A$1),MONTH($A$1),1))</f>
        <v>0</v>
      </c>
      <c r="M109" s="228">
        <f>COUNTIFS(РД[Тип кв],M$87,РД[МОП],$A109,РД[Дом],$C$102,РД[Дата подачи на регистрацию],"&lt;="&amp;$A$1,РД[Дата подачи на регистрацию],"&gt;="&amp;DATE(YEAR($A$1),MONTH($A$1),1))</f>
        <v>0</v>
      </c>
      <c r="N109" s="228">
        <f>COUNTIFS(РД[Тип кв],N$87,РД[МОП],$A109,РД[Дом],$C$102,РД[Дата подачи на регистрацию],"&lt;="&amp;$A$1,РД[Дата подачи на регистрацию],"&gt;="&amp;DATE(YEAR($A$1),MONTH($A$1),1))</f>
        <v>0</v>
      </c>
      <c r="O109" s="228">
        <f>COUNTIFS(РД[Тип кв],O$87,РД[МОП],$A109,РД[Дом],$C$102,РД[Дата подачи на регистрацию],"&lt;="&amp;$A$1,РД[Дата подачи на регистрацию],"&gt;="&amp;DATE(YEAR($A$1),MONTH($A$1),1))</f>
        <v>0</v>
      </c>
      <c r="P109" s="231">
        <f>COUNTIFS(РД[Тип кв],P$87,РД[МОП],$A109,РД[Дом],$C$102,РД[Дата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161" t="s">
        <v>1919</v>
      </c>
      <c r="B110" s="162"/>
      <c r="C110" s="163"/>
      <c r="D110" s="164">
        <f>SUMIFS(Март255152[м2],Март255152[МОП],$A110,Март255152[№ дома],$C$102,Март255152[Комнатность],"&lt;&gt;Офис")</f>
        <v>0</v>
      </c>
      <c r="E110" s="163">
        <f>SUMIFS(Март255152[Сумма без отделки],Март255152[МОП],$A110,Март255152[№ дома],$C$102,Март255152[Комнатность],"&lt;&gt;Офис")</f>
        <v>0</v>
      </c>
      <c r="F110" s="165">
        <f>COUNTIFS(Март255152[МОП],$A110,Март255152[№ дома],$C$102,Март255152[Комнатность],"&lt;&gt;Офис")</f>
        <v>0</v>
      </c>
      <c r="G110" s="166">
        <f>SUMIFS(РД[S],РД[Дом],$C$102,РД[МОП],A110,РД[Дата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167">
        <f>SUMIFS(РД[Стоимость без отделки итог],РД[Дом],$C$102,РД[МОП],A110,РД[Дата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32">
        <f>COUNTIFS(РД[Дом],$C$102,РД[МОП],A110,РД[Дата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33">
        <f t="shared" si="10"/>
        <v>0</v>
      </c>
      <c r="K110" s="234">
        <f t="shared" si="10"/>
        <v>0</v>
      </c>
      <c r="L110" s="235">
        <f>COUNTIFS(РД[Тип кв],L$87,РД[МОП],$A110,РД[Дом],$C$102,РД[Дата подачи на регистрацию],"&lt;="&amp;$A$1,РД[Дата подачи на регистрацию],"&gt;="&amp;DATE(YEAR($A$1),MONTH($A$1),1))</f>
        <v>0</v>
      </c>
      <c r="M110" s="236">
        <f>COUNTIFS(РД[Тип кв],M$87,РД[МОП],$A110,РД[Дом],$C$102,РД[Дата подачи на регистрацию],"&lt;="&amp;$A$1,РД[Дата подачи на регистрацию],"&gt;="&amp;DATE(YEAR($A$1),MONTH($A$1),1))</f>
        <v>0</v>
      </c>
      <c r="N110" s="236">
        <f>COUNTIFS(РД[Тип кв],N$87,РД[МОП],$A110,РД[Дом],$C$102,РД[Дата подачи на регистрацию],"&lt;="&amp;$A$1,РД[Дата подачи на регистрацию],"&gt;="&amp;DATE(YEAR($A$1),MONTH($A$1),1))</f>
        <v>0</v>
      </c>
      <c r="O110" s="236">
        <f>COUNTIFS(РД[Тип кв],O$87,РД[МОП],$A110,РД[Дом],$C$102,РД[Дата подачи на регистрацию],"&lt;="&amp;$A$1,РД[Дата подачи на регистрацию],"&gt;="&amp;DATE(YEAR($A$1),MONTH($A$1),1))</f>
        <v>0</v>
      </c>
      <c r="P110" s="237">
        <f>COUNTIFS(РД[Тип кв],P$87,РД[МОП],$A110,РД[Дом],$C$102,РД[Дата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168" t="s">
        <v>114</v>
      </c>
      <c r="B111" s="169">
        <f t="shared" ref="B111:I111" si="11">SUM(B104:B110)</f>
        <v>170</v>
      </c>
      <c r="C111" s="170">
        <f t="shared" si="11"/>
        <v>22069700</v>
      </c>
      <c r="D111" s="170">
        <f t="shared" si="11"/>
        <v>304.86</v>
      </c>
      <c r="E111" s="170">
        <f t="shared" si="11"/>
        <v>41517135</v>
      </c>
      <c r="F111" s="171">
        <f t="shared" si="11"/>
        <v>5</v>
      </c>
      <c r="G111" s="172">
        <f t="shared" si="11"/>
        <v>61.41</v>
      </c>
      <c r="H111" s="173">
        <f t="shared" si="11"/>
        <v>7584135</v>
      </c>
      <c r="I111" s="170">
        <f t="shared" si="11"/>
        <v>1</v>
      </c>
      <c r="J111" s="238">
        <f t="shared" ref="J111:K111" si="12">IFERROR(G111/B111,"")</f>
        <v>0.36123529411764704</v>
      </c>
      <c r="K111" s="239">
        <f t="shared" si="12"/>
        <v>0.343644680262985</v>
      </c>
      <c r="L111" s="240">
        <f>SUM(L104:L110)</f>
        <v>0</v>
      </c>
      <c r="M111" s="241">
        <f>SUM(M104:M110)</f>
        <v>0</v>
      </c>
      <c r="N111" s="241">
        <f>SUM(N104:N110)</f>
        <v>1</v>
      </c>
      <c r="O111" s="241">
        <f>SUM(O104:O110)</f>
        <v>0</v>
      </c>
      <c r="P111" s="242">
        <f>SUM(P104:P110)</f>
        <v>0</v>
      </c>
      <c r="Q111" s="134"/>
      <c r="U111" s="66"/>
    </row>
    <row r="112" spans="1:21" s="65" customFormat="1">
      <c r="A112" s="135" t="s">
        <v>115</v>
      </c>
      <c r="B112" s="213" t="s">
        <v>100</v>
      </c>
      <c r="C112" s="214" t="s">
        <v>97</v>
      </c>
      <c r="D112" s="174" t="s">
        <v>494</v>
      </c>
      <c r="E112" s="175" t="s">
        <v>495</v>
      </c>
      <c r="F112" s="176" t="s">
        <v>496</v>
      </c>
      <c r="G112" s="140" t="s">
        <v>101</v>
      </c>
      <c r="H112" s="141" t="s">
        <v>98</v>
      </c>
      <c r="I112" s="141" t="s">
        <v>96</v>
      </c>
      <c r="J112" s="141" t="s">
        <v>715</v>
      </c>
      <c r="K112" s="216" t="s">
        <v>716</v>
      </c>
      <c r="L112" s="217">
        <v>0</v>
      </c>
      <c r="M112" s="218">
        <v>1</v>
      </c>
      <c r="N112" s="218">
        <v>2</v>
      </c>
      <c r="O112" s="218">
        <v>3</v>
      </c>
      <c r="P112" s="219" t="s">
        <v>1367</v>
      </c>
      <c r="Q112" s="134"/>
      <c r="U112" s="66"/>
    </row>
    <row r="113" spans="1:21" s="65" customFormat="1">
      <c r="A113" s="177" t="s">
        <v>22</v>
      </c>
      <c r="B113" s="178">
        <f>IFERROR(VLOOKUP(A113,'ИПП 2кв25'!$B$24:$N$35,8,0),"")</f>
        <v>49.612244897959187</v>
      </c>
      <c r="C113" s="179">
        <f>IFERROR(VLOOKUP(A113,'ИПП 2кв25'!$B$24:$N$35,9,0),"")</f>
        <v>6440749.1836734693</v>
      </c>
      <c r="D113" s="180">
        <f>SUMIFS(Март255152[м2],Март255152[ИМ],A113,Март255152[№ дома],$C$102,Март255152[Комнатность],"&lt;&gt;Офис")</f>
        <v>130</v>
      </c>
      <c r="E113" s="181">
        <f>SUMIFS(Март255152[Сумма без отделки],Март255152[ИМ],$A113,Март255152[№ дома],$C$102,Март255152[Комнатность],"&lt;&gt;Офис")</f>
        <v>18050000</v>
      </c>
      <c r="F113" s="204">
        <f>COUNTIFS(Март255152[ИМ],$A113,Март255152[№ дома],$C$102,Март255152[Комнатность],"&lt;&gt;Офис")</f>
        <v>2</v>
      </c>
      <c r="G113" s="183">
        <f>SUMIFS(РД[S],РД[Дом],$C$102,РД[ИМ],A113,РД[Дата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H113" s="184">
        <f>SUMIFS(РД[Стоимость без отделки итог],РД[Дом],$C$102,РД[ИМ],A113,РД[Дата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I113" s="243">
        <f>COUNTIFS(РД[Дом],$C$102,РД[ИМ],A113,РД[Дата подачи на регистрацию],"&lt;="&amp;$A$1,РД[Дата подачи на регистрацию],"&gt;="&amp;DATE(YEAR($A$1),MONTH($A$1),1),РД[Состояние],"Продажа")</f>
        <v>0</v>
      </c>
      <c r="J113" s="244">
        <f t="shared" ref="J113:K115" si="13">IFERROR(G113/B113,"")</f>
        <v>0</v>
      </c>
      <c r="K113" s="258">
        <f t="shared" si="13"/>
        <v>0</v>
      </c>
      <c r="L113" s="183">
        <f>COUNTIFS(РД[Тип кв],L103,РД[ИМ],$A113,РД[Дом],$C$102,РД[Дата подачи на регистрацию],"&lt;="&amp;$A$1,РД[Дата подачи на регистрацию],"&gt;="&amp;DATE(YEAR($A$1),MONTH($A$1),1))</f>
        <v>0</v>
      </c>
      <c r="M113" s="243">
        <f>COUNTIFS(РД[Тип кв],M103,РД[ИМ],$A113,РД[Дом],$C$102,РД[Дата подачи на регистрацию],"&lt;="&amp;$A$1,РД[Дата подачи на регистрацию],"&gt;="&amp;DATE(YEAR($A$1),MONTH($A$1),1))</f>
        <v>0</v>
      </c>
      <c r="N113" s="243">
        <f>COUNTIFS(РД[Тип кв],N103,РД[ИМ],$A113,РД[Дом],$C$102,РД[Дата подачи на регистрацию],"&lt;="&amp;$A$1,РД[Дата подачи на регистрацию],"&gt;="&amp;DATE(YEAR($A$1),MONTH($A$1),1))</f>
        <v>0</v>
      </c>
      <c r="O113" s="243">
        <f>COUNTIFS(РД[Тип кв],O103,РД[ИМ],$A113,РД[Дом],$C$102,РД[Дата подачи на регистрацию],"&lt;="&amp;$A$1,РД[Дата подачи на регистрацию],"&gt;="&amp;DATE(YEAR($A$1),MONTH($A$1),1))</f>
        <v>0</v>
      </c>
      <c r="P113" s="246">
        <f>COUNTIFS(РД[Тип кв],P103,РД[ИМ],$A113,РД[Дом],$C$102,РД[Дата подачи на регистрацию],"&lt;="&amp;$A$1,РД[Дата подачи на регистрацию],"&gt;="&amp;DATE(YEAR($A$1),MONTH($A$1),1))</f>
        <v>0</v>
      </c>
      <c r="Q113" s="134"/>
      <c r="U113" s="66"/>
    </row>
    <row r="114" spans="1:21" s="65" customFormat="1">
      <c r="A114" s="150" t="s">
        <v>26</v>
      </c>
      <c r="B114" s="143">
        <f>IFERROR(VLOOKUP(A114,'ИПП 2кв25'!$B$24:$N$35,8,0),"")</f>
        <v>60.887755102040813</v>
      </c>
      <c r="C114" s="144">
        <f>IFERROR(VLOOKUP(A114,'ИПП 2кв25'!$B$24:$N$35,9,0),"")</f>
        <v>7904555.8163265297</v>
      </c>
      <c r="D114" s="205">
        <f>SUMIFS(Март255152[м2],Март255152[ИМ],A114,Март255152[№ дома],$C$102,Март255152[Комнатность],"&lt;&gt;Офис")</f>
        <v>174.86</v>
      </c>
      <c r="E114" s="206">
        <f>SUMIFS(Март255152[Сумма без отделки],Март255152[ИМ],$A114,Март255152[№ дома],$C$102,Март255152[Комнатность],"&lt;&gt;Офис")</f>
        <v>23467135</v>
      </c>
      <c r="F114" s="207">
        <f>COUNTIFS(Март255152[ИМ],$A114,Март255152[№ дома],$C$102,Март255152[Комнатность],"&lt;&gt;Офис")</f>
        <v>3</v>
      </c>
      <c r="G114" s="187">
        <f>SUMIFS(РД[S],РД[Дом],$C$102,РД[ИМ],A114,РД[Дата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H114" s="188">
        <f>SUMIFS(РД[Стоимость без отделки итог],РД[Дом],$C$102,РД[ИМ],A114,РД[Дата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I114" s="247">
        <f>COUNTIFS(РД[Дом],$C$102,РД[ИМ],A114,РД[Дата подачи на регистрацию],"&lt;="&amp;$A$1,РД[Дата подачи на регистрацию],"&gt;="&amp;DATE(YEAR($A$1),MONTH($A$1),1),РД[Состояние],"Продажа")</f>
        <v>0</v>
      </c>
      <c r="J114" s="248">
        <f t="shared" si="13"/>
        <v>0</v>
      </c>
      <c r="K114" s="259">
        <f t="shared" si="13"/>
        <v>0</v>
      </c>
      <c r="L114" s="187">
        <f>COUNTIFS(РД[Тип кв],L$87,РД[ИМ],$A114,РД[Дом],$C$102,РД[Дата подачи на регистрацию],"&lt;="&amp;$A$1,РД[Дата подачи на регистрацию],"&gt;="&amp;DATE(YEAR($A$1),MONTH($A$1),1))</f>
        <v>0</v>
      </c>
      <c r="M114" s="247">
        <f>COUNTIFS(РД[Тип кв],M$87,РД[ИМ],$A114,РД[Дом],$C$102,РД[Дата подачи на регистрацию],"&lt;="&amp;$A$1,РД[Дата подачи на регистрацию],"&gt;="&amp;DATE(YEAR($A$1),MONTH($A$1),1))</f>
        <v>0</v>
      </c>
      <c r="N114" s="247">
        <f>COUNTIFS(РД[Тип кв],N$87,РД[ИМ],$A114,РД[Дом],$C$102,РД[Дата подачи на регистрацию],"&lt;="&amp;$A$1,РД[Дата подачи на регистрацию],"&gt;="&amp;DATE(YEAR($A$1),MONTH($A$1),1))</f>
        <v>0</v>
      </c>
      <c r="O114" s="247">
        <f>COUNTIFS(РД[Тип кв],O$87,РД[ИМ],$A114,РД[Дом],$C$102,РД[Дата подачи на регистрацию],"&lt;="&amp;$A$1,РД[Дата подачи на регистрацию],"&gt;="&amp;DATE(YEAR($A$1),MONTH($A$1),1))</f>
        <v>0</v>
      </c>
      <c r="P114" s="250">
        <f>COUNTIFS(РД[Тип кв],P$87,РД[ИМ],$A114,РД[Дом],$C$102,РД[Дата подачи на регистрацию],"&lt;="&amp;$A$1,РД[Дата подачи на регистрацию],"&gt;="&amp;DATE(YEAR($A$1),MONTH($A$1),1))</f>
        <v>0</v>
      </c>
      <c r="Q114" s="134"/>
      <c r="U114" s="66"/>
    </row>
    <row r="115" spans="1:21" s="65" customFormat="1">
      <c r="A115" s="189" t="s">
        <v>3</v>
      </c>
      <c r="B115" s="190">
        <f>IFERROR(VLOOKUP(A115,'ИПП 2кв25'!$B$24:$N$35,8,0),"")</f>
        <v>0</v>
      </c>
      <c r="C115" s="191">
        <f>IFERROR(VLOOKUP(A115,'ИПП 2кв25'!$B$24:$N$35,9,0),"")</f>
        <v>0</v>
      </c>
      <c r="D115" s="208">
        <f>SUMIFS(Март255152[м2],Март255152[ИМ],A115,Март255152[№ дома],$C$102,Март255152[Комнатность],"&lt;&gt;Офис")</f>
        <v>0</v>
      </c>
      <c r="E115" s="209">
        <f>SUMIFS(Март255152[Сумма без отделки],Март255152[ИМ],$A115,Март255152[№ дома],$C$102,Март255152[Комнатность],"&lt;&gt;Офис")</f>
        <v>0</v>
      </c>
      <c r="F115" s="210">
        <f>COUNTIFS(Март255152[ИМ],$A115,Март255152[№ дома],$C$102,Март255152[Комнатность],"&lt;&gt;Офис")</f>
        <v>0</v>
      </c>
      <c r="G115" s="195">
        <f>SUMIFS(РД[S],РД[Дом],$C$102,РД[ИМ],A115,РД[Дата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H115" s="196">
        <f>SUMIFS(РД[Стоимость без отделки итог],РД[Дом],$C$102,РД[ИМ],A115,РД[Дата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I115" s="251">
        <f>COUNTIFS(РД[Дом],$C$102,РД[ИМ],A115,РД[Дата подачи на регистрацию],"&lt;="&amp;$A$1,РД[Дата подачи на регистрацию],"&gt;="&amp;DATE(YEAR($A$1),MONTH($A$1),1),РД[Состояние],"Продажа")</f>
        <v>0</v>
      </c>
      <c r="J115" s="252" t="str">
        <f t="shared" si="13"/>
        <v/>
      </c>
      <c r="K115" s="260" t="str">
        <f t="shared" si="13"/>
        <v/>
      </c>
      <c r="L115" s="195">
        <f>COUNTIFS(РД[Тип кв],L$87,РД[ИМ],$A115,РД[Дом],$C$102,РД[Дата подачи на регистрацию],"&lt;="&amp;$A$1,РД[Дата подачи на регистрацию],"&gt;="&amp;DATE(YEAR($A$1),MONTH($A$1),1))</f>
        <v>0</v>
      </c>
      <c r="M115" s="251">
        <f>COUNTIFS(РД[Тип кв],M$87,РД[ИМ],$A115,РД[Дом],$C$102,РД[Дата подачи на регистрацию],"&lt;="&amp;$A$1,РД[Дата подачи на регистрацию],"&gt;="&amp;DATE(YEAR($A$1),MONTH($A$1),1))</f>
        <v>0</v>
      </c>
      <c r="N115" s="251">
        <f>COUNTIFS(РД[Тип кв],N$87,РД[ИМ],$A115,РД[Дом],$C$102,РД[Дата подачи на регистрацию],"&lt;="&amp;$A$1,РД[Дата подачи на регистрацию],"&gt;="&amp;DATE(YEAR($A$1),MONTH($A$1),1))</f>
        <v>0</v>
      </c>
      <c r="O115" s="251">
        <f>COUNTIFS(РД[Тип кв],O$87,РД[ИМ],$A115,РД[Дом],$C$102,РД[Дата подачи на регистрацию],"&lt;="&amp;$A$1,РД[Дата подачи на регистрацию],"&gt;="&amp;DATE(YEAR($A$1),MONTH($A$1),1))</f>
        <v>0</v>
      </c>
      <c r="P115" s="254">
        <f>COUNTIFS(РД[Тип кв],P$87,РД[ИМ],$A115,РД[Дом],$C$102,РД[Дата подачи на регистрацию],"&lt;="&amp;$A$1,РД[Дата подачи на регистрацию],"&gt;="&amp;DATE(YEAR($A$1),MONTH($A$1),1))</f>
        <v>0</v>
      </c>
      <c r="Q115" s="134"/>
      <c r="U115" s="66"/>
    </row>
    <row r="116" spans="1:21" s="65" customFormat="1">
      <c r="A116" s="168" t="s">
        <v>114</v>
      </c>
      <c r="B116" s="169">
        <f t="shared" ref="B116:I116" si="14">SUM(B113:B115)</f>
        <v>110.5</v>
      </c>
      <c r="C116" s="170">
        <f t="shared" si="14"/>
        <v>14345305</v>
      </c>
      <c r="D116" s="170">
        <f t="shared" si="14"/>
        <v>304.86</v>
      </c>
      <c r="E116" s="170">
        <f t="shared" si="14"/>
        <v>41517135</v>
      </c>
      <c r="F116" s="171">
        <f t="shared" si="14"/>
        <v>5</v>
      </c>
      <c r="G116" s="172">
        <f t="shared" si="14"/>
        <v>0</v>
      </c>
      <c r="H116" s="173">
        <f t="shared" si="14"/>
        <v>0</v>
      </c>
      <c r="I116" s="170">
        <f t="shared" si="14"/>
        <v>0</v>
      </c>
      <c r="J116" s="238">
        <f>IFERROR(G116/B116,)</f>
        <v>0</v>
      </c>
      <c r="K116" s="239">
        <f>IFERROR(H116/C116,)</f>
        <v>0</v>
      </c>
      <c r="L116" s="240">
        <f t="shared" ref="L116:P116" si="15">SUM(L113:L115)</f>
        <v>0</v>
      </c>
      <c r="M116" s="241">
        <f t="shared" si="15"/>
        <v>0</v>
      </c>
      <c r="N116" s="241">
        <f t="shared" si="15"/>
        <v>0</v>
      </c>
      <c r="O116" s="241">
        <f t="shared" si="15"/>
        <v>0</v>
      </c>
      <c r="P116" s="242">
        <f t="shared" si="15"/>
        <v>0</v>
      </c>
      <c r="Q116" s="134"/>
      <c r="U116" s="66"/>
    </row>
    <row r="117" spans="1:21" s="65" customFormat="1">
      <c r="A117" s="134"/>
      <c r="B117" s="197"/>
      <c r="C117" s="197"/>
      <c r="D117" s="197"/>
      <c r="E117" s="197"/>
      <c r="F117" s="215"/>
      <c r="G117" s="197"/>
      <c r="H117" s="197"/>
      <c r="I117" s="215"/>
      <c r="J117" s="255"/>
      <c r="K117" s="256"/>
      <c r="L117" s="215"/>
      <c r="M117" s="215"/>
      <c r="N117" s="215"/>
      <c r="O117" s="215"/>
      <c r="P117" s="215"/>
      <c r="Q117" s="134"/>
      <c r="U117" s="66"/>
    </row>
    <row r="118" spans="1:21" s="65" customFormat="1">
      <c r="A118" s="2325" t="s">
        <v>713</v>
      </c>
      <c r="B118" s="2326"/>
      <c r="C118" s="133" t="s">
        <v>23</v>
      </c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U118" s="66"/>
    </row>
    <row r="119" spans="1:21" s="65" customFormat="1">
      <c r="A119" s="135" t="s">
        <v>1</v>
      </c>
      <c r="B119" s="135" t="s">
        <v>100</v>
      </c>
      <c r="C119" s="136" t="s">
        <v>97</v>
      </c>
      <c r="D119" s="137" t="s">
        <v>494</v>
      </c>
      <c r="E119" s="138" t="s">
        <v>495</v>
      </c>
      <c r="F119" s="139" t="s">
        <v>496</v>
      </c>
      <c r="G119" s="140" t="s">
        <v>101</v>
      </c>
      <c r="H119" s="141" t="s">
        <v>98</v>
      </c>
      <c r="I119" s="141" t="s">
        <v>96</v>
      </c>
      <c r="J119" s="141" t="s">
        <v>715</v>
      </c>
      <c r="K119" s="216" t="s">
        <v>716</v>
      </c>
      <c r="L119" s="217">
        <v>0</v>
      </c>
      <c r="M119" s="218">
        <v>1</v>
      </c>
      <c r="N119" s="218">
        <v>2</v>
      </c>
      <c r="O119" s="218">
        <v>3</v>
      </c>
      <c r="P119" s="219" t="s">
        <v>1367</v>
      </c>
      <c r="Q119" s="134"/>
      <c r="U119" s="66"/>
    </row>
    <row r="120" spans="1:21" s="65" customFormat="1">
      <c r="A120" s="142" t="s">
        <v>28</v>
      </c>
      <c r="B120" s="143">
        <f>IFERROR(VLOOKUP(A120,'ИПП 2кв25'!$B$24:$N$35,10,0),"")</f>
        <v>84</v>
      </c>
      <c r="C120" s="144">
        <f>IFERROR(VLOOKUP(A120,'ИПП 2кв25'!$B$24:$N$35,11,0),"")</f>
        <v>10055019</v>
      </c>
      <c r="D120" s="199">
        <f>SUMIFS(Март255152[м2],Март255152[КТУ],$A120,Март255152[№ дома],$C$118,Март255152[Комнатность],"&lt;&gt;Офис")</f>
        <v>36.64</v>
      </c>
      <c r="E120" s="200">
        <f>SUMIFS(Март255152[Сумма без отделки],Март255152[КТУ],$A120,Март255152[№ дома],$C$118,Март255152[Комнатность],"&lt;&gt;Офис")</f>
        <v>5206228</v>
      </c>
      <c r="F120" s="201">
        <f>COUNTIFS(Март255152[КТУ],$A120,Март255152[№ дома],$C$118,Март255152[Комнатность],"&lt;&gt;Офис")</f>
        <v>1</v>
      </c>
      <c r="G120" s="202">
        <f>SUMIFS(РД[S],РД[Дом],$C$118,РД[МОП],A120,РД[Дата подачи на регистрацию],"&lt;="&amp;$A$1,РД[Дата подачи на регистрацию],"&gt;="&amp;DATE(YEAR($A$1),MONTH($A$1),1),РД[Состояние],"Продажа")</f>
        <v>36.64</v>
      </c>
      <c r="H120" s="203">
        <f>SUMIFS(РД[Стоимость без отделки итог],РД[Дом],$C$118,РД[МОП],A120,РД[Дата подачи на регистрацию],"&lt;="&amp;$A$1,РД[Дата подачи на регистрацию],"&gt;="&amp;DATE(YEAR($A$1),MONTH($A$1),1),РД[Состояние],"Продажа")</f>
        <v>4839828</v>
      </c>
      <c r="I120" s="226">
        <f>COUNTIFS(РД[Дом],$C$118,РД[МОП],A120,РД[Дата подачи на регистрацию],"&lt;="&amp;$A$1,РД[Дата подачи на регистрацию],"&gt;="&amp;DATE(YEAR($A$1),MONTH($A$1),1),РД[Состояние],"Продажа")</f>
        <v>1</v>
      </c>
      <c r="J120" s="224">
        <f t="shared" ref="J120:K126" si="16">IFERROR(G120/B120,)</f>
        <v>0.43619047619047618</v>
      </c>
      <c r="K120" s="225">
        <f t="shared" si="16"/>
        <v>0.48133454546430993</v>
      </c>
      <c r="L120" s="257">
        <f>COUNTIFS(РД[Тип кв],L$87,РД[МОП],$A120,РД[Дом],$C$118,РД[Дата подачи на регистрацию],"&lt;="&amp;$A$1,РД[Дата подачи на регистрацию],"&gt;="&amp;DATE(YEAR($A$1),MONTH($A$1),1))</f>
        <v>0</v>
      </c>
      <c r="M120" s="226">
        <f>COUNTIFS(РД[Тип кв],M$87,РД[МОП],$A120,РД[Дом],$C$118,РД[Дата подачи на регистрацию],"&lt;="&amp;$A$1,РД[Дата подачи на регистрацию],"&gt;="&amp;DATE(YEAR($A$1),MONTH($A$1),1))</f>
        <v>1</v>
      </c>
      <c r="N120" s="226">
        <f>COUNTIFS(РД[Тип кв],N$87,РД[МОП],$A120,РД[Дом],$C$118,РД[Дата подачи на регистрацию],"&lt;="&amp;$A$1,РД[Дата подачи на регистрацию],"&gt;="&amp;DATE(YEAR($A$1),MONTH($A$1),1))</f>
        <v>0</v>
      </c>
      <c r="O120" s="226">
        <f>COUNTIFS(РД[Тип кв],O$87,РД[МОП],$A120,РД[Дом],$C$118,РД[Дата подачи на регистрацию],"&lt;="&amp;$A$1,РД[Дата подачи на регистрацию],"&gt;="&amp;DATE(YEAR($A$1),MONTH($A$1),1))</f>
        <v>0</v>
      </c>
      <c r="P120" s="227">
        <f>COUNTIFS(РД[Тип кв],P$87,РД[МОП],$A120,РД[Дом],$C$118,РД[Дата подачи на регистрацию],"&lt;="&amp;$A$1,РД[Дата подачи на регистрацию],"&gt;="&amp;DATE(YEAR($A$1),MONTH($A$1),1))</f>
        <v>0</v>
      </c>
      <c r="Q120" s="134"/>
      <c r="U120" s="66"/>
    </row>
    <row r="121" spans="1:21" s="65" customFormat="1">
      <c r="A121" s="142" t="s">
        <v>8</v>
      </c>
      <c r="B121" s="143">
        <f>IFERROR(VLOOKUP(A121,'ИПП 2кв25'!$B$24:$N$35,10,0),"")</f>
        <v>84</v>
      </c>
      <c r="C121" s="144">
        <f>IFERROR(VLOOKUP(A121,'ИПП 2кв25'!$B$24:$N$35,11,0),"")</f>
        <v>10055019</v>
      </c>
      <c r="D121" s="199">
        <f>SUMIFS(Март255152[м2],Март255152[КТУ],$A121,Март255152[№ дома],$C$118,Март255152[Комнатность],"&lt;&gt;Офис")</f>
        <v>0</v>
      </c>
      <c r="E121" s="200">
        <f>SUMIFS(Март255152[Сумма без отделки],Март255152[КТУ],$A121,Март255152[№ дома],$C$118,Март255152[Комнатность],"&lt;&gt;Офис")</f>
        <v>0</v>
      </c>
      <c r="F121" s="201">
        <f>COUNTIFS(Март255152[КТУ],$A121,Март255152[№ дома],$C$118,Март255152[Комнатность],"&lt;&gt;Офис")</f>
        <v>0</v>
      </c>
      <c r="G121" s="202">
        <f>SUMIFS(РД[S],РД[Дом],$C$118,РД[МОП],A121,РД[Дата подачи на регистрацию],"&lt;="&amp;$A$1,РД[Дата подачи на регистрацию],"&gt;="&amp;DATE(YEAR($A$1),MONTH($A$1),1),РД[Состояние],"Продажа")</f>
        <v>0</v>
      </c>
      <c r="H121" s="203">
        <f>SUMIFS(РД[Стоимость без отделки итог],РД[Дом],$C$118,РД[МОП],A121,РД[Дата подачи на регистрацию],"&lt;="&amp;$A$1,РД[Дата подачи на регистрацию],"&gt;="&amp;DATE(YEAR($A$1),MONTH($A$1),1),РД[Состояние],"Продажа")</f>
        <v>0</v>
      </c>
      <c r="I121" s="226">
        <f>COUNTIFS(РД[Дом],$C$118,РД[МОП],A121,РД[Дата подачи на регистрацию],"&lt;="&amp;$A$1,РД[Дата подачи на регистрацию],"&gt;="&amp;DATE(YEAR($A$1),MONTH($A$1),1),РД[Состояние],"Продажа")</f>
        <v>0</v>
      </c>
      <c r="J121" s="224">
        <f t="shared" si="16"/>
        <v>0</v>
      </c>
      <c r="K121" s="225">
        <f t="shared" si="16"/>
        <v>0</v>
      </c>
      <c r="L121" s="257">
        <f>COUNTIFS(РД[Тип кв],L$87,РД[МОП],$A121,РД[Дом],$C$118,РД[Дата подачи на регистрацию],"&lt;="&amp;$A$1,РД[Дата подачи на регистрацию],"&gt;="&amp;DATE(YEAR($A$1),MONTH($A$1),1))</f>
        <v>0</v>
      </c>
      <c r="M121" s="226">
        <f>COUNTIFS(РД[Тип кв],M$87,РД[МОП],$A121,РД[Дом],$C$118,РД[Дата подачи на регистрацию],"&lt;="&amp;$A$1,РД[Дата подачи на регистрацию],"&gt;="&amp;DATE(YEAR($A$1),MONTH($A$1),1))</f>
        <v>0</v>
      </c>
      <c r="N121" s="226">
        <f>COUNTIFS(РД[Тип кв],N$87,РД[МОП],$A121,РД[Дом],$C$118,РД[Дата подачи на регистрацию],"&lt;="&amp;$A$1,РД[Дата подачи на регистрацию],"&gt;="&amp;DATE(YEAR($A$1),MONTH($A$1),1))</f>
        <v>0</v>
      </c>
      <c r="O121" s="226">
        <f>COUNTIFS(РД[Тип кв],O$87,РД[МОП],$A121,РД[Дом],$C$118,РД[Дата подачи на регистрацию],"&lt;="&amp;$A$1,РД[Дата подачи на регистрацию],"&gt;="&amp;DATE(YEAR($A$1),MONTH($A$1),1))</f>
        <v>0</v>
      </c>
      <c r="P121" s="227">
        <f>COUNTIFS(РД[Тип кв],P$87,РД[МОП],$A121,РД[Дом],$C$118,РД[Дата подачи на регистрацию],"&lt;="&amp;$A$1,РД[Дата подачи на регистрацию],"&gt;="&amp;DATE(YEAR($A$1),MONTH($A$1),1))</f>
        <v>0</v>
      </c>
      <c r="Q121" s="134"/>
      <c r="U121" s="66"/>
    </row>
    <row r="122" spans="1:21" s="65" customFormat="1">
      <c r="A122" s="150" t="s">
        <v>20</v>
      </c>
      <c r="B122" s="143">
        <f>IFERROR(VLOOKUP(A122,'ИПП 2кв25'!$B$24:$N$35,10,0),"")</f>
        <v>84</v>
      </c>
      <c r="C122" s="144">
        <f>IFERROR(VLOOKUP(A122,'ИПП 2кв25'!$B$24:$N$35,11,0),"")</f>
        <v>10055019</v>
      </c>
      <c r="D122" s="199">
        <f>SUMIFS(Март255152[м2],Март255152[КТУ],$A122,Март255152[№ дома],$C$118,Март255152[Комнатность],"&lt;&gt;Офис")</f>
        <v>0</v>
      </c>
      <c r="E122" s="200">
        <f>SUMIFS(Март255152[Сумма без отделки],Март255152[КТУ],$A122,Март255152[№ дома],$C$118,Март255152[Комнатность],"&lt;&gt;Офис")</f>
        <v>0</v>
      </c>
      <c r="F122" s="201">
        <f>COUNTIFS(Март255152[КТУ],$A122,Март255152[№ дома],$C$118,Март255152[Комнатность],"&lt;&gt;Офис")</f>
        <v>0</v>
      </c>
      <c r="G122" s="202">
        <f>SUMIFS(РД[S],РД[Дом],$C$118,РД[МОП],A122,РД[Дата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H122" s="203">
        <f>SUMIFS(РД[Стоимость без отделки итог],РД[Дом],$C$118,РД[МОП],A122,РД[Дата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I122" s="226">
        <f>COUNTIFS(РД[Дом],$C$118,РД[МОП],A122,РД[Дата подачи на регистрацию],"&lt;="&amp;$A$1,РД[Дата подачи на регистрацию],"&gt;="&amp;DATE(YEAR($A$1),MONTH($A$1),1),РД[Состояние],"Продажа")</f>
        <v>0</v>
      </c>
      <c r="J122" s="224">
        <f t="shared" si="16"/>
        <v>0</v>
      </c>
      <c r="K122" s="225">
        <f t="shared" si="16"/>
        <v>0</v>
      </c>
      <c r="L122" s="257">
        <f>COUNTIFS(РД[Тип кв],L$87,РД[МОП],$A122,РД[Дом],$C$118,РД[Дата подачи на регистрацию],"&lt;="&amp;$A$1,РД[Дата подачи на регистрацию],"&gt;="&amp;DATE(YEAR($A$1),MONTH($A$1),1))</f>
        <v>0</v>
      </c>
      <c r="M122" s="226">
        <f>COUNTIFS(РД[Тип кв],M$87,РД[МОП],$A122,РД[Дом],$C$118,РД[Дата подачи на регистрацию],"&lt;="&amp;$A$1,РД[Дата подачи на регистрацию],"&gt;="&amp;DATE(YEAR($A$1),MONTH($A$1),1))</f>
        <v>0</v>
      </c>
      <c r="N122" s="226">
        <f>COUNTIFS(РД[Тип кв],N$87,РД[МОП],$A122,РД[Дом],$C$118,РД[Дата подачи на регистрацию],"&lt;="&amp;$A$1,РД[Дата подачи на регистрацию],"&gt;="&amp;DATE(YEAR($A$1),MONTH($A$1),1))</f>
        <v>0</v>
      </c>
      <c r="O122" s="226">
        <f>COUNTIFS(РД[Тип кв],O$87,РД[МОП],$A122,РД[Дом],$C$118,РД[Дата подачи на регистрацию],"&lt;="&amp;$A$1,РД[Дата подачи на регистрацию],"&gt;="&amp;DATE(YEAR($A$1),MONTH($A$1),1))</f>
        <v>0</v>
      </c>
      <c r="P122" s="227">
        <f>COUNTIFS(РД[Тип кв],P$87,РД[МОП],$A122,РД[Дом],$C$118,РД[Дата подачи на регистрацию],"&lt;="&amp;$A$1,РД[Дата подачи на регистрацию],"&gt;="&amp;DATE(YEAR($A$1),MONTH($A$1),1))</f>
        <v>0</v>
      </c>
      <c r="Q122" s="134"/>
      <c r="U122" s="66"/>
    </row>
    <row r="123" spans="1:21" s="65" customFormat="1">
      <c r="A123" s="153" t="s">
        <v>24</v>
      </c>
      <c r="B123" s="143">
        <f>IFERROR(VLOOKUP(A123,'ИПП 2кв25'!$B$24:$N$35,10,0),"")</f>
        <v>84</v>
      </c>
      <c r="C123" s="144">
        <f>IFERROR(VLOOKUP(A123,'ИПП 2кв25'!$B$24:$N$35,11,0),"")</f>
        <v>10055019</v>
      </c>
      <c r="D123" s="199">
        <f>SUMIFS(Март255152[м2],Март255152[КТУ],$A123,Март255152[№ дома],$C$118,Март255152[Комнатность],"&lt;&gt;Офис")</f>
        <v>168.56</v>
      </c>
      <c r="E123" s="200">
        <f>SUMIFS(Март255152[Сумма без отделки],Март255152[КТУ],$A123,Март255152[№ дома],$C$118,Март255152[Комнатность],"&lt;&gt;Офис")</f>
        <v>20362136</v>
      </c>
      <c r="F123" s="201">
        <f>COUNTIFS(Март255152[КТУ],$A123,Март255152[№ дома],$C$118,Март255152[Комнатность],"&lt;&gt;Офис")</f>
        <v>3</v>
      </c>
      <c r="G123" s="202">
        <f>SUMIFS(РД[S],РД[Дом],$C$118,РД[МОП],A123,РД[Дата подачи на регистрацию],"&lt;="&amp;$A$1,РД[Дата подачи на регистрацию],"&gt;="&amp;DATE(YEAR($A$1),MONTH($A$1),1),РД[Состояние],"Продажа")</f>
        <v>168.56</v>
      </c>
      <c r="H123" s="203">
        <f>SUMIFS(РД[Стоимость без отделки итог],РД[Дом],$C$118,РД[МОП],A123,РД[Дата подачи на регистрацию],"&lt;="&amp;$A$1,РД[Дата подачи на регистрацию],"&gt;="&amp;DATE(YEAR($A$1),MONTH($A$1),1),РД[Состояние],"Продажа")</f>
        <v>19742736</v>
      </c>
      <c r="I123" s="226">
        <f>COUNTIFS(РД[Дом],$C$118,РД[МОП],A123,РД[Дата подачи на регистрацию],"&lt;="&amp;$A$1,РД[Дата подачи на регистрацию],"&gt;="&amp;DATE(YEAR($A$1),MONTH($A$1),1),РД[Состояние],"Продажа")</f>
        <v>3</v>
      </c>
      <c r="J123" s="224">
        <f t="shared" si="16"/>
        <v>2.0066666666666668</v>
      </c>
      <c r="K123" s="225">
        <f t="shared" si="16"/>
        <v>1.9634707801148858</v>
      </c>
      <c r="L123" s="257">
        <f>COUNTIFS(РД[Тип кв],L$87,РД[МОП],$A123,РД[Дом],$C$118,РД[Дата подачи на регистрацию],"&lt;="&amp;$A$1,РД[Дата подачи на регистрацию],"&gt;="&amp;DATE(YEAR($A$1),MONTH($A$1),1))</f>
        <v>0</v>
      </c>
      <c r="M123" s="226">
        <f>COUNTIFS(РД[Тип кв],M$87,РД[МОП],$A123,РД[Дом],$C$118,РД[Дата подачи на регистрацию],"&lt;="&amp;$A$1,РД[Дата подачи на регистрацию],"&gt;="&amp;DATE(YEAR($A$1),MONTH($A$1),1))</f>
        <v>1</v>
      </c>
      <c r="N123" s="226">
        <f>COUNTIFS(РД[Тип кв],N$87,РД[МОП],$A123,РД[Дом],$C$118,РД[Дата подачи на регистрацию],"&lt;="&amp;$A$1,РД[Дата подачи на регистрацию],"&gt;="&amp;DATE(YEAR($A$1),MONTH($A$1),1))</f>
        <v>2</v>
      </c>
      <c r="O123" s="226">
        <f>COUNTIFS(РД[Тип кв],O$87,РД[МОП],$A123,РД[Дом],$C$118,РД[Дата подачи на регистрацию],"&lt;="&amp;$A$1,РД[Дата подачи на регистрацию],"&gt;="&amp;DATE(YEAR($A$1),MONTH($A$1),1))</f>
        <v>0</v>
      </c>
      <c r="P123" s="227">
        <f>COUNTIFS(РД[Тип кв],P$87,РД[МОП],$A123,РД[Дом],$C$118,РД[Дата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153" t="s">
        <v>14</v>
      </c>
      <c r="B124" s="143">
        <f>IFERROR(VLOOKUP(A124,'ИПП 2кв25'!$B$24:$N$35,10,0),"")</f>
        <v>84</v>
      </c>
      <c r="C124" s="144">
        <f>IFERROR(VLOOKUP(A124,'ИПП 2кв25'!$B$24:$N$35,11,0),"")</f>
        <v>10055019</v>
      </c>
      <c r="D124" s="299">
        <f>SUMIFS(Март255152[м2],Март255152[КТУ],$A124,Март255152[№ дома],$C$118,Март255152[Комнатность],"&lt;&gt;Офис")</f>
        <v>44.25</v>
      </c>
      <c r="E124" s="300">
        <f>SUMIFS(Март255152[Сумма без отделки],Март255152[КТУ],$A124,Март255152[№ дома],$C$118,Март255152[Комнатность],"&lt;&gt;Офис")</f>
        <v>5625200</v>
      </c>
      <c r="F124" s="301">
        <f>COUNTIFS(Март255152[КТУ],$A124,Март255152[№ дома],$C$118,Март255152[Комнатность],"&lt;&gt;Офис")</f>
        <v>1</v>
      </c>
      <c r="G124" s="358">
        <f>SUMIFS(РД[S],РД[Дом],$C$118,РД[МОП],A124,РД[Дата подачи на регистрацию],"&lt;="&amp;$A$1,РД[Дата подачи на регистрацию],"&gt;="&amp;DATE(YEAR($A$1),MONTH($A$1),1),РД[Состояние],"Продажа")</f>
        <v>44.25</v>
      </c>
      <c r="H124" s="359">
        <f>SUMIFS(РД[Стоимость без отделки итог],РД[Дом],$C$118,РД[МОП],A124,РД[Дата подачи на регистрацию],"&lt;="&amp;$A$1,РД[Дата подачи на регистрацию],"&gt;="&amp;DATE(YEAR($A$1),MONTH($A$1),1),РД[Состояние],"Продажа")</f>
        <v>5625200</v>
      </c>
      <c r="I124" s="330">
        <f>COUNTIFS(РД[Дом],$C$118,РД[МОП],A124,РД[Дата подачи на регистрацию],"&lt;="&amp;$A$1,РД[Дата подачи на регистрацию],"&gt;="&amp;DATE(YEAR($A$1),MONTH($A$1),1),РД[Состояние],"Продажа")</f>
        <v>1</v>
      </c>
      <c r="J124" s="360">
        <f t="shared" si="16"/>
        <v>0.5267857142857143</v>
      </c>
      <c r="K124" s="361">
        <f t="shared" si="16"/>
        <v>0.55944200602703986</v>
      </c>
      <c r="L124" s="329">
        <f>COUNTIFS(РД[Тип кв],L$87,РД[МОП],$A124,РД[Дом],$C$118,РД[Дата подачи на регистрацию],"&lt;="&amp;$A$1,РД[Дата подачи на регистрацию],"&gt;="&amp;DATE(YEAR($A$1),MONTH($A$1),1))</f>
        <v>0</v>
      </c>
      <c r="M124" s="330">
        <f>COUNTIFS(РД[Тип кв],M$87,РД[МОП],$A124,РД[Дом],$C$118,РД[Дата подачи на регистрацию],"&lt;="&amp;$A$1,РД[Дата подачи на регистрацию],"&gt;="&amp;DATE(YEAR($A$1),MONTH($A$1),1))</f>
        <v>1</v>
      </c>
      <c r="N124" s="330">
        <f>COUNTIFS(РД[Тип кв],N$87,РД[МОП],$A124,РД[Дом],$C$118,РД[Дата подачи на регистрацию],"&lt;="&amp;$A$1,РД[Дата подачи на регистрацию],"&gt;="&amp;DATE(YEAR($A$1),MONTH($A$1),1))</f>
        <v>0</v>
      </c>
      <c r="O124" s="330">
        <f>COUNTIFS(РД[Тип кв],O$87,РД[МОП],$A124,РД[Дом],$C$118,РД[Дата подачи на регистрацию],"&lt;="&amp;$A$1,РД[Дата подачи на регистрацию],"&gt;="&amp;DATE(YEAR($A$1),MONTH($A$1),1))</f>
        <v>0</v>
      </c>
      <c r="P124" s="331">
        <f>COUNTIFS(РД[Тип кв],P$87,РД[МОП],$A124,РД[Дом],$C$118,РД[Дата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154" t="s">
        <v>29</v>
      </c>
      <c r="B125" s="155"/>
      <c r="C125" s="156"/>
      <c r="D125" s="157">
        <f>SUMIFS(Март255152[м2],Март255152[КТУ],$A125,Март255152[№ дома],$C$118,Март255152[Комнатность],"&lt;&gt;Офис")</f>
        <v>0</v>
      </c>
      <c r="E125" s="156">
        <f>SUMIFS(Март255152[Сумма без отделки],Март255152[КТУ],$A125,Март255152[№ дома],$C$118,Март255152[Комнатность],"&lt;&gt;Офис")</f>
        <v>0</v>
      </c>
      <c r="F125" s="158">
        <f>COUNTIFS(Март255152[КТУ],$A125,Март255152[№ дома],$C$118,Март255152[Комнатность],"&lt;&gt;Офис")</f>
        <v>0</v>
      </c>
      <c r="G125" s="159">
        <f>SUMIFS(РД[S],РД[Дом],$C$118,РД[МОП],A125,РД[Дата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160">
        <f>SUMIFS(РД[Стоимость без отделки итог],РД[Дом],$C$118,РД[МОП],A125,РД[Дата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8">
        <f>COUNTIFS(РД[Дом],$C$118,РД[МОП],A125,РД[Дата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9">
        <f t="shared" si="16"/>
        <v>0</v>
      </c>
      <c r="K125" s="230">
        <f t="shared" si="16"/>
        <v>0</v>
      </c>
      <c r="L125" s="159">
        <f>COUNTIFS(РД[Тип кв],L$87,РД[МОП],$A125,РД[Дом],$C$118,РД[Дата подачи на регистрацию],"&lt;="&amp;$A$1,РД[Дата подачи на регистрацию],"&gt;="&amp;DATE(YEAR($A$1),MONTH($A$1),1))</f>
        <v>0</v>
      </c>
      <c r="M125" s="228">
        <f>COUNTIFS(РД[Тип кв],M$87,РД[МОП],$A125,РД[Дом],$C$118,РД[Дата подачи на регистрацию],"&lt;="&amp;$A$1,РД[Дата подачи на регистрацию],"&gt;="&amp;DATE(YEAR($A$1),MONTH($A$1),1))</f>
        <v>0</v>
      </c>
      <c r="N125" s="228">
        <f>COUNTIFS(РД[Тип кв],N$87,РД[МОП],$A125,РД[Дом],$C$118,РД[Дата подачи на регистрацию],"&lt;="&amp;$A$1,РД[Дата подачи на регистрацию],"&gt;="&amp;DATE(YEAR($A$1),MONTH($A$1),1))</f>
        <v>0</v>
      </c>
      <c r="O125" s="228">
        <f>COUNTIFS(РД[Тип кв],O$87,РД[МОП],$A125,РД[Дом],$C$118,РД[Дата подачи на регистрацию],"&lt;="&amp;$A$1,РД[Дата подачи на регистрацию],"&gt;="&amp;DATE(YEAR($A$1),MONTH($A$1),1))</f>
        <v>0</v>
      </c>
      <c r="P125" s="231">
        <f>COUNTIFS(РД[Тип кв],P$87,РД[МОП],$A125,РД[Дом],$C$118,РД[Дата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161" t="s">
        <v>1919</v>
      </c>
      <c r="B126" s="162"/>
      <c r="C126" s="163"/>
      <c r="D126" s="164">
        <f>SUMIFS(Март255152[м2],Март255152[МОП],$A126,Март255152[№ дома],$C$118,Март255152[Комнатность],"&lt;&gt;Офис")</f>
        <v>107.69</v>
      </c>
      <c r="E126" s="163">
        <f>SUMIFS(Март255152[Сумма без отделки],Март255152[МОП],$A126,Март255152[№ дома],$C$118,Март255152[Комнатность],"&lt;&gt;Офис")</f>
        <v>13385376</v>
      </c>
      <c r="F126" s="165">
        <f>COUNTIFS(Март255152[МОП],$A126,Март255152[№ дома],$C$118,Март255152[Комнатность],"&lt;&gt;Офис")</f>
        <v>2</v>
      </c>
      <c r="G126" s="166">
        <f>SUMIFS(РД[S],РД[Дом],$C$118,РД[МОП],A126,РД[Дата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167">
        <f>SUMIFS(РД[Стоимость без отделки итог],РД[Дом],$C$118,РД[МОП],A126,РД[Дата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32">
        <f>COUNTIFS(РД[Дом],$C$118,РД[МОП],A126,РД[Дата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33">
        <f t="shared" si="16"/>
        <v>0</v>
      </c>
      <c r="K126" s="234">
        <f t="shared" si="16"/>
        <v>0</v>
      </c>
      <c r="L126" s="235">
        <f>COUNTIFS(РД[Тип кв],L$87,РД[МОП],$A126,РД[Дом],$C$118,РД[Дата подачи на регистрацию],"&lt;="&amp;$A$1,РД[Дата подачи на регистрацию],"&gt;="&amp;DATE(YEAR($A$1),MONTH($A$1),1))</f>
        <v>0</v>
      </c>
      <c r="M126" s="236">
        <f>COUNTIFS(РД[Тип кв],M$87,РД[МОП],$A126,РД[Дом],$C$118,РД[Дата подачи на регистрацию],"&lt;="&amp;$A$1,РД[Дата подачи на регистрацию],"&gt;="&amp;DATE(YEAR($A$1),MONTH($A$1),1))</f>
        <v>0</v>
      </c>
      <c r="N126" s="236">
        <f>COUNTIFS(РД[Тип кв],N$87,РД[МОП],$A126,РД[Дом],$C$118,РД[Дата подачи на регистрацию],"&lt;="&amp;$A$1,РД[Дата подачи на регистрацию],"&gt;="&amp;DATE(YEAR($A$1),MONTH($A$1),1))</f>
        <v>0</v>
      </c>
      <c r="O126" s="236">
        <f>COUNTIFS(РД[Тип кв],O$87,РД[МОП],$A126,РД[Дом],$C$118,РД[Дата подачи на регистрацию],"&lt;="&amp;$A$1,РД[Дата подачи на регистрацию],"&gt;="&amp;DATE(YEAR($A$1),MONTH($A$1),1))</f>
        <v>0</v>
      </c>
      <c r="P126" s="237">
        <f>COUNTIFS(РД[Тип кв],P$87,РД[МОП],$A126,РД[Дом],$C$118,РД[Дата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168" t="s">
        <v>114</v>
      </c>
      <c r="B127" s="169">
        <f t="shared" ref="B127:I127" si="17">SUM(B120:B126)</f>
        <v>420</v>
      </c>
      <c r="C127" s="170">
        <f t="shared" si="17"/>
        <v>50275095</v>
      </c>
      <c r="D127" s="170">
        <f t="shared" si="17"/>
        <v>357.14</v>
      </c>
      <c r="E127" s="170">
        <f t="shared" si="17"/>
        <v>44578940</v>
      </c>
      <c r="F127" s="171">
        <f t="shared" si="17"/>
        <v>7</v>
      </c>
      <c r="G127" s="172">
        <f t="shared" si="17"/>
        <v>249.45</v>
      </c>
      <c r="H127" s="173">
        <f t="shared" si="17"/>
        <v>30207764</v>
      </c>
      <c r="I127" s="170">
        <f t="shared" si="17"/>
        <v>5</v>
      </c>
      <c r="J127" s="238">
        <f t="shared" ref="J127:K127" si="18">IFERROR(G127/B127,"")</f>
        <v>0.59392857142857136</v>
      </c>
      <c r="K127" s="239">
        <f t="shared" si="18"/>
        <v>0.60084946632124714</v>
      </c>
      <c r="L127" s="240">
        <f>SUM(L120:L126)</f>
        <v>0</v>
      </c>
      <c r="M127" s="241">
        <f>SUM(M120:M126)</f>
        <v>3</v>
      </c>
      <c r="N127" s="241">
        <f>SUM(N120:N126)</f>
        <v>2</v>
      </c>
      <c r="O127" s="241">
        <f>SUM(O120:O126)</f>
        <v>0</v>
      </c>
      <c r="P127" s="242">
        <f>SUM(P120:P126)</f>
        <v>0</v>
      </c>
      <c r="Q127" s="134"/>
      <c r="U127" s="66"/>
    </row>
    <row r="128" spans="1:21" s="65" customFormat="1">
      <c r="A128" s="135" t="s">
        <v>115</v>
      </c>
      <c r="B128" s="213" t="s">
        <v>100</v>
      </c>
      <c r="C128" s="214" t="s">
        <v>97</v>
      </c>
      <c r="D128" s="174" t="s">
        <v>494</v>
      </c>
      <c r="E128" s="175" t="s">
        <v>495</v>
      </c>
      <c r="F128" s="176" t="s">
        <v>496</v>
      </c>
      <c r="G128" s="140" t="s">
        <v>101</v>
      </c>
      <c r="H128" s="141" t="s">
        <v>98</v>
      </c>
      <c r="I128" s="141" t="s">
        <v>96</v>
      </c>
      <c r="J128" s="141" t="s">
        <v>715</v>
      </c>
      <c r="K128" s="216" t="s">
        <v>716</v>
      </c>
      <c r="L128" s="217">
        <v>0</v>
      </c>
      <c r="M128" s="218">
        <v>1</v>
      </c>
      <c r="N128" s="218">
        <v>2</v>
      </c>
      <c r="O128" s="218">
        <v>3</v>
      </c>
      <c r="P128" s="219" t="s">
        <v>1367</v>
      </c>
      <c r="Q128" s="134"/>
      <c r="U128" s="66"/>
    </row>
    <row r="129" spans="1:21" s="65" customFormat="1">
      <c r="A129" s="177" t="s">
        <v>22</v>
      </c>
      <c r="B129" s="178">
        <f>IFERROR(VLOOKUP(A129,'ИПП 2кв25'!$B$24:$N$35,10,0),"")</f>
        <v>122.57142857142857</v>
      </c>
      <c r="C129" s="179">
        <f>IFERROR(VLOOKUP(A129,'ИПП 2кв25'!$B$24:$N$35,11,0),"")</f>
        <v>14672119.56122449</v>
      </c>
      <c r="D129" s="180">
        <f>SUMIFS(Март255152[м2],Март255152[ИМ],A129,Март255152[№ дома],$C$118,Март255152[Комнатность],"&lt;&gt;Офис")</f>
        <v>105.12</v>
      </c>
      <c r="E129" s="181">
        <f>SUMIFS(Март255152[Сумма без отделки],Март255152[ИМ],$A129,Март255152[№ дома],$C$118,Март255152[Комнатность],"&lt;&gt;Офис")</f>
        <v>12616960</v>
      </c>
      <c r="F129" s="204">
        <f>COUNTIFS(Март255152[ИМ],$A129,Март255152[№ дома],$C$118,Март255152[Комнатность],"&lt;&gt;Офис")</f>
        <v>2</v>
      </c>
      <c r="G129" s="183">
        <f>SUMIFS(РД[S],РД[Дом],$C$118,РД[ИМ],A129,РД[Дата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H129" s="184">
        <f>SUMIFS(РД[Стоимость без отделки итог],РД[Дом],$C$118,РД[ИМ],A129,РД[Дата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I129" s="243">
        <f>COUNTIFS(РД[Дом],$C$118,РД[ИМ],A129,РД[Дата подачи на регистрацию],"&lt;="&amp;$A$1,РД[Дата подачи на регистрацию],"&gt;="&amp;DATE(YEAR($A$1),MONTH($A$1),1),РД[Состояние],"Продажа")</f>
        <v>0</v>
      </c>
      <c r="J129" s="244">
        <f t="shared" ref="J129:K131" si="19">IFERROR(G129/B129,"")</f>
        <v>0</v>
      </c>
      <c r="K129" s="258">
        <f t="shared" si="19"/>
        <v>0</v>
      </c>
      <c r="L129" s="183">
        <f>COUNTIFS(РД[Тип кв],L119,РД[ИМ],$A129,РД[Дом],$C$118,РД[Дата подачи на регистрацию],"&lt;="&amp;$A$1,РД[Дата подачи на регистрацию],"&gt;="&amp;DATE(YEAR($A$1),MONTH($A$1),1))</f>
        <v>0</v>
      </c>
      <c r="M129" s="243">
        <f>COUNTIFS(РД[Тип кв],M119,РД[ИМ],$A129,РД[Дом],$C$118,РД[Дата подачи на регистрацию],"&lt;="&amp;$A$1,РД[Дата подачи на регистрацию],"&gt;="&amp;DATE(YEAR($A$1),MONTH($A$1),1))</f>
        <v>0</v>
      </c>
      <c r="N129" s="243">
        <f>COUNTIFS(РД[Тип кв],N119,РД[ИМ],$A129,РД[Дом],$C$118,РД[Дата подачи на регистрацию],"&lt;="&amp;$A$1,РД[Дата подачи на регистрацию],"&gt;="&amp;DATE(YEAR($A$1),MONTH($A$1),1))</f>
        <v>0</v>
      </c>
      <c r="O129" s="243">
        <f>COUNTIFS(РД[Тип кв],O119,РД[ИМ],$A129,РД[Дом],$C$118,РД[Дата подачи на регистрацию],"&lt;="&amp;$A$1,РД[Дата подачи на регистрацию],"&gt;="&amp;DATE(YEAR($A$1),MONTH($A$1),1))</f>
        <v>0</v>
      </c>
      <c r="P129" s="246">
        <f>COUNTIFS(РД[Тип кв],P119,РД[ИМ],$A129,РД[Дом],$C$118,РД[Дата подачи на регистрацию],"&lt;="&amp;$A$1,РД[Дата подачи на регистрацию],"&gt;="&amp;DATE(YEAR($A$1),MONTH($A$1),1))</f>
        <v>0</v>
      </c>
      <c r="Q129" s="134"/>
      <c r="U129" s="66"/>
    </row>
    <row r="130" spans="1:21" s="65" customFormat="1">
      <c r="A130" s="150" t="s">
        <v>26</v>
      </c>
      <c r="B130" s="143">
        <f>IFERROR(VLOOKUP(A130,'ИПП 2кв25'!$B$24:$N$35,10,0),"")</f>
        <v>150.42857142857142</v>
      </c>
      <c r="C130" s="144">
        <f>IFERROR(VLOOKUP(A130,'ИПП 2кв25'!$B$24:$N$35,11,0),"")</f>
        <v>18006692.18877551</v>
      </c>
      <c r="D130" s="205">
        <f>SUMIFS(Март255152[м2],Март255152[ИМ],A130,Март255152[№ дома],$C$118,Март255152[Комнатность],"&lt;&gt;Офис")</f>
        <v>144.32999999999998</v>
      </c>
      <c r="E130" s="206">
        <f>SUMIFS(Март255152[Сумма без отделки],Март255152[ИМ],$A130,Март255152[№ дома],$C$118,Март255152[Комнатность],"&lt;&gt;Офис")</f>
        <v>18576604</v>
      </c>
      <c r="F130" s="207">
        <f>COUNTIFS(Март255152[ИМ],$A130,Март255152[№ дома],$C$118,Март255152[Комнатность],"&lt;&gt;Офис")</f>
        <v>3</v>
      </c>
      <c r="G130" s="187">
        <f>SUMIFS(РД[S],РД[Дом],$C$118,РД[ИМ],A130,РД[Дата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H130" s="188">
        <f>SUMIFS(РД[Стоимость без отделки итог],РД[Дом],$C$118,РД[ИМ],A130,РД[Дата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I130" s="247">
        <f>COUNTIFS(РД[Дом],$C$118,РД[ИМ],A130,РД[Дата подачи на регистрацию],"&lt;="&amp;$A$1,РД[Дата подачи на регистрацию],"&gt;="&amp;DATE(YEAR($A$1),MONTH($A$1),1),РД[Состояние],"Продажа")</f>
        <v>0</v>
      </c>
      <c r="J130" s="248">
        <f t="shared" si="19"/>
        <v>0</v>
      </c>
      <c r="K130" s="259">
        <f t="shared" si="19"/>
        <v>0</v>
      </c>
      <c r="L130" s="187">
        <f>COUNTIFS(РД[Тип кв],L$87,РД[ИМ],$A130,РД[Дом],$C$118,РД[Дата подачи на регистрацию],"&lt;="&amp;$A$1,РД[Дата подачи на регистрацию],"&gt;="&amp;DATE(YEAR($A$1),MONTH($A$1),1))</f>
        <v>0</v>
      </c>
      <c r="M130" s="247">
        <f>COUNTIFS(РД[Тип кв],M$87,РД[ИМ],$A130,РД[Дом],$C$118,РД[Дата подачи на регистрацию],"&lt;="&amp;$A$1,РД[Дата подачи на регистрацию],"&gt;="&amp;DATE(YEAR($A$1),MONTH($A$1),1))</f>
        <v>0</v>
      </c>
      <c r="N130" s="247">
        <f>COUNTIFS(РД[Тип кв],N$87,РД[ИМ],$A130,РД[Дом],$C$118,РД[Дата подачи на регистрацию],"&lt;="&amp;$A$1,РД[Дата подачи на регистрацию],"&gt;="&amp;DATE(YEAR($A$1),MONTH($A$1),1))</f>
        <v>0</v>
      </c>
      <c r="O130" s="247">
        <f>COUNTIFS(РД[Тип кв],O$87,РД[ИМ],$A130,РД[Дом],$C$118,РД[Дата подачи на регистрацию],"&lt;="&amp;$A$1,РД[Дата подачи на регистрацию],"&gt;="&amp;DATE(YEAR($A$1),MONTH($A$1),1))</f>
        <v>0</v>
      </c>
      <c r="P130" s="250">
        <f>COUNTIFS(РД[Тип кв],P$87,РД[ИМ],$A130,РД[Дом],$C$118,РД[Дата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189" t="s">
        <v>3</v>
      </c>
      <c r="B131" s="190">
        <f>IFERROR(VLOOKUP(A131,'ИПП 2кв25'!$B$24:$N$35,10,0),"")</f>
        <v>0</v>
      </c>
      <c r="C131" s="191">
        <f>IFERROR(VLOOKUP(A131,'ИПП 2кв25'!$B$24:$N$35,11,0),"")</f>
        <v>0</v>
      </c>
      <c r="D131" s="208">
        <f>SUMIFS(Март255152[м2],Март255152[ИМ],A131,Март255152[№ дома],$C$118,Март255152[Комнатность],"&lt;&gt;Офис")</f>
        <v>0</v>
      </c>
      <c r="E131" s="209">
        <f>SUMIFS(Март255152[Сумма без отделки],Март255152[ИМ],$A131,Март255152[№ дома],$C$118,Март255152[Комнатность],"&lt;&gt;Офис")</f>
        <v>0</v>
      </c>
      <c r="F131" s="210">
        <f>COUNTIFS(Март255152[ИМ],$A131,Март255152[№ дома],$C$118,Март255152[Комнатность],"&lt;&gt;Офис")</f>
        <v>0</v>
      </c>
      <c r="G131" s="195">
        <f>SUMIFS(РД[S],РД[Дом],$C$118,РД[ИМ],A131,РД[Дата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H131" s="196">
        <f>SUMIFS(РД[Стоимость без отделки итог],РД[Дом],$C$118,РД[ИМ],A131,РД[Дата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I131" s="251">
        <f>COUNTIFS(РД[Дом],$C$118,РД[ИМ],A131,РД[Дата подачи на регистрацию],"&lt;="&amp;$A$1,РД[Дата подачи на регистрацию],"&gt;="&amp;DATE(YEAR($A$1),MONTH($A$1),1),РД[Состояние],"Продажа")</f>
        <v>0</v>
      </c>
      <c r="J131" s="252" t="str">
        <f t="shared" si="19"/>
        <v/>
      </c>
      <c r="K131" s="260" t="str">
        <f t="shared" si="19"/>
        <v/>
      </c>
      <c r="L131" s="195">
        <f>COUNTIFS(РД[Тип кв],L$87,РД[ИМ],$A131,РД[Дом],$C$118,РД[Дата подачи на регистрацию],"&lt;="&amp;$A$1,РД[Дата подачи на регистрацию],"&gt;="&amp;DATE(YEAR($A$1),MONTH($A$1),1))</f>
        <v>0</v>
      </c>
      <c r="M131" s="251">
        <f>COUNTIFS(РД[Тип кв],M$87,РД[ИМ],$A131,РД[Дом],$C$118,РД[Дата подачи на регистрацию],"&lt;="&amp;$A$1,РД[Дата подачи на регистрацию],"&gt;="&amp;DATE(YEAR($A$1),MONTH($A$1),1))</f>
        <v>0</v>
      </c>
      <c r="N131" s="251">
        <f>COUNTIFS(РД[Тип кв],N$87,РД[ИМ],$A131,РД[Дом],$C$118,РД[Дата подачи на регистрацию],"&lt;="&amp;$A$1,РД[Дата подачи на регистрацию],"&gt;="&amp;DATE(YEAR($A$1),MONTH($A$1),1))</f>
        <v>0</v>
      </c>
      <c r="O131" s="251">
        <f>COUNTIFS(РД[Тип кв],O$87,РД[ИМ],$A131,РД[Дом],$C$118,РД[Дата подачи на регистрацию],"&lt;="&amp;$A$1,РД[Дата подачи на регистрацию],"&gt;="&amp;DATE(YEAR($A$1),MONTH($A$1),1))</f>
        <v>0</v>
      </c>
      <c r="P131" s="254">
        <f>COUNTIFS(РД[Тип кв],P$87,РД[ИМ],$A131,РД[Дом],$C$118,РД[Дата подачи на регистрацию],"&lt;="&amp;$A$1,РД[Дата подачи на регистрацию],"&gt;="&amp;DATE(YEAR($A$1),MONTH($A$1),1))</f>
        <v>0</v>
      </c>
      <c r="Q131" s="134"/>
      <c r="U131" s="66"/>
    </row>
    <row r="132" spans="1:21" s="65" customFormat="1">
      <c r="A132" s="168" t="s">
        <v>114</v>
      </c>
      <c r="B132" s="169">
        <f t="shared" ref="B132:I132" si="20">SUM(B129:B131)</f>
        <v>273</v>
      </c>
      <c r="C132" s="170">
        <f t="shared" si="20"/>
        <v>32678811.75</v>
      </c>
      <c r="D132" s="170">
        <f t="shared" si="20"/>
        <v>249.45</v>
      </c>
      <c r="E132" s="170">
        <f t="shared" si="20"/>
        <v>31193564</v>
      </c>
      <c r="F132" s="171">
        <f t="shared" si="20"/>
        <v>5</v>
      </c>
      <c r="G132" s="172">
        <f t="shared" si="20"/>
        <v>0</v>
      </c>
      <c r="H132" s="173">
        <f t="shared" si="20"/>
        <v>0</v>
      </c>
      <c r="I132" s="170">
        <f t="shared" si="20"/>
        <v>0</v>
      </c>
      <c r="J132" s="238">
        <f>IFERROR(G132/B132,)</f>
        <v>0</v>
      </c>
      <c r="K132" s="239">
        <f>IFERROR(H132/C132,)</f>
        <v>0</v>
      </c>
      <c r="L132" s="240">
        <f t="shared" ref="L132:P132" si="21">SUM(L129:L131)</f>
        <v>0</v>
      </c>
      <c r="M132" s="241">
        <f t="shared" si="21"/>
        <v>0</v>
      </c>
      <c r="N132" s="241">
        <f t="shared" si="21"/>
        <v>0</v>
      </c>
      <c r="O132" s="241">
        <f t="shared" si="21"/>
        <v>0</v>
      </c>
      <c r="P132" s="242">
        <f t="shared" si="21"/>
        <v>0</v>
      </c>
      <c r="Q132" s="134"/>
      <c r="U132" s="66"/>
    </row>
    <row r="133" spans="1:21" s="65" customFormat="1">
      <c r="A133" s="134"/>
      <c r="B133" s="197"/>
      <c r="C133" s="197"/>
      <c r="D133" s="197"/>
      <c r="E133" s="197"/>
      <c r="F133" s="215"/>
      <c r="G133" s="197"/>
      <c r="H133" s="197"/>
      <c r="I133" s="215"/>
      <c r="J133" s="255"/>
      <c r="K133" s="256"/>
      <c r="L133" s="215"/>
      <c r="M133" s="215"/>
      <c r="N133" s="215"/>
      <c r="O133" s="215"/>
      <c r="P133" s="215"/>
      <c r="Q133" s="134"/>
      <c r="U133" s="66"/>
    </row>
    <row r="134" spans="1:21" s="65" customFormat="1">
      <c r="A134" s="2325" t="s">
        <v>713</v>
      </c>
      <c r="B134" s="2326"/>
      <c r="C134" s="133" t="s">
        <v>718</v>
      </c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T134" s="66"/>
    </row>
    <row r="135" spans="1:21" s="65" customFormat="1">
      <c r="A135" s="135" t="s">
        <v>1</v>
      </c>
      <c r="B135" s="135" t="s">
        <v>100</v>
      </c>
      <c r="C135" s="136" t="s">
        <v>97</v>
      </c>
      <c r="D135" s="137" t="s">
        <v>494</v>
      </c>
      <c r="E135" s="138" t="s">
        <v>495</v>
      </c>
      <c r="F135" s="139" t="s">
        <v>496</v>
      </c>
      <c r="G135" s="140" t="s">
        <v>101</v>
      </c>
      <c r="H135" s="141" t="s">
        <v>98</v>
      </c>
      <c r="I135" s="141" t="s">
        <v>96</v>
      </c>
      <c r="J135" s="141" t="s">
        <v>715</v>
      </c>
      <c r="K135" s="216" t="s">
        <v>716</v>
      </c>
      <c r="L135" s="217">
        <v>0</v>
      </c>
      <c r="M135" s="218">
        <v>1</v>
      </c>
      <c r="N135" s="218">
        <v>2</v>
      </c>
      <c r="O135" s="218">
        <v>3</v>
      </c>
      <c r="P135" s="219" t="s">
        <v>1367</v>
      </c>
      <c r="T135" s="66"/>
    </row>
    <row r="136" spans="1:21" s="65" customFormat="1">
      <c r="A136" s="142" t="s">
        <v>28</v>
      </c>
      <c r="B136" s="143">
        <f>IFERROR(VLOOKUP(A136,'ИПП 2кв25'!$B$24:$N$35,12,0),"")</f>
        <v>460</v>
      </c>
      <c r="C136" s="144">
        <f>IFERROR(VLOOKUP(A136,'ИПП 2кв25'!$B$24:$N$35,13,0),"")</f>
        <v>59072021</v>
      </c>
      <c r="D136" s="199">
        <f>SUMIFS(Март255152[м2],Март255152[КТУ],$A136,Март255152[Комнатность],"&lt;&gt;Офис")</f>
        <v>157.4</v>
      </c>
      <c r="E136" s="200">
        <f>SUMIFS(Март255152[Сумма без отделки],Март255152[КТУ],$A136,Март255152[Комнатность],"&lt;&gt;Офис")</f>
        <v>20995305</v>
      </c>
      <c r="F136" s="201">
        <f>COUNTIFS(Март255152[КТУ],$A136,Март255152[Комнатность],"&lt;&gt;Офис")</f>
        <v>3</v>
      </c>
      <c r="G136" s="202">
        <f>SUMIFS(РД[S],РД[МОП],A136,РД[Дата подачи на регистрацию],"&lt;="&amp;$A$1,РД[Дата подачи на регистрацию],"&gt;="&amp;DATE(YEAR($A$1),MONTH($A$1),1),РД[Состояние],"Продажа")</f>
        <v>98.81</v>
      </c>
      <c r="H136" s="203">
        <f>SUMIFS(РД[Стоимость без отделки итог],РД[МОП],A136,РД[Дата подачи на регистрацию],"&lt;="&amp;$A$1,РД[Дата подачи на регистрацию],"&gt;="&amp;DATE(YEAR($A$1),MONTH($A$1),1),РД[Состояние],"Продажа")</f>
        <v>11954605</v>
      </c>
      <c r="I136" s="226">
        <f>COUNTIFS(РД[МОП],A136,РД[Дата подачи на регистрацию],"&lt;="&amp;$A$1,РД[Дата подачи на регистрацию],"&gt;="&amp;DATE(YEAR($A$1),MONTH($A$1),1),РД[Состояние],"Продажа")</f>
        <v>2</v>
      </c>
      <c r="J136" s="224">
        <f t="shared" ref="J136:K143" si="22">IFERROR(G136/B136,"")</f>
        <v>0.21480434782608696</v>
      </c>
      <c r="K136" s="225">
        <f t="shared" si="22"/>
        <v>0.20237338756363185</v>
      </c>
      <c r="L136" s="257">
        <f>COUNTIFS(РД[Тип кв],L$87,РД[МОП],$A136,РД[Дата подачи на регистрацию],"&lt;="&amp;$A$1,РД[Дата подачи на регистрацию],"&gt;="&amp;DATE(YEAR($A$1),MONTH($A$1),1))</f>
        <v>0</v>
      </c>
      <c r="M136" s="226">
        <f>COUNTIFS(РД[Тип кв],M$87,РД[МОП],$A136,РД[Дата подачи на регистрацию],"&lt;="&amp;$A$1,РД[Дата подачи на регистрацию],"&gt;="&amp;DATE(YEAR($A$1),MONTH($A$1),1))</f>
        <v>1</v>
      </c>
      <c r="N136" s="226">
        <f>COUNTIFS(РД[Тип кв],N$87,РД[МОП],$A136,РД[Дата подачи на регистрацию],"&lt;="&amp;$A$1,РД[Дата подачи на регистрацию],"&gt;="&amp;DATE(YEAR($A$1),MONTH($A$1),1))</f>
        <v>1</v>
      </c>
      <c r="O136" s="226">
        <f>COUNTIFS(РД[Тип кв],O$87,РД[МОП],$A136,РД[Дата подачи на регистрацию],"&lt;="&amp;$A$1,РД[Дата подачи на регистрацию],"&gt;="&amp;DATE(YEAR($A$1),MONTH($A$1),1))</f>
        <v>0</v>
      </c>
      <c r="P136" s="227">
        <f>COUNTIFS(РД[Тип кв],P$87,РД[МОП],$A136,РД[Дата подачи на регистрацию],"&lt;="&amp;$A$1,РД[Дата подачи на регистрацию],"&gt;="&amp;DATE(YEAR($A$1),MONTH($A$1),1))</f>
        <v>0</v>
      </c>
      <c r="T136" s="66"/>
    </row>
    <row r="137" spans="1:21" s="65" customFormat="1">
      <c r="A137" s="142" t="s">
        <v>8</v>
      </c>
      <c r="B137" s="143">
        <f>IFERROR(VLOOKUP(A137,'ИПП 2кв25'!$B$24:$N$35,12,0),"")</f>
        <v>460</v>
      </c>
      <c r="C137" s="144">
        <f>IFERROR(VLOOKUP(A137,'ИПП 2кв25'!$B$24:$N$35,13,0),"")</f>
        <v>59072021</v>
      </c>
      <c r="D137" s="199">
        <f>SUMIFS(Март255152[м2],Март255152[КТУ],$A137,Март255152[Комнатность],"&lt;&gt;Офис")</f>
        <v>246.26999999999998</v>
      </c>
      <c r="E137" s="200">
        <f>SUMIFS(Март255152[Сумма без отделки],Март255152[КТУ],$A137,Март255152[Комнатность],"&lt;&gt;Офис")</f>
        <v>33464535</v>
      </c>
      <c r="F137" s="201">
        <f>COUNTIFS(Март255152[КТУ],$A137,Март255152[Комнатность],"&lt;&gt;Офис")</f>
        <v>4</v>
      </c>
      <c r="G137" s="202">
        <f>SUMIFS(РД[S],РД[МОП],A137,РД[Дата подачи на регистрацию],"&lt;="&amp;$A$1,РД[Дата подачи на регистрацию],"&gt;="&amp;DATE(YEAR($A$1),MONTH($A$1),1),РД[Состояние],"Продажа")</f>
        <v>61.41</v>
      </c>
      <c r="H137" s="203">
        <f>SUMIFS(РД[Стоимость без отделки итог],РД[МОП],A137,РД[Дата подачи на регистрацию],"&lt;="&amp;$A$1,РД[Дата подачи на регистрацию],"&gt;="&amp;DATE(YEAR($A$1),MONTH($A$1),1),РД[Состояние],"Продажа")</f>
        <v>7584135</v>
      </c>
      <c r="I137" s="226">
        <f>COUNTIFS(РД[МОП],A137,РД[Дата подачи на регистрацию],"&lt;="&amp;$A$1,РД[Дата подачи на регистрацию],"&gt;="&amp;DATE(YEAR($A$1),MONTH($A$1),1),РД[Состояние],"Продажа")</f>
        <v>1</v>
      </c>
      <c r="J137" s="224">
        <f t="shared" si="22"/>
        <v>0.13349999999999998</v>
      </c>
      <c r="K137" s="225">
        <f t="shared" si="22"/>
        <v>0.12838793851322608</v>
      </c>
      <c r="L137" s="257">
        <f>COUNTIFS(РД[Тип кв],L$87,РД[МОП],$A137,РД[Дата подачи на регистрацию],"&lt;="&amp;$A$1,РД[Дата подачи на регистрацию],"&gt;="&amp;DATE(YEAR($A$1),MONTH($A$1),1))</f>
        <v>0</v>
      </c>
      <c r="M137" s="226">
        <f>COUNTIFS(РД[Тип кв],M$87,РД[МОП],$A137,РД[Дата подачи на регистрацию],"&lt;="&amp;$A$1,РД[Дата подачи на регистрацию],"&gt;="&amp;DATE(YEAR($A$1),MONTH($A$1),1))</f>
        <v>0</v>
      </c>
      <c r="N137" s="226">
        <f>COUNTIFS(РД[Тип кв],N$87,РД[МОП],$A137,РД[Дата подачи на регистрацию],"&lt;="&amp;$A$1,РД[Дата подачи на регистрацию],"&gt;="&amp;DATE(YEAR($A$1),MONTH($A$1),1))</f>
        <v>1</v>
      </c>
      <c r="O137" s="226">
        <f>COUNTIFS(РД[Тип кв],O$87,РД[МОП],$A137,РД[Дата подачи на регистрацию],"&lt;="&amp;$A$1,РД[Дата подачи на регистрацию],"&gt;="&amp;DATE(YEAR($A$1),MONTH($A$1),1))</f>
        <v>0</v>
      </c>
      <c r="P137" s="227">
        <f>COUNTIFS(РД[Тип кв],P$87,РД[МОП],$A137,РД[Дата подачи на регистрацию],"&lt;="&amp;$A$1,РД[Дата подачи на регистрацию],"&gt;="&amp;DATE(YEAR($A$1),MONTH($A$1),1))</f>
        <v>0</v>
      </c>
      <c r="T137" s="66"/>
    </row>
    <row r="138" spans="1:21" s="65" customFormat="1">
      <c r="A138" s="150" t="s">
        <v>20</v>
      </c>
      <c r="B138" s="143">
        <f>IFERROR(VLOOKUP(A138,'ИПП 2кв25'!$B$24:$N$35,12,0),"")</f>
        <v>460</v>
      </c>
      <c r="C138" s="144">
        <f>IFERROR(VLOOKUP(A138,'ИПП 2кв25'!$B$24:$N$35,13,0),"")</f>
        <v>59072021</v>
      </c>
      <c r="D138" s="199">
        <f>SUMIFS(Март255152[м2],Март255152[КТУ],$A138,Март255152[Комнатность],"&lt;&gt;Офис")</f>
        <v>58.39</v>
      </c>
      <c r="E138" s="200">
        <f>SUMIFS(Март255152[Сумма без отделки],Март255152[КТУ],$A138,Март255152[Комнатность],"&lt;&gt;Офис")</f>
        <v>6202580</v>
      </c>
      <c r="F138" s="201">
        <f>COUNTIFS(Март255152[КТУ],$A138,Март255152[Комнатность],"&lt;&gt;Офис")</f>
        <v>1</v>
      </c>
      <c r="G138" s="202">
        <f>SUMIFS(РД[S],РД[МОП],A138,РД[Дата подачи на регистрацию],"&lt;="&amp;$A$1,РД[Дата подачи на регистрацию],"&gt;="&amp;DATE(YEAR($A$1),MONTH($A$1),1),РД[Состояние],"Продажа")</f>
        <v>58.39</v>
      </c>
      <c r="H138" s="203">
        <f>SUMIFS(РД[Стоимость без отделки итог],РД[МОП],A138,РД[Дата подачи на регистрацию],"&lt;="&amp;$A$1,РД[Дата подачи на регистрацию],"&gt;="&amp;DATE(YEAR($A$1),MONTH($A$1),1),РД[Состояние],"Продажа")</f>
        <v>6202580</v>
      </c>
      <c r="I138" s="226">
        <f>COUNTIFS(РД[МОП],A138,РД[Дата подачи на регистрацию],"&lt;="&amp;$A$1,РД[Дата подачи на регистрацию],"&gt;="&amp;DATE(YEAR($A$1),MONTH($A$1),1),РД[Состояние],"Продажа")</f>
        <v>1</v>
      </c>
      <c r="J138" s="224">
        <f t="shared" si="22"/>
        <v>0.12693478260869565</v>
      </c>
      <c r="K138" s="225">
        <f t="shared" si="22"/>
        <v>0.10500030124244437</v>
      </c>
      <c r="L138" s="257">
        <f>COUNTIFS(РД[Тип кв],L$87,РД[МОП],$A138,РД[Дата подачи на регистрацию],"&lt;="&amp;$A$1,РД[Дата подачи на регистрацию],"&gt;="&amp;DATE(YEAR($A$1),MONTH($A$1),1))</f>
        <v>0</v>
      </c>
      <c r="M138" s="226">
        <f>COUNTIFS(РД[Тип кв],M$87,РД[МОП],$A138,РД[Дата подачи на регистрацию],"&lt;="&amp;$A$1,РД[Дата подачи на регистрацию],"&gt;="&amp;DATE(YEAR($A$1),MONTH($A$1),1))</f>
        <v>1</v>
      </c>
      <c r="N138" s="226">
        <f>COUNTIFS(РД[Тип кв],N$87,РД[МОП],$A138,РД[Дата подачи на регистрацию],"&lt;="&amp;$A$1,РД[Дата подачи на регистрацию],"&gt;="&amp;DATE(YEAR($A$1),MONTH($A$1),1))</f>
        <v>0</v>
      </c>
      <c r="O138" s="226">
        <f>COUNTIFS(РД[Тип кв],O$87,РД[МОП],$A138,РД[Дата подачи на регистрацию],"&lt;="&amp;$A$1,РД[Дата подачи на регистрацию],"&gt;="&amp;DATE(YEAR($A$1),MONTH($A$1),1))</f>
        <v>0</v>
      </c>
      <c r="P138" s="227">
        <f>COUNTIFS(РД[Тип кв],P$87,РД[МОП],$A138,РД[Дата подачи на регистрацию],"&lt;="&amp;$A$1,РД[Дата подачи на регистрацию],"&gt;="&amp;DATE(YEAR($A$1),MONTH($A$1),1))</f>
        <v>0</v>
      </c>
      <c r="T138" s="66"/>
    </row>
    <row r="139" spans="1:21" s="65" customFormat="1">
      <c r="A139" s="153" t="s">
        <v>24</v>
      </c>
      <c r="B139" s="143">
        <f>IFERROR(VLOOKUP(A139,'ИПП 2кв25'!$B$24:$N$35,12,0),"")</f>
        <v>460</v>
      </c>
      <c r="C139" s="144">
        <f>IFERROR(VLOOKUP(A139,'ИПП 2кв25'!$B$24:$N$35,13,0),"")</f>
        <v>59072021</v>
      </c>
      <c r="D139" s="199">
        <f>SUMIFS(Март255152[м2],Март255152[КТУ],$A139,Март255152[Комнатность],"&lt;&gt;Офис")</f>
        <v>339.96999999999997</v>
      </c>
      <c r="E139" s="200">
        <f>SUMIFS(Март255152[Сумма без отделки],Март255152[КТУ],$A139,Март255152[Комнатность],"&lt;&gt;Офис")</f>
        <v>40437730</v>
      </c>
      <c r="F139" s="201">
        <f>COUNTIFS(Март255152[КТУ],$A139,Март255152[Комнатность],"&lt;&gt;Офис")</f>
        <v>6</v>
      </c>
      <c r="G139" s="202">
        <f>SUMIFS(РД[S],РД[МОП],A139,РД[Дата подачи на регистрацию],"&lt;="&amp;$A$1,РД[Дата подачи на регистрацию],"&gt;="&amp;DATE(YEAR($A$1),MONTH($A$1),1),РД[Состояние],"Продажа")</f>
        <v>339.96999999999997</v>
      </c>
      <c r="H139" s="203">
        <f>SUMIFS(РД[Стоимость без отделки итог],РД[МОП],A139,РД[Дата подачи на регистрацию],"&lt;="&amp;$A$1,РД[Дата подачи на регистрацию],"&gt;="&amp;DATE(YEAR($A$1),MONTH($A$1),1),РД[Состояние],"Продажа")</f>
        <v>39818330</v>
      </c>
      <c r="I139" s="226">
        <f>COUNTIFS(РД[МОП],A139,РД[Дата подачи на регистрацию],"&lt;="&amp;$A$1,РД[Дата подачи на регистрацию],"&gt;="&amp;DATE(YEAR($A$1),MONTH($A$1),1),РД[Состояние],"Продажа")</f>
        <v>6</v>
      </c>
      <c r="J139" s="224">
        <f t="shared" si="22"/>
        <v>0.73906521739130426</v>
      </c>
      <c r="K139" s="225">
        <f t="shared" si="22"/>
        <v>0.6740641225056444</v>
      </c>
      <c r="L139" s="325">
        <f>COUNTIFS(РД[Тип кв],L$87,РД[МОП],$A139,РД[Дата подачи на регистрацию],"&lt;="&amp;$A$1,РД[Дата подачи на регистрацию],"&gt;="&amp;DATE(YEAR($A$1),MONTH($A$1),1))</f>
        <v>0</v>
      </c>
      <c r="M139" s="326">
        <f>COUNTIFS(РД[Тип кв],M$87,РД[МОП],$A139,РД[Дата подачи на регистрацию],"&lt;="&amp;$A$1,РД[Дата подачи на регистрацию],"&gt;="&amp;DATE(YEAR($A$1),MONTH($A$1),1))</f>
        <v>3</v>
      </c>
      <c r="N139" s="326">
        <f>COUNTIFS(РД[Тип кв],N$87,РД[МОП],$A139,РД[Дата подачи на регистрацию],"&lt;="&amp;$A$1,РД[Дата подачи на регистрацию],"&gt;="&amp;DATE(YEAR($A$1),MONTH($A$1),1))</f>
        <v>2</v>
      </c>
      <c r="O139" s="326">
        <f>COUNTIFS(РД[Тип кв],O$87,РД[МОП],$A139,РД[Дата подачи на регистрацию],"&lt;="&amp;$A$1,РД[Дата подачи на регистрацию],"&gt;="&amp;DATE(YEAR($A$1),MONTH($A$1),1))</f>
        <v>1</v>
      </c>
      <c r="P139" s="327">
        <f>COUNTIFS(РД[Тип кв],P$87,РД[МОП],$A139,РД[Дата подачи на регистрацию],"&lt;="&amp;$A$1,РД[Дата подачи на регистрацию],"&gt;="&amp;DATE(YEAR($A$1),MONTH($A$1),1))</f>
        <v>0</v>
      </c>
      <c r="T139" s="66"/>
    </row>
    <row r="140" spans="1:21" s="65" customFormat="1">
      <c r="A140" s="153" t="s">
        <v>14</v>
      </c>
      <c r="B140" s="143">
        <f>IFERROR(VLOOKUP(A140,'ИПП 2кв25'!$B$24:$N$35,12,0),"")</f>
        <v>460</v>
      </c>
      <c r="C140" s="144">
        <f>IFERROR(VLOOKUP(A140,'ИПП 2кв25'!$B$24:$N$35,13,0),"")</f>
        <v>59072021</v>
      </c>
      <c r="D140" s="299">
        <f>SUMIFS(Март255152[м2],Март255152[КТУ],$A140,Март255152[Комнатность],"&lt;&gt;Офис")</f>
        <v>357.13</v>
      </c>
      <c r="E140" s="300">
        <f>SUMIFS(Март255152[Сумма без отделки],Март255152[КТУ],$A140,Март255152[Комнатность],"&lt;&gt;Офис")</f>
        <v>41566183</v>
      </c>
      <c r="F140" s="301">
        <f>COUNTIFS(Март255152[КТУ],$A140,Март255152[Комнатность],"&lt;&gt;Офис")</f>
        <v>6</v>
      </c>
      <c r="G140" s="358">
        <f>SUMIFS(РД[S],РД[МОП],A140,РД[Дата подачи на регистрацию],"&lt;="&amp;$A$1,РД[Дата подачи на регистрацию],"&gt;="&amp;DATE(YEAR($A$1),MONTH($A$1),1),РД[Состояние],"Продажа")</f>
        <v>357.13</v>
      </c>
      <c r="H140" s="359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41566183</v>
      </c>
      <c r="I140" s="330">
        <f>COUNTIFS(РД[МОП],A140,РД[Дата подачи на регистрацию],"&lt;="&amp;$A$1,РД[Дата подачи на регистрацию],"&gt;="&amp;DATE(YEAR($A$1),MONTH($A$1),1),РД[Состояние],"Продажа")</f>
        <v>6</v>
      </c>
      <c r="J140" s="360">
        <f t="shared" si="22"/>
        <v>0.77636956521739131</v>
      </c>
      <c r="K140" s="361">
        <f t="shared" si="22"/>
        <v>0.70365263108231901</v>
      </c>
      <c r="L140" s="364">
        <f>COUNTIFS(РД[Тип кв],L$87,РД[МОП],$A140,РД[Дата подачи на регистрацию],"&lt;="&amp;$A$1,РД[Дата подачи на регистрацию],"&gt;="&amp;DATE(YEAR($A$1),MONTH($A$1),1))</f>
        <v>0</v>
      </c>
      <c r="M140" s="365">
        <f>COUNTIFS(РД[Тип кв],M$87,РД[МОП],$A140,РД[Дата подачи на регистрацию],"&lt;="&amp;$A$1,РД[Дата подачи на регистрацию],"&gt;="&amp;DATE(YEAR($A$1),MONTH($A$1),1))</f>
        <v>1</v>
      </c>
      <c r="N140" s="365">
        <f>COUNTIFS(РД[Тип кв],N$87,РД[МОП],$A140,РД[Дата подачи на регистрацию],"&lt;="&amp;$A$1,РД[Дата подачи на регистрацию],"&gt;="&amp;DATE(YEAR($A$1),MONTH($A$1),1))</f>
        <v>4</v>
      </c>
      <c r="O140" s="365">
        <f>COUNTIFS(РД[Тип кв],O$87,РД[МОП],$A140,РД[Дата подачи на регистрацию],"&lt;="&amp;$A$1,РД[Дата подачи на регистрацию],"&gt;="&amp;DATE(YEAR($A$1),MONTH($A$1),1))</f>
        <v>1</v>
      </c>
      <c r="P140" s="366">
        <f>COUNTIFS(РД[Тип кв],P$87,РД[МОП],$A140,РД[Дата подачи на регистрацию],"&lt;="&amp;$A$1,РД[Дата подачи на регистрацию],"&gt;="&amp;DATE(YEAR($A$1),MONTH($A$1),1))</f>
        <v>0</v>
      </c>
      <c r="Q140" s="86"/>
      <c r="R140" s="86"/>
      <c r="S140" s="86"/>
      <c r="T140" s="66"/>
    </row>
    <row r="141" spans="1:21" s="65" customFormat="1">
      <c r="A141" s="154" t="s">
        <v>29</v>
      </c>
      <c r="B141" s="155"/>
      <c r="C141" s="156"/>
      <c r="D141" s="157">
        <f>SUMIFS(Март255152[м2],Март255152[КТУ],$A141,Март255152[Комнатность],"&lt;&gt;Офис")</f>
        <v>0</v>
      </c>
      <c r="E141" s="156">
        <f>SUMIFS(Март255152[Сумма без отделки],Март255152[КТУ],$A141,Март255152[Комнатность],"&lt;&gt;Офис")</f>
        <v>0</v>
      </c>
      <c r="F141" s="158">
        <f>COUNTIFS(Март255152[КТУ],$A141,Март255152[Комнатность],"&lt;&gt;Офис")</f>
        <v>0</v>
      </c>
      <c r="G141" s="159">
        <f>SUMIFS(РД[S],РД[МОП],A141,РД[Дата подачи на регистрацию],"&lt;="&amp;$A$1,РД[Дата подачи на регистрацию],"&gt;="&amp;DATE(YEAR($A$1),MONTH($A$1),1),РД[Состояние],"Продажа")</f>
        <v>0</v>
      </c>
      <c r="H141" s="160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228">
        <f>COUNTIFS(РД[МОП],A141,РД[Дата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9" t="str">
        <f t="shared" si="22"/>
        <v/>
      </c>
      <c r="K141" s="230" t="str">
        <f t="shared" si="22"/>
        <v/>
      </c>
      <c r="L141" s="159">
        <f>COUNTIFS(РД[Тип кв],L$87,РД[МОП],$A141,РД[Дата подачи на регистрацию],"&lt;="&amp;$A$1,РД[Дата подачи на регистрацию],"&gt;="&amp;DATE(YEAR($A$1),MONTH($A$1),1))</f>
        <v>0</v>
      </c>
      <c r="M141" s="228">
        <f>COUNTIFS(РД[Тип кв],M$87,РД[МОП],$A141,РД[Дата подачи на регистрацию],"&lt;="&amp;$A$1,РД[Дата подачи на регистрацию],"&gt;="&amp;DATE(YEAR($A$1),MONTH($A$1),1))</f>
        <v>0</v>
      </c>
      <c r="N141" s="228">
        <f>COUNTIFS(РД[Тип кв],N$87,РД[МОП],$A141,РД[Дата подачи на регистрацию],"&lt;="&amp;$A$1,РД[Дата подачи на регистрацию],"&gt;="&amp;DATE(YEAR($A$1),MONTH($A$1),1))</f>
        <v>0</v>
      </c>
      <c r="O141" s="228">
        <f>COUNTIFS(РД[Тип кв],O$87,РД[МОП],$A141,РД[Дата подачи на регистрацию],"&lt;="&amp;$A$1,РД[Дата подачи на регистрацию],"&gt;="&amp;DATE(YEAR($A$1),MONTH($A$1),1))</f>
        <v>0</v>
      </c>
      <c r="P141" s="231">
        <f>COUNTIFS(РД[Тип кв],P$87,РД[МОП],$A141,РД[Дата подачи на регистрацию],"&lt;="&amp;$A$1,РД[Дата подачи на регистрацию],"&gt;="&amp;DATE(YEAR($A$1),MONTH($A$1),1))</f>
        <v>0</v>
      </c>
      <c r="T141" s="66"/>
    </row>
    <row r="142" spans="1:21" s="65" customFormat="1">
      <c r="A142" s="161" t="s">
        <v>1919</v>
      </c>
      <c r="B142" s="162"/>
      <c r="C142" s="163"/>
      <c r="D142" s="164">
        <f>SUMIFS(Март255152[м2],Март255152[МОП],$A142,Март255152[Комнатность],"&lt;&gt;Офис")</f>
        <v>327.33</v>
      </c>
      <c r="E142" s="163">
        <f>SUMIFS(Март255152[Сумма без отделки],Март255152[МОП],$A142,Март255152[Комнатность],"&lt;&gt;Офис")</f>
        <v>38790256</v>
      </c>
      <c r="F142" s="165">
        <f>COUNTIFS(Март255152[МОП],$A142,Март255152[Комнатность],"&lt;&gt;Офис")</f>
        <v>6</v>
      </c>
      <c r="G142" s="166">
        <f>SUMIFS(РД[S],РД[МОП],A142,РД[Дата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167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32">
        <f>COUNTIFS(РД[МОП],A142,РД[Дата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33" t="str">
        <f t="shared" si="22"/>
        <v/>
      </c>
      <c r="K142" s="234" t="str">
        <f t="shared" si="22"/>
        <v/>
      </c>
      <c r="L142" s="235">
        <f>COUNTIFS(РД[Тип кв],L$87,РД[МОП],$A142,РД[Дата подачи на регистрацию],"&lt;="&amp;$A$1,РД[Дата подачи на регистрацию],"&gt;="&amp;DATE(YEAR($A$1),MONTH($A$1),1))</f>
        <v>0</v>
      </c>
      <c r="M142" s="236">
        <f>COUNTIFS(РД[Тип кв],M$87,РД[МОП],$A142,РД[Дата подачи на регистрацию],"&lt;="&amp;$A$1,РД[Дата подачи на регистрацию],"&gt;="&amp;DATE(YEAR($A$1),MONTH($A$1),1))</f>
        <v>0</v>
      </c>
      <c r="N142" s="236">
        <f>COUNTIFS(РД[Тип кв],N$87,РД[МОП],$A142,РД[Дата подачи на регистрацию],"&lt;="&amp;$A$1,РД[Дата подачи на регистрацию],"&gt;="&amp;DATE(YEAR($A$1),MONTH($A$1),1))</f>
        <v>0</v>
      </c>
      <c r="O142" s="236">
        <f>COUNTIFS(РД[Тип кв],O$87,РД[МОП],$A142,РД[Дата подачи на регистрацию],"&lt;="&amp;$A$1,РД[Дата подачи на регистрацию],"&gt;="&amp;DATE(YEAR($A$1),MONTH($A$1),1))</f>
        <v>0</v>
      </c>
      <c r="P142" s="237">
        <f>COUNTIFS(РД[Тип кв],P$87,РД[МОП],$A142,РД[Дата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168" t="s">
        <v>114</v>
      </c>
      <c r="B143" s="169">
        <f t="shared" ref="B143:I143" si="23">SUM(B136:B142)</f>
        <v>2300</v>
      </c>
      <c r="C143" s="170">
        <f t="shared" si="23"/>
        <v>295360105</v>
      </c>
      <c r="D143" s="170">
        <f t="shared" si="23"/>
        <v>1486.4899999999998</v>
      </c>
      <c r="E143" s="170">
        <f t="shared" si="23"/>
        <v>181456589</v>
      </c>
      <c r="F143" s="171">
        <f t="shared" si="23"/>
        <v>26</v>
      </c>
      <c r="G143" s="172">
        <f t="shared" si="23"/>
        <v>915.70999999999992</v>
      </c>
      <c r="H143" s="173">
        <f t="shared" si="23"/>
        <v>107125833</v>
      </c>
      <c r="I143" s="170">
        <f t="shared" si="23"/>
        <v>16</v>
      </c>
      <c r="J143" s="238">
        <f t="shared" si="22"/>
        <v>0.39813478260869561</v>
      </c>
      <c r="K143" s="239">
        <f t="shared" si="22"/>
        <v>0.36269567618145315</v>
      </c>
      <c r="L143" s="240">
        <f>SUM(L136:L142)</f>
        <v>0</v>
      </c>
      <c r="M143" s="241">
        <f>SUM(M136:M142)</f>
        <v>6</v>
      </c>
      <c r="N143" s="241">
        <f>SUM(N136:N142)</f>
        <v>8</v>
      </c>
      <c r="O143" s="241">
        <f>SUM(O136:O142)</f>
        <v>2</v>
      </c>
      <c r="P143" s="242">
        <f>SUM(P136:P142)</f>
        <v>0</v>
      </c>
      <c r="T143" s="66"/>
    </row>
    <row r="144" spans="1:21" s="65" customFormat="1">
      <c r="A144" s="135" t="s">
        <v>115</v>
      </c>
      <c r="B144" s="213" t="s">
        <v>100</v>
      </c>
      <c r="C144" s="214" t="s">
        <v>97</v>
      </c>
      <c r="D144" s="174" t="s">
        <v>494</v>
      </c>
      <c r="E144" s="175" t="s">
        <v>495</v>
      </c>
      <c r="F144" s="176" t="s">
        <v>496</v>
      </c>
      <c r="G144" s="140" t="s">
        <v>101</v>
      </c>
      <c r="H144" s="141" t="s">
        <v>98</v>
      </c>
      <c r="I144" s="141" t="s">
        <v>96</v>
      </c>
      <c r="J144" s="141" t="s">
        <v>715</v>
      </c>
      <c r="K144" s="216" t="s">
        <v>716</v>
      </c>
      <c r="L144" s="217">
        <v>0</v>
      </c>
      <c r="M144" s="218">
        <v>1</v>
      </c>
      <c r="N144" s="218">
        <v>2</v>
      </c>
      <c r="O144" s="218">
        <v>3</v>
      </c>
      <c r="P144" s="219" t="s">
        <v>1367</v>
      </c>
      <c r="T144" s="66"/>
    </row>
    <row r="145" spans="1:21" s="65" customFormat="1">
      <c r="A145" s="177" t="s">
        <v>22</v>
      </c>
      <c r="B145" s="178">
        <f>IFERROR(VLOOKUP(A145,'ИПП 2кв25'!$B$24:$N$35,12,0),"")</f>
        <v>671.22448979591832</v>
      </c>
      <c r="C145" s="179">
        <f>IFERROR(VLOOKUP(A145,'ИПП 2кв25'!$B$24:$N$35,13,0),"")</f>
        <v>86196928.602040812</v>
      </c>
      <c r="D145" s="180">
        <f>SUMIFS(Март255152[м2],Март255152[ИМ],A145,Март255152[Комнатность],"&lt;&gt;Офис")</f>
        <v>520.95000000000005</v>
      </c>
      <c r="E145" s="181">
        <f>SUMIFS(Март255152[Сумма без отделки],Март255152[ИМ],$A145,Март255152[Комнатность],"&lt;&gt;Офис")</f>
        <v>65079320</v>
      </c>
      <c r="F145" s="204">
        <f>COUNTIFS(Март255152[ИМ],A145,Март255152[Комнатность],"&lt;&gt;Офис")</f>
        <v>9</v>
      </c>
      <c r="G145" s="183">
        <f>SUMIFS(РД[S],РД[ИМ],A145,РД[Дата подачи на регистрацию],"&lt;="&amp;$A$1,РД[Дата подачи на регистрацию],"&gt;="&amp;DATE(YEAR($A$1),MONTH($A$1),1),РД[Состояние],"Продажа")</f>
        <v>206.39000000000001</v>
      </c>
      <c r="H145" s="184">
        <f>SUMIFS(РД[Стоимость без отделки итог],РД[ИМ],A145,РД[Дата подачи на регистрацию],"&lt;="&amp;$A$1,РД[Дата подачи на регистрацию],"&gt;="&amp;DATE(YEAR($A$1),MONTH($A$1),1),РД[Состояние],"Продажа")</f>
        <v>24845292</v>
      </c>
      <c r="I145" s="243">
        <f>COUNTIFS(РД[ИМ],A145,РД[Дата подачи на регистрацию],"&lt;="&amp;$A$1,РД[Дата подачи на регистрацию],"&gt;="&amp;DATE(YEAR($A$1),MONTH($A$1),1),РД[Состояние],"Продажа")</f>
        <v>4</v>
      </c>
      <c r="J145" s="244">
        <f t="shared" ref="J145:K148" si="24">IFERROR(G145/B145,"")</f>
        <v>0.30748282152629985</v>
      </c>
      <c r="K145" s="258">
        <f t="shared" si="24"/>
        <v>0.28823871572857596</v>
      </c>
      <c r="L145" s="183">
        <f>COUNTIFS(РД[Тип кв],L135,РД[ИМ],$A145,РД[Дата подачи на регистрацию],"&lt;="&amp;$A$1,РД[Дата подачи на регистрацию],"&gt;="&amp;DATE(YEAR($A$1),MONTH($A$1),1))</f>
        <v>0</v>
      </c>
      <c r="M145" s="243">
        <f>COUNTIFS(РД[Тип кв],M135,РД[ИМ],$A145,РД[Дата подачи на регистрацию],"&lt;="&amp;$A$1,РД[Дата подачи на регистрацию],"&gt;="&amp;DATE(YEAR($A$1),MONTH($A$1),1))</f>
        <v>2</v>
      </c>
      <c r="N145" s="243">
        <f>COUNTIFS(РД[Тип кв],N135,РД[ИМ],$A145,РД[Дата подачи на регистрацию],"&lt;="&amp;$A$1,РД[Дата подачи на регистрацию],"&gt;="&amp;DATE(YEAR($A$1),MONTH($A$1),1))</f>
        <v>2</v>
      </c>
      <c r="O145" s="243">
        <f>COUNTIFS(РД[Тип кв],O135,РД[ИМ],$A145,РД[Дата подачи на регистрацию],"&lt;="&amp;$A$1,РД[Дата подачи на регистрацию],"&gt;="&amp;DATE(YEAR($A$1),MONTH($A$1),1))</f>
        <v>0</v>
      </c>
      <c r="P145" s="246">
        <f>COUNTIFS(РД[Тип кв],P135,РД[ИМ],$A145,РД[Дата подачи на регистрацию],"&lt;="&amp;$A$1,РД[Дата подачи на регистрацию],"&gt;="&amp;DATE(YEAR($A$1),MONTH($A$1),1))</f>
        <v>0</v>
      </c>
      <c r="Q145" s="66"/>
      <c r="R145" s="66"/>
      <c r="S145" s="66"/>
      <c r="T145" s="66"/>
    </row>
    <row r="146" spans="1:21" s="65" customFormat="1">
      <c r="A146" s="150" t="s">
        <v>26</v>
      </c>
      <c r="B146" s="143">
        <f>IFERROR(VLOOKUP(A146,'ИПП 2кв25'!$B$24:$N$35,12,0),"")</f>
        <v>823.77551020408157</v>
      </c>
      <c r="C146" s="144">
        <f>IFERROR(VLOOKUP(A146,'ИПП 2кв25'!$B$24:$N$35,13,0),"")</f>
        <v>105787139.64795917</v>
      </c>
      <c r="D146" s="205">
        <f>SUMIFS(Март255152[м2],Март255152[ИМ],A146,Март255152[Комнатность],"&lt;&gt;Офис")</f>
        <v>638.20999999999992</v>
      </c>
      <c r="E146" s="206">
        <f>SUMIFS(Март255152[Сумма без отделки],Март255152[ИМ],$A146,Март255152[Комнатность],"&lt;&gt;Офис")</f>
        <v>77587013</v>
      </c>
      <c r="F146" s="207">
        <f>COUNTIFS(Март255152[ИМ],$A146,Март255152[Комнатность],"&lt;&gt;Офис")</f>
        <v>11</v>
      </c>
      <c r="G146" s="187">
        <f>SUMIFS(РД[S],РД[ИМ],A146,РД[Дата подачи на регистрацию],"&lt;="&amp;$A$1,РД[Дата подачи на регистрацию],"&gt;="&amp;DATE(YEAR($A$1),MONTH($A$1),1),РД[Состояние],"Продажа")</f>
        <v>319.02000000000004</v>
      </c>
      <c r="H146" s="188">
        <f>SUMIFS(РД[Стоимость без отделки итог],РД[ИМ],A146,РД[Дата подачи на регистрацию],"&lt;="&amp;$A$1,РД[Дата подачи на регистрацию],"&gt;="&amp;DATE(YEAR($A$1),MONTH($A$1),1),РД[Состояние],"Продажа")</f>
        <v>35543274</v>
      </c>
      <c r="I146" s="247">
        <f>COUNTIFS(РД[ИМ],A146,РД[Дата подачи на регистрацию],"&lt;="&amp;$A$1,РД[Дата подачи на регистрацию],"&gt;="&amp;DATE(YEAR($A$1),MONTH($A$1),1),РД[Состояние],"Продажа")</f>
        <v>5</v>
      </c>
      <c r="J146" s="248">
        <f t="shared" si="24"/>
        <v>0.38726570048309189</v>
      </c>
      <c r="K146" s="259">
        <f t="shared" si="24"/>
        <v>0.33598860994145135</v>
      </c>
      <c r="L146" s="328">
        <f>COUNTIFS(РД[Тип кв],L137,РД[ИМ],$A146,РД[Дата подачи на регистрацию],"&lt;="&amp;$A$1,РД[Дата подачи на регистрацию],"&gt;="&amp;DATE(YEAR($A$1),MONTH($A$1),1))</f>
        <v>0</v>
      </c>
      <c r="M146" s="247">
        <f>COUNTIFS(РД[Тип кв],M137,РД[ИМ],$A146,РД[Дата подачи на регистрацию],"&lt;="&amp;$A$1,РД[Дата подачи на регистрацию],"&gt;="&amp;DATE(YEAR($A$1),MONTH($A$1),1))</f>
        <v>0</v>
      </c>
      <c r="N146" s="247">
        <f>COUNTIFS(РД[Тип кв],N137,РД[ИМ],$A146,РД[Дата подачи на регистрацию],"&lt;="&amp;$A$1,РД[Дата подачи на регистрацию],"&gt;="&amp;DATE(YEAR($A$1),MONTH($A$1),1))</f>
        <v>1</v>
      </c>
      <c r="O146" s="247">
        <f>COUNTIFS(РД[Тип кв],O137,РД[ИМ],$A146,РД[Дата подачи на регистрацию],"&lt;="&amp;$A$1,РД[Дата подачи на регистрацию],"&gt;="&amp;DATE(YEAR($A$1),MONTH($A$1),1))</f>
        <v>0</v>
      </c>
      <c r="P146" s="250">
        <f>COUNTIFS(РД[Тип кв],P137,РД[ИМ],$A146,РД[Дата подачи на регистрацию],"&lt;="&amp;$A$1,РД[Дата подачи на регистрацию],"&gt;="&amp;DATE(YEAR($A$1),MONTH($A$1),1))</f>
        <v>0</v>
      </c>
      <c r="Q146" s="66"/>
      <c r="R146" s="66"/>
      <c r="S146" s="66"/>
      <c r="T146" s="66"/>
    </row>
    <row r="147" spans="1:21" s="65" customFormat="1">
      <c r="A147" s="189" t="s">
        <v>3</v>
      </c>
      <c r="B147" s="190">
        <f>IFERROR(VLOOKUP(A147,'ИПП 2кв25'!$B$24:$N$35,12,0),"")</f>
        <v>0</v>
      </c>
      <c r="C147" s="191">
        <f>IFERROR(VLOOKUP(A147,'ИПП 2кв25'!$B$24:$N$35,13,0),"")</f>
        <v>0</v>
      </c>
      <c r="D147" s="208">
        <f>SUMIFS(Март255152[м2],Март255152[ИМ],A147,Март255152[Комнатность],"&lt;&gt;Офис")</f>
        <v>0</v>
      </c>
      <c r="E147" s="209">
        <f>SUMIFS(Март255152[Сумма без отделки],Март255152[ИМ],$A147,Март255152[Комнатность],"&lt;&gt;Офис")</f>
        <v>0</v>
      </c>
      <c r="F147" s="210">
        <f>COUNTIFS(Март255152[ИМ],$A147,Март255152[Комнатность],"&lt;&gt;Офис")</f>
        <v>0</v>
      </c>
      <c r="G147" s="195">
        <f>SUMIFS(РД[S],РД[ИМ],A147,РД[Дата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196">
        <f>SUMIFS(РД[Стоимость без отделки итог],РД[ИМ],A147,РД[Дата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51">
        <f>COUNTIFS(РД[ИМ],A147,РД[Дата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52" t="str">
        <f t="shared" si="24"/>
        <v/>
      </c>
      <c r="K147" s="260" t="str">
        <f t="shared" si="24"/>
        <v/>
      </c>
      <c r="L147" s="329">
        <f>COUNTIFS(РД[Тип кв],L139,РД[ИМ],$A147,РД[Дата подачи на регистрацию],"&lt;="&amp;$A$1,РД[Дата подачи на регистрацию],"&gt;="&amp;DATE(YEAR($A$1),MONTH($A$1),1))</f>
        <v>0</v>
      </c>
      <c r="M147" s="330">
        <f>COUNTIFS(РД[Тип кв],M139,РД[ИМ],$A147,РД[Дата подачи на регистрацию],"&lt;="&amp;$A$1,РД[Дата подачи на регистрацию],"&gt;="&amp;DATE(YEAR($A$1),MONTH($A$1),1))</f>
        <v>0</v>
      </c>
      <c r="N147" s="330">
        <f>COUNTIFS(РД[Тип кв],N139,РД[ИМ],$A147,РД[Дата подачи на регистрацию],"&lt;="&amp;$A$1,РД[Дата подачи на регистрацию],"&gt;="&amp;DATE(YEAR($A$1),MONTH($A$1),1))</f>
        <v>0</v>
      </c>
      <c r="O147" s="330">
        <f>COUNTIFS(РД[Тип кв],O139,РД[ИМ],$A147,РД[Дата подачи на регистрацию],"&lt;="&amp;$A$1,РД[Дата подачи на регистрацию],"&gt;="&amp;DATE(YEAR($A$1),MONTH($A$1),1))</f>
        <v>0</v>
      </c>
      <c r="P147" s="331">
        <f>COUNTIFS(РД[Тип кв],P139,РД[ИМ],$A147,РД[Дата подачи на регистрацию],"&lt;="&amp;$A$1,РД[Дата подачи на регистрацию],"&gt;="&amp;DATE(YEAR($A$1),MONTH($A$1),1))</f>
        <v>0</v>
      </c>
      <c r="Q147" s="66"/>
      <c r="R147" s="66"/>
      <c r="S147" s="66"/>
      <c r="T147" s="66"/>
    </row>
    <row r="148" spans="1:21" s="65" customFormat="1">
      <c r="A148" s="168" t="s">
        <v>114</v>
      </c>
      <c r="B148" s="169">
        <f>SUM(B145:B147)</f>
        <v>1495</v>
      </c>
      <c r="C148" s="170">
        <f>SUM(C145:C147)</f>
        <v>191984068.25</v>
      </c>
      <c r="D148" s="170">
        <f t="shared" ref="D148:P148" si="25">SUM(D145:D147)</f>
        <v>1159.1599999999999</v>
      </c>
      <c r="E148" s="170">
        <f t="shared" si="25"/>
        <v>142666333</v>
      </c>
      <c r="F148" s="171">
        <f t="shared" si="25"/>
        <v>20</v>
      </c>
      <c r="G148" s="172">
        <f t="shared" si="25"/>
        <v>525.41000000000008</v>
      </c>
      <c r="H148" s="173">
        <f t="shared" si="25"/>
        <v>60388566</v>
      </c>
      <c r="I148" s="170">
        <f t="shared" si="25"/>
        <v>9</v>
      </c>
      <c r="J148" s="238">
        <f t="shared" si="24"/>
        <v>0.35144481605351174</v>
      </c>
      <c r="K148" s="239">
        <f t="shared" si="24"/>
        <v>0.31454988192750727</v>
      </c>
      <c r="L148" s="240">
        <f t="shared" si="25"/>
        <v>0</v>
      </c>
      <c r="M148" s="241">
        <f t="shared" si="25"/>
        <v>2</v>
      </c>
      <c r="N148" s="241">
        <f t="shared" si="25"/>
        <v>3</v>
      </c>
      <c r="O148" s="241">
        <f t="shared" si="25"/>
        <v>0</v>
      </c>
      <c r="P148" s="242">
        <f t="shared" si="25"/>
        <v>0</v>
      </c>
      <c r="Q148" s="66"/>
      <c r="R148" s="66"/>
      <c r="S148" s="66"/>
      <c r="T148" s="66"/>
    </row>
    <row r="149" spans="1:21" s="65" customFormat="1">
      <c r="A149" s="134"/>
      <c r="B149" s="44"/>
      <c r="C149" s="44"/>
      <c r="D149" s="134"/>
      <c r="E149" s="134"/>
      <c r="F149" s="44"/>
      <c r="G149" s="134"/>
      <c r="H149" s="134"/>
      <c r="I149" s="134"/>
      <c r="J149" s="134"/>
      <c r="K149" s="255"/>
      <c r="L149" s="256"/>
      <c r="M149" s="134"/>
      <c r="N149" s="134"/>
      <c r="O149" s="134"/>
      <c r="P149" s="134"/>
      <c r="Q149" s="134"/>
      <c r="T149" s="66"/>
      <c r="U149" s="66"/>
    </row>
    <row r="150" spans="1:21" s="65" customFormat="1" ht="15">
      <c r="A150" s="2400" t="s">
        <v>1368</v>
      </c>
      <c r="B150" s="2401"/>
      <c r="C150" s="2401"/>
      <c r="D150" s="2401"/>
      <c r="E150" s="2401"/>
      <c r="F150" s="2401"/>
      <c r="G150" s="2401"/>
      <c r="H150" s="2401"/>
      <c r="I150" s="2401"/>
      <c r="J150" s="2401"/>
      <c r="K150" s="2401"/>
      <c r="L150" s="2401"/>
      <c r="M150" s="2401"/>
      <c r="N150" s="2401"/>
      <c r="O150" s="2401"/>
      <c r="P150" s="66"/>
      <c r="S150" s="66"/>
      <c r="T150" s="66"/>
    </row>
    <row r="151" spans="1:21" s="65" customFormat="1">
      <c r="A151" s="135" t="s">
        <v>1</v>
      </c>
      <c r="B151" s="135" t="s">
        <v>100</v>
      </c>
      <c r="C151" s="136" t="s">
        <v>97</v>
      </c>
      <c r="D151" s="264" t="s">
        <v>494</v>
      </c>
      <c r="E151" s="265" t="s">
        <v>495</v>
      </c>
      <c r="F151" s="266" t="s">
        <v>496</v>
      </c>
      <c r="G151" s="140" t="s">
        <v>101</v>
      </c>
      <c r="H151" s="141" t="s">
        <v>98</v>
      </c>
      <c r="I151" s="141" t="s">
        <v>96</v>
      </c>
      <c r="J151" s="141" t="s">
        <v>715</v>
      </c>
      <c r="K151" s="216" t="s">
        <v>716</v>
      </c>
      <c r="L151" s="332" t="s">
        <v>121</v>
      </c>
      <c r="M151" s="218" t="s">
        <v>27</v>
      </c>
      <c r="N151" s="219" t="s">
        <v>7</v>
      </c>
      <c r="O151" s="219" t="s">
        <v>19</v>
      </c>
      <c r="P151" s="66"/>
      <c r="S151" s="66"/>
      <c r="T151" s="66"/>
    </row>
    <row r="152" spans="1:21" s="65" customFormat="1">
      <c r="A152" s="142" t="s">
        <v>28</v>
      </c>
      <c r="B152" s="267"/>
      <c r="C152" s="268"/>
      <c r="D152" s="269">
        <f>SUMIFS(Март255152[м2],Март255152[КТУ],A152,Март255152[Комнатность],"Офис")</f>
        <v>0</v>
      </c>
      <c r="E152" s="144">
        <f>SUMIFS(Март255152[Сумма без отделки],Март255152[КТУ],$A152,Март255152[Комнатность],"оФИС")</f>
        <v>0</v>
      </c>
      <c r="F152" s="270">
        <f>COUNTIFS(Март255152[КТУ],$A152,Март255152[Комнатность],"Офис")</f>
        <v>0</v>
      </c>
      <c r="G152" s="267">
        <f>SUMIFS(РД[S],РД[МОП],A152,РД[Дата подачи на регистрацию],"&lt;="&amp;$A$1,РД[Дата подачи на регистрацию],"&gt;="&amp;DATE(YEAR($A$1),MONTH($A$1),1),РД[Состояние],"Коммерция")</f>
        <v>58.59</v>
      </c>
      <c r="H152" s="146">
        <f>SUMIFS(РД[Стоимость без отделки итог],РД[МОП],A152,РД[Дата подачи на регистрацию],"&lt;="&amp;$A$1,РД[Дата подачи на регистрацию],"&gt;="&amp;DATE(YEAR($A$1),MONTH($A$1),1),РД[Состояние],"Коммерция")</f>
        <v>8052600</v>
      </c>
      <c r="I152" s="220">
        <f>COUNTIFS(РД[МОП],A152,РД[Дата подачи на регистрацию],"&lt;="&amp;$A$1,РД[Дата подачи на регистрацию],"&gt;="&amp;DATE(YEAR($A$1),MONTH($A$1),1),РД[Состояние],"Коммерция")</f>
        <v>1</v>
      </c>
      <c r="J152" s="221" t="str">
        <f t="shared" ref="J152:K158" si="26">IFERROR(G152/B152,"")</f>
        <v/>
      </c>
      <c r="K152" s="333" t="str">
        <f t="shared" si="26"/>
        <v/>
      </c>
      <c r="L152" s="148">
        <f>COUNTIFS(РД[Дом],L$151,РД[МОП],$A152,РД[Дата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M152" s="220">
        <f>COUNTIFS(РД[Дом],M$151,РД[МОП],$A152,РД[Дата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N152" s="223">
        <f>COUNTIFS(РД[Дом],N$151,РД[МОП],$A152,РД[Дата подачи на регистрацию],"&lt;="&amp;$A$1,РД[Дата подачи на регистрацию],"&gt;="&amp;DATE(YEAR($A$1),MONTH($A$1),1),РД[Состояние],"Коммерция")</f>
        <v>0</v>
      </c>
      <c r="O152" s="223">
        <f>COUNTIFS(РД[Дом],O$151,РД[МОП],$A152,РД[Дата подачи на регистрацию],"&lt;="&amp;$A$1,РД[Дата подачи на регистрацию],"&gt;="&amp;DATE(YEAR($A$1),MONTH($A$1),1),РД[Состояние],"Коммерция")</f>
        <v>1</v>
      </c>
      <c r="P152" s="66"/>
      <c r="S152" s="66"/>
      <c r="T152" s="66"/>
    </row>
    <row r="153" spans="1:21" s="65" customFormat="1">
      <c r="A153" s="142" t="s">
        <v>8</v>
      </c>
      <c r="B153" s="267"/>
      <c r="C153" s="268"/>
      <c r="D153" s="269">
        <f>SUMIFS(Март255152[м2],Март255152[КТУ],A153,Март255152[Комнатность],"Офис")</f>
        <v>0</v>
      </c>
      <c r="E153" s="144">
        <f>SUMIFS(Март255152[Сумма без отделки],Март255152[КТУ],$A153,Март255152[Комнатность],"оФИС")</f>
        <v>0</v>
      </c>
      <c r="F153" s="270">
        <f>COUNTIFS(Март255152[КТУ],$A153,Март255152[Комнатность],"Офис")</f>
        <v>0</v>
      </c>
      <c r="G153" s="267">
        <f>SUMIFS(РД[S],РД[МОП],A153,РД[Дата подачи на регистрацию],"&lt;="&amp;$A$1,РД[Дата подачи на регистрацию],"&gt;="&amp;DATE(YEAR($A$1),MONTH($A$1),1),РД[Состояние],"Коммерция")</f>
        <v>184.86</v>
      </c>
      <c r="H153" s="146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регистрацию],"&gt;="&amp;DATE(YEAR($A$1),MONTH($A$1),1),РД[Состояние],"Коммерция")</f>
        <v>25880400</v>
      </c>
      <c r="I153" s="220">
        <f>COUNTIFS(РД[МОП],A153,РД[Дата подачи на регистрацию],"&lt;="&amp;$A$1,РД[Дата подачи на регистрацию],"&gt;="&amp;DATE(YEAR($A$1),MONTH($A$1),1),РД[Состояние],"Коммерция")</f>
        <v>3</v>
      </c>
      <c r="J153" s="221" t="str">
        <f t="shared" si="26"/>
        <v/>
      </c>
      <c r="K153" s="333" t="str">
        <f t="shared" si="26"/>
        <v/>
      </c>
      <c r="L153" s="148">
        <f>COUNTIFS(РД[Дом],L$151,РД[МОП],$A153,РД[Дата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M153" s="220">
        <f>COUNTIFS(РД[Дом],M$151,РД[МОП],$A153,РД[Дата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N153" s="223">
        <f>COUNTIFS(РД[Дом],N$151,РД[МОП],$A153,РД[Дата подачи на регистрацию],"&lt;="&amp;$A$1,РД[Дата подачи на регистрацию],"&gt;="&amp;DATE(YEAR($A$1),MONTH($A$1),1),РД[Состояние],"Коммерция")</f>
        <v>0</v>
      </c>
      <c r="O153" s="223">
        <f>COUNTIFS(РД[Дом],O$151,РД[МОП],$A153,РД[Дата подачи на регистрацию],"&lt;="&amp;$A$1,РД[Дата подачи на регистрацию],"&gt;="&amp;DATE(YEAR($A$1),MONTH($A$1),1),РД[Состояние],"Коммерция")</f>
        <v>3</v>
      </c>
      <c r="S153" s="66"/>
      <c r="T153" s="66"/>
    </row>
    <row r="154" spans="1:21" s="65" customFormat="1">
      <c r="A154" s="150" t="s">
        <v>20</v>
      </c>
      <c r="B154" s="267"/>
      <c r="C154" s="268"/>
      <c r="D154" s="269">
        <f>SUMIFS(Март255152[м2],Март255152[КТУ],A154,Март255152[Комнатность],"Офис")</f>
        <v>0</v>
      </c>
      <c r="E154" s="144">
        <f>SUMIFS(Март255152[Сумма без отделки],Март255152[КТУ],$A154,Март255152[Комнатность],"оФИС")</f>
        <v>0</v>
      </c>
      <c r="F154" s="270">
        <f>COUNTIFS(Март255152[КТУ],$A154,Март255152[Комнатность],"Офис")</f>
        <v>0</v>
      </c>
      <c r="G154" s="267">
        <f>SUMIFS(РД[S],РД[МОП],A154,РД[Дата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H154" s="146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I154" s="220">
        <f>COUNTIFS(РД[МОП],A154,РД[Дата подачи на регистрацию],"&lt;="&amp;$A$1,РД[Дата подачи на регистрацию],"&gt;="&amp;DATE(YEAR($A$1),MONTH($A$1),1),РД[Состояние],"Коммерция")</f>
        <v>0</v>
      </c>
      <c r="J154" s="221" t="str">
        <f t="shared" si="26"/>
        <v/>
      </c>
      <c r="K154" s="333" t="str">
        <f t="shared" si="26"/>
        <v/>
      </c>
      <c r="L154" s="148">
        <f>COUNTIFS(РД[Дом],L$151,РД[МОП],$A154,РД[Дата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M154" s="220">
        <f>COUNTIFS(РД[Дом],M$151,РД[МОП],$A154,РД[Дата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N154" s="223">
        <f>COUNTIFS(РД[Дом],N$151,РД[МОП],$A154,РД[Дата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O154" s="223">
        <f>COUNTIFS(РД[Дом],O$151,РД[МОП],$A154,РД[Дата подачи на регистрацию],"&lt;="&amp;$A$1,РД[Дата подачи на регистрацию],"&gt;="&amp;DATE(YEAR($A$1),MONTH($A$1),1),РД[Состояние],"Коммерция")</f>
        <v>0</v>
      </c>
      <c r="S154" s="66"/>
      <c r="T154" s="66"/>
    </row>
    <row r="155" spans="1:21" s="65" customFormat="1">
      <c r="A155" s="153" t="s">
        <v>24</v>
      </c>
      <c r="B155" s="271"/>
      <c r="C155" s="272"/>
      <c r="D155" s="269">
        <f>SUMIFS(Март255152[м2],Март255152[КТУ],A155,Март255152[Комнатность],"Офис")</f>
        <v>0</v>
      </c>
      <c r="E155" s="200">
        <f>SUMIFS(Март255152[Сумма без отделки],Март255152[КТУ],$A155,Март255152[Комнатность],"оФИС")</f>
        <v>0</v>
      </c>
      <c r="F155" s="273">
        <f>COUNTIFS(Март255152[КТУ],$A155,Март255152[Комнатность],"Офис")</f>
        <v>0</v>
      </c>
      <c r="G155" s="271">
        <f>SUMIFS(РД[S],РД[МОП],A155,РД[Дата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H155" s="52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I155" s="220">
        <f>COUNTIFS(РД[МОП],A155,РД[Дата подачи на регистрацию],"&lt;="&amp;$A$1,РД[Дата подачи на регистрацию],"&gt;="&amp;DATE(YEAR($A$1),MONTH($A$1),1),РД[Состояние],"Коммерция")</f>
        <v>0</v>
      </c>
      <c r="J155" s="224" t="str">
        <f t="shared" si="26"/>
        <v/>
      </c>
      <c r="K155" s="334" t="str">
        <f t="shared" si="26"/>
        <v/>
      </c>
      <c r="L155" s="202">
        <f>COUNTIFS(РД[Дом],L$151,РД[МОП],$A155,РД[Дата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M155" s="226">
        <f>COUNTIFS(РД[Дом],M$151,РД[МОП],$A155,РД[Дата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N155" s="227">
        <f>COUNTIFS(РД[Дом],N$151,РД[МОП],$A155,РД[Дата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O155" s="227">
        <f>COUNTIFS(РД[Дом],O$151,РД[МОП],$A155,РД[Дата подачи на регистрацию],"&lt;="&amp;$A$1,РД[Дата подачи на регистрацию],"&gt;="&amp;DATE(YEAR($A$1),MONTH($A$1),1),РД[Состояние],"Коммерция")</f>
        <v>0</v>
      </c>
      <c r="S155" s="66"/>
      <c r="T155" s="66"/>
    </row>
    <row r="156" spans="1:21" s="65" customFormat="1">
      <c r="A156" s="153" t="s">
        <v>14</v>
      </c>
      <c r="B156" s="315"/>
      <c r="C156" s="316"/>
      <c r="D156" s="362">
        <f>SUMIFS(Март255152[м2],Март255152[КТУ],A156,Март255152[Комнатность],"Офис")</f>
        <v>0</v>
      </c>
      <c r="E156" s="300">
        <f>SUMIFS(Март255152[Сумма без отделки],Март255152[КТУ],$A156,Март255152[Комнатность],"оФИС")</f>
        <v>0</v>
      </c>
      <c r="F156" s="301">
        <f>COUNTIFS(Март255152[КТУ],$A156,Март255152[Комнатность],"Офис")</f>
        <v>0</v>
      </c>
      <c r="G156" s="315">
        <f>SUMIFS(РД[S],РД[МОП],A156,РД[Дата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H156" s="363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I156" s="247">
        <f>COUNTIFS(РД[МОП],A156,РД[Дата подачи на регистрацию],"&lt;="&amp;$A$1,РД[Дата подачи на регистрацию],"&gt;="&amp;DATE(YEAR($A$1),MONTH($A$1),1),РД[Состояние],"Коммерция")</f>
        <v>0</v>
      </c>
      <c r="J156" s="360" t="str">
        <f t="shared" si="26"/>
        <v/>
      </c>
      <c r="K156" s="367" t="str">
        <f t="shared" si="26"/>
        <v/>
      </c>
      <c r="L156" s="358">
        <f>COUNTIFS(РД[Дом],L$151,РД[МОП],$A156,РД[Дата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M156" s="330">
        <f>COUNTIFS(РД[Дом],M$151,РД[МОП],$A156,РД[Дата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N156" s="331">
        <f>COUNTIFS(РД[Дом],N$151,РД[МОП],$A156,РД[Дата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O156" s="331">
        <f>COUNTIFS(РД[Дом],O$151,РД[МОП],$A156,РД[Дата подачи на регистрацию],"&lt;="&amp;$A$1,РД[Дата подачи на регистрацию],"&gt;="&amp;DATE(YEAR($A$1),MONTH($A$1),1),РД[Состояние],"Коммерция")</f>
        <v>0</v>
      </c>
      <c r="S156" s="66"/>
      <c r="T156" s="66"/>
    </row>
    <row r="157" spans="1:21" s="65" customFormat="1">
      <c r="A157" s="154" t="s">
        <v>29</v>
      </c>
      <c r="B157" s="274"/>
      <c r="C157" s="275"/>
      <c r="D157" s="276">
        <f>SUMIFS(Март255152[м2],Март255152[КТУ],A157,Март255152[Комнатность],"Офис")</f>
        <v>0</v>
      </c>
      <c r="E157" s="156">
        <f>SUMIFS(Март255152[Сумма без отделки],Март255152[КТУ],$A157,Март255152[Комнатность],"оФИС")</f>
        <v>0</v>
      </c>
      <c r="F157" s="158">
        <f>COUNTIFS(Март255152[КТУ],$A157,Март255152[Комнатность],"Офис")</f>
        <v>0</v>
      </c>
      <c r="G157" s="274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277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28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229" t="str">
        <f t="shared" si="26"/>
        <v/>
      </c>
      <c r="K157" s="335" t="str">
        <f t="shared" si="26"/>
        <v/>
      </c>
      <c r="L157" s="159">
        <f>COUNTIFS(РД[Дом],L$151,РД[МОП],$A157,РД[Дата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228">
        <f>COUNTIFS(РД[Дом],M$151,РД[МОП],$A157,РД[Дата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231">
        <f>COUNTIFS(РД[Дом],N$151,РД[МОП],$A157,РД[Дата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231">
        <f>COUNTIFS(РД[Дом],O$151,РД[МОП],$A157,РД[Дата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S157" s="66"/>
      <c r="T157" s="66"/>
    </row>
    <row r="158" spans="1:21" s="65" customFormat="1">
      <c r="A158" s="161" t="s">
        <v>1919</v>
      </c>
      <c r="B158" s="278"/>
      <c r="C158" s="279"/>
      <c r="D158" s="280">
        <f>SUMIFS(Март255152[м2],Март255152[МОП],A158,Март255152[Комнатность],"Офис")</f>
        <v>0</v>
      </c>
      <c r="E158" s="163">
        <f>SUMIFS(Март255152[Сумма без отделки],Март255152[МОП],$A158,Март255152[Комнатность],"оФИС")</f>
        <v>0</v>
      </c>
      <c r="F158" s="165">
        <f>COUNTIFS(Март255152[МОП],$A158,Март255152[Комнатность],"Офис")</f>
        <v>0</v>
      </c>
      <c r="G158" s="278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H158" s="281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I158" s="232">
        <f>COUNTIFS(РД[МОП],A158,РД[Дата подачи на регистрацию],"&lt;="&amp;$A$1,РД[Дата подачи на регистрацию],"&gt;="&amp;DATE(YEAR($A$1),MONTH($A$1),1),РД[Состояние],"Коммерция")</f>
        <v>0</v>
      </c>
      <c r="J158" s="233" t="str">
        <f t="shared" si="26"/>
        <v/>
      </c>
      <c r="K158" s="336" t="str">
        <f t="shared" si="26"/>
        <v/>
      </c>
      <c r="L158" s="166">
        <f>COUNTIFS(РД[Дом],L$151,РД[МОП],$A158,РД[Дата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32">
        <f>COUNTIFS(РД[Дом],M$151,РД[МОП],$A158,РД[Дата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337">
        <f>COUNTIFS(РД[Дом],N$151,РД[МОП],$A158,РД[Дата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337">
        <f>COUNTIFS(РД[Дом],O$151,РД[МОП],$A158,РД[Дата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S158" s="66"/>
      <c r="T158" s="66"/>
    </row>
    <row r="159" spans="1:21" s="65" customFormat="1">
      <c r="A159" s="168" t="s">
        <v>114</v>
      </c>
      <c r="B159" s="282">
        <f>SUM(B152:B158)</f>
        <v>0</v>
      </c>
      <c r="C159" s="283">
        <f t="shared" ref="C159:O159" si="27">SUM(C152:C158)</f>
        <v>0</v>
      </c>
      <c r="D159" s="284">
        <f t="shared" si="27"/>
        <v>0</v>
      </c>
      <c r="E159" s="285">
        <f t="shared" si="27"/>
        <v>0</v>
      </c>
      <c r="F159" s="286">
        <f t="shared" si="27"/>
        <v>0</v>
      </c>
      <c r="G159" s="282">
        <f t="shared" si="27"/>
        <v>243.45000000000002</v>
      </c>
      <c r="H159" s="287">
        <f t="shared" si="27"/>
        <v>33933000</v>
      </c>
      <c r="I159" s="287">
        <f t="shared" si="27"/>
        <v>4</v>
      </c>
      <c r="J159" s="238">
        <f t="shared" si="27"/>
        <v>0</v>
      </c>
      <c r="K159" s="338">
        <f t="shared" si="27"/>
        <v>0</v>
      </c>
      <c r="L159" s="318">
        <f t="shared" si="27"/>
        <v>0</v>
      </c>
      <c r="M159" s="321">
        <f t="shared" si="27"/>
        <v>0</v>
      </c>
      <c r="N159" s="319">
        <f t="shared" si="27"/>
        <v>0</v>
      </c>
      <c r="O159" s="319">
        <f t="shared" si="27"/>
        <v>4</v>
      </c>
      <c r="S159" s="66"/>
      <c r="T159" s="66"/>
    </row>
    <row r="160" spans="1:21" s="65" customFormat="1">
      <c r="A160" s="135" t="s">
        <v>115</v>
      </c>
      <c r="B160" s="135" t="s">
        <v>100</v>
      </c>
      <c r="C160" s="136" t="s">
        <v>97</v>
      </c>
      <c r="D160" s="288" t="s">
        <v>494</v>
      </c>
      <c r="E160" s="289" t="s">
        <v>495</v>
      </c>
      <c r="F160" s="290" t="s">
        <v>496</v>
      </c>
      <c r="G160" s="140" t="s">
        <v>101</v>
      </c>
      <c r="H160" s="141" t="s">
        <v>98</v>
      </c>
      <c r="I160" s="141" t="s">
        <v>96</v>
      </c>
      <c r="J160" s="141" t="s">
        <v>715</v>
      </c>
      <c r="K160" s="216" t="s">
        <v>716</v>
      </c>
      <c r="L160" s="332" t="s">
        <v>121</v>
      </c>
      <c r="M160" s="218" t="s">
        <v>27</v>
      </c>
      <c r="N160" s="219" t="s">
        <v>7</v>
      </c>
      <c r="O160" s="219" t="s">
        <v>7</v>
      </c>
      <c r="T160" s="66"/>
    </row>
    <row r="161" spans="1:21" s="65" customFormat="1">
      <c r="A161" s="177" t="s">
        <v>22</v>
      </c>
      <c r="B161" s="291"/>
      <c r="C161" s="292"/>
      <c r="D161" s="180">
        <f>SUMIFS(Март255152[м2],Март255152[ИМ],A161,Март255152[Комнатность],"Офис")</f>
        <v>0</v>
      </c>
      <c r="E161" s="181">
        <f>SUMIFS(Март255152[Сумма без отделки],Март255152[ИМ],$A161,Март255152[Комнатность],"оФИС")</f>
        <v>0</v>
      </c>
      <c r="F161" s="204">
        <f>COUNTIFS(Март255152[ИМ],$A161,Март255152[Комнатность],"Офис")</f>
        <v>0</v>
      </c>
      <c r="G161" s="183">
        <f>SUMIFS(РД[S],РД[ИМ],A161,РД[Дата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H161" s="18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43">
        <f>COUNTIFS(РД[ИМ],A161,РД[Дата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44" t="str">
        <f t="shared" ref="J161:K164" si="28">IFERROR(G161/B161,"")</f>
        <v/>
      </c>
      <c r="K161" s="258" t="str">
        <f t="shared" si="28"/>
        <v/>
      </c>
      <c r="L161" s="148">
        <f>COUNTIFS(РД[Дом],L$151,РД[ИМ],$A161,РД[Дата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0">
        <f>COUNTIFS(РД[Дом],M$151,РД[ИМ],$A161,РД[Дата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3">
        <f>COUNTIFS(РД[Дом],N$151,РД[ИМ],$A161,РД[Дата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3">
        <f>COUNTIFS(РД[Дом],O$151,РД[ИМ],$A161,РД[Дата подачи на регистрацию],"&lt;="&amp;$A$1,РД[Дата подачи на регистрацию],"&gt;="&amp;DATE(YEAR($A$1),MONTH($A$1),1),РД[Состояние],"Коммерция")</f>
        <v>0</v>
      </c>
      <c r="T161" s="66"/>
    </row>
    <row r="162" spans="1:21" s="65" customFormat="1">
      <c r="A162" s="150" t="s">
        <v>26</v>
      </c>
      <c r="B162" s="267"/>
      <c r="C162" s="146"/>
      <c r="D162" s="205">
        <f>SUMIFS(Март255152[м2],Март255152[ИМ],A162,Март255152[Комнатность],"Офис")</f>
        <v>0</v>
      </c>
      <c r="E162" s="206">
        <f>SUMIFS(Март255152[Сумма без отделки],Март255152[ИМ],$A162,Март255152[Комнатность],"оФИС")</f>
        <v>0</v>
      </c>
      <c r="F162" s="207">
        <f>COUNTIFS(Март255152[ИМ],$A162,Март255152[Комнатность],"Офис")</f>
        <v>0</v>
      </c>
      <c r="G162" s="187">
        <f>SUMIFS(РД[S],РД[ИМ],A162,РД[Дата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H162" s="188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47">
        <f>COUNTIFS(РД[ИМ],A162,РД[Дата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48" t="str">
        <f t="shared" si="28"/>
        <v/>
      </c>
      <c r="K162" s="259" t="str">
        <f t="shared" si="28"/>
        <v/>
      </c>
      <c r="L162" s="148">
        <f>COUNTIFS(РД[Дом],L$151,РД[ИМ],$A162,РД[Дата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0">
        <f>COUNTIFS(РД[Дом],M$151,РД[ИМ],$A162,РД[Дата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3">
        <f>COUNTIFS(РД[Дом],N$151,РД[ИМ],$A162,РД[Дата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3">
        <f>COUNTIFS(РД[Дом],O$151,РД[ИМ],$A162,РД[Дата подачи на регистрацию],"&lt;="&amp;$A$1,РД[Дата подачи на регистрацию],"&gt;="&amp;DATE(YEAR($A$1),MONTH($A$1),1),РД[Состояние],"Коммерция")</f>
        <v>0</v>
      </c>
      <c r="T162" s="66"/>
    </row>
    <row r="163" spans="1:21" s="65" customFormat="1">
      <c r="A163" s="189" t="s">
        <v>3</v>
      </c>
      <c r="B163" s="293"/>
      <c r="C163" s="294"/>
      <c r="D163" s="208">
        <f>SUMIFS(Март255152[м2],Март255152[ИМ],A163,Март255152[Комнатность],"Офис")</f>
        <v>0</v>
      </c>
      <c r="E163" s="209">
        <f>SUMIFS(Март255152[Сумма без отделки],Март255152[ИМ],$A163,Март255152[Комнатность],"оФИС")</f>
        <v>0</v>
      </c>
      <c r="F163" s="210">
        <f>COUNTIFS(Март255152[ИМ],$A163,Март255152[Комнатность],"Офис")</f>
        <v>0</v>
      </c>
      <c r="G163" s="195">
        <f>SUMIFS(РД[S],РД[ИМ],A163,РД[Дата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H163" s="196">
        <f>SUMIFS(РД[Стоимость без отделки итог],РД[ИМ],A163,РД[Дата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51">
        <f>COUNTIFS(РД[ИМ],A163,РД[Дата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52" t="str">
        <f t="shared" si="28"/>
        <v/>
      </c>
      <c r="K163" s="260" t="str">
        <f t="shared" si="28"/>
        <v/>
      </c>
      <c r="L163" s="202">
        <f>COUNTIFS(РД[Дом],L$151,РД[ИМ],$A163,РД[Дата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6">
        <f>COUNTIFS(РД[Дом],M$151,РД[ИМ],$A163,РД[Дата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27">
        <f>COUNTIFS(РД[Дом],N$151,РД[ИМ],$A163,РД[Дата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27">
        <f>COUNTIFS(РД[Дом],O$151,РД[ИМ],$A163,РД[Дата подачи на регистрацию],"&lt;="&amp;$A$1,РД[Дата подачи на регистрацию],"&gt;="&amp;DATE(YEAR($A$1),MONTH($A$1),1),РД[Состояние],"Коммерция")</f>
        <v>0</v>
      </c>
      <c r="T163" s="66"/>
    </row>
    <row r="164" spans="1:21" s="65" customFormat="1">
      <c r="A164" s="168" t="s">
        <v>114</v>
      </c>
      <c r="B164" s="282">
        <f>SUM(B161:B163)</f>
        <v>0</v>
      </c>
      <c r="C164" s="283">
        <f>SUM(C161:C163)</f>
        <v>0</v>
      </c>
      <c r="D164" s="284">
        <f t="shared" ref="D164:I164" si="29">SUM(D161:D163)</f>
        <v>0</v>
      </c>
      <c r="E164" s="285">
        <f t="shared" si="29"/>
        <v>0</v>
      </c>
      <c r="F164" s="286">
        <f t="shared" si="29"/>
        <v>0</v>
      </c>
      <c r="G164" s="282">
        <f t="shared" si="29"/>
        <v>0</v>
      </c>
      <c r="H164" s="287">
        <f t="shared" si="29"/>
        <v>0</v>
      </c>
      <c r="I164" s="287">
        <f t="shared" si="29"/>
        <v>0</v>
      </c>
      <c r="J164" s="238" t="str">
        <f t="shared" si="28"/>
        <v/>
      </c>
      <c r="K164" s="338" t="str">
        <f t="shared" si="28"/>
        <v/>
      </c>
      <c r="L164" s="318">
        <f>SUM(L161:L163)</f>
        <v>0</v>
      </c>
      <c r="M164" s="321">
        <f>SUM(M161:M163)</f>
        <v>0</v>
      </c>
      <c r="N164" s="319">
        <f>SUM(N161:N163)</f>
        <v>0</v>
      </c>
      <c r="O164" s="319">
        <f>SUM(O161:O163)</f>
        <v>0</v>
      </c>
      <c r="T164" s="66"/>
    </row>
    <row r="165" spans="1:21" s="65" customFormat="1">
      <c r="A165" s="134"/>
      <c r="B165" s="44"/>
      <c r="C165" s="44"/>
      <c r="D165" s="134"/>
      <c r="E165" s="134"/>
      <c r="F165" s="44"/>
      <c r="G165" s="134"/>
      <c r="H165" s="134"/>
      <c r="I165" s="134"/>
      <c r="J165" s="134"/>
      <c r="K165" s="255"/>
      <c r="L165" s="256"/>
      <c r="M165" s="134"/>
      <c r="N165" s="134"/>
      <c r="O165" s="134"/>
      <c r="P165" s="134"/>
      <c r="Q165" s="72"/>
      <c r="U165" s="66"/>
    </row>
    <row r="166" spans="1:21" s="65" customFormat="1" ht="15">
      <c r="A166" s="2402" t="s">
        <v>945</v>
      </c>
      <c r="B166" s="2403"/>
      <c r="C166" s="2403"/>
      <c r="D166" s="2403"/>
      <c r="E166" s="2403"/>
      <c r="F166" s="2403"/>
      <c r="G166" s="2403"/>
      <c r="H166" s="2403"/>
      <c r="I166" s="2403"/>
      <c r="J166" s="2403"/>
      <c r="K166" s="2403"/>
      <c r="L166" s="2403"/>
      <c r="M166" s="2404"/>
      <c r="N166" s="339"/>
      <c r="O166" s="339"/>
      <c r="P166" s="86"/>
      <c r="T166" s="66"/>
    </row>
    <row r="167" spans="1:21" s="65" customFormat="1">
      <c r="A167" s="135" t="s">
        <v>1</v>
      </c>
      <c r="B167" s="135" t="s">
        <v>101</v>
      </c>
      <c r="C167" s="136" t="s">
        <v>98</v>
      </c>
      <c r="D167" s="295" t="s">
        <v>494</v>
      </c>
      <c r="E167" s="138" t="s">
        <v>495</v>
      </c>
      <c r="F167" s="296" t="s">
        <v>496</v>
      </c>
      <c r="G167" s="140" t="s">
        <v>101</v>
      </c>
      <c r="H167" s="141" t="s">
        <v>98</v>
      </c>
      <c r="I167" s="217">
        <v>0</v>
      </c>
      <c r="J167" s="218">
        <v>1</v>
      </c>
      <c r="K167" s="340">
        <v>2</v>
      </c>
      <c r="L167" s="218">
        <v>3</v>
      </c>
      <c r="M167" s="219" t="s">
        <v>1367</v>
      </c>
      <c r="N167" s="339"/>
      <c r="O167" s="339"/>
      <c r="P167" s="86"/>
      <c r="T167" s="66"/>
    </row>
    <row r="168" spans="1:21" s="65" customFormat="1">
      <c r="A168" s="142" t="s">
        <v>28</v>
      </c>
      <c r="B168" s="297">
        <f>SUMIFS(РД[S],РД[МОП],A168,РД[Дата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C168" s="298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D168" s="299">
        <f>SUMIFS(Март255152[м2],Март255152[КТУ],$A168,Март255152[МОП],"АН -*")</f>
        <v>0</v>
      </c>
      <c r="E168" s="300">
        <f>SUMIFS(Март255152[Сумма без отделки],Март255152[КТУ],$A168,Март255152[МОП],"АН -*")</f>
        <v>0</v>
      </c>
      <c r="F168" s="301">
        <f>COUNTIFS(Март255152[КТУ],$A168,Март255152[МОП],"АН -*")</f>
        <v>0</v>
      </c>
      <c r="G168" s="271">
        <f>SUMIFS(РД[S],РД[МОП],A168,РД[Дата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H168" s="272">
        <f>SUMIFS(РД[Стоимость без отделки итог],РД[МОП],A168,РД[Дата подачи на регистрацию],"&lt;="&amp;$A$1,РД[Дата подачи на регистрацию],"&gt;="&amp;DATE(YEAR($A$1),MONTH($A$1),1),РД[Источник рекламы],"Н -*")</f>
        <v>0</v>
      </c>
      <c r="I168" s="257">
        <f>COUNTIFS(РД[Тип кв],I$167,РД[МОП],$A168,РД[Дата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J168" s="226">
        <f>COUNTIFS(РД[Тип кв],J$167,РД[МОП],$A168,РД[Дата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K168" s="226">
        <f>COUNTIFS(РД[Тип кв],K$167,РД[МОП],$A168,РД[Дата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L168" s="226">
        <f>COUNTIFS(РД[Тип кв],L$167,РД[МОП],$A168,РД[Дата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M168" s="227">
        <f>COUNTIFS(РД[Тип кв],M$167,РД[МОП],$A168,РД[Дата подачи на регистрацию],"&lt;="&amp;$A$1,РД[Дата подачи на регистрацию],"&gt;="&amp;DATE(YEAR($A$1),MONTH($A$1),1),РД[Источник рекламы],"Н -*")</f>
        <v>0</v>
      </c>
      <c r="N168" s="339"/>
      <c r="O168" s="339"/>
      <c r="P168" s="86"/>
      <c r="T168" s="66"/>
    </row>
    <row r="169" spans="1:21" s="65" customFormat="1">
      <c r="A169" s="142" t="s">
        <v>8</v>
      </c>
      <c r="B169" s="297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0</v>
      </c>
      <c r="C169" s="298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0</v>
      </c>
      <c r="D169" s="299">
        <f>SUMIFS(Март255152[м2],Март255152[КТУ],$A169,Март255152[МОП],"АН -*")</f>
        <v>0</v>
      </c>
      <c r="E169" s="300">
        <f>SUMIFS(Март255152[Сумма без отделки],Март255152[КТУ],$A169,Март255152[МОП],"АН -*")</f>
        <v>0</v>
      </c>
      <c r="F169" s="301">
        <f>COUNTIFS(Март255152[КТУ],$A169,Март255152[МОП],"АН -*")</f>
        <v>0</v>
      </c>
      <c r="G169" s="271">
        <f>SUMIFS(РД[S],РД[МОП],A169,РД[Дата подачи на регистрацию],"&lt;="&amp;$A$1,РД[Дата подачи на регистрацию],"&gt;="&amp;DATE(YEAR($A$1),MONTH($A$1),1),РД[Источник рекламы],"Н -*")</f>
        <v>0</v>
      </c>
      <c r="H169" s="272">
        <f>SUMIFS(РД[Стоимость без отделки итог],РД[МОП],A169,РД[Дата подачи на регистрацию],"&lt;="&amp;$A$1,РД[Дата подачи на регистрацию],"&gt;="&amp;DATE(YEAR($A$1),MONTH($A$1),1),РД[Источник рекламы],"Н -*")</f>
        <v>0</v>
      </c>
      <c r="I169" s="257">
        <f>COUNTIFS(РД[Тип кв],I$167,РД[МОП],$A169,РД[Дата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J169" s="226">
        <f>COUNTIFS(РД[Тип кв],J$167,РД[МОП],$A169,РД[Дата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K169" s="226">
        <f>COUNTIFS(РД[Тип кв],K$167,РД[МОП],$A169,РД[Дата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L169" s="226">
        <f>COUNTIFS(РД[Тип кв],L$167,РД[МОП],$A169,РД[Дата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M169" s="227">
        <f>COUNTIFS(РД[Тип кв],M$167,РД[МОП],$A169,РД[Дата подачи на регистрацию],"&lt;="&amp;$A$1,РД[Дата подачи на регистрацию],"&gt;="&amp;DATE(YEAR($A$1),MONTH($A$1),1),РД[Источник рекламы],"Н -*")</f>
        <v>0</v>
      </c>
      <c r="N169" s="339"/>
      <c r="O169" s="339"/>
      <c r="P169" s="86"/>
      <c r="T169" s="66"/>
    </row>
    <row r="170" spans="1:21" s="65" customFormat="1">
      <c r="A170" s="150" t="s">
        <v>20</v>
      </c>
      <c r="B170" s="297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58.39</v>
      </c>
      <c r="C170" s="298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6202580</v>
      </c>
      <c r="D170" s="299">
        <f>SUMIFS(Март255152[м2],Март255152[КТУ],$A170,Март255152[МОП],"АН -*")</f>
        <v>58.39</v>
      </c>
      <c r="E170" s="300">
        <f>SUMIFS(Март255152[Сумма без отделки],Март255152[КТУ],$A170,Март255152[МОП],"АН -*")</f>
        <v>6202580</v>
      </c>
      <c r="F170" s="301">
        <f>COUNTIFS(Март255152[КТУ],$A170,Март255152[МОП],"АН -*")</f>
        <v>1</v>
      </c>
      <c r="G170" s="271">
        <f>SUMIFS(РД[S],РД[МОП],A170,РД[Дата подачи на регистрацию],"&lt;="&amp;$A$1,РД[Дата подачи на регистрацию],"&gt;="&amp;DATE(YEAR($A$1),MONTH($A$1),1),РД[Источник рекламы],"Н -*")</f>
        <v>58.39</v>
      </c>
      <c r="H170" s="272">
        <f>SUMIFS(РД[Стоимость без отделки итог],РД[МОП],A170,РД[Дата подачи на регистрацию],"&lt;="&amp;$A$1,РД[Дата подачи на регистрацию],"&gt;="&amp;DATE(YEAR($A$1),MONTH($A$1),1),РД[Источник рекламы],"Н -*")</f>
        <v>6202580</v>
      </c>
      <c r="I170" s="257">
        <f>COUNTIFS(РД[Тип кв],I$167,РД[МОП],$A170,РД[Дата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J170" s="226">
        <f>COUNTIFS(РД[Тип кв],J$167,РД[МОП],$A170,РД[Дата подачи на регистрацию],"&lt;="&amp;$A$1,РД[Дата подачи на регистрацию],"&gt;="&amp;DATE(YEAR($A$1),MONTH($A$1),1),РД[Источник рекламы],"Н -*")</f>
        <v>1</v>
      </c>
      <c r="K170" s="226">
        <f>COUNTIFS(РД[Тип кв],K$167,РД[МОП],$A170,РД[Дата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L170" s="226">
        <f>COUNTIFS(РД[Тип кв],L$167,РД[МОП],$A170,РД[Дата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M170" s="227">
        <f>COUNTIFS(РД[Тип кв],M$167,РД[МОП],$A170,РД[Дата подачи на регистрацию],"&lt;="&amp;$A$1,РД[Дата подачи на регистрацию],"&gt;="&amp;DATE(YEAR($A$1),MONTH($A$1),1),РД[Источник рекламы],"Н -*")</f>
        <v>0</v>
      </c>
      <c r="N170" s="339"/>
      <c r="O170" s="339"/>
      <c r="P170" s="86"/>
      <c r="T170" s="66"/>
    </row>
    <row r="171" spans="1:21" s="65" customFormat="1">
      <c r="A171" s="153" t="s">
        <v>24</v>
      </c>
      <c r="B171" s="297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106.65</v>
      </c>
      <c r="C171" s="298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12585076</v>
      </c>
      <c r="D171" s="299">
        <f>SUMIFS(Март255152[м2],Март255152[КТУ],$A171,Март255152[МОП],"АН -*")</f>
        <v>106.65</v>
      </c>
      <c r="E171" s="300">
        <f>SUMIFS(Март255152[Сумма без отделки],Март255152[КТУ],$A171,Март255152[МОП],"АН -*")</f>
        <v>13219476</v>
      </c>
      <c r="F171" s="301">
        <f>COUNTIFS(Март255152[КТУ],$A171,Март255152[МОП],"АН -*")</f>
        <v>2</v>
      </c>
      <c r="G171" s="271">
        <f>SUMIFS(РД[S],РД[МОП],A171,РД[Дата подачи на регистрацию],"&lt;="&amp;$A$1,РД[Дата подачи на регистрацию],"&gt;="&amp;DATE(YEAR($A$1),MONTH($A$1),1),РД[Источник рекламы],"Н -*")</f>
        <v>106.65</v>
      </c>
      <c r="H171" s="272">
        <f>SUMIFS(РД[Стоимость без отделки итог],РД[МОП],A171,РД[Дата подачи на регистрацию],"&lt;="&amp;$A$1,РД[Дата подачи на регистрацию],"&gt;="&amp;DATE(YEAR($A$1),MONTH($A$1),1),РД[Источник рекламы],"Н -*")</f>
        <v>12585076</v>
      </c>
      <c r="I171" s="257">
        <f>COUNTIFS(РД[Тип кв],I$167,РД[МОП],$A171,РД[Дата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J171" s="226">
        <f>COUNTIFS(РД[Тип кв],J$167,РД[МОП],$A171,РД[Дата подачи на регистрацию],"&lt;="&amp;$A$1,РД[Дата подачи на регистрацию],"&gt;="&amp;DATE(YEAR($A$1),MONTH($A$1),1),РД[Источник рекламы],"Н -*")</f>
        <v>1</v>
      </c>
      <c r="K171" s="226">
        <f>COUNTIFS(РД[Тип кв],K$167,РД[МОП],$A171,РД[Дата подачи на регистрацию],"&lt;="&amp;$A$1,РД[Дата подачи на регистрацию],"&gt;="&amp;DATE(YEAR($A$1),MONTH($A$1),1),РД[Источник рекламы],"Н -*")</f>
        <v>1</v>
      </c>
      <c r="L171" s="226">
        <f>COUNTIFS(РД[Тип кв],L$167,РД[МОП],$A171,РД[Дата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M171" s="227">
        <f>COUNTIFS(РД[Тип кв],M$167,РД[МОП],$A171,РД[Дата подачи на регистрацию],"&lt;="&amp;$A$1,РД[Дата подачи на регистрацию],"&gt;="&amp;DATE(YEAR($A$1),MONTH($A$1),1),РД[Источник рекламы],"Н -*")</f>
        <v>0</v>
      </c>
      <c r="N171" s="339"/>
      <c r="O171" s="339"/>
      <c r="P171" s="86"/>
      <c r="T171" s="66"/>
    </row>
    <row r="172" spans="1:21" s="65" customFormat="1">
      <c r="A172" s="153" t="s">
        <v>14</v>
      </c>
      <c r="B172" s="313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162.29</v>
      </c>
      <c r="C172" s="314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19368200</v>
      </c>
      <c r="D172" s="299">
        <f>SUMIFS(Март255152[м2],Март255152[КТУ],$A172,Март255152[МОП],"АН -*")</f>
        <v>162.29</v>
      </c>
      <c r="E172" s="300">
        <f>SUMIFS(Март255152[Сумма без отделки],Март255152[КТУ],$A172,Март255152[МОП],"АН -*")</f>
        <v>19368200</v>
      </c>
      <c r="F172" s="301">
        <f>COUNTIFS(Март255152[КТУ],$A172,Март255152[МОП],"АН -*")</f>
        <v>3</v>
      </c>
      <c r="G172" s="315">
        <f>SUMIFS(РД[S],РД[МОП],A172,РД[Дата подачи на регистрацию],"&lt;="&amp;$A$1,РД[Дата подачи на регистрацию],"&gt;="&amp;DATE(YEAR($A$1),MONTH($A$1),1),РД[Источник рекламы],"Н -*")</f>
        <v>162.29</v>
      </c>
      <c r="H172" s="316">
        <f>SUMIFS(РД[Стоимость без отделки итог],РД[МОП],A172,РД[Дата подачи на регистрацию],"&lt;="&amp;$A$1,РД[Дата подачи на регистрацию],"&gt;="&amp;DATE(YEAR($A$1),MONTH($A$1),1),РД[Источник рекламы],"Н -*")</f>
        <v>19368200</v>
      </c>
      <c r="I172" s="329">
        <f>COUNTIFS(РД[Тип кв],I$167,РД[МОП],$A172,РД[Дата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J172" s="330">
        <f>COUNTIFS(РД[Тип кв],J$167,РД[МОП],$A172,РД[Дата подачи на регистрацию],"&lt;="&amp;$A$1,РД[Дата подачи на регистрацию],"&gt;="&amp;DATE(YEAR($A$1),MONTH($A$1),1),РД[Источник рекламы],"Н -*")</f>
        <v>1</v>
      </c>
      <c r="K172" s="330">
        <f>COUNTIFS(РД[Тип кв],K$167,РД[МОП],$A172,РД[Дата подачи на регистрацию],"&lt;="&amp;$A$1,РД[Дата подачи на регистрацию],"&gt;="&amp;DATE(YEAR($A$1),MONTH($A$1),1),РД[Источник рекламы],"Н -*")</f>
        <v>2</v>
      </c>
      <c r="L172" s="330">
        <f>COUNTIFS(РД[Тип кв],L$167,РД[МОП],$A172,РД[Дата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M172" s="331">
        <f>COUNTIFS(РД[Тип кв],M$167,РД[МОП],$A172,РД[Дата подачи на регистрацию],"&lt;="&amp;$A$1,РД[Дата подачи на регистрацию],"&gt;="&amp;DATE(YEAR($A$1),MONTH($A$1),1),РД[Источник рекламы],"Н -*")</f>
        <v>0</v>
      </c>
      <c r="N172" s="339"/>
      <c r="O172" s="339"/>
      <c r="P172" s="86"/>
      <c r="T172" s="66"/>
    </row>
    <row r="173" spans="1:21" s="65" customFormat="1">
      <c r="A173" s="302" t="s">
        <v>29</v>
      </c>
      <c r="B173" s="276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C173" s="303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D173" s="157">
        <f>SUMIFS(Март255152[м2],Март255152[КТУ],$A173,Март255152[МОП],"АН -*")</f>
        <v>0</v>
      </c>
      <c r="E173" s="156">
        <f>SUMIFS(Март255152[Сумма без отделки],Март255152[КТУ],$A173,Март255152[МОП],"АН -*")</f>
        <v>0</v>
      </c>
      <c r="F173" s="158">
        <f>COUNTIFS(Март255152[КТУ],$A173,Март255152[МОП],"АН -*")</f>
        <v>0</v>
      </c>
      <c r="G173" s="274">
        <f>SUMIFS(РД[S],РД[МОП],A173,РД[Дата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H173" s="275">
        <f>SUMIFS(РД[Стоимость без отделки итог],РД[МОП],A173,РД[Дата подачи на регистрацию],"&lt;="&amp;$A$1,РД[Дата подачи на регистрацию],"&gt;="&amp;DATE(YEAR($A$1),MONTH($A$1),1),РД[Источник рекламы],"Н -*")</f>
        <v>0</v>
      </c>
      <c r="I173" s="341">
        <f>COUNTIFS(РД[Тип кв],I$167,РД[МОП],$A173,РД[Дата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J173" s="228">
        <f>COUNTIFS(РД[Тип кв],J$167,РД[МОП],$A173,РД[Дата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K173" s="228">
        <f>COUNTIFS(РД[Тип кв],K$167,РД[МОП],$A173,РД[Дата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L173" s="228">
        <f>COUNTIFS(РД[Тип кв],L$167,РД[МОП],$A173,РД[Дата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M173" s="231">
        <f>COUNTIFS(РД[Тип кв],M$167,РД[МОП],$A173,РД[Дата подачи на регистрацию],"&lt;="&amp;$A$1,РД[Дата подачи на регистрацию],"&gt;="&amp;DATE(YEAR($A$1),MONTH($A$1),1),РД[Источник рекламы],"Н -*")</f>
        <v>0</v>
      </c>
      <c r="N173" s="339"/>
      <c r="O173" s="339"/>
      <c r="P173" s="86"/>
      <c r="T173" s="66"/>
    </row>
    <row r="174" spans="1:21" s="65" customFormat="1">
      <c r="A174" s="304" t="s">
        <v>114</v>
      </c>
      <c r="B174" s="284">
        <f>SUM(B168:B172)</f>
        <v>327.33000000000004</v>
      </c>
      <c r="C174" s="305">
        <f t="shared" ref="C174:M174" si="30">SUM(C168:C172)</f>
        <v>38155856</v>
      </c>
      <c r="D174" s="284">
        <f t="shared" si="30"/>
        <v>327.33000000000004</v>
      </c>
      <c r="E174" s="285">
        <f t="shared" si="30"/>
        <v>38790256</v>
      </c>
      <c r="F174" s="286">
        <f t="shared" si="30"/>
        <v>6</v>
      </c>
      <c r="G174" s="282">
        <f t="shared" si="30"/>
        <v>327.33000000000004</v>
      </c>
      <c r="H174" s="283">
        <f t="shared" si="30"/>
        <v>38155856</v>
      </c>
      <c r="I174" s="284">
        <f t="shared" si="30"/>
        <v>0</v>
      </c>
      <c r="J174" s="285">
        <f t="shared" si="30"/>
        <v>3</v>
      </c>
      <c r="K174" s="285">
        <f t="shared" si="30"/>
        <v>3</v>
      </c>
      <c r="L174" s="285">
        <f t="shared" si="30"/>
        <v>0</v>
      </c>
      <c r="M174" s="305">
        <f t="shared" si="30"/>
        <v>0</v>
      </c>
      <c r="N174" s="339"/>
      <c r="O174" s="339"/>
      <c r="P174" s="86"/>
      <c r="T174" s="66"/>
    </row>
    <row r="175" spans="1:21" s="65" customFormat="1">
      <c r="A175" s="306" t="s">
        <v>115</v>
      </c>
      <c r="B175" s="307" t="s">
        <v>101</v>
      </c>
      <c r="C175" s="308" t="s">
        <v>98</v>
      </c>
      <c r="D175" s="288" t="s">
        <v>494</v>
      </c>
      <c r="E175" s="289" t="s">
        <v>495</v>
      </c>
      <c r="F175" s="290" t="s">
        <v>496</v>
      </c>
      <c r="G175" s="309" t="s">
        <v>101</v>
      </c>
      <c r="H175" s="310" t="s">
        <v>98</v>
      </c>
      <c r="I175" s="342">
        <v>0</v>
      </c>
      <c r="J175" s="343">
        <v>1</v>
      </c>
      <c r="K175" s="344">
        <v>2</v>
      </c>
      <c r="L175" s="343">
        <v>3</v>
      </c>
      <c r="M175" s="345" t="s">
        <v>1367</v>
      </c>
      <c r="N175" s="339"/>
      <c r="O175" s="339"/>
      <c r="P175" s="86"/>
      <c r="T175" s="66"/>
    </row>
    <row r="176" spans="1:21" s="65" customFormat="1">
      <c r="A176" s="177" t="s">
        <v>22</v>
      </c>
      <c r="B176" s="178">
        <f>SUMIFS(РД[S],РД[ИМ],A176,РД[Дата подачи на регистрацию],"&lt;="&amp;$A$1,РД[Дата подачи на регистрацию],"&gt;="&amp;DATE(YEAR($A$1),MONTH($A$1),1),РД[Источник рекламы],"Н -*")</f>
        <v>43.21</v>
      </c>
      <c r="C176" s="311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</f>
        <v>5459300</v>
      </c>
      <c r="D176" s="180">
        <f>SUMIFS(Март255152[м2],Март255152[ИМ],$A176,Март255152[КТУ],"АН -*")</f>
        <v>0</v>
      </c>
      <c r="E176" s="179">
        <f>SUMIFS(Март255152[Сумма без отделки],Март255152[ИМ],$A176,Март255152[КТУ],"АН -*")</f>
        <v>0</v>
      </c>
      <c r="F176" s="204">
        <f>COUNTIFS(Март255152[ИМ],$A176,Март255152[КТУ],"АН -*")</f>
        <v>0</v>
      </c>
      <c r="G176" s="291">
        <f>SUMIFS(РД[S],РД[ИМ],A176,РД[Дата подачи на регистрацию],"&lt;="&amp;$A$1,РД[Дата подачи на регистрацию],"&gt;="&amp;DATE(YEAR($A$1),MONTH($A$1),1),РД[Источник рекламы],"Н -*")</f>
        <v>43.21</v>
      </c>
      <c r="H176" s="312">
        <f>SUMIFS(РД[Стоимость без отделки итог],РД[ИМ],A176,РД[Дата подачи на регистрацию],"&lt;="&amp;$A$1,РД[Дата подачи на регистрацию],"&gt;="&amp;DATE(YEAR($A$1),MONTH($A$1),1),РД[Источник рекламы],"Н -*")</f>
        <v>5459300</v>
      </c>
      <c r="I176" s="346">
        <f>COUNTIFS(РД[Тип кв],I$167,РД[ИМ],$A176,РД[Дата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J176" s="243">
        <f>COUNTIFS(РД[Тип кв],J$167,РД[ИМ],$A176,РД[Дата подачи на регистрацию],"&lt;="&amp;$A$1,РД[Дата подачи на регистрацию],"&gt;="&amp;DATE(YEAR($A$1),MONTH($A$1),1),РД[Источник рекламы],"Н -*")</f>
        <v>1</v>
      </c>
      <c r="K176" s="243">
        <f>COUNTIFS(РД[Тип кв],K$167,РД[ИМ],$A176,РД[Дата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L176" s="243">
        <f>COUNTIFS(РД[Тип кв],L$167,РД[ИМ],$A176,РД[Дата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46">
        <f>COUNTIFS(РД[Тип кв],M$167,РД[ИМ],$A176,РД[Дата подачи на регистрацию],"&lt;="&amp;$A$1,РД[Дата подачи на регистрацию],"&gt;="&amp;DATE(YEAR($A$1),MONTH($A$1),1),РД[Источник рекламы],"Н -*")</f>
        <v>0</v>
      </c>
      <c r="N176" s="339"/>
      <c r="O176" s="339"/>
      <c r="P176" s="86"/>
      <c r="T176" s="66"/>
    </row>
    <row r="177" spans="1:21" s="65" customFormat="1">
      <c r="A177" s="150" t="s">
        <v>26</v>
      </c>
      <c r="B177" s="297">
        <f>SUMIFS(РД[S],РД[ИМ],A177,РД[Дата подачи на регистрацию],"&lt;="&amp;$A$1,РД[Дата подачи на регистрацию],"&gt;="&amp;DATE(YEAR($A$1),MONTH($A$1),1),РД[Источник рекламы],"Н -*")</f>
        <v>176.43</v>
      </c>
      <c r="C177" s="298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19945580</v>
      </c>
      <c r="D177" s="199">
        <f>SUMIFS(Март255152[м2],Март255152[ИМ],$A177,Март255152[КТУ],"АН -*")</f>
        <v>0</v>
      </c>
      <c r="E177" s="200">
        <f>SUMIFS(Март255152[Сумма без отделки],Март255152[ИМ],$A177,Март255152[КТУ],"АН -*")</f>
        <v>0</v>
      </c>
      <c r="F177" s="201">
        <f>COUNTIFS(Март255152[ИМ],$A177,Март255152[КТУ],"АН -*")</f>
        <v>0</v>
      </c>
      <c r="G177" s="271">
        <f>SUMIFS(РД[S],РД[ИМ],A177,РД[Дата подачи на регистрацию],"&lt;="&amp;$A$1,РД[Дата подачи на регистрацию],"&gt;="&amp;DATE(YEAR($A$1),MONTH($A$1),1),РД[Источник рекламы],"Н -*")</f>
        <v>176.43</v>
      </c>
      <c r="H177" s="272">
        <f>SUMIFS(РД[Стоимость без отделки итог],РД[ИМ],A177,РД[Дата подачи на регистрацию],"&lt;="&amp;$A$1,РД[Дата подачи на регистрацию],"&gt;="&amp;DATE(YEAR($A$1),MONTH($A$1),1),РД[Источник рекламы],"Н -*")</f>
        <v>19945580</v>
      </c>
      <c r="I177" s="257">
        <f>COUNTIFS(РД[Тип кв],I$167,РД[ИМ],$A177,РД[Дата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J177" s="226">
        <f>COUNTIFS(РД[Тип кв],J$167,РД[ИМ],$A177,РД[Дата подачи на регистрацию],"&lt;="&amp;$A$1,РД[Дата подачи на регистрацию],"&gt;="&amp;DATE(YEAR($A$1),MONTH($A$1),1),РД[Источник рекламы],"Н -*")</f>
        <v>1</v>
      </c>
      <c r="K177" s="226">
        <f>COUNTIFS(РД[Тип кв],K$167,РД[ИМ],$A177,РД[Дата подачи на регистрацию],"&lt;="&amp;$A$1,РД[Дата подачи на регистрацию],"&gt;="&amp;DATE(YEAR($A$1),MONTH($A$1),1),РД[Источник рекламы],"Н -*")</f>
        <v>2</v>
      </c>
      <c r="L177" s="226">
        <f>COUNTIFS(РД[Тип кв],L$167,РД[ИМ],$A177,РД[Дата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7">
        <f>COUNTIFS(РД[Тип кв],M$167,РД[ИМ],$A177,РД[Дата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89" t="s">
        <v>3</v>
      </c>
      <c r="B178" s="313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C178" s="314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D178" s="299">
        <f>SUMIFS(Март255152[м2],Март255152[ИМ],$A178,Март255152[КТУ],"АН -*")</f>
        <v>0</v>
      </c>
      <c r="E178" s="300">
        <f>SUMIFS(Март255152[Сумма без отделки],Март255152[ИМ],$A178,Март255152[КТУ],"АН -*")</f>
        <v>0</v>
      </c>
      <c r="F178" s="301">
        <f>COUNTIFS(Март255152[ИМ],$A178,Март255152[КТУ],"АН -*")</f>
        <v>0</v>
      </c>
      <c r="G178" s="315">
        <f>SUMIFS(РД[S],РД[ИМ],A178,РД[Дата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H178" s="316">
        <f>SUMIFS(РД[Стоимость без отделки итог],РД[ИМ],A178,РД[Дата подачи на регистрацию],"&lt;="&amp;$A$1,РД[Дата подачи на регистрацию],"&gt;="&amp;DATE(YEAR($A$1),MONTH($A$1),1),РД[Источник рекламы],"Н -*")</f>
        <v>0</v>
      </c>
      <c r="I178" s="329">
        <f>COUNTIFS(РД[Тип кв],I$167,РД[ИМ],$A178,РД[Дата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330">
        <f>COUNTIFS(РД[Тип кв],J$167,РД[ИМ],$A178,РД[Дата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330">
        <f>COUNTIFS(РД[Тип кв],K$167,РД[ИМ],$A178,РД[Дата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L178" s="330">
        <f>COUNTIFS(РД[Тип кв],L$167,РД[ИМ],$A178,РД[Дата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331">
        <f>COUNTIFS(РД[Тип кв],M$167,РД[ИМ],$A178,РД[Дата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317" t="s">
        <v>114</v>
      </c>
      <c r="B179" s="318">
        <f>SUM(B176:B178)</f>
        <v>219.64000000000001</v>
      </c>
      <c r="C179" s="319">
        <f t="shared" ref="C179:M179" si="31">SUM(C176:C178)</f>
        <v>25404880</v>
      </c>
      <c r="D179" s="320">
        <f t="shared" si="31"/>
        <v>0</v>
      </c>
      <c r="E179" s="321">
        <f t="shared" si="31"/>
        <v>0</v>
      </c>
      <c r="F179" s="322">
        <f t="shared" si="31"/>
        <v>0</v>
      </c>
      <c r="G179" s="323">
        <f t="shared" si="31"/>
        <v>219.64000000000001</v>
      </c>
      <c r="H179" s="324">
        <f t="shared" si="31"/>
        <v>25404880</v>
      </c>
      <c r="I179" s="318">
        <f t="shared" si="31"/>
        <v>0</v>
      </c>
      <c r="J179" s="321">
        <f t="shared" si="31"/>
        <v>2</v>
      </c>
      <c r="K179" s="321">
        <f t="shared" si="31"/>
        <v>2</v>
      </c>
      <c r="L179" s="321">
        <f t="shared" si="31"/>
        <v>0</v>
      </c>
      <c r="M179" s="319">
        <f t="shared" si="31"/>
        <v>0</v>
      </c>
      <c r="N179" s="339"/>
      <c r="O179" s="339"/>
      <c r="P179" s="86"/>
      <c r="T179" s="66"/>
    </row>
    <row r="180" spans="1:21" s="65" customFormat="1">
      <c r="Q180" s="86"/>
      <c r="U180" s="66"/>
    </row>
    <row r="181" spans="1:21" s="65" customFormat="1">
      <c r="Q181" s="86"/>
      <c r="U181" s="66"/>
    </row>
    <row r="182" spans="1:21" s="65" customFormat="1">
      <c r="Q182" s="86"/>
      <c r="U182" s="66"/>
    </row>
    <row r="183" spans="1:21" s="65" customFormat="1">
      <c r="Q183" s="86"/>
      <c r="U183" s="66"/>
    </row>
    <row r="184" spans="1:21" s="65" customFormat="1">
      <c r="Q184" s="86"/>
      <c r="U184" s="66"/>
    </row>
    <row r="185" spans="1:21" s="65" customFormat="1">
      <c r="Q185" s="86"/>
      <c r="U185" s="66"/>
    </row>
    <row r="186" spans="1:21" s="65" customFormat="1">
      <c r="Q186" s="86"/>
      <c r="U186" s="66"/>
    </row>
    <row r="187" spans="1:21" s="65" customFormat="1">
      <c r="Q187" s="86"/>
      <c r="U187" s="66"/>
    </row>
    <row r="188" spans="1:21" s="65" customFormat="1">
      <c r="Q188" s="86"/>
      <c r="U188" s="66"/>
    </row>
    <row r="189" spans="1:21" s="65" customFormat="1">
      <c r="Q189" s="86"/>
      <c r="U189" s="66"/>
    </row>
    <row r="190" spans="1:21" s="65" customFormat="1">
      <c r="Q190" s="86"/>
      <c r="U190" s="66"/>
    </row>
    <row r="191" spans="1:21" s="65" customFormat="1">
      <c r="Q191" s="86"/>
      <c r="U191" s="66"/>
    </row>
    <row r="192" spans="1:21" s="65" customFormat="1">
      <c r="Q192" s="86"/>
      <c r="U192" s="66"/>
    </row>
    <row r="193" spans="17:21" s="65" customFormat="1">
      <c r="Q193" s="86"/>
      <c r="U193" s="66"/>
    </row>
    <row r="194" spans="17:21" s="65" customFormat="1">
      <c r="Q194" s="86"/>
      <c r="U194" s="66"/>
    </row>
    <row r="195" spans="17:21" s="65" customFormat="1">
      <c r="Q195" s="86"/>
      <c r="U195" s="66"/>
    </row>
    <row r="196" spans="17:21" s="65" customFormat="1">
      <c r="Q196" s="86"/>
      <c r="U196" s="66"/>
    </row>
    <row r="197" spans="17:21" s="65" customFormat="1">
      <c r="Q197" s="86"/>
      <c r="U197" s="66"/>
    </row>
    <row r="198" spans="17:21" s="65" customFormat="1">
      <c r="Q198" s="86"/>
      <c r="U198" s="66"/>
    </row>
    <row r="199" spans="17:21" s="65" customFormat="1">
      <c r="Q199" s="86"/>
      <c r="U199" s="66"/>
    </row>
    <row r="200" spans="17:21" s="65" customFormat="1">
      <c r="Q200" s="86"/>
      <c r="U200" s="66"/>
    </row>
    <row r="201" spans="17:21" s="65" customFormat="1">
      <c r="Q201" s="86"/>
      <c r="U201" s="66"/>
    </row>
    <row r="202" spans="17:21" s="65" customFormat="1">
      <c r="Q202" s="86"/>
      <c r="U202" s="66"/>
    </row>
    <row r="203" spans="17:21" s="65" customFormat="1">
      <c r="Q203" s="86"/>
      <c r="U203" s="66"/>
    </row>
    <row r="204" spans="17:21" s="65" customFormat="1">
      <c r="Q204" s="86"/>
      <c r="U204" s="66"/>
    </row>
    <row r="205" spans="17:21" s="65" customFormat="1">
      <c r="Q205" s="86"/>
      <c r="U205" s="66"/>
    </row>
    <row r="206" spans="17:21" s="65" customFormat="1">
      <c r="Q206" s="86"/>
      <c r="U206" s="66"/>
    </row>
    <row r="207" spans="17:21" s="65" customFormat="1">
      <c r="Q207" s="86"/>
      <c r="U207" s="66"/>
    </row>
    <row r="208" spans="17:21" s="65" customFormat="1">
      <c r="Q208" s="86"/>
      <c r="U208" s="66"/>
    </row>
    <row r="209" spans="1:21" s="65" customFormat="1">
      <c r="Q209" s="86"/>
      <c r="U209" s="66"/>
    </row>
    <row r="210" spans="1:21" s="65" customFormat="1">
      <c r="Q210" s="86"/>
      <c r="U210" s="66"/>
    </row>
    <row r="211" spans="1:21" s="65" customFormat="1">
      <c r="Q211" s="86"/>
      <c r="U211" s="66"/>
    </row>
    <row r="212" spans="1:21" s="65" customFormat="1">
      <c r="Q212" s="86"/>
      <c r="U212" s="66"/>
    </row>
    <row r="213" spans="1:21" s="65" customFormat="1">
      <c r="Q213" s="86"/>
      <c r="U213" s="66"/>
    </row>
    <row r="214" spans="1:21" s="65" customFormat="1">
      <c r="Q214" s="86"/>
      <c r="U214" s="66"/>
    </row>
    <row r="215" spans="1:21" s="65" customFormat="1">
      <c r="Q215" s="86"/>
      <c r="U215" s="66"/>
    </row>
    <row r="216" spans="1:2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86"/>
      <c r="R216" s="65"/>
      <c r="S216" s="65"/>
    </row>
    <row r="217" spans="1:2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86"/>
      <c r="R217" s="65"/>
      <c r="S217" s="65"/>
    </row>
    <row r="218" spans="1:21" s="65" customFormat="1">
      <c r="Q218" s="86"/>
      <c r="U218" s="66"/>
    </row>
    <row r="219" spans="1:21" s="65" customFormat="1">
      <c r="Q219" s="86"/>
      <c r="U219" s="66"/>
    </row>
    <row r="220" spans="1:21" s="65" customFormat="1">
      <c r="Q220" s="86"/>
      <c r="U220" s="66"/>
    </row>
    <row r="221" spans="1:21" s="65" customFormat="1">
      <c r="Q221" s="86"/>
      <c r="U221" s="66"/>
    </row>
    <row r="222" spans="1:21" s="65" customFormat="1">
      <c r="Q222" s="86"/>
      <c r="U222" s="66"/>
    </row>
    <row r="223" spans="1:21" s="65" customFormat="1">
      <c r="Q223" s="86"/>
      <c r="U223" s="66"/>
    </row>
    <row r="224" spans="1:21" s="65" customFormat="1">
      <c r="Q224" s="86"/>
      <c r="U224" s="66"/>
    </row>
    <row r="225" spans="17:21" s="65" customFormat="1">
      <c r="Q225" s="86"/>
      <c r="U225" s="66"/>
    </row>
    <row r="226" spans="17:21" s="65" customFormat="1">
      <c r="Q226" s="86"/>
      <c r="U226" s="66"/>
    </row>
    <row r="227" spans="17:21" s="65" customFormat="1">
      <c r="Q227" s="86"/>
      <c r="U227" s="66"/>
    </row>
    <row r="228" spans="17:21" s="65" customFormat="1">
      <c r="Q228" s="86"/>
      <c r="U228" s="66"/>
    </row>
    <row r="229" spans="17:21" s="65" customFormat="1">
      <c r="Q229" s="86"/>
      <c r="U229" s="66"/>
    </row>
    <row r="230" spans="17:21" s="65" customFormat="1">
      <c r="Q230" s="86"/>
      <c r="U230" s="66"/>
    </row>
    <row r="231" spans="17:21" s="65" customFormat="1">
      <c r="Q231" s="86"/>
      <c r="U231" s="66"/>
    </row>
    <row r="232" spans="17:21" s="65" customFormat="1">
      <c r="Q232" s="86"/>
      <c r="U232" s="66"/>
    </row>
    <row r="233" spans="17:21" s="65" customFormat="1">
      <c r="Q233" s="86"/>
      <c r="U233" s="66"/>
    </row>
    <row r="234" spans="17:21" s="65" customFormat="1">
      <c r="Q234" s="86"/>
      <c r="U234" s="66"/>
    </row>
    <row r="235" spans="17:21" s="65" customFormat="1">
      <c r="Q235" s="86"/>
      <c r="U235" s="66"/>
    </row>
    <row r="236" spans="17:21" s="65" customFormat="1">
      <c r="Q236" s="86"/>
      <c r="U236" s="66"/>
    </row>
    <row r="237" spans="17:21" s="65" customFormat="1">
      <c r="Q237" s="86"/>
      <c r="U237" s="66"/>
    </row>
    <row r="238" spans="17:21" s="65" customFormat="1">
      <c r="Q238" s="86"/>
      <c r="U238" s="66"/>
    </row>
    <row r="239" spans="17:21" s="65" customFormat="1">
      <c r="Q239" s="86"/>
      <c r="U239" s="66"/>
    </row>
    <row r="240" spans="17:21" s="65" customFormat="1">
      <c r="Q240" s="86"/>
      <c r="U240" s="66"/>
    </row>
    <row r="241" spans="17:21" s="65" customFormat="1">
      <c r="Q241" s="86"/>
      <c r="U241" s="66"/>
    </row>
    <row r="242" spans="17:21" s="65" customFormat="1">
      <c r="Q242" s="86"/>
      <c r="U242" s="66"/>
    </row>
    <row r="243" spans="17:21" s="65" customFormat="1">
      <c r="Q243" s="86"/>
      <c r="U243" s="66"/>
    </row>
    <row r="244" spans="17:21" s="65" customFormat="1">
      <c r="Q244" s="86"/>
      <c r="U244" s="66"/>
    </row>
    <row r="245" spans="17:21" s="65" customFormat="1">
      <c r="Q245" s="86"/>
      <c r="U245" s="66"/>
    </row>
    <row r="246" spans="17:21" s="65" customFormat="1">
      <c r="Q246" s="86"/>
      <c r="U246" s="66"/>
    </row>
    <row r="247" spans="17:21" s="65" customFormat="1">
      <c r="Q247" s="86"/>
      <c r="U247" s="66"/>
    </row>
    <row r="248" spans="17:21" s="65" customFormat="1">
      <c r="Q248" s="86"/>
      <c r="U248" s="66"/>
    </row>
    <row r="249" spans="17:21" s="65" customFormat="1">
      <c r="Q249" s="86"/>
      <c r="U249" s="66"/>
    </row>
    <row r="250" spans="17:21" s="65" customFormat="1">
      <c r="Q250" s="86"/>
      <c r="U250" s="66"/>
    </row>
    <row r="251" spans="17:21" s="65" customFormat="1">
      <c r="Q251" s="86"/>
      <c r="U251" s="66"/>
    </row>
    <row r="252" spans="17:21" s="65" customFormat="1">
      <c r="Q252" s="86"/>
      <c r="U252" s="66"/>
    </row>
    <row r="253" spans="17:21" s="65" customFormat="1">
      <c r="Q253" s="86"/>
      <c r="U253" s="66"/>
    </row>
    <row r="254" spans="17:21" s="65" customFormat="1">
      <c r="Q254" s="86"/>
      <c r="U254" s="66"/>
    </row>
    <row r="255" spans="17:21" s="65" customFormat="1">
      <c r="Q255" s="86"/>
      <c r="U255" s="66"/>
    </row>
    <row r="256" spans="17:21" s="65" customFormat="1">
      <c r="Q256" s="86"/>
      <c r="U256" s="66"/>
    </row>
    <row r="257" spans="17:21" s="65" customFormat="1">
      <c r="Q257" s="86"/>
      <c r="U257" s="66"/>
    </row>
    <row r="258" spans="17:21" s="65" customFormat="1">
      <c r="Q258" s="86"/>
      <c r="U258" s="66"/>
    </row>
    <row r="259" spans="17:21" s="65" customFormat="1">
      <c r="Q259" s="86"/>
      <c r="U259" s="66"/>
    </row>
    <row r="260" spans="17:21" s="65" customFormat="1">
      <c r="Q260" s="86"/>
      <c r="U260" s="66"/>
    </row>
    <row r="261" spans="17:21" s="65" customFormat="1">
      <c r="Q261" s="86"/>
      <c r="U261" s="66"/>
    </row>
    <row r="262" spans="17:21" s="65" customFormat="1">
      <c r="Q262" s="86"/>
      <c r="U262" s="66"/>
    </row>
    <row r="263" spans="17:21" s="65" customFormat="1">
      <c r="Q263" s="86"/>
      <c r="U263" s="66"/>
    </row>
    <row r="264" spans="17:21" s="65" customFormat="1">
      <c r="Q264" s="86"/>
      <c r="U264" s="66"/>
    </row>
    <row r="265" spans="17:21" s="65" customFormat="1">
      <c r="Q265" s="86"/>
      <c r="U265" s="66"/>
    </row>
    <row r="266" spans="17:21" s="65" customFormat="1">
      <c r="Q266" s="86"/>
      <c r="U266" s="66"/>
    </row>
    <row r="267" spans="17:21" s="65" customFormat="1">
      <c r="Q267" s="86"/>
      <c r="U267" s="66"/>
    </row>
    <row r="268" spans="17:21" s="65" customFormat="1">
      <c r="Q268" s="86"/>
      <c r="U268" s="66"/>
    </row>
    <row r="269" spans="17:21" s="65" customFormat="1">
      <c r="Q269" s="86"/>
      <c r="U269" s="66"/>
    </row>
    <row r="270" spans="17:21" s="65" customFormat="1">
      <c r="Q270" s="86"/>
      <c r="U270" s="66"/>
    </row>
    <row r="271" spans="17:21" s="65" customFormat="1">
      <c r="Q271" s="86"/>
      <c r="U271" s="66"/>
    </row>
    <row r="272" spans="17:21" s="65" customFormat="1">
      <c r="Q272" s="86"/>
      <c r="U272" s="66"/>
    </row>
    <row r="273" spans="17:21" s="65" customFormat="1">
      <c r="Q273" s="86"/>
      <c r="U273" s="66"/>
    </row>
    <row r="274" spans="17:21" s="65" customFormat="1">
      <c r="Q274" s="86"/>
      <c r="U274" s="66"/>
    </row>
    <row r="275" spans="17:21" s="65" customFormat="1">
      <c r="Q275" s="86"/>
      <c r="U275" s="66"/>
    </row>
    <row r="276" spans="17:21" s="65" customFormat="1">
      <c r="Q276" s="86"/>
      <c r="U276" s="66"/>
    </row>
    <row r="277" spans="17:21" s="65" customFormat="1">
      <c r="Q277" s="86"/>
      <c r="U277" s="66"/>
    </row>
    <row r="278" spans="17:21" s="65" customFormat="1">
      <c r="Q278" s="86"/>
      <c r="U278" s="66"/>
    </row>
    <row r="279" spans="17:21" s="65" customFormat="1">
      <c r="Q279" s="86"/>
      <c r="U279" s="66"/>
    </row>
    <row r="280" spans="17:21" s="65" customFormat="1">
      <c r="Q280" s="86"/>
      <c r="U280" s="66"/>
    </row>
    <row r="281" spans="17:21" s="65" customFormat="1">
      <c r="Q281" s="86"/>
      <c r="U281" s="66"/>
    </row>
    <row r="282" spans="17:21" s="65" customFormat="1">
      <c r="Q282" s="86"/>
      <c r="U282" s="66"/>
    </row>
    <row r="283" spans="17:21" s="65" customFormat="1">
      <c r="Q283" s="86"/>
      <c r="U283" s="66"/>
    </row>
    <row r="284" spans="17:21" s="65" customFormat="1">
      <c r="Q284" s="86"/>
      <c r="U284" s="66"/>
    </row>
    <row r="285" spans="17:21" s="65" customFormat="1">
      <c r="Q285" s="86"/>
      <c r="U285" s="66"/>
    </row>
    <row r="286" spans="17:21" s="65" customFormat="1">
      <c r="Q286" s="86"/>
      <c r="U286" s="66"/>
    </row>
    <row r="287" spans="17:21" s="65" customFormat="1">
      <c r="Q287" s="86"/>
      <c r="U287" s="66"/>
    </row>
    <row r="288" spans="17:21" s="65" customFormat="1">
      <c r="Q288" s="86"/>
      <c r="U288" s="66"/>
    </row>
    <row r="289" spans="17:21" s="65" customFormat="1">
      <c r="Q289" s="86"/>
      <c r="U289" s="66"/>
    </row>
    <row r="290" spans="17:21" s="65" customFormat="1">
      <c r="Q290" s="86"/>
      <c r="U290" s="66"/>
    </row>
    <row r="291" spans="17:21" s="65" customFormat="1">
      <c r="Q291" s="86"/>
      <c r="U291" s="66"/>
    </row>
    <row r="292" spans="17:21" s="65" customFormat="1">
      <c r="Q292" s="86"/>
      <c r="U292" s="66"/>
    </row>
    <row r="293" spans="17:21" s="65" customFormat="1">
      <c r="Q293" s="86"/>
      <c r="U293" s="66"/>
    </row>
    <row r="294" spans="17:21" s="65" customFormat="1">
      <c r="Q294" s="86"/>
      <c r="U294" s="66"/>
    </row>
    <row r="295" spans="17:21" s="65" customFormat="1">
      <c r="Q295" s="86"/>
      <c r="U295" s="66"/>
    </row>
    <row r="296" spans="17:21" s="65" customFormat="1">
      <c r="Q296" s="86"/>
      <c r="U296" s="66"/>
    </row>
    <row r="297" spans="17:21" s="65" customFormat="1">
      <c r="Q297" s="86"/>
      <c r="U297" s="66"/>
    </row>
    <row r="298" spans="17:21" s="65" customFormat="1">
      <c r="Q298" s="86"/>
      <c r="U298" s="66"/>
    </row>
    <row r="299" spans="17:21" s="65" customFormat="1">
      <c r="Q299" s="86"/>
      <c r="U299" s="66"/>
    </row>
    <row r="300" spans="17:21" s="65" customFormat="1">
      <c r="Q300" s="86"/>
      <c r="U300" s="66"/>
    </row>
    <row r="301" spans="17:21" s="65" customFormat="1">
      <c r="Q301" s="86"/>
      <c r="U301" s="66"/>
    </row>
    <row r="302" spans="17:21" s="65" customFormat="1">
      <c r="Q302" s="86"/>
      <c r="U302" s="66"/>
    </row>
    <row r="303" spans="17:21" s="65" customFormat="1">
      <c r="Q303" s="86"/>
      <c r="U303" s="66"/>
    </row>
    <row r="304" spans="17:21" s="65" customFormat="1">
      <c r="Q304" s="86"/>
      <c r="R304" s="66"/>
      <c r="S304" s="66"/>
      <c r="U304" s="66"/>
    </row>
    <row r="305" spans="17:21" s="65" customFormat="1">
      <c r="Q305" s="86"/>
      <c r="R305" s="66"/>
      <c r="S305" s="66"/>
      <c r="U305" s="66"/>
    </row>
    <row r="306" spans="17:21" s="65" customFormat="1">
      <c r="Q306" s="86"/>
      <c r="R306" s="66"/>
      <c r="S306" s="66"/>
      <c r="U306" s="66"/>
    </row>
    <row r="307" spans="17:21" s="65" customFormat="1">
      <c r="Q307" s="86"/>
      <c r="R307" s="66"/>
      <c r="S307" s="66"/>
      <c r="U307" s="66"/>
    </row>
  </sheetData>
  <sheetProtection algorithmName="SHA-512" hashValue="UrVGYl891X54Xl9FhLoaFUGuuoGFu3mXGb7YfhLNUBvzDQLWKDaa5slWru3JAJURkxtK4EbZllGavmsQBSkB1Q==" saltValue="hoyuTBtuf/isBNBdMrNuQQ==" spinCount="100000" sheet="1" formatCells="0" formatColumns="0" formatRows="0" sort="0" autoFilter="0" pivotTables="0"/>
  <mergeCells count="8">
    <mergeCell ref="A134:B134"/>
    <mergeCell ref="A150:O150"/>
    <mergeCell ref="A166:M166"/>
    <mergeCell ref="A1:U1"/>
    <mergeCell ref="A70:B70"/>
    <mergeCell ref="A86:B86"/>
    <mergeCell ref="A102:B102"/>
    <mergeCell ref="A118:B118"/>
  </mergeCells>
  <pageMargins left="0.25" right="0.25" top="0.75" bottom="0.75" header="0.3" footer="0.3"/>
  <pageSetup paperSize="9" scale="22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D00-000000000000}">
          <x14:formula1>
            <xm:f>Списки!$C$2:$C$27</xm:f>
          </x14:formula1>
          <xm:sqref>U9 K4:K21 K23:K26 K28:K64 T28:U64 T4:U8 T10:U26</xm:sqref>
        </x14:dataValidation>
        <x14:dataValidation type="list" allowBlank="1" showInputMessage="1" showErrorMessage="1" xr:uid="{00000000-0002-0000-3D00-000001000000}">
          <x14:formula1>
            <xm:f>Списки!$F$2:$F$3</xm:f>
          </x14:formula1>
          <xm:sqref>V67 X67 P4:P21 P23:P26 P28:P64</xm:sqref>
        </x14:dataValidation>
        <x14:dataValidation type="list" allowBlank="1" showInputMessage="1" showErrorMessage="1" xr:uid="{00000000-0002-0000-3D00-000002000000}">
          <x14:formula1>
            <xm:f>Списки!$H$2</xm:f>
          </x14:formula1>
          <xm:sqref>B4:B64</xm:sqref>
        </x14:dataValidation>
        <x14:dataValidation type="list" allowBlank="1" showInputMessage="1" showErrorMessage="1" xr:uid="{00000000-0002-0000-3D00-000003000000}">
          <x14:formula1>
            <xm:f>Списки!$B$2:$B$10</xm:f>
          </x14:formula1>
          <xm:sqref>D4:D64</xm:sqref>
        </x14:dataValidation>
        <x14:dataValidation type="list" allowBlank="1" showInputMessage="1" showErrorMessage="1" xr:uid="{00000000-0002-0000-3D00-000004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D00-000005000000}">
          <x14:formula1>
            <xm:f>Списки!$D$2:$D$7</xm:f>
          </x14:formula1>
          <xm:sqref>H4:H21 H23:H26 H28:H64</xm:sqref>
        </x14:dataValidation>
        <x14:dataValidation type="list" allowBlank="1" showInputMessage="1" showErrorMessage="1" xr:uid="{00000000-0002-0000-3D00-000006000000}">
          <x14:formula1>
            <xm:f>Списки!$E$2:$E$7</xm:f>
          </x14:formula1>
          <xm:sqref>L4:L21 L23:L64</xm:sqref>
        </x14:dataValidation>
        <x14:dataValidation type="list" allowBlank="1" showInputMessage="1" showErrorMessage="1" xr:uid="{00000000-0002-0000-3D00-000007000000}">
          <x14:formula1>
            <xm:f>Списки!$G$2:$G$3</xm:f>
          </x14:formula1>
          <xm:sqref>L67:L68 N4:N21 N23:N26 N28:N64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AF314"/>
  <sheetViews>
    <sheetView view="pageBreakPreview" zoomScaleNormal="85" workbookViewId="0">
      <pane ySplit="3" topLeftCell="A7" activePane="bottomLeft" state="frozen"/>
      <selection pane="bottomLeft" activeCell="U15" sqref="U14:V15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5.28515625" style="2071" customWidth="1"/>
    <col min="11" max="11" width="20.1406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45838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>
      <c r="A2" s="67"/>
      <c r="B2" s="67"/>
      <c r="C2" s="68">
        <f>SUBTOTAL(3,Март25515253[заявка №])</f>
        <v>27</v>
      </c>
      <c r="D2" s="67"/>
      <c r="E2" s="67"/>
      <c r="F2" s="67"/>
      <c r="G2" s="69">
        <f>SUBTOTAL(9,Март25515253[м2])</f>
        <v>1303.1500000000001</v>
      </c>
      <c r="H2" s="67"/>
      <c r="I2" s="67"/>
      <c r="J2" s="2060">
        <f>SUBTOTAL(9,Март25515253[сумма])</f>
        <v>170489145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SUBTOTAL(9,Март25515253[Сумма без отделки])</f>
        <v>157194945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90" t="s">
        <v>2036</v>
      </c>
      <c r="J3" s="2061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61" customFormat="1">
      <c r="A4" s="62">
        <v>1</v>
      </c>
      <c r="B4" s="62" t="s">
        <v>6</v>
      </c>
      <c r="C4" s="74">
        <v>41237</v>
      </c>
      <c r="D4" s="62" t="s">
        <v>23</v>
      </c>
      <c r="E4" s="75">
        <v>65</v>
      </c>
      <c r="F4" s="62">
        <v>1</v>
      </c>
      <c r="G4" s="62">
        <v>36.92</v>
      </c>
      <c r="H4" s="76" t="s">
        <v>9</v>
      </c>
      <c r="I4" s="76"/>
      <c r="J4" s="2062">
        <v>4876774</v>
      </c>
      <c r="K4" s="62" t="s">
        <v>28</v>
      </c>
      <c r="L4" s="62" t="s">
        <v>22</v>
      </c>
      <c r="M4" s="62" t="s">
        <v>286</v>
      </c>
      <c r="N4" s="62" t="s">
        <v>18</v>
      </c>
      <c r="O4" s="92">
        <v>45811</v>
      </c>
      <c r="P4" s="62" t="s">
        <v>17</v>
      </c>
      <c r="Q4" s="112" t="s">
        <v>2449</v>
      </c>
      <c r="R4" s="113"/>
      <c r="S4" s="113" t="s">
        <v>2450</v>
      </c>
      <c r="T4" s="62" t="s">
        <v>28</v>
      </c>
      <c r="U4" s="62" t="s">
        <v>28</v>
      </c>
      <c r="V4" s="114">
        <v>4876774</v>
      </c>
    </row>
    <row r="5" spans="1:32" s="61" customFormat="1">
      <c r="A5" s="62">
        <v>2</v>
      </c>
      <c r="B5" s="62" t="s">
        <v>6</v>
      </c>
      <c r="C5" s="74">
        <v>45069</v>
      </c>
      <c r="D5" s="62" t="s">
        <v>13</v>
      </c>
      <c r="E5" s="75">
        <v>74</v>
      </c>
      <c r="F5" s="62">
        <v>2</v>
      </c>
      <c r="G5" s="62">
        <v>62.17</v>
      </c>
      <c r="H5" s="76" t="s">
        <v>9</v>
      </c>
      <c r="I5" s="76"/>
      <c r="J5" s="2062">
        <v>7087380</v>
      </c>
      <c r="K5" s="62" t="s">
        <v>45</v>
      </c>
      <c r="L5" s="62" t="s">
        <v>26</v>
      </c>
      <c r="M5" s="62" t="s">
        <v>286</v>
      </c>
      <c r="N5" s="62" t="s">
        <v>18</v>
      </c>
      <c r="O5" s="92"/>
      <c r="P5" s="62" t="s">
        <v>17</v>
      </c>
      <c r="Q5" s="112" t="s">
        <v>2451</v>
      </c>
      <c r="R5" s="113"/>
      <c r="S5" s="113"/>
      <c r="T5" s="117" t="s">
        <v>20</v>
      </c>
      <c r="U5" s="62" t="s">
        <v>20</v>
      </c>
      <c r="V5" s="114">
        <f>Март25515253[[#This Row],[сумма]]-Март25515253[[#This Row],[Цена м2 отделки]]*Март25515253[[#This Row],[м2]]</f>
        <v>7087380</v>
      </c>
    </row>
    <row r="6" spans="1:32" s="2046" customFormat="1">
      <c r="A6" s="2046">
        <v>3</v>
      </c>
      <c r="B6" s="2046" t="s">
        <v>6</v>
      </c>
      <c r="C6" s="2056">
        <v>44089</v>
      </c>
      <c r="D6" s="2046" t="s">
        <v>13</v>
      </c>
      <c r="E6" s="2046">
        <v>89</v>
      </c>
      <c r="F6" s="2046">
        <v>2</v>
      </c>
      <c r="G6" s="2046">
        <v>58.16</v>
      </c>
      <c r="H6" s="2046" t="s">
        <v>21</v>
      </c>
      <c r="I6" s="2046">
        <v>10000</v>
      </c>
      <c r="J6" s="2067">
        <v>7322248</v>
      </c>
      <c r="K6" s="2046" t="s">
        <v>32</v>
      </c>
      <c r="L6" s="2046" t="s">
        <v>22</v>
      </c>
      <c r="M6" s="2046" t="s">
        <v>583</v>
      </c>
      <c r="N6" s="2046" t="s">
        <v>18</v>
      </c>
      <c r="O6" s="2218">
        <v>45835</v>
      </c>
      <c r="P6" s="62" t="s">
        <v>17</v>
      </c>
      <c r="Q6" s="2219" t="s">
        <v>2452</v>
      </c>
      <c r="T6" s="2046" t="s">
        <v>20</v>
      </c>
      <c r="U6" s="2046" t="s">
        <v>20</v>
      </c>
      <c r="V6" s="2220">
        <f>Март25515253[[#This Row],[сумма]]-Март25515253[[#This Row],[Цена м2 отделки]]*Март25515253[[#This Row],[м2]]</f>
        <v>6740648</v>
      </c>
    </row>
    <row r="7" spans="1:32" s="62" customFormat="1">
      <c r="A7" s="62">
        <v>4</v>
      </c>
      <c r="B7" s="62" t="s">
        <v>6</v>
      </c>
      <c r="C7" s="62">
        <v>44198</v>
      </c>
      <c r="D7" s="62" t="s">
        <v>13</v>
      </c>
      <c r="E7" s="62">
        <v>199</v>
      </c>
      <c r="F7" s="62">
        <v>1</v>
      </c>
      <c r="G7" s="62">
        <v>37.86</v>
      </c>
      <c r="H7" s="62" t="s">
        <v>25</v>
      </c>
      <c r="I7" s="62">
        <v>25000</v>
      </c>
      <c r="J7" s="2064">
        <v>5952020</v>
      </c>
      <c r="K7" s="62" t="s">
        <v>43</v>
      </c>
      <c r="L7" s="62" t="s">
        <v>26</v>
      </c>
      <c r="M7" s="62" t="s">
        <v>583</v>
      </c>
      <c r="N7" s="62" t="s">
        <v>18</v>
      </c>
      <c r="O7" s="96">
        <v>45812</v>
      </c>
      <c r="P7" s="62" t="s">
        <v>17</v>
      </c>
      <c r="Q7" s="62" t="s">
        <v>2453</v>
      </c>
      <c r="T7" s="62" t="s">
        <v>8</v>
      </c>
      <c r="U7" s="62" t="s">
        <v>8</v>
      </c>
      <c r="V7" s="116">
        <f>Март25515253[[#This Row],[сумма]]-Март25515253[[#This Row],[Цена м2 отделки]]*Март25515253[[#This Row],[м2]]</f>
        <v>5005520</v>
      </c>
    </row>
    <row r="8" spans="1:32" s="61" customFormat="1">
      <c r="A8" s="62">
        <v>5</v>
      </c>
      <c r="B8" s="62"/>
      <c r="C8" s="74">
        <v>44194</v>
      </c>
      <c r="D8" s="62" t="s">
        <v>13</v>
      </c>
      <c r="E8" s="75">
        <v>55</v>
      </c>
      <c r="F8" s="62">
        <v>1</v>
      </c>
      <c r="G8" s="62">
        <v>42.75</v>
      </c>
      <c r="H8" s="76" t="s">
        <v>9</v>
      </c>
      <c r="I8" s="76"/>
      <c r="J8" s="2062">
        <v>5423200</v>
      </c>
      <c r="K8" s="62" t="s">
        <v>24</v>
      </c>
      <c r="L8" s="62" t="s">
        <v>22</v>
      </c>
      <c r="M8" s="62" t="s">
        <v>583</v>
      </c>
      <c r="N8" s="62" t="s">
        <v>18</v>
      </c>
      <c r="O8" s="92">
        <v>45813</v>
      </c>
      <c r="P8" s="62" t="s">
        <v>17</v>
      </c>
      <c r="Q8" s="112" t="s">
        <v>2454</v>
      </c>
      <c r="R8" s="113"/>
      <c r="S8" s="113"/>
      <c r="T8" s="117" t="s">
        <v>24</v>
      </c>
      <c r="U8" s="62" t="s">
        <v>24</v>
      </c>
      <c r="V8" s="114">
        <f>Март25515253[[#This Row],[сумма]]-Март25515253[[#This Row],[Цена м2 отделки]]*Март25515253[[#This Row],[м2]]</f>
        <v>5423200</v>
      </c>
    </row>
    <row r="9" spans="1:32" s="61" customFormat="1">
      <c r="A9" s="62">
        <v>6</v>
      </c>
      <c r="B9" s="62" t="s">
        <v>6</v>
      </c>
      <c r="C9" s="74">
        <v>44380</v>
      </c>
      <c r="D9" s="62" t="s">
        <v>13</v>
      </c>
      <c r="E9" s="75">
        <v>69</v>
      </c>
      <c r="F9" s="62">
        <v>1</v>
      </c>
      <c r="G9" s="62">
        <v>42.75</v>
      </c>
      <c r="H9" s="76" t="s">
        <v>9</v>
      </c>
      <c r="I9" s="76"/>
      <c r="J9" s="2062">
        <v>5423200</v>
      </c>
      <c r="K9" s="62" t="s">
        <v>8</v>
      </c>
      <c r="L9" s="62" t="s">
        <v>22</v>
      </c>
      <c r="M9" s="62" t="s">
        <v>583</v>
      </c>
      <c r="N9" s="62" t="s">
        <v>18</v>
      </c>
      <c r="O9" s="92">
        <v>45831</v>
      </c>
      <c r="P9" s="62" t="s">
        <v>17</v>
      </c>
      <c r="Q9" s="112" t="s">
        <v>2455</v>
      </c>
      <c r="R9" s="113"/>
      <c r="S9" s="113"/>
      <c r="T9" s="117" t="s">
        <v>8</v>
      </c>
      <c r="U9" s="62" t="s">
        <v>8</v>
      </c>
      <c r="V9" s="114">
        <f>Март25515253[[#This Row],[сумма]]-Март25515253[[#This Row],[Цена м2 отделки]]*Март25515253[[#This Row],[м2]]</f>
        <v>5423200</v>
      </c>
    </row>
    <row r="10" spans="1:32" s="62" customFormat="1">
      <c r="A10" s="62">
        <v>7</v>
      </c>
      <c r="C10" s="81">
        <v>44735</v>
      </c>
      <c r="D10" s="62" t="s">
        <v>13</v>
      </c>
      <c r="E10" s="62">
        <v>487</v>
      </c>
      <c r="F10" s="62">
        <v>0</v>
      </c>
      <c r="G10" s="62">
        <v>24.5</v>
      </c>
      <c r="H10" s="62" t="s">
        <v>9</v>
      </c>
      <c r="J10" s="2064">
        <v>3307500</v>
      </c>
      <c r="K10" s="62" t="s">
        <v>37</v>
      </c>
      <c r="L10" s="62" t="s">
        <v>22</v>
      </c>
      <c r="M10" s="62" t="s">
        <v>583</v>
      </c>
      <c r="N10" s="62" t="s">
        <v>18</v>
      </c>
      <c r="O10" s="96">
        <v>45825</v>
      </c>
      <c r="P10" s="62" t="s">
        <v>17</v>
      </c>
      <c r="Q10" s="120" t="s">
        <v>2456</v>
      </c>
      <c r="T10" s="62" t="s">
        <v>24</v>
      </c>
      <c r="U10" s="62" t="s">
        <v>20</v>
      </c>
      <c r="V10" s="114">
        <f>Март25515253[[#This Row],[сумма]]-Март25515253[[#This Row],[Цена м2 отделки]]*Март25515253[[#This Row],[м2]]</f>
        <v>3307500</v>
      </c>
    </row>
    <row r="11" spans="1:32" s="63" customFormat="1">
      <c r="A11" s="62">
        <v>8</v>
      </c>
      <c r="B11" s="82" t="s">
        <v>6</v>
      </c>
      <c r="C11" s="83">
        <v>15133</v>
      </c>
      <c r="D11" s="82" t="s">
        <v>23</v>
      </c>
      <c r="E11" s="83">
        <v>126</v>
      </c>
      <c r="F11" s="82">
        <v>2</v>
      </c>
      <c r="G11" s="82">
        <v>60.94</v>
      </c>
      <c r="H11" s="82" t="s">
        <v>21</v>
      </c>
      <c r="I11" s="99">
        <v>10000</v>
      </c>
      <c r="J11" s="2065">
        <v>7681374</v>
      </c>
      <c r="K11" s="82" t="s">
        <v>8</v>
      </c>
      <c r="L11" s="82" t="s">
        <v>22</v>
      </c>
      <c r="M11" s="82" t="s">
        <v>286</v>
      </c>
      <c r="N11" s="82" t="s">
        <v>18</v>
      </c>
      <c r="O11" s="101">
        <v>45818</v>
      </c>
      <c r="P11" s="62" t="s">
        <v>17</v>
      </c>
      <c r="Q11" s="121" t="s">
        <v>2457</v>
      </c>
      <c r="R11" s="122"/>
      <c r="S11" s="123"/>
      <c r="T11" s="82" t="s">
        <v>8</v>
      </c>
      <c r="U11" s="82" t="s">
        <v>8</v>
      </c>
      <c r="V11" s="124">
        <f>Март25515253[[#This Row],[сумма]]-Март25515253[[#This Row],[Цена м2 отделки]]*Март25515253[[#This Row],[м2]]</f>
        <v>7071974</v>
      </c>
    </row>
    <row r="12" spans="1:32" s="61" customFormat="1">
      <c r="A12" s="62">
        <v>9</v>
      </c>
      <c r="B12" s="62" t="s">
        <v>6</v>
      </c>
      <c r="C12" s="74">
        <v>38972</v>
      </c>
      <c r="D12" s="62" t="s">
        <v>19</v>
      </c>
      <c r="E12" s="75">
        <v>4</v>
      </c>
      <c r="F12" s="62" t="s">
        <v>1337</v>
      </c>
      <c r="G12" s="62">
        <v>53.52</v>
      </c>
      <c r="H12" s="76" t="s">
        <v>9</v>
      </c>
      <c r="I12" s="76"/>
      <c r="J12" s="2062">
        <v>7492800</v>
      </c>
      <c r="K12" s="62" t="s">
        <v>8</v>
      </c>
      <c r="L12" s="62" t="s">
        <v>26</v>
      </c>
      <c r="M12" s="62" t="s">
        <v>286</v>
      </c>
      <c r="N12" s="62" t="s">
        <v>18</v>
      </c>
      <c r="O12" s="92">
        <v>45817</v>
      </c>
      <c r="P12" s="62" t="s">
        <v>17</v>
      </c>
      <c r="Q12" s="112" t="s">
        <v>2458</v>
      </c>
      <c r="R12" s="113"/>
      <c r="S12" s="113"/>
      <c r="T12" s="62" t="s">
        <v>8</v>
      </c>
      <c r="U12" s="62" t="s">
        <v>8</v>
      </c>
      <c r="V12" s="114">
        <f>Март25515253[[#This Row],[сумма]]-Март25515253[[#This Row],[Цена м2 отделки]]*Март25515253[[#This Row],[м2]]</f>
        <v>7492800</v>
      </c>
    </row>
    <row r="13" spans="1:32" s="61" customFormat="1">
      <c r="A13" s="62">
        <v>10</v>
      </c>
      <c r="B13" s="62" t="s">
        <v>6</v>
      </c>
      <c r="C13" s="74">
        <v>44991</v>
      </c>
      <c r="D13" s="82" t="s">
        <v>23</v>
      </c>
      <c r="E13" s="75">
        <v>162</v>
      </c>
      <c r="F13" s="62">
        <v>2</v>
      </c>
      <c r="G13" s="62">
        <v>60.87</v>
      </c>
      <c r="H13" s="62" t="s">
        <v>21</v>
      </c>
      <c r="I13" s="81">
        <v>10000</v>
      </c>
      <c r="J13" s="2064">
        <v>7672540</v>
      </c>
      <c r="K13" s="62" t="s">
        <v>8</v>
      </c>
      <c r="L13" s="62" t="s">
        <v>22</v>
      </c>
      <c r="M13" s="62" t="s">
        <v>286</v>
      </c>
      <c r="N13" s="62" t="s">
        <v>18</v>
      </c>
      <c r="O13" s="92">
        <v>45819</v>
      </c>
      <c r="P13" s="62" t="s">
        <v>17</v>
      </c>
      <c r="Q13" s="112" t="s">
        <v>2459</v>
      </c>
      <c r="R13" s="113"/>
      <c r="S13" s="113"/>
      <c r="T13" s="62" t="s">
        <v>8</v>
      </c>
      <c r="U13" s="62" t="s">
        <v>8</v>
      </c>
      <c r="V13" s="114">
        <f>Март25515253[[#This Row],[сумма]]-Март25515253[[#This Row],[Цена м2 отделки]]*Март25515253[[#This Row],[м2]]</f>
        <v>7063840</v>
      </c>
      <c r="AF13" s="132"/>
    </row>
    <row r="14" spans="1:32" s="61" customFormat="1">
      <c r="A14" s="62">
        <v>11</v>
      </c>
      <c r="B14" s="62" t="s">
        <v>6</v>
      </c>
      <c r="C14" s="74">
        <v>44964</v>
      </c>
      <c r="D14" s="62" t="s">
        <v>13</v>
      </c>
      <c r="E14" s="75">
        <v>105</v>
      </c>
      <c r="F14" s="62">
        <v>1</v>
      </c>
      <c r="G14" s="62">
        <v>34.39</v>
      </c>
      <c r="H14" s="62" t="s">
        <v>25</v>
      </c>
      <c r="I14" s="62">
        <v>25000</v>
      </c>
      <c r="J14" s="2064">
        <v>5158500</v>
      </c>
      <c r="K14" s="62" t="s">
        <v>8</v>
      </c>
      <c r="L14" s="62" t="s">
        <v>26</v>
      </c>
      <c r="M14" s="102" t="s">
        <v>583</v>
      </c>
      <c r="N14" s="62" t="s">
        <v>18</v>
      </c>
      <c r="O14" s="92">
        <v>45823</v>
      </c>
      <c r="P14" s="62" t="s">
        <v>17</v>
      </c>
      <c r="Q14" s="120" t="s">
        <v>2460</v>
      </c>
      <c r="R14" s="113"/>
      <c r="S14" s="113"/>
      <c r="T14" s="62" t="s">
        <v>8</v>
      </c>
      <c r="U14" s="62" t="s">
        <v>8</v>
      </c>
      <c r="V14" s="114">
        <f>Март25515253[[#This Row],[сумма]]-Март25515253[[#This Row],[Цена м2 отделки]]*Март25515253[[#This Row],[м2]]</f>
        <v>4298750</v>
      </c>
    </row>
    <row r="15" spans="1:32" s="61" customFormat="1">
      <c r="A15" s="62">
        <v>12</v>
      </c>
      <c r="B15" s="62" t="s">
        <v>6</v>
      </c>
      <c r="C15" s="74">
        <v>43792</v>
      </c>
      <c r="D15" s="62" t="s">
        <v>13</v>
      </c>
      <c r="E15" s="75">
        <v>19</v>
      </c>
      <c r="F15" s="62">
        <v>2</v>
      </c>
      <c r="G15" s="62">
        <v>58.16</v>
      </c>
      <c r="H15" s="76" t="s">
        <v>9</v>
      </c>
      <c r="I15" s="76"/>
      <c r="J15" s="2062">
        <v>6807903</v>
      </c>
      <c r="K15" s="62" t="s">
        <v>8</v>
      </c>
      <c r="L15" s="62" t="s">
        <v>22</v>
      </c>
      <c r="M15" s="62" t="s">
        <v>583</v>
      </c>
      <c r="N15" s="62" t="s">
        <v>18</v>
      </c>
      <c r="O15" s="92">
        <v>45832</v>
      </c>
      <c r="P15" s="62" t="s">
        <v>17</v>
      </c>
      <c r="Q15" s="112" t="s">
        <v>2461</v>
      </c>
      <c r="R15" s="113"/>
      <c r="S15" s="113"/>
      <c r="T15" s="117" t="s">
        <v>8</v>
      </c>
      <c r="U15" s="62" t="s">
        <v>8</v>
      </c>
      <c r="V15" s="114">
        <f>Март25515253[[#This Row],[сумма]]-Март25515253[[#This Row],[Цена м2 отделки]]*Март25515253[[#This Row],[м2]]</f>
        <v>6807903</v>
      </c>
    </row>
    <row r="16" spans="1:32" s="61" customFormat="1">
      <c r="A16" s="62">
        <v>13</v>
      </c>
      <c r="B16" s="62"/>
      <c r="C16" s="62">
        <v>44576</v>
      </c>
      <c r="D16" s="62" t="s">
        <v>13</v>
      </c>
      <c r="E16" s="62">
        <v>340</v>
      </c>
      <c r="F16" s="62">
        <v>1</v>
      </c>
      <c r="G16" s="62">
        <v>34.81</v>
      </c>
      <c r="H16" s="62" t="s">
        <v>25</v>
      </c>
      <c r="I16" s="62">
        <v>25000</v>
      </c>
      <c r="J16" s="2064">
        <v>5667770</v>
      </c>
      <c r="K16" s="62" t="s">
        <v>14</v>
      </c>
      <c r="L16" s="62" t="s">
        <v>26</v>
      </c>
      <c r="M16" s="62" t="s">
        <v>583</v>
      </c>
      <c r="N16" s="62" t="s">
        <v>18</v>
      </c>
      <c r="O16" s="62">
        <v>45828</v>
      </c>
      <c r="P16" s="62" t="s">
        <v>17</v>
      </c>
      <c r="Q16" s="62" t="s">
        <v>2462</v>
      </c>
      <c r="R16" s="62"/>
      <c r="S16" s="62"/>
      <c r="T16" s="62" t="s">
        <v>14</v>
      </c>
      <c r="U16" s="62" t="s">
        <v>8</v>
      </c>
      <c r="V16" s="127">
        <f>Март25515253[[#This Row],[сумма]]-Март25515253[[#This Row],[Цена м2 отделки]]*Март25515253[[#This Row],[м2]]</f>
        <v>4797520</v>
      </c>
    </row>
    <row r="17" spans="1:22" s="2053" customFormat="1">
      <c r="A17" s="2046">
        <v>14</v>
      </c>
      <c r="B17" s="2046"/>
      <c r="C17" s="2054">
        <v>33816</v>
      </c>
      <c r="D17" s="2046" t="s">
        <v>13</v>
      </c>
      <c r="E17" s="2055">
        <v>24</v>
      </c>
      <c r="F17" s="2046">
        <v>2</v>
      </c>
      <c r="G17" s="2046">
        <v>59.09</v>
      </c>
      <c r="H17" s="2048" t="s">
        <v>25</v>
      </c>
      <c r="I17" s="2048">
        <v>25000</v>
      </c>
      <c r="J17" s="2068">
        <v>8272600</v>
      </c>
      <c r="K17" s="2046" t="s">
        <v>14</v>
      </c>
      <c r="L17" s="2046" t="s">
        <v>22</v>
      </c>
      <c r="M17" s="2046" t="s">
        <v>583</v>
      </c>
      <c r="N17" s="2046" t="s">
        <v>12</v>
      </c>
      <c r="O17" s="2049">
        <v>45835</v>
      </c>
      <c r="P17" s="62" t="s">
        <v>17</v>
      </c>
      <c r="Q17" s="2221"/>
      <c r="R17" s="2051"/>
      <c r="S17" s="2051" t="s">
        <v>2463</v>
      </c>
      <c r="T17" s="2046" t="s">
        <v>14</v>
      </c>
      <c r="U17" s="2046" t="s">
        <v>14</v>
      </c>
      <c r="V17" s="2052">
        <f>Март25515253[[#This Row],[сумма]]-Март25515253[[#This Row],[Цена м2 отделки]]*Март25515253[[#This Row],[м2]]</f>
        <v>6795350</v>
      </c>
    </row>
    <row r="18" spans="1:22" s="2053" customFormat="1" ht="18.75" customHeight="1">
      <c r="A18" s="2046">
        <v>15</v>
      </c>
      <c r="B18" s="2046" t="s">
        <v>6</v>
      </c>
      <c r="C18" s="2054">
        <v>43191</v>
      </c>
      <c r="D18" s="2046" t="s">
        <v>7</v>
      </c>
      <c r="E18" s="2055">
        <v>366</v>
      </c>
      <c r="F18" s="2046">
        <v>1</v>
      </c>
      <c r="G18" s="2046">
        <v>34.6</v>
      </c>
      <c r="H18" s="2046" t="s">
        <v>25</v>
      </c>
      <c r="I18" s="2056">
        <v>22000</v>
      </c>
      <c r="J18" s="2067">
        <v>5017000</v>
      </c>
      <c r="K18" s="2046" t="s">
        <v>8</v>
      </c>
      <c r="L18" s="2046" t="s">
        <v>26</v>
      </c>
      <c r="M18" s="2046" t="s">
        <v>286</v>
      </c>
      <c r="N18" s="2046" t="s">
        <v>18</v>
      </c>
      <c r="O18" s="2049"/>
      <c r="P18" s="62" t="s">
        <v>17</v>
      </c>
      <c r="Q18" s="2057" t="s">
        <v>2464</v>
      </c>
      <c r="R18" s="2051"/>
      <c r="S18" s="2046"/>
      <c r="T18" s="2046" t="s">
        <v>8</v>
      </c>
      <c r="U18" s="2046" t="s">
        <v>8</v>
      </c>
      <c r="V18" s="2052">
        <f>Март25515253[[#This Row],[сумма]]-Март25515253[[#This Row],[Цена м2 отделки]]*Март25515253[[#This Row],[м2]]</f>
        <v>4255800</v>
      </c>
    </row>
    <row r="19" spans="1:22" s="2053" customFormat="1">
      <c r="A19" s="2046">
        <v>16</v>
      </c>
      <c r="B19" s="2046"/>
      <c r="C19" s="2054">
        <v>44779</v>
      </c>
      <c r="D19" s="2046" t="s">
        <v>13</v>
      </c>
      <c r="E19" s="2055">
        <v>101</v>
      </c>
      <c r="F19" s="2046">
        <v>2</v>
      </c>
      <c r="G19" s="2046">
        <v>59.09</v>
      </c>
      <c r="H19" s="2046" t="s">
        <v>9</v>
      </c>
      <c r="I19" s="2046"/>
      <c r="J19" s="2067">
        <v>6716398</v>
      </c>
      <c r="K19" s="2046" t="s">
        <v>24</v>
      </c>
      <c r="L19" s="2046" t="s">
        <v>22</v>
      </c>
      <c r="M19" s="2046" t="s">
        <v>583</v>
      </c>
      <c r="N19" s="2046" t="s">
        <v>18</v>
      </c>
      <c r="O19" s="2049">
        <v>45834</v>
      </c>
      <c r="P19" s="62" t="s">
        <v>17</v>
      </c>
      <c r="Q19" s="2057" t="s">
        <v>2465</v>
      </c>
      <c r="R19" s="2051"/>
      <c r="S19" s="2051"/>
      <c r="T19" s="2046" t="s">
        <v>24</v>
      </c>
      <c r="U19" s="2046" t="s">
        <v>24</v>
      </c>
      <c r="V19" s="2052">
        <f>Март25515253[[#This Row],[сумма]]-Март25515253[[#This Row],[Цена м2 отделки]]*Март25515253[[#This Row],[м2]]</f>
        <v>6716398</v>
      </c>
    </row>
    <row r="20" spans="1:22" s="2053" customFormat="1">
      <c r="A20" s="2046">
        <v>17</v>
      </c>
      <c r="B20" s="2046"/>
      <c r="C20" s="2054">
        <v>45283</v>
      </c>
      <c r="D20" s="2046" t="s">
        <v>13</v>
      </c>
      <c r="E20" s="2055">
        <v>97</v>
      </c>
      <c r="F20" s="2046">
        <v>1</v>
      </c>
      <c r="G20" s="2046">
        <v>42.75</v>
      </c>
      <c r="H20" s="2048" t="s">
        <v>21</v>
      </c>
      <c r="I20" s="2222">
        <v>10000</v>
      </c>
      <c r="J20" s="2068">
        <v>5850700</v>
      </c>
      <c r="K20" s="2046"/>
      <c r="L20" s="2046" t="s">
        <v>22</v>
      </c>
      <c r="M20" s="2046" t="s">
        <v>583</v>
      </c>
      <c r="N20" s="2046" t="s">
        <v>18</v>
      </c>
      <c r="O20" s="2049">
        <v>45835</v>
      </c>
      <c r="P20" s="62" t="s">
        <v>17</v>
      </c>
      <c r="Q20" s="2057" t="s">
        <v>2466</v>
      </c>
      <c r="R20" s="2051"/>
      <c r="S20" s="2051"/>
      <c r="T20" s="2046" t="s">
        <v>1884</v>
      </c>
      <c r="U20" s="2046" t="s">
        <v>1884</v>
      </c>
      <c r="V20" s="2052">
        <f>Март25515253[[#This Row],[сумма]]-Март25515253[[#This Row],[Цена м2 отделки]]*Март25515253[[#This Row],[м2]]</f>
        <v>5423200</v>
      </c>
    </row>
    <row r="21" spans="1:22" s="2053" customFormat="1">
      <c r="A21" s="2046">
        <v>18</v>
      </c>
      <c r="B21" s="2046" t="s">
        <v>6</v>
      </c>
      <c r="C21" s="2047">
        <v>45640</v>
      </c>
      <c r="D21" s="2046" t="s">
        <v>13</v>
      </c>
      <c r="E21" s="2046">
        <v>166</v>
      </c>
      <c r="F21" s="2047">
        <v>1</v>
      </c>
      <c r="G21" s="2046">
        <v>42.28</v>
      </c>
      <c r="H21" s="2048" t="s">
        <v>25</v>
      </c>
      <c r="I21" s="2056">
        <v>25000</v>
      </c>
      <c r="J21" s="2068">
        <v>6560460</v>
      </c>
      <c r="K21" s="2046" t="s">
        <v>8</v>
      </c>
      <c r="L21" s="2046" t="s">
        <v>26</v>
      </c>
      <c r="M21" s="2046" t="s">
        <v>583</v>
      </c>
      <c r="N21" s="2046" t="s">
        <v>18</v>
      </c>
      <c r="O21" s="2049">
        <v>45828</v>
      </c>
      <c r="P21" s="62" t="s">
        <v>17</v>
      </c>
      <c r="Q21" s="2050" t="s">
        <v>2467</v>
      </c>
      <c r="R21" s="2051"/>
      <c r="S21" s="2051"/>
      <c r="T21" s="2046" t="s">
        <v>8</v>
      </c>
      <c r="U21" s="2046" t="s">
        <v>8</v>
      </c>
      <c r="V21" s="2052">
        <f>Март25515253[[#This Row],[сумма]]-Март25515253[[#This Row],[Цена м2 отделки]]*Март25515253[[#This Row],[м2]]</f>
        <v>5503460</v>
      </c>
    </row>
    <row r="22" spans="1:22" s="2053" customFormat="1" ht="14.25" customHeight="1">
      <c r="A22" s="2046">
        <v>19</v>
      </c>
      <c r="B22" s="2046" t="s">
        <v>6</v>
      </c>
      <c r="C22" s="2054">
        <v>41612</v>
      </c>
      <c r="D22" s="2046" t="s">
        <v>13</v>
      </c>
      <c r="E22" s="2055">
        <v>17</v>
      </c>
      <c r="F22" s="2046">
        <v>2</v>
      </c>
      <c r="G22" s="2046">
        <v>59.09</v>
      </c>
      <c r="H22" s="2048" t="s">
        <v>9</v>
      </c>
      <c r="I22" s="2048"/>
      <c r="J22" s="2068">
        <v>6795350</v>
      </c>
      <c r="K22" s="2046" t="s">
        <v>2468</v>
      </c>
      <c r="L22" s="2046" t="s">
        <v>26</v>
      </c>
      <c r="M22" s="2046" t="s">
        <v>583</v>
      </c>
      <c r="N22" s="2046" t="s">
        <v>18</v>
      </c>
      <c r="O22" s="2049">
        <v>45805</v>
      </c>
      <c r="P22" s="62" t="s">
        <v>17</v>
      </c>
      <c r="Q22" s="2057" t="s">
        <v>2469</v>
      </c>
      <c r="R22" s="2051"/>
      <c r="S22" s="2051"/>
      <c r="T22" s="2046" t="s">
        <v>8</v>
      </c>
      <c r="U22" s="2046" t="s">
        <v>8</v>
      </c>
      <c r="V22" s="2052">
        <f>Март25515253[[#This Row],[сумма]]-Март25515253[[#This Row],[Цена м2 отделки]]*Март25515253[[#This Row],[м2]]</f>
        <v>6795350</v>
      </c>
    </row>
    <row r="23" spans="1:22" s="2053" customFormat="1">
      <c r="A23" s="2046">
        <v>20</v>
      </c>
      <c r="B23" s="2046"/>
      <c r="C23" s="2047">
        <v>43710</v>
      </c>
      <c r="D23" s="2046" t="s">
        <v>13</v>
      </c>
      <c r="E23" s="2046">
        <v>248</v>
      </c>
      <c r="F23" s="2047">
        <v>3</v>
      </c>
      <c r="G23" s="2046">
        <v>80.97</v>
      </c>
      <c r="H23" s="2059" t="s">
        <v>25</v>
      </c>
      <c r="I23" s="2056">
        <v>25000</v>
      </c>
      <c r="J23" s="2068">
        <v>10769010</v>
      </c>
      <c r="K23" s="2046" t="s">
        <v>24</v>
      </c>
      <c r="L23" s="2059" t="s">
        <v>26</v>
      </c>
      <c r="M23" s="2059" t="s">
        <v>286</v>
      </c>
      <c r="N23" s="2059" t="s">
        <v>18</v>
      </c>
      <c r="O23" s="2049">
        <v>45833</v>
      </c>
      <c r="P23" s="62" t="s">
        <v>17</v>
      </c>
      <c r="Q23" s="2050" t="s">
        <v>2470</v>
      </c>
      <c r="R23" s="2051"/>
      <c r="S23" s="2051"/>
      <c r="T23" s="2046" t="s">
        <v>24</v>
      </c>
      <c r="U23" s="2046" t="s">
        <v>14</v>
      </c>
      <c r="V23" s="2052">
        <f>Март25515253[[#This Row],[сумма]]-Март25515253[[#This Row],[Цена м2 отделки]]*Март25515253[[#This Row],[м2]]</f>
        <v>8744760</v>
      </c>
    </row>
    <row r="24" spans="1:22" s="2053" customFormat="1">
      <c r="A24" s="2046">
        <v>21</v>
      </c>
      <c r="B24" s="2046"/>
      <c r="C24" s="2054">
        <v>30031</v>
      </c>
      <c r="D24" s="2046" t="s">
        <v>13</v>
      </c>
      <c r="E24" s="2055">
        <v>363</v>
      </c>
      <c r="F24" s="2047">
        <v>0</v>
      </c>
      <c r="G24" s="2046">
        <v>24.53</v>
      </c>
      <c r="H24" s="2046" t="s">
        <v>21</v>
      </c>
      <c r="I24" s="2092">
        <v>10000</v>
      </c>
      <c r="J24" s="2067">
        <v>3753090</v>
      </c>
      <c r="K24" s="2223"/>
      <c r="L24" s="2046" t="s">
        <v>22</v>
      </c>
      <c r="M24" s="2046" t="s">
        <v>583</v>
      </c>
      <c r="N24" s="2046" t="s">
        <v>18</v>
      </c>
      <c r="O24" s="2049">
        <v>45835</v>
      </c>
      <c r="P24" s="62" t="s">
        <v>17</v>
      </c>
      <c r="Q24" s="2221"/>
      <c r="R24" s="2051"/>
      <c r="S24" s="2051" t="s">
        <v>11371</v>
      </c>
      <c r="T24" s="2046" t="s">
        <v>1884</v>
      </c>
      <c r="U24" s="2046" t="s">
        <v>1884</v>
      </c>
      <c r="V24" s="2052">
        <f>Март25515253[[#This Row],[сумма]]-Март25515253[[#This Row],[Цена м2 отделки]]*Март25515253[[#This Row],[м2]]</f>
        <v>3507790</v>
      </c>
    </row>
    <row r="25" spans="1:22" s="2053" customFormat="1">
      <c r="A25" s="2046">
        <v>22</v>
      </c>
      <c r="B25" s="2046"/>
      <c r="C25" s="2224">
        <v>45809</v>
      </c>
      <c r="D25" s="2046" t="s">
        <v>13</v>
      </c>
      <c r="E25" s="2055">
        <v>149</v>
      </c>
      <c r="F25" s="2047">
        <v>2</v>
      </c>
      <c r="G25" s="2046">
        <v>58.31</v>
      </c>
      <c r="H25" s="2046" t="s">
        <v>9</v>
      </c>
      <c r="I25" s="2092"/>
      <c r="J25" s="2067">
        <v>6800000</v>
      </c>
      <c r="K25" s="2046" t="s">
        <v>43</v>
      </c>
      <c r="L25" s="2046" t="s">
        <v>26</v>
      </c>
      <c r="M25" s="2046" t="s">
        <v>583</v>
      </c>
      <c r="N25" s="2046" t="s">
        <v>18</v>
      </c>
      <c r="O25" s="2049">
        <v>45835</v>
      </c>
      <c r="P25" s="62" t="s">
        <v>17</v>
      </c>
      <c r="Q25" s="2225"/>
      <c r="R25" s="2051"/>
      <c r="S25" s="2051" t="s">
        <v>11431</v>
      </c>
      <c r="T25" s="2046" t="s">
        <v>24</v>
      </c>
      <c r="U25" s="2046" t="s">
        <v>24</v>
      </c>
      <c r="V25" s="2052">
        <f>Март25515253[[#This Row],[сумма]]-Март25515253[[#This Row],[Цена м2 отделки]]*Март25515253[[#This Row],[м2]]</f>
        <v>6800000</v>
      </c>
    </row>
    <row r="26" spans="1:22" s="2053" customFormat="1">
      <c r="A26" s="2046">
        <v>23</v>
      </c>
      <c r="B26" s="2046"/>
      <c r="C26" s="2217">
        <v>43244</v>
      </c>
      <c r="D26" s="2046" t="s">
        <v>13</v>
      </c>
      <c r="E26" s="2046">
        <v>279</v>
      </c>
      <c r="F26" s="2047">
        <v>0</v>
      </c>
      <c r="G26" s="2046">
        <v>24.53</v>
      </c>
      <c r="H26" s="2059" t="s">
        <v>25</v>
      </c>
      <c r="I26" s="2092">
        <v>25000</v>
      </c>
      <c r="J26" s="2067">
        <v>4121040</v>
      </c>
      <c r="K26" s="2046" t="s">
        <v>20</v>
      </c>
      <c r="L26" s="2059" t="s">
        <v>22</v>
      </c>
      <c r="M26" s="2059" t="s">
        <v>583</v>
      </c>
      <c r="N26" s="2059" t="s">
        <v>18</v>
      </c>
      <c r="O26" s="2049">
        <v>45838</v>
      </c>
      <c r="P26" s="62" t="s">
        <v>17</v>
      </c>
      <c r="Q26" s="2050" t="s">
        <v>11437</v>
      </c>
      <c r="R26" s="2051"/>
      <c r="S26" s="2051"/>
      <c r="T26" s="2046" t="s">
        <v>20</v>
      </c>
      <c r="U26" s="2046" t="s">
        <v>20</v>
      </c>
      <c r="V26" s="2052">
        <f>Март25515253[[#This Row],[сумма]]-Март25515253[[#This Row],[Цена м2 отделки]]*Март25515253[[#This Row],[м2]]</f>
        <v>3507790</v>
      </c>
    </row>
    <row r="27" spans="1:22" s="2053" customFormat="1">
      <c r="A27" s="2046">
        <v>24</v>
      </c>
      <c r="B27" s="2046"/>
      <c r="C27" s="2092">
        <v>39043</v>
      </c>
      <c r="D27" s="2046" t="s">
        <v>13</v>
      </c>
      <c r="E27" s="2046">
        <v>186</v>
      </c>
      <c r="F27" s="2046">
        <v>3</v>
      </c>
      <c r="G27" s="2046">
        <v>84.99</v>
      </c>
      <c r="H27" s="2046" t="s">
        <v>9</v>
      </c>
      <c r="I27" s="2046"/>
      <c r="J27" s="2067">
        <v>8500000</v>
      </c>
      <c r="K27" s="2046" t="s">
        <v>24</v>
      </c>
      <c r="L27" s="2046" t="s">
        <v>26</v>
      </c>
      <c r="M27" s="2046" t="s">
        <v>583</v>
      </c>
      <c r="N27" s="2046" t="s">
        <v>18</v>
      </c>
      <c r="O27" s="2218"/>
      <c r="P27" s="62" t="s">
        <v>17</v>
      </c>
      <c r="Q27" s="2046" t="s">
        <v>11432</v>
      </c>
      <c r="T27" s="2046" t="s">
        <v>24</v>
      </c>
      <c r="U27" s="2046" t="s">
        <v>24</v>
      </c>
      <c r="V27" s="2052">
        <f>Март25515253[[#This Row],[сумма]]-Март25515253[[#This Row],[Цена м2 отделки]]*Март25515253[[#This Row],[м2]]</f>
        <v>8500000</v>
      </c>
    </row>
    <row r="28" spans="1:22" s="2053" customFormat="1" ht="11.25" customHeight="1">
      <c r="A28" s="2046">
        <v>25</v>
      </c>
      <c r="B28" s="2046" t="s">
        <v>6</v>
      </c>
      <c r="C28" s="2046">
        <v>45247</v>
      </c>
      <c r="D28" s="2046" t="s">
        <v>13</v>
      </c>
      <c r="E28" s="2046">
        <v>525</v>
      </c>
      <c r="F28" s="2046">
        <v>0</v>
      </c>
      <c r="G28" s="2046">
        <v>29.4</v>
      </c>
      <c r="H28" s="2046" t="s">
        <v>25</v>
      </c>
      <c r="I28" s="2092">
        <v>25000</v>
      </c>
      <c r="J28" s="2067">
        <v>4576200</v>
      </c>
      <c r="K28" s="2046" t="s">
        <v>37</v>
      </c>
      <c r="L28" s="2046" t="s">
        <v>22</v>
      </c>
      <c r="M28" s="2046" t="s">
        <v>583</v>
      </c>
      <c r="N28" s="2046" t="s">
        <v>18</v>
      </c>
      <c r="O28" s="2049"/>
      <c r="P28" s="62" t="s">
        <v>17</v>
      </c>
      <c r="Q28" s="2046" t="s">
        <v>11436</v>
      </c>
      <c r="R28" s="2051"/>
      <c r="S28" s="2051"/>
      <c r="T28" s="2059" t="s">
        <v>8</v>
      </c>
      <c r="U28" s="2059" t="s">
        <v>8</v>
      </c>
      <c r="V28" s="2052">
        <f>Март25515253[[#This Row],[сумма]]-Март25515253[[#This Row],[Цена м2 отделки]]*Март25515253[[#This Row],[м2]]</f>
        <v>3841200</v>
      </c>
    </row>
    <row r="29" spans="1:22" s="2053" customFormat="1">
      <c r="A29" s="2046">
        <v>26</v>
      </c>
      <c r="B29" s="2046"/>
      <c r="C29" s="2055">
        <v>45786</v>
      </c>
      <c r="D29" s="2046" t="s">
        <v>13</v>
      </c>
      <c r="E29" s="2055">
        <v>94</v>
      </c>
      <c r="F29" s="2046">
        <v>2</v>
      </c>
      <c r="G29" s="2046">
        <v>59.09</v>
      </c>
      <c r="H29" s="2046" t="s">
        <v>25</v>
      </c>
      <c r="I29" s="2092">
        <v>25000</v>
      </c>
      <c r="J29" s="2067">
        <v>8272600</v>
      </c>
      <c r="K29" s="2059" t="s">
        <v>28</v>
      </c>
      <c r="L29" s="2046" t="s">
        <v>22</v>
      </c>
      <c r="M29" s="2046" t="s">
        <v>286</v>
      </c>
      <c r="N29" s="2046" t="s">
        <v>18</v>
      </c>
      <c r="O29" s="2049">
        <v>45836</v>
      </c>
      <c r="P29" s="62" t="s">
        <v>17</v>
      </c>
      <c r="Q29" s="2046" t="s">
        <v>11438</v>
      </c>
      <c r="R29" s="2048"/>
      <c r="S29" s="2048"/>
      <c r="T29" s="2059" t="s">
        <v>28</v>
      </c>
      <c r="U29" s="2059" t="s">
        <v>28</v>
      </c>
      <c r="V29" s="2052">
        <f>Март25515253[[#This Row],[сумма]]-Март25515253[[#This Row],[Цена м2 отделки]]*Март25515253[[#This Row],[м2]]</f>
        <v>6795350</v>
      </c>
    </row>
    <row r="30" spans="1:22" s="2053" customFormat="1">
      <c r="A30" s="2046">
        <v>27</v>
      </c>
      <c r="B30" s="2046" t="s">
        <v>6</v>
      </c>
      <c r="C30" s="2224">
        <v>45561</v>
      </c>
      <c r="D30" s="2050" t="s">
        <v>23</v>
      </c>
      <c r="E30" s="2055">
        <v>146</v>
      </c>
      <c r="F30" s="2047">
        <v>1</v>
      </c>
      <c r="G30" s="2055">
        <v>36.630000000000003</v>
      </c>
      <c r="H30" s="2048" t="s">
        <v>9</v>
      </c>
      <c r="I30" s="2046"/>
      <c r="J30" s="2067">
        <v>4611488</v>
      </c>
      <c r="K30" s="2046" t="s">
        <v>2468</v>
      </c>
      <c r="L30" s="2046" t="s">
        <v>22</v>
      </c>
      <c r="M30" s="2046" t="s">
        <v>286</v>
      </c>
      <c r="N30" s="2046" t="s">
        <v>18</v>
      </c>
      <c r="O30" s="2049">
        <v>45838</v>
      </c>
      <c r="P30" s="62" t="s">
        <v>17</v>
      </c>
      <c r="Q30" s="2046" t="s">
        <v>11492</v>
      </c>
      <c r="R30" s="2051"/>
      <c r="S30" s="2051"/>
      <c r="T30" s="2059" t="s">
        <v>1884</v>
      </c>
      <c r="U30" s="2059" t="s">
        <v>1884</v>
      </c>
      <c r="V30" s="2052">
        <f>Март25515253[[#This Row],[сумма]]-Март25515253[[#This Row],[Цена м2 отделки]]*Март25515253[[#This Row],[м2]]</f>
        <v>4611488</v>
      </c>
    </row>
    <row r="31" spans="1:22" s="61" customFormat="1">
      <c r="A31" s="65"/>
      <c r="B31" s="65"/>
      <c r="C31" s="79"/>
      <c r="D31" s="65"/>
      <c r="E31" s="79"/>
      <c r="F31" s="87"/>
      <c r="G31" s="79"/>
      <c r="H31" s="65"/>
      <c r="I31" s="72"/>
      <c r="J31" s="2063"/>
      <c r="K31" s="65"/>
      <c r="L31" s="65"/>
      <c r="M31" s="65"/>
      <c r="N31" s="65"/>
      <c r="O31" s="98"/>
      <c r="P31" s="65"/>
      <c r="Q31" s="65"/>
      <c r="R31" s="118"/>
      <c r="S31" s="118"/>
      <c r="T31" s="65"/>
      <c r="U31" s="65"/>
      <c r="V31" s="115">
        <f>Март25515253[[#This Row],[сумма]]-Март25515253[[#This Row],[Цена м2 отделки]]*Март25515253[[#This Row],[м2]]</f>
        <v>0</v>
      </c>
    </row>
    <row r="32" spans="1:22" s="61" customFormat="1">
      <c r="A32" s="65"/>
      <c r="B32" s="65"/>
      <c r="C32" s="79"/>
      <c r="D32" s="65"/>
      <c r="E32" s="79"/>
      <c r="F32" s="65"/>
      <c r="G32" s="65"/>
      <c r="H32" s="65"/>
      <c r="I32" s="65"/>
      <c r="J32" s="2070"/>
      <c r="K32" s="80"/>
      <c r="L32" s="65"/>
      <c r="M32" s="65"/>
      <c r="N32" s="65"/>
      <c r="O32" s="98"/>
      <c r="P32" s="80"/>
      <c r="Q32" s="65"/>
      <c r="R32" s="118"/>
      <c r="S32" s="118"/>
      <c r="T32" s="80"/>
      <c r="U32" s="80"/>
      <c r="V32" s="115">
        <f>Март25515253[[#This Row],[сумма]]-Март25515253[[#This Row],[Цена м2 отделки]]*Март25515253[[#This Row],[м2]]</f>
        <v>0</v>
      </c>
    </row>
    <row r="33" spans="1:22" s="61" customFormat="1">
      <c r="A33" s="65"/>
      <c r="B33" s="65"/>
      <c r="C33" s="78"/>
      <c r="D33" s="65"/>
      <c r="E33" s="79"/>
      <c r="F33" s="65"/>
      <c r="G33" s="65"/>
      <c r="H33" s="65"/>
      <c r="I33" s="65"/>
      <c r="J33" s="2063"/>
      <c r="K33" s="80"/>
      <c r="L33" s="65"/>
      <c r="M33" s="107"/>
      <c r="N33" s="65"/>
      <c r="O33" s="98"/>
      <c r="P33" s="80"/>
      <c r="Q33" s="65"/>
      <c r="R33" s="118"/>
      <c r="S33" s="131"/>
      <c r="T33" s="80"/>
      <c r="U33" s="80"/>
      <c r="V33" s="115">
        <f>Март25515253[[#This Row],[сумма]]-Март25515253[[#This Row],[Цена м2 отделки]]*Март25515253[[#This Row],[м2]]</f>
        <v>0</v>
      </c>
    </row>
    <row r="34" spans="1:22" s="61" customFormat="1">
      <c r="A34" s="65"/>
      <c r="B34" s="65"/>
      <c r="C34" s="77"/>
      <c r="D34" s="65"/>
      <c r="E34" s="65"/>
      <c r="F34" s="65"/>
      <c r="G34" s="79"/>
      <c r="H34" s="65"/>
      <c r="I34" s="65"/>
      <c r="J34" s="2063"/>
      <c r="K34" s="65"/>
      <c r="L34" s="65"/>
      <c r="M34" s="65"/>
      <c r="N34" s="65"/>
      <c r="O34" s="98"/>
      <c r="P34" s="80"/>
      <c r="Q34" s="65"/>
      <c r="R34" s="86"/>
      <c r="S34" s="86"/>
      <c r="T34" s="80"/>
      <c r="U34" s="80"/>
      <c r="V34" s="115">
        <f>Март25515253[[#This Row],[сумма]]-Март25515253[[#This Row],[Цена м2 отделки]]*Март25515253[[#This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206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115">
        <f>Март25515253[[#This Row],[сумма]]-Март25515253[[#This Row],[Цена м2 отделки]]*Март25515253[[#This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206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115">
        <f>Март25515253[[#This Row],[сумма]]-Март25515253[[#This Row],[Цена м2 отделки]]*Март25515253[[#This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2063"/>
      <c r="K37" s="80"/>
      <c r="L37" s="65"/>
      <c r="M37" s="65"/>
      <c r="N37" s="65"/>
      <c r="O37" s="98"/>
      <c r="P37" s="80"/>
      <c r="Q37" s="65"/>
      <c r="R37" s="118"/>
      <c r="S37" s="118"/>
      <c r="T37" s="80"/>
      <c r="U37" s="80"/>
      <c r="V37" s="115">
        <f>Март25515253[[#This Row],[сумма]]-Март25515253[[#This Row],[Цена м2 отделки]]*Март25515253[[#This Row],[м2]]</f>
        <v>0</v>
      </c>
    </row>
    <row r="38" spans="1:22" s="61" customFormat="1">
      <c r="A38" s="65"/>
      <c r="B38" s="65"/>
      <c r="C38" s="79"/>
      <c r="D38" s="65"/>
      <c r="E38" s="79"/>
      <c r="F38" s="65"/>
      <c r="G38" s="65"/>
      <c r="H38" s="65"/>
      <c r="I38" s="65"/>
      <c r="J38" s="2063"/>
      <c r="K38" s="80"/>
      <c r="L38" s="65"/>
      <c r="M38" s="65"/>
      <c r="N38" s="108"/>
      <c r="O38" s="98"/>
      <c r="P38" s="80"/>
      <c r="Q38" s="65"/>
      <c r="R38" s="86"/>
      <c r="S38" s="118"/>
      <c r="T38" s="80"/>
      <c r="U38" s="80"/>
      <c r="V38" s="115">
        <f>Март25515253[[#This Row],[сумма]]-Март25515253[[#This Row],[Цена м2 отделки]]*Март25515253[[#This Row],[м2]]</f>
        <v>0</v>
      </c>
    </row>
    <row r="39" spans="1:22" s="61" customFormat="1">
      <c r="A39" s="65"/>
      <c r="B39" s="65"/>
      <c r="C39" s="78"/>
      <c r="D39" s="65"/>
      <c r="E39" s="79"/>
      <c r="F39" s="65"/>
      <c r="G39" s="65"/>
      <c r="H39" s="65"/>
      <c r="I39" s="65"/>
      <c r="J39" s="2063"/>
      <c r="K39" s="80"/>
      <c r="L39" s="65"/>
      <c r="M39" s="65"/>
      <c r="N39" s="65"/>
      <c r="O39" s="98"/>
      <c r="P39" s="80"/>
      <c r="Q39" s="65"/>
      <c r="R39" s="118"/>
      <c r="S39" s="118"/>
      <c r="T39" s="80"/>
      <c r="U39" s="80"/>
      <c r="V39" s="115">
        <f>Март25515253[[#This Row],[сумма]]-Март25515253[[#This Row],[Цена м2 отделки]]*Март25515253[[#This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2063"/>
      <c r="K40" s="65"/>
      <c r="L40" s="65"/>
      <c r="M40" s="65"/>
      <c r="N40" s="65"/>
      <c r="O40" s="98"/>
      <c r="P40" s="80"/>
      <c r="Q40" s="86"/>
      <c r="R40" s="118"/>
      <c r="S40" s="118"/>
      <c r="U40" s="65"/>
      <c r="V40" s="115">
        <f>Март25515253[[#This Row],[сумма]]-Март25515253[[#This Row],[Цена м2 отделки]]*Март25515253[[#This Row],[м2]]</f>
        <v>0</v>
      </c>
    </row>
    <row r="41" spans="1:22">
      <c r="A41" s="65"/>
      <c r="B41" s="65"/>
      <c r="C41" s="79"/>
      <c r="D41" s="65"/>
      <c r="E41" s="79"/>
      <c r="F41" s="65"/>
      <c r="G41" s="65"/>
      <c r="H41" s="65"/>
      <c r="I41" s="65"/>
      <c r="J41" s="206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115">
        <f>Март25515253[[#This Row],[сумма]]-Март25515253[[#This Row],[Цена м2 отделки]]*Март25515253[[#This Row],[м2]]</f>
        <v>0</v>
      </c>
    </row>
    <row r="42" spans="1:22">
      <c r="A42" s="65"/>
      <c r="B42" s="65"/>
      <c r="C42" s="78"/>
      <c r="D42" s="65"/>
      <c r="E42" s="79"/>
      <c r="F42" s="65"/>
      <c r="G42" s="65"/>
      <c r="H42" s="89"/>
      <c r="I42" s="89"/>
      <c r="J42" s="2063"/>
      <c r="K42" s="80"/>
      <c r="L42" s="65"/>
      <c r="M42" s="65"/>
      <c r="N42" s="65"/>
      <c r="O42" s="98"/>
      <c r="P42" s="80"/>
      <c r="Q42" s="65"/>
      <c r="R42" s="118"/>
      <c r="S42" s="118"/>
      <c r="T42" s="80"/>
      <c r="U42" s="80"/>
      <c r="V42" s="115">
        <f>Март25515253[[#This Row],[сумма]]-Март25515253[[#This Row],[Цена м2 отделки]]*Март25515253[[#This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206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115">
        <f>Март25515253[[#This Row],[сумма]]-Март25515253[[#This Row],[Цена м2 отделки]]*Март25515253[[#This Row],[м2]]</f>
        <v>0</v>
      </c>
    </row>
    <row r="44" spans="1:22">
      <c r="A44" s="65"/>
      <c r="B44" s="65"/>
      <c r="C44" s="79"/>
      <c r="D44" s="65"/>
      <c r="E44" s="79"/>
      <c r="F44" s="65"/>
      <c r="G44" s="65"/>
      <c r="H44" s="65"/>
      <c r="I44" s="65"/>
      <c r="J44" s="206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115">
        <f>Март25515253[[#This Row],[сумма]]-Март25515253[[#This Row],[Цена м2 отделки]]*Март25515253[[#This Row],[м2]]</f>
        <v>0</v>
      </c>
    </row>
    <row r="45" spans="1:22">
      <c r="A45" s="65"/>
      <c r="B45" s="65"/>
      <c r="C45" s="78"/>
      <c r="D45" s="65"/>
      <c r="E45" s="79"/>
      <c r="F45" s="65"/>
      <c r="G45" s="65"/>
      <c r="H45" s="65"/>
      <c r="I45" s="77"/>
      <c r="J45" s="206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115">
        <f>Март25515253[[#This Row],[сумма]]-Март25515253[[#This Row],[Цена м2 отделки]]*Март25515253[[#This Row],[м2]]</f>
        <v>0</v>
      </c>
    </row>
    <row r="46" spans="1:22">
      <c r="A46" s="65"/>
      <c r="B46" s="65"/>
      <c r="C46" s="79"/>
      <c r="D46" s="65"/>
      <c r="E46" s="79"/>
      <c r="F46" s="65"/>
      <c r="G46" s="65"/>
      <c r="H46" s="65"/>
      <c r="I46" s="65"/>
      <c r="J46" s="206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115">
        <f>Март25515253[[#This Row],[сумма]]-Март25515253[[#This Row],[Цена м2 отделки]]*Март25515253[[#This Row],[м2]]</f>
        <v>0</v>
      </c>
    </row>
    <row r="47" spans="1:22">
      <c r="A47" s="65"/>
      <c r="B47" s="65"/>
      <c r="C47" s="78"/>
      <c r="D47" s="65"/>
      <c r="E47" s="79"/>
      <c r="F47" s="65"/>
      <c r="G47" s="65"/>
      <c r="H47" s="65"/>
      <c r="I47" s="65"/>
      <c r="J47" s="2063"/>
      <c r="K47" s="80"/>
      <c r="L47" s="65"/>
      <c r="M47" s="65"/>
      <c r="N47" s="65"/>
      <c r="O47" s="98"/>
      <c r="P47" s="65"/>
      <c r="Q47" s="65"/>
      <c r="R47" s="118"/>
      <c r="S47" s="118"/>
      <c r="T47" s="80"/>
      <c r="U47" s="80"/>
      <c r="V47" s="115">
        <f>Март25515253[[#This Row],[сумма]]-Март25515253[[#This Row],[Цена м2 отделки]]*Март25515253[[#This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2063"/>
      <c r="K48" s="80"/>
      <c r="L48" s="65"/>
      <c r="M48" s="65"/>
      <c r="N48" s="65"/>
      <c r="O48" s="98"/>
      <c r="P48" s="80"/>
      <c r="Q48" s="86"/>
      <c r="R48" s="86"/>
      <c r="S48" s="86"/>
      <c r="T48" s="80"/>
      <c r="U48" s="80"/>
      <c r="V48" s="115">
        <f>Март25515253[[#This Row],[сумма]]-Март25515253[[#This Row],[Цена м2 отделки]]*Март25515253[[#This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80"/>
      <c r="I49" s="80"/>
      <c r="J49" s="206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115">
        <f>Март25515253[[#This Row],[сумма]]-Март25515253[[#This Row],[Цена м2 отделки]]*Март25515253[[#This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2063"/>
      <c r="K50" s="80"/>
      <c r="L50" s="65"/>
      <c r="M50" s="65"/>
      <c r="N50" s="65"/>
      <c r="O50" s="98"/>
      <c r="P50" s="80"/>
      <c r="Q50" s="65"/>
      <c r="R50" s="86"/>
      <c r="S50" s="86"/>
      <c r="T50" s="80"/>
      <c r="U50" s="80"/>
      <c r="V50" s="115">
        <f>Март25515253[[#This Row],[сумма]]-Март25515253[[#This Row],[Цена м2 отделки]]*Март25515253[[#This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2063"/>
      <c r="K51" s="80"/>
      <c r="L51" s="65"/>
      <c r="M51" s="65"/>
      <c r="N51" s="65"/>
      <c r="O51" s="98"/>
      <c r="P51" s="80"/>
      <c r="Q51" s="65"/>
      <c r="R51" s="118"/>
      <c r="S51" s="86"/>
      <c r="T51" s="80"/>
      <c r="U51" s="80"/>
      <c r="V51" s="115">
        <f>Март25515253[[#This Row],[сумма]]-Март25515253[[#This Row],[Цена м2 отделки]]*Март25515253[[#This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2063"/>
      <c r="K52" s="80"/>
      <c r="L52" s="65"/>
      <c r="M52" s="65"/>
      <c r="N52" s="108"/>
      <c r="O52" s="98"/>
      <c r="P52" s="80"/>
      <c r="Q52" s="65"/>
      <c r="R52" s="86"/>
      <c r="S52" s="86"/>
      <c r="T52" s="80"/>
      <c r="U52" s="80"/>
      <c r="V52" s="115">
        <f>Март25515253[[#This Row],[сумма]]-Март25515253[[#This Row],[Цена м2 отделки]]*Март25515253[[#This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2063"/>
      <c r="K53" s="80"/>
      <c r="L53" s="65"/>
      <c r="M53" s="65"/>
      <c r="N53" s="65"/>
      <c r="O53" s="98"/>
      <c r="P53" s="80"/>
      <c r="Q53" s="86"/>
      <c r="R53" s="86"/>
      <c r="S53" s="86"/>
      <c r="T53" s="80"/>
      <c r="U53" s="80"/>
      <c r="V53" s="115">
        <f>Март25515253[[#This Row],[сумма]]-Март25515253[[#This Row],[Цена м2 отделки]]*Март25515253[[#This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65"/>
      <c r="I54" s="65"/>
      <c r="J54" s="2063"/>
      <c r="K54" s="80"/>
      <c r="L54" s="65"/>
      <c r="M54" s="65"/>
      <c r="N54" s="65"/>
      <c r="O54" s="109"/>
      <c r="P54" s="80"/>
      <c r="Q54" s="86"/>
      <c r="R54" s="86"/>
      <c r="S54" s="86"/>
      <c r="T54" s="80"/>
      <c r="U54" s="80"/>
      <c r="V54" s="115">
        <f>Март25515253[[#This Row],[сумма]]-Март25515253[[#This Row],[Цена м2 отделки]]*Март25515253[[#This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86"/>
      <c r="I55" s="86"/>
      <c r="J55" s="2066"/>
      <c r="K55" s="80"/>
      <c r="L55" s="80"/>
      <c r="M55" s="80"/>
      <c r="N55" s="80"/>
      <c r="O55" s="109"/>
      <c r="P55" s="80"/>
      <c r="Q55" s="86"/>
      <c r="R55" s="86"/>
      <c r="S55" s="86"/>
      <c r="T55" s="80"/>
      <c r="U55" s="80"/>
      <c r="V55" s="115">
        <f>Март25515253[[#This Row],[сумма]]-Март25515253[[#This Row],[Цена м2 отделки]]*Март25515253[[#This Row],[м2]]</f>
        <v>0</v>
      </c>
    </row>
    <row r="56" spans="1:22">
      <c r="A56" s="65"/>
      <c r="B56" s="65"/>
      <c r="C56" s="79"/>
      <c r="D56" s="65"/>
      <c r="E56" s="79"/>
      <c r="F56" s="65"/>
      <c r="G56" s="65"/>
      <c r="H56" s="65"/>
      <c r="I56" s="65"/>
      <c r="J56" s="2063"/>
      <c r="K56" s="80"/>
      <c r="L56" s="65"/>
      <c r="M56" s="65"/>
      <c r="N56" s="65"/>
      <c r="O56" s="109"/>
      <c r="P56" s="80"/>
      <c r="Q56" s="65"/>
      <c r="R56" s="118"/>
      <c r="S56" s="86"/>
      <c r="T56" s="80"/>
      <c r="U56" s="80"/>
      <c r="V56" s="115">
        <f>Март25515253[[#This Row],[сумма]]-Март25515253[[#This Row],[Цена м2 отделки]]*Март25515253[[#This Row],[м2]]</f>
        <v>0</v>
      </c>
    </row>
    <row r="57" spans="1:22">
      <c r="A57" s="65"/>
      <c r="B57" s="65"/>
      <c r="C57" s="78"/>
      <c r="D57" s="65"/>
      <c r="E57" s="79"/>
      <c r="F57" s="65"/>
      <c r="G57" s="65"/>
      <c r="H57" s="65"/>
      <c r="I57" s="65"/>
      <c r="J57" s="2063"/>
      <c r="K57" s="80"/>
      <c r="L57" s="65"/>
      <c r="M57" s="65"/>
      <c r="N57" s="65"/>
      <c r="O57" s="98"/>
      <c r="P57" s="80"/>
      <c r="Q57" s="65"/>
      <c r="R57" s="118"/>
      <c r="S57" s="118"/>
      <c r="T57" s="80"/>
      <c r="U57" s="80"/>
      <c r="V57" s="115">
        <f>Март25515253[[#This Row],[сумма]]-Март25515253[[#This Row],[Цена м2 отделки]]*Март25515253[[#This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2063"/>
      <c r="K58" s="80"/>
      <c r="L58" s="65"/>
      <c r="M58" s="65"/>
      <c r="N58" s="65"/>
      <c r="O58" s="98"/>
      <c r="P58" s="80"/>
      <c r="Q58" s="65"/>
      <c r="R58" s="118"/>
      <c r="S58" s="86"/>
      <c r="T58" s="80"/>
      <c r="U58" s="80"/>
      <c r="V58" s="115">
        <f>Март25515253[[#This Row],[сумма]]-Март25515253[[#This Row],[Цена м2 отделки]]*Март25515253[[#This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65"/>
      <c r="J59" s="2063"/>
      <c r="K59" s="65"/>
      <c r="L59" s="65"/>
      <c r="M59" s="65"/>
      <c r="N59" s="65"/>
      <c r="O59" s="98"/>
      <c r="P59" s="65"/>
      <c r="Q59" s="65"/>
      <c r="R59" s="86"/>
      <c r="S59" s="86"/>
      <c r="U59" s="65"/>
      <c r="V59" s="115">
        <f>Март25515253[[#This Row],[сумма]]-Март25515253[[#This Row],[Цена м2 отделки]]*Март25515253[[#This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72"/>
      <c r="J60" s="2063"/>
      <c r="K60" s="80"/>
      <c r="L60" s="65"/>
      <c r="M60" s="65"/>
      <c r="N60" s="65"/>
      <c r="O60" s="110"/>
      <c r="P60" s="65"/>
      <c r="Q60" s="72"/>
      <c r="R60" s="118"/>
      <c r="S60" s="118"/>
      <c r="T60" s="80"/>
      <c r="U60" s="80"/>
      <c r="V60" s="115">
        <f>Март25515253[[#This Row],[сумма]]-Март25515253[[#This Row],[Цена м2 отделки]]*Март25515253[[#This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65"/>
      <c r="J61" s="2063"/>
      <c r="K61" s="80"/>
      <c r="L61" s="65"/>
      <c r="M61" s="65"/>
      <c r="N61" s="65"/>
      <c r="O61" s="98"/>
      <c r="P61" s="65"/>
      <c r="Q61" s="65"/>
      <c r="R61" s="118"/>
      <c r="S61" s="118"/>
      <c r="T61" s="80"/>
      <c r="U61" s="80"/>
      <c r="V61" s="115">
        <f>Март25515253[[#This Row],[сумма]]-Март25515253[[#This Row],[Цена м2 отделки]]*Март25515253[[#This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2063"/>
      <c r="K62" s="80"/>
      <c r="L62" s="65"/>
      <c r="M62" s="65"/>
      <c r="N62" s="65"/>
      <c r="O62" s="98"/>
      <c r="P62" s="65"/>
      <c r="Q62" s="65"/>
      <c r="R62" s="118"/>
      <c r="S62" s="86"/>
      <c r="T62" s="80"/>
      <c r="U62" s="80"/>
      <c r="V62" s="115">
        <f>Март25515253[[#This Row],[сумма]]-Март25515253[[#This Row],[Цена м2 отделки]]*Март25515253[[#This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72"/>
      <c r="J63" s="2063"/>
      <c r="K63" s="80"/>
      <c r="L63" s="65"/>
      <c r="M63" s="65"/>
      <c r="N63" s="65"/>
      <c r="O63" s="110"/>
      <c r="P63" s="65"/>
      <c r="Q63" s="65"/>
      <c r="R63" s="118"/>
      <c r="S63" s="118"/>
      <c r="T63" s="80"/>
      <c r="U63" s="80"/>
      <c r="V63" s="115">
        <f>Март25515253[[#This Row],[сумма]]-Март25515253[[#This Row],[Цена м2 отделки]]*Март25515253[[#This Row],[м2]]</f>
        <v>0</v>
      </c>
    </row>
    <row r="64" spans="1:22">
      <c r="A64" s="65"/>
      <c r="B64" s="65"/>
      <c r="C64" s="79"/>
      <c r="D64" s="65"/>
      <c r="E64" s="79"/>
      <c r="F64" s="65"/>
      <c r="G64" s="65"/>
      <c r="H64" s="65"/>
      <c r="I64" s="65"/>
      <c r="J64" s="2063"/>
      <c r="K64" s="65"/>
      <c r="L64" s="65"/>
      <c r="M64" s="65"/>
      <c r="N64" s="65"/>
      <c r="O64" s="98"/>
      <c r="P64" s="65"/>
      <c r="Q64" s="65"/>
      <c r="R64" s="118"/>
      <c r="S64" s="118"/>
      <c r="U64" s="65"/>
      <c r="V64" s="115">
        <f>Март25515253[[#This Row],[сумма]]-Март25515253[[#This Row],[Цена м2 отделки]]*Март25515253[[#This Row],[м2]]</f>
        <v>0</v>
      </c>
    </row>
    <row r="65" spans="1:27">
      <c r="A65" s="65"/>
      <c r="B65" s="87"/>
      <c r="C65" s="65"/>
      <c r="D65" s="65"/>
      <c r="E65" s="87"/>
      <c r="F65" s="65"/>
      <c r="G65" s="65"/>
      <c r="H65" s="72"/>
      <c r="I65" s="105"/>
      <c r="J65" s="2069"/>
      <c r="K65" s="65"/>
      <c r="L65" s="65"/>
      <c r="M65" s="65"/>
      <c r="N65" s="98"/>
      <c r="O65" s="65"/>
      <c r="P65" s="65"/>
      <c r="Q65" s="65"/>
      <c r="R65" s="65"/>
      <c r="S65" s="65"/>
      <c r="T65" s="93"/>
    </row>
    <row r="66" spans="1:27">
      <c r="A66" s="65"/>
      <c r="B66" s="87"/>
      <c r="C66" s="65"/>
      <c r="D66" s="65"/>
      <c r="E66" s="65"/>
      <c r="F66" s="65"/>
      <c r="G66" s="65"/>
      <c r="H66" s="65"/>
      <c r="I66" s="65"/>
      <c r="L66" s="65"/>
      <c r="M66" s="65"/>
      <c r="N66" s="98"/>
      <c r="O66" s="65"/>
    </row>
    <row r="67" spans="1:27" s="65" customFormat="1">
      <c r="B67" s="79"/>
      <c r="D67" s="79"/>
      <c r="J67" s="2071"/>
      <c r="U67" s="110"/>
      <c r="X67" s="98"/>
      <c r="Y67" s="80"/>
      <c r="AA67" s="86"/>
    </row>
    <row r="68" spans="1:27" s="65" customFormat="1">
      <c r="B68" s="79"/>
      <c r="C68" s="79"/>
      <c r="D68" s="80"/>
      <c r="J68" s="2071"/>
      <c r="Y68" s="72"/>
      <c r="Z68" s="86"/>
      <c r="AA68" s="86"/>
    </row>
    <row r="69" spans="1:27" s="65" customFormat="1">
      <c r="J69" s="2063"/>
      <c r="U69" s="66"/>
    </row>
    <row r="70" spans="1:27" s="65" customFormat="1">
      <c r="A70" s="2325" t="s">
        <v>713</v>
      </c>
      <c r="B70" s="2326"/>
      <c r="C70" s="133" t="s">
        <v>7</v>
      </c>
      <c r="D70" s="134"/>
      <c r="E70" s="134"/>
      <c r="F70" s="134"/>
      <c r="G70" s="134"/>
      <c r="H70" s="134"/>
      <c r="I70" s="134"/>
      <c r="J70" s="2072"/>
      <c r="K70" s="134"/>
      <c r="L70" s="134"/>
      <c r="M70" s="134"/>
      <c r="N70" s="134"/>
      <c r="O70" s="134"/>
      <c r="P70" s="134"/>
      <c r="T70" s="66"/>
    </row>
    <row r="71" spans="1:27" s="65" customFormat="1">
      <c r="A71" s="135" t="s">
        <v>1</v>
      </c>
      <c r="B71" s="135" t="s">
        <v>100</v>
      </c>
      <c r="C71" s="136" t="s">
        <v>97</v>
      </c>
      <c r="D71" s="137" t="s">
        <v>494</v>
      </c>
      <c r="E71" s="138" t="s">
        <v>495</v>
      </c>
      <c r="F71" s="139" t="s">
        <v>496</v>
      </c>
      <c r="G71" s="140" t="s">
        <v>101</v>
      </c>
      <c r="H71" s="141" t="s">
        <v>98</v>
      </c>
      <c r="I71" s="141" t="s">
        <v>96</v>
      </c>
      <c r="J71" s="2073" t="s">
        <v>715</v>
      </c>
      <c r="K71" s="216" t="s">
        <v>716</v>
      </c>
      <c r="L71" s="217">
        <v>0</v>
      </c>
      <c r="M71" s="218">
        <v>1</v>
      </c>
      <c r="N71" s="218">
        <v>2</v>
      </c>
      <c r="O71" s="218">
        <v>3</v>
      </c>
      <c r="P71" s="219" t="s">
        <v>1367</v>
      </c>
      <c r="T71" s="66"/>
    </row>
    <row r="72" spans="1:27" s="65" customFormat="1">
      <c r="A72" s="2131" t="s">
        <v>28</v>
      </c>
      <c r="B72" s="2132">
        <f>IFERROR(VLOOKUP(A72,'ИПП 2кв25'!$B$42:$N$54,4,0),"")</f>
        <v>5</v>
      </c>
      <c r="C72" s="2133">
        <f>IFERROR(VLOOKUP(A72,'ИПП 2кв25'!$B$42:$N$54,5,0),"")</f>
        <v>699798</v>
      </c>
      <c r="D72" s="2134">
        <f>SUMIFS(Март25515253[м2],Март25515253[КТУ],$A72,Март25515253[№ дома],$C$70,Март25515253[Комнатность],"&lt;&gt;Офис")</f>
        <v>0</v>
      </c>
      <c r="E72" s="2133">
        <f>SUMIFS(Март25515253[Сумма без отделки],Март25515253[КТУ],$A72,Март25515253[№ дома],$C$70,Март25515253[Комнатность],"&lt;&gt;Офис")</f>
        <v>0</v>
      </c>
      <c r="F72" s="2135">
        <f>COUNTIFS(Март25515253[КТУ],$A72,Март25515253[№ дома],$C$70,Март25515253[Комнатность],"&lt;&gt;Офис")</f>
        <v>0</v>
      </c>
      <c r="G72" s="148">
        <f>SUMIFS(РД[S],РД[Дом],$C$70,РД[МОП],A72,РД[Дата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149">
        <f>SUMIFS(РД[Стоимость без отделки итог],РД[Дом],$C$70,РД[МОП],A72,РД[Дата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0">
        <f>COUNTIFS(РД[Дом],$C$70,РД[МОП],A72,РД[Дата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074">
        <f t="shared" ref="J72:K80" si="0">IFERROR(G72/B72,"")</f>
        <v>0</v>
      </c>
      <c r="K72" s="222">
        <f t="shared" si="0"/>
        <v>0</v>
      </c>
      <c r="L72" s="148">
        <f>COUNTIFS(РД[Тип кв],L$71,РД[МОП],$A72,РД[Дом],$C$70,РД[Дата подачи на регистрацию],"&lt;="&amp;$A$1,РД[Дата подачи на регистрацию],"&gt;="&amp;DATE(YEAR($A$1),MONTH($A$1),1))</f>
        <v>0</v>
      </c>
      <c r="M72" s="220">
        <f>COUNTIFS(РД[Тип кв],M$71,РД[МОП],$A72,РД[Дом],$C$70,РД[Дата подачи на регистрацию],"&lt;="&amp;$A$1,РД[Дата подачи на регистрацию],"&gt;="&amp;DATE(YEAR($A$1),MONTH($A$1),1))</f>
        <v>0</v>
      </c>
      <c r="N72" s="220">
        <f>COUNTIFS(РД[Тип кв],N$71,РД[МОП],$A72,РД[Дом],$C$70,РД[Дата подачи на регистрацию],"&lt;="&amp;$A$1,РД[Дата подачи на регистрацию],"&gt;="&amp;DATE(YEAR($A$1),MONTH($A$1),1))</f>
        <v>0</v>
      </c>
      <c r="O72" s="220">
        <f>COUNTIFS(РД[Тип кв],O$71,РД[МОП],$A72,РД[Дом],$C$70,РД[Дата подачи на регистрацию],"&lt;="&amp;$A$1,РД[Дата подачи на регистрацию],"&gt;="&amp;DATE(YEAR($A$1),MONTH($A$1),1))</f>
        <v>0</v>
      </c>
      <c r="P72" s="223">
        <f>COUNTIFS(РД[Тип кв],P$71,РД[МОП],$A72,РД[Дом],$C$70,РД[Дата подачи на регистрацию],"&lt;="&amp;$A$1,РД[Дата подачи на регистрацию],"&gt;="&amp;DATE(YEAR($A$1),MONTH($A$1),1))</f>
        <v>0</v>
      </c>
      <c r="T72" s="66"/>
    </row>
    <row r="73" spans="1:27" s="65" customFormat="1">
      <c r="A73" s="2131" t="s">
        <v>8</v>
      </c>
      <c r="B73" s="2132">
        <f>IFERROR(VLOOKUP(A73,'ИПП 2кв25'!$B$42:$N$54,4,0),"")</f>
        <v>10</v>
      </c>
      <c r="C73" s="2133">
        <f>IFERROR(VLOOKUP(A73,'ИПП 2кв25'!$B$42:$N$54,5,0),"")</f>
        <v>1425515</v>
      </c>
      <c r="D73" s="2134">
        <f>SUMIFS(Март25515253[м2],Март25515253[КТУ],$A73,Март25515253[№ дома],$C$70,Март25515253[Комнатность],"&lt;&gt;Офис")</f>
        <v>34.6</v>
      </c>
      <c r="E73" s="2133">
        <f>SUMIFS(Март25515253[Сумма без отделки],Март25515253[КТУ],$A73,Март25515253[№ дома],$C$70,Март25515253[Комнатность],"&lt;&gt;Офис")</f>
        <v>4255800</v>
      </c>
      <c r="F73" s="2135">
        <f>COUNTIFS(Март25515253[КТУ],$A73,Март25515253[№ дома],$C$70,Март25515253[Комнатность],"&lt;&gt;Офис")</f>
        <v>1</v>
      </c>
      <c r="G73" s="148">
        <f>SUMIFS(РД[S],РД[Дом],$C$70,РД[МОП],A73,РД[Дата подачи на регистрацию],"&lt;="&amp;$A$1,РД[Дата подачи на регистрацию],"&gt;="&amp;DATE(YEAR($A$1),MONTH($A$1),1),РД[Состояние],"Продажа")</f>
        <v>34.6</v>
      </c>
      <c r="H73" s="149">
        <f>SUMIFS(РД[Стоимость без отделки итог],РД[Дом],$C$70,РД[МОП],A73,РД[Дата подачи на регистрацию],"&lt;="&amp;$A$1,РД[Дата подачи на регистрацию],"&gt;="&amp;DATE(YEAR($A$1),MONTH($A$1),1),РД[Состояние],"Продажа")</f>
        <v>4255800</v>
      </c>
      <c r="I73" s="220">
        <f>COUNTIFS(РД[Дом],$C$70,РД[МОП],A73,РД[Дата подачи на регистрацию],"&lt;="&amp;$A$1,РД[Дата подачи на регистрацию],"&gt;="&amp;DATE(YEAR($A$1),MONTH($A$1),1),РД[Состояние],"Продажа")</f>
        <v>1</v>
      </c>
      <c r="J73" s="2074">
        <f t="shared" si="0"/>
        <v>3.46</v>
      </c>
      <c r="K73" s="222">
        <f t="shared" si="0"/>
        <v>2.9854473646366402</v>
      </c>
      <c r="L73" s="148">
        <f>COUNTIFS(РД[Тип кв],L$71,РД[МОП],$A73,РД[Дом],$C$70,РД[Дата подачи на регистрацию],"&lt;="&amp;$A$1,РД[Дата подачи на регистрацию],"&gt;="&amp;DATE(YEAR($A$1),MONTH($A$1),1))</f>
        <v>0</v>
      </c>
      <c r="M73" s="220">
        <f>COUNTIFS(РД[Тип кв],M$71,РД[МОП],$A73,РД[Дом],$C$70,РД[Дата подачи на регистрацию],"&lt;="&amp;$A$1,РД[Дата подачи на регистрацию],"&gt;="&amp;DATE(YEAR($A$1),MONTH($A$1),1))</f>
        <v>1</v>
      </c>
      <c r="N73" s="220">
        <f>COUNTIFS(РД[Тип кв],N$71,РД[МОП],$A73,РД[Дом],$C$70,РД[Дата подачи на регистрацию],"&lt;="&amp;$A$1,РД[Дата подачи на регистрацию],"&gt;="&amp;DATE(YEAR($A$1),MONTH($A$1),1))</f>
        <v>0</v>
      </c>
      <c r="O73" s="220">
        <f>COUNTIFS(РД[Тип кв],O$71,РД[МОП],$A73,РД[Дом],$C$70,РД[Дата подачи на регистрацию],"&lt;="&amp;$A$1,РД[Дата подачи на регистрацию],"&gt;="&amp;DATE(YEAR($A$1),MONTH($A$1),1))</f>
        <v>0</v>
      </c>
      <c r="P73" s="223">
        <f>COUNTIFS(РД[Тип кв],P$71,РД[МОП],$A73,РД[Дом],$C$70,РД[Дата подачи на регистрацию],"&lt;="&amp;$A$1,РД[Дата подачи на регистрацию],"&gt;="&amp;DATE(YEAR($A$1),MONTH($A$1),1))</f>
        <v>0</v>
      </c>
      <c r="T73" s="66"/>
    </row>
    <row r="74" spans="1:27" s="65" customFormat="1">
      <c r="A74" s="2136" t="s">
        <v>20</v>
      </c>
      <c r="B74" s="2132">
        <f>IFERROR(VLOOKUP(A74,'ИПП 2кв25'!$B$42:$N$54,4,0),"")</f>
        <v>10</v>
      </c>
      <c r="C74" s="2133">
        <f>IFERROR(VLOOKUP(A74,'ИПП 2кв25'!$B$42:$N$54,5,0),"")</f>
        <v>1425515</v>
      </c>
      <c r="D74" s="2134">
        <f>SUMIFS(Март25515253[м2],Март25515253[КТУ],$A74,Март25515253[№ дома],$C$70,Март25515253[Комнатность],"&lt;&gt;Офис")</f>
        <v>0</v>
      </c>
      <c r="E74" s="2133">
        <f>SUMIFS(Март25515253[Сумма без отделки],Март25515253[КТУ],$A74,Март25515253[№ дома],$C$70,Март25515253[Комнатность],"&lt;&gt;Офис")</f>
        <v>0</v>
      </c>
      <c r="F74" s="2135">
        <f>COUNTIFS(Март25515253[КТУ],$A74,Март25515253[№ дома],$C$70,Март25515253[Комнатность],"&lt;&gt;Офис")</f>
        <v>0</v>
      </c>
      <c r="G74" s="148">
        <f>SUMIFS(РД[S],РД[Дом],$C$70,РД[МОП],A74,РД[Дата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149">
        <f>SUMIFS(РД[Стоимость без отделки итог],РД[Дом],$C$70,РД[МОП],A74,РД[Дата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0">
        <f>COUNTIFS(РД[Дом],$C$70,РД[МОП],A74,РД[Дата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074">
        <f t="shared" si="0"/>
        <v>0</v>
      </c>
      <c r="K74" s="222">
        <f t="shared" si="0"/>
        <v>0</v>
      </c>
      <c r="L74" s="148">
        <f>COUNTIFS(РД[Тип кв],L$71,РД[МОП],$A74,РД[Дом],$C$70,РД[Дата подачи на регистрацию],"&lt;="&amp;$A$1,РД[Дата подачи на регистрацию],"&gt;="&amp;DATE(YEAR($A$1),MONTH($A$1),1))</f>
        <v>0</v>
      </c>
      <c r="M74" s="220">
        <f>COUNTIFS(РД[Тип кв],M$71,РД[МОП],$A74,РД[Дом],$C$70,РД[Дата подачи на регистрацию],"&lt;="&amp;$A$1,РД[Дата подачи на регистрацию],"&gt;="&amp;DATE(YEAR($A$1),MONTH($A$1),1))</f>
        <v>0</v>
      </c>
      <c r="N74" s="220">
        <f>COUNTIFS(РД[Тип кв],N$71,РД[МОП],$A74,РД[Дом],$C$70,РД[Дата подачи на регистрацию],"&lt;="&amp;$A$1,РД[Дата подачи на регистрацию],"&gt;="&amp;DATE(YEAR($A$1),MONTH($A$1),1))</f>
        <v>0</v>
      </c>
      <c r="O74" s="220">
        <f>COUNTIFS(РД[Тип кв],O$71,РД[МОП],$A74,РД[Дом],$C$70,РД[Дата подачи на регистрацию],"&lt;="&amp;$A$1,РД[Дата подачи на регистрацию],"&gt;="&amp;DATE(YEAR($A$1),MONTH($A$1),1))</f>
        <v>0</v>
      </c>
      <c r="P74" s="223">
        <f>COUNTIFS(РД[Тип кв],P$71,РД[МОП],$A74,РД[Дом],$C$70,РД[Дата подачи на регистрацию],"&lt;="&amp;$A$1,РД[Дата подачи на регистрацию],"&gt;="&amp;DATE(YEAR($A$1),MONTH($A$1),1))</f>
        <v>0</v>
      </c>
      <c r="T74" s="66"/>
    </row>
    <row r="75" spans="1:27" s="65" customFormat="1">
      <c r="A75" s="2137" t="s">
        <v>24</v>
      </c>
      <c r="B75" s="2132">
        <f>IFERROR(VLOOKUP(A75,'ИПП 2кв25'!$B$42:$N$54,4,0),"")</f>
        <v>8</v>
      </c>
      <c r="C75" s="2133">
        <f>IFERROR(VLOOKUP(A75,'ИПП 2кв25'!$B$42:$N$54,5,0),"")</f>
        <v>1140412</v>
      </c>
      <c r="D75" s="2134">
        <f>SUMIFS(Март25515253[м2],Март25515253[КТУ],$A75,Март25515253[№ дома],$C$70,Март25515253[Комнатность],"&lt;&gt;Офис")</f>
        <v>0</v>
      </c>
      <c r="E75" s="2133">
        <f>SUMIFS(Март25515253[Сумма без отделки],Март25515253[КТУ],$A75,Март25515253[№ дома],$C$70,Март25515253[Комнатность],"&lt;&gt;Офис")</f>
        <v>0</v>
      </c>
      <c r="F75" s="2135">
        <f>COUNTIFS(Март25515253[КТУ],$A75,Март25515253[№ дома],$C$70,Март25515253[Комнатность],"&lt;&gt;Офис")</f>
        <v>0</v>
      </c>
      <c r="G75" s="148">
        <f>SUMIFS(РД[S],РД[Дом],$C$70,РД[МОП],A75,РД[Дата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H75" s="149">
        <f>SUMIFS(РД[Стоимость без отделки итог],РД[Дом],$C$70,РД[МОП],A75,РД[Дата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I75" s="220">
        <f>COUNTIFS(РД[Дом],$C$70,РД[МОП],A75,РД[Дата подачи на регистрацию],"&lt;="&amp;$A$1,РД[Дата подачи на регистрацию],"&gt;="&amp;DATE(YEAR($A$1),MONTH($A$1),1),РД[Состояние],"Продажа")</f>
        <v>0</v>
      </c>
      <c r="J75" s="2075">
        <f t="shared" si="0"/>
        <v>0</v>
      </c>
      <c r="K75" s="225">
        <f t="shared" si="0"/>
        <v>0</v>
      </c>
      <c r="L75" s="202">
        <f>COUNTIFS(РД[Тип кв],L$71,РД[МОП],$A75,РД[Дом],$C$70,РД[Дата подачи на регистрацию],"&lt;="&amp;$A$1,РД[Дата подачи на регистрацию],"&gt;="&amp;DATE(YEAR($A$1),MONTH($A$1),1))</f>
        <v>0</v>
      </c>
      <c r="M75" s="226">
        <f>COUNTIFS(РД[Тип кв],M$71,РД[МОП],$A75,РД[Дом],$C$70,РД[Дата подачи на регистрацию],"&lt;="&amp;$A$1,РД[Дата подачи на регистрацию],"&gt;="&amp;DATE(YEAR($A$1),MONTH($A$1),1))</f>
        <v>0</v>
      </c>
      <c r="N75" s="226">
        <f>COUNTIFS(РД[Тип кв],N$71,РД[МОП],$A75,РД[Дом],$C$70,РД[Дата подачи на регистрацию],"&lt;="&amp;$A$1,РД[Дата подачи на регистрацию],"&gt;="&amp;DATE(YEAR($A$1),MONTH($A$1),1))</f>
        <v>0</v>
      </c>
      <c r="O75" s="226">
        <f>COUNTIFS(РД[Тип кв],O$71,РД[МОП],$A75,РД[Дом],$C$70,РД[Дата подачи на регистрацию],"&lt;="&amp;$A$1,РД[Дата подачи на регистрацию],"&gt;="&amp;DATE(YEAR($A$1),MONTH($A$1),1))</f>
        <v>0</v>
      </c>
      <c r="P75" s="227">
        <f>COUNTIFS(РД[Тип кв],P$71,РД[МОП],$A75,РД[Дом],$C$70,РД[Дата подачи на регистрацию],"&lt;="&amp;$A$1,РД[Дата подачи на регистрацию],"&gt;="&amp;DATE(YEAR($A$1),MONTH($A$1),1))</f>
        <v>0</v>
      </c>
      <c r="T75" s="66"/>
    </row>
    <row r="76" spans="1:27" s="65" customFormat="1">
      <c r="A76" s="2137" t="s">
        <v>14</v>
      </c>
      <c r="B76" s="2132">
        <f>IFERROR(VLOOKUP(A76,'ИПП 2кв25'!$B$42:$N$54,4,0),"")</f>
        <v>10</v>
      </c>
      <c r="C76" s="2133">
        <f>IFERROR(VLOOKUP(A76,'ИПП 2кв25'!$B$42:$N$54,5,0),"")</f>
        <v>1425515</v>
      </c>
      <c r="D76" s="2134">
        <f>SUMIFS(Март25515253[м2],Март25515253[КТУ],$A76,Март25515253[№ дома],$C$70,Март25515253[Комнатность],"&lt;&gt;Офис")</f>
        <v>0</v>
      </c>
      <c r="E76" s="2133">
        <f>SUMIFS(Март25515253[Сумма без отделки],Март25515253[КТУ],$A76,Март25515253[№ дома],$C$70,Март25515253[Комнатность],"&lt;&gt;Офис")</f>
        <v>0</v>
      </c>
      <c r="F76" s="2135">
        <f>COUNTIFS(Март25515253[КТУ],$A76,Март25515253[№ дома],$C$70,Март25515253[Комнатность],"&lt;&gt;Офис")</f>
        <v>0</v>
      </c>
      <c r="G76" s="148">
        <f>SUMIFS(РД[S],РД[Дом],$C$70,РД[МОП],A76,РД[Дата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H76" s="149">
        <f>SUMIFS(РД[Стоимость без отделки итог],РД[Дом],$C$70,РД[МОП],A76,РД[Дата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I76" s="220">
        <f>COUNTIFS(РД[Дом],$C$70,РД[МОП],A76,РД[Дата подачи на регистрацию],"&lt;="&amp;$A$1,РД[Дата подачи на регистрацию],"&gt;="&amp;DATE(YEAR($A$1),MONTH($A$1),1),РД[Состояние],"Продажа")</f>
        <v>0</v>
      </c>
      <c r="J76" s="2075">
        <f t="shared" ref="J76:J77" si="1">IFERROR(G76/B76,"")</f>
        <v>0</v>
      </c>
      <c r="K76" s="225">
        <f t="shared" ref="K76:K77" si="2">IFERROR(H76/C76,"")</f>
        <v>0</v>
      </c>
      <c r="L76" s="202">
        <f>COUNTIFS(РД[Тип кв],L$71,РД[МОП],$A76,РД[Дом],$C$70,РД[Дата подачи на регистрацию],"&lt;="&amp;$A$1,РД[Дата подачи на регистрацию],"&gt;="&amp;DATE(YEAR($A$1),MONTH($A$1),1))</f>
        <v>0</v>
      </c>
      <c r="M76" s="226">
        <f>COUNTIFS(РД[Тип кв],M$71,РД[МОП],$A76,РД[Дом],$C$70,РД[Дата подачи на регистрацию],"&lt;="&amp;$A$1,РД[Дата подачи на регистрацию],"&gt;="&amp;DATE(YEAR($A$1),MONTH($A$1),1))</f>
        <v>0</v>
      </c>
      <c r="N76" s="226">
        <f>COUNTIFS(РД[Тип кв],N$71,РД[МОП],$A76,РД[Дом],$C$70,РД[Дата подачи на регистрацию],"&lt;="&amp;$A$1,РД[Дата подачи на регистрацию],"&gt;="&amp;DATE(YEAR($A$1),MONTH($A$1),1))</f>
        <v>0</v>
      </c>
      <c r="O76" s="226">
        <f>COUNTIFS(РД[Тип кв],O$71,РД[МОП],$A76,РД[Дом],$C$70,РД[Дата подачи на регистрацию],"&lt;="&amp;$A$1,РД[Дата подачи на регистрацию],"&gt;="&amp;DATE(YEAR($A$1),MONTH($A$1),1))</f>
        <v>0</v>
      </c>
      <c r="P76" s="227">
        <f>COUNTIFS(РД[Тип кв],P$71,РД[МОП],$A76,РД[Дом],$C$70,РД[Дата подачи на регистрацию],"&lt;="&amp;$A$1,РД[Дата подачи на регистрацию],"&gt;="&amp;DATE(YEAR($A$1),MONTH($A$1),1))</f>
        <v>0</v>
      </c>
      <c r="T76" s="66"/>
    </row>
    <row r="77" spans="1:27" s="65" customFormat="1">
      <c r="A77" s="2137" t="s">
        <v>1884</v>
      </c>
      <c r="B77" s="2132">
        <f>IFERROR(VLOOKUP(A77,'ИПП 2кв25'!$B$42:$N$54,4,0),"")</f>
        <v>2</v>
      </c>
      <c r="C77" s="2133">
        <f>IFERROR(VLOOKUP(A77,'ИПП 2кв25'!$B$42:$N$54,5,0),"")</f>
        <v>302382</v>
      </c>
      <c r="D77" s="2134">
        <f>SUMIFS(Март25515253[м2],Март25515253[КТУ],$A77,Март25515253[№ дома],$C$70,Март25515253[Комнатность],"&lt;&gt;Офис")</f>
        <v>0</v>
      </c>
      <c r="E77" s="2133">
        <f>SUMIFS(Март25515253[Сумма без отделки],Март25515253[КТУ],$A77,Март25515253[№ дома],$C$70,Март25515253[Комнатность],"&lt;&gt;Офис")</f>
        <v>0</v>
      </c>
      <c r="F77" s="2135">
        <f>COUNTIFS(Март25515253[КТУ],$A77,Март25515253[№ дома],$C$70,Март25515253[Комнатность],"&lt;&gt;Офис")</f>
        <v>0</v>
      </c>
      <c r="G77" s="148">
        <f>SUMIFS(РД[S],РД[Дом],$C$70,РД[МОП],A77,РД[Дата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H77" s="149">
        <f>SUMIFS(РД[Стоимость без отделки итог],РД[Дом],$C$70,РД[МОП],A77,РД[Дата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I77" s="220">
        <f>COUNTIFS(РД[Дом],$C$70,РД[МОП],A77,РД[Дата подачи на регистрацию],"&lt;="&amp;$A$1,РД[Дата подачи на регистрацию],"&gt;="&amp;DATE(YEAR($A$1),MONTH($A$1),1),РД[Состояние],"Продажа")</f>
        <v>0</v>
      </c>
      <c r="J77" s="2075">
        <f t="shared" si="1"/>
        <v>0</v>
      </c>
      <c r="K77" s="225">
        <f t="shared" si="2"/>
        <v>0</v>
      </c>
      <c r="L77" s="202">
        <f>COUNTIFS(РД[Тип кв],L$71,РД[МОП],$A77,РД[Дом],$C$70,РД[Дата подачи на регистрацию],"&lt;="&amp;$A$1,РД[Дата подачи на регистрацию],"&gt;="&amp;DATE(YEAR($A$1),MONTH($A$1),1))</f>
        <v>0</v>
      </c>
      <c r="M77" s="226">
        <f>COUNTIFS(РД[Тип кв],M$71,РД[МОП],$A77,РД[Дом],$C$70,РД[Дата подачи на регистрацию],"&lt;="&amp;$A$1,РД[Дата подачи на регистрацию],"&gt;="&amp;DATE(YEAR($A$1),MONTH($A$1),1))</f>
        <v>0</v>
      </c>
      <c r="N77" s="226">
        <f>COUNTIFS(РД[Тип кв],N$71,РД[МОП],$A77,РД[Дом],$C$70,РД[Дата подачи на регистрацию],"&lt;="&amp;$A$1,РД[Дата подачи на регистрацию],"&gt;="&amp;DATE(YEAR($A$1),MONTH($A$1),1))</f>
        <v>0</v>
      </c>
      <c r="O77" s="226">
        <f>COUNTIFS(РД[Тип кв],O$71,РД[МОП],$A77,РД[Дом],$C$70,РД[Дата подачи на регистрацию],"&lt;="&amp;$A$1,РД[Дата подачи на регистрацию],"&gt;="&amp;DATE(YEAR($A$1),MONTH($A$1),1))</f>
        <v>0</v>
      </c>
      <c r="P77" s="227">
        <f>COUNTIFS(РД[Тип кв],P$71,РД[МОП],$A77,РД[Дом],$C$70,РД[Дата подачи на регистрацию],"&lt;="&amp;$A$1,РД[Дата подачи на регистрацию],"&gt;="&amp;DATE(YEAR($A$1),MONTH($A$1),1))</f>
        <v>0</v>
      </c>
      <c r="T77" s="66"/>
    </row>
    <row r="78" spans="1:27" s="65" customFormat="1">
      <c r="A78" s="2138" t="s">
        <v>29</v>
      </c>
      <c r="B78" s="2139"/>
      <c r="C78" s="2140"/>
      <c r="D78" s="2141">
        <f>SUMIFS(Март25515253[м2],Март25515253[КТУ],$A78,Март25515253[№ дома],$C$70,Март25515253[Комнатность],"&lt;&gt;Офис")</f>
        <v>0</v>
      </c>
      <c r="E78" s="2140">
        <f>SUMIFS(Март25515253[Сумма без отделки],Март25515253[КТУ],$A78,Март25515253[№ дома],$C$70,Март25515253[Комнатность],"&lt;&gt;Офис")</f>
        <v>0</v>
      </c>
      <c r="F78" s="2142">
        <f>COUNTIFS(Март25515253[КТУ],$A78,Март25515253[№ дома],$C$70,Март25515253[Комнатность],"&lt;&gt;Офис")</f>
        <v>0</v>
      </c>
      <c r="G78" s="159">
        <f>SUMIFS(РД[S],РД[Дом],$C$70,РД[МОП],A78,РД[Дата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H78" s="160">
        <f>SUMIFS(РД[Стоимость без отделки итог],РД[Дом],$C$70,РД[МОП],A78,РД[Дата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I78" s="228">
        <f>COUNTIFS(РД[Дом],$C$70,РД[МОП],A78,РД[Дата подачи на регистрацию],"&lt;="&amp;$A$1,РД[Дата подачи на регистрацию],"&gt;="&amp;DATE(YEAR($A$1),MONTH($A$1),1),РД[Состояние],"Продажа")</f>
        <v>0</v>
      </c>
      <c r="J78" s="2076" t="str">
        <f t="shared" si="0"/>
        <v/>
      </c>
      <c r="K78" s="230" t="str">
        <f t="shared" si="0"/>
        <v/>
      </c>
      <c r="L78" s="159">
        <f>COUNTIFS(РД[Тип кв],L$71,РД[МОП],$A78,РД[Дом],$C$70,РД[Дата подачи на регистрацию],"&lt;="&amp;$A$1,РД[Дата подачи на регистрацию],"&gt;="&amp;DATE(YEAR($A$1),MONTH($A$1),1))</f>
        <v>0</v>
      </c>
      <c r="M78" s="228">
        <f>COUNTIFS(РД[Тип кв],M$71,РД[МОП],$A78,РД[Дом],$C$70,РД[Дата подачи на регистрацию],"&lt;="&amp;$A$1,РД[Дата подачи на регистрацию],"&gt;="&amp;DATE(YEAR($A$1),MONTH($A$1),1))</f>
        <v>0</v>
      </c>
      <c r="N78" s="228">
        <f>COUNTIFS(РД[Тип кв],N$71,РД[МОП],$A78,РД[Дом],$C$70,РД[Дата подачи на регистрацию],"&lt;="&amp;$A$1,РД[Дата подачи на регистрацию],"&gt;="&amp;DATE(YEAR($A$1),MONTH($A$1),1))</f>
        <v>0</v>
      </c>
      <c r="O78" s="228">
        <f>COUNTIFS(РД[Тип кв],O$71,РД[МОП],$A78,РД[Дом],$C$70,РД[Дата подачи на регистрацию],"&lt;="&amp;$A$1,РД[Дата подачи на регистрацию],"&gt;="&amp;DATE(YEAR($A$1),MONTH($A$1),1))</f>
        <v>0</v>
      </c>
      <c r="P78" s="231">
        <f>COUNTIFS(РД[Тип кв],P$71,РД[МОП],$A78,РД[Дом],$C$70,РД[Дата подачи на регистрацию],"&lt;="&amp;$A$1,РД[Дата подачи на регистрацию],"&gt;="&amp;DATE(YEAR($A$1),MONTH($A$1),1))</f>
        <v>0</v>
      </c>
      <c r="T78" s="66"/>
    </row>
    <row r="79" spans="1:27" s="65" customFormat="1">
      <c r="A79" s="2143" t="s">
        <v>1919</v>
      </c>
      <c r="B79" s="2144"/>
      <c r="C79" s="2145"/>
      <c r="D79" s="2146">
        <f>SUMIFS(Март25515253[м2],Март25515253[МОП],$A79,Март25515253[№ дома],$C$70,Март25515253[Комнатность],"&lt;&gt;Офис")</f>
        <v>0</v>
      </c>
      <c r="E79" s="2145">
        <f>SUMIFS(Март25515253[Сумма без отделки],Март25515253[МОП],$A79,Март25515253[№ дома],$C$70,Март25515253[Комнатность],"&lt;&gt;Офис")</f>
        <v>0</v>
      </c>
      <c r="F79" s="2147">
        <f>COUNTIFS(Март25515253[МОП],$A79,Март25515253[№ дома],$C$70,Март25515253[Комнатность],"&lt;&gt;Офис")</f>
        <v>0</v>
      </c>
      <c r="G79" s="166">
        <f>SUMIFS(РД[S],РД[Дом],$C$70,РД[МОП],A79,РД[Дата подачи на регистрацию],"&lt;="&amp;$A$1,РД[Дата подачи на регистрацию],"&gt;="&amp;DATE(YEAR($A$1),MONTH($A$1),1),РД[Состояние],"Продажа")</f>
        <v>0</v>
      </c>
      <c r="H79" s="167">
        <f>SUMIFS(РД[Стоимость без отделки итог],РД[Дом],$C$70,РД[МОП],A79,РД[Дата подачи на регистрацию],"&lt;="&amp;$A$1,РД[Дата подачи на регистрацию],"&gt;="&amp;DATE(YEAR($A$1),MONTH($A$1),1),РД[Состояние],"Продажа")</f>
        <v>0</v>
      </c>
      <c r="I79" s="232">
        <f>COUNTIFS(РД[Дом],$C$70,РД[МОП],A79,РД[Дата подачи на регистрацию],"&lt;="&amp;$A$1,РД[Дата подачи на регистрацию],"&gt;="&amp;DATE(YEAR($A$1),MONTH($A$1),1),РД[Состояние],"Продажа")</f>
        <v>0</v>
      </c>
      <c r="J79" s="2077" t="str">
        <f t="shared" si="0"/>
        <v/>
      </c>
      <c r="K79" s="234" t="str">
        <f t="shared" si="0"/>
        <v/>
      </c>
      <c r="L79" s="235">
        <f>COUNTIFS(РД[Тип кв],L$71,РД[МОП],$A79,РД[Дом],$C$70,РД[Дата подачи на регистрацию],"&lt;="&amp;$A$1,РД[Дата подачи на регистрацию],"&gt;="&amp;DATE(YEAR($A$1),MONTH($A$1),1))</f>
        <v>0</v>
      </c>
      <c r="M79" s="236">
        <f>COUNTIFS(РД[Тип кв],M$71,РД[МОП],$A79,РД[Дом],$C$70,РД[Дата подачи на регистрацию],"&lt;="&amp;$A$1,РД[Дата подачи на регистрацию],"&gt;="&amp;DATE(YEAR($A$1),MONTH($A$1),1))</f>
        <v>0</v>
      </c>
      <c r="N79" s="236">
        <f>COUNTIFS(РД[Тип кв],N$71,РД[МОП],$A79,РД[Дом],$C$70,РД[Дата подачи на регистрацию],"&lt;="&amp;$A$1,РД[Дата подачи на регистрацию],"&gt;="&amp;DATE(YEAR($A$1),MONTH($A$1),1))</f>
        <v>0</v>
      </c>
      <c r="O79" s="236">
        <f>COUNTIFS(РД[Тип кв],O$71,РД[МОП],$A79,РД[Дом],$C$70,РД[Дата подачи на регистрацию],"&lt;="&amp;$A$1,РД[Дата подачи на регистрацию],"&gt;="&amp;DATE(YEAR($A$1),MONTH($A$1),1))</f>
        <v>0</v>
      </c>
      <c r="P79" s="237">
        <f>COUNTIFS(РД[Тип кв],P$71,РД[МОП],$A79,РД[Дом],$C$70,РД[Дата подачи на регистрацию],"&lt;="&amp;$A$1,РД[Дата подачи на регистрацию],"&gt;="&amp;DATE(YEAR($A$1),MONTH($A$1),1))</f>
        <v>0</v>
      </c>
      <c r="T79" s="66"/>
    </row>
    <row r="80" spans="1:27" s="65" customFormat="1">
      <c r="A80" s="2148" t="s">
        <v>114</v>
      </c>
      <c r="B80" s="2149">
        <f t="shared" ref="B80:I80" si="3">SUM(B72:B79)</f>
        <v>45</v>
      </c>
      <c r="C80" s="2150">
        <f t="shared" si="3"/>
        <v>6419137</v>
      </c>
      <c r="D80" s="2150">
        <f t="shared" si="3"/>
        <v>34.6</v>
      </c>
      <c r="E80" s="2150">
        <f t="shared" si="3"/>
        <v>4255800</v>
      </c>
      <c r="F80" s="2151">
        <f t="shared" si="3"/>
        <v>1</v>
      </c>
      <c r="G80" s="172">
        <f t="shared" si="3"/>
        <v>34.6</v>
      </c>
      <c r="H80" s="173">
        <f t="shared" si="3"/>
        <v>4255800</v>
      </c>
      <c r="I80" s="170">
        <f t="shared" si="3"/>
        <v>1</v>
      </c>
      <c r="J80" s="2078">
        <f t="shared" si="0"/>
        <v>0.76888888888888896</v>
      </c>
      <c r="K80" s="239">
        <f t="shared" si="0"/>
        <v>0.66298631731960234</v>
      </c>
      <c r="L80" s="240">
        <f>SUM(L72:L79)</f>
        <v>0</v>
      </c>
      <c r="M80" s="241">
        <f>SUM(M72:M79)</f>
        <v>1</v>
      </c>
      <c r="N80" s="241">
        <f>SUM(N72:N79)</f>
        <v>0</v>
      </c>
      <c r="O80" s="241">
        <f>SUM(O72:O79)</f>
        <v>0</v>
      </c>
      <c r="P80" s="242">
        <f>SUM(P72:P79)</f>
        <v>0</v>
      </c>
      <c r="T80" s="66"/>
    </row>
    <row r="81" spans="1:21" s="65" customFormat="1">
      <c r="A81" s="2126" t="s">
        <v>115</v>
      </c>
      <c r="B81" s="2126" t="s">
        <v>100</v>
      </c>
      <c r="C81" s="2127" t="s">
        <v>97</v>
      </c>
      <c r="D81" s="2128" t="s">
        <v>494</v>
      </c>
      <c r="E81" s="2129" t="s">
        <v>495</v>
      </c>
      <c r="F81" s="2130" t="s">
        <v>496</v>
      </c>
      <c r="G81" s="140" t="s">
        <v>101</v>
      </c>
      <c r="H81" s="141" t="s">
        <v>98</v>
      </c>
      <c r="I81" s="141" t="s">
        <v>96</v>
      </c>
      <c r="J81" s="2073" t="s">
        <v>715</v>
      </c>
      <c r="K81" s="216" t="s">
        <v>716</v>
      </c>
      <c r="L81" s="217">
        <v>0</v>
      </c>
      <c r="M81" s="218">
        <v>1</v>
      </c>
      <c r="N81" s="218">
        <v>2</v>
      </c>
      <c r="O81" s="218">
        <v>3</v>
      </c>
      <c r="P81" s="219" t="s">
        <v>1367</v>
      </c>
      <c r="T81" s="66"/>
    </row>
    <row r="82" spans="1:21" s="65" customFormat="1">
      <c r="A82" s="2152" t="s">
        <v>22</v>
      </c>
      <c r="B82" s="2153">
        <f>IFERROR(VLOOKUP(A82,'ИПП 2кв25'!$B$42:$N$54,4,0),"")</f>
        <v>15.56422018348624</v>
      </c>
      <c r="C82" s="2154">
        <f>IFERROR(VLOOKUP(A82,'ИПП 2кв25'!$B$42:$N$54,5,0),"")</f>
        <v>2220196.9256880735</v>
      </c>
      <c r="D82" s="2155">
        <f>SUMIFS(Март25515253[м2],Март25515253[ИМ],A82,Март25515253[№ дома],$C$70,Март25515253[Комнатность],"&lt;&gt;Офис")</f>
        <v>0</v>
      </c>
      <c r="E82" s="2156">
        <f>SUMIFS(Март25515253[Сумма без отделки],Март25515253[ИМ],$A82,Март25515253[№ дома],$C$70,Март25515253[Комнатность],"&lt;&gt;Офис")</f>
        <v>0</v>
      </c>
      <c r="F82" s="2157">
        <f>COUNTIFS(Март25515253[ИМ],$A82,Март25515253[№ дома],$C$70,Март25515253[Комнатность],"&lt;&gt;Офис")</f>
        <v>0</v>
      </c>
      <c r="G82" s="183">
        <f>SUMIFS(РД[S],РД[Дом],$C$70,РД[ИМ],A82,РД[Дата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H82" s="184">
        <f>SUMIFS(РД[Стоимость без отделки итог],РД[Дом],$C$70,РД[ИМ],A82,РД[Дата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I82" s="243">
        <f>COUNTIFS(РД[Дом],$C$70,РД[ИМ],A82,РД[Дата подачи на регистрацию],"&lt;="&amp;$A$1,РД[Дата подачи на регистрацию],"&gt;="&amp;DATE(YEAR($A$1),MONTH($A$1),1),РД[Состояние],"Продажа")</f>
        <v>0</v>
      </c>
      <c r="J82" s="2079">
        <f t="shared" ref="J82:K85" si="4">IFERROR(G82/B82,"")</f>
        <v>0</v>
      </c>
      <c r="K82" s="245">
        <f t="shared" si="4"/>
        <v>0</v>
      </c>
      <c r="L82" s="183">
        <f>COUNTIFS(РД[Тип кв],L71,РД[ИМ],$A82,РД[Дом],$C$70,РД[Дата подачи на регистрацию],"&lt;="&amp;$A$1,РД[Дата подачи на регистрацию],"&gt;="&amp;DATE(YEAR($A$1),MONTH($A$1),1))</f>
        <v>0</v>
      </c>
      <c r="M82" s="243">
        <f>COUNTIFS(РД[Тип кв],M71,РД[ИМ],$A82,РД[Дом],$C$70,РД[Дата подачи на регистрацию],"&lt;="&amp;$A$1,РД[Дата подачи на регистрацию],"&gt;="&amp;DATE(YEAR($A$1),MONTH($A$1),1))</f>
        <v>0</v>
      </c>
      <c r="N82" s="243">
        <f>COUNTIFS(РД[Тип кв],N71,РД[ИМ],$A82,РД[Дом],$C$70,РД[Дата подачи на регистрацию],"&lt;="&amp;$A$1,РД[Дата подачи на регистрацию],"&gt;="&amp;DATE(YEAR($A$1),MONTH($A$1),1))</f>
        <v>0</v>
      </c>
      <c r="O82" s="243">
        <f>COUNTIFS(РД[Тип кв],O71,РД[ИМ],$A82,РД[Дом],$C$70,РД[Дата подачи на регистрацию],"&lt;="&amp;$A$1,РД[Дата подачи на регистрацию],"&gt;="&amp;DATE(YEAR($A$1),MONTH($A$1),1))</f>
        <v>0</v>
      </c>
      <c r="P82" s="246">
        <f>COUNTIFS(РД[Тип кв],P71,РД[ИМ],$A82,РД[Дом],$C$70,РД[Дата подачи на регистрацию],"&lt;="&amp;$A$1,РД[Дата подачи на регистрацию],"&gt;="&amp;DATE(YEAR($A$1),MONTH($A$1),1))</f>
        <v>0</v>
      </c>
      <c r="T82" s="66"/>
    </row>
    <row r="83" spans="1:21" s="65" customFormat="1">
      <c r="A83" s="2136" t="s">
        <v>26</v>
      </c>
      <c r="B83" s="2132">
        <f>IFERROR(VLOOKUP(A83,'ИПП 2кв25'!$B$42:$N$54,4,0),"")</f>
        <v>13.685779816513762</v>
      </c>
      <c r="C83" s="2133">
        <f>IFERROR(VLOOKUP(A83,'ИПП 2кв25'!$B$42:$N$54,5,0),"")</f>
        <v>1952242.1243119268</v>
      </c>
      <c r="D83" s="2134">
        <f>SUMIFS(Март25515253[м2],Март25515253[ИМ],A83,Март25515253[№ дома],$C$70,Март25515253[Комнатность],"&lt;&gt;Офис")</f>
        <v>34.6</v>
      </c>
      <c r="E83" s="2158">
        <f>SUMIFS(Март25515253[Сумма без отделки],Март25515253[ИМ],$A83,Март25515253[№ дома],$C$70,Март25515253[Комнатность],"&lt;&gt;Офис")</f>
        <v>4255800</v>
      </c>
      <c r="F83" s="2159">
        <f>COUNTIFS(Март25515253[ИМ],$A83,Март25515253[№ дома],$C$70,Март25515253[Комнатность],"&lt;&gt;Офис")</f>
        <v>1</v>
      </c>
      <c r="G83" s="187">
        <f>SUMIFS(РД[S],РД[Дом],$C$70,РД[ИМ],A83,РД[Дата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H83" s="188">
        <f>SUMIFS(РД[Стоимость без отделки итог],РД[Дом],$C$70,РД[ИМ],A83,РД[Дата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I83" s="247">
        <f>COUNTIFS(РД[Дом],$C$70,РД[ИМ],A83,РД[Дата подачи на регистрацию],"&lt;="&amp;$A$1,РД[Дата подачи на регистрацию],"&gt;="&amp;DATE(YEAR($A$1),MONTH($A$1),1),РД[Состояние],"Продажа")</f>
        <v>0</v>
      </c>
      <c r="J83" s="2080">
        <f t="shared" si="4"/>
        <v>0</v>
      </c>
      <c r="K83" s="249">
        <f t="shared" si="4"/>
        <v>0</v>
      </c>
      <c r="L83" s="187">
        <f>COUNTIFS(РД[Тип кв],#REF!,РД[ИМ],$A83,РД[Дом],$C$70,РД[Дата подачи на регистрацию],"&lt;="&amp;$A$1,РД[Дата подачи на регистрацию],"&gt;="&amp;DATE(YEAR($A$1),MONTH($A$1),1))</f>
        <v>0</v>
      </c>
      <c r="M83" s="247">
        <f>COUNTIFS(РД[Тип кв],#REF!,РД[ИМ],$A83,РД[Дом],$C$70,РД[Дата подачи на регистрацию],"&lt;="&amp;$A$1,РД[Дата подачи на регистрацию],"&gt;="&amp;DATE(YEAR($A$1),MONTH($A$1),1))</f>
        <v>0</v>
      </c>
      <c r="N83" s="247">
        <f>COUNTIFS(РД[Тип кв],#REF!,РД[ИМ],$A83,РД[Дом],$C$70,РД[Дата подачи на регистрацию],"&lt;="&amp;$A$1,РД[Дата подачи на регистрацию],"&gt;="&amp;DATE(YEAR($A$1),MONTH($A$1),1))</f>
        <v>0</v>
      </c>
      <c r="O83" s="247">
        <f>COUNTIFS(РД[Тип кв],#REF!,РД[ИМ],$A83,РД[Дом],$C$70,РД[Дата подачи на регистрацию],"&lt;="&amp;$A$1,РД[Дата подачи на регистрацию],"&gt;="&amp;DATE(YEAR($A$1),MONTH($A$1),1))</f>
        <v>0</v>
      </c>
      <c r="P83" s="250">
        <f>COUNTIFS(РД[Тип кв],#REF!,РД[ИМ],$A83,РД[Дом],$C$70,РД[Дата подачи на регистрацию],"&lt;="&amp;$A$1,РД[Дата подачи на регистрацию],"&gt;="&amp;DATE(YEAR($A$1),MONTH($A$1),1))</f>
        <v>0</v>
      </c>
      <c r="T83" s="66"/>
    </row>
    <row r="84" spans="1:21" s="65" customFormat="1">
      <c r="A84" s="2160" t="s">
        <v>3</v>
      </c>
      <c r="B84" s="2161">
        <f>IFERROR(VLOOKUP(A84,'ИПП 2кв25'!$B$42:$N$54,4,0),"")</f>
        <v>0</v>
      </c>
      <c r="C84" s="2162">
        <f>IFERROR(VLOOKUP(A84,'ИПП 2кв25'!$B$42:$N$54,5,0),"")</f>
        <v>0</v>
      </c>
      <c r="D84" s="2163">
        <f>SUMIFS(Март25515253[м2],Март25515253[ИМ],A84,Март25515253[№ дома],$C$70,Март25515253[Комнатность],"&lt;&gt;Офис")</f>
        <v>0</v>
      </c>
      <c r="E84" s="2164">
        <f>SUMIFS(Март25515253[Сумма без отделки],Март25515253[ИМ],$A84,Март25515253[№ дома],$C$70,Март25515253[Комнатность],"&lt;&gt;Офис")</f>
        <v>0</v>
      </c>
      <c r="F84" s="2165">
        <f>COUNTIFS(Март25515253[ИМ],$A84,Март25515253[№ дома],$C$70,Март25515253[Комнатность],"&lt;&gt;Офис")</f>
        <v>0</v>
      </c>
      <c r="G84" s="195">
        <f>SUMIFS(РД[S],РД[Дом],$C$70,РД[ИМ],A84,РД[Дата подачи на регистрацию],"&lt;="&amp;$A$1,РД[Дата подачи на регистрацию],"&gt;="&amp;DATE(YEAR($A$1),MONTH($A$1),1),РД[Состояние],"Продажа")</f>
        <v>0</v>
      </c>
      <c r="H84" s="196">
        <f>SUMIFS(РД[Стоимость без отделки итог],РД[Дом],$C$70,РД[ИМ],A84,РД[Дата подачи на регистрацию],"&lt;="&amp;$A$1,РД[Дата подачи на регистрацию],"&gt;="&amp;DATE(YEAR($A$1),MONTH($A$1),1),РД[Состояние],"Продажа")</f>
        <v>0</v>
      </c>
      <c r="I84" s="251">
        <f>COUNTIFS(РД[Дом],$C$70,РД[ИМ],A84,РД[Дата подачи на регистрацию],"&lt;="&amp;$A$1,РД[Дата подачи на регистрацию],"&gt;="&amp;DATE(YEAR($A$1),MONTH($A$1),1),РД[Состояние],"Продажа")</f>
        <v>0</v>
      </c>
      <c r="J84" s="2081" t="str">
        <f t="shared" si="4"/>
        <v/>
      </c>
      <c r="K84" s="253" t="str">
        <f t="shared" si="4"/>
        <v/>
      </c>
      <c r="L84" s="195">
        <f>COUNTIFS(РД[Тип кв],L71,РД[ИМ],$A84,РД[Дом],$C$70,РД[Дата подачи на регистрацию],"&lt;="&amp;$A$1,РД[Дата подачи на регистрацию],"&gt;="&amp;DATE(YEAR($A$1),MONTH($A$1),1))</f>
        <v>0</v>
      </c>
      <c r="M84" s="251">
        <f>COUNTIFS(РД[Тип кв],M71,РД[ИМ],$A84,РД[Дом],$C$70,РД[Дата подачи на регистрацию],"&lt;="&amp;$A$1,РД[Дата подачи на регистрацию],"&gt;="&amp;DATE(YEAR($A$1),MONTH($A$1),1))</f>
        <v>0</v>
      </c>
      <c r="N84" s="251">
        <f>COUNTIFS(РД[Тип кв],N71,РД[ИМ],$A84,РД[Дом],$C$70,РД[Дата подачи на регистрацию],"&lt;="&amp;$A$1,РД[Дата подачи на регистрацию],"&gt;="&amp;DATE(YEAR($A$1),MONTH($A$1),1))</f>
        <v>0</v>
      </c>
      <c r="O84" s="251">
        <f>COUNTIFS(РД[Тип кв],O71,РД[ИМ],$A84,РД[Дом],$C$70,РД[Дата подачи на регистрацию],"&lt;="&amp;$A$1,РД[Дата подачи на регистрацию],"&gt;="&amp;DATE(YEAR($A$1),MONTH($A$1),1))</f>
        <v>0</v>
      </c>
      <c r="P84" s="254">
        <f>COUNTIFS(РД[Тип кв],P71,РД[ИМ],$A84,РД[Дом],$C$70,РД[Дата подачи на регистрацию],"&lt;="&amp;$A$1,РД[Дата подачи на регистрацию],"&gt;="&amp;DATE(YEAR($A$1),MONTH($A$1),1))</f>
        <v>0</v>
      </c>
      <c r="T84" s="66"/>
    </row>
    <row r="85" spans="1:21" s="65" customFormat="1">
      <c r="A85" s="2148" t="s">
        <v>114</v>
      </c>
      <c r="B85" s="2149">
        <f t="shared" ref="B85:P85" si="5">SUM(B82:B84)</f>
        <v>29.25</v>
      </c>
      <c r="C85" s="2150">
        <f t="shared" si="5"/>
        <v>4172439.0500000003</v>
      </c>
      <c r="D85" s="2150">
        <f t="shared" si="5"/>
        <v>34.6</v>
      </c>
      <c r="E85" s="2150">
        <f t="shared" si="5"/>
        <v>4255800</v>
      </c>
      <c r="F85" s="2151">
        <f t="shared" si="5"/>
        <v>1</v>
      </c>
      <c r="G85" s="172">
        <f t="shared" si="5"/>
        <v>0</v>
      </c>
      <c r="H85" s="173">
        <f t="shared" si="5"/>
        <v>0</v>
      </c>
      <c r="I85" s="170">
        <f t="shared" si="5"/>
        <v>0</v>
      </c>
      <c r="J85" s="2078">
        <f t="shared" si="4"/>
        <v>0</v>
      </c>
      <c r="K85" s="239">
        <f t="shared" si="4"/>
        <v>0</v>
      </c>
      <c r="L85" s="240">
        <f t="shared" si="5"/>
        <v>0</v>
      </c>
      <c r="M85" s="241">
        <f t="shared" si="5"/>
        <v>0</v>
      </c>
      <c r="N85" s="241">
        <f t="shared" si="5"/>
        <v>0</v>
      </c>
      <c r="O85" s="241">
        <f t="shared" si="5"/>
        <v>0</v>
      </c>
      <c r="P85" s="242">
        <f t="shared" si="5"/>
        <v>0</v>
      </c>
      <c r="T85" s="66"/>
    </row>
    <row r="86" spans="1:21" s="65" customFormat="1">
      <c r="A86" s="2125"/>
      <c r="B86" s="2166"/>
      <c r="C86" s="2166"/>
      <c r="D86" s="2125"/>
      <c r="E86" s="2125"/>
      <c r="F86" s="2125"/>
      <c r="G86" s="134"/>
      <c r="H86" s="134"/>
      <c r="I86" s="44"/>
      <c r="J86" s="2072"/>
      <c r="K86" s="255"/>
      <c r="L86" s="256"/>
      <c r="M86" s="134"/>
      <c r="N86" s="134"/>
      <c r="O86" s="134"/>
      <c r="P86" s="134"/>
      <c r="Q86" s="134"/>
      <c r="U86" s="66"/>
    </row>
    <row r="87" spans="1:21" s="65" customFormat="1">
      <c r="A87" s="2407" t="s">
        <v>713</v>
      </c>
      <c r="B87" s="2408"/>
      <c r="C87" s="2124" t="s">
        <v>13</v>
      </c>
      <c r="D87" s="2125"/>
      <c r="E87" s="2125"/>
      <c r="F87" s="2125"/>
      <c r="G87" s="134"/>
      <c r="H87" s="134"/>
      <c r="I87" s="134"/>
      <c r="J87" s="2072"/>
      <c r="K87" s="134"/>
      <c r="L87" s="134"/>
      <c r="M87" s="134"/>
      <c r="N87" s="134"/>
      <c r="O87" s="134"/>
      <c r="P87" s="134"/>
      <c r="T87" s="66"/>
    </row>
    <row r="88" spans="1:21" s="65" customFormat="1">
      <c r="A88" s="2126" t="s">
        <v>1</v>
      </c>
      <c r="B88" s="2126" t="s">
        <v>100</v>
      </c>
      <c r="C88" s="2127" t="s">
        <v>97</v>
      </c>
      <c r="D88" s="2128" t="s">
        <v>494</v>
      </c>
      <c r="E88" s="2129" t="s">
        <v>495</v>
      </c>
      <c r="F88" s="2130" t="s">
        <v>496</v>
      </c>
      <c r="G88" s="140" t="s">
        <v>101</v>
      </c>
      <c r="H88" s="141" t="s">
        <v>98</v>
      </c>
      <c r="I88" s="141" t="s">
        <v>96</v>
      </c>
      <c r="J88" s="2073" t="s">
        <v>715</v>
      </c>
      <c r="K88" s="216" t="s">
        <v>716</v>
      </c>
      <c r="L88" s="217">
        <v>0</v>
      </c>
      <c r="M88" s="218">
        <v>1</v>
      </c>
      <c r="N88" s="218">
        <v>2</v>
      </c>
      <c r="O88" s="218">
        <v>3</v>
      </c>
      <c r="P88" s="219" t="s">
        <v>1367</v>
      </c>
      <c r="T88" s="66"/>
    </row>
    <row r="89" spans="1:21" s="65" customFormat="1">
      <c r="A89" s="2131" t="s">
        <v>28</v>
      </c>
      <c r="B89" s="2132">
        <f>IFERROR(VLOOKUP(A89,'ИПП 2кв25'!$B$42:$N$54,6,0),"")</f>
        <v>158</v>
      </c>
      <c r="C89" s="2133">
        <f>IFERROR(VLOOKUP(A89,'ИПП 2кв25'!$B$42:$N$54,7,0),"")</f>
        <v>20228765</v>
      </c>
      <c r="D89" s="2167">
        <f>SUMIFS(Март25515253[м2],Март25515253[КТУ],$A89,Март25515253[№ дома],$C$87,Март25515253[Комнатность],"&lt;&gt;Офис")</f>
        <v>59.09</v>
      </c>
      <c r="E89" s="2168">
        <f>SUMIFS(Март25515253[Сумма без отделки],Март25515253[КТУ],$A89,Март25515253[№ дома],$C$87,Март25515253[Комнатность],"&lt;&gt;Офис")</f>
        <v>6795350</v>
      </c>
      <c r="F89" s="2169">
        <f>COUNTIFS(Март25515253[КТУ],$A89,Март25515253[№ дома],$C$87,Март25515253[Комнатность],"&lt;&gt;Офис")</f>
        <v>1</v>
      </c>
      <c r="G89" s="202">
        <f>SUMIFS(РД[S],РД[Дом],$C$87,РД[МОП],A89,РД[Дата подачи на регистрацию],"&lt;="&amp;$A$1,РД[Дата подачи на регистрацию],"&gt;="&amp;DATE(YEAR($A$1),MONTH($A$1),1),РД[Состояние],"Продажа")</f>
        <v>59.09</v>
      </c>
      <c r="H89" s="203">
        <f>SUMIFS(РД[Стоимость без отделки итог],РД[Дом],$C$87,РД[МОП],A89,РД[Дата подачи на регистрацию],"&lt;="&amp;$A$1,РД[Дата подачи на регистрацию],"&gt;="&amp;DATE(YEAR($A$1),MONTH($A$1),1),РД[Состояние],"Продажа")</f>
        <v>6795350</v>
      </c>
      <c r="I89" s="226">
        <f>COUNTIFS(РД[Дом],$C$87,РД[МОП],A89,РД[Дата подачи на регистрацию],"&lt;="&amp;$A$1,РД[Дата подачи на регистрацию],"&gt;="&amp;DATE(YEAR($A$1),MONTH($A$1),1),РД[Состояние],"Продажа")</f>
        <v>1</v>
      </c>
      <c r="J89" s="2075">
        <f t="shared" ref="J89:K96" si="6">IFERROR(G89/B89,)</f>
        <v>0.37398734177215193</v>
      </c>
      <c r="K89" s="225">
        <f t="shared" si="6"/>
        <v>0.33592510467149134</v>
      </c>
      <c r="L89" s="257">
        <f>COUNTIFS(РД[Тип кв],L$88,РД[МОП],$A89,РД[Дом],$C$87,РД[Дата подачи на регистрацию],"&lt;="&amp;$A$1,РД[Дата подачи на регистрацию],"&gt;="&amp;DATE(YEAR($A$1),MONTH($A$1),1))</f>
        <v>0</v>
      </c>
      <c r="M89" s="226">
        <f>COUNTIFS(РД[Тип кв],M$88,РД[МОП],$A89,РД[Дом],$C$87,РД[Дата подачи на регистрацию],"&lt;="&amp;$A$1,РД[Дата подачи на регистрацию],"&gt;="&amp;DATE(YEAR($A$1),MONTH($A$1),1))</f>
        <v>0</v>
      </c>
      <c r="N89" s="226">
        <f>COUNTIFS(РД[Тип кв],N$88,РД[МОП],$A89,РД[Дом],$C$87,РД[Дата подачи на регистрацию],"&lt;="&amp;$A$1,РД[Дата подачи на регистрацию],"&gt;="&amp;DATE(YEAR($A$1),MONTH($A$1),1))</f>
        <v>1</v>
      </c>
      <c r="O89" s="226">
        <f>COUNTIFS(РД[Тип кв],O$88,РД[МОП],$A89,РД[Дом],$C$87,РД[Дата подачи на регистрацию],"&lt;="&amp;$A$1,РД[Дата подачи на регистрацию],"&gt;="&amp;DATE(YEAR($A$1),MONTH($A$1),1))</f>
        <v>0</v>
      </c>
      <c r="P89" s="227">
        <f>COUNTIFS(РД[Тип кв],P$88,РД[МОП],$A89,РД[Дом],$C$87,РД[Дата подачи на регистрацию],"&lt;="&amp;$A$1,РД[Дата подачи на регистрацию],"&gt;="&amp;DATE(YEAR($A$1),MONTH($A$1),1))</f>
        <v>0</v>
      </c>
      <c r="T89" s="66"/>
    </row>
    <row r="90" spans="1:21" s="65" customFormat="1">
      <c r="A90" s="2131" t="s">
        <v>8</v>
      </c>
      <c r="B90" s="2132">
        <f>IFERROR(VLOOKUP(A90,'ИПП 2кв25'!$B$42:$N$54,6,0),"")</f>
        <v>322</v>
      </c>
      <c r="C90" s="2133">
        <f>IFERROR(VLOOKUP(A90,'ИПП 2кв25'!$B$42:$N$54,7,0),"")</f>
        <v>41206744</v>
      </c>
      <c r="D90" s="2167">
        <f>SUMIFS(Март25515253[м2],Март25515253[КТУ],$A90,Март25515253[№ дома],$C$87,Март25515253[Комнатность],"&lt;&gt;Офис")</f>
        <v>303.92999999999995</v>
      </c>
      <c r="E90" s="2168">
        <f>SUMIFS(Март25515253[Сумма без отделки],Март25515253[КТУ],$A90,Март25515253[№ дома],$C$87,Март25515253[Комнатность],"&lt;&gt;Офис")</f>
        <v>37675383</v>
      </c>
      <c r="F90" s="2169">
        <f>COUNTIFS(Март25515253[КТУ],$A90,Март25515253[№ дома],$C$87,Март25515253[Комнатность],"&lt;&gt;Офис")</f>
        <v>7</v>
      </c>
      <c r="G90" s="202">
        <f>SUMIFS(РД[S],РД[Дом],$C$87,РД[МОП],A90,РД[Дата подачи на регистрацию],"&lt;="&amp;$A$1,РД[Дата подачи на регистрацию],"&gt;="&amp;DATE(YEAR($A$1),MONTH($A$1),1),РД[Состояние],"Продажа")</f>
        <v>303.93</v>
      </c>
      <c r="H90" s="203">
        <f>SUMIFS(РД[Стоимость без отделки итог],РД[Дом],$C$87,РД[МОП],A90,РД[Дата подачи на регистрацию],"&lt;="&amp;$A$1,РД[Дата подачи на регистрацию],"&gt;="&amp;DATE(YEAR($A$1),MONTH($A$1),1),РД[Состояние],"Продажа")</f>
        <v>37674573</v>
      </c>
      <c r="I90" s="226">
        <f>COUNTIFS(РД[Дом],$C$87,РД[МОП],A90,РД[Дата подачи на регистрацию],"&lt;="&amp;$A$1,РД[Дата подачи на регистрацию],"&gt;="&amp;DATE(YEAR($A$1),MONTH($A$1),1),РД[Состояние],"Продажа")</f>
        <v>7</v>
      </c>
      <c r="J90" s="2075">
        <f t="shared" si="6"/>
        <v>0.94388198757763975</v>
      </c>
      <c r="K90" s="225">
        <f t="shared" si="6"/>
        <v>0.91428172534088115</v>
      </c>
      <c r="L90" s="257">
        <f>COUNTIFS(РД[Тип кв],L$88,РД[МОП],$A90,РД[Дом],$C$87,РД[Дата подачи на регистрацию],"&lt;="&amp;$A$1,РД[Дата подачи на регистрацию],"&gt;="&amp;DATE(YEAR($A$1),MONTH($A$1),1))</f>
        <v>1</v>
      </c>
      <c r="M90" s="226">
        <f>COUNTIFS(РД[Тип кв],M$88,РД[МОП],$A90,РД[Дом],$C$87,РД[Дата подачи на регистрацию],"&lt;="&amp;$A$1,РД[Дата подачи на регистрацию],"&gt;="&amp;DATE(YEAR($A$1),MONTH($A$1),1))</f>
        <v>4</v>
      </c>
      <c r="N90" s="226">
        <f>COUNTIFS(РД[Тип кв],N$88,РД[МОП],$A90,РД[Дом],$C$87,РД[Дата подачи на регистрацию],"&lt;="&amp;$A$1,РД[Дата подачи на регистрацию],"&gt;="&amp;DATE(YEAR($A$1),MONTH($A$1),1))</f>
        <v>2</v>
      </c>
      <c r="O90" s="226">
        <f>COUNTIFS(РД[Тип кв],O$88,РД[МОП],$A90,РД[Дом],$C$87,РД[Дата подачи на регистрацию],"&lt;="&amp;$A$1,РД[Дата подачи на регистрацию],"&gt;="&amp;DATE(YEAR($A$1),MONTH($A$1),1))</f>
        <v>0</v>
      </c>
      <c r="P90" s="227">
        <f>COUNTIFS(РД[Тип кв],P$88,РД[МОП],$A90,РД[Дом],$C$87,РД[Дата подачи на регистрацию],"&lt;="&amp;$A$1,РД[Дата подачи на регистрацию],"&gt;="&amp;DATE(YEAR($A$1),MONTH($A$1),1))</f>
        <v>0</v>
      </c>
      <c r="T90" s="66"/>
    </row>
    <row r="91" spans="1:21" s="65" customFormat="1">
      <c r="A91" s="2136" t="s">
        <v>20</v>
      </c>
      <c r="B91" s="2132">
        <f>IFERROR(VLOOKUP(A91,'ИПП 2кв25'!$B$42:$N$54,6,0),"")</f>
        <v>322</v>
      </c>
      <c r="C91" s="2133">
        <f>IFERROR(VLOOKUP(A91,'ИПП 2кв25'!$B$42:$N$54,7,0),"")</f>
        <v>41206744</v>
      </c>
      <c r="D91" s="2167">
        <f>SUMIFS(Март25515253[м2],Март25515253[КТУ],$A91,Март25515253[№ дома],$C$87,Март25515253[Комнатность],"&lt;&gt;Офис")</f>
        <v>144.86000000000001</v>
      </c>
      <c r="E91" s="2168">
        <f>SUMIFS(Март25515253[Сумма без отделки],Март25515253[КТУ],$A91,Март25515253[№ дома],$C$87,Март25515253[Комнатность],"&lt;&gt;Офис")</f>
        <v>17335818</v>
      </c>
      <c r="F91" s="2169">
        <f>COUNTIFS(Март25515253[КТУ],$A91,Март25515253[№ дома],$C$87,Март25515253[Комнатность],"&lt;&gt;Офис")</f>
        <v>3</v>
      </c>
      <c r="G91" s="202">
        <f>SUMIFS(РД[S],РД[Дом],$C$87,РД[МОП],A91,РД[Дата подачи на регистрацию],"&lt;="&amp;$A$1,РД[Дата подачи на регистрацию],"&gt;="&amp;DATE(YEAR($A$1),MONTH($A$1),1),РД[Состояние],"Продажа")</f>
        <v>144.86000000000001</v>
      </c>
      <c r="H91" s="203">
        <f>SUMIFS(РД[Стоимость без отделки итог],РД[Дом],$C$87,РД[МОП],A91,РД[Дата подачи на регистрацию],"&lt;="&amp;$A$1,РД[Дата подачи на регистрацию],"&gt;="&amp;DATE(YEAR($A$1),MONTH($A$1),1),РД[Состояние],"Продажа")</f>
        <v>17335818</v>
      </c>
      <c r="I91" s="226">
        <f>COUNTIFS(РД[Дом],$C$87,РД[МОП],A91,РД[Дата подачи на регистрацию],"&lt;="&amp;$A$1,РД[Дата подачи на регистрацию],"&gt;="&amp;DATE(YEAR($A$1),MONTH($A$1),1),РД[Состояние],"Продажа")</f>
        <v>3</v>
      </c>
      <c r="J91" s="2075">
        <f t="shared" si="6"/>
        <v>0.44987577639751558</v>
      </c>
      <c r="K91" s="225">
        <f t="shared" si="6"/>
        <v>0.42070341689700114</v>
      </c>
      <c r="L91" s="257">
        <f>COUNTIFS(РД[Тип кв],L$88,РД[МОП],$A91,РД[Дом],$C$87,РД[Дата подачи на регистрацию],"&lt;="&amp;$A$1,РД[Дата подачи на регистрацию],"&gt;="&amp;DATE(YEAR($A$1),MONTH($A$1),1))</f>
        <v>1</v>
      </c>
      <c r="M91" s="226">
        <f>COUNTIFS(РД[Тип кв],M$88,РД[МОП],$A91,РД[Дом],$C$87,РД[Дата подачи на регистрацию],"&lt;="&amp;$A$1,РД[Дата подачи на регистрацию],"&gt;="&amp;DATE(YEAR($A$1),MONTH($A$1),1))</f>
        <v>0</v>
      </c>
      <c r="N91" s="226">
        <f>COUNTIFS(РД[Тип кв],N$88,РД[МОП],$A91,РД[Дом],$C$87,РД[Дата подачи на регистрацию],"&lt;="&amp;$A$1,РД[Дата подачи на регистрацию],"&gt;="&amp;DATE(YEAR($A$1),MONTH($A$1),1))</f>
        <v>2</v>
      </c>
      <c r="O91" s="226">
        <f>COUNTIFS(РД[Тип кв],O$88,РД[МОП],$A91,РД[Дом],$C$87,РД[Дата подачи на регистрацию],"&lt;="&amp;$A$1,РД[Дата подачи на регистрацию],"&gt;="&amp;DATE(YEAR($A$1),MONTH($A$1),1))</f>
        <v>0</v>
      </c>
      <c r="P91" s="227">
        <f>COUNTIFS(РД[Тип кв],P$88,РД[МОП],$A91,РД[Дом],$C$87,РД[Дата подачи на регистрацию],"&lt;="&amp;$A$1,РД[Дата подачи на регистрацию],"&gt;="&amp;DATE(YEAR($A$1),MONTH($A$1),1))</f>
        <v>0</v>
      </c>
      <c r="T91" s="66"/>
    </row>
    <row r="92" spans="1:21" s="65" customFormat="1">
      <c r="A92" s="2137" t="s">
        <v>24</v>
      </c>
      <c r="B92" s="2132">
        <f>IFERROR(VLOOKUP(A92,'ИПП 2кв25'!$B$42:$N$54,6,0),"")</f>
        <v>258</v>
      </c>
      <c r="C92" s="2133">
        <f>IFERROR(VLOOKUP(A92,'ИПП 2кв25'!$B$42:$N$54,7,0),"")</f>
        <v>32965395</v>
      </c>
      <c r="D92" s="2167">
        <f>SUMIFS(Март25515253[м2],Март25515253[КТУ],$A92,Март25515253[№ дома],$C$87,Март25515253[Комнатность],"&lt;&gt;Офис")</f>
        <v>350.61</v>
      </c>
      <c r="E92" s="2168">
        <f>SUMIFS(Март25515253[Сумма без отделки],Март25515253[КТУ],$A92,Март25515253[№ дома],$C$87,Март25515253[Комнатность],"&lt;&gt;Офис")</f>
        <v>39491858</v>
      </c>
      <c r="F92" s="2169">
        <f>COUNTIFS(Март25515253[КТУ],$A92,Март25515253[№ дома],$C$87,Март25515253[Комнатность],"&lt;&gt;Офис")</f>
        <v>6</v>
      </c>
      <c r="G92" s="202">
        <f>SUMIFS(РД[S],РД[Дом],$C$87,РД[МОП],A92,РД[Дата подачи на регистрацию],"&lt;="&amp;$A$1,РД[Дата подачи на регистрацию],"&gt;="&amp;DATE(YEAR($A$1),MONTH($A$1),1),РД[Состояние],"Продажа")</f>
        <v>350.61</v>
      </c>
      <c r="H92" s="203">
        <f>SUMIFS(РД[Стоимость без отделки итог],РД[Дом],$C$87,РД[МОП],A92,РД[Дата подачи на регистрацию],"&lt;="&amp;$A$1,РД[Дата подачи на регистрацию],"&gt;="&amp;DATE(YEAR($A$1),MONTH($A$1),1),РД[Состояние],"Продажа")</f>
        <v>39295858</v>
      </c>
      <c r="I92" s="226">
        <f>COUNTIFS(РД[Дом],$C$87,РД[МОП],A92,РД[Дата подачи на регистрацию],"&lt;="&amp;$A$1,РД[Дата подачи на регистрацию],"&gt;="&amp;DATE(YEAR($A$1),MONTH($A$1),1),РД[Состояние],"Продажа")</f>
        <v>6</v>
      </c>
      <c r="J92" s="2075">
        <f t="shared" si="6"/>
        <v>1.3589534883720931</v>
      </c>
      <c r="K92" s="225">
        <f t="shared" si="6"/>
        <v>1.1920335855220301</v>
      </c>
      <c r="L92" s="257">
        <f>COUNTIFS(РД[Тип кв],L$88,РД[МОП],$A92,РД[Дом],$C$87,РД[Дата подачи на регистрацию],"&lt;="&amp;$A$1,РД[Дата подачи на регистрацию],"&gt;="&amp;DATE(YEAR($A$1),MONTH($A$1),1))</f>
        <v>1</v>
      </c>
      <c r="M92" s="226">
        <f>COUNTIFS(РД[Тип кв],M$88,РД[МОП],$A92,РД[Дом],$C$87,РД[Дата подачи на регистрацию],"&lt;="&amp;$A$1,РД[Дата подачи на регистрацию],"&gt;="&amp;DATE(YEAR($A$1),MONTH($A$1),1))</f>
        <v>1</v>
      </c>
      <c r="N92" s="226">
        <f>COUNTIFS(РД[Тип кв],N$88,РД[МОП],$A92,РД[Дом],$C$87,РД[Дата подачи на регистрацию],"&lt;="&amp;$A$1,РД[Дата подачи на регистрацию],"&gt;="&amp;DATE(YEAR($A$1),MONTH($A$1),1))</f>
        <v>2</v>
      </c>
      <c r="O92" s="226">
        <f>COUNTIFS(РД[Тип кв],O$88,РД[МОП],$A92,РД[Дом],$C$87,РД[Дата подачи на регистрацию],"&lt;="&amp;$A$1,РД[Дата подачи на регистрацию],"&gt;="&amp;DATE(YEAR($A$1),MONTH($A$1),1))</f>
        <v>2</v>
      </c>
      <c r="P92" s="227">
        <f>COUNTIFS(РД[Тип кв],P$88,РД[МОП],$A92,РД[Дом],$C$87,РД[Дата подачи на регистрацию],"&lt;="&amp;$A$1,РД[Дата подачи на регистрацию],"&gt;="&amp;DATE(YEAR($A$1),MONTH($A$1),1))</f>
        <v>0</v>
      </c>
      <c r="T92" s="66"/>
    </row>
    <row r="93" spans="1:21" s="65" customFormat="1">
      <c r="A93" s="2137" t="s">
        <v>14</v>
      </c>
      <c r="B93" s="2132">
        <f>IFERROR(VLOOKUP(A93,'ИПП 2кв25'!$B$42:$N$54,6,0),"")</f>
        <v>322</v>
      </c>
      <c r="C93" s="2133">
        <f>IFERROR(VLOOKUP(A93,'ИПП 2кв25'!$B$42:$N$54,7,0),"")</f>
        <v>41206744</v>
      </c>
      <c r="D93" s="2167">
        <f>SUMIFS(Март25515253[м2],Март25515253[КТУ],$A93,Март25515253[№ дома],$C$87,Март25515253[Комнатность],"&lt;&gt;Офис")</f>
        <v>93.9</v>
      </c>
      <c r="E93" s="2168">
        <f>SUMIFS(Март25515253[Сумма без отделки],Март25515253[КТУ],$A93,Март25515253[№ дома],$C$87,Март25515253[Комнатность],"&lt;&gt;Офис")</f>
        <v>11592870</v>
      </c>
      <c r="F93" s="2169">
        <f>COUNTIFS(Март25515253[КТУ],$A93,Март25515253[№ дома],$C$87,Март25515253[Комнатность],"&lt;&gt;Офис")</f>
        <v>2</v>
      </c>
      <c r="G93" s="202">
        <f>SUMIFS(РД[S],РД[Дом],$C$87,РД[МОП],A93,РД[Дата подачи на регистрацию],"&lt;="&amp;$A$1,РД[Дата подачи на регистрацию],"&gt;="&amp;DATE(YEAR($A$1),MONTH($A$1),1),РД[Состояние],"Продажа")</f>
        <v>93.9</v>
      </c>
      <c r="H93" s="203">
        <f>SUMIFS(РД[Стоимость без отделки итог],РД[Дом],$C$87,РД[МОП],A93,РД[Дата подачи на регистрацию],"&lt;="&amp;$A$1,РД[Дата подачи на регистрацию],"&gt;="&amp;DATE(YEAR($A$1),MONTH($A$1),1),РД[Состояние],"Продажа")</f>
        <v>11592870</v>
      </c>
      <c r="I93" s="226">
        <f>COUNTIFS(РД[Дом],$C$87,РД[МОП],A93,РД[Дата подачи на регистрацию],"&lt;="&amp;$A$1,РД[Дата подачи на регистрацию],"&gt;="&amp;DATE(YEAR($A$1),MONTH($A$1),1),РД[Состояние],"Продажа")</f>
        <v>2</v>
      </c>
      <c r="J93" s="2075">
        <f t="shared" ref="J93:J94" si="7">IFERROR(G93/B93,)</f>
        <v>0.29161490683229818</v>
      </c>
      <c r="K93" s="225">
        <f t="shared" ref="K93:K94" si="8">IFERROR(H93/C93,)</f>
        <v>0.28133428838735719</v>
      </c>
      <c r="L93" s="257">
        <f>COUNTIFS(РД[Тип кв],L$88,РД[МОП],$A93,РД[Дом],$C$87,РД[Дата подачи на регистрацию],"&lt;="&amp;$A$1,РД[Дата подачи на регистрацию],"&gt;="&amp;DATE(YEAR($A$1),MONTH($A$1),1))</f>
        <v>0</v>
      </c>
      <c r="M93" s="226">
        <f>COUNTIFS(РД[Тип кв],M$88,РД[МОП],$A93,РД[Дом],$C$87,РД[Дата подачи на регистрацию],"&lt;="&amp;$A$1,РД[Дата подачи на регистрацию],"&gt;="&amp;DATE(YEAR($A$1),MONTH($A$1),1))</f>
        <v>1</v>
      </c>
      <c r="N93" s="226">
        <f>COUNTIFS(РД[Тип кв],N$88,РД[МОП],$A93,РД[Дом],$C$87,РД[Дата подачи на регистрацию],"&lt;="&amp;$A$1,РД[Дата подачи на регистрацию],"&gt;="&amp;DATE(YEAR($A$1),MONTH($A$1),1))</f>
        <v>1</v>
      </c>
      <c r="O93" s="226">
        <f>COUNTIFS(РД[Тип кв],O$88,РД[МОП],$A93,РД[Дом],$C$87,РД[Дата подачи на регистрацию],"&lt;="&amp;$A$1,РД[Дата подачи на регистрацию],"&gt;="&amp;DATE(YEAR($A$1),MONTH($A$1),1))</f>
        <v>0</v>
      </c>
      <c r="P93" s="227">
        <f>COUNTIFS(РД[Тип кв],P$88,РД[МОП],$A93,РД[Дом],$C$87,РД[Дата подачи на регистрацию],"&lt;="&amp;$A$1,РД[Дата подачи на регистрацию],"&gt;="&amp;DATE(YEAR($A$1),MONTH($A$1),1))</f>
        <v>0</v>
      </c>
      <c r="T93" s="66"/>
    </row>
    <row r="94" spans="1:21" s="65" customFormat="1">
      <c r="A94" s="2137" t="s">
        <v>1884</v>
      </c>
      <c r="B94" s="2132">
        <f>IFERROR(VLOOKUP(A94,'ИПП 2кв25'!$B$42:$N$54,6,0),"")</f>
        <v>68</v>
      </c>
      <c r="C94" s="2133">
        <f>IFERROR(VLOOKUP(A94,'ИПП 2кв25'!$B$42:$N$54,7,0),"")</f>
        <v>8740824</v>
      </c>
      <c r="D94" s="2167">
        <f>SUMIFS(Март25515253[м2],Март25515253[КТУ],$A94,Март25515253[№ дома],$C$87,Март25515253[Комнатность],"&lt;&gt;Офис")</f>
        <v>67.28</v>
      </c>
      <c r="E94" s="2168">
        <f>SUMIFS(Март25515253[Сумма без отделки],Март25515253[КТУ],$A94,Март25515253[№ дома],$C$87,Март25515253[Комнатность],"&lt;&gt;Офис")</f>
        <v>8930990</v>
      </c>
      <c r="F94" s="2169">
        <f>COUNTIFS(Март25515253[КТУ],$A94,Март25515253[№ дома],$C$87,Март25515253[Комнатность],"&lt;&gt;Офис")</f>
        <v>2</v>
      </c>
      <c r="G94" s="202">
        <f>SUMIFS(РД[S],РД[Дом],$C$87,РД[МОП],A94,РД[Дата подачи на регистрацию],"&lt;="&amp;$A$1,РД[Дата подачи на регистрацию],"&gt;="&amp;DATE(YEAR($A$1),MONTH($A$1),1),РД[Состояние],"Продажа")</f>
        <v>67.28</v>
      </c>
      <c r="H94" s="203">
        <f>SUMIFS(РД[Стоимость без отделки итог],РД[Дом],$C$87,РД[МОП],A94,РД[Дата подачи на регистрацию],"&lt;="&amp;$A$1,РД[Дата подачи на регистрацию],"&gt;="&amp;DATE(YEAR($A$1),MONTH($A$1),1),РД[Состояние],"Продажа")</f>
        <v>8930990</v>
      </c>
      <c r="I94" s="226">
        <f>COUNTIFS(РД[Дом],$C$87,РД[МОП],A94,РД[Дата подачи на регистрацию],"&lt;="&amp;$A$1,РД[Дата подачи на регистрацию],"&gt;="&amp;DATE(YEAR($A$1),MONTH($A$1),1),РД[Состояние],"Продажа")</f>
        <v>2</v>
      </c>
      <c r="J94" s="2075">
        <f t="shared" si="7"/>
        <v>0.98941176470588232</v>
      </c>
      <c r="K94" s="225">
        <f t="shared" si="8"/>
        <v>1.0217560724252084</v>
      </c>
      <c r="L94" s="257">
        <f>COUNTIFS(РД[Тип кв],L$88,РД[МОП],$A94,РД[Дом],$C$87,РД[Дата подачи на регистрацию],"&lt;="&amp;$A$1,РД[Дата подачи на регистрацию],"&gt;="&amp;DATE(YEAR($A$1),MONTH($A$1),1))</f>
        <v>1</v>
      </c>
      <c r="M94" s="226">
        <f>COUNTIFS(РД[Тип кв],M$88,РД[МОП],$A94,РД[Дом],$C$87,РД[Дата подачи на регистрацию],"&lt;="&amp;$A$1,РД[Дата подачи на регистрацию],"&gt;="&amp;DATE(YEAR($A$1),MONTH($A$1),1))</f>
        <v>1</v>
      </c>
      <c r="N94" s="226">
        <f>COUNTIFS(РД[Тип кв],N$88,РД[МОП],$A94,РД[Дом],$C$87,РД[Дата подачи на регистрацию],"&lt;="&amp;$A$1,РД[Дата подачи на регистрацию],"&gt;="&amp;DATE(YEAR($A$1),MONTH($A$1),1))</f>
        <v>0</v>
      </c>
      <c r="O94" s="226">
        <f>COUNTIFS(РД[Тип кв],O$88,РД[МОП],$A94,РД[Дом],$C$87,РД[Дата подачи на регистрацию],"&lt;="&amp;$A$1,РД[Дата подачи на регистрацию],"&gt;="&amp;DATE(YEAR($A$1),MONTH($A$1),1))</f>
        <v>0</v>
      </c>
      <c r="P94" s="227">
        <f>COUNTIFS(РД[Тип кв],P$88,РД[МОП],$A94,РД[Дом],$C$87,РД[Дата подачи на регистрацию],"&lt;="&amp;$A$1,РД[Дата подачи на регистрацию],"&gt;="&amp;DATE(YEAR($A$1),MONTH($A$1),1))</f>
        <v>0</v>
      </c>
      <c r="T94" s="66"/>
    </row>
    <row r="95" spans="1:21" s="65" customFormat="1">
      <c r="A95" s="2138" t="s">
        <v>29</v>
      </c>
      <c r="B95" s="2139"/>
      <c r="C95" s="2140"/>
      <c r="D95" s="2141">
        <f>SUMIFS(Март25515253[м2],Март25515253[КТУ],$A95,Март25515253[№ дома],$C$87,Март25515253[Комнатность],"&lt;&gt;Офис")</f>
        <v>0</v>
      </c>
      <c r="E95" s="2140">
        <f>SUMIFS(Март25515253[Сумма без отделки],Март25515253[КТУ],$A95,Март25515253[№ дома],$C$87,Март25515253[Комнатность],"&lt;&gt;Офис")</f>
        <v>0</v>
      </c>
      <c r="F95" s="2142">
        <f>COUNTIFS(Март25515253[КТУ],$A95,Март25515253[№ дома],$C$87,Март25515253[Комнатность],"&lt;&gt;Офис")</f>
        <v>0</v>
      </c>
      <c r="G95" s="159">
        <f>SUMIFS(РД[S],РД[Дом],$C$87,РД[МОП],A95,РД[Дата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H95" s="160">
        <f>SUMIFS(РД[Стоимость без отделки итог],РД[Дом],$C$87,РД[МОП],A95,РД[Дата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I95" s="228">
        <f>COUNTIFS(РД[Дом],$C$87,РД[МОП],A95,РД[Дата подачи на регистрацию],"&lt;="&amp;$A$1,РД[Дата подачи на регистрацию],"&gt;="&amp;DATE(YEAR($A$1),MONTH($A$1),1),РД[Состояние],"Продажа")</f>
        <v>0</v>
      </c>
      <c r="J95" s="2076">
        <f t="shared" si="6"/>
        <v>0</v>
      </c>
      <c r="K95" s="230">
        <f t="shared" si="6"/>
        <v>0</v>
      </c>
      <c r="L95" s="159">
        <f>COUNTIFS(РД[Тип кв],L$88,РД[МОП],$A95,РД[Дом],$C$87,РД[Дата подачи на регистрацию],"&lt;="&amp;$A$1,РД[Дата подачи на регистрацию],"&gt;="&amp;DATE(YEAR($A$1),MONTH($A$1),1))</f>
        <v>0</v>
      </c>
      <c r="M95" s="228">
        <f>COUNTIFS(РД[Тип кв],M$88,РД[МОП],$A95,РД[Дом],$C$87,РД[Дата подачи на регистрацию],"&lt;="&amp;$A$1,РД[Дата подачи на регистрацию],"&gt;="&amp;DATE(YEAR($A$1),MONTH($A$1),1))</f>
        <v>0</v>
      </c>
      <c r="N95" s="228">
        <f>COUNTIFS(РД[Тип кв],N$88,РД[МОП],$A95,РД[Дом],$C$87,РД[Дата подачи на регистрацию],"&lt;="&amp;$A$1,РД[Дата подачи на регистрацию],"&gt;="&amp;DATE(YEAR($A$1),MONTH($A$1),1))</f>
        <v>0</v>
      </c>
      <c r="O95" s="228">
        <f>COUNTIFS(РД[Тип кв],O$88,РД[МОП],$A95,РД[Дом],$C$87,РД[Дата подачи на регистрацию],"&lt;="&amp;$A$1,РД[Дата подачи на регистрацию],"&gt;="&amp;DATE(YEAR($A$1),MONTH($A$1),1))</f>
        <v>0</v>
      </c>
      <c r="P95" s="231">
        <f>COUNTIFS(РД[Тип кв],P$88,РД[МОП],$A95,РД[Дом],$C$87,РД[Дата подачи на регистрацию],"&lt;="&amp;$A$1,РД[Дата подачи на регистрацию],"&gt;="&amp;DATE(YEAR($A$1),MONTH($A$1),1))</f>
        <v>0</v>
      </c>
      <c r="T95" s="66"/>
    </row>
    <row r="96" spans="1:21" s="65" customFormat="1">
      <c r="A96" s="2143" t="s">
        <v>1919</v>
      </c>
      <c r="B96" s="2144"/>
      <c r="C96" s="2145"/>
      <c r="D96" s="2146">
        <f>SUMIFS(Март25515253[м2],Март25515253[МОП],$A96,Март25515253[№ дома],$C$87,Март25515253[Комнатность],"&lt;&gt;Офис")</f>
        <v>270.39999999999998</v>
      </c>
      <c r="E96" s="2145">
        <f>SUMIFS(Март25515253[Сумма без отделки],Март25515253[МОП],$A96,Март25515253[№ дома],$C$87,Март25515253[Комнатность],"&lt;&gt;Офис")</f>
        <v>32782248</v>
      </c>
      <c r="F96" s="2147">
        <f>COUNTIFS(Март25515253[МОП],$A96,Март25515253[№ дома],$C$87,Март25515253[Комнатность],"&lt;&gt;Офис")</f>
        <v>6</v>
      </c>
      <c r="G96" s="166">
        <f>SUMIFS(РД[S],РД[Дом],$C$87,РД[МОП],A96,РД[Дата подачи на регистрацию],"&lt;="&amp;$A$1,РД[Дата подачи на регистрацию],"&gt;="&amp;DATE(YEAR($A$1),MONTH($A$1),1),РД[Состояние],"Продажа")</f>
        <v>0</v>
      </c>
      <c r="H96" s="167">
        <f>SUMIFS(РД[Стоимость без отделки итог],РД[Дом],$C$87,РД[МОП],A96,РД[Дата подачи на регистрацию],"&lt;="&amp;$A$1,РД[Дата подачи на регистрацию],"&gt;="&amp;DATE(YEAR($A$1),MONTH($A$1),1),РД[Состояние],"Продажа")</f>
        <v>0</v>
      </c>
      <c r="I96" s="232">
        <f>COUNTIFS(РД[Дом],$C$87,РД[МОП],A96,РД[Дата подачи на регистрацию],"&lt;="&amp;$A$1,РД[Дата подачи на регистрацию],"&gt;="&amp;DATE(YEAR($A$1),MONTH($A$1),1),РД[Состояние],"Продажа")</f>
        <v>0</v>
      </c>
      <c r="J96" s="2077">
        <f t="shared" si="6"/>
        <v>0</v>
      </c>
      <c r="K96" s="234">
        <f t="shared" si="6"/>
        <v>0</v>
      </c>
      <c r="L96" s="235">
        <f>COUNTIFS(РД[Тип кв],L$88,РД[МОП],$A96,РД[Дом],$C$87,РД[Дата подачи на регистрацию],"&lt;="&amp;$A$1,РД[Дата подачи на регистрацию],"&gt;="&amp;DATE(YEAR($A$1),MONTH($A$1),1))</f>
        <v>0</v>
      </c>
      <c r="M96" s="236">
        <f>COUNTIFS(РД[Тип кв],M$88,РД[МОП],$A96,РД[Дом],$C$87,РД[Дата подачи на регистрацию],"&lt;="&amp;$A$1,РД[Дата подачи на регистрацию],"&gt;="&amp;DATE(YEAR($A$1),MONTH($A$1),1))</f>
        <v>0</v>
      </c>
      <c r="N96" s="236">
        <f>COUNTIFS(РД[Тип кв],N$88,РД[МОП],$A96,РД[Дом],$C$87,РД[Дата подачи на регистрацию],"&lt;="&amp;$A$1,РД[Дата подачи на регистрацию],"&gt;="&amp;DATE(YEAR($A$1),MONTH($A$1),1))</f>
        <v>0</v>
      </c>
      <c r="O96" s="236">
        <f>COUNTIFS(РД[Тип кв],O$88,РД[МОП],$A96,РД[Дом],$C$87,РД[Дата подачи на регистрацию],"&lt;="&amp;$A$1,РД[Дата подачи на регистрацию],"&gt;="&amp;DATE(YEAR($A$1),MONTH($A$1),1))</f>
        <v>0</v>
      </c>
      <c r="P96" s="237">
        <f>COUNTIFS(РД[Тип кв],P$88,РД[МОП],$A96,РД[Дом],$C$87,РД[Дата подачи на регистрацию],"&lt;="&amp;$A$1,РД[Дата подачи на регистрацию],"&gt;="&amp;DATE(YEAR($A$1),MONTH($A$1),1))</f>
        <v>0</v>
      </c>
      <c r="T96" s="66"/>
    </row>
    <row r="97" spans="1:21" s="65" customFormat="1">
      <c r="A97" s="2148" t="s">
        <v>114</v>
      </c>
      <c r="B97" s="2149">
        <f t="shared" ref="B97:I97" si="9">SUM(B89:B96)</f>
        <v>1450</v>
      </c>
      <c r="C97" s="2150">
        <f t="shared" si="9"/>
        <v>185555216</v>
      </c>
      <c r="D97" s="2150">
        <f t="shared" si="9"/>
        <v>1290.07</v>
      </c>
      <c r="E97" s="2150">
        <f t="shared" si="9"/>
        <v>154604517</v>
      </c>
      <c r="F97" s="2151">
        <f t="shared" si="9"/>
        <v>27</v>
      </c>
      <c r="G97" s="172">
        <f t="shared" si="9"/>
        <v>1019.67</v>
      </c>
      <c r="H97" s="173">
        <f t="shared" si="9"/>
        <v>121625459</v>
      </c>
      <c r="I97" s="170">
        <f t="shared" si="9"/>
        <v>21</v>
      </c>
      <c r="J97" s="2078">
        <f t="shared" ref="J97:K97" si="10">IFERROR(G97/B97,"")</f>
        <v>0.70322068965517237</v>
      </c>
      <c r="K97" s="239">
        <f t="shared" si="10"/>
        <v>0.65546774497570581</v>
      </c>
      <c r="L97" s="240">
        <f>SUM(L89:L96)</f>
        <v>4</v>
      </c>
      <c r="M97" s="241">
        <f>SUM(M89:M96)</f>
        <v>7</v>
      </c>
      <c r="N97" s="241">
        <f>SUM(N89:N96)</f>
        <v>8</v>
      </c>
      <c r="O97" s="241">
        <f>SUM(O89:O96)</f>
        <v>2</v>
      </c>
      <c r="P97" s="242">
        <f>SUM(P89:P96)</f>
        <v>0</v>
      </c>
      <c r="T97" s="66"/>
    </row>
    <row r="98" spans="1:21" s="65" customFormat="1">
      <c r="A98" s="2126" t="s">
        <v>115</v>
      </c>
      <c r="B98" s="2126" t="s">
        <v>100</v>
      </c>
      <c r="C98" s="2127" t="s">
        <v>97</v>
      </c>
      <c r="D98" s="2128" t="s">
        <v>494</v>
      </c>
      <c r="E98" s="2129" t="s">
        <v>495</v>
      </c>
      <c r="F98" s="2130" t="s">
        <v>496</v>
      </c>
      <c r="G98" s="140" t="s">
        <v>101</v>
      </c>
      <c r="H98" s="141" t="s">
        <v>98</v>
      </c>
      <c r="I98" s="141" t="s">
        <v>96</v>
      </c>
      <c r="J98" s="2073" t="s">
        <v>715</v>
      </c>
      <c r="K98" s="216" t="s">
        <v>716</v>
      </c>
      <c r="L98" s="217">
        <v>0</v>
      </c>
      <c r="M98" s="218">
        <v>1</v>
      </c>
      <c r="N98" s="218">
        <v>2</v>
      </c>
      <c r="O98" s="218">
        <v>3</v>
      </c>
      <c r="P98" s="219" t="s">
        <v>1367</v>
      </c>
      <c r="T98" s="66"/>
    </row>
    <row r="99" spans="1:21" s="65" customFormat="1">
      <c r="A99" s="2152" t="s">
        <v>22</v>
      </c>
      <c r="B99" s="2153">
        <f>IFERROR(VLOOKUP(A99,'ИПП 2кв25'!$B$42:$N$54,6,0),"")</f>
        <v>501.51376146788994</v>
      </c>
      <c r="C99" s="2154">
        <f>IFERROR(VLOOKUP(A99,'ИПП 2кв25'!$B$42:$N$54,7,0),"")</f>
        <v>64178271.955963306</v>
      </c>
      <c r="D99" s="2155">
        <f>SUMIFS(Март25515253[м2],Март25515253[ИМ],A99,Март25515253[№ дома],$C$87,Март25515253[Комнатность],"&lt;&gt;Офис")</f>
        <v>524.79999999999995</v>
      </c>
      <c r="E99" s="2156">
        <f>SUMIFS(Март25515253[Сумма без отделки],Март25515253[ИМ],$A99,Март25515253[№ дома],$C$87,Март25515253[Комнатность],"&lt;&gt;Офис")</f>
        <v>64289529</v>
      </c>
      <c r="F99" s="2170">
        <f>COUNTIFS(Март25515253[ИМ],$A99,Март25515253[№ дома],$C$87,Март25515253[Комнатность],"&lt;&gt;Офис")</f>
        <v>12</v>
      </c>
      <c r="G99" s="183">
        <f>SUMIFS(РД[S],РД[Дом],$C$87,РД[ИМ],A99,РД[Дата подачи на регистрацию],"&lt;="&amp;$A$1,РД[Дата подачи на регистрацию],"&gt;="&amp;DATE(YEAR($A$1),MONTH($A$1),1),РД[Состояние],"Продажа")</f>
        <v>465.70999999999992</v>
      </c>
      <c r="H99" s="184">
        <f>SUMIFS(РД[Стоимость без отделки итог],РД[Дом],$C$87,РД[ИМ],A99,РД[Дата подачи на регистрацию],"&lt;="&amp;$A$1,РД[Дата подачи на регистрацию],"&gt;="&amp;DATE(YEAR($A$1),MONTH($A$1),1),РД[Состояние],"Продажа")</f>
        <v>57297369</v>
      </c>
      <c r="I99" s="243">
        <f>COUNTIFS(РД[Дом],$C$87,РД[ИМ],A99,РД[Дата подачи на регистрацию],"&lt;="&amp;$A$1,РД[Дата подачи на регистрацию],"&gt;="&amp;DATE(YEAR($A$1),MONTH($A$1),1),РД[Состояние],"Продажа")</f>
        <v>11</v>
      </c>
      <c r="J99" s="2079">
        <f t="shared" ref="J99:K101" si="11">IFERROR(G99/B99,"")</f>
        <v>0.92860861611634482</v>
      </c>
      <c r="K99" s="258">
        <f t="shared" si="11"/>
        <v>0.89278453990340034</v>
      </c>
      <c r="L99" s="183">
        <f>COUNTIFS(РД[Тип кв],L88,РД[ИМ],$A99,РД[Дом],$C$87,РД[Дата подачи на регистрацию],"&lt;="&amp;$A$1,РД[Дата подачи на регистрацию],"&gt;="&amp;DATE(YEAR($A$1),MONTH($A$1),1))</f>
        <v>4</v>
      </c>
      <c r="M99" s="243">
        <f>COUNTIFS(РД[Тип кв],M88,РД[ИМ],$A99,РД[Дом],$C$87,РД[Дата подачи на регистрацию],"&lt;="&amp;$A$1,РД[Дата подачи на регистрацию],"&gt;="&amp;DATE(YEAR($A$1),MONTH($A$1),1))</f>
        <v>3</v>
      </c>
      <c r="N99" s="243">
        <f>COUNTIFS(РД[Тип кв],N88,РД[ИМ],$A99,РД[Дом],$C$87,РД[Дата подачи на регистрацию],"&lt;="&amp;$A$1,РД[Дата подачи на регистрацию],"&gt;="&amp;DATE(YEAR($A$1),MONTH($A$1),1))</f>
        <v>4</v>
      </c>
      <c r="O99" s="243">
        <f>COUNTIFS(РД[Тип кв],O88,РД[ИМ],$A99,РД[Дом],$C$87,РД[Дата подачи на регистрацию],"&lt;="&amp;$A$1,РД[Дата подачи на регистрацию],"&gt;="&amp;DATE(YEAR($A$1),MONTH($A$1),1))</f>
        <v>0</v>
      </c>
      <c r="P99" s="246">
        <f>COUNTIFS(РД[Тип кв],P88,РД[ИМ],$A99,РД[Дом],$C$87,РД[Дата подачи на регистрацию],"&lt;="&amp;$A$1,РД[Дата подачи на регистрацию],"&gt;="&amp;DATE(YEAR($A$1),MONTH($A$1),1))</f>
        <v>0</v>
      </c>
      <c r="T99" s="66"/>
    </row>
    <row r="100" spans="1:21" s="65" customFormat="1">
      <c r="A100" s="2136" t="s">
        <v>26</v>
      </c>
      <c r="B100" s="2132">
        <f>IFERROR(VLOOKUP(A100,'ИПП 2кв25'!$B$42:$N$54,6,0),"")</f>
        <v>440.98623853211012</v>
      </c>
      <c r="C100" s="2133">
        <f>IFERROR(VLOOKUP(A100,'ИПП 2кв25'!$B$42:$N$54,7,0),"")</f>
        <v>56432618.4440367</v>
      </c>
      <c r="D100" s="2171">
        <f>SUMIFS(Март25515253[м2],Март25515253[ИМ],A100,Март25515253[№ дома],$C$87,Март25515253[Комнатность],"&lt;&gt;Офис")</f>
        <v>494.87000000000006</v>
      </c>
      <c r="E100" s="2172">
        <f>SUMIFS(Март25515253[Сумма без отделки],Март25515253[ИМ],$A100,Март25515253[№ дома],$C$87,Март25515253[Комнатность],"&lt;&gt;Офис")</f>
        <v>57532740</v>
      </c>
      <c r="F100" s="2173">
        <f>COUNTIFS(Март25515253[ИМ],$A100,Март25515253[№ дома],$C$87,Март25515253[Комнатность],"&lt;&gt;Офис")</f>
        <v>9</v>
      </c>
      <c r="G100" s="187">
        <f>SUMIFS(РД[S],РД[Дом],$C$87,РД[ИМ],A100,РД[Дата подачи на регистрацию],"&lt;="&amp;$A$1,РД[Дата подачи на регистрацию],"&gt;="&amp;DATE(YEAR($A$1),MONTH($A$1),1),РД[Состояние],"Продажа")</f>
        <v>351.73</v>
      </c>
      <c r="H100" s="188">
        <f>SUMIFS(РД[Стоимость без отделки итог],РД[Дом],$C$87,РД[ИМ],A100,РД[Дата подачи на регистрацию],"&lt;="&amp;$A$1,РД[Дата подачи на регистрацию],"&gt;="&amp;DATE(YEAR($A$1),MONTH($A$1),1),РД[Состояние],"Продажа")</f>
        <v>41700600</v>
      </c>
      <c r="I100" s="247">
        <f>COUNTIFS(РД[Дом],$C$87,РД[ИМ],A100,РД[Дата подачи на регистрацию],"&lt;="&amp;$A$1,РД[Дата подачи на регистрацию],"&gt;="&amp;DATE(YEAR($A$1),MONTH($A$1),1),РД[Состояние],"Продажа")</f>
        <v>7</v>
      </c>
      <c r="J100" s="2080">
        <f t="shared" si="11"/>
        <v>0.79759858532272321</v>
      </c>
      <c r="K100" s="259">
        <f t="shared" si="11"/>
        <v>0.73894497809549275</v>
      </c>
      <c r="L100" s="187">
        <f>COUNTIFS(РД[Тип кв],L$88,РД[ИМ],$A100,РД[Дом],$C$87,РД[Дата подачи на регистрацию],"&lt;="&amp;$A$1,РД[Дата подачи на регистрацию],"&gt;="&amp;DATE(YEAR($A$1),MONTH($A$1),1))</f>
        <v>0</v>
      </c>
      <c r="M100" s="247">
        <f>COUNTIFS(РД[Тип кв],M$88,РД[ИМ],$A100,РД[Дом],$C$87,РД[Дата подачи на регистрацию],"&lt;="&amp;$A$1,РД[Дата подачи на регистрацию],"&gt;="&amp;DATE(YEAR($A$1),MONTH($A$1),1))</f>
        <v>4</v>
      </c>
      <c r="N100" s="247">
        <f>COUNTIFS(РД[Тип кв],N$88,РД[ИМ],$A100,РД[Дом],$C$87,РД[Дата подачи на регистрацию],"&lt;="&amp;$A$1,РД[Дата подачи на регистрацию],"&gt;="&amp;DATE(YEAR($A$1),MONTH($A$1),1))</f>
        <v>2</v>
      </c>
      <c r="O100" s="247">
        <f>COUNTIFS(РД[Тип кв],O$88,РД[ИМ],$A100,РД[Дом],$C$87,РД[Дата подачи на регистрацию],"&lt;="&amp;$A$1,РД[Дата подачи на регистрацию],"&gt;="&amp;DATE(YEAR($A$1),MONTH($A$1),1))</f>
        <v>1</v>
      </c>
      <c r="P100" s="250">
        <f>COUNTIFS(РД[Тип кв],P$88,РД[ИМ],$A100,РД[Дом],$C$87,РД[Дата подачи на регистрацию],"&lt;="&amp;$A$1,РД[Дата подачи на регистрацию],"&gt;="&amp;DATE(YEAR($A$1),MONTH($A$1),1))</f>
        <v>0</v>
      </c>
      <c r="T100" s="66"/>
    </row>
    <row r="101" spans="1:21" s="65" customFormat="1">
      <c r="A101" s="2160" t="s">
        <v>3</v>
      </c>
      <c r="B101" s="2161">
        <f>IFERROR(VLOOKUP(A101,'ИПП 2кв25'!$B$42:$N$54,6,0),"")</f>
        <v>0</v>
      </c>
      <c r="C101" s="2162">
        <f>IFERROR(VLOOKUP(A101,'ИПП 2кв25'!$B$42:$N$54,7,0),"")</f>
        <v>0</v>
      </c>
      <c r="D101" s="2174">
        <f>SUMIFS(Март25515253[м2],Март25515253[ИМ],A101,Март25515253[№ дома],$C$87,Март25515253[Комнатность],"&lt;&gt;Офис")</f>
        <v>0</v>
      </c>
      <c r="E101" s="2175">
        <f>SUMIFS(Март25515253[Сумма без отделки],Март25515253[ИМ],$A101,Март25515253[№ дома],$C$87,Март25515253[Комнатность],"&lt;&gt;Офис")</f>
        <v>0</v>
      </c>
      <c r="F101" s="2176">
        <f>COUNTIFS(Март25515253[ИМ],$A101,Март25515253[№ дома],$C$87,Март25515253[Комнатность],"&lt;&gt;Офис")</f>
        <v>0</v>
      </c>
      <c r="G101" s="195">
        <f>SUMIFS(РД[S],РД[Дом],$C$87,РД[ИМ],A101,РД[Дата подачи на регистрацию],"&lt;="&amp;$A$1,РД[Дата подачи на регистрацию],"&gt;="&amp;DATE(YEAR($A$1),MONTH($A$1),1),РД[Состояние],"Продажа")</f>
        <v>0</v>
      </c>
      <c r="H101" s="196">
        <f>SUMIFS(РД[Стоимость без отделки итог],РД[Дом],$C$87,РД[ИМ],A101,РД[Дата подачи на регистрацию],"&lt;="&amp;$A$1,РД[Дата подачи на регистрацию],"&gt;="&amp;DATE(YEAR($A$1),MONTH($A$1),1),РД[Состояние],"Продажа")</f>
        <v>0</v>
      </c>
      <c r="I101" s="251">
        <f>COUNTIFS(РД[Дом],$C$87,РД[ИМ],A101,РД[Дата подачи на регистрацию],"&lt;="&amp;$A$1,РД[Дата подачи на регистрацию],"&gt;="&amp;DATE(YEAR($A$1),MONTH($A$1),1),РД[Состояние],"Продажа")</f>
        <v>0</v>
      </c>
      <c r="J101" s="2081" t="str">
        <f t="shared" si="11"/>
        <v/>
      </c>
      <c r="K101" s="260" t="str">
        <f t="shared" si="11"/>
        <v/>
      </c>
      <c r="L101" s="195">
        <f>COUNTIFS(РД[Тип кв],L$88,РД[ИМ],$A101,РД[Дом],$C$87,РД[Дата подачи на регистрацию],"&lt;="&amp;$A$1,РД[Дата подачи на регистрацию],"&gt;="&amp;DATE(YEAR($A$1),MONTH($A$1),1))</f>
        <v>0</v>
      </c>
      <c r="M101" s="251">
        <f>COUNTIFS(РД[Тип кв],M$88,РД[ИМ],$A101,РД[Дом],$C$87,РД[Дата подачи на регистрацию],"&lt;="&amp;$A$1,РД[Дата подачи на регистрацию],"&gt;="&amp;DATE(YEAR($A$1),MONTH($A$1),1))</f>
        <v>0</v>
      </c>
      <c r="N101" s="251">
        <f>COUNTIFS(РД[Тип кв],N$88,РД[ИМ],$A101,РД[Дом],$C$87,РД[Дата подачи на регистрацию],"&lt;="&amp;$A$1,РД[Дата подачи на регистрацию],"&gt;="&amp;DATE(YEAR($A$1),MONTH($A$1),1))</f>
        <v>0</v>
      </c>
      <c r="O101" s="251">
        <f>COUNTIFS(РД[Тип кв],O$88,РД[ИМ],$A101,РД[Дом],$C$87,РД[Дата подачи на регистрацию],"&lt;="&amp;$A$1,РД[Дата подачи на регистрацию],"&gt;="&amp;DATE(YEAR($A$1),MONTH($A$1),1))</f>
        <v>0</v>
      </c>
      <c r="P101" s="254">
        <f>COUNTIFS(РД[Тип кв],P$88,РД[ИМ],$A101,РД[Дом],$C$87,РД[Дата подачи на регистрацию],"&lt;="&amp;$A$1,РД[Дата подачи на регистрацию],"&gt;="&amp;DATE(YEAR($A$1),MONTH($A$1),1))</f>
        <v>0</v>
      </c>
      <c r="Q101" s="86"/>
      <c r="R101" s="86"/>
      <c r="S101" s="86"/>
      <c r="T101" s="66"/>
    </row>
    <row r="102" spans="1:21" s="65" customFormat="1">
      <c r="A102" s="2148" t="s">
        <v>114</v>
      </c>
      <c r="B102" s="2149">
        <f t="shared" ref="B102:I102" si="12">SUM(B99:B101)</f>
        <v>942.5</v>
      </c>
      <c r="C102" s="2150">
        <f t="shared" si="12"/>
        <v>120610890.40000001</v>
      </c>
      <c r="D102" s="2150">
        <f t="shared" si="12"/>
        <v>1019.6700000000001</v>
      </c>
      <c r="E102" s="2150">
        <f t="shared" si="12"/>
        <v>121822269</v>
      </c>
      <c r="F102" s="2151">
        <f t="shared" si="12"/>
        <v>21</v>
      </c>
      <c r="G102" s="172">
        <f t="shared" si="12"/>
        <v>817.43999999999994</v>
      </c>
      <c r="H102" s="173">
        <f t="shared" si="12"/>
        <v>98997969</v>
      </c>
      <c r="I102" s="170">
        <f t="shared" si="12"/>
        <v>18</v>
      </c>
      <c r="J102" s="2078">
        <f>IFERROR(G102/B102,)</f>
        <v>0.86731034482758618</v>
      </c>
      <c r="K102" s="239">
        <f>IFERROR(H102/C102,)</f>
        <v>0.82080456144281977</v>
      </c>
      <c r="L102" s="240">
        <f t="shared" ref="L102:P102" si="13">SUM(L99:L101)</f>
        <v>4</v>
      </c>
      <c r="M102" s="241">
        <f t="shared" si="13"/>
        <v>7</v>
      </c>
      <c r="N102" s="241">
        <f t="shared" si="13"/>
        <v>6</v>
      </c>
      <c r="O102" s="241">
        <f t="shared" si="13"/>
        <v>1</v>
      </c>
      <c r="P102" s="242">
        <f t="shared" si="13"/>
        <v>0</v>
      </c>
      <c r="Q102" s="86"/>
      <c r="R102" s="86"/>
      <c r="S102" s="86"/>
      <c r="T102" s="66"/>
    </row>
    <row r="103" spans="1:21" s="65" customFormat="1">
      <c r="A103" s="2125"/>
      <c r="B103" s="2166"/>
      <c r="C103" s="2166"/>
      <c r="D103" s="2177"/>
      <c r="E103" s="2125"/>
      <c r="F103" s="2125"/>
      <c r="G103" s="134"/>
      <c r="H103" s="134"/>
      <c r="I103" s="134"/>
      <c r="J103" s="2072"/>
      <c r="K103" s="134"/>
      <c r="L103" s="261"/>
      <c r="M103" s="134"/>
      <c r="N103" s="134"/>
      <c r="O103" s="134"/>
      <c r="P103" s="262"/>
      <c r="Q103" s="134"/>
      <c r="U103" s="66"/>
    </row>
    <row r="104" spans="1:21" s="65" customFormat="1">
      <c r="A104" s="2407" t="s">
        <v>713</v>
      </c>
      <c r="B104" s="2408"/>
      <c r="C104" s="2124" t="s">
        <v>19</v>
      </c>
      <c r="D104" s="2125"/>
      <c r="E104" s="2125"/>
      <c r="F104" s="2125"/>
      <c r="G104" s="134"/>
      <c r="H104" s="134"/>
      <c r="I104" s="134"/>
      <c r="J104" s="2072"/>
      <c r="K104" s="134"/>
      <c r="L104" s="134"/>
      <c r="M104" s="134"/>
      <c r="N104" s="134"/>
      <c r="O104" s="134"/>
      <c r="P104" s="134"/>
      <c r="Q104" s="263"/>
      <c r="T104" s="66"/>
    </row>
    <row r="105" spans="1:21" s="65" customFormat="1">
      <c r="A105" s="2126" t="s">
        <v>1</v>
      </c>
      <c r="B105" s="2126" t="s">
        <v>100</v>
      </c>
      <c r="C105" s="2127" t="s">
        <v>97</v>
      </c>
      <c r="D105" s="2128" t="s">
        <v>494</v>
      </c>
      <c r="E105" s="2129" t="s">
        <v>495</v>
      </c>
      <c r="F105" s="2130" t="s">
        <v>496</v>
      </c>
      <c r="G105" s="140" t="s">
        <v>101</v>
      </c>
      <c r="H105" s="141" t="s">
        <v>98</v>
      </c>
      <c r="I105" s="141" t="s">
        <v>96</v>
      </c>
      <c r="J105" s="2073" t="s">
        <v>715</v>
      </c>
      <c r="K105" s="216" t="s">
        <v>716</v>
      </c>
      <c r="L105" s="217">
        <v>0</v>
      </c>
      <c r="M105" s="218">
        <v>1</v>
      </c>
      <c r="N105" s="218">
        <v>2</v>
      </c>
      <c r="O105" s="218">
        <v>3</v>
      </c>
      <c r="P105" s="219" t="s">
        <v>1367</v>
      </c>
      <c r="Q105" s="134"/>
      <c r="U105" s="66"/>
    </row>
    <row r="106" spans="1:21" s="65" customFormat="1">
      <c r="A106" s="2131" t="s">
        <v>28</v>
      </c>
      <c r="B106" s="2132">
        <f>IFERROR(VLOOKUP(A106,'ИПП 2кв25'!$B$42:$N$54,8,0),"")</f>
        <v>27</v>
      </c>
      <c r="C106" s="2133">
        <f>IFERROR(VLOOKUP(A106,'ИПП 2кв25'!$B$42:$N$54,9,0),"")</f>
        <v>3521839</v>
      </c>
      <c r="D106" s="2167">
        <f>SUMIFS(Март25515253[м2],Март25515253[КТУ],$A106,Март25515253[№ дома],$C$104,Март25515253[Комнатность],"&lt;&gt;Офис")</f>
        <v>0</v>
      </c>
      <c r="E106" s="2168">
        <f>SUMIFS(Март25515253[Сумма без отделки],Март25515253[КТУ],$A106,Март25515253[№ дома],$C$104,Март25515253[Комнатность],"&lt;&gt;Офис")</f>
        <v>0</v>
      </c>
      <c r="F106" s="2169">
        <f>COUNTIFS(Март25515253[КТУ],$A106,Март25515253[№ дома],$C$104,Март25515253[Комнатность],"&lt;&gt;Офис")</f>
        <v>0</v>
      </c>
      <c r="G106" s="202">
        <f>SUMIFS(РД[S],РД[Дом],$C$104,РД[МОП],A106,РД[Дата подачи на регистрацию],"&lt;="&amp;$A$1,РД[Дата подачи на регистрацию],"&gt;="&amp;DATE(YEAR($A$1),MONTH($A$1),1),РД[Состояние],"Продажа")</f>
        <v>0</v>
      </c>
      <c r="H106" s="203">
        <f>SUMIFS(РД[Стоимость без отделки итог],РД[Дом],$C$104,РД[МОП],A106,РД[Дата подачи на регистрацию],"&lt;="&amp;$A$1,РД[Дата подачи на регистрацию],"&gt;="&amp;DATE(YEAR($A$1),MONTH($A$1),1),РД[Состояние],"Продажа")</f>
        <v>0</v>
      </c>
      <c r="I106" s="226">
        <f>COUNTIFS(РД[Дом],$C$104,РД[МОП],A106,РД[Дата подачи на регистрацию],"&lt;="&amp;$A$1,РД[Дата подачи на регистрацию],"&gt;="&amp;DATE(YEAR($A$1),MONTH($A$1),1),РД[Состояние],"Продажа")</f>
        <v>0</v>
      </c>
      <c r="J106" s="2075">
        <f t="shared" ref="J106:K113" si="14">IFERROR(G106/B106,)</f>
        <v>0</v>
      </c>
      <c r="K106" s="225">
        <f t="shared" si="14"/>
        <v>0</v>
      </c>
      <c r="L106" s="257">
        <f>COUNTIFS(РД[Тип кв],L$88,РД[МОП],$A106,РД[Дом],$C$104,РД[Дата подачи на регистрацию],"&lt;="&amp;$A$1,РД[Дата подачи на регистрацию],"&gt;="&amp;DATE(YEAR($A$1),MONTH($A$1),1))</f>
        <v>0</v>
      </c>
      <c r="M106" s="226">
        <f>COUNTIFS(РД[Тип кв],M$88,РД[МОП],$A106,РД[Дом],$C$104,РД[Дата подачи на регистрацию],"&lt;="&amp;$A$1,РД[Дата подачи на регистрацию],"&gt;="&amp;DATE(YEAR($A$1),MONTH($A$1),1))</f>
        <v>0</v>
      </c>
      <c r="N106" s="226">
        <f>COUNTIFS(РД[Тип кв],N$88,РД[МОП],$A106,РД[Дом],$C$104,РД[Дата подачи на регистрацию],"&lt;="&amp;$A$1,РД[Дата подачи на регистрацию],"&gt;="&amp;DATE(YEAR($A$1),MONTH($A$1),1))</f>
        <v>0</v>
      </c>
      <c r="O106" s="226">
        <f>COUNTIFS(РД[Тип кв],O$88,РД[МОП],$A106,РД[Дом],$C$104,РД[Дата подачи на регистрацию],"&lt;="&amp;$A$1,РД[Дата подачи на регистрацию],"&gt;="&amp;DATE(YEAR($A$1),MONTH($A$1),1))</f>
        <v>0</v>
      </c>
      <c r="P106" s="227">
        <f>COUNTIFS(РД[Тип кв],P$88,РД[МОП],$A106,РД[Дом],$C$104,РД[Дата подачи на регистрацию],"&lt;="&amp;$A$1,РД[Дата подачи на регистрацию],"&gt;="&amp;DATE(YEAR($A$1),MONTH($A$1),1))</f>
        <v>0</v>
      </c>
      <c r="Q106" s="134"/>
      <c r="U106" s="66"/>
    </row>
    <row r="107" spans="1:21" s="65" customFormat="1">
      <c r="A107" s="2131" t="s">
        <v>8</v>
      </c>
      <c r="B107" s="2132">
        <f>IFERROR(VLOOKUP(A107,'ИПП 2кв25'!$B$42:$N$54,8,0),"")</f>
        <v>55</v>
      </c>
      <c r="C107" s="2133">
        <f>IFERROR(VLOOKUP(A107,'ИПП 2кв25'!$B$42:$N$54,9,0),"")</f>
        <v>7174116</v>
      </c>
      <c r="D107" s="2167">
        <f>SUMIFS(Март25515253[м2],Март25515253[КТУ],$A107,Март25515253[№ дома],$C$104,Март25515253[Комнатность],"&lt;&gt;Офис")</f>
        <v>0</v>
      </c>
      <c r="E107" s="2168">
        <f>SUMIFS(Март25515253[Сумма без отделки],Март25515253[КТУ],$A107,Март25515253[№ дома],$C$104,Март25515253[Комнатность],"&lt;&gt;Офис")</f>
        <v>0</v>
      </c>
      <c r="F107" s="2169">
        <f>COUNTIFS(Март25515253[КТУ],$A107,Март25515253[№ дома],$C$104,Март25515253[Комнатность],"&lt;&gt;Офис")</f>
        <v>0</v>
      </c>
      <c r="G107" s="202">
        <f>SUMIFS(РД[S],РД[Дом],$C$104,РД[МОП],A107,РД[Дата подачи на регистрацию],"&lt;="&amp;$A$1,РД[Дата подачи на регистрацию],"&gt;="&amp;DATE(YEAR($A$1),MONTH($A$1),1),РД[Состояние],"Продажа")</f>
        <v>0</v>
      </c>
      <c r="H107" s="203">
        <f>SUMIFS(РД[Стоимость без отделки итог],РД[Дом],$C$104,РД[МОП],A107,РД[Дата подачи на регистрацию],"&lt;="&amp;$A$1,РД[Дата подачи на регистрацию],"&gt;="&amp;DATE(YEAR($A$1),MONTH($A$1),1),РД[Состояние],"Продажа")</f>
        <v>0</v>
      </c>
      <c r="I107" s="226">
        <f>COUNTIFS(РД[Дом],$C$104,РД[МОП],A107,РД[Дата подачи на регистрацию],"&lt;="&amp;$A$1,РД[Дата подачи на регистрацию],"&gt;="&amp;DATE(YEAR($A$1),MONTH($A$1),1),РД[Состояние],"Продажа")</f>
        <v>0</v>
      </c>
      <c r="J107" s="2075">
        <f t="shared" si="14"/>
        <v>0</v>
      </c>
      <c r="K107" s="225">
        <f t="shared" si="14"/>
        <v>0</v>
      </c>
      <c r="L107" s="257">
        <f>COUNTIFS(РД[Тип кв],L$88,РД[МОП],$A107,РД[Дом],$C$104,РД[Дата подачи на регистрацию],"&lt;="&amp;$A$1,РД[Дата подачи на регистрацию],"&gt;="&amp;DATE(YEAR($A$1),MONTH($A$1),1))</f>
        <v>0</v>
      </c>
      <c r="M107" s="226">
        <f>COUNTIFS(РД[Тип кв],M$88,РД[МОП],$A107,РД[Дом],$C$104,РД[Дата подачи на регистрацию],"&lt;="&amp;$A$1,РД[Дата подачи на регистрацию],"&gt;="&amp;DATE(YEAR($A$1),MONTH($A$1),1))</f>
        <v>0</v>
      </c>
      <c r="N107" s="226">
        <f>COUNTIFS(РД[Тип кв],N$88,РД[МОП],$A107,РД[Дом],$C$104,РД[Дата подачи на регистрацию],"&lt;="&amp;$A$1,РД[Дата подачи на регистрацию],"&gt;="&amp;DATE(YEAR($A$1),MONTH($A$1),1))</f>
        <v>0</v>
      </c>
      <c r="O107" s="226">
        <f>COUNTIFS(РД[Тип кв],O$88,РД[МОП],$A107,РД[Дом],$C$104,РД[Дата подачи на регистрацию],"&lt;="&amp;$A$1,РД[Дата подачи на регистрацию],"&gt;="&amp;DATE(YEAR($A$1),MONTH($A$1),1))</f>
        <v>0</v>
      </c>
      <c r="P107" s="227">
        <f>COUNTIFS(РД[Тип кв],P$88,РД[МОП],$A107,РД[Дом],$C$104,РД[Дата подачи на регистрацию],"&lt;="&amp;$A$1,РД[Дата подачи на регистрацию],"&gt;="&amp;DATE(YEAR($A$1),MONTH($A$1),1))</f>
        <v>0</v>
      </c>
      <c r="Q107" s="134"/>
      <c r="U107" s="66"/>
    </row>
    <row r="108" spans="1:21" s="65" customFormat="1">
      <c r="A108" s="2136" t="s">
        <v>20</v>
      </c>
      <c r="B108" s="2132">
        <f>IFERROR(VLOOKUP(A108,'ИПП 2кв25'!$B$42:$N$54,8,0),"")</f>
        <v>55</v>
      </c>
      <c r="C108" s="2133">
        <f>IFERROR(VLOOKUP(A108,'ИПП 2кв25'!$B$42:$N$54,9,0),"")</f>
        <v>7174116</v>
      </c>
      <c r="D108" s="2167">
        <f>SUMIFS(Март25515253[м2],Март25515253[КТУ],$A108,Март25515253[№ дома],$C$104,Март25515253[Комнатность],"&lt;&gt;Офис")</f>
        <v>0</v>
      </c>
      <c r="E108" s="2168">
        <f>SUMIFS(Март25515253[Сумма без отделки],Март25515253[КТУ],$A108,Март25515253[№ дома],$C$104,Март25515253[Комнатность],"&lt;&gt;Офис")</f>
        <v>0</v>
      </c>
      <c r="F108" s="2169">
        <f>COUNTIFS(Март25515253[КТУ],$A108,Март25515253[№ дома],$C$104,Март25515253[Комнатность],"&lt;&gt;Офис")</f>
        <v>0</v>
      </c>
      <c r="G108" s="202">
        <f>SUMIFS(РД[S],РД[Дом],$C$104,РД[МОП],A108,РД[Дата подачи на регистрацию],"&lt;="&amp;$A$1,РД[Дата подачи на регистрацию],"&gt;="&amp;DATE(YEAR($A$1),MONTH($A$1),1),РД[Состояние],"Продажа")</f>
        <v>0</v>
      </c>
      <c r="H108" s="203">
        <f>SUMIFS(РД[Стоимость без отделки итог],РД[Дом],$C$104,РД[МОП],A108,РД[Дата подачи на регистрацию],"&lt;="&amp;$A$1,РД[Дата подачи на регистрацию],"&gt;="&amp;DATE(YEAR($A$1),MONTH($A$1),1),РД[Состояние],"Продажа")</f>
        <v>0</v>
      </c>
      <c r="I108" s="226">
        <f>COUNTIFS(РД[Дом],$C$104,РД[МОП],A108,РД[Дата подачи на регистрацию],"&lt;="&amp;$A$1,РД[Дата подачи на регистрацию],"&gt;="&amp;DATE(YEAR($A$1),MONTH($A$1),1),РД[Состояние],"Продажа")</f>
        <v>0</v>
      </c>
      <c r="J108" s="2075">
        <f t="shared" si="14"/>
        <v>0</v>
      </c>
      <c r="K108" s="225">
        <f t="shared" si="14"/>
        <v>0</v>
      </c>
      <c r="L108" s="257">
        <f>COUNTIFS(РД[Тип кв],L$88,РД[МОП],$A108,РД[Дом],$C$104,РД[Дата подачи на регистрацию],"&lt;="&amp;$A$1,РД[Дата подачи на регистрацию],"&gt;="&amp;DATE(YEAR($A$1),MONTH($A$1),1))</f>
        <v>0</v>
      </c>
      <c r="M108" s="226">
        <f>COUNTIFS(РД[Тип кв],M$88,РД[МОП],$A108,РД[Дом],$C$104,РД[Дата подачи на регистрацию],"&lt;="&amp;$A$1,РД[Дата подачи на регистрацию],"&gt;="&amp;DATE(YEAR($A$1),MONTH($A$1),1))</f>
        <v>0</v>
      </c>
      <c r="N108" s="226">
        <f>COUNTIFS(РД[Тип кв],N$88,РД[МОП],$A108,РД[Дом],$C$104,РД[Дата подачи на регистрацию],"&lt;="&amp;$A$1,РД[Дата подачи на регистрацию],"&gt;="&amp;DATE(YEAR($A$1),MONTH($A$1),1))</f>
        <v>0</v>
      </c>
      <c r="O108" s="226">
        <f>COUNTIFS(РД[Тип кв],O$88,РД[МОП],$A108,РД[Дом],$C$104,РД[Дата подачи на регистрацию],"&lt;="&amp;$A$1,РД[Дата подачи на регистрацию],"&gt;="&amp;DATE(YEAR($A$1),MONTH($A$1),1))</f>
        <v>0</v>
      </c>
      <c r="P108" s="227">
        <f>COUNTIFS(РД[Тип кв],P$88,РД[МОП],$A108,РД[Дом],$C$104,РД[Дата подачи на регистрацию],"&lt;="&amp;$A$1,РД[Дата подачи на регистрацию],"&gt;="&amp;DATE(YEAR($A$1),MONTH($A$1),1))</f>
        <v>0</v>
      </c>
      <c r="Q108" s="134"/>
      <c r="U108" s="66"/>
    </row>
    <row r="109" spans="1:21" s="65" customFormat="1">
      <c r="A109" s="2137" t="s">
        <v>24</v>
      </c>
      <c r="B109" s="2132">
        <f>IFERROR(VLOOKUP(A109,'ИПП 2кв25'!$B$42:$N$54,8,0),"")</f>
        <v>44</v>
      </c>
      <c r="C109" s="2133">
        <f>IFERROR(VLOOKUP(A109,'ИПП 2кв25'!$B$42:$N$54,9,0),"")</f>
        <v>5739293</v>
      </c>
      <c r="D109" s="2167">
        <f>SUMIFS(Март25515253[м2],Март25515253[КТУ],$A109,Март25515253[№ дома],$C$104,Март25515253[Комнатность],"&lt;&gt;Офис")</f>
        <v>0</v>
      </c>
      <c r="E109" s="2168">
        <f>SUMIFS(Март25515253[Сумма без отделки],Март25515253[КТУ],$A109,Март25515253[№ дома],$C$104,Март25515253[Комнатность],"&lt;&gt;Офис")</f>
        <v>0</v>
      </c>
      <c r="F109" s="2169">
        <f>COUNTIFS(Март25515253[КТУ],$A109,Март25515253[№ дома],$C$104,Март25515253[Комнатность],"&lt;&gt;Офис")</f>
        <v>0</v>
      </c>
      <c r="G109" s="202">
        <f>SUMIFS(РД[S],РД[Дом],$C$104,РД[МОП],A109,РД[Дата подачи на регистрацию],"&lt;="&amp;$A$1,РД[Дата подачи на регистрацию],"&gt;="&amp;DATE(YEAR($A$1),MONTH($A$1),1),РД[Состояние],"Продажа")</f>
        <v>0</v>
      </c>
      <c r="H109" s="203">
        <f>SUMIFS(РД[Стоимость без отделки итог],РД[Дом],$C$104,РД[МОП],A109,РД[Дата подачи на регистрацию],"&lt;="&amp;$A$1,РД[Дата подачи на регистрацию],"&gt;="&amp;DATE(YEAR($A$1),MONTH($A$1),1),РД[Состояние],"Продажа")</f>
        <v>0</v>
      </c>
      <c r="I109" s="226">
        <f>COUNTIFS(РД[Дом],$C$104,РД[МОП],A109,РД[Дата подачи на регистрацию],"&lt;="&amp;$A$1,РД[Дата подачи на регистрацию],"&gt;="&amp;DATE(YEAR($A$1),MONTH($A$1),1),РД[Состояние],"Продажа")</f>
        <v>0</v>
      </c>
      <c r="J109" s="2075">
        <f t="shared" si="14"/>
        <v>0</v>
      </c>
      <c r="K109" s="225">
        <f t="shared" si="14"/>
        <v>0</v>
      </c>
      <c r="L109" s="257">
        <f>COUNTIFS(РД[Тип кв],L$88,РД[МОП],$A109,РД[Дом],$C$104,РД[Дата подачи на регистрацию],"&lt;="&amp;$A$1,РД[Дата подачи на регистрацию],"&gt;="&amp;DATE(YEAR($A$1),MONTH($A$1),1))</f>
        <v>0</v>
      </c>
      <c r="M109" s="226">
        <f>COUNTIFS(РД[Тип кв],M$88,РД[МОП],$A109,РД[Дом],$C$104,РД[Дата подачи на регистрацию],"&lt;="&amp;$A$1,РД[Дата подачи на регистрацию],"&gt;="&amp;DATE(YEAR($A$1),MONTH($A$1),1))</f>
        <v>0</v>
      </c>
      <c r="N109" s="226">
        <f>COUNTIFS(РД[Тип кв],N$88,РД[МОП],$A109,РД[Дом],$C$104,РД[Дата подачи на регистрацию],"&lt;="&amp;$A$1,РД[Дата подачи на регистрацию],"&gt;="&amp;DATE(YEAR($A$1),MONTH($A$1),1))</f>
        <v>0</v>
      </c>
      <c r="O109" s="226">
        <f>COUNTIFS(РД[Тип кв],O$88,РД[МОП],$A109,РД[Дом],$C$104,РД[Дата подачи на регистрацию],"&lt;="&amp;$A$1,РД[Дата подачи на регистрацию],"&gt;="&amp;DATE(YEAR($A$1),MONTH($A$1),1))</f>
        <v>0</v>
      </c>
      <c r="P109" s="227">
        <f>COUNTIFS(РД[Тип кв],P$88,РД[МОП],$A109,РД[Дом],$C$104,РД[Дата подачи на регистрацию],"&lt;="&amp;$A$1,РД[Дата подачи на регистрацию],"&gt;="&amp;DATE(YEAR($A$1),MONTH($A$1),1))</f>
        <v>0</v>
      </c>
      <c r="Q109" s="134"/>
      <c r="U109" s="66"/>
    </row>
    <row r="110" spans="1:21" s="65" customFormat="1">
      <c r="A110" s="2137" t="s">
        <v>14</v>
      </c>
      <c r="B110" s="2132">
        <f>IFERROR(VLOOKUP(A110,'ИПП 2кв25'!$B$42:$N$54,8,0),"")</f>
        <v>55</v>
      </c>
      <c r="C110" s="2133">
        <f>IFERROR(VLOOKUP(A110,'ИПП 2кв25'!$B$42:$N$54,9,0),"")</f>
        <v>7174116</v>
      </c>
      <c r="D110" s="2167">
        <f>SUMIFS(Март25515253[м2],Март25515253[КТУ],$A110,Март25515253[№ дома],$C$104,Март25515253[Комнатность],"&lt;&gt;Офис")</f>
        <v>0</v>
      </c>
      <c r="E110" s="2168">
        <f>SUMIFS(Март25515253[Сумма без отделки],Март25515253[КТУ],$A110,Март25515253[№ дома],$C$104,Март25515253[Комнатность],"&lt;&gt;Офис")</f>
        <v>0</v>
      </c>
      <c r="F110" s="2169">
        <f>COUNTIFS(Март25515253[КТУ],$A110,Март25515253[№ дома],$C$104,Март25515253[Комнатность],"&lt;&gt;Офис")</f>
        <v>0</v>
      </c>
      <c r="G110" s="202">
        <f>SUMIFS(РД[S],РД[Дом],$C$104,РД[МОП],A110,РД[Дата подачи на регистрацию],"&lt;="&amp;$A$1,РД[Дата подачи на регистрацию],"&gt;="&amp;DATE(YEAR($A$1),MONTH($A$1),1),РД[Состояние],"Продажа")</f>
        <v>0</v>
      </c>
      <c r="H110" s="203">
        <f>SUMIFS(РД[Стоимость без отделки итог],РД[Дом],$C$104,РД[МОП],A110,РД[Дата подачи на регистрацию],"&lt;="&amp;$A$1,РД[Дата подачи на регистрацию],"&gt;="&amp;DATE(YEAR($A$1),MONTH($A$1),1),РД[Состояние],"Продажа")</f>
        <v>0</v>
      </c>
      <c r="I110" s="226">
        <f>COUNTIFS(РД[Дом],$C$104,РД[МОП],A110,РД[Дата подачи на регистрацию],"&lt;="&amp;$A$1,РД[Дата подачи на регистрацию],"&gt;="&amp;DATE(YEAR($A$1),MONTH($A$1),1),РД[Состояние],"Продажа")</f>
        <v>0</v>
      </c>
      <c r="J110" s="2075">
        <f t="shared" ref="J110:J111" si="15">IFERROR(G110/B110,)</f>
        <v>0</v>
      </c>
      <c r="K110" s="225">
        <f t="shared" ref="K110:K111" si="16">IFERROR(H110/C110,)</f>
        <v>0</v>
      </c>
      <c r="L110" s="257">
        <f>COUNTIFS(РД[Тип кв],L$88,РД[МОП],$A110,РД[Дом],$C$104,РД[Дата подачи на регистрацию],"&lt;="&amp;$A$1,РД[Дата подачи на регистрацию],"&gt;="&amp;DATE(YEAR($A$1),MONTH($A$1),1))</f>
        <v>0</v>
      </c>
      <c r="M110" s="226">
        <f>COUNTIFS(РД[Тип кв],M$88,РД[МОП],$A110,РД[Дом],$C$104,РД[Дата подачи на регистрацию],"&lt;="&amp;$A$1,РД[Дата подачи на регистрацию],"&gt;="&amp;DATE(YEAR($A$1),MONTH($A$1),1))</f>
        <v>0</v>
      </c>
      <c r="N110" s="226">
        <f>COUNTIFS(РД[Тип кв],N$88,РД[МОП],$A110,РД[Дом],$C$104,РД[Дата подачи на регистрацию],"&lt;="&amp;$A$1,РД[Дата подачи на регистрацию],"&gt;="&amp;DATE(YEAR($A$1),MONTH($A$1),1))</f>
        <v>0</v>
      </c>
      <c r="O110" s="226">
        <f>COUNTIFS(РД[Тип кв],O$88,РД[МОП],$A110,РД[Дом],$C$104,РД[Дата подачи на регистрацию],"&lt;="&amp;$A$1,РД[Дата подачи на регистрацию],"&gt;="&amp;DATE(YEAR($A$1),MONTH($A$1),1))</f>
        <v>0</v>
      </c>
      <c r="P110" s="227">
        <f>COUNTIFS(РД[Тип кв],P$88,РД[МОП],$A110,РД[Дом],$C$104,РД[Дата подачи на регистрацию],"&lt;="&amp;$A$1,РД[Дата подачи на регистрацию],"&gt;="&amp;DATE(YEAR($A$1),MONTH($A$1),1))</f>
        <v>0</v>
      </c>
      <c r="Q110" s="134"/>
      <c r="U110" s="66"/>
    </row>
    <row r="111" spans="1:21" s="65" customFormat="1">
      <c r="A111" s="2137" t="s">
        <v>1884</v>
      </c>
      <c r="B111" s="2132">
        <f>IFERROR(VLOOKUP(A111,'ИПП 2кв25'!$B$42:$N$54,8,0),"")</f>
        <v>12</v>
      </c>
      <c r="C111" s="2133">
        <f>IFERROR(VLOOKUP(A111,'ИПП 2кв25'!$B$42:$N$54,9,0),"")</f>
        <v>1521782</v>
      </c>
      <c r="D111" s="2167">
        <f>SUMIFS(Март25515253[м2],Март25515253[КТУ],$A111,Март25515253[№ дома],$C$104,Март25515253[Комнатность],"&lt;&gt;Офис")</f>
        <v>0</v>
      </c>
      <c r="E111" s="2168">
        <f>SUMIFS(Март25515253[Сумма без отделки],Март25515253[КТУ],$A111,Март25515253[№ дома],$C$104,Март25515253[Комнатность],"&lt;&gt;Офис")</f>
        <v>0</v>
      </c>
      <c r="F111" s="2169">
        <f>COUNTIFS(Март25515253[КТУ],$A111,Март25515253[№ дома],$C$104,Март25515253[Комнатность],"&lt;&gt;Офис")</f>
        <v>0</v>
      </c>
      <c r="G111" s="202">
        <f>SUMIFS(РД[S],РД[Дом],$C$104,РД[МОП],A111,РД[Дата подачи на регистрацию],"&lt;="&amp;$A$1,РД[Дата подачи на регистрацию],"&gt;="&amp;DATE(YEAR($A$1),MONTH($A$1),1),РД[Состояние],"Продажа")</f>
        <v>0</v>
      </c>
      <c r="H111" s="203">
        <f>SUMIFS(РД[Стоимость без отделки итог],РД[Дом],$C$104,РД[МОП],A111,РД[Дата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226">
        <f>COUNTIFS(РД[Дом],$C$104,РД[МОП],A111,РД[Дата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075">
        <f t="shared" si="15"/>
        <v>0</v>
      </c>
      <c r="K111" s="225">
        <f t="shared" si="16"/>
        <v>0</v>
      </c>
      <c r="L111" s="257">
        <f>COUNTIFS(РД[Тип кв],L$88,РД[МОП],$A111,РД[Дом],$C$104,РД[Дата подачи на регистрацию],"&lt;="&amp;$A$1,РД[Дата подачи на регистрацию],"&gt;="&amp;DATE(YEAR($A$1),MONTH($A$1),1))</f>
        <v>0</v>
      </c>
      <c r="M111" s="226">
        <f>COUNTIFS(РД[Тип кв],M$88,РД[МОП],$A111,РД[Дом],$C$104,РД[Дата подачи на регистрацию],"&lt;="&amp;$A$1,РД[Дата подачи на регистрацию],"&gt;="&amp;DATE(YEAR($A$1),MONTH($A$1),1))</f>
        <v>0</v>
      </c>
      <c r="N111" s="226">
        <f>COUNTIFS(РД[Тип кв],N$88,РД[МОП],$A111,РД[Дом],$C$104,РД[Дата подачи на регистрацию],"&lt;="&amp;$A$1,РД[Дата подачи на регистрацию],"&gt;="&amp;DATE(YEAR($A$1),MONTH($A$1),1))</f>
        <v>0</v>
      </c>
      <c r="O111" s="226">
        <f>COUNTIFS(РД[Тип кв],O$88,РД[МОП],$A111,РД[Дом],$C$104,РД[Дата подачи на регистрацию],"&lt;="&amp;$A$1,РД[Дата подачи на регистрацию],"&gt;="&amp;DATE(YEAR($A$1),MONTH($A$1),1))</f>
        <v>0</v>
      </c>
      <c r="P111" s="227">
        <f>COUNTIFS(РД[Тип кв],P$88,РД[МОП],$A111,РД[Дом],$C$104,РД[Дата подачи на регистрацию],"&lt;="&amp;$A$1,РД[Дата подачи на регистрацию],"&gt;="&amp;DATE(YEAR($A$1),MONTH($A$1),1))</f>
        <v>0</v>
      </c>
      <c r="Q111" s="134"/>
      <c r="U111" s="66"/>
    </row>
    <row r="112" spans="1:21" s="65" customFormat="1">
      <c r="A112" s="2138" t="s">
        <v>29</v>
      </c>
      <c r="B112" s="2139"/>
      <c r="C112" s="2140"/>
      <c r="D112" s="2141">
        <f>SUMIFS(Март25515253[м2],Март25515253[КТУ],$A112,Март25515253[№ дома],$C$104,Март25515253[Комнатность],"&lt;&gt;Офис")</f>
        <v>0</v>
      </c>
      <c r="E112" s="2140">
        <f>SUMIFS(Март25515253[Сумма без отделки],Март25515253[КТУ],$A112,Март25515253[№ дома],$C$104,Март25515253[Комнатность],"&lt;&gt;Офис")</f>
        <v>0</v>
      </c>
      <c r="F112" s="2142">
        <f>COUNTIFS(Март25515253[КТУ],$A112,Март25515253[№ дома],$C$104,Март25515253[Комнатность],"&lt;&gt;Офис")</f>
        <v>0</v>
      </c>
      <c r="G112" s="159">
        <f>SUMIFS(РД[S],РД[Дом],$C$104,РД[МОП],A112,РД[Дата подачи на регистрацию],"&lt;="&amp;$A$1,РД[Дата подачи на регистрацию],"&gt;="&amp;DATE(YEAR($A$1),MONTH($A$1),1),РД[Состояние],"Продажа")</f>
        <v>0</v>
      </c>
      <c r="H112" s="160">
        <f>SUMIFS(РД[Стоимость без отделки итог],РД[Дом],$C$104,РД[МОП],A112,РД[Дата подачи на регистрацию],"&lt;="&amp;$A$1,РД[Дата подачи на регистрацию],"&gt;="&amp;DATE(YEAR($A$1),MONTH($A$1),1),РД[Состояние],"Продажа")</f>
        <v>0</v>
      </c>
      <c r="I112" s="228">
        <f>COUNTIFS(РД[Дом],$C$104,РД[МОП],A112,РД[Дата подачи на регистрацию],"&lt;="&amp;$A$1,РД[Дата подачи на регистрацию],"&gt;="&amp;DATE(YEAR($A$1),MONTH($A$1),1),РД[Состояние],"Продажа")</f>
        <v>0</v>
      </c>
      <c r="J112" s="2076">
        <f t="shared" si="14"/>
        <v>0</v>
      </c>
      <c r="K112" s="230">
        <f t="shared" si="14"/>
        <v>0</v>
      </c>
      <c r="L112" s="159">
        <f>COUNTIFS(РД[Тип кв],L$88,РД[МОП],$A112,РД[Дом],$C$104,РД[Дата подачи на регистрацию],"&lt;="&amp;$A$1,РД[Дата подачи на регистрацию],"&gt;="&amp;DATE(YEAR($A$1),MONTH($A$1),1))</f>
        <v>0</v>
      </c>
      <c r="M112" s="228">
        <f>COUNTIFS(РД[Тип кв],M$88,РД[МОП],$A112,РД[Дом],$C$104,РД[Дата подачи на регистрацию],"&lt;="&amp;$A$1,РД[Дата подачи на регистрацию],"&gt;="&amp;DATE(YEAR($A$1),MONTH($A$1),1))</f>
        <v>0</v>
      </c>
      <c r="N112" s="228">
        <f>COUNTIFS(РД[Тип кв],N$88,РД[МОП],$A112,РД[Дом],$C$104,РД[Дата подачи на регистрацию],"&lt;="&amp;$A$1,РД[Дата подачи на регистрацию],"&gt;="&amp;DATE(YEAR($A$1),MONTH($A$1),1))</f>
        <v>0</v>
      </c>
      <c r="O112" s="228">
        <f>COUNTIFS(РД[Тип кв],O$88,РД[МОП],$A112,РД[Дом],$C$104,РД[Дата подачи на регистрацию],"&lt;="&amp;$A$1,РД[Дата подачи на регистрацию],"&gt;="&amp;DATE(YEAR($A$1),MONTH($A$1),1))</f>
        <v>0</v>
      </c>
      <c r="P112" s="231">
        <f>COUNTIFS(РД[Тип кв],P$88,РД[МОП],$A112,РД[Дом],$C$104,РД[Дата подачи на регистрацию],"&lt;="&amp;$A$1,РД[Дата подачи на регистрацию],"&gt;="&amp;DATE(YEAR($A$1),MONTH($A$1),1))</f>
        <v>0</v>
      </c>
      <c r="Q112" s="134"/>
      <c r="U112" s="66"/>
    </row>
    <row r="113" spans="1:21" s="65" customFormat="1">
      <c r="A113" s="2143" t="s">
        <v>1919</v>
      </c>
      <c r="B113" s="2144"/>
      <c r="C113" s="2145"/>
      <c r="D113" s="2146">
        <f>SUMIFS(Март25515253[м2],Март25515253[МОП],$A113,Март25515253[№ дома],$C$104,Март25515253[Комнатность],"&lt;&gt;Офис")</f>
        <v>0</v>
      </c>
      <c r="E113" s="2145">
        <f>SUMIFS(Март25515253[Сумма без отделки],Март25515253[МОП],$A113,Март25515253[№ дома],$C$104,Март25515253[Комнатность],"&lt;&gt;Офис")</f>
        <v>0</v>
      </c>
      <c r="F113" s="2147">
        <f>COUNTIFS(Март25515253[МОП],$A113,Март25515253[№ дома],$C$104,Март25515253[Комнатность],"&lt;&gt;Офис")</f>
        <v>0</v>
      </c>
      <c r="G113" s="166">
        <f>SUMIFS(РД[S],РД[Дом],$C$104,РД[МОП],A113,РД[Дата подачи на регистрацию],"&lt;="&amp;$A$1,РД[Дата подачи на регистрацию],"&gt;="&amp;DATE(YEAR($A$1),MONTH($A$1),1),РД[Состояние],"Продажа")</f>
        <v>0</v>
      </c>
      <c r="H113" s="167">
        <f>SUMIFS(РД[Стоимость без отделки итог],РД[Дом],$C$104,РД[МОП],A113,РД[Дата подачи на регистрацию],"&lt;="&amp;$A$1,РД[Дата подачи на регистрацию],"&gt;="&amp;DATE(YEAR($A$1),MONTH($A$1),1),РД[Состояние],"Продажа")</f>
        <v>0</v>
      </c>
      <c r="I113" s="232">
        <f>COUNTIFS(РД[Дом],$C$104,РД[МОП],A113,РД[Дата подачи на регистрацию],"&lt;="&amp;$A$1,РД[Дата подачи на регистрацию],"&gt;="&amp;DATE(YEAR($A$1),MONTH($A$1),1),РД[Состояние],"Продажа")</f>
        <v>0</v>
      </c>
      <c r="J113" s="2077">
        <f t="shared" si="14"/>
        <v>0</v>
      </c>
      <c r="K113" s="234">
        <f t="shared" si="14"/>
        <v>0</v>
      </c>
      <c r="L113" s="235">
        <f>COUNTIFS(РД[Тип кв],L$88,РД[МОП],$A113,РД[Дом],$C$104,РД[Дата подачи на регистрацию],"&lt;="&amp;$A$1,РД[Дата подачи на регистрацию],"&gt;="&amp;DATE(YEAR($A$1),MONTH($A$1),1))</f>
        <v>0</v>
      </c>
      <c r="M113" s="236">
        <f>COUNTIFS(РД[Тип кв],M$88,РД[МОП],$A113,РД[Дом],$C$104,РД[Дата подачи на регистрацию],"&lt;="&amp;$A$1,РД[Дата подачи на регистрацию],"&gt;="&amp;DATE(YEAR($A$1),MONTH($A$1),1))</f>
        <v>0</v>
      </c>
      <c r="N113" s="236">
        <f>COUNTIFS(РД[Тип кв],N$88,РД[МОП],$A113,РД[Дом],$C$104,РД[Дата подачи на регистрацию],"&lt;="&amp;$A$1,РД[Дата подачи на регистрацию],"&gt;="&amp;DATE(YEAR($A$1),MONTH($A$1),1))</f>
        <v>0</v>
      </c>
      <c r="O113" s="236">
        <f>COUNTIFS(РД[Тип кв],O$88,РД[МОП],$A113,РД[Дом],$C$104,РД[Дата подачи на регистрацию],"&lt;="&amp;$A$1,РД[Дата подачи на регистрацию],"&gt;="&amp;DATE(YEAR($A$1),MONTH($A$1),1))</f>
        <v>0</v>
      </c>
      <c r="P113" s="237">
        <f>COUNTIFS(РД[Тип кв],P$88,РД[МОП],$A113,РД[Дом],$C$104,РД[Дата подачи на регистрацию],"&lt;="&amp;$A$1,РД[Дата подачи на регистрацию],"&gt;="&amp;DATE(YEAR($A$1),MONTH($A$1),1))</f>
        <v>0</v>
      </c>
      <c r="Q113" s="134"/>
      <c r="U113" s="66"/>
    </row>
    <row r="114" spans="1:21" s="65" customFormat="1">
      <c r="A114" s="2148" t="s">
        <v>114</v>
      </c>
      <c r="B114" s="2149">
        <f t="shared" ref="B114:I114" si="17">SUM(B106:B113)</f>
        <v>248</v>
      </c>
      <c r="C114" s="2150">
        <f t="shared" si="17"/>
        <v>32305262</v>
      </c>
      <c r="D114" s="2150">
        <f t="shared" si="17"/>
        <v>0</v>
      </c>
      <c r="E114" s="2150">
        <f t="shared" si="17"/>
        <v>0</v>
      </c>
      <c r="F114" s="2151">
        <f t="shared" si="17"/>
        <v>0</v>
      </c>
      <c r="G114" s="172">
        <f t="shared" si="17"/>
        <v>0</v>
      </c>
      <c r="H114" s="173">
        <f t="shared" si="17"/>
        <v>0</v>
      </c>
      <c r="I114" s="170">
        <f t="shared" si="17"/>
        <v>0</v>
      </c>
      <c r="J114" s="2078">
        <f t="shared" ref="J114:K114" si="18">IFERROR(G114/B114,"")</f>
        <v>0</v>
      </c>
      <c r="K114" s="239">
        <f t="shared" si="18"/>
        <v>0</v>
      </c>
      <c r="L114" s="240">
        <f>SUM(L106:L113)</f>
        <v>0</v>
      </c>
      <c r="M114" s="241">
        <f>SUM(M106:M113)</f>
        <v>0</v>
      </c>
      <c r="N114" s="241">
        <f>SUM(N106:N113)</f>
        <v>0</v>
      </c>
      <c r="O114" s="241">
        <f>SUM(O106:O113)</f>
        <v>0</v>
      </c>
      <c r="P114" s="242">
        <f>SUM(P106:P113)</f>
        <v>0</v>
      </c>
      <c r="Q114" s="134"/>
      <c r="U114" s="66"/>
    </row>
    <row r="115" spans="1:21" s="65" customFormat="1">
      <c r="A115" s="2126" t="s">
        <v>115</v>
      </c>
      <c r="B115" s="2126" t="s">
        <v>100</v>
      </c>
      <c r="C115" s="2127" t="s">
        <v>97</v>
      </c>
      <c r="D115" s="2128" t="s">
        <v>494</v>
      </c>
      <c r="E115" s="2129" t="s">
        <v>495</v>
      </c>
      <c r="F115" s="2130" t="s">
        <v>496</v>
      </c>
      <c r="G115" s="140" t="s">
        <v>101</v>
      </c>
      <c r="H115" s="141" t="s">
        <v>98</v>
      </c>
      <c r="I115" s="141" t="s">
        <v>96</v>
      </c>
      <c r="J115" s="2073" t="s">
        <v>715</v>
      </c>
      <c r="K115" s="216" t="s">
        <v>716</v>
      </c>
      <c r="L115" s="217">
        <v>0</v>
      </c>
      <c r="M115" s="218">
        <v>1</v>
      </c>
      <c r="N115" s="218">
        <v>2</v>
      </c>
      <c r="O115" s="218">
        <v>3</v>
      </c>
      <c r="P115" s="219" t="s">
        <v>1367</v>
      </c>
      <c r="Q115" s="134"/>
      <c r="U115" s="66"/>
    </row>
    <row r="116" spans="1:21" s="65" customFormat="1">
      <c r="A116" s="2152" t="s">
        <v>22</v>
      </c>
      <c r="B116" s="2153">
        <f>IFERROR(VLOOKUP(A116,'ИПП 2кв25'!$B$42:$N$54,8,0),"")</f>
        <v>85.776146788990843</v>
      </c>
      <c r="C116" s="2154">
        <f>IFERROR(VLOOKUP(A116,'ИПП 2кв25'!$B$42:$N$54,9,0),"")</f>
        <v>11173471.352293579</v>
      </c>
      <c r="D116" s="2155">
        <f>SUMIFS(Март25515253[м2],Март25515253[ИМ],A116,Март25515253[№ дома],$C$104,Март25515253[Комнатность],"&lt;&gt;Офис")</f>
        <v>0</v>
      </c>
      <c r="E116" s="2156">
        <f>SUMIFS(Март25515253[Сумма без отделки],Март25515253[ИМ],$A116,Март25515253[№ дома],$C$104,Март25515253[Комнатность],"&lt;&gt;Офис")</f>
        <v>0</v>
      </c>
      <c r="F116" s="2170">
        <f>COUNTIFS(Март25515253[ИМ],$A116,Март25515253[№ дома],$C$104,Март25515253[Комнатность],"&lt;&gt;Офис")</f>
        <v>0</v>
      </c>
      <c r="G116" s="183">
        <f>SUMIFS(РД[S],РД[Дом],$C$104,РД[ИМ],A116,РД[Дата подачи на регистрацию],"&lt;="&amp;$A$1,РД[Дата подачи на регистрацию],"&gt;="&amp;DATE(YEAR($A$1),MONTH($A$1),1),РД[Состояние],"Продажа")</f>
        <v>0</v>
      </c>
      <c r="H116" s="184">
        <f>SUMIFS(РД[Стоимость без отделки итог],РД[Дом],$C$104,РД[ИМ],A116,РД[Дата подачи на регистрацию],"&lt;="&amp;$A$1,РД[Дата подачи на регистрацию],"&gt;="&amp;DATE(YEAR($A$1),MONTH($A$1),1),РД[Состояние],"Продажа")</f>
        <v>0</v>
      </c>
      <c r="I116" s="243">
        <f>COUNTIFS(РД[Дом],$C$104,РД[ИМ],A116,РД[Дата подачи на регистрацию],"&lt;="&amp;$A$1,РД[Дата подачи на регистрацию],"&gt;="&amp;DATE(YEAR($A$1),MONTH($A$1),1),РД[Состояние],"Продажа")</f>
        <v>0</v>
      </c>
      <c r="J116" s="2079">
        <f t="shared" ref="J116:K118" si="19">IFERROR(G116/B116,"")</f>
        <v>0</v>
      </c>
      <c r="K116" s="258">
        <f t="shared" si="19"/>
        <v>0</v>
      </c>
      <c r="L116" s="183">
        <f>COUNTIFS(РД[Тип кв],L105,РД[ИМ],$A116,РД[Дом],$C$104,РД[Дата подачи на регистрацию],"&lt;="&amp;$A$1,РД[Дата подачи на регистрацию],"&gt;="&amp;DATE(YEAR($A$1),MONTH($A$1),1))</f>
        <v>0</v>
      </c>
      <c r="M116" s="243">
        <f>COUNTIFS(РД[Тип кв],M105,РД[ИМ],$A116,РД[Дом],$C$104,РД[Дата подачи на регистрацию],"&lt;="&amp;$A$1,РД[Дата подачи на регистрацию],"&gt;="&amp;DATE(YEAR($A$1),MONTH($A$1),1))</f>
        <v>0</v>
      </c>
      <c r="N116" s="243">
        <f>COUNTIFS(РД[Тип кв],N105,РД[ИМ],$A116,РД[Дом],$C$104,РД[Дата подачи на регистрацию],"&lt;="&amp;$A$1,РД[Дата подачи на регистрацию],"&gt;="&amp;DATE(YEAR($A$1),MONTH($A$1),1))</f>
        <v>0</v>
      </c>
      <c r="O116" s="243">
        <f>COUNTIFS(РД[Тип кв],O105,РД[ИМ],$A116,РД[Дом],$C$104,РД[Дата подачи на регистрацию],"&lt;="&amp;$A$1,РД[Дата подачи на регистрацию],"&gt;="&amp;DATE(YEAR($A$1),MONTH($A$1),1))</f>
        <v>0</v>
      </c>
      <c r="P116" s="246">
        <f>COUNTIFS(РД[Тип кв],P105,РД[ИМ],$A116,РД[Дом],$C$104,РД[Дата подачи на регистрацию],"&lt;="&amp;$A$1,РД[Дата подачи на регистрацию],"&gt;="&amp;DATE(YEAR($A$1),MONTH($A$1),1))</f>
        <v>0</v>
      </c>
      <c r="Q116" s="134"/>
      <c r="U116" s="66"/>
    </row>
    <row r="117" spans="1:21" s="65" customFormat="1">
      <c r="A117" s="2136" t="s">
        <v>26</v>
      </c>
      <c r="B117" s="2132">
        <f>IFERROR(VLOOKUP(A117,'ИПП 2кв25'!$B$42:$N$54,8,0),"")</f>
        <v>75.423853211009188</v>
      </c>
      <c r="C117" s="2133">
        <f>IFERROR(VLOOKUP(A117,'ИПП 2кв25'!$B$42:$N$54,9,0),"")</f>
        <v>9824948.9477064237</v>
      </c>
      <c r="D117" s="2171">
        <f>SUMIFS(Март25515253[м2],Март25515253[ИМ],A117,Март25515253[№ дома],$C$104,Март25515253[Комнатность],"&lt;&gt;Офис")</f>
        <v>0</v>
      </c>
      <c r="E117" s="2172">
        <f>SUMIFS(Март25515253[Сумма без отделки],Март25515253[ИМ],$A117,Март25515253[№ дома],$C$104,Март25515253[Комнатность],"&lt;&gt;Офис")</f>
        <v>0</v>
      </c>
      <c r="F117" s="2173">
        <f>COUNTIFS(Март25515253[ИМ],$A117,Март25515253[№ дома],$C$104,Март25515253[Комнатность],"&lt;&gt;Офис")</f>
        <v>0</v>
      </c>
      <c r="G117" s="187">
        <f>SUMIFS(РД[S],РД[Дом],$C$104,РД[ИМ],A117,РД[Дата подачи на регистрацию],"&lt;="&amp;$A$1,РД[Дата подачи на регистрацию],"&gt;="&amp;DATE(YEAR($A$1),MONTH($A$1),1),РД[Состояние],"Продажа")</f>
        <v>0</v>
      </c>
      <c r="H117" s="188">
        <f>SUMIFS(РД[Стоимость без отделки итог],РД[Дом],$C$104,РД[ИМ],A117,РД[Дата подачи на регистрацию],"&lt;="&amp;$A$1,РД[Дата подачи на регистрацию],"&gt;="&amp;DATE(YEAR($A$1),MONTH($A$1),1),РД[Состояние],"Продажа")</f>
        <v>0</v>
      </c>
      <c r="I117" s="247">
        <f>COUNTIFS(РД[Дом],$C$104,РД[ИМ],A117,РД[Дата подачи на регистрацию],"&lt;="&amp;$A$1,РД[Дата подачи на регистрацию],"&gt;="&amp;DATE(YEAR($A$1),MONTH($A$1),1),РД[Состояние],"Продажа")</f>
        <v>0</v>
      </c>
      <c r="J117" s="2080">
        <f t="shared" si="19"/>
        <v>0</v>
      </c>
      <c r="K117" s="259">
        <f t="shared" si="19"/>
        <v>0</v>
      </c>
      <c r="L117" s="187">
        <f>COUNTIFS(РД[Тип кв],L$88,РД[ИМ],$A117,РД[Дом],$C$104,РД[Дата подачи на регистрацию],"&lt;="&amp;$A$1,РД[Дата подачи на регистрацию],"&gt;="&amp;DATE(YEAR($A$1),MONTH($A$1),1))</f>
        <v>0</v>
      </c>
      <c r="M117" s="247">
        <f>COUNTIFS(РД[Тип кв],M$88,РД[ИМ],$A117,РД[Дом],$C$104,РД[Дата подачи на регистрацию],"&lt;="&amp;$A$1,РД[Дата подачи на регистрацию],"&gt;="&amp;DATE(YEAR($A$1),MONTH($A$1),1))</f>
        <v>0</v>
      </c>
      <c r="N117" s="247">
        <f>COUNTIFS(РД[Тип кв],N$88,РД[ИМ],$A117,РД[Дом],$C$104,РД[Дата подачи на регистрацию],"&lt;="&amp;$A$1,РД[Дата подачи на регистрацию],"&gt;="&amp;DATE(YEAR($A$1),MONTH($A$1),1))</f>
        <v>0</v>
      </c>
      <c r="O117" s="247">
        <f>COUNTIFS(РД[Тип кв],O$88,РД[ИМ],$A117,РД[Дом],$C$104,РД[Дата подачи на регистрацию],"&lt;="&amp;$A$1,РД[Дата подачи на регистрацию],"&gt;="&amp;DATE(YEAR($A$1),MONTH($A$1),1))</f>
        <v>0</v>
      </c>
      <c r="P117" s="250">
        <f>COUNTIFS(РД[Тип кв],P$88,РД[ИМ],$A117,РД[Дом],$C$104,РД[Дата подачи на регистрацию],"&lt;="&amp;$A$1,РД[Дата подачи на регистрацию],"&gt;="&amp;DATE(YEAR($A$1),MONTH($A$1),1))</f>
        <v>0</v>
      </c>
      <c r="Q117" s="134"/>
      <c r="U117" s="66"/>
    </row>
    <row r="118" spans="1:21" s="65" customFormat="1">
      <c r="A118" s="2160" t="s">
        <v>3</v>
      </c>
      <c r="B118" s="2161">
        <f>IFERROR(VLOOKUP(A118,'ИПП 2кв25'!$B$42:$N$54,8,0),"")</f>
        <v>0</v>
      </c>
      <c r="C118" s="2162">
        <f>IFERROR(VLOOKUP(A118,'ИПП 2кв25'!$B$42:$N$54,9,0),"")</f>
        <v>0</v>
      </c>
      <c r="D118" s="2174">
        <f>SUMIFS(Март25515253[м2],Март25515253[ИМ],A118,Март25515253[№ дома],$C$104,Март25515253[Комнатность],"&lt;&gt;Офис")</f>
        <v>0</v>
      </c>
      <c r="E118" s="2175">
        <f>SUMIFS(Март25515253[Сумма без отделки],Март25515253[ИМ],$A118,Март25515253[№ дома],$C$104,Март25515253[Комнатность],"&lt;&gt;Офис")</f>
        <v>0</v>
      </c>
      <c r="F118" s="2176">
        <f>COUNTIFS(Март25515253[ИМ],$A118,Март25515253[№ дома],$C$104,Март25515253[Комнатность],"&lt;&gt;Офис")</f>
        <v>0</v>
      </c>
      <c r="G118" s="195">
        <f>SUMIFS(РД[S],РД[Дом],$C$104,РД[ИМ],A118,РД[Дата подачи на регистрацию],"&lt;="&amp;$A$1,РД[Дата подачи на регистрацию],"&gt;="&amp;DATE(YEAR($A$1),MONTH($A$1),1),РД[Состояние],"Продажа")</f>
        <v>0</v>
      </c>
      <c r="H118" s="196">
        <f>SUMIFS(РД[Стоимость без отделки итог],РД[Дом],$C$104,РД[ИМ],A118,РД[Дата подачи на регистрацию],"&lt;="&amp;$A$1,РД[Дата подачи на регистрацию],"&gt;="&amp;DATE(YEAR($A$1),MONTH($A$1),1),РД[Состояние],"Продажа")</f>
        <v>0</v>
      </c>
      <c r="I118" s="251">
        <f>COUNTIFS(РД[Дом],$C$104,РД[ИМ],A118,РД[Дата подачи на регистрацию],"&lt;="&amp;$A$1,РД[Дата подачи на регистрацию],"&gt;="&amp;DATE(YEAR($A$1),MONTH($A$1),1),РД[Состояние],"Продажа")</f>
        <v>0</v>
      </c>
      <c r="J118" s="2081" t="str">
        <f t="shared" si="19"/>
        <v/>
      </c>
      <c r="K118" s="260" t="str">
        <f t="shared" si="19"/>
        <v/>
      </c>
      <c r="L118" s="195">
        <f>COUNTIFS(РД[Тип кв],L$88,РД[ИМ],$A118,РД[Дом],$C$104,РД[Дата подачи на регистрацию],"&lt;="&amp;$A$1,РД[Дата подачи на регистрацию],"&gt;="&amp;DATE(YEAR($A$1),MONTH($A$1),1))</f>
        <v>0</v>
      </c>
      <c r="M118" s="251">
        <f>COUNTIFS(РД[Тип кв],M$88,РД[ИМ],$A118,РД[Дом],$C$104,РД[Дата подачи на регистрацию],"&lt;="&amp;$A$1,РД[Дата подачи на регистрацию],"&gt;="&amp;DATE(YEAR($A$1),MONTH($A$1),1))</f>
        <v>0</v>
      </c>
      <c r="N118" s="251">
        <f>COUNTIFS(РД[Тип кв],N$88,РД[ИМ],$A118,РД[Дом],$C$104,РД[Дата подачи на регистрацию],"&lt;="&amp;$A$1,РД[Дата подачи на регистрацию],"&gt;="&amp;DATE(YEAR($A$1),MONTH($A$1),1))</f>
        <v>0</v>
      </c>
      <c r="O118" s="251">
        <f>COUNTIFS(РД[Тип кв],O$88,РД[ИМ],$A118,РД[Дом],$C$104,РД[Дата подачи на регистрацию],"&lt;="&amp;$A$1,РД[Дата подачи на регистрацию],"&gt;="&amp;DATE(YEAR($A$1),MONTH($A$1),1))</f>
        <v>0</v>
      </c>
      <c r="P118" s="254">
        <f>COUNTIFS(РД[Тип кв],P$88,РД[ИМ],$A118,РД[Дом],$C$104,РД[Дата подачи на регистрацию],"&lt;="&amp;$A$1,РД[Дата подачи на регистрацию],"&gt;="&amp;DATE(YEAR($A$1),MONTH($A$1),1))</f>
        <v>0</v>
      </c>
      <c r="Q118" s="134"/>
      <c r="U118" s="66"/>
    </row>
    <row r="119" spans="1:21" s="65" customFormat="1">
      <c r="A119" s="2148" t="s">
        <v>114</v>
      </c>
      <c r="B119" s="2149">
        <f t="shared" ref="B119:I119" si="20">SUM(B116:B118)</f>
        <v>161.20000000000005</v>
      </c>
      <c r="C119" s="2150">
        <f t="shared" si="20"/>
        <v>20998420.300000004</v>
      </c>
      <c r="D119" s="2150">
        <f t="shared" si="20"/>
        <v>0</v>
      </c>
      <c r="E119" s="2150">
        <f t="shared" si="20"/>
        <v>0</v>
      </c>
      <c r="F119" s="2151">
        <f t="shared" si="20"/>
        <v>0</v>
      </c>
      <c r="G119" s="172">
        <f t="shared" si="20"/>
        <v>0</v>
      </c>
      <c r="H119" s="173">
        <f t="shared" si="20"/>
        <v>0</v>
      </c>
      <c r="I119" s="170">
        <f t="shared" si="20"/>
        <v>0</v>
      </c>
      <c r="J119" s="2078">
        <f>IFERROR(G119/B119,)</f>
        <v>0</v>
      </c>
      <c r="K119" s="239">
        <f>IFERROR(H119/C119,)</f>
        <v>0</v>
      </c>
      <c r="L119" s="240">
        <f t="shared" ref="L119:P119" si="21">SUM(L116:L118)</f>
        <v>0</v>
      </c>
      <c r="M119" s="241">
        <f t="shared" si="21"/>
        <v>0</v>
      </c>
      <c r="N119" s="241">
        <f t="shared" si="21"/>
        <v>0</v>
      </c>
      <c r="O119" s="241">
        <f t="shared" si="21"/>
        <v>0</v>
      </c>
      <c r="P119" s="242">
        <f t="shared" si="21"/>
        <v>0</v>
      </c>
      <c r="Q119" s="134"/>
      <c r="U119" s="66"/>
    </row>
    <row r="120" spans="1:21" s="65" customFormat="1">
      <c r="A120" s="2125"/>
      <c r="B120" s="2166"/>
      <c r="C120" s="2166"/>
      <c r="D120" s="2166"/>
      <c r="E120" s="2166"/>
      <c r="F120" s="2166"/>
      <c r="G120" s="197"/>
      <c r="H120" s="197"/>
      <c r="I120" s="215"/>
      <c r="J120" s="2082"/>
      <c r="K120" s="256"/>
      <c r="L120" s="215"/>
      <c r="M120" s="215"/>
      <c r="N120" s="215"/>
      <c r="O120" s="215"/>
      <c r="P120" s="215"/>
      <c r="Q120" s="134"/>
      <c r="U120" s="66"/>
    </row>
    <row r="121" spans="1:21" s="65" customFormat="1">
      <c r="A121" s="2407" t="s">
        <v>713</v>
      </c>
      <c r="B121" s="2408"/>
      <c r="C121" s="2124" t="s">
        <v>23</v>
      </c>
      <c r="D121" s="2125"/>
      <c r="E121" s="2125"/>
      <c r="F121" s="2125"/>
      <c r="G121" s="134"/>
      <c r="H121" s="134"/>
      <c r="I121" s="134"/>
      <c r="J121" s="2072"/>
      <c r="K121" s="134"/>
      <c r="L121" s="134"/>
      <c r="M121" s="134"/>
      <c r="N121" s="134"/>
      <c r="O121" s="134"/>
      <c r="P121" s="134"/>
      <c r="Q121" s="134"/>
      <c r="U121" s="66"/>
    </row>
    <row r="122" spans="1:21" s="65" customFormat="1">
      <c r="A122" s="2126" t="s">
        <v>1</v>
      </c>
      <c r="B122" s="2126" t="s">
        <v>100</v>
      </c>
      <c r="C122" s="2127" t="s">
        <v>97</v>
      </c>
      <c r="D122" s="2128" t="s">
        <v>494</v>
      </c>
      <c r="E122" s="2129" t="s">
        <v>495</v>
      </c>
      <c r="F122" s="2130" t="s">
        <v>496</v>
      </c>
      <c r="G122" s="140" t="s">
        <v>101</v>
      </c>
      <c r="H122" s="141" t="s">
        <v>98</v>
      </c>
      <c r="I122" s="141" t="s">
        <v>96</v>
      </c>
      <c r="J122" s="2073" t="s">
        <v>715</v>
      </c>
      <c r="K122" s="216" t="s">
        <v>716</v>
      </c>
      <c r="L122" s="217">
        <v>0</v>
      </c>
      <c r="M122" s="218">
        <v>1</v>
      </c>
      <c r="N122" s="218">
        <v>2</v>
      </c>
      <c r="O122" s="218">
        <v>3</v>
      </c>
      <c r="P122" s="219" t="s">
        <v>1367</v>
      </c>
      <c r="Q122" s="134"/>
      <c r="U122" s="66"/>
    </row>
    <row r="123" spans="1:21" s="65" customFormat="1">
      <c r="A123" s="2131" t="s">
        <v>28</v>
      </c>
      <c r="B123" s="2132">
        <f>IFERROR(VLOOKUP(A123,'ИПП 2кв25'!$B$42:$N$54,10,0),"")</f>
        <v>39</v>
      </c>
      <c r="C123" s="2133">
        <f>IFERROR(VLOOKUP(A123,'ИПП 2кв25'!$B$42:$N$54,11,0),"")</f>
        <v>4820326</v>
      </c>
      <c r="D123" s="2167">
        <f>SUMIFS(Март25515253[м2],Март25515253[КТУ],$A123,Март25515253[№ дома],$C$121,Март25515253[Комнатность],"&lt;&gt;Офис")</f>
        <v>36.92</v>
      </c>
      <c r="E123" s="2168">
        <f>SUMIFS(Март25515253[Сумма без отделки],Март25515253[КТУ],$A123,Март25515253[№ дома],$C$121,Март25515253[Комнатность],"&lt;&gt;Офис")</f>
        <v>4876774</v>
      </c>
      <c r="F123" s="2169">
        <f>COUNTIFS(Март25515253[КТУ],$A123,Март25515253[№ дома],$C$121,Март25515253[Комнатность],"&lt;&gt;Офис")</f>
        <v>1</v>
      </c>
      <c r="G123" s="202">
        <f>SUMIFS(РД[S],РД[Дом],$C$121,РД[МОП],A123,РД[Дата подачи на регистрацию],"&lt;="&amp;$A$1,РД[Дата подачи на регистрацию],"&gt;="&amp;DATE(YEAR($A$1),MONTH($A$1),1),РД[Состояние],"Продажа")</f>
        <v>36.92</v>
      </c>
      <c r="H123" s="203">
        <f>SUMIFS(РД[Стоимость без отделки итог],РД[Дом],$C$121,РД[МОП],A123,РД[Дата подачи на регистрацию],"&lt;="&amp;$A$1,РД[Дата подачи на регистрацию],"&gt;="&amp;DATE(YEAR($A$1),MONTH($A$1),1),РД[Состояние],"Продажа")</f>
        <v>4876774</v>
      </c>
      <c r="I123" s="226">
        <f>COUNTIFS(РД[Дом],$C$121,РД[МОП],A123,РД[Дата подачи на регистрацию],"&lt;="&amp;$A$1,РД[Дата подачи на регистрацию],"&gt;="&amp;DATE(YEAR($A$1),MONTH($A$1),1),РД[Состояние],"Продажа")</f>
        <v>1</v>
      </c>
      <c r="J123" s="2075">
        <f t="shared" ref="J123:K130" si="22">IFERROR(G123/B123,)</f>
        <v>0.94666666666666666</v>
      </c>
      <c r="K123" s="225">
        <f t="shared" si="22"/>
        <v>1.0117104112875352</v>
      </c>
      <c r="L123" s="257">
        <f>COUNTIFS(РД[Тип кв],L$88,РД[МОП],$A123,РД[Дом],$C$121,РД[Дата подачи на регистрацию],"&lt;="&amp;$A$1,РД[Дата подачи на регистрацию],"&gt;="&amp;DATE(YEAR($A$1),MONTH($A$1),1))</f>
        <v>0</v>
      </c>
      <c r="M123" s="226">
        <f>COUNTIFS(РД[Тип кв],M$88,РД[МОП],$A123,РД[Дом],$C$121,РД[Дата подачи на регистрацию],"&lt;="&amp;$A$1,РД[Дата подачи на регистрацию],"&gt;="&amp;DATE(YEAR($A$1),MONTH($A$1),1))</f>
        <v>1</v>
      </c>
      <c r="N123" s="226">
        <f>COUNTIFS(РД[Тип кв],N$88,РД[МОП],$A123,РД[Дом],$C$121,РД[Дата подачи на регистрацию],"&lt;="&amp;$A$1,РД[Дата подачи на регистрацию],"&gt;="&amp;DATE(YEAR($A$1),MONTH($A$1),1))</f>
        <v>0</v>
      </c>
      <c r="O123" s="226">
        <f>COUNTIFS(РД[Тип кв],O$88,РД[МОП],$A123,РД[Дом],$C$121,РД[Дата подачи на регистрацию],"&lt;="&amp;$A$1,РД[Дата подачи на регистрацию],"&gt;="&amp;DATE(YEAR($A$1),MONTH($A$1),1))</f>
        <v>0</v>
      </c>
      <c r="P123" s="227">
        <f>COUNTIFS(РД[Тип кв],P$88,РД[МОП],$A123,РД[Дом],$C$121,РД[Дата подачи на регистрацию],"&lt;="&amp;$A$1,РД[Дата подачи на регистрацию],"&gt;="&amp;DATE(YEAR($A$1),MONTH($A$1),1))</f>
        <v>0</v>
      </c>
      <c r="Q123" s="134"/>
      <c r="U123" s="66"/>
    </row>
    <row r="124" spans="1:21" s="65" customFormat="1">
      <c r="A124" s="2131" t="s">
        <v>8</v>
      </c>
      <c r="B124" s="2132">
        <f>IFERROR(VLOOKUP(A124,'ИПП 2кв25'!$B$42:$N$54,10,0),"")</f>
        <v>80</v>
      </c>
      <c r="C124" s="2133">
        <f>IFERROR(VLOOKUP(A124,'ИПП 2кв25'!$B$42:$N$54,11,0),"")</f>
        <v>9819183</v>
      </c>
      <c r="D124" s="2167">
        <f>SUMIFS(Март25515253[м2],Март25515253[КТУ],$A124,Март25515253[№ дома],$C$121,Март25515253[Комнатность],"&lt;&gt;Офис")</f>
        <v>121.81</v>
      </c>
      <c r="E124" s="2168">
        <f>SUMIFS(Март25515253[Сумма без отделки],Март25515253[КТУ],$A124,Март25515253[№ дома],$C$121,Март25515253[Комнатность],"&lt;&gt;Офис")</f>
        <v>14135814</v>
      </c>
      <c r="F124" s="2169">
        <f>COUNTIFS(Март25515253[КТУ],$A124,Март25515253[№ дома],$C$121,Март25515253[Комнатность],"&lt;&gt;Офис")</f>
        <v>2</v>
      </c>
      <c r="G124" s="202">
        <f>SUMIFS(РД[S],РД[Дом],$C$121,РД[МОП],A124,РД[Дата подачи на регистрацию],"&lt;="&amp;$A$1,РД[Дата подачи на регистрацию],"&gt;="&amp;DATE(YEAR($A$1),MONTH($A$1),1),РД[Состояние],"Продажа")</f>
        <v>121.81</v>
      </c>
      <c r="H124" s="203">
        <f>SUMIFS(РД[Стоимость без отделки итог],РД[Дом],$C$121,РД[МОП],A124,РД[Дата подачи на регистрацию],"&lt;="&amp;$A$1,РД[Дата подачи на регистрацию],"&gt;="&amp;DATE(YEAR($A$1),MONTH($A$1),1),РД[Состояние],"Продажа")</f>
        <v>14135814</v>
      </c>
      <c r="I124" s="226">
        <f>COUNTIFS(РД[Дом],$C$121,РД[МОП],A124,РД[Дата подачи на регистрацию],"&lt;="&amp;$A$1,РД[Дата подачи на регистрацию],"&gt;="&amp;DATE(YEAR($A$1),MONTH($A$1),1),РД[Состояние],"Продажа")</f>
        <v>2</v>
      </c>
      <c r="J124" s="2075">
        <f t="shared" si="22"/>
        <v>1.5226250000000001</v>
      </c>
      <c r="K124" s="225">
        <f t="shared" si="22"/>
        <v>1.4396120328952011</v>
      </c>
      <c r="L124" s="257">
        <f>COUNTIFS(РД[Тип кв],L$88,РД[МОП],$A124,РД[Дом],$C$121,РД[Дата подачи на регистрацию],"&lt;="&amp;$A$1,РД[Дата подачи на регистрацию],"&gt;="&amp;DATE(YEAR($A$1),MONTH($A$1),1))</f>
        <v>0</v>
      </c>
      <c r="M124" s="226">
        <f>COUNTIFS(РД[Тип кв],M$88,РД[МОП],$A124,РД[Дом],$C$121,РД[Дата подачи на регистрацию],"&lt;="&amp;$A$1,РД[Дата подачи на регистрацию],"&gt;="&amp;DATE(YEAR($A$1),MONTH($A$1),1))</f>
        <v>0</v>
      </c>
      <c r="N124" s="226">
        <f>COUNTIFS(РД[Тип кв],N$88,РД[МОП],$A124,РД[Дом],$C$121,РД[Дата подачи на регистрацию],"&lt;="&amp;$A$1,РД[Дата подачи на регистрацию],"&gt;="&amp;DATE(YEAR($A$1),MONTH($A$1),1))</f>
        <v>2</v>
      </c>
      <c r="O124" s="226">
        <f>COUNTIFS(РД[Тип кв],O$88,РД[МОП],$A124,РД[Дом],$C$121,РД[Дата подачи на регистрацию],"&lt;="&amp;$A$1,РД[Дата подачи на регистрацию],"&gt;="&amp;DATE(YEAR($A$1),MONTH($A$1),1))</f>
        <v>0</v>
      </c>
      <c r="P124" s="227">
        <f>COUNTIFS(РД[Тип кв],P$88,РД[МОП],$A124,РД[Дом],$C$121,РД[Дата подачи на регистрацию],"&lt;="&amp;$A$1,РД[Дата подачи на регистрацию],"&gt;="&amp;DATE(YEAR($A$1),MONTH($A$1),1))</f>
        <v>0</v>
      </c>
      <c r="Q124" s="134"/>
      <c r="U124" s="66"/>
    </row>
    <row r="125" spans="1:21" s="65" customFormat="1">
      <c r="A125" s="2136" t="s">
        <v>20</v>
      </c>
      <c r="B125" s="2132">
        <f>IFERROR(VLOOKUP(A125,'ИПП 2кв25'!$B$42:$N$54,10,0),"")</f>
        <v>80</v>
      </c>
      <c r="C125" s="2133">
        <f>IFERROR(VLOOKUP(A125,'ИПП 2кв25'!$B$42:$N$54,11,0),"")</f>
        <v>9819183</v>
      </c>
      <c r="D125" s="2167">
        <f>SUMIFS(Март25515253[м2],Март25515253[КТУ],$A125,Март25515253[№ дома],$C$121,Март25515253[Комнатность],"&lt;&gt;Офис")</f>
        <v>0</v>
      </c>
      <c r="E125" s="2168">
        <f>SUMIFS(Март25515253[Сумма без отделки],Март25515253[КТУ],$A125,Март25515253[№ дома],$C$121,Март25515253[Комнатность],"&lt;&gt;Офис")</f>
        <v>0</v>
      </c>
      <c r="F125" s="2169">
        <f>COUNTIFS(Март25515253[КТУ],$A125,Март25515253[№ дома],$C$121,Март25515253[Комнатность],"&lt;&gt;Офис")</f>
        <v>0</v>
      </c>
      <c r="G125" s="202">
        <f>SUMIFS(РД[S],РД[Дом],$C$121,РД[МОП],A125,РД[Дата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203">
        <f>SUMIFS(РД[Стоимость без отделки итог],РД[Дом],$C$121,РД[МОП],A125,РД[Дата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6">
        <f>COUNTIFS(РД[Дом],$C$121,РД[МОП],A125,РД[Дата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075">
        <f t="shared" si="22"/>
        <v>0</v>
      </c>
      <c r="K125" s="225">
        <f t="shared" si="22"/>
        <v>0</v>
      </c>
      <c r="L125" s="257">
        <f>COUNTIFS(РД[Тип кв],L$88,РД[МОП],$A125,РД[Дом],$C$121,РД[Дата подачи на регистрацию],"&lt;="&amp;$A$1,РД[Дата подачи на регистрацию],"&gt;="&amp;DATE(YEAR($A$1),MONTH($A$1),1))</f>
        <v>0</v>
      </c>
      <c r="M125" s="226">
        <f>COUNTIFS(РД[Тип кв],M$88,РД[МОП],$A125,РД[Дом],$C$121,РД[Дата подачи на регистрацию],"&lt;="&amp;$A$1,РД[Дата подачи на регистрацию],"&gt;="&amp;DATE(YEAR($A$1),MONTH($A$1),1))</f>
        <v>0</v>
      </c>
      <c r="N125" s="226">
        <f>COUNTIFS(РД[Тип кв],N$88,РД[МОП],$A125,РД[Дом],$C$121,РД[Дата подачи на регистрацию],"&lt;="&amp;$A$1,РД[Дата подачи на регистрацию],"&gt;="&amp;DATE(YEAR($A$1),MONTH($A$1),1))</f>
        <v>0</v>
      </c>
      <c r="O125" s="226">
        <f>COUNTIFS(РД[Тип кв],O$88,РД[МОП],$A125,РД[Дом],$C$121,РД[Дата подачи на регистрацию],"&lt;="&amp;$A$1,РД[Дата подачи на регистрацию],"&gt;="&amp;DATE(YEAR($A$1),MONTH($A$1),1))</f>
        <v>0</v>
      </c>
      <c r="P125" s="227">
        <f>COUNTIFS(РД[Тип кв],P$88,РД[МОП],$A125,РД[Дом],$C$121,РД[Дата подачи на регистрацию],"&lt;="&amp;$A$1,РД[Дата подачи на регистрацию],"&gt;="&amp;DATE(YEAR($A$1),MONTH($A$1),1))</f>
        <v>0</v>
      </c>
      <c r="Q125" s="134"/>
      <c r="U125" s="66"/>
    </row>
    <row r="126" spans="1:21" s="65" customFormat="1">
      <c r="A126" s="2137" t="s">
        <v>24</v>
      </c>
      <c r="B126" s="2132">
        <f>IFERROR(VLOOKUP(A126,'ИПП 2кв25'!$B$42:$N$54,10,0),"")</f>
        <v>64</v>
      </c>
      <c r="C126" s="2133">
        <f>IFERROR(VLOOKUP(A126,'ИПП 2кв25'!$B$42:$N$54,11,0),"")</f>
        <v>7855347</v>
      </c>
      <c r="D126" s="2167">
        <f>SUMIFS(Март25515253[м2],Март25515253[КТУ],$A126,Март25515253[№ дома],$C$121,Март25515253[Комнатность],"&lt;&gt;Офис")</f>
        <v>0</v>
      </c>
      <c r="E126" s="2168">
        <f>SUMIFS(Март25515253[Сумма без отделки],Март25515253[КТУ],$A126,Март25515253[№ дома],$C$121,Март25515253[Комнатность],"&lt;&gt;Офис")</f>
        <v>0</v>
      </c>
      <c r="F126" s="2169">
        <f>COUNTIFS(Март25515253[КТУ],$A126,Март25515253[№ дома],$C$121,Март25515253[Комнатность],"&lt;&gt;Офис")</f>
        <v>0</v>
      </c>
      <c r="G126" s="202">
        <f>SUMIFS(РД[S],РД[Дом],$C$121,РД[МОП],A126,РД[Дата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203">
        <f>SUMIFS(РД[Стоимость без отделки итог],РД[Дом],$C$121,РД[МОП],A126,РД[Дата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26">
        <f>COUNTIFS(РД[Дом],$C$121,РД[МОП],A126,РД[Дата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075">
        <f t="shared" si="22"/>
        <v>0</v>
      </c>
      <c r="K126" s="225">
        <f t="shared" si="22"/>
        <v>0</v>
      </c>
      <c r="L126" s="257">
        <f>COUNTIFS(РД[Тип кв],L$88,РД[МОП],$A126,РД[Дом],$C$121,РД[Дата подачи на регистрацию],"&lt;="&amp;$A$1,РД[Дата подачи на регистрацию],"&gt;="&amp;DATE(YEAR($A$1),MONTH($A$1),1))</f>
        <v>0</v>
      </c>
      <c r="M126" s="226">
        <f>COUNTIFS(РД[Тип кв],M$88,РД[МОП],$A126,РД[Дом],$C$121,РД[Дата подачи на регистрацию],"&lt;="&amp;$A$1,РД[Дата подачи на регистрацию],"&gt;="&amp;DATE(YEAR($A$1),MONTH($A$1),1))</f>
        <v>0</v>
      </c>
      <c r="N126" s="226">
        <f>COUNTIFS(РД[Тип кв],N$88,РД[МОП],$A126,РД[Дом],$C$121,РД[Дата подачи на регистрацию],"&lt;="&amp;$A$1,РД[Дата подачи на регистрацию],"&gt;="&amp;DATE(YEAR($A$1),MONTH($A$1),1))</f>
        <v>0</v>
      </c>
      <c r="O126" s="226">
        <f>COUNTIFS(РД[Тип кв],O$88,РД[МОП],$A126,РД[Дом],$C$121,РД[Дата подачи на регистрацию],"&lt;="&amp;$A$1,РД[Дата подачи на регистрацию],"&gt;="&amp;DATE(YEAR($A$1),MONTH($A$1),1))</f>
        <v>0</v>
      </c>
      <c r="P126" s="227">
        <f>COUNTIFS(РД[Тип кв],P$88,РД[МОП],$A126,РД[Дом],$C$121,РД[Дата подачи на регистрацию],"&lt;="&amp;$A$1,РД[Дата подачи на регистрацию],"&gt;="&amp;DATE(YEAR($A$1),MONTH($A$1),1))</f>
        <v>0</v>
      </c>
      <c r="Q126" s="134"/>
      <c r="U126" s="66"/>
    </row>
    <row r="127" spans="1:21" s="65" customFormat="1">
      <c r="A127" s="2137" t="s">
        <v>14</v>
      </c>
      <c r="B127" s="2132">
        <f>IFERROR(VLOOKUP(A127,'ИПП 2кв25'!$B$42:$N$54,10,0),"")</f>
        <v>80</v>
      </c>
      <c r="C127" s="2133">
        <f>IFERROR(VLOOKUP(A127,'ИПП 2кв25'!$B$42:$N$54,11,0),"")</f>
        <v>9819183</v>
      </c>
      <c r="D127" s="2167">
        <f>SUMIFS(Март25515253[м2],Март25515253[КТУ],$A127,Март25515253[№ дома],$C$121,Март25515253[Комнатность],"&lt;&gt;Офис")</f>
        <v>0</v>
      </c>
      <c r="E127" s="2168">
        <f>SUMIFS(Март25515253[Сумма без отделки],Март25515253[КТУ],$A127,Март25515253[№ дома],$C$121,Март25515253[Комнатность],"&lt;&gt;Офис")</f>
        <v>0</v>
      </c>
      <c r="F127" s="2169">
        <f>COUNTIFS(Март25515253[КТУ],$A127,Март25515253[№ дома],$C$121,Март25515253[Комнатность],"&lt;&gt;Офис")</f>
        <v>0</v>
      </c>
      <c r="G127" s="202">
        <f>SUMIFS(РД[S],РД[Дом],$C$121,РД[МОП],A127,РД[Дата подачи на регистрацию],"&lt;="&amp;$A$1,РД[Дата подачи на регистрацию],"&gt;="&amp;DATE(YEAR($A$1),MONTH($A$1),1),РД[Состояние],"Продажа")</f>
        <v>0</v>
      </c>
      <c r="H127" s="203">
        <f>SUMIFS(РД[Стоимость без отделки итог],РД[Дом],$C$121,РД[МОП],A127,РД[Дата подачи на регистрацию],"&lt;="&amp;$A$1,РД[Дата подачи на регистрацию],"&gt;="&amp;DATE(YEAR($A$1),MONTH($A$1),1),РД[Состояние],"Продажа")</f>
        <v>0</v>
      </c>
      <c r="I127" s="226">
        <f>COUNTIFS(РД[Дом],$C$121,РД[МОП],A127,РД[Дата подачи на регистрацию],"&lt;="&amp;$A$1,РД[Дата подачи на регистрацию],"&gt;="&amp;DATE(YEAR($A$1),MONTH($A$1),1),РД[Состояние],"Продажа")</f>
        <v>0</v>
      </c>
      <c r="J127" s="2075">
        <f t="shared" ref="J127:J128" si="23">IFERROR(G127/B127,)</f>
        <v>0</v>
      </c>
      <c r="K127" s="225">
        <f t="shared" ref="K127:K128" si="24">IFERROR(H127/C127,)</f>
        <v>0</v>
      </c>
      <c r="L127" s="257">
        <f>COUNTIFS(РД[Тип кв],L$88,РД[МОП],$A127,РД[Дом],$C$121,РД[Дата подачи на регистрацию],"&lt;="&amp;$A$1,РД[Дата подачи на регистрацию],"&gt;="&amp;DATE(YEAR($A$1),MONTH($A$1),1))</f>
        <v>0</v>
      </c>
      <c r="M127" s="226">
        <f>COUNTIFS(РД[Тип кв],M$88,РД[МОП],$A127,РД[Дом],$C$121,РД[Дата подачи на регистрацию],"&lt;="&amp;$A$1,РД[Дата подачи на регистрацию],"&gt;="&amp;DATE(YEAR($A$1),MONTH($A$1),1))</f>
        <v>0</v>
      </c>
      <c r="N127" s="226">
        <f>COUNTIFS(РД[Тип кв],N$88,РД[МОП],$A127,РД[Дом],$C$121,РД[Дата подачи на регистрацию],"&lt;="&amp;$A$1,РД[Дата подачи на регистрацию],"&gt;="&amp;DATE(YEAR($A$1),MONTH($A$1),1))</f>
        <v>0</v>
      </c>
      <c r="O127" s="226">
        <f>COUNTIFS(РД[Тип кв],O$88,РД[МОП],$A127,РД[Дом],$C$121,РД[Дата подачи на регистрацию],"&lt;="&amp;$A$1,РД[Дата подачи на регистрацию],"&gt;="&amp;DATE(YEAR($A$1),MONTH($A$1),1))</f>
        <v>0</v>
      </c>
      <c r="P127" s="227">
        <f>COUNTIFS(РД[Тип кв],P$88,РД[МОП],$A127,РД[Дом],$C$121,РД[Дата подачи на регистрацию],"&lt;="&amp;$A$1,РД[Дата подачи на регистрацию],"&gt;="&amp;DATE(YEAR($A$1),MONTH($A$1),1))</f>
        <v>0</v>
      </c>
      <c r="Q127" s="134"/>
      <c r="U127" s="66"/>
    </row>
    <row r="128" spans="1:21" s="65" customFormat="1">
      <c r="A128" s="2137" t="s">
        <v>1884</v>
      </c>
      <c r="B128" s="2132">
        <f>IFERROR(VLOOKUP(A128,'ИПП 2кв25'!$B$42:$N$54,10,0),"")</f>
        <v>17</v>
      </c>
      <c r="C128" s="2133">
        <f>IFERROR(VLOOKUP(A128,'ИПП 2кв25'!$B$42:$N$54,11,0),"")</f>
        <v>2082857</v>
      </c>
      <c r="D128" s="2167">
        <f>SUMIFS(Март25515253[м2],Март25515253[КТУ],$A128,Март25515253[№ дома],$C$121,Март25515253[Комнатность],"&lt;&gt;Офис")</f>
        <v>36.630000000000003</v>
      </c>
      <c r="E128" s="2168">
        <f>SUMIFS(Март25515253[Сумма без отделки],Март25515253[КТУ],$A128,Март25515253[№ дома],$C$121,Март25515253[Комнатность],"&lt;&gt;Офис")</f>
        <v>4611488</v>
      </c>
      <c r="F128" s="2169">
        <f>COUNTIFS(Март25515253[КТУ],$A128,Март25515253[№ дома],$C$121,Март25515253[Комнатность],"&lt;&gt;Офис")</f>
        <v>1</v>
      </c>
      <c r="G128" s="202">
        <f>SUMIFS(РД[S],РД[Дом],$C$121,РД[МОП],A128,РД[Дата подачи на регистрацию],"&lt;="&amp;$A$1,РД[Дата подачи на регистрацию],"&gt;="&amp;DATE(YEAR($A$1),MONTH($A$1),1),РД[Состояние],"Продажа")</f>
        <v>36.630000000000003</v>
      </c>
      <c r="H128" s="203">
        <f>SUMIFS(РД[Стоимость без отделки итог],РД[Дом],$C$121,РД[МОП],A128,РД[Дата подачи на регистрацию],"&lt;="&amp;$A$1,РД[Дата подачи на регистрацию],"&gt;="&amp;DATE(YEAR($A$1),MONTH($A$1),1),РД[Состояние],"Продажа")</f>
        <v>4611488</v>
      </c>
      <c r="I128" s="226">
        <f>COUNTIFS(РД[Дом],$C$121,РД[МОП],A128,РД[Дата подачи на регистрацию],"&lt;="&amp;$A$1,РД[Дата подачи на регистрацию],"&gt;="&amp;DATE(YEAR($A$1),MONTH($A$1),1),РД[Состояние],"Продажа")</f>
        <v>1</v>
      </c>
      <c r="J128" s="2075">
        <f t="shared" si="23"/>
        <v>2.1547058823529412</v>
      </c>
      <c r="K128" s="225">
        <f t="shared" si="24"/>
        <v>2.2140204536365196</v>
      </c>
      <c r="L128" s="257">
        <f>COUNTIFS(РД[Тип кв],L$88,РД[МОП],$A128,РД[Дом],$C$121,РД[Дата подачи на регистрацию],"&lt;="&amp;$A$1,РД[Дата подачи на регистрацию],"&gt;="&amp;DATE(YEAR($A$1),MONTH($A$1),1))</f>
        <v>0</v>
      </c>
      <c r="M128" s="226">
        <f>COUNTIFS(РД[Тип кв],M$88,РД[МОП],$A128,РД[Дом],$C$121,РД[Дата подачи на регистрацию],"&lt;="&amp;$A$1,РД[Дата подачи на регистрацию],"&gt;="&amp;DATE(YEAR($A$1),MONTH($A$1),1))</f>
        <v>1</v>
      </c>
      <c r="N128" s="226">
        <f>COUNTIFS(РД[Тип кв],N$88,РД[МОП],$A128,РД[Дом],$C$121,РД[Дата подачи на регистрацию],"&lt;="&amp;$A$1,РД[Дата подачи на регистрацию],"&gt;="&amp;DATE(YEAR($A$1),MONTH($A$1),1))</f>
        <v>0</v>
      </c>
      <c r="O128" s="226">
        <f>COUNTIFS(РД[Тип кв],O$88,РД[МОП],$A128,РД[Дом],$C$121,РД[Дата подачи на регистрацию],"&lt;="&amp;$A$1,РД[Дата подачи на регистрацию],"&gt;="&amp;DATE(YEAR($A$1),MONTH($A$1),1))</f>
        <v>0</v>
      </c>
      <c r="P128" s="227">
        <f>COUNTIFS(РД[Тип кв],P$88,РД[МОП],$A128,РД[Дом],$C$121,РД[Дата подачи на регистрацию],"&lt;="&amp;$A$1,РД[Дата подачи на регистрацию],"&gt;="&amp;DATE(YEAR($A$1),MONTH($A$1),1))</f>
        <v>0</v>
      </c>
      <c r="Q128" s="134"/>
      <c r="U128" s="66"/>
    </row>
    <row r="129" spans="1:21" s="65" customFormat="1">
      <c r="A129" s="2138" t="s">
        <v>29</v>
      </c>
      <c r="B129" s="2139"/>
      <c r="C129" s="2140"/>
      <c r="D129" s="2141">
        <f>SUMIFS(Март25515253[м2],Март25515253[КТУ],$A129,Март25515253[№ дома],$C$121,Март25515253[Комнатность],"&lt;&gt;Офис")</f>
        <v>0</v>
      </c>
      <c r="E129" s="2140">
        <f>SUMIFS(Март25515253[Сумма без отделки],Март25515253[КТУ],$A129,Март25515253[№ дома],$C$121,Март25515253[Комнатность],"&lt;&gt;Офис")</f>
        <v>0</v>
      </c>
      <c r="F129" s="2142">
        <f>COUNTIFS(Март25515253[КТУ],$A129,Март25515253[№ дома],$C$121,Март25515253[Комнатность],"&lt;&gt;Офис")</f>
        <v>0</v>
      </c>
      <c r="G129" s="159">
        <f>SUMIFS(РД[S],РД[Дом],$C$121,РД[МОП],A129,РД[Дата подачи на регистрацию],"&lt;="&amp;$A$1,РД[Дата подачи на регистрацию],"&gt;="&amp;DATE(YEAR($A$1),MONTH($A$1),1),РД[Состояние],"Продажа")</f>
        <v>0</v>
      </c>
      <c r="H129" s="160">
        <f>SUMIFS(РД[Стоимость без отделки итог],РД[Дом],$C$121,РД[МОП],A129,РД[Дата подачи на регистрацию],"&lt;="&amp;$A$1,РД[Дата подачи на регистрацию],"&gt;="&amp;DATE(YEAR($A$1),MONTH($A$1),1),РД[Состояние],"Продажа")</f>
        <v>0</v>
      </c>
      <c r="I129" s="228">
        <f>COUNTIFS(РД[Дом],$C$121,РД[МОП],A129,РД[Дата подачи на регистрацию],"&lt;="&amp;$A$1,РД[Дата подачи на регистрацию],"&gt;="&amp;DATE(YEAR($A$1),MONTH($A$1),1),РД[Состояние],"Продажа")</f>
        <v>0</v>
      </c>
      <c r="J129" s="2076">
        <f t="shared" si="22"/>
        <v>0</v>
      </c>
      <c r="K129" s="230">
        <f t="shared" si="22"/>
        <v>0</v>
      </c>
      <c r="L129" s="159">
        <f>COUNTIFS(РД[Тип кв],L$88,РД[МОП],$A129,РД[Дом],$C$121,РД[Дата подачи на регистрацию],"&lt;="&amp;$A$1,РД[Дата подачи на регистрацию],"&gt;="&amp;DATE(YEAR($A$1),MONTH($A$1),1))</f>
        <v>0</v>
      </c>
      <c r="M129" s="228">
        <f>COUNTIFS(РД[Тип кв],M$88,РД[МОП],$A129,РД[Дом],$C$121,РД[Дата подачи на регистрацию],"&lt;="&amp;$A$1,РД[Дата подачи на регистрацию],"&gt;="&amp;DATE(YEAR($A$1),MONTH($A$1),1))</f>
        <v>0</v>
      </c>
      <c r="N129" s="228">
        <f>COUNTIFS(РД[Тип кв],N$88,РД[МОП],$A129,РД[Дом],$C$121,РД[Дата подачи на регистрацию],"&lt;="&amp;$A$1,РД[Дата подачи на регистрацию],"&gt;="&amp;DATE(YEAR($A$1),MONTH($A$1),1))</f>
        <v>0</v>
      </c>
      <c r="O129" s="228">
        <f>COUNTIFS(РД[Тип кв],O$88,РД[МОП],$A129,РД[Дом],$C$121,РД[Дата подачи на регистрацию],"&lt;="&amp;$A$1,РД[Дата подачи на регистрацию],"&gt;="&amp;DATE(YEAR($A$1),MONTH($A$1),1))</f>
        <v>0</v>
      </c>
      <c r="P129" s="231">
        <f>COUNTIFS(РД[Тип кв],P$88,РД[МОП],$A129,РД[Дом],$C$121,РД[Дата подачи на регистрацию],"&lt;="&amp;$A$1,РД[Дата подачи на регистрацию],"&gt;="&amp;DATE(YEAR($A$1),MONTH($A$1),1))</f>
        <v>0</v>
      </c>
      <c r="Q129" s="134"/>
      <c r="U129" s="66"/>
    </row>
    <row r="130" spans="1:21" s="65" customFormat="1">
      <c r="A130" s="2143" t="s">
        <v>1919</v>
      </c>
      <c r="B130" s="2144"/>
      <c r="C130" s="2145"/>
      <c r="D130" s="2146">
        <f>SUMIFS(Март25515253[м2],Март25515253[МОП],$A130,Март25515253[№ дома],$C$121,Март25515253[Комнатность],"&lt;&gt;Офис")</f>
        <v>0</v>
      </c>
      <c r="E130" s="2145">
        <f>SUMIFS(Март25515253[Сумма без отделки],Март25515253[МОП],$A130,Март25515253[№ дома],$C$121,Март25515253[Комнатность],"&lt;&gt;Офис")</f>
        <v>0</v>
      </c>
      <c r="F130" s="2147">
        <f>COUNTIFS(Март25515253[МОП],$A130,Март25515253[№ дома],$C$121,Март25515253[Комнатность],"&lt;&gt;Офис")</f>
        <v>0</v>
      </c>
      <c r="G130" s="166">
        <f>SUMIFS(РД[S],РД[Дом],$C$121,РД[МОП],A130,РД[Дата подачи на регистрацию],"&lt;="&amp;$A$1,РД[Дата подачи на регистрацию],"&gt;="&amp;DATE(YEAR($A$1),MONTH($A$1),1),РД[Состояние],"Продажа")</f>
        <v>0</v>
      </c>
      <c r="H130" s="167">
        <f>SUMIFS(РД[Стоимость без отделки итог],РД[Дом],$C$121,РД[МОП],A130,РД[Дата подачи на регистрацию],"&lt;="&amp;$A$1,РД[Дата подачи на регистрацию],"&gt;="&amp;DATE(YEAR($A$1),MONTH($A$1),1),РД[Состояние],"Продажа")</f>
        <v>0</v>
      </c>
      <c r="I130" s="232">
        <f>COUNTIFS(РД[Дом],$C$121,РД[МОП],A130,РД[Дата подачи на регистрацию],"&lt;="&amp;$A$1,РД[Дата подачи на регистрацию],"&gt;="&amp;DATE(YEAR($A$1),MONTH($A$1),1),РД[Состояние],"Продажа")</f>
        <v>0</v>
      </c>
      <c r="J130" s="2077">
        <f t="shared" si="22"/>
        <v>0</v>
      </c>
      <c r="K130" s="234">
        <f t="shared" si="22"/>
        <v>0</v>
      </c>
      <c r="L130" s="235">
        <f>COUNTIFS(РД[Тип кв],L$88,РД[МОП],$A130,РД[Дом],$C$121,РД[Дата подачи на регистрацию],"&lt;="&amp;$A$1,РД[Дата подачи на регистрацию],"&gt;="&amp;DATE(YEAR($A$1),MONTH($A$1),1))</f>
        <v>0</v>
      </c>
      <c r="M130" s="236">
        <f>COUNTIFS(РД[Тип кв],M$88,РД[МОП],$A130,РД[Дом],$C$121,РД[Дата подачи на регистрацию],"&lt;="&amp;$A$1,РД[Дата подачи на регистрацию],"&gt;="&amp;DATE(YEAR($A$1),MONTH($A$1),1))</f>
        <v>0</v>
      </c>
      <c r="N130" s="236">
        <f>COUNTIFS(РД[Тип кв],N$88,РД[МОП],$A130,РД[Дом],$C$121,РД[Дата подачи на регистрацию],"&lt;="&amp;$A$1,РД[Дата подачи на регистрацию],"&gt;="&amp;DATE(YEAR($A$1),MONTH($A$1),1))</f>
        <v>0</v>
      </c>
      <c r="O130" s="236">
        <f>COUNTIFS(РД[Тип кв],O$88,РД[МОП],$A130,РД[Дом],$C$121,РД[Дата подачи на регистрацию],"&lt;="&amp;$A$1,РД[Дата подачи на регистрацию],"&gt;="&amp;DATE(YEAR($A$1),MONTH($A$1),1))</f>
        <v>0</v>
      </c>
      <c r="P130" s="237">
        <f>COUNTIFS(РД[Тип кв],P$88,РД[МОП],$A130,РД[Дом],$C$121,РД[Дата подачи на регистрацию],"&lt;="&amp;$A$1,РД[Дата подачи на регистрацию],"&gt;="&amp;DATE(YEAR($A$1),MONTH($A$1),1))</f>
        <v>0</v>
      </c>
      <c r="Q130" s="134"/>
      <c r="U130" s="66"/>
    </row>
    <row r="131" spans="1:21" s="65" customFormat="1">
      <c r="A131" s="2148" t="s">
        <v>114</v>
      </c>
      <c r="B131" s="2149">
        <f t="shared" ref="B131:I131" si="25">SUM(B123:B130)</f>
        <v>360</v>
      </c>
      <c r="C131" s="2150">
        <f t="shared" si="25"/>
        <v>44216079</v>
      </c>
      <c r="D131" s="2150">
        <f t="shared" si="25"/>
        <v>195.36</v>
      </c>
      <c r="E131" s="2150">
        <f t="shared" si="25"/>
        <v>23624076</v>
      </c>
      <c r="F131" s="2151">
        <f t="shared" si="25"/>
        <v>4</v>
      </c>
      <c r="G131" s="172">
        <f t="shared" si="25"/>
        <v>195.36</v>
      </c>
      <c r="H131" s="173">
        <f t="shared" si="25"/>
        <v>23624076</v>
      </c>
      <c r="I131" s="170">
        <f t="shared" si="25"/>
        <v>4</v>
      </c>
      <c r="J131" s="2078">
        <f t="shared" ref="J131:K131" si="26">IFERROR(G131/B131,"")</f>
        <v>0.54266666666666674</v>
      </c>
      <c r="K131" s="239">
        <f t="shared" si="26"/>
        <v>0.53428699546153791</v>
      </c>
      <c r="L131" s="240">
        <f>SUM(L123:L130)</f>
        <v>0</v>
      </c>
      <c r="M131" s="241">
        <f>SUM(M123:M130)</f>
        <v>2</v>
      </c>
      <c r="N131" s="241">
        <f>SUM(N123:N130)</f>
        <v>2</v>
      </c>
      <c r="O131" s="241">
        <f>SUM(O123:O130)</f>
        <v>0</v>
      </c>
      <c r="P131" s="242">
        <f>SUM(P123:P130)</f>
        <v>0</v>
      </c>
      <c r="Q131" s="134"/>
      <c r="U131" s="66"/>
    </row>
    <row r="132" spans="1:21" s="65" customFormat="1">
      <c r="A132" s="2126" t="s">
        <v>115</v>
      </c>
      <c r="B132" s="2126" t="s">
        <v>100</v>
      </c>
      <c r="C132" s="2127" t="s">
        <v>97</v>
      </c>
      <c r="D132" s="2128" t="s">
        <v>494</v>
      </c>
      <c r="E132" s="2129" t="s">
        <v>495</v>
      </c>
      <c r="F132" s="2130" t="s">
        <v>496</v>
      </c>
      <c r="G132" s="140" t="s">
        <v>101</v>
      </c>
      <c r="H132" s="141" t="s">
        <v>98</v>
      </c>
      <c r="I132" s="141" t="s">
        <v>96</v>
      </c>
      <c r="J132" s="2073" t="s">
        <v>715</v>
      </c>
      <c r="K132" s="216" t="s">
        <v>716</v>
      </c>
      <c r="L132" s="217">
        <v>0</v>
      </c>
      <c r="M132" s="218">
        <v>1</v>
      </c>
      <c r="N132" s="218">
        <v>2</v>
      </c>
      <c r="O132" s="218">
        <v>3</v>
      </c>
      <c r="P132" s="219" t="s">
        <v>1367</v>
      </c>
      <c r="Q132" s="134"/>
      <c r="U132" s="66"/>
    </row>
    <row r="133" spans="1:21" s="65" customFormat="1">
      <c r="A133" s="2152" t="s">
        <v>22</v>
      </c>
      <c r="B133" s="2153">
        <f>IFERROR(VLOOKUP(A133,'ИПП 2кв25'!$B$42:$N$54,10,0),"")</f>
        <v>124.51376146788992</v>
      </c>
      <c r="C133" s="2154">
        <f>IFERROR(VLOOKUP(A133,'ИПП 2кв25'!$B$42:$N$54,11,0),"")</f>
        <v>15293084.204587158</v>
      </c>
      <c r="D133" s="2155">
        <f>SUMIFS(Март25515253[м2],Март25515253[ИМ],A133,Март25515253[№ дома],$C$121,Март25515253[Комнатность],"&lt;&gt;Офис")</f>
        <v>195.35999999999999</v>
      </c>
      <c r="E133" s="2156">
        <f>SUMIFS(Март25515253[Сумма без отделки],Март25515253[ИМ],$A133,Март25515253[№ дома],$C$121,Март25515253[Комнатность],"&lt;&gt;Офис")</f>
        <v>23624076</v>
      </c>
      <c r="F133" s="2170">
        <f>COUNTIFS(Март25515253[ИМ],$A133,Март25515253[№ дома],$C$121,Март25515253[Комнатность],"&lt;&gt;Офис")</f>
        <v>4</v>
      </c>
      <c r="G133" s="183">
        <f>SUMIFS(РД[S],РД[Дом],$C$121,РД[ИМ],A133,РД[Дата подачи на регистрацию],"&lt;="&amp;$A$1,РД[Дата подачи на регистрацию],"&gt;="&amp;DATE(YEAR($A$1),MONTH($A$1),1),РД[Состояние],"Продажа")</f>
        <v>0</v>
      </c>
      <c r="H133" s="184">
        <f>SUMIFS(РД[Стоимость без отделки итог],РД[Дом],$C$121,РД[ИМ],A133,РД[Дата подачи на регистрацию],"&lt;="&amp;$A$1,РД[Дата подачи на регистрацию],"&gt;="&amp;DATE(YEAR($A$1),MONTH($A$1),1),РД[Состояние],"Продажа")</f>
        <v>0</v>
      </c>
      <c r="I133" s="243">
        <f>COUNTIFS(РД[Дом],$C$121,РД[ИМ],A133,РД[Дата подачи на регистрацию],"&lt;="&amp;$A$1,РД[Дата подачи на регистрацию],"&gt;="&amp;DATE(YEAR($A$1),MONTH($A$1),1),РД[Состояние],"Продажа")</f>
        <v>0</v>
      </c>
      <c r="J133" s="2079">
        <f t="shared" ref="J133:K135" si="27">IFERROR(G133/B133,"")</f>
        <v>0</v>
      </c>
      <c r="K133" s="258">
        <f t="shared" si="27"/>
        <v>0</v>
      </c>
      <c r="L133" s="183">
        <f>COUNTIFS(РД[Тип кв],L122,РД[ИМ],$A133,РД[Дом],$C$121,РД[Дата подачи на регистрацию],"&lt;="&amp;$A$1,РД[Дата подачи на регистрацию],"&gt;="&amp;DATE(YEAR($A$1),MONTH($A$1),1))</f>
        <v>0</v>
      </c>
      <c r="M133" s="243">
        <f>COUNTIFS(РД[Тип кв],M122,РД[ИМ],$A133,РД[Дом],$C$121,РД[Дата подачи на регистрацию],"&lt;="&amp;$A$1,РД[Дата подачи на регистрацию],"&gt;="&amp;DATE(YEAR($A$1),MONTH($A$1),1))</f>
        <v>0</v>
      </c>
      <c r="N133" s="243">
        <f>COUNTIFS(РД[Тип кв],N122,РД[ИМ],$A133,РД[Дом],$C$121,РД[Дата подачи на регистрацию],"&lt;="&amp;$A$1,РД[Дата подачи на регистрацию],"&gt;="&amp;DATE(YEAR($A$1),MONTH($A$1),1))</f>
        <v>0</v>
      </c>
      <c r="O133" s="243">
        <f>COUNTIFS(РД[Тип кв],O122,РД[ИМ],$A133,РД[Дом],$C$121,РД[Дата подачи на регистрацию],"&lt;="&amp;$A$1,РД[Дата подачи на регистрацию],"&gt;="&amp;DATE(YEAR($A$1),MONTH($A$1),1))</f>
        <v>0</v>
      </c>
      <c r="P133" s="246">
        <f>COUNTIFS(РД[Тип кв],P122,РД[ИМ],$A133,РД[Дом],$C$121,РД[Дата подачи на регистрацию],"&lt;="&amp;$A$1,РД[Дата подачи на регистрацию],"&gt;="&amp;DATE(YEAR($A$1),MONTH($A$1),1))</f>
        <v>0</v>
      </c>
      <c r="Q133" s="134"/>
      <c r="U133" s="66"/>
    </row>
    <row r="134" spans="1:21" s="65" customFormat="1">
      <c r="A134" s="2136" t="s">
        <v>26</v>
      </c>
      <c r="B134" s="2132">
        <f>IFERROR(VLOOKUP(A134,'ИПП 2кв25'!$B$42:$N$54,10,0),"")</f>
        <v>109.48623853211009</v>
      </c>
      <c r="C134" s="2133">
        <f>IFERROR(VLOOKUP(A134,'ИПП 2кв25'!$B$42:$N$54,11,0),"")</f>
        <v>13447367.145412846</v>
      </c>
      <c r="D134" s="2171">
        <f>SUMIFS(Март25515253[м2],Март25515253[ИМ],A134,Март25515253[№ дома],$C$121,Март25515253[Комнатность],"&lt;&gt;Офис")</f>
        <v>0</v>
      </c>
      <c r="E134" s="2172">
        <f>SUMIFS(Март25515253[Сумма без отделки],Март25515253[ИМ],$A134,Март25515253[№ дома],$C$121,Март25515253[Комнатность],"&lt;&gt;Офис")</f>
        <v>0</v>
      </c>
      <c r="F134" s="2173">
        <f>COUNTIFS(Март25515253[ИМ],$A134,Март25515253[№ дома],$C$121,Март25515253[Комнатность],"&lt;&gt;Офис")</f>
        <v>0</v>
      </c>
      <c r="G134" s="187">
        <f>SUMIFS(РД[S],РД[Дом],$C$121,РД[ИМ],A134,РД[Дата подачи на регистрацию],"&lt;="&amp;$A$1,РД[Дата подачи на регистрацию],"&gt;="&amp;DATE(YEAR($A$1),MONTH($A$1),1),РД[Состояние],"Продажа")</f>
        <v>0</v>
      </c>
      <c r="H134" s="188">
        <f>SUMIFS(РД[Стоимость без отделки итог],РД[Дом],$C$121,РД[ИМ],A134,РД[Дата подачи на регистрацию],"&lt;="&amp;$A$1,РД[Дата подачи на регистрацию],"&gt;="&amp;DATE(YEAR($A$1),MONTH($A$1),1),РД[Состояние],"Продажа")</f>
        <v>0</v>
      </c>
      <c r="I134" s="247">
        <f>COUNTIFS(РД[Дом],$C$121,РД[ИМ],A134,РД[Дата подачи на регистрацию],"&lt;="&amp;$A$1,РД[Дата подачи на регистрацию],"&gt;="&amp;DATE(YEAR($A$1),MONTH($A$1),1),РД[Состояние],"Продажа")</f>
        <v>0</v>
      </c>
      <c r="J134" s="2080">
        <f t="shared" si="27"/>
        <v>0</v>
      </c>
      <c r="K134" s="259">
        <f t="shared" si="27"/>
        <v>0</v>
      </c>
      <c r="L134" s="187">
        <f>COUNTIFS(РД[Тип кв],L$88,РД[ИМ],$A134,РД[Дом],$C$121,РД[Дата подачи на регистрацию],"&lt;="&amp;$A$1,РД[Дата подачи на регистрацию],"&gt;="&amp;DATE(YEAR($A$1),MONTH($A$1),1))</f>
        <v>0</v>
      </c>
      <c r="M134" s="247">
        <f>COUNTIFS(РД[Тип кв],M$88,РД[ИМ],$A134,РД[Дом],$C$121,РД[Дата подачи на регистрацию],"&lt;="&amp;$A$1,РД[Дата подачи на регистрацию],"&gt;="&amp;DATE(YEAR($A$1),MONTH($A$1),1))</f>
        <v>0</v>
      </c>
      <c r="N134" s="247">
        <f>COUNTIFS(РД[Тип кв],N$88,РД[ИМ],$A134,РД[Дом],$C$121,РД[Дата подачи на регистрацию],"&lt;="&amp;$A$1,РД[Дата подачи на регистрацию],"&gt;="&amp;DATE(YEAR($A$1),MONTH($A$1),1))</f>
        <v>0</v>
      </c>
      <c r="O134" s="247">
        <f>COUNTIFS(РД[Тип кв],O$88,РД[ИМ],$A134,РД[Дом],$C$121,РД[Дата подачи на регистрацию],"&lt;="&amp;$A$1,РД[Дата подачи на регистрацию],"&gt;="&amp;DATE(YEAR($A$1),MONTH($A$1),1))</f>
        <v>0</v>
      </c>
      <c r="P134" s="250">
        <f>COUNTIFS(РД[Тип кв],P$88,РД[ИМ],$A134,РД[Дом],$C$121,РД[Дата подачи на регистрацию],"&lt;="&amp;$A$1,РД[Дата подачи на регистрацию],"&gt;="&amp;DATE(YEAR($A$1),MONTH($A$1),1))</f>
        <v>0</v>
      </c>
      <c r="Q134" s="134"/>
      <c r="U134" s="66"/>
    </row>
    <row r="135" spans="1:21" s="65" customFormat="1">
      <c r="A135" s="2160" t="s">
        <v>3</v>
      </c>
      <c r="B135" s="2161">
        <f>IFERROR(VLOOKUP(A135,'ИПП 2кв25'!$B$42:$N$54,10,0),"")</f>
        <v>0</v>
      </c>
      <c r="C135" s="2162">
        <f>IFERROR(VLOOKUP(A135,'ИПП 2кв25'!$B$42:$N$54,11,0),"")</f>
        <v>0</v>
      </c>
      <c r="D135" s="2174">
        <f>SUMIFS(Март25515253[м2],Март25515253[ИМ],A135,Март25515253[№ дома],$C$121,Март25515253[Комнатность],"&lt;&gt;Офис")</f>
        <v>0</v>
      </c>
      <c r="E135" s="2175">
        <f>SUMIFS(Март25515253[Сумма без отделки],Март25515253[ИМ],$A135,Март25515253[№ дома],$C$121,Март25515253[Комнатность],"&lt;&gt;Офис")</f>
        <v>0</v>
      </c>
      <c r="F135" s="2176">
        <f>COUNTIFS(Март25515253[ИМ],$A135,Март25515253[№ дома],$C$121,Март25515253[Комнатность],"&lt;&gt;Офис")</f>
        <v>0</v>
      </c>
      <c r="G135" s="195">
        <f>SUMIFS(РД[S],РД[Дом],$C$121,РД[ИМ],A135,РД[Дата подачи на регистрацию],"&lt;="&amp;$A$1,РД[Дата подачи на регистрацию],"&gt;="&amp;DATE(YEAR($A$1),MONTH($A$1),1),РД[Состояние],"Продажа")</f>
        <v>0</v>
      </c>
      <c r="H135" s="196">
        <f>SUMIFS(РД[Стоимость без отделки итог],РД[Дом],$C$121,РД[ИМ],A135,РД[Дата подачи на регистрацию],"&lt;="&amp;$A$1,РД[Дата подачи на регистрацию],"&gt;="&amp;DATE(YEAR($A$1),MONTH($A$1),1),РД[Состояние],"Продажа")</f>
        <v>0</v>
      </c>
      <c r="I135" s="251">
        <f>COUNTIFS(РД[Дом],$C$121,РД[ИМ],A135,РД[Дата подачи на регистрацию],"&lt;="&amp;$A$1,РД[Дата подачи на регистрацию],"&gt;="&amp;DATE(YEAR($A$1),MONTH($A$1),1),РД[Состояние],"Продажа")</f>
        <v>0</v>
      </c>
      <c r="J135" s="2081" t="str">
        <f t="shared" si="27"/>
        <v/>
      </c>
      <c r="K135" s="260" t="str">
        <f t="shared" si="27"/>
        <v/>
      </c>
      <c r="L135" s="195">
        <f>COUNTIFS(РД[Тип кв],L$88,РД[ИМ],$A135,РД[Дом],$C$121,РД[Дата подачи на регистрацию],"&lt;="&amp;$A$1,РД[Дата подачи на регистрацию],"&gt;="&amp;DATE(YEAR($A$1),MONTH($A$1),1))</f>
        <v>0</v>
      </c>
      <c r="M135" s="251">
        <f>COUNTIFS(РД[Тип кв],M$88,РД[ИМ],$A135,РД[Дом],$C$121,РД[Дата подачи на регистрацию],"&lt;="&amp;$A$1,РД[Дата подачи на регистрацию],"&gt;="&amp;DATE(YEAR($A$1),MONTH($A$1),1))</f>
        <v>0</v>
      </c>
      <c r="N135" s="251">
        <f>COUNTIFS(РД[Тип кв],N$88,РД[ИМ],$A135,РД[Дом],$C$121,РД[Дата подачи на регистрацию],"&lt;="&amp;$A$1,РД[Дата подачи на регистрацию],"&gt;="&amp;DATE(YEAR($A$1),MONTH($A$1),1))</f>
        <v>0</v>
      </c>
      <c r="O135" s="251">
        <f>COUNTIFS(РД[Тип кв],O$88,РД[ИМ],$A135,РД[Дом],$C$121,РД[Дата подачи на регистрацию],"&lt;="&amp;$A$1,РД[Дата подачи на регистрацию],"&gt;="&amp;DATE(YEAR($A$1),MONTH($A$1),1))</f>
        <v>0</v>
      </c>
      <c r="P135" s="254">
        <f>COUNTIFS(РД[Тип кв],P$88,РД[ИМ],$A135,РД[Дом],$C$121,РД[Дата подачи на регистрацию],"&lt;="&amp;$A$1,РД[Дата подачи на регистрацию],"&gt;="&amp;DATE(YEAR($A$1),MONTH($A$1),1))</f>
        <v>0</v>
      </c>
      <c r="Q135" s="134"/>
      <c r="U135" s="66"/>
    </row>
    <row r="136" spans="1:21" s="65" customFormat="1">
      <c r="A136" s="2148" t="s">
        <v>114</v>
      </c>
      <c r="B136" s="2149">
        <f t="shared" ref="B136:I136" si="28">SUM(B133:B135)</f>
        <v>234</v>
      </c>
      <c r="C136" s="2150">
        <f t="shared" si="28"/>
        <v>28740451.350000001</v>
      </c>
      <c r="D136" s="2150">
        <f t="shared" si="28"/>
        <v>195.35999999999999</v>
      </c>
      <c r="E136" s="2150">
        <f t="shared" si="28"/>
        <v>23624076</v>
      </c>
      <c r="F136" s="2151">
        <f t="shared" si="28"/>
        <v>4</v>
      </c>
      <c r="G136" s="172">
        <f t="shared" si="28"/>
        <v>0</v>
      </c>
      <c r="H136" s="173">
        <f t="shared" si="28"/>
        <v>0</v>
      </c>
      <c r="I136" s="170">
        <f t="shared" si="28"/>
        <v>0</v>
      </c>
      <c r="J136" s="2078">
        <f>IFERROR(G136/B136,)</f>
        <v>0</v>
      </c>
      <c r="K136" s="239">
        <f>IFERROR(H136/C136,)</f>
        <v>0</v>
      </c>
      <c r="L136" s="240">
        <f t="shared" ref="L136:P136" si="29">SUM(L133:L135)</f>
        <v>0</v>
      </c>
      <c r="M136" s="241">
        <f t="shared" si="29"/>
        <v>0</v>
      </c>
      <c r="N136" s="241">
        <f t="shared" si="29"/>
        <v>0</v>
      </c>
      <c r="O136" s="241">
        <f t="shared" si="29"/>
        <v>0</v>
      </c>
      <c r="P136" s="242">
        <f t="shared" si="29"/>
        <v>0</v>
      </c>
      <c r="Q136" s="134"/>
      <c r="U136" s="66"/>
    </row>
    <row r="137" spans="1:21" s="65" customFormat="1">
      <c r="A137" s="2125"/>
      <c r="B137" s="2166"/>
      <c r="C137" s="2166"/>
      <c r="D137" s="2166"/>
      <c r="E137" s="2166"/>
      <c r="F137" s="2166"/>
      <c r="G137" s="197"/>
      <c r="H137" s="197"/>
      <c r="I137" s="215"/>
      <c r="J137" s="2082"/>
      <c r="K137" s="256"/>
      <c r="L137" s="215"/>
      <c r="M137" s="215"/>
      <c r="N137" s="215"/>
      <c r="O137" s="215"/>
      <c r="P137" s="215"/>
      <c r="Q137" s="134"/>
      <c r="U137" s="66"/>
    </row>
    <row r="138" spans="1:21" s="65" customFormat="1">
      <c r="A138" s="2407" t="s">
        <v>713</v>
      </c>
      <c r="B138" s="2408"/>
      <c r="C138" s="2124" t="s">
        <v>718</v>
      </c>
      <c r="D138" s="2125"/>
      <c r="E138" s="2125"/>
      <c r="F138" s="2125"/>
      <c r="G138" s="134"/>
      <c r="H138" s="134"/>
      <c r="I138" s="134"/>
      <c r="J138" s="2072"/>
      <c r="K138" s="134"/>
      <c r="L138" s="134"/>
      <c r="M138" s="134"/>
      <c r="N138" s="134"/>
      <c r="O138" s="134"/>
      <c r="P138" s="134"/>
      <c r="T138" s="66"/>
    </row>
    <row r="139" spans="1:21" s="65" customFormat="1">
      <c r="A139" s="2126" t="s">
        <v>1</v>
      </c>
      <c r="B139" s="2126" t="s">
        <v>100</v>
      </c>
      <c r="C139" s="2127" t="s">
        <v>97</v>
      </c>
      <c r="D139" s="2128" t="s">
        <v>494</v>
      </c>
      <c r="E139" s="2129" t="s">
        <v>495</v>
      </c>
      <c r="F139" s="2130" t="s">
        <v>496</v>
      </c>
      <c r="G139" s="140" t="s">
        <v>101</v>
      </c>
      <c r="H139" s="141" t="s">
        <v>98</v>
      </c>
      <c r="I139" s="141" t="s">
        <v>96</v>
      </c>
      <c r="J139" s="2073" t="s">
        <v>715</v>
      </c>
      <c r="K139" s="216" t="s">
        <v>716</v>
      </c>
      <c r="L139" s="217">
        <v>0</v>
      </c>
      <c r="M139" s="218">
        <v>1</v>
      </c>
      <c r="N139" s="218">
        <v>2</v>
      </c>
      <c r="O139" s="218">
        <v>3</v>
      </c>
      <c r="P139" s="219" t="s">
        <v>1367</v>
      </c>
      <c r="T139" s="66"/>
    </row>
    <row r="140" spans="1:21" s="65" customFormat="1">
      <c r="A140" s="2131" t="s">
        <v>28</v>
      </c>
      <c r="B140" s="2132">
        <f>IFERROR(VLOOKUP(A140,'ИПП 2кв25'!$B$42:$N$54,12,0),"")</f>
        <v>229</v>
      </c>
      <c r="C140" s="2133">
        <f>IFERROR(VLOOKUP(A140,'ИПП 2кв25'!$B$42:$N$54,13,0),"")</f>
        <v>29270728</v>
      </c>
      <c r="D140" s="2167">
        <f>SUMIFS(Март25515253[м2],Март25515253[КТУ],$A140,Март25515253[Комнатность],"&lt;&gt;Офис")</f>
        <v>96.01</v>
      </c>
      <c r="E140" s="2168">
        <f>SUMIFS(Март25515253[Сумма без отделки],Март25515253[КТУ],$A140,Март25515253[Комнатность],"&lt;&gt;Офис")</f>
        <v>11672124</v>
      </c>
      <c r="F140" s="2169">
        <f>COUNTIFS(Март25515253[КТУ],$A140,Март25515253[Комнатность],"&lt;&gt;Офис")</f>
        <v>2</v>
      </c>
      <c r="G140" s="202">
        <f>SUMIFS(РД[S],РД[МОП],A140,РД[Дата подачи на регистрацию],"&lt;="&amp;$A$1,РД[Дата подачи на регистрацию],"&gt;="&amp;DATE(YEAR($A$1),MONTH($A$1),1),РД[Состояние],"Продажа")</f>
        <v>96.01</v>
      </c>
      <c r="H140" s="203">
        <f>SUMIFS(РД[Стоимость без отделки итог],РД[МОП],A140,РД[Дата подачи на регистрацию],"&lt;="&amp;$A$1,РД[Дата подачи на регистрацию],"&gt;="&amp;DATE(YEAR($A$1),MONTH($A$1),1),РД[Состояние],"Продажа")</f>
        <v>11672124</v>
      </c>
      <c r="I140" s="226">
        <f>COUNTIFS(РД[МОП],A140,РД[Дата подачи на регистрацию],"&lt;="&amp;$A$1,РД[Дата подачи на регистрацию],"&gt;="&amp;DATE(YEAR($A$1),MONTH($A$1),1),РД[Состояние],"Продажа")</f>
        <v>2</v>
      </c>
      <c r="J140" s="2075">
        <f t="shared" ref="J140:K148" si="30">IFERROR(G140/B140,"")</f>
        <v>0.41925764192139742</v>
      </c>
      <c r="K140" s="225">
        <f t="shared" si="30"/>
        <v>0.3987643901443107</v>
      </c>
      <c r="L140" s="257">
        <f>COUNTIFS(РД[Тип кв],L$88,РД[МОП],$A140,РД[Дата подачи на регистрацию],"&lt;="&amp;$A$1,РД[Дата подачи на регистрацию],"&gt;="&amp;DATE(YEAR($A$1),MONTH($A$1),1))</f>
        <v>0</v>
      </c>
      <c r="M140" s="226">
        <f>COUNTIFS(РД[Тип кв],M$88,РД[МОП],$A140,РД[Дата подачи на регистрацию],"&lt;="&amp;$A$1,РД[Дата подачи на регистрацию],"&gt;="&amp;DATE(YEAR($A$1),MONTH($A$1),1))</f>
        <v>1</v>
      </c>
      <c r="N140" s="226">
        <f>COUNTIFS(РД[Тип кв],N$88,РД[МОП],$A140,РД[Дата подачи на регистрацию],"&lt;="&amp;$A$1,РД[Дата подачи на регистрацию],"&gt;="&amp;DATE(YEAR($A$1),MONTH($A$1),1))</f>
        <v>1</v>
      </c>
      <c r="O140" s="226">
        <f>COUNTIFS(РД[Тип кв],O$88,РД[МОП],$A140,РД[Дата подачи на регистрацию],"&lt;="&amp;$A$1,РД[Дата подачи на регистрацию],"&gt;="&amp;DATE(YEAR($A$1),MONTH($A$1),1))</f>
        <v>0</v>
      </c>
      <c r="P140" s="227">
        <f>COUNTIFS(РД[Тип кв],P$88,РД[МОП],$A140,РД[Дата подачи на регистрацию],"&lt;="&amp;$A$1,РД[Дата подачи на регистрацию],"&gt;="&amp;DATE(YEAR($A$1),MONTH($A$1),1))</f>
        <v>0</v>
      </c>
      <c r="T140" s="66"/>
    </row>
    <row r="141" spans="1:21" s="65" customFormat="1">
      <c r="A141" s="2131" t="s">
        <v>8</v>
      </c>
      <c r="B141" s="2132">
        <f>IFERROR(VLOOKUP(A141,'ИПП 2кв25'!$B$42:$N$54,12,0),"")</f>
        <v>467</v>
      </c>
      <c r="C141" s="2133">
        <f>IFERROR(VLOOKUP(A141,'ИПП 2кв25'!$B$42:$N$54,13,0),"")</f>
        <v>59625558</v>
      </c>
      <c r="D141" s="2167">
        <f>SUMIFS(Март25515253[м2],Март25515253[КТУ],$A141,Март25515253[Комнатность],"&lt;&gt;Офис")</f>
        <v>460.34000000000003</v>
      </c>
      <c r="E141" s="2168">
        <f>SUMIFS(Март25515253[Сумма без отделки],Март25515253[КТУ],$A141,Март25515253[Комнатность],"&lt;&gt;Офис")</f>
        <v>56066997</v>
      </c>
      <c r="F141" s="2169">
        <f>COUNTIFS(Март25515253[КТУ],$A141,Март25515253[Комнатность],"&lt;&gt;Офис")</f>
        <v>10</v>
      </c>
      <c r="G141" s="202">
        <f>SUMIFS(РД[S],РД[МОП],A141,РД[Дата подачи на регистрацию],"&lt;="&amp;$A$1,РД[Дата подачи на регистрацию],"&gt;="&amp;DATE(YEAR($A$1),MONTH($A$1),1),РД[Состояние],"Продажа")</f>
        <v>460.34000000000003</v>
      </c>
      <c r="H141" s="203">
        <f>SUMIFS(РД[Стоимость без отделки итог],РД[МОП],A141,РД[Дата подачи на регистрацию],"&lt;="&amp;$A$1,РД[Дата подачи на регистрацию],"&gt;="&amp;DATE(YEAR($A$1),MONTH($A$1),1),РД[Состояние],"Продажа")</f>
        <v>56066187</v>
      </c>
      <c r="I141" s="226">
        <f>COUNTIFS(РД[МОП],A141,РД[Дата подачи на регистрацию],"&lt;="&amp;$A$1,РД[Дата подачи на регистрацию],"&gt;="&amp;DATE(YEAR($A$1),MONTH($A$1),1),РД[Состояние],"Продажа")</f>
        <v>10</v>
      </c>
      <c r="J141" s="2075">
        <f t="shared" si="30"/>
        <v>0.98573875802997868</v>
      </c>
      <c r="K141" s="225">
        <f t="shared" si="30"/>
        <v>0.94030460897321921</v>
      </c>
      <c r="L141" s="257">
        <f>COUNTIFS(РД[Тип кв],L$88,РД[МОП],$A141,РД[Дата подачи на регистрацию],"&lt;="&amp;$A$1,РД[Дата подачи на регистрацию],"&gt;="&amp;DATE(YEAR($A$1),MONTH($A$1),1))</f>
        <v>1</v>
      </c>
      <c r="M141" s="226">
        <f>COUNTIFS(РД[Тип кв],M$88,РД[МОП],$A141,РД[Дата подачи на регистрацию],"&lt;="&amp;$A$1,РД[Дата подачи на регистрацию],"&gt;="&amp;DATE(YEAR($A$1),MONTH($A$1),1))</f>
        <v>5</v>
      </c>
      <c r="N141" s="226">
        <f>COUNTIFS(РД[Тип кв],N$88,РД[МОП],$A141,РД[Дата подачи на регистрацию],"&lt;="&amp;$A$1,РД[Дата подачи на регистрацию],"&gt;="&amp;DATE(YEAR($A$1),MONTH($A$1),1))</f>
        <v>4</v>
      </c>
      <c r="O141" s="226">
        <f>COUNTIFS(РД[Тип кв],O$88,РД[МОП],$A141,РД[Дата подачи на регистрацию],"&lt;="&amp;$A$1,РД[Дата подачи на регистрацию],"&gt;="&amp;DATE(YEAR($A$1),MONTH($A$1),1))</f>
        <v>0</v>
      </c>
      <c r="P141" s="227">
        <f>COUNTIFS(РД[Тип кв],P$88,РД[МОП],$A141,РД[Дата подачи на регистрацию],"&lt;="&amp;$A$1,РД[Дата подачи на регистрацию],"&gt;="&amp;DATE(YEAR($A$1),MONTH($A$1),1))</f>
        <v>0</v>
      </c>
      <c r="T141" s="66"/>
    </row>
    <row r="142" spans="1:21" s="65" customFormat="1">
      <c r="A142" s="2136" t="s">
        <v>20</v>
      </c>
      <c r="B142" s="2132">
        <f>IFERROR(VLOOKUP(A142,'ИПП 2кв25'!$B$42:$N$54,12,0),"")</f>
        <v>467</v>
      </c>
      <c r="C142" s="2133">
        <f>IFERROR(VLOOKUP(A142,'ИПП 2кв25'!$B$42:$N$54,13,0),"")</f>
        <v>59625558</v>
      </c>
      <c r="D142" s="2167">
        <f>SUMIFS(Март25515253[м2],Март25515253[КТУ],$A142,Март25515253[Комнатность],"&lt;&gt;Офис")</f>
        <v>144.86000000000001</v>
      </c>
      <c r="E142" s="2168">
        <f>SUMIFS(Март25515253[Сумма без отделки],Март25515253[КТУ],$A142,Март25515253[Комнатность],"&lt;&gt;Офис")</f>
        <v>17335818</v>
      </c>
      <c r="F142" s="2169">
        <f>COUNTIFS(Март25515253[КТУ],$A142,Март25515253[Комнатность],"&lt;&gt;Офис")</f>
        <v>3</v>
      </c>
      <c r="G142" s="202">
        <f>SUMIFS(РД[S],РД[МОП],A142,РД[Дата подачи на регистрацию],"&lt;="&amp;$A$1,РД[Дата подачи на регистрацию],"&gt;="&amp;DATE(YEAR($A$1),MONTH($A$1),1),РД[Состояние],"Продажа")</f>
        <v>144.86000000000001</v>
      </c>
      <c r="H142" s="203">
        <f>SUMIFS(РД[Стоимость без отделки итог],РД[МОП],A142,РД[Дата подачи на регистрацию],"&lt;="&amp;$A$1,РД[Дата подачи на регистрацию],"&gt;="&amp;DATE(YEAR($A$1),MONTH($A$1),1),РД[Состояние],"Продажа")</f>
        <v>17335818</v>
      </c>
      <c r="I142" s="226">
        <f>COUNTIFS(РД[МОП],A142,РД[Дата подачи на регистрацию],"&lt;="&amp;$A$1,РД[Дата подачи на регистрацию],"&gt;="&amp;DATE(YEAR($A$1),MONTH($A$1),1),РД[Состояние],"Продажа")</f>
        <v>3</v>
      </c>
      <c r="J142" s="2075">
        <f t="shared" si="30"/>
        <v>0.3101927194860814</v>
      </c>
      <c r="K142" s="225">
        <f t="shared" si="30"/>
        <v>0.29074475076610606</v>
      </c>
      <c r="L142" s="257">
        <f>COUNTIFS(РД[Тип кв],L$88,РД[МОП],$A142,РД[Дата подачи на регистрацию],"&lt;="&amp;$A$1,РД[Дата подачи на регистрацию],"&gt;="&amp;DATE(YEAR($A$1),MONTH($A$1),1))</f>
        <v>1</v>
      </c>
      <c r="M142" s="226">
        <f>COUNTIFS(РД[Тип кв],M$88,РД[МОП],$A142,РД[Дата подачи на регистрацию],"&lt;="&amp;$A$1,РД[Дата подачи на регистрацию],"&gt;="&amp;DATE(YEAR($A$1),MONTH($A$1),1))</f>
        <v>0</v>
      </c>
      <c r="N142" s="226">
        <f>COUNTIFS(РД[Тип кв],N$88,РД[МОП],$A142,РД[Дата подачи на регистрацию],"&lt;="&amp;$A$1,РД[Дата подачи на регистрацию],"&gt;="&amp;DATE(YEAR($A$1),MONTH($A$1),1))</f>
        <v>2</v>
      </c>
      <c r="O142" s="226">
        <f>COUNTIFS(РД[Тип кв],O$88,РД[МОП],$A142,РД[Дата подачи на регистрацию],"&lt;="&amp;$A$1,РД[Дата подачи на регистрацию],"&gt;="&amp;DATE(YEAR($A$1),MONTH($A$1),1))</f>
        <v>0</v>
      </c>
      <c r="P142" s="227">
        <f>COUNTIFS(РД[Тип кв],P$88,РД[МОП],$A142,РД[Дата подачи на регистрацию],"&lt;="&amp;$A$1,РД[Дата подачи на регистрацию],"&gt;="&amp;DATE(YEAR($A$1),MONTH($A$1),1))</f>
        <v>0</v>
      </c>
      <c r="T142" s="66"/>
    </row>
    <row r="143" spans="1:21" s="65" customFormat="1">
      <c r="A143" s="2137" t="s">
        <v>24</v>
      </c>
      <c r="B143" s="2132">
        <f>IFERROR(VLOOKUP(A143,'ИПП 2кв25'!$B$42:$N$54,12,0),"")</f>
        <v>374</v>
      </c>
      <c r="C143" s="2133">
        <f>IFERROR(VLOOKUP(A143,'ИПП 2кв25'!$B$42:$N$54,13,0),"")</f>
        <v>47700447</v>
      </c>
      <c r="D143" s="2167">
        <f>SUMIFS(Март25515253[м2],Март25515253[КТУ],$A143,Март25515253[Комнатность],"&lt;&gt;Офис")</f>
        <v>350.61</v>
      </c>
      <c r="E143" s="2168">
        <f>SUMIFS(Март25515253[Сумма без отделки],Март25515253[КТУ],$A143,Март25515253[Комнатность],"&lt;&gt;Офис")</f>
        <v>39491858</v>
      </c>
      <c r="F143" s="2169">
        <f>COUNTIFS(Март25515253[КТУ],$A143,Март25515253[Комнатность],"&lt;&gt;Офис")</f>
        <v>6</v>
      </c>
      <c r="G143" s="202">
        <f>SUMIFS(РД[S],РД[МОП],A143,РД[Дата подачи на регистрацию],"&lt;="&amp;$A$1,РД[Дата подачи на регистрацию],"&gt;="&amp;DATE(YEAR($A$1),MONTH($A$1),1),РД[Состояние],"Продажа")</f>
        <v>350.61</v>
      </c>
      <c r="H143" s="203">
        <f>SUMIFS(РД[Стоимость без отделки итог],РД[МОП],A143,РД[Дата подачи на регистрацию],"&lt;="&amp;$A$1,РД[Дата подачи на регистрацию],"&gt;="&amp;DATE(YEAR($A$1),MONTH($A$1),1),РД[Состояние],"Продажа")</f>
        <v>39295858</v>
      </c>
      <c r="I143" s="226">
        <f>COUNTIFS(РД[МОП],A143,РД[Дата подачи на регистрацию],"&lt;="&amp;$A$1,РД[Дата подачи на регистрацию],"&gt;="&amp;DATE(YEAR($A$1),MONTH($A$1),1),РД[Состояние],"Продажа")</f>
        <v>6</v>
      </c>
      <c r="J143" s="2075">
        <f t="shared" si="30"/>
        <v>0.93745989304812838</v>
      </c>
      <c r="K143" s="225">
        <f t="shared" si="30"/>
        <v>0.82380481675570039</v>
      </c>
      <c r="L143" s="325">
        <f>COUNTIFS(РД[Тип кв],L$88,РД[МОП],$A143,РД[Дата подачи на регистрацию],"&lt;="&amp;$A$1,РД[Дата подачи на регистрацию],"&gt;="&amp;DATE(YEAR($A$1),MONTH($A$1),1))</f>
        <v>1</v>
      </c>
      <c r="M143" s="326">
        <f>COUNTIFS(РД[Тип кв],M$88,РД[МОП],$A143,РД[Дата подачи на регистрацию],"&lt;="&amp;$A$1,РД[Дата подачи на регистрацию],"&gt;="&amp;DATE(YEAR($A$1),MONTH($A$1),1))</f>
        <v>1</v>
      </c>
      <c r="N143" s="326">
        <f>COUNTIFS(РД[Тип кв],N$88,РД[МОП],$A143,РД[Дата подачи на регистрацию],"&lt;="&amp;$A$1,РД[Дата подачи на регистрацию],"&gt;="&amp;DATE(YEAR($A$1),MONTH($A$1),1))</f>
        <v>2</v>
      </c>
      <c r="O143" s="326">
        <f>COUNTIFS(РД[Тип кв],O$88,РД[МОП],$A143,РД[Дата подачи на регистрацию],"&lt;="&amp;$A$1,РД[Дата подачи на регистрацию],"&gt;="&amp;DATE(YEAR($A$1),MONTH($A$1),1))</f>
        <v>2</v>
      </c>
      <c r="P143" s="327">
        <f>COUNTIFS(РД[Тип кв],P$88,РД[МОП],$A143,РД[Дата подачи на регистрацию],"&lt;="&amp;$A$1,РД[Дата подачи на регистрацию],"&gt;="&amp;DATE(YEAR($A$1),MONTH($A$1),1))</f>
        <v>0</v>
      </c>
      <c r="T143" s="66"/>
    </row>
    <row r="144" spans="1:21" s="65" customFormat="1">
      <c r="A144" s="2137" t="s">
        <v>14</v>
      </c>
      <c r="B144" s="2132">
        <f>IFERROR(VLOOKUP(A144,'ИПП 2кв25'!$B$42:$N$54,12,0),"")</f>
        <v>467</v>
      </c>
      <c r="C144" s="2133">
        <f>IFERROR(VLOOKUP(A144,'ИПП 2кв25'!$B$42:$N$54,13,0),"")</f>
        <v>59625558</v>
      </c>
      <c r="D144" s="2167">
        <f>SUMIFS(Март25515253[м2],Март25515253[КТУ],$A144,Март25515253[Комнатность],"&lt;&gt;Офис")</f>
        <v>93.9</v>
      </c>
      <c r="E144" s="2168">
        <f>SUMIFS(Март25515253[Сумма без отделки],Март25515253[КТУ],$A144,Март25515253[Комнатность],"&lt;&gt;Офис")</f>
        <v>11592870</v>
      </c>
      <c r="F144" s="2169">
        <f>COUNTIFS(Март25515253[КТУ],$A144,Март25515253[Комнатность],"&lt;&gt;Офис")</f>
        <v>2</v>
      </c>
      <c r="G144" s="202">
        <f>SUMIFS(РД[S],РД[МОП],A144,РД[Дата подачи на регистрацию],"&lt;="&amp;$A$1,РД[Дата подачи на регистрацию],"&gt;="&amp;DATE(YEAR($A$1),MONTH($A$1),1),РД[Состояние],"Продажа")</f>
        <v>93.9</v>
      </c>
      <c r="H144" s="203">
        <f>SUMIFS(РД[Стоимость без отделки итог],РД[МОП],A144,РД[Дата подачи на регистрацию],"&lt;="&amp;$A$1,РД[Дата подачи на регистрацию],"&gt;="&amp;DATE(YEAR($A$1),MONTH($A$1),1),РД[Состояние],"Продажа")</f>
        <v>11592870</v>
      </c>
      <c r="I144" s="226">
        <f>COUNTIFS(РД[МОП],A144,РД[Дата подачи на регистрацию],"&lt;="&amp;$A$1,РД[Дата подачи на регистрацию],"&gt;="&amp;DATE(YEAR($A$1),MONTH($A$1),1),РД[Состояние],"Продажа")</f>
        <v>2</v>
      </c>
      <c r="J144" s="2075">
        <f t="shared" ref="J144:J145" si="31">IFERROR(G144/B144,"")</f>
        <v>0.20107066381156319</v>
      </c>
      <c r="K144" s="225">
        <f t="shared" ref="K144:K145" si="32">IFERROR(H144/C144,"")</f>
        <v>0.1944278659832416</v>
      </c>
      <c r="L144" s="325">
        <f>COUNTIFS(РД[Тип кв],L$88,РД[МОП],$A144,РД[Дата подачи на регистрацию],"&lt;="&amp;$A$1,РД[Дата подачи на регистрацию],"&gt;="&amp;DATE(YEAR($A$1),MONTH($A$1),1))</f>
        <v>0</v>
      </c>
      <c r="M144" s="326">
        <f>COUNTIFS(РД[Тип кв],M$88,РД[МОП],$A144,РД[Дата подачи на регистрацию],"&lt;="&amp;$A$1,РД[Дата подачи на регистрацию],"&gt;="&amp;DATE(YEAR($A$1),MONTH($A$1),1))</f>
        <v>1</v>
      </c>
      <c r="N144" s="326">
        <f>COUNTIFS(РД[Тип кв],N$88,РД[МОП],$A144,РД[Дата подачи на регистрацию],"&lt;="&amp;$A$1,РД[Дата подачи на регистрацию],"&gt;="&amp;DATE(YEAR($A$1),MONTH($A$1),1))</f>
        <v>1</v>
      </c>
      <c r="O144" s="326">
        <f>COUNTIFS(РД[Тип кв],O$88,РД[МОП],$A144,РД[Дата подачи на регистрацию],"&lt;="&amp;$A$1,РД[Дата подачи на регистрацию],"&gt;="&amp;DATE(YEAR($A$1),MONTH($A$1),1))</f>
        <v>0</v>
      </c>
      <c r="P144" s="327">
        <f>COUNTIFS(РД[Тип кв],P$88,РД[МОП],$A144,РД[Дата подачи на регистрацию],"&lt;="&amp;$A$1,РД[Дата подачи на регистрацию],"&gt;="&amp;DATE(YEAR($A$1),MONTH($A$1),1))</f>
        <v>0</v>
      </c>
      <c r="T144" s="66"/>
    </row>
    <row r="145" spans="1:21" s="65" customFormat="1">
      <c r="A145" s="2137" t="s">
        <v>1884</v>
      </c>
      <c r="B145" s="2132">
        <f>IFERROR(VLOOKUP(A145,'ИПП 2кв25'!$B$42:$N$54,12,0),"")</f>
        <v>99</v>
      </c>
      <c r="C145" s="2133">
        <f>IFERROR(VLOOKUP(A145,'ИПП 2кв25'!$B$42:$N$54,13,0),"")</f>
        <v>12647845</v>
      </c>
      <c r="D145" s="2167">
        <f>SUMIFS(Март25515253[м2],Март25515253[КТУ],$A145,Март25515253[Комнатность],"&lt;&gt;Офис")</f>
        <v>103.91</v>
      </c>
      <c r="E145" s="2168">
        <f>SUMIFS(Март25515253[Сумма без отделки],Март25515253[КТУ],$A145,Март25515253[Комнатность],"&lt;&gt;Офис")</f>
        <v>13542478</v>
      </c>
      <c r="F145" s="2169">
        <f>COUNTIFS(Март25515253[КТУ],$A145,Март25515253[Комнатность],"&lt;&gt;Офис")</f>
        <v>3</v>
      </c>
      <c r="G145" s="202">
        <f>SUMIFS(РД[S],РД[МОП],A145,РД[Дата подачи на регистрацию],"&lt;="&amp;$A$1,РД[Дата подачи на регистрацию],"&gt;="&amp;DATE(YEAR($A$1),MONTH($A$1),1),РД[Состояние],"Продажа")</f>
        <v>103.91</v>
      </c>
      <c r="H145" s="203">
        <f>SUMIFS(РД[Стоимость без отделки итог],РД[МОП],A145,РД[Дата подачи на регистрацию],"&lt;="&amp;$A$1,РД[Дата подачи на регистрацию],"&gt;="&amp;DATE(YEAR($A$1),MONTH($A$1),1),РД[Состояние],"Продажа")</f>
        <v>13542478</v>
      </c>
      <c r="I145" s="226">
        <f>COUNTIFS(РД[МОП],A145,РД[Дата подачи на регистрацию],"&lt;="&amp;$A$1,РД[Дата подачи на регистрацию],"&gt;="&amp;DATE(YEAR($A$1),MONTH($A$1),1),РД[Состояние],"Продажа")</f>
        <v>3</v>
      </c>
      <c r="J145" s="2075">
        <f t="shared" si="31"/>
        <v>1.0495959595959596</v>
      </c>
      <c r="K145" s="225">
        <f t="shared" si="32"/>
        <v>1.0707340262313461</v>
      </c>
      <c r="L145" s="325">
        <f>COUNTIFS(РД[Тип кв],L$88,РД[МОП],$A145,РД[Дата подачи на регистрацию],"&lt;="&amp;$A$1,РД[Дата подачи на регистрацию],"&gt;="&amp;DATE(YEAR($A$1),MONTH($A$1),1))</f>
        <v>1</v>
      </c>
      <c r="M145" s="326">
        <f>COUNTIFS(РД[Тип кв],M$88,РД[МОП],$A145,РД[Дата подачи на регистрацию],"&lt;="&amp;$A$1,РД[Дата подачи на регистрацию],"&gt;="&amp;DATE(YEAR($A$1),MONTH($A$1),1))</f>
        <v>2</v>
      </c>
      <c r="N145" s="326">
        <f>COUNTIFS(РД[Тип кв],N$88,РД[МОП],$A145,РД[Дата подачи на регистрацию],"&lt;="&amp;$A$1,РД[Дата подачи на регистрацию],"&gt;="&amp;DATE(YEAR($A$1),MONTH($A$1),1))</f>
        <v>0</v>
      </c>
      <c r="O145" s="326">
        <f>COUNTIFS(РД[Тип кв],O$88,РД[МОП],$A145,РД[Дата подачи на регистрацию],"&lt;="&amp;$A$1,РД[Дата подачи на регистрацию],"&gt;="&amp;DATE(YEAR($A$1),MONTH($A$1),1))</f>
        <v>0</v>
      </c>
      <c r="P145" s="327">
        <f>COUNTIFS(РД[Тип кв],P$88,РД[МОП],$A145,РД[Дата подачи на регистрацию],"&lt;="&amp;$A$1,РД[Дата подачи на регистрацию],"&gt;="&amp;DATE(YEAR($A$1),MONTH($A$1),1))</f>
        <v>0</v>
      </c>
      <c r="Q145" s="86"/>
      <c r="R145" s="86"/>
      <c r="S145" s="86"/>
      <c r="T145" s="66"/>
    </row>
    <row r="146" spans="1:21" s="65" customFormat="1">
      <c r="A146" s="2138" t="s">
        <v>29</v>
      </c>
      <c r="B146" s="2139"/>
      <c r="C146" s="2140"/>
      <c r="D146" s="2141">
        <f>SUMIFS(Март25515253[м2],Март25515253[КТУ],$A146,Март25515253[Комнатность],"&lt;&gt;Офис")</f>
        <v>0</v>
      </c>
      <c r="E146" s="2140">
        <f>SUMIFS(Март25515253[Сумма без отделки],Март25515253[КТУ],$A146,Март25515253[Комнатность],"&lt;&gt;Офис")</f>
        <v>0</v>
      </c>
      <c r="F146" s="2142">
        <f>COUNTIFS(Март25515253[КТУ],$A146,Март25515253[Комнатность],"&lt;&gt;Офис")</f>
        <v>0</v>
      </c>
      <c r="G146" s="159">
        <f>SUMIFS(РД[S],РД[МОП],A146,РД[Дата подачи на регистрацию],"&lt;="&amp;$A$1,РД[Дата подачи на регистрацию],"&gt;="&amp;DATE(YEAR($A$1),MONTH($A$1),1),РД[Состояние],"Продажа")</f>
        <v>0</v>
      </c>
      <c r="H146" s="160">
        <f>SUMIFS(РД[Стоимость без отделки итог],РД[МОП],A146,РД[Дата подачи на регистрацию],"&lt;="&amp;$A$1,РД[Дата подачи на регистрацию],"&gt;="&amp;DATE(YEAR($A$1),MONTH($A$1),1),РД[Состояние],"Продажа")</f>
        <v>0</v>
      </c>
      <c r="I146" s="228">
        <f>COUNTIFS(РД[МОП],A146,РД[Дата подачи на регистрацию],"&lt;="&amp;$A$1,РД[Дата подачи на регистрацию],"&gt;="&amp;DATE(YEAR($A$1),MONTH($A$1),1),РД[Состояние],"Продажа")</f>
        <v>0</v>
      </c>
      <c r="J146" s="2076" t="str">
        <f t="shared" si="30"/>
        <v/>
      </c>
      <c r="K146" s="230" t="str">
        <f t="shared" si="30"/>
        <v/>
      </c>
      <c r="L146" s="159">
        <f>COUNTIFS(РД[Тип кв],L$88,РД[МОП],$A146,РД[Дата подачи на регистрацию],"&lt;="&amp;$A$1,РД[Дата подачи на регистрацию],"&gt;="&amp;DATE(YEAR($A$1),MONTH($A$1),1))</f>
        <v>0</v>
      </c>
      <c r="M146" s="228">
        <f>COUNTIFS(РД[Тип кв],M$88,РД[МОП],$A146,РД[Дата подачи на регистрацию],"&lt;="&amp;$A$1,РД[Дата подачи на регистрацию],"&gt;="&amp;DATE(YEAR($A$1),MONTH($A$1),1))</f>
        <v>0</v>
      </c>
      <c r="N146" s="228">
        <f>COUNTIFS(РД[Тип кв],N$88,РД[МОП],$A146,РД[Дата подачи на регистрацию],"&lt;="&amp;$A$1,РД[Дата подачи на регистрацию],"&gt;="&amp;DATE(YEAR($A$1),MONTH($A$1),1))</f>
        <v>0</v>
      </c>
      <c r="O146" s="228">
        <f>COUNTIFS(РД[Тип кв],O$88,РД[МОП],$A146,РД[Дата подачи на регистрацию],"&lt;="&amp;$A$1,РД[Дата подачи на регистрацию],"&gt;="&amp;DATE(YEAR($A$1),MONTH($A$1),1))</f>
        <v>0</v>
      </c>
      <c r="P146" s="231">
        <f>COUNTIFS(РД[Тип кв],P$88,РД[МОП],$A146,РД[Дата подачи на регистрацию],"&lt;="&amp;$A$1,РД[Дата подачи на регистрацию],"&gt;="&amp;DATE(YEAR($A$1),MONTH($A$1),1))</f>
        <v>0</v>
      </c>
      <c r="T146" s="66"/>
    </row>
    <row r="147" spans="1:21" s="65" customFormat="1">
      <c r="A147" s="2143" t="s">
        <v>1919</v>
      </c>
      <c r="B147" s="2144"/>
      <c r="C147" s="2145"/>
      <c r="D147" s="2146">
        <f>SUMIFS(Март25515253[м2],Март25515253[МОП],$A147,Март25515253[Комнатность],"&lt;&gt;Офис")</f>
        <v>270.39999999999998</v>
      </c>
      <c r="E147" s="2145">
        <f>SUMIFS(Март25515253[Сумма без отделки],Март25515253[МОП],$A147,Март25515253[Комнатность],"&lt;&gt;Офис")</f>
        <v>32782248</v>
      </c>
      <c r="F147" s="2147">
        <f>COUNTIFS(Март25515253[МОП],$A147,Март25515253[Комнатность],"&lt;&gt;Офис")</f>
        <v>6</v>
      </c>
      <c r="G147" s="166">
        <f>SUMIFS(РД[S],РД[МОП],A147,РД[Дата подачи на регистрацию],"&lt;="&amp;$A$1,РД[Дата подачи на регистрацию],"&gt;="&amp;DATE(YEAR($A$1),MONTH($A$1),1),РД[Состояние],"Продажа")</f>
        <v>0</v>
      </c>
      <c r="H147" s="167">
        <f>SUMIFS(РД[Стоимость без отделки итог],РД[МОП],A147,РД[Дата подачи на регистрацию],"&lt;="&amp;$A$1,РД[Дата подачи на регистрацию],"&gt;="&amp;DATE(YEAR($A$1),MONTH($A$1),1),РД[Состояние],"Продажа")</f>
        <v>0</v>
      </c>
      <c r="I147" s="232">
        <f>COUNTIFS(РД[МОП],A147,РД[Дата подачи на регистрацию],"&lt;="&amp;$A$1,РД[Дата подачи на регистрацию],"&gt;="&amp;DATE(YEAR($A$1),MONTH($A$1),1),РД[Состояние],"Продажа")</f>
        <v>0</v>
      </c>
      <c r="J147" s="2077" t="str">
        <f t="shared" si="30"/>
        <v/>
      </c>
      <c r="K147" s="234" t="str">
        <f t="shared" si="30"/>
        <v/>
      </c>
      <c r="L147" s="235">
        <f>COUNTIFS(РД[Тип кв],L$88,РД[МОП],$A147,РД[Дата подачи на регистрацию],"&lt;="&amp;$A$1,РД[Дата подачи на регистрацию],"&gt;="&amp;DATE(YEAR($A$1),MONTH($A$1),1))</f>
        <v>0</v>
      </c>
      <c r="M147" s="236">
        <f>COUNTIFS(РД[Тип кв],M$88,РД[МОП],$A147,РД[Дата подачи на регистрацию],"&lt;="&amp;$A$1,РД[Дата подачи на регистрацию],"&gt;="&amp;DATE(YEAR($A$1),MONTH($A$1),1))</f>
        <v>0</v>
      </c>
      <c r="N147" s="236">
        <f>COUNTIFS(РД[Тип кв],N$88,РД[МОП],$A147,РД[Дата подачи на регистрацию],"&lt;="&amp;$A$1,РД[Дата подачи на регистрацию],"&gt;="&amp;DATE(YEAR($A$1),MONTH($A$1),1))</f>
        <v>0</v>
      </c>
      <c r="O147" s="236">
        <f>COUNTIFS(РД[Тип кв],O$88,РД[МОП],$A147,РД[Дата подачи на регистрацию],"&lt;="&amp;$A$1,РД[Дата подачи на регистрацию],"&gt;="&amp;DATE(YEAR($A$1),MONTH($A$1),1))</f>
        <v>0</v>
      </c>
      <c r="P147" s="237">
        <f>COUNTIFS(РД[Тип кв],P$88,РД[МОП],$A147,РД[Дата подачи на регистрацию],"&lt;="&amp;$A$1,РД[Дата подачи на регистрацию],"&gt;="&amp;DATE(YEAR($A$1),MONTH($A$1),1))</f>
        <v>0</v>
      </c>
      <c r="T147" s="66"/>
    </row>
    <row r="148" spans="1:21" s="65" customFormat="1">
      <c r="A148" s="2148" t="s">
        <v>114</v>
      </c>
      <c r="B148" s="2149">
        <f t="shared" ref="B148:I148" si="33">SUM(B140:B147)</f>
        <v>2103</v>
      </c>
      <c r="C148" s="2150">
        <f t="shared" si="33"/>
        <v>268495694</v>
      </c>
      <c r="D148" s="2150">
        <f t="shared" si="33"/>
        <v>1520.0300000000002</v>
      </c>
      <c r="E148" s="2150">
        <f t="shared" si="33"/>
        <v>182484393</v>
      </c>
      <c r="F148" s="2151">
        <f t="shared" si="33"/>
        <v>32</v>
      </c>
      <c r="G148" s="172">
        <f t="shared" si="33"/>
        <v>1249.6300000000003</v>
      </c>
      <c r="H148" s="173">
        <f t="shared" si="33"/>
        <v>149505335</v>
      </c>
      <c r="I148" s="170">
        <f t="shared" si="33"/>
        <v>26</v>
      </c>
      <c r="J148" s="2078">
        <f t="shared" si="30"/>
        <v>0.59421302900618178</v>
      </c>
      <c r="K148" s="239">
        <f t="shared" si="30"/>
        <v>0.55682582008186698</v>
      </c>
      <c r="L148" s="240">
        <f>SUM(L140:L147)</f>
        <v>4</v>
      </c>
      <c r="M148" s="241">
        <f>SUM(M140:M147)</f>
        <v>10</v>
      </c>
      <c r="N148" s="241">
        <f>SUM(N140:N147)</f>
        <v>10</v>
      </c>
      <c r="O148" s="241">
        <f>SUM(O140:O147)</f>
        <v>2</v>
      </c>
      <c r="P148" s="242">
        <f>SUM(P140:P147)</f>
        <v>0</v>
      </c>
      <c r="T148" s="66"/>
    </row>
    <row r="149" spans="1:21" s="65" customFormat="1">
      <c r="A149" s="2126" t="s">
        <v>115</v>
      </c>
      <c r="B149" s="2126" t="s">
        <v>100</v>
      </c>
      <c r="C149" s="2127" t="s">
        <v>97</v>
      </c>
      <c r="D149" s="2128" t="s">
        <v>494</v>
      </c>
      <c r="E149" s="2129" t="s">
        <v>495</v>
      </c>
      <c r="F149" s="2130" t="s">
        <v>496</v>
      </c>
      <c r="G149" s="140" t="s">
        <v>101</v>
      </c>
      <c r="H149" s="141" t="s">
        <v>98</v>
      </c>
      <c r="I149" s="141" t="s">
        <v>96</v>
      </c>
      <c r="J149" s="2073" t="s">
        <v>715</v>
      </c>
      <c r="K149" s="216" t="s">
        <v>716</v>
      </c>
      <c r="L149" s="217">
        <v>0</v>
      </c>
      <c r="M149" s="218">
        <v>1</v>
      </c>
      <c r="N149" s="218">
        <v>2</v>
      </c>
      <c r="O149" s="218">
        <v>3</v>
      </c>
      <c r="P149" s="219" t="s">
        <v>1367</v>
      </c>
      <c r="T149" s="66"/>
    </row>
    <row r="150" spans="1:21" s="65" customFormat="1">
      <c r="A150" s="2152" t="s">
        <v>22</v>
      </c>
      <c r="B150" s="2153">
        <f>IFERROR(VLOOKUP(A150,'ИПП 2кв25'!$B$42:$N$54,12,0),"")</f>
        <v>727.36788990825698</v>
      </c>
      <c r="C150" s="2154">
        <f>IFERROR(VLOOKUP(A150,'ИПП 2кв25'!$B$42:$N$54,13,0),"")</f>
        <v>92865024.438532114</v>
      </c>
      <c r="D150" s="2155">
        <f>SUMIFS(Март25515253[м2],Март25515253[ИМ],A150,Март25515253[Комнатность],"&lt;&gt;Офис")</f>
        <v>720.16</v>
      </c>
      <c r="E150" s="2156">
        <f>SUMIFS(Март25515253[Сумма без отделки],Март25515253[ИМ],$A150,Март25515253[Комнатность],"&lt;&gt;Офис")</f>
        <v>87913605</v>
      </c>
      <c r="F150" s="2170">
        <f>COUNTIFS(Март25515253[ИМ],A150,Март25515253[Комнатность],"&lt;&gt;Офис")</f>
        <v>16</v>
      </c>
      <c r="G150" s="183">
        <f>SUMIFS(РД[S],РД[ИМ],A150,РД[Дата подачи на регистрацию],"&lt;="&amp;$A$1,РД[Дата подачи на регистрацию],"&gt;="&amp;DATE(YEAR($A$1),MONTH($A$1),1),РД[Состояние],"Продажа")</f>
        <v>465.70999999999992</v>
      </c>
      <c r="H150" s="184">
        <f>SUMIFS(РД[Стоимость без отделки итог],РД[ИМ],A150,РД[Дата подачи на регистрацию],"&lt;="&amp;$A$1,РД[Дата подачи на регистрацию],"&gt;="&amp;DATE(YEAR($A$1),MONTH($A$1),1),РД[Состояние],"Продажа")</f>
        <v>57297369</v>
      </c>
      <c r="I150" s="243">
        <f>COUNTIFS(РД[ИМ],A150,РД[Дата подачи на регистрацию],"&lt;="&amp;$A$1,РД[Дата подачи на регистрацию],"&gt;="&amp;DATE(YEAR($A$1),MONTH($A$1),1),РД[Состояние],"Продажа")</f>
        <v>11</v>
      </c>
      <c r="J150" s="2079">
        <f t="shared" ref="J150:K153" si="34">IFERROR(G150/B150,"")</f>
        <v>0.64026747188240607</v>
      </c>
      <c r="K150" s="258">
        <f t="shared" si="34"/>
        <v>0.61699621947470062</v>
      </c>
      <c r="L150" s="183">
        <f>COUNTIFS(РД[Тип кв],L139,РД[ИМ],$A150,РД[Дата подачи на регистрацию],"&lt;="&amp;$A$1,РД[Дата подачи на регистрацию],"&gt;="&amp;DATE(YEAR($A$1),MONTH($A$1),1))</f>
        <v>4</v>
      </c>
      <c r="M150" s="243">
        <f>COUNTIFS(РД[Тип кв],M139,РД[ИМ],$A150,РД[Дата подачи на регистрацию],"&lt;="&amp;$A$1,РД[Дата подачи на регистрацию],"&gt;="&amp;DATE(YEAR($A$1),MONTH($A$1),1))</f>
        <v>3</v>
      </c>
      <c r="N150" s="243">
        <f>COUNTIFS(РД[Тип кв],N139,РД[ИМ],$A150,РД[Дата подачи на регистрацию],"&lt;="&amp;$A$1,РД[Дата подачи на регистрацию],"&gt;="&amp;DATE(YEAR($A$1),MONTH($A$1),1))</f>
        <v>4</v>
      </c>
      <c r="O150" s="243">
        <f>COUNTIFS(РД[Тип кв],O139,РД[ИМ],$A150,РД[Дата подачи на регистрацию],"&lt;="&amp;$A$1,РД[Дата подачи на регистрацию],"&gt;="&amp;DATE(YEAR($A$1),MONTH($A$1),1))</f>
        <v>0</v>
      </c>
      <c r="P150" s="246">
        <f>COUNTIFS(РД[Тип кв],P139,РД[ИМ],$A150,РД[Дата подачи на регистрацию],"&lt;="&amp;$A$1,РД[Дата подачи на регистрацию],"&gt;="&amp;DATE(YEAR($A$1),MONTH($A$1),1))</f>
        <v>0</v>
      </c>
      <c r="Q150" s="66"/>
      <c r="R150" s="66"/>
      <c r="S150" s="66"/>
      <c r="T150" s="66"/>
    </row>
    <row r="151" spans="1:21" s="65" customFormat="1">
      <c r="A151" s="2136" t="s">
        <v>26</v>
      </c>
      <c r="B151" s="2132">
        <f>IFERROR(VLOOKUP(A151,'ИПП 2кв25'!$B$42:$N$54,12,0),"")</f>
        <v>639.58211009174317</v>
      </c>
      <c r="C151" s="2133">
        <f>IFERROR(VLOOKUP(A151,'ИПП 2кв25'!$B$42:$N$54,13,0),"")</f>
        <v>81657176.661467895</v>
      </c>
      <c r="D151" s="2171">
        <f>SUMIFS(Март25515253[м2],Март25515253[ИМ],A151,Март25515253[Комнатность],"&lt;&gt;Офис")</f>
        <v>529.47</v>
      </c>
      <c r="E151" s="2172">
        <f>SUMIFS(Март25515253[Сумма без отделки],Март25515253[ИМ],$A151,Март25515253[Комнатность],"&lt;&gt;Офис")</f>
        <v>61788540</v>
      </c>
      <c r="F151" s="2173">
        <f>COUNTIFS(Март25515253[ИМ],$A151,Март25515253[Комнатность],"&lt;&gt;Офис")</f>
        <v>10</v>
      </c>
      <c r="G151" s="187">
        <f>SUMIFS(РД[S],РД[ИМ],A151,РД[Дата подачи на регистрацию],"&lt;="&amp;$A$1,РД[Дата подачи на регистрацию],"&gt;="&amp;DATE(YEAR($A$1),MONTH($A$1),1),РД[Состояние],"Продажа")</f>
        <v>351.73</v>
      </c>
      <c r="H151" s="188">
        <f>SUMIFS(РД[Стоимость без отделки итог],РД[ИМ],A151,РД[Дата подачи на регистрацию],"&lt;="&amp;$A$1,РД[Дата подачи на регистрацию],"&gt;="&amp;DATE(YEAR($A$1),MONTH($A$1),1),РД[Состояние],"Продажа")</f>
        <v>41700600</v>
      </c>
      <c r="I151" s="247">
        <f>COUNTIFS(РД[ИМ],A151,РД[Дата подачи на регистрацию],"&lt;="&amp;$A$1,РД[Дата подачи на регистрацию],"&gt;="&amp;DATE(YEAR($A$1),MONTH($A$1),1),РД[Состояние],"Продажа")</f>
        <v>7</v>
      </c>
      <c r="J151" s="2080">
        <f t="shared" si="34"/>
        <v>0.54993720813977587</v>
      </c>
      <c r="K151" s="259">
        <f t="shared" si="34"/>
        <v>0.51067893484587656</v>
      </c>
      <c r="L151" s="328">
        <f>COUNTIFS(РД[Тип кв],L141,РД[ИМ],$A151,РД[Дата подачи на регистрацию],"&lt;="&amp;$A$1,РД[Дата подачи на регистрацию],"&gt;="&amp;DATE(YEAR($A$1),MONTH($A$1),1))</f>
        <v>4</v>
      </c>
      <c r="M151" s="247">
        <f>COUNTIFS(РД[Тип кв],M141,РД[ИМ],$A151,РД[Дата подачи на регистрацию],"&lt;="&amp;$A$1,РД[Дата подачи на регистрацию],"&gt;="&amp;DATE(YEAR($A$1),MONTH($A$1),1))</f>
        <v>0</v>
      </c>
      <c r="N151" s="247">
        <f>COUNTIFS(РД[Тип кв],N141,РД[ИМ],$A151,РД[Дата подачи на регистрацию],"&lt;="&amp;$A$1,РД[Дата подачи на регистрацию],"&gt;="&amp;DATE(YEAR($A$1),MONTH($A$1),1))</f>
        <v>0</v>
      </c>
      <c r="O151" s="247">
        <f>COUNTIFS(РД[Тип кв],O141,РД[ИМ],$A151,РД[Дата подачи на регистрацию],"&lt;="&amp;$A$1,РД[Дата подачи на регистрацию],"&gt;="&amp;DATE(YEAR($A$1),MONTH($A$1),1))</f>
        <v>0</v>
      </c>
      <c r="P151" s="250">
        <f>COUNTIFS(РД[Тип кв],P141,РД[ИМ],$A151,РД[Дата подачи на регистрацию],"&lt;="&amp;$A$1,РД[Дата подачи на регистрацию],"&gt;="&amp;DATE(YEAR($A$1),MONTH($A$1),1))</f>
        <v>0</v>
      </c>
      <c r="Q151" s="66"/>
      <c r="R151" s="66"/>
      <c r="S151" s="66"/>
      <c r="T151" s="66"/>
    </row>
    <row r="152" spans="1:21" s="65" customFormat="1">
      <c r="A152" s="2160" t="s">
        <v>3</v>
      </c>
      <c r="B152" s="2161">
        <f>IFERROR(VLOOKUP(A152,'ИПП 2кв25'!$B$42:$N$54,12,0),"")</f>
        <v>0</v>
      </c>
      <c r="C152" s="2162">
        <f>IFERROR(VLOOKUP(A152,'ИПП 2кв25'!$B$42:$N$54,13,0),"")</f>
        <v>0</v>
      </c>
      <c r="D152" s="2174">
        <f>SUMIFS(Март25515253[м2],Март25515253[ИМ],A152,Март25515253[Комнатность],"&lt;&gt;Офис")</f>
        <v>0</v>
      </c>
      <c r="E152" s="2175">
        <f>SUMIFS(Март25515253[Сумма без отделки],Март25515253[ИМ],$A152,Март25515253[Комнатность],"&lt;&gt;Офис")</f>
        <v>0</v>
      </c>
      <c r="F152" s="2176">
        <f>COUNTIFS(Март25515253[ИМ],$A152,Март25515253[Комнатность],"&lt;&gt;Офис")</f>
        <v>0</v>
      </c>
      <c r="G152" s="195">
        <f>SUMIFS(РД[S],РД[ИМ],A152,РД[Дата подачи на регистрацию],"&lt;="&amp;$A$1,РД[Дата подачи на регистрацию],"&gt;="&amp;DATE(YEAR($A$1),MONTH($A$1),1),РД[Состояние],"Продажа")</f>
        <v>0</v>
      </c>
      <c r="H152" s="196">
        <f>SUMIFS(РД[Стоимость без отделки итог],РД[ИМ],A152,РД[Дата подачи на регистрацию],"&lt;="&amp;$A$1,РД[Дата подачи на регистрацию],"&gt;="&amp;DATE(YEAR($A$1),MONTH($A$1),1),РД[Состояние],"Продажа")</f>
        <v>0</v>
      </c>
      <c r="I152" s="251">
        <f>COUNTIFS(РД[ИМ],A152,РД[Дата подачи на регистрацию],"&lt;="&amp;$A$1,РД[Дата подачи на регистрацию],"&gt;="&amp;DATE(YEAR($A$1),MONTH($A$1),1),РД[Состояние],"Продажа")</f>
        <v>0</v>
      </c>
      <c r="J152" s="2081" t="str">
        <f t="shared" si="34"/>
        <v/>
      </c>
      <c r="K152" s="260" t="str">
        <f t="shared" si="34"/>
        <v/>
      </c>
      <c r="L152" s="329">
        <f>COUNTIFS(РД[Тип кв],L143,РД[ИМ],$A152,РД[Дата подачи на регистрацию],"&lt;="&amp;$A$1,РД[Дата подачи на регистрацию],"&gt;="&amp;DATE(YEAR($A$1),MONTH($A$1),1))</f>
        <v>0</v>
      </c>
      <c r="M152" s="330">
        <f>COUNTIFS(РД[Тип кв],M143,РД[ИМ],$A152,РД[Дата подачи на регистрацию],"&lt;="&amp;$A$1,РД[Дата подачи на регистрацию],"&gt;="&amp;DATE(YEAR($A$1),MONTH($A$1),1))</f>
        <v>0</v>
      </c>
      <c r="N152" s="330">
        <f>COUNTIFS(РД[Тип кв],N143,РД[ИМ],$A152,РД[Дата подачи на регистрацию],"&lt;="&amp;$A$1,РД[Дата подачи на регистрацию],"&gt;="&amp;DATE(YEAR($A$1),MONTH($A$1),1))</f>
        <v>0</v>
      </c>
      <c r="O152" s="330">
        <f>COUNTIFS(РД[Тип кв],O143,РД[ИМ],$A152,РД[Дата подачи на регистрацию],"&lt;="&amp;$A$1,РД[Дата подачи на регистрацию],"&gt;="&amp;DATE(YEAR($A$1),MONTH($A$1),1))</f>
        <v>0</v>
      </c>
      <c r="P152" s="331">
        <f>COUNTIFS(РД[Тип кв],P143,РД[ИМ],$A152,РД[Дата подачи на регистрацию],"&lt;="&amp;$A$1,РД[Дата подачи на регистрацию],"&gt;="&amp;DATE(YEAR($A$1),MONTH($A$1),1))</f>
        <v>0</v>
      </c>
      <c r="Q152" s="66"/>
      <c r="R152" s="66"/>
      <c r="S152" s="66"/>
      <c r="T152" s="66"/>
    </row>
    <row r="153" spans="1:21" s="65" customFormat="1">
      <c r="A153" s="2148" t="s">
        <v>114</v>
      </c>
      <c r="B153" s="2149">
        <f>SUM(B150:B152)</f>
        <v>1366.9500000000003</v>
      </c>
      <c r="C153" s="2150">
        <f>SUM(C150:C152)</f>
        <v>174522201.10000002</v>
      </c>
      <c r="D153" s="2150">
        <f t="shared" ref="D153:P153" si="35">SUM(D150:D152)</f>
        <v>1249.6300000000001</v>
      </c>
      <c r="E153" s="2150">
        <f t="shared" si="35"/>
        <v>149702145</v>
      </c>
      <c r="F153" s="2151">
        <f t="shared" si="35"/>
        <v>26</v>
      </c>
      <c r="G153" s="172">
        <f t="shared" si="35"/>
        <v>817.43999999999994</v>
      </c>
      <c r="H153" s="173">
        <f t="shared" si="35"/>
        <v>98997969</v>
      </c>
      <c r="I153" s="170">
        <f t="shared" si="35"/>
        <v>18</v>
      </c>
      <c r="J153" s="2078">
        <f t="shared" si="34"/>
        <v>0.59800285306704692</v>
      </c>
      <c r="K153" s="239">
        <f t="shared" si="34"/>
        <v>0.56725143492359942</v>
      </c>
      <c r="L153" s="240">
        <f t="shared" si="35"/>
        <v>8</v>
      </c>
      <c r="M153" s="241">
        <f t="shared" si="35"/>
        <v>3</v>
      </c>
      <c r="N153" s="241">
        <f t="shared" si="35"/>
        <v>4</v>
      </c>
      <c r="O153" s="241">
        <f t="shared" si="35"/>
        <v>0</v>
      </c>
      <c r="P153" s="242">
        <f t="shared" si="35"/>
        <v>0</v>
      </c>
      <c r="Q153" s="66"/>
      <c r="R153" s="66"/>
      <c r="S153" s="66"/>
      <c r="T153" s="66"/>
    </row>
    <row r="154" spans="1:21" s="65" customFormat="1">
      <c r="A154" s="134"/>
      <c r="B154" s="44"/>
      <c r="C154" s="44"/>
      <c r="D154" s="134"/>
      <c r="E154" s="134"/>
      <c r="F154" s="44"/>
      <c r="G154" s="134"/>
      <c r="H154" s="134"/>
      <c r="I154" s="134"/>
      <c r="J154" s="2072"/>
      <c r="K154" s="255"/>
      <c r="L154" s="256"/>
      <c r="M154" s="134"/>
      <c r="N154" s="134"/>
      <c r="O154" s="134"/>
      <c r="P154" s="134"/>
      <c r="Q154" s="134"/>
      <c r="T154" s="66"/>
      <c r="U154" s="66"/>
    </row>
    <row r="155" spans="1:21" s="65" customFormat="1" ht="15">
      <c r="A155" s="2400" t="s">
        <v>1368</v>
      </c>
      <c r="B155" s="2401"/>
      <c r="C155" s="2401"/>
      <c r="D155" s="2401"/>
      <c r="E155" s="2401"/>
      <c r="F155" s="2401"/>
      <c r="G155" s="2401"/>
      <c r="H155" s="2401"/>
      <c r="I155" s="2401"/>
      <c r="J155" s="2401"/>
      <c r="K155" s="2401"/>
      <c r="L155" s="2401"/>
      <c r="M155" s="2401"/>
      <c r="N155" s="2401"/>
      <c r="O155" s="2401"/>
      <c r="P155" s="66"/>
      <c r="S155" s="66"/>
      <c r="T155" s="66"/>
    </row>
    <row r="156" spans="1:21" s="65" customFormat="1">
      <c r="A156" s="135" t="s">
        <v>1</v>
      </c>
      <c r="B156" s="135" t="s">
        <v>100</v>
      </c>
      <c r="C156" s="136" t="s">
        <v>97</v>
      </c>
      <c r="D156" s="264" t="s">
        <v>494</v>
      </c>
      <c r="E156" s="265" t="s">
        <v>495</v>
      </c>
      <c r="F156" s="266" t="s">
        <v>496</v>
      </c>
      <c r="G156" s="140" t="s">
        <v>101</v>
      </c>
      <c r="H156" s="141" t="s">
        <v>98</v>
      </c>
      <c r="I156" s="141" t="s">
        <v>96</v>
      </c>
      <c r="J156" s="2073" t="s">
        <v>715</v>
      </c>
      <c r="K156" s="216" t="s">
        <v>716</v>
      </c>
      <c r="L156" s="332" t="s">
        <v>121</v>
      </c>
      <c r="M156" s="218" t="s">
        <v>27</v>
      </c>
      <c r="N156" s="219" t="s">
        <v>7</v>
      </c>
      <c r="O156" s="219" t="s">
        <v>19</v>
      </c>
      <c r="P156" s="66"/>
      <c r="S156" s="66"/>
      <c r="T156" s="66"/>
    </row>
    <row r="157" spans="1:21" s="65" customFormat="1">
      <c r="A157" s="142" t="s">
        <v>28</v>
      </c>
      <c r="B157" s="267"/>
      <c r="C157" s="268"/>
      <c r="D157" s="269">
        <f>SUMIFS(Март25515253[м2],Март25515253[КТУ],A157,Март25515253[Комнатность],"Офис")</f>
        <v>0</v>
      </c>
      <c r="E157" s="144">
        <f>SUMIFS(Март25515253[Сумма без отделки],Март25515253[КТУ],$A157,Март25515253[Комнатность],"оФИС")</f>
        <v>0</v>
      </c>
      <c r="F157" s="270">
        <f>COUNTIFS(Март25515253[КТУ],$A157,Март25515253[Комнатность],"Офис")</f>
        <v>0</v>
      </c>
      <c r="G157" s="267">
        <f>SUMIFS(РД[S],РД[МОП],A157,РД[Дата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H157" s="146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I157" s="220">
        <f>COUNTIFS(РД[МОП],A157,РД[Дата подачи на регистрацию],"&lt;="&amp;$A$1,РД[Дата подачи на регистрацию],"&gt;="&amp;DATE(YEAR($A$1),MONTH($A$1),1),РД[Состояние],"Коммерция")</f>
        <v>0</v>
      </c>
      <c r="J157" s="2074" t="str">
        <f t="shared" ref="J157:K164" si="36">IFERROR(G157/B157,"")</f>
        <v/>
      </c>
      <c r="K157" s="333" t="str">
        <f t="shared" si="36"/>
        <v/>
      </c>
      <c r="L157" s="148">
        <f>COUNTIFS(РД[Дом],L$156,РД[МОП],$A157,РД[Дата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M157" s="220">
        <f>COUNTIFS(РД[Дом],M$156,РД[МОП],$A157,РД[Дата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N157" s="223">
        <f>COUNTIFS(РД[Дом],N$156,РД[МОП],$A157,РД[Дата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O157" s="223">
        <f>COUNTIFS(РД[Дом],O$156,РД[МОП],$A157,РД[Дата подачи на регистрацию],"&lt;="&amp;$A$1,РД[Дата подачи на регистрацию],"&gt;="&amp;DATE(YEAR($A$1),MONTH($A$1),1),РД[Состояние],"Коммерция")</f>
        <v>0</v>
      </c>
      <c r="P157" s="66"/>
      <c r="S157" s="66"/>
      <c r="T157" s="66"/>
    </row>
    <row r="158" spans="1:21" s="65" customFormat="1">
      <c r="A158" s="142" t="s">
        <v>8</v>
      </c>
      <c r="B158" s="267"/>
      <c r="C158" s="268"/>
      <c r="D158" s="269">
        <f>SUMIFS(Март25515253[м2],Март25515253[КТУ],A158,Март25515253[Комнатность],"Офис")</f>
        <v>53.52</v>
      </c>
      <c r="E158" s="144">
        <f>SUMIFS(Март25515253[Сумма без отделки],Март25515253[КТУ],$A158,Март25515253[Комнатность],"оФИС")</f>
        <v>7492800</v>
      </c>
      <c r="F158" s="270">
        <f>COUNTIFS(Март25515253[КТУ],$A158,Март25515253[Комнатность],"Офис")</f>
        <v>1</v>
      </c>
      <c r="G158" s="267">
        <f>SUMIFS(РД[S],РД[МОП],A158,РД[Дата подачи на регистрацию],"&lt;="&amp;$A$1,РД[Дата подачи на регистрацию],"&gt;="&amp;DATE(YEAR($A$1),MONTH($A$1),1),РД[Состояние],"Коммерция")</f>
        <v>53.52</v>
      </c>
      <c r="H158" s="146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регистрацию],"&gt;="&amp;DATE(YEAR($A$1),MONTH($A$1),1),РД[Состояние],"Коммерция")</f>
        <v>7492800</v>
      </c>
      <c r="I158" s="220">
        <f>COUNTIFS(РД[МОП],A158,РД[Дата подачи на регистрацию],"&lt;="&amp;$A$1,РД[Дата подачи на регистрацию],"&gt;="&amp;DATE(YEAR($A$1),MONTH($A$1),1),РД[Состояние],"Коммерция")</f>
        <v>1</v>
      </c>
      <c r="J158" s="2074" t="str">
        <f t="shared" si="36"/>
        <v/>
      </c>
      <c r="K158" s="333" t="str">
        <f t="shared" si="36"/>
        <v/>
      </c>
      <c r="L158" s="148">
        <f>COUNTIFS(РД[Дом],L$156,РД[МОП],$A158,РД[Дата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M158" s="220">
        <f>COUNTIFS(РД[Дом],M$156,РД[МОП],$A158,РД[Дата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N158" s="223">
        <f>COUNTIFS(РД[Дом],N$156,РД[МОП],$A158,РД[Дата подачи на регистрацию],"&lt;="&amp;$A$1,РД[Дата подачи на регистрацию],"&gt;="&amp;DATE(YEAR($A$1),MONTH($A$1),1),РД[Состояние],"Коммерция")</f>
        <v>0</v>
      </c>
      <c r="O158" s="223">
        <f>COUNTIFS(РД[Дом],O$156,РД[МОП],$A158,РД[Дата подачи на регистрацию],"&lt;="&amp;$A$1,РД[Дата подачи на регистрацию],"&gt;="&amp;DATE(YEAR($A$1),MONTH($A$1),1),РД[Состояние],"Коммерция")</f>
        <v>1</v>
      </c>
      <c r="S158" s="66"/>
      <c r="T158" s="66"/>
    </row>
    <row r="159" spans="1:21" s="65" customFormat="1">
      <c r="A159" s="150" t="s">
        <v>20</v>
      </c>
      <c r="B159" s="267"/>
      <c r="C159" s="268"/>
      <c r="D159" s="269">
        <f>SUMIFS(Март25515253[м2],Март25515253[КТУ],A159,Март25515253[Комнатность],"Офис")</f>
        <v>0</v>
      </c>
      <c r="E159" s="144">
        <f>SUMIFS(Март25515253[Сумма без отделки],Март25515253[КТУ],$A159,Март25515253[Комнатность],"оФИС")</f>
        <v>0</v>
      </c>
      <c r="F159" s="270">
        <f>COUNTIFS(Март25515253[КТУ],$A159,Март25515253[Комнатность],"Офис")</f>
        <v>0</v>
      </c>
      <c r="G159" s="267">
        <f>SUMIFS(РД[S],РД[МОП],A159,РД[Дата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H159" s="146">
        <f>SUMIFS(РД[Стоимость без отделки итог],РД[МОП],A159,РД[Дата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I159" s="220">
        <f>COUNTIFS(РД[МОП],A159,РД[Дата подачи на регистрацию],"&lt;="&amp;$A$1,РД[Дата подачи на регистрацию],"&gt;="&amp;DATE(YEAR($A$1),MONTH($A$1),1),РД[Состояние],"Коммерция")</f>
        <v>0</v>
      </c>
      <c r="J159" s="2074" t="str">
        <f t="shared" si="36"/>
        <v/>
      </c>
      <c r="K159" s="333" t="str">
        <f t="shared" si="36"/>
        <v/>
      </c>
      <c r="L159" s="148">
        <f>COUNTIFS(РД[Дом],L$156,РД[МОП],$A159,РД[Дата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M159" s="220">
        <f>COUNTIFS(РД[Дом],M$156,РД[МОП],$A159,РД[Дата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N159" s="223">
        <f>COUNTIFS(РД[Дом],N$156,РД[МОП],$A159,РД[Дата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O159" s="223">
        <f>COUNTIFS(РД[Дом],O$156,РД[МОП],$A159,РД[Дата подачи на регистрацию],"&lt;="&amp;$A$1,РД[Дата подачи на регистрацию],"&gt;="&amp;DATE(YEAR($A$1),MONTH($A$1),1),РД[Состояние],"Коммерция")</f>
        <v>0</v>
      </c>
      <c r="S159" s="66"/>
      <c r="T159" s="66"/>
    </row>
    <row r="160" spans="1:21" s="65" customFormat="1">
      <c r="A160" s="153" t="s">
        <v>24</v>
      </c>
      <c r="B160" s="271"/>
      <c r="C160" s="272"/>
      <c r="D160" s="269">
        <f>SUMIFS(Март25515253[м2],Март25515253[КТУ],A160,Март25515253[Комнатность],"Офис")</f>
        <v>0</v>
      </c>
      <c r="E160" s="200">
        <f>SUMIFS(Март25515253[Сумма без отделки],Март25515253[КТУ],$A160,Март25515253[Комнатность],"оФИС")</f>
        <v>0</v>
      </c>
      <c r="F160" s="273">
        <f>COUNTIFS(Март25515253[КТУ],$A160,Март25515253[Комнатность],"Офис")</f>
        <v>0</v>
      </c>
      <c r="G160" s="271">
        <f>SUMIFS(РД[S],РД[МОП],A160,РД[Дата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H160" s="52">
        <f>SUMIFS(РД[Стоимость без отделки итог],РД[МОП],A160,РД[Дата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I160" s="220">
        <f>COUNTIFS(РД[МОП],A160,РД[Дата подачи на регистрацию],"&lt;="&amp;$A$1,РД[Дата подачи на регистрацию],"&gt;="&amp;DATE(YEAR($A$1),MONTH($A$1),1),РД[Состояние],"Коммерция")</f>
        <v>0</v>
      </c>
      <c r="J160" s="2075" t="str">
        <f t="shared" si="36"/>
        <v/>
      </c>
      <c r="K160" s="334" t="str">
        <f t="shared" si="36"/>
        <v/>
      </c>
      <c r="L160" s="202">
        <f>COUNTIFS(РД[Дом],L$156,РД[МОП],$A160,РД[Дата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M160" s="226">
        <f>COUNTIFS(РД[Дом],M$156,РД[МОП],$A160,РД[Дата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N160" s="227">
        <f>COUNTIFS(РД[Дом],N$156,РД[МОП],$A160,РД[Дата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O160" s="227">
        <f>COUNTIFS(РД[Дом],O$156,РД[МОП],$A160,РД[Дата подачи на регистрацию],"&lt;="&amp;$A$1,РД[Дата подачи на регистрацию],"&gt;="&amp;DATE(YEAR($A$1),MONTH($A$1),1),РД[Состояние],"Коммерция")</f>
        <v>0</v>
      </c>
      <c r="S160" s="66"/>
      <c r="T160" s="66"/>
    </row>
    <row r="161" spans="1:21" s="65" customFormat="1">
      <c r="A161" s="153" t="s">
        <v>14</v>
      </c>
      <c r="B161" s="271"/>
      <c r="C161" s="272"/>
      <c r="D161" s="269">
        <f>SUMIFS(Март25515253[м2],Март25515253[КТУ],A161,Март25515253[Комнатность],"Офис")</f>
        <v>0</v>
      </c>
      <c r="E161" s="200">
        <f>SUMIFS(Март25515253[Сумма без отделки],Март25515253[КТУ],$A161,Март25515253[Комнатность],"оФИС")</f>
        <v>0</v>
      </c>
      <c r="F161" s="273">
        <f>COUNTIFS(Март25515253[КТУ],$A161,Март25515253[Комнатность],"Офис")</f>
        <v>0</v>
      </c>
      <c r="G161" s="271">
        <f>SUMIFS(РД[S],РД[МОП],A161,РД[Дата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H161" s="52">
        <f>SUMIFS(РД[Стоимость без отделки итог],РД[МОП],A161,РД[Дата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I161" s="220">
        <f>COUNTIFS(РД[МОП],A161,РД[Дата подачи на регистрацию],"&lt;="&amp;$A$1,РД[Дата подачи на регистрацию],"&gt;="&amp;DATE(YEAR($A$1),MONTH($A$1),1),РД[Состояние],"Коммерция")</f>
        <v>0</v>
      </c>
      <c r="J161" s="2075" t="str">
        <f t="shared" ref="J161:J162" si="37">IFERROR(G161/B161,"")</f>
        <v/>
      </c>
      <c r="K161" s="334" t="str">
        <f t="shared" ref="K161:K162" si="38">IFERROR(H161/C161,"")</f>
        <v/>
      </c>
      <c r="L161" s="202">
        <f>COUNTIFS(РД[Дом],L$156,РД[МОП],$A161,РД[Дата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M161" s="226">
        <f>COUNTIFS(РД[Дом],M$156,РД[МОП],$A161,РД[Дата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N161" s="227">
        <f>COUNTIFS(РД[Дом],N$156,РД[МОП],$A161,РД[Дата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O161" s="227">
        <f>COUNTIFS(РД[Дом],O$156,РД[МОП],$A161,РД[Дата подачи на регистрацию],"&lt;="&amp;$A$1,РД[Дата подачи на регистрацию],"&gt;="&amp;DATE(YEAR($A$1),MONTH($A$1),1),РД[Состояние],"Коммерция")</f>
        <v>0</v>
      </c>
      <c r="S161" s="66"/>
      <c r="T161" s="66"/>
    </row>
    <row r="162" spans="1:21" s="65" customFormat="1">
      <c r="A162" s="153" t="s">
        <v>1884</v>
      </c>
      <c r="B162" s="271"/>
      <c r="C162" s="272"/>
      <c r="D162" s="269">
        <f>SUMIFS(Март25515253[м2],Март25515253[КТУ],A162,Март25515253[Комнатность],"Офис")</f>
        <v>0</v>
      </c>
      <c r="E162" s="200">
        <f>SUMIFS(Март25515253[Сумма без отделки],Март25515253[КТУ],$A162,Март25515253[Комнатность],"оФИС")</f>
        <v>0</v>
      </c>
      <c r="F162" s="273">
        <f>COUNTIFS(Март25515253[КТУ],$A162,Март25515253[Комнатность],"Офис")</f>
        <v>0</v>
      </c>
      <c r="G162" s="271">
        <f>SUMIFS(РД[S],РД[МОП],A162,РД[Дата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H162" s="52">
        <f>SUMIFS(РД[Стоимость без отделки итог],РД[МОП],A162,РД[Дата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I162" s="220">
        <f>COUNTIFS(РД[МОП],A162,РД[Дата подачи на регистрацию],"&lt;="&amp;$A$1,РД[Дата подачи на регистрацию],"&gt;="&amp;DATE(YEAR($A$1),MONTH($A$1),1),РД[Состояние],"Коммерция")</f>
        <v>0</v>
      </c>
      <c r="J162" s="2075" t="str">
        <f t="shared" si="37"/>
        <v/>
      </c>
      <c r="K162" s="334" t="str">
        <f t="shared" si="38"/>
        <v/>
      </c>
      <c r="L162" s="202">
        <f>COUNTIFS(РД[Дом],L$156,РД[МОП],$A162,РД[Дата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M162" s="226">
        <f>COUNTIFS(РД[Дом],M$156,РД[МОП],$A162,РД[Дата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N162" s="227">
        <f>COUNTIFS(РД[Дом],N$156,РД[МОП],$A162,РД[Дата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O162" s="227">
        <f>COUNTIFS(РД[Дом],O$156,РД[МОП],$A162,РД[Дата подачи на регистрацию],"&lt;="&amp;$A$1,РД[Дата подачи на регистрацию],"&gt;="&amp;DATE(YEAR($A$1),MONTH($A$1),1),РД[Состояние],"Коммерция")</f>
        <v>0</v>
      </c>
      <c r="S162" s="66"/>
      <c r="T162" s="66"/>
    </row>
    <row r="163" spans="1:21" s="65" customFormat="1">
      <c r="A163" s="154" t="s">
        <v>29</v>
      </c>
      <c r="B163" s="274"/>
      <c r="C163" s="275"/>
      <c r="D163" s="276">
        <f>SUMIFS(Март25515253[м2],Март25515253[КТУ],A163,Март25515253[Комнатность],"Офис")</f>
        <v>0</v>
      </c>
      <c r="E163" s="156">
        <f>SUMIFS(Март25515253[Сумма без отделки],Март25515253[КТУ],$A163,Март25515253[Комнатность],"оФИС")</f>
        <v>0</v>
      </c>
      <c r="F163" s="158">
        <f>COUNTIFS(Март25515253[КТУ],$A163,Март25515253[Комнатность],"Офис")</f>
        <v>0</v>
      </c>
      <c r="G163" s="274">
        <f>SUMIFS(РД[S],РД[МОП],A163,РД[Дата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H163" s="277">
        <f>SUMIFS(РД[Стоимость без отделки итог],РД[МОП],A163,РД[Дата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I163" s="228">
        <f>COUNTIFS(РД[МОП],A163,РД[Дата подачи на регистрацию],"&lt;="&amp;$A$1,РД[Дата подачи на регистрацию],"&gt;="&amp;DATE(YEAR($A$1),MONTH($A$1),1),РД[Состояние],"Коммерция")</f>
        <v>0</v>
      </c>
      <c r="J163" s="2076" t="str">
        <f t="shared" si="36"/>
        <v/>
      </c>
      <c r="K163" s="335" t="str">
        <f t="shared" si="36"/>
        <v/>
      </c>
      <c r="L163" s="159">
        <f>COUNTIFS(РД[Дом],L$156,РД[МОП],$A163,РД[Дата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M163" s="228">
        <f>COUNTIFS(РД[Дом],M$156,РД[МОП],$A163,РД[Дата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N163" s="231">
        <f>COUNTIFS(РД[Дом],N$156,РД[МОП],$A163,РД[Дата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O163" s="231">
        <f>COUNTIFS(РД[Дом],O$156,РД[МОП],$A163,РД[Дата подачи на регистрацию],"&lt;="&amp;$A$1,РД[Дата подачи на регистрацию],"&gt;="&amp;DATE(YEAR($A$1),MONTH($A$1),1),РД[Состояние],"Коммерция")</f>
        <v>0</v>
      </c>
      <c r="S163" s="66"/>
      <c r="T163" s="66"/>
    </row>
    <row r="164" spans="1:21" s="65" customFormat="1">
      <c r="A164" s="161" t="s">
        <v>1919</v>
      </c>
      <c r="B164" s="278"/>
      <c r="C164" s="279"/>
      <c r="D164" s="280">
        <f>SUMIFS(Март25515253[м2],Март25515253[МОП],A164,Март25515253[Комнатность],"Офис")</f>
        <v>0</v>
      </c>
      <c r="E164" s="163">
        <f>SUMIFS(Март25515253[Сумма без отделки],Март25515253[МОП],$A164,Март25515253[Комнатность],"оФИС")</f>
        <v>0</v>
      </c>
      <c r="F164" s="165">
        <f>COUNTIFS(Март25515253[МОП],$A164,Март25515253[Комнатность],"Офис")</f>
        <v>0</v>
      </c>
      <c r="G164" s="278">
        <f>SUMIFS(РД[S],РД[МОП],A164,РД[Дата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H164" s="281">
        <f>SUMIFS(РД[Стоимость без отделки итог],РД[МОП],A164,РД[Дата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I164" s="232">
        <f>COUNTIFS(РД[МОП],A164,РД[Дата подачи на регистрацию],"&lt;="&amp;$A$1,РД[Дата подачи на регистрацию],"&gt;="&amp;DATE(YEAR($A$1),MONTH($A$1),1),РД[Состояние],"Коммерция")</f>
        <v>0</v>
      </c>
      <c r="J164" s="2077" t="str">
        <f t="shared" si="36"/>
        <v/>
      </c>
      <c r="K164" s="336" t="str">
        <f t="shared" si="36"/>
        <v/>
      </c>
      <c r="L164" s="166">
        <f>COUNTIFS(РД[Дом],L$156,РД[МОП],$A164,РД[Дата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M164" s="232">
        <f>COUNTIFS(РД[Дом],M$156,РД[МОП],$A164,РД[Дата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N164" s="337">
        <f>COUNTIFS(РД[Дом],N$156,РД[МОП],$A164,РД[Дата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O164" s="337">
        <f>COUNTIFS(РД[Дом],O$156,РД[МОП],$A164,РД[Дата подачи на регистрацию],"&lt;="&amp;$A$1,РД[Дата подачи на регистрацию],"&gt;="&amp;DATE(YEAR($A$1),MONTH($A$1),1),РД[Состояние],"Коммерция")</f>
        <v>0</v>
      </c>
      <c r="S164" s="66"/>
      <c r="T164" s="66"/>
    </row>
    <row r="165" spans="1:21" s="65" customFormat="1">
      <c r="A165" s="168" t="s">
        <v>114</v>
      </c>
      <c r="B165" s="282">
        <f>SUM(B157:B164)</f>
        <v>0</v>
      </c>
      <c r="C165" s="283">
        <f t="shared" ref="C165:O165" si="39">SUM(C157:C164)</f>
        <v>0</v>
      </c>
      <c r="D165" s="284">
        <f t="shared" si="39"/>
        <v>53.52</v>
      </c>
      <c r="E165" s="285">
        <f t="shared" si="39"/>
        <v>7492800</v>
      </c>
      <c r="F165" s="286">
        <f t="shared" si="39"/>
        <v>1</v>
      </c>
      <c r="G165" s="282">
        <f t="shared" si="39"/>
        <v>53.52</v>
      </c>
      <c r="H165" s="287">
        <f t="shared" si="39"/>
        <v>7492800</v>
      </c>
      <c r="I165" s="287">
        <f t="shared" si="39"/>
        <v>1</v>
      </c>
      <c r="J165" s="2078">
        <f t="shared" si="39"/>
        <v>0</v>
      </c>
      <c r="K165" s="338">
        <f t="shared" si="39"/>
        <v>0</v>
      </c>
      <c r="L165" s="318">
        <f t="shared" si="39"/>
        <v>0</v>
      </c>
      <c r="M165" s="321">
        <f t="shared" si="39"/>
        <v>0</v>
      </c>
      <c r="N165" s="319">
        <f t="shared" si="39"/>
        <v>0</v>
      </c>
      <c r="O165" s="319">
        <f t="shared" si="39"/>
        <v>1</v>
      </c>
      <c r="S165" s="66"/>
      <c r="T165" s="66"/>
    </row>
    <row r="166" spans="1:21" s="65" customFormat="1">
      <c r="A166" s="135" t="s">
        <v>115</v>
      </c>
      <c r="B166" s="135" t="s">
        <v>100</v>
      </c>
      <c r="C166" s="136" t="s">
        <v>97</v>
      </c>
      <c r="D166" s="288" t="s">
        <v>494</v>
      </c>
      <c r="E166" s="289" t="s">
        <v>495</v>
      </c>
      <c r="F166" s="290" t="s">
        <v>496</v>
      </c>
      <c r="G166" s="140" t="s">
        <v>101</v>
      </c>
      <c r="H166" s="141" t="s">
        <v>98</v>
      </c>
      <c r="I166" s="141" t="s">
        <v>96</v>
      </c>
      <c r="J166" s="2073" t="s">
        <v>715</v>
      </c>
      <c r="K166" s="216" t="s">
        <v>716</v>
      </c>
      <c r="L166" s="332" t="s">
        <v>121</v>
      </c>
      <c r="M166" s="218" t="s">
        <v>27</v>
      </c>
      <c r="N166" s="219" t="s">
        <v>7</v>
      </c>
      <c r="O166" s="219" t="s">
        <v>7</v>
      </c>
      <c r="T166" s="66"/>
    </row>
    <row r="167" spans="1:21" s="65" customFormat="1">
      <c r="A167" s="177" t="s">
        <v>22</v>
      </c>
      <c r="B167" s="291"/>
      <c r="C167" s="292"/>
      <c r="D167" s="180">
        <f>SUMIFS(Март25515253[м2],Март25515253[ИМ],A167,Март25515253[Комнатность],"Офис")</f>
        <v>0</v>
      </c>
      <c r="E167" s="181">
        <f>SUMIFS(Март25515253[Сумма без отделки],Март25515253[ИМ],$A167,Март25515253[Комнатность],"оФИС")</f>
        <v>0</v>
      </c>
      <c r="F167" s="204">
        <f>COUNTIFS(Март25515253[ИМ],$A167,Март25515253[Комнатность],"Офис")</f>
        <v>0</v>
      </c>
      <c r="G167" s="183">
        <f>SUMIFS(РД[S],РД[ИМ],A167,РД[Дата подачи на регистрацию],"&lt;="&amp;$A$1,РД[Дата подачи на регистрацию],"&gt;="&amp;DATE(YEAR($A$1),MONTH($A$1),1),РД[Состояние],"Коммерция")</f>
        <v>0</v>
      </c>
      <c r="H167" s="184">
        <f>SUMIFS(РД[Стоимость без отделки итог],РД[ИМ],A167,РД[Дата подачи на регистрацию],"&lt;="&amp;$A$1,РД[Дата подачи на регистрацию],"&gt;="&amp;DATE(YEAR($A$1),MONTH($A$1),1),РД[Состояние],"Коммерция")</f>
        <v>0</v>
      </c>
      <c r="I167" s="243">
        <f>COUNTIFS(РД[ИМ],A167,РД[Дата подачи на регистрацию],"&lt;="&amp;$A$1,РД[Дата подачи на регистрацию],"&gt;="&amp;DATE(YEAR($A$1),MONTH($A$1),1),РД[Состояние],"Коммерция")</f>
        <v>0</v>
      </c>
      <c r="J167" s="2079" t="str">
        <f t="shared" ref="J167:K170" si="40">IFERROR(G167/B167,"")</f>
        <v/>
      </c>
      <c r="K167" s="258" t="str">
        <f t="shared" si="40"/>
        <v/>
      </c>
      <c r="L167" s="148">
        <f>COUNTIFS(РД[Дом],L$156,РД[ИМ],$A167,РД[Дата подачи на регистрацию],"&lt;="&amp;$A$1,РД[Дата подачи на регистрацию],"&gt;="&amp;DATE(YEAR($A$1),MONTH($A$1),1),РД[Состояние],"Коммерция")</f>
        <v>0</v>
      </c>
      <c r="M167" s="220">
        <f>COUNTIFS(РД[Дом],M$156,РД[ИМ],$A167,РД[Дата подачи на регистрацию],"&lt;="&amp;$A$1,РД[Дата подачи на регистрацию],"&gt;="&amp;DATE(YEAR($A$1),MONTH($A$1),1),РД[Состояние],"Коммерция")</f>
        <v>0</v>
      </c>
      <c r="N167" s="223">
        <f>COUNTIFS(РД[Дом],N$156,РД[ИМ],$A167,РД[Дата подачи на регистрацию],"&lt;="&amp;$A$1,РД[Дата подачи на регистрацию],"&gt;="&amp;DATE(YEAR($A$1),MONTH($A$1),1),РД[Состояние],"Коммерция")</f>
        <v>0</v>
      </c>
      <c r="O167" s="223">
        <f>COUNTIFS(РД[Дом],O$156,РД[ИМ],$A167,РД[Дата подачи на регистрацию],"&lt;="&amp;$A$1,РД[Дата подачи на регистрацию],"&gt;="&amp;DATE(YEAR($A$1),MONTH($A$1),1),РД[Состояние],"Коммерция")</f>
        <v>0</v>
      </c>
      <c r="T167" s="66"/>
    </row>
    <row r="168" spans="1:21" s="65" customFormat="1">
      <c r="A168" s="150" t="s">
        <v>26</v>
      </c>
      <c r="B168" s="267"/>
      <c r="C168" s="146"/>
      <c r="D168" s="205">
        <f>SUMIFS(Март25515253[м2],Март25515253[ИМ],A168,Март25515253[Комнатность],"Офис")</f>
        <v>53.52</v>
      </c>
      <c r="E168" s="206">
        <f>SUMIFS(Март25515253[Сумма без отделки],Март25515253[ИМ],$A168,Март25515253[Комнатность],"оФИС")</f>
        <v>7492800</v>
      </c>
      <c r="F168" s="207">
        <f>COUNTIFS(Март25515253[ИМ],$A168,Март25515253[Комнатность],"Офис")</f>
        <v>1</v>
      </c>
      <c r="G168" s="187">
        <f>SUMIFS(РД[S],РД[ИМ],A168,РД[Дата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H168" s="188">
        <f>SUMIFS(РД[Стоимость без отделки итог],РД[ИМ],A168,РД[Дата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47">
        <f>COUNTIFS(РД[ИМ],A168,РД[Дата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080" t="str">
        <f t="shared" si="40"/>
        <v/>
      </c>
      <c r="K168" s="259" t="str">
        <f t="shared" si="40"/>
        <v/>
      </c>
      <c r="L168" s="148">
        <f>COUNTIFS(РД[Дом],L$156,РД[ИМ],$A168,РД[Дата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M168" s="220">
        <f>COUNTIFS(РД[Дом],M$156,РД[ИМ],$A168,РД[Дата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N168" s="223">
        <f>COUNTIFS(РД[Дом],N$156,РД[ИМ],$A168,РД[Дата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O168" s="223">
        <f>COUNTIFS(РД[Дом],O$156,РД[ИМ],$A168,РД[Дата подачи на регистрацию],"&lt;="&amp;$A$1,РД[Дата подачи на регистрацию],"&gt;="&amp;DATE(YEAR($A$1),MONTH($A$1),1),РД[Состояние],"Коммерция")</f>
        <v>0</v>
      </c>
      <c r="T168" s="66"/>
    </row>
    <row r="169" spans="1:21" s="65" customFormat="1">
      <c r="A169" s="189" t="s">
        <v>3</v>
      </c>
      <c r="B169" s="293"/>
      <c r="C169" s="294"/>
      <c r="D169" s="208">
        <f>SUMIFS(Март25515253[м2],Март25515253[ИМ],A169,Март25515253[Комнатность],"Офис")</f>
        <v>0</v>
      </c>
      <c r="E169" s="209">
        <f>SUMIFS(Март25515253[Сумма без отделки],Март25515253[ИМ],$A169,Март25515253[Комнатность],"оФИС")</f>
        <v>0</v>
      </c>
      <c r="F169" s="210">
        <f>COUNTIFS(Март25515253[ИМ],$A169,Март25515253[Комнатность],"Офис")</f>
        <v>0</v>
      </c>
      <c r="G169" s="195">
        <f>SUMIFS(РД[S],РД[ИМ],A169,РД[Дата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H169" s="196">
        <f>SUMIFS(РД[Стоимость без отделки итог],РД[ИМ],A169,РД[Дата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51">
        <f>COUNTIFS(РД[ИМ],A169,РД[Дата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081" t="str">
        <f t="shared" si="40"/>
        <v/>
      </c>
      <c r="K169" s="260" t="str">
        <f t="shared" si="40"/>
        <v/>
      </c>
      <c r="L169" s="202">
        <f>COUNTIFS(РД[Дом],L$156,РД[ИМ],$A169,РД[Дата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M169" s="226">
        <f>COUNTIFS(РД[Дом],M$156,РД[ИМ],$A169,РД[Дата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N169" s="227">
        <f>COUNTIFS(РД[Дом],N$156,РД[ИМ],$A169,РД[Дата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O169" s="227">
        <f>COUNTIFS(РД[Дом],O$156,РД[ИМ],$A169,РД[Дата подачи на регистрацию],"&lt;="&amp;$A$1,РД[Дата подачи на регистрацию],"&gt;="&amp;DATE(YEAR($A$1),MONTH($A$1),1),РД[Состояние],"Коммерция")</f>
        <v>0</v>
      </c>
      <c r="T169" s="66"/>
    </row>
    <row r="170" spans="1:21" s="65" customFormat="1">
      <c r="A170" s="168" t="s">
        <v>114</v>
      </c>
      <c r="B170" s="282">
        <f>SUM(B167:B169)</f>
        <v>0</v>
      </c>
      <c r="C170" s="283">
        <f>SUM(C167:C169)</f>
        <v>0</v>
      </c>
      <c r="D170" s="284">
        <f t="shared" ref="D170:I170" si="41">SUM(D167:D169)</f>
        <v>53.52</v>
      </c>
      <c r="E170" s="285">
        <f t="shared" si="41"/>
        <v>7492800</v>
      </c>
      <c r="F170" s="286">
        <f t="shared" si="41"/>
        <v>1</v>
      </c>
      <c r="G170" s="282">
        <f t="shared" si="41"/>
        <v>0</v>
      </c>
      <c r="H170" s="287">
        <f t="shared" si="41"/>
        <v>0</v>
      </c>
      <c r="I170" s="287">
        <f t="shared" si="41"/>
        <v>0</v>
      </c>
      <c r="J170" s="2078" t="str">
        <f t="shared" si="40"/>
        <v/>
      </c>
      <c r="K170" s="338" t="str">
        <f t="shared" si="40"/>
        <v/>
      </c>
      <c r="L170" s="318">
        <f>SUM(L167:L169)</f>
        <v>0</v>
      </c>
      <c r="M170" s="321">
        <f>SUM(M167:M169)</f>
        <v>0</v>
      </c>
      <c r="N170" s="319">
        <f>SUM(N167:N169)</f>
        <v>0</v>
      </c>
      <c r="O170" s="319">
        <f>SUM(O167:O169)</f>
        <v>0</v>
      </c>
      <c r="T170" s="66"/>
    </row>
    <row r="171" spans="1:21" s="65" customFormat="1">
      <c r="A171" s="134"/>
      <c r="B171" s="44"/>
      <c r="C171" s="44"/>
      <c r="D171" s="134"/>
      <c r="E171" s="134"/>
      <c r="F171" s="44"/>
      <c r="G171" s="134"/>
      <c r="H171" s="134"/>
      <c r="I171" s="134"/>
      <c r="J171" s="2072"/>
      <c r="K171" s="255"/>
      <c r="L171" s="256"/>
      <c r="M171" s="134"/>
      <c r="N171" s="134"/>
      <c r="O171" s="134"/>
      <c r="P171" s="134"/>
      <c r="Q171" s="72"/>
      <c r="U171" s="66"/>
    </row>
    <row r="172" spans="1:21" s="65" customFormat="1" ht="15">
      <c r="A172" s="2402" t="s">
        <v>945</v>
      </c>
      <c r="B172" s="2403"/>
      <c r="C172" s="2403"/>
      <c r="D172" s="2403"/>
      <c r="E172" s="2403"/>
      <c r="F172" s="2403"/>
      <c r="G172" s="2403"/>
      <c r="H172" s="2403"/>
      <c r="I172" s="2403"/>
      <c r="J172" s="2403"/>
      <c r="K172" s="2403"/>
      <c r="L172" s="2403"/>
      <c r="M172" s="2404"/>
      <c r="N172" s="339"/>
      <c r="O172" s="339"/>
      <c r="P172" s="86"/>
      <c r="T172" s="66"/>
    </row>
    <row r="173" spans="1:21" s="65" customFormat="1">
      <c r="A173" s="135" t="s">
        <v>1</v>
      </c>
      <c r="B173" s="135" t="s">
        <v>101</v>
      </c>
      <c r="C173" s="136" t="s">
        <v>98</v>
      </c>
      <c r="D173" s="295" t="s">
        <v>494</v>
      </c>
      <c r="E173" s="138" t="s">
        <v>495</v>
      </c>
      <c r="F173" s="296" t="s">
        <v>496</v>
      </c>
      <c r="G173" s="140" t="s">
        <v>101</v>
      </c>
      <c r="H173" s="141" t="s">
        <v>98</v>
      </c>
      <c r="I173" s="217">
        <v>0</v>
      </c>
      <c r="J173" s="2083">
        <v>1</v>
      </c>
      <c r="K173" s="340">
        <v>2</v>
      </c>
      <c r="L173" s="218">
        <v>3</v>
      </c>
      <c r="M173" s="219" t="s">
        <v>1367</v>
      </c>
      <c r="N173" s="339"/>
      <c r="O173" s="339"/>
      <c r="P173" s="86"/>
      <c r="T173" s="66"/>
    </row>
    <row r="174" spans="1:21" s="65" customFormat="1">
      <c r="A174" s="142" t="s">
        <v>28</v>
      </c>
      <c r="B174" s="297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C174" s="298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D174" s="299">
        <f>SUMIFS(Март25515253[м2],Март25515253[КТУ],$A174,Март25515253[МОП],"АН -*")</f>
        <v>0</v>
      </c>
      <c r="E174" s="300">
        <f>SUMIFS(Март25515253[Сумма без отделки],Март25515253[КТУ],$A174,Март25515253[МОП],"АН -*")</f>
        <v>0</v>
      </c>
      <c r="F174" s="301">
        <f>COUNTIFS(Март25515253[КТУ],$A174,Март25515253[МОП],"АН -*")</f>
        <v>0</v>
      </c>
      <c r="G174" s="271">
        <f>SUMIFS(РД[S],РД[МОП],A174,РД[Дата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H174" s="272">
        <f>SUMIFS(РД[Стоимость без отделки итог],РД[МОП],A174,РД[Дата подачи на регистрацию],"&lt;="&amp;$A$1,РД[Дата подачи на регистрацию],"&gt;="&amp;DATE(YEAR($A$1),MONTH($A$1),1),РД[Источник рекламы],"Н -*")</f>
        <v>0</v>
      </c>
      <c r="I174" s="257">
        <f>COUNTIFS(РД[Тип кв],I$173,РД[МОП],$A174,РД[Дата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J174" s="2084">
        <f>COUNTIFS(РД[Тип кв],J$173,РД[МОП],$A174,РД[Дата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K174" s="226">
        <f>COUNTIFS(РД[Тип кв],K$173,РД[МОП],$A174,РД[Дата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L174" s="226">
        <f>COUNTIFS(РД[Тип кв],L$173,РД[МОП],$A174,РД[Дата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M174" s="227">
        <f>COUNTIFS(РД[Тип кв],M$173,РД[МОП],$A174,РД[Дата подачи на регистрацию],"&lt;="&amp;$A$1,РД[Дата подачи на регистрацию],"&gt;="&amp;DATE(YEAR($A$1),MONTH($A$1),1),РД[Источник рекламы],"Н -*")</f>
        <v>0</v>
      </c>
      <c r="N174" s="339"/>
      <c r="O174" s="339"/>
      <c r="P174" s="86"/>
      <c r="T174" s="66"/>
    </row>
    <row r="175" spans="1:21" s="65" customFormat="1">
      <c r="A175" s="142" t="s">
        <v>8</v>
      </c>
      <c r="B175" s="297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126.35</v>
      </c>
      <c r="C175" s="298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15642070</v>
      </c>
      <c r="D175" s="299">
        <f>SUMIFS(Март25515253[м2],Март25515253[КТУ],$A175,Март25515253[МОП],"АН -*")</f>
        <v>67.259999999999991</v>
      </c>
      <c r="E175" s="300">
        <f>SUMIFS(Март25515253[Сумма без отделки],Март25515253[КТУ],$A175,Март25515253[МОП],"АН -*")</f>
        <v>8846720</v>
      </c>
      <c r="F175" s="301">
        <f>COUNTIFS(Март25515253[КТУ],$A175,Март25515253[МОП],"АН -*")</f>
        <v>2</v>
      </c>
      <c r="G175" s="271">
        <f>SUMIFS(РД[S],РД[МОП],A175,РД[Дата подачи на регистрацию],"&lt;="&amp;$A$1,РД[Дата подачи на регистрацию],"&gt;="&amp;DATE(YEAR($A$1),MONTH($A$1),1),РД[Источник рекламы],"Н -*")</f>
        <v>126.35</v>
      </c>
      <c r="H175" s="272">
        <f>SUMIFS(РД[Стоимость без отделки итог],РД[МОП],A175,РД[Дата подачи на регистрацию],"&lt;="&amp;$A$1,РД[Дата подачи на регистрацию],"&gt;="&amp;DATE(YEAR($A$1),MONTH($A$1),1),РД[Источник рекламы],"Н -*")</f>
        <v>15642070</v>
      </c>
      <c r="I175" s="257">
        <f>COUNTIFS(РД[Тип кв],I$173,РД[МОП],$A175,РД[Дата подачи на регистрацию],"&lt;="&amp;$A$1,РД[Дата подачи на регистрацию],"&gt;="&amp;DATE(YEAR($A$1),MONTH($A$1),1),РД[Источник рекламы],"Н -*")</f>
        <v>1</v>
      </c>
      <c r="J175" s="2084">
        <f>COUNTIFS(РД[Тип кв],J$173,РД[МОП],$A175,РД[Дата подачи на регистрацию],"&lt;="&amp;$A$1,РД[Дата подачи на регистрацию],"&gt;="&amp;DATE(YEAR($A$1),MONTH($A$1),1),РД[Источник рекламы],"Н -*")</f>
        <v>1</v>
      </c>
      <c r="K175" s="226">
        <f>COUNTIFS(РД[Тип кв],K$173,РД[МОП],$A175,РД[Дата подачи на регистрацию],"&lt;="&amp;$A$1,РД[Дата подачи на регистрацию],"&gt;="&amp;DATE(YEAR($A$1),MONTH($A$1),1),РД[Источник рекламы],"Н -*")</f>
        <v>1</v>
      </c>
      <c r="L175" s="226">
        <f>COUNTIFS(РД[Тип кв],L$173,РД[МОП],$A175,РД[Дата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M175" s="227">
        <f>COUNTIFS(РД[Тип кв],M$173,РД[МОП],$A175,РД[Дата подачи на регистрацию],"&lt;="&amp;$A$1,РД[Дата подачи на регистрацию],"&gt;="&amp;DATE(YEAR($A$1),MONTH($A$1),1),РД[Источник рекламы],"Н -*")</f>
        <v>0</v>
      </c>
      <c r="N175" s="339"/>
      <c r="O175" s="339"/>
      <c r="P175" s="86"/>
      <c r="T175" s="66"/>
    </row>
    <row r="176" spans="1:21" s="65" customFormat="1">
      <c r="A176" s="150" t="s">
        <v>20</v>
      </c>
      <c r="B176" s="297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120.33</v>
      </c>
      <c r="C176" s="298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13828028</v>
      </c>
      <c r="D176" s="299">
        <f>SUMIFS(Март25515253[м2],Март25515253[КТУ],$A176,Март25515253[МОП],"АН -*")</f>
        <v>120.33</v>
      </c>
      <c r="E176" s="300">
        <f>SUMIFS(Март25515253[Сумма без отделки],Март25515253[КТУ],$A176,Март25515253[МОП],"АН -*")</f>
        <v>13828028</v>
      </c>
      <c r="F176" s="301">
        <f>COUNTIFS(Март25515253[КТУ],$A176,Март25515253[МОП],"АН -*")</f>
        <v>2</v>
      </c>
      <c r="G176" s="271">
        <f>SUMIFS(РД[S],РД[МОП],A176,РД[Дата подачи на регистрацию],"&lt;="&amp;$A$1,РД[Дата подачи на регистрацию],"&gt;="&amp;DATE(YEAR($A$1),MONTH($A$1),1),РД[Источник рекламы],"Н -*")</f>
        <v>120.33</v>
      </c>
      <c r="H176" s="272">
        <f>SUMIFS(РД[Стоимость без отделки итог],РД[МОП],A176,РД[Дата подачи на регистрацию],"&lt;="&amp;$A$1,РД[Дата подачи на регистрацию],"&gt;="&amp;DATE(YEAR($A$1),MONTH($A$1),1),РД[Источник рекламы],"Н -*")</f>
        <v>13828028</v>
      </c>
      <c r="I176" s="257">
        <f>COUNTIFS(РД[Тип кв],I$173,РД[МОП],$A176,РД[Дата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J176" s="2084">
        <f>COUNTIFS(РД[Тип кв],J$173,РД[МОП],$A176,РД[Дата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K176" s="226">
        <f>COUNTIFS(РД[Тип кв],K$173,РД[МОП],$A176,РД[Дата подачи на регистрацию],"&lt;="&amp;$A$1,РД[Дата подачи на регистрацию],"&gt;="&amp;DATE(YEAR($A$1),MONTH($A$1),1),РД[Источник рекламы],"Н -*")</f>
        <v>2</v>
      </c>
      <c r="L176" s="226">
        <f>COUNTIFS(РД[Тип кв],L$173,РД[МОП],$A176,РД[Дата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M176" s="227">
        <f>COUNTIFS(РД[Тип кв],M$173,РД[МОП],$A176,РД[Дата подачи на регистрацию],"&lt;="&amp;$A$1,РД[Дата подачи на регистрацию],"&gt;="&amp;DATE(YEAR($A$1),MONTH($A$1),1),РД[Источник рекламы],"Н -*")</f>
        <v>0</v>
      </c>
      <c r="N176" s="339"/>
      <c r="O176" s="339"/>
      <c r="P176" s="86"/>
      <c r="T176" s="66"/>
    </row>
    <row r="177" spans="1:21" s="65" customFormat="1">
      <c r="A177" s="153" t="s">
        <v>24</v>
      </c>
      <c r="B177" s="297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82.81</v>
      </c>
      <c r="C177" s="298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9911500</v>
      </c>
      <c r="D177" s="299">
        <f>SUMIFS(Март25515253[м2],Март25515253[КТУ],$A177,Март25515253[МОП],"АН -*")</f>
        <v>82.81</v>
      </c>
      <c r="E177" s="300">
        <f>SUMIFS(Март25515253[Сумма без отделки],Март25515253[КТУ],$A177,Март25515253[МОП],"АН -*")</f>
        <v>10107500</v>
      </c>
      <c r="F177" s="301">
        <f>COUNTIFS(Март25515253[КТУ],$A177,Март25515253[МОП],"АН -*")</f>
        <v>2</v>
      </c>
      <c r="G177" s="271">
        <f>SUMIFS(РД[S],РД[МОП],A177,РД[Дата подачи на регистрацию],"&lt;="&amp;$A$1,РД[Дата подачи на регистрацию],"&gt;="&amp;DATE(YEAR($A$1),MONTH($A$1),1),РД[Источник рекламы],"Н -*")</f>
        <v>82.81</v>
      </c>
      <c r="H177" s="272">
        <f>SUMIFS(РД[Стоимость без отделки итог],РД[МОП],A177,РД[Дата подачи на регистрацию],"&lt;="&amp;$A$1,РД[Дата подачи на регистрацию],"&gt;="&amp;DATE(YEAR($A$1),MONTH($A$1),1),РД[Источник рекламы],"Н -*")</f>
        <v>9911500</v>
      </c>
      <c r="I177" s="257">
        <f>COUNTIFS(РД[Тип кв],I$173,РД[МОП],$A177,РД[Дата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J177" s="2084">
        <f>COUNTIFS(РД[Тип кв],J$173,РД[МОП],$A177,РД[Дата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K177" s="226">
        <f>COUNTIFS(РД[Тип кв],K$173,РД[МОП],$A177,РД[Дата подачи на регистрацию],"&lt;="&amp;$A$1,РД[Дата подачи на регистрацию],"&gt;="&amp;DATE(YEAR($A$1),MONTH($A$1),1),РД[Источник рекламы],"Н -*")</f>
        <v>1</v>
      </c>
      <c r="L177" s="226">
        <f>COUNTIFS(РД[Тип кв],L$173,РД[МОП],$A177,РД[Дата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M177" s="227">
        <f>COUNTIFS(РД[Тип кв],M$173,РД[МОП],$A177,РД[Дата подачи на регистрацию],"&lt;="&amp;$A$1,РД[Дата подачи на регистрацию],"&gt;="&amp;DATE(YEAR($A$1),MONTH($A$1),1),РД[Источник рекламы],"Н -*")</f>
        <v>0</v>
      </c>
      <c r="N177" s="339"/>
      <c r="O177" s="339"/>
      <c r="P177" s="86"/>
      <c r="T177" s="66"/>
    </row>
    <row r="178" spans="1:21" s="65" customFormat="1">
      <c r="A178" s="153" t="s">
        <v>14</v>
      </c>
      <c r="B178" s="297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59.09</v>
      </c>
      <c r="C178" s="298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6795350</v>
      </c>
      <c r="D178" s="299">
        <f>SUMIFS(Март25515253[м2],Март25515253[КТУ],$A178,Март25515253[МОП],"АН -*")</f>
        <v>0</v>
      </c>
      <c r="E178" s="300">
        <f>SUMIFS(Март25515253[Сумма без отделки],Март25515253[КТУ],$A178,Март25515253[МОП],"АН -*")</f>
        <v>0</v>
      </c>
      <c r="F178" s="301">
        <f>COUNTIFS(Март25515253[КТУ],$A178,Март25515253[МОП],"АН -*")</f>
        <v>0</v>
      </c>
      <c r="G178" s="271">
        <f>SUMIFS(РД[S],РД[МОП],A178,РД[Дата подачи на регистрацию],"&lt;="&amp;$A$1,РД[Дата подачи на регистрацию],"&gt;="&amp;DATE(YEAR($A$1),MONTH($A$1),1),РД[Источник рекламы],"Н -*")</f>
        <v>59.09</v>
      </c>
      <c r="H178" s="272">
        <f>SUMIFS(РД[Стоимость без отделки итог],РД[МОП],A178,РД[Дата подачи на регистрацию],"&lt;="&amp;$A$1,РД[Дата подачи на регистрацию],"&gt;="&amp;DATE(YEAR($A$1),MONTH($A$1),1),РД[Источник рекламы],"Н -*")</f>
        <v>6795350</v>
      </c>
      <c r="I178" s="257">
        <f>COUNTIFS(РД[Тип кв],I$173,РД[МОП],$A178,РД[Дата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J178" s="2084">
        <f>COUNTIFS(РД[Тип кв],J$173,РД[МОП],$A178,РД[Дата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K178" s="226">
        <f>COUNTIFS(РД[Тип кв],K$173,РД[МОП],$A178,РД[Дата подачи на регистрацию],"&lt;="&amp;$A$1,РД[Дата подачи на регистрацию],"&gt;="&amp;DATE(YEAR($A$1),MONTH($A$1),1),РД[Источник рекламы],"Н -*")</f>
        <v>1</v>
      </c>
      <c r="L178" s="226">
        <f>COUNTIFS(РД[Тип кв],L$173,РД[МОП],$A178,РД[Дата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M178" s="227">
        <f>COUNTIFS(РД[Тип кв],M$173,РД[МОП],$A178,РД[Дата подачи на регистрацию],"&lt;="&amp;$A$1,РД[Дата подачи на регистрацию],"&gt;="&amp;DATE(YEAR($A$1),MONTH($A$1),1),РД[Источник рекламы],"Н -*")</f>
        <v>0</v>
      </c>
      <c r="N178" s="339"/>
      <c r="O178" s="339"/>
      <c r="P178" s="86"/>
      <c r="T178" s="66"/>
    </row>
    <row r="179" spans="1:21" s="65" customFormat="1">
      <c r="A179" s="153" t="s">
        <v>1884</v>
      </c>
      <c r="B179" s="297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36.630000000000003</v>
      </c>
      <c r="C179" s="298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4611488</v>
      </c>
      <c r="D179" s="299">
        <f>SUMIFS(Март25515253[м2],Март25515253[КТУ],$A179,Март25515253[МОП],"АН -*")</f>
        <v>0</v>
      </c>
      <c r="E179" s="300">
        <f>SUMIFS(Март25515253[Сумма без отделки],Март25515253[КТУ],$A179,Март25515253[МОП],"АН -*")</f>
        <v>0</v>
      </c>
      <c r="F179" s="301">
        <f>COUNTIFS(Март25515253[КТУ],$A179,Март25515253[МОП],"АН -*")</f>
        <v>0</v>
      </c>
      <c r="G179" s="271">
        <f>SUMIFS(РД[S],РД[МОП],A179,РД[Дата подачи на регистрацию],"&lt;="&amp;$A$1,РД[Дата подачи на регистрацию],"&gt;="&amp;DATE(YEAR($A$1),MONTH($A$1),1),РД[Источник рекламы],"Н -*")</f>
        <v>36.630000000000003</v>
      </c>
      <c r="H179" s="272">
        <f>SUMIFS(РД[Стоимость без отделки итог],РД[МОП],A179,РД[Дата подачи на регистрацию],"&lt;="&amp;$A$1,РД[Дата подачи на регистрацию],"&gt;="&amp;DATE(YEAR($A$1),MONTH($A$1),1),РД[Источник рекламы],"Н -*")</f>
        <v>4611488</v>
      </c>
      <c r="I179" s="257">
        <f>COUNTIFS(РД[Тип кв],I$173,РД[МОП],$A179,РД[Дата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J179" s="2084">
        <f>COUNTIFS(РД[Тип кв],J$173,РД[МОП],$A179,РД[Дата подачи на регистрацию],"&lt;="&amp;$A$1,РД[Дата подачи на регистрацию],"&gt;="&amp;DATE(YEAR($A$1),MONTH($A$1),1),РД[Источник рекламы],"Н -*")</f>
        <v>1</v>
      </c>
      <c r="K179" s="226">
        <f>COUNTIFS(РД[Тип кв],K$173,РД[МОП],$A179,РД[Дата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L179" s="226">
        <f>COUNTIFS(РД[Тип кв],L$173,РД[МОП],$A179,РД[Дата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M179" s="227">
        <f>COUNTIFS(РД[Тип кв],M$173,РД[МОП],$A179,РД[Дата подачи на регистрацию],"&lt;="&amp;$A$1,РД[Дата подачи на регистрацию],"&gt;="&amp;DATE(YEAR($A$1),MONTH($A$1),1),РД[Источник рекламы],"Н -*")</f>
        <v>0</v>
      </c>
      <c r="N179" s="339"/>
      <c r="O179" s="339"/>
      <c r="P179" s="86"/>
      <c r="T179" s="66"/>
    </row>
    <row r="180" spans="1:21" s="65" customFormat="1">
      <c r="A180" s="302" t="s">
        <v>29</v>
      </c>
      <c r="B180" s="276">
        <f>SUMIFS(РД[S],РД[МОП],A180,РД[Дата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C180" s="303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D180" s="157">
        <f>SUMIFS(Март25515253[м2],Март25515253[КТУ],$A180,Март25515253[МОП],"АН -*")</f>
        <v>0</v>
      </c>
      <c r="E180" s="156">
        <f>SUMIFS(Март25515253[Сумма без отделки],Март25515253[КТУ],$A180,Март25515253[МОП],"АН -*")</f>
        <v>0</v>
      </c>
      <c r="F180" s="158">
        <f>COUNTIFS(Март25515253[КТУ],$A180,Март25515253[МОП],"АН -*")</f>
        <v>0</v>
      </c>
      <c r="G180" s="274">
        <f>SUMIFS(РД[S],РД[МОП],A180,РД[Дата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H180" s="275">
        <f>SUMIFS(РД[Стоимость без отделки итог],РД[МОП],A180,РД[Дата подачи на регистрацию],"&lt;="&amp;$A$1,РД[Дата подачи на регистрацию],"&gt;="&amp;DATE(YEAR($A$1),MONTH($A$1),1),РД[Источник рекламы],"Н -*")</f>
        <v>0</v>
      </c>
      <c r="I180" s="341">
        <f>COUNTIFS(РД[Тип кв],I$173,РД[МОП],$A180,РД[Дата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J180" s="2085">
        <f>COUNTIFS(РД[Тип кв],J$173,РД[МОП],$A180,РД[Дата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K180" s="228">
        <f>COUNTIFS(РД[Тип кв],K$173,РД[МОП],$A180,РД[Дата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L180" s="228">
        <f>COUNTIFS(РД[Тип кв],L$173,РД[МОП],$A180,РД[Дата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M180" s="231">
        <f>COUNTIFS(РД[Тип кв],M$173,РД[МОП],$A180,РД[Дата подачи на регистрацию],"&lt;="&amp;$A$1,РД[Дата подачи на регистрацию],"&gt;="&amp;DATE(YEAR($A$1),MONTH($A$1),1),РД[Источник рекламы],"Н -*")</f>
        <v>0</v>
      </c>
      <c r="N180" s="339"/>
      <c r="O180" s="339"/>
      <c r="P180" s="86"/>
      <c r="T180" s="66"/>
    </row>
    <row r="181" spans="1:21" s="65" customFormat="1">
      <c r="A181" s="304" t="s">
        <v>114</v>
      </c>
      <c r="B181" s="284">
        <f t="shared" ref="B181:M181" si="42">SUM(B174:B179)</f>
        <v>425.21000000000004</v>
      </c>
      <c r="C181" s="305">
        <f t="shared" si="42"/>
        <v>50788436</v>
      </c>
      <c r="D181" s="284">
        <f t="shared" si="42"/>
        <v>270.39999999999998</v>
      </c>
      <c r="E181" s="285">
        <f t="shared" si="42"/>
        <v>32782248</v>
      </c>
      <c r="F181" s="286">
        <f t="shared" si="42"/>
        <v>6</v>
      </c>
      <c r="G181" s="282">
        <f t="shared" si="42"/>
        <v>425.21000000000004</v>
      </c>
      <c r="H181" s="283">
        <f t="shared" si="42"/>
        <v>50788436</v>
      </c>
      <c r="I181" s="284">
        <f t="shared" si="42"/>
        <v>2</v>
      </c>
      <c r="J181" s="2086">
        <f t="shared" si="42"/>
        <v>2</v>
      </c>
      <c r="K181" s="285">
        <f t="shared" si="42"/>
        <v>5</v>
      </c>
      <c r="L181" s="285">
        <f t="shared" si="42"/>
        <v>0</v>
      </c>
      <c r="M181" s="305">
        <f t="shared" si="42"/>
        <v>0</v>
      </c>
      <c r="N181" s="339"/>
      <c r="O181" s="339"/>
      <c r="P181" s="86"/>
      <c r="T181" s="66"/>
    </row>
    <row r="182" spans="1:21" s="65" customFormat="1">
      <c r="A182" s="306" t="s">
        <v>115</v>
      </c>
      <c r="B182" s="307" t="s">
        <v>101</v>
      </c>
      <c r="C182" s="308" t="s">
        <v>98</v>
      </c>
      <c r="D182" s="288" t="s">
        <v>494</v>
      </c>
      <c r="E182" s="289" t="s">
        <v>495</v>
      </c>
      <c r="F182" s="290" t="s">
        <v>496</v>
      </c>
      <c r="G182" s="309" t="s">
        <v>101</v>
      </c>
      <c r="H182" s="310" t="s">
        <v>98</v>
      </c>
      <c r="I182" s="342">
        <v>0</v>
      </c>
      <c r="J182" s="2087">
        <v>1</v>
      </c>
      <c r="K182" s="344">
        <v>2</v>
      </c>
      <c r="L182" s="343">
        <v>3</v>
      </c>
      <c r="M182" s="345" t="s">
        <v>1367</v>
      </c>
      <c r="N182" s="339"/>
      <c r="O182" s="339"/>
      <c r="P182" s="86"/>
      <c r="T182" s="66"/>
    </row>
    <row r="183" spans="1:21" s="65" customFormat="1">
      <c r="A183" s="177" t="s">
        <v>22</v>
      </c>
      <c r="B183" s="178">
        <f>SUMIFS(РД[S],РД[ИМ],A183,РД[Дата подачи на регистрацию],"&lt;="&amp;$A$1,РД[Дата подачи на регистрацию],"&gt;="&amp;DATE(YEAR($A$1),MONTH($A$1),1),РД[Источник рекламы],"Н -*")</f>
        <v>171.15</v>
      </c>
      <c r="C183" s="311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20488698</v>
      </c>
      <c r="D183" s="180">
        <f>SUMIFS(Март25515253[м2],Март25515253[ИМ],$A183,Март25515253[КТУ],"АН -*")</f>
        <v>0</v>
      </c>
      <c r="E183" s="179">
        <f>SUMIFS(Март25515253[Сумма без отделки],Март25515253[ИМ],$A183,Март25515253[КТУ],"АН -*")</f>
        <v>0</v>
      </c>
      <c r="F183" s="204">
        <f>COUNTIFS(Март25515253[ИМ],$A183,Март25515253[КТУ],"АН -*")</f>
        <v>0</v>
      </c>
      <c r="G183" s="291">
        <f>SUMIFS(РД[S],РД[ИМ],A183,РД[Дата подачи на регистрацию],"&lt;="&amp;$A$1,РД[Дата подачи на регистрацию],"&gt;="&amp;DATE(YEAR($A$1),MONTH($A$1),1),РД[Источник рекламы],"Н -*")</f>
        <v>171.15</v>
      </c>
      <c r="H183" s="312">
        <f>SUMIFS(РД[Стоимость без отделки итог],РД[ИМ],A183,РД[Дата подачи на регистрацию],"&lt;="&amp;$A$1,РД[Дата подачи на регистрацию],"&gt;="&amp;DATE(YEAR($A$1),MONTH($A$1),1),РД[Источник рекламы],"Н -*")</f>
        <v>20488698</v>
      </c>
      <c r="I183" s="346">
        <f>COUNTIFS(РД[Тип кв],I$173,РД[ИМ],$A183,РД[Дата подачи на регистрацию],"&lt;="&amp;$A$1,РД[Дата подачи на регистрацию],"&gt;="&amp;DATE(YEAR($A$1),MONTH($A$1),1),РД[Источник рекламы],"Н -*")</f>
        <v>2</v>
      </c>
      <c r="J183" s="2088">
        <f>COUNTIFS(РД[Тип кв],J$173,РД[ИМ],$A183,РД[Дата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K183" s="243">
        <f>COUNTIFS(РД[Тип кв],K$173,РД[ИМ],$A183,РД[Дата подачи на регистрацию],"&lt;="&amp;$A$1,РД[Дата подачи на регистрацию],"&gt;="&amp;DATE(YEAR($A$1),MONTH($A$1),1),РД[Источник рекламы],"Н -*")</f>
        <v>2</v>
      </c>
      <c r="L183" s="243">
        <f>COUNTIFS(РД[Тип кв],L$173,РД[ИМ],$A183,РД[Дата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M183" s="246">
        <f>COUNTIFS(РД[Тип кв],M$173,РД[ИМ],$A183,РД[Дата подачи на регистрацию],"&lt;="&amp;$A$1,РД[Дата подачи на регистрацию],"&gt;="&amp;DATE(YEAR($A$1),MONTH($A$1),1),РД[Источник рекламы],"Н -*")</f>
        <v>0</v>
      </c>
      <c r="N183" s="339"/>
      <c r="O183" s="339"/>
      <c r="P183" s="86"/>
      <c r="T183" s="66"/>
    </row>
    <row r="184" spans="1:21" s="65" customFormat="1">
      <c r="A184" s="150" t="s">
        <v>26</v>
      </c>
      <c r="B184" s="297">
        <f>SUMIFS(РД[S],РД[ИМ],A184,РД[Дата подачи на регистрацию],"&lt;="&amp;$A$1,РД[Дата подачи на регистрацию],"&gt;="&amp;DATE(YEAR($A$1),MONTH($A$1),1),РД[Источник рекламы],"Н -*")</f>
        <v>155.26</v>
      </c>
      <c r="C184" s="298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</f>
        <v>18600870</v>
      </c>
      <c r="D184" s="199">
        <f>SUMIFS(Март25515253[м2],Март25515253[ИМ],$A184,Март25515253[КТУ],"АН -*")</f>
        <v>0</v>
      </c>
      <c r="E184" s="200">
        <f>SUMIFS(Март25515253[Сумма без отделки],Март25515253[ИМ],$A184,Март25515253[КТУ],"АН -*")</f>
        <v>0</v>
      </c>
      <c r="F184" s="201">
        <f>COUNTIFS(Март25515253[ИМ],$A184,Март25515253[КТУ],"АН -*")</f>
        <v>0</v>
      </c>
      <c r="G184" s="271">
        <f>SUMIFS(РД[S],РД[ИМ],A184,РД[Дата подачи на регистрацию],"&lt;="&amp;$A$1,РД[Дата подачи на регистрацию],"&gt;="&amp;DATE(YEAR($A$1),MONTH($A$1),1),РД[Источник рекламы],"Н -*")</f>
        <v>155.26</v>
      </c>
      <c r="H184" s="272">
        <f>SUMIFS(РД[Стоимость без отделки итог],РД[ИМ],A184,РД[Дата подачи на регистрацию],"&lt;="&amp;$A$1,РД[Дата подачи на регистрацию],"&gt;="&amp;DATE(YEAR($A$1),MONTH($A$1),1),РД[Источник рекламы],"Н -*")</f>
        <v>18600870</v>
      </c>
      <c r="I184" s="257">
        <f>COUNTIFS(РД[Тип кв],I$173,РД[ИМ],$A184,РД[Дата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J184" s="2084">
        <f>COUNTIFS(РД[Тип кв],J$173,РД[ИМ],$A184,РД[Дата подачи на регистрацию],"&lt;="&amp;$A$1,РД[Дата подачи на регистрацию],"&gt;="&amp;DATE(YEAR($A$1),MONTH($A$1),1),РД[Источник рекламы],"Н -*")</f>
        <v>1</v>
      </c>
      <c r="K184" s="226">
        <f>COUNTIFS(РД[Тип кв],K$173,РД[ИМ],$A184,РД[Дата подачи на регистрацию],"&lt;="&amp;$A$1,РД[Дата подачи на регистрацию],"&gt;="&amp;DATE(YEAR($A$1),MONTH($A$1),1),РД[Источник рекламы],"Н -*")</f>
        <v>2</v>
      </c>
      <c r="L184" s="226">
        <f>COUNTIFS(РД[Тип кв],L$173,РД[ИМ],$A184,РД[Дата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M184" s="227">
        <f>COUNTIFS(РД[Тип кв],M$173,РД[ИМ],$A184,РД[Дата подачи на регистрацию],"&lt;="&amp;$A$1,РД[Дата подачи на регистрацию],"&gt;="&amp;DATE(YEAR($A$1),MONTH($A$1),1),РД[Источник рекламы],"Н -*")</f>
        <v>0</v>
      </c>
      <c r="N184" s="339"/>
      <c r="O184" s="339"/>
      <c r="P184" s="86"/>
      <c r="T184" s="66"/>
    </row>
    <row r="185" spans="1:21" s="65" customFormat="1">
      <c r="A185" s="189" t="s">
        <v>3</v>
      </c>
      <c r="B185" s="313">
        <f>SUMIFS(РД[S],РД[ИМ],A185,РД[Дата подачи на регистрацию],"&lt;="&amp;$A$1,РД[Дата подачи на регистрацию],"&gt;="&amp;DATE(YEAR($A$1),MONTH($A$1),1),РД[Источник рекламы],"Н -*")</f>
        <v>0</v>
      </c>
      <c r="C185" s="314">
        <f>SUMIFS(РД[Стоимость без отделки итог],РД[ИМ],A185,РД[Дата подачи на регистрацию],"&lt;="&amp;$A$1,РД[Дата подачи на регистрацию],"&gt;="&amp;DATE(YEAR($A$1),MONTH($A$1),1),РД[Источник рекламы],"Н -*")</f>
        <v>0</v>
      </c>
      <c r="D185" s="299">
        <f>SUMIFS(Март25515253[м2],Март25515253[ИМ],$A185,Март25515253[КТУ],"АН -*")</f>
        <v>0</v>
      </c>
      <c r="E185" s="300">
        <f>SUMIFS(Март25515253[Сумма без отделки],Март25515253[ИМ],$A185,Март25515253[КТУ],"АН -*")</f>
        <v>0</v>
      </c>
      <c r="F185" s="301">
        <f>COUNTIFS(Март25515253[ИМ],$A185,Март25515253[КТУ],"АН -*")</f>
        <v>0</v>
      </c>
      <c r="G185" s="315">
        <f>SUMIFS(РД[S],РД[ИМ],A185,РД[Дата подачи на регистрацию],"&lt;="&amp;$A$1,РД[Дата подачи на регистрацию],"&gt;="&amp;DATE(YEAR($A$1),MONTH($A$1),1),РД[Источник рекламы],"Н -*")</f>
        <v>0</v>
      </c>
      <c r="H185" s="316">
        <f>SUMIFS(РД[Стоимость без отделки итог],РД[ИМ],A185,РД[Дата подачи на регистрацию],"&lt;="&amp;$A$1,РД[Дата подачи на регистрацию],"&gt;="&amp;DATE(YEAR($A$1),MONTH($A$1),1),РД[Источник рекламы],"Н -*")</f>
        <v>0</v>
      </c>
      <c r="I185" s="329">
        <f>COUNTIFS(РД[Тип кв],I$173,РД[ИМ],$A185,РД[Дата подачи на регистрацию],"&lt;="&amp;$A$1,РД[Дата подачи на регистрацию],"&gt;="&amp;DATE(YEAR($A$1),MONTH($A$1),1),РД[Источник рекламы],"Н -*")</f>
        <v>0</v>
      </c>
      <c r="J185" s="2089">
        <f>COUNTIFS(РД[Тип кв],J$173,РД[ИМ],$A185,РД[Дата подачи на регистрацию],"&lt;="&amp;$A$1,РД[Дата подачи на регистрацию],"&gt;="&amp;DATE(YEAR($A$1),MONTH($A$1),1),РД[Источник рекламы],"Н -*")</f>
        <v>0</v>
      </c>
      <c r="K185" s="330">
        <f>COUNTIFS(РД[Тип кв],K$173,РД[ИМ],$A185,РД[Дата подачи на регистрацию],"&lt;="&amp;$A$1,РД[Дата подачи на регистрацию],"&gt;="&amp;DATE(YEAR($A$1),MONTH($A$1),1),РД[Источник рекламы],"Н -*")</f>
        <v>0</v>
      </c>
      <c r="L185" s="330">
        <f>COUNTIFS(РД[Тип кв],L$173,РД[ИМ],$A185,РД[Дата подачи на регистрацию],"&lt;="&amp;$A$1,РД[Дата подачи на регистрацию],"&gt;="&amp;DATE(YEAR($A$1),MONTH($A$1),1),РД[Источник рекламы],"Н -*")</f>
        <v>0</v>
      </c>
      <c r="M185" s="331">
        <f>COUNTIFS(РД[Тип кв],M$173,РД[ИМ],$A185,РД[Дата подачи на регистрацию],"&lt;="&amp;$A$1,РД[Дата подачи на регистрацию],"&gt;="&amp;DATE(YEAR($A$1),MONTH($A$1),1),РД[Источник рекламы],"Н -*")</f>
        <v>0</v>
      </c>
      <c r="N185" s="339"/>
      <c r="O185" s="339"/>
      <c r="P185" s="86"/>
      <c r="T185" s="66"/>
    </row>
    <row r="186" spans="1:21" s="65" customFormat="1">
      <c r="A186" s="317" t="s">
        <v>114</v>
      </c>
      <c r="B186" s="318">
        <f>SUM(B183:B185)</f>
        <v>326.40999999999997</v>
      </c>
      <c r="C186" s="319">
        <f t="shared" ref="C186:M186" si="43">SUM(C183:C185)</f>
        <v>39089568</v>
      </c>
      <c r="D186" s="320">
        <f t="shared" si="43"/>
        <v>0</v>
      </c>
      <c r="E186" s="321">
        <f t="shared" si="43"/>
        <v>0</v>
      </c>
      <c r="F186" s="322">
        <f t="shared" si="43"/>
        <v>0</v>
      </c>
      <c r="G186" s="323">
        <f t="shared" si="43"/>
        <v>326.40999999999997</v>
      </c>
      <c r="H186" s="324">
        <f t="shared" si="43"/>
        <v>39089568</v>
      </c>
      <c r="I186" s="318">
        <f t="shared" si="43"/>
        <v>2</v>
      </c>
      <c r="J186" s="2090">
        <f t="shared" si="43"/>
        <v>1</v>
      </c>
      <c r="K186" s="321">
        <f t="shared" si="43"/>
        <v>4</v>
      </c>
      <c r="L186" s="321">
        <f t="shared" si="43"/>
        <v>0</v>
      </c>
      <c r="M186" s="319">
        <f t="shared" si="43"/>
        <v>0</v>
      </c>
      <c r="N186" s="339"/>
      <c r="O186" s="339"/>
      <c r="P186" s="86"/>
      <c r="T186" s="66"/>
    </row>
    <row r="187" spans="1:21" s="65" customFormat="1">
      <c r="J187" s="2063"/>
      <c r="Q187" s="86"/>
      <c r="U187" s="66"/>
    </row>
    <row r="188" spans="1:21" s="65" customFormat="1">
      <c r="J188" s="2063"/>
      <c r="Q188" s="86"/>
      <c r="U188" s="66"/>
    </row>
    <row r="189" spans="1:21" s="65" customFormat="1">
      <c r="J189" s="2063"/>
      <c r="Q189" s="86"/>
      <c r="U189" s="66"/>
    </row>
    <row r="190" spans="1:21" s="65" customFormat="1">
      <c r="J190" s="2063"/>
      <c r="Q190" s="86"/>
      <c r="U190" s="66"/>
    </row>
    <row r="191" spans="1:21" s="65" customFormat="1">
      <c r="J191" s="2063"/>
      <c r="Q191" s="86"/>
      <c r="U191" s="66"/>
    </row>
    <row r="192" spans="1:21" s="65" customFormat="1">
      <c r="J192" s="2063"/>
      <c r="Q192" s="86"/>
      <c r="U192" s="66"/>
    </row>
    <row r="193" spans="10:21" s="65" customFormat="1">
      <c r="J193" s="2063"/>
      <c r="Q193" s="86"/>
      <c r="U193" s="66"/>
    </row>
    <row r="194" spans="10:21" s="65" customFormat="1">
      <c r="J194" s="2063"/>
      <c r="Q194" s="86"/>
      <c r="U194" s="66"/>
    </row>
    <row r="195" spans="10:21" s="65" customFormat="1">
      <c r="J195" s="2063"/>
      <c r="Q195" s="86"/>
      <c r="U195" s="66"/>
    </row>
    <row r="196" spans="10:21" s="65" customFormat="1">
      <c r="J196" s="2063"/>
      <c r="Q196" s="86"/>
      <c r="U196" s="66"/>
    </row>
    <row r="197" spans="10:21" s="65" customFormat="1">
      <c r="J197" s="2063"/>
      <c r="Q197" s="86"/>
      <c r="U197" s="66"/>
    </row>
    <row r="198" spans="10:21" s="65" customFormat="1">
      <c r="J198" s="2063"/>
      <c r="Q198" s="86"/>
      <c r="U198" s="66"/>
    </row>
    <row r="199" spans="10:21" s="65" customFormat="1">
      <c r="J199" s="2063"/>
      <c r="Q199" s="86"/>
      <c r="U199" s="66"/>
    </row>
    <row r="200" spans="10:21" s="65" customFormat="1">
      <c r="J200" s="2063"/>
      <c r="Q200" s="86"/>
      <c r="U200" s="66"/>
    </row>
    <row r="201" spans="10:21" s="65" customFormat="1">
      <c r="J201" s="2063"/>
      <c r="Q201" s="86"/>
      <c r="U201" s="66"/>
    </row>
    <row r="202" spans="10:21" s="65" customFormat="1">
      <c r="J202" s="2063"/>
      <c r="Q202" s="86"/>
      <c r="U202" s="66"/>
    </row>
    <row r="203" spans="10:21" s="65" customFormat="1">
      <c r="J203" s="2063"/>
      <c r="Q203" s="86"/>
      <c r="U203" s="66"/>
    </row>
    <row r="204" spans="10:21" s="65" customFormat="1">
      <c r="J204" s="2063"/>
      <c r="Q204" s="86"/>
      <c r="U204" s="66"/>
    </row>
    <row r="205" spans="10:21" s="65" customFormat="1">
      <c r="J205" s="2063"/>
      <c r="Q205" s="86"/>
      <c r="U205" s="66"/>
    </row>
    <row r="206" spans="10:21" s="65" customFormat="1">
      <c r="J206" s="2063"/>
      <c r="Q206" s="86"/>
      <c r="U206" s="66"/>
    </row>
    <row r="207" spans="10:21" s="65" customFormat="1">
      <c r="J207" s="2063"/>
      <c r="Q207" s="86"/>
      <c r="U207" s="66"/>
    </row>
    <row r="208" spans="10:21" s="65" customFormat="1">
      <c r="J208" s="2063"/>
      <c r="Q208" s="86"/>
      <c r="U208" s="66"/>
    </row>
    <row r="209" spans="1:21" s="65" customFormat="1">
      <c r="J209" s="2063"/>
      <c r="Q209" s="86"/>
      <c r="U209" s="66"/>
    </row>
    <row r="210" spans="1:21" s="65" customFormat="1">
      <c r="J210" s="2063"/>
      <c r="Q210" s="86"/>
      <c r="U210" s="66"/>
    </row>
    <row r="211" spans="1:21" s="65" customFormat="1">
      <c r="J211" s="2063"/>
      <c r="Q211" s="86"/>
      <c r="U211" s="66"/>
    </row>
    <row r="212" spans="1:21" s="65" customFormat="1">
      <c r="J212" s="2063"/>
      <c r="Q212" s="86"/>
      <c r="U212" s="66"/>
    </row>
    <row r="213" spans="1:21" s="65" customFormat="1">
      <c r="J213" s="2063"/>
      <c r="Q213" s="86"/>
      <c r="U213" s="66"/>
    </row>
    <row r="214" spans="1:21" s="65" customFormat="1">
      <c r="J214" s="2063"/>
      <c r="Q214" s="86"/>
      <c r="U214" s="66"/>
    </row>
    <row r="215" spans="1:21" s="65" customFormat="1">
      <c r="J215" s="2063"/>
      <c r="Q215" s="86"/>
      <c r="U215" s="66"/>
    </row>
    <row r="216" spans="1:21" s="65" customFormat="1">
      <c r="J216" s="2063"/>
      <c r="Q216" s="86"/>
      <c r="U216" s="66"/>
    </row>
    <row r="217" spans="1:21" s="65" customFormat="1">
      <c r="J217" s="2063"/>
      <c r="Q217" s="86"/>
      <c r="U217" s="66"/>
    </row>
    <row r="218" spans="1:21" s="65" customFormat="1">
      <c r="J218" s="2063"/>
      <c r="Q218" s="86"/>
      <c r="U218" s="66"/>
    </row>
    <row r="219" spans="1:21" s="65" customFormat="1">
      <c r="J219" s="2063"/>
      <c r="Q219" s="86"/>
      <c r="U219" s="66"/>
    </row>
    <row r="220" spans="1:21" s="65" customFormat="1">
      <c r="J220" s="2063"/>
      <c r="Q220" s="86"/>
      <c r="U220" s="66"/>
    </row>
    <row r="221" spans="1:21" s="65" customFormat="1">
      <c r="J221" s="2063"/>
      <c r="Q221" s="86"/>
      <c r="U221" s="66"/>
    </row>
    <row r="222" spans="1:21" s="65" customFormat="1">
      <c r="J222" s="2063"/>
      <c r="Q222" s="86"/>
      <c r="U222" s="66"/>
    </row>
    <row r="223" spans="1:21">
      <c r="A223" s="65"/>
      <c r="B223" s="65"/>
      <c r="C223" s="65"/>
      <c r="D223" s="65"/>
      <c r="E223" s="65"/>
      <c r="F223" s="65"/>
      <c r="G223" s="65"/>
      <c r="H223" s="65"/>
      <c r="I223" s="65"/>
      <c r="J223" s="2063"/>
      <c r="K223" s="65"/>
      <c r="L223" s="65"/>
      <c r="M223" s="65"/>
      <c r="N223" s="65"/>
      <c r="O223" s="65"/>
      <c r="P223" s="65"/>
      <c r="Q223" s="86"/>
      <c r="R223" s="65"/>
      <c r="S223" s="65"/>
    </row>
    <row r="224" spans="1:21">
      <c r="A224" s="65"/>
      <c r="B224" s="65"/>
      <c r="C224" s="65"/>
      <c r="D224" s="65"/>
      <c r="E224" s="65"/>
      <c r="F224" s="65"/>
      <c r="G224" s="65"/>
      <c r="H224" s="65"/>
      <c r="I224" s="65"/>
      <c r="J224" s="2063"/>
      <c r="K224" s="65"/>
      <c r="L224" s="65"/>
      <c r="M224" s="65"/>
      <c r="N224" s="65"/>
      <c r="O224" s="65"/>
      <c r="P224" s="65"/>
      <c r="Q224" s="86"/>
      <c r="R224" s="65"/>
      <c r="S224" s="65"/>
    </row>
    <row r="225" spans="10:21" s="65" customFormat="1">
      <c r="J225" s="2063"/>
      <c r="Q225" s="86"/>
      <c r="U225" s="66"/>
    </row>
    <row r="226" spans="10:21" s="65" customFormat="1">
      <c r="J226" s="2063"/>
      <c r="Q226" s="86"/>
      <c r="U226" s="66"/>
    </row>
    <row r="227" spans="10:21" s="65" customFormat="1">
      <c r="J227" s="2063"/>
      <c r="Q227" s="86"/>
      <c r="U227" s="66"/>
    </row>
    <row r="228" spans="10:21" s="65" customFormat="1">
      <c r="J228" s="2063"/>
      <c r="Q228" s="86"/>
      <c r="U228" s="66"/>
    </row>
    <row r="229" spans="10:21" s="65" customFormat="1">
      <c r="J229" s="2063"/>
      <c r="Q229" s="86"/>
      <c r="U229" s="66"/>
    </row>
    <row r="230" spans="10:21" s="65" customFormat="1">
      <c r="J230" s="2063"/>
      <c r="Q230" s="86"/>
      <c r="U230" s="66"/>
    </row>
    <row r="231" spans="10:21" s="65" customFormat="1">
      <c r="J231" s="2063"/>
      <c r="Q231" s="86"/>
      <c r="U231" s="66"/>
    </row>
    <row r="232" spans="10:21" s="65" customFormat="1">
      <c r="J232" s="2063"/>
      <c r="Q232" s="86"/>
      <c r="U232" s="66"/>
    </row>
    <row r="233" spans="10:21" s="65" customFormat="1">
      <c r="J233" s="2063"/>
      <c r="Q233" s="86"/>
      <c r="U233" s="66"/>
    </row>
    <row r="234" spans="10:21" s="65" customFormat="1">
      <c r="J234" s="2063"/>
      <c r="Q234" s="86"/>
      <c r="U234" s="66"/>
    </row>
    <row r="235" spans="10:21" s="65" customFormat="1">
      <c r="J235" s="2063"/>
      <c r="Q235" s="86"/>
      <c r="U235" s="66"/>
    </row>
    <row r="236" spans="10:21" s="65" customFormat="1">
      <c r="J236" s="2063"/>
      <c r="Q236" s="86"/>
      <c r="U236" s="66"/>
    </row>
    <row r="237" spans="10:21" s="65" customFormat="1">
      <c r="J237" s="2063"/>
      <c r="Q237" s="86"/>
      <c r="U237" s="66"/>
    </row>
    <row r="238" spans="10:21" s="65" customFormat="1">
      <c r="J238" s="2063"/>
      <c r="Q238" s="86"/>
      <c r="U238" s="66"/>
    </row>
    <row r="239" spans="10:21" s="65" customFormat="1">
      <c r="J239" s="2063"/>
      <c r="Q239" s="86"/>
      <c r="U239" s="66"/>
    </row>
    <row r="240" spans="10:21" s="65" customFormat="1">
      <c r="J240" s="2063"/>
      <c r="Q240" s="86"/>
      <c r="U240" s="66"/>
    </row>
    <row r="241" spans="10:21" s="65" customFormat="1">
      <c r="J241" s="2063"/>
      <c r="Q241" s="86"/>
      <c r="U241" s="66"/>
    </row>
    <row r="242" spans="10:21" s="65" customFormat="1">
      <c r="J242" s="2063"/>
      <c r="Q242" s="86"/>
      <c r="U242" s="66"/>
    </row>
    <row r="243" spans="10:21" s="65" customFormat="1">
      <c r="J243" s="2063"/>
      <c r="Q243" s="86"/>
      <c r="U243" s="66"/>
    </row>
    <row r="244" spans="10:21" s="65" customFormat="1">
      <c r="J244" s="2063"/>
      <c r="Q244" s="86"/>
      <c r="U244" s="66"/>
    </row>
    <row r="245" spans="10:21" s="65" customFormat="1">
      <c r="J245" s="2063"/>
      <c r="Q245" s="86"/>
      <c r="U245" s="66"/>
    </row>
    <row r="246" spans="10:21" s="65" customFormat="1">
      <c r="J246" s="2063"/>
      <c r="Q246" s="86"/>
      <c r="U246" s="66"/>
    </row>
    <row r="247" spans="10:21" s="65" customFormat="1">
      <c r="J247" s="2063"/>
      <c r="Q247" s="86"/>
      <c r="U247" s="66"/>
    </row>
    <row r="248" spans="10:21" s="65" customFormat="1">
      <c r="J248" s="2063"/>
      <c r="Q248" s="86"/>
      <c r="U248" s="66"/>
    </row>
    <row r="249" spans="10:21" s="65" customFormat="1">
      <c r="J249" s="2063"/>
      <c r="Q249" s="86"/>
      <c r="U249" s="66"/>
    </row>
    <row r="250" spans="10:21" s="65" customFormat="1">
      <c r="J250" s="2063"/>
      <c r="Q250" s="86"/>
      <c r="U250" s="66"/>
    </row>
    <row r="251" spans="10:21" s="65" customFormat="1">
      <c r="J251" s="2063"/>
      <c r="Q251" s="86"/>
      <c r="U251" s="66"/>
    </row>
    <row r="252" spans="10:21" s="65" customFormat="1">
      <c r="J252" s="2063"/>
      <c r="Q252" s="86"/>
      <c r="U252" s="66"/>
    </row>
    <row r="253" spans="10:21" s="65" customFormat="1">
      <c r="J253" s="2063"/>
      <c r="Q253" s="86"/>
      <c r="U253" s="66"/>
    </row>
    <row r="254" spans="10:21" s="65" customFormat="1">
      <c r="J254" s="2063"/>
      <c r="Q254" s="86"/>
      <c r="U254" s="66"/>
    </row>
    <row r="255" spans="10:21" s="65" customFormat="1">
      <c r="J255" s="2063"/>
      <c r="Q255" s="86"/>
      <c r="U255" s="66"/>
    </row>
    <row r="256" spans="10:21" s="65" customFormat="1">
      <c r="J256" s="2063"/>
      <c r="Q256" s="86"/>
      <c r="U256" s="66"/>
    </row>
    <row r="257" spans="10:21" s="65" customFormat="1">
      <c r="J257" s="2063"/>
      <c r="Q257" s="86"/>
      <c r="U257" s="66"/>
    </row>
    <row r="258" spans="10:21" s="65" customFormat="1">
      <c r="J258" s="2063"/>
      <c r="Q258" s="86"/>
      <c r="U258" s="66"/>
    </row>
    <row r="259" spans="10:21" s="65" customFormat="1">
      <c r="J259" s="2063"/>
      <c r="Q259" s="86"/>
      <c r="U259" s="66"/>
    </row>
    <row r="260" spans="10:21" s="65" customFormat="1">
      <c r="J260" s="2063"/>
      <c r="Q260" s="86"/>
      <c r="U260" s="66"/>
    </row>
    <row r="261" spans="10:21" s="65" customFormat="1">
      <c r="J261" s="2063"/>
      <c r="Q261" s="86"/>
      <c r="U261" s="66"/>
    </row>
    <row r="262" spans="10:21" s="65" customFormat="1">
      <c r="J262" s="2063"/>
      <c r="Q262" s="86"/>
      <c r="U262" s="66"/>
    </row>
    <row r="263" spans="10:21" s="65" customFormat="1">
      <c r="J263" s="2063"/>
      <c r="Q263" s="86"/>
      <c r="U263" s="66"/>
    </row>
    <row r="264" spans="10:21" s="65" customFormat="1">
      <c r="J264" s="2063"/>
      <c r="Q264" s="86"/>
      <c r="U264" s="66"/>
    </row>
    <row r="265" spans="10:21" s="65" customFormat="1">
      <c r="J265" s="2063"/>
      <c r="Q265" s="86"/>
      <c r="U265" s="66"/>
    </row>
    <row r="266" spans="10:21" s="65" customFormat="1">
      <c r="J266" s="2063"/>
      <c r="Q266" s="86"/>
      <c r="U266" s="66"/>
    </row>
    <row r="267" spans="10:21" s="65" customFormat="1">
      <c r="J267" s="2063"/>
      <c r="Q267" s="86"/>
      <c r="U267" s="66"/>
    </row>
    <row r="268" spans="10:21" s="65" customFormat="1">
      <c r="J268" s="2063"/>
      <c r="Q268" s="86"/>
      <c r="U268" s="66"/>
    </row>
    <row r="269" spans="10:21" s="65" customFormat="1">
      <c r="J269" s="2063"/>
      <c r="Q269" s="86"/>
      <c r="U269" s="66"/>
    </row>
    <row r="270" spans="10:21" s="65" customFormat="1">
      <c r="J270" s="2063"/>
      <c r="Q270" s="86"/>
      <c r="U270" s="66"/>
    </row>
    <row r="271" spans="10:21" s="65" customFormat="1">
      <c r="J271" s="2063"/>
      <c r="Q271" s="86"/>
      <c r="U271" s="66"/>
    </row>
    <row r="272" spans="10:21" s="65" customFormat="1">
      <c r="J272" s="2063"/>
      <c r="Q272" s="86"/>
      <c r="U272" s="66"/>
    </row>
    <row r="273" spans="10:21" s="65" customFormat="1">
      <c r="J273" s="2063"/>
      <c r="Q273" s="86"/>
      <c r="U273" s="66"/>
    </row>
    <row r="274" spans="10:21" s="65" customFormat="1">
      <c r="J274" s="2063"/>
      <c r="Q274" s="86"/>
      <c r="U274" s="66"/>
    </row>
    <row r="275" spans="10:21" s="65" customFormat="1">
      <c r="J275" s="2063"/>
      <c r="Q275" s="86"/>
      <c r="U275" s="66"/>
    </row>
    <row r="276" spans="10:21" s="65" customFormat="1">
      <c r="J276" s="2063"/>
      <c r="Q276" s="86"/>
      <c r="U276" s="66"/>
    </row>
    <row r="277" spans="10:21" s="65" customFormat="1">
      <c r="J277" s="2063"/>
      <c r="Q277" s="86"/>
      <c r="U277" s="66"/>
    </row>
    <row r="278" spans="10:21" s="65" customFormat="1">
      <c r="J278" s="2063"/>
      <c r="Q278" s="86"/>
      <c r="U278" s="66"/>
    </row>
    <row r="279" spans="10:21" s="65" customFormat="1">
      <c r="J279" s="2063"/>
      <c r="Q279" s="86"/>
      <c r="U279" s="66"/>
    </row>
    <row r="280" spans="10:21" s="65" customFormat="1">
      <c r="J280" s="2063"/>
      <c r="Q280" s="86"/>
      <c r="U280" s="66"/>
    </row>
    <row r="281" spans="10:21" s="65" customFormat="1">
      <c r="J281" s="2063"/>
      <c r="Q281" s="86"/>
      <c r="U281" s="66"/>
    </row>
    <row r="282" spans="10:21" s="65" customFormat="1">
      <c r="J282" s="2063"/>
      <c r="Q282" s="86"/>
      <c r="U282" s="66"/>
    </row>
    <row r="283" spans="10:21" s="65" customFormat="1">
      <c r="J283" s="2063"/>
      <c r="Q283" s="86"/>
      <c r="U283" s="66"/>
    </row>
    <row r="284" spans="10:21" s="65" customFormat="1">
      <c r="J284" s="2063"/>
      <c r="Q284" s="86"/>
      <c r="U284" s="66"/>
    </row>
    <row r="285" spans="10:21" s="65" customFormat="1">
      <c r="J285" s="2063"/>
      <c r="Q285" s="86"/>
      <c r="U285" s="66"/>
    </row>
    <row r="286" spans="10:21" s="65" customFormat="1">
      <c r="J286" s="2063"/>
      <c r="Q286" s="86"/>
      <c r="U286" s="66"/>
    </row>
    <row r="287" spans="10:21" s="65" customFormat="1">
      <c r="J287" s="2063"/>
      <c r="Q287" s="86"/>
      <c r="U287" s="66"/>
    </row>
    <row r="288" spans="10:21" s="65" customFormat="1">
      <c r="J288" s="2063"/>
      <c r="Q288" s="86"/>
      <c r="U288" s="66"/>
    </row>
    <row r="289" spans="10:21" s="65" customFormat="1">
      <c r="J289" s="2063"/>
      <c r="Q289" s="86"/>
      <c r="U289" s="66"/>
    </row>
    <row r="290" spans="10:21" s="65" customFormat="1">
      <c r="J290" s="2063"/>
      <c r="Q290" s="86"/>
      <c r="U290" s="66"/>
    </row>
    <row r="291" spans="10:21" s="65" customFormat="1">
      <c r="J291" s="2063"/>
      <c r="Q291" s="86"/>
      <c r="U291" s="66"/>
    </row>
    <row r="292" spans="10:21" s="65" customFormat="1">
      <c r="J292" s="2063"/>
      <c r="Q292" s="86"/>
      <c r="U292" s="66"/>
    </row>
    <row r="293" spans="10:21" s="65" customFormat="1">
      <c r="J293" s="2063"/>
      <c r="Q293" s="86"/>
      <c r="U293" s="66"/>
    </row>
    <row r="294" spans="10:21" s="65" customFormat="1">
      <c r="J294" s="2063"/>
      <c r="Q294" s="86"/>
      <c r="U294" s="66"/>
    </row>
    <row r="295" spans="10:21" s="65" customFormat="1">
      <c r="J295" s="2063"/>
      <c r="Q295" s="86"/>
      <c r="U295" s="66"/>
    </row>
    <row r="296" spans="10:21" s="65" customFormat="1">
      <c r="J296" s="2063"/>
      <c r="Q296" s="86"/>
      <c r="U296" s="66"/>
    </row>
    <row r="297" spans="10:21" s="65" customFormat="1">
      <c r="J297" s="2063"/>
      <c r="Q297" s="86"/>
      <c r="U297" s="66"/>
    </row>
    <row r="298" spans="10:21" s="65" customFormat="1">
      <c r="J298" s="2063"/>
      <c r="Q298" s="86"/>
      <c r="U298" s="66"/>
    </row>
    <row r="299" spans="10:21" s="65" customFormat="1">
      <c r="J299" s="2063"/>
      <c r="Q299" s="86"/>
      <c r="U299" s="66"/>
    </row>
    <row r="300" spans="10:21" s="65" customFormat="1">
      <c r="J300" s="2063"/>
      <c r="Q300" s="86"/>
      <c r="U300" s="66"/>
    </row>
    <row r="301" spans="10:21" s="65" customFormat="1">
      <c r="J301" s="2063"/>
      <c r="Q301" s="86"/>
      <c r="U301" s="66"/>
    </row>
    <row r="302" spans="10:21" s="65" customFormat="1">
      <c r="J302" s="2063"/>
      <c r="Q302" s="86"/>
      <c r="U302" s="66"/>
    </row>
    <row r="303" spans="10:21" s="65" customFormat="1">
      <c r="J303" s="2063"/>
      <c r="Q303" s="86"/>
      <c r="U303" s="66"/>
    </row>
    <row r="304" spans="10:21" s="65" customFormat="1">
      <c r="J304" s="2063"/>
      <c r="Q304" s="86"/>
      <c r="U304" s="66"/>
    </row>
    <row r="305" spans="10:21" s="65" customFormat="1">
      <c r="J305" s="2063"/>
      <c r="Q305" s="86"/>
      <c r="U305" s="66"/>
    </row>
    <row r="306" spans="10:21" s="65" customFormat="1">
      <c r="J306" s="2063"/>
      <c r="Q306" s="86"/>
      <c r="U306" s="66"/>
    </row>
    <row r="307" spans="10:21" s="65" customFormat="1">
      <c r="J307" s="2063"/>
      <c r="Q307" s="86"/>
      <c r="U307" s="66"/>
    </row>
    <row r="308" spans="10:21" s="65" customFormat="1">
      <c r="J308" s="2063"/>
      <c r="Q308" s="86"/>
      <c r="U308" s="66"/>
    </row>
    <row r="309" spans="10:21" s="65" customFormat="1">
      <c r="J309" s="2063"/>
      <c r="Q309" s="86"/>
      <c r="U309" s="66"/>
    </row>
    <row r="310" spans="10:21" s="65" customFormat="1">
      <c r="J310" s="2063"/>
      <c r="Q310" s="86"/>
      <c r="U310" s="66"/>
    </row>
    <row r="311" spans="10:21" s="65" customFormat="1">
      <c r="J311" s="2063"/>
      <c r="Q311" s="86"/>
      <c r="R311" s="66"/>
      <c r="S311" s="66"/>
      <c r="U311" s="66"/>
    </row>
    <row r="312" spans="10:21" s="65" customFormat="1">
      <c r="J312" s="2063"/>
      <c r="Q312" s="86"/>
      <c r="R312" s="66"/>
      <c r="S312" s="66"/>
      <c r="U312" s="66"/>
    </row>
    <row r="313" spans="10:21" s="65" customFormat="1">
      <c r="J313" s="2063"/>
      <c r="Q313" s="86"/>
      <c r="R313" s="66"/>
      <c r="S313" s="66"/>
      <c r="U313" s="66"/>
    </row>
    <row r="314" spans="10:21" s="65" customFormat="1">
      <c r="J314" s="2063"/>
      <c r="Q314" s="86"/>
      <c r="R314" s="66"/>
      <c r="S314" s="66"/>
      <c r="U314" s="66"/>
    </row>
  </sheetData>
  <sheetProtection algorithmName="SHA-512" hashValue="dkM4ztq1+BvhO+YP7bACDgReg2zZizWkzRQKZhaKNy7ghWONwXNQG7a3ESQkpOvX7L9cxO1NBbN1aL9OpMVhyw==" saltValue="gdnlTSMULIj2/4+WDP+tcA==" spinCount="100000" sheet="1" formatCells="0" formatColumns="0" formatRows="0" sort="0" autoFilter="0" pivotTables="0"/>
  <mergeCells count="8">
    <mergeCell ref="A138:B138"/>
    <mergeCell ref="A155:O155"/>
    <mergeCell ref="A172:M172"/>
    <mergeCell ref="A1:U1"/>
    <mergeCell ref="A70:B70"/>
    <mergeCell ref="A87:B87"/>
    <mergeCell ref="A104:B104"/>
    <mergeCell ref="A121:B121"/>
  </mergeCells>
  <pageMargins left="0.25" right="0.25" top="0.75" bottom="0.75" header="0.3" footer="0.3"/>
  <pageSetup paperSize="9" scale="21" orientation="landscape" r:id="rId1"/>
  <rowBreaks count="1" manualBreakCount="1">
    <brk id="61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E00-000000000000}">
          <x14:formula1>
            <xm:f>Списки!$C$2:$C$27</xm:f>
          </x14:formula1>
          <xm:sqref>U9 K4:K21 K23:K26 K28:K64 T28:U64 T10:U26 T4:U8</xm:sqref>
        </x14:dataValidation>
        <x14:dataValidation type="list" allowBlank="1" showInputMessage="1" showErrorMessage="1" xr:uid="{00000000-0002-0000-3E00-000001000000}">
          <x14:formula1>
            <xm:f>Списки!$F$2:$F$3</xm:f>
          </x14:formula1>
          <xm:sqref>V67 X67 P4:P21 P23:P26 P28:P64</xm:sqref>
        </x14:dataValidation>
        <x14:dataValidation type="list" allowBlank="1" showInputMessage="1" showErrorMessage="1" xr:uid="{00000000-0002-0000-3E00-000002000000}">
          <x14:formula1>
            <xm:f>Списки!$H$2</xm:f>
          </x14:formula1>
          <xm:sqref>B4:B64</xm:sqref>
        </x14:dataValidation>
        <x14:dataValidation type="list" allowBlank="1" showInputMessage="1" showErrorMessage="1" xr:uid="{00000000-0002-0000-3E00-000003000000}">
          <x14:formula1>
            <xm:f>Списки!$B$2:$B$10</xm:f>
          </x14:formula1>
          <xm:sqref>D4:D64</xm:sqref>
        </x14:dataValidation>
        <x14:dataValidation type="list" allowBlank="1" showInputMessage="1" showErrorMessage="1" xr:uid="{00000000-0002-0000-3E00-000004000000}">
          <x14:formula1>
            <xm:f>Списки!$C$3:$C$4</xm:f>
          </x14:formula1>
          <xm:sqref>D67:D68</xm:sqref>
        </x14:dataValidation>
        <x14:dataValidation type="list" allowBlank="1" showInputMessage="1" showErrorMessage="1" xr:uid="{00000000-0002-0000-3E00-000005000000}">
          <x14:formula1>
            <xm:f>Списки!$D$2:$D$7</xm:f>
          </x14:formula1>
          <xm:sqref>H4:H21 H23:H26 H28:H64</xm:sqref>
        </x14:dataValidation>
        <x14:dataValidation type="list" allowBlank="1" showInputMessage="1" showErrorMessage="1" xr:uid="{00000000-0002-0000-3E00-000006000000}">
          <x14:formula1>
            <xm:f>Списки!$E$2:$E$7</xm:f>
          </x14:formula1>
          <xm:sqref>L4:L21 L23:L64</xm:sqref>
        </x14:dataValidation>
        <x14:dataValidation type="list" allowBlank="1" showInputMessage="1" showErrorMessage="1" xr:uid="{00000000-0002-0000-3E00-000007000000}">
          <x14:formula1>
            <xm:f>Списки!$G$2:$G$3</xm:f>
          </x14:formula1>
          <xm:sqref>L67:L68 N4:N21 N23:N26 N28:N64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AF319"/>
  <sheetViews>
    <sheetView view="pageBreakPreview" zoomScaleNormal="85" workbookViewId="0">
      <pane ySplit="3" topLeftCell="A4" activePane="bottomLeft" state="frozen"/>
      <selection pane="bottomLeft" activeCell="T25" sqref="T25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7.140625" style="2071" customWidth="1"/>
    <col min="11" max="11" width="23.57031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45869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 ht="12" customHeight="1">
      <c r="A2" s="67"/>
      <c r="B2" s="67"/>
      <c r="C2" s="68">
        <f>SUBTOTAL(3,Июль25[заявка №])</f>
        <v>15</v>
      </c>
      <c r="D2" s="67"/>
      <c r="E2" s="67"/>
      <c r="F2" s="67"/>
      <c r="G2" s="69">
        <f>SUBTOTAL(9,Июль25[м2])</f>
        <v>707.92000000000007</v>
      </c>
      <c r="H2" s="67"/>
      <c r="I2" s="67"/>
      <c r="J2" s="2060">
        <f>SUBTOTAL(9,Июль25[сумма])</f>
        <v>91555317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SUBTOTAL(9,Июль25[Сумма без отделки])</f>
        <v>87951517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90" t="s">
        <v>2036</v>
      </c>
      <c r="J3" s="2061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2053" customFormat="1">
      <c r="A4" s="2046">
        <v>1</v>
      </c>
      <c r="B4" s="2046" t="s">
        <v>6</v>
      </c>
      <c r="C4" s="2054">
        <v>46089</v>
      </c>
      <c r="D4" s="2046" t="s">
        <v>23</v>
      </c>
      <c r="E4" s="2055">
        <v>84</v>
      </c>
      <c r="F4" s="2046">
        <v>1</v>
      </c>
      <c r="G4" s="2046">
        <v>44.9</v>
      </c>
      <c r="H4" s="2048" t="s">
        <v>9</v>
      </c>
      <c r="I4" s="2048"/>
      <c r="J4" s="2068">
        <v>5596976</v>
      </c>
      <c r="K4" s="2046" t="s">
        <v>45</v>
      </c>
      <c r="L4" s="2046" t="s">
        <v>26</v>
      </c>
      <c r="M4" s="2046" t="s">
        <v>286</v>
      </c>
      <c r="N4" s="2046" t="s">
        <v>18</v>
      </c>
      <c r="O4" s="2049">
        <v>45839</v>
      </c>
      <c r="P4" s="2046" t="s">
        <v>17</v>
      </c>
      <c r="Q4" s="2226" t="s">
        <v>2314</v>
      </c>
      <c r="R4" s="2051"/>
      <c r="S4" s="2051"/>
      <c r="T4" s="2046" t="s">
        <v>8</v>
      </c>
      <c r="U4" s="2046" t="s">
        <v>8</v>
      </c>
      <c r="V4" s="2227">
        <f>Июль25[[#This Row],[сумма]]-Июль25[[#This Row],[Цена м2 отделки]]*Июль25[[#This Row],[м2]]</f>
        <v>5596976</v>
      </c>
    </row>
    <row r="5" spans="1:32" s="61" customFormat="1" ht="12" customHeight="1">
      <c r="A5" s="2048">
        <v>2</v>
      </c>
      <c r="B5" s="2048"/>
      <c r="C5" s="2048">
        <v>45911</v>
      </c>
      <c r="D5" s="2046" t="s">
        <v>19</v>
      </c>
      <c r="E5" s="2048">
        <v>66</v>
      </c>
      <c r="F5" s="2048">
        <v>2</v>
      </c>
      <c r="G5" s="2048">
        <v>49.2</v>
      </c>
      <c r="H5" s="2048" t="s">
        <v>9</v>
      </c>
      <c r="I5" s="2048"/>
      <c r="J5" s="2067">
        <v>6268080</v>
      </c>
      <c r="K5" s="2048" t="s">
        <v>14</v>
      </c>
      <c r="L5" s="2048" t="s">
        <v>26</v>
      </c>
      <c r="M5" s="2048" t="s">
        <v>583</v>
      </c>
      <c r="N5" s="2048" t="s">
        <v>18</v>
      </c>
      <c r="O5" s="2048">
        <v>45848</v>
      </c>
      <c r="P5" s="2048" t="s">
        <v>17</v>
      </c>
      <c r="Q5" s="2226" t="s">
        <v>11494</v>
      </c>
      <c r="R5" s="2048"/>
      <c r="S5" s="2048"/>
      <c r="T5" s="2048" t="s">
        <v>14</v>
      </c>
      <c r="U5" s="2048" t="s">
        <v>14</v>
      </c>
      <c r="V5" s="2229">
        <f>Июль25[[#This Row],[сумма]]-Июль25[[#This Row],[Цена м2 отделки]]*Июль25[[#This Row],[м2]]</f>
        <v>6268080</v>
      </c>
    </row>
    <row r="6" spans="1:32" s="2046" customFormat="1">
      <c r="A6" s="2046">
        <v>3</v>
      </c>
      <c r="C6" s="2056">
        <v>39996</v>
      </c>
      <c r="D6" s="2046" t="s">
        <v>23</v>
      </c>
      <c r="E6" s="2046">
        <v>36</v>
      </c>
      <c r="F6" s="2046">
        <v>1</v>
      </c>
      <c r="G6" s="2046">
        <v>45.26</v>
      </c>
      <c r="H6" s="2046" t="s">
        <v>25</v>
      </c>
      <c r="I6" s="2092">
        <v>25000</v>
      </c>
      <c r="J6" s="2067">
        <v>6773360</v>
      </c>
      <c r="K6" s="2046" t="s">
        <v>8</v>
      </c>
      <c r="L6" s="2046" t="s">
        <v>22</v>
      </c>
      <c r="M6" s="2046" t="s">
        <v>286</v>
      </c>
      <c r="N6" s="2046" t="s">
        <v>18</v>
      </c>
      <c r="O6" s="2218">
        <v>45847</v>
      </c>
      <c r="P6" s="2046" t="s">
        <v>17</v>
      </c>
      <c r="Q6" s="2226" t="s">
        <v>11495</v>
      </c>
      <c r="T6" s="2046" t="s">
        <v>8</v>
      </c>
      <c r="U6" s="2046" t="s">
        <v>8</v>
      </c>
      <c r="V6" s="2228">
        <f>Июль25[[#This Row],[сумма]]-Июль25[[#This Row],[Цена м2 отделки]]*Июль25[[#This Row],[м2]]</f>
        <v>5641860</v>
      </c>
    </row>
    <row r="7" spans="1:32" s="2046" customFormat="1">
      <c r="A7" s="2046">
        <v>4</v>
      </c>
      <c r="C7" s="2046">
        <v>46243</v>
      </c>
      <c r="D7" s="2046" t="s">
        <v>19</v>
      </c>
      <c r="E7" s="2046">
        <v>19</v>
      </c>
      <c r="F7" s="2046">
        <v>2</v>
      </c>
      <c r="G7" s="2046">
        <v>51.79</v>
      </c>
      <c r="H7" s="2046" t="s">
        <v>9</v>
      </c>
      <c r="J7" s="2067">
        <v>6661378</v>
      </c>
      <c r="K7" s="2046" t="s">
        <v>45</v>
      </c>
      <c r="L7" s="2046" t="s">
        <v>26</v>
      </c>
      <c r="M7" s="2046" t="s">
        <v>286</v>
      </c>
      <c r="N7" s="2046" t="s">
        <v>18</v>
      </c>
      <c r="O7" s="2218">
        <v>45848</v>
      </c>
      <c r="P7" s="2046" t="s">
        <v>17</v>
      </c>
      <c r="Q7" s="2226" t="s">
        <v>11496</v>
      </c>
      <c r="T7" s="2046" t="s">
        <v>14</v>
      </c>
      <c r="U7" s="2046" t="s">
        <v>14</v>
      </c>
      <c r="V7" s="2228">
        <f>Июль25[[#This Row],[сумма]]-Июль25[[#This Row],[Цена м2 отделки]]*Июль25[[#This Row],[м2]]</f>
        <v>6661378</v>
      </c>
    </row>
    <row r="8" spans="1:32" s="2053" customFormat="1">
      <c r="A8" s="2046">
        <v>5</v>
      </c>
      <c r="B8" s="2046"/>
      <c r="C8" s="2054">
        <v>43403</v>
      </c>
      <c r="D8" s="2046" t="s">
        <v>13</v>
      </c>
      <c r="E8" s="2055">
        <v>349</v>
      </c>
      <c r="F8" s="2046">
        <v>0</v>
      </c>
      <c r="G8" s="2046">
        <v>24.53</v>
      </c>
      <c r="H8" s="2048" t="s">
        <v>21</v>
      </c>
      <c r="I8" s="2048">
        <v>10000</v>
      </c>
      <c r="J8" s="2068">
        <v>3753090</v>
      </c>
      <c r="K8" s="2046" t="s">
        <v>1884</v>
      </c>
      <c r="L8" s="2046" t="s">
        <v>22</v>
      </c>
      <c r="M8" s="2046" t="s">
        <v>583</v>
      </c>
      <c r="N8" s="2046" t="s">
        <v>18</v>
      </c>
      <c r="O8" s="2049">
        <v>45861</v>
      </c>
      <c r="P8" s="2046" t="s">
        <v>17</v>
      </c>
      <c r="Q8" s="2226" t="s">
        <v>11497</v>
      </c>
      <c r="R8" s="2051"/>
      <c r="S8" s="2051"/>
      <c r="T8" s="2059" t="s">
        <v>1884</v>
      </c>
      <c r="U8" s="2046" t="s">
        <v>1884</v>
      </c>
      <c r="V8" s="2227">
        <f>Июль25[[#This Row],[сумма]]-Июль25[[#This Row],[Цена м2 отделки]]*Июль25[[#This Row],[м2]]</f>
        <v>3507790</v>
      </c>
    </row>
    <row r="9" spans="1:32" s="2053" customFormat="1">
      <c r="A9" s="2046">
        <v>6</v>
      </c>
      <c r="B9" s="2046" t="s">
        <v>6</v>
      </c>
      <c r="C9" s="2054">
        <v>46288</v>
      </c>
      <c r="D9" s="2046" t="s">
        <v>19</v>
      </c>
      <c r="E9" s="2055"/>
      <c r="F9" s="2046" t="s">
        <v>1337</v>
      </c>
      <c r="G9" s="2046">
        <v>40.89</v>
      </c>
      <c r="H9" s="2048" t="s">
        <v>9</v>
      </c>
      <c r="I9" s="2048"/>
      <c r="J9" s="2068">
        <v>5724600</v>
      </c>
      <c r="K9" s="2046" t="s">
        <v>24</v>
      </c>
      <c r="L9" s="2046"/>
      <c r="M9" s="2046" t="s">
        <v>286</v>
      </c>
      <c r="N9" s="2046" t="s">
        <v>18</v>
      </c>
      <c r="O9" s="2049">
        <v>45847</v>
      </c>
      <c r="P9" s="2046" t="s">
        <v>17</v>
      </c>
      <c r="Q9" s="2226" t="s">
        <v>11498</v>
      </c>
      <c r="R9" s="2051"/>
      <c r="S9" s="2051"/>
      <c r="T9" s="2046" t="s">
        <v>24</v>
      </c>
      <c r="U9" s="2046" t="s">
        <v>24</v>
      </c>
      <c r="V9" s="2227">
        <f>Июль25[[#This Row],[сумма]]-Июль25[[#This Row],[Цена м2 отделки]]*Июль25[[#This Row],[м2]]</f>
        <v>5724600</v>
      </c>
    </row>
    <row r="10" spans="1:32" s="2046" customFormat="1">
      <c r="A10" s="2046">
        <v>7</v>
      </c>
      <c r="B10" s="2046" t="s">
        <v>6</v>
      </c>
      <c r="C10" s="2056">
        <v>44583</v>
      </c>
      <c r="D10" s="2046" t="s">
        <v>23</v>
      </c>
      <c r="E10" s="2046">
        <v>152</v>
      </c>
      <c r="F10" s="2046">
        <v>1</v>
      </c>
      <c r="G10" s="2046">
        <v>36.630000000000003</v>
      </c>
      <c r="H10" s="2046" t="s">
        <v>25</v>
      </c>
      <c r="I10" s="2092">
        <v>25000</v>
      </c>
      <c r="J10" s="2068">
        <v>5527238</v>
      </c>
      <c r="K10" s="2046" t="s">
        <v>1884</v>
      </c>
      <c r="L10" s="2046" t="s">
        <v>26</v>
      </c>
      <c r="M10" s="2046" t="s">
        <v>583</v>
      </c>
      <c r="N10" s="2046" t="s">
        <v>18</v>
      </c>
      <c r="O10" s="2218">
        <v>45852</v>
      </c>
      <c r="P10" s="2046" t="s">
        <v>17</v>
      </c>
      <c r="Q10" s="2226" t="s">
        <v>11499</v>
      </c>
      <c r="T10" s="2046" t="s">
        <v>1884</v>
      </c>
      <c r="U10" s="2046" t="s">
        <v>1884</v>
      </c>
      <c r="V10" s="2227">
        <f>Июль25[[#This Row],[сумма]]-Июль25[[#This Row],[Цена м2 отделки]]*Июль25[[#This Row],[м2]]</f>
        <v>4611488</v>
      </c>
    </row>
    <row r="11" spans="1:32" s="2237" customFormat="1">
      <c r="A11" s="2046">
        <v>8</v>
      </c>
      <c r="B11" s="2050" t="s">
        <v>6</v>
      </c>
      <c r="C11" s="2230">
        <v>36842</v>
      </c>
      <c r="D11" s="2050" t="s">
        <v>23</v>
      </c>
      <c r="E11" s="2230">
        <v>248</v>
      </c>
      <c r="F11" s="2050">
        <v>1</v>
      </c>
      <c r="G11" s="2050">
        <v>36.549999999999997</v>
      </c>
      <c r="H11" s="2050" t="s">
        <v>25</v>
      </c>
      <c r="I11" s="2231">
        <v>25000</v>
      </c>
      <c r="J11" s="2232">
        <v>5651462</v>
      </c>
      <c r="K11" s="2050" t="s">
        <v>1884</v>
      </c>
      <c r="L11" s="2050" t="s">
        <v>22</v>
      </c>
      <c r="M11" s="2050" t="s">
        <v>286</v>
      </c>
      <c r="N11" s="2050" t="s">
        <v>12</v>
      </c>
      <c r="O11" s="2233">
        <v>45852</v>
      </c>
      <c r="P11" s="2050" t="s">
        <v>17</v>
      </c>
      <c r="Q11" s="2226" t="s">
        <v>11500</v>
      </c>
      <c r="R11" s="2234"/>
      <c r="S11" s="2235"/>
      <c r="T11" s="2050" t="s">
        <v>1884</v>
      </c>
      <c r="U11" s="2050" t="s">
        <v>8</v>
      </c>
      <c r="V11" s="2236">
        <f>Июль25[[#This Row],[сумма]]-Июль25[[#This Row],[Цена м2 отделки]]*Июль25[[#This Row],[м2]]</f>
        <v>4737712</v>
      </c>
    </row>
    <row r="12" spans="1:32" s="2053" customFormat="1">
      <c r="A12" s="2046">
        <v>9</v>
      </c>
      <c r="B12" s="2046" t="s">
        <v>6</v>
      </c>
      <c r="C12" s="2054">
        <v>45629</v>
      </c>
      <c r="D12" s="2046" t="s">
        <v>23</v>
      </c>
      <c r="E12" s="2055">
        <v>214</v>
      </c>
      <c r="F12" s="2046">
        <v>1</v>
      </c>
      <c r="G12" s="2046">
        <v>36.39</v>
      </c>
      <c r="H12" s="2048" t="s">
        <v>9</v>
      </c>
      <c r="I12" s="2048"/>
      <c r="J12" s="2068">
        <v>4534556</v>
      </c>
      <c r="K12" s="2046" t="s">
        <v>24</v>
      </c>
      <c r="L12" s="2046" t="s">
        <v>26</v>
      </c>
      <c r="M12" s="2046" t="s">
        <v>583</v>
      </c>
      <c r="N12" s="2046" t="s">
        <v>18</v>
      </c>
      <c r="O12" s="2049">
        <v>45860</v>
      </c>
      <c r="P12" s="2046" t="s">
        <v>17</v>
      </c>
      <c r="Q12" s="2226" t="s">
        <v>11501</v>
      </c>
      <c r="R12" s="2051"/>
      <c r="S12" s="2051"/>
      <c r="T12" s="2046" t="s">
        <v>24</v>
      </c>
      <c r="U12" s="2046" t="s">
        <v>24</v>
      </c>
      <c r="V12" s="2227">
        <f>Июль25[[#This Row],[сумма]]-Июль25[[#This Row],[Цена м2 отделки]]*Июль25[[#This Row],[м2]]</f>
        <v>4534556</v>
      </c>
    </row>
    <row r="13" spans="1:32" s="2053" customFormat="1">
      <c r="A13" s="2046">
        <v>10</v>
      </c>
      <c r="B13" s="2046" t="s">
        <v>6</v>
      </c>
      <c r="C13" s="2054">
        <v>41223</v>
      </c>
      <c r="D13" s="2050" t="s">
        <v>13</v>
      </c>
      <c r="E13" s="2055">
        <v>78</v>
      </c>
      <c r="F13" s="2046">
        <v>2</v>
      </c>
      <c r="G13" s="2046">
        <v>68.5</v>
      </c>
      <c r="H13" s="2046" t="s">
        <v>9</v>
      </c>
      <c r="I13" s="2056"/>
      <c r="J13" s="2067">
        <v>7671439</v>
      </c>
      <c r="K13" s="2046" t="s">
        <v>40</v>
      </c>
      <c r="L13" s="2046" t="s">
        <v>26</v>
      </c>
      <c r="M13" s="2046" t="s">
        <v>286</v>
      </c>
      <c r="N13" s="2046" t="s">
        <v>18</v>
      </c>
      <c r="O13" s="2049">
        <v>45863</v>
      </c>
      <c r="P13" s="2046" t="s">
        <v>17</v>
      </c>
      <c r="Q13" s="2226" t="s">
        <v>11502</v>
      </c>
      <c r="R13" s="2051"/>
      <c r="S13" s="2051"/>
      <c r="T13" s="2046" t="s">
        <v>24</v>
      </c>
      <c r="U13" s="2046" t="s">
        <v>28</v>
      </c>
      <c r="V13" s="2227">
        <f>Июль25[[#This Row],[сумма]]-Июль25[[#This Row],[Цена м2 отделки]]*Июль25[[#This Row],[м2]]</f>
        <v>7671439</v>
      </c>
      <c r="AF13" s="2243"/>
    </row>
    <row r="14" spans="1:32" s="61" customFormat="1">
      <c r="A14" s="2046">
        <v>11</v>
      </c>
      <c r="B14" s="2046" t="s">
        <v>6</v>
      </c>
      <c r="C14" s="2054">
        <v>45601</v>
      </c>
      <c r="D14" s="2046" t="s">
        <v>19</v>
      </c>
      <c r="E14" s="2055">
        <v>23</v>
      </c>
      <c r="F14" s="2046">
        <v>2</v>
      </c>
      <c r="G14" s="2046">
        <v>51.79</v>
      </c>
      <c r="H14" s="2046" t="s">
        <v>9</v>
      </c>
      <c r="I14" s="2046"/>
      <c r="J14" s="2067">
        <v>6583046</v>
      </c>
      <c r="K14" s="2046" t="s">
        <v>28</v>
      </c>
      <c r="L14" s="2046" t="s">
        <v>26</v>
      </c>
      <c r="M14" s="2242" t="s">
        <v>583</v>
      </c>
      <c r="N14" s="2046" t="s">
        <v>12</v>
      </c>
      <c r="O14" s="2049">
        <v>45856</v>
      </c>
      <c r="P14" s="2046" t="s">
        <v>17</v>
      </c>
      <c r="Q14" s="2226" t="s">
        <v>11503</v>
      </c>
      <c r="R14" s="2051"/>
      <c r="S14" s="2051"/>
      <c r="T14" s="2046" t="s">
        <v>28</v>
      </c>
      <c r="U14" s="2046" t="s">
        <v>28</v>
      </c>
      <c r="V14" s="2227">
        <f>Июль25[[#This Row],[сумма]]-Июль25[[#This Row],[Цена м2 отделки]]*Июль25[[#This Row],[м2]]</f>
        <v>6583046</v>
      </c>
    </row>
    <row r="15" spans="1:32" s="61" customFormat="1">
      <c r="A15" s="65"/>
      <c r="B15" s="65"/>
      <c r="C15" s="78"/>
      <c r="D15" s="65"/>
      <c r="E15" s="79"/>
      <c r="F15" s="65"/>
      <c r="G15" s="65"/>
      <c r="H15" s="86"/>
      <c r="I15" s="86"/>
      <c r="J15" s="2066"/>
      <c r="K15" s="65"/>
      <c r="L15" s="65"/>
      <c r="M15" s="65"/>
      <c r="N15" s="65"/>
      <c r="O15" s="98"/>
      <c r="P15" s="65"/>
      <c r="Q15" s="2093"/>
      <c r="R15" s="118"/>
      <c r="S15" s="118"/>
      <c r="T15" s="65"/>
      <c r="U15" s="65"/>
      <c r="V15" s="2096">
        <f>Июль25[[#This Row],[сумма]]-Июль25[[#This Row],[Цена м2 отделки]]*Июль25[[#This Row],[м2]]</f>
        <v>0</v>
      </c>
    </row>
    <row r="16" spans="1:32" s="61" customFormat="1">
      <c r="A16" s="65"/>
      <c r="B16" s="65"/>
      <c r="C16" s="65"/>
      <c r="D16" s="65"/>
      <c r="E16" s="65"/>
      <c r="F16" s="65"/>
      <c r="G16" s="65"/>
      <c r="H16" s="65"/>
      <c r="I16" s="65"/>
      <c r="J16" s="2063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2096">
        <f>Июль25[[#This Row],[сумма]]-Июль25[[#This Row],[Цена м2 отделки]]*Июль25[[#This Row],[м2]]</f>
        <v>0</v>
      </c>
    </row>
    <row r="17" spans="1:22" s="2053" customFormat="1">
      <c r="A17" s="65"/>
      <c r="B17" s="65"/>
      <c r="C17" s="78"/>
      <c r="D17" s="65"/>
      <c r="E17" s="79"/>
      <c r="F17" s="65"/>
      <c r="G17" s="65"/>
      <c r="H17" s="86"/>
      <c r="I17" s="86"/>
      <c r="J17" s="2066"/>
      <c r="K17" s="65"/>
      <c r="L17" s="65"/>
      <c r="M17" s="65"/>
      <c r="N17" s="65"/>
      <c r="O17" s="98"/>
      <c r="P17" s="65"/>
      <c r="Q17" s="128"/>
      <c r="R17" s="118"/>
      <c r="S17" s="118"/>
      <c r="T17" s="65"/>
      <c r="U17" s="65"/>
      <c r="V17" s="2096">
        <f>Июль25[[#This Row],[сумма]]-Июль25[[#This Row],[Цена м2 отделки]]*Июль25[[#This Row],[м2]]</f>
        <v>0</v>
      </c>
    </row>
    <row r="18" spans="1:22" s="2053" customFormat="1">
      <c r="A18" s="2046">
        <v>15</v>
      </c>
      <c r="B18" s="2046" t="s">
        <v>6</v>
      </c>
      <c r="C18" s="2054">
        <v>39578</v>
      </c>
      <c r="D18" s="2046"/>
      <c r="E18" s="2055" t="s">
        <v>11537</v>
      </c>
      <c r="F18" s="2046"/>
      <c r="G18" s="2046">
        <v>65.599999999999994</v>
      </c>
      <c r="H18" s="2046"/>
      <c r="I18" s="2046"/>
      <c r="J18" s="2067">
        <v>7872000</v>
      </c>
      <c r="K18" s="2046" t="s">
        <v>24</v>
      </c>
      <c r="L18" s="2046"/>
      <c r="M18" s="2046"/>
      <c r="N18" s="2046"/>
      <c r="O18" s="2049"/>
      <c r="P18" s="2046"/>
      <c r="Q18" s="2226" t="s">
        <v>11538</v>
      </c>
      <c r="R18" s="2051"/>
      <c r="S18" s="2051"/>
      <c r="T18" s="2046" t="s">
        <v>24</v>
      </c>
      <c r="U18" s="2046" t="s">
        <v>24</v>
      </c>
      <c r="V18" s="2227">
        <f>Июль25[[#This Row],[сумма]]-Июль25[[#This Row],[Цена м2 отделки]]*Июль25[[#This Row],[м2]]</f>
        <v>7872000</v>
      </c>
    </row>
    <row r="19" spans="1:22" s="2053" customFormat="1">
      <c r="A19" s="2046">
        <v>16</v>
      </c>
      <c r="B19" s="2046" t="s">
        <v>6</v>
      </c>
      <c r="C19" s="2054">
        <v>40045</v>
      </c>
      <c r="D19" s="2046" t="s">
        <v>13</v>
      </c>
      <c r="E19" s="2055">
        <v>67</v>
      </c>
      <c r="F19" s="2046">
        <v>2</v>
      </c>
      <c r="G19" s="2046">
        <v>61.45</v>
      </c>
      <c r="H19" s="2048" t="s">
        <v>9</v>
      </c>
      <c r="I19" s="2222"/>
      <c r="J19" s="2068">
        <v>6997880</v>
      </c>
      <c r="K19" s="2046" t="s">
        <v>14</v>
      </c>
      <c r="L19" s="2046" t="s">
        <v>22</v>
      </c>
      <c r="M19" s="2046" t="s">
        <v>583</v>
      </c>
      <c r="N19" s="2046" t="s">
        <v>18</v>
      </c>
      <c r="O19" s="2049"/>
      <c r="P19" s="2046" t="s">
        <v>1772</v>
      </c>
      <c r="Q19" s="2226" t="s">
        <v>11539</v>
      </c>
      <c r="R19" s="2051">
        <v>45869</v>
      </c>
      <c r="S19" s="2051"/>
      <c r="T19" s="2046" t="s">
        <v>14</v>
      </c>
      <c r="U19" s="2046" t="s">
        <v>28</v>
      </c>
      <c r="V19" s="2227">
        <f>Июль25[[#This Row],[сумма]]-Июль25[[#This Row],[Цена м2 отделки]]*Июль25[[#This Row],[м2]]</f>
        <v>6997880</v>
      </c>
    </row>
    <row r="20" spans="1:22" s="2053" customFormat="1">
      <c r="A20" s="2046">
        <v>17</v>
      </c>
      <c r="B20" s="2046" t="s">
        <v>6</v>
      </c>
      <c r="C20" s="2047">
        <v>45138</v>
      </c>
      <c r="D20" s="2046" t="s">
        <v>13</v>
      </c>
      <c r="E20" s="2046">
        <v>492</v>
      </c>
      <c r="F20" s="2047">
        <v>1</v>
      </c>
      <c r="G20" s="2046">
        <v>39.75</v>
      </c>
      <c r="H20" s="2048" t="s">
        <v>21</v>
      </c>
      <c r="I20" s="2265">
        <v>10000</v>
      </c>
      <c r="J20" s="2068">
        <v>5287112</v>
      </c>
      <c r="K20" s="2046" t="s">
        <v>14</v>
      </c>
      <c r="L20" s="2046"/>
      <c r="M20" s="2046" t="s">
        <v>286</v>
      </c>
      <c r="N20" s="2046" t="s">
        <v>18</v>
      </c>
      <c r="O20" s="2049"/>
      <c r="P20" s="2046"/>
      <c r="Q20" s="2226" t="s">
        <v>11540</v>
      </c>
      <c r="R20" s="2051">
        <v>45868</v>
      </c>
      <c r="S20" s="2051"/>
      <c r="T20" s="2046" t="s">
        <v>14</v>
      </c>
      <c r="U20" s="2046" t="s">
        <v>14</v>
      </c>
      <c r="V20" s="2227">
        <f>Июль25[[#This Row],[сумма]]-Июль25[[#This Row],[Цена м2 отделки]]*Июль25[[#This Row],[м2]]</f>
        <v>4889612</v>
      </c>
    </row>
    <row r="21" spans="1:22" s="2053" customFormat="1" ht="14.25" customHeight="1">
      <c r="A21" s="2046">
        <v>18</v>
      </c>
      <c r="B21" s="2046" t="s">
        <v>6</v>
      </c>
      <c r="C21" s="2054">
        <v>46458</v>
      </c>
      <c r="D21" s="2046" t="s">
        <v>23</v>
      </c>
      <c r="E21" s="2055">
        <v>52</v>
      </c>
      <c r="F21" s="2046">
        <v>2</v>
      </c>
      <c r="G21" s="2046">
        <v>54.69</v>
      </c>
      <c r="H21" s="2048" t="s">
        <v>9</v>
      </c>
      <c r="I21" s="2048"/>
      <c r="J21" s="2068">
        <v>6653100</v>
      </c>
      <c r="K21" s="2046" t="s">
        <v>11555</v>
      </c>
      <c r="L21" s="2046"/>
      <c r="M21" s="2046" t="s">
        <v>130</v>
      </c>
      <c r="N21" s="2046" t="s">
        <v>18</v>
      </c>
      <c r="O21" s="2049"/>
      <c r="P21" s="2046" t="s">
        <v>1772</v>
      </c>
      <c r="Q21" s="2226" t="s">
        <v>11556</v>
      </c>
      <c r="R21" s="2051">
        <v>45869</v>
      </c>
      <c r="S21" s="2051"/>
      <c r="T21" s="2046" t="s">
        <v>14</v>
      </c>
      <c r="U21" s="2046" t="s">
        <v>14</v>
      </c>
      <c r="V21" s="2227">
        <f>Июль25[[#This Row],[сумма]]-Июль25[[#This Row],[Цена м2 отделки]]*Июль25[[#This Row],[м2]]</f>
        <v>6653100</v>
      </c>
    </row>
    <row r="22" spans="1:22" s="2053" customFormat="1">
      <c r="A22" s="65"/>
      <c r="B22" s="65"/>
      <c r="C22" s="87"/>
      <c r="D22" s="65"/>
      <c r="E22" s="65"/>
      <c r="F22" s="87"/>
      <c r="G22" s="65"/>
      <c r="H22" s="80"/>
      <c r="I22" s="2094"/>
      <c r="J22" s="2066"/>
      <c r="K22" s="65"/>
      <c r="L22" s="80"/>
      <c r="M22" s="80"/>
      <c r="N22" s="80"/>
      <c r="O22" s="98"/>
      <c r="P22" s="80"/>
      <c r="Q22" s="129"/>
      <c r="R22" s="118"/>
      <c r="S22" s="118"/>
      <c r="T22" s="65"/>
      <c r="U22" s="65"/>
      <c r="V22" s="2096">
        <f>Июль25[[#This Row],[сумма]]-Июль25[[#This Row],[Цена м2 отделки]]*Июль25[[#This Row],[м2]]</f>
        <v>0</v>
      </c>
    </row>
    <row r="23" spans="1:22" s="2053" customFormat="1">
      <c r="A23" s="65"/>
      <c r="B23" s="65"/>
      <c r="C23" s="78"/>
      <c r="D23" s="65"/>
      <c r="E23" s="79"/>
      <c r="F23" s="87"/>
      <c r="G23" s="65"/>
      <c r="H23" s="65"/>
      <c r="I23" s="2058"/>
      <c r="J23" s="2069"/>
      <c r="K23" s="72"/>
      <c r="L23" s="65"/>
      <c r="M23" s="65"/>
      <c r="N23" s="65"/>
      <c r="O23" s="98"/>
      <c r="P23" s="65"/>
      <c r="Q23" s="128"/>
      <c r="R23" s="118"/>
      <c r="S23" s="118"/>
      <c r="T23" s="65"/>
      <c r="U23" s="65"/>
      <c r="V23" s="2096">
        <f>Июль25[[#This Row],[сумма]]-Июль25[[#This Row],[Цена м2 отделки]]*Июль25[[#This Row],[м2]]</f>
        <v>0</v>
      </c>
    </row>
    <row r="24" spans="1:22" s="2053" customFormat="1">
      <c r="A24" s="65"/>
      <c r="B24" s="65"/>
      <c r="C24" s="2095"/>
      <c r="D24" s="65"/>
      <c r="E24" s="79"/>
      <c r="F24" s="87"/>
      <c r="G24" s="65"/>
      <c r="H24" s="65"/>
      <c r="I24" s="2058"/>
      <c r="J24" s="2069"/>
      <c r="K24" s="65"/>
      <c r="L24" s="65"/>
      <c r="M24" s="65"/>
      <c r="N24" s="65"/>
      <c r="O24" s="98"/>
      <c r="P24" s="65"/>
      <c r="Q24" s="130"/>
      <c r="R24" s="118"/>
      <c r="S24" s="118"/>
      <c r="T24" s="65"/>
      <c r="U24" s="65"/>
      <c r="V24" s="2096">
        <f>Июль25[[#This Row],[сумма]]-Июль25[[#This Row],[Цена м2 отделки]]*Июль25[[#This Row],[м2]]</f>
        <v>0</v>
      </c>
    </row>
    <row r="25" spans="1:22" s="61" customFormat="1">
      <c r="A25" s="65"/>
      <c r="B25" s="65"/>
      <c r="C25" s="88"/>
      <c r="D25" s="65"/>
      <c r="E25" s="65"/>
      <c r="F25" s="87"/>
      <c r="G25" s="65"/>
      <c r="H25" s="80"/>
      <c r="I25" s="2058"/>
      <c r="J25" s="2069"/>
      <c r="K25" s="65"/>
      <c r="L25" s="80"/>
      <c r="M25" s="80"/>
      <c r="N25" s="80"/>
      <c r="O25" s="98"/>
      <c r="P25" s="80"/>
      <c r="Q25" s="129"/>
      <c r="R25" s="118"/>
      <c r="S25" s="118"/>
      <c r="T25" s="65"/>
      <c r="U25" s="65"/>
      <c r="V25" s="2096">
        <f>Июль25[[#This Row],[сумма]]-Июль25[[#This Row],[Цена м2 отделки]]*Июль25[[#This Row],[м2]]</f>
        <v>0</v>
      </c>
    </row>
    <row r="26" spans="1:22" s="61" customFormat="1">
      <c r="A26" s="65"/>
      <c r="B26" s="65"/>
      <c r="C26" s="2091"/>
      <c r="D26" s="65"/>
      <c r="E26" s="65"/>
      <c r="F26" s="65"/>
      <c r="G26" s="65"/>
      <c r="H26" s="65"/>
      <c r="I26" s="65"/>
      <c r="J26" s="2063"/>
      <c r="K26" s="72"/>
      <c r="L26" s="65"/>
      <c r="M26" s="65"/>
      <c r="N26" s="65"/>
      <c r="O26" s="94"/>
      <c r="P26" s="65"/>
      <c r="Q26" s="65"/>
      <c r="R26" s="66"/>
      <c r="S26" s="66"/>
      <c r="T26" s="65"/>
      <c r="U26" s="65"/>
      <c r="V26" s="2096">
        <f>Июль25[[#This Row],[сумма]]-Июль25[[#This Row],[Цена м2 отделки]]*Июль25[[#This Row],[м2]]</f>
        <v>0</v>
      </c>
    </row>
    <row r="27" spans="1:22" s="2053" customFormat="1" ht="11.25" customHeight="1">
      <c r="A27" s="65"/>
      <c r="B27" s="65"/>
      <c r="C27" s="65"/>
      <c r="D27" s="65"/>
      <c r="E27" s="65"/>
      <c r="F27" s="65"/>
      <c r="G27" s="65"/>
      <c r="H27" s="65"/>
      <c r="I27" s="2091"/>
      <c r="J27" s="2063"/>
      <c r="K27" s="65"/>
      <c r="L27" s="65"/>
      <c r="M27" s="65"/>
      <c r="N27" s="65"/>
      <c r="O27" s="98"/>
      <c r="P27" s="65"/>
      <c r="Q27" s="65"/>
      <c r="R27" s="118"/>
      <c r="S27" s="118"/>
      <c r="T27" s="80"/>
      <c r="U27" s="80"/>
      <c r="V27" s="2096">
        <f>Июль25[[#This Row],[сумма]]-Июль25[[#This Row],[Цена м2 отделки]]*Июль25[[#This Row],[м2]]</f>
        <v>0</v>
      </c>
    </row>
    <row r="28" spans="1:22" s="2053" customFormat="1">
      <c r="A28" s="65"/>
      <c r="B28" s="65"/>
      <c r="C28" s="79"/>
      <c r="D28" s="65"/>
      <c r="E28" s="79"/>
      <c r="F28" s="65"/>
      <c r="G28" s="65"/>
      <c r="H28" s="65"/>
      <c r="I28" s="2091"/>
      <c r="J28" s="2063"/>
      <c r="K28" s="80"/>
      <c r="L28" s="65"/>
      <c r="M28" s="65"/>
      <c r="N28" s="65"/>
      <c r="O28" s="98"/>
      <c r="P28" s="80"/>
      <c r="Q28" s="65"/>
      <c r="R28" s="86"/>
      <c r="S28" s="86"/>
      <c r="T28" s="80"/>
      <c r="U28" s="80"/>
      <c r="V28" s="2096">
        <f>Июль25[[#This Row],[сумма]]-Июль25[[#This Row],[Цена м2 отделки]]*Июль25[[#This Row],[м2]]</f>
        <v>0</v>
      </c>
    </row>
    <row r="29" spans="1:22" s="61" customFormat="1">
      <c r="A29" s="65"/>
      <c r="B29" s="65"/>
      <c r="C29" s="79"/>
      <c r="D29" s="65"/>
      <c r="E29" s="79"/>
      <c r="F29" s="87"/>
      <c r="G29" s="79"/>
      <c r="H29" s="65"/>
      <c r="I29" s="72"/>
      <c r="J29" s="2063"/>
      <c r="K29" s="80"/>
      <c r="L29" s="65"/>
      <c r="M29" s="65"/>
      <c r="N29" s="65"/>
      <c r="O29" s="98"/>
      <c r="P29" s="80"/>
      <c r="Q29" s="65"/>
      <c r="R29" s="118"/>
      <c r="S29" s="118"/>
      <c r="T29" s="80"/>
      <c r="U29" s="80"/>
      <c r="V29" s="2096">
        <f>Июль25[[#This Row],[сумма]]-Июль25[[#This Row],[Цена м2 отделки]]*Июль25[[#This Row],[м2]]</f>
        <v>0</v>
      </c>
    </row>
    <row r="30" spans="1:22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2063"/>
      <c r="K30" s="65"/>
      <c r="L30" s="65"/>
      <c r="M30" s="65"/>
      <c r="N30" s="65"/>
      <c r="O30" s="98"/>
      <c r="P30" s="65"/>
      <c r="Q30" s="65"/>
      <c r="R30" s="118"/>
      <c r="S30" s="118"/>
      <c r="T30" s="65"/>
      <c r="U30" s="65"/>
      <c r="V30" s="2096">
        <f>Июль25[[#This Row],[сумма]]-Июль25[[#This Row],[Цена м2 отделки]]*Июль25[[#This Row],[м2]]</f>
        <v>0</v>
      </c>
    </row>
    <row r="31" spans="1:22" s="61" customFormat="1">
      <c r="A31" s="65"/>
      <c r="B31" s="65"/>
      <c r="C31" s="79"/>
      <c r="D31" s="65"/>
      <c r="E31" s="79"/>
      <c r="F31" s="65"/>
      <c r="G31" s="65"/>
      <c r="H31" s="65"/>
      <c r="I31" s="65"/>
      <c r="J31" s="2070"/>
      <c r="K31" s="80"/>
      <c r="L31" s="65"/>
      <c r="M31" s="65"/>
      <c r="N31" s="65"/>
      <c r="O31" s="98"/>
      <c r="P31" s="80"/>
      <c r="Q31" s="65"/>
      <c r="R31" s="118"/>
      <c r="S31" s="118"/>
      <c r="T31" s="80"/>
      <c r="U31" s="80"/>
      <c r="V31" s="2096">
        <f>Июль25[[#This Row],[сумма]]-Июль25[[#This Row],[Цена м2 отделки]]*Июль25[[#This Row],[м2]]</f>
        <v>0</v>
      </c>
    </row>
    <row r="32" spans="1:22" s="61" customFormat="1">
      <c r="A32" s="65"/>
      <c r="B32" s="65"/>
      <c r="C32" s="78"/>
      <c r="D32" s="65"/>
      <c r="E32" s="79"/>
      <c r="F32" s="65"/>
      <c r="G32" s="65"/>
      <c r="H32" s="65"/>
      <c r="I32" s="65"/>
      <c r="J32" s="2063"/>
      <c r="K32" s="80"/>
      <c r="L32" s="65"/>
      <c r="M32" s="107"/>
      <c r="N32" s="65"/>
      <c r="O32" s="98"/>
      <c r="P32" s="80"/>
      <c r="Q32" s="65"/>
      <c r="R32" s="118"/>
      <c r="S32" s="131"/>
      <c r="T32" s="80"/>
      <c r="U32" s="80"/>
      <c r="V32" s="2096">
        <f>Июль25[[#This Row],[сумма]]-Июль25[[#This Row],[Цена м2 отделки]]*Июль25[[#This Row],[м2]]</f>
        <v>0</v>
      </c>
    </row>
    <row r="33" spans="1:22" s="61" customFormat="1">
      <c r="A33" s="65"/>
      <c r="B33" s="65"/>
      <c r="C33" s="77"/>
      <c r="D33" s="65"/>
      <c r="E33" s="65"/>
      <c r="F33" s="65"/>
      <c r="G33" s="79"/>
      <c r="H33" s="65"/>
      <c r="I33" s="65"/>
      <c r="J33" s="2063"/>
      <c r="K33" s="65"/>
      <c r="L33" s="65"/>
      <c r="M33" s="65"/>
      <c r="N33" s="65"/>
      <c r="O33" s="98"/>
      <c r="P33" s="80"/>
      <c r="Q33" s="65"/>
      <c r="R33" s="86"/>
      <c r="S33" s="86"/>
      <c r="T33" s="80"/>
      <c r="U33" s="80"/>
      <c r="V33" s="2096">
        <f>Июль25[[#This Row],[сумма]]-Июль25[[#This Row],[Цена м2 отделки]]*Июль25[[#This Row],[м2]]</f>
        <v>0</v>
      </c>
    </row>
    <row r="34" spans="1:22" s="61" customFormat="1">
      <c r="A34" s="65"/>
      <c r="B34" s="65"/>
      <c r="C34" s="79"/>
      <c r="D34" s="65"/>
      <c r="E34" s="79"/>
      <c r="F34" s="65"/>
      <c r="G34" s="65"/>
      <c r="H34" s="65"/>
      <c r="I34" s="65"/>
      <c r="J34" s="2063"/>
      <c r="K34" s="80"/>
      <c r="L34" s="65"/>
      <c r="M34" s="65"/>
      <c r="N34" s="65"/>
      <c r="O34" s="98"/>
      <c r="P34" s="80"/>
      <c r="Q34" s="65"/>
      <c r="R34" s="118"/>
      <c r="S34" s="118"/>
      <c r="T34" s="80"/>
      <c r="U34" s="80"/>
      <c r="V34" s="2096">
        <f>Июль25[[#This Row],[сумма]]-Июль25[[#This Row],[Цена м2 отделки]]*Июль25[[#This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206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2096">
        <f>Июль25[[#This Row],[сумма]]-Июль25[[#This Row],[Цена м2 отделки]]*Июль25[[#This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206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2096">
        <f>Июль25[[#This Row],[сумма]]-Июль25[[#This Row],[Цена м2 отделки]]*Июль25[[#This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2063"/>
      <c r="K37" s="80"/>
      <c r="L37" s="65"/>
      <c r="M37" s="65"/>
      <c r="N37" s="108"/>
      <c r="O37" s="98"/>
      <c r="P37" s="80"/>
      <c r="Q37" s="65"/>
      <c r="R37" s="86"/>
      <c r="S37" s="118"/>
      <c r="T37" s="80"/>
      <c r="U37" s="80"/>
      <c r="V37" s="2096">
        <f>Июль25[[#This Row],[сумма]]-Июль25[[#This Row],[Цена м2 отделки]]*Июль25[[#This Row],[м2]]</f>
        <v>0</v>
      </c>
    </row>
    <row r="38" spans="1:22" s="61" customFormat="1">
      <c r="A38" s="65"/>
      <c r="B38" s="65"/>
      <c r="C38" s="78"/>
      <c r="D38" s="65"/>
      <c r="E38" s="79"/>
      <c r="F38" s="65"/>
      <c r="G38" s="65"/>
      <c r="H38" s="65"/>
      <c r="I38" s="65"/>
      <c r="J38" s="2063"/>
      <c r="K38" s="80"/>
      <c r="L38" s="65"/>
      <c r="M38" s="65"/>
      <c r="N38" s="65"/>
      <c r="O38" s="98"/>
      <c r="P38" s="80"/>
      <c r="Q38" s="65"/>
      <c r="R38" s="118"/>
      <c r="S38" s="118"/>
      <c r="T38" s="80"/>
      <c r="U38" s="80"/>
      <c r="V38" s="2096">
        <f>Июль25[[#This Row],[сумма]]-Июль25[[#This Row],[Цена м2 отделки]]*Июль25[[#This Row],[м2]]</f>
        <v>0</v>
      </c>
    </row>
    <row r="39" spans="1:22">
      <c r="A39" s="65"/>
      <c r="B39" s="65"/>
      <c r="C39" s="79"/>
      <c r="D39" s="65"/>
      <c r="E39" s="79"/>
      <c r="F39" s="65"/>
      <c r="G39" s="65"/>
      <c r="H39" s="65"/>
      <c r="I39" s="65"/>
      <c r="J39" s="2063"/>
      <c r="K39" s="65"/>
      <c r="L39" s="65"/>
      <c r="M39" s="65"/>
      <c r="N39" s="65"/>
      <c r="O39" s="98"/>
      <c r="P39" s="80"/>
      <c r="Q39" s="86"/>
      <c r="R39" s="118"/>
      <c r="S39" s="118"/>
      <c r="U39" s="65"/>
      <c r="V39" s="2096">
        <f>Июль25[[#This Row],[сумма]]-Июль25[[#This Row],[Цена м2 отделки]]*Июль25[[#This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2063"/>
      <c r="K40" s="80"/>
      <c r="L40" s="65"/>
      <c r="M40" s="65"/>
      <c r="N40" s="65"/>
      <c r="O40" s="98"/>
      <c r="P40" s="80"/>
      <c r="Q40" s="65"/>
      <c r="R40" s="118"/>
      <c r="S40" s="118"/>
      <c r="T40" s="80"/>
      <c r="U40" s="80"/>
      <c r="V40" s="2096">
        <f>Июль25[[#This Row],[сумма]]-Июль25[[#This Row],[Цена м2 отделки]]*Июль25[[#This Row],[м2]]</f>
        <v>0</v>
      </c>
    </row>
    <row r="41" spans="1:22">
      <c r="A41" s="65"/>
      <c r="B41" s="65"/>
      <c r="C41" s="78"/>
      <c r="D41" s="65"/>
      <c r="E41" s="79"/>
      <c r="F41" s="65"/>
      <c r="G41" s="65"/>
      <c r="H41" s="89"/>
      <c r="I41" s="89"/>
      <c r="J41" s="206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2096">
        <f>Июль25[[#This Row],[сумма]]-Июль25[[#This Row],[Цена м2 отделки]]*Июль25[[#This Row],[м2]]</f>
        <v>0</v>
      </c>
    </row>
    <row r="42" spans="1:22">
      <c r="A42" s="65"/>
      <c r="B42" s="65"/>
      <c r="C42" s="79"/>
      <c r="D42" s="65"/>
      <c r="E42" s="79"/>
      <c r="F42" s="65"/>
      <c r="G42" s="65"/>
      <c r="H42" s="65"/>
      <c r="I42" s="65"/>
      <c r="J42" s="2063"/>
      <c r="K42" s="80"/>
      <c r="L42" s="65"/>
      <c r="M42" s="65"/>
      <c r="N42" s="65"/>
      <c r="O42" s="98"/>
      <c r="P42" s="65"/>
      <c r="Q42" s="65"/>
      <c r="R42" s="118"/>
      <c r="S42" s="118"/>
      <c r="T42" s="80"/>
      <c r="U42" s="80"/>
      <c r="V42" s="2096">
        <f>Июль25[[#This Row],[сумма]]-Июль25[[#This Row],[Цена м2 отделки]]*Июль25[[#This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206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2096">
        <f>Июль25[[#This Row],[сумма]]-Июль25[[#This Row],[Цена м2 отделки]]*Июль25[[#This Row],[м2]]</f>
        <v>0</v>
      </c>
    </row>
    <row r="44" spans="1:22">
      <c r="A44" s="65"/>
      <c r="B44" s="65"/>
      <c r="C44" s="78"/>
      <c r="D44" s="65"/>
      <c r="E44" s="79"/>
      <c r="F44" s="65"/>
      <c r="G44" s="65"/>
      <c r="H44" s="65"/>
      <c r="I44" s="77"/>
      <c r="J44" s="206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2096">
        <f>Июль25[[#This Row],[сумма]]-Июль25[[#This Row],[Цена м2 отделки]]*Июль25[[#This Row],[м2]]</f>
        <v>0</v>
      </c>
    </row>
    <row r="45" spans="1:22">
      <c r="A45" s="65"/>
      <c r="B45" s="65"/>
      <c r="C45" s="79"/>
      <c r="D45" s="65"/>
      <c r="E45" s="79"/>
      <c r="F45" s="65"/>
      <c r="G45" s="65"/>
      <c r="H45" s="65"/>
      <c r="I45" s="65"/>
      <c r="J45" s="206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2096">
        <f>Июль25[[#This Row],[сумма]]-Июль25[[#This Row],[Цена м2 отделки]]*Июль25[[#This Row],[м2]]</f>
        <v>0</v>
      </c>
    </row>
    <row r="46" spans="1:22">
      <c r="A46" s="65"/>
      <c r="B46" s="65"/>
      <c r="C46" s="78"/>
      <c r="D46" s="65"/>
      <c r="E46" s="79"/>
      <c r="F46" s="65"/>
      <c r="G46" s="65"/>
      <c r="H46" s="65"/>
      <c r="I46" s="65"/>
      <c r="J46" s="206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2096">
        <f>Июль25[[#This Row],[сумма]]-Июль25[[#This Row],[Цена м2 отделки]]*Июль25[[#This Row],[м2]]</f>
        <v>0</v>
      </c>
    </row>
    <row r="47" spans="1:22">
      <c r="A47" s="65"/>
      <c r="B47" s="65"/>
      <c r="C47" s="79"/>
      <c r="D47" s="65"/>
      <c r="E47" s="79"/>
      <c r="F47" s="65"/>
      <c r="G47" s="65"/>
      <c r="H47" s="80"/>
      <c r="I47" s="80"/>
      <c r="J47" s="2063"/>
      <c r="K47" s="80"/>
      <c r="L47" s="65"/>
      <c r="M47" s="65"/>
      <c r="N47" s="65"/>
      <c r="O47" s="98"/>
      <c r="P47" s="80"/>
      <c r="Q47" s="86"/>
      <c r="R47" s="86"/>
      <c r="S47" s="86"/>
      <c r="T47" s="80"/>
      <c r="U47" s="80"/>
      <c r="V47" s="2096">
        <f>Июль25[[#This Row],[сумма]]-Июль25[[#This Row],[Цена м2 отделки]]*Июль25[[#This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2063"/>
      <c r="K48" s="80"/>
      <c r="L48" s="65"/>
      <c r="M48" s="65"/>
      <c r="N48" s="65"/>
      <c r="O48" s="98"/>
      <c r="P48" s="80"/>
      <c r="Q48" s="65"/>
      <c r="R48" s="86"/>
      <c r="S48" s="86"/>
      <c r="T48" s="80"/>
      <c r="U48" s="80"/>
      <c r="V48" s="2096">
        <f>Июль25[[#This Row],[сумма]]-Июль25[[#This Row],[Цена м2 отделки]]*Июль25[[#This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65"/>
      <c r="I49" s="65"/>
      <c r="J49" s="206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2096">
        <f>Июль25[[#This Row],[сумма]]-Июль25[[#This Row],[Цена м2 отделки]]*Июль25[[#This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2063"/>
      <c r="K50" s="80"/>
      <c r="L50" s="65"/>
      <c r="M50" s="65"/>
      <c r="N50" s="65"/>
      <c r="O50" s="98"/>
      <c r="P50" s="80"/>
      <c r="Q50" s="65"/>
      <c r="R50" s="118"/>
      <c r="S50" s="86"/>
      <c r="T50" s="80"/>
      <c r="U50" s="80"/>
      <c r="V50" s="2096">
        <f>Июль25[[#This Row],[сумма]]-Июль25[[#This Row],[Цена м2 отделки]]*Июль25[[#This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2063"/>
      <c r="K51" s="80"/>
      <c r="L51" s="65"/>
      <c r="M51" s="65"/>
      <c r="N51" s="108"/>
      <c r="O51" s="98"/>
      <c r="P51" s="80"/>
      <c r="Q51" s="65"/>
      <c r="R51" s="86"/>
      <c r="S51" s="86"/>
      <c r="T51" s="80"/>
      <c r="U51" s="80"/>
      <c r="V51" s="2096">
        <f>Июль25[[#This Row],[сумма]]-Июль25[[#This Row],[Цена м2 отделки]]*Июль25[[#This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2063"/>
      <c r="K52" s="80"/>
      <c r="L52" s="65"/>
      <c r="M52" s="65"/>
      <c r="N52" s="65"/>
      <c r="O52" s="98"/>
      <c r="P52" s="80"/>
      <c r="Q52" s="86"/>
      <c r="R52" s="86"/>
      <c r="S52" s="86"/>
      <c r="T52" s="80"/>
      <c r="U52" s="80"/>
      <c r="V52" s="2096">
        <f>Июль25[[#This Row],[сумма]]-Июль25[[#This Row],[Цена м2 отделки]]*Июль25[[#This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2063"/>
      <c r="K53" s="80"/>
      <c r="L53" s="65"/>
      <c r="M53" s="65"/>
      <c r="N53" s="65"/>
      <c r="O53" s="109"/>
      <c r="P53" s="80"/>
      <c r="Q53" s="86"/>
      <c r="R53" s="86"/>
      <c r="S53" s="86"/>
      <c r="T53" s="80"/>
      <c r="U53" s="80"/>
      <c r="V53" s="2096">
        <f>Июль25[[#This Row],[сумма]]-Июль25[[#This Row],[Цена м2 отделки]]*Июль25[[#This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86"/>
      <c r="I54" s="86"/>
      <c r="J54" s="2066"/>
      <c r="K54" s="80"/>
      <c r="L54" s="80"/>
      <c r="M54" s="80"/>
      <c r="N54" s="80"/>
      <c r="O54" s="109"/>
      <c r="P54" s="80"/>
      <c r="Q54" s="86"/>
      <c r="R54" s="86"/>
      <c r="S54" s="86"/>
      <c r="T54" s="80"/>
      <c r="U54" s="80"/>
      <c r="V54" s="2096">
        <f>Июль25[[#This Row],[сумма]]-Июль25[[#This Row],[Цена м2 отделки]]*Июль25[[#This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65"/>
      <c r="I55" s="65"/>
      <c r="J55" s="2063"/>
      <c r="K55" s="80"/>
      <c r="L55" s="65"/>
      <c r="M55" s="65"/>
      <c r="N55" s="65"/>
      <c r="O55" s="109"/>
      <c r="P55" s="80"/>
      <c r="Q55" s="65"/>
      <c r="R55" s="118"/>
      <c r="S55" s="86"/>
      <c r="T55" s="80"/>
      <c r="U55" s="80"/>
      <c r="V55" s="2096">
        <f>Июль25[[#This Row],[сумма]]-Июль25[[#This Row],[Цена м2 отделки]]*Июль25[[#This Row],[м2]]</f>
        <v>0</v>
      </c>
    </row>
    <row r="56" spans="1:22">
      <c r="A56" s="65"/>
      <c r="B56" s="65"/>
      <c r="C56" s="78"/>
      <c r="D56" s="65"/>
      <c r="E56" s="79"/>
      <c r="F56" s="65"/>
      <c r="G56" s="65"/>
      <c r="H56" s="65"/>
      <c r="I56" s="65"/>
      <c r="J56" s="2063"/>
      <c r="K56" s="80"/>
      <c r="L56" s="65"/>
      <c r="M56" s="65"/>
      <c r="N56" s="65"/>
      <c r="O56" s="98"/>
      <c r="P56" s="80"/>
      <c r="Q56" s="65"/>
      <c r="R56" s="118"/>
      <c r="S56" s="118"/>
      <c r="T56" s="80"/>
      <c r="U56" s="80"/>
      <c r="V56" s="2096">
        <f>Июль25[[#This Row],[сумма]]-Июль25[[#This Row],[Цена м2 отделки]]*Июль25[[#This Row],[м2]]</f>
        <v>0</v>
      </c>
    </row>
    <row r="57" spans="1:22">
      <c r="A57" s="65"/>
      <c r="B57" s="65"/>
      <c r="C57" s="79"/>
      <c r="D57" s="65"/>
      <c r="E57" s="79"/>
      <c r="F57" s="65"/>
      <c r="G57" s="65"/>
      <c r="H57" s="65"/>
      <c r="I57" s="65"/>
      <c r="J57" s="2063"/>
      <c r="K57" s="80"/>
      <c r="L57" s="65"/>
      <c r="M57" s="65"/>
      <c r="N57" s="65"/>
      <c r="O57" s="98"/>
      <c r="P57" s="80"/>
      <c r="Q57" s="65"/>
      <c r="R57" s="118"/>
      <c r="S57" s="86"/>
      <c r="T57" s="80"/>
      <c r="U57" s="80"/>
      <c r="V57" s="2096">
        <f>Июль25[[#This Row],[сумма]]-Июль25[[#This Row],[Цена м2 отделки]]*Июль25[[#This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2063"/>
      <c r="K58" s="65"/>
      <c r="L58" s="65"/>
      <c r="M58" s="65"/>
      <c r="N58" s="65"/>
      <c r="O58" s="98"/>
      <c r="P58" s="65"/>
      <c r="Q58" s="65"/>
      <c r="R58" s="86"/>
      <c r="S58" s="86"/>
      <c r="U58" s="65"/>
      <c r="V58" s="2096">
        <f>Июль25[[#This Row],[сумма]]-Июль25[[#This Row],[Цена м2 отделки]]*Июль25[[#This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72"/>
      <c r="J59" s="2063"/>
      <c r="K59" s="80"/>
      <c r="L59" s="65"/>
      <c r="M59" s="65"/>
      <c r="N59" s="65"/>
      <c r="O59" s="110"/>
      <c r="P59" s="65"/>
      <c r="Q59" s="72"/>
      <c r="R59" s="118"/>
      <c r="S59" s="118"/>
      <c r="T59" s="80"/>
      <c r="U59" s="80"/>
      <c r="V59" s="2096">
        <f>Июль25[[#This Row],[сумма]]-Июль25[[#This Row],[Цена м2 отделки]]*Июль25[[#This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65"/>
      <c r="J60" s="2063"/>
      <c r="K60" s="80"/>
      <c r="L60" s="65"/>
      <c r="M60" s="65"/>
      <c r="N60" s="65"/>
      <c r="O60" s="98"/>
      <c r="P60" s="65"/>
      <c r="Q60" s="65"/>
      <c r="R60" s="118"/>
      <c r="S60" s="118"/>
      <c r="T60" s="80"/>
      <c r="U60" s="80"/>
      <c r="V60" s="2096">
        <f>Июль25[[#This Row],[сумма]]-Июль25[[#This Row],[Цена м2 отделки]]*Июль25[[#This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72"/>
      <c r="J61" s="2063"/>
      <c r="K61" s="80"/>
      <c r="L61" s="65"/>
      <c r="M61" s="65"/>
      <c r="N61" s="65"/>
      <c r="O61" s="98"/>
      <c r="P61" s="65"/>
      <c r="Q61" s="65"/>
      <c r="R61" s="118"/>
      <c r="S61" s="86"/>
      <c r="T61" s="80"/>
      <c r="U61" s="80"/>
      <c r="V61" s="2096">
        <f>Июль25[[#This Row],[сумма]]-Июль25[[#This Row],[Цена м2 отделки]]*Июль25[[#This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2063"/>
      <c r="K62" s="80"/>
      <c r="L62" s="65"/>
      <c r="M62" s="65"/>
      <c r="N62" s="65"/>
      <c r="O62" s="110"/>
      <c r="P62" s="65"/>
      <c r="Q62" s="65"/>
      <c r="R62" s="118"/>
      <c r="S62" s="118"/>
      <c r="T62" s="80"/>
      <c r="U62" s="80"/>
      <c r="V62" s="2096">
        <f>Июль25[[#This Row],[сумма]]-Июль25[[#This Row],[Цена м2 отделки]]*Июль25[[#This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65"/>
      <c r="J63" s="2063"/>
      <c r="K63" s="65"/>
      <c r="L63" s="65"/>
      <c r="M63" s="65"/>
      <c r="N63" s="65"/>
      <c r="O63" s="98"/>
      <c r="P63" s="65"/>
      <c r="Q63" s="65"/>
      <c r="R63" s="118"/>
      <c r="S63" s="118"/>
      <c r="U63" s="65"/>
      <c r="V63" s="2096">
        <f>Июль25[[#This Row],[сумма]]-Июль25[[#This Row],[Цена м2 отделки]]*Июль25[[#This Row],[м2]]</f>
        <v>0</v>
      </c>
    </row>
    <row r="64" spans="1:22">
      <c r="A64" s="65"/>
      <c r="B64" s="87"/>
      <c r="C64" s="65"/>
      <c r="D64" s="65"/>
      <c r="E64" s="87"/>
      <c r="F64" s="65"/>
      <c r="G64" s="65"/>
      <c r="H64" s="72"/>
      <c r="I64" s="105"/>
      <c r="J64" s="2069"/>
      <c r="K64" s="65"/>
      <c r="L64" s="65"/>
      <c r="M64" s="65"/>
      <c r="N64" s="98"/>
      <c r="O64" s="65"/>
      <c r="P64" s="65"/>
      <c r="Q64" s="65"/>
      <c r="R64" s="65"/>
      <c r="S64" s="65"/>
      <c r="T64" s="93"/>
    </row>
    <row r="65" spans="1:27">
      <c r="A65" s="65"/>
      <c r="B65" s="87"/>
      <c r="C65" s="65"/>
      <c r="D65" s="65"/>
      <c r="E65" s="65"/>
      <c r="F65" s="65"/>
      <c r="G65" s="65"/>
      <c r="H65" s="65"/>
      <c r="I65" s="65"/>
      <c r="L65" s="65"/>
      <c r="M65" s="65"/>
      <c r="N65" s="98"/>
      <c r="O65" s="65"/>
    </row>
    <row r="66" spans="1:27" s="65" customFormat="1" ht="13.5" thickBot="1">
      <c r="B66" s="79"/>
      <c r="D66" s="79"/>
      <c r="J66" s="2071"/>
      <c r="U66" s="110"/>
      <c r="X66" s="98"/>
      <c r="Y66" s="80"/>
      <c r="AA66" s="86"/>
    </row>
    <row r="67" spans="1:27" s="65" customFormat="1" ht="15.75" customHeight="1" thickBot="1">
      <c r="A67" s="2418" t="s">
        <v>713</v>
      </c>
      <c r="B67" s="2419"/>
      <c r="C67" s="2203" t="s">
        <v>7</v>
      </c>
      <c r="D67" s="2415" t="s">
        <v>11478</v>
      </c>
      <c r="E67" s="2416"/>
      <c r="F67" s="2417"/>
      <c r="G67" s="2412" t="s">
        <v>1889</v>
      </c>
      <c r="H67" s="2413"/>
      <c r="I67" s="2413"/>
      <c r="J67" s="2413"/>
      <c r="K67" s="2414"/>
      <c r="L67" s="134"/>
      <c r="M67" s="134"/>
      <c r="N67" s="134"/>
      <c r="O67" s="134"/>
      <c r="P67" s="134"/>
      <c r="T67" s="66"/>
    </row>
    <row r="68" spans="1:27" s="65" customFormat="1">
      <c r="A68" s="2191" t="s">
        <v>1</v>
      </c>
      <c r="B68" s="2192" t="s">
        <v>100</v>
      </c>
      <c r="C68" s="2204" t="s">
        <v>97</v>
      </c>
      <c r="D68" s="2200" t="s">
        <v>53</v>
      </c>
      <c r="E68" s="2193" t="s">
        <v>11479</v>
      </c>
      <c r="F68" s="2197" t="s">
        <v>11480</v>
      </c>
      <c r="G68" s="2208" t="s">
        <v>53</v>
      </c>
      <c r="H68" s="2194" t="s">
        <v>11479</v>
      </c>
      <c r="I68" s="2194" t="s">
        <v>11480</v>
      </c>
      <c r="J68" s="2195" t="s">
        <v>11481</v>
      </c>
      <c r="K68" s="2196" t="s">
        <v>11482</v>
      </c>
      <c r="O68" s="66"/>
    </row>
    <row r="69" spans="1:27" s="65" customFormat="1">
      <c r="A69" s="2181" t="s">
        <v>28</v>
      </c>
      <c r="B69" s="2168">
        <f>IFERROR(VLOOKUP(A69,'ИПП 3кв25'!$B$6:$R$17,4,0),"")</f>
        <v>10</v>
      </c>
      <c r="C69" s="2205">
        <f>IFERROR(VLOOKUP(A69,'ИПП 3кв25'!$B$6:$R$17,5,0),"")</f>
        <v>1364138</v>
      </c>
      <c r="D69" s="2167">
        <f>SUMIFS(Июль25[м2],Июль25[КТУ],$A69,Июль25[№ дома],$C$67,Июль25[Комнатность],"&lt;&gt;Офис")</f>
        <v>0</v>
      </c>
      <c r="E69" s="2168">
        <f>SUMIFS(Июль25[Сумма без отделки],Июль25[КТУ],$A69,Июль25[№ дома],$C$67,Июль25[Комнатность],"&lt;&gt;Офис")</f>
        <v>0</v>
      </c>
      <c r="F69" s="2169">
        <f>COUNTIFS(Июль25[КТУ],$A69,Июль25[№ дома],$C$67,Июль25[Комнатность],"&lt;&gt;Офис")</f>
        <v>0</v>
      </c>
      <c r="G69" s="202">
        <f>SUMIFS(РД[S],РД[Дом],$C$67,РД[МОП],A69,РД[Дата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H69" s="203">
        <f>SUMIFS(РД[Стоимость без отделки итог],РД[Дом],$C$67,РД[МОП],A69,РД[Дата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I69" s="226">
        <f>COUNTIFS(РД[Дом],$C$67,РД[МОП],A69,РД[Дата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J69" s="2247">
        <f t="shared" ref="J69:K75" si="0">IFERROR(G69/B69,"")</f>
        <v>0</v>
      </c>
      <c r="K69" s="225">
        <f t="shared" si="0"/>
        <v>0</v>
      </c>
      <c r="O69" s="66"/>
    </row>
    <row r="70" spans="1:27" s="65" customFormat="1">
      <c r="A70" s="2181" t="s">
        <v>8</v>
      </c>
      <c r="B70" s="2168">
        <f>IFERROR(VLOOKUP(A70,'ИПП 3кв25'!$B$6:$R$17,4,0),"")</f>
        <v>7</v>
      </c>
      <c r="C70" s="2205">
        <f>IFERROR(VLOOKUP(A70,'ИПП 3кв25'!$B$6:$R$17,5,0),"")</f>
        <v>977632</v>
      </c>
      <c r="D70" s="2167">
        <f>SUMIFS(Июль25[м2],Июль25[КТУ],$A70,Июль25[№ дома],$C$67,Июль25[Комнатность],"&lt;&gt;Офис")</f>
        <v>0</v>
      </c>
      <c r="E70" s="2168">
        <f>SUMIFS(Июль25[Сумма без отделки],Июль25[КТУ],$A70,Июль25[№ дома],$C$67,Июль25[Комнатность],"&lt;&gt;Офис")</f>
        <v>0</v>
      </c>
      <c r="F70" s="2169">
        <f>COUNTIFS(Июль25[КТУ],$A70,Июль25[№ дома],$C$67,Июль25[Комнатность],"&lt;&gt;Офис")</f>
        <v>0</v>
      </c>
      <c r="G70" s="202">
        <f>SUMIFS(РД[S],РД[Дом],$C$67,РД[МОП],A70,РД[Дата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H70" s="203">
        <f>SUMIFS(РД[Стоимость без отделки итог],РД[Дом],$C$67,РД[МОП],A70,РД[Дата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I70" s="226">
        <f>COUNTIFS(РД[Дом],$C$67,РД[МОП],A70,РД[Дата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J70" s="2247">
        <f t="shared" si="0"/>
        <v>0</v>
      </c>
      <c r="K70" s="225">
        <f t="shared" si="0"/>
        <v>0</v>
      </c>
      <c r="O70" s="66"/>
    </row>
    <row r="71" spans="1:27" s="65" customFormat="1">
      <c r="A71" s="2181" t="s">
        <v>20</v>
      </c>
      <c r="B71" s="2168">
        <f>IFERROR(VLOOKUP(A71,'ИПП 3кв25'!$B$6:$R$17,4,0),"")</f>
        <v>2</v>
      </c>
      <c r="C71" s="2205">
        <f>IFERROR(VLOOKUP(A71,'ИПП 3кв25'!$B$6:$R$17,5,0),"")</f>
        <v>303142</v>
      </c>
      <c r="D71" s="2167">
        <f>SUMIFS(Июль25[м2],Июль25[КТУ],$A71,Июль25[№ дома],$C$67,Июль25[Комнатность],"&lt;&gt;Офис")</f>
        <v>0</v>
      </c>
      <c r="E71" s="2168">
        <f>SUMIFS(Июль25[Сумма без отделки],Июль25[КТУ],$A71,Июль25[№ дома],$C$67,Июль25[Комнатность],"&lt;&gt;Офис")</f>
        <v>0</v>
      </c>
      <c r="F71" s="2169">
        <f>COUNTIFS(Июль25[КТУ],$A71,Июль25[№ дома],$C$67,Июль25[Комнатность],"&lt;&gt;Офис")</f>
        <v>0</v>
      </c>
      <c r="G71" s="202">
        <f>SUMIFS(РД[S],РД[Дом],$C$67,РД[МОП],A71,РД[Дата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H71" s="203">
        <f>SUMIFS(РД[Стоимость без отделки итог],РД[Дом],$C$67,РД[МОП],A71,РД[Дата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I71" s="226">
        <f>COUNTIFS(РД[Дом],$C$67,РД[МОП],A71,РД[Дата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J71" s="2247">
        <f t="shared" si="0"/>
        <v>0</v>
      </c>
      <c r="K71" s="225">
        <f t="shared" si="0"/>
        <v>0</v>
      </c>
      <c r="O71" s="66"/>
    </row>
    <row r="72" spans="1:27" s="65" customFormat="1">
      <c r="A72" s="2181" t="s">
        <v>24</v>
      </c>
      <c r="B72" s="2168">
        <f>IFERROR(VLOOKUP(A72,'ИПП 3кв25'!$B$6:$R$17,4,0),"")</f>
        <v>10</v>
      </c>
      <c r="C72" s="2205">
        <f>IFERROR(VLOOKUP(A72,'ИПП 3кв25'!$B$6:$R$17,5,0),"")</f>
        <v>1364138</v>
      </c>
      <c r="D72" s="2167">
        <f>SUMIFS(Июль25[м2],Июль25[КТУ],$A72,Июль25[№ дома],$C$67,Июль25[Комнатность],"&lt;&gt;Офис")</f>
        <v>0</v>
      </c>
      <c r="E72" s="2168">
        <f>SUMIFS(Июль25[Сумма без отделки],Июль25[КТУ],$A72,Июль25[№ дома],$C$67,Июль25[Комнатность],"&lt;&gt;Офис")</f>
        <v>0</v>
      </c>
      <c r="F72" s="2169">
        <f>COUNTIFS(Июль25[КТУ],$A72,Июль25[№ дома],$C$67,Июль25[Комнатность],"&lt;&gt;Офис")</f>
        <v>0</v>
      </c>
      <c r="G72" s="202">
        <f>SUMIFS(РД[S],РД[Дом],$C$67,РД[МОП],A72,РД[Дата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203">
        <f>SUMIFS(РД[Стоимость без отделки итог],РД[Дом],$C$67,РД[МОП],A72,РД[Дата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6">
        <f>COUNTIFS(РД[Дом],$C$67,РД[МОП],A72,РД[Дата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47">
        <f t="shared" si="0"/>
        <v>0</v>
      </c>
      <c r="K72" s="225">
        <f t="shared" si="0"/>
        <v>0</v>
      </c>
      <c r="O72" s="66"/>
    </row>
    <row r="73" spans="1:27" s="65" customFormat="1">
      <c r="A73" s="2181" t="s">
        <v>14</v>
      </c>
      <c r="B73" s="2168">
        <f>IFERROR(VLOOKUP(A73,'ИПП 3кв25'!$B$6:$R$17,4,0),"")</f>
        <v>5</v>
      </c>
      <c r="C73" s="2205">
        <f>IFERROR(VLOOKUP(A73,'ИПП 3кв25'!$B$6:$R$17,5,0),"")</f>
        <v>682069</v>
      </c>
      <c r="D73" s="2167">
        <f>SUMIFS(Июль25[м2],Июль25[КТУ],$A73,Июль25[№ дома],$C$67,Июль25[Комнатность],"&lt;&gt;Офис")</f>
        <v>0</v>
      </c>
      <c r="E73" s="2168">
        <f>SUMIFS(Июль25[Сумма без отделки],Июль25[КТУ],$A73,Июль25[№ дома],$C$67,Июль25[Комнатность],"&lt;&gt;Офис")</f>
        <v>0</v>
      </c>
      <c r="F73" s="2169">
        <f>COUNTIFS(Июль25[КТУ],$A73,Июль25[№ дома],$C$67,Июль25[Комнатность],"&lt;&gt;Офис")</f>
        <v>0</v>
      </c>
      <c r="G73" s="202">
        <f>SUMIFS(РД[S],РД[Дом],$C$67,РД[МОП],A73,РД[Дата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203">
        <f>SUMIFS(РД[Стоимость без отделки итог],РД[Дом],$C$67,РД[МОП],A73,РД[Дата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6">
        <f>COUNTIFS(РД[Дом],$C$67,РД[МОП],A73,РД[Дата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47">
        <f t="shared" si="0"/>
        <v>0</v>
      </c>
      <c r="K73" s="225">
        <f t="shared" si="0"/>
        <v>0</v>
      </c>
      <c r="O73" s="66"/>
    </row>
    <row r="74" spans="1:27" s="65" customFormat="1">
      <c r="A74" s="2181" t="s">
        <v>1884</v>
      </c>
      <c r="B74" s="2168">
        <f>IFERROR(VLOOKUP(A74,'ИПП 3кв25'!$B$6:$R$17,4,0),"")</f>
        <v>8</v>
      </c>
      <c r="C74" s="2205">
        <f>IFERROR(VLOOKUP(A74,'ИПП 3кв25'!$B$6:$R$17,5,0),"")</f>
        <v>1136782</v>
      </c>
      <c r="D74" s="2167">
        <f>SUMIFS(Июль25[м2],Июль25[КТУ],$A74,Июль25[№ дома],$C$67,Июль25[Комнатность],"&lt;&gt;Офис")</f>
        <v>0</v>
      </c>
      <c r="E74" s="2168">
        <f>SUMIFS(Июль25[Сумма без отделки],Июль25[КТУ],$A74,Июль25[№ дома],$C$67,Июль25[Комнатность],"&lt;&gt;Офис")</f>
        <v>0</v>
      </c>
      <c r="F74" s="2169">
        <f>COUNTIFS(Июль25[КТУ],$A74,Июль25[№ дома],$C$67,Июль25[Комнатность],"&lt;&gt;Офис")</f>
        <v>0</v>
      </c>
      <c r="G74" s="202">
        <f>SUMIFS(РД[S],РД[Дом],$C$67,РД[МОП],A74,РД[Дата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203">
        <f>SUMIFS(РД[Стоимость без отделки итог],РД[Дом],$C$67,РД[МОП],A74,РД[Дата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6">
        <f>COUNTIFS(РД[Дом],$C$67,РД[МОП],A74,РД[Дата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47">
        <f t="shared" si="0"/>
        <v>0</v>
      </c>
      <c r="K74" s="225">
        <f t="shared" si="0"/>
        <v>0</v>
      </c>
      <c r="O74" s="66"/>
    </row>
    <row r="75" spans="1:27" s="65" customFormat="1" ht="13.5" thickBot="1">
      <c r="A75" s="2182" t="s">
        <v>114</v>
      </c>
      <c r="B75" s="2183">
        <f t="shared" ref="B75:I75" si="1">SUM(B69:B74)</f>
        <v>42</v>
      </c>
      <c r="C75" s="2206">
        <f t="shared" si="1"/>
        <v>5827901</v>
      </c>
      <c r="D75" s="2201">
        <f t="shared" si="1"/>
        <v>0</v>
      </c>
      <c r="E75" s="2183">
        <f t="shared" si="1"/>
        <v>0</v>
      </c>
      <c r="F75" s="2198">
        <f t="shared" si="1"/>
        <v>0</v>
      </c>
      <c r="G75" s="2209">
        <f t="shared" si="1"/>
        <v>0</v>
      </c>
      <c r="H75" s="2184">
        <f t="shared" si="1"/>
        <v>0</v>
      </c>
      <c r="I75" s="2185">
        <f t="shared" si="1"/>
        <v>0</v>
      </c>
      <c r="J75" s="2248">
        <f t="shared" si="0"/>
        <v>0</v>
      </c>
      <c r="K75" s="2186">
        <f t="shared" si="0"/>
        <v>0</v>
      </c>
      <c r="O75" s="66"/>
    </row>
    <row r="76" spans="1:27" s="65" customFormat="1">
      <c r="A76" s="2187" t="s">
        <v>115</v>
      </c>
      <c r="B76" s="2188" t="s">
        <v>100</v>
      </c>
      <c r="C76" s="2207" t="s">
        <v>97</v>
      </c>
      <c r="D76" s="2202" t="s">
        <v>53</v>
      </c>
      <c r="E76" s="2189" t="s">
        <v>11479</v>
      </c>
      <c r="F76" s="2199" t="s">
        <v>11480</v>
      </c>
      <c r="G76" s="1358" t="s">
        <v>53</v>
      </c>
      <c r="H76" s="1361" t="s">
        <v>11479</v>
      </c>
      <c r="I76" s="1361" t="s">
        <v>11480</v>
      </c>
      <c r="J76" s="2249" t="s">
        <v>11481</v>
      </c>
      <c r="K76" s="2196" t="s">
        <v>11482</v>
      </c>
      <c r="O76" s="66"/>
    </row>
    <row r="77" spans="1:27" s="65" customFormat="1">
      <c r="A77" s="2181" t="s">
        <v>22</v>
      </c>
      <c r="B77" s="2168">
        <f>IFERROR(VLOOKUP(A77,'ИПП 3кв25'!$B$6:$R$17,4,0),"")</f>
        <v>11.526666666666667</v>
      </c>
      <c r="C77" s="2205">
        <f>IFERROR(VLOOKUP(A77,'ИПП 3кв25'!$B$6:$R$17,5,0),"")</f>
        <v>1599435.0522222221</v>
      </c>
      <c r="D77" s="2167">
        <f>SUMIFS(Июль25[м2],Июль25[ИМ],A77,Июль25[№ дома],$C$67,Июль25[Комнатность],"&lt;&gt;Офис")</f>
        <v>0</v>
      </c>
      <c r="E77" s="2180">
        <f>SUMIFS(Июль25[Сумма без отделки],Июль25[ИМ],$A77,Июль25[№ дома],$C$67,Июль25[Комнатность],"&lt;&gt;Офис")</f>
        <v>0</v>
      </c>
      <c r="F77" s="2169">
        <f>COUNTIFS(Июль25[ИМ],$A77,Июль25[№ дома],$C$67,Июль25[Комнатность],"&lt;&gt;Офис")</f>
        <v>0</v>
      </c>
      <c r="G77" s="202">
        <f>SUMIFS(РД[S],РД[Дом],$C$67,РД[ИМ],A77,РД[Дата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H77" s="203">
        <f>SUMIFS(РД[Стоимость без отделки итог],РД[Дом],$C$67,РД[ИМ],A77,РД[Дата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I77" s="226">
        <f>COUNTIFS(РД[Дом],$C$67,РД[ИМ],A77,РД[Дата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J77" s="2247">
        <f t="shared" ref="J77:K79" si="2">IFERROR(G77/B77,"")</f>
        <v>0</v>
      </c>
      <c r="K77" s="225">
        <f t="shared" si="2"/>
        <v>0</v>
      </c>
      <c r="O77" s="66"/>
    </row>
    <row r="78" spans="1:27" s="65" customFormat="1">
      <c r="A78" s="2181" t="s">
        <v>26</v>
      </c>
      <c r="B78" s="2168">
        <f>IFERROR(VLOOKUP(A78,'ИПП 3кв25'!$B$6:$R$17,4,0),"")</f>
        <v>15.773333333333332</v>
      </c>
      <c r="C78" s="2205">
        <f>IFERROR(VLOOKUP(A78,'ИПП 3кв25'!$B$6:$R$17,5,0),"")</f>
        <v>2188700.5977777774</v>
      </c>
      <c r="D78" s="2167">
        <f>SUMIFS(Июль25[м2],Июль25[ИМ],A78,Июль25[№ дома],$C$67,Июль25[Комнатность],"&lt;&gt;Офис")</f>
        <v>0</v>
      </c>
      <c r="E78" s="2180">
        <f>SUMIFS(Июль25[Сумма без отделки],Июль25[ИМ],$A78,Июль25[№ дома],$C$67,Июль25[Комнатность],"&lt;&gt;Офис")</f>
        <v>0</v>
      </c>
      <c r="F78" s="2169">
        <f>COUNTIFS(Июль25[ИМ],$A78,Июль25[№ дома],$C$67,Июль25[Комнатность],"&lt;&gt;Офис")</f>
        <v>0</v>
      </c>
      <c r="G78" s="202">
        <f>SUMIFS(РД[S],РД[Дом],$C$67,РД[ИМ],A78,РД[Дата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H78" s="203">
        <f>SUMIFS(РД[Стоимость без отделки итог],РД[Дом],$C$67,РД[ИМ],A78,РД[Дата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I78" s="226">
        <f>COUNTIFS(РД[Дом],$C$67,РД[ИМ],A78,РД[Дата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J78" s="2247">
        <f t="shared" si="2"/>
        <v>0</v>
      </c>
      <c r="K78" s="225">
        <f t="shared" si="2"/>
        <v>0</v>
      </c>
      <c r="O78" s="66"/>
    </row>
    <row r="79" spans="1:27" s="65" customFormat="1" ht="13.5" thickBot="1">
      <c r="A79" s="2182" t="s">
        <v>114</v>
      </c>
      <c r="B79" s="2183">
        <f t="shared" ref="B79:I79" si="3">SUM(B77:B78)</f>
        <v>27.299999999999997</v>
      </c>
      <c r="C79" s="2206">
        <f t="shared" si="3"/>
        <v>3788135.6499999994</v>
      </c>
      <c r="D79" s="2201">
        <f t="shared" si="3"/>
        <v>0</v>
      </c>
      <c r="E79" s="2183">
        <f t="shared" si="3"/>
        <v>0</v>
      </c>
      <c r="F79" s="2198">
        <f t="shared" si="3"/>
        <v>0</v>
      </c>
      <c r="G79" s="2209">
        <f t="shared" si="3"/>
        <v>0</v>
      </c>
      <c r="H79" s="2184">
        <f t="shared" si="3"/>
        <v>0</v>
      </c>
      <c r="I79" s="2185">
        <f t="shared" si="3"/>
        <v>0</v>
      </c>
      <c r="J79" s="2248">
        <f t="shared" si="2"/>
        <v>0</v>
      </c>
      <c r="K79" s="2186">
        <f t="shared" si="2"/>
        <v>0</v>
      </c>
      <c r="O79" s="66"/>
    </row>
    <row r="80" spans="1:27" s="65" customFormat="1" ht="13.5" thickBot="1">
      <c r="A80" s="2125"/>
      <c r="B80" s="2166"/>
      <c r="C80" s="2166"/>
      <c r="D80" s="2125"/>
      <c r="E80" s="2125"/>
      <c r="F80" s="2125"/>
      <c r="G80" s="134"/>
      <c r="H80" s="134"/>
      <c r="I80" s="44"/>
      <c r="J80" s="2072"/>
      <c r="K80" s="255"/>
      <c r="L80" s="134"/>
      <c r="P80" s="66"/>
    </row>
    <row r="81" spans="1:16" s="65" customFormat="1" ht="13.5" thickBot="1">
      <c r="A81" s="2418" t="s">
        <v>713</v>
      </c>
      <c r="B81" s="2419"/>
      <c r="C81" s="2203" t="s">
        <v>13</v>
      </c>
      <c r="D81" s="2415" t="s">
        <v>11478</v>
      </c>
      <c r="E81" s="2416"/>
      <c r="F81" s="2417"/>
      <c r="G81" s="2412" t="s">
        <v>1889</v>
      </c>
      <c r="H81" s="2413"/>
      <c r="I81" s="2413"/>
      <c r="J81" s="2413"/>
      <c r="K81" s="2414"/>
      <c r="O81" s="66"/>
    </row>
    <row r="82" spans="1:16" s="65" customFormat="1">
      <c r="A82" s="2191" t="s">
        <v>1</v>
      </c>
      <c r="B82" s="2192" t="s">
        <v>100</v>
      </c>
      <c r="C82" s="2204" t="s">
        <v>97</v>
      </c>
      <c r="D82" s="2200" t="s">
        <v>53</v>
      </c>
      <c r="E82" s="2193" t="s">
        <v>11479</v>
      </c>
      <c r="F82" s="2197" t="s">
        <v>11480</v>
      </c>
      <c r="G82" s="2208" t="s">
        <v>53</v>
      </c>
      <c r="H82" s="2194" t="s">
        <v>11479</v>
      </c>
      <c r="I82" s="2194" t="s">
        <v>11480</v>
      </c>
      <c r="J82" s="2195" t="s">
        <v>11481</v>
      </c>
      <c r="K82" s="2196" t="s">
        <v>11482</v>
      </c>
      <c r="O82" s="66"/>
    </row>
    <row r="83" spans="1:16" s="65" customFormat="1">
      <c r="A83" s="2181" t="s">
        <v>28</v>
      </c>
      <c r="B83" s="2168">
        <f>IFERROR(VLOOKUP(A83,'ИПП 3кв25'!$B$6:$R$17,6,0),"")</f>
        <v>45</v>
      </c>
      <c r="C83" s="2205">
        <f>IFERROR(VLOOKUP(A83,'ИПП 3кв25'!$B$6:$R$17,7,0),"")</f>
        <v>5352121</v>
      </c>
      <c r="D83" s="2167">
        <f>SUMIFS(Июль25[м2],Июль25[КТУ],$A83,Июль25[№ дома],$C$81,Июль25[Комнатность],"&lt;&gt;Офис")</f>
        <v>0</v>
      </c>
      <c r="E83" s="2168">
        <f>SUMIFS(Июль25[Сумма без отделки],Июль25[КТУ],$A83,Июль25[№ дома],$C$81,Июль25[Комнатность],"&lt;&gt;Офис")</f>
        <v>0</v>
      </c>
      <c r="F83" s="2169">
        <f>COUNTIFS(Июль25[КТУ],$A83,Июль25[№ дома],$C$81,Июль25[Комнатность],"&lt;&gt;Офис")</f>
        <v>0</v>
      </c>
      <c r="G83" s="202">
        <f>SUMIFS(РД[S],РД[Дом],$C$81,РД[МОП],A83,РД[Дата подачи на регистрацию],"&lt;="&amp;$A$1,РД[Дата подачи на регистрацию],"&gt;="&amp;DATE(YEAR($A$1),MONTH($A$1),1),РД[Состояние],"Продажа")</f>
        <v>0</v>
      </c>
      <c r="H83" s="2244">
        <f>SUMIFS(РД[Стоимость без отделки итог],РД[Дом],$C$81,РД[МОП],A83,РД[Дата подачи на регистрацию],"&lt;="&amp;$A$1,РД[Дата подачи на регистрацию],"&gt;="&amp;DATE(YEAR($A$1),MONTH($A$1),1),РД[Состояние],"Продажа")</f>
        <v>0</v>
      </c>
      <c r="I83" s="226">
        <f>COUNTIFS(РД[Дом],$C$81,РД[МОП],A83,РД[Дата подачи на регистрацию],"&lt;="&amp;$A$1,РД[Дата подачи на регистрацию],"&gt;="&amp;DATE(YEAR($A$1),MONTH($A$1),1),РД[Состояние],"Продажа")</f>
        <v>0</v>
      </c>
      <c r="J83" s="2247">
        <f t="shared" ref="J83:K88" si="4">IFERROR(G83/B83,)</f>
        <v>0</v>
      </c>
      <c r="K83" s="225">
        <f t="shared" si="4"/>
        <v>0</v>
      </c>
      <c r="O83" s="66"/>
    </row>
    <row r="84" spans="1:16" s="65" customFormat="1">
      <c r="A84" s="2181" t="s">
        <v>8</v>
      </c>
      <c r="B84" s="2168">
        <f>IFERROR(VLOOKUP(A84,'ИПП 3кв25'!$B$6:$R$17,6,0),"")</f>
        <v>33</v>
      </c>
      <c r="C84" s="2205">
        <f>IFERROR(VLOOKUP(A84,'ИПП 3кв25'!$B$6:$R$17,7,0),"")</f>
        <v>3835687</v>
      </c>
      <c r="D84" s="2167">
        <f>SUMIFS(Июль25[м2],Июль25[КТУ],$A84,Июль25[№ дома],$C$81,Июль25[Комнатность],"&lt;&gt;Офис")</f>
        <v>0</v>
      </c>
      <c r="E84" s="2168">
        <f>SUMIFS(Июль25[Сумма без отделки],Июль25[КТУ],$A84,Июль25[№ дома],$C$81,Июль25[Комнатность],"&lt;&gt;Офис")</f>
        <v>0</v>
      </c>
      <c r="F84" s="2169">
        <f>COUNTIFS(Июль25[КТУ],$A84,Июль25[№ дома],$C$81,Июль25[Комнатность],"&lt;&gt;Офис")</f>
        <v>0</v>
      </c>
      <c r="G84" s="202">
        <f>SUMIFS(РД[S],РД[Дом],$C$81,РД[МОП],A84,РД[Дата подачи на регистрацию],"&lt;="&amp;$A$1,РД[Дата подачи на регистрацию],"&gt;="&amp;DATE(YEAR($A$1),MONTH($A$1),1),РД[Состояние],"Продажа")</f>
        <v>0</v>
      </c>
      <c r="H84" s="2244">
        <f>SUMIFS(РД[Стоимость без отделки итог],РД[Дом],$C$81,РД[МОП],A84,РД[Дата подачи на регистрацию],"&lt;="&amp;$A$1,РД[Дата подачи на регистрацию],"&gt;="&amp;DATE(YEAR($A$1),MONTH($A$1),1),РД[Состояние],"Продажа")</f>
        <v>0</v>
      </c>
      <c r="I84" s="226">
        <f>COUNTIFS(РД[Дом],$C$81,РД[МОП],A84,РД[Дата подачи на регистрацию],"&lt;="&amp;$A$1,РД[Дата подачи на регистрацию],"&gt;="&amp;DATE(YEAR($A$1),MONTH($A$1),1),РД[Состояние],"Продажа")</f>
        <v>0</v>
      </c>
      <c r="J84" s="2247">
        <f t="shared" si="4"/>
        <v>0</v>
      </c>
      <c r="K84" s="225">
        <f t="shared" si="4"/>
        <v>0</v>
      </c>
      <c r="O84" s="66"/>
    </row>
    <row r="85" spans="1:16" s="65" customFormat="1">
      <c r="A85" s="2181" t="s">
        <v>20</v>
      </c>
      <c r="B85" s="2168">
        <f>IFERROR(VLOOKUP(A85,'ИПП 3кв25'!$B$6:$R$17,6,0),"")</f>
        <v>10</v>
      </c>
      <c r="C85" s="2205">
        <f>IFERROR(VLOOKUP(A85,'ИПП 3кв25'!$B$6:$R$17,7,0),"")</f>
        <v>1189360</v>
      </c>
      <c r="D85" s="2167">
        <f>SUMIFS(Июль25[м2],Июль25[КТУ],$A85,Июль25[№ дома],$C$81,Июль25[Комнатность],"&lt;&gt;Офис")</f>
        <v>0</v>
      </c>
      <c r="E85" s="2168">
        <f>SUMIFS(Июль25[Сумма без отделки],Июль25[КТУ],$A85,Июль25[№ дома],$C$81,Июль25[Комнатность],"&lt;&gt;Офис")</f>
        <v>0</v>
      </c>
      <c r="F85" s="2169">
        <f>COUNTIFS(Июль25[КТУ],$A85,Июль25[№ дома],$C$81,Июль25[Комнатность],"&lt;&gt;Офис")</f>
        <v>0</v>
      </c>
      <c r="G85" s="202">
        <f>SUMIFS(РД[S],РД[Дом],$C$81,РД[МОП],A85,РД[Дата подачи на регистрацию],"&lt;="&amp;$A$1,РД[Дата подачи на регистрацию],"&gt;="&amp;DATE(YEAR($A$1),MONTH($A$1),1),РД[Состояние],"Продажа")</f>
        <v>0</v>
      </c>
      <c r="H85" s="2244">
        <f>SUMIFS(РД[Стоимость без отделки итог],РД[Дом],$C$81,РД[МОП],A85,РД[Дата подачи на регистрацию],"&lt;="&amp;$A$1,РД[Дата подачи на регистрацию],"&gt;="&amp;DATE(YEAR($A$1),MONTH($A$1),1),РД[Состояние],"Продажа")</f>
        <v>0</v>
      </c>
      <c r="I85" s="226">
        <f>COUNTIFS(РД[Дом],$C$81,РД[МОП],A85,РД[Дата подачи на регистрацию],"&lt;="&amp;$A$1,РД[Дата подачи на регистрацию],"&gt;="&amp;DATE(YEAR($A$1),MONTH($A$1),1),РД[Состояние],"Продажа")</f>
        <v>0</v>
      </c>
      <c r="J85" s="2247">
        <f t="shared" si="4"/>
        <v>0</v>
      </c>
      <c r="K85" s="225">
        <f t="shared" si="4"/>
        <v>0</v>
      </c>
      <c r="O85" s="66"/>
    </row>
    <row r="86" spans="1:16" s="65" customFormat="1">
      <c r="A86" s="2181" t="s">
        <v>24</v>
      </c>
      <c r="B86" s="2168">
        <f>IFERROR(VLOOKUP(A86,'ИПП 3кв25'!$B$6:$R$17,6,0),"")</f>
        <v>45</v>
      </c>
      <c r="C86" s="2205">
        <f>IFERROR(VLOOKUP(A86,'ИПП 3кв25'!$B$6:$R$17,7,0),"")</f>
        <v>5352121</v>
      </c>
      <c r="D86" s="2167">
        <f>SUMIFS(Июль25[м2],Июль25[КТУ],$A86,Июль25[№ дома],$C$81,Июль25[Комнатность],"&lt;&gt;Офис")</f>
        <v>68.5</v>
      </c>
      <c r="E86" s="2168">
        <f>SUMIFS(Июль25[Сумма без отделки],Июль25[КТУ],$A86,Июль25[№ дома],$C$81,Июль25[Комнатность],"&lt;&gt;Офис")</f>
        <v>7671439</v>
      </c>
      <c r="F86" s="2169">
        <f>COUNTIFS(Июль25[КТУ],$A86,Июль25[№ дома],$C$81,Июль25[Комнатность],"&lt;&gt;Офис")</f>
        <v>1</v>
      </c>
      <c r="G86" s="202">
        <f>SUMIFS(РД[S],РД[Дом],$C$81,РД[МОП],A86,РД[Дата подачи на регистрацию],"&lt;="&amp;$A$1,РД[Дата подачи на регистрацию],"&gt;="&amp;DATE(YEAR($A$1),MONTH($A$1),1),РД[Состояние],"Продажа")</f>
        <v>68.3</v>
      </c>
      <c r="H86" s="2244">
        <f>SUMIFS(РД[Стоимость без отделки итог],РД[Дом],$C$81,РД[МОП],A86,РД[Дата подачи на регистрацию],"&lt;="&amp;$A$1,РД[Дата подачи на регистрацию],"&gt;="&amp;DATE(YEAR($A$1),MONTH($A$1),1),РД[Состояние],"Продажа")</f>
        <v>7639256</v>
      </c>
      <c r="I86" s="226">
        <f>COUNTIFS(РД[Дом],$C$81,РД[МОП],A86,РД[Дата подачи на регистрацию],"&lt;="&amp;$A$1,РД[Дата подачи на регистрацию],"&gt;="&amp;DATE(YEAR($A$1),MONTH($A$1),1),РД[Состояние],"Продажа")</f>
        <v>1</v>
      </c>
      <c r="J86" s="2247">
        <f t="shared" si="4"/>
        <v>1.5177777777777777</v>
      </c>
      <c r="K86" s="225">
        <f t="shared" si="4"/>
        <v>1.427332453806631</v>
      </c>
      <c r="O86" s="66"/>
    </row>
    <row r="87" spans="1:16" s="65" customFormat="1">
      <c r="A87" s="2181" t="s">
        <v>14</v>
      </c>
      <c r="B87" s="2168">
        <f>IFERROR(VLOOKUP(A87,'ИПП 3кв25'!$B$6:$R$17,6,0),"")</f>
        <v>23</v>
      </c>
      <c r="C87" s="2205">
        <f>IFERROR(VLOOKUP(A87,'ИПП 3кв25'!$B$6:$R$17,7,0),"")</f>
        <v>2676060</v>
      </c>
      <c r="D87" s="2167">
        <f>SUMIFS(Июль25[м2],Июль25[КТУ],$A87,Июль25[№ дома],$C$81,Июль25[Комнатность],"&lt;&gt;Офис")</f>
        <v>101.2</v>
      </c>
      <c r="E87" s="2168">
        <f>SUMIFS(Июль25[Сумма без отделки],Июль25[КТУ],$A87,Июль25[№ дома],$C$81,Июль25[Комнатность],"&lt;&gt;Офис")</f>
        <v>11887492</v>
      </c>
      <c r="F87" s="2169">
        <f>COUNTIFS(Июль25[КТУ],$A87,Июль25[№ дома],$C$81,Июль25[Комнатность],"&lt;&gt;Офис")</f>
        <v>2</v>
      </c>
      <c r="G87" s="202">
        <f>SUMIFS(РД[S],РД[Дом],$C$81,РД[МОП],A87,РД[Дата подачи на регистрацию],"&lt;="&amp;$A$1,РД[Дата подачи на регистрацию],"&gt;="&amp;DATE(YEAR($A$1),MONTH($A$1),1),РД[Состояние],"Продажа")</f>
        <v>101.2</v>
      </c>
      <c r="H87" s="2244">
        <f>SUMIFS(РД[Стоимость без отделки итог],РД[Дом],$C$81,РД[МОП],A87,РД[Дата подачи на регистрацию],"&lt;="&amp;$A$1,РД[Дата подачи на регистрацию],"&gt;="&amp;DATE(YEAR($A$1),MONTH($A$1),1),РД[Состояние],"Продажа")</f>
        <v>11887592</v>
      </c>
      <c r="I87" s="226">
        <f>COUNTIFS(РД[Дом],$C$81,РД[МОП],A87,РД[Дата подачи на регистрацию],"&lt;="&amp;$A$1,РД[Дата подачи на регистрацию],"&gt;="&amp;DATE(YEAR($A$1),MONTH($A$1),1),РД[Состояние],"Продажа")</f>
        <v>2</v>
      </c>
      <c r="J87" s="2247">
        <f t="shared" si="4"/>
        <v>4.4000000000000004</v>
      </c>
      <c r="K87" s="225">
        <f t="shared" si="4"/>
        <v>4.4421993527798334</v>
      </c>
      <c r="O87" s="66"/>
    </row>
    <row r="88" spans="1:16" s="65" customFormat="1">
      <c r="A88" s="2181" t="s">
        <v>1884</v>
      </c>
      <c r="B88" s="2168">
        <f>IFERROR(VLOOKUP(A88,'ИПП 3кв25'!$B$6:$R$17,6,0),"")</f>
        <v>38</v>
      </c>
      <c r="C88" s="2205">
        <f>IFERROR(VLOOKUP(A88,'ИПП 3кв25'!$B$6:$R$17,7,0),"")</f>
        <v>4460101</v>
      </c>
      <c r="D88" s="2167">
        <f>SUMIFS(Июль25[м2],Июль25[КТУ],$A88,Июль25[№ дома],$C$81,Июль25[Комнатность],"&lt;&gt;Офис")</f>
        <v>24.53</v>
      </c>
      <c r="E88" s="2168">
        <f>SUMIFS(Июль25[Сумма без отделки],Июль25[КТУ],$A88,Июль25[№ дома],$C$81,Июль25[Комнатность],"&lt;&gt;Офис")</f>
        <v>3507790</v>
      </c>
      <c r="F88" s="2169">
        <f>COUNTIFS(Июль25[КТУ],$A88,Июль25[№ дома],$C$81,Июль25[Комнатность],"&lt;&gt;Офис")</f>
        <v>1</v>
      </c>
      <c r="G88" s="202">
        <f>SUMIFS(РД[S],РД[Дом],$C$81,РД[МОП],A88,РД[Дата подачи на регистрацию],"&lt;="&amp;$A$1,РД[Дата подачи на регистрацию],"&gt;="&amp;DATE(YEAR($A$1),MONTH($A$1),1),РД[Состояние],"Продажа")</f>
        <v>24.35</v>
      </c>
      <c r="H88" s="2244">
        <f>SUMIFS(РД[Стоимость без отделки итог],РД[Дом],$C$81,РД[МОП],A88,РД[Дата подачи на регистрацию],"&lt;="&amp;$A$1,РД[Дата подачи на регистрацию],"&gt;="&amp;DATE(YEAR($A$1),MONTH($A$1),1),РД[Состояние],"Продажа")</f>
        <v>3338701.9999999995</v>
      </c>
      <c r="I88" s="226">
        <f>COUNTIFS(РД[Дом],$C$81,РД[МОП],A88,РД[Дата подачи на регистрацию],"&lt;="&amp;$A$1,РД[Дата подачи на регистрацию],"&gt;="&amp;DATE(YEAR($A$1),MONTH($A$1),1),РД[Состояние],"Продажа")</f>
        <v>1</v>
      </c>
      <c r="J88" s="2247">
        <f t="shared" si="4"/>
        <v>0.64078947368421058</v>
      </c>
      <c r="K88" s="225">
        <f t="shared" si="4"/>
        <v>0.74857094043386008</v>
      </c>
      <c r="O88" s="66"/>
    </row>
    <row r="89" spans="1:16" s="65" customFormat="1" ht="13.5" thickBot="1">
      <c r="A89" s="2182" t="s">
        <v>114</v>
      </c>
      <c r="B89" s="2183">
        <f t="shared" ref="B89:I89" si="5">SUM(B83:B88)</f>
        <v>194</v>
      </c>
      <c r="C89" s="2206">
        <f t="shared" si="5"/>
        <v>22865450</v>
      </c>
      <c r="D89" s="2201">
        <f t="shared" si="5"/>
        <v>194.23</v>
      </c>
      <c r="E89" s="2183">
        <f t="shared" si="5"/>
        <v>23066721</v>
      </c>
      <c r="F89" s="2198">
        <f t="shared" si="5"/>
        <v>4</v>
      </c>
      <c r="G89" s="2209">
        <f t="shared" si="5"/>
        <v>193.85</v>
      </c>
      <c r="H89" s="2245">
        <f t="shared" si="5"/>
        <v>22865550</v>
      </c>
      <c r="I89" s="2185">
        <f t="shared" si="5"/>
        <v>4</v>
      </c>
      <c r="J89" s="2248">
        <f t="shared" ref="J89:K89" si="6">IFERROR(G89/B89,"")</f>
        <v>0.99922680412371134</v>
      </c>
      <c r="K89" s="2186">
        <f t="shared" si="6"/>
        <v>1.0000043734105386</v>
      </c>
      <c r="O89" s="66"/>
    </row>
    <row r="90" spans="1:16" s="65" customFormat="1">
      <c r="A90" s="2187" t="s">
        <v>115</v>
      </c>
      <c r="B90" s="2188" t="s">
        <v>100</v>
      </c>
      <c r="C90" s="2207" t="s">
        <v>97</v>
      </c>
      <c r="D90" s="2202" t="s">
        <v>53</v>
      </c>
      <c r="E90" s="2189" t="s">
        <v>11479</v>
      </c>
      <c r="F90" s="2199" t="s">
        <v>11480</v>
      </c>
      <c r="G90" s="1358" t="s">
        <v>53</v>
      </c>
      <c r="H90" s="2246" t="s">
        <v>11479</v>
      </c>
      <c r="I90" s="1361" t="s">
        <v>11480</v>
      </c>
      <c r="J90" s="2249" t="s">
        <v>11481</v>
      </c>
      <c r="K90" s="2196" t="s">
        <v>11482</v>
      </c>
      <c r="O90" s="66"/>
    </row>
    <row r="91" spans="1:16" s="65" customFormat="1">
      <c r="A91" s="2181" t="s">
        <v>22</v>
      </c>
      <c r="B91" s="2168">
        <f>IFERROR(VLOOKUP(A91,'ИПП 3кв25'!$B$6:$R$17,6,0),"")</f>
        <v>53.242222222222225</v>
      </c>
      <c r="C91" s="2205">
        <f>IFERROR(VLOOKUP(A91,'ИПП 3кв25'!$B$6:$R$17,7,0),"")</f>
        <v>6275295.722222222</v>
      </c>
      <c r="D91" s="2167">
        <f>SUMIFS(Июль25[м2],Июль25[ИМ],A91,Июль25[№ дома],$C$81,Июль25[Комнатность],"&lt;&gt;Офис")</f>
        <v>85.98</v>
      </c>
      <c r="E91" s="2180">
        <f>SUMIFS(Июль25[Сумма без отделки],Июль25[ИМ],$A91,Июль25[№ дома],$C$81,Июль25[Комнатность],"&lt;&gt;Офис")</f>
        <v>10505670</v>
      </c>
      <c r="F91" s="2169">
        <f>COUNTIFS(Июль25[ИМ],$A91,Июль25[№ дома],$C$81,Июль25[Комнатность],"&lt;&gt;Офис")</f>
        <v>2</v>
      </c>
      <c r="G91" s="202">
        <f>SUMIFS(РД[S],РД[Дом],$C$81,РД[ИМ],A91,РД[Дата подачи на регистрацию],"&lt;="&amp;$A$1,РД[Дата подачи на регистрацию],"&gt;="&amp;DATE(YEAR($A$1),MONTH($A$1),1),РД[Состояние],"Продажа")</f>
        <v>85.800000000000011</v>
      </c>
      <c r="H91" s="2244">
        <f>SUMIFS(РД[Стоимость без отделки итог],РД[Дом],$C$81,РД[ИМ],A91,РД[Дата подачи на регистрацию],"&lt;="&amp;$A$1,РД[Дата подачи на регистрацию],"&gt;="&amp;DATE(YEAR($A$1),MONTH($A$1),1),РД[Состояние],"Продажа")</f>
        <v>10336682</v>
      </c>
      <c r="I91" s="226">
        <f>COUNTIFS(РД[Дом],$C$81,РД[ИМ],A91,РД[Дата подачи на регистрацию],"&lt;="&amp;$A$1,РД[Дата подачи на регистрацию],"&gt;="&amp;DATE(YEAR($A$1),MONTH($A$1),1),РД[Состояние],"Продажа")</f>
        <v>2</v>
      </c>
      <c r="J91" s="2247">
        <f t="shared" ref="J91:K92" si="7">IFERROR(G91/B91,"")</f>
        <v>1.6115029842647859</v>
      </c>
      <c r="K91" s="225">
        <f t="shared" si="7"/>
        <v>1.6472023722157831</v>
      </c>
      <c r="O91" s="66"/>
    </row>
    <row r="92" spans="1:16" s="65" customFormat="1">
      <c r="A92" s="2181" t="s">
        <v>26</v>
      </c>
      <c r="B92" s="2168">
        <f>IFERROR(VLOOKUP(A92,'ИПП 3кв25'!$B$6:$R$17,6,0),"")</f>
        <v>72.85777777777777</v>
      </c>
      <c r="C92" s="2205">
        <f>IFERROR(VLOOKUP(A92,'ИПП 3кв25'!$B$6:$R$17,7,0),"")</f>
        <v>8587246.7777777761</v>
      </c>
      <c r="D92" s="2167">
        <f>SUMIFS(Июль25[м2],Июль25[ИМ],A92,Июль25[№ дома],$C$81,Июль25[Комнатность],"&lt;&gt;Офис")</f>
        <v>68.5</v>
      </c>
      <c r="E92" s="2180">
        <f>SUMIFS(Июль25[Сумма без отделки],Июль25[ИМ],$A92,Июль25[№ дома],$C$81,Июль25[Комнатность],"&lt;&gt;Офис")</f>
        <v>7671439</v>
      </c>
      <c r="F92" s="2169">
        <f>COUNTIFS(Июль25[ИМ],$A92,Июль25[№ дома],$C$81,Июль25[Комнатность],"&lt;&gt;Офис")</f>
        <v>1</v>
      </c>
      <c r="G92" s="202">
        <f>SUMIFS(РД[S],РД[Дом],$C$81,РД[ИМ],A92,РД[Дата подачи на регистрацию],"&lt;="&amp;$A$1,РД[Дата подачи на регистрацию],"&gt;="&amp;DATE(YEAR($A$1),MONTH($A$1),1),РД[Состояние],"Продажа")</f>
        <v>0</v>
      </c>
      <c r="H92" s="2244">
        <f>SUMIFS(РД[Стоимость без отделки итог],РД[Дом],$C$81,РД[ИМ],A92,РД[Дата подачи на регистрацию],"&lt;="&amp;$A$1,РД[Дата подачи на регистрацию],"&gt;="&amp;DATE(YEAR($A$1),MONTH($A$1),1),РД[Состояние],"Продажа")</f>
        <v>0</v>
      </c>
      <c r="I92" s="226">
        <f>COUNTIFS(РД[Дом],$C$81,РД[ИМ],A92,РД[Дата подачи на регистрацию],"&lt;="&amp;$A$1,РД[Дата подачи на регистрацию],"&gt;="&amp;DATE(YEAR($A$1),MONTH($A$1),1),РД[Состояние],"Продажа")</f>
        <v>0</v>
      </c>
      <c r="J92" s="2247">
        <f t="shared" si="7"/>
        <v>0</v>
      </c>
      <c r="K92" s="225">
        <f t="shared" si="7"/>
        <v>0</v>
      </c>
      <c r="O92" s="66"/>
    </row>
    <row r="93" spans="1:16" s="65" customFormat="1" ht="13.5" thickBot="1">
      <c r="A93" s="2182" t="s">
        <v>114</v>
      </c>
      <c r="B93" s="2183">
        <f t="shared" ref="B93:I93" si="8">SUM(B91:B92)</f>
        <v>126.1</v>
      </c>
      <c r="C93" s="2206">
        <f t="shared" si="8"/>
        <v>14862542.499999998</v>
      </c>
      <c r="D93" s="2201">
        <f t="shared" si="8"/>
        <v>154.48000000000002</v>
      </c>
      <c r="E93" s="2183">
        <f t="shared" si="8"/>
        <v>18177109</v>
      </c>
      <c r="F93" s="2198">
        <f t="shared" si="8"/>
        <v>3</v>
      </c>
      <c r="G93" s="2209">
        <f t="shared" si="8"/>
        <v>85.800000000000011</v>
      </c>
      <c r="H93" s="2245">
        <f t="shared" si="8"/>
        <v>10336682</v>
      </c>
      <c r="I93" s="2185">
        <f t="shared" si="8"/>
        <v>2</v>
      </c>
      <c r="J93" s="2248">
        <f>IFERROR(G93/B93,)</f>
        <v>0.68041237113402075</v>
      </c>
      <c r="K93" s="2186">
        <f>IFERROR(H93/C93,)</f>
        <v>0.69548544604666407</v>
      </c>
      <c r="L93" s="86"/>
      <c r="M93" s="86"/>
      <c r="N93" s="86"/>
      <c r="O93" s="66"/>
    </row>
    <row r="94" spans="1:16" s="65" customFormat="1" ht="13.5" thickBot="1">
      <c r="A94" s="2125"/>
      <c r="B94" s="2166"/>
      <c r="C94" s="2166"/>
      <c r="D94" s="2177"/>
      <c r="E94" s="2125"/>
      <c r="F94" s="2125"/>
      <c r="G94" s="134"/>
      <c r="H94" s="134"/>
      <c r="I94" s="134"/>
      <c r="J94" s="2072"/>
      <c r="K94" s="134"/>
      <c r="L94" s="134"/>
      <c r="P94" s="66"/>
    </row>
    <row r="95" spans="1:16" s="65" customFormat="1" ht="13.5" thickBot="1">
      <c r="A95" s="2418" t="s">
        <v>713</v>
      </c>
      <c r="B95" s="2419"/>
      <c r="C95" s="2203" t="s">
        <v>19</v>
      </c>
      <c r="D95" s="2415" t="s">
        <v>11478</v>
      </c>
      <c r="E95" s="2416"/>
      <c r="F95" s="2417"/>
      <c r="G95" s="2412" t="s">
        <v>1889</v>
      </c>
      <c r="H95" s="2413"/>
      <c r="I95" s="2413"/>
      <c r="J95" s="2413"/>
      <c r="K95" s="2414"/>
      <c r="L95" s="263"/>
      <c r="O95" s="66"/>
    </row>
    <row r="96" spans="1:16" s="65" customFormat="1">
      <c r="A96" s="2191" t="s">
        <v>1</v>
      </c>
      <c r="B96" s="2192" t="s">
        <v>100</v>
      </c>
      <c r="C96" s="2204" t="s">
        <v>97</v>
      </c>
      <c r="D96" s="2200" t="s">
        <v>53</v>
      </c>
      <c r="E96" s="2193" t="s">
        <v>11479</v>
      </c>
      <c r="F96" s="2197" t="s">
        <v>11480</v>
      </c>
      <c r="G96" s="2208" t="s">
        <v>53</v>
      </c>
      <c r="H96" s="2194" t="s">
        <v>11479</v>
      </c>
      <c r="I96" s="2194" t="s">
        <v>11480</v>
      </c>
      <c r="J96" s="2195" t="s">
        <v>11481</v>
      </c>
      <c r="K96" s="2196" t="s">
        <v>11482</v>
      </c>
      <c r="L96" s="134"/>
      <c r="P96" s="66"/>
    </row>
    <row r="97" spans="1:16" s="65" customFormat="1">
      <c r="A97" s="2181" t="s">
        <v>28</v>
      </c>
      <c r="B97" s="2168">
        <f>IFERROR(VLOOKUP(A97,'ИПП 3кв25'!$B$6:$R$17,8,0),"")</f>
        <v>163</v>
      </c>
      <c r="C97" s="2205">
        <f>IFERROR(VLOOKUP(A97,'ИПП 3кв25'!$B$6:$R$17,9,0),"")</f>
        <v>20535768</v>
      </c>
      <c r="D97" s="2167">
        <f>SUMIFS(Июль25[м2],Июль25[КТУ],$A97,Июль25[№ дома],$C$95,Июль25[Комнатность],"&lt;&gt;Офис")</f>
        <v>51.79</v>
      </c>
      <c r="E97" s="2168">
        <f>SUMIFS(Июль25[Сумма без отделки],Июль25[КТУ],$A97,Июль25[№ дома],$C$95,Июль25[Комнатность],"&lt;&gt;Офис")</f>
        <v>6583046</v>
      </c>
      <c r="F97" s="2169">
        <f>COUNTIFS(Июль25[КТУ],$A97,Июль25[№ дома],$C$95,Июль25[Комнатность],"&lt;&gt;Офис")</f>
        <v>1</v>
      </c>
      <c r="G97" s="202">
        <f>SUMIFS(РД[S],РД[Дом],$C$95,РД[МОП],A97,РД[Дата подачи на регистрацию],"&lt;="&amp;$A$1,РД[Дата подачи на регистрацию],"&gt;="&amp;DATE(YEAR($A$1),MONTH($A$1),1),РД[Состояние],"Продажа")</f>
        <v>51.79</v>
      </c>
      <c r="H97" s="2244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регистрацию],"&gt;="&amp;DATE(YEAR($A$1),MONTH($A$1),1),РД[Состояние],"Продажа")</f>
        <v>6598046</v>
      </c>
      <c r="I97" s="226">
        <f>COUNTIFS(РД[Дом],$C$95,РД[МОП],A97,РД[Дата подачи на регистрацию],"&lt;="&amp;$A$1,РД[Дата подачи на регистрацию],"&gt;="&amp;DATE(YEAR($A$1),MONTH($A$1),1),РД[Состояние],"Продажа")</f>
        <v>1</v>
      </c>
      <c r="J97" s="2247">
        <f t="shared" ref="J97:K102" si="9">IFERROR(G97/B97,)</f>
        <v>0.31773006134969323</v>
      </c>
      <c r="K97" s="225">
        <f t="shared" si="9"/>
        <v>0.32129531264669525</v>
      </c>
      <c r="L97" s="134"/>
      <c r="P97" s="66"/>
    </row>
    <row r="98" spans="1:16" s="65" customFormat="1">
      <c r="A98" s="2181" t="s">
        <v>8</v>
      </c>
      <c r="B98" s="2168">
        <f>IFERROR(VLOOKUP(A98,'ИПП 3кв25'!$B$6:$R$17,8,0),"")</f>
        <v>117</v>
      </c>
      <c r="C98" s="2205">
        <f>IFERROR(VLOOKUP(A98,'ИПП 3кв25'!$B$6:$R$17,9,0),"")</f>
        <v>14717300</v>
      </c>
      <c r="D98" s="2167">
        <f>SUMIFS(Июль25[м2],Июль25[КТУ],$A98,Июль25[№ дома],$C$95,Июль25[Комнатность],"&lt;&gt;Офис")</f>
        <v>0</v>
      </c>
      <c r="E98" s="2168">
        <f>SUMIFS(Июль25[Сумма без отделки],Июль25[КТУ],$A98,Июль25[№ дома],$C$95,Июль25[Комнатность],"&lt;&gt;Офис")</f>
        <v>0</v>
      </c>
      <c r="F98" s="2169">
        <f>COUNTIFS(Июль25[КТУ],$A98,Июль25[№ дома],$C$95,Июль25[Комнатность],"&lt;&gt;Офис")</f>
        <v>0</v>
      </c>
      <c r="G98" s="202">
        <f>SUMIFS(РД[S],РД[Дом],$C$95,РД[МОП],A98,РД[Дата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H98" s="2244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I98" s="226">
        <f>COUNTIFS(РД[Дом],$C$95,РД[МОП],A98,РД[Дата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J98" s="2247">
        <f t="shared" si="9"/>
        <v>0</v>
      </c>
      <c r="K98" s="225">
        <f t="shared" si="9"/>
        <v>0</v>
      </c>
      <c r="L98" s="134"/>
      <c r="P98" s="66"/>
    </row>
    <row r="99" spans="1:16" s="65" customFormat="1">
      <c r="A99" s="2181" t="s">
        <v>20</v>
      </c>
      <c r="B99" s="2168">
        <f>IFERROR(VLOOKUP(A99,'ИПП 3кв25'!$B$6:$R$17,8,0),"")</f>
        <v>36</v>
      </c>
      <c r="C99" s="2205">
        <f>IFERROR(VLOOKUP(A99,'ИПП 3кв25'!$B$6:$R$17,9,0),"")</f>
        <v>4563504</v>
      </c>
      <c r="D99" s="2167">
        <f>SUMIFS(Июль25[м2],Июль25[КТУ],$A99,Июль25[№ дома],$C$95,Июль25[Комнатность],"&lt;&gt;Офис")</f>
        <v>0</v>
      </c>
      <c r="E99" s="2168">
        <f>SUMIFS(Июль25[Сумма без отделки],Июль25[КТУ],$A99,Июль25[№ дома],$C$95,Июль25[Комнатность],"&lt;&gt;Офис")</f>
        <v>0</v>
      </c>
      <c r="F99" s="2169">
        <f>COUNTIFS(Июль25[КТУ],$A99,Июль25[№ дома],$C$95,Июль25[Комнатность],"&lt;&gt;Офис")</f>
        <v>0</v>
      </c>
      <c r="G99" s="202">
        <f>SUMIFS(РД[S],РД[Дом],$C$95,РД[МОП],A99,РД[Дата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H99" s="2244">
        <f>SUMIFS(РД[Стоимость без отделки итог],РД[Дом],$C$95,РД[МОП],A99,РД[Дата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I99" s="226">
        <f>COUNTIFS(РД[Дом],$C$95,РД[МОП],A99,РД[Дата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J99" s="2247">
        <f t="shared" si="9"/>
        <v>0</v>
      </c>
      <c r="K99" s="225">
        <f t="shared" si="9"/>
        <v>0</v>
      </c>
      <c r="L99" s="134"/>
      <c r="P99" s="66"/>
    </row>
    <row r="100" spans="1:16" s="65" customFormat="1">
      <c r="A100" s="2181" t="s">
        <v>24</v>
      </c>
      <c r="B100" s="2168">
        <f>IFERROR(VLOOKUP(A100,'ИПП 3кв25'!$B$6:$R$17,8,0),"")</f>
        <v>163</v>
      </c>
      <c r="C100" s="2205">
        <f>IFERROR(VLOOKUP(A100,'ИПП 3кв25'!$B$6:$R$17,9,0),"")</f>
        <v>20535768</v>
      </c>
      <c r="D100" s="2167">
        <f>SUMIFS(Июль25[м2],Июль25[КТУ],$A100,Июль25[№ дома],$C$95,Июль25[Комнатность],"&lt;&gt;Офис")</f>
        <v>0</v>
      </c>
      <c r="E100" s="2168">
        <f>SUMIFS(Июль25[Сумма без отделки],Июль25[КТУ],$A100,Июль25[№ дома],$C$95,Июль25[Комнатность],"&lt;&gt;Офис")</f>
        <v>0</v>
      </c>
      <c r="F100" s="2169">
        <f>COUNTIFS(Июль25[КТУ],$A100,Июль25[№ дома],$C$95,Июль25[Комнатность],"&lt;&gt;Офис")</f>
        <v>0</v>
      </c>
      <c r="G100" s="202">
        <f>SUMIFS(РД[S],РД[Дом],$C$95,РД[МОП],A100,РД[Дата подачи на регистрацию],"&lt;="&amp;$A$1,РД[Дата подачи на регистрацию],"&gt;="&amp;DATE(YEAR($A$1),MONTH($A$1),1),РД[Состояние],"Продажа")</f>
        <v>0</v>
      </c>
      <c r="H100" s="2244">
        <f>SUMIFS(РД[Стоимость без отделки итог],РД[Дом],$C$95,РД[МОП],A100,РД[Дата подачи на регистрацию],"&lt;="&amp;$A$1,РД[Дата подачи на регистрацию],"&gt;="&amp;DATE(YEAR($A$1),MONTH($A$1),1),РД[Состояние],"Продажа")</f>
        <v>0</v>
      </c>
      <c r="I100" s="226">
        <f>COUNTIFS(РД[Дом],$C$95,РД[МОП],A100,РД[Дата подачи на регистрацию],"&lt;="&amp;$A$1,РД[Дата подачи на регистрацию],"&gt;="&amp;DATE(YEAR($A$1),MONTH($A$1),1),РД[Состояние],"Продажа")</f>
        <v>0</v>
      </c>
      <c r="J100" s="2247">
        <f t="shared" si="9"/>
        <v>0</v>
      </c>
      <c r="K100" s="225">
        <f t="shared" si="9"/>
        <v>0</v>
      </c>
      <c r="L100" s="134"/>
      <c r="P100" s="66"/>
    </row>
    <row r="101" spans="1:16" s="65" customFormat="1">
      <c r="A101" s="2181" t="s">
        <v>14</v>
      </c>
      <c r="B101" s="2168">
        <f>IFERROR(VLOOKUP(A101,'ИПП 3кв25'!$B$6:$R$17,8,0),"")</f>
        <v>82</v>
      </c>
      <c r="C101" s="2205">
        <f>IFERROR(VLOOKUP(A101,'ИПП 3кв25'!$B$6:$R$17,9,0),"")</f>
        <v>10267884</v>
      </c>
      <c r="D101" s="2167">
        <f>SUMIFS(Июль25[м2],Июль25[КТУ],$A101,Июль25[№ дома],$C$95,Июль25[Комнатность],"&lt;&gt;Офис")</f>
        <v>100.99000000000001</v>
      </c>
      <c r="E101" s="2168">
        <f>SUMIFS(Июль25[Сумма без отделки],Июль25[КТУ],$A101,Июль25[№ дома],$C$95,Июль25[Комнатность],"&lt;&gt;Офис")</f>
        <v>12929458</v>
      </c>
      <c r="F101" s="2169">
        <f>COUNTIFS(Июль25[КТУ],$A101,Июль25[№ дома],$C$95,Июль25[Комнатность],"&lt;&gt;Офис")</f>
        <v>2</v>
      </c>
      <c r="G101" s="202">
        <f>SUMIFS(РД[S],РД[Дом],$C$95,РД[МОП],A101,РД[Дата подачи на регистрацию],"&lt;="&amp;$A$1,РД[Дата подачи на регистрацию],"&gt;="&amp;DATE(YEAR($A$1),MONTH($A$1),1),РД[Состояние],"Продажа")</f>
        <v>100.99000000000001</v>
      </c>
      <c r="H101" s="2244">
        <f>SUMIFS(РД[Стоимость без отделки итог],РД[Дом],$C$95,РД[МОП],A101,РД[Дата подачи на регистрацию],"&lt;="&amp;$A$1,РД[Дата подачи на регистрацию],"&gt;="&amp;DATE(YEAR($A$1),MONTH($A$1),1),РД[Состояние],"Продажа")</f>
        <v>12929458</v>
      </c>
      <c r="I101" s="226">
        <f>COUNTIFS(РД[Дом],$C$95,РД[МОП],A101,РД[Дата подачи на регистрацию],"&lt;="&amp;$A$1,РД[Дата подачи на регистрацию],"&gt;="&amp;DATE(YEAR($A$1),MONTH($A$1),1),РД[Состояние],"Продажа")</f>
        <v>2</v>
      </c>
      <c r="J101" s="2247">
        <f t="shared" si="9"/>
        <v>1.2315853658536586</v>
      </c>
      <c r="K101" s="225">
        <f t="shared" si="9"/>
        <v>1.259213485465944</v>
      </c>
      <c r="L101" s="134"/>
      <c r="P101" s="66"/>
    </row>
    <row r="102" spans="1:16" s="65" customFormat="1">
      <c r="A102" s="2181" t="s">
        <v>1884</v>
      </c>
      <c r="B102" s="2168">
        <f>IFERROR(VLOOKUP(A102,'ИПП 3кв25'!$B$6:$R$17,8,0),"")</f>
        <v>136</v>
      </c>
      <c r="C102" s="2205">
        <f>IFERROR(VLOOKUP(A102,'ИПП 3кв25'!$B$6:$R$17,9,0),"")</f>
        <v>17113140</v>
      </c>
      <c r="D102" s="2167">
        <f>SUMIFS(Июль25[м2],Июль25[КТУ],$A102,Июль25[№ дома],$C$95,Июль25[Комнатность],"&lt;&gt;Офис")</f>
        <v>0</v>
      </c>
      <c r="E102" s="2168">
        <f>SUMIFS(Июль25[Сумма без отделки],Июль25[КТУ],$A102,Июль25[№ дома],$C$95,Июль25[Комнатность],"&lt;&gt;Офис")</f>
        <v>0</v>
      </c>
      <c r="F102" s="2169">
        <f>COUNTIFS(Июль25[КТУ],$A102,Июль25[№ дома],$C$95,Июль25[Комнатность],"&lt;&gt;Офис")</f>
        <v>0</v>
      </c>
      <c r="G102" s="202">
        <f>SUMIFS(РД[S],РД[Дом],$C$95,РД[МОП],A102,РД[Дата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244">
        <f>SUMIFS(РД[Стоимость без отделки итог],РД[Дом],$C$95,РД[МОП],A102,РД[Дата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7">
        <f t="shared" si="9"/>
        <v>0</v>
      </c>
      <c r="K102" s="225">
        <f t="shared" si="9"/>
        <v>0</v>
      </c>
      <c r="L102" s="134"/>
      <c r="P102" s="66"/>
    </row>
    <row r="103" spans="1:16" s="65" customFormat="1" ht="13.5" thickBot="1">
      <c r="A103" s="2182" t="s">
        <v>114</v>
      </c>
      <c r="B103" s="2183">
        <f t="shared" ref="B103:I103" si="10">SUM(B97:B102)</f>
        <v>697</v>
      </c>
      <c r="C103" s="2206">
        <f t="shared" si="10"/>
        <v>87733364</v>
      </c>
      <c r="D103" s="2201">
        <f t="shared" si="10"/>
        <v>152.78</v>
      </c>
      <c r="E103" s="2183">
        <f t="shared" si="10"/>
        <v>19512504</v>
      </c>
      <c r="F103" s="2198">
        <f t="shared" si="10"/>
        <v>3</v>
      </c>
      <c r="G103" s="2209">
        <f t="shared" si="10"/>
        <v>152.78</v>
      </c>
      <c r="H103" s="2245">
        <f t="shared" si="10"/>
        <v>19527504</v>
      </c>
      <c r="I103" s="2185">
        <f t="shared" si="10"/>
        <v>3</v>
      </c>
      <c r="J103" s="2248">
        <f t="shared" ref="J103:K103" si="11">IFERROR(G103/B103,"")</f>
        <v>0.21919655667144908</v>
      </c>
      <c r="K103" s="2186">
        <f t="shared" si="11"/>
        <v>0.22257785532992899</v>
      </c>
      <c r="L103" s="134"/>
      <c r="P103" s="66"/>
    </row>
    <row r="104" spans="1:16" s="65" customFormat="1">
      <c r="A104" s="2187" t="s">
        <v>115</v>
      </c>
      <c r="B104" s="2188" t="s">
        <v>100</v>
      </c>
      <c r="C104" s="2207" t="s">
        <v>97</v>
      </c>
      <c r="D104" s="2202" t="s">
        <v>53</v>
      </c>
      <c r="E104" s="2189" t="s">
        <v>11479</v>
      </c>
      <c r="F104" s="2199" t="s">
        <v>11480</v>
      </c>
      <c r="G104" s="1358" t="s">
        <v>53</v>
      </c>
      <c r="H104" s="2246" t="s">
        <v>11479</v>
      </c>
      <c r="I104" s="1361" t="s">
        <v>11480</v>
      </c>
      <c r="J104" s="2249" t="s">
        <v>11481</v>
      </c>
      <c r="K104" s="2196" t="s">
        <v>11482</v>
      </c>
      <c r="L104" s="134"/>
      <c r="P104" s="66"/>
    </row>
    <row r="105" spans="1:16" s="65" customFormat="1">
      <c r="A105" s="2181" t="s">
        <v>22</v>
      </c>
      <c r="B105" s="2168">
        <f>IFERROR(VLOOKUP(A105,'ИПП 3кв25'!$B$6:$R$17,8,0),"")</f>
        <v>191.28777777777779</v>
      </c>
      <c r="C105" s="2205">
        <f>IFERROR(VLOOKUP(A105,'ИПП 3кв25'!$B$6:$R$17,9,0),"")</f>
        <v>24077934.342222221</v>
      </c>
      <c r="D105" s="2167">
        <f>SUMIFS(Июль25[м2],Июль25[ИМ],A105,Июль25[№ дома],$C$95,Июль25[Комнатность],"&lt;&gt;Офис")</f>
        <v>0</v>
      </c>
      <c r="E105" s="2180">
        <f>SUMIFS(Июль25[Сумма без отделки],Июль25[ИМ],$A105,Июль25[№ дома],$C$95,Июль25[Комнатность],"&lt;&gt;Офис")</f>
        <v>0</v>
      </c>
      <c r="F105" s="2169">
        <f>COUNTIFS(Июль25[ИМ],$A105,Июль25[№ дома],$C$95,Июль25[Комнатность],"&lt;&gt;Офис")</f>
        <v>0</v>
      </c>
      <c r="G105" s="202">
        <f>SUMIFS(РД[S],РД[Дом],$C$95,РД[ИМ],A105,РД[Дата подачи на регистрацию],"&lt;="&amp;$A$1,РД[Дата подачи на регистрацию],"&gt;="&amp;DATE(YEAR($A$1),MONTH($A$1),1),РД[Состояние],"Продажа")</f>
        <v>0</v>
      </c>
      <c r="H105" s="2244">
        <f>SUMIFS(РД[Стоимость без отделки итог],РД[Дом],$C$95,РД[ИМ],A105,РД[Дата подачи на регистрацию],"&lt;="&amp;$A$1,РД[Дата подачи на регистрацию],"&gt;="&amp;DATE(YEAR($A$1),MONTH($A$1),1),РД[Состояние],"Продажа")</f>
        <v>0</v>
      </c>
      <c r="I105" s="226">
        <f>COUNTIFS(РД[Дом],$C$95,РД[ИМ],A105,РД[Дата подачи на регистрацию],"&lt;="&amp;$A$1,РД[Дата подачи на регистрацию],"&gt;="&amp;DATE(YEAR($A$1),MONTH($A$1),1),РД[Состояние],"Продажа")</f>
        <v>0</v>
      </c>
      <c r="J105" s="2247">
        <f t="shared" ref="J105:K106" si="12">IFERROR(G105/B105,"")</f>
        <v>0</v>
      </c>
      <c r="K105" s="225">
        <f t="shared" si="12"/>
        <v>0</v>
      </c>
      <c r="L105" s="134"/>
      <c r="P105" s="66"/>
    </row>
    <row r="106" spans="1:16" s="65" customFormat="1">
      <c r="A106" s="2181" t="s">
        <v>26</v>
      </c>
      <c r="B106" s="2168">
        <f>IFERROR(VLOOKUP(A106,'ИПП 3кв25'!$B$6:$R$17,8,0),"")</f>
        <v>261.76222222222219</v>
      </c>
      <c r="C106" s="2205">
        <f>IFERROR(VLOOKUP(A106,'ИПП 3кв25'!$B$6:$R$17,9,0),"")</f>
        <v>32948752.257777777</v>
      </c>
      <c r="D106" s="2167">
        <f>SUMIFS(Июль25[м2],Июль25[ИМ],A106,Июль25[№ дома],$C$95,Июль25[Комнатность],"&lt;&gt;Офис")</f>
        <v>152.78</v>
      </c>
      <c r="E106" s="2180">
        <f>SUMIFS(Июль25[Сумма без отделки],Июль25[ИМ],$A106,Июль25[№ дома],$C$95,Июль25[Комнатность],"&lt;&gt;Офис")</f>
        <v>19512504</v>
      </c>
      <c r="F106" s="2169">
        <f>COUNTIFS(Июль25[ИМ],$A106,Июль25[№ дома],$C$95,Июль25[Комнатность],"&lt;&gt;Офис")</f>
        <v>3</v>
      </c>
      <c r="G106" s="202">
        <f>SUMIFS(РД[S],РД[Дом],$C$95,РД[ИМ],A106,РД[Дата подачи на регистрацию],"&lt;="&amp;$A$1,РД[Дата подачи на регистрацию],"&gt;="&amp;DATE(YEAR($A$1),MONTH($A$1),1),РД[Состояние],"Продажа")</f>
        <v>100.99000000000001</v>
      </c>
      <c r="H106" s="2244">
        <f>SUMIFS(РД[Стоимость без отделки итог],РД[Дом],$C$95,РД[ИМ],A106,РД[Дата подачи на регистрацию],"&lt;="&amp;$A$1,РД[Дата подачи на регистрацию],"&gt;="&amp;DATE(YEAR($A$1),MONTH($A$1),1),РД[Состояние],"Продажа")</f>
        <v>12866126</v>
      </c>
      <c r="I106" s="226">
        <f>COUNTIFS(РД[Дом],$C$95,РД[ИМ],A106,РД[Дата подачи на регистрацию],"&lt;="&amp;$A$1,РД[Дата подачи на регистрацию],"&gt;="&amp;DATE(YEAR($A$1),MONTH($A$1),1),РД[Состояние],"Продажа")</f>
        <v>2</v>
      </c>
      <c r="J106" s="2247">
        <f t="shared" si="12"/>
        <v>0.38580815498374277</v>
      </c>
      <c r="K106" s="225">
        <f t="shared" si="12"/>
        <v>0.39048902062635354</v>
      </c>
      <c r="L106" s="134"/>
      <c r="P106" s="66"/>
    </row>
    <row r="107" spans="1:16" s="65" customFormat="1" ht="13.5" thickBot="1">
      <c r="A107" s="2182" t="s">
        <v>114</v>
      </c>
      <c r="B107" s="2183">
        <f t="shared" ref="B107:I107" si="13">SUM(B105:B106)</f>
        <v>453.04999999999995</v>
      </c>
      <c r="C107" s="2206">
        <f t="shared" si="13"/>
        <v>57026686.599999994</v>
      </c>
      <c r="D107" s="2201">
        <f t="shared" si="13"/>
        <v>152.78</v>
      </c>
      <c r="E107" s="2183">
        <f t="shared" si="13"/>
        <v>19512504</v>
      </c>
      <c r="F107" s="2198">
        <f t="shared" si="13"/>
        <v>3</v>
      </c>
      <c r="G107" s="2209">
        <f t="shared" si="13"/>
        <v>100.99000000000001</v>
      </c>
      <c r="H107" s="2245">
        <f t="shared" si="13"/>
        <v>12866126</v>
      </c>
      <c r="I107" s="2185">
        <f t="shared" si="13"/>
        <v>2</v>
      </c>
      <c r="J107" s="2248">
        <f>IFERROR(G107/B107,)</f>
        <v>0.22291137843505135</v>
      </c>
      <c r="K107" s="2186">
        <f>IFERROR(H107/C107,)</f>
        <v>0.22561587858411541</v>
      </c>
      <c r="L107" s="134"/>
      <c r="P107" s="66"/>
    </row>
    <row r="108" spans="1:16" s="65" customFormat="1" ht="13.5" thickBot="1">
      <c r="A108" s="2125"/>
      <c r="B108" s="2166"/>
      <c r="C108" s="2166"/>
      <c r="D108" s="2166"/>
      <c r="E108" s="2166"/>
      <c r="F108" s="2166"/>
      <c r="G108" s="197"/>
      <c r="H108" s="197"/>
      <c r="I108" s="215"/>
      <c r="J108" s="2082"/>
      <c r="K108" s="256"/>
      <c r="L108" s="134"/>
      <c r="P108" s="66"/>
    </row>
    <row r="109" spans="1:16" s="65" customFormat="1" ht="13.5" thickBot="1">
      <c r="A109" s="2418" t="s">
        <v>713</v>
      </c>
      <c r="B109" s="2419"/>
      <c r="C109" s="2203" t="s">
        <v>23</v>
      </c>
      <c r="D109" s="2415" t="s">
        <v>11478</v>
      </c>
      <c r="E109" s="2416"/>
      <c r="F109" s="2417"/>
      <c r="G109" s="2412" t="s">
        <v>1889</v>
      </c>
      <c r="H109" s="2413"/>
      <c r="I109" s="2413"/>
      <c r="J109" s="2413"/>
      <c r="K109" s="2414"/>
      <c r="L109" s="134"/>
      <c r="P109" s="66"/>
    </row>
    <row r="110" spans="1:16" s="65" customFormat="1">
      <c r="A110" s="2191" t="s">
        <v>1</v>
      </c>
      <c r="B110" s="2192" t="s">
        <v>100</v>
      </c>
      <c r="C110" s="2204" t="s">
        <v>97</v>
      </c>
      <c r="D110" s="2200" t="s">
        <v>53</v>
      </c>
      <c r="E110" s="2193" t="s">
        <v>11479</v>
      </c>
      <c r="F110" s="2197" t="s">
        <v>11480</v>
      </c>
      <c r="G110" s="2208" t="s">
        <v>53</v>
      </c>
      <c r="H110" s="2194" t="s">
        <v>11479</v>
      </c>
      <c r="I110" s="2194" t="s">
        <v>11480</v>
      </c>
      <c r="J110" s="2195" t="s">
        <v>11481</v>
      </c>
      <c r="K110" s="2196" t="s">
        <v>11482</v>
      </c>
      <c r="L110" s="134"/>
      <c r="P110" s="66"/>
    </row>
    <row r="111" spans="1:16" s="65" customFormat="1">
      <c r="A111" s="2181" t="s">
        <v>28</v>
      </c>
      <c r="B111" s="2168">
        <f>IFERROR(VLOOKUP(A111,'ИПП 3кв25'!$B$6:$R$17,10,0),"")</f>
        <v>128</v>
      </c>
      <c r="C111" s="2205">
        <f>IFERROR(VLOOKUP(A111,'ИПП 3кв25'!$B$6:$R$17,11,0),"")</f>
        <v>15831439</v>
      </c>
      <c r="D111" s="2167">
        <f>SUMIFS(Июль25[м2],Июль25[КТУ],$A111,Июль25[№ дома],$C$109,Июль25[Комнатность],"&lt;&gt;Офис")</f>
        <v>0</v>
      </c>
      <c r="E111" s="2168">
        <f>SUMIFS(Июль25[Сумма без отделки],Июль25[КТУ],$A111,Июль25[№ дома],$C$109,Июль25[Комнатность],"&lt;&gt;Офис")</f>
        <v>0</v>
      </c>
      <c r="F111" s="2169">
        <f>COUNTIFS(Июль25[КТУ],$A111,Июль25[№ дома],$C$109,Июль25[Комнатность],"&lt;&gt;Офис")</f>
        <v>0</v>
      </c>
      <c r="G111" s="202">
        <f>SUMIFS(РД[S],РД[Дом],$C$109,РД[МОП],A111,РД[Дата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H111" s="2244">
        <f>SUMIFS(РД[Стоимость без отделки итог],РД[Дом],$C$109,РД[МОП],A111,РД[Дата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226">
        <f>COUNTIFS(РД[Дом],$C$109,РД[МОП],A111,РД[Дата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247">
        <f t="shared" ref="J111:K116" si="14">IFERROR(G111/B111,)</f>
        <v>0</v>
      </c>
      <c r="K111" s="225">
        <f t="shared" si="14"/>
        <v>0</v>
      </c>
      <c r="L111" s="134"/>
      <c r="P111" s="66"/>
    </row>
    <row r="112" spans="1:16" s="65" customFormat="1">
      <c r="A112" s="2181" t="s">
        <v>8</v>
      </c>
      <c r="B112" s="2168">
        <f>IFERROR(VLOOKUP(A112,'ИПП 3кв25'!$B$6:$R$17,10,0),"")</f>
        <v>92</v>
      </c>
      <c r="C112" s="2205">
        <f>IFERROR(VLOOKUP(A112,'ИПП 3кв25'!$B$6:$R$17,11,0),"")</f>
        <v>11345865</v>
      </c>
      <c r="D112" s="2167">
        <f>SUMIFS(Июль25[м2],Июль25[КТУ],$A112,Июль25[№ дома],$C$109,Июль25[Комнатность],"&lt;&gt;Офис")</f>
        <v>90.16</v>
      </c>
      <c r="E112" s="2168">
        <f>SUMIFS(Июль25[Сумма без отделки],Июль25[КТУ],$A112,Июль25[№ дома],$C$109,Июль25[Комнатность],"&lt;&gt;Офис")</f>
        <v>11238836</v>
      </c>
      <c r="F112" s="2169">
        <f>COUNTIFS(Июль25[КТУ],$A112,Июль25[№ дома],$C$109,Июль25[Комнатность],"&lt;&gt;Офис")</f>
        <v>2</v>
      </c>
      <c r="G112" s="202">
        <f>SUMIFS(РД[S],РД[Дом],$C$109,РД[МОП],A112,РД[Дата подачи на регистрацию],"&lt;="&amp;$A$1,РД[Дата подачи на регистрацию],"&gt;="&amp;DATE(YEAR($A$1),MONTH($A$1),1),РД[Состояние],"Продажа")</f>
        <v>90.16</v>
      </c>
      <c r="H112" s="2244">
        <f>SUMIFS(РД[Стоимость без отделки итог],РД[Дом],$C$109,РД[МОП],A112,РД[Дата подачи на регистрацию],"&lt;="&amp;$A$1,РД[Дата подачи на регистрацию],"&gt;="&amp;DATE(YEAR($A$1),MONTH($A$1),1),РД[Состояние],"Продажа")</f>
        <v>11238836</v>
      </c>
      <c r="I112" s="226">
        <f>COUNTIFS(РД[Дом],$C$109,РД[МОП],A112,РД[Дата подачи на регистрацию],"&lt;="&amp;$A$1,РД[Дата подачи на регистрацию],"&gt;="&amp;DATE(YEAR($A$1),MONTH($A$1),1),РД[Состояние],"Продажа")</f>
        <v>2</v>
      </c>
      <c r="J112" s="2247">
        <f t="shared" si="14"/>
        <v>0.98</v>
      </c>
      <c r="K112" s="225">
        <f t="shared" si="14"/>
        <v>0.99056669544367049</v>
      </c>
      <c r="L112" s="134"/>
      <c r="P112" s="66"/>
    </row>
    <row r="113" spans="1:16" s="65" customFormat="1">
      <c r="A113" s="2181" t="s">
        <v>20</v>
      </c>
      <c r="B113" s="2168">
        <f>IFERROR(VLOOKUP(A113,'ИПП 3кв25'!$B$6:$R$17,10,0),"")</f>
        <v>28</v>
      </c>
      <c r="C113" s="2205">
        <f>IFERROR(VLOOKUP(A113,'ИПП 3кв25'!$B$6:$R$17,11,0),"")</f>
        <v>3518098</v>
      </c>
      <c r="D113" s="2167">
        <f>SUMIFS(Июль25[м2],Июль25[КТУ],$A113,Июль25[№ дома],$C$109,Июль25[Комнатность],"&lt;&gt;Офис")</f>
        <v>0</v>
      </c>
      <c r="E113" s="2168">
        <f>SUMIFS(Июль25[Сумма без отделки],Июль25[КТУ],$A113,Июль25[№ дома],$C$109,Июль25[Комнатность],"&lt;&gt;Офис")</f>
        <v>0</v>
      </c>
      <c r="F113" s="2169">
        <f>COUNTIFS(Июль25[КТУ],$A113,Июль25[№ дома],$C$109,Июль25[Комнатность],"&lt;&gt;Офис")</f>
        <v>0</v>
      </c>
      <c r="G113" s="202">
        <f>SUMIFS(РД[S],РД[Дом],$C$109,РД[МОП],A113,РД[Дата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H113" s="2244">
        <f>SUMIFS(РД[Стоимость без отделки итог],РД[Дом],$C$109,РД[МОП],A113,РД[Дата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I113" s="226">
        <f>COUNTIFS(РД[Дом],$C$109,РД[МОП],A113,РД[Дата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J113" s="2247">
        <f t="shared" si="14"/>
        <v>0</v>
      </c>
      <c r="K113" s="225">
        <f t="shared" si="14"/>
        <v>0</v>
      </c>
      <c r="L113" s="134"/>
      <c r="P113" s="66"/>
    </row>
    <row r="114" spans="1:16" s="65" customFormat="1">
      <c r="A114" s="2181" t="s">
        <v>24</v>
      </c>
      <c r="B114" s="2168">
        <f>IFERROR(VLOOKUP(A114,'ИПП 3кв25'!$B$6:$R$17,10,0),"")</f>
        <v>128</v>
      </c>
      <c r="C114" s="2205">
        <f>IFERROR(VLOOKUP(A114,'ИПП 3кв25'!$B$6:$R$17,11,0),"")</f>
        <v>15831439</v>
      </c>
      <c r="D114" s="2167">
        <f>SUMIFS(Июль25[м2],Июль25[КТУ],$A114,Июль25[№ дома],$C$109,Июль25[Комнатность],"&lt;&gt;Офис")</f>
        <v>36.39</v>
      </c>
      <c r="E114" s="2168">
        <f>SUMIFS(Июль25[Сумма без отделки],Июль25[КТУ],$A114,Июль25[№ дома],$C$109,Июль25[Комнатность],"&lt;&gt;Офис")</f>
        <v>4534556</v>
      </c>
      <c r="F114" s="2169">
        <f>COUNTIFS(Июль25[КТУ],$A114,Июль25[№ дома],$C$109,Июль25[Комнатность],"&lt;&gt;Офис")</f>
        <v>1</v>
      </c>
      <c r="G114" s="202">
        <f>SUMIFS(РД[S],РД[Дом],$C$109,РД[МОП],A114,РД[Дата подачи на регистрацию],"&lt;="&amp;$A$1,РД[Дата подачи на регистрацию],"&gt;="&amp;DATE(YEAR($A$1),MONTH($A$1),1),РД[Состояние],"Продажа")</f>
        <v>36.39</v>
      </c>
      <c r="H114" s="2244">
        <f>SUMIFS(РД[Стоимость без отделки итог],РД[Дом],$C$109,РД[МОП],A114,РД[Дата подачи на регистрацию],"&lt;="&amp;$A$1,РД[Дата подачи на регистрацию],"&gt;="&amp;DATE(YEAR($A$1),MONTH($A$1),1),РД[Состояние],"Продажа")</f>
        <v>4534556</v>
      </c>
      <c r="I114" s="226">
        <f>COUNTIFS(РД[Дом],$C$109,РД[МОП],A114,РД[Дата подачи на регистрацию],"&lt;="&amp;$A$1,РД[Дата подачи на регистрацию],"&gt;="&amp;DATE(YEAR($A$1),MONTH($A$1),1),РД[Состояние],"Продажа")</f>
        <v>1</v>
      </c>
      <c r="J114" s="2247">
        <f t="shared" si="14"/>
        <v>0.284296875</v>
      </c>
      <c r="K114" s="225">
        <f t="shared" si="14"/>
        <v>0.28642727928901474</v>
      </c>
      <c r="L114" s="134"/>
      <c r="P114" s="66"/>
    </row>
    <row r="115" spans="1:16" s="65" customFormat="1">
      <c r="A115" s="2181" t="s">
        <v>14</v>
      </c>
      <c r="B115" s="2168">
        <f>IFERROR(VLOOKUP(A115,'ИПП 3кв25'!$B$6:$R$17,10,0),"")</f>
        <v>64</v>
      </c>
      <c r="C115" s="2205">
        <f>IFERROR(VLOOKUP(A115,'ИПП 3кв25'!$B$6:$R$17,11,0),"")</f>
        <v>7915719</v>
      </c>
      <c r="D115" s="2167">
        <f>SUMIFS(Июль25[м2],Июль25[КТУ],$A115,Июль25[№ дома],$C$109,Июль25[Комнатность],"&lt;&gt;Офис")</f>
        <v>54.69</v>
      </c>
      <c r="E115" s="2168">
        <f>SUMIFS(Июль25[Сумма без отделки],Июль25[КТУ],$A115,Июль25[№ дома],$C$109,Июль25[Комнатность],"&lt;&gt;Офис")</f>
        <v>6653100</v>
      </c>
      <c r="F115" s="2169">
        <f>COUNTIFS(Июль25[КТУ],$A115,Июль25[№ дома],$C$109,Июль25[Комнатность],"&lt;&gt;Офис")</f>
        <v>1</v>
      </c>
      <c r="G115" s="202">
        <f>SUMIFS(РД[S],РД[Дом],$C$109,РД[МОП],A115,РД[Дата подачи на регистрацию],"&lt;="&amp;$A$1,РД[Дата подачи на регистрацию],"&gt;="&amp;DATE(YEAR($A$1),MONTH($A$1),1),РД[Состояние],"Продажа")</f>
        <v>54.69</v>
      </c>
      <c r="H115" s="2244">
        <f>SUMIFS(РД[Стоимость без отделки итог],РД[Дом],$C$109,РД[МОП],A115,РД[Дата подачи на регистрацию],"&lt;="&amp;$A$1,РД[Дата подачи на регистрацию],"&gt;="&amp;DATE(YEAR($A$1),MONTH($A$1),1),РД[Состояние],"Продажа")</f>
        <v>6520038</v>
      </c>
      <c r="I115" s="226">
        <f>COUNTIFS(РД[Дом],$C$109,РД[МОП],A115,РД[Дата подачи на регистрацию],"&lt;="&amp;$A$1,РД[Дата подачи на регистрацию],"&gt;="&amp;DATE(YEAR($A$1),MONTH($A$1),1),РД[Состояние],"Продажа")</f>
        <v>1</v>
      </c>
      <c r="J115" s="2247">
        <f t="shared" si="14"/>
        <v>0.85453124999999996</v>
      </c>
      <c r="K115" s="225">
        <f t="shared" si="14"/>
        <v>0.82368234648046501</v>
      </c>
      <c r="L115" s="134"/>
      <c r="P115" s="66"/>
    </row>
    <row r="116" spans="1:16" s="65" customFormat="1">
      <c r="A116" s="2181" t="s">
        <v>1884</v>
      </c>
      <c r="B116" s="2168">
        <f>IFERROR(VLOOKUP(A116,'ИПП 3кв25'!$B$6:$R$17,10,0),"")</f>
        <v>107</v>
      </c>
      <c r="C116" s="2205">
        <f>IFERROR(VLOOKUP(A116,'ИПП 3кв25'!$B$6:$R$17,11,0),"")</f>
        <v>13192866</v>
      </c>
      <c r="D116" s="2167">
        <f>SUMIFS(Июль25[м2],Июль25[КТУ],$A116,Июль25[№ дома],$C$109,Июль25[Комнатность],"&lt;&gt;Офис")</f>
        <v>73.180000000000007</v>
      </c>
      <c r="E116" s="2168">
        <f>SUMIFS(Июль25[Сумма без отделки],Июль25[КТУ],$A116,Июль25[№ дома],$C$109,Июль25[Комнатность],"&lt;&gt;Офис")</f>
        <v>9349200</v>
      </c>
      <c r="F116" s="2169">
        <f>COUNTIFS(Июль25[КТУ],$A116,Июль25[№ дома],$C$109,Июль25[Комнатность],"&lt;&gt;Офис")</f>
        <v>2</v>
      </c>
      <c r="G116" s="202">
        <f>SUMIFS(РД[S],РД[Дом],$C$109,РД[МОП],A116,РД[Дата подачи на регистрацию],"&lt;="&amp;$A$1,РД[Дата подачи на регистрацию],"&gt;="&amp;DATE(YEAR($A$1),MONTH($A$1),1),РД[Состояние],"Продажа")</f>
        <v>73.180000000000007</v>
      </c>
      <c r="H116" s="2244">
        <f>SUMIFS(РД[Стоимость без отделки итог],РД[Дом],$C$109,РД[МОП],A116,РД[Дата подачи на регистрацию],"&lt;="&amp;$A$1,РД[Дата подачи на регистрацию],"&gt;="&amp;DATE(YEAR($A$1),MONTH($A$1),1),РД[Состояние],"Продажа")</f>
        <v>9349200</v>
      </c>
      <c r="I116" s="226">
        <f>COUNTIFS(РД[Дом],$C$109,РД[МОП],A116,РД[Дата подачи на регистрацию],"&lt;="&amp;$A$1,РД[Дата подачи на регистрацию],"&gt;="&amp;DATE(YEAR($A$1),MONTH($A$1),1),РД[Состояние],"Продажа")</f>
        <v>2</v>
      </c>
      <c r="J116" s="2247">
        <f t="shared" si="14"/>
        <v>0.68392523364485991</v>
      </c>
      <c r="K116" s="225">
        <f t="shared" si="14"/>
        <v>0.70865572347964423</v>
      </c>
      <c r="L116" s="134"/>
      <c r="P116" s="66"/>
    </row>
    <row r="117" spans="1:16" s="65" customFormat="1" ht="13.5" thickBot="1">
      <c r="A117" s="2182" t="s">
        <v>114</v>
      </c>
      <c r="B117" s="2183">
        <f t="shared" ref="B117:I117" si="15">SUM(B111:B116)</f>
        <v>547</v>
      </c>
      <c r="C117" s="2206">
        <f t="shared" si="15"/>
        <v>67635426</v>
      </c>
      <c r="D117" s="2201">
        <f t="shared" si="15"/>
        <v>254.42000000000002</v>
      </c>
      <c r="E117" s="2183">
        <f t="shared" si="15"/>
        <v>31775692</v>
      </c>
      <c r="F117" s="2198">
        <f t="shared" si="15"/>
        <v>6</v>
      </c>
      <c r="G117" s="2209">
        <f t="shared" si="15"/>
        <v>254.42000000000002</v>
      </c>
      <c r="H117" s="2245">
        <f t="shared" si="15"/>
        <v>31642630</v>
      </c>
      <c r="I117" s="2185">
        <f t="shared" si="15"/>
        <v>6</v>
      </c>
      <c r="J117" s="2248">
        <f t="shared" ref="J117:K117" si="16">IFERROR(G117/B117,"")</f>
        <v>0.4651188299817185</v>
      </c>
      <c r="K117" s="2186">
        <f t="shared" si="16"/>
        <v>0.46784106896879751</v>
      </c>
      <c r="L117" s="134"/>
      <c r="P117" s="66"/>
    </row>
    <row r="118" spans="1:16" s="65" customFormat="1">
      <c r="A118" s="2187" t="s">
        <v>115</v>
      </c>
      <c r="B118" s="2188" t="s">
        <v>100</v>
      </c>
      <c r="C118" s="2207" t="s">
        <v>97</v>
      </c>
      <c r="D118" s="2202" t="s">
        <v>53</v>
      </c>
      <c r="E118" s="2189" t="s">
        <v>11479</v>
      </c>
      <c r="F118" s="2199" t="s">
        <v>11480</v>
      </c>
      <c r="G118" s="1358" t="s">
        <v>53</v>
      </c>
      <c r="H118" s="2246" t="s">
        <v>11479</v>
      </c>
      <c r="I118" s="1361" t="s">
        <v>11480</v>
      </c>
      <c r="J118" s="2249" t="s">
        <v>11481</v>
      </c>
      <c r="K118" s="2196" t="s">
        <v>11482</v>
      </c>
      <c r="L118" s="134"/>
      <c r="P118" s="66"/>
    </row>
    <row r="119" spans="1:16" s="65" customFormat="1">
      <c r="A119" s="2181" t="s">
        <v>22</v>
      </c>
      <c r="B119" s="2168">
        <f>IFERROR(VLOOKUP(A119,'ИПП 3кв25'!$B$6:$R$17,10,0),"")</f>
        <v>150.12111111111111</v>
      </c>
      <c r="C119" s="2205">
        <f>IFERROR(VLOOKUP(A119,'ИПП 3кв25'!$B$6:$R$17,11,0),"")</f>
        <v>18562166.913333334</v>
      </c>
      <c r="D119" s="2167">
        <f>SUMIFS(Июль25[м2],Июль25[ИМ],A119,Июль25[№ дома],$C$109,Июль25[Комнатность],"&lt;&gt;Офис")</f>
        <v>81.81</v>
      </c>
      <c r="E119" s="2180">
        <f>SUMIFS(Июль25[Сумма без отделки],Июль25[ИМ],$A119,Июль25[№ дома],$C$109,Июль25[Комнатность],"&lt;&gt;Офис")</f>
        <v>10379572</v>
      </c>
      <c r="F119" s="2169">
        <f>COUNTIFS(Июль25[ИМ],$A119,Июль25[№ дома],$C$109,Июль25[Комнатность],"&lt;&gt;Офис")</f>
        <v>2</v>
      </c>
      <c r="G119" s="202">
        <f>SUMIFS(РД[S],РД[Дом],$C$109,РД[ИМ],A119,РД[Дата подачи на регистрацию],"&lt;="&amp;$A$1,РД[Дата подачи на регистрацию],"&gt;="&amp;DATE(YEAR($A$1),MONTH($A$1),1),РД[Состояние],"Продажа")</f>
        <v>36.549999999999997</v>
      </c>
      <c r="H119" s="2244">
        <f>SUMIFS(РД[Стоимость без отделки итог],РД[Дом],$C$109,РД[ИМ],A119,РД[Дата подачи на регистрацию],"&lt;="&amp;$A$1,РД[Дата подачи на регистрацию],"&gt;="&amp;DATE(YEAR($A$1),MONTH($A$1),1),РД[Состояние],"Продажа")</f>
        <v>4737712</v>
      </c>
      <c r="I119" s="226">
        <f>COUNTIFS(РД[Дом],$C$109,РД[ИМ],A119,РД[Дата подачи на регистрацию],"&lt;="&amp;$A$1,РД[Дата подачи на регистрацию],"&gt;="&amp;DATE(YEAR($A$1),MONTH($A$1),1),РД[Состояние],"Продажа")</f>
        <v>1</v>
      </c>
      <c r="J119" s="2247">
        <f t="shared" ref="J119:K120" si="17">IFERROR(G119/B119,"")</f>
        <v>0.24347008711484799</v>
      </c>
      <c r="K119" s="225">
        <f t="shared" si="17"/>
        <v>0.25523485604457463</v>
      </c>
      <c r="L119" s="134"/>
      <c r="P119" s="66"/>
    </row>
    <row r="120" spans="1:16" s="65" customFormat="1">
      <c r="A120" s="2181" t="s">
        <v>26</v>
      </c>
      <c r="B120" s="2168">
        <f>IFERROR(VLOOKUP(A120,'ИПП 3кв25'!$B$6:$R$17,10,0),"")</f>
        <v>205.42888888888888</v>
      </c>
      <c r="C120" s="2205">
        <f>IFERROR(VLOOKUP(A120,'ИПП 3кв25'!$B$6:$R$17,11,0),"")</f>
        <v>25400859.986666664</v>
      </c>
      <c r="D120" s="2167">
        <f>SUMIFS(Июль25[м2],Июль25[ИМ],A120,Июль25[№ дома],$C$109,Июль25[Комнатность],"&lt;&gt;Офис")</f>
        <v>117.92</v>
      </c>
      <c r="E120" s="2180">
        <f>SUMIFS(Июль25[Сумма без отделки],Июль25[ИМ],$A120,Июль25[№ дома],$C$109,Июль25[Комнатность],"&lt;&gt;Офис")</f>
        <v>14743020</v>
      </c>
      <c r="F120" s="2169">
        <f>COUNTIFS(Июль25[ИМ],$A120,Июль25[№ дома],$C$109,Июль25[Комнатность],"&lt;&gt;Офис")</f>
        <v>3</v>
      </c>
      <c r="G120" s="202">
        <f>SUMIFS(РД[S],РД[Дом],$C$109,РД[ИМ],A120,РД[Дата подачи на регистрацию],"&lt;="&amp;$A$1,РД[Дата подачи на регистрацию],"&gt;="&amp;DATE(YEAR($A$1),MONTH($A$1),1),РД[Состояние],"Продажа")</f>
        <v>73.02000000000001</v>
      </c>
      <c r="H120" s="2244">
        <f>SUMIFS(РД[Стоимость без отделки итог],РД[Дом],$C$109,РД[ИМ],A120,РД[Дата подачи на регистрацию],"&lt;="&amp;$A$1,РД[Дата подачи на регистрацию],"&gt;="&amp;DATE(YEAR($A$1),MONTH($A$1),1),РД[Состояние],"Продажа")</f>
        <v>9146044</v>
      </c>
      <c r="I120" s="226">
        <f>COUNTIFS(РД[Дом],$C$109,РД[ИМ],A120,РД[Дата подачи на регистрацию],"&lt;="&amp;$A$1,РД[Дата подачи на регистрацию],"&gt;="&amp;DATE(YEAR($A$1),MONTH($A$1),1),РД[Состояние],"Продажа")</f>
        <v>2</v>
      </c>
      <c r="J120" s="2247">
        <f t="shared" si="17"/>
        <v>0.35545146739071654</v>
      </c>
      <c r="K120" s="225">
        <f t="shared" si="17"/>
        <v>0.36006828134169122</v>
      </c>
      <c r="L120" s="134"/>
      <c r="P120" s="66"/>
    </row>
    <row r="121" spans="1:16" s="65" customFormat="1" ht="13.5" thickBot="1">
      <c r="A121" s="2182" t="s">
        <v>114</v>
      </c>
      <c r="B121" s="2183">
        <f t="shared" ref="B121:I121" si="18">SUM(B119:B120)</f>
        <v>355.54999999999995</v>
      </c>
      <c r="C121" s="2206">
        <f t="shared" si="18"/>
        <v>43963026.899999999</v>
      </c>
      <c r="D121" s="2201">
        <f t="shared" si="18"/>
        <v>199.73000000000002</v>
      </c>
      <c r="E121" s="2183">
        <f t="shared" si="18"/>
        <v>25122592</v>
      </c>
      <c r="F121" s="2198">
        <f t="shared" si="18"/>
        <v>5</v>
      </c>
      <c r="G121" s="2209">
        <f t="shared" si="18"/>
        <v>109.57000000000001</v>
      </c>
      <c r="H121" s="2245">
        <f t="shared" si="18"/>
        <v>13883756</v>
      </c>
      <c r="I121" s="2185">
        <f t="shared" si="18"/>
        <v>3</v>
      </c>
      <c r="J121" s="2248">
        <f>IFERROR(G121/B121,)</f>
        <v>0.30817044016312761</v>
      </c>
      <c r="K121" s="2186">
        <f>IFERROR(H121/C121,)</f>
        <v>0.31580527954957532</v>
      </c>
      <c r="L121" s="134"/>
      <c r="P121" s="66"/>
    </row>
    <row r="122" spans="1:16" s="65" customFormat="1" ht="13.5" thickBot="1">
      <c r="A122" s="2125"/>
      <c r="B122" s="2166"/>
      <c r="C122" s="2166"/>
      <c r="D122" s="2166"/>
      <c r="E122" s="2166"/>
      <c r="F122" s="2166"/>
      <c r="G122" s="197"/>
      <c r="H122" s="197"/>
      <c r="I122" s="215"/>
      <c r="J122" s="2082"/>
      <c r="K122" s="256"/>
      <c r="L122" s="134"/>
      <c r="P122" s="66"/>
    </row>
    <row r="123" spans="1:16" s="65" customFormat="1" ht="13.5" thickBot="1">
      <c r="A123" s="2418" t="s">
        <v>713</v>
      </c>
      <c r="B123" s="2419"/>
      <c r="C123" s="2203" t="s">
        <v>11473</v>
      </c>
      <c r="D123" s="2415" t="s">
        <v>11478</v>
      </c>
      <c r="E123" s="2416"/>
      <c r="F123" s="2417"/>
      <c r="G123" s="2412" t="s">
        <v>1889</v>
      </c>
      <c r="H123" s="2413"/>
      <c r="I123" s="2413"/>
      <c r="J123" s="2413"/>
      <c r="K123" s="2414"/>
      <c r="L123" s="134"/>
      <c r="P123" s="66"/>
    </row>
    <row r="124" spans="1:16" s="65" customFormat="1">
      <c r="A124" s="2191" t="s">
        <v>1</v>
      </c>
      <c r="B124" s="2192" t="s">
        <v>100</v>
      </c>
      <c r="C124" s="2204" t="s">
        <v>97</v>
      </c>
      <c r="D124" s="2200" t="s">
        <v>53</v>
      </c>
      <c r="E124" s="2193" t="s">
        <v>11479</v>
      </c>
      <c r="F124" s="2197" t="s">
        <v>11480</v>
      </c>
      <c r="G124" s="2208" t="s">
        <v>53</v>
      </c>
      <c r="H124" s="2194" t="s">
        <v>11479</v>
      </c>
      <c r="I124" s="2194" t="s">
        <v>11480</v>
      </c>
      <c r="J124" s="2195" t="s">
        <v>11481</v>
      </c>
      <c r="K124" s="2196" t="s">
        <v>11482</v>
      </c>
      <c r="L124" s="134"/>
      <c r="P124" s="66"/>
    </row>
    <row r="125" spans="1:16" s="65" customFormat="1">
      <c r="A125" s="2181" t="s">
        <v>28</v>
      </c>
      <c r="B125" s="2168">
        <f>IFERROR(VLOOKUP(A125,'ИПП 3кв25'!$B$6:$R$17,12,0),"")</f>
        <v>0</v>
      </c>
      <c r="C125" s="2205">
        <f>IFERROR(VLOOKUP(A125,'ИПП 3кв25'!$B$6:$R$17,13,0),"")</f>
        <v>0</v>
      </c>
      <c r="D125" s="2167">
        <f>SUMIFS(Июль25[м2],Июль25[КТУ],$A125,Июль25[№ дома],$C$123,Июль25[Комнатность],"&lt;&gt;Офис")</f>
        <v>0</v>
      </c>
      <c r="E125" s="2168">
        <f>SUMIFS(Июль25[Сумма без отделки],Июль25[КТУ],$A125,Июль25[№ дома],$C$123,Июль25[Комнатность],"&lt;&gt;Офис")</f>
        <v>0</v>
      </c>
      <c r="F125" s="2169">
        <f>COUNTIFS(Июль25[КТУ],$A125,Июль25[№ дома],$C$123,Июль25[Комнатность],"&lt;&gt;Офис")</f>
        <v>0</v>
      </c>
      <c r="G125" s="202">
        <f>SUMIFS(РД[S],РД[Дом],$C$123,РД[МОП],A125,РД[Дата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2244">
        <f>SUMIFS(РД[Стоимость без отделки итог],РД[Дом],$C$123,РД[МОП],A125,РД[Дата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6">
        <f>COUNTIFS(РД[Дом],$C$123,РД[МОП],A125,РД[Дата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47">
        <f t="shared" ref="J125:J130" si="19">IFERROR(G125/B125,)</f>
        <v>0</v>
      </c>
      <c r="K125" s="225">
        <f t="shared" ref="K125:K130" si="20">IFERROR(H125/C125,)</f>
        <v>0</v>
      </c>
      <c r="L125" s="134"/>
      <c r="P125" s="66"/>
    </row>
    <row r="126" spans="1:16" s="65" customFormat="1">
      <c r="A126" s="2181" t="s">
        <v>8</v>
      </c>
      <c r="B126" s="2168">
        <f>IFERROR(VLOOKUP(A126,'ИПП 3кв25'!$B$6:$R$17,12,0),"")</f>
        <v>0</v>
      </c>
      <c r="C126" s="2205">
        <f>IFERROR(VLOOKUP(A126,'ИПП 3кв25'!$B$6:$R$17,13,0),"")</f>
        <v>0</v>
      </c>
      <c r="D126" s="2167">
        <f>SUMIFS(Июль25[м2],Июль25[КТУ],$A126,Июль25[№ дома],$C$123,Июль25[Комнатность],"&lt;&gt;Офис")</f>
        <v>0</v>
      </c>
      <c r="E126" s="2168">
        <f>SUMIFS(Июль25[Сумма без отделки],Июль25[КТУ],$A126,Июль25[№ дома],$C$123,Июль25[Комнатность],"&lt;&gt;Офис")</f>
        <v>0</v>
      </c>
      <c r="F126" s="2169">
        <f>COUNTIFS(Июль25[КТУ],$A126,Июль25[№ дома],$C$123,Июль25[Комнатность],"&lt;&gt;Офис")</f>
        <v>0</v>
      </c>
      <c r="G126" s="202">
        <f>SUMIFS(РД[S],РД[Дом],$C$123,РД[МОП],A126,РД[Дата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2244">
        <f>SUMIFS(РД[Стоимость без отделки итог],РД[Дом],$C$123,РД[МОП],A126,РД[Дата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26">
        <f>COUNTIFS(РД[Дом],$C$123,РД[МОП],A126,РД[Дата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247">
        <f t="shared" si="19"/>
        <v>0</v>
      </c>
      <c r="K126" s="225">
        <f t="shared" si="20"/>
        <v>0</v>
      </c>
      <c r="L126" s="134"/>
      <c r="P126" s="66"/>
    </row>
    <row r="127" spans="1:16" s="65" customFormat="1">
      <c r="A127" s="2181" t="s">
        <v>20</v>
      </c>
      <c r="B127" s="2168">
        <f>IFERROR(VLOOKUP(A127,'ИПП 3кв25'!$B$6:$R$17,12,0),"")</f>
        <v>0</v>
      </c>
      <c r="C127" s="2205">
        <f>IFERROR(VLOOKUP(A127,'ИПП 3кв25'!$B$6:$R$17,13,0),"")</f>
        <v>0</v>
      </c>
      <c r="D127" s="2167">
        <f>SUMIFS(Июль25[м2],Июль25[КТУ],$A127,Июль25[№ дома],$C$123,Июль25[Комнатность],"&lt;&gt;Офис")</f>
        <v>0</v>
      </c>
      <c r="E127" s="2168">
        <f>SUMIFS(Июль25[Сумма без отделки],Июль25[КТУ],$A127,Июль25[№ дома],$C$123,Июль25[Комнатность],"&lt;&gt;Офис")</f>
        <v>0</v>
      </c>
      <c r="F127" s="2169">
        <f>COUNTIFS(Июль25[КТУ],$A127,Июль25[№ дома],$C$123,Июль25[Комнатность],"&lt;&gt;Офис")</f>
        <v>0</v>
      </c>
      <c r="G127" s="202">
        <f>SUMIFS(РД[S],РД[Дом],$C$123,РД[МОП],A127,РД[Дата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H127" s="2244">
        <f>SUMIFS(РД[Стоимость без отделки итог],РД[Дом],$C$123,РД[МОП],A127,РД[Дата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I127" s="226">
        <f>COUNTIFS(РД[Дом],$C$123,РД[МОП],A127,РД[Дата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J127" s="2247">
        <f t="shared" si="19"/>
        <v>0</v>
      </c>
      <c r="K127" s="225">
        <f t="shared" si="20"/>
        <v>0</v>
      </c>
      <c r="L127" s="134"/>
      <c r="P127" s="66"/>
    </row>
    <row r="128" spans="1:16" s="65" customFormat="1">
      <c r="A128" s="2181" t="s">
        <v>24</v>
      </c>
      <c r="B128" s="2168">
        <f>IFERROR(VLOOKUP(A128,'ИПП 3кв25'!$B$6:$R$17,12,0),"")</f>
        <v>0</v>
      </c>
      <c r="C128" s="2205">
        <f>IFERROR(VLOOKUP(A128,'ИПП 3кв25'!$B$6:$R$17,13,0),"")</f>
        <v>0</v>
      </c>
      <c r="D128" s="2167">
        <f>SUMIFS(Июль25[м2],Июль25[КТУ],$A128,Июль25[№ дома],$C$123,Июль25[Комнатность],"&lt;&gt;Офис")</f>
        <v>0</v>
      </c>
      <c r="E128" s="2168">
        <f>SUMIFS(Июль25[Сумма без отделки],Июль25[КТУ],$A128,Июль25[№ дома],$C$123,Июль25[Комнатность],"&lt;&gt;Офис")</f>
        <v>0</v>
      </c>
      <c r="F128" s="2169">
        <f>COUNTIFS(Июль25[КТУ],$A128,Июль25[№ дома],$C$123,Июль25[Комнатность],"&lt;&gt;Офис")</f>
        <v>0</v>
      </c>
      <c r="G128" s="202">
        <f>SUMIFS(РД[S],РД[Дом],$C$123,РД[МОП],A128,РД[Дата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H128" s="2244">
        <f>SUMIFS(РД[Стоимость без отделки итог],РД[Дом],$C$123,РД[МОП],A128,РД[Дата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I128" s="226">
        <f>COUNTIFS(РД[Дом],$C$123,РД[МОП],A128,РД[Дата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J128" s="2247">
        <f t="shared" si="19"/>
        <v>0</v>
      </c>
      <c r="K128" s="225">
        <f t="shared" si="20"/>
        <v>0</v>
      </c>
      <c r="L128" s="134"/>
      <c r="P128" s="66"/>
    </row>
    <row r="129" spans="1:16" s="65" customFormat="1">
      <c r="A129" s="2181" t="s">
        <v>14</v>
      </c>
      <c r="B129" s="2168">
        <f>IFERROR(VLOOKUP(A129,'ИПП 3кв25'!$B$6:$R$17,12,0),"")</f>
        <v>0</v>
      </c>
      <c r="C129" s="2205">
        <f>IFERROR(VLOOKUP(A129,'ИПП 3кв25'!$B$6:$R$17,13,0),"")</f>
        <v>0</v>
      </c>
      <c r="D129" s="2167">
        <f>SUMIFS(Июль25[м2],Июль25[КТУ],$A129,Июль25[№ дома],$C$123,Июль25[Комнатность],"&lt;&gt;Офис")</f>
        <v>0</v>
      </c>
      <c r="E129" s="2168">
        <f>SUMIFS(Июль25[Сумма без отделки],Июль25[КТУ],$A129,Июль25[№ дома],$C$123,Июль25[Комнатность],"&lt;&gt;Офис")</f>
        <v>0</v>
      </c>
      <c r="F129" s="2169">
        <f>COUNTIFS(Июль25[КТУ],$A129,Июль25[№ дома],$C$123,Июль25[Комнатность],"&lt;&gt;Офис")</f>
        <v>0</v>
      </c>
      <c r="G129" s="202">
        <f>SUMIFS(РД[S],РД[Дом],$C$123,РД[МОП],A129,РД[Дата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H129" s="2244">
        <f>SUMIFS(РД[Стоимость без отделки итог],РД[Дом],$C$123,РД[МОП],A129,РД[Дата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I129" s="226">
        <f>COUNTIFS(РД[Дом],$C$123,РД[МОП],A129,РД[Дата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J129" s="2247">
        <f t="shared" si="19"/>
        <v>0</v>
      </c>
      <c r="K129" s="225">
        <f t="shared" si="20"/>
        <v>0</v>
      </c>
      <c r="L129" s="134"/>
      <c r="P129" s="66"/>
    </row>
    <row r="130" spans="1:16" s="65" customFormat="1">
      <c r="A130" s="2181" t="s">
        <v>1884</v>
      </c>
      <c r="B130" s="2168">
        <f>IFERROR(VLOOKUP(A130,'ИПП 3кв25'!$B$6:$R$17,12,0),"")</f>
        <v>0</v>
      </c>
      <c r="C130" s="2205">
        <f>IFERROR(VLOOKUP(A130,'ИПП 3кв25'!$B$6:$R$17,13,0),"")</f>
        <v>0</v>
      </c>
      <c r="D130" s="2167">
        <f>SUMIFS(Июль25[м2],Июль25[КТУ],$A130,Июль25[№ дома],$C$123,Июль25[Комнатность],"&lt;&gt;Офис")</f>
        <v>0</v>
      </c>
      <c r="E130" s="2168">
        <f>SUMIFS(Июль25[Сумма без отделки],Июль25[КТУ],$A130,Июль25[№ дома],$C$123,Июль25[Комнатность],"&lt;&gt;Офис")</f>
        <v>0</v>
      </c>
      <c r="F130" s="2169">
        <f>COUNTIFS(Июль25[КТУ],$A130,Июль25[№ дома],$C$123,Июль25[Комнатность],"&lt;&gt;Офис")</f>
        <v>0</v>
      </c>
      <c r="G130" s="202">
        <f>SUMIFS(РД[S],РД[Дом],$C$123,РД[МОП],A130,РД[Дата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H130" s="2244">
        <f>SUMIFS(РД[Стоимость без отделки итог],РД[Дом],$C$123,РД[МОП],A130,РД[Дата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I130" s="226">
        <f>COUNTIFS(РД[Дом],$C$123,РД[МОП],A130,РД[Дата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J130" s="2247">
        <f t="shared" si="19"/>
        <v>0</v>
      </c>
      <c r="K130" s="225">
        <f t="shared" si="20"/>
        <v>0</v>
      </c>
      <c r="L130" s="134"/>
      <c r="P130" s="66"/>
    </row>
    <row r="131" spans="1:16" s="65" customFormat="1" ht="13.5" thickBot="1">
      <c r="A131" s="2182" t="s">
        <v>114</v>
      </c>
      <c r="B131" s="2183">
        <f t="shared" ref="B131:I131" si="21">SUM(B125:B130)</f>
        <v>0</v>
      </c>
      <c r="C131" s="2206">
        <f t="shared" si="21"/>
        <v>0</v>
      </c>
      <c r="D131" s="2201">
        <f t="shared" si="21"/>
        <v>0</v>
      </c>
      <c r="E131" s="2183">
        <f t="shared" si="21"/>
        <v>0</v>
      </c>
      <c r="F131" s="2198">
        <f t="shared" si="21"/>
        <v>0</v>
      </c>
      <c r="G131" s="2209">
        <f t="shared" si="21"/>
        <v>0</v>
      </c>
      <c r="H131" s="2245">
        <f t="shared" si="21"/>
        <v>0</v>
      </c>
      <c r="I131" s="2185">
        <f t="shared" si="21"/>
        <v>0</v>
      </c>
      <c r="J131" s="2248" t="str">
        <f t="shared" ref="J131" si="22">IFERROR(G131/B131,"")</f>
        <v/>
      </c>
      <c r="K131" s="2186" t="str">
        <f t="shared" ref="K131" si="23">IFERROR(H131/C131,"")</f>
        <v/>
      </c>
      <c r="L131" s="134"/>
      <c r="P131" s="66"/>
    </row>
    <row r="132" spans="1:16" s="65" customFormat="1">
      <c r="A132" s="2187" t="s">
        <v>115</v>
      </c>
      <c r="B132" s="2188" t="s">
        <v>100</v>
      </c>
      <c r="C132" s="2207" t="s">
        <v>97</v>
      </c>
      <c r="D132" s="2202" t="s">
        <v>53</v>
      </c>
      <c r="E132" s="2189" t="s">
        <v>11479</v>
      </c>
      <c r="F132" s="2199" t="s">
        <v>11480</v>
      </c>
      <c r="G132" s="1358" t="s">
        <v>53</v>
      </c>
      <c r="H132" s="2246" t="s">
        <v>11479</v>
      </c>
      <c r="I132" s="1361" t="s">
        <v>11480</v>
      </c>
      <c r="J132" s="2249" t="s">
        <v>11481</v>
      </c>
      <c r="K132" s="2196" t="s">
        <v>11482</v>
      </c>
      <c r="L132" s="134"/>
      <c r="P132" s="66"/>
    </row>
    <row r="133" spans="1:16" s="65" customFormat="1">
      <c r="A133" s="2181" t="s">
        <v>22</v>
      </c>
      <c r="B133" s="2168">
        <f>IFERROR(VLOOKUP(A133,'ИПП 3кв25'!$B$6:$R$17,12,0),"")</f>
        <v>0</v>
      </c>
      <c r="C133" s="2205">
        <f>IFERROR(VLOOKUP(A133,'ИПП 3кв25'!$B$6:$R$17,13,0),"")</f>
        <v>0</v>
      </c>
      <c r="D133" s="2167">
        <f>SUMIFS(Июль25[м2],Июль25[ИМ],A133,Июль25[№ дома],$C$123,Июль25[Комнатность],"&lt;&gt;Офис")</f>
        <v>0</v>
      </c>
      <c r="E133" s="2180">
        <f>SUMIFS(Июль25[Сумма без отделки],Июль25[ИМ],$A133,Июль25[№ дома],$C$123,Июль25[Комнатность],"&lt;&gt;Офис")</f>
        <v>0</v>
      </c>
      <c r="F133" s="2169">
        <f>COUNTIFS(Июль25[ИМ],$A133,Июль25[№ дома],$C$123,Июль25[Комнатность],"&lt;&gt;Офис")</f>
        <v>0</v>
      </c>
      <c r="G133" s="202">
        <f>SUMIFS(РД[S],РД[Дом],$C$123,РД[ИМ],A133,РД[Дата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H133" s="2244">
        <f>SUMIFS(РД[Стоимость без отделки итог],РД[Дом],$C$123,РД[ИМ],A133,РД[Дата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I133" s="226">
        <f>COUNTIFS(РД[Дом],$C$123,РД[ИМ],A133,РД[Дата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J133" s="2247" t="str">
        <f t="shared" ref="J133:J134" si="24">IFERROR(G133/B133,"")</f>
        <v/>
      </c>
      <c r="K133" s="225" t="str">
        <f t="shared" ref="K133:K134" si="25">IFERROR(H133/C133,"")</f>
        <v/>
      </c>
      <c r="L133" s="134"/>
      <c r="P133" s="66"/>
    </row>
    <row r="134" spans="1:16" s="65" customFormat="1">
      <c r="A134" s="2181" t="s">
        <v>26</v>
      </c>
      <c r="B134" s="2168">
        <f>IFERROR(VLOOKUP(A134,'ИПП 3кв25'!$B$6:$R$17,12,0),"")</f>
        <v>0</v>
      </c>
      <c r="C134" s="2205">
        <f>IFERROR(VLOOKUP(A134,'ИПП 3кв25'!$B$6:$R$17,13,0),"")</f>
        <v>0</v>
      </c>
      <c r="D134" s="2167">
        <f>SUMIFS(Июль25[м2],Июль25[ИМ],A134,Июль25[№ дома],$C$123,Июль25[Комнатность],"&lt;&gt;Офис")</f>
        <v>0</v>
      </c>
      <c r="E134" s="2180">
        <f>SUMIFS(Июль25[Сумма без отделки],Июль25[ИМ],$A134,Июль25[№ дома],$C$123,Июль25[Комнатность],"&lt;&gt;Офис")</f>
        <v>0</v>
      </c>
      <c r="F134" s="2169">
        <f>COUNTIFS(Июль25[ИМ],$A134,Июль25[№ дома],$C$123,Июль25[Комнатность],"&lt;&gt;Офис")</f>
        <v>0</v>
      </c>
      <c r="G134" s="202">
        <f>SUMIFS(РД[S],РД[Дом],$C$123,РД[ИМ],A134,РД[Дата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H134" s="2244">
        <f>SUMIFS(РД[Стоимость без отделки итог],РД[Дом],$C$123,РД[ИМ],A134,РД[Дата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I134" s="226">
        <f>COUNTIFS(РД[Дом],$C$123,РД[ИМ],A134,РД[Дата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J134" s="2247" t="str">
        <f t="shared" si="24"/>
        <v/>
      </c>
      <c r="K134" s="225" t="str">
        <f t="shared" si="25"/>
        <v/>
      </c>
      <c r="L134" s="134"/>
      <c r="P134" s="66"/>
    </row>
    <row r="135" spans="1:16" s="65" customFormat="1" ht="13.5" thickBot="1">
      <c r="A135" s="2182" t="s">
        <v>114</v>
      </c>
      <c r="B135" s="2183">
        <f t="shared" ref="B135:I135" si="26">SUM(B133:B134)</f>
        <v>0</v>
      </c>
      <c r="C135" s="2206">
        <f t="shared" si="26"/>
        <v>0</v>
      </c>
      <c r="D135" s="2201">
        <f t="shared" si="26"/>
        <v>0</v>
      </c>
      <c r="E135" s="2183">
        <f t="shared" si="26"/>
        <v>0</v>
      </c>
      <c r="F135" s="2198">
        <f t="shared" si="26"/>
        <v>0</v>
      </c>
      <c r="G135" s="2209">
        <f t="shared" si="26"/>
        <v>0</v>
      </c>
      <c r="H135" s="2245">
        <f t="shared" si="26"/>
        <v>0</v>
      </c>
      <c r="I135" s="2185">
        <f t="shared" si="26"/>
        <v>0</v>
      </c>
      <c r="J135" s="2248">
        <f>IFERROR(G135/B135,)</f>
        <v>0</v>
      </c>
      <c r="K135" s="2186">
        <f>IFERROR(H135/C135,)</f>
        <v>0</v>
      </c>
      <c r="L135" s="134"/>
      <c r="P135" s="66"/>
    </row>
    <row r="136" spans="1:16" s="65" customFormat="1" ht="13.5" thickBot="1">
      <c r="A136" s="2125"/>
      <c r="B136" s="2166"/>
      <c r="C136" s="2166"/>
      <c r="D136" s="2166"/>
      <c r="E136" s="2166"/>
      <c r="F136" s="2166"/>
      <c r="G136" s="197"/>
      <c r="H136" s="197"/>
      <c r="I136" s="215"/>
      <c r="J136" s="2082"/>
      <c r="K136" s="256"/>
      <c r="L136" s="134"/>
      <c r="P136" s="66"/>
    </row>
    <row r="137" spans="1:16" s="65" customFormat="1" ht="13.5" thickBot="1">
      <c r="A137" s="2418" t="s">
        <v>713</v>
      </c>
      <c r="B137" s="2419"/>
      <c r="C137" s="2203" t="s">
        <v>11474</v>
      </c>
      <c r="D137" s="2415" t="s">
        <v>11478</v>
      </c>
      <c r="E137" s="2416"/>
      <c r="F137" s="2417"/>
      <c r="G137" s="2412" t="s">
        <v>1889</v>
      </c>
      <c r="H137" s="2413"/>
      <c r="I137" s="2413"/>
      <c r="J137" s="2413"/>
      <c r="K137" s="2414"/>
      <c r="L137" s="134"/>
      <c r="P137" s="66"/>
    </row>
    <row r="138" spans="1:16" s="65" customFormat="1">
      <c r="A138" s="2191" t="s">
        <v>1</v>
      </c>
      <c r="B138" s="2192" t="s">
        <v>100</v>
      </c>
      <c r="C138" s="2204" t="s">
        <v>97</v>
      </c>
      <c r="D138" s="2200" t="s">
        <v>53</v>
      </c>
      <c r="E138" s="2193" t="s">
        <v>11479</v>
      </c>
      <c r="F138" s="2197" t="s">
        <v>11480</v>
      </c>
      <c r="G138" s="2208" t="s">
        <v>53</v>
      </c>
      <c r="H138" s="2194" t="s">
        <v>11479</v>
      </c>
      <c r="I138" s="2194" t="s">
        <v>11480</v>
      </c>
      <c r="J138" s="2195" t="s">
        <v>11481</v>
      </c>
      <c r="K138" s="2196" t="s">
        <v>11482</v>
      </c>
      <c r="L138" s="134"/>
      <c r="P138" s="66"/>
    </row>
    <row r="139" spans="1:16" s="65" customFormat="1">
      <c r="A139" s="2181" t="s">
        <v>28</v>
      </c>
      <c r="B139" s="2168">
        <f>IFERROR(VLOOKUP(A139,'ИПП 3кв25'!$B$6:$R$17,14,0),"")</f>
        <v>0</v>
      </c>
      <c r="C139" s="2205">
        <f>IFERROR(VLOOKUP(A139,'ИПП 3кв25'!$B$6:$R$17,15,0),"")</f>
        <v>0</v>
      </c>
      <c r="D139" s="2167">
        <f>SUMIFS(Июль25[м2],Июль25[КТУ],$A139,Июль25[№ дома],$C$137,Июль25[Комнатность],"&lt;&gt;Офис")</f>
        <v>0</v>
      </c>
      <c r="E139" s="2168">
        <f>SUMIFS(Июль25[Сумма без отделки],Июль25[КТУ],$A139,Июль25[№ дома],$C$137,Июль25[Комнатность],"&lt;&gt;Офис")</f>
        <v>0</v>
      </c>
      <c r="F139" s="2169">
        <f>COUNTIFS(Июль25[КТУ],$A139,Июль25[№ дома],$C$137,Июль25[Комнатность],"&lt;&gt;Офис")</f>
        <v>0</v>
      </c>
      <c r="G139" s="202">
        <f>SUMIFS(РД[S],РД[Дом],$C$137,РД[МОП],A139,РД[Дата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H139" s="2244">
        <f>SUMIFS(РД[Стоимость без отделки итог],РД[Дом],$C$137,РД[МОП],A139,РД[Дата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I139" s="226">
        <f>COUNTIFS(РД[Дом],$C$137,РД[МОП],A139,РД[Дата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J139" s="2247">
        <f t="shared" ref="J139:J144" si="27">IFERROR(G139/B139,)</f>
        <v>0</v>
      </c>
      <c r="K139" s="225">
        <f t="shared" ref="K139:K144" si="28">IFERROR(H139/C139,)</f>
        <v>0</v>
      </c>
      <c r="L139" s="134"/>
      <c r="P139" s="66"/>
    </row>
    <row r="140" spans="1:16" s="65" customFormat="1">
      <c r="A140" s="2181" t="s">
        <v>8</v>
      </c>
      <c r="B140" s="2168">
        <f>IFERROR(VLOOKUP(A140,'ИПП 3кв25'!$B$6:$R$17,14,0),"")</f>
        <v>0</v>
      </c>
      <c r="C140" s="2205">
        <f>IFERROR(VLOOKUP(A140,'ИПП 3кв25'!$B$6:$R$17,15,0),"")</f>
        <v>0</v>
      </c>
      <c r="D140" s="2167">
        <f>SUMIFS(Июль25[м2],Июль25[КТУ],$A140,Июль25[№ дома],$C$137,Июль25[Комнатность],"&lt;&gt;Офис")</f>
        <v>0</v>
      </c>
      <c r="E140" s="2168">
        <f>SUMIFS(Июль25[Сумма без отделки],Июль25[КТУ],$A140,Июль25[№ дома],$C$137,Июль25[Комнатность],"&lt;&gt;Офис")</f>
        <v>0</v>
      </c>
      <c r="F140" s="2169">
        <f>COUNTIFS(Июль25[КТУ],$A140,Июль25[№ дома],$C$137,Июль25[Комнатность],"&lt;&gt;Офис")</f>
        <v>0</v>
      </c>
      <c r="G140" s="202">
        <f>SUMIFS(РД[S],РД[Дом],$C$137,РД[МОП],A140,РД[Дата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H140" s="2244">
        <f>SUMIFS(РД[Стоимость без отделки итог],РД[Дом],$C$137,РД[МОП],A140,РД[Дата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I140" s="226">
        <f>COUNTIFS(РД[Дом],$C$137,РД[МОП],A140,РД[Дата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J140" s="2247">
        <f t="shared" si="27"/>
        <v>0</v>
      </c>
      <c r="K140" s="225">
        <f t="shared" si="28"/>
        <v>0</v>
      </c>
      <c r="L140" s="134"/>
      <c r="P140" s="66"/>
    </row>
    <row r="141" spans="1:16" s="65" customFormat="1">
      <c r="A141" s="2181" t="s">
        <v>20</v>
      </c>
      <c r="B141" s="2168">
        <f>IFERROR(VLOOKUP(A141,'ИПП 3кв25'!$B$6:$R$17,14,0),"")</f>
        <v>0</v>
      </c>
      <c r="C141" s="2205">
        <f>IFERROR(VLOOKUP(A141,'ИПП 3кв25'!$B$6:$R$17,15,0),"")</f>
        <v>0</v>
      </c>
      <c r="D141" s="2167">
        <f>SUMIFS(Июль25[м2],Июль25[КТУ],$A141,Июль25[№ дома],$C$137,Июль25[Комнатность],"&lt;&gt;Офис")</f>
        <v>0</v>
      </c>
      <c r="E141" s="2168">
        <f>SUMIFS(Июль25[Сумма без отделки],Июль25[КТУ],$A141,Июль25[№ дома],$C$137,Июль25[Комнатность],"&lt;&gt;Офис")</f>
        <v>0</v>
      </c>
      <c r="F141" s="2169">
        <f>COUNTIFS(Июль25[КТУ],$A141,Июль25[№ дома],$C$137,Июль25[Комнатность],"&lt;&gt;Офис")</f>
        <v>0</v>
      </c>
      <c r="G141" s="202">
        <f>SUMIFS(РД[S],РД[Дом],$C$137,РД[МОП],A141,РД[Дата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H141" s="2244">
        <f>SUMIFS(РД[Стоимость без отделки итог],РД[Дом],$C$137,РД[МОП],A141,РД[Дата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226">
        <f>COUNTIFS(РД[Дом],$C$137,РД[МОП],A141,РД[Дата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47">
        <f t="shared" si="27"/>
        <v>0</v>
      </c>
      <c r="K141" s="225">
        <f t="shared" si="28"/>
        <v>0</v>
      </c>
      <c r="L141" s="134"/>
      <c r="P141" s="66"/>
    </row>
    <row r="142" spans="1:16" s="65" customFormat="1">
      <c r="A142" s="2181" t="s">
        <v>24</v>
      </c>
      <c r="B142" s="2168">
        <f>IFERROR(VLOOKUP(A142,'ИПП 3кв25'!$B$6:$R$17,14,0),"")</f>
        <v>0</v>
      </c>
      <c r="C142" s="2205">
        <f>IFERROR(VLOOKUP(A142,'ИПП 3кв25'!$B$6:$R$17,15,0),"")</f>
        <v>0</v>
      </c>
      <c r="D142" s="2167">
        <f>SUMIFS(Июль25[м2],Июль25[КТУ],$A142,Июль25[№ дома],$C$137,Июль25[Комнатность],"&lt;&gt;Офис")</f>
        <v>0</v>
      </c>
      <c r="E142" s="2168">
        <f>SUMIFS(Июль25[Сумма без отделки],Июль25[КТУ],$A142,Июль25[№ дома],$C$137,Июль25[Комнатность],"&lt;&gt;Офис")</f>
        <v>0</v>
      </c>
      <c r="F142" s="2169">
        <f>COUNTIFS(Июль25[КТУ],$A142,Июль25[№ дома],$C$137,Июль25[Комнатность],"&lt;&gt;Офис")</f>
        <v>0</v>
      </c>
      <c r="G142" s="202">
        <f>SUMIFS(РД[S],РД[Дом],$C$137,РД[МОП],A142,РД[Дата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2244">
        <f>SUMIFS(РД[Стоимость без отделки итог],РД[Дом],$C$137,РД[МОП],A142,РД[Дата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26">
        <f>COUNTIFS(РД[Дом],$C$137,РД[МОП],A142,РД[Дата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247">
        <f t="shared" si="27"/>
        <v>0</v>
      </c>
      <c r="K142" s="225">
        <f t="shared" si="28"/>
        <v>0</v>
      </c>
      <c r="L142" s="134"/>
      <c r="P142" s="66"/>
    </row>
    <row r="143" spans="1:16" s="65" customFormat="1">
      <c r="A143" s="2181" t="s">
        <v>14</v>
      </c>
      <c r="B143" s="2168">
        <f>IFERROR(VLOOKUP(A143,'ИПП 3кв25'!$B$6:$R$17,14,0),"")</f>
        <v>0</v>
      </c>
      <c r="C143" s="2205">
        <f>IFERROR(VLOOKUP(A143,'ИПП 3кв25'!$B$6:$R$17,15,0),"")</f>
        <v>0</v>
      </c>
      <c r="D143" s="2167">
        <f>SUMIFS(Июль25[м2],Июль25[КТУ],$A143,Июль25[№ дома],$C$137,Июль25[Комнатность],"&lt;&gt;Офис")</f>
        <v>0</v>
      </c>
      <c r="E143" s="2168">
        <f>SUMIFS(Июль25[Сумма без отделки],Июль25[КТУ],$A143,Июль25[№ дома],$C$137,Июль25[Комнатность],"&lt;&gt;Офис")</f>
        <v>0</v>
      </c>
      <c r="F143" s="2169">
        <f>COUNTIFS(Июль25[КТУ],$A143,Июль25[№ дома],$C$137,Июль25[Комнатность],"&lt;&gt;Офис")</f>
        <v>0</v>
      </c>
      <c r="G143" s="202">
        <f>SUMIFS(РД[S],РД[Дом],$C$137,РД[МОП],A143,РД[Дата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H143" s="2244">
        <f>SUMIFS(РД[Стоимость без отделки итог],РД[Дом],$C$137,РД[МОП],A143,РД[Дата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I143" s="226">
        <f>COUNTIFS(РД[Дом],$C$137,РД[МОП],A143,РД[Дата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J143" s="2247">
        <f t="shared" si="27"/>
        <v>0</v>
      </c>
      <c r="K143" s="225">
        <f t="shared" si="28"/>
        <v>0</v>
      </c>
      <c r="L143" s="134"/>
      <c r="P143" s="66"/>
    </row>
    <row r="144" spans="1:16" s="65" customFormat="1">
      <c r="A144" s="2181" t="s">
        <v>1884</v>
      </c>
      <c r="B144" s="2168">
        <f>IFERROR(VLOOKUP(A144,'ИПП 3кв25'!$B$6:$R$17,14,0),"")</f>
        <v>0</v>
      </c>
      <c r="C144" s="2205">
        <f>IFERROR(VLOOKUP(A144,'ИПП 3кв25'!$B$6:$R$17,15,0),"")</f>
        <v>0</v>
      </c>
      <c r="D144" s="2167">
        <f>SUMIFS(Июль25[м2],Июль25[КТУ],$A144,Июль25[№ дома],$C$137,Июль25[Комнатность],"&lt;&gt;Офис")</f>
        <v>0</v>
      </c>
      <c r="E144" s="2168">
        <f>SUMIFS(Июль25[Сумма без отделки],Июль25[КТУ],$A144,Июль25[№ дома],$C$137,Июль25[Комнатность],"&lt;&gt;Офис")</f>
        <v>0</v>
      </c>
      <c r="F144" s="2169">
        <f>COUNTIFS(Июль25[КТУ],$A144,Июль25[№ дома],$C$137,Июль25[Комнатность],"&lt;&gt;Офис")</f>
        <v>0</v>
      </c>
      <c r="G144" s="202">
        <f>SUMIFS(РД[S],РД[Дом],$C$137,РД[МОП],A144,РД[Дата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H144" s="2244">
        <f>SUMIFS(РД[Стоимость без отделки итог],РД[Дом],$C$137,РД[МОП],A144,РД[Дата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I144" s="226">
        <f>COUNTIFS(РД[Дом],$C$137,РД[МОП],A144,РД[Дата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J144" s="2247">
        <f t="shared" si="27"/>
        <v>0</v>
      </c>
      <c r="K144" s="225">
        <f t="shared" si="28"/>
        <v>0</v>
      </c>
      <c r="L144" s="134"/>
      <c r="P144" s="66"/>
    </row>
    <row r="145" spans="1:16" s="65" customFormat="1" ht="13.5" thickBot="1">
      <c r="A145" s="2182" t="s">
        <v>114</v>
      </c>
      <c r="B145" s="2183">
        <f t="shared" ref="B145:I145" si="29">SUM(B139:B144)</f>
        <v>0</v>
      </c>
      <c r="C145" s="2206">
        <f t="shared" si="29"/>
        <v>0</v>
      </c>
      <c r="D145" s="2201">
        <f t="shared" si="29"/>
        <v>0</v>
      </c>
      <c r="E145" s="2183">
        <f t="shared" si="29"/>
        <v>0</v>
      </c>
      <c r="F145" s="2198">
        <f t="shared" si="29"/>
        <v>0</v>
      </c>
      <c r="G145" s="2209">
        <f t="shared" si="29"/>
        <v>0</v>
      </c>
      <c r="H145" s="2245">
        <f t="shared" si="29"/>
        <v>0</v>
      </c>
      <c r="I145" s="2185">
        <f t="shared" si="29"/>
        <v>0</v>
      </c>
      <c r="J145" s="2248" t="str">
        <f t="shared" ref="J145" si="30">IFERROR(G145/B145,"")</f>
        <v/>
      </c>
      <c r="K145" s="2186" t="str">
        <f t="shared" ref="K145" si="31">IFERROR(H145/C145,"")</f>
        <v/>
      </c>
      <c r="L145" s="134"/>
      <c r="P145" s="66"/>
    </row>
    <row r="146" spans="1:16" s="65" customFormat="1">
      <c r="A146" s="2187" t="s">
        <v>115</v>
      </c>
      <c r="B146" s="2188" t="s">
        <v>100</v>
      </c>
      <c r="C146" s="2207" t="s">
        <v>97</v>
      </c>
      <c r="D146" s="2202" t="s">
        <v>53</v>
      </c>
      <c r="E146" s="2189" t="s">
        <v>11479</v>
      </c>
      <c r="F146" s="2199" t="s">
        <v>11480</v>
      </c>
      <c r="G146" s="1358" t="s">
        <v>53</v>
      </c>
      <c r="H146" s="2246" t="s">
        <v>11479</v>
      </c>
      <c r="I146" s="1361" t="s">
        <v>11480</v>
      </c>
      <c r="J146" s="2249" t="s">
        <v>11481</v>
      </c>
      <c r="K146" s="2196" t="s">
        <v>11482</v>
      </c>
      <c r="L146" s="134"/>
      <c r="P146" s="66"/>
    </row>
    <row r="147" spans="1:16" s="65" customFormat="1">
      <c r="A147" s="2181" t="s">
        <v>22</v>
      </c>
      <c r="B147" s="2168">
        <f>IFERROR(VLOOKUP(A147,'ИПП 3кв25'!$B$6:$R$17,14,0),"")</f>
        <v>0</v>
      </c>
      <c r="C147" s="2205">
        <f>IFERROR(VLOOKUP(A147,'ИПП 3кв25'!$B$6:$R$17,15,0),"")</f>
        <v>0</v>
      </c>
      <c r="D147" s="2167">
        <f>SUMIFS(Июль25[м2],Июль25[ИМ],A147,Июль25[№ дома],$C$137,Июль25[Комнатность],"&lt;&gt;Офис")</f>
        <v>0</v>
      </c>
      <c r="E147" s="2180">
        <f>SUMIFS(Июль25[Сумма без отделки],Июль25[ИМ],$A147,Июль25[№ дома],$C$137,Июль25[Комнатность],"&lt;&gt;Офис")</f>
        <v>0</v>
      </c>
      <c r="F147" s="2169">
        <f>COUNTIFS(Июль25[ИМ],$A147,Июль25[№ дома],$C$137,Июль25[Комнатность],"&lt;&gt;Офис")</f>
        <v>0</v>
      </c>
      <c r="G147" s="202">
        <f>SUMIFS(РД[S],РД[Дом],$C$137,РД[ИМ],A147,РД[Дата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2244">
        <f>SUMIFS(РД[Стоимость без отделки итог],РД[Дом],$C$137,РД[ИМ],A147,РД[Дата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26">
        <f>COUNTIFS(РД[Дом],$C$137,РД[ИМ],A147,РД[Дата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247" t="str">
        <f t="shared" ref="J147:J148" si="32">IFERROR(G147/B147,"")</f>
        <v/>
      </c>
      <c r="K147" s="225" t="str">
        <f t="shared" ref="K147:K148" si="33">IFERROR(H147/C147,"")</f>
        <v/>
      </c>
      <c r="L147" s="134"/>
      <c r="P147" s="66"/>
    </row>
    <row r="148" spans="1:16" s="65" customFormat="1">
      <c r="A148" s="2181" t="s">
        <v>26</v>
      </c>
      <c r="B148" s="2168">
        <f>IFERROR(VLOOKUP(A148,'ИПП 3кв25'!$B$6:$R$17,14,0),"")</f>
        <v>0</v>
      </c>
      <c r="C148" s="2205">
        <f>IFERROR(VLOOKUP(A148,'ИПП 3кв25'!$B$6:$R$17,15,0),"")</f>
        <v>0</v>
      </c>
      <c r="D148" s="2167">
        <f>SUMIFS(Июль25[м2],Июль25[ИМ],A148,Июль25[№ дома],$C$137,Июль25[Комнатность],"&lt;&gt;Офис")</f>
        <v>0</v>
      </c>
      <c r="E148" s="2180">
        <f>SUMIFS(Июль25[Сумма без отделки],Июль25[ИМ],$A148,Июль25[№ дома],$C$137,Июль25[Комнатность],"&lt;&gt;Офис")</f>
        <v>0</v>
      </c>
      <c r="F148" s="2169">
        <f>COUNTIFS(Июль25[ИМ],$A148,Июль25[№ дома],$C$137,Июль25[Комнатность],"&lt;&gt;Офис")</f>
        <v>0</v>
      </c>
      <c r="G148" s="202">
        <f>SUMIFS(РД[S],РД[Дом],$C$137,РД[ИМ],A148,РД[Дата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H148" s="2244">
        <f>SUMIFS(РД[Стоимость без отделки итог],РД[Дом],$C$137,РД[ИМ],A148,РД[Дата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I148" s="226">
        <f>COUNTIFS(РД[Дом],$C$137,РД[ИМ],A148,РД[Дата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J148" s="2247" t="str">
        <f t="shared" si="32"/>
        <v/>
      </c>
      <c r="K148" s="225" t="str">
        <f t="shared" si="33"/>
        <v/>
      </c>
      <c r="L148" s="134"/>
      <c r="P148" s="66"/>
    </row>
    <row r="149" spans="1:16" s="65" customFormat="1" ht="13.5" thickBot="1">
      <c r="A149" s="2182" t="s">
        <v>114</v>
      </c>
      <c r="B149" s="2183">
        <f t="shared" ref="B149:I149" si="34">SUM(B147:B148)</f>
        <v>0</v>
      </c>
      <c r="C149" s="2206">
        <f t="shared" si="34"/>
        <v>0</v>
      </c>
      <c r="D149" s="2201">
        <f t="shared" si="34"/>
        <v>0</v>
      </c>
      <c r="E149" s="2183">
        <f t="shared" si="34"/>
        <v>0</v>
      </c>
      <c r="F149" s="2198">
        <f t="shared" si="34"/>
        <v>0</v>
      </c>
      <c r="G149" s="2209">
        <f t="shared" si="34"/>
        <v>0</v>
      </c>
      <c r="H149" s="2245">
        <f t="shared" si="34"/>
        <v>0</v>
      </c>
      <c r="I149" s="2185">
        <f t="shared" si="34"/>
        <v>0</v>
      </c>
      <c r="J149" s="2248">
        <f>IFERROR(G149/B149,)</f>
        <v>0</v>
      </c>
      <c r="K149" s="2186">
        <f>IFERROR(H149/C149,)</f>
        <v>0</v>
      </c>
      <c r="L149" s="134"/>
      <c r="P149" s="66"/>
    </row>
    <row r="150" spans="1:16" s="65" customFormat="1" ht="13.5" thickBot="1">
      <c r="A150" s="2125"/>
      <c r="B150" s="2166"/>
      <c r="C150" s="2166"/>
      <c r="D150" s="2166"/>
      <c r="E150" s="2166"/>
      <c r="F150" s="2166"/>
      <c r="G150" s="197"/>
      <c r="H150" s="197"/>
      <c r="I150" s="215"/>
      <c r="J150" s="2082"/>
      <c r="K150" s="256"/>
      <c r="L150" s="134"/>
      <c r="P150" s="66"/>
    </row>
    <row r="151" spans="1:16" s="65" customFormat="1" ht="13.5" thickBot="1">
      <c r="A151" s="2418" t="s">
        <v>713</v>
      </c>
      <c r="B151" s="2419"/>
      <c r="C151" s="2203" t="s">
        <v>718</v>
      </c>
      <c r="D151" s="2415" t="s">
        <v>11478</v>
      </c>
      <c r="E151" s="2416"/>
      <c r="F151" s="2417"/>
      <c r="G151" s="2412" t="s">
        <v>1889</v>
      </c>
      <c r="H151" s="2413"/>
      <c r="I151" s="2413"/>
      <c r="J151" s="2413"/>
      <c r="K151" s="2414"/>
      <c r="O151" s="66"/>
    </row>
    <row r="152" spans="1:16" s="65" customFormat="1">
      <c r="A152" s="2191" t="s">
        <v>1</v>
      </c>
      <c r="B152" s="2192" t="s">
        <v>100</v>
      </c>
      <c r="C152" s="2204" t="s">
        <v>97</v>
      </c>
      <c r="D152" s="2200" t="s">
        <v>53</v>
      </c>
      <c r="E152" s="2193" t="s">
        <v>11479</v>
      </c>
      <c r="F152" s="2197" t="s">
        <v>11480</v>
      </c>
      <c r="G152" s="2208" t="s">
        <v>53</v>
      </c>
      <c r="H152" s="2194" t="s">
        <v>11479</v>
      </c>
      <c r="I152" s="2194" t="s">
        <v>11480</v>
      </c>
      <c r="J152" s="2195" t="s">
        <v>11481</v>
      </c>
      <c r="K152" s="2196" t="s">
        <v>11482</v>
      </c>
      <c r="O152" s="66"/>
    </row>
    <row r="153" spans="1:16" s="65" customFormat="1">
      <c r="A153" s="2181" t="s">
        <v>28</v>
      </c>
      <c r="B153" s="2168">
        <f>IFERROR(VLOOKUP(A153,'ИПП 3кв25'!$B$6:$R$17,16,0),"")</f>
        <v>346</v>
      </c>
      <c r="C153" s="2205">
        <f>IFERROR(VLOOKUP(A153,'ИПП 3кв25'!$B$6:$R$17,17,0),"")</f>
        <v>43083466</v>
      </c>
      <c r="D153" s="2167">
        <f>SUMIFS(Июль25[м2],Июль25[КТУ],$A153,Июль25[Комнатность],"&lt;&gt;Офис")</f>
        <v>51.79</v>
      </c>
      <c r="E153" s="2168">
        <f>SUMIFS(Июль25[Сумма без отделки],Июль25[КТУ],$A153,Июль25[Комнатность],"&lt;&gt;Офис")</f>
        <v>6583046</v>
      </c>
      <c r="F153" s="2169">
        <f>COUNTIFS(Июль25[КТУ],$A153,Июль25[Комнатность],"&lt;&gt;Офис")</f>
        <v>1</v>
      </c>
      <c r="G153" s="202">
        <f>SUMIFS(РД[S],РД[МОП],A153,РД[Дата подачи на регистрацию],"&lt;="&amp;$A$1,РД[Дата подачи на регистрацию],"&gt;="&amp;DATE(YEAR($A$1),MONTH($A$1),1),РД[Состояние],"Продажа")</f>
        <v>51.79</v>
      </c>
      <c r="H153" s="2244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6598046</v>
      </c>
      <c r="I153" s="226">
        <f>COUNTIFS(РД[МОП],A153,РД[Дата подачи на регистрацию],"&lt;="&amp;$A$1,РД[Дата подачи на регистрацию],"&gt;="&amp;DATE(YEAR($A$1),MONTH($A$1),1),РД[Состояние],"Продажа")</f>
        <v>1</v>
      </c>
      <c r="J153" s="2247">
        <f t="shared" ref="J153:K159" si="35">IFERROR(G153/B153,"")</f>
        <v>0.14968208092485549</v>
      </c>
      <c r="K153" s="225">
        <f t="shared" si="35"/>
        <v>0.15314566381451297</v>
      </c>
      <c r="O153" s="66"/>
    </row>
    <row r="154" spans="1:16" s="65" customFormat="1">
      <c r="A154" s="2181" t="s">
        <v>8</v>
      </c>
      <c r="B154" s="2168">
        <f>IFERROR(VLOOKUP(A154,'ИПП 3кв25'!$B$6:$R$17,16,0),"")</f>
        <v>249</v>
      </c>
      <c r="C154" s="2205">
        <f>IFERROR(VLOOKUP(A154,'ИПП 3кв25'!$B$6:$R$17,17,0),"")</f>
        <v>30876484</v>
      </c>
      <c r="D154" s="2167">
        <f>SUMIFS(Июль25[м2],Июль25[КТУ],$A154,Июль25[Комнатность],"&lt;&gt;Офис")</f>
        <v>90.16</v>
      </c>
      <c r="E154" s="2168">
        <f>SUMIFS(Июль25[Сумма без отделки],Июль25[КТУ],$A154,Июль25[Комнатность],"&lt;&gt;Офис")</f>
        <v>11238836</v>
      </c>
      <c r="F154" s="2169">
        <f>COUNTIFS(Июль25[КТУ],$A154,Июль25[Комнатность],"&lt;&gt;Офис")</f>
        <v>2</v>
      </c>
      <c r="G154" s="202">
        <f>SUMIFS(РД[S],РД[МОП],A154,РД[Дата подачи на регистрацию],"&lt;="&amp;$A$1,РД[Дата подачи на регистрацию],"&gt;="&amp;DATE(YEAR($A$1),MONTH($A$1),1),РД[Состояние],"Продажа")</f>
        <v>90.16</v>
      </c>
      <c r="H154" s="2244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11238836</v>
      </c>
      <c r="I154" s="226">
        <f>COUNTIFS(РД[МОП],A154,РД[Дата подачи на регистрацию],"&lt;="&amp;$A$1,РД[Дата подачи на регистрацию],"&gt;="&amp;DATE(YEAR($A$1),MONTH($A$1),1),РД[Состояние],"Продажа")</f>
        <v>2</v>
      </c>
      <c r="J154" s="2247">
        <f t="shared" si="35"/>
        <v>0.36208835341365458</v>
      </c>
      <c r="K154" s="225">
        <f t="shared" si="35"/>
        <v>0.36399338732998227</v>
      </c>
      <c r="O154" s="66"/>
    </row>
    <row r="155" spans="1:16" s="65" customFormat="1">
      <c r="A155" s="2181" t="s">
        <v>20</v>
      </c>
      <c r="B155" s="2168">
        <f>IFERROR(VLOOKUP(A155,'ИПП 3кв25'!$B$6:$R$17,16,0),"")</f>
        <v>76</v>
      </c>
      <c r="C155" s="2205">
        <f>IFERROR(VLOOKUP(A155,'ИПП 3кв25'!$B$6:$R$17,17,0),"")</f>
        <v>9574104</v>
      </c>
      <c r="D155" s="2167">
        <f>SUMIFS(Июль25[м2],Июль25[КТУ],$A155,Июль25[Комнатность],"&lt;&gt;Офис")</f>
        <v>0</v>
      </c>
      <c r="E155" s="2168">
        <f>SUMIFS(Июль25[Сумма без отделки],Июль25[КТУ],$A155,Июль25[Комнатность],"&lt;&gt;Офис")</f>
        <v>0</v>
      </c>
      <c r="F155" s="2169">
        <f>COUNTIFS(Июль25[КТУ],$A155,Июль25[Комнатность],"&lt;&gt;Офис")</f>
        <v>0</v>
      </c>
      <c r="G155" s="202">
        <f>SUMIFS(РД[S],РД[МОП],A155,РД[Дата подачи на регистрацию],"&lt;="&amp;$A$1,РД[Дата подачи на регистрацию],"&gt;="&amp;DATE(YEAR($A$1),MONTH($A$1),1),РД[Состояние],"Продажа")</f>
        <v>0</v>
      </c>
      <c r="H155" s="2244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регистрацию],"&gt;="&amp;DATE(YEAR($A$1),MONTH($A$1),1),РД[Состояние],"Продажа")</f>
        <v>0</v>
      </c>
      <c r="I155" s="226">
        <f>COUNTIFS(РД[МОП],A155,РД[Дата подачи на регистрацию],"&lt;="&amp;$A$1,РД[Дата подачи на регистрацию],"&gt;="&amp;DATE(YEAR($A$1),MONTH($A$1),1),РД[Состояние],"Продажа")</f>
        <v>0</v>
      </c>
      <c r="J155" s="2247">
        <f t="shared" si="35"/>
        <v>0</v>
      </c>
      <c r="K155" s="225">
        <f t="shared" si="35"/>
        <v>0</v>
      </c>
      <c r="O155" s="66"/>
    </row>
    <row r="156" spans="1:16" s="65" customFormat="1">
      <c r="A156" s="2181" t="s">
        <v>24</v>
      </c>
      <c r="B156" s="2168">
        <f>IFERROR(VLOOKUP(A156,'ИПП 3кв25'!$B$6:$R$17,16,0),"")</f>
        <v>346</v>
      </c>
      <c r="C156" s="2205">
        <f>IFERROR(VLOOKUP(A156,'ИПП 3кв25'!$B$6:$R$17,17,0),"")</f>
        <v>43083466</v>
      </c>
      <c r="D156" s="2167">
        <f>SUMIFS(Июль25[м2],Июль25[КТУ],$A156,Июль25[Комнатность],"&lt;&gt;Офис")</f>
        <v>170.49</v>
      </c>
      <c r="E156" s="2168">
        <f>SUMIFS(Июль25[Сумма без отделки],Июль25[КТУ],$A156,Июль25[Комнатность],"&lt;&gt;Офис")</f>
        <v>20077995</v>
      </c>
      <c r="F156" s="2169">
        <f>COUNTIFS(Июль25[КТУ],$A156,Июль25[Комнатность],"&lt;&gt;Офис")</f>
        <v>3</v>
      </c>
      <c r="G156" s="202">
        <f>SUMIFS(РД[S],РД[МОП],A156,РД[Дата подачи на регистрацию],"&lt;="&amp;$A$1,РД[Дата подачи на регистрацию],"&gt;="&amp;DATE(YEAR($A$1),MONTH($A$1),1),РД[Состояние],"Продажа")</f>
        <v>104.69</v>
      </c>
      <c r="H156" s="2244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регистрацию],"&gt;="&amp;DATE(YEAR($A$1),MONTH($A$1),1),РД[Состояние],"Продажа")</f>
        <v>12173812</v>
      </c>
      <c r="I156" s="226">
        <f>COUNTIFS(РД[МОП],A156,РД[Дата подачи на регистрацию],"&lt;="&amp;$A$1,РД[Дата подачи на регистрацию],"&gt;="&amp;DATE(YEAR($A$1),MONTH($A$1),1),РД[Состояние],"Продажа")</f>
        <v>2</v>
      </c>
      <c r="J156" s="2247">
        <f t="shared" si="35"/>
        <v>0.30257225433526008</v>
      </c>
      <c r="K156" s="225">
        <f t="shared" si="35"/>
        <v>0.28256343164219888</v>
      </c>
      <c r="O156" s="66"/>
    </row>
    <row r="157" spans="1:16" s="65" customFormat="1">
      <c r="A157" s="2181" t="s">
        <v>14</v>
      </c>
      <c r="B157" s="2168">
        <f>IFERROR(VLOOKUP(A157,'ИПП 3кв25'!$B$6:$R$17,16,0),"")</f>
        <v>174</v>
      </c>
      <c r="C157" s="2205">
        <f>IFERROR(VLOOKUP(A157,'ИПП 3кв25'!$B$6:$R$17,17,0),"")</f>
        <v>21541732</v>
      </c>
      <c r="D157" s="2167">
        <f>SUMIFS(Июль25[м2],Июль25[КТУ],$A157,Июль25[Комнатность],"&lt;&gt;Офис")</f>
        <v>256.88</v>
      </c>
      <c r="E157" s="2168">
        <f>SUMIFS(Июль25[Сумма без отделки],Июль25[КТУ],$A157,Июль25[Комнатность],"&lt;&gt;Офис")</f>
        <v>31470050</v>
      </c>
      <c r="F157" s="2169">
        <f>COUNTIFS(Июль25[КТУ],$A157,Июль25[Комнатность],"&lt;&gt;Офис")</f>
        <v>5</v>
      </c>
      <c r="G157" s="202">
        <f>SUMIFS(РД[S],РД[МОП],A157,РД[Дата подачи на регистрацию],"&lt;="&amp;$A$1,РД[Дата подачи на регистрацию],"&gt;="&amp;DATE(YEAR($A$1),MONTH($A$1),1),РД[Состояние],"Продажа")</f>
        <v>256.88</v>
      </c>
      <c r="H157" s="2244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регистрацию],"&gt;="&amp;DATE(YEAR($A$1),MONTH($A$1),1),РД[Состояние],"Продажа")</f>
        <v>31337088</v>
      </c>
      <c r="I157" s="226">
        <f>COUNTIFS(РД[МОП],A157,РД[Дата подачи на регистрацию],"&lt;="&amp;$A$1,РД[Дата подачи на регистрацию],"&gt;="&amp;DATE(YEAR($A$1),MONTH($A$1),1),РД[Состояние],"Продажа")</f>
        <v>5</v>
      </c>
      <c r="J157" s="2247">
        <f t="shared" si="35"/>
        <v>1.4763218390804598</v>
      </c>
      <c r="K157" s="225">
        <f t="shared" si="35"/>
        <v>1.454715340437807</v>
      </c>
      <c r="O157" s="66"/>
    </row>
    <row r="158" spans="1:16" s="65" customFormat="1">
      <c r="A158" s="2181" t="s">
        <v>1884</v>
      </c>
      <c r="B158" s="2168">
        <f>IFERROR(VLOOKUP(A158,'ИПП 3кв25'!$B$6:$R$17,16,0),"")</f>
        <v>289</v>
      </c>
      <c r="C158" s="2205">
        <f>IFERROR(VLOOKUP(A158,'ИПП 3кв25'!$B$6:$R$17,17,0),"")</f>
        <v>35902889</v>
      </c>
      <c r="D158" s="2167">
        <f>SUMIFS(Июль25[м2],Июль25[КТУ],$A158,Июль25[Комнатность],"&lt;&gt;Офис")</f>
        <v>97.710000000000008</v>
      </c>
      <c r="E158" s="2168">
        <f>SUMIFS(Июль25[Сумма без отделки],Июль25[КТУ],$A158,Июль25[Комнатность],"&lt;&gt;Офис")</f>
        <v>12856990</v>
      </c>
      <c r="F158" s="2169">
        <f>COUNTIFS(Июль25[КТУ],$A158,Июль25[Комнатность],"&lt;&gt;Офис")</f>
        <v>3</v>
      </c>
      <c r="G158" s="202">
        <f>SUMIFS(РД[S],РД[МОП],A158,РД[Дата подачи на регистрацию],"&lt;="&amp;$A$1,РД[Дата подачи на регистрацию],"&gt;="&amp;DATE(YEAR($A$1),MONTH($A$1),1),РД[Состояние],"Продажа")</f>
        <v>97.53</v>
      </c>
      <c r="H158" s="2244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регистрацию],"&gt;="&amp;DATE(YEAR($A$1),MONTH($A$1),1),РД[Состояние],"Продажа")</f>
        <v>12687902</v>
      </c>
      <c r="I158" s="226">
        <f>COUNTIFS(РД[МОП],A158,РД[Дата подачи на регистрацию],"&lt;="&amp;$A$1,РД[Дата подачи на регистрацию],"&gt;="&amp;DATE(YEAR($A$1),MONTH($A$1),1),РД[Состояние],"Продажа")</f>
        <v>3</v>
      </c>
      <c r="J158" s="2247">
        <f t="shared" si="35"/>
        <v>0.33747404844290657</v>
      </c>
      <c r="K158" s="225">
        <f t="shared" si="35"/>
        <v>0.35339501509196097</v>
      </c>
      <c r="L158" s="86"/>
      <c r="M158" s="86"/>
      <c r="N158" s="86"/>
      <c r="O158" s="66"/>
    </row>
    <row r="159" spans="1:16" s="65" customFormat="1" ht="13.5" thickBot="1">
      <c r="A159" s="2182" t="s">
        <v>114</v>
      </c>
      <c r="B159" s="2183">
        <f t="shared" ref="B159:I159" si="36">SUM(B153:B158)</f>
        <v>1480</v>
      </c>
      <c r="C159" s="2206">
        <f t="shared" si="36"/>
        <v>184062141</v>
      </c>
      <c r="D159" s="2201">
        <f t="shared" si="36"/>
        <v>667.03</v>
      </c>
      <c r="E159" s="2183">
        <f t="shared" si="36"/>
        <v>82226917</v>
      </c>
      <c r="F159" s="2198">
        <f t="shared" si="36"/>
        <v>14</v>
      </c>
      <c r="G159" s="2209">
        <f t="shared" si="36"/>
        <v>601.04999999999995</v>
      </c>
      <c r="H159" s="2245">
        <f t="shared" si="36"/>
        <v>74035684</v>
      </c>
      <c r="I159" s="2185">
        <f t="shared" si="36"/>
        <v>13</v>
      </c>
      <c r="J159" s="2248">
        <f t="shared" si="35"/>
        <v>0.40611486486486481</v>
      </c>
      <c r="K159" s="2186">
        <f t="shared" si="35"/>
        <v>0.40223200489665062</v>
      </c>
      <c r="O159" s="66"/>
    </row>
    <row r="160" spans="1:16" s="65" customFormat="1">
      <c r="A160" s="2187" t="s">
        <v>115</v>
      </c>
      <c r="B160" s="2188" t="s">
        <v>100</v>
      </c>
      <c r="C160" s="2207" t="s">
        <v>97</v>
      </c>
      <c r="D160" s="2202" t="s">
        <v>53</v>
      </c>
      <c r="E160" s="2189" t="s">
        <v>11479</v>
      </c>
      <c r="F160" s="2199" t="s">
        <v>11480</v>
      </c>
      <c r="G160" s="1358" t="s">
        <v>53</v>
      </c>
      <c r="H160" s="2246" t="s">
        <v>11479</v>
      </c>
      <c r="I160" s="1361" t="s">
        <v>11480</v>
      </c>
      <c r="J160" s="2249" t="s">
        <v>11481</v>
      </c>
      <c r="K160" s="2190" t="s">
        <v>11482</v>
      </c>
      <c r="O160" s="66"/>
    </row>
    <row r="161" spans="1:21" s="65" customFormat="1">
      <c r="A161" s="2181" t="s">
        <v>22</v>
      </c>
      <c r="B161" s="2168">
        <f>IFERROR(VLOOKUP(A161,'ИПП 3кв25'!$B$6:$R$17,16,0),"")</f>
        <v>406.17777777777781</v>
      </c>
      <c r="C161" s="2205">
        <f>IFERROR(VLOOKUP(A161,'ИПП 3кв25'!$B$6:$R$17,17,0),"")</f>
        <v>50514832.030000001</v>
      </c>
      <c r="D161" s="2167">
        <f>SUMIFS(Июль25[м2],Июль25[ИМ],A161,Июль25[Комнатность],"&lt;&gt;Офис")</f>
        <v>167.79</v>
      </c>
      <c r="E161" s="2180">
        <f>SUMIFS(Июль25[Сумма без отделки],Июль25[ИМ],$A161,Июль25[Комнатность],"&lt;&gt;Офис")</f>
        <v>20885242</v>
      </c>
      <c r="F161" s="2169">
        <f>COUNTIFS(Июль25[ИМ],A161,Июль25[Комнатность],"&lt;&gt;Офис")</f>
        <v>4</v>
      </c>
      <c r="G161" s="202">
        <f>SUMIFS(РД[S],РД[ИМ],A161,РД[Дата подачи на регистрацию],"&lt;="&amp;$A$1,РД[Дата подачи на регистрацию],"&gt;="&amp;DATE(YEAR($A$1),MONTH($A$1),1),РД[Состояние],"Продажа")</f>
        <v>122.35</v>
      </c>
      <c r="H161" s="224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регистрацию],"&gt;="&amp;DATE(YEAR($A$1),MONTH($A$1),1),РД[Состояние],"Продажа")</f>
        <v>15074394</v>
      </c>
      <c r="I161" s="226">
        <f>COUNTIFS(РД[ИМ],A161,РД[Дата подачи на регистрацию],"&lt;="&amp;$A$1,РД[Дата подачи на регистрацию],"&gt;="&amp;DATE(YEAR($A$1),MONTH($A$1),1),РД[Состояние],"Продажа")</f>
        <v>3</v>
      </c>
      <c r="J161" s="2247">
        <f t="shared" ref="J161:K163" si="37">IFERROR(G161/B161,"")</f>
        <v>0.30122278148593934</v>
      </c>
      <c r="K161" s="225">
        <f t="shared" si="37"/>
        <v>0.29841520587552472</v>
      </c>
      <c r="L161" s="66"/>
      <c r="M161" s="66"/>
      <c r="N161" s="66"/>
      <c r="O161" s="66"/>
    </row>
    <row r="162" spans="1:21" s="65" customFormat="1">
      <c r="A162" s="2181" t="s">
        <v>26</v>
      </c>
      <c r="B162" s="2168">
        <f>IFERROR(VLOOKUP(A162,'ИПП 3кв25'!$B$6:$R$17,16,0),"")</f>
        <v>555.82222222222219</v>
      </c>
      <c r="C162" s="2205">
        <f>IFERROR(VLOOKUP(A162,'ИПП 3кв25'!$B$6:$R$17,17,0),"")</f>
        <v>69125559.61999999</v>
      </c>
      <c r="D162" s="2167">
        <f>SUMIFS(Июль25[м2],Июль25[ИМ],A162,Июль25[Комнатность],"&lt;&gt;Офис")</f>
        <v>339.2</v>
      </c>
      <c r="E162" s="2180">
        <f>SUMIFS(Июль25[Сумма без отделки],Июль25[ИМ],$A162,Июль25[Комнатность],"&lt;&gt;Офис")</f>
        <v>41926963</v>
      </c>
      <c r="F162" s="2169">
        <f>COUNTIFS(Июль25[ИМ],$A162,Июль25[Комнатность],"&lt;&gt;Офис")</f>
        <v>7</v>
      </c>
      <c r="G162" s="202">
        <f>SUMIFS(РД[S],РД[ИМ],A162,РД[Дата подачи на регистрацию],"&lt;="&amp;$A$1,РД[Дата подачи на регистрацию],"&gt;="&amp;DATE(YEAR($A$1),MONTH($A$1),1),РД[Состояние],"Продажа")</f>
        <v>174.01</v>
      </c>
      <c r="H162" s="2244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регистрацию],"&gt;="&amp;DATE(YEAR($A$1),MONTH($A$1),1),РД[Состояние],"Продажа")</f>
        <v>22012170</v>
      </c>
      <c r="I162" s="226">
        <f>COUNTIFS(РД[ИМ],A162,РД[Дата подачи на регистрацию],"&lt;="&amp;$A$1,РД[Дата подачи на регистрацию],"&gt;="&amp;DATE(YEAR($A$1),MONTH($A$1),1),РД[Состояние],"Продажа")</f>
        <v>4</v>
      </c>
      <c r="J162" s="2247">
        <f t="shared" si="37"/>
        <v>0.31306772749080441</v>
      </c>
      <c r="K162" s="225">
        <f t="shared" si="37"/>
        <v>0.3184374943364835</v>
      </c>
      <c r="L162" s="66"/>
      <c r="M162" s="66"/>
      <c r="N162" s="66"/>
      <c r="O162" s="66"/>
    </row>
    <row r="163" spans="1:21" s="65" customFormat="1" ht="13.5" thickBot="1">
      <c r="A163" s="2182" t="s">
        <v>114</v>
      </c>
      <c r="B163" s="2183">
        <f t="shared" ref="B163:I163" si="38">SUM(B161:B162)</f>
        <v>962</v>
      </c>
      <c r="C163" s="2206">
        <f t="shared" si="38"/>
        <v>119640391.64999999</v>
      </c>
      <c r="D163" s="2201">
        <f t="shared" si="38"/>
        <v>506.99</v>
      </c>
      <c r="E163" s="2183">
        <f t="shared" si="38"/>
        <v>62812205</v>
      </c>
      <c r="F163" s="2198">
        <f t="shared" si="38"/>
        <v>11</v>
      </c>
      <c r="G163" s="2209">
        <f t="shared" si="38"/>
        <v>296.36</v>
      </c>
      <c r="H163" s="2245">
        <f t="shared" si="38"/>
        <v>37086564</v>
      </c>
      <c r="I163" s="2185">
        <f t="shared" si="38"/>
        <v>7</v>
      </c>
      <c r="J163" s="2248">
        <f t="shared" si="37"/>
        <v>0.30806652806652807</v>
      </c>
      <c r="K163" s="2186">
        <f t="shared" si="37"/>
        <v>0.30998363920852312</v>
      </c>
      <c r="L163" s="66"/>
      <c r="M163" s="66"/>
      <c r="N163" s="66"/>
      <c r="O163" s="66"/>
    </row>
    <row r="164" spans="1:21" s="65" customFormat="1" ht="13.5" thickBot="1">
      <c r="A164" s="134"/>
      <c r="B164" s="44"/>
      <c r="C164" s="44"/>
      <c r="D164" s="134"/>
      <c r="E164" s="134"/>
      <c r="F164" s="44"/>
      <c r="G164" s="134"/>
      <c r="H164" s="134"/>
      <c r="I164" s="134"/>
      <c r="J164" s="2072"/>
      <c r="K164" s="255"/>
      <c r="L164" s="256"/>
      <c r="M164" s="134"/>
      <c r="N164" s="134"/>
      <c r="O164" s="134"/>
      <c r="P164" s="134"/>
      <c r="Q164" s="134"/>
      <c r="T164" s="66"/>
      <c r="U164" s="66"/>
    </row>
    <row r="165" spans="1:21" s="65" customFormat="1" ht="15.75" thickBot="1">
      <c r="A165" s="2314" t="s">
        <v>1368</v>
      </c>
      <c r="B165" s="2315"/>
      <c r="C165" s="2315"/>
      <c r="D165" s="2315"/>
      <c r="E165" s="2315"/>
      <c r="F165" s="2315"/>
      <c r="G165" s="2315"/>
      <c r="H165" s="2315"/>
      <c r="I165" s="2315"/>
      <c r="J165" s="2315"/>
      <c r="K165" s="2316"/>
      <c r="L165" s="66"/>
      <c r="O165" s="66"/>
      <c r="P165" s="66"/>
    </row>
    <row r="166" spans="1:21" s="65" customFormat="1">
      <c r="A166" s="2191" t="s">
        <v>1</v>
      </c>
      <c r="B166" s="2192" t="s">
        <v>100</v>
      </c>
      <c r="C166" s="2204" t="s">
        <v>97</v>
      </c>
      <c r="D166" s="2200" t="s">
        <v>53</v>
      </c>
      <c r="E166" s="2193" t="s">
        <v>11479</v>
      </c>
      <c r="F166" s="2197" t="s">
        <v>11480</v>
      </c>
      <c r="G166" s="2208" t="s">
        <v>53</v>
      </c>
      <c r="H166" s="2194" t="s">
        <v>11479</v>
      </c>
      <c r="I166" s="2194" t="s">
        <v>11480</v>
      </c>
      <c r="J166" s="2195" t="s">
        <v>11481</v>
      </c>
      <c r="K166" s="2196" t="s">
        <v>11482</v>
      </c>
      <c r="L166" s="66"/>
      <c r="O166" s="66"/>
      <c r="P166" s="66"/>
    </row>
    <row r="167" spans="1:21" s="65" customFormat="1">
      <c r="A167" s="2181" t="s">
        <v>28</v>
      </c>
      <c r="B167" s="2168"/>
      <c r="C167" s="2205"/>
      <c r="D167" s="2167">
        <f>SUMIFS(Июль25[м2],Июль25[КТУ],A167,Июль25[Комнатность],"Офис")</f>
        <v>0</v>
      </c>
      <c r="E167" s="2168">
        <f>SUMIFS(Июль25[Сумма без отделки],Июль25[КТУ],$A167,Июль25[Комнатность],"оФИС")</f>
        <v>0</v>
      </c>
      <c r="F167" s="2169">
        <f>COUNTIFS(Июль25[КТУ],$A167,Июль25[Комнатность],"Офис")</f>
        <v>0</v>
      </c>
      <c r="G167" s="202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H167" s="2244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I167" s="226">
        <f>COUNTIFS(РД[МОП],A167,РД[Дата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J167" s="2247" t="str">
        <f t="shared" ref="J167:K172" si="39">IFERROR(G167/B167,"")</f>
        <v/>
      </c>
      <c r="K167" s="225" t="str">
        <f t="shared" si="39"/>
        <v/>
      </c>
      <c r="L167" s="66"/>
      <c r="O167" s="66"/>
      <c r="P167" s="66"/>
    </row>
    <row r="168" spans="1:21" s="65" customFormat="1">
      <c r="A168" s="2181" t="s">
        <v>8</v>
      </c>
      <c r="B168" s="2168"/>
      <c r="C168" s="2205"/>
      <c r="D168" s="2167">
        <f>SUMIFS(Июль25[м2],Июль25[КТУ],A168,Июль25[Комнатность],"Офис")</f>
        <v>0</v>
      </c>
      <c r="E168" s="2168">
        <f>SUMIFS(Июль25[Сумма без отделки],Июль25[КТУ],$A168,Июль25[Комнатность],"оФИС")</f>
        <v>0</v>
      </c>
      <c r="F168" s="2169">
        <f>COUNTIFS(Июль25[КТУ],$A168,Июль25[Комнатность],"Офис")</f>
        <v>0</v>
      </c>
      <c r="G168" s="202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H168" s="2244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6">
        <f>COUNTIFS(РД[МОП],A168,РД[Дата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47" t="str">
        <f t="shared" si="39"/>
        <v/>
      </c>
      <c r="K168" s="225" t="str">
        <f t="shared" si="39"/>
        <v/>
      </c>
      <c r="O168" s="66"/>
      <c r="P168" s="66"/>
    </row>
    <row r="169" spans="1:21" s="65" customFormat="1">
      <c r="A169" s="2181" t="s">
        <v>20</v>
      </c>
      <c r="B169" s="2168"/>
      <c r="C169" s="2205"/>
      <c r="D169" s="2167">
        <f>SUMIFS(Июль25[м2],Июль25[КТУ],A169,Июль25[Комнатность],"Офис")</f>
        <v>0</v>
      </c>
      <c r="E169" s="2168">
        <f>SUMIFS(Июль25[Сумма без отделки],Июль25[КТУ],$A169,Июль25[Комнатность],"оФИС")</f>
        <v>0</v>
      </c>
      <c r="F169" s="2169">
        <f>COUNTIFS(Июль25[КТУ],$A169,Июль25[Комнатность],"Офис")</f>
        <v>0</v>
      </c>
      <c r="G169" s="202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H169" s="2244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26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47" t="str">
        <f t="shared" si="39"/>
        <v/>
      </c>
      <c r="K169" s="225" t="str">
        <f t="shared" si="39"/>
        <v/>
      </c>
      <c r="O169" s="66"/>
      <c r="P169" s="66"/>
    </row>
    <row r="170" spans="1:21" s="65" customFormat="1">
      <c r="A170" s="2181" t="s">
        <v>24</v>
      </c>
      <c r="B170" s="2168"/>
      <c r="C170" s="2205"/>
      <c r="D170" s="2167">
        <f>SUMIFS(Июль25[м2],Июль25[КТУ],A170,Июль25[Комнатность],"Офис")</f>
        <v>40.89</v>
      </c>
      <c r="E170" s="2168">
        <f>SUMIFS(Июль25[Сумма без отделки],Июль25[КТУ],$A170,Июль25[Комнатность],"оФИС")</f>
        <v>5724600</v>
      </c>
      <c r="F170" s="2169">
        <f>COUNTIFS(Июль25[КТУ],$A170,Июль25[Комнатность],"Офис")</f>
        <v>1</v>
      </c>
      <c r="G170" s="202">
        <f>SUMIFS(РД[S],РД[МОП],A170,РД[Дата подачи на регистрацию],"&lt;="&amp;$A$1,РД[Дата подачи на регистрацию],"&gt;="&amp;DATE(YEAR($A$1),MONTH($A$1),1),РД[Состояние],"Коммерция")</f>
        <v>106.49</v>
      </c>
      <c r="H170" s="2244">
        <f>SUMIFS(РД[Стоимость без отделки итог],РД[МОП],A170,РД[Дата подачи на регистрацию],"&lt;="&amp;$A$1,РД[Дата подачи на регистрацию],"&gt;="&amp;DATE(YEAR($A$1),MONTH($A$1),1),РД[Состояние],"Коммерция")</f>
        <v>13596600</v>
      </c>
      <c r="I170" s="226">
        <f>COUNTIFS(РД[МОП],A170,РД[Дата подачи на регистрацию],"&lt;="&amp;$A$1,РД[Дата подачи на регистрацию],"&gt;="&amp;DATE(YEAR($A$1),MONTH($A$1),1),РД[Состояние],"Коммерция")</f>
        <v>2</v>
      </c>
      <c r="J170" s="2247" t="str">
        <f t="shared" si="39"/>
        <v/>
      </c>
      <c r="K170" s="225" t="str">
        <f t="shared" si="39"/>
        <v/>
      </c>
      <c r="O170" s="66"/>
      <c r="P170" s="66"/>
    </row>
    <row r="171" spans="1:21" s="65" customFormat="1">
      <c r="A171" s="2181" t="s">
        <v>14</v>
      </c>
      <c r="B171" s="2168"/>
      <c r="C171" s="2205"/>
      <c r="D171" s="2167">
        <f>SUMIFS(Июль25[м2],Июль25[КТУ],A171,Июль25[Комнатность],"Офис")</f>
        <v>0</v>
      </c>
      <c r="E171" s="2168">
        <f>SUMIFS(Июль25[Сумма без отделки],Июль25[КТУ],$A171,Июль25[Комнатность],"оФИС")</f>
        <v>0</v>
      </c>
      <c r="F171" s="2169">
        <f>COUNTIFS(Июль25[КТУ],$A171,Июль25[Комнатность],"Офис")</f>
        <v>0</v>
      </c>
      <c r="G171" s="202">
        <f>SUMIFS(РД[S],РД[МОП],A171,РД[Дата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H171" s="2244">
        <f>SUMIFS(РД[Стоимость без отделки итог],РД[МОП],A171,РД[Дата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I171" s="226">
        <f>COUNTIFS(РД[МОП],A171,РД[Дата подачи на регистрацию],"&lt;="&amp;$A$1,РД[Дата подачи на регистрацию],"&gt;="&amp;DATE(YEAR($A$1),MONTH($A$1),1),РД[Состояние],"Коммерция")</f>
        <v>0</v>
      </c>
      <c r="J171" s="2247" t="str">
        <f t="shared" si="39"/>
        <v/>
      </c>
      <c r="K171" s="225" t="str">
        <f t="shared" si="39"/>
        <v/>
      </c>
      <c r="O171" s="66"/>
      <c r="P171" s="66"/>
    </row>
    <row r="172" spans="1:21" s="65" customFormat="1">
      <c r="A172" s="2181" t="s">
        <v>1884</v>
      </c>
      <c r="B172" s="2168"/>
      <c r="C172" s="2205"/>
      <c r="D172" s="2167">
        <f>SUMIFS(Июль25[м2],Июль25[КТУ],A172,Июль25[Комнатность],"Офис")</f>
        <v>0</v>
      </c>
      <c r="E172" s="2168">
        <f>SUMIFS(Июль25[Сумма без отделки],Июль25[КТУ],$A172,Июль25[Комнатность],"оФИС")</f>
        <v>0</v>
      </c>
      <c r="F172" s="2169">
        <f>COUNTIFS(Июль25[КТУ],$A172,Июль25[Комнатность],"Офис")</f>
        <v>0</v>
      </c>
      <c r="G172" s="202">
        <f>SUMIFS(РД[S],РД[МОП],A172,РД[Дата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H172" s="2244">
        <f>SUMIFS(РД[Стоимость без отделки итог],РД[МОП],A172,РД[Дата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I172" s="226">
        <f>COUNTIFS(РД[МОП],A172,РД[Дата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J172" s="2247" t="str">
        <f t="shared" si="39"/>
        <v/>
      </c>
      <c r="K172" s="225" t="str">
        <f t="shared" si="39"/>
        <v/>
      </c>
      <c r="O172" s="66"/>
      <c r="P172" s="66"/>
    </row>
    <row r="173" spans="1:21" s="65" customFormat="1" ht="13.5" thickBot="1">
      <c r="A173" s="2182" t="s">
        <v>114</v>
      </c>
      <c r="B173" s="2183">
        <f t="shared" ref="B173:K173" si="40">SUM(B167:B172)</f>
        <v>0</v>
      </c>
      <c r="C173" s="2206">
        <f t="shared" si="40"/>
        <v>0</v>
      </c>
      <c r="D173" s="2201">
        <f t="shared" si="40"/>
        <v>40.89</v>
      </c>
      <c r="E173" s="2183">
        <f t="shared" si="40"/>
        <v>5724600</v>
      </c>
      <c r="F173" s="2198">
        <f t="shared" si="40"/>
        <v>1</v>
      </c>
      <c r="G173" s="2209">
        <f t="shared" si="40"/>
        <v>106.49</v>
      </c>
      <c r="H173" s="2245">
        <f t="shared" si="40"/>
        <v>13596600</v>
      </c>
      <c r="I173" s="2185">
        <f t="shared" si="40"/>
        <v>2</v>
      </c>
      <c r="J173" s="2248">
        <f t="shared" si="40"/>
        <v>0</v>
      </c>
      <c r="K173" s="2186">
        <f t="shared" si="40"/>
        <v>0</v>
      </c>
      <c r="O173" s="66"/>
      <c r="P173" s="66"/>
    </row>
    <row r="174" spans="1:21" s="65" customFormat="1">
      <c r="A174" s="2187" t="s">
        <v>115</v>
      </c>
      <c r="B174" s="2188" t="s">
        <v>100</v>
      </c>
      <c r="C174" s="2207" t="s">
        <v>97</v>
      </c>
      <c r="D174" s="2202" t="s">
        <v>53</v>
      </c>
      <c r="E174" s="2189" t="s">
        <v>11479</v>
      </c>
      <c r="F174" s="2199" t="s">
        <v>11480</v>
      </c>
      <c r="G174" s="1358" t="s">
        <v>53</v>
      </c>
      <c r="H174" s="2246" t="s">
        <v>11479</v>
      </c>
      <c r="I174" s="1361" t="s">
        <v>11480</v>
      </c>
      <c r="J174" s="2249" t="s">
        <v>11481</v>
      </c>
      <c r="K174" s="2190" t="s">
        <v>11482</v>
      </c>
      <c r="P174" s="66"/>
    </row>
    <row r="175" spans="1:21" s="65" customFormat="1">
      <c r="A175" s="2181" t="s">
        <v>22</v>
      </c>
      <c r="B175" s="2168"/>
      <c r="C175" s="2205"/>
      <c r="D175" s="2167">
        <f>SUMIFS(Июль25[м2],Июль25[ИМ],A175,Июль25[Комнатность],"Офис")</f>
        <v>0</v>
      </c>
      <c r="E175" s="2180">
        <f>SUMIFS(Июль25[Сумма без отделки],Июль25[ИМ],$A175,Июль25[Комнатность],"оФИС")</f>
        <v>0</v>
      </c>
      <c r="F175" s="2169">
        <f>COUNTIFS(Июль25[ИМ],$A175,Июль25[Комнатность],"Офис")</f>
        <v>0</v>
      </c>
      <c r="G175" s="202">
        <f>SUMIFS(РД[S],РД[ИМ],A175,РД[Дата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H175" s="2244">
        <f>SUMIFS(РД[Стоимость без отделки итог],РД[ИМ],A175,РД[Дата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I175" s="226">
        <f>COUNTIFS(РД[ИМ],A175,РД[Дата подачи на регистрацию],"&lt;="&amp;$A$1,РД[Дата подачи на регистрацию],"&gt;="&amp;DATE(YEAR($A$1),MONTH($A$1),1),РД[Состояние],"Коммерция")</f>
        <v>0</v>
      </c>
      <c r="J175" s="2247" t="str">
        <f t="shared" ref="J175:K177" si="41">IFERROR(G175/B175,"")</f>
        <v/>
      </c>
      <c r="K175" s="225" t="str">
        <f t="shared" si="41"/>
        <v/>
      </c>
      <c r="P175" s="66"/>
    </row>
    <row r="176" spans="1:21" s="65" customFormat="1">
      <c r="A176" s="2181" t="s">
        <v>26</v>
      </c>
      <c r="B176" s="2168"/>
      <c r="C176" s="2205"/>
      <c r="D176" s="2167">
        <f>SUMIFS(Июль25[м2],Июль25[ИМ],A176,Июль25[Комнатность],"Офис")</f>
        <v>0</v>
      </c>
      <c r="E176" s="2180">
        <f>SUMIFS(Июль25[Сумма без отделки],Июль25[ИМ],$A176,Июль25[Комнатность],"оФИС")</f>
        <v>0</v>
      </c>
      <c r="F176" s="2169">
        <f>COUNTIFS(Июль25[ИМ],$A176,Июль25[Комнатность],"Офис")</f>
        <v>0</v>
      </c>
      <c r="G176" s="202">
        <f>SUMIFS(РД[S],РД[ИМ],A176,РД[Дата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H176" s="2244">
        <f>SUMIFS(РД[Стоимость без отделки итог],РД[ИМ],A176,РД[Дата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I176" s="226">
        <f>COUNTIFS(РД[ИМ],A176,РД[Дата подачи на регистрацию],"&lt;="&amp;$A$1,РД[Дата подачи на регистрацию],"&gt;="&amp;DATE(YEAR($A$1),MONTH($A$1),1),РД[Состояние],"Коммерция")</f>
        <v>0</v>
      </c>
      <c r="J176" s="2247" t="str">
        <f t="shared" si="41"/>
        <v/>
      </c>
      <c r="K176" s="225" t="str">
        <f t="shared" si="41"/>
        <v/>
      </c>
      <c r="P176" s="66"/>
    </row>
    <row r="177" spans="1:21" s="65" customFormat="1" ht="13.5" thickBot="1">
      <c r="A177" s="2182" t="s">
        <v>114</v>
      </c>
      <c r="B177" s="2183">
        <f t="shared" ref="B177:I177" si="42">SUM(B175:B176)</f>
        <v>0</v>
      </c>
      <c r="C177" s="2206">
        <f t="shared" si="42"/>
        <v>0</v>
      </c>
      <c r="D177" s="2201">
        <f t="shared" si="42"/>
        <v>0</v>
      </c>
      <c r="E177" s="2183">
        <f t="shared" si="42"/>
        <v>0</v>
      </c>
      <c r="F177" s="2198">
        <f t="shared" si="42"/>
        <v>0</v>
      </c>
      <c r="G177" s="2209">
        <f t="shared" si="42"/>
        <v>0</v>
      </c>
      <c r="H177" s="2245">
        <f t="shared" si="42"/>
        <v>0</v>
      </c>
      <c r="I177" s="2185">
        <f t="shared" si="42"/>
        <v>0</v>
      </c>
      <c r="J177" s="2248" t="str">
        <f t="shared" si="41"/>
        <v/>
      </c>
      <c r="K177" s="2186" t="str">
        <f t="shared" si="41"/>
        <v/>
      </c>
      <c r="P177" s="66"/>
    </row>
    <row r="178" spans="1:21" s="65" customFormat="1" ht="13.5" thickBot="1">
      <c r="A178" s="134"/>
      <c r="B178" s="44"/>
      <c r="C178" s="44"/>
      <c r="D178" s="134"/>
      <c r="E178" s="134"/>
      <c r="F178" s="44"/>
      <c r="G178" s="134"/>
      <c r="H178" s="134"/>
      <c r="I178" s="134"/>
      <c r="J178" s="2072"/>
      <c r="K178" s="255"/>
      <c r="L178" s="256"/>
      <c r="M178" s="134"/>
      <c r="N178" s="134"/>
      <c r="O178" s="134"/>
      <c r="P178" s="134"/>
      <c r="Q178" s="72"/>
      <c r="U178" s="66"/>
    </row>
    <row r="179" spans="1:21" s="65" customFormat="1" ht="15.75" thickBot="1">
      <c r="A179" s="2409" t="s">
        <v>945</v>
      </c>
      <c r="B179" s="2410"/>
      <c r="C179" s="2410"/>
      <c r="D179" s="2410"/>
      <c r="E179" s="2410"/>
      <c r="F179" s="2411"/>
      <c r="G179" s="339"/>
      <c r="H179" s="339"/>
      <c r="I179" s="86"/>
      <c r="M179" s="66"/>
    </row>
    <row r="180" spans="1:21" s="65" customFormat="1">
      <c r="A180" s="2210" t="s">
        <v>1</v>
      </c>
      <c r="B180" s="2194" t="s">
        <v>101</v>
      </c>
      <c r="C180" s="2213" t="s">
        <v>98</v>
      </c>
      <c r="D180" s="2200" t="s">
        <v>53</v>
      </c>
      <c r="E180" s="2193" t="s">
        <v>11479</v>
      </c>
      <c r="F180" s="2211" t="s">
        <v>11480</v>
      </c>
      <c r="G180" s="339"/>
      <c r="H180" s="86"/>
      <c r="L180" s="66"/>
    </row>
    <row r="181" spans="1:21" s="65" customFormat="1">
      <c r="A181" s="2212" t="s">
        <v>28</v>
      </c>
      <c r="B181" s="200">
        <f>SUMIFS(РД[S],РД[МОП],A181,РД[Дата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C181" s="2250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D181" s="199">
        <f>SUMIFS(Июль25[м2],Июль25[КТУ],$A181,Июль25[МОП],"АН -*")</f>
        <v>0</v>
      </c>
      <c r="E181" s="2254">
        <f>SUMIFS(Июль25[Сумма без отделки],Июль25[КТУ],$A181,Июль25[МОП],"АН -*")</f>
        <v>0</v>
      </c>
      <c r="F181" s="2179">
        <f>COUNTIFS(Июль25[КТУ],$A181,Июль25[МОП],"АН -*")</f>
        <v>0</v>
      </c>
      <c r="G181" s="339"/>
      <c r="H181" s="86"/>
      <c r="L181" s="66"/>
    </row>
    <row r="182" spans="1:21" s="65" customFormat="1">
      <c r="A182" s="2212" t="s">
        <v>8</v>
      </c>
      <c r="B182" s="200">
        <f>SUMIFS(РД[S],РД[МОП],A182,РД[Дата подачи на регистрацию],"&lt;="&amp;$A$1,РД[Дата подачи на регистрацию],"&gt;="&amp;DATE(YEAR($A$1),MONTH($A$1),1),РД[Источник рекламы],"Н -*")</f>
        <v>44.9</v>
      </c>
      <c r="C182" s="2250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</f>
        <v>5596976</v>
      </c>
      <c r="D182" s="199">
        <f>SUMIFS(Июль25[м2],Июль25[КТУ],$A182,Июль25[МОП],"АН -*")</f>
        <v>44.9</v>
      </c>
      <c r="E182" s="2254">
        <f>SUMIFS(Июль25[Сумма без отделки],Июль25[КТУ],$A182,Июль25[МОП],"АН -*")</f>
        <v>5596976</v>
      </c>
      <c r="F182" s="2179">
        <f>COUNTIFS(Июль25[КТУ],$A182,Июль25[МОП],"АН -*")</f>
        <v>1</v>
      </c>
      <c r="G182" s="339"/>
      <c r="H182" s="86"/>
      <c r="L182" s="66"/>
    </row>
    <row r="183" spans="1:21" s="65" customFormat="1">
      <c r="A183" s="2212" t="s">
        <v>20</v>
      </c>
      <c r="B183" s="200">
        <f>SUMIFS(РД[S],РД[МОП],A183,РД[Дата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C183" s="2250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D183" s="199">
        <f>SUMIFS(Июль25[м2],Июль25[КТУ],$A183,Июль25[МОП],"АН -*")</f>
        <v>0</v>
      </c>
      <c r="E183" s="2254">
        <f>SUMIFS(Июль25[Сумма без отделки],Июль25[КТУ],$A183,Июль25[МОП],"АН -*")</f>
        <v>0</v>
      </c>
      <c r="F183" s="2179">
        <f>COUNTIFS(Июль25[КТУ],$A183,Июль25[МОП],"АН -*")</f>
        <v>0</v>
      </c>
      <c r="G183" s="339"/>
      <c r="H183" s="86"/>
      <c r="L183" s="66"/>
    </row>
    <row r="184" spans="1:21" s="65" customFormat="1">
      <c r="A184" s="2212" t="s">
        <v>24</v>
      </c>
      <c r="B184" s="200">
        <f>SUMIFS(РД[S],РД[МОП],A184,РД[Дата подачи на регистрацию],"&lt;="&amp;$A$1,РД[Дата подачи на регистрацию],"&gt;="&amp;DATE(YEAR($A$1),MONTH($A$1),1),РД[Источник рекламы],"Н -*")</f>
        <v>68.3</v>
      </c>
      <c r="C184" s="2250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</f>
        <v>7639256</v>
      </c>
      <c r="D184" s="199">
        <f>SUMIFS(Июль25[м2],Июль25[КТУ],$A184,Июль25[МОП],"АН -*")</f>
        <v>68.5</v>
      </c>
      <c r="E184" s="2254">
        <f>SUMIFS(Июль25[Сумма без отделки],Июль25[КТУ],$A184,Июль25[МОП],"АН -*")</f>
        <v>7671439</v>
      </c>
      <c r="F184" s="2179">
        <f>COUNTIFS(Июль25[КТУ],$A184,Июль25[МОП],"АН -*")</f>
        <v>1</v>
      </c>
      <c r="G184" s="339"/>
      <c r="H184" s="86"/>
      <c r="L184" s="66"/>
    </row>
    <row r="185" spans="1:21" s="65" customFormat="1">
      <c r="A185" s="2212" t="s">
        <v>14</v>
      </c>
      <c r="B185" s="200">
        <f>SUMIFS(РД[S],РД[МОП],A185,РД[Дата подачи на регистрацию],"&lt;="&amp;$A$1,РД[Дата подачи на регистрацию],"&gt;="&amp;DATE(YEAR($A$1),MONTH($A$1),1),РД[Источник рекламы],"Н -*")</f>
        <v>106.47999999999999</v>
      </c>
      <c r="C185" s="2250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рекламы],"Н -*")</f>
        <v>13181416</v>
      </c>
      <c r="D185" s="199">
        <f>SUMIFS(Июль25[м2],Июль25[КТУ],$A185,Июль25[МОП],"АН -*")</f>
        <v>106.47999999999999</v>
      </c>
      <c r="E185" s="2254">
        <f>SUMIFS(Июль25[Сумма без отделки],Июль25[КТУ],$A185,Июль25[МОП],"АН -*")</f>
        <v>13314478</v>
      </c>
      <c r="F185" s="2179">
        <f>COUNTIFS(Июль25[КТУ],$A185,Июль25[МОП],"АН -*")</f>
        <v>2</v>
      </c>
      <c r="G185" s="339"/>
      <c r="H185" s="86"/>
      <c r="L185" s="66"/>
    </row>
    <row r="186" spans="1:21" s="65" customFormat="1" ht="13.5" thickBot="1">
      <c r="A186" s="2214" t="s">
        <v>1884</v>
      </c>
      <c r="B186" s="300">
        <f>SUMIFS(РД[S],РД[МОП],A186,РД[Дата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C186" s="2251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D186" s="299">
        <f>SUMIFS(Июль25[м2],Июль25[КТУ],$A186,Июль25[МОП],"АН -*")</f>
        <v>0</v>
      </c>
      <c r="E186" s="2255">
        <f>SUMIFS(Июль25[Сумма без отделки],Июль25[КТУ],$A186,Июль25[МОП],"АН -*")</f>
        <v>0</v>
      </c>
      <c r="F186" s="2178">
        <f>COUNTIFS(Июль25[КТУ],$A186,Июль25[МОП],"АН -*")</f>
        <v>0</v>
      </c>
      <c r="G186" s="339"/>
      <c r="H186" s="86"/>
      <c r="L186" s="66"/>
    </row>
    <row r="187" spans="1:21" s="65" customFormat="1" ht="13.5" thickBot="1">
      <c r="A187" s="473" t="s">
        <v>114</v>
      </c>
      <c r="B187" s="321">
        <f>SUM(B181:B186)</f>
        <v>219.67999999999998</v>
      </c>
      <c r="C187" s="2252">
        <f>SUM(C181:C186)</f>
        <v>26417648</v>
      </c>
      <c r="D187" s="320">
        <f>SUM(D181:D186)</f>
        <v>219.88</v>
      </c>
      <c r="E187" s="2256">
        <f>SUM(E181:E186)</f>
        <v>26582893</v>
      </c>
      <c r="F187" s="319">
        <f>SUM(F181:F186)</f>
        <v>4</v>
      </c>
      <c r="G187" s="339"/>
      <c r="H187" s="86"/>
      <c r="L187" s="66"/>
    </row>
    <row r="188" spans="1:21" s="65" customFormat="1">
      <c r="A188" s="2215" t="s">
        <v>115</v>
      </c>
      <c r="B188" s="1361" t="s">
        <v>101</v>
      </c>
      <c r="C188" s="2253" t="s">
        <v>98</v>
      </c>
      <c r="D188" s="2202" t="s">
        <v>53</v>
      </c>
      <c r="E188" s="2257" t="s">
        <v>11479</v>
      </c>
      <c r="F188" s="2216" t="s">
        <v>11480</v>
      </c>
      <c r="G188" s="339"/>
      <c r="H188" s="86"/>
      <c r="L188" s="66"/>
    </row>
    <row r="189" spans="1:21" s="65" customFormat="1">
      <c r="A189" s="2212" t="s">
        <v>22</v>
      </c>
      <c r="B189" s="200">
        <f>SUMIFS(РД[S],РД[ИМ],A189,РД[Дата подачи на регистрацию],"&lt;="&amp;$A$1,РД[Дата подачи на регистрацию],"&gt;="&amp;DATE(YEAR($A$1),MONTH($A$1),1),РД[Источник рекламы],"Н -*")</f>
        <v>0</v>
      </c>
      <c r="C189" s="2250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рекламы],"Н -*")</f>
        <v>0</v>
      </c>
      <c r="D189" s="199">
        <f>SUMIFS(Июль25[м2],Июль25[ИМ],$A189,Июль25[КТУ],"АН -*")</f>
        <v>0</v>
      </c>
      <c r="E189" s="2254">
        <f>SUMIFS(Июль25[Сумма без отделки],Июль25[ИМ],$A189,Июль25[КТУ],"АН -*")</f>
        <v>0</v>
      </c>
      <c r="F189" s="2179">
        <f>COUNTIFS(Июль25[ИМ],$A189,Июль25[КТУ],"АН -*")</f>
        <v>0</v>
      </c>
      <c r="G189" s="339"/>
      <c r="H189" s="86"/>
      <c r="L189" s="66"/>
    </row>
    <row r="190" spans="1:21" s="65" customFormat="1" ht="13.5" thickBot="1">
      <c r="A190" s="2214" t="s">
        <v>26</v>
      </c>
      <c r="B190" s="300">
        <f>SUMIFS(РД[S],РД[ИМ],A190,РД[Дата подачи на регистрацию],"&lt;="&amp;$A$1,РД[Дата подачи на регистрацию],"&gt;="&amp;DATE(YEAR($A$1),MONTH($A$1),1),РД[Источник рекламы],"Н -*")</f>
        <v>0</v>
      </c>
      <c r="C190" s="2251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рекламы],"Н -*")</f>
        <v>0</v>
      </c>
      <c r="D190" s="299">
        <f>SUMIFS(Июль25[м2],Июль25[ИМ],$A190,Июль25[КТУ],"АН -*")</f>
        <v>0</v>
      </c>
      <c r="E190" s="2255">
        <f>SUMIFS(Июль25[Сумма без отделки],Июль25[ИМ],$A190,Июль25[КТУ],"АН -*")</f>
        <v>0</v>
      </c>
      <c r="F190" s="2178">
        <f>COUNTIFS(Июль25[ИМ],$A190,Июль25[КТУ],"АН -*")</f>
        <v>0</v>
      </c>
      <c r="G190" s="339"/>
      <c r="H190" s="86"/>
      <c r="L190" s="66"/>
    </row>
    <row r="191" spans="1:21" s="65" customFormat="1" ht="13.5" thickBot="1">
      <c r="A191" s="473" t="s">
        <v>114</v>
      </c>
      <c r="B191" s="321">
        <f>SUM(B189:B190)</f>
        <v>0</v>
      </c>
      <c r="C191" s="2252">
        <f>SUM(C189:C190)</f>
        <v>0</v>
      </c>
      <c r="D191" s="320">
        <f>SUM(D189:D190)</f>
        <v>0</v>
      </c>
      <c r="E191" s="2256">
        <f>SUM(E189:E190)</f>
        <v>0</v>
      </c>
      <c r="F191" s="319">
        <f>SUM(F189:F190)</f>
        <v>0</v>
      </c>
      <c r="G191" s="339"/>
      <c r="H191" s="86"/>
      <c r="L191" s="66"/>
    </row>
    <row r="192" spans="1:21" s="65" customFormat="1">
      <c r="H192" s="2063"/>
      <c r="O192" s="86"/>
      <c r="S192" s="66"/>
    </row>
    <row r="193" spans="10:21" s="65" customFormat="1">
      <c r="J193" s="2063"/>
      <c r="Q193" s="86"/>
      <c r="U193" s="66"/>
    </row>
    <row r="194" spans="10:21" s="65" customFormat="1">
      <c r="J194" s="2063"/>
      <c r="Q194" s="86"/>
      <c r="U194" s="66"/>
    </row>
    <row r="195" spans="10:21" s="65" customFormat="1">
      <c r="J195" s="2063"/>
      <c r="Q195" s="86"/>
      <c r="U195" s="66"/>
    </row>
    <row r="196" spans="10:21" s="65" customFormat="1">
      <c r="J196" s="2063"/>
      <c r="Q196" s="86"/>
      <c r="U196" s="66"/>
    </row>
    <row r="197" spans="10:21" s="65" customFormat="1">
      <c r="J197" s="2063"/>
      <c r="Q197" s="86"/>
      <c r="U197" s="66"/>
    </row>
    <row r="198" spans="10:21" s="65" customFormat="1">
      <c r="J198" s="2063"/>
      <c r="Q198" s="86"/>
      <c r="U198" s="66"/>
    </row>
    <row r="199" spans="10:21" s="65" customFormat="1">
      <c r="J199" s="2063"/>
      <c r="Q199" s="86"/>
      <c r="U199" s="66"/>
    </row>
    <row r="200" spans="10:21" s="65" customFormat="1">
      <c r="J200" s="2063"/>
      <c r="Q200" s="86"/>
      <c r="U200" s="66"/>
    </row>
    <row r="201" spans="10:21" s="65" customFormat="1">
      <c r="J201" s="2063"/>
      <c r="Q201" s="86"/>
      <c r="U201" s="66"/>
    </row>
    <row r="202" spans="10:21" s="65" customFormat="1">
      <c r="J202" s="2063"/>
      <c r="Q202" s="86"/>
      <c r="U202" s="66"/>
    </row>
    <row r="203" spans="10:21" s="65" customFormat="1">
      <c r="J203" s="2063"/>
      <c r="Q203" s="86"/>
      <c r="U203" s="66"/>
    </row>
    <row r="204" spans="10:21" s="65" customFormat="1">
      <c r="J204" s="2063"/>
      <c r="Q204" s="86"/>
      <c r="U204" s="66"/>
    </row>
    <row r="205" spans="10:21" s="65" customFormat="1">
      <c r="J205" s="2063"/>
      <c r="Q205" s="86"/>
      <c r="U205" s="66"/>
    </row>
    <row r="206" spans="10:21" s="65" customFormat="1">
      <c r="J206" s="2063"/>
      <c r="Q206" s="86"/>
      <c r="U206" s="66"/>
    </row>
    <row r="207" spans="10:21" s="65" customFormat="1">
      <c r="J207" s="2063"/>
      <c r="Q207" s="86"/>
      <c r="U207" s="66"/>
    </row>
    <row r="208" spans="10:21" s="65" customFormat="1">
      <c r="J208" s="2063"/>
      <c r="Q208" s="86"/>
      <c r="U208" s="66"/>
    </row>
    <row r="209" spans="10:21" s="65" customFormat="1">
      <c r="J209" s="2063"/>
      <c r="Q209" s="86"/>
      <c r="U209" s="66"/>
    </row>
    <row r="210" spans="10:21" s="65" customFormat="1">
      <c r="J210" s="2063"/>
      <c r="Q210" s="86"/>
      <c r="U210" s="66"/>
    </row>
    <row r="211" spans="10:21" s="65" customFormat="1">
      <c r="J211" s="2063"/>
      <c r="Q211" s="86"/>
      <c r="U211" s="66"/>
    </row>
    <row r="212" spans="10:21" s="65" customFormat="1">
      <c r="J212" s="2063"/>
      <c r="Q212" s="86"/>
      <c r="U212" s="66"/>
    </row>
    <row r="213" spans="10:21" s="65" customFormat="1">
      <c r="J213" s="2063"/>
      <c r="Q213" s="86"/>
      <c r="U213" s="66"/>
    </row>
    <row r="214" spans="10:21" s="65" customFormat="1">
      <c r="J214" s="2063"/>
      <c r="Q214" s="86"/>
      <c r="U214" s="66"/>
    </row>
    <row r="215" spans="10:21" s="65" customFormat="1">
      <c r="J215" s="2063"/>
      <c r="Q215" s="86"/>
      <c r="U215" s="66"/>
    </row>
    <row r="216" spans="10:21" s="65" customFormat="1">
      <c r="J216" s="2063"/>
      <c r="Q216" s="86"/>
      <c r="U216" s="66"/>
    </row>
    <row r="217" spans="10:21" s="65" customFormat="1">
      <c r="J217" s="2063"/>
      <c r="Q217" s="86"/>
      <c r="U217" s="66"/>
    </row>
    <row r="218" spans="10:21" s="65" customFormat="1">
      <c r="J218" s="2063"/>
      <c r="Q218" s="86"/>
      <c r="U218" s="66"/>
    </row>
    <row r="219" spans="10:21" s="65" customFormat="1">
      <c r="J219" s="2063"/>
      <c r="Q219" s="86"/>
      <c r="U219" s="66"/>
    </row>
    <row r="220" spans="10:21" s="65" customFormat="1">
      <c r="J220" s="2063"/>
      <c r="Q220" s="86"/>
      <c r="U220" s="66"/>
    </row>
    <row r="221" spans="10:21" s="65" customFormat="1">
      <c r="J221" s="2063"/>
      <c r="Q221" s="86"/>
      <c r="U221" s="66"/>
    </row>
    <row r="222" spans="10:21" s="65" customFormat="1">
      <c r="J222" s="2063"/>
      <c r="Q222" s="86"/>
      <c r="U222" s="66"/>
    </row>
    <row r="223" spans="10:21" s="65" customFormat="1">
      <c r="J223" s="2063"/>
      <c r="Q223" s="86"/>
      <c r="U223" s="66"/>
    </row>
    <row r="224" spans="10:21" s="65" customFormat="1">
      <c r="J224" s="2063"/>
      <c r="Q224" s="86"/>
      <c r="U224" s="66"/>
    </row>
    <row r="225" spans="1:21" s="65" customFormat="1">
      <c r="J225" s="2063"/>
      <c r="Q225" s="86"/>
      <c r="U225" s="66"/>
    </row>
    <row r="226" spans="1:21" s="65" customFormat="1">
      <c r="J226" s="2063"/>
      <c r="Q226" s="86"/>
      <c r="U226" s="66"/>
    </row>
    <row r="227" spans="1:21" s="65" customFormat="1">
      <c r="J227" s="2063"/>
      <c r="Q227" s="86"/>
      <c r="U227" s="66"/>
    </row>
    <row r="228" spans="1:21">
      <c r="A228" s="65"/>
      <c r="B228" s="65"/>
      <c r="C228" s="65"/>
      <c r="D228" s="65"/>
      <c r="E228" s="65"/>
      <c r="F228" s="65"/>
      <c r="G228" s="65"/>
      <c r="H228" s="65"/>
      <c r="I228" s="65"/>
      <c r="J228" s="2063"/>
      <c r="K228" s="65"/>
      <c r="L228" s="65"/>
      <c r="M228" s="65"/>
      <c r="N228" s="65"/>
      <c r="O228" s="65"/>
      <c r="P228" s="65"/>
      <c r="Q228" s="86"/>
      <c r="R228" s="65"/>
      <c r="S228" s="65"/>
    </row>
    <row r="229" spans="1:21">
      <c r="A229" s="65"/>
      <c r="B229" s="65"/>
      <c r="C229" s="65"/>
      <c r="D229" s="65"/>
      <c r="E229" s="65"/>
      <c r="F229" s="65"/>
      <c r="G229" s="65"/>
      <c r="H229" s="65"/>
      <c r="I229" s="65"/>
      <c r="J229" s="2063"/>
      <c r="K229" s="65"/>
      <c r="L229" s="65"/>
      <c r="M229" s="65"/>
      <c r="N229" s="65"/>
      <c r="O229" s="65"/>
      <c r="P229" s="65"/>
      <c r="Q229" s="86"/>
      <c r="R229" s="65"/>
      <c r="S229" s="65"/>
    </row>
    <row r="230" spans="1:21" s="65" customFormat="1">
      <c r="J230" s="2063"/>
      <c r="Q230" s="86"/>
      <c r="U230" s="66"/>
    </row>
    <row r="231" spans="1:21" s="65" customFormat="1">
      <c r="J231" s="2063"/>
      <c r="Q231" s="86"/>
      <c r="U231" s="66"/>
    </row>
    <row r="232" spans="1:21" s="65" customFormat="1">
      <c r="J232" s="2063"/>
      <c r="Q232" s="86"/>
      <c r="U232" s="66"/>
    </row>
    <row r="233" spans="1:21" s="65" customFormat="1">
      <c r="J233" s="2063"/>
      <c r="Q233" s="86"/>
      <c r="U233" s="66"/>
    </row>
    <row r="234" spans="1:21" s="65" customFormat="1">
      <c r="J234" s="2063"/>
      <c r="Q234" s="86"/>
      <c r="U234" s="66"/>
    </row>
    <row r="235" spans="1:21" s="65" customFormat="1">
      <c r="J235" s="2063"/>
      <c r="Q235" s="86"/>
      <c r="U235" s="66"/>
    </row>
    <row r="236" spans="1:21" s="65" customFormat="1">
      <c r="J236" s="2063"/>
      <c r="Q236" s="86"/>
      <c r="U236" s="66"/>
    </row>
    <row r="237" spans="1:21" s="65" customFormat="1">
      <c r="J237" s="2063"/>
      <c r="Q237" s="86"/>
      <c r="U237" s="66"/>
    </row>
    <row r="238" spans="1:21" s="65" customFormat="1">
      <c r="J238" s="2063"/>
      <c r="Q238" s="86"/>
      <c r="U238" s="66"/>
    </row>
    <row r="239" spans="1:21" s="65" customFormat="1">
      <c r="J239" s="2063"/>
      <c r="Q239" s="86"/>
      <c r="U239" s="66"/>
    </row>
    <row r="240" spans="1:21" s="65" customFormat="1">
      <c r="J240" s="2063"/>
      <c r="Q240" s="86"/>
      <c r="U240" s="66"/>
    </row>
    <row r="241" spans="10:21" s="65" customFormat="1">
      <c r="J241" s="2063"/>
      <c r="Q241" s="86"/>
      <c r="U241" s="66"/>
    </row>
    <row r="242" spans="10:21" s="65" customFormat="1">
      <c r="J242" s="2063"/>
      <c r="Q242" s="86"/>
      <c r="U242" s="66"/>
    </row>
    <row r="243" spans="10:21" s="65" customFormat="1">
      <c r="J243" s="2063"/>
      <c r="Q243" s="86"/>
      <c r="U243" s="66"/>
    </row>
    <row r="244" spans="10:21" s="65" customFormat="1">
      <c r="J244" s="2063"/>
      <c r="Q244" s="86"/>
      <c r="U244" s="66"/>
    </row>
    <row r="245" spans="10:21" s="65" customFormat="1">
      <c r="J245" s="2063"/>
      <c r="Q245" s="86"/>
      <c r="U245" s="66"/>
    </row>
    <row r="246" spans="10:21" s="65" customFormat="1">
      <c r="J246" s="2063"/>
      <c r="Q246" s="86"/>
      <c r="U246" s="66"/>
    </row>
    <row r="247" spans="10:21" s="65" customFormat="1">
      <c r="J247" s="2063"/>
      <c r="Q247" s="86"/>
      <c r="U247" s="66"/>
    </row>
    <row r="248" spans="10:21" s="65" customFormat="1">
      <c r="J248" s="2063"/>
      <c r="Q248" s="86"/>
      <c r="U248" s="66"/>
    </row>
    <row r="249" spans="10:21" s="65" customFormat="1">
      <c r="J249" s="2063"/>
      <c r="Q249" s="86"/>
      <c r="U249" s="66"/>
    </row>
    <row r="250" spans="10:21" s="65" customFormat="1">
      <c r="J250" s="2063"/>
      <c r="Q250" s="86"/>
      <c r="U250" s="66"/>
    </row>
    <row r="251" spans="10:21" s="65" customFormat="1">
      <c r="J251" s="2063"/>
      <c r="Q251" s="86"/>
      <c r="U251" s="66"/>
    </row>
    <row r="252" spans="10:21" s="65" customFormat="1">
      <c r="J252" s="2063"/>
      <c r="Q252" s="86"/>
      <c r="U252" s="66"/>
    </row>
    <row r="253" spans="10:21" s="65" customFormat="1">
      <c r="J253" s="2063"/>
      <c r="Q253" s="86"/>
      <c r="U253" s="66"/>
    </row>
    <row r="254" spans="10:21" s="65" customFormat="1">
      <c r="J254" s="2063"/>
      <c r="Q254" s="86"/>
      <c r="U254" s="66"/>
    </row>
    <row r="255" spans="10:21" s="65" customFormat="1">
      <c r="J255" s="2063"/>
      <c r="Q255" s="86"/>
      <c r="U255" s="66"/>
    </row>
    <row r="256" spans="10:21" s="65" customFormat="1">
      <c r="J256" s="2063"/>
      <c r="Q256" s="86"/>
      <c r="U256" s="66"/>
    </row>
    <row r="257" spans="10:21" s="65" customFormat="1">
      <c r="J257" s="2063"/>
      <c r="Q257" s="86"/>
      <c r="U257" s="66"/>
    </row>
    <row r="258" spans="10:21" s="65" customFormat="1">
      <c r="J258" s="2063"/>
      <c r="Q258" s="86"/>
      <c r="U258" s="66"/>
    </row>
    <row r="259" spans="10:21" s="65" customFormat="1">
      <c r="J259" s="2063"/>
      <c r="Q259" s="86"/>
      <c r="U259" s="66"/>
    </row>
    <row r="260" spans="10:21" s="65" customFormat="1">
      <c r="J260" s="2063"/>
      <c r="Q260" s="86"/>
      <c r="U260" s="66"/>
    </row>
    <row r="261" spans="10:21" s="65" customFormat="1">
      <c r="J261" s="2063"/>
      <c r="Q261" s="86"/>
      <c r="U261" s="66"/>
    </row>
    <row r="262" spans="10:21" s="65" customFormat="1">
      <c r="J262" s="2063"/>
      <c r="Q262" s="86"/>
      <c r="U262" s="66"/>
    </row>
    <row r="263" spans="10:21" s="65" customFormat="1">
      <c r="J263" s="2063"/>
      <c r="Q263" s="86"/>
      <c r="U263" s="66"/>
    </row>
    <row r="264" spans="10:21" s="65" customFormat="1">
      <c r="J264" s="2063"/>
      <c r="Q264" s="86"/>
      <c r="U264" s="66"/>
    </row>
    <row r="265" spans="10:21" s="65" customFormat="1">
      <c r="J265" s="2063"/>
      <c r="Q265" s="86"/>
      <c r="U265" s="66"/>
    </row>
    <row r="266" spans="10:21" s="65" customFormat="1">
      <c r="J266" s="2063"/>
      <c r="Q266" s="86"/>
      <c r="U266" s="66"/>
    </row>
    <row r="267" spans="10:21" s="65" customFormat="1">
      <c r="J267" s="2063"/>
      <c r="Q267" s="86"/>
      <c r="U267" s="66"/>
    </row>
    <row r="268" spans="10:21" s="65" customFormat="1">
      <c r="J268" s="2063"/>
      <c r="Q268" s="86"/>
      <c r="U268" s="66"/>
    </row>
    <row r="269" spans="10:21" s="65" customFormat="1">
      <c r="J269" s="2063"/>
      <c r="Q269" s="86"/>
      <c r="U269" s="66"/>
    </row>
    <row r="270" spans="10:21" s="65" customFormat="1">
      <c r="J270" s="2063"/>
      <c r="Q270" s="86"/>
      <c r="U270" s="66"/>
    </row>
    <row r="271" spans="10:21" s="65" customFormat="1">
      <c r="J271" s="2063"/>
      <c r="Q271" s="86"/>
      <c r="U271" s="66"/>
    </row>
    <row r="272" spans="10:21" s="65" customFormat="1">
      <c r="J272" s="2063"/>
      <c r="Q272" s="86"/>
      <c r="U272" s="66"/>
    </row>
    <row r="273" spans="10:21" s="65" customFormat="1">
      <c r="J273" s="2063"/>
      <c r="Q273" s="86"/>
      <c r="U273" s="66"/>
    </row>
    <row r="274" spans="10:21" s="65" customFormat="1">
      <c r="J274" s="2063"/>
      <c r="Q274" s="86"/>
      <c r="U274" s="66"/>
    </row>
    <row r="275" spans="10:21" s="65" customFormat="1">
      <c r="J275" s="2063"/>
      <c r="Q275" s="86"/>
      <c r="U275" s="66"/>
    </row>
    <row r="276" spans="10:21" s="65" customFormat="1">
      <c r="J276" s="2063"/>
      <c r="Q276" s="86"/>
      <c r="U276" s="66"/>
    </row>
    <row r="277" spans="10:21" s="65" customFormat="1">
      <c r="J277" s="2063"/>
      <c r="Q277" s="86"/>
      <c r="U277" s="66"/>
    </row>
    <row r="278" spans="10:21" s="65" customFormat="1">
      <c r="J278" s="2063"/>
      <c r="Q278" s="86"/>
      <c r="U278" s="66"/>
    </row>
    <row r="279" spans="10:21" s="65" customFormat="1">
      <c r="J279" s="2063"/>
      <c r="Q279" s="86"/>
      <c r="U279" s="66"/>
    </row>
    <row r="280" spans="10:21" s="65" customFormat="1">
      <c r="J280" s="2063"/>
      <c r="Q280" s="86"/>
      <c r="U280" s="66"/>
    </row>
    <row r="281" spans="10:21" s="65" customFormat="1">
      <c r="J281" s="2063"/>
      <c r="Q281" s="86"/>
      <c r="U281" s="66"/>
    </row>
    <row r="282" spans="10:21" s="65" customFormat="1">
      <c r="J282" s="2063"/>
      <c r="Q282" s="86"/>
      <c r="U282" s="66"/>
    </row>
    <row r="283" spans="10:21" s="65" customFormat="1">
      <c r="J283" s="2063"/>
      <c r="Q283" s="86"/>
      <c r="U283" s="66"/>
    </row>
    <row r="284" spans="10:21" s="65" customFormat="1">
      <c r="J284" s="2063"/>
      <c r="Q284" s="86"/>
      <c r="U284" s="66"/>
    </row>
    <row r="285" spans="10:21" s="65" customFormat="1">
      <c r="J285" s="2063"/>
      <c r="Q285" s="86"/>
      <c r="U285" s="66"/>
    </row>
    <row r="286" spans="10:21" s="65" customFormat="1">
      <c r="J286" s="2063"/>
      <c r="Q286" s="86"/>
      <c r="U286" s="66"/>
    </row>
    <row r="287" spans="10:21" s="65" customFormat="1">
      <c r="J287" s="2063"/>
      <c r="Q287" s="86"/>
      <c r="U287" s="66"/>
    </row>
    <row r="288" spans="10:21" s="65" customFormat="1">
      <c r="J288" s="2063"/>
      <c r="Q288" s="86"/>
      <c r="U288" s="66"/>
    </row>
    <row r="289" spans="10:21" s="65" customFormat="1">
      <c r="J289" s="2063"/>
      <c r="Q289" s="86"/>
      <c r="U289" s="66"/>
    </row>
    <row r="290" spans="10:21" s="65" customFormat="1">
      <c r="J290" s="2063"/>
      <c r="Q290" s="86"/>
      <c r="U290" s="66"/>
    </row>
    <row r="291" spans="10:21" s="65" customFormat="1">
      <c r="J291" s="2063"/>
      <c r="Q291" s="86"/>
      <c r="U291" s="66"/>
    </row>
    <row r="292" spans="10:21" s="65" customFormat="1">
      <c r="J292" s="2063"/>
      <c r="Q292" s="86"/>
      <c r="U292" s="66"/>
    </row>
    <row r="293" spans="10:21" s="65" customFormat="1">
      <c r="J293" s="2063"/>
      <c r="Q293" s="86"/>
      <c r="U293" s="66"/>
    </row>
    <row r="294" spans="10:21" s="65" customFormat="1">
      <c r="J294" s="2063"/>
      <c r="Q294" s="86"/>
      <c r="U294" s="66"/>
    </row>
    <row r="295" spans="10:21" s="65" customFormat="1">
      <c r="J295" s="2063"/>
      <c r="Q295" s="86"/>
      <c r="U295" s="66"/>
    </row>
    <row r="296" spans="10:21" s="65" customFormat="1">
      <c r="J296" s="2063"/>
      <c r="Q296" s="86"/>
      <c r="U296" s="66"/>
    </row>
    <row r="297" spans="10:21" s="65" customFormat="1">
      <c r="J297" s="2063"/>
      <c r="Q297" s="86"/>
      <c r="U297" s="66"/>
    </row>
    <row r="298" spans="10:21" s="65" customFormat="1">
      <c r="J298" s="2063"/>
      <c r="Q298" s="86"/>
      <c r="U298" s="66"/>
    </row>
    <row r="299" spans="10:21" s="65" customFormat="1">
      <c r="J299" s="2063"/>
      <c r="Q299" s="86"/>
      <c r="U299" s="66"/>
    </row>
    <row r="300" spans="10:21" s="65" customFormat="1">
      <c r="J300" s="2063"/>
      <c r="Q300" s="86"/>
      <c r="U300" s="66"/>
    </row>
    <row r="301" spans="10:21" s="65" customFormat="1">
      <c r="J301" s="2063"/>
      <c r="Q301" s="86"/>
      <c r="U301" s="66"/>
    </row>
    <row r="302" spans="10:21" s="65" customFormat="1">
      <c r="J302" s="2063"/>
      <c r="Q302" s="86"/>
      <c r="U302" s="66"/>
    </row>
    <row r="303" spans="10:21" s="65" customFormat="1">
      <c r="J303" s="2063"/>
      <c r="Q303" s="86"/>
      <c r="U303" s="66"/>
    </row>
    <row r="304" spans="10:21" s="65" customFormat="1">
      <c r="J304" s="2063"/>
      <c r="Q304" s="86"/>
      <c r="U304" s="66"/>
    </row>
    <row r="305" spans="10:21" s="65" customFormat="1">
      <c r="J305" s="2063"/>
      <c r="Q305" s="86"/>
      <c r="U305" s="66"/>
    </row>
    <row r="306" spans="10:21" s="65" customFormat="1">
      <c r="J306" s="2063"/>
      <c r="Q306" s="86"/>
      <c r="U306" s="66"/>
    </row>
    <row r="307" spans="10:21" s="65" customFormat="1">
      <c r="J307" s="2063"/>
      <c r="Q307" s="86"/>
      <c r="U307" s="66"/>
    </row>
    <row r="308" spans="10:21" s="65" customFormat="1">
      <c r="J308" s="2063"/>
      <c r="Q308" s="86"/>
      <c r="U308" s="66"/>
    </row>
    <row r="309" spans="10:21" s="65" customFormat="1">
      <c r="J309" s="2063"/>
      <c r="Q309" s="86"/>
      <c r="U309" s="66"/>
    </row>
    <row r="310" spans="10:21" s="65" customFormat="1">
      <c r="J310" s="2063"/>
      <c r="Q310" s="86"/>
      <c r="U310" s="66"/>
    </row>
    <row r="311" spans="10:21" s="65" customFormat="1">
      <c r="J311" s="2063"/>
      <c r="Q311" s="86"/>
      <c r="U311" s="66"/>
    </row>
    <row r="312" spans="10:21" s="65" customFormat="1">
      <c r="J312" s="2063"/>
      <c r="Q312" s="86"/>
      <c r="U312" s="66"/>
    </row>
    <row r="313" spans="10:21" s="65" customFormat="1">
      <c r="J313" s="2063"/>
      <c r="Q313" s="86"/>
      <c r="U313" s="66"/>
    </row>
    <row r="314" spans="10:21" s="65" customFormat="1">
      <c r="J314" s="2063"/>
      <c r="Q314" s="86"/>
      <c r="U314" s="66"/>
    </row>
    <row r="315" spans="10:21" s="65" customFormat="1">
      <c r="J315" s="2063"/>
      <c r="Q315" s="86"/>
      <c r="U315" s="66"/>
    </row>
    <row r="316" spans="10:21" s="65" customFormat="1">
      <c r="J316" s="2063"/>
      <c r="Q316" s="86"/>
      <c r="R316" s="66"/>
      <c r="S316" s="66"/>
      <c r="U316" s="66"/>
    </row>
    <row r="317" spans="10:21" s="65" customFormat="1">
      <c r="J317" s="2063"/>
      <c r="Q317" s="86"/>
      <c r="R317" s="66"/>
      <c r="S317" s="66"/>
      <c r="U317" s="66"/>
    </row>
    <row r="318" spans="10:21" s="65" customFormat="1">
      <c r="J318" s="2063"/>
      <c r="Q318" s="86"/>
      <c r="R318" s="66"/>
      <c r="S318" s="66"/>
      <c r="U318" s="66"/>
    </row>
    <row r="319" spans="10:21" s="65" customFormat="1">
      <c r="J319" s="2063"/>
      <c r="Q319" s="86"/>
      <c r="R319" s="66"/>
      <c r="S319" s="66"/>
      <c r="U319" s="66"/>
    </row>
  </sheetData>
  <sheetProtection algorithmName="SHA-512" hashValue="wWNDwWmZJju79xuqFj1DCBMap244kh+hul+CXd1Mv+pR3CZG3MhqY2BW/J2q0B4IkkV2966mBtxwymBT8I6aPg==" saltValue="/IyQIfI1CcBnvMPqwe6IsQ==" spinCount="100000" sheet="1" formatCells="0" formatColumns="0" formatRows="0" sort="0" autoFilter="0" pivotTables="0"/>
  <mergeCells count="24">
    <mergeCell ref="A1:U1"/>
    <mergeCell ref="A67:B67"/>
    <mergeCell ref="A81:B81"/>
    <mergeCell ref="A95:B95"/>
    <mergeCell ref="A109:B109"/>
    <mergeCell ref="G95:K95"/>
    <mergeCell ref="D109:F109"/>
    <mergeCell ref="G109:K109"/>
    <mergeCell ref="D67:F67"/>
    <mergeCell ref="G67:K67"/>
    <mergeCell ref="D81:F81"/>
    <mergeCell ref="G81:K81"/>
    <mergeCell ref="D95:F95"/>
    <mergeCell ref="A165:K165"/>
    <mergeCell ref="A179:F179"/>
    <mergeCell ref="G123:K123"/>
    <mergeCell ref="D137:F137"/>
    <mergeCell ref="G137:K137"/>
    <mergeCell ref="D151:F151"/>
    <mergeCell ref="G151:K151"/>
    <mergeCell ref="A123:B123"/>
    <mergeCell ref="A137:B137"/>
    <mergeCell ref="A151:B151"/>
    <mergeCell ref="D123:F123"/>
  </mergeCells>
  <pageMargins left="0.25" right="0.25" top="0.75" bottom="0.75" header="0.3" footer="0.3"/>
  <pageSetup paperSize="9" scale="40" fitToHeight="0" orientation="landscape" r:id="rId1"/>
  <rowBreaks count="1" manualBreakCount="1">
    <brk id="60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3F00-000000000000}">
          <x14:formula1>
            <xm:f>Списки!$G$2:$G$3</xm:f>
          </x14:formula1>
          <xm:sqref>L66 N22:N25 N27:N63 N4:N20</xm:sqref>
        </x14:dataValidation>
        <x14:dataValidation type="list" allowBlank="1" showInputMessage="1" showErrorMessage="1" xr:uid="{00000000-0002-0000-3F00-000001000000}">
          <x14:formula1>
            <xm:f>Списки!$E$2:$E$7</xm:f>
          </x14:formula1>
          <xm:sqref>L22:L63 L4:L20</xm:sqref>
        </x14:dataValidation>
        <x14:dataValidation type="list" allowBlank="1" showInputMessage="1" showErrorMessage="1" xr:uid="{00000000-0002-0000-3F00-000002000000}">
          <x14:formula1>
            <xm:f>Списки!$D$2:$D$7</xm:f>
          </x14:formula1>
          <xm:sqref>H22:H25 H27:H63 H4:H20</xm:sqref>
        </x14:dataValidation>
        <x14:dataValidation type="list" allowBlank="1" showInputMessage="1" showErrorMessage="1" xr:uid="{00000000-0002-0000-3F00-000003000000}">
          <x14:formula1>
            <xm:f>Списки!$C$3:$C$4</xm:f>
          </x14:formula1>
          <xm:sqref>D66</xm:sqref>
        </x14:dataValidation>
        <x14:dataValidation type="list" allowBlank="1" showInputMessage="1" showErrorMessage="1" xr:uid="{00000000-0002-0000-3F00-000004000000}">
          <x14:formula1>
            <xm:f>Списки!$F$2:$F$3</xm:f>
          </x14:formula1>
          <xm:sqref>V66 X66 P22:P25 P27:P63 P4:P20</xm:sqref>
        </x14:dataValidation>
        <x14:dataValidation type="list" allowBlank="1" showInputMessage="1" showErrorMessage="1" xr:uid="{00000000-0002-0000-3F00-000005000000}">
          <x14:formula1>
            <xm:f>Списки!$C$2:$C$27</xm:f>
          </x14:formula1>
          <xm:sqref>U9 K22:K25 K27:K63 T27:U63 T4:U8 T10:U25 K4:K20</xm:sqref>
        </x14:dataValidation>
        <x14:dataValidation type="list" allowBlank="1" showInputMessage="1" showErrorMessage="1" xr:uid="{00000000-0002-0000-3F00-000006000000}">
          <x14:formula1>
            <xm:f>Списки!$B$2:$B$10</xm:f>
          </x14:formula1>
          <xm:sqref>D4:D63</xm:sqref>
        </x14:dataValidation>
        <x14:dataValidation type="list" allowBlank="1" showInputMessage="1" showErrorMessage="1" xr:uid="{00000000-0002-0000-3F00-000007000000}">
          <x14:formula1>
            <xm:f>Списки!$H$2</xm:f>
          </x14:formula1>
          <xm:sqref>B4:B63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F319"/>
  <sheetViews>
    <sheetView tabSelected="1" view="pageBreakPreview" topLeftCell="H1" zoomScaleNormal="85" workbookViewId="0">
      <pane ySplit="3" topLeftCell="A4" activePane="bottomLeft" state="frozen"/>
      <selection pane="bottomLeft" activeCell="T32" sqref="T32"/>
    </sheetView>
  </sheetViews>
  <sheetFormatPr defaultColWidth="13.28515625" defaultRowHeight="12.75"/>
  <cols>
    <col min="1" max="1" width="11.7109375" style="66" customWidth="1"/>
    <col min="2" max="2" width="13" style="66" customWidth="1"/>
    <col min="3" max="3" width="14.140625" style="66" customWidth="1"/>
    <col min="4" max="4" width="13.7109375" style="66" customWidth="1"/>
    <col min="5" max="5" width="14.140625" style="66" customWidth="1"/>
    <col min="6" max="6" width="15.7109375" style="66" customWidth="1"/>
    <col min="7" max="7" width="9.28515625" style="66" customWidth="1"/>
    <col min="8" max="8" width="13.85546875" style="66" customWidth="1"/>
    <col min="9" max="9" width="14" style="66" customWidth="1"/>
    <col min="10" max="10" width="17.140625" style="2071" customWidth="1"/>
    <col min="11" max="11" width="23.5703125" style="66" customWidth="1"/>
    <col min="12" max="12" width="9" style="66" customWidth="1"/>
    <col min="13" max="13" width="14.42578125" style="66" customWidth="1"/>
    <col min="14" max="14" width="13.85546875" style="66" customWidth="1"/>
    <col min="15" max="15" width="19.7109375" style="66" customWidth="1"/>
    <col min="16" max="16" width="16" style="66" customWidth="1"/>
    <col min="17" max="17" width="28.140625" style="66" customWidth="1"/>
    <col min="18" max="18" width="19.85546875" style="66" customWidth="1"/>
    <col min="19" max="19" width="32.85546875" style="66" customWidth="1"/>
    <col min="20" max="20" width="15.140625" style="65" customWidth="1"/>
    <col min="21" max="21" width="13.28515625" style="66" customWidth="1"/>
    <col min="22" max="22" width="14.140625" style="66" customWidth="1"/>
    <col min="23" max="16384" width="13.28515625" style="66"/>
  </cols>
  <sheetData>
    <row r="1" spans="1:32">
      <c r="A1" s="2405">
        <v>45900</v>
      </c>
      <c r="B1" s="2406"/>
      <c r="C1" s="2406"/>
      <c r="D1" s="2406"/>
      <c r="E1" s="2406"/>
      <c r="F1" s="2406"/>
      <c r="G1" s="2406"/>
      <c r="H1" s="2406"/>
      <c r="I1" s="2406"/>
      <c r="J1" s="2406"/>
      <c r="K1" s="2406"/>
      <c r="L1" s="2406"/>
      <c r="M1" s="2406"/>
      <c r="N1" s="2406"/>
      <c r="O1" s="2406"/>
      <c r="P1" s="2406"/>
      <c r="Q1" s="2406"/>
      <c r="R1" s="2406"/>
      <c r="S1" s="2406"/>
      <c r="T1" s="2406"/>
      <c r="U1" s="2406"/>
    </row>
    <row r="2" spans="1:32" s="60" customFormat="1" ht="12" customHeight="1">
      <c r="A2" s="67"/>
      <c r="B2" s="67"/>
      <c r="C2" s="68">
        <f>SUBTOTAL(3,Июль2555[заявка №])</f>
        <v>10</v>
      </c>
      <c r="D2" s="67"/>
      <c r="E2" s="67"/>
      <c r="F2" s="67"/>
      <c r="G2" s="69">
        <f>SUBTOTAL(9,Июль2555[м2])</f>
        <v>841.63999999999987</v>
      </c>
      <c r="H2" s="67"/>
      <c r="I2" s="67"/>
      <c r="J2" s="2060">
        <f>SUBTOTAL(9,Июль2555[сумма])</f>
        <v>112828840</v>
      </c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9">
        <f>SUBTOTAL(9,Июль2555[Сумма без отделки])</f>
        <v>109558140</v>
      </c>
    </row>
    <row r="3" spans="1:32" ht="31.5">
      <c r="A3" s="70" t="s">
        <v>719</v>
      </c>
      <c r="B3" s="71" t="s">
        <v>6</v>
      </c>
      <c r="C3" s="70" t="s">
        <v>49</v>
      </c>
      <c r="D3" s="70" t="s">
        <v>120</v>
      </c>
      <c r="E3" s="70" t="s">
        <v>1580</v>
      </c>
      <c r="F3" s="70" t="s">
        <v>1581</v>
      </c>
      <c r="G3" s="72" t="s">
        <v>53</v>
      </c>
      <c r="H3" s="73" t="s">
        <v>576</v>
      </c>
      <c r="I3" s="90" t="s">
        <v>2036</v>
      </c>
      <c r="J3" s="2061" t="s">
        <v>54</v>
      </c>
      <c r="K3" s="70" t="s">
        <v>1</v>
      </c>
      <c r="L3" s="70" t="s">
        <v>3</v>
      </c>
      <c r="M3" s="70" t="s">
        <v>55</v>
      </c>
      <c r="N3" s="72" t="s">
        <v>56</v>
      </c>
      <c r="O3" s="70" t="s">
        <v>57</v>
      </c>
      <c r="P3" s="70" t="s">
        <v>58</v>
      </c>
      <c r="Q3" s="70" t="s">
        <v>59</v>
      </c>
      <c r="R3" s="70" t="s">
        <v>60</v>
      </c>
      <c r="S3" s="70" t="s">
        <v>265</v>
      </c>
      <c r="T3" s="70" t="s">
        <v>62</v>
      </c>
      <c r="U3" s="70" t="s">
        <v>2191</v>
      </c>
      <c r="V3" s="111" t="s">
        <v>1584</v>
      </c>
    </row>
    <row r="4" spans="1:32" s="2053" customFormat="1">
      <c r="A4" s="2046">
        <v>1</v>
      </c>
      <c r="B4" s="2046" t="s">
        <v>6</v>
      </c>
      <c r="C4" s="2054">
        <v>46702</v>
      </c>
      <c r="D4" s="2046" t="s">
        <v>13</v>
      </c>
      <c r="E4" s="2055">
        <v>85</v>
      </c>
      <c r="F4" s="2046">
        <v>2</v>
      </c>
      <c r="G4" s="2046">
        <v>68.099999999999994</v>
      </c>
      <c r="H4" s="2048" t="s">
        <v>9</v>
      </c>
      <c r="I4" s="2266"/>
      <c r="J4" s="2068">
        <v>7624100</v>
      </c>
      <c r="K4" s="2046" t="s">
        <v>8</v>
      </c>
      <c r="L4" s="2046" t="s">
        <v>22</v>
      </c>
      <c r="M4" s="2046" t="s">
        <v>583</v>
      </c>
      <c r="N4" s="2046" t="s">
        <v>18</v>
      </c>
      <c r="O4" s="2049">
        <v>45870</v>
      </c>
      <c r="P4" s="2046" t="s">
        <v>17</v>
      </c>
      <c r="Q4" s="2226" t="s">
        <v>11575</v>
      </c>
      <c r="R4" s="2048" t="s">
        <v>67</v>
      </c>
      <c r="S4" s="2051"/>
      <c r="T4" s="2046" t="s">
        <v>8</v>
      </c>
      <c r="U4" s="2046" t="s">
        <v>8</v>
      </c>
      <c r="V4" s="2227">
        <f>Июль2555[[#This Row],[сумма]]-Июль2555[[#This Row],[Цена м2 отделки]]*Июль2555[[#This Row],[м2]]</f>
        <v>7624100</v>
      </c>
    </row>
    <row r="5" spans="1:32" s="2053" customFormat="1" ht="12" customHeight="1">
      <c r="A5" s="2048">
        <v>2</v>
      </c>
      <c r="B5" s="2048" t="s">
        <v>6</v>
      </c>
      <c r="C5" s="2048">
        <v>45931</v>
      </c>
      <c r="D5" s="2046" t="s">
        <v>19</v>
      </c>
      <c r="E5" s="2048">
        <v>85</v>
      </c>
      <c r="F5" s="2048">
        <v>1</v>
      </c>
      <c r="G5" s="2048">
        <v>42.39</v>
      </c>
      <c r="H5" s="2048" t="s">
        <v>9</v>
      </c>
      <c r="I5" s="2048"/>
      <c r="J5" s="2067">
        <v>5886566</v>
      </c>
      <c r="K5" s="2048" t="s">
        <v>45</v>
      </c>
      <c r="L5" s="2048" t="s">
        <v>22</v>
      </c>
      <c r="M5" s="2048" t="s">
        <v>583</v>
      </c>
      <c r="N5" s="2048" t="s">
        <v>18</v>
      </c>
      <c r="O5" s="2267">
        <v>45873</v>
      </c>
      <c r="P5" s="2048" t="s">
        <v>17</v>
      </c>
      <c r="Q5" s="2048" t="s">
        <v>11576</v>
      </c>
      <c r="R5" s="2048" t="s">
        <v>67</v>
      </c>
      <c r="S5" s="2048"/>
      <c r="T5" s="2048" t="s">
        <v>24</v>
      </c>
      <c r="U5" s="2048" t="s">
        <v>24</v>
      </c>
      <c r="V5" s="2227">
        <f>Июль2555[[#This Row],[сумма]]-Июль2555[[#This Row],[Цена м2 отделки]]*Июль2555[[#This Row],[м2]]</f>
        <v>5886566</v>
      </c>
    </row>
    <row r="6" spans="1:32" s="2046" customFormat="1">
      <c r="A6" s="2046">
        <v>3</v>
      </c>
      <c r="B6" s="2046" t="s">
        <v>6</v>
      </c>
      <c r="C6" s="2056">
        <v>46543</v>
      </c>
      <c r="D6" s="2046" t="s">
        <v>13</v>
      </c>
      <c r="E6" s="2046">
        <v>288</v>
      </c>
      <c r="F6" s="2046">
        <v>2</v>
      </c>
      <c r="G6" s="2046">
        <v>60.24</v>
      </c>
      <c r="H6" s="2046" t="s">
        <v>9</v>
      </c>
      <c r="I6" s="2092"/>
      <c r="J6" s="2067">
        <v>7142700</v>
      </c>
      <c r="K6" s="2046" t="s">
        <v>24</v>
      </c>
      <c r="L6" s="2046" t="s">
        <v>22</v>
      </c>
      <c r="M6" s="2046" t="s">
        <v>583</v>
      </c>
      <c r="N6" s="2046" t="s">
        <v>18</v>
      </c>
      <c r="O6" s="2218">
        <v>45874</v>
      </c>
      <c r="P6" s="2046" t="s">
        <v>17</v>
      </c>
      <c r="Q6" s="2268" t="s">
        <v>11585</v>
      </c>
      <c r="T6" s="2046" t="s">
        <v>24</v>
      </c>
      <c r="U6" s="2046" t="s">
        <v>24</v>
      </c>
      <c r="V6" s="2228">
        <f>Июль2555[[#This Row],[сумма]]-Июль2555[[#This Row],[Цена м2 отделки]]*Июль2555[[#This Row],[м2]]</f>
        <v>7142700</v>
      </c>
    </row>
    <row r="7" spans="1:32" s="2046" customFormat="1">
      <c r="A7" s="2046">
        <v>4</v>
      </c>
      <c r="B7" s="2046" t="s">
        <v>6</v>
      </c>
      <c r="D7" s="2046" t="s">
        <v>13</v>
      </c>
      <c r="E7" s="2046">
        <v>344</v>
      </c>
      <c r="F7" s="2046">
        <v>3</v>
      </c>
      <c r="G7" s="2046">
        <v>60.15</v>
      </c>
      <c r="H7" s="2046" t="s">
        <v>21</v>
      </c>
      <c r="J7" s="2067">
        <v>7472500</v>
      </c>
      <c r="K7" s="2046" t="s">
        <v>31</v>
      </c>
      <c r="L7" s="2046" t="s">
        <v>22</v>
      </c>
      <c r="M7" s="2046" t="s">
        <v>583</v>
      </c>
      <c r="N7" s="2046" t="s">
        <v>18</v>
      </c>
      <c r="O7" s="2218">
        <v>45882</v>
      </c>
      <c r="P7" s="2046" t="s">
        <v>17</v>
      </c>
      <c r="Q7" s="2046" t="s">
        <v>11586</v>
      </c>
      <c r="T7" s="2046" t="s">
        <v>20</v>
      </c>
      <c r="U7" s="2046" t="s">
        <v>20</v>
      </c>
      <c r="V7" s="2228">
        <f>Июль2555[[#This Row],[сумма]]-Июль2555[[#This Row],[Цена м2 отделки]]*Июль2555[[#This Row],[м2]]</f>
        <v>7472500</v>
      </c>
    </row>
    <row r="8" spans="1:32" s="2053" customFormat="1">
      <c r="A8" s="65">
        <v>5</v>
      </c>
      <c r="B8" s="65" t="s">
        <v>6</v>
      </c>
      <c r="C8" s="78"/>
      <c r="D8" s="65" t="s">
        <v>23</v>
      </c>
      <c r="E8" s="79">
        <v>6</v>
      </c>
      <c r="F8" s="65" t="s">
        <v>1337</v>
      </c>
      <c r="G8" s="65">
        <v>56.16</v>
      </c>
      <c r="H8" s="86" t="s">
        <v>9</v>
      </c>
      <c r="I8" s="86"/>
      <c r="J8" s="2066">
        <v>8424000</v>
      </c>
      <c r="K8" s="65" t="s">
        <v>20</v>
      </c>
      <c r="L8" s="65" t="s">
        <v>10</v>
      </c>
      <c r="M8" s="65" t="s">
        <v>286</v>
      </c>
      <c r="N8" s="65" t="s">
        <v>18</v>
      </c>
      <c r="O8" s="98"/>
      <c r="P8" s="65" t="s">
        <v>17</v>
      </c>
      <c r="Q8" s="2093" t="s">
        <v>11587</v>
      </c>
      <c r="R8" s="118"/>
      <c r="S8" s="118"/>
      <c r="T8" s="65" t="s">
        <v>20</v>
      </c>
      <c r="U8" s="65" t="s">
        <v>20</v>
      </c>
      <c r="V8" s="2096">
        <f>Июль2555[[#This Row],[сумма]]-Июль2555[[#This Row],[Цена м2 отделки]]*Июль2555[[#This Row],[м2]]</f>
        <v>8424000</v>
      </c>
    </row>
    <row r="9" spans="1:32" s="2053" customFormat="1">
      <c r="A9" s="65"/>
      <c r="B9" s="65"/>
      <c r="C9" s="78"/>
      <c r="D9" s="65"/>
      <c r="E9" s="79"/>
      <c r="F9" s="65"/>
      <c r="G9" s="65"/>
      <c r="H9" s="86"/>
      <c r="I9" s="86"/>
      <c r="J9" s="2066"/>
      <c r="K9" s="65"/>
      <c r="L9" s="65"/>
      <c r="M9" s="65"/>
      <c r="N9" s="65"/>
      <c r="O9" s="98"/>
      <c r="P9" s="65"/>
      <c r="Q9" s="2093"/>
      <c r="R9" s="118"/>
      <c r="S9" s="118"/>
      <c r="T9" s="65"/>
      <c r="U9" s="65"/>
      <c r="V9" s="2096">
        <f>Июль2555[[#This Row],[сумма]]-Июль2555[[#This Row],[Цена м2 отделки]]*Июль2555[[#This Row],[м2]]</f>
        <v>0</v>
      </c>
    </row>
    <row r="10" spans="1:32" s="2046" customFormat="1">
      <c r="A10" s="65"/>
      <c r="B10" s="65"/>
      <c r="C10" s="77"/>
      <c r="D10" s="65"/>
      <c r="E10" s="65"/>
      <c r="F10" s="65"/>
      <c r="G10" s="65"/>
      <c r="H10" s="65"/>
      <c r="I10" s="2091"/>
      <c r="J10" s="2066"/>
      <c r="K10" s="65"/>
      <c r="L10" s="65"/>
      <c r="M10" s="65"/>
      <c r="N10" s="65"/>
      <c r="O10" s="94"/>
      <c r="P10" s="65"/>
      <c r="Q10" s="129"/>
      <c r="R10" s="65"/>
      <c r="S10" s="65"/>
      <c r="T10" s="65"/>
      <c r="U10" s="65"/>
      <c r="V10" s="2096">
        <f>Июль2555[[#This Row],[сумма]]-Июль2555[[#This Row],[Цена м2 отделки]]*Июль2555[[#This Row],[м2]]</f>
        <v>0</v>
      </c>
    </row>
    <row r="11" spans="1:32" s="2237" customFormat="1">
      <c r="A11" s="65"/>
      <c r="B11" s="129"/>
      <c r="C11" s="2258"/>
      <c r="D11" s="129"/>
      <c r="E11" s="2258"/>
      <c r="F11" s="129">
        <f ca="1">A10:F11</f>
        <v>0</v>
      </c>
      <c r="G11" s="129"/>
      <c r="H11" s="129"/>
      <c r="I11" s="2259"/>
      <c r="J11" s="2260"/>
      <c r="K11" s="129"/>
      <c r="L11" s="129"/>
      <c r="M11" s="129"/>
      <c r="N11" s="129"/>
      <c r="O11" s="2261"/>
      <c r="P11" s="129"/>
      <c r="Q11" s="2093"/>
      <c r="R11" s="2262"/>
      <c r="S11" s="2263"/>
      <c r="T11" s="129"/>
      <c r="U11" s="129"/>
      <c r="V11" s="2264">
        <f>Июль2555[[#This Row],[сумма]]-Июль2555[[#This Row],[Цена м2 отделки]]*Июль2555[[#This Row],[м2]]</f>
        <v>0</v>
      </c>
    </row>
    <row r="12" spans="1:32" s="2053" customFormat="1">
      <c r="A12" s="65">
        <v>9</v>
      </c>
      <c r="B12" s="65" t="s">
        <v>6</v>
      </c>
      <c r="C12" s="78"/>
      <c r="D12" s="65" t="s">
        <v>13</v>
      </c>
      <c r="E12" s="79"/>
      <c r="F12" s="65"/>
      <c r="G12" s="65"/>
      <c r="H12" s="86"/>
      <c r="I12" s="86"/>
      <c r="J12" s="2066"/>
      <c r="K12" s="65"/>
      <c r="L12" s="65"/>
      <c r="M12" s="65"/>
      <c r="N12" s="65"/>
      <c r="O12" s="98"/>
      <c r="P12" s="65"/>
      <c r="Q12" s="2093"/>
      <c r="R12" s="118"/>
      <c r="S12" s="118"/>
      <c r="T12" s="65"/>
      <c r="U12" s="65"/>
      <c r="V12" s="2096">
        <f>Июль2555[[#This Row],[сумма]]-Июль2555[[#This Row],[Цена м2 отделки]]*Июль2555[[#This Row],[м2]]</f>
        <v>0</v>
      </c>
    </row>
    <row r="13" spans="1:32" s="2053" customFormat="1">
      <c r="A13" s="2046">
        <v>10</v>
      </c>
      <c r="B13" s="2046" t="s">
        <v>6</v>
      </c>
      <c r="C13" s="2054">
        <v>42173</v>
      </c>
      <c r="D13" s="2050" t="s">
        <v>13</v>
      </c>
      <c r="E13" s="2055">
        <v>215</v>
      </c>
      <c r="F13" s="2046">
        <v>1</v>
      </c>
      <c r="G13" s="2046">
        <v>42.35</v>
      </c>
      <c r="H13" s="2046" t="s">
        <v>9</v>
      </c>
      <c r="I13" s="2056"/>
      <c r="J13" s="2068">
        <v>5280400</v>
      </c>
      <c r="K13" s="2046" t="s">
        <v>8</v>
      </c>
      <c r="L13" s="2046" t="s">
        <v>26</v>
      </c>
      <c r="M13" s="2046" t="s">
        <v>286</v>
      </c>
      <c r="N13" s="2046" t="s">
        <v>18</v>
      </c>
      <c r="O13" s="2049">
        <v>45882</v>
      </c>
      <c r="P13" s="2046" t="s">
        <v>17</v>
      </c>
      <c r="Q13" s="2226" t="s">
        <v>11589</v>
      </c>
      <c r="R13" s="2051"/>
      <c r="S13" s="2051"/>
      <c r="T13" s="2046" t="s">
        <v>8</v>
      </c>
      <c r="U13" s="2046" t="s">
        <v>8</v>
      </c>
      <c r="V13" s="2227">
        <f>Июль2555[[#This Row],[сумма]]-Июль2555[[#This Row],[Цена м2 отделки]]*Июль2555[[#This Row],[м2]]</f>
        <v>5280400</v>
      </c>
      <c r="AF13" s="2243"/>
    </row>
    <row r="14" spans="1:32" s="2053" customFormat="1">
      <c r="A14" s="2046">
        <v>11</v>
      </c>
      <c r="B14" s="2046" t="s">
        <v>6</v>
      </c>
      <c r="C14" s="2054"/>
      <c r="D14" s="2046" t="s">
        <v>13</v>
      </c>
      <c r="E14" s="2055">
        <v>514</v>
      </c>
      <c r="F14" s="2046">
        <v>1</v>
      </c>
      <c r="G14" s="2046">
        <v>36.4</v>
      </c>
      <c r="H14" s="2046" t="s">
        <v>25</v>
      </c>
      <c r="I14" s="2092">
        <v>25000</v>
      </c>
      <c r="J14" s="2067">
        <v>5585651</v>
      </c>
      <c r="K14" s="2046" t="s">
        <v>40</v>
      </c>
      <c r="L14" s="2046" t="s">
        <v>22</v>
      </c>
      <c r="M14" s="2242" t="s">
        <v>583</v>
      </c>
      <c r="N14" s="2046" t="s">
        <v>18</v>
      </c>
      <c r="O14" s="2049">
        <v>45883</v>
      </c>
      <c r="P14" s="2046" t="s">
        <v>17</v>
      </c>
      <c r="Q14" s="2050" t="s">
        <v>11588</v>
      </c>
      <c r="R14" s="2051"/>
      <c r="S14" s="2051"/>
      <c r="T14" s="2046" t="s">
        <v>8</v>
      </c>
      <c r="U14" s="2046" t="s">
        <v>8</v>
      </c>
      <c r="V14" s="2227">
        <f>Июль2555[[#This Row],[сумма]]-Июль2555[[#This Row],[Цена м2 отделки]]*Июль2555[[#This Row],[м2]]</f>
        <v>4675651</v>
      </c>
    </row>
    <row r="15" spans="1:32" s="61" customFormat="1" hidden="1">
      <c r="A15" s="65">
        <v>12</v>
      </c>
      <c r="B15" s="65" t="s">
        <v>6</v>
      </c>
      <c r="C15" s="78"/>
      <c r="D15" s="65" t="s">
        <v>27</v>
      </c>
      <c r="E15" s="2269" t="s">
        <v>11590</v>
      </c>
      <c r="F15" s="65" t="s">
        <v>1337</v>
      </c>
      <c r="G15" s="65">
        <v>39.700000000000003</v>
      </c>
      <c r="H15" s="86" t="s">
        <v>9</v>
      </c>
      <c r="I15" s="86"/>
      <c r="J15" s="2066">
        <v>3970000</v>
      </c>
      <c r="K15" s="65" t="s">
        <v>43</v>
      </c>
      <c r="L15" s="65" t="s">
        <v>84</v>
      </c>
      <c r="M15" s="65" t="s">
        <v>286</v>
      </c>
      <c r="N15" s="65" t="s">
        <v>18</v>
      </c>
      <c r="O15" s="98"/>
      <c r="P15" s="65"/>
      <c r="Q15" s="2093" t="s">
        <v>11591</v>
      </c>
      <c r="R15" s="118"/>
      <c r="S15" s="118"/>
      <c r="T15" s="65" t="s">
        <v>20</v>
      </c>
      <c r="U15" s="65" t="s">
        <v>20</v>
      </c>
      <c r="V15" s="2096">
        <f>Июль2555[[#This Row],[сумма]]-Июль2555[[#This Row],[Цена м2 отделки]]*Июль2555[[#This Row],[м2]]</f>
        <v>3970000</v>
      </c>
    </row>
    <row r="16" spans="1:32" s="2053" customFormat="1">
      <c r="A16" s="2046">
        <v>13</v>
      </c>
      <c r="B16" s="2046" t="s">
        <v>6</v>
      </c>
      <c r="C16" s="2046">
        <v>39693</v>
      </c>
      <c r="D16" s="2046" t="s">
        <v>23</v>
      </c>
      <c r="E16" s="2046">
        <v>8</v>
      </c>
      <c r="F16" s="2046" t="s">
        <v>1337</v>
      </c>
      <c r="G16" s="2046">
        <v>88.58</v>
      </c>
      <c r="H16" s="2046" t="s">
        <v>9</v>
      </c>
      <c r="I16" s="2046"/>
      <c r="J16" s="2067">
        <v>13287000</v>
      </c>
      <c r="K16" s="2046" t="s">
        <v>14</v>
      </c>
      <c r="L16" s="2046" t="s">
        <v>84</v>
      </c>
      <c r="M16" s="2046" t="s">
        <v>286</v>
      </c>
      <c r="N16" s="2046" t="s">
        <v>18</v>
      </c>
      <c r="O16" s="2270">
        <v>45877</v>
      </c>
      <c r="P16" s="2046" t="s">
        <v>17</v>
      </c>
      <c r="Q16" s="2046" t="s">
        <v>11592</v>
      </c>
      <c r="R16" s="2046"/>
      <c r="S16" s="2046"/>
      <c r="T16" s="2046" t="s">
        <v>14</v>
      </c>
      <c r="U16" s="2046" t="s">
        <v>14</v>
      </c>
      <c r="V16" s="2227">
        <f>Июль2555[[#This Row],[сумма]]-Июль2555[[#This Row],[Цена м2 отделки]]*Июль2555[[#This Row],[м2]]</f>
        <v>13287000</v>
      </c>
    </row>
    <row r="17" spans="1:22" s="2053" customFormat="1">
      <c r="A17" s="2046">
        <v>14</v>
      </c>
      <c r="B17" s="2046" t="s">
        <v>6</v>
      </c>
      <c r="C17" s="2054">
        <v>49375</v>
      </c>
      <c r="D17" s="2046" t="s">
        <v>19</v>
      </c>
      <c r="E17" s="2055">
        <v>89</v>
      </c>
      <c r="F17" s="2046">
        <v>2</v>
      </c>
      <c r="G17" s="2046">
        <v>49.39</v>
      </c>
      <c r="H17" s="2048" t="s">
        <v>25</v>
      </c>
      <c r="I17" s="2048">
        <v>30000</v>
      </c>
      <c r="J17" s="2068">
        <v>7899916</v>
      </c>
      <c r="K17" s="2046" t="s">
        <v>45</v>
      </c>
      <c r="L17" s="2046" t="s">
        <v>22</v>
      </c>
      <c r="M17" s="2046" t="s">
        <v>583</v>
      </c>
      <c r="N17" s="2046" t="s">
        <v>18</v>
      </c>
      <c r="O17" s="2049">
        <v>45882</v>
      </c>
      <c r="P17" s="2046" t="s">
        <v>17</v>
      </c>
      <c r="Q17" s="2221"/>
      <c r="R17" s="2051" t="s">
        <v>11593</v>
      </c>
      <c r="S17" s="2051"/>
      <c r="T17" s="2046" t="s">
        <v>14</v>
      </c>
      <c r="U17" s="2046" t="s">
        <v>14</v>
      </c>
      <c r="V17" s="2227">
        <f>Июль2555[[#This Row],[сумма]]-Июль2555[[#This Row],[Цена м2 отделки]]*Июль2555[[#This Row],[м2]]</f>
        <v>6418216</v>
      </c>
    </row>
    <row r="18" spans="1:22" s="2053" customFormat="1">
      <c r="A18" s="65">
        <v>15</v>
      </c>
      <c r="B18" s="65" t="s">
        <v>6</v>
      </c>
      <c r="C18" s="78">
        <v>49394</v>
      </c>
      <c r="D18" s="65" t="s">
        <v>13</v>
      </c>
      <c r="E18" s="79">
        <v>180</v>
      </c>
      <c r="F18" s="65">
        <v>1</v>
      </c>
      <c r="G18" s="65"/>
      <c r="H18" s="65" t="s">
        <v>25</v>
      </c>
      <c r="I18" s="65">
        <v>30000</v>
      </c>
      <c r="J18" s="2063"/>
      <c r="K18" s="65"/>
      <c r="L18" s="65"/>
      <c r="M18" s="65" t="s">
        <v>583</v>
      </c>
      <c r="N18" s="65" t="s">
        <v>18</v>
      </c>
      <c r="O18" s="98"/>
      <c r="P18" s="65" t="s">
        <v>17</v>
      </c>
      <c r="Q18" s="2093" t="s">
        <v>11594</v>
      </c>
      <c r="R18" s="118"/>
      <c r="S18" s="118"/>
      <c r="T18" s="65" t="s">
        <v>14</v>
      </c>
      <c r="U18" s="65" t="s">
        <v>1884</v>
      </c>
      <c r="V18" s="2096">
        <f>Июль2555[[#This Row],[сумма]]-Июль2555[[#This Row],[Цена м2 отделки]]*Июль2555[[#This Row],[м2]]</f>
        <v>0</v>
      </c>
    </row>
    <row r="19" spans="1:22" s="2053" customFormat="1">
      <c r="A19" s="2046">
        <v>16</v>
      </c>
      <c r="B19" s="2046" t="s">
        <v>6</v>
      </c>
      <c r="C19" s="2054"/>
      <c r="D19" s="2046" t="s">
        <v>23</v>
      </c>
      <c r="E19" s="2055"/>
      <c r="F19" s="2046" t="s">
        <v>11620</v>
      </c>
      <c r="G19" s="2046">
        <v>49.83</v>
      </c>
      <c r="H19" s="2048" t="s">
        <v>9</v>
      </c>
      <c r="I19" s="2222"/>
      <c r="J19" s="2068">
        <v>7474500</v>
      </c>
      <c r="K19" s="2046" t="s">
        <v>24</v>
      </c>
      <c r="L19" s="2046"/>
      <c r="M19" s="2046" t="s">
        <v>286</v>
      </c>
      <c r="N19" s="2046" t="s">
        <v>18</v>
      </c>
      <c r="O19" s="2049"/>
      <c r="P19" s="2046"/>
      <c r="Q19" s="2226" t="s">
        <v>11621</v>
      </c>
      <c r="R19" s="2051"/>
      <c r="S19" s="2051"/>
      <c r="T19" s="2046" t="s">
        <v>24</v>
      </c>
      <c r="U19" s="2046" t="s">
        <v>24</v>
      </c>
      <c r="V19" s="2227">
        <f>Июль2555[[#This Row],[сумма]]-Июль2555[[#This Row],[Цена м2 отделки]]*Июль2555[[#This Row],[м2]]</f>
        <v>7474500</v>
      </c>
    </row>
    <row r="20" spans="1:22" s="2053" customFormat="1">
      <c r="A20" s="2046">
        <v>17</v>
      </c>
      <c r="B20" s="2046" t="s">
        <v>6</v>
      </c>
      <c r="C20" s="2047">
        <v>37577</v>
      </c>
      <c r="D20" s="2046" t="s">
        <v>13</v>
      </c>
      <c r="E20" s="2046">
        <v>110</v>
      </c>
      <c r="F20" s="2047">
        <v>2</v>
      </c>
      <c r="G20" s="2046">
        <v>57.9</v>
      </c>
      <c r="H20" s="2048" t="s">
        <v>9</v>
      </c>
      <c r="I20" s="2265"/>
      <c r="J20" s="2068">
        <v>6709220</v>
      </c>
      <c r="K20" s="2046" t="s">
        <v>8</v>
      </c>
      <c r="L20" s="2046" t="s">
        <v>26</v>
      </c>
      <c r="M20" s="2046" t="s">
        <v>583</v>
      </c>
      <c r="N20" s="2046" t="s">
        <v>18</v>
      </c>
      <c r="O20" s="2049">
        <v>45885</v>
      </c>
      <c r="P20" s="2046" t="s">
        <v>17</v>
      </c>
      <c r="Q20" s="2050" t="s">
        <v>11622</v>
      </c>
      <c r="R20" s="2051"/>
      <c r="S20" s="2051"/>
      <c r="T20" s="2046" t="s">
        <v>8</v>
      </c>
      <c r="U20" s="2046" t="s">
        <v>8</v>
      </c>
      <c r="V20" s="2227">
        <f>Июль2555[[#This Row],[сумма]]-Июль2555[[#This Row],[Цена м2 отделки]]*Июль2555[[#This Row],[м2]]</f>
        <v>6709220</v>
      </c>
    </row>
    <row r="21" spans="1:22" s="2053" customFormat="1" ht="14.25" customHeight="1">
      <c r="A21" s="65">
        <v>18</v>
      </c>
      <c r="B21" s="65" t="s">
        <v>6</v>
      </c>
      <c r="C21" s="78">
        <v>48163</v>
      </c>
      <c r="D21" s="65" t="s">
        <v>13</v>
      </c>
      <c r="E21" s="79">
        <v>231</v>
      </c>
      <c r="F21" s="65">
        <v>2</v>
      </c>
      <c r="G21" s="65">
        <v>56.4</v>
      </c>
      <c r="H21" s="86" t="s">
        <v>9</v>
      </c>
      <c r="I21" s="86"/>
      <c r="J21" s="2066">
        <v>6788300</v>
      </c>
      <c r="K21" s="65" t="s">
        <v>1884</v>
      </c>
      <c r="L21" s="65" t="s">
        <v>22</v>
      </c>
      <c r="M21" s="65" t="s">
        <v>583</v>
      </c>
      <c r="N21" s="65" t="s">
        <v>18</v>
      </c>
      <c r="O21" s="98"/>
      <c r="P21" s="65" t="s">
        <v>17</v>
      </c>
      <c r="Q21" s="2093" t="s">
        <v>11623</v>
      </c>
      <c r="R21" s="118"/>
      <c r="S21" s="118"/>
      <c r="T21" s="65" t="s">
        <v>1884</v>
      </c>
      <c r="U21" s="65" t="s">
        <v>1884</v>
      </c>
      <c r="V21" s="2096">
        <f>Июль2555[[#This Row],[сумма]]-Июль2555[[#This Row],[Цена м2 отделки]]*Июль2555[[#This Row],[м2]]</f>
        <v>6788300</v>
      </c>
    </row>
    <row r="22" spans="1:22" s="2053" customFormat="1">
      <c r="A22" s="65">
        <v>19</v>
      </c>
      <c r="B22" s="65" t="s">
        <v>6</v>
      </c>
      <c r="C22" s="87"/>
      <c r="D22" s="65" t="s">
        <v>13</v>
      </c>
      <c r="E22" s="65">
        <v>298</v>
      </c>
      <c r="F22" s="87">
        <v>1</v>
      </c>
      <c r="G22" s="65">
        <v>34.6</v>
      </c>
      <c r="H22" s="65" t="s">
        <v>9</v>
      </c>
      <c r="I22" s="2094"/>
      <c r="J22" s="2066">
        <v>5630500</v>
      </c>
      <c r="K22" s="65" t="s">
        <v>28</v>
      </c>
      <c r="L22" s="80" t="s">
        <v>22</v>
      </c>
      <c r="M22" s="65" t="s">
        <v>583</v>
      </c>
      <c r="N22" s="65" t="s">
        <v>18</v>
      </c>
      <c r="O22" s="98"/>
      <c r="P22" s="65" t="s">
        <v>17</v>
      </c>
      <c r="Q22" s="129" t="s">
        <v>11624</v>
      </c>
      <c r="R22" s="118"/>
      <c r="S22" s="118"/>
      <c r="T22" s="65" t="s">
        <v>28</v>
      </c>
      <c r="U22" s="65" t="s">
        <v>28</v>
      </c>
      <c r="V22" s="2096">
        <f>Июль2555[[#This Row],[сумма]]-Июль2555[[#This Row],[Цена м2 отделки]]*Июль2555[[#This Row],[м2]]</f>
        <v>5630500</v>
      </c>
    </row>
    <row r="23" spans="1:22" s="2053" customFormat="1">
      <c r="A23" s="65">
        <v>20</v>
      </c>
      <c r="B23" s="65" t="s">
        <v>6</v>
      </c>
      <c r="C23" s="78"/>
      <c r="D23" s="65" t="s">
        <v>19</v>
      </c>
      <c r="E23" s="79">
        <v>61</v>
      </c>
      <c r="F23" s="87">
        <v>2</v>
      </c>
      <c r="G23" s="65">
        <v>49.75</v>
      </c>
      <c r="H23" s="65" t="s">
        <v>9</v>
      </c>
      <c r="I23" s="2058"/>
      <c r="J23" s="2069">
        <v>6032187</v>
      </c>
      <c r="K23" s="72" t="s">
        <v>28</v>
      </c>
      <c r="L23" s="65" t="s">
        <v>22</v>
      </c>
      <c r="M23" s="65" t="s">
        <v>583</v>
      </c>
      <c r="N23" s="65" t="s">
        <v>18</v>
      </c>
      <c r="O23" s="98"/>
      <c r="P23" s="65" t="s">
        <v>17</v>
      </c>
      <c r="Q23" s="128"/>
      <c r="R23" s="118" t="s">
        <v>11625</v>
      </c>
      <c r="S23" s="118"/>
      <c r="T23" s="65" t="s">
        <v>28</v>
      </c>
      <c r="U23" s="65" t="s">
        <v>28</v>
      </c>
      <c r="V23" s="2096">
        <f>Июль2555[[#This Row],[сумма]]-Июль2555[[#This Row],[Цена м2 отделки]]*Июль2555[[#This Row],[м2]]</f>
        <v>6032187</v>
      </c>
    </row>
    <row r="24" spans="1:22" s="2053" customFormat="1">
      <c r="A24" s="2046">
        <v>21</v>
      </c>
      <c r="B24" s="2046" t="s">
        <v>6</v>
      </c>
      <c r="C24" s="2224"/>
      <c r="D24" s="2046" t="s">
        <v>13</v>
      </c>
      <c r="E24" s="2055">
        <v>181</v>
      </c>
      <c r="F24" s="2047">
        <v>2</v>
      </c>
      <c r="G24" s="2046">
        <v>60.1</v>
      </c>
      <c r="H24" s="2046" t="s">
        <v>9</v>
      </c>
      <c r="I24" s="2271"/>
      <c r="J24" s="2272">
        <v>6884200</v>
      </c>
      <c r="K24" s="2046" t="s">
        <v>28</v>
      </c>
      <c r="L24" s="2046" t="s">
        <v>26</v>
      </c>
      <c r="M24" s="2046" t="s">
        <v>583</v>
      </c>
      <c r="N24" s="2046" t="s">
        <v>18</v>
      </c>
      <c r="O24" s="2049">
        <v>45888</v>
      </c>
      <c r="P24" s="2046" t="s">
        <v>17</v>
      </c>
      <c r="Q24" s="2225"/>
      <c r="R24" s="2051" t="s">
        <v>11626</v>
      </c>
      <c r="S24" s="2051"/>
      <c r="T24" s="2046" t="s">
        <v>28</v>
      </c>
      <c r="U24" s="2046" t="s">
        <v>1884</v>
      </c>
      <c r="V24" s="2227">
        <f>Июль2555[[#This Row],[сумма]]-Июль2555[[#This Row],[Цена м2 отделки]]*Июль2555[[#This Row],[м2]]</f>
        <v>6884200</v>
      </c>
    </row>
    <row r="25" spans="1:22" s="2053" customFormat="1">
      <c r="A25" s="2046">
        <v>22</v>
      </c>
      <c r="B25" s="2046" t="s">
        <v>6</v>
      </c>
      <c r="C25" s="2217">
        <v>49418</v>
      </c>
      <c r="D25" s="2046" t="s">
        <v>13</v>
      </c>
      <c r="E25" s="2046">
        <v>517</v>
      </c>
      <c r="F25" s="2047">
        <v>0</v>
      </c>
      <c r="G25" s="2046">
        <v>29.3</v>
      </c>
      <c r="H25" s="2059" t="s">
        <v>25</v>
      </c>
      <c r="I25" s="2271">
        <v>30000</v>
      </c>
      <c r="J25" s="2272">
        <v>4707100</v>
      </c>
      <c r="K25" s="2046" t="s">
        <v>8</v>
      </c>
      <c r="L25" s="2059"/>
      <c r="M25" s="2046" t="s">
        <v>286</v>
      </c>
      <c r="N25" s="2059" t="s">
        <v>18</v>
      </c>
      <c r="O25" s="2049"/>
      <c r="P25" s="2059" t="s">
        <v>17</v>
      </c>
      <c r="Q25" s="2050" t="s">
        <v>11627</v>
      </c>
      <c r="R25" s="2051"/>
      <c r="S25" s="2051" t="s">
        <v>2299</v>
      </c>
      <c r="T25" s="2046" t="s">
        <v>8</v>
      </c>
      <c r="U25" s="2046" t="s">
        <v>8</v>
      </c>
      <c r="V25" s="2227">
        <f>Июль2555[[#This Row],[сумма]]-Июль2555[[#This Row],[Цена м2 отделки]]*Июль2555[[#This Row],[м2]]</f>
        <v>3828100</v>
      </c>
    </row>
    <row r="26" spans="1:22" s="61" customFormat="1">
      <c r="A26" s="65"/>
      <c r="B26" s="65"/>
      <c r="C26" s="2091"/>
      <c r="D26" s="65"/>
      <c r="E26" s="65"/>
      <c r="F26" s="65"/>
      <c r="G26" s="65"/>
      <c r="H26" s="65"/>
      <c r="I26" s="65"/>
      <c r="J26" s="2063"/>
      <c r="K26" s="72"/>
      <c r="L26" s="65"/>
      <c r="M26" s="65"/>
      <c r="N26" s="65"/>
      <c r="O26" s="94"/>
      <c r="P26" s="65"/>
      <c r="Q26" s="65"/>
      <c r="R26" s="66"/>
      <c r="S26" s="66"/>
      <c r="T26" s="65"/>
      <c r="U26" s="65"/>
      <c r="V26" s="2096">
        <f>Июль2555[[#This Row],[сумма]]-Июль2555[[#This Row],[Цена м2 отделки]]*Июль2555[[#This Row],[м2]]</f>
        <v>0</v>
      </c>
    </row>
    <row r="27" spans="1:22" s="2053" customFormat="1" ht="11.25" customHeight="1">
      <c r="A27" s="65"/>
      <c r="B27" s="65"/>
      <c r="C27" s="65"/>
      <c r="D27" s="65"/>
      <c r="E27" s="65"/>
      <c r="F27" s="65"/>
      <c r="G27" s="65"/>
      <c r="H27" s="65"/>
      <c r="I27" s="2091"/>
      <c r="J27" s="2063"/>
      <c r="K27" s="65"/>
      <c r="L27" s="65"/>
      <c r="M27" s="65"/>
      <c r="N27" s="65"/>
      <c r="O27" s="98"/>
      <c r="P27" s="65"/>
      <c r="Q27" s="65"/>
      <c r="R27" s="118"/>
      <c r="S27" s="118"/>
      <c r="T27" s="80"/>
      <c r="U27" s="80"/>
      <c r="V27" s="2096">
        <f>Июль2555[[#This Row],[сумма]]-Июль2555[[#This Row],[Цена м2 отделки]]*Июль2555[[#This Row],[м2]]</f>
        <v>0</v>
      </c>
    </row>
    <row r="28" spans="1:22" s="2053" customFormat="1">
      <c r="A28" s="65"/>
      <c r="B28" s="65"/>
      <c r="C28" s="79"/>
      <c r="D28" s="65"/>
      <c r="E28" s="79"/>
      <c r="F28" s="65"/>
      <c r="G28" s="65"/>
      <c r="H28" s="65"/>
      <c r="I28" s="2091"/>
      <c r="J28" s="2063"/>
      <c r="K28" s="80"/>
      <c r="L28" s="65"/>
      <c r="M28" s="65"/>
      <c r="N28" s="65"/>
      <c r="O28" s="98"/>
      <c r="P28" s="80"/>
      <c r="Q28" s="65"/>
      <c r="R28" s="86"/>
      <c r="S28" s="86"/>
      <c r="T28" s="80"/>
      <c r="U28" s="80"/>
      <c r="V28" s="2096">
        <f>Июль2555[[#This Row],[сумма]]-Июль2555[[#This Row],[Цена м2 отделки]]*Июль2555[[#This Row],[м2]]</f>
        <v>0</v>
      </c>
    </row>
    <row r="29" spans="1:22" s="61" customFormat="1">
      <c r="A29" s="65"/>
      <c r="B29" s="65"/>
      <c r="C29" s="79"/>
      <c r="D29" s="65"/>
      <c r="E29" s="79"/>
      <c r="F29" s="87"/>
      <c r="G29" s="79"/>
      <c r="H29" s="65"/>
      <c r="I29" s="72"/>
      <c r="J29" s="2063"/>
      <c r="K29" s="80"/>
      <c r="L29" s="65"/>
      <c r="M29" s="65"/>
      <c r="N29" s="65"/>
      <c r="O29" s="98"/>
      <c r="P29" s="80"/>
      <c r="Q29" s="65"/>
      <c r="R29" s="118"/>
      <c r="S29" s="118"/>
      <c r="T29" s="80"/>
      <c r="U29" s="80"/>
      <c r="V29" s="2096">
        <f>Июль2555[[#This Row],[сумма]]-Июль2555[[#This Row],[Цена м2 отделки]]*Июль2555[[#This Row],[м2]]</f>
        <v>0</v>
      </c>
    </row>
    <row r="30" spans="1:22" s="61" customFormat="1">
      <c r="A30" s="65"/>
      <c r="B30" s="65"/>
      <c r="C30" s="79"/>
      <c r="D30" s="65"/>
      <c r="E30" s="79"/>
      <c r="F30" s="87"/>
      <c r="G30" s="79"/>
      <c r="H30" s="65"/>
      <c r="I30" s="72"/>
      <c r="J30" s="2063"/>
      <c r="K30" s="65"/>
      <c r="L30" s="65"/>
      <c r="M30" s="65"/>
      <c r="N30" s="65"/>
      <c r="O30" s="98"/>
      <c r="P30" s="65"/>
      <c r="Q30" s="65"/>
      <c r="R30" s="118"/>
      <c r="S30" s="118"/>
      <c r="T30" s="65"/>
      <c r="U30" s="65"/>
      <c r="V30" s="2096">
        <f>Июль2555[[#This Row],[сумма]]-Июль2555[[#This Row],[Цена м2 отделки]]*Июль2555[[#This Row],[м2]]</f>
        <v>0</v>
      </c>
    </row>
    <row r="31" spans="1:22" s="61" customFormat="1">
      <c r="A31" s="65"/>
      <c r="B31" s="65"/>
      <c r="C31" s="79"/>
      <c r="D31" s="65"/>
      <c r="E31" s="79"/>
      <c r="F31" s="65"/>
      <c r="G31" s="65"/>
      <c r="H31" s="65"/>
      <c r="I31" s="65"/>
      <c r="J31" s="2070"/>
      <c r="K31" s="80"/>
      <c r="L31" s="65"/>
      <c r="M31" s="65"/>
      <c r="N31" s="65"/>
      <c r="O31" s="98"/>
      <c r="P31" s="80"/>
      <c r="Q31" s="65"/>
      <c r="R31" s="118"/>
      <c r="S31" s="118"/>
      <c r="T31" s="80"/>
      <c r="U31" s="80"/>
      <c r="V31" s="2096">
        <f>Июль2555[[#This Row],[сумма]]-Июль2555[[#This Row],[Цена м2 отделки]]*Июль2555[[#This Row],[м2]]</f>
        <v>0</v>
      </c>
    </row>
    <row r="32" spans="1:22" s="61" customFormat="1">
      <c r="A32" s="65"/>
      <c r="B32" s="65"/>
      <c r="C32" s="78"/>
      <c r="D32" s="65"/>
      <c r="E32" s="79"/>
      <c r="F32" s="65"/>
      <c r="G32" s="65"/>
      <c r="H32" s="65"/>
      <c r="I32" s="65"/>
      <c r="J32" s="2063"/>
      <c r="K32" s="80"/>
      <c r="L32" s="65"/>
      <c r="M32" s="107"/>
      <c r="N32" s="65"/>
      <c r="O32" s="98"/>
      <c r="P32" s="80"/>
      <c r="Q32" s="65"/>
      <c r="R32" s="118"/>
      <c r="S32" s="131"/>
      <c r="T32" s="80"/>
      <c r="U32" s="80"/>
      <c r="V32" s="2096">
        <f>Июль2555[[#This Row],[сумма]]-Июль2555[[#This Row],[Цена м2 отделки]]*Июль2555[[#This Row],[м2]]</f>
        <v>0</v>
      </c>
    </row>
    <row r="33" spans="1:22" s="61" customFormat="1">
      <c r="A33" s="65"/>
      <c r="B33" s="65"/>
      <c r="C33" s="77"/>
      <c r="D33" s="65"/>
      <c r="E33" s="65"/>
      <c r="F33" s="65"/>
      <c r="G33" s="79"/>
      <c r="H33" s="65"/>
      <c r="I33" s="65"/>
      <c r="J33" s="2063"/>
      <c r="K33" s="65"/>
      <c r="L33" s="65"/>
      <c r="M33" s="65"/>
      <c r="N33" s="65"/>
      <c r="O33" s="98"/>
      <c r="P33" s="80"/>
      <c r="Q33" s="65"/>
      <c r="R33" s="86"/>
      <c r="S33" s="86"/>
      <c r="T33" s="80"/>
      <c r="U33" s="80"/>
      <c r="V33" s="2096">
        <f>Июль2555[[#This Row],[сумма]]-Июль2555[[#This Row],[Цена м2 отделки]]*Июль2555[[#This Row],[м2]]</f>
        <v>0</v>
      </c>
    </row>
    <row r="34" spans="1:22" s="61" customFormat="1">
      <c r="A34" s="65"/>
      <c r="B34" s="65"/>
      <c r="C34" s="79"/>
      <c r="D34" s="65"/>
      <c r="E34" s="79"/>
      <c r="F34" s="65"/>
      <c r="G34" s="65"/>
      <c r="H34" s="65"/>
      <c r="I34" s="65"/>
      <c r="J34" s="2063"/>
      <c r="K34" s="80"/>
      <c r="L34" s="65"/>
      <c r="M34" s="65"/>
      <c r="N34" s="65"/>
      <c r="O34" s="98"/>
      <c r="P34" s="80"/>
      <c r="Q34" s="65"/>
      <c r="R34" s="118"/>
      <c r="S34" s="118"/>
      <c r="T34" s="80"/>
      <c r="U34" s="80"/>
      <c r="V34" s="2096">
        <f>Июль2555[[#This Row],[сумма]]-Июль2555[[#This Row],[Цена м2 отделки]]*Июль2555[[#This Row],[м2]]</f>
        <v>0</v>
      </c>
    </row>
    <row r="35" spans="1:22" s="61" customFormat="1">
      <c r="A35" s="65"/>
      <c r="B35" s="65"/>
      <c r="C35" s="79"/>
      <c r="D35" s="65"/>
      <c r="E35" s="79"/>
      <c r="F35" s="65"/>
      <c r="G35" s="65"/>
      <c r="H35" s="65"/>
      <c r="I35" s="65"/>
      <c r="J35" s="2063"/>
      <c r="K35" s="80"/>
      <c r="L35" s="65"/>
      <c r="M35" s="65"/>
      <c r="N35" s="65"/>
      <c r="O35" s="98"/>
      <c r="P35" s="80"/>
      <c r="Q35" s="65"/>
      <c r="R35" s="118"/>
      <c r="S35" s="118"/>
      <c r="T35" s="80"/>
      <c r="U35" s="80"/>
      <c r="V35" s="2096">
        <f>Июль2555[[#This Row],[сумма]]-Июль2555[[#This Row],[Цена м2 отделки]]*Июль2555[[#This Row],[м2]]</f>
        <v>0</v>
      </c>
    </row>
    <row r="36" spans="1:22" s="61" customFormat="1">
      <c r="A36" s="65"/>
      <c r="B36" s="65"/>
      <c r="C36" s="79"/>
      <c r="D36" s="65"/>
      <c r="E36" s="79"/>
      <c r="F36" s="65"/>
      <c r="G36" s="65"/>
      <c r="H36" s="65"/>
      <c r="I36" s="65"/>
      <c r="J36" s="2063"/>
      <c r="K36" s="80"/>
      <c r="L36" s="65"/>
      <c r="M36" s="65"/>
      <c r="N36" s="65"/>
      <c r="O36" s="98"/>
      <c r="P36" s="80"/>
      <c r="Q36" s="65"/>
      <c r="R36" s="118"/>
      <c r="S36" s="118"/>
      <c r="T36" s="80"/>
      <c r="U36" s="80"/>
      <c r="V36" s="2096">
        <f>Июль2555[[#This Row],[сумма]]-Июль2555[[#This Row],[Цена м2 отделки]]*Июль2555[[#This Row],[м2]]</f>
        <v>0</v>
      </c>
    </row>
    <row r="37" spans="1:22" s="61" customFormat="1">
      <c r="A37" s="65"/>
      <c r="B37" s="65"/>
      <c r="C37" s="79"/>
      <c r="D37" s="65"/>
      <c r="E37" s="79"/>
      <c r="F37" s="65"/>
      <c r="G37" s="65"/>
      <c r="H37" s="65"/>
      <c r="I37" s="65"/>
      <c r="J37" s="2063"/>
      <c r="K37" s="80"/>
      <c r="L37" s="65"/>
      <c r="M37" s="65"/>
      <c r="N37" s="108"/>
      <c r="O37" s="98"/>
      <c r="P37" s="80"/>
      <c r="Q37" s="65"/>
      <c r="R37" s="86"/>
      <c r="S37" s="118"/>
      <c r="T37" s="80"/>
      <c r="U37" s="80"/>
      <c r="V37" s="2096">
        <f>Июль2555[[#This Row],[сумма]]-Июль2555[[#This Row],[Цена м2 отделки]]*Июль2555[[#This Row],[м2]]</f>
        <v>0</v>
      </c>
    </row>
    <row r="38" spans="1:22" s="61" customFormat="1">
      <c r="A38" s="65"/>
      <c r="B38" s="65"/>
      <c r="C38" s="78"/>
      <c r="D38" s="65"/>
      <c r="E38" s="79"/>
      <c r="F38" s="65"/>
      <c r="G38" s="65"/>
      <c r="H38" s="65"/>
      <c r="I38" s="65"/>
      <c r="J38" s="2063"/>
      <c r="K38" s="80"/>
      <c r="L38" s="65"/>
      <c r="M38" s="65"/>
      <c r="N38" s="65"/>
      <c r="O38" s="98"/>
      <c r="P38" s="80"/>
      <c r="Q38" s="65"/>
      <c r="R38" s="118"/>
      <c r="S38" s="118"/>
      <c r="T38" s="80"/>
      <c r="U38" s="80"/>
      <c r="V38" s="2096">
        <f>Июль2555[[#This Row],[сумма]]-Июль2555[[#This Row],[Цена м2 отделки]]*Июль2555[[#This Row],[м2]]</f>
        <v>0</v>
      </c>
    </row>
    <row r="39" spans="1:22">
      <c r="A39" s="65"/>
      <c r="B39" s="65"/>
      <c r="C39" s="79"/>
      <c r="D39" s="65"/>
      <c r="E39" s="79"/>
      <c r="F39" s="65"/>
      <c r="G39" s="65"/>
      <c r="H39" s="65"/>
      <c r="I39" s="65"/>
      <c r="J39" s="2063"/>
      <c r="K39" s="65"/>
      <c r="L39" s="65"/>
      <c r="M39" s="65"/>
      <c r="N39" s="65"/>
      <c r="O39" s="98"/>
      <c r="P39" s="80"/>
      <c r="Q39" s="86"/>
      <c r="R39" s="118"/>
      <c r="S39" s="118"/>
      <c r="U39" s="65"/>
      <c r="V39" s="2096">
        <f>Июль2555[[#This Row],[сумма]]-Июль2555[[#This Row],[Цена м2 отделки]]*Июль2555[[#This Row],[м2]]</f>
        <v>0</v>
      </c>
    </row>
    <row r="40" spans="1:22">
      <c r="A40" s="65"/>
      <c r="B40" s="65"/>
      <c r="C40" s="79"/>
      <c r="D40" s="65"/>
      <c r="E40" s="79"/>
      <c r="F40" s="65"/>
      <c r="G40" s="65"/>
      <c r="H40" s="65"/>
      <c r="I40" s="65"/>
      <c r="J40" s="2063"/>
      <c r="K40" s="80"/>
      <c r="L40" s="65"/>
      <c r="M40" s="65"/>
      <c r="N40" s="65"/>
      <c r="O40" s="98"/>
      <c r="P40" s="80"/>
      <c r="Q40" s="65"/>
      <c r="R40" s="118"/>
      <c r="S40" s="118"/>
      <c r="T40" s="80"/>
      <c r="U40" s="80"/>
      <c r="V40" s="2096">
        <f>Июль2555[[#This Row],[сумма]]-Июль2555[[#This Row],[Цена м2 отделки]]*Июль2555[[#This Row],[м2]]</f>
        <v>0</v>
      </c>
    </row>
    <row r="41" spans="1:22">
      <c r="A41" s="65"/>
      <c r="B41" s="65"/>
      <c r="C41" s="78"/>
      <c r="D41" s="65"/>
      <c r="E41" s="79"/>
      <c r="F41" s="65"/>
      <c r="G41" s="65"/>
      <c r="H41" s="89"/>
      <c r="I41" s="89"/>
      <c r="J41" s="2063"/>
      <c r="K41" s="80"/>
      <c r="L41" s="65"/>
      <c r="M41" s="65"/>
      <c r="N41" s="65"/>
      <c r="O41" s="98"/>
      <c r="P41" s="80"/>
      <c r="Q41" s="65"/>
      <c r="R41" s="118"/>
      <c r="S41" s="118"/>
      <c r="T41" s="80"/>
      <c r="U41" s="80"/>
      <c r="V41" s="2096">
        <f>Июль2555[[#This Row],[сумма]]-Июль2555[[#This Row],[Цена м2 отделки]]*Июль2555[[#This Row],[м2]]</f>
        <v>0</v>
      </c>
    </row>
    <row r="42" spans="1:22">
      <c r="A42" s="65"/>
      <c r="B42" s="65"/>
      <c r="C42" s="79"/>
      <c r="D42" s="65"/>
      <c r="E42" s="79"/>
      <c r="F42" s="65"/>
      <c r="G42" s="65"/>
      <c r="H42" s="65"/>
      <c r="I42" s="65"/>
      <c r="J42" s="2063"/>
      <c r="K42" s="80"/>
      <c r="L42" s="65"/>
      <c r="M42" s="65"/>
      <c r="N42" s="65"/>
      <c r="O42" s="98"/>
      <c r="P42" s="65"/>
      <c r="Q42" s="65"/>
      <c r="R42" s="118"/>
      <c r="S42" s="118"/>
      <c r="T42" s="80"/>
      <c r="U42" s="80"/>
      <c r="V42" s="2096">
        <f>Июль2555[[#This Row],[сумма]]-Июль2555[[#This Row],[Цена м2 отделки]]*Июль2555[[#This Row],[м2]]</f>
        <v>0</v>
      </c>
    </row>
    <row r="43" spans="1:22">
      <c r="A43" s="65"/>
      <c r="B43" s="65"/>
      <c r="C43" s="79"/>
      <c r="D43" s="65"/>
      <c r="E43" s="79"/>
      <c r="F43" s="65"/>
      <c r="G43" s="65"/>
      <c r="H43" s="65"/>
      <c r="I43" s="65"/>
      <c r="J43" s="2063"/>
      <c r="K43" s="80"/>
      <c r="L43" s="65"/>
      <c r="M43" s="65"/>
      <c r="N43" s="65"/>
      <c r="O43" s="98"/>
      <c r="P43" s="65"/>
      <c r="Q43" s="65"/>
      <c r="R43" s="118"/>
      <c r="S43" s="118"/>
      <c r="T43" s="80"/>
      <c r="U43" s="80"/>
      <c r="V43" s="2096">
        <f>Июль2555[[#This Row],[сумма]]-Июль2555[[#This Row],[Цена м2 отделки]]*Июль2555[[#This Row],[м2]]</f>
        <v>0</v>
      </c>
    </row>
    <row r="44" spans="1:22">
      <c r="A44" s="65"/>
      <c r="B44" s="65"/>
      <c r="C44" s="78"/>
      <c r="D44" s="65"/>
      <c r="E44" s="79"/>
      <c r="F44" s="65"/>
      <c r="G44" s="65"/>
      <c r="H44" s="65"/>
      <c r="I44" s="77"/>
      <c r="J44" s="2063"/>
      <c r="K44" s="80"/>
      <c r="L44" s="65"/>
      <c r="M44" s="65"/>
      <c r="N44" s="65"/>
      <c r="O44" s="98"/>
      <c r="P44" s="65"/>
      <c r="Q44" s="65"/>
      <c r="R44" s="118"/>
      <c r="S44" s="118"/>
      <c r="T44" s="80"/>
      <c r="U44" s="80"/>
      <c r="V44" s="2096">
        <f>Июль2555[[#This Row],[сумма]]-Июль2555[[#This Row],[Цена м2 отделки]]*Июль2555[[#This Row],[м2]]</f>
        <v>0</v>
      </c>
    </row>
    <row r="45" spans="1:22">
      <c r="A45" s="65"/>
      <c r="B45" s="65"/>
      <c r="C45" s="79"/>
      <c r="D45" s="65"/>
      <c r="E45" s="79"/>
      <c r="F45" s="65"/>
      <c r="G45" s="65"/>
      <c r="H45" s="65"/>
      <c r="I45" s="65"/>
      <c r="J45" s="2063"/>
      <c r="K45" s="80"/>
      <c r="L45" s="65"/>
      <c r="M45" s="65"/>
      <c r="N45" s="65"/>
      <c r="O45" s="98"/>
      <c r="P45" s="65"/>
      <c r="Q45" s="65"/>
      <c r="R45" s="118"/>
      <c r="S45" s="118"/>
      <c r="T45" s="80"/>
      <c r="U45" s="80"/>
      <c r="V45" s="2096">
        <f>Июль2555[[#This Row],[сумма]]-Июль2555[[#This Row],[Цена м2 отделки]]*Июль2555[[#This Row],[м2]]</f>
        <v>0</v>
      </c>
    </row>
    <row r="46" spans="1:22">
      <c r="A46" s="65"/>
      <c r="B46" s="65"/>
      <c r="C46" s="78"/>
      <c r="D46" s="65"/>
      <c r="E46" s="79"/>
      <c r="F46" s="65"/>
      <c r="G46" s="65"/>
      <c r="H46" s="65"/>
      <c r="I46" s="65"/>
      <c r="J46" s="2063"/>
      <c r="K46" s="80"/>
      <c r="L46" s="65"/>
      <c r="M46" s="65"/>
      <c r="N46" s="65"/>
      <c r="O46" s="98"/>
      <c r="P46" s="65"/>
      <c r="Q46" s="65"/>
      <c r="R46" s="118"/>
      <c r="S46" s="118"/>
      <c r="T46" s="80"/>
      <c r="U46" s="80"/>
      <c r="V46" s="2096">
        <f>Июль2555[[#This Row],[сумма]]-Июль2555[[#This Row],[Цена м2 отделки]]*Июль2555[[#This Row],[м2]]</f>
        <v>0</v>
      </c>
    </row>
    <row r="47" spans="1:22">
      <c r="A47" s="65"/>
      <c r="B47" s="65"/>
      <c r="C47" s="79"/>
      <c r="D47" s="65"/>
      <c r="E47" s="79"/>
      <c r="F47" s="65"/>
      <c r="G47" s="65"/>
      <c r="H47" s="80"/>
      <c r="I47" s="80"/>
      <c r="J47" s="2063"/>
      <c r="K47" s="80"/>
      <c r="L47" s="65"/>
      <c r="M47" s="65"/>
      <c r="N47" s="65"/>
      <c r="O47" s="98"/>
      <c r="P47" s="80"/>
      <c r="Q47" s="86"/>
      <c r="R47" s="86"/>
      <c r="S47" s="86"/>
      <c r="T47" s="80"/>
      <c r="U47" s="80"/>
      <c r="V47" s="2096">
        <f>Июль2555[[#This Row],[сумма]]-Июль2555[[#This Row],[Цена м2 отделки]]*Июль2555[[#This Row],[м2]]</f>
        <v>0</v>
      </c>
    </row>
    <row r="48" spans="1:22">
      <c r="A48" s="65"/>
      <c r="B48" s="65"/>
      <c r="C48" s="79"/>
      <c r="D48" s="65"/>
      <c r="E48" s="79"/>
      <c r="F48" s="65"/>
      <c r="G48" s="65"/>
      <c r="H48" s="80"/>
      <c r="I48" s="80"/>
      <c r="J48" s="2063"/>
      <c r="K48" s="80"/>
      <c r="L48" s="65"/>
      <c r="M48" s="65"/>
      <c r="N48" s="65"/>
      <c r="O48" s="98"/>
      <c r="P48" s="80"/>
      <c r="Q48" s="65"/>
      <c r="R48" s="86"/>
      <c r="S48" s="86"/>
      <c r="T48" s="80"/>
      <c r="U48" s="80"/>
      <c r="V48" s="2096">
        <f>Июль2555[[#This Row],[сумма]]-Июль2555[[#This Row],[Цена м2 отделки]]*Июль2555[[#This Row],[м2]]</f>
        <v>0</v>
      </c>
    </row>
    <row r="49" spans="1:22">
      <c r="A49" s="65"/>
      <c r="B49" s="65"/>
      <c r="C49" s="79"/>
      <c r="D49" s="65"/>
      <c r="E49" s="79"/>
      <c r="F49" s="65"/>
      <c r="G49" s="65"/>
      <c r="H49" s="65"/>
      <c r="I49" s="65"/>
      <c r="J49" s="2063"/>
      <c r="K49" s="80"/>
      <c r="L49" s="65"/>
      <c r="M49" s="65"/>
      <c r="N49" s="65"/>
      <c r="O49" s="98"/>
      <c r="P49" s="80"/>
      <c r="Q49" s="65"/>
      <c r="R49" s="86"/>
      <c r="S49" s="86"/>
      <c r="T49" s="80"/>
      <c r="U49" s="80"/>
      <c r="V49" s="2096">
        <f>Июль2555[[#This Row],[сумма]]-Июль2555[[#This Row],[Цена м2 отделки]]*Июль2555[[#This Row],[м2]]</f>
        <v>0</v>
      </c>
    </row>
    <row r="50" spans="1:22">
      <c r="A50" s="65"/>
      <c r="B50" s="65"/>
      <c r="C50" s="79"/>
      <c r="D50" s="65"/>
      <c r="E50" s="79"/>
      <c r="F50" s="65"/>
      <c r="G50" s="65"/>
      <c r="H50" s="65"/>
      <c r="I50" s="65"/>
      <c r="J50" s="2063"/>
      <c r="K50" s="80"/>
      <c r="L50" s="65"/>
      <c r="M50" s="65"/>
      <c r="N50" s="65"/>
      <c r="O50" s="98"/>
      <c r="P50" s="80"/>
      <c r="Q50" s="65"/>
      <c r="R50" s="118"/>
      <c r="S50" s="86"/>
      <c r="T50" s="80"/>
      <c r="U50" s="80"/>
      <c r="V50" s="2096">
        <f>Июль2555[[#This Row],[сумма]]-Июль2555[[#This Row],[Цена м2 отделки]]*Июль2555[[#This Row],[м2]]</f>
        <v>0</v>
      </c>
    </row>
    <row r="51" spans="1:22">
      <c r="A51" s="65"/>
      <c r="B51" s="65"/>
      <c r="C51" s="79"/>
      <c r="D51" s="65"/>
      <c r="E51" s="79"/>
      <c r="F51" s="65"/>
      <c r="G51" s="65"/>
      <c r="H51" s="65"/>
      <c r="I51" s="65"/>
      <c r="J51" s="2063"/>
      <c r="K51" s="80"/>
      <c r="L51" s="65"/>
      <c r="M51" s="65"/>
      <c r="N51" s="108"/>
      <c r="O51" s="98"/>
      <c r="P51" s="80"/>
      <c r="Q51" s="65"/>
      <c r="R51" s="86"/>
      <c r="S51" s="86"/>
      <c r="T51" s="80"/>
      <c r="U51" s="80"/>
      <c r="V51" s="2096">
        <f>Июль2555[[#This Row],[сумма]]-Июль2555[[#This Row],[Цена м2 отделки]]*Июль2555[[#This Row],[м2]]</f>
        <v>0</v>
      </c>
    </row>
    <row r="52" spans="1:22">
      <c r="A52" s="65"/>
      <c r="B52" s="65"/>
      <c r="C52" s="79"/>
      <c r="D52" s="65"/>
      <c r="E52" s="79"/>
      <c r="F52" s="65"/>
      <c r="G52" s="65"/>
      <c r="H52" s="65"/>
      <c r="I52" s="65"/>
      <c r="J52" s="2063"/>
      <c r="K52" s="80"/>
      <c r="L52" s="65"/>
      <c r="M52" s="65"/>
      <c r="N52" s="65"/>
      <c r="O52" s="98"/>
      <c r="P52" s="80"/>
      <c r="Q52" s="86"/>
      <c r="R52" s="86"/>
      <c r="S52" s="86"/>
      <c r="T52" s="80"/>
      <c r="U52" s="80"/>
      <c r="V52" s="2096">
        <f>Июль2555[[#This Row],[сумма]]-Июль2555[[#This Row],[Цена м2 отделки]]*Июль2555[[#This Row],[м2]]</f>
        <v>0</v>
      </c>
    </row>
    <row r="53" spans="1:22">
      <c r="A53" s="65"/>
      <c r="B53" s="65"/>
      <c r="C53" s="79"/>
      <c r="D53" s="65"/>
      <c r="E53" s="79"/>
      <c r="F53" s="65"/>
      <c r="G53" s="65"/>
      <c r="H53" s="65"/>
      <c r="I53" s="65"/>
      <c r="J53" s="2063"/>
      <c r="K53" s="80"/>
      <c r="L53" s="65"/>
      <c r="M53" s="65"/>
      <c r="N53" s="65"/>
      <c r="O53" s="109"/>
      <c r="P53" s="80"/>
      <c r="Q53" s="86"/>
      <c r="R53" s="86"/>
      <c r="S53" s="86"/>
      <c r="T53" s="80"/>
      <c r="U53" s="80"/>
      <c r="V53" s="2096">
        <f>Июль2555[[#This Row],[сумма]]-Июль2555[[#This Row],[Цена м2 отделки]]*Июль2555[[#This Row],[м2]]</f>
        <v>0</v>
      </c>
    </row>
    <row r="54" spans="1:22">
      <c r="A54" s="65"/>
      <c r="B54" s="65"/>
      <c r="C54" s="79"/>
      <c r="D54" s="65"/>
      <c r="E54" s="79"/>
      <c r="F54" s="65"/>
      <c r="G54" s="65"/>
      <c r="H54" s="86"/>
      <c r="I54" s="86"/>
      <c r="J54" s="2066"/>
      <c r="K54" s="80"/>
      <c r="L54" s="80"/>
      <c r="M54" s="80"/>
      <c r="N54" s="80"/>
      <c r="O54" s="109"/>
      <c r="P54" s="80"/>
      <c r="Q54" s="86"/>
      <c r="R54" s="86"/>
      <c r="S54" s="86"/>
      <c r="T54" s="80"/>
      <c r="U54" s="80"/>
      <c r="V54" s="2096">
        <f>Июль2555[[#This Row],[сумма]]-Июль2555[[#This Row],[Цена м2 отделки]]*Июль2555[[#This Row],[м2]]</f>
        <v>0</v>
      </c>
    </row>
    <row r="55" spans="1:22">
      <c r="A55" s="65"/>
      <c r="B55" s="65"/>
      <c r="C55" s="79"/>
      <c r="D55" s="65"/>
      <c r="E55" s="79"/>
      <c r="F55" s="65"/>
      <c r="G55" s="65"/>
      <c r="H55" s="65"/>
      <c r="I55" s="65"/>
      <c r="J55" s="2063"/>
      <c r="K55" s="80"/>
      <c r="L55" s="65"/>
      <c r="M55" s="65"/>
      <c r="N55" s="65"/>
      <c r="O55" s="109"/>
      <c r="P55" s="80"/>
      <c r="Q55" s="65"/>
      <c r="R55" s="118"/>
      <c r="S55" s="86"/>
      <c r="T55" s="80"/>
      <c r="U55" s="80"/>
      <c r="V55" s="2096">
        <f>Июль2555[[#This Row],[сумма]]-Июль2555[[#This Row],[Цена м2 отделки]]*Июль2555[[#This Row],[м2]]</f>
        <v>0</v>
      </c>
    </row>
    <row r="56" spans="1:22">
      <c r="A56" s="65"/>
      <c r="B56" s="65"/>
      <c r="C56" s="78"/>
      <c r="D56" s="65"/>
      <c r="E56" s="79"/>
      <c r="F56" s="65"/>
      <c r="G56" s="65"/>
      <c r="H56" s="65"/>
      <c r="I56" s="65"/>
      <c r="J56" s="2063"/>
      <c r="K56" s="80"/>
      <c r="L56" s="65"/>
      <c r="M56" s="65"/>
      <c r="N56" s="65"/>
      <c r="O56" s="98"/>
      <c r="P56" s="80"/>
      <c r="Q56" s="65"/>
      <c r="R56" s="118"/>
      <c r="S56" s="118"/>
      <c r="T56" s="80"/>
      <c r="U56" s="80"/>
      <c r="V56" s="2096">
        <f>Июль2555[[#This Row],[сумма]]-Июль2555[[#This Row],[Цена м2 отделки]]*Июль2555[[#This Row],[м2]]</f>
        <v>0</v>
      </c>
    </row>
    <row r="57" spans="1:22">
      <c r="A57" s="65"/>
      <c r="B57" s="65"/>
      <c r="C57" s="79"/>
      <c r="D57" s="65"/>
      <c r="E57" s="79"/>
      <c r="F57" s="65"/>
      <c r="G57" s="65"/>
      <c r="H57" s="65"/>
      <c r="I57" s="65"/>
      <c r="J57" s="2063"/>
      <c r="K57" s="80"/>
      <c r="L57" s="65"/>
      <c r="M57" s="65"/>
      <c r="N57" s="65"/>
      <c r="O57" s="98"/>
      <c r="P57" s="80"/>
      <c r="Q57" s="65"/>
      <c r="R57" s="118"/>
      <c r="S57" s="86"/>
      <c r="T57" s="80"/>
      <c r="U57" s="80"/>
      <c r="V57" s="2096">
        <f>Июль2555[[#This Row],[сумма]]-Июль2555[[#This Row],[Цена м2 отделки]]*Июль2555[[#This Row],[м2]]</f>
        <v>0</v>
      </c>
    </row>
    <row r="58" spans="1:22">
      <c r="A58" s="65"/>
      <c r="B58" s="65"/>
      <c r="C58" s="79"/>
      <c r="D58" s="65"/>
      <c r="E58" s="79"/>
      <c r="F58" s="65"/>
      <c r="G58" s="65"/>
      <c r="H58" s="65"/>
      <c r="I58" s="65"/>
      <c r="J58" s="2063"/>
      <c r="K58" s="65"/>
      <c r="L58" s="65"/>
      <c r="M58" s="65"/>
      <c r="N58" s="65"/>
      <c r="O58" s="98"/>
      <c r="P58" s="65"/>
      <c r="Q58" s="65"/>
      <c r="R58" s="86"/>
      <c r="S58" s="86"/>
      <c r="U58" s="65"/>
      <c r="V58" s="2096">
        <f>Июль2555[[#This Row],[сумма]]-Июль2555[[#This Row],[Цена м2 отделки]]*Июль2555[[#This Row],[м2]]</f>
        <v>0</v>
      </c>
    </row>
    <row r="59" spans="1:22">
      <c r="A59" s="65"/>
      <c r="B59" s="65"/>
      <c r="C59" s="79"/>
      <c r="D59" s="65"/>
      <c r="E59" s="79"/>
      <c r="F59" s="65"/>
      <c r="G59" s="65"/>
      <c r="H59" s="65"/>
      <c r="I59" s="72"/>
      <c r="J59" s="2063"/>
      <c r="K59" s="80"/>
      <c r="L59" s="65"/>
      <c r="M59" s="65"/>
      <c r="N59" s="65"/>
      <c r="O59" s="110"/>
      <c r="P59" s="65"/>
      <c r="Q59" s="72"/>
      <c r="R59" s="118"/>
      <c r="S59" s="118"/>
      <c r="T59" s="80"/>
      <c r="U59" s="80"/>
      <c r="V59" s="2096">
        <f>Июль2555[[#This Row],[сумма]]-Июль2555[[#This Row],[Цена м2 отделки]]*Июль2555[[#This Row],[м2]]</f>
        <v>0</v>
      </c>
    </row>
    <row r="60" spans="1:22">
      <c r="A60" s="65"/>
      <c r="B60" s="65"/>
      <c r="C60" s="79"/>
      <c r="D60" s="65"/>
      <c r="E60" s="79"/>
      <c r="F60" s="65"/>
      <c r="G60" s="65"/>
      <c r="H60" s="65"/>
      <c r="I60" s="65"/>
      <c r="J60" s="2063"/>
      <c r="K60" s="80"/>
      <c r="L60" s="65"/>
      <c r="M60" s="65"/>
      <c r="N60" s="65"/>
      <c r="O60" s="98"/>
      <c r="P60" s="65"/>
      <c r="Q60" s="65"/>
      <c r="R60" s="118"/>
      <c r="S60" s="118"/>
      <c r="T60" s="80"/>
      <c r="U60" s="80"/>
      <c r="V60" s="2096">
        <f>Июль2555[[#This Row],[сумма]]-Июль2555[[#This Row],[Цена м2 отделки]]*Июль2555[[#This Row],[м2]]</f>
        <v>0</v>
      </c>
    </row>
    <row r="61" spans="1:22">
      <c r="A61" s="65"/>
      <c r="B61" s="65"/>
      <c r="C61" s="79"/>
      <c r="D61" s="65"/>
      <c r="E61" s="79"/>
      <c r="F61" s="65"/>
      <c r="G61" s="65"/>
      <c r="H61" s="65"/>
      <c r="I61" s="72"/>
      <c r="J61" s="2063"/>
      <c r="K61" s="80"/>
      <c r="L61" s="65"/>
      <c r="M61" s="65"/>
      <c r="N61" s="65"/>
      <c r="O61" s="98"/>
      <c r="P61" s="65"/>
      <c r="Q61" s="65"/>
      <c r="R61" s="118"/>
      <c r="S61" s="86"/>
      <c r="T61" s="80"/>
      <c r="U61" s="80"/>
      <c r="V61" s="2096">
        <f>Июль2555[[#This Row],[сумма]]-Июль2555[[#This Row],[Цена м2 отделки]]*Июль2555[[#This Row],[м2]]</f>
        <v>0</v>
      </c>
    </row>
    <row r="62" spans="1:22">
      <c r="A62" s="65"/>
      <c r="B62" s="65"/>
      <c r="C62" s="79"/>
      <c r="D62" s="65"/>
      <c r="E62" s="79"/>
      <c r="F62" s="65"/>
      <c r="G62" s="65"/>
      <c r="H62" s="65"/>
      <c r="I62" s="72"/>
      <c r="J62" s="2063"/>
      <c r="K62" s="80"/>
      <c r="L62" s="65"/>
      <c r="M62" s="65"/>
      <c r="N62" s="65"/>
      <c r="O62" s="110"/>
      <c r="P62" s="65"/>
      <c r="Q62" s="65"/>
      <c r="R62" s="118"/>
      <c r="S62" s="118"/>
      <c r="T62" s="80"/>
      <c r="U62" s="80"/>
      <c r="V62" s="2096">
        <f>Июль2555[[#This Row],[сумма]]-Июль2555[[#This Row],[Цена м2 отделки]]*Июль2555[[#This Row],[м2]]</f>
        <v>0</v>
      </c>
    </row>
    <row r="63" spans="1:22">
      <c r="A63" s="65"/>
      <c r="B63" s="65"/>
      <c r="C63" s="79"/>
      <c r="D63" s="65"/>
      <c r="E63" s="79"/>
      <c r="F63" s="65"/>
      <c r="G63" s="65"/>
      <c r="H63" s="65"/>
      <c r="I63" s="65"/>
      <c r="J63" s="2063"/>
      <c r="K63" s="65"/>
      <c r="L63" s="65"/>
      <c r="M63" s="65"/>
      <c r="N63" s="65"/>
      <c r="O63" s="98"/>
      <c r="P63" s="65"/>
      <c r="Q63" s="65"/>
      <c r="R63" s="118"/>
      <c r="S63" s="118"/>
      <c r="U63" s="65"/>
      <c r="V63" s="2096">
        <f>Июль2555[[#This Row],[сумма]]-Июль2555[[#This Row],[Цена м2 отделки]]*Июль2555[[#This Row],[м2]]</f>
        <v>0</v>
      </c>
    </row>
    <row r="64" spans="1:22">
      <c r="A64" s="65"/>
      <c r="B64" s="87"/>
      <c r="C64" s="65"/>
      <c r="D64" s="65"/>
      <c r="E64" s="87"/>
      <c r="F64" s="65"/>
      <c r="G64" s="65"/>
      <c r="H64" s="72"/>
      <c r="I64" s="105"/>
      <c r="J64" s="2069"/>
      <c r="K64" s="65"/>
      <c r="L64" s="65"/>
      <c r="M64" s="65"/>
      <c r="N64" s="98"/>
      <c r="O64" s="65"/>
      <c r="P64" s="65"/>
      <c r="Q64" s="65"/>
      <c r="R64" s="65"/>
      <c r="S64" s="65"/>
      <c r="T64" s="93"/>
    </row>
    <row r="65" spans="1:27">
      <c r="A65" s="65"/>
      <c r="B65" s="87"/>
      <c r="C65" s="65"/>
      <c r="D65" s="65"/>
      <c r="E65" s="65"/>
      <c r="F65" s="65"/>
      <c r="G65" s="65"/>
      <c r="H65" s="65"/>
      <c r="I65" s="65"/>
      <c r="L65" s="65"/>
      <c r="M65" s="65"/>
      <c r="N65" s="98"/>
      <c r="O65" s="65"/>
    </row>
    <row r="66" spans="1:27" s="65" customFormat="1" ht="13.5" thickBot="1">
      <c r="B66" s="79"/>
      <c r="D66" s="79"/>
      <c r="J66" s="2071"/>
      <c r="U66" s="110"/>
      <c r="X66" s="98"/>
      <c r="Y66" s="80"/>
      <c r="AA66" s="86"/>
    </row>
    <row r="67" spans="1:27" s="65" customFormat="1" ht="15.75" customHeight="1" thickBot="1">
      <c r="A67" s="2418" t="s">
        <v>713</v>
      </c>
      <c r="B67" s="2419"/>
      <c r="C67" s="2203" t="s">
        <v>7</v>
      </c>
      <c r="D67" s="2415" t="s">
        <v>11478</v>
      </c>
      <c r="E67" s="2416"/>
      <c r="F67" s="2417"/>
      <c r="G67" s="2412" t="s">
        <v>1889</v>
      </c>
      <c r="H67" s="2413"/>
      <c r="I67" s="2413"/>
      <c r="J67" s="2413"/>
      <c r="K67" s="2414"/>
      <c r="L67" s="134"/>
      <c r="M67" s="134"/>
      <c r="N67" s="134"/>
      <c r="O67" s="134"/>
      <c r="P67" s="134"/>
      <c r="T67" s="66"/>
    </row>
    <row r="68" spans="1:27" s="65" customFormat="1">
      <c r="A68" s="2191" t="s">
        <v>1</v>
      </c>
      <c r="B68" s="2192" t="s">
        <v>100</v>
      </c>
      <c r="C68" s="2204" t="s">
        <v>97</v>
      </c>
      <c r="D68" s="2200" t="s">
        <v>53</v>
      </c>
      <c r="E68" s="2193" t="s">
        <v>11479</v>
      </c>
      <c r="F68" s="2197" t="s">
        <v>11480</v>
      </c>
      <c r="G68" s="2208" t="s">
        <v>53</v>
      </c>
      <c r="H68" s="2194" t="s">
        <v>11479</v>
      </c>
      <c r="I68" s="2194" t="s">
        <v>11480</v>
      </c>
      <c r="J68" s="2195" t="s">
        <v>11481</v>
      </c>
      <c r="K68" s="2196" t="s">
        <v>11482</v>
      </c>
      <c r="O68" s="66"/>
    </row>
    <row r="69" spans="1:27" s="65" customFormat="1">
      <c r="A69" s="2181" t="s">
        <v>28</v>
      </c>
      <c r="B69" s="2168">
        <f>IFERROR(VLOOKUP(A69,'ИПП 3кв25'!$B$23:$R$34,4,0),"")</f>
        <v>12</v>
      </c>
      <c r="C69" s="2205">
        <f>IFERROR(VLOOKUP(A69,'ИПП 3кв25'!$B$23:$R$34,5,0),"")</f>
        <v>1571446</v>
      </c>
      <c r="D69" s="2167">
        <f>SUMIFS(Июль2555[м2],Июль2555[КТУ],$A69,Июль2555[№ дома],$C$67,Июль2555[Комнатность],"&lt;&gt;Офис")</f>
        <v>0</v>
      </c>
      <c r="E69" s="2168">
        <f>SUMIFS(Июль2555[Сумма без отделки],Июль2555[КТУ],$A69,Июль2555[№ дома],$C$67,Июль2555[Комнатность],"&lt;&gt;Офис")</f>
        <v>0</v>
      </c>
      <c r="F69" s="2169">
        <f>COUNTIFS(Июль2555[КТУ],$A69,Июль2555[№ дома],$C$67,Июль2555[Комнатность],"&lt;&gt;Офис")</f>
        <v>0</v>
      </c>
      <c r="G69" s="202">
        <f>SUMIFS(РД[S],РД[Дом],$C$67,РД[МОП],A69,РД[Дата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H69" s="203">
        <f>SUMIFS(РД[Стоимость без отделки итог],РД[Дом],$C$67,РД[МОП],A69,РД[Дата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I69" s="226">
        <f>COUNTIFS(РД[Дом],$C$67,РД[МОП],A69,РД[Дата подачи на регистрацию],"&lt;="&amp;$A$1,РД[Дата подачи на регистрацию],"&gt;="&amp;DATE(YEAR($A$1),MONTH($A$1),1),РД[Состояние],"Продажа")</f>
        <v>0</v>
      </c>
      <c r="J69" s="2247">
        <f t="shared" ref="J69:K75" si="0">IFERROR(G69/B69,"")</f>
        <v>0</v>
      </c>
      <c r="K69" s="225">
        <f t="shared" si="0"/>
        <v>0</v>
      </c>
      <c r="O69" s="66"/>
    </row>
    <row r="70" spans="1:27" s="65" customFormat="1">
      <c r="A70" s="2181" t="s">
        <v>8</v>
      </c>
      <c r="B70" s="2168">
        <f>IFERROR(VLOOKUP(A70,'ИПП 3кв25'!$B$23:$R$34,4,0),"")</f>
        <v>12</v>
      </c>
      <c r="C70" s="2205">
        <f>IFERROR(VLOOKUP(A70,'ИПП 3кв25'!$B$23:$R$34,5,0),"")</f>
        <v>1490165</v>
      </c>
      <c r="D70" s="2167">
        <f>SUMIFS(Июль2555[м2],Июль2555[КТУ],$A70,Июль2555[№ дома],$C$67,Июль2555[Комнатность],"&lt;&gt;Офис")</f>
        <v>0</v>
      </c>
      <c r="E70" s="2168">
        <f>SUMIFS(Июль2555[Сумма без отделки],Июль2555[КТУ],$A70,Июль2555[№ дома],$C$67,Июль2555[Комнатность],"&lt;&gt;Офис")</f>
        <v>0</v>
      </c>
      <c r="F70" s="2169">
        <f>COUNTIFS(Июль2555[КТУ],$A70,Июль2555[№ дома],$C$67,Июль2555[Комнатность],"&lt;&gt;Офис")</f>
        <v>0</v>
      </c>
      <c r="G70" s="202">
        <f>SUMIFS(РД[S],РД[Дом],$C$67,РД[МОП],A70,РД[Дата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H70" s="203">
        <f>SUMIFS(РД[Стоимость без отделки итог],РД[Дом],$C$67,РД[МОП],A70,РД[Дата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I70" s="226">
        <f>COUNTIFS(РД[Дом],$C$67,РД[МОП],A70,РД[Дата подачи на регистрацию],"&lt;="&amp;$A$1,РД[Дата подачи на регистрацию],"&gt;="&amp;DATE(YEAR($A$1),MONTH($A$1),1),РД[Состояние],"Продажа")</f>
        <v>0</v>
      </c>
      <c r="J70" s="2247">
        <f t="shared" si="0"/>
        <v>0</v>
      </c>
      <c r="K70" s="225">
        <f t="shared" si="0"/>
        <v>0</v>
      </c>
      <c r="O70" s="66"/>
    </row>
    <row r="71" spans="1:27" s="65" customFormat="1">
      <c r="A71" s="2181" t="s">
        <v>20</v>
      </c>
      <c r="B71" s="2168">
        <f>IFERROR(VLOOKUP(A71,'ИПП 3кв25'!$B$23:$R$34,4,0),"")</f>
        <v>3</v>
      </c>
      <c r="C71" s="2205">
        <f>IFERROR(VLOOKUP(A71,'ИПП 3кв25'!$B$23:$R$34,5,0),"")</f>
        <v>361252</v>
      </c>
      <c r="D71" s="2167">
        <f>SUMIFS(Июль2555[м2],Июль2555[КТУ],$A71,Июль2555[№ дома],$C$67,Июль2555[Комнатность],"&lt;&gt;Офис")</f>
        <v>0</v>
      </c>
      <c r="E71" s="2168">
        <f>SUMIFS(Июль2555[Сумма без отделки],Июль2555[КТУ],$A71,Июль2555[№ дома],$C$67,Июль2555[Комнатность],"&lt;&gt;Офис")</f>
        <v>0</v>
      </c>
      <c r="F71" s="2169">
        <f>COUNTIFS(Июль2555[КТУ],$A71,Июль2555[№ дома],$C$67,Июль2555[Комнатность],"&lt;&gt;Офис")</f>
        <v>0</v>
      </c>
      <c r="G71" s="202">
        <f>SUMIFS(РД[S],РД[Дом],$C$67,РД[МОП],A71,РД[Дата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H71" s="203">
        <f>SUMIFS(РД[Стоимость без отделки итог],РД[Дом],$C$67,РД[МОП],A71,РД[Дата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I71" s="226">
        <f>COUNTIFS(РД[Дом],$C$67,РД[МОП],A71,РД[Дата подачи на регистрацию],"&lt;="&amp;$A$1,РД[Дата подачи на регистрацию],"&gt;="&amp;DATE(YEAR($A$1),MONTH($A$1),1),РД[Состояние],"Продажа")</f>
        <v>0</v>
      </c>
      <c r="J71" s="2247">
        <f t="shared" si="0"/>
        <v>0</v>
      </c>
      <c r="K71" s="225">
        <f t="shared" si="0"/>
        <v>0</v>
      </c>
      <c r="O71" s="66"/>
    </row>
    <row r="72" spans="1:27" s="65" customFormat="1">
      <c r="A72" s="2181" t="s">
        <v>24</v>
      </c>
      <c r="B72" s="2168">
        <f>IFERROR(VLOOKUP(A72,'ИПП 3кв25'!$B$23:$R$34,4,0),"")</f>
        <v>9</v>
      </c>
      <c r="C72" s="2205">
        <f>IFERROR(VLOOKUP(A72,'ИПП 3кв25'!$B$23:$R$34,5,0),"")</f>
        <v>1192132</v>
      </c>
      <c r="D72" s="2167">
        <f>SUMIFS(Июль2555[м2],Июль2555[КТУ],$A72,Июль2555[№ дома],$C$67,Июль2555[Комнатность],"&lt;&gt;Офис")</f>
        <v>0</v>
      </c>
      <c r="E72" s="2168">
        <f>SUMIFS(Июль2555[Сумма без отделки],Июль2555[КТУ],$A72,Июль2555[№ дома],$C$67,Июль2555[Комнатность],"&lt;&gt;Офис")</f>
        <v>0</v>
      </c>
      <c r="F72" s="2169">
        <f>COUNTIFS(Июль2555[КТУ],$A72,Июль2555[№ дома],$C$67,Июль2555[Комнатность],"&lt;&gt;Офис")</f>
        <v>0</v>
      </c>
      <c r="G72" s="202">
        <f>SUMIFS(РД[S],РД[Дом],$C$67,РД[МОП],A72,РД[Дата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H72" s="203">
        <f>SUMIFS(РД[Стоимость без отделки итог],РД[Дом],$C$67,РД[МОП],A72,РД[Дата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I72" s="226">
        <f>COUNTIFS(РД[Дом],$C$67,РД[МОП],A72,РД[Дата подачи на регистрацию],"&lt;="&amp;$A$1,РД[Дата подачи на регистрацию],"&gt;="&amp;DATE(YEAR($A$1),MONTH($A$1),1),РД[Состояние],"Продажа")</f>
        <v>0</v>
      </c>
      <c r="J72" s="2247">
        <f t="shared" si="0"/>
        <v>0</v>
      </c>
      <c r="K72" s="225">
        <f t="shared" si="0"/>
        <v>0</v>
      </c>
      <c r="O72" s="66"/>
    </row>
    <row r="73" spans="1:27" s="65" customFormat="1">
      <c r="A73" s="2181" t="s">
        <v>14</v>
      </c>
      <c r="B73" s="2168">
        <f>IFERROR(VLOOKUP(A73,'ИПП 3кв25'!$B$23:$R$34,4,0),"")</f>
        <v>12</v>
      </c>
      <c r="C73" s="2205">
        <f>IFERROR(VLOOKUP(A73,'ИПП 3кв25'!$B$23:$R$34,5,0),"")</f>
        <v>1571446</v>
      </c>
      <c r="D73" s="2167">
        <f>SUMIFS(Июль2555[м2],Июль2555[КТУ],$A73,Июль2555[№ дома],$C$67,Июль2555[Комнатность],"&lt;&gt;Офис")</f>
        <v>0</v>
      </c>
      <c r="E73" s="2168">
        <f>SUMIFS(Июль2555[Сумма без отделки],Июль2555[КТУ],$A73,Июль2555[№ дома],$C$67,Июль2555[Комнатность],"&lt;&gt;Офис")</f>
        <v>0</v>
      </c>
      <c r="F73" s="2169">
        <f>COUNTIFS(Июль2555[КТУ],$A73,Июль2555[№ дома],$C$67,Июль2555[Комнатность],"&lt;&gt;Офис")</f>
        <v>0</v>
      </c>
      <c r="G73" s="202">
        <f>SUMIFS(РД[S],РД[Дом],$C$67,РД[МОП],A73,РД[Дата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H73" s="203">
        <f>SUMIFS(РД[Стоимость без отделки итог],РД[Дом],$C$67,РД[МОП],A73,РД[Дата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I73" s="226">
        <f>COUNTIFS(РД[Дом],$C$67,РД[МОП],A73,РД[Дата подачи на регистрацию],"&lt;="&amp;$A$1,РД[Дата подачи на регистрацию],"&gt;="&amp;DATE(YEAR($A$1),MONTH($A$1),1),РД[Состояние],"Продажа")</f>
        <v>0</v>
      </c>
      <c r="J73" s="2247">
        <f t="shared" si="0"/>
        <v>0</v>
      </c>
      <c r="K73" s="225">
        <f t="shared" si="0"/>
        <v>0</v>
      </c>
      <c r="O73" s="66"/>
    </row>
    <row r="74" spans="1:27" s="65" customFormat="1">
      <c r="A74" s="2181" t="s">
        <v>1884</v>
      </c>
      <c r="B74" s="2168">
        <f>IFERROR(VLOOKUP(A74,'ИПП 3кв25'!$B$23:$R$34,4,0),"")</f>
        <v>12</v>
      </c>
      <c r="C74" s="2205">
        <f>IFERROR(VLOOKUP(A74,'ИПП 3кв25'!$B$23:$R$34,5,0),"")</f>
        <v>1517259</v>
      </c>
      <c r="D74" s="2167">
        <f>SUMIFS(Июль2555[м2],Июль2555[КТУ],$A74,Июль2555[№ дома],$C$67,Июль2555[Комнатность],"&lt;&gt;Офис")</f>
        <v>0</v>
      </c>
      <c r="E74" s="2168">
        <f>SUMIFS(Июль2555[Сумма без отделки],Июль2555[КТУ],$A74,Июль2555[№ дома],$C$67,Июль2555[Комнатность],"&lt;&gt;Офис")</f>
        <v>0</v>
      </c>
      <c r="F74" s="2169">
        <f>COUNTIFS(Июль2555[КТУ],$A74,Июль2555[№ дома],$C$67,Июль2555[Комнатность],"&lt;&gt;Офис")</f>
        <v>0</v>
      </c>
      <c r="G74" s="202">
        <f>SUMIFS(РД[S],РД[Дом],$C$67,РД[МОП],A74,РД[Дата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H74" s="203">
        <f>SUMIFS(РД[Стоимость без отделки итог],РД[Дом],$C$67,РД[МОП],A74,РД[Дата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I74" s="226">
        <f>COUNTIFS(РД[Дом],$C$67,РД[МОП],A74,РД[Дата подачи на регистрацию],"&lt;="&amp;$A$1,РД[Дата подачи на регистрацию],"&gt;="&amp;DATE(YEAR($A$1),MONTH($A$1),1),РД[Состояние],"Продажа")</f>
        <v>0</v>
      </c>
      <c r="J74" s="2247">
        <f t="shared" si="0"/>
        <v>0</v>
      </c>
      <c r="K74" s="225">
        <f t="shared" si="0"/>
        <v>0</v>
      </c>
      <c r="O74" s="66"/>
    </row>
    <row r="75" spans="1:27" s="65" customFormat="1" ht="13.5" thickBot="1">
      <c r="A75" s="2182" t="s">
        <v>114</v>
      </c>
      <c r="B75" s="2183">
        <f t="shared" ref="B75:I75" si="1">SUM(B69:B74)</f>
        <v>60</v>
      </c>
      <c r="C75" s="2206">
        <f t="shared" si="1"/>
        <v>7703700</v>
      </c>
      <c r="D75" s="2201">
        <f t="shared" si="1"/>
        <v>0</v>
      </c>
      <c r="E75" s="2183">
        <f t="shared" si="1"/>
        <v>0</v>
      </c>
      <c r="F75" s="2198">
        <f t="shared" si="1"/>
        <v>0</v>
      </c>
      <c r="G75" s="2209">
        <f t="shared" si="1"/>
        <v>0</v>
      </c>
      <c r="H75" s="2184">
        <f t="shared" si="1"/>
        <v>0</v>
      </c>
      <c r="I75" s="2185">
        <f t="shared" si="1"/>
        <v>0</v>
      </c>
      <c r="J75" s="2248">
        <f t="shared" si="0"/>
        <v>0</v>
      </c>
      <c r="K75" s="2186">
        <f t="shared" si="0"/>
        <v>0</v>
      </c>
      <c r="O75" s="66"/>
    </row>
    <row r="76" spans="1:27" s="65" customFormat="1">
      <c r="A76" s="2187" t="s">
        <v>115</v>
      </c>
      <c r="B76" s="2188" t="s">
        <v>100</v>
      </c>
      <c r="C76" s="2207" t="s">
        <v>97</v>
      </c>
      <c r="D76" s="2202" t="s">
        <v>53</v>
      </c>
      <c r="E76" s="2189" t="s">
        <v>11479</v>
      </c>
      <c r="F76" s="2199" t="s">
        <v>11480</v>
      </c>
      <c r="G76" s="1358" t="s">
        <v>53</v>
      </c>
      <c r="H76" s="1361" t="s">
        <v>11479</v>
      </c>
      <c r="I76" s="1361" t="s">
        <v>11480</v>
      </c>
      <c r="J76" s="2249" t="s">
        <v>11481</v>
      </c>
      <c r="K76" s="2196" t="s">
        <v>11482</v>
      </c>
      <c r="O76" s="66"/>
    </row>
    <row r="77" spans="1:27" s="65" customFormat="1">
      <c r="A77" s="2181" t="s">
        <v>22</v>
      </c>
      <c r="B77" s="2168">
        <f>IFERROR(VLOOKUP(A77,'ИПП 3кв25'!$B$23:$R$34,4,0),"")</f>
        <v>19.5</v>
      </c>
      <c r="C77" s="2205">
        <f>IFERROR(VLOOKUP(A77,'ИПП 3кв25'!$B$23:$R$34,5,0),"")</f>
        <v>2503702.5</v>
      </c>
      <c r="D77" s="2167">
        <f>SUMIFS(Июль2555[м2],Июль2555[ИМ],A77,Июль2555[№ дома],$C$67,Июль2555[Комнатность],"&lt;&gt;Офис")</f>
        <v>0</v>
      </c>
      <c r="E77" s="2180">
        <f>SUMIFS(Июль2555[Сумма без отделки],Июль2555[ИМ],$A77,Июль2555[№ дома],$C$67,Июль2555[Комнатность],"&lt;&gt;Офис")</f>
        <v>0</v>
      </c>
      <c r="F77" s="2169">
        <f>COUNTIFS(Июль2555[ИМ],$A77,Июль2555[№ дома],$C$67,Июль2555[Комнатность],"&lt;&gt;Офис")</f>
        <v>0</v>
      </c>
      <c r="G77" s="202">
        <f>SUMIFS(РД[S],РД[Дом],$C$67,РД[ИМ],A77,РД[Дата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H77" s="203">
        <f>SUMIFS(РД[Стоимость без отделки итог],РД[Дом],$C$67,РД[ИМ],A77,РД[Дата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I77" s="226">
        <f>COUNTIFS(РД[Дом],$C$67,РД[ИМ],A77,РД[Дата подачи на регистрацию],"&lt;="&amp;$A$1,РД[Дата подачи на регистрацию],"&gt;="&amp;DATE(YEAR($A$1),MONTH($A$1),1),РД[Состояние],"Продажа")</f>
        <v>0</v>
      </c>
      <c r="J77" s="2247">
        <f t="shared" ref="J77:K79" si="2">IFERROR(G77/B77,"")</f>
        <v>0</v>
      </c>
      <c r="K77" s="225">
        <f t="shared" si="2"/>
        <v>0</v>
      </c>
      <c r="O77" s="66"/>
    </row>
    <row r="78" spans="1:27" s="65" customFormat="1">
      <c r="A78" s="2181" t="s">
        <v>26</v>
      </c>
      <c r="B78" s="2168">
        <f>IFERROR(VLOOKUP(A78,'ИПП 3кв25'!$B$23:$R$34,4,0),"")</f>
        <v>19.5</v>
      </c>
      <c r="C78" s="2205">
        <f>IFERROR(VLOOKUP(A78,'ИПП 3кв25'!$B$23:$R$34,5,0),"")</f>
        <v>2503702.5</v>
      </c>
      <c r="D78" s="2167">
        <f>SUMIFS(Июль2555[м2],Июль2555[ИМ],A78,Июль2555[№ дома],$C$67,Июль2555[Комнатность],"&lt;&gt;Офис")</f>
        <v>0</v>
      </c>
      <c r="E78" s="2180">
        <f>SUMIFS(Июль2555[Сумма без отделки],Июль2555[ИМ],$A78,Июль2555[№ дома],$C$67,Июль2555[Комнатность],"&lt;&gt;Офис")</f>
        <v>0</v>
      </c>
      <c r="F78" s="2169">
        <f>COUNTIFS(Июль2555[ИМ],$A78,Июль2555[№ дома],$C$67,Июль2555[Комнатность],"&lt;&gt;Офис")</f>
        <v>0</v>
      </c>
      <c r="G78" s="202">
        <f>SUMIFS(РД[S],РД[Дом],$C$67,РД[ИМ],A78,РД[Дата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H78" s="203">
        <f>SUMIFS(РД[Стоимость без отделки итог],РД[Дом],$C$67,РД[ИМ],A78,РД[Дата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I78" s="226">
        <f>COUNTIFS(РД[Дом],$C$67,РД[ИМ],A78,РД[Дата подачи на регистрацию],"&lt;="&amp;$A$1,РД[Дата подачи на регистрацию],"&gt;="&amp;DATE(YEAR($A$1),MONTH($A$1),1),РД[Состояние],"Продажа")</f>
        <v>0</v>
      </c>
      <c r="J78" s="2247">
        <f t="shared" si="2"/>
        <v>0</v>
      </c>
      <c r="K78" s="225">
        <f t="shared" si="2"/>
        <v>0</v>
      </c>
      <c r="O78" s="66"/>
    </row>
    <row r="79" spans="1:27" s="65" customFormat="1" ht="13.5" thickBot="1">
      <c r="A79" s="2182" t="s">
        <v>114</v>
      </c>
      <c r="B79" s="2183">
        <f t="shared" ref="B79:I79" si="3">SUM(B77:B78)</f>
        <v>39</v>
      </c>
      <c r="C79" s="2206">
        <f t="shared" si="3"/>
        <v>5007405</v>
      </c>
      <c r="D79" s="2201">
        <f t="shared" si="3"/>
        <v>0</v>
      </c>
      <c r="E79" s="2183">
        <f t="shared" si="3"/>
        <v>0</v>
      </c>
      <c r="F79" s="2198">
        <f t="shared" si="3"/>
        <v>0</v>
      </c>
      <c r="G79" s="2209">
        <f t="shared" si="3"/>
        <v>0</v>
      </c>
      <c r="H79" s="2184">
        <f t="shared" si="3"/>
        <v>0</v>
      </c>
      <c r="I79" s="2185">
        <f t="shared" si="3"/>
        <v>0</v>
      </c>
      <c r="J79" s="2248">
        <f t="shared" si="2"/>
        <v>0</v>
      </c>
      <c r="K79" s="2186">
        <f t="shared" si="2"/>
        <v>0</v>
      </c>
      <c r="O79" s="66"/>
    </row>
    <row r="80" spans="1:27" s="65" customFormat="1" ht="13.5" thickBot="1">
      <c r="A80" s="2125"/>
      <c r="B80" s="2166"/>
      <c r="C80" s="2166"/>
      <c r="D80" s="2125"/>
      <c r="E80" s="2125"/>
      <c r="F80" s="2125"/>
      <c r="G80" s="134"/>
      <c r="H80" s="134"/>
      <c r="I80" s="44"/>
      <c r="J80" s="2072"/>
      <c r="K80" s="255"/>
      <c r="L80" s="134"/>
      <c r="P80" s="66"/>
    </row>
    <row r="81" spans="1:16" s="65" customFormat="1" ht="13.5" thickBot="1">
      <c r="A81" s="2418" t="s">
        <v>713</v>
      </c>
      <c r="B81" s="2419"/>
      <c r="C81" s="2203" t="s">
        <v>13</v>
      </c>
      <c r="D81" s="2415" t="s">
        <v>11478</v>
      </c>
      <c r="E81" s="2416"/>
      <c r="F81" s="2417"/>
      <c r="G81" s="2412" t="s">
        <v>1889</v>
      </c>
      <c r="H81" s="2413"/>
      <c r="I81" s="2413"/>
      <c r="J81" s="2413"/>
      <c r="K81" s="2414"/>
      <c r="O81" s="66"/>
    </row>
    <row r="82" spans="1:16" s="65" customFormat="1">
      <c r="A82" s="2191" t="s">
        <v>1</v>
      </c>
      <c r="B82" s="2192" t="s">
        <v>100</v>
      </c>
      <c r="C82" s="2204" t="s">
        <v>97</v>
      </c>
      <c r="D82" s="2200" t="s">
        <v>53</v>
      </c>
      <c r="E82" s="2193" t="s">
        <v>11479</v>
      </c>
      <c r="F82" s="2197" t="s">
        <v>11480</v>
      </c>
      <c r="G82" s="2208" t="s">
        <v>53</v>
      </c>
      <c r="H82" s="2194" t="s">
        <v>11479</v>
      </c>
      <c r="I82" s="2194" t="s">
        <v>11480</v>
      </c>
      <c r="J82" s="2195" t="s">
        <v>11481</v>
      </c>
      <c r="K82" s="2196" t="s">
        <v>11482</v>
      </c>
      <c r="O82" s="66"/>
    </row>
    <row r="83" spans="1:16" s="65" customFormat="1">
      <c r="A83" s="2181" t="s">
        <v>28</v>
      </c>
      <c r="B83" s="2168">
        <f>IFERROR(VLOOKUP(A83,'ИПП 3кв25'!$B$23:$R$34,6,0),"")</f>
        <v>157</v>
      </c>
      <c r="C83" s="2205">
        <f>IFERROR(VLOOKUP(A83,'ИПП 3кв25'!$B$23:$R$34,7,0),"")</f>
        <v>20139503</v>
      </c>
      <c r="D83" s="2167">
        <f>SUMIFS(Июль2555[м2],Июль2555[КТУ],$A83,Июль2555[№ дома],$C$81,Июль2555[Комнатность],"&lt;&gt;Офис")</f>
        <v>94.7</v>
      </c>
      <c r="E83" s="2168">
        <f>SUMIFS(Июль2555[Сумма без отделки],Июль2555[КТУ],$A83,Июль2555[№ дома],$C$81,Июль2555[Комнатность],"&lt;&gt;Офис")</f>
        <v>12514700</v>
      </c>
      <c r="F83" s="2169">
        <f>COUNTIFS(Июль2555[КТУ],$A83,Июль2555[№ дома],$C$81,Июль2555[Комнатность],"&lt;&gt;Офис")</f>
        <v>2</v>
      </c>
      <c r="G83" s="202">
        <f>SUMIFS(РД[S],РД[Дом],$C$81,РД[МОП],A83,РД[Дата подачи на регистрацию],"&lt;="&amp;$A$1,РД[Дата подачи на регистрацию],"&gt;="&amp;DATE(YEAR($A$1),MONTH($A$1),1),РД[Состояние],"Продажа")</f>
        <v>60.1</v>
      </c>
      <c r="H83" s="2244">
        <f>SUMIFS(РД[Стоимость без отделки итог],РД[Дом],$C$81,РД[МОП],A83,РД[Дата подачи на регистрацию],"&lt;="&amp;$A$1,РД[Дата подачи на регистрацию],"&gt;="&amp;DATE(YEAR($A$1),MONTH($A$1),1),РД[Состояние],"Продажа")</f>
        <v>6884200</v>
      </c>
      <c r="I83" s="226">
        <f>COUNTIFS(РД[Дом],$C$81,РД[МОП],A83,РД[Дата подачи на регистрацию],"&lt;="&amp;$A$1,РД[Дата подачи на регистрацию],"&gt;="&amp;DATE(YEAR($A$1),MONTH($A$1),1),РД[Состояние],"Продажа")</f>
        <v>1</v>
      </c>
      <c r="J83" s="2247">
        <f t="shared" ref="J83:K88" si="4">IFERROR(G83/B83,)</f>
        <v>0.38280254777070066</v>
      </c>
      <c r="K83" s="225">
        <f t="shared" si="4"/>
        <v>0.34182571436842307</v>
      </c>
      <c r="O83" s="66"/>
    </row>
    <row r="84" spans="1:16" s="65" customFormat="1">
      <c r="A84" s="2181" t="s">
        <v>8</v>
      </c>
      <c r="B84" s="2168">
        <f>IFERROR(VLOOKUP(A84,'ИПП 3кв25'!$B$23:$R$34,6,0),"")</f>
        <v>149</v>
      </c>
      <c r="C84" s="2205">
        <f>IFERROR(VLOOKUP(A84,'ИПП 3кв25'!$B$23:$R$34,7,0),"")</f>
        <v>19097805</v>
      </c>
      <c r="D84" s="2167">
        <f>SUMIFS(Июль2555[м2],Июль2555[КТУ],$A84,Июль2555[№ дома],$C$81,Июль2555[Комнатность],"&lt;&gt;Офис")</f>
        <v>234.05</v>
      </c>
      <c r="E84" s="2168">
        <f>SUMIFS(Июль2555[Сумма без отделки],Июль2555[КТУ],$A84,Июль2555[№ дома],$C$81,Июль2555[Комнатность],"&lt;&gt;Офис")</f>
        <v>28117471</v>
      </c>
      <c r="F84" s="2169">
        <f>COUNTIFS(Июль2555[КТУ],$A84,Июль2555[№ дома],$C$81,Июль2555[Комнатность],"&lt;&gt;Офис")</f>
        <v>5</v>
      </c>
      <c r="G84" s="202">
        <f>SUMIFS(РД[S],РД[Дом],$C$81,РД[МОП],A84,РД[Дата подачи на регистрацию],"&lt;="&amp;$A$1,РД[Дата подачи на регистрацию],"&gt;="&amp;DATE(YEAR($A$1),MONTH($A$1),1),РД[Состояние],"Продажа")</f>
        <v>235.5</v>
      </c>
      <c r="H84" s="2244">
        <f>SUMIFS(РД[Стоимость без отделки итог],РД[Дом],$C$81,РД[МОП],A84,РД[Дата подачи на регистрацию],"&lt;="&amp;$A$1,РД[Дата подачи на регистрацию],"&gt;="&amp;DATE(YEAR($A$1),MONTH($A$1),1),РД[Состояние],"Продажа")</f>
        <v>28081221</v>
      </c>
      <c r="I84" s="226">
        <f>COUNTIFS(РД[Дом],$C$81,РД[МОП],A84,РД[Дата подачи на регистрацию],"&lt;="&amp;$A$1,РД[Дата подачи на регистрацию],"&gt;="&amp;DATE(YEAR($A$1),MONTH($A$1),1),РД[Состояние],"Продажа")</f>
        <v>5</v>
      </c>
      <c r="J84" s="2247">
        <f t="shared" si="4"/>
        <v>1.580536912751678</v>
      </c>
      <c r="K84" s="225">
        <f t="shared" si="4"/>
        <v>1.4703899741357711</v>
      </c>
      <c r="O84" s="66"/>
    </row>
    <row r="85" spans="1:16" s="65" customFormat="1">
      <c r="A85" s="2181" t="s">
        <v>20</v>
      </c>
      <c r="B85" s="2168">
        <f>IFERROR(VLOOKUP(A85,'ИПП 3кв25'!$B$23:$R$34,6,0),"")</f>
        <v>36</v>
      </c>
      <c r="C85" s="2205">
        <f>IFERROR(VLOOKUP(A85,'ИПП 3кв25'!$B$23:$R$34,7,0),"")</f>
        <v>4629771</v>
      </c>
      <c r="D85" s="2167">
        <f>SUMIFS(Июль2555[м2],Июль2555[КТУ],$A85,Июль2555[№ дома],$C$81,Июль2555[Комнатность],"&lt;&gt;Офис")</f>
        <v>60.15</v>
      </c>
      <c r="E85" s="2168">
        <f>SUMIFS(Июль2555[Сумма без отделки],Июль2555[КТУ],$A85,Июль2555[№ дома],$C$81,Июль2555[Комнатность],"&lt;&gt;Офис")</f>
        <v>7472500</v>
      </c>
      <c r="F85" s="2169">
        <f>COUNTIFS(Июль2555[КТУ],$A85,Июль2555[№ дома],$C$81,Июль2555[Комнатность],"&lt;&gt;Офис")</f>
        <v>1</v>
      </c>
      <c r="G85" s="202">
        <f>SUMIFS(РД[S],РД[Дом],$C$81,РД[МОП],A85,РД[Дата подачи на регистрацию],"&lt;="&amp;$A$1,РД[Дата подачи на регистрацию],"&gt;="&amp;DATE(YEAR($A$1),MONTH($A$1),1),РД[Состояние],"Продажа")</f>
        <v>60.15</v>
      </c>
      <c r="H85" s="2244">
        <f>SUMIFS(РД[Стоимость без отделки итог],РД[Дом],$C$81,РД[МОП],A85,РД[Дата подачи на регистрацию],"&lt;="&amp;$A$1,РД[Дата подачи на регистрацию],"&gt;="&amp;DATE(YEAR($A$1),MONTH($A$1),1),РД[Состояние],"Продажа")</f>
        <v>6871000</v>
      </c>
      <c r="I85" s="226">
        <f>COUNTIFS(РД[Дом],$C$81,РД[МОП],A85,РД[Дата подачи на регистрацию],"&lt;="&amp;$A$1,РД[Дата подачи на регистрацию],"&gt;="&amp;DATE(YEAR($A$1),MONTH($A$1),1),РД[Состояние],"Продажа")</f>
        <v>1</v>
      </c>
      <c r="J85" s="2247">
        <f t="shared" si="4"/>
        <v>1.6708333333333334</v>
      </c>
      <c r="K85" s="225">
        <f t="shared" si="4"/>
        <v>1.4840906818069404</v>
      </c>
      <c r="O85" s="66"/>
    </row>
    <row r="86" spans="1:16" s="65" customFormat="1">
      <c r="A86" s="2181" t="s">
        <v>24</v>
      </c>
      <c r="B86" s="2168">
        <f>IFERROR(VLOOKUP(A86,'ИПП 3кв25'!$B$23:$R$34,6,0),"")</f>
        <v>119</v>
      </c>
      <c r="C86" s="2205">
        <f>IFERROR(VLOOKUP(A86,'ИПП 3кв25'!$B$23:$R$34,7,0),"")</f>
        <v>15278244</v>
      </c>
      <c r="D86" s="2167">
        <f>SUMIFS(Июль2555[м2],Июль2555[КТУ],$A86,Июль2555[№ дома],$C$81,Июль2555[Комнатность],"&lt;&gt;Офис")</f>
        <v>60.24</v>
      </c>
      <c r="E86" s="2168">
        <f>SUMIFS(Июль2555[Сумма без отделки],Июль2555[КТУ],$A86,Июль2555[№ дома],$C$81,Июль2555[Комнатность],"&lt;&gt;Офис")</f>
        <v>7142700</v>
      </c>
      <c r="F86" s="2169">
        <f>COUNTIFS(Июль2555[КТУ],$A86,Июль2555[№ дома],$C$81,Июль2555[Комнатность],"&lt;&gt;Офис")</f>
        <v>1</v>
      </c>
      <c r="G86" s="202">
        <f>SUMIFS(РД[S],РД[Дом],$C$81,РД[МОП],A86,РД[Дата подачи на регистрацию],"&lt;="&amp;$A$1,РД[Дата подачи на регистрацию],"&gt;="&amp;DATE(YEAR($A$1),MONTH($A$1),1),РД[Состояние],"Продажа")</f>
        <v>60</v>
      </c>
      <c r="H86" s="2244">
        <f>SUMIFS(РД[Стоимость без отделки итог],РД[Дом],$C$81,РД[МОП],A86,РД[Дата подачи на регистрацию],"&lt;="&amp;$A$1,РД[Дата подачи на регистрацию],"&gt;="&amp;DATE(YEAR($A$1),MONTH($A$1),1),РД[Состояние],"Продажа")</f>
        <v>7142700</v>
      </c>
      <c r="I86" s="226">
        <f>COUNTIFS(РД[Дом],$C$81,РД[МОП],A86,РД[Дата подачи на регистрацию],"&lt;="&amp;$A$1,РД[Дата подачи на регистрацию],"&gt;="&amp;DATE(YEAR($A$1),MONTH($A$1),1),РД[Состояние],"Продажа")</f>
        <v>1</v>
      </c>
      <c r="J86" s="2247">
        <f t="shared" si="4"/>
        <v>0.50420168067226889</v>
      </c>
      <c r="K86" s="225">
        <f t="shared" si="4"/>
        <v>0.46750791517663942</v>
      </c>
      <c r="O86" s="66"/>
    </row>
    <row r="87" spans="1:16" s="65" customFormat="1">
      <c r="A87" s="2181" t="s">
        <v>14</v>
      </c>
      <c r="B87" s="2168">
        <f>IFERROR(VLOOKUP(A87,'ИПП 3кв25'!$B$23:$R$34,6,0),"")</f>
        <v>157</v>
      </c>
      <c r="C87" s="2205">
        <f>IFERROR(VLOOKUP(A87,'ИПП 3кв25'!$B$23:$R$34,7,0),"")</f>
        <v>20139503</v>
      </c>
      <c r="D87" s="2167">
        <f>SUMIFS(Июль2555[м2],Июль2555[КТУ],$A87,Июль2555[№ дома],$C$81,Июль2555[Комнатность],"&lt;&gt;Офис")</f>
        <v>0</v>
      </c>
      <c r="E87" s="2168">
        <f>SUMIFS(Июль2555[Сумма без отделки],Июль2555[КТУ],$A87,Июль2555[№ дома],$C$81,Июль2555[Комнатность],"&lt;&gt;Офис")</f>
        <v>0</v>
      </c>
      <c r="F87" s="2169">
        <f>COUNTIFS(Июль2555[КТУ],$A87,Июль2555[№ дома],$C$81,Июль2555[Комнатность],"&lt;&gt;Офис")</f>
        <v>1</v>
      </c>
      <c r="G87" s="202">
        <f>SUMIFS(РД[S],РД[Дом],$C$81,РД[МОП],A87,РД[Дата подачи на регистрацию],"&lt;="&amp;$A$1,РД[Дата подачи на регистрацию],"&gt;="&amp;DATE(YEAR($A$1),MONTH($A$1),1),РД[Состояние],"Продажа")</f>
        <v>0</v>
      </c>
      <c r="H87" s="2244">
        <f>SUMIFS(РД[Стоимость без отделки итог],РД[Дом],$C$81,РД[МОП],A87,РД[Дата подачи на регистрацию],"&lt;="&amp;$A$1,РД[Дата подачи на регистрацию],"&gt;="&amp;DATE(YEAR($A$1),MONTH($A$1),1),РД[Состояние],"Продажа")</f>
        <v>0</v>
      </c>
      <c r="I87" s="226">
        <f>COUNTIFS(РД[Дом],$C$81,РД[МОП],A87,РД[Дата подачи на регистрацию],"&lt;="&amp;$A$1,РД[Дата подачи на регистрацию],"&gt;="&amp;DATE(YEAR($A$1),MONTH($A$1),1),РД[Состояние],"Продажа")</f>
        <v>0</v>
      </c>
      <c r="J87" s="2247">
        <f t="shared" si="4"/>
        <v>0</v>
      </c>
      <c r="K87" s="225">
        <f t="shared" si="4"/>
        <v>0</v>
      </c>
      <c r="O87" s="66"/>
    </row>
    <row r="88" spans="1:16" s="65" customFormat="1">
      <c r="A88" s="2181" t="s">
        <v>1884</v>
      </c>
      <c r="B88" s="2168">
        <f>IFERROR(VLOOKUP(A88,'ИПП 3кв25'!$B$23:$R$34,6,0),"")</f>
        <v>152</v>
      </c>
      <c r="C88" s="2205">
        <f>IFERROR(VLOOKUP(A88,'ИПП 3кв25'!$B$23:$R$34,7,0),"")</f>
        <v>19445038</v>
      </c>
      <c r="D88" s="2167">
        <f>SUMIFS(Июль2555[м2],Июль2555[КТУ],$A88,Июль2555[№ дома],$C$81,Июль2555[Комнатность],"&lt;&gt;Офис")</f>
        <v>56.4</v>
      </c>
      <c r="E88" s="2168">
        <f>SUMIFS(Июль2555[Сумма без отделки],Июль2555[КТУ],$A88,Июль2555[№ дома],$C$81,Июль2555[Комнатность],"&lt;&gt;Офис")</f>
        <v>6788300</v>
      </c>
      <c r="F88" s="2169">
        <f>COUNTIFS(Июль2555[КТУ],$A88,Июль2555[№ дома],$C$81,Июль2555[Комнатность],"&lt;&gt;Офис")</f>
        <v>1</v>
      </c>
      <c r="G88" s="202">
        <f>SUMIFS(РД[S],РД[Дом],$C$81,РД[МОП],A88,РД[Дата подачи на регистрацию],"&lt;="&amp;$A$1,РД[Дата подачи на регистрацию],"&gt;="&amp;DATE(YEAR($A$1),MONTH($A$1),1),РД[Состояние],"Продажа")</f>
        <v>0</v>
      </c>
      <c r="H88" s="2244">
        <f>SUMIFS(РД[Стоимость без отделки итог],РД[Дом],$C$81,РД[МОП],A88,РД[Дата подачи на регистрацию],"&lt;="&amp;$A$1,РД[Дата подачи на регистрацию],"&gt;="&amp;DATE(YEAR($A$1),MONTH($A$1),1),РД[Состояние],"Продажа")</f>
        <v>0</v>
      </c>
      <c r="I88" s="226">
        <f>COUNTIFS(РД[Дом],$C$81,РД[МОП],A88,РД[Дата подачи на регистрацию],"&lt;="&amp;$A$1,РД[Дата подачи на регистрацию],"&gt;="&amp;DATE(YEAR($A$1),MONTH($A$1),1),РД[Состояние],"Продажа")</f>
        <v>0</v>
      </c>
      <c r="J88" s="2247">
        <f t="shared" si="4"/>
        <v>0</v>
      </c>
      <c r="K88" s="225">
        <f t="shared" si="4"/>
        <v>0</v>
      </c>
      <c r="O88" s="66"/>
    </row>
    <row r="89" spans="1:16" s="65" customFormat="1" ht="13.5" thickBot="1">
      <c r="A89" s="2182" t="s">
        <v>114</v>
      </c>
      <c r="B89" s="2183">
        <f t="shared" ref="B89:I89" si="5">SUM(B83:B88)</f>
        <v>770</v>
      </c>
      <c r="C89" s="2206">
        <f t="shared" si="5"/>
        <v>98729864</v>
      </c>
      <c r="D89" s="2201">
        <f t="shared" si="5"/>
        <v>505.53999999999996</v>
      </c>
      <c r="E89" s="2183">
        <f t="shared" si="5"/>
        <v>62035671</v>
      </c>
      <c r="F89" s="2198">
        <f t="shared" si="5"/>
        <v>11</v>
      </c>
      <c r="G89" s="2209">
        <f t="shared" si="5"/>
        <v>415.75</v>
      </c>
      <c r="H89" s="2245">
        <f t="shared" si="5"/>
        <v>48979121</v>
      </c>
      <c r="I89" s="2185">
        <f t="shared" si="5"/>
        <v>8</v>
      </c>
      <c r="J89" s="2248">
        <f t="shared" ref="J89:K89" si="6">IFERROR(G89/B89,"")</f>
        <v>0.53993506493506493</v>
      </c>
      <c r="K89" s="2186">
        <f t="shared" si="6"/>
        <v>0.49609225634099929</v>
      </c>
      <c r="O89" s="66"/>
    </row>
    <row r="90" spans="1:16" s="65" customFormat="1">
      <c r="A90" s="2187" t="s">
        <v>115</v>
      </c>
      <c r="B90" s="2188" t="s">
        <v>100</v>
      </c>
      <c r="C90" s="2207" t="s">
        <v>97</v>
      </c>
      <c r="D90" s="2202" t="s">
        <v>53</v>
      </c>
      <c r="E90" s="2189" t="s">
        <v>11479</v>
      </c>
      <c r="F90" s="2199" t="s">
        <v>11480</v>
      </c>
      <c r="G90" s="1358" t="s">
        <v>53</v>
      </c>
      <c r="H90" s="2246" t="s">
        <v>11479</v>
      </c>
      <c r="I90" s="1361" t="s">
        <v>11480</v>
      </c>
      <c r="J90" s="2249" t="s">
        <v>11481</v>
      </c>
      <c r="K90" s="2196" t="s">
        <v>11482</v>
      </c>
      <c r="O90" s="66"/>
    </row>
    <row r="91" spans="1:16" s="65" customFormat="1">
      <c r="A91" s="2181" t="s">
        <v>22</v>
      </c>
      <c r="B91" s="2168">
        <f>IFERROR(VLOOKUP(A91,'ИПП 3кв25'!$B$23:$R$34,6,0),"")</f>
        <v>250.25</v>
      </c>
      <c r="C91" s="2205">
        <f>IFERROR(VLOOKUP(A91,'ИПП 3кв25'!$B$23:$R$34,7,0),"")</f>
        <v>32087205.800000001</v>
      </c>
      <c r="D91" s="2167">
        <f>SUMIFS(Июль2555[м2],Июль2555[ИМ],A91,Июль2555[№ дома],$C$81,Июль2555[Комнатность],"&lt;&gt;Офис")</f>
        <v>315.89000000000004</v>
      </c>
      <c r="E91" s="2180">
        <f>SUMIFS(Июль2555[Сумма без отделки],Июль2555[ИМ],$A91,Июль2555[№ дома],$C$81,Июль2555[Комнатность],"&lt;&gt;Офис")</f>
        <v>39333751</v>
      </c>
      <c r="F91" s="2169">
        <f>COUNTIFS(Июль2555[ИМ],$A91,Июль2555[№ дома],$C$81,Июль2555[Комнатность],"&lt;&gt;Офис")</f>
        <v>6</v>
      </c>
      <c r="G91" s="202">
        <f>SUMIFS(РД[S],РД[Дом],$C$81,РД[ИМ],A91,РД[Дата подачи на регистрацию],"&lt;="&amp;$A$1,РД[Дата подачи на регистрацию],"&gt;="&amp;DATE(YEAR($A$1),MONTH($A$1),1),РД[Состояние],"Продажа")</f>
        <v>226.1</v>
      </c>
      <c r="H91" s="2244">
        <f>SUMIFS(РД[Стоимость без отделки итог],РД[Дом],$C$81,РД[ИМ],A91,РД[Дата подачи на регистрацию],"&lt;="&amp;$A$1,РД[Дата подачи на регистрацию],"&gt;="&amp;DATE(YEAR($A$1),MONTH($A$1),1),РД[Состояние],"Продажа")</f>
        <v>26277201</v>
      </c>
      <c r="I91" s="226">
        <f>COUNTIFS(РД[Дом],$C$81,РД[ИМ],A91,РД[Дата подачи на регистрацию],"&lt;="&amp;$A$1,РД[Дата подачи на регистрацию],"&gt;="&amp;DATE(YEAR($A$1),MONTH($A$1),1),РД[Состояние],"Продажа")</f>
        <v>4</v>
      </c>
      <c r="J91" s="2247">
        <f t="shared" ref="J91:K92" si="7">IFERROR(G91/B91,"")</f>
        <v>0.90349650349650346</v>
      </c>
      <c r="K91" s="225">
        <f t="shared" si="7"/>
        <v>0.81893079639860689</v>
      </c>
      <c r="O91" s="66"/>
    </row>
    <row r="92" spans="1:16" s="65" customFormat="1">
      <c r="A92" s="2181" t="s">
        <v>26</v>
      </c>
      <c r="B92" s="2168">
        <f>IFERROR(VLOOKUP(A92,'ИПП 3кв25'!$B$23:$R$34,6,0),"")</f>
        <v>250.25</v>
      </c>
      <c r="C92" s="2205">
        <f>IFERROR(VLOOKUP(A92,'ИПП 3кв25'!$B$23:$R$34,7,0),"")</f>
        <v>32087205.800000001</v>
      </c>
      <c r="D92" s="2167">
        <f>SUMIFS(Июль2555[м2],Июль2555[ИМ],A92,Июль2555[№ дома],$C$81,Июль2555[Комнатность],"&lt;&gt;Офис")</f>
        <v>160.35</v>
      </c>
      <c r="E92" s="2180">
        <f>SUMIFS(Июль2555[Сумма без отделки],Июль2555[ИМ],$A92,Июль2555[№ дома],$C$81,Июль2555[Комнатность],"&lt;&gt;Офис")</f>
        <v>18873820</v>
      </c>
      <c r="F92" s="2169">
        <f>COUNTIFS(Июль2555[ИМ],$A92,Июль2555[№ дома],$C$81,Июль2555[Комнатность],"&lt;&gt;Офис")</f>
        <v>3</v>
      </c>
      <c r="G92" s="202">
        <f>SUMIFS(РД[S],РД[Дом],$C$81,РД[ИМ],A92,РД[Дата подачи на регистрацию],"&lt;="&amp;$A$1,РД[Дата подачи на регистрацию],"&gt;="&amp;DATE(YEAR($A$1),MONTH($A$1),1),РД[Состояние],"Продажа")</f>
        <v>118</v>
      </c>
      <c r="H92" s="2244">
        <f>SUMIFS(РД[Стоимость без отделки итог],РД[Дом],$C$81,РД[ИМ],A92,РД[Дата подачи на регистрацию],"&lt;="&amp;$A$1,РД[Дата подачи на регистрацию],"&gt;="&amp;DATE(YEAR($A$1),MONTH($A$1),1),РД[Состояние],"Продажа")</f>
        <v>13593420</v>
      </c>
      <c r="I92" s="226">
        <f>COUNTIFS(РД[Дом],$C$81,РД[ИМ],A92,РД[Дата подачи на регистрацию],"&lt;="&amp;$A$1,РД[Дата подачи на регистрацию],"&gt;="&amp;DATE(YEAR($A$1),MONTH($A$1),1),РД[Состояние],"Продажа")</f>
        <v>2</v>
      </c>
      <c r="J92" s="2247">
        <f t="shared" si="7"/>
        <v>0.47152847152847155</v>
      </c>
      <c r="K92" s="225">
        <f t="shared" si="7"/>
        <v>0.42363987954351573</v>
      </c>
      <c r="O92" s="66"/>
    </row>
    <row r="93" spans="1:16" s="65" customFormat="1" ht="13.5" thickBot="1">
      <c r="A93" s="2182" t="s">
        <v>114</v>
      </c>
      <c r="B93" s="2183">
        <f t="shared" ref="B93:I93" si="8">SUM(B91:B92)</f>
        <v>500.5</v>
      </c>
      <c r="C93" s="2206">
        <f t="shared" si="8"/>
        <v>64174411.600000001</v>
      </c>
      <c r="D93" s="2201">
        <f t="shared" si="8"/>
        <v>476.24</v>
      </c>
      <c r="E93" s="2183">
        <f t="shared" si="8"/>
        <v>58207571</v>
      </c>
      <c r="F93" s="2198">
        <f t="shared" si="8"/>
        <v>9</v>
      </c>
      <c r="G93" s="2209">
        <f t="shared" si="8"/>
        <v>344.1</v>
      </c>
      <c r="H93" s="2245">
        <f t="shared" si="8"/>
        <v>39870621</v>
      </c>
      <c r="I93" s="2185">
        <f t="shared" si="8"/>
        <v>6</v>
      </c>
      <c r="J93" s="2248">
        <f>IFERROR(G93/B93,)</f>
        <v>0.68751248751248761</v>
      </c>
      <c r="K93" s="2186">
        <f>IFERROR(H93/C93,)</f>
        <v>0.62128533797106134</v>
      </c>
      <c r="L93" s="86"/>
      <c r="M93" s="86"/>
      <c r="N93" s="86"/>
      <c r="O93" s="66"/>
    </row>
    <row r="94" spans="1:16" s="65" customFormat="1" ht="13.5" thickBot="1">
      <c r="A94" s="2125"/>
      <c r="B94" s="2166"/>
      <c r="C94" s="2166"/>
      <c r="D94" s="2177"/>
      <c r="E94" s="2125"/>
      <c r="F94" s="2125"/>
      <c r="G94" s="134"/>
      <c r="H94" s="134"/>
      <c r="I94" s="134"/>
      <c r="J94" s="2072"/>
      <c r="K94" s="134"/>
      <c r="L94" s="134"/>
      <c r="P94" s="66"/>
    </row>
    <row r="95" spans="1:16" s="65" customFormat="1" ht="13.5" thickBot="1">
      <c r="A95" s="2418" t="s">
        <v>713</v>
      </c>
      <c r="B95" s="2419"/>
      <c r="C95" s="2203" t="s">
        <v>19</v>
      </c>
      <c r="D95" s="2415" t="s">
        <v>11478</v>
      </c>
      <c r="E95" s="2416"/>
      <c r="F95" s="2417"/>
      <c r="G95" s="2412" t="s">
        <v>1889</v>
      </c>
      <c r="H95" s="2413"/>
      <c r="I95" s="2413"/>
      <c r="J95" s="2413"/>
      <c r="K95" s="2414"/>
      <c r="L95" s="263"/>
      <c r="O95" s="66"/>
    </row>
    <row r="96" spans="1:16" s="65" customFormat="1">
      <c r="A96" s="2191" t="s">
        <v>1</v>
      </c>
      <c r="B96" s="2192" t="s">
        <v>100</v>
      </c>
      <c r="C96" s="2204" t="s">
        <v>97</v>
      </c>
      <c r="D96" s="2200" t="s">
        <v>53</v>
      </c>
      <c r="E96" s="2193" t="s">
        <v>11479</v>
      </c>
      <c r="F96" s="2197" t="s">
        <v>11480</v>
      </c>
      <c r="G96" s="2208" t="s">
        <v>53</v>
      </c>
      <c r="H96" s="2194" t="s">
        <v>11479</v>
      </c>
      <c r="I96" s="2194" t="s">
        <v>11480</v>
      </c>
      <c r="J96" s="2195" t="s">
        <v>11481</v>
      </c>
      <c r="K96" s="2196" t="s">
        <v>11482</v>
      </c>
      <c r="L96" s="134"/>
      <c r="P96" s="66"/>
    </row>
    <row r="97" spans="1:16" s="65" customFormat="1">
      <c r="A97" s="2181" t="s">
        <v>28</v>
      </c>
      <c r="B97" s="2168">
        <f>IFERROR(VLOOKUP(A97,'ИПП 3кв25'!$B$23:$R$34,8,0),"")</f>
        <v>19</v>
      </c>
      <c r="C97" s="2205">
        <f>IFERROR(VLOOKUP(A97,'ИПП 3кв25'!$B$23:$R$34,9,0),"")</f>
        <v>2510002</v>
      </c>
      <c r="D97" s="2167">
        <f>SUMIFS(Июль2555[м2],Июль2555[КТУ],$A97,Июль2555[№ дома],$C$95,Июль2555[Комнатность],"&lt;&gt;Офис")</f>
        <v>49.75</v>
      </c>
      <c r="E97" s="2168">
        <f>SUMIFS(Июль2555[Сумма без отделки],Июль2555[КТУ],$A97,Июль2555[№ дома],$C$95,Июль2555[Комнатность],"&lt;&gt;Офис")</f>
        <v>6032187</v>
      </c>
      <c r="F97" s="2169">
        <f>COUNTIFS(Июль2555[КТУ],$A97,Июль2555[№ дома],$C$95,Июль2555[Комнатность],"&lt;&gt;Офис")</f>
        <v>1</v>
      </c>
      <c r="G97" s="202">
        <f>SUMIFS(РД[S],РД[Дом],$C$95,РД[МОП],A97,РД[Дата подачи на регистрацию],"&lt;="&amp;$A$1,РД[Дата подачи на регистрацию],"&gt;="&amp;DATE(YEAR($A$1),MONTH($A$1),1),РД[Состояние],"Продажа")</f>
        <v>0</v>
      </c>
      <c r="H97" s="2244">
        <f>SUMIFS(РД[Стоимость без отделки итог],РД[Дом],$C$95,РД[МОП],A97,РД[Дата подачи на регистрацию],"&lt;="&amp;$A$1,РД[Дата подачи на регистрацию],"&gt;="&amp;DATE(YEAR($A$1),MONTH($A$1),1),РД[Состояние],"Продажа")</f>
        <v>0</v>
      </c>
      <c r="I97" s="226">
        <f>COUNTIFS(РД[Дом],$C$95,РД[МОП],A97,РД[Дата подачи на регистрацию],"&lt;="&amp;$A$1,РД[Дата подачи на регистрацию],"&gt;="&amp;DATE(YEAR($A$1),MONTH($A$1),1),РД[Состояние],"Продажа")</f>
        <v>0</v>
      </c>
      <c r="J97" s="2247">
        <f t="shared" ref="J97:K102" si="9">IFERROR(G97/B97,)</f>
        <v>0</v>
      </c>
      <c r="K97" s="225">
        <f t="shared" si="9"/>
        <v>0</v>
      </c>
      <c r="L97" s="134"/>
      <c r="P97" s="66"/>
    </row>
    <row r="98" spans="1:16" s="65" customFormat="1">
      <c r="A98" s="2181" t="s">
        <v>8</v>
      </c>
      <c r="B98" s="2168">
        <f>IFERROR(VLOOKUP(A98,'ИПП 3кв25'!$B$23:$R$34,8,0),"")</f>
        <v>18</v>
      </c>
      <c r="C98" s="2205">
        <f>IFERROR(VLOOKUP(A98,'ИПП 3кв25'!$B$23:$R$34,9,0),"")</f>
        <v>2380175</v>
      </c>
      <c r="D98" s="2167">
        <f>SUMIFS(Июль2555[м2],Июль2555[КТУ],$A98,Июль2555[№ дома],$C$95,Июль2555[Комнатность],"&lt;&gt;Офис")</f>
        <v>0</v>
      </c>
      <c r="E98" s="2168">
        <f>SUMIFS(Июль2555[Сумма без отделки],Июль2555[КТУ],$A98,Июль2555[№ дома],$C$95,Июль2555[Комнатность],"&lt;&gt;Офис")</f>
        <v>0</v>
      </c>
      <c r="F98" s="2169">
        <f>COUNTIFS(Июль2555[КТУ],$A98,Июль2555[№ дома],$C$95,Июль2555[Комнатность],"&lt;&gt;Офис")</f>
        <v>0</v>
      </c>
      <c r="G98" s="202">
        <f>SUMIFS(РД[S],РД[Дом],$C$95,РД[МОП],A98,РД[Дата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H98" s="2244">
        <f>SUMIFS(РД[Стоимость без отделки итог],РД[Дом],$C$95,РД[МОП],A98,РД[Дата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I98" s="226">
        <f>COUNTIFS(РД[Дом],$C$95,РД[МОП],A98,РД[Дата подачи на регистрацию],"&lt;="&amp;$A$1,РД[Дата подачи на регистрацию],"&gt;="&amp;DATE(YEAR($A$1),MONTH($A$1),1),РД[Состояние],"Продажа")</f>
        <v>0</v>
      </c>
      <c r="J98" s="2247">
        <f t="shared" si="9"/>
        <v>0</v>
      </c>
      <c r="K98" s="225">
        <f t="shared" si="9"/>
        <v>0</v>
      </c>
      <c r="L98" s="134"/>
      <c r="P98" s="66"/>
    </row>
    <row r="99" spans="1:16" s="65" customFormat="1">
      <c r="A99" s="2181" t="s">
        <v>20</v>
      </c>
      <c r="B99" s="2168">
        <f>IFERROR(VLOOKUP(A99,'ИПП 3кв25'!$B$23:$R$34,8,0),"")</f>
        <v>4</v>
      </c>
      <c r="C99" s="2205">
        <f>IFERROR(VLOOKUP(A99,'ИПП 3кв25'!$B$23:$R$34,9,0),"")</f>
        <v>577012</v>
      </c>
      <c r="D99" s="2167">
        <f>SUMIFS(Июль2555[м2],Июль2555[КТУ],$A99,Июль2555[№ дома],$C$95,Июль2555[Комнатность],"&lt;&gt;Офис")</f>
        <v>0</v>
      </c>
      <c r="E99" s="2168">
        <f>SUMIFS(Июль2555[Сумма без отделки],Июль2555[КТУ],$A99,Июль2555[№ дома],$C$95,Июль2555[Комнатность],"&lt;&gt;Офис")</f>
        <v>0</v>
      </c>
      <c r="F99" s="2169">
        <f>COUNTIFS(Июль2555[КТУ],$A99,Июль2555[№ дома],$C$95,Июль2555[Комнатность],"&lt;&gt;Офис")</f>
        <v>0</v>
      </c>
      <c r="G99" s="202">
        <f>SUMIFS(РД[S],РД[Дом],$C$95,РД[МОП],A99,РД[Дата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H99" s="2244">
        <f>SUMIFS(РД[Стоимость без отделки итог],РД[Дом],$C$95,РД[МОП],A99,РД[Дата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I99" s="226">
        <f>COUNTIFS(РД[Дом],$C$95,РД[МОП],A99,РД[Дата подачи на регистрацию],"&lt;="&amp;$A$1,РД[Дата подачи на регистрацию],"&gt;="&amp;DATE(YEAR($A$1),MONTH($A$1),1),РД[Состояние],"Продажа")</f>
        <v>0</v>
      </c>
      <c r="J99" s="2247">
        <f t="shared" si="9"/>
        <v>0</v>
      </c>
      <c r="K99" s="225">
        <f t="shared" si="9"/>
        <v>0</v>
      </c>
      <c r="L99" s="134"/>
      <c r="P99" s="66"/>
    </row>
    <row r="100" spans="1:16" s="65" customFormat="1">
      <c r="A100" s="2181" t="s">
        <v>24</v>
      </c>
      <c r="B100" s="2168">
        <f>IFERROR(VLOOKUP(A100,'ИПП 3кв25'!$B$23:$R$34,8,0),"")</f>
        <v>14</v>
      </c>
      <c r="C100" s="2205">
        <f>IFERROR(VLOOKUP(A100,'ИПП 3кв25'!$B$23:$R$34,9,0),"")</f>
        <v>1904140</v>
      </c>
      <c r="D100" s="2167">
        <f>SUMIFS(Июль2555[м2],Июль2555[КТУ],$A100,Июль2555[№ дома],$C$95,Июль2555[Комнатность],"&lt;&gt;Офис")</f>
        <v>42.39</v>
      </c>
      <c r="E100" s="2168">
        <f>SUMIFS(Июль2555[Сумма без отделки],Июль2555[КТУ],$A100,Июль2555[№ дома],$C$95,Июль2555[Комнатность],"&lt;&gt;Офис")</f>
        <v>5886566</v>
      </c>
      <c r="F100" s="2169">
        <f>COUNTIFS(Июль2555[КТУ],$A100,Июль2555[№ дома],$C$95,Июль2555[Комнатность],"&lt;&gt;Офис")</f>
        <v>1</v>
      </c>
      <c r="G100" s="202">
        <f>SUMIFS(РД[S],РД[Дом],$C$95,РД[МОП],A100,РД[Дата подачи на регистрацию],"&lt;="&amp;$A$1,РД[Дата подачи на регистрацию],"&gt;="&amp;DATE(YEAR($A$1),MONTH($A$1),1),РД[Состояние],"Продажа")</f>
        <v>42.39</v>
      </c>
      <c r="H100" s="2244">
        <f>SUMIFS(РД[Стоимость без отделки итог],РД[Дом],$C$95,РД[МОП],A100,РД[Дата подачи на регистрацию],"&lt;="&amp;$A$1,РД[Дата подачи на регистрацию],"&gt;="&amp;DATE(YEAR($A$1),MONTH($A$1),1),РД[Состояние],"Продажа")</f>
        <v>5886566</v>
      </c>
      <c r="I100" s="226">
        <f>COUNTIFS(РД[Дом],$C$95,РД[МОП],A100,РД[Дата подачи на регистрацию],"&lt;="&amp;$A$1,РД[Дата подачи на регистрацию],"&gt;="&amp;DATE(YEAR($A$1),MONTH($A$1),1),РД[Состояние],"Продажа")</f>
        <v>1</v>
      </c>
      <c r="J100" s="2247">
        <f t="shared" si="9"/>
        <v>3.027857142857143</v>
      </c>
      <c r="K100" s="225">
        <f t="shared" si="9"/>
        <v>3.0914565105506946</v>
      </c>
      <c r="L100" s="134"/>
      <c r="P100" s="66"/>
    </row>
    <row r="101" spans="1:16" s="65" customFormat="1">
      <c r="A101" s="2181" t="s">
        <v>14</v>
      </c>
      <c r="B101" s="2168">
        <f>IFERROR(VLOOKUP(A101,'ИПП 3кв25'!$B$23:$R$34,8,0),"")</f>
        <v>19</v>
      </c>
      <c r="C101" s="2205">
        <f>IFERROR(VLOOKUP(A101,'ИПП 3кв25'!$B$23:$R$34,9,0),"")</f>
        <v>2510002</v>
      </c>
      <c r="D101" s="2167">
        <f>SUMIFS(Июль2555[м2],Июль2555[КТУ],$A101,Июль2555[№ дома],$C$95,Июль2555[Комнатность],"&lt;&gt;Офис")</f>
        <v>49.39</v>
      </c>
      <c r="E101" s="2168">
        <f>SUMIFS(Июль2555[Сумма без отделки],Июль2555[КТУ],$A101,Июль2555[№ дома],$C$95,Июль2555[Комнатность],"&lt;&gt;Офис")</f>
        <v>6418216</v>
      </c>
      <c r="F101" s="2169">
        <f>COUNTIFS(Июль2555[КТУ],$A101,Июль2555[№ дома],$C$95,Июль2555[Комнатность],"&lt;&gt;Офис")</f>
        <v>1</v>
      </c>
      <c r="G101" s="202">
        <f>SUMIFS(РД[S],РД[Дом],$C$95,РД[МОП],A101,РД[Дата подачи на регистрацию],"&lt;="&amp;$A$1,РД[Дата подачи на регистрацию],"&gt;="&amp;DATE(YEAR($A$1),MONTH($A$1),1),РД[Состояние],"Продажа")</f>
        <v>49.39</v>
      </c>
      <c r="H101" s="2244">
        <f>SUMIFS(РД[Стоимость без отделки итог],РД[Дом],$C$95,РД[МОП],A101,РД[Дата подачи на регистрацию],"&lt;="&amp;$A$1,РД[Дата подачи на регистрацию],"&gt;="&amp;DATE(YEAR($A$1),MONTH($A$1),1),РД[Состояние],"Продажа")</f>
        <v>6418216</v>
      </c>
      <c r="I101" s="226">
        <f>COUNTIFS(РД[Дом],$C$95,РД[МОП],A101,РД[Дата подачи на регистрацию],"&lt;="&amp;$A$1,РД[Дата подачи на регистрацию],"&gt;="&amp;DATE(YEAR($A$1),MONTH($A$1),1),РД[Состояние],"Продажа")</f>
        <v>1</v>
      </c>
      <c r="J101" s="2247">
        <f t="shared" si="9"/>
        <v>2.5994736842105262</v>
      </c>
      <c r="K101" s="225">
        <f t="shared" si="9"/>
        <v>2.557056129835753</v>
      </c>
      <c r="L101" s="134"/>
      <c r="P101" s="66"/>
    </row>
    <row r="102" spans="1:16" s="65" customFormat="1">
      <c r="A102" s="2181" t="s">
        <v>1884</v>
      </c>
      <c r="B102" s="2168">
        <f>IFERROR(VLOOKUP(A102,'ИПП 3кв25'!$B$23:$R$34,8,0),"")</f>
        <v>18</v>
      </c>
      <c r="C102" s="2205">
        <f>IFERROR(VLOOKUP(A102,'ИПП 3кв25'!$B$23:$R$34,9,0),"")</f>
        <v>2423451</v>
      </c>
      <c r="D102" s="2167">
        <f>SUMIFS(Июль2555[м2],Июль2555[КТУ],$A102,Июль2555[№ дома],$C$95,Июль2555[Комнатность],"&lt;&gt;Офис")</f>
        <v>0</v>
      </c>
      <c r="E102" s="2168">
        <f>SUMIFS(Июль2555[Сумма без отделки],Июль2555[КТУ],$A102,Июль2555[№ дома],$C$95,Июль2555[Комнатность],"&lt;&gt;Офис")</f>
        <v>0</v>
      </c>
      <c r="F102" s="2169">
        <f>COUNTIFS(Июль2555[КТУ],$A102,Июль2555[№ дома],$C$95,Июль2555[Комнатность],"&lt;&gt;Офис")</f>
        <v>0</v>
      </c>
      <c r="G102" s="202">
        <f>SUMIFS(РД[S],РД[Дом],$C$95,РД[МОП],A102,РД[Дата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H102" s="2244">
        <f>SUMIFS(РД[Стоимость без отделки итог],РД[Дом],$C$95,РД[МОП],A102,РД[Дата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I102" s="226">
        <f>COUNTIFS(РД[Дом],$C$95,РД[МОП],A102,РД[Дата подачи на регистрацию],"&lt;="&amp;$A$1,РД[Дата подачи на регистрацию],"&gt;="&amp;DATE(YEAR($A$1),MONTH($A$1),1),РД[Состояние],"Продажа")</f>
        <v>0</v>
      </c>
      <c r="J102" s="2247">
        <f t="shared" si="9"/>
        <v>0</v>
      </c>
      <c r="K102" s="225">
        <f t="shared" si="9"/>
        <v>0</v>
      </c>
      <c r="L102" s="134"/>
      <c r="P102" s="66"/>
    </row>
    <row r="103" spans="1:16" s="65" customFormat="1" ht="13.5" thickBot="1">
      <c r="A103" s="2182" t="s">
        <v>114</v>
      </c>
      <c r="B103" s="2183">
        <f t="shared" ref="B103:I103" si="10">SUM(B97:B102)</f>
        <v>92</v>
      </c>
      <c r="C103" s="2206">
        <f t="shared" si="10"/>
        <v>12304782</v>
      </c>
      <c r="D103" s="2201">
        <f t="shared" si="10"/>
        <v>141.53</v>
      </c>
      <c r="E103" s="2183">
        <f t="shared" si="10"/>
        <v>18336969</v>
      </c>
      <c r="F103" s="2198">
        <f t="shared" si="10"/>
        <v>3</v>
      </c>
      <c r="G103" s="2209">
        <f t="shared" si="10"/>
        <v>91.78</v>
      </c>
      <c r="H103" s="2245">
        <f t="shared" si="10"/>
        <v>12304782</v>
      </c>
      <c r="I103" s="2185">
        <f t="shared" si="10"/>
        <v>2</v>
      </c>
      <c r="J103" s="2248">
        <f t="shared" ref="J103:K103" si="11">IFERROR(G103/B103,"")</f>
        <v>0.99760869565217392</v>
      </c>
      <c r="K103" s="2186">
        <f t="shared" si="11"/>
        <v>1</v>
      </c>
      <c r="L103" s="134"/>
      <c r="P103" s="66"/>
    </row>
    <row r="104" spans="1:16" s="65" customFormat="1">
      <c r="A104" s="2187" t="s">
        <v>115</v>
      </c>
      <c r="B104" s="2188" t="s">
        <v>100</v>
      </c>
      <c r="C104" s="2207" t="s">
        <v>97</v>
      </c>
      <c r="D104" s="2202" t="s">
        <v>53</v>
      </c>
      <c r="E104" s="2189" t="s">
        <v>11479</v>
      </c>
      <c r="F104" s="2199" t="s">
        <v>11480</v>
      </c>
      <c r="G104" s="1358" t="s">
        <v>53</v>
      </c>
      <c r="H104" s="2246" t="s">
        <v>11479</v>
      </c>
      <c r="I104" s="1361" t="s">
        <v>11480</v>
      </c>
      <c r="J104" s="2249" t="s">
        <v>11481</v>
      </c>
      <c r="K104" s="2196" t="s">
        <v>11482</v>
      </c>
      <c r="L104" s="134"/>
      <c r="P104" s="66"/>
    </row>
    <row r="105" spans="1:16" s="65" customFormat="1">
      <c r="A105" s="2181" t="s">
        <v>22</v>
      </c>
      <c r="B105" s="2168">
        <f>IFERROR(VLOOKUP(A105,'ИПП 3кв25'!$B$23:$R$34,8,0),"")</f>
        <v>29.900000000000002</v>
      </c>
      <c r="C105" s="2205">
        <f>IFERROR(VLOOKUP(A105,'ИПП 3кв25'!$B$23:$R$34,9,0),"")</f>
        <v>3999054.15</v>
      </c>
      <c r="D105" s="2167">
        <f>SUMIFS(Июль2555[м2],Июль2555[ИМ],A105,Июль2555[№ дома],$C$95,Июль2555[Комнатность],"&lt;&gt;Офис")</f>
        <v>141.53</v>
      </c>
      <c r="E105" s="2180">
        <f>SUMIFS(Июль2555[Сумма без отделки],Июль2555[ИМ],$A105,Июль2555[№ дома],$C$95,Июль2555[Комнатность],"&lt;&gt;Офис")</f>
        <v>18336969</v>
      </c>
      <c r="F105" s="2169">
        <f>COUNTIFS(Июль2555[ИМ],$A105,Июль2555[№ дома],$C$95,Июль2555[Комнатность],"&lt;&gt;Офис")</f>
        <v>3</v>
      </c>
      <c r="G105" s="202">
        <f>SUMIFS(РД[S],РД[Дом],$C$95,РД[ИМ],A105,РД[Дата подачи на регистрацию],"&lt;="&amp;$A$1,РД[Дата подачи на регистрацию],"&gt;="&amp;DATE(YEAR($A$1),MONTH($A$1),1),РД[Состояние],"Продажа")</f>
        <v>91.78</v>
      </c>
      <c r="H105" s="2244">
        <f>SUMIFS(РД[Стоимость без отделки итог],РД[Дом],$C$95,РД[ИМ],A105,РД[Дата подачи на регистрацию],"&lt;="&amp;$A$1,РД[Дата подачи на регистрацию],"&gt;="&amp;DATE(YEAR($A$1),MONTH($A$1),1),РД[Состояние],"Продажа")</f>
        <v>12304782</v>
      </c>
      <c r="I105" s="226">
        <f>COUNTIFS(РД[Дом],$C$95,РД[ИМ],A105,РД[Дата подачи на регистрацию],"&lt;="&amp;$A$1,РД[Дата подачи на регистрацию],"&gt;="&amp;DATE(YEAR($A$1),MONTH($A$1),1),РД[Состояние],"Продажа")</f>
        <v>2</v>
      </c>
      <c r="J105" s="2247">
        <f t="shared" ref="J105:K106" si="12">IFERROR(G105/B105,"")</f>
        <v>3.0695652173913039</v>
      </c>
      <c r="K105" s="225">
        <f t="shared" si="12"/>
        <v>3.0769230769230771</v>
      </c>
      <c r="L105" s="134"/>
      <c r="P105" s="66"/>
    </row>
    <row r="106" spans="1:16" s="65" customFormat="1">
      <c r="A106" s="2181" t="s">
        <v>26</v>
      </c>
      <c r="B106" s="2168">
        <f>IFERROR(VLOOKUP(A106,'ИПП 3кв25'!$B$23:$R$34,8,0),"")</f>
        <v>29.900000000000002</v>
      </c>
      <c r="C106" s="2205">
        <f>IFERROR(VLOOKUP(A106,'ИПП 3кв25'!$B$23:$R$34,9,0),"")</f>
        <v>3999054.15</v>
      </c>
      <c r="D106" s="2167">
        <f>SUMIFS(Июль2555[м2],Июль2555[ИМ],A106,Июль2555[№ дома],$C$95,Июль2555[Комнатность],"&lt;&gt;Офис")</f>
        <v>0</v>
      </c>
      <c r="E106" s="2180">
        <f>SUMIFS(Июль2555[Сумма без отделки],Июль2555[ИМ],$A106,Июль2555[№ дома],$C$95,Июль2555[Комнатность],"&lt;&gt;Офис")</f>
        <v>0</v>
      </c>
      <c r="F106" s="2169">
        <f>COUNTIFS(Июль2555[ИМ],$A106,Июль2555[№ дома],$C$95,Июль2555[Комнатность],"&lt;&gt;Офис")</f>
        <v>0</v>
      </c>
      <c r="G106" s="202">
        <f>SUMIFS(РД[S],РД[Дом],$C$95,РД[ИМ],A106,РД[Дата подачи на регистрацию],"&lt;="&amp;$A$1,РД[Дата подачи на регистрацию],"&gt;="&amp;DATE(YEAR($A$1),MONTH($A$1),1),РД[Состояние],"Продажа")</f>
        <v>0</v>
      </c>
      <c r="H106" s="2244">
        <f>SUMIFS(РД[Стоимость без отделки итог],РД[Дом],$C$95,РД[ИМ],A106,РД[Дата подачи на регистрацию],"&lt;="&amp;$A$1,РД[Дата подачи на регистрацию],"&gt;="&amp;DATE(YEAR($A$1),MONTH($A$1),1),РД[Состояние],"Продажа")</f>
        <v>0</v>
      </c>
      <c r="I106" s="226">
        <f>COUNTIFS(РД[Дом],$C$95,РД[ИМ],A106,РД[Дата подачи на регистрацию],"&lt;="&amp;$A$1,РД[Дата подачи на регистрацию],"&gt;="&amp;DATE(YEAR($A$1),MONTH($A$1),1),РД[Состояние],"Продажа")</f>
        <v>0</v>
      </c>
      <c r="J106" s="2247">
        <f t="shared" si="12"/>
        <v>0</v>
      </c>
      <c r="K106" s="225">
        <f t="shared" si="12"/>
        <v>0</v>
      </c>
      <c r="L106" s="134"/>
      <c r="P106" s="66"/>
    </row>
    <row r="107" spans="1:16" s="65" customFormat="1" ht="13.5" thickBot="1">
      <c r="A107" s="2182" t="s">
        <v>114</v>
      </c>
      <c r="B107" s="2183">
        <f t="shared" ref="B107:I107" si="13">SUM(B105:B106)</f>
        <v>59.800000000000004</v>
      </c>
      <c r="C107" s="2206">
        <f t="shared" si="13"/>
        <v>7998108.2999999998</v>
      </c>
      <c r="D107" s="2201">
        <f t="shared" si="13"/>
        <v>141.53</v>
      </c>
      <c r="E107" s="2183">
        <f t="shared" si="13"/>
        <v>18336969</v>
      </c>
      <c r="F107" s="2198">
        <f t="shared" si="13"/>
        <v>3</v>
      </c>
      <c r="G107" s="2209">
        <f t="shared" si="13"/>
        <v>91.78</v>
      </c>
      <c r="H107" s="2245">
        <f t="shared" si="13"/>
        <v>12304782</v>
      </c>
      <c r="I107" s="2185">
        <f t="shared" si="13"/>
        <v>2</v>
      </c>
      <c r="J107" s="2248">
        <f>IFERROR(G107/B107,)</f>
        <v>1.534782608695652</v>
      </c>
      <c r="K107" s="2186">
        <f>IFERROR(H107/C107,)</f>
        <v>1.5384615384615385</v>
      </c>
      <c r="L107" s="134"/>
      <c r="P107" s="66"/>
    </row>
    <row r="108" spans="1:16" s="65" customFormat="1" ht="13.5" thickBot="1">
      <c r="A108" s="2125"/>
      <c r="B108" s="2166"/>
      <c r="C108" s="2166"/>
      <c r="D108" s="2166"/>
      <c r="E108" s="2166"/>
      <c r="F108" s="2166"/>
      <c r="G108" s="197"/>
      <c r="H108" s="197"/>
      <c r="I108" s="215"/>
      <c r="J108" s="2082"/>
      <c r="K108" s="256"/>
      <c r="L108" s="134"/>
      <c r="P108" s="66"/>
    </row>
    <row r="109" spans="1:16" s="65" customFormat="1" ht="13.5" thickBot="1">
      <c r="A109" s="2418" t="s">
        <v>713</v>
      </c>
      <c r="B109" s="2419"/>
      <c r="C109" s="2203" t="s">
        <v>23</v>
      </c>
      <c r="D109" s="2415" t="s">
        <v>11478</v>
      </c>
      <c r="E109" s="2416"/>
      <c r="F109" s="2417"/>
      <c r="G109" s="2412" t="s">
        <v>1889</v>
      </c>
      <c r="H109" s="2413"/>
      <c r="I109" s="2413"/>
      <c r="J109" s="2413"/>
      <c r="K109" s="2414"/>
      <c r="L109" s="134"/>
      <c r="P109" s="66"/>
    </row>
    <row r="110" spans="1:16" s="65" customFormat="1">
      <c r="A110" s="2191" t="s">
        <v>1</v>
      </c>
      <c r="B110" s="2192" t="s">
        <v>100</v>
      </c>
      <c r="C110" s="2204" t="s">
        <v>97</v>
      </c>
      <c r="D110" s="2200" t="s">
        <v>53</v>
      </c>
      <c r="E110" s="2193" t="s">
        <v>11479</v>
      </c>
      <c r="F110" s="2197" t="s">
        <v>11480</v>
      </c>
      <c r="G110" s="2208" t="s">
        <v>53</v>
      </c>
      <c r="H110" s="2194" t="s">
        <v>11479</v>
      </c>
      <c r="I110" s="2194" t="s">
        <v>11480</v>
      </c>
      <c r="J110" s="2195" t="s">
        <v>11481</v>
      </c>
      <c r="K110" s="2196" t="s">
        <v>11482</v>
      </c>
      <c r="L110" s="134"/>
      <c r="P110" s="66"/>
    </row>
    <row r="111" spans="1:16" s="65" customFormat="1">
      <c r="A111" s="2181" t="s">
        <v>28</v>
      </c>
      <c r="B111" s="2168">
        <f>IFERROR(VLOOKUP(A111,'ИПП 3кв25'!$B$23:$R$34,10,0),"")</f>
        <v>0</v>
      </c>
      <c r="C111" s="2205">
        <f>IFERROR(VLOOKUP(A111,'ИПП 3кв25'!$B$23:$R$34,11,0),"")</f>
        <v>0</v>
      </c>
      <c r="D111" s="2167">
        <f>SUMIFS(Июль2555[м2],Июль2555[КТУ],$A111,Июль2555[№ дома],$C$109,Июль2555[Комнатность],"&lt;&gt;Офис")</f>
        <v>0</v>
      </c>
      <c r="E111" s="2168">
        <f>SUMIFS(Июль2555[Сумма без отделки],Июль2555[КТУ],$A111,Июль2555[№ дома],$C$109,Июль2555[Комнатность],"&lt;&gt;Офис")</f>
        <v>0</v>
      </c>
      <c r="F111" s="2169">
        <f>COUNTIFS(Июль2555[КТУ],$A111,Июль2555[№ дома],$C$109,Июль2555[Комнатность],"&lt;&gt;Офис")</f>
        <v>0</v>
      </c>
      <c r="G111" s="202">
        <f>SUMIFS(РД[S],РД[Дом],$C$109,РД[МОП],A111,РД[Дата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H111" s="2244">
        <f>SUMIFS(РД[Стоимость без отделки итог],РД[Дом],$C$109,РД[МОП],A111,РД[Дата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I111" s="226">
        <f>COUNTIFS(РД[Дом],$C$109,РД[МОП],A111,РД[Дата подачи на регистрацию],"&lt;="&amp;$A$1,РД[Дата подачи на регистрацию],"&gt;="&amp;DATE(YEAR($A$1),MONTH($A$1),1),РД[Состояние],"Продажа")</f>
        <v>0</v>
      </c>
      <c r="J111" s="2247">
        <f t="shared" ref="J111:K116" si="14">IFERROR(G111/B111,)</f>
        <v>0</v>
      </c>
      <c r="K111" s="225">
        <f t="shared" si="14"/>
        <v>0</v>
      </c>
      <c r="L111" s="134"/>
      <c r="P111" s="66"/>
    </row>
    <row r="112" spans="1:16" s="65" customFormat="1">
      <c r="A112" s="2181" t="s">
        <v>8</v>
      </c>
      <c r="B112" s="2168">
        <f>IFERROR(VLOOKUP(A112,'ИПП 3кв25'!$B$23:$R$34,10,0),"")</f>
        <v>0</v>
      </c>
      <c r="C112" s="2205">
        <f>IFERROR(VLOOKUP(A112,'ИПП 3кв25'!$B$23:$R$34,11,0),"")</f>
        <v>0</v>
      </c>
      <c r="D112" s="2167">
        <f>SUMIFS(Июль2555[м2],Июль2555[КТУ],$A112,Июль2555[№ дома],$C$109,Июль2555[Комнатность],"&lt;&gt;Офис")</f>
        <v>0</v>
      </c>
      <c r="E112" s="2168">
        <f>SUMIFS(Июль2555[Сумма без отделки],Июль2555[КТУ],$A112,Июль2555[№ дома],$C$109,Июль2555[Комнатность],"&lt;&gt;Офис")</f>
        <v>0</v>
      </c>
      <c r="F112" s="2169">
        <f>COUNTIFS(Июль2555[КТУ],$A112,Июль2555[№ дома],$C$109,Июль2555[Комнатность],"&lt;&gt;Офис")</f>
        <v>0</v>
      </c>
      <c r="G112" s="202">
        <f>SUMIFS(РД[S],РД[Дом],$C$109,РД[МОП],A112,РД[Дата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H112" s="2244">
        <f>SUMIFS(РД[Стоимость без отделки итог],РД[Дом],$C$109,РД[МОП],A112,РД[Дата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I112" s="226">
        <f>COUNTIFS(РД[Дом],$C$109,РД[МОП],A112,РД[Дата подачи на регистрацию],"&lt;="&amp;$A$1,РД[Дата подачи на регистрацию],"&gt;="&amp;DATE(YEAR($A$1),MONTH($A$1),1),РД[Состояние],"Продажа")</f>
        <v>0</v>
      </c>
      <c r="J112" s="2247">
        <f t="shared" si="14"/>
        <v>0</v>
      </c>
      <c r="K112" s="225">
        <f t="shared" si="14"/>
        <v>0</v>
      </c>
      <c r="L112" s="134"/>
      <c r="P112" s="66"/>
    </row>
    <row r="113" spans="1:16" s="65" customFormat="1">
      <c r="A113" s="2181" t="s">
        <v>20</v>
      </c>
      <c r="B113" s="2168">
        <f>IFERROR(VLOOKUP(A113,'ИПП 3кв25'!$B$23:$R$34,10,0),"")</f>
        <v>0</v>
      </c>
      <c r="C113" s="2205">
        <f>IFERROR(VLOOKUP(A113,'ИПП 3кв25'!$B$23:$R$34,11,0),"")</f>
        <v>0</v>
      </c>
      <c r="D113" s="2167">
        <f>SUMIFS(Июль2555[м2],Июль2555[КТУ],$A113,Июль2555[№ дома],$C$109,Июль2555[Комнатность],"&lt;&gt;Офис")</f>
        <v>0</v>
      </c>
      <c r="E113" s="2168">
        <f>SUMIFS(Июль2555[Сумма без отделки],Июль2555[КТУ],$A113,Июль2555[№ дома],$C$109,Июль2555[Комнатность],"&lt;&gt;Офис")</f>
        <v>0</v>
      </c>
      <c r="F113" s="2169">
        <f>COUNTIFS(Июль2555[КТУ],$A113,Июль2555[№ дома],$C$109,Июль2555[Комнатность],"&lt;&gt;Офис")</f>
        <v>0</v>
      </c>
      <c r="G113" s="202">
        <f>SUMIFS(РД[S],РД[Дом],$C$109,РД[МОП],A113,РД[Дата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H113" s="2244">
        <f>SUMIFS(РД[Стоимость без отделки итог],РД[Дом],$C$109,РД[МОП],A113,РД[Дата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I113" s="226">
        <f>COUNTIFS(РД[Дом],$C$109,РД[МОП],A113,РД[Дата подачи на регистрацию],"&lt;="&amp;$A$1,РД[Дата подачи на регистрацию],"&gt;="&amp;DATE(YEAR($A$1),MONTH($A$1),1),РД[Состояние],"Продажа")</f>
        <v>0</v>
      </c>
      <c r="J113" s="2247">
        <f t="shared" si="14"/>
        <v>0</v>
      </c>
      <c r="K113" s="225">
        <f t="shared" si="14"/>
        <v>0</v>
      </c>
      <c r="L113" s="134"/>
      <c r="P113" s="66"/>
    </row>
    <row r="114" spans="1:16" s="65" customFormat="1">
      <c r="A114" s="2181" t="s">
        <v>24</v>
      </c>
      <c r="B114" s="2168">
        <f>IFERROR(VLOOKUP(A114,'ИПП 3кв25'!$B$23:$R$34,10,0),"")</f>
        <v>0</v>
      </c>
      <c r="C114" s="2205">
        <f>IFERROR(VLOOKUP(A114,'ИПП 3кв25'!$B$23:$R$34,11,0),"")</f>
        <v>0</v>
      </c>
      <c r="D114" s="2167">
        <f>SUMIFS(Июль2555[м2],Июль2555[КТУ],$A114,Июль2555[№ дома],$C$109,Июль2555[Комнатность],"&lt;&gt;Офис")</f>
        <v>49.83</v>
      </c>
      <c r="E114" s="2168">
        <f>SUMIFS(Июль2555[Сумма без отделки],Июль2555[КТУ],$A114,Июль2555[№ дома],$C$109,Июль2555[Комнатность],"&lt;&gt;Офис")</f>
        <v>7474500</v>
      </c>
      <c r="F114" s="2169">
        <f>COUNTIFS(Июль2555[КТУ],$A114,Июль2555[№ дома],$C$109,Июль2555[Комнатность],"&lt;&gt;Офис")</f>
        <v>1</v>
      </c>
      <c r="G114" s="202">
        <f>SUMIFS(РД[S],РД[Дом],$C$109,РД[МОП],A114,РД[Дата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H114" s="2244">
        <f>SUMIFS(РД[Стоимость без отделки итог],РД[Дом],$C$109,РД[МОП],A114,РД[Дата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I114" s="226">
        <f>COUNTIFS(РД[Дом],$C$109,РД[МОП],A114,РД[Дата подачи на регистрацию],"&lt;="&amp;$A$1,РД[Дата подачи на регистрацию],"&gt;="&amp;DATE(YEAR($A$1),MONTH($A$1),1),РД[Состояние],"Продажа")</f>
        <v>0</v>
      </c>
      <c r="J114" s="2247">
        <f t="shared" si="14"/>
        <v>0</v>
      </c>
      <c r="K114" s="225">
        <f t="shared" si="14"/>
        <v>0</v>
      </c>
      <c r="L114" s="134"/>
      <c r="P114" s="66"/>
    </row>
    <row r="115" spans="1:16" s="65" customFormat="1">
      <c r="A115" s="2181" t="s">
        <v>14</v>
      </c>
      <c r="B115" s="2168">
        <f>IFERROR(VLOOKUP(A115,'ИПП 3кв25'!$B$23:$R$34,10,0),"")</f>
        <v>0</v>
      </c>
      <c r="C115" s="2205">
        <f>IFERROR(VLOOKUP(A115,'ИПП 3кв25'!$B$23:$R$34,11,0),"")</f>
        <v>0</v>
      </c>
      <c r="D115" s="2167">
        <f>SUMIFS(Июль2555[м2],Июль2555[КТУ],$A115,Июль2555[№ дома],$C$109,Июль2555[Комнатность],"&lt;&gt;Офис")</f>
        <v>0</v>
      </c>
      <c r="E115" s="2168">
        <f>SUMIFS(Июль2555[Сумма без отделки],Июль2555[КТУ],$A115,Июль2555[№ дома],$C$109,Июль2555[Комнатность],"&lt;&gt;Офис")</f>
        <v>0</v>
      </c>
      <c r="F115" s="2169">
        <f>COUNTIFS(Июль2555[КТУ],$A115,Июль2555[№ дома],$C$109,Июль2555[Комнатность],"&lt;&gt;Офис")</f>
        <v>0</v>
      </c>
      <c r="G115" s="202">
        <f>SUMIFS(РД[S],РД[Дом],$C$109,РД[МОП],A115,РД[Дата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H115" s="2244">
        <f>SUMIFS(РД[Стоимость без отделки итог],РД[Дом],$C$109,РД[МОП],A115,РД[Дата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I115" s="226">
        <f>COUNTIFS(РД[Дом],$C$109,РД[МОП],A115,РД[Дата подачи на регистрацию],"&lt;="&amp;$A$1,РД[Дата подачи на регистрацию],"&gt;="&amp;DATE(YEAR($A$1),MONTH($A$1),1),РД[Состояние],"Продажа")</f>
        <v>0</v>
      </c>
      <c r="J115" s="2247">
        <f t="shared" si="14"/>
        <v>0</v>
      </c>
      <c r="K115" s="225">
        <f t="shared" si="14"/>
        <v>0</v>
      </c>
      <c r="L115" s="134"/>
      <c r="P115" s="66"/>
    </row>
    <row r="116" spans="1:16" s="65" customFormat="1">
      <c r="A116" s="2181" t="s">
        <v>1884</v>
      </c>
      <c r="B116" s="2168">
        <f>IFERROR(VLOOKUP(A116,'ИПП 3кв25'!$B$23:$R$34,10,0),"")</f>
        <v>0</v>
      </c>
      <c r="C116" s="2205">
        <f>IFERROR(VLOOKUP(A116,'ИПП 3кв25'!$B$23:$R$34,11,0),"")</f>
        <v>0</v>
      </c>
      <c r="D116" s="2167">
        <f>SUMIFS(Июль2555[м2],Июль2555[КТУ],$A116,Июль2555[№ дома],$C$109,Июль2555[Комнатность],"&lt;&gt;Офис")</f>
        <v>0</v>
      </c>
      <c r="E116" s="2168">
        <f>SUMIFS(Июль2555[Сумма без отделки],Июль2555[КТУ],$A116,Июль2555[№ дома],$C$109,Июль2555[Комнатность],"&lt;&gt;Офис")</f>
        <v>0</v>
      </c>
      <c r="F116" s="2169">
        <f>COUNTIFS(Июль2555[КТУ],$A116,Июль2555[№ дома],$C$109,Июль2555[Комнатность],"&lt;&gt;Офис")</f>
        <v>0</v>
      </c>
      <c r="G116" s="202">
        <f>SUMIFS(РД[S],РД[Дом],$C$109,РД[МОП],A116,РД[Дата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H116" s="2244">
        <f>SUMIFS(РД[Стоимость без отделки итог],РД[Дом],$C$109,РД[МОП],A116,РД[Дата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I116" s="226">
        <f>COUNTIFS(РД[Дом],$C$109,РД[МОП],A116,РД[Дата подачи на регистрацию],"&lt;="&amp;$A$1,РД[Дата подачи на регистрацию],"&gt;="&amp;DATE(YEAR($A$1),MONTH($A$1),1),РД[Состояние],"Продажа")</f>
        <v>0</v>
      </c>
      <c r="J116" s="2247">
        <f t="shared" si="14"/>
        <v>0</v>
      </c>
      <c r="K116" s="225">
        <f t="shared" si="14"/>
        <v>0</v>
      </c>
      <c r="L116" s="134"/>
      <c r="P116" s="66"/>
    </row>
    <row r="117" spans="1:16" s="65" customFormat="1" ht="13.5" thickBot="1">
      <c r="A117" s="2182" t="s">
        <v>114</v>
      </c>
      <c r="B117" s="2183">
        <f t="shared" ref="B117:I117" si="15">SUM(B111:B116)</f>
        <v>0</v>
      </c>
      <c r="C117" s="2206">
        <f t="shared" si="15"/>
        <v>0</v>
      </c>
      <c r="D117" s="2201">
        <f t="shared" si="15"/>
        <v>49.83</v>
      </c>
      <c r="E117" s="2183">
        <f t="shared" si="15"/>
        <v>7474500</v>
      </c>
      <c r="F117" s="2198">
        <f t="shared" si="15"/>
        <v>1</v>
      </c>
      <c r="G117" s="2209">
        <f t="shared" si="15"/>
        <v>0</v>
      </c>
      <c r="H117" s="2245">
        <f t="shared" si="15"/>
        <v>0</v>
      </c>
      <c r="I117" s="2185">
        <f t="shared" si="15"/>
        <v>0</v>
      </c>
      <c r="J117" s="2248" t="str">
        <f t="shared" ref="J117:K117" si="16">IFERROR(G117/B117,"")</f>
        <v/>
      </c>
      <c r="K117" s="2186" t="str">
        <f t="shared" si="16"/>
        <v/>
      </c>
      <c r="L117" s="134"/>
      <c r="P117" s="66"/>
    </row>
    <row r="118" spans="1:16" s="65" customFormat="1">
      <c r="A118" s="2187" t="s">
        <v>115</v>
      </c>
      <c r="B118" s="2188" t="s">
        <v>100</v>
      </c>
      <c r="C118" s="2207" t="s">
        <v>97</v>
      </c>
      <c r="D118" s="2202" t="s">
        <v>53</v>
      </c>
      <c r="E118" s="2189" t="s">
        <v>11479</v>
      </c>
      <c r="F118" s="2199" t="s">
        <v>11480</v>
      </c>
      <c r="G118" s="1358" t="s">
        <v>53</v>
      </c>
      <c r="H118" s="2246" t="s">
        <v>11479</v>
      </c>
      <c r="I118" s="1361" t="s">
        <v>11480</v>
      </c>
      <c r="J118" s="2249" t="s">
        <v>11481</v>
      </c>
      <c r="K118" s="2196" t="s">
        <v>11482</v>
      </c>
      <c r="L118" s="134"/>
      <c r="P118" s="66"/>
    </row>
    <row r="119" spans="1:16" s="65" customFormat="1">
      <c r="A119" s="2181" t="s">
        <v>22</v>
      </c>
      <c r="B119" s="2168">
        <f>IFERROR(VLOOKUP(A119,'ИПП 3кв25'!$B$23:$R$34,10,0),"")</f>
        <v>0</v>
      </c>
      <c r="C119" s="2205">
        <f>IFERROR(VLOOKUP(A119,'ИПП 3кв25'!$B$23:$R$34,11,0),"")</f>
        <v>0</v>
      </c>
      <c r="D119" s="2167">
        <f>SUMIFS(Июль2555[м2],Июль2555[ИМ],A119,Июль2555[№ дома],$C$109,Июль2555[Комнатность],"&lt;&gt;Офис")</f>
        <v>0</v>
      </c>
      <c r="E119" s="2180">
        <f>SUMIFS(Июль2555[Сумма без отделки],Июль2555[ИМ],$A119,Июль2555[№ дома],$C$109,Июль2555[Комнатность],"&lt;&gt;Офис")</f>
        <v>0</v>
      </c>
      <c r="F119" s="2169">
        <f>COUNTIFS(Июль2555[ИМ],$A119,Июль2555[№ дома],$C$109,Июль2555[Комнатность],"&lt;&gt;Офис")</f>
        <v>0</v>
      </c>
      <c r="G119" s="202">
        <f>SUMIFS(РД[S],РД[Дом],$C$109,РД[ИМ],A119,РД[Дата подачи на регистрацию],"&lt;="&amp;$A$1,РД[Дата подачи на регистрацию],"&gt;="&amp;DATE(YEAR($A$1),MONTH($A$1),1),РД[Состояние],"Продажа")</f>
        <v>0</v>
      </c>
      <c r="H119" s="2244">
        <f>SUMIFS(РД[Стоимость без отделки итог],РД[Дом],$C$109,РД[ИМ],A119,РД[Дата подачи на регистрацию],"&lt;="&amp;$A$1,РД[Дата подачи на регистрацию],"&gt;="&amp;DATE(YEAR($A$1),MONTH($A$1),1),РД[Состояние],"Продажа")</f>
        <v>0</v>
      </c>
      <c r="I119" s="226">
        <f>COUNTIFS(РД[Дом],$C$109,РД[ИМ],A119,РД[Дата подачи на регистрацию],"&lt;="&amp;$A$1,РД[Дата подачи на регистрацию],"&gt;="&amp;DATE(YEAR($A$1),MONTH($A$1),1),РД[Состояние],"Продажа")</f>
        <v>0</v>
      </c>
      <c r="J119" s="2247" t="str">
        <f t="shared" ref="J119:K120" si="17">IFERROR(G119/B119,"")</f>
        <v/>
      </c>
      <c r="K119" s="225" t="str">
        <f t="shared" si="17"/>
        <v/>
      </c>
      <c r="L119" s="134"/>
      <c r="P119" s="66"/>
    </row>
    <row r="120" spans="1:16" s="65" customFormat="1">
      <c r="A120" s="2181" t="s">
        <v>26</v>
      </c>
      <c r="B120" s="2168">
        <f>IFERROR(VLOOKUP(A120,'ИПП 3кв25'!$B$23:$R$34,10,0),"")</f>
        <v>0</v>
      </c>
      <c r="C120" s="2205">
        <f>IFERROR(VLOOKUP(A120,'ИПП 3кв25'!$B$23:$R$34,11,0),"")</f>
        <v>0</v>
      </c>
      <c r="D120" s="2167">
        <f>SUMIFS(Июль2555[м2],Июль2555[ИМ],A120,Июль2555[№ дома],$C$109,Июль2555[Комнатность],"&lt;&gt;Офис")</f>
        <v>0</v>
      </c>
      <c r="E120" s="2180">
        <f>SUMIFS(Июль2555[Сумма без отделки],Июль2555[ИМ],$A120,Июль2555[№ дома],$C$109,Июль2555[Комнатность],"&lt;&gt;Офис")</f>
        <v>0</v>
      </c>
      <c r="F120" s="2169">
        <f>COUNTIFS(Июль2555[ИМ],$A120,Июль2555[№ дома],$C$109,Июль2555[Комнатность],"&lt;&gt;Офис")</f>
        <v>0</v>
      </c>
      <c r="G120" s="202">
        <f>SUMIFS(РД[S],РД[Дом],$C$109,РД[ИМ],A120,РД[Дата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H120" s="2244">
        <f>SUMIFS(РД[Стоимость без отделки итог],РД[Дом],$C$109,РД[ИМ],A120,РД[Дата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I120" s="226">
        <f>COUNTIFS(РД[Дом],$C$109,РД[ИМ],A120,РД[Дата подачи на регистрацию],"&lt;="&amp;$A$1,РД[Дата подачи на регистрацию],"&gt;="&amp;DATE(YEAR($A$1),MONTH($A$1),1),РД[Состояние],"Продажа")</f>
        <v>0</v>
      </c>
      <c r="J120" s="2247" t="str">
        <f t="shared" si="17"/>
        <v/>
      </c>
      <c r="K120" s="225" t="str">
        <f t="shared" si="17"/>
        <v/>
      </c>
      <c r="L120" s="134"/>
      <c r="P120" s="66"/>
    </row>
    <row r="121" spans="1:16" s="65" customFormat="1" ht="13.5" thickBot="1">
      <c r="A121" s="2182" t="s">
        <v>114</v>
      </c>
      <c r="B121" s="2183">
        <f t="shared" ref="B121:I121" si="18">SUM(B119:B120)</f>
        <v>0</v>
      </c>
      <c r="C121" s="2206">
        <f t="shared" si="18"/>
        <v>0</v>
      </c>
      <c r="D121" s="2201">
        <f t="shared" si="18"/>
        <v>0</v>
      </c>
      <c r="E121" s="2183">
        <f t="shared" si="18"/>
        <v>0</v>
      </c>
      <c r="F121" s="2198">
        <f t="shared" si="18"/>
        <v>0</v>
      </c>
      <c r="G121" s="2209">
        <f t="shared" si="18"/>
        <v>0</v>
      </c>
      <c r="H121" s="2245">
        <f t="shared" si="18"/>
        <v>0</v>
      </c>
      <c r="I121" s="2185">
        <f t="shared" si="18"/>
        <v>0</v>
      </c>
      <c r="J121" s="2248">
        <f>IFERROR(G121/B121,)</f>
        <v>0</v>
      </c>
      <c r="K121" s="2186">
        <f>IFERROR(H121/C121,)</f>
        <v>0</v>
      </c>
      <c r="L121" s="134"/>
      <c r="P121" s="66"/>
    </row>
    <row r="122" spans="1:16" s="65" customFormat="1" ht="13.5" thickBot="1">
      <c r="A122" s="2125"/>
      <c r="B122" s="2166"/>
      <c r="C122" s="2166"/>
      <c r="D122" s="2166"/>
      <c r="E122" s="2166"/>
      <c r="F122" s="2166"/>
      <c r="G122" s="197"/>
      <c r="H122" s="197"/>
      <c r="I122" s="215"/>
      <c r="J122" s="2082"/>
      <c r="K122" s="256"/>
      <c r="L122" s="134"/>
      <c r="P122" s="66"/>
    </row>
    <row r="123" spans="1:16" s="65" customFormat="1" ht="13.5" thickBot="1">
      <c r="A123" s="2418" t="s">
        <v>713</v>
      </c>
      <c r="B123" s="2419"/>
      <c r="C123" s="2203" t="s">
        <v>11473</v>
      </c>
      <c r="D123" s="2415" t="s">
        <v>11478</v>
      </c>
      <c r="E123" s="2416"/>
      <c r="F123" s="2417"/>
      <c r="G123" s="2412" t="s">
        <v>1889</v>
      </c>
      <c r="H123" s="2413"/>
      <c r="I123" s="2413"/>
      <c r="J123" s="2413"/>
      <c r="K123" s="2414"/>
      <c r="L123" s="134"/>
      <c r="P123" s="66"/>
    </row>
    <row r="124" spans="1:16" s="65" customFormat="1">
      <c r="A124" s="2191" t="s">
        <v>1</v>
      </c>
      <c r="B124" s="2192" t="s">
        <v>100</v>
      </c>
      <c r="C124" s="2204" t="s">
        <v>97</v>
      </c>
      <c r="D124" s="2200" t="s">
        <v>53</v>
      </c>
      <c r="E124" s="2193" t="s">
        <v>11479</v>
      </c>
      <c r="F124" s="2197" t="s">
        <v>11480</v>
      </c>
      <c r="G124" s="2208" t="s">
        <v>53</v>
      </c>
      <c r="H124" s="2194" t="s">
        <v>11479</v>
      </c>
      <c r="I124" s="2194" t="s">
        <v>11480</v>
      </c>
      <c r="J124" s="2195" t="s">
        <v>11481</v>
      </c>
      <c r="K124" s="2196" t="s">
        <v>11482</v>
      </c>
      <c r="L124" s="134"/>
      <c r="P124" s="66"/>
    </row>
    <row r="125" spans="1:16" s="65" customFormat="1">
      <c r="A125" s="2181" t="s">
        <v>28</v>
      </c>
      <c r="B125" s="2168">
        <f>IFERROR(VLOOKUP(A125,'ИПП 3кв25'!$B$23:$R$34,12,0),"")</f>
        <v>0</v>
      </c>
      <c r="C125" s="2205">
        <f>IFERROR(VLOOKUP(A125,'ИПП 3кв25'!$B$23:$R$34,13,0),"")</f>
        <v>0</v>
      </c>
      <c r="D125" s="2167">
        <f>SUMIFS(Июль2555[м2],Июль2555[КТУ],$A125,Июль2555[№ дома],$C$123,Июль2555[Комнатность],"&lt;&gt;Офис")</f>
        <v>0</v>
      </c>
      <c r="E125" s="2168">
        <f>SUMIFS(Июль2555[Сумма без отделки],Июль2555[КТУ],$A125,Июль2555[№ дома],$C$123,Июль2555[Комнатность],"&lt;&gt;Офис")</f>
        <v>0</v>
      </c>
      <c r="F125" s="2169">
        <f>COUNTIFS(Июль2555[КТУ],$A125,Июль2555[№ дома],$C$123,Июль2555[Комнатность],"&lt;&gt;Офис")</f>
        <v>0</v>
      </c>
      <c r="G125" s="202">
        <f>SUMIFS(РД[S],РД[Дом],$C$123,РД[МОП],A125,РД[Дата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H125" s="2244">
        <f>SUMIFS(РД[Стоимость без отделки итог],РД[Дом],$C$123,РД[МОП],A125,РД[Дата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I125" s="226">
        <f>COUNTIFS(РД[Дом],$C$123,РД[МОП],A125,РД[Дата подачи на регистрацию],"&lt;="&amp;$A$1,РД[Дата подачи на регистрацию],"&gt;="&amp;DATE(YEAR($A$1),MONTH($A$1),1),РД[Состояние],"Продажа")</f>
        <v>0</v>
      </c>
      <c r="J125" s="2247">
        <f t="shared" ref="J125:K130" si="19">IFERROR(G125/B125,)</f>
        <v>0</v>
      </c>
      <c r="K125" s="225">
        <f t="shared" si="19"/>
        <v>0</v>
      </c>
      <c r="L125" s="134"/>
      <c r="P125" s="66"/>
    </row>
    <row r="126" spans="1:16" s="65" customFormat="1">
      <c r="A126" s="2181" t="s">
        <v>8</v>
      </c>
      <c r="B126" s="2168">
        <f>IFERROR(VLOOKUP(A126,'ИПП 3кв25'!$B$23:$R$34,12,0),"")</f>
        <v>0</v>
      </c>
      <c r="C126" s="2205">
        <f>IFERROR(VLOOKUP(A126,'ИПП 3кв25'!$B$23:$R$34,13,0),"")</f>
        <v>0</v>
      </c>
      <c r="D126" s="2167">
        <f>SUMIFS(Июль2555[м2],Июль2555[КТУ],$A126,Июль2555[№ дома],$C$123,Июль2555[Комнатность],"&lt;&gt;Офис")</f>
        <v>0</v>
      </c>
      <c r="E126" s="2168">
        <f>SUMIFS(Июль2555[Сумма без отделки],Июль2555[КТУ],$A126,Июль2555[№ дома],$C$123,Июль2555[Комнатность],"&lt;&gt;Офис")</f>
        <v>0</v>
      </c>
      <c r="F126" s="2169">
        <f>COUNTIFS(Июль2555[КТУ],$A126,Июль2555[№ дома],$C$123,Июль2555[Комнатность],"&lt;&gt;Офис")</f>
        <v>0</v>
      </c>
      <c r="G126" s="202">
        <f>SUMIFS(РД[S],РД[Дом],$C$123,РД[МОП],A126,РД[Дата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H126" s="2244">
        <f>SUMIFS(РД[Стоимость без отделки итог],РД[Дом],$C$123,РД[МОП],A126,РД[Дата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I126" s="226">
        <f>COUNTIFS(РД[Дом],$C$123,РД[МОП],A126,РД[Дата подачи на регистрацию],"&lt;="&amp;$A$1,РД[Дата подачи на регистрацию],"&gt;="&amp;DATE(YEAR($A$1),MONTH($A$1),1),РД[Состояние],"Продажа")</f>
        <v>0</v>
      </c>
      <c r="J126" s="2247">
        <f t="shared" si="19"/>
        <v>0</v>
      </c>
      <c r="K126" s="225">
        <f t="shared" si="19"/>
        <v>0</v>
      </c>
      <c r="L126" s="134"/>
      <c r="P126" s="66"/>
    </row>
    <row r="127" spans="1:16" s="65" customFormat="1">
      <c r="A127" s="2181" t="s">
        <v>20</v>
      </c>
      <c r="B127" s="2168">
        <f>IFERROR(VLOOKUP(A127,'ИПП 3кв25'!$B$23:$R$34,12,0),"")</f>
        <v>0</v>
      </c>
      <c r="C127" s="2205">
        <f>IFERROR(VLOOKUP(A127,'ИПП 3кв25'!$B$23:$R$34,13,0),"")</f>
        <v>0</v>
      </c>
      <c r="D127" s="2167">
        <f>SUMIFS(Июль2555[м2],Июль2555[КТУ],$A127,Июль2555[№ дома],$C$123,Июль2555[Комнатность],"&lt;&gt;Офис")</f>
        <v>0</v>
      </c>
      <c r="E127" s="2168">
        <f>SUMIFS(Июль2555[Сумма без отделки],Июль2555[КТУ],$A127,Июль2555[№ дома],$C$123,Июль2555[Комнатность],"&lt;&gt;Офис")</f>
        <v>0</v>
      </c>
      <c r="F127" s="2169">
        <f>COUNTIFS(Июль2555[КТУ],$A127,Июль2555[№ дома],$C$123,Июль2555[Комнатность],"&lt;&gt;Офис")</f>
        <v>0</v>
      </c>
      <c r="G127" s="202">
        <f>SUMIFS(РД[S],РД[Дом],$C$123,РД[МОП],A127,РД[Дата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H127" s="2244">
        <f>SUMIFS(РД[Стоимость без отделки итог],РД[Дом],$C$123,РД[МОП],A127,РД[Дата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I127" s="226">
        <f>COUNTIFS(РД[Дом],$C$123,РД[МОП],A127,РД[Дата подачи на регистрацию],"&lt;="&amp;$A$1,РД[Дата подачи на регистрацию],"&gt;="&amp;DATE(YEAR($A$1),MONTH($A$1),1),РД[Состояние],"Продажа")</f>
        <v>0</v>
      </c>
      <c r="J127" s="2247">
        <f t="shared" si="19"/>
        <v>0</v>
      </c>
      <c r="K127" s="225">
        <f t="shared" si="19"/>
        <v>0</v>
      </c>
      <c r="L127" s="134"/>
      <c r="P127" s="66"/>
    </row>
    <row r="128" spans="1:16" s="65" customFormat="1">
      <c r="A128" s="2181" t="s">
        <v>24</v>
      </c>
      <c r="B128" s="2168">
        <f>IFERROR(VLOOKUP(A128,'ИПП 3кв25'!$B$23:$R$34,12,0),"")</f>
        <v>0</v>
      </c>
      <c r="C128" s="2205">
        <f>IFERROR(VLOOKUP(A128,'ИПП 3кв25'!$B$23:$R$34,13,0),"")</f>
        <v>0</v>
      </c>
      <c r="D128" s="2167">
        <f>SUMIFS(Июль2555[м2],Июль2555[КТУ],$A128,Июль2555[№ дома],$C$123,Июль2555[Комнатность],"&lt;&gt;Офис")</f>
        <v>0</v>
      </c>
      <c r="E128" s="2168">
        <f>SUMIFS(Июль2555[Сумма без отделки],Июль2555[КТУ],$A128,Июль2555[№ дома],$C$123,Июль2555[Комнатность],"&lt;&gt;Офис")</f>
        <v>0</v>
      </c>
      <c r="F128" s="2169">
        <f>COUNTIFS(Июль2555[КТУ],$A128,Июль2555[№ дома],$C$123,Июль2555[Комнатность],"&lt;&gt;Офис")</f>
        <v>0</v>
      </c>
      <c r="G128" s="202">
        <f>SUMIFS(РД[S],РД[Дом],$C$123,РД[МОП],A128,РД[Дата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H128" s="2244">
        <f>SUMIFS(РД[Стоимость без отделки итог],РД[Дом],$C$123,РД[МОП],A128,РД[Дата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I128" s="226">
        <f>COUNTIFS(РД[Дом],$C$123,РД[МОП],A128,РД[Дата подачи на регистрацию],"&lt;="&amp;$A$1,РД[Дата подачи на регистрацию],"&gt;="&amp;DATE(YEAR($A$1),MONTH($A$1),1),РД[Состояние],"Продажа")</f>
        <v>0</v>
      </c>
      <c r="J128" s="2247">
        <f t="shared" si="19"/>
        <v>0</v>
      </c>
      <c r="K128" s="225">
        <f t="shared" si="19"/>
        <v>0</v>
      </c>
      <c r="L128" s="134"/>
      <c r="P128" s="66"/>
    </row>
    <row r="129" spans="1:16" s="65" customFormat="1">
      <c r="A129" s="2181" t="s">
        <v>14</v>
      </c>
      <c r="B129" s="2168">
        <f>IFERROR(VLOOKUP(A129,'ИПП 3кв25'!$B$23:$R$34,12,0),"")</f>
        <v>0</v>
      </c>
      <c r="C129" s="2205">
        <f>IFERROR(VLOOKUP(A129,'ИПП 3кв25'!$B$23:$R$34,13,0),"")</f>
        <v>0</v>
      </c>
      <c r="D129" s="2167">
        <f>SUMIFS(Июль2555[м2],Июль2555[КТУ],$A129,Июль2555[№ дома],$C$123,Июль2555[Комнатность],"&lt;&gt;Офис")</f>
        <v>0</v>
      </c>
      <c r="E129" s="2168">
        <f>SUMIFS(Июль2555[Сумма без отделки],Июль2555[КТУ],$A129,Июль2555[№ дома],$C$123,Июль2555[Комнатность],"&lt;&gt;Офис")</f>
        <v>0</v>
      </c>
      <c r="F129" s="2169">
        <f>COUNTIFS(Июль2555[КТУ],$A129,Июль2555[№ дома],$C$123,Июль2555[Комнатность],"&lt;&gt;Офис")</f>
        <v>0</v>
      </c>
      <c r="G129" s="202">
        <f>SUMIFS(РД[S],РД[Дом],$C$123,РД[МОП],A129,РД[Дата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H129" s="2244">
        <f>SUMIFS(РД[Стоимость без отделки итог],РД[Дом],$C$123,РД[МОП],A129,РД[Дата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I129" s="226">
        <f>COUNTIFS(РД[Дом],$C$123,РД[МОП],A129,РД[Дата подачи на регистрацию],"&lt;="&amp;$A$1,РД[Дата подачи на регистрацию],"&gt;="&amp;DATE(YEAR($A$1),MONTH($A$1),1),РД[Состояние],"Продажа")</f>
        <v>0</v>
      </c>
      <c r="J129" s="2247">
        <f t="shared" si="19"/>
        <v>0</v>
      </c>
      <c r="K129" s="225">
        <f t="shared" si="19"/>
        <v>0</v>
      </c>
      <c r="L129" s="134"/>
      <c r="P129" s="66"/>
    </row>
    <row r="130" spans="1:16" s="65" customFormat="1">
      <c r="A130" s="2181" t="s">
        <v>1884</v>
      </c>
      <c r="B130" s="2168">
        <f>IFERROR(VLOOKUP(A130,'ИПП 3кв25'!$B$23:$R$34,12,0),"")</f>
        <v>0</v>
      </c>
      <c r="C130" s="2205">
        <f>IFERROR(VLOOKUP(A130,'ИПП 3кв25'!$B$23:$R$34,13,0),"")</f>
        <v>0</v>
      </c>
      <c r="D130" s="2167">
        <f>SUMIFS(Июль2555[м2],Июль2555[КТУ],$A130,Июль2555[№ дома],$C$123,Июль2555[Комнатность],"&lt;&gt;Офис")</f>
        <v>0</v>
      </c>
      <c r="E130" s="2168">
        <f>SUMIFS(Июль2555[Сумма без отделки],Июль2555[КТУ],$A130,Июль2555[№ дома],$C$123,Июль2555[Комнатность],"&lt;&gt;Офис")</f>
        <v>0</v>
      </c>
      <c r="F130" s="2169">
        <f>COUNTIFS(Июль2555[КТУ],$A130,Июль2555[№ дома],$C$123,Июль2555[Комнатность],"&lt;&gt;Офис")</f>
        <v>0</v>
      </c>
      <c r="G130" s="202">
        <f>SUMIFS(РД[S],РД[Дом],$C$123,РД[МОП],A130,РД[Дата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H130" s="2244">
        <f>SUMIFS(РД[Стоимость без отделки итог],РД[Дом],$C$123,РД[МОП],A130,РД[Дата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I130" s="226">
        <f>COUNTIFS(РД[Дом],$C$123,РД[МОП],A130,РД[Дата подачи на регистрацию],"&lt;="&amp;$A$1,РД[Дата подачи на регистрацию],"&gt;="&amp;DATE(YEAR($A$1),MONTH($A$1),1),РД[Состояние],"Продажа")</f>
        <v>0</v>
      </c>
      <c r="J130" s="2247">
        <f t="shared" si="19"/>
        <v>0</v>
      </c>
      <c r="K130" s="225">
        <f t="shared" si="19"/>
        <v>0</v>
      </c>
      <c r="L130" s="134"/>
      <c r="P130" s="66"/>
    </row>
    <row r="131" spans="1:16" s="65" customFormat="1" ht="13.5" thickBot="1">
      <c r="A131" s="2182" t="s">
        <v>114</v>
      </c>
      <c r="B131" s="2183">
        <f t="shared" ref="B131:I131" si="20">SUM(B125:B130)</f>
        <v>0</v>
      </c>
      <c r="C131" s="2206">
        <f t="shared" si="20"/>
        <v>0</v>
      </c>
      <c r="D131" s="2201">
        <f t="shared" si="20"/>
        <v>0</v>
      </c>
      <c r="E131" s="2183">
        <f t="shared" si="20"/>
        <v>0</v>
      </c>
      <c r="F131" s="2198">
        <f t="shared" si="20"/>
        <v>0</v>
      </c>
      <c r="G131" s="2209">
        <f t="shared" si="20"/>
        <v>0</v>
      </c>
      <c r="H131" s="2245">
        <f t="shared" si="20"/>
        <v>0</v>
      </c>
      <c r="I131" s="2185">
        <f t="shared" si="20"/>
        <v>0</v>
      </c>
      <c r="J131" s="2248" t="str">
        <f t="shared" ref="J131:K131" si="21">IFERROR(G131/B131,"")</f>
        <v/>
      </c>
      <c r="K131" s="2186" t="str">
        <f t="shared" si="21"/>
        <v/>
      </c>
      <c r="L131" s="134"/>
      <c r="P131" s="66"/>
    </row>
    <row r="132" spans="1:16" s="65" customFormat="1">
      <c r="A132" s="2187" t="s">
        <v>115</v>
      </c>
      <c r="B132" s="2188" t="s">
        <v>100</v>
      </c>
      <c r="C132" s="2207" t="s">
        <v>97</v>
      </c>
      <c r="D132" s="2202" t="s">
        <v>53</v>
      </c>
      <c r="E132" s="2189" t="s">
        <v>11479</v>
      </c>
      <c r="F132" s="2199" t="s">
        <v>11480</v>
      </c>
      <c r="G132" s="1358" t="s">
        <v>53</v>
      </c>
      <c r="H132" s="2246" t="s">
        <v>11479</v>
      </c>
      <c r="I132" s="1361" t="s">
        <v>11480</v>
      </c>
      <c r="J132" s="2249" t="s">
        <v>11481</v>
      </c>
      <c r="K132" s="2196" t="s">
        <v>11482</v>
      </c>
      <c r="L132" s="134"/>
      <c r="P132" s="66"/>
    </row>
    <row r="133" spans="1:16" s="65" customFormat="1">
      <c r="A133" s="2181" t="s">
        <v>22</v>
      </c>
      <c r="B133" s="2168">
        <f>IFERROR(VLOOKUP(A133,'ИПП 3кв25'!$B$23:$R$34,12,0),"")</f>
        <v>0</v>
      </c>
      <c r="C133" s="2205">
        <f>IFERROR(VLOOKUP(A133,'ИПП 3кв25'!$B$23:$R$34,13,0),"")</f>
        <v>0</v>
      </c>
      <c r="D133" s="2167">
        <f>SUMIFS(Июль2555[м2],Июль2555[ИМ],A133,Июль2555[№ дома],$C$123,Июль2555[Комнатность],"&lt;&gt;Офис")</f>
        <v>0</v>
      </c>
      <c r="E133" s="2180">
        <f>SUMIFS(Июль2555[Сумма без отделки],Июль2555[ИМ],$A133,Июль2555[№ дома],$C$123,Июль2555[Комнатность],"&lt;&gt;Офис")</f>
        <v>0</v>
      </c>
      <c r="F133" s="2169">
        <f>COUNTIFS(Июль2555[ИМ],$A133,Июль2555[№ дома],$C$123,Июль2555[Комнатность],"&lt;&gt;Офис")</f>
        <v>0</v>
      </c>
      <c r="G133" s="202">
        <f>SUMIFS(РД[S],РД[Дом],$C$123,РД[ИМ],A133,РД[Дата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H133" s="2244">
        <f>SUMIFS(РД[Стоимость без отделки итог],РД[Дом],$C$123,РД[ИМ],A133,РД[Дата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I133" s="226">
        <f>COUNTIFS(РД[Дом],$C$123,РД[ИМ],A133,РД[Дата подачи на регистрацию],"&lt;="&amp;$A$1,РД[Дата подачи на регистрацию],"&gt;="&amp;DATE(YEAR($A$1),MONTH($A$1),1),РД[Состояние],"Продажа")</f>
        <v>0</v>
      </c>
      <c r="J133" s="2247" t="str">
        <f t="shared" ref="J133:K134" si="22">IFERROR(G133/B133,"")</f>
        <v/>
      </c>
      <c r="K133" s="225" t="str">
        <f t="shared" si="22"/>
        <v/>
      </c>
      <c r="L133" s="134"/>
      <c r="P133" s="66"/>
    </row>
    <row r="134" spans="1:16" s="65" customFormat="1">
      <c r="A134" s="2181" t="s">
        <v>26</v>
      </c>
      <c r="B134" s="2168">
        <f>IFERROR(VLOOKUP(A134,'ИПП 3кв25'!$B$23:$R$34,12,0),"")</f>
        <v>0</v>
      </c>
      <c r="C134" s="2205">
        <f>IFERROR(VLOOKUP(A134,'ИПП 3кв25'!$B$23:$R$34,13,0),"")</f>
        <v>0</v>
      </c>
      <c r="D134" s="2167">
        <f>SUMIFS(Июль2555[м2],Июль2555[ИМ],A134,Июль2555[№ дома],$C$123,Июль2555[Комнатность],"&lt;&gt;Офис")</f>
        <v>0</v>
      </c>
      <c r="E134" s="2180">
        <f>SUMIFS(Июль2555[Сумма без отделки],Июль2555[ИМ],$A134,Июль2555[№ дома],$C$123,Июль2555[Комнатность],"&lt;&gt;Офис")</f>
        <v>0</v>
      </c>
      <c r="F134" s="2169">
        <f>COUNTIFS(Июль2555[ИМ],$A134,Июль2555[№ дома],$C$123,Июль2555[Комнатность],"&lt;&gt;Офис")</f>
        <v>0</v>
      </c>
      <c r="G134" s="202">
        <f>SUMIFS(РД[S],РД[Дом],$C$123,РД[ИМ],A134,РД[Дата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H134" s="2244">
        <f>SUMIFS(РД[Стоимость без отделки итог],РД[Дом],$C$123,РД[ИМ],A134,РД[Дата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I134" s="226">
        <f>COUNTIFS(РД[Дом],$C$123,РД[ИМ],A134,РД[Дата подачи на регистрацию],"&lt;="&amp;$A$1,РД[Дата подачи на регистрацию],"&gt;="&amp;DATE(YEAR($A$1),MONTH($A$1),1),РД[Состояние],"Продажа")</f>
        <v>0</v>
      </c>
      <c r="J134" s="2247" t="str">
        <f t="shared" si="22"/>
        <v/>
      </c>
      <c r="K134" s="225" t="str">
        <f t="shared" si="22"/>
        <v/>
      </c>
      <c r="L134" s="134"/>
      <c r="P134" s="66"/>
    </row>
    <row r="135" spans="1:16" s="65" customFormat="1" ht="13.5" thickBot="1">
      <c r="A135" s="2182" t="s">
        <v>114</v>
      </c>
      <c r="B135" s="2183">
        <f t="shared" ref="B135:I135" si="23">SUM(B133:B134)</f>
        <v>0</v>
      </c>
      <c r="C135" s="2206">
        <f t="shared" si="23"/>
        <v>0</v>
      </c>
      <c r="D135" s="2201">
        <f t="shared" si="23"/>
        <v>0</v>
      </c>
      <c r="E135" s="2183">
        <f t="shared" si="23"/>
        <v>0</v>
      </c>
      <c r="F135" s="2198">
        <f t="shared" si="23"/>
        <v>0</v>
      </c>
      <c r="G135" s="2209">
        <f t="shared" si="23"/>
        <v>0</v>
      </c>
      <c r="H135" s="2245">
        <f t="shared" si="23"/>
        <v>0</v>
      </c>
      <c r="I135" s="2185">
        <f t="shared" si="23"/>
        <v>0</v>
      </c>
      <c r="J135" s="2248">
        <f>IFERROR(G135/B135,)</f>
        <v>0</v>
      </c>
      <c r="K135" s="2186">
        <f>IFERROR(H135/C135,)</f>
        <v>0</v>
      </c>
      <c r="L135" s="134"/>
      <c r="P135" s="66"/>
    </row>
    <row r="136" spans="1:16" s="65" customFormat="1" ht="13.5" thickBot="1">
      <c r="A136" s="2125"/>
      <c r="B136" s="2166"/>
      <c r="C136" s="2166"/>
      <c r="D136" s="2166"/>
      <c r="E136" s="2166"/>
      <c r="F136" s="2166"/>
      <c r="G136" s="197"/>
      <c r="H136" s="197"/>
      <c r="I136" s="215"/>
      <c r="J136" s="2082"/>
      <c r="K136" s="256"/>
      <c r="L136" s="134"/>
      <c r="P136" s="66"/>
    </row>
    <row r="137" spans="1:16" s="65" customFormat="1" ht="13.5" thickBot="1">
      <c r="A137" s="2418" t="s">
        <v>713</v>
      </c>
      <c r="B137" s="2419"/>
      <c r="C137" s="2203" t="s">
        <v>11474</v>
      </c>
      <c r="D137" s="2415" t="s">
        <v>11478</v>
      </c>
      <c r="E137" s="2416"/>
      <c r="F137" s="2417"/>
      <c r="G137" s="2412" t="s">
        <v>1889</v>
      </c>
      <c r="H137" s="2413"/>
      <c r="I137" s="2413"/>
      <c r="J137" s="2413"/>
      <c r="K137" s="2414"/>
      <c r="L137" s="134"/>
      <c r="P137" s="66"/>
    </row>
    <row r="138" spans="1:16" s="65" customFormat="1">
      <c r="A138" s="2191" t="s">
        <v>1</v>
      </c>
      <c r="B138" s="2192" t="s">
        <v>100</v>
      </c>
      <c r="C138" s="2204" t="s">
        <v>97</v>
      </c>
      <c r="D138" s="2200" t="s">
        <v>53</v>
      </c>
      <c r="E138" s="2193" t="s">
        <v>11479</v>
      </c>
      <c r="F138" s="2197" t="s">
        <v>11480</v>
      </c>
      <c r="G138" s="2208" t="s">
        <v>53</v>
      </c>
      <c r="H138" s="2194" t="s">
        <v>11479</v>
      </c>
      <c r="I138" s="2194" t="s">
        <v>11480</v>
      </c>
      <c r="J138" s="2195" t="s">
        <v>11481</v>
      </c>
      <c r="K138" s="2196" t="s">
        <v>11482</v>
      </c>
      <c r="L138" s="134"/>
      <c r="P138" s="66"/>
    </row>
    <row r="139" spans="1:16" s="65" customFormat="1">
      <c r="A139" s="2181" t="s">
        <v>28</v>
      </c>
      <c r="B139" s="2168">
        <f>IFERROR(VLOOKUP(A139,'ИПП 3кв25'!$B$23:$R$34,14,0),"")</f>
        <v>0</v>
      </c>
      <c r="C139" s="2205">
        <f>IFERROR(VLOOKUP(A139,'ИПП 3кв25'!$B$23:$R$34,15,0),"")</f>
        <v>0</v>
      </c>
      <c r="D139" s="2167">
        <f>SUMIFS(Июль2555[м2],Июль2555[КТУ],$A139,Июль2555[№ дома],$C$137,Июль2555[Комнатность],"&lt;&gt;Офис")</f>
        <v>0</v>
      </c>
      <c r="E139" s="2168">
        <f>SUMIFS(Июль2555[Сумма без отделки],Июль2555[КТУ],$A139,Июль2555[№ дома],$C$137,Июль2555[Комнатность],"&lt;&gt;Офис")</f>
        <v>0</v>
      </c>
      <c r="F139" s="2169">
        <f>COUNTIFS(Июль2555[КТУ],$A139,Июль2555[№ дома],$C$137,Июль2555[Комнатность],"&lt;&gt;Офис")</f>
        <v>0</v>
      </c>
      <c r="G139" s="202">
        <f>SUMIFS(РД[S],РД[Дом],$C$137,РД[МОП],A139,РД[Дата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H139" s="2244">
        <f>SUMIFS(РД[Стоимость без отделки итог],РД[Дом],$C$137,РД[МОП],A139,РД[Дата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I139" s="226">
        <f>COUNTIFS(РД[Дом],$C$137,РД[МОП],A139,РД[Дата подачи на регистрацию],"&lt;="&amp;$A$1,РД[Дата подачи на регистрацию],"&gt;="&amp;DATE(YEAR($A$1),MONTH($A$1),1),РД[Состояние],"Продажа")</f>
        <v>0</v>
      </c>
      <c r="J139" s="2247">
        <f t="shared" ref="J139:K144" si="24">IFERROR(G139/B139,)</f>
        <v>0</v>
      </c>
      <c r="K139" s="225">
        <f t="shared" si="24"/>
        <v>0</v>
      </c>
      <c r="L139" s="134"/>
      <c r="P139" s="66"/>
    </row>
    <row r="140" spans="1:16" s="65" customFormat="1">
      <c r="A140" s="2181" t="s">
        <v>8</v>
      </c>
      <c r="B140" s="2168">
        <f>IFERROR(VLOOKUP(A140,'ИПП 3кв25'!$B$23:$R$34,14,0),"")</f>
        <v>0</v>
      </c>
      <c r="C140" s="2205">
        <f>IFERROR(VLOOKUP(A140,'ИПП 3кв25'!$B$23:$R$34,15,0),"")</f>
        <v>0</v>
      </c>
      <c r="D140" s="2167">
        <f>SUMIFS(Июль2555[м2],Июль2555[КТУ],$A140,Июль2555[№ дома],$C$137,Июль2555[Комнатность],"&lt;&gt;Офис")</f>
        <v>0</v>
      </c>
      <c r="E140" s="2168">
        <f>SUMIFS(Июль2555[Сумма без отделки],Июль2555[КТУ],$A140,Июль2555[№ дома],$C$137,Июль2555[Комнатность],"&lt;&gt;Офис")</f>
        <v>0</v>
      </c>
      <c r="F140" s="2169">
        <f>COUNTIFS(Июль2555[КТУ],$A140,Июль2555[№ дома],$C$137,Июль2555[Комнатность],"&lt;&gt;Офис")</f>
        <v>0</v>
      </c>
      <c r="G140" s="202">
        <f>SUMIFS(РД[S],РД[Дом],$C$137,РД[МОП],A140,РД[Дата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H140" s="2244">
        <f>SUMIFS(РД[Стоимость без отделки итог],РД[Дом],$C$137,РД[МОП],A140,РД[Дата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I140" s="226">
        <f>COUNTIFS(РД[Дом],$C$137,РД[МОП],A140,РД[Дата подачи на регистрацию],"&lt;="&amp;$A$1,РД[Дата подачи на регистрацию],"&gt;="&amp;DATE(YEAR($A$1),MONTH($A$1),1),РД[Состояние],"Продажа")</f>
        <v>0</v>
      </c>
      <c r="J140" s="2247">
        <f t="shared" si="24"/>
        <v>0</v>
      </c>
      <c r="K140" s="225">
        <f t="shared" si="24"/>
        <v>0</v>
      </c>
      <c r="L140" s="134"/>
      <c r="P140" s="66"/>
    </row>
    <row r="141" spans="1:16" s="65" customFormat="1">
      <c r="A141" s="2181" t="s">
        <v>20</v>
      </c>
      <c r="B141" s="2168">
        <f>IFERROR(VLOOKUP(A141,'ИПП 3кв25'!$B$23:$R$34,14,0),"")</f>
        <v>0</v>
      </c>
      <c r="C141" s="2205">
        <f>IFERROR(VLOOKUP(A141,'ИПП 3кв25'!$B$23:$R$34,15,0),"")</f>
        <v>0</v>
      </c>
      <c r="D141" s="2167">
        <f>SUMIFS(Июль2555[м2],Июль2555[КТУ],$A141,Июль2555[№ дома],$C$137,Июль2555[Комнатность],"&lt;&gt;Офис")</f>
        <v>0</v>
      </c>
      <c r="E141" s="2168">
        <f>SUMIFS(Июль2555[Сумма без отделки],Июль2555[КТУ],$A141,Июль2555[№ дома],$C$137,Июль2555[Комнатность],"&lt;&gt;Офис")</f>
        <v>0</v>
      </c>
      <c r="F141" s="2169">
        <f>COUNTIFS(Июль2555[КТУ],$A141,Июль2555[№ дома],$C$137,Июль2555[Комнатность],"&lt;&gt;Офис")</f>
        <v>0</v>
      </c>
      <c r="G141" s="202">
        <f>SUMIFS(РД[S],РД[Дом],$C$137,РД[МОП],A141,РД[Дата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H141" s="2244">
        <f>SUMIFS(РД[Стоимость без отделки итог],РД[Дом],$C$137,РД[МОП],A141,РД[Дата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I141" s="226">
        <f>COUNTIFS(РД[Дом],$C$137,РД[МОП],A141,РД[Дата подачи на регистрацию],"&lt;="&amp;$A$1,РД[Дата подачи на регистрацию],"&gt;="&amp;DATE(YEAR($A$1),MONTH($A$1),1),РД[Состояние],"Продажа")</f>
        <v>0</v>
      </c>
      <c r="J141" s="2247">
        <f t="shared" si="24"/>
        <v>0</v>
      </c>
      <c r="K141" s="225">
        <f t="shared" si="24"/>
        <v>0</v>
      </c>
      <c r="L141" s="134"/>
      <c r="P141" s="66"/>
    </row>
    <row r="142" spans="1:16" s="65" customFormat="1">
      <c r="A142" s="2181" t="s">
        <v>24</v>
      </c>
      <c r="B142" s="2168">
        <f>IFERROR(VLOOKUP(A142,'ИПП 3кв25'!$B$23:$R$34,14,0),"")</f>
        <v>0</v>
      </c>
      <c r="C142" s="2205">
        <f>IFERROR(VLOOKUP(A142,'ИПП 3кв25'!$B$23:$R$34,15,0),"")</f>
        <v>0</v>
      </c>
      <c r="D142" s="2167">
        <f>SUMIFS(Июль2555[м2],Июль2555[КТУ],$A142,Июль2555[№ дома],$C$137,Июль2555[Комнатность],"&lt;&gt;Офис")</f>
        <v>0</v>
      </c>
      <c r="E142" s="2168">
        <f>SUMIFS(Июль2555[Сумма без отделки],Июль2555[КТУ],$A142,Июль2555[№ дома],$C$137,Июль2555[Комнатность],"&lt;&gt;Офис")</f>
        <v>0</v>
      </c>
      <c r="F142" s="2169">
        <f>COUNTIFS(Июль2555[КТУ],$A142,Июль2555[№ дома],$C$137,Июль2555[Комнатность],"&lt;&gt;Офис")</f>
        <v>0</v>
      </c>
      <c r="G142" s="202">
        <f>SUMIFS(РД[S],РД[Дом],$C$137,РД[МОП],A142,РД[Дата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H142" s="2244">
        <f>SUMIFS(РД[Стоимость без отделки итог],РД[Дом],$C$137,РД[МОП],A142,РД[Дата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I142" s="226">
        <f>COUNTIFS(РД[Дом],$C$137,РД[МОП],A142,РД[Дата подачи на регистрацию],"&lt;="&amp;$A$1,РД[Дата подачи на регистрацию],"&gt;="&amp;DATE(YEAR($A$1),MONTH($A$1),1),РД[Состояние],"Продажа")</f>
        <v>0</v>
      </c>
      <c r="J142" s="2247">
        <f t="shared" si="24"/>
        <v>0</v>
      </c>
      <c r="K142" s="225">
        <f t="shared" si="24"/>
        <v>0</v>
      </c>
      <c r="L142" s="134"/>
      <c r="P142" s="66"/>
    </row>
    <row r="143" spans="1:16" s="65" customFormat="1">
      <c r="A143" s="2181" t="s">
        <v>14</v>
      </c>
      <c r="B143" s="2168">
        <f>IFERROR(VLOOKUP(A143,'ИПП 3кв25'!$B$23:$R$34,14,0),"")</f>
        <v>0</v>
      </c>
      <c r="C143" s="2205">
        <f>IFERROR(VLOOKUP(A143,'ИПП 3кв25'!$B$23:$R$34,15,0),"")</f>
        <v>0</v>
      </c>
      <c r="D143" s="2167">
        <f>SUMIFS(Июль2555[м2],Июль2555[КТУ],$A143,Июль2555[№ дома],$C$137,Июль2555[Комнатность],"&lt;&gt;Офис")</f>
        <v>0</v>
      </c>
      <c r="E143" s="2168">
        <f>SUMIFS(Июль2555[Сумма без отделки],Июль2555[КТУ],$A143,Июль2555[№ дома],$C$137,Июль2555[Комнатность],"&lt;&gt;Офис")</f>
        <v>0</v>
      </c>
      <c r="F143" s="2169">
        <f>COUNTIFS(Июль2555[КТУ],$A143,Июль2555[№ дома],$C$137,Июль2555[Комнатность],"&lt;&gt;Офис")</f>
        <v>0</v>
      </c>
      <c r="G143" s="202">
        <f>SUMIFS(РД[S],РД[Дом],$C$137,РД[МОП],A143,РД[Дата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H143" s="2244">
        <f>SUMIFS(РД[Стоимость без отделки итог],РД[Дом],$C$137,РД[МОП],A143,РД[Дата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I143" s="226">
        <f>COUNTIFS(РД[Дом],$C$137,РД[МОП],A143,РД[Дата подачи на регистрацию],"&lt;="&amp;$A$1,РД[Дата подачи на регистрацию],"&gt;="&amp;DATE(YEAR($A$1),MONTH($A$1),1),РД[Состояние],"Продажа")</f>
        <v>0</v>
      </c>
      <c r="J143" s="2247">
        <f t="shared" si="24"/>
        <v>0</v>
      </c>
      <c r="K143" s="225">
        <f t="shared" si="24"/>
        <v>0</v>
      </c>
      <c r="L143" s="134"/>
      <c r="P143" s="66"/>
    </row>
    <row r="144" spans="1:16" s="65" customFormat="1">
      <c r="A144" s="2181" t="s">
        <v>1884</v>
      </c>
      <c r="B144" s="2168">
        <f>IFERROR(VLOOKUP(A144,'ИПП 3кв25'!$B$23:$R$34,14,0),"")</f>
        <v>0</v>
      </c>
      <c r="C144" s="2205">
        <f>IFERROR(VLOOKUP(A144,'ИПП 3кв25'!$B$23:$R$34,15,0),"")</f>
        <v>0</v>
      </c>
      <c r="D144" s="2167">
        <f>SUMIFS(Июль2555[м2],Июль2555[КТУ],$A144,Июль2555[№ дома],$C$137,Июль2555[Комнатность],"&lt;&gt;Офис")</f>
        <v>0</v>
      </c>
      <c r="E144" s="2168">
        <f>SUMIFS(Июль2555[Сумма без отделки],Июль2555[КТУ],$A144,Июль2555[№ дома],$C$137,Июль2555[Комнатность],"&lt;&gt;Офис")</f>
        <v>0</v>
      </c>
      <c r="F144" s="2169">
        <f>COUNTIFS(Июль2555[КТУ],$A144,Июль2555[№ дома],$C$137,Июль2555[Комнатность],"&lt;&gt;Офис")</f>
        <v>0</v>
      </c>
      <c r="G144" s="202">
        <f>SUMIFS(РД[S],РД[Дом],$C$137,РД[МОП],A144,РД[Дата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H144" s="2244">
        <f>SUMIFS(РД[Стоимость без отделки итог],РД[Дом],$C$137,РД[МОП],A144,РД[Дата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I144" s="226">
        <f>COUNTIFS(РД[Дом],$C$137,РД[МОП],A144,РД[Дата подачи на регистрацию],"&lt;="&amp;$A$1,РД[Дата подачи на регистрацию],"&gt;="&amp;DATE(YEAR($A$1),MONTH($A$1),1),РД[Состояние],"Продажа")</f>
        <v>0</v>
      </c>
      <c r="J144" s="2247">
        <f t="shared" si="24"/>
        <v>0</v>
      </c>
      <c r="K144" s="225">
        <f t="shared" si="24"/>
        <v>0</v>
      </c>
      <c r="L144" s="134"/>
      <c r="P144" s="66"/>
    </row>
    <row r="145" spans="1:16" s="65" customFormat="1" ht="13.5" thickBot="1">
      <c r="A145" s="2182" t="s">
        <v>114</v>
      </c>
      <c r="B145" s="2183">
        <f t="shared" ref="B145:I145" si="25">SUM(B139:B144)</f>
        <v>0</v>
      </c>
      <c r="C145" s="2206">
        <f t="shared" si="25"/>
        <v>0</v>
      </c>
      <c r="D145" s="2201">
        <f t="shared" si="25"/>
        <v>0</v>
      </c>
      <c r="E145" s="2183">
        <f t="shared" si="25"/>
        <v>0</v>
      </c>
      <c r="F145" s="2198">
        <f t="shared" si="25"/>
        <v>0</v>
      </c>
      <c r="G145" s="2209">
        <f t="shared" si="25"/>
        <v>0</v>
      </c>
      <c r="H145" s="2245">
        <f t="shared" si="25"/>
        <v>0</v>
      </c>
      <c r="I145" s="2185">
        <f t="shared" si="25"/>
        <v>0</v>
      </c>
      <c r="J145" s="2248" t="str">
        <f t="shared" ref="J145:K145" si="26">IFERROR(G145/B145,"")</f>
        <v/>
      </c>
      <c r="K145" s="2186" t="str">
        <f t="shared" si="26"/>
        <v/>
      </c>
      <c r="L145" s="134"/>
      <c r="P145" s="66"/>
    </row>
    <row r="146" spans="1:16" s="65" customFormat="1">
      <c r="A146" s="2187" t="s">
        <v>115</v>
      </c>
      <c r="B146" s="2188" t="s">
        <v>100</v>
      </c>
      <c r="C146" s="2207" t="s">
        <v>97</v>
      </c>
      <c r="D146" s="2202" t="s">
        <v>53</v>
      </c>
      <c r="E146" s="2189" t="s">
        <v>11479</v>
      </c>
      <c r="F146" s="2199" t="s">
        <v>11480</v>
      </c>
      <c r="G146" s="1358" t="s">
        <v>53</v>
      </c>
      <c r="H146" s="2246" t="s">
        <v>11479</v>
      </c>
      <c r="I146" s="1361" t="s">
        <v>11480</v>
      </c>
      <c r="J146" s="2249" t="s">
        <v>11481</v>
      </c>
      <c r="K146" s="2196" t="s">
        <v>11482</v>
      </c>
      <c r="L146" s="134"/>
      <c r="P146" s="66"/>
    </row>
    <row r="147" spans="1:16" s="65" customFormat="1">
      <c r="A147" s="2181" t="s">
        <v>22</v>
      </c>
      <c r="B147" s="2168">
        <f>IFERROR(VLOOKUP(A147,'ИПП 3кв25'!$B$23:$R$34,14,0),"")</f>
        <v>0</v>
      </c>
      <c r="C147" s="2205">
        <f>IFERROR(VLOOKUP(A147,'ИПП 3кв25'!$B$23:$R$34,15,0),"")</f>
        <v>0</v>
      </c>
      <c r="D147" s="2167">
        <f>SUMIFS(Июль2555[м2],Июль2555[ИМ],A147,Июль2555[№ дома],$C$137,Июль2555[Комнатность],"&lt;&gt;Офис")</f>
        <v>0</v>
      </c>
      <c r="E147" s="2180">
        <f>SUMIFS(Июль2555[Сумма без отделки],Июль2555[ИМ],$A147,Июль2555[№ дома],$C$137,Июль2555[Комнатность],"&lt;&gt;Офис")</f>
        <v>0</v>
      </c>
      <c r="F147" s="2169">
        <f>COUNTIFS(Июль2555[ИМ],$A147,Июль2555[№ дома],$C$137,Июль2555[Комнатность],"&lt;&gt;Офис")</f>
        <v>0</v>
      </c>
      <c r="G147" s="202">
        <f>SUMIFS(РД[S],РД[Дом],$C$137,РД[ИМ],A147,РД[Дата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H147" s="2244">
        <f>SUMIFS(РД[Стоимость без отделки итог],РД[Дом],$C$137,РД[ИМ],A147,РД[Дата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I147" s="226">
        <f>COUNTIFS(РД[Дом],$C$137,РД[ИМ],A147,РД[Дата подачи на регистрацию],"&lt;="&amp;$A$1,РД[Дата подачи на регистрацию],"&gt;="&amp;DATE(YEAR($A$1),MONTH($A$1),1),РД[Состояние],"Продажа")</f>
        <v>0</v>
      </c>
      <c r="J147" s="2247" t="str">
        <f t="shared" ref="J147:K148" si="27">IFERROR(G147/B147,"")</f>
        <v/>
      </c>
      <c r="K147" s="225" t="str">
        <f t="shared" si="27"/>
        <v/>
      </c>
      <c r="L147" s="134"/>
      <c r="P147" s="66"/>
    </row>
    <row r="148" spans="1:16" s="65" customFormat="1">
      <c r="A148" s="2181" t="s">
        <v>26</v>
      </c>
      <c r="B148" s="2168">
        <f>IFERROR(VLOOKUP(A148,'ИПП 3кв25'!$B$23:$R$34,14,0),"")</f>
        <v>0</v>
      </c>
      <c r="C148" s="2205">
        <f>IFERROR(VLOOKUP(A148,'ИПП 3кв25'!$B$23:$R$34,15,0),"")</f>
        <v>0</v>
      </c>
      <c r="D148" s="2167">
        <f>SUMIFS(Июль2555[м2],Июль2555[ИМ],A148,Июль2555[№ дома],$C$137,Июль2555[Комнатность],"&lt;&gt;Офис")</f>
        <v>0</v>
      </c>
      <c r="E148" s="2180">
        <f>SUMIFS(Июль2555[Сумма без отделки],Июль2555[ИМ],$A148,Июль2555[№ дома],$C$137,Июль2555[Комнатность],"&lt;&gt;Офис")</f>
        <v>0</v>
      </c>
      <c r="F148" s="2169">
        <f>COUNTIFS(Июль2555[ИМ],$A148,Июль2555[№ дома],$C$137,Июль2555[Комнатность],"&lt;&gt;Офис")</f>
        <v>0</v>
      </c>
      <c r="G148" s="202">
        <f>SUMIFS(РД[S],РД[Дом],$C$137,РД[ИМ],A148,РД[Дата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H148" s="2244">
        <f>SUMIFS(РД[Стоимость без отделки итог],РД[Дом],$C$137,РД[ИМ],A148,РД[Дата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I148" s="226">
        <f>COUNTIFS(РД[Дом],$C$137,РД[ИМ],A148,РД[Дата подачи на регистрацию],"&lt;="&amp;$A$1,РД[Дата подачи на регистрацию],"&gt;="&amp;DATE(YEAR($A$1),MONTH($A$1),1),РД[Состояние],"Продажа")</f>
        <v>0</v>
      </c>
      <c r="J148" s="2247" t="str">
        <f t="shared" si="27"/>
        <v/>
      </c>
      <c r="K148" s="225" t="str">
        <f t="shared" si="27"/>
        <v/>
      </c>
      <c r="L148" s="134"/>
      <c r="P148" s="66"/>
    </row>
    <row r="149" spans="1:16" s="65" customFormat="1" ht="13.5" thickBot="1">
      <c r="A149" s="2182" t="s">
        <v>114</v>
      </c>
      <c r="B149" s="2183">
        <f t="shared" ref="B149:I149" si="28">SUM(B147:B148)</f>
        <v>0</v>
      </c>
      <c r="C149" s="2206">
        <f t="shared" si="28"/>
        <v>0</v>
      </c>
      <c r="D149" s="2201">
        <f t="shared" si="28"/>
        <v>0</v>
      </c>
      <c r="E149" s="2183">
        <f t="shared" si="28"/>
        <v>0</v>
      </c>
      <c r="F149" s="2198">
        <f t="shared" si="28"/>
        <v>0</v>
      </c>
      <c r="G149" s="2209">
        <f t="shared" si="28"/>
        <v>0</v>
      </c>
      <c r="H149" s="2245">
        <f t="shared" si="28"/>
        <v>0</v>
      </c>
      <c r="I149" s="2185">
        <f t="shared" si="28"/>
        <v>0</v>
      </c>
      <c r="J149" s="2248">
        <f>IFERROR(G149/B149,)</f>
        <v>0</v>
      </c>
      <c r="K149" s="2186">
        <f>IFERROR(H149/C149,)</f>
        <v>0</v>
      </c>
      <c r="L149" s="134"/>
      <c r="P149" s="66"/>
    </row>
    <row r="150" spans="1:16" s="65" customFormat="1" ht="13.5" thickBot="1">
      <c r="A150" s="2125"/>
      <c r="B150" s="2166"/>
      <c r="C150" s="2166"/>
      <c r="D150" s="2166"/>
      <c r="E150" s="2166"/>
      <c r="F150" s="2166"/>
      <c r="G150" s="197"/>
      <c r="H150" s="197"/>
      <c r="I150" s="215"/>
      <c r="J150" s="2082"/>
      <c r="K150" s="256"/>
      <c r="L150" s="134"/>
      <c r="P150" s="66"/>
    </row>
    <row r="151" spans="1:16" s="65" customFormat="1" ht="13.5" thickBot="1">
      <c r="A151" s="2418" t="s">
        <v>713</v>
      </c>
      <c r="B151" s="2419"/>
      <c r="C151" s="2203" t="s">
        <v>718</v>
      </c>
      <c r="D151" s="2415" t="s">
        <v>11478</v>
      </c>
      <c r="E151" s="2416"/>
      <c r="F151" s="2417"/>
      <c r="G151" s="2412" t="s">
        <v>1889</v>
      </c>
      <c r="H151" s="2413"/>
      <c r="I151" s="2413"/>
      <c r="J151" s="2413"/>
      <c r="K151" s="2414"/>
      <c r="O151" s="66"/>
    </row>
    <row r="152" spans="1:16" s="65" customFormat="1">
      <c r="A152" s="2191" t="s">
        <v>1</v>
      </c>
      <c r="B152" s="2192" t="s">
        <v>100</v>
      </c>
      <c r="C152" s="2204" t="s">
        <v>97</v>
      </c>
      <c r="D152" s="2200" t="s">
        <v>53</v>
      </c>
      <c r="E152" s="2193" t="s">
        <v>11479</v>
      </c>
      <c r="F152" s="2197" t="s">
        <v>11480</v>
      </c>
      <c r="G152" s="2208" t="s">
        <v>53</v>
      </c>
      <c r="H152" s="2194" t="s">
        <v>11479</v>
      </c>
      <c r="I152" s="2194" t="s">
        <v>11480</v>
      </c>
      <c r="J152" s="2195" t="s">
        <v>11481</v>
      </c>
      <c r="K152" s="2196" t="s">
        <v>11482</v>
      </c>
      <c r="O152" s="66"/>
    </row>
    <row r="153" spans="1:16" s="65" customFormat="1">
      <c r="A153" s="2181" t="s">
        <v>28</v>
      </c>
      <c r="B153" s="2168">
        <f>IFERROR(VLOOKUP(A153,'ИПП 3кв25'!$B$23:$R$34,16,0),"")</f>
        <v>188</v>
      </c>
      <c r="C153" s="2205">
        <f>IFERROR(VLOOKUP(A153,'ИПП 3кв25'!$B$23:$R$34,17,0),"")</f>
        <v>24220951</v>
      </c>
      <c r="D153" s="2167">
        <f>SUMIFS(Июль2555[м2],Июль2555[КТУ],$A153,Июль2555[Комнатность],"&lt;&gt;Офис")</f>
        <v>144.44999999999999</v>
      </c>
      <c r="E153" s="2168">
        <f>SUMIFS(Июль2555[Сумма без отделки],Июль2555[КТУ],$A153,Июль2555[Комнатность],"&lt;&gt;Офис")</f>
        <v>18546887</v>
      </c>
      <c r="F153" s="2169">
        <f>COUNTIFS(Июль2555[КТУ],$A153,Июль2555[Комнатность],"&lt;&gt;Офис")</f>
        <v>3</v>
      </c>
      <c r="G153" s="202">
        <f>SUMIFS(РД[S],РД[МОП],A153,РД[Дата подачи на регистрацию],"&lt;="&amp;$A$1,РД[Дата подачи на регистрацию],"&gt;="&amp;DATE(YEAR($A$1),MONTH($A$1),1),РД[Состояние],"Продажа")</f>
        <v>60.1</v>
      </c>
      <c r="H153" s="2244">
        <f>SUMIFS(РД[Стоимость без отделки итог],РД[МОП],A153,РД[Дата подачи на регистрацию],"&lt;="&amp;$A$1,РД[Дата подачи на регистрацию],"&gt;="&amp;DATE(YEAR($A$1),MONTH($A$1),1),РД[Состояние],"Продажа")</f>
        <v>6884200</v>
      </c>
      <c r="I153" s="226">
        <f>COUNTIFS(РД[МОП],A153,РД[Дата подачи на регистрацию],"&lt;="&amp;$A$1,РД[Дата подачи на регистрацию],"&gt;="&amp;DATE(YEAR($A$1),MONTH($A$1),1),РД[Состояние],"Продажа")</f>
        <v>1</v>
      </c>
      <c r="J153" s="2247">
        <f t="shared" ref="J153:K159" si="29">IFERROR(G153/B153,"")</f>
        <v>0.31968085106382982</v>
      </c>
      <c r="K153" s="225">
        <f t="shared" si="29"/>
        <v>0.28422500834091941</v>
      </c>
      <c r="O153" s="66"/>
    </row>
    <row r="154" spans="1:16" s="65" customFormat="1">
      <c r="A154" s="2181" t="s">
        <v>8</v>
      </c>
      <c r="B154" s="2168">
        <f>IFERROR(VLOOKUP(A154,'ИПП 3кв25'!$B$23:$R$34,16,0),"")</f>
        <v>179</v>
      </c>
      <c r="C154" s="2205">
        <f>IFERROR(VLOOKUP(A154,'ИПП 3кв25'!$B$23:$R$34,17,0),"")</f>
        <v>22968145</v>
      </c>
      <c r="D154" s="2167">
        <f>SUMIFS(Июль2555[м2],Июль2555[КТУ],$A154,Июль2555[Комнатность],"&lt;&gt;Офис")</f>
        <v>234.05</v>
      </c>
      <c r="E154" s="2168">
        <f>SUMIFS(Июль2555[Сумма без отделки],Июль2555[КТУ],$A154,Июль2555[Комнатность],"&lt;&gt;Офис")</f>
        <v>28117471</v>
      </c>
      <c r="F154" s="2169">
        <f>COUNTIFS(Июль2555[КТУ],$A154,Июль2555[Комнатность],"&lt;&gt;Офис")</f>
        <v>5</v>
      </c>
      <c r="G154" s="202">
        <f>SUMIFS(РД[S],РД[МОП],A154,РД[Дата подачи на регистрацию],"&lt;="&amp;$A$1,РД[Дата подачи на регистрацию],"&gt;="&amp;DATE(YEAR($A$1),MONTH($A$1),1),РД[Состояние],"Продажа")</f>
        <v>235.5</v>
      </c>
      <c r="H154" s="2244">
        <f>SUMIFS(РД[Стоимость без отделки итог],РД[МОП],A154,РД[Дата подачи на регистрацию],"&lt;="&amp;$A$1,РД[Дата подачи на регистрацию],"&gt;="&amp;DATE(YEAR($A$1),MONTH($A$1),1),РД[Состояние],"Продажа")</f>
        <v>28081221</v>
      </c>
      <c r="I154" s="226">
        <f>COUNTIFS(РД[МОП],A154,РД[Дата подачи на регистрацию],"&lt;="&amp;$A$1,РД[Дата подачи на регистрацию],"&gt;="&amp;DATE(YEAR($A$1),MONTH($A$1),1),РД[Состояние],"Продажа")</f>
        <v>5</v>
      </c>
      <c r="J154" s="2247">
        <f t="shared" si="29"/>
        <v>1.3156424581005586</v>
      </c>
      <c r="K154" s="225">
        <f t="shared" si="29"/>
        <v>1.2226159752997032</v>
      </c>
      <c r="O154" s="66"/>
    </row>
    <row r="155" spans="1:16" s="65" customFormat="1">
      <c r="A155" s="2181" t="s">
        <v>20</v>
      </c>
      <c r="B155" s="2168">
        <f>IFERROR(VLOOKUP(A155,'ИПП 3кв25'!$B$23:$R$34,16,0),"")</f>
        <v>43</v>
      </c>
      <c r="C155" s="2205">
        <f>IFERROR(VLOOKUP(A155,'ИПП 3кв25'!$B$23:$R$34,17,0),"")</f>
        <v>5568035</v>
      </c>
      <c r="D155" s="2167">
        <f>SUMIFS(Июль2555[м2],Июль2555[КТУ],$A155,Июль2555[Комнатность],"&lt;&gt;Офис")</f>
        <v>60.15</v>
      </c>
      <c r="E155" s="2168">
        <f>SUMIFS(Июль2555[Сумма без отделки],Июль2555[КТУ],$A155,Июль2555[Комнатность],"&lt;&gt;Офис")</f>
        <v>7472500</v>
      </c>
      <c r="F155" s="2169">
        <f>COUNTIFS(Июль2555[КТУ],$A155,Июль2555[Комнатность],"&lt;&gt;Офис")</f>
        <v>1</v>
      </c>
      <c r="G155" s="202">
        <f>SUMIFS(РД[S],РД[МОП],A155,РД[Дата подачи на регистрацию],"&lt;="&amp;$A$1,РД[Дата подачи на регистрацию],"&gt;="&amp;DATE(YEAR($A$1),MONTH($A$1),1),РД[Состояние],"Продажа")</f>
        <v>60.15</v>
      </c>
      <c r="H155" s="2244">
        <f>SUMIFS(РД[Стоимость без отделки итог],РД[МОП],A155,РД[Дата подачи на регистрацию],"&lt;="&amp;$A$1,РД[Дата подачи на регистрацию],"&gt;="&amp;DATE(YEAR($A$1),MONTH($A$1),1),РД[Состояние],"Продажа")</f>
        <v>6871000</v>
      </c>
      <c r="I155" s="226">
        <f>COUNTIFS(РД[МОП],A155,РД[Дата подачи на регистрацию],"&lt;="&amp;$A$1,РД[Дата подачи на регистрацию],"&gt;="&amp;DATE(YEAR($A$1),MONTH($A$1),1),РД[Состояние],"Продажа")</f>
        <v>1</v>
      </c>
      <c r="J155" s="2247">
        <f t="shared" si="29"/>
        <v>1.3988372093023256</v>
      </c>
      <c r="K155" s="225">
        <f t="shared" si="29"/>
        <v>1.2340080477224011</v>
      </c>
      <c r="O155" s="66"/>
    </row>
    <row r="156" spans="1:16" s="65" customFormat="1">
      <c r="A156" s="2181" t="s">
        <v>24</v>
      </c>
      <c r="B156" s="2168">
        <f>IFERROR(VLOOKUP(A156,'ИПП 3кв25'!$B$23:$R$34,16,0),"")</f>
        <v>142</v>
      </c>
      <c r="C156" s="2205">
        <f>IFERROR(VLOOKUP(A156,'ИПП 3кв25'!$B$23:$R$34,17,0),"")</f>
        <v>18374516</v>
      </c>
      <c r="D156" s="2167">
        <f>SUMIFS(Июль2555[м2],Июль2555[КТУ],$A156,Июль2555[Комнатность],"&lt;&gt;Офис")</f>
        <v>152.45999999999998</v>
      </c>
      <c r="E156" s="2168">
        <f>SUMIFS(Июль2555[Сумма без отделки],Июль2555[КТУ],$A156,Июль2555[Комнатность],"&lt;&gt;Офис")</f>
        <v>20503766</v>
      </c>
      <c r="F156" s="2169">
        <f>COUNTIFS(Июль2555[КТУ],$A156,Июль2555[Комнатность],"&lt;&gt;Офис")</f>
        <v>3</v>
      </c>
      <c r="G156" s="202">
        <f>SUMIFS(РД[S],РД[МОП],A156,РД[Дата подачи на регистрацию],"&lt;="&amp;$A$1,РД[Дата подачи на регистрацию],"&gt;="&amp;DATE(YEAR($A$1),MONTH($A$1),1),РД[Состояние],"Продажа")</f>
        <v>102.39</v>
      </c>
      <c r="H156" s="2244">
        <f>SUMIFS(РД[Стоимость без отделки итог],РД[МОП],A156,РД[Дата подачи на регистрацию],"&lt;="&amp;$A$1,РД[Дата подачи на регистрацию],"&gt;="&amp;DATE(YEAR($A$1),MONTH($A$1),1),РД[Состояние],"Продажа")</f>
        <v>13029266</v>
      </c>
      <c r="I156" s="226">
        <f>COUNTIFS(РД[МОП],A156,РД[Дата подачи на регистрацию],"&lt;="&amp;$A$1,РД[Дата подачи на регистрацию],"&gt;="&amp;DATE(YEAR($A$1),MONTH($A$1),1),РД[Состояние],"Продажа")</f>
        <v>2</v>
      </c>
      <c r="J156" s="2247">
        <f t="shared" si="29"/>
        <v>0.72105633802816904</v>
      </c>
      <c r="K156" s="225">
        <f t="shared" si="29"/>
        <v>0.70909437832267252</v>
      </c>
      <c r="O156" s="66"/>
    </row>
    <row r="157" spans="1:16" s="65" customFormat="1">
      <c r="A157" s="2181" t="s">
        <v>14</v>
      </c>
      <c r="B157" s="2168">
        <f>IFERROR(VLOOKUP(A157,'ИПП 3кв25'!$B$23:$R$34,16,0),"")</f>
        <v>188</v>
      </c>
      <c r="C157" s="2205">
        <f>IFERROR(VLOOKUP(A157,'ИПП 3кв25'!$B$23:$R$34,17,0),"")</f>
        <v>24220951</v>
      </c>
      <c r="D157" s="2167">
        <f>SUMIFS(Июль2555[м2],Июль2555[КТУ],$A157,Июль2555[Комнатность],"&lt;&gt;Офис")</f>
        <v>49.39</v>
      </c>
      <c r="E157" s="2168">
        <f>SUMIFS(Июль2555[Сумма без отделки],Июль2555[КТУ],$A157,Июль2555[Комнатность],"&lt;&gt;Офис")</f>
        <v>6418216</v>
      </c>
      <c r="F157" s="2169">
        <f>COUNTIFS(Июль2555[КТУ],$A157,Июль2555[Комнатность],"&lt;&gt;Офис")</f>
        <v>2</v>
      </c>
      <c r="G157" s="202">
        <f>SUMIFS(РД[S],РД[МОП],A157,РД[Дата подачи на регистрацию],"&lt;="&amp;$A$1,РД[Дата подачи на регистрацию],"&gt;="&amp;DATE(YEAR($A$1),MONTH($A$1),1),РД[Состояние],"Продажа")</f>
        <v>49.39</v>
      </c>
      <c r="H157" s="2244">
        <f>SUMIFS(РД[Стоимость без отделки итог],РД[МОП],A157,РД[Дата подачи на регистрацию],"&lt;="&amp;$A$1,РД[Дата подачи на регистрацию],"&gt;="&amp;DATE(YEAR($A$1),MONTH($A$1),1),РД[Состояние],"Продажа")</f>
        <v>6418216</v>
      </c>
      <c r="I157" s="226">
        <f>COUNTIFS(РД[МОП],A157,РД[Дата подачи на регистрацию],"&lt;="&amp;$A$1,РД[Дата подачи на регистрацию],"&gt;="&amp;DATE(YEAR($A$1),MONTH($A$1),1),РД[Состояние],"Продажа")</f>
        <v>1</v>
      </c>
      <c r="J157" s="2247">
        <f t="shared" si="29"/>
        <v>0.2627127659574468</v>
      </c>
      <c r="K157" s="225">
        <f t="shared" si="29"/>
        <v>0.26498612709302782</v>
      </c>
      <c r="O157" s="66"/>
    </row>
    <row r="158" spans="1:16" s="65" customFormat="1">
      <c r="A158" s="2181" t="s">
        <v>1884</v>
      </c>
      <c r="B158" s="2168">
        <f>IFERROR(VLOOKUP(A158,'ИПП 3кв25'!$B$23:$R$34,16,0),"")</f>
        <v>182</v>
      </c>
      <c r="C158" s="2205">
        <f>IFERROR(VLOOKUP(A158,'ИПП 3кв25'!$B$23:$R$34,17,0),"")</f>
        <v>23385748</v>
      </c>
      <c r="D158" s="2167">
        <f>SUMIFS(Июль2555[м2],Июль2555[КТУ],$A158,Июль2555[Комнатность],"&lt;&gt;Офис")</f>
        <v>56.4</v>
      </c>
      <c r="E158" s="2168">
        <f>SUMIFS(Июль2555[Сумма без отделки],Июль2555[КТУ],$A158,Июль2555[Комнатность],"&lt;&gt;Офис")</f>
        <v>6788300</v>
      </c>
      <c r="F158" s="2169">
        <f>COUNTIFS(Июль2555[КТУ],$A158,Июль2555[Комнатность],"&lt;&gt;Офис")</f>
        <v>1</v>
      </c>
      <c r="G158" s="202">
        <f>SUMIFS(РД[S],РД[МОП],A158,РД[Дата подачи на регистрацию],"&lt;="&amp;$A$1,РД[Дата подачи на регистрацию],"&gt;="&amp;DATE(YEAR($A$1),MONTH($A$1),1),РД[Состояние],"Продажа")</f>
        <v>0</v>
      </c>
      <c r="H158" s="2244">
        <f>SUMIFS(РД[Стоимость без отделки итог],РД[МОП],A158,РД[Дата подачи на регистрацию],"&lt;="&amp;$A$1,РД[Дата подачи на регистрацию],"&gt;="&amp;DATE(YEAR($A$1),MONTH($A$1),1),РД[Состояние],"Продажа")</f>
        <v>0</v>
      </c>
      <c r="I158" s="226">
        <f>COUNTIFS(РД[МОП],A158,РД[Дата подачи на регистрацию],"&lt;="&amp;$A$1,РД[Дата подачи на регистрацию],"&gt;="&amp;DATE(YEAR($A$1),MONTH($A$1),1),РД[Состояние],"Продажа")</f>
        <v>0</v>
      </c>
      <c r="J158" s="2247">
        <f t="shared" si="29"/>
        <v>0</v>
      </c>
      <c r="K158" s="225">
        <f t="shared" si="29"/>
        <v>0</v>
      </c>
      <c r="L158" s="86"/>
      <c r="M158" s="86"/>
      <c r="N158" s="86"/>
      <c r="O158" s="66"/>
    </row>
    <row r="159" spans="1:16" s="65" customFormat="1" ht="13.5" thickBot="1">
      <c r="A159" s="2182" t="s">
        <v>114</v>
      </c>
      <c r="B159" s="2183">
        <f t="shared" ref="B159:I159" si="30">SUM(B153:B158)</f>
        <v>922</v>
      </c>
      <c r="C159" s="2206">
        <f t="shared" si="30"/>
        <v>118738346</v>
      </c>
      <c r="D159" s="2201">
        <f t="shared" si="30"/>
        <v>696.89999999999986</v>
      </c>
      <c r="E159" s="2183">
        <f t="shared" si="30"/>
        <v>87847140</v>
      </c>
      <c r="F159" s="2198">
        <f t="shared" si="30"/>
        <v>15</v>
      </c>
      <c r="G159" s="2209">
        <f t="shared" si="30"/>
        <v>507.53</v>
      </c>
      <c r="H159" s="2245">
        <f t="shared" si="30"/>
        <v>61283903</v>
      </c>
      <c r="I159" s="2185">
        <f t="shared" si="30"/>
        <v>10</v>
      </c>
      <c r="J159" s="2248">
        <f t="shared" si="29"/>
        <v>0.55046637744034699</v>
      </c>
      <c r="K159" s="2186">
        <f t="shared" si="29"/>
        <v>0.51612562465709266</v>
      </c>
      <c r="O159" s="66"/>
    </row>
    <row r="160" spans="1:16" s="65" customFormat="1">
      <c r="A160" s="2187" t="s">
        <v>115</v>
      </c>
      <c r="B160" s="2188" t="s">
        <v>100</v>
      </c>
      <c r="C160" s="2207" t="s">
        <v>97</v>
      </c>
      <c r="D160" s="2202" t="s">
        <v>53</v>
      </c>
      <c r="E160" s="2189" t="s">
        <v>11479</v>
      </c>
      <c r="F160" s="2199" t="s">
        <v>11480</v>
      </c>
      <c r="G160" s="1358" t="s">
        <v>53</v>
      </c>
      <c r="H160" s="2246" t="s">
        <v>11479</v>
      </c>
      <c r="I160" s="1361" t="s">
        <v>11480</v>
      </c>
      <c r="J160" s="2249" t="s">
        <v>11481</v>
      </c>
      <c r="K160" s="2190" t="s">
        <v>11482</v>
      </c>
      <c r="O160" s="66"/>
    </row>
    <row r="161" spans="1:21" s="65" customFormat="1">
      <c r="A161" s="2181" t="s">
        <v>22</v>
      </c>
      <c r="B161" s="2168">
        <f>IFERROR(VLOOKUP(A161,'ИПП 3кв25'!$B$23:$R$34,16,0),"")</f>
        <v>299.64999999999998</v>
      </c>
      <c r="C161" s="2205">
        <f>IFERROR(VLOOKUP(A161,'ИПП 3кв25'!$B$23:$R$34,17,0),"")</f>
        <v>38589962.449999996</v>
      </c>
      <c r="D161" s="2167">
        <f>SUMIFS(Июль2555[м2],Июль2555[ИМ],A161,Июль2555[Комнатность],"&lt;&gt;Офис")</f>
        <v>457.41999999999996</v>
      </c>
      <c r="E161" s="2180">
        <f>SUMIFS(Июль2555[Сумма без отделки],Июль2555[ИМ],$A161,Июль2555[Комнатность],"&lt;&gt;Офис")</f>
        <v>57670720</v>
      </c>
      <c r="F161" s="2169">
        <f>COUNTIFS(Июль2555[ИМ],A161,Июль2555[Комнатность],"&lt;&gt;Офис")</f>
        <v>9</v>
      </c>
      <c r="G161" s="202">
        <f>SUMIFS(РД[S],РД[ИМ],A161,РД[Дата подачи на регистрацию],"&lt;="&amp;$A$1,РД[Дата подачи на регистрацию],"&gt;="&amp;DATE(YEAR($A$1),MONTH($A$1),1),РД[Состояние],"Продажа")</f>
        <v>317.88</v>
      </c>
      <c r="H161" s="2244">
        <f>SUMIFS(РД[Стоимость без отделки итог],РД[ИМ],A161,РД[Дата подачи на регистрацию],"&lt;="&amp;$A$1,РД[Дата подачи на регистрацию],"&gt;="&amp;DATE(YEAR($A$1),MONTH($A$1),1),РД[Состояние],"Продажа")</f>
        <v>38581983</v>
      </c>
      <c r="I161" s="226">
        <f>COUNTIFS(РД[ИМ],A161,РД[Дата подачи на регистрацию],"&lt;="&amp;$A$1,РД[Дата подачи на регистрацию],"&gt;="&amp;DATE(YEAR($A$1),MONTH($A$1),1),РД[Состояние],"Продажа")</f>
        <v>6</v>
      </c>
      <c r="J161" s="2247">
        <f t="shared" ref="J161:K163" si="31">IFERROR(G161/B161,"")</f>
        <v>1.0608376439179044</v>
      </c>
      <c r="K161" s="225">
        <f t="shared" si="31"/>
        <v>0.9997932247275354</v>
      </c>
      <c r="L161" s="66"/>
      <c r="M161" s="66"/>
      <c r="N161" s="66"/>
      <c r="O161" s="66"/>
    </row>
    <row r="162" spans="1:21" s="65" customFormat="1">
      <c r="A162" s="2181" t="s">
        <v>26</v>
      </c>
      <c r="B162" s="2168">
        <f>IFERROR(VLOOKUP(A162,'ИПП 3кв25'!$B$23:$R$34,16,0),"")</f>
        <v>299.64999999999998</v>
      </c>
      <c r="C162" s="2205">
        <f>IFERROR(VLOOKUP(A162,'ИПП 3кв25'!$B$23:$R$34,17,0),"")</f>
        <v>38589962.449999996</v>
      </c>
      <c r="D162" s="2167">
        <f>SUMIFS(Июль2555[м2],Июль2555[ИМ],A162,Июль2555[Комнатность],"&lt;&gt;Офис")</f>
        <v>160.35</v>
      </c>
      <c r="E162" s="2180">
        <f>SUMIFS(Июль2555[Сумма без отделки],Июль2555[ИМ],$A162,Июль2555[Комнатность],"&lt;&gt;Офис")</f>
        <v>18873820</v>
      </c>
      <c r="F162" s="2169">
        <f>COUNTIFS(Июль2555[ИМ],$A162,Июль2555[Комнатность],"&lt;&gt;Офис")</f>
        <v>3</v>
      </c>
      <c r="G162" s="202">
        <f>SUMIFS(РД[S],РД[ИМ],A162,РД[Дата подачи на регистрацию],"&lt;="&amp;$A$1,РД[Дата подачи на регистрацию],"&gt;="&amp;DATE(YEAR($A$1),MONTH($A$1),1),РД[Состояние],"Продажа")</f>
        <v>118</v>
      </c>
      <c r="H162" s="2244">
        <f>SUMIFS(РД[Стоимость без отделки итог],РД[ИМ],A162,РД[Дата подачи на регистрацию],"&lt;="&amp;$A$1,РД[Дата подачи на регистрацию],"&gt;="&amp;DATE(YEAR($A$1),MONTH($A$1),1),РД[Состояние],"Продажа")</f>
        <v>13593420</v>
      </c>
      <c r="I162" s="226">
        <f>COUNTIFS(РД[ИМ],A162,РД[Дата подачи на регистрацию],"&lt;="&amp;$A$1,РД[Дата подачи на регистрацию],"&gt;="&amp;DATE(YEAR($A$1),MONTH($A$1),1),РД[Состояние],"Продажа")</f>
        <v>2</v>
      </c>
      <c r="J162" s="2247">
        <f t="shared" si="31"/>
        <v>0.39379275821792092</v>
      </c>
      <c r="K162" s="225">
        <f t="shared" si="31"/>
        <v>0.35225273975357291</v>
      </c>
      <c r="L162" s="66"/>
      <c r="M162" s="66"/>
      <c r="N162" s="66"/>
      <c r="O162" s="66"/>
    </row>
    <row r="163" spans="1:21" s="65" customFormat="1" ht="13.5" thickBot="1">
      <c r="A163" s="2182" t="s">
        <v>114</v>
      </c>
      <c r="B163" s="2183">
        <f t="shared" ref="B163:I163" si="32">SUM(B161:B162)</f>
        <v>599.29999999999995</v>
      </c>
      <c r="C163" s="2206">
        <f t="shared" si="32"/>
        <v>77179924.899999991</v>
      </c>
      <c r="D163" s="2201">
        <f t="shared" si="32"/>
        <v>617.77</v>
      </c>
      <c r="E163" s="2183">
        <f t="shared" si="32"/>
        <v>76544540</v>
      </c>
      <c r="F163" s="2198">
        <f t="shared" si="32"/>
        <v>12</v>
      </c>
      <c r="G163" s="2209">
        <f t="shared" si="32"/>
        <v>435.88</v>
      </c>
      <c r="H163" s="2245">
        <f t="shared" si="32"/>
        <v>52175403</v>
      </c>
      <c r="I163" s="2185">
        <f t="shared" si="32"/>
        <v>8</v>
      </c>
      <c r="J163" s="2248">
        <f t="shared" si="31"/>
        <v>0.72731520106791259</v>
      </c>
      <c r="K163" s="2186">
        <f t="shared" si="31"/>
        <v>0.67602298224055424</v>
      </c>
      <c r="L163" s="66"/>
      <c r="M163" s="66"/>
      <c r="N163" s="66"/>
      <c r="O163" s="66"/>
    </row>
    <row r="164" spans="1:21" s="65" customFormat="1" ht="13.5" thickBot="1">
      <c r="A164" s="134"/>
      <c r="B164" s="44"/>
      <c r="C164" s="44"/>
      <c r="D164" s="134"/>
      <c r="E164" s="134"/>
      <c r="F164" s="44"/>
      <c r="G164" s="134"/>
      <c r="H164" s="134"/>
      <c r="I164" s="134"/>
      <c r="J164" s="2072"/>
      <c r="K164" s="255"/>
      <c r="L164" s="256"/>
      <c r="M164" s="134"/>
      <c r="N164" s="134"/>
      <c r="O164" s="134"/>
      <c r="P164" s="134"/>
      <c r="Q164" s="134"/>
      <c r="T164" s="66"/>
      <c r="U164" s="66"/>
    </row>
    <row r="165" spans="1:21" s="65" customFormat="1" ht="15.75" thickBot="1">
      <c r="A165" s="2314" t="s">
        <v>1368</v>
      </c>
      <c r="B165" s="2315"/>
      <c r="C165" s="2315"/>
      <c r="D165" s="2315"/>
      <c r="E165" s="2315"/>
      <c r="F165" s="2315"/>
      <c r="G165" s="2315"/>
      <c r="H165" s="2315"/>
      <c r="I165" s="2315"/>
      <c r="J165" s="2315"/>
      <c r="K165" s="2316"/>
      <c r="L165" s="66"/>
      <c r="O165" s="66"/>
      <c r="P165" s="66"/>
    </row>
    <row r="166" spans="1:21" s="65" customFormat="1">
      <c r="A166" s="2191" t="s">
        <v>1</v>
      </c>
      <c r="B166" s="2192" t="s">
        <v>100</v>
      </c>
      <c r="C166" s="2204" t="s">
        <v>97</v>
      </c>
      <c r="D166" s="2200" t="s">
        <v>53</v>
      </c>
      <c r="E166" s="2193" t="s">
        <v>11479</v>
      </c>
      <c r="F166" s="2197" t="s">
        <v>11480</v>
      </c>
      <c r="G166" s="2208" t="s">
        <v>53</v>
      </c>
      <c r="H166" s="2194" t="s">
        <v>11479</v>
      </c>
      <c r="I166" s="2194" t="s">
        <v>11480</v>
      </c>
      <c r="J166" s="2195" t="s">
        <v>11481</v>
      </c>
      <c r="K166" s="2196" t="s">
        <v>11482</v>
      </c>
      <c r="L166" s="66"/>
      <c r="O166" s="66"/>
      <c r="P166" s="66"/>
    </row>
    <row r="167" spans="1:21" s="65" customFormat="1">
      <c r="A167" s="2181" t="s">
        <v>28</v>
      </c>
      <c r="B167" s="2168"/>
      <c r="C167" s="2205"/>
      <c r="D167" s="2167">
        <f>SUMIFS(Июль2555[м2],Июль2555[КТУ],A167,Июль2555[Комнатность],"Офис")</f>
        <v>0</v>
      </c>
      <c r="E167" s="2168">
        <f>SUMIFS(Июль2555[Сумма без отделки],Июль2555[КТУ],$A167,Июль2555[Комнатность],"оФИС")</f>
        <v>0</v>
      </c>
      <c r="F167" s="2169">
        <f>COUNTIFS(Июль2555[КТУ],$A167,Июль2555[Комнатность],"Офис")</f>
        <v>0</v>
      </c>
      <c r="G167" s="202">
        <f>SUMIFS(РД[S],РД[МОП],A167,РД[Дата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H167" s="2244">
        <f>SUMIFS(РД[Стоимость без отделки итог],РД[МОП],A167,РД[Дата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I167" s="226">
        <f>COUNTIFS(РД[МОП],A167,РД[Дата подачи на регистрацию],"&lt;="&amp;$A$1,РД[Дата подачи на регистрацию],"&gt;="&amp;DATE(YEAR($A$1),MONTH($A$1),1),РД[Состояние],"Коммерция")</f>
        <v>0</v>
      </c>
      <c r="J167" s="2247" t="str">
        <f t="shared" ref="J167:K172" si="33">IFERROR(G167/B167,"")</f>
        <v/>
      </c>
      <c r="K167" s="225" t="str">
        <f t="shared" si="33"/>
        <v/>
      </c>
      <c r="L167" s="66"/>
      <c r="O167" s="66"/>
      <c r="P167" s="66"/>
    </row>
    <row r="168" spans="1:21" s="65" customFormat="1">
      <c r="A168" s="2181" t="s">
        <v>8</v>
      </c>
      <c r="B168" s="2168"/>
      <c r="C168" s="2205"/>
      <c r="D168" s="2167">
        <f>SUMIFS(Июль2555[м2],Июль2555[КТУ],A168,Июль2555[Комнатность],"Офис")</f>
        <v>0</v>
      </c>
      <c r="E168" s="2168">
        <f>SUMIFS(Июль2555[Сумма без отделки],Июль2555[КТУ],$A168,Июль2555[Комнатность],"оФИС")</f>
        <v>0</v>
      </c>
      <c r="F168" s="2169">
        <f>COUNTIFS(Июль2555[КТУ],$A168,Июль2555[Комнатность],"Офис")</f>
        <v>0</v>
      </c>
      <c r="G168" s="202">
        <f>SUMIFS(РД[S],РД[МОП],A168,РД[Дата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H168" s="2244">
        <f>SUMIFS(РД[Стоимость без отделки итог],РД[МОП],A168,РД[Дата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I168" s="226">
        <f>COUNTIFS(РД[МОП],A168,РД[Дата подачи на регистрацию],"&lt;="&amp;$A$1,РД[Дата подачи на регистрацию],"&gt;="&amp;DATE(YEAR($A$1),MONTH($A$1),1),РД[Состояние],"Коммерция")</f>
        <v>0</v>
      </c>
      <c r="J168" s="2247" t="str">
        <f t="shared" si="33"/>
        <v/>
      </c>
      <c r="K168" s="225" t="str">
        <f t="shared" si="33"/>
        <v/>
      </c>
      <c r="O168" s="66"/>
      <c r="P168" s="66"/>
    </row>
    <row r="169" spans="1:21" s="65" customFormat="1">
      <c r="A169" s="2181" t="s">
        <v>20</v>
      </c>
      <c r="B169" s="2168"/>
      <c r="C169" s="2205"/>
      <c r="D169" s="2167">
        <f>SUMIFS(Июль2555[м2],Июль2555[КТУ],A169,Июль2555[Комнатность],"Офис")</f>
        <v>95.86</v>
      </c>
      <c r="E169" s="2168">
        <f>SUMIFS(Июль2555[Сумма без отделки],Июль2555[КТУ],$A169,Июль2555[Комнатность],"оФИС")</f>
        <v>12394000</v>
      </c>
      <c r="F169" s="2169">
        <f>COUNTIFS(Июль2555[КТУ],$A169,Июль2555[Комнатность],"Офис")</f>
        <v>2</v>
      </c>
      <c r="G169" s="202">
        <f>SUMIFS(РД[S],РД[МОП],A169,РД[Дата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H169" s="2244">
        <f>SUMIFS(РД[Стоимость без отделки итог],РД[МОП],A169,РД[Дата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I169" s="226">
        <f>COUNTIFS(РД[МОП],A169,РД[Дата подачи на регистрацию],"&lt;="&amp;$A$1,РД[Дата подачи на регистрацию],"&gt;="&amp;DATE(YEAR($A$1),MONTH($A$1),1),РД[Состояние],"Коммерция")</f>
        <v>0</v>
      </c>
      <c r="J169" s="2247" t="str">
        <f t="shared" si="33"/>
        <v/>
      </c>
      <c r="K169" s="225" t="str">
        <f t="shared" si="33"/>
        <v/>
      </c>
      <c r="O169" s="66"/>
      <c r="P169" s="66"/>
    </row>
    <row r="170" spans="1:21" s="65" customFormat="1">
      <c r="A170" s="2181" t="s">
        <v>24</v>
      </c>
      <c r="B170" s="2168"/>
      <c r="C170" s="2205"/>
      <c r="D170" s="2167">
        <f>SUMIFS(Июль2555[м2],Июль2555[КТУ],A170,Июль2555[Комнатность],"Офис")</f>
        <v>0</v>
      </c>
      <c r="E170" s="2168">
        <f>SUMIFS(Июль2555[Сумма без отделки],Июль2555[КТУ],$A170,Июль2555[Комнатность],"оФИС")</f>
        <v>0</v>
      </c>
      <c r="F170" s="2169">
        <f>COUNTIFS(Июль2555[КТУ],$A170,Июль2555[Комнатность],"Офис")</f>
        <v>0</v>
      </c>
      <c r="G170" s="202">
        <f>SUMIFS(РД[S],РД[МОП],A170,РД[Дата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H170" s="2244">
        <f>SUMIFS(РД[Стоимость без отделки итог],РД[МОП],A170,РД[Дата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I170" s="226">
        <f>COUNTIFS(РД[МОП],A170,РД[Дата подачи на регистрацию],"&lt;="&amp;$A$1,РД[Дата подачи на регистрацию],"&gt;="&amp;DATE(YEAR($A$1),MONTH($A$1),1),РД[Состояние],"Коммерция")</f>
        <v>0</v>
      </c>
      <c r="J170" s="2247" t="str">
        <f t="shared" si="33"/>
        <v/>
      </c>
      <c r="K170" s="225" t="str">
        <f t="shared" si="33"/>
        <v/>
      </c>
      <c r="O170" s="66"/>
      <c r="P170" s="66"/>
    </row>
    <row r="171" spans="1:21" s="65" customFormat="1">
      <c r="A171" s="2181" t="s">
        <v>14</v>
      </c>
      <c r="B171" s="2168"/>
      <c r="C171" s="2205"/>
      <c r="D171" s="2167">
        <f>SUMIFS(Июль2555[м2],Июль2555[КТУ],A171,Июль2555[Комнатность],"Офис")</f>
        <v>88.58</v>
      </c>
      <c r="E171" s="2168">
        <f>SUMIFS(Июль2555[Сумма без отделки],Июль2555[КТУ],$A171,Июль2555[Комнатность],"оФИС")</f>
        <v>13287000</v>
      </c>
      <c r="F171" s="2169">
        <f>COUNTIFS(Июль2555[КТУ],$A171,Июль2555[Комнатность],"Офис")</f>
        <v>1</v>
      </c>
      <c r="G171" s="202">
        <f>SUMIFS(РД[S],РД[МОП],A171,РД[Дата подачи на регистрацию],"&lt;="&amp;$A$1,РД[Дата подачи на регистрацию],"&gt;="&amp;DATE(YEAR($A$1),MONTH($A$1),1),РД[Состояние],"Коммерция")</f>
        <v>88.58</v>
      </c>
      <c r="H171" s="2244">
        <f>SUMIFS(РД[Стоимость без отделки итог],РД[МОП],A171,РД[Дата подачи на регистрацию],"&lt;="&amp;$A$1,РД[Дата подачи на регистрацию],"&gt;="&amp;DATE(YEAR($A$1),MONTH($A$1),1),РД[Состояние],"Коммерция")</f>
        <v>13287000</v>
      </c>
      <c r="I171" s="226">
        <f>COUNTIFS(РД[МОП],A171,РД[Дата подачи на регистрацию],"&lt;="&amp;$A$1,РД[Дата подачи на регистрацию],"&gt;="&amp;DATE(YEAR($A$1),MONTH($A$1),1),РД[Состояние],"Коммерция")</f>
        <v>1</v>
      </c>
      <c r="J171" s="2247" t="str">
        <f t="shared" si="33"/>
        <v/>
      </c>
      <c r="K171" s="225" t="str">
        <f t="shared" si="33"/>
        <v/>
      </c>
      <c r="O171" s="66"/>
      <c r="P171" s="66"/>
    </row>
    <row r="172" spans="1:21" s="65" customFormat="1">
      <c r="A172" s="2181" t="s">
        <v>1884</v>
      </c>
      <c r="B172" s="2168"/>
      <c r="C172" s="2205"/>
      <c r="D172" s="2167">
        <f>SUMIFS(Июль2555[м2],Июль2555[КТУ],A172,Июль2555[Комнатность],"Офис")</f>
        <v>0</v>
      </c>
      <c r="E172" s="2168">
        <f>SUMIFS(Июль2555[Сумма без отделки],Июль2555[КТУ],$A172,Июль2555[Комнатность],"оФИС")</f>
        <v>0</v>
      </c>
      <c r="F172" s="2169">
        <f>COUNTIFS(Июль2555[КТУ],$A172,Июль2555[Комнатность],"Офис")</f>
        <v>0</v>
      </c>
      <c r="G172" s="202">
        <f>SUMIFS(РД[S],РД[МОП],A172,РД[Дата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H172" s="2244">
        <f>SUMIFS(РД[Стоимость без отделки итог],РД[МОП],A172,РД[Дата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I172" s="226">
        <f>COUNTIFS(РД[МОП],A172,РД[Дата подачи на регистрацию],"&lt;="&amp;$A$1,РД[Дата подачи на регистрацию],"&gt;="&amp;DATE(YEAR($A$1),MONTH($A$1),1),РД[Состояние],"Коммерция")</f>
        <v>0</v>
      </c>
      <c r="J172" s="2247" t="str">
        <f t="shared" si="33"/>
        <v/>
      </c>
      <c r="K172" s="225" t="str">
        <f t="shared" si="33"/>
        <v/>
      </c>
      <c r="O172" s="66"/>
      <c r="P172" s="66"/>
    </row>
    <row r="173" spans="1:21" s="65" customFormat="1" ht="13.5" thickBot="1">
      <c r="A173" s="2182" t="s">
        <v>114</v>
      </c>
      <c r="B173" s="2183">
        <f t="shared" ref="B173:K173" si="34">SUM(B167:B172)</f>
        <v>0</v>
      </c>
      <c r="C173" s="2206">
        <f t="shared" si="34"/>
        <v>0</v>
      </c>
      <c r="D173" s="2201">
        <f t="shared" si="34"/>
        <v>184.44</v>
      </c>
      <c r="E173" s="2183">
        <f t="shared" si="34"/>
        <v>25681000</v>
      </c>
      <c r="F173" s="2198">
        <f t="shared" si="34"/>
        <v>3</v>
      </c>
      <c r="G173" s="2209">
        <f t="shared" si="34"/>
        <v>88.58</v>
      </c>
      <c r="H173" s="2245">
        <f t="shared" si="34"/>
        <v>13287000</v>
      </c>
      <c r="I173" s="2185">
        <f t="shared" si="34"/>
        <v>1</v>
      </c>
      <c r="J173" s="2248">
        <f t="shared" si="34"/>
        <v>0</v>
      </c>
      <c r="K173" s="2186">
        <f t="shared" si="34"/>
        <v>0</v>
      </c>
      <c r="O173" s="66"/>
      <c r="P173" s="66"/>
    </row>
    <row r="174" spans="1:21" s="65" customFormat="1">
      <c r="A174" s="2187" t="s">
        <v>115</v>
      </c>
      <c r="B174" s="2188" t="s">
        <v>100</v>
      </c>
      <c r="C174" s="2207" t="s">
        <v>97</v>
      </c>
      <c r="D174" s="2202" t="s">
        <v>53</v>
      </c>
      <c r="E174" s="2189" t="s">
        <v>11479</v>
      </c>
      <c r="F174" s="2199" t="s">
        <v>11480</v>
      </c>
      <c r="G174" s="1358" t="s">
        <v>53</v>
      </c>
      <c r="H174" s="2246" t="s">
        <v>11479</v>
      </c>
      <c r="I174" s="1361" t="s">
        <v>11480</v>
      </c>
      <c r="J174" s="2249" t="s">
        <v>11481</v>
      </c>
      <c r="K174" s="2190" t="s">
        <v>11482</v>
      </c>
      <c r="P174" s="66"/>
    </row>
    <row r="175" spans="1:21" s="65" customFormat="1">
      <c r="A175" s="2181" t="s">
        <v>22</v>
      </c>
      <c r="B175" s="2168"/>
      <c r="C175" s="2205"/>
      <c r="D175" s="2167">
        <f>SUMIFS(Июль2555[м2],Июль2555[ИМ],A175,Июль2555[Комнатность],"Офис")</f>
        <v>0</v>
      </c>
      <c r="E175" s="2180">
        <f>SUMIFS(Июль2555[Сумма без отделки],Июль2555[ИМ],$A175,Июль2555[Комнатность],"оФИС")</f>
        <v>0</v>
      </c>
      <c r="F175" s="2169">
        <f>COUNTIFS(Июль2555[ИМ],$A175,Июль2555[Комнатность],"Офис")</f>
        <v>0</v>
      </c>
      <c r="G175" s="202">
        <f>SUMIFS(РД[S],РД[ИМ],A175,РД[Дата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H175" s="2244">
        <f>SUMIFS(РД[Стоимость без отделки итог],РД[ИМ],A175,РД[Дата подачи на регистрацию],"&lt;="&amp;$A$1,РД[Дата подачи на регистрацию],"&gt;="&amp;DATE(YEAR($A$1),MONTH($A$1),1),РД[Состояние],"Коммерция")</f>
        <v>0</v>
      </c>
      <c r="I175" s="226">
        <f>COUNTIFS(РД[ИМ],A175,РД[Дата подачи на регистрацию],"&lt;="&amp;$A$1,РД[Дата подачи на регистрацию],"&gt;="&amp;DATE(YEAR($A$1),MONTH($A$1),1),РД[Состояние],"Коммерция")</f>
        <v>0</v>
      </c>
      <c r="J175" s="2247" t="str">
        <f t="shared" ref="J175:K177" si="35">IFERROR(G175/B175,"")</f>
        <v/>
      </c>
      <c r="K175" s="225" t="str">
        <f t="shared" si="35"/>
        <v/>
      </c>
      <c r="P175" s="66"/>
    </row>
    <row r="176" spans="1:21" s="65" customFormat="1">
      <c r="A176" s="2181" t="s">
        <v>26</v>
      </c>
      <c r="B176" s="2168"/>
      <c r="C176" s="2205"/>
      <c r="D176" s="2167">
        <f>SUMIFS(Июль2555[м2],Июль2555[ИМ],A176,Июль2555[Комнатность],"Офис")</f>
        <v>0</v>
      </c>
      <c r="E176" s="2180">
        <f>SUMIFS(Июль2555[Сумма без отделки],Июль2555[ИМ],$A176,Июль2555[Комнатность],"оФИС")</f>
        <v>0</v>
      </c>
      <c r="F176" s="2169">
        <f>COUNTIFS(Июль2555[ИМ],$A176,Июль2555[Комнатность],"Офис")</f>
        <v>0</v>
      </c>
      <c r="G176" s="202">
        <f>SUMIFS(РД[S],РД[ИМ],A176,РД[Дата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H176" s="2244">
        <f>SUMIFS(РД[Стоимость без отделки итог],РД[ИМ],A176,РД[Дата подачи на регистрацию],"&lt;="&amp;$A$1,РД[Дата подачи на регистрацию],"&gt;="&amp;DATE(YEAR($A$1),MONTH($A$1),1),РД[Состояние],"Коммерция")</f>
        <v>0</v>
      </c>
      <c r="I176" s="226">
        <f>COUNTIFS(РД[ИМ],A176,РД[Дата подачи на регистрацию],"&lt;="&amp;$A$1,РД[Дата подачи на регистрацию],"&gt;="&amp;DATE(YEAR($A$1),MONTH($A$1),1),РД[Состояние],"Коммерция")</f>
        <v>0</v>
      </c>
      <c r="J176" s="2247" t="str">
        <f t="shared" si="35"/>
        <v/>
      </c>
      <c r="K176" s="225" t="str">
        <f t="shared" si="35"/>
        <v/>
      </c>
      <c r="P176" s="66"/>
    </row>
    <row r="177" spans="1:21" s="65" customFormat="1" ht="13.5" thickBot="1">
      <c r="A177" s="2182" t="s">
        <v>114</v>
      </c>
      <c r="B177" s="2183">
        <f t="shared" ref="B177:I177" si="36">SUM(B175:B176)</f>
        <v>0</v>
      </c>
      <c r="C177" s="2206">
        <f t="shared" si="36"/>
        <v>0</v>
      </c>
      <c r="D177" s="2201">
        <f t="shared" si="36"/>
        <v>0</v>
      </c>
      <c r="E177" s="2183">
        <f t="shared" si="36"/>
        <v>0</v>
      </c>
      <c r="F177" s="2198">
        <f t="shared" si="36"/>
        <v>0</v>
      </c>
      <c r="G177" s="2209">
        <f t="shared" si="36"/>
        <v>0</v>
      </c>
      <c r="H177" s="2245">
        <f t="shared" si="36"/>
        <v>0</v>
      </c>
      <c r="I177" s="2185">
        <f t="shared" si="36"/>
        <v>0</v>
      </c>
      <c r="J177" s="2248" t="str">
        <f t="shared" si="35"/>
        <v/>
      </c>
      <c r="K177" s="2186" t="str">
        <f t="shared" si="35"/>
        <v/>
      </c>
      <c r="P177" s="66"/>
    </row>
    <row r="178" spans="1:21" s="65" customFormat="1" ht="13.5" thickBot="1">
      <c r="A178" s="134"/>
      <c r="B178" s="44"/>
      <c r="C178" s="44"/>
      <c r="D178" s="134"/>
      <c r="E178" s="134"/>
      <c r="F178" s="44"/>
      <c r="G178" s="134"/>
      <c r="H178" s="134"/>
      <c r="I178" s="134"/>
      <c r="J178" s="2072"/>
      <c r="K178" s="255"/>
      <c r="L178" s="256"/>
      <c r="M178" s="134"/>
      <c r="N178" s="134"/>
      <c r="O178" s="134"/>
      <c r="P178" s="134"/>
      <c r="Q178" s="72"/>
      <c r="U178" s="66"/>
    </row>
    <row r="179" spans="1:21" s="65" customFormat="1" ht="15.75" thickBot="1">
      <c r="A179" s="2409" t="s">
        <v>945</v>
      </c>
      <c r="B179" s="2410"/>
      <c r="C179" s="2410"/>
      <c r="D179" s="2410"/>
      <c r="E179" s="2410"/>
      <c r="F179" s="2411"/>
      <c r="G179" s="339"/>
      <c r="H179" s="339"/>
      <c r="I179" s="86"/>
      <c r="M179" s="66"/>
    </row>
    <row r="180" spans="1:21" s="65" customFormat="1">
      <c r="A180" s="2210" t="s">
        <v>1</v>
      </c>
      <c r="B180" s="2194" t="s">
        <v>101</v>
      </c>
      <c r="C180" s="2213" t="s">
        <v>98</v>
      </c>
      <c r="D180" s="2200" t="s">
        <v>53</v>
      </c>
      <c r="E180" s="2193" t="s">
        <v>11479</v>
      </c>
      <c r="F180" s="2211" t="s">
        <v>11480</v>
      </c>
      <c r="G180" s="339"/>
      <c r="H180" s="86"/>
      <c r="L180" s="66"/>
    </row>
    <row r="181" spans="1:21" s="65" customFormat="1">
      <c r="A181" s="2212" t="s">
        <v>28</v>
      </c>
      <c r="B181" s="200">
        <f>SUMIFS(РД[S],РД[МОП],A181,РД[Дата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C181" s="2250">
        <f>SUMIFS(РД[Стоимость без отделки итог],РД[МОП],A181,РД[Дата подачи на регистрацию],"&lt;="&amp;$A$1,РД[Дата подачи на регистрацию],"&gt;="&amp;DATE(YEAR($A$1),MONTH($A$1),1),РД[Источник рекламы],"Н -*")</f>
        <v>0</v>
      </c>
      <c r="D181" s="199">
        <f>SUMIFS(Июль2555[м2],Июль2555[КТУ],$A181,Июль2555[МОП],"АН -*")</f>
        <v>0</v>
      </c>
      <c r="E181" s="2254">
        <f>SUMIFS(Июль2555[Сумма без отделки],Июль2555[КТУ],$A181,Июль2555[МОП],"АН -*")</f>
        <v>0</v>
      </c>
      <c r="F181" s="2179">
        <f>COUNTIFS(Июль2555[КТУ],$A181,Июль2555[МОП],"АН -*")</f>
        <v>0</v>
      </c>
      <c r="G181" s="339"/>
      <c r="H181" s="86"/>
      <c r="L181" s="66"/>
    </row>
    <row r="182" spans="1:21" s="65" customFormat="1">
      <c r="A182" s="2212" t="s">
        <v>8</v>
      </c>
      <c r="B182" s="200">
        <f>SUMIFS(РД[S],РД[МОП],A182,РД[Дата подачи на регистрацию],"&lt;="&amp;$A$1,РД[Дата подачи на регистрацию],"&gt;="&amp;DATE(YEAR($A$1),MONTH($A$1),1),РД[Источник рекламы],"Н -*")</f>
        <v>37.85</v>
      </c>
      <c r="C182" s="2250">
        <f>SUMIFS(РД[Стоимость без отделки итог],РД[МОП],A182,РД[Дата подачи на регистрацию],"&lt;="&amp;$A$1,РД[Дата подачи на регистрацию],"&gt;="&amp;DATE(YEAR($A$1),MONTH($A$1),1),РД[Источник рекламы],"Н -*")</f>
        <v>4639401</v>
      </c>
      <c r="D182" s="199">
        <f>SUMIFS(Июль2555[м2],Июль2555[КТУ],$A182,Июль2555[МОП],"АН -*")</f>
        <v>36.4</v>
      </c>
      <c r="E182" s="2254">
        <f>SUMIFS(Июль2555[Сумма без отделки],Июль2555[КТУ],$A182,Июль2555[МОП],"АН -*")</f>
        <v>4675651</v>
      </c>
      <c r="F182" s="2179">
        <f>COUNTIFS(Июль2555[КТУ],$A182,Июль2555[МОП],"АН -*")</f>
        <v>1</v>
      </c>
      <c r="G182" s="339"/>
      <c r="H182" s="86"/>
      <c r="L182" s="66"/>
    </row>
    <row r="183" spans="1:21" s="65" customFormat="1">
      <c r="A183" s="2212" t="s">
        <v>20</v>
      </c>
      <c r="B183" s="200">
        <f>SUMIFS(РД[S],РД[МОП],A183,РД[Дата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C183" s="2250">
        <f>SUMIFS(РД[Стоимость без отделки итог],РД[МОП],A183,РД[Дата подачи на регистрацию],"&lt;="&amp;$A$1,РД[Дата подачи на регистрацию],"&gt;="&amp;DATE(YEAR($A$1),MONTH($A$1),1),РД[Источник рекламы],"Н -*")</f>
        <v>0</v>
      </c>
      <c r="D183" s="199">
        <f>SUMIFS(Июль2555[м2],Июль2555[КТУ],$A183,Июль2555[МОП],"АН -*")</f>
        <v>99.85</v>
      </c>
      <c r="E183" s="2254">
        <f>SUMIFS(Июль2555[Сумма без отделки],Июль2555[КТУ],$A183,Июль2555[МОП],"АН -*")</f>
        <v>11442500</v>
      </c>
      <c r="F183" s="2179">
        <f>COUNTIFS(Июль2555[КТУ],$A183,Июль2555[МОП],"АН -*")</f>
        <v>2</v>
      </c>
      <c r="G183" s="339"/>
      <c r="H183" s="86"/>
      <c r="L183" s="66"/>
    </row>
    <row r="184" spans="1:21" s="65" customFormat="1">
      <c r="A184" s="2212" t="s">
        <v>24</v>
      </c>
      <c r="B184" s="200">
        <f>SUMIFS(РД[S],РД[МОП],A184,РД[Дата подачи на регистрацию],"&lt;="&amp;$A$1,РД[Дата подачи на регистрацию],"&gt;="&amp;DATE(YEAR($A$1),MONTH($A$1),1),РД[Источник рекламы],"Н -*")</f>
        <v>42.39</v>
      </c>
      <c r="C184" s="2250">
        <f>SUMIFS(РД[Стоимость без отделки итог],РД[МОП],A184,РД[Дата подачи на регистрацию],"&lt;="&amp;$A$1,РД[Дата подачи на регистрацию],"&gt;="&amp;DATE(YEAR($A$1),MONTH($A$1),1),РД[Источник рекламы],"Н -*")</f>
        <v>5886566</v>
      </c>
      <c r="D184" s="199">
        <f>SUMIFS(Июль2555[м2],Июль2555[КТУ],$A184,Июль2555[МОП],"АН -*")</f>
        <v>42.39</v>
      </c>
      <c r="E184" s="2254">
        <f>SUMIFS(Июль2555[Сумма без отделки],Июль2555[КТУ],$A184,Июль2555[МОП],"АН -*")</f>
        <v>5886566</v>
      </c>
      <c r="F184" s="2179">
        <f>COUNTIFS(Июль2555[КТУ],$A184,Июль2555[МОП],"АН -*")</f>
        <v>1</v>
      </c>
      <c r="G184" s="339"/>
      <c r="H184" s="86"/>
      <c r="L184" s="66"/>
    </row>
    <row r="185" spans="1:21" s="65" customFormat="1">
      <c r="A185" s="2212" t="s">
        <v>14</v>
      </c>
      <c r="B185" s="200">
        <f>SUMIFS(РД[S],РД[МОП],A185,РД[Дата подачи на регистрацию],"&lt;="&amp;$A$1,РД[Дата подачи на регистрацию],"&gt;="&amp;DATE(YEAR($A$1),MONTH($A$1),1),РД[Источник рекламы],"Н -*")</f>
        <v>49.39</v>
      </c>
      <c r="C185" s="2250">
        <f>SUMIFS(РД[Стоимость без отделки итог],РД[МОП],A185,РД[Дата подачи на регистрацию],"&lt;="&amp;$A$1,РД[Дата подачи на регистрацию],"&gt;="&amp;DATE(YEAR($A$1),MONTH($A$1),1),РД[Источник рекламы],"Н -*")</f>
        <v>6418216</v>
      </c>
      <c r="D185" s="199">
        <f>SUMIFS(Июль2555[м2],Июль2555[КТУ],$A185,Июль2555[МОП],"АН -*")</f>
        <v>49.39</v>
      </c>
      <c r="E185" s="2254">
        <f>SUMIFS(Июль2555[Сумма без отделки],Июль2555[КТУ],$A185,Июль2555[МОП],"АН -*")</f>
        <v>6418216</v>
      </c>
      <c r="F185" s="2179">
        <f>COUNTIFS(Июль2555[КТУ],$A185,Июль2555[МОП],"АН -*")</f>
        <v>1</v>
      </c>
      <c r="G185" s="339"/>
      <c r="H185" s="86"/>
      <c r="L185" s="66"/>
    </row>
    <row r="186" spans="1:21" s="65" customFormat="1" ht="13.5" thickBot="1">
      <c r="A186" s="2214" t="s">
        <v>1884</v>
      </c>
      <c r="B186" s="300">
        <f>SUMIFS(РД[S],РД[МОП],A186,РД[Дата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C186" s="2251">
        <f>SUMIFS(РД[Стоимость без отделки итог],РД[МОП],A186,РД[Дата подачи на регистрацию],"&lt;="&amp;$A$1,РД[Дата подачи на регистрацию],"&gt;="&amp;DATE(YEAR($A$1),MONTH($A$1),1),РД[Источник рекламы],"Н -*")</f>
        <v>0</v>
      </c>
      <c r="D186" s="299">
        <f>SUMIFS(Июль2555[м2],Июль2555[КТУ],$A186,Июль2555[МОП],"АН -*")</f>
        <v>0</v>
      </c>
      <c r="E186" s="2255">
        <f>SUMIFS(Июль2555[Сумма без отделки],Июль2555[КТУ],$A186,Июль2555[МОП],"АН -*")</f>
        <v>0</v>
      </c>
      <c r="F186" s="2178">
        <f>COUNTIFS(Июль2555[КТУ],$A186,Июль2555[МОП],"АН -*")</f>
        <v>0</v>
      </c>
      <c r="G186" s="339"/>
      <c r="H186" s="86"/>
      <c r="L186" s="66"/>
    </row>
    <row r="187" spans="1:21" s="65" customFormat="1" ht="13.5" thickBot="1">
      <c r="A187" s="473" t="s">
        <v>114</v>
      </c>
      <c r="B187" s="321">
        <f>SUM(B181:B186)</f>
        <v>129.63</v>
      </c>
      <c r="C187" s="2252">
        <f>SUM(C181:C186)</f>
        <v>16944183</v>
      </c>
      <c r="D187" s="320">
        <f>SUM(D181:D186)</f>
        <v>228.02999999999997</v>
      </c>
      <c r="E187" s="2256">
        <f>SUM(E181:E186)</f>
        <v>28422933</v>
      </c>
      <c r="F187" s="319">
        <f>SUM(F181:F186)</f>
        <v>5</v>
      </c>
      <c r="G187" s="339"/>
      <c r="H187" s="86"/>
      <c r="L187" s="66"/>
    </row>
    <row r="188" spans="1:21" s="65" customFormat="1">
      <c r="A188" s="2215" t="s">
        <v>115</v>
      </c>
      <c r="B188" s="1361" t="s">
        <v>101</v>
      </c>
      <c r="C188" s="2253" t="s">
        <v>98</v>
      </c>
      <c r="D188" s="2202" t="s">
        <v>53</v>
      </c>
      <c r="E188" s="2257" t="s">
        <v>11479</v>
      </c>
      <c r="F188" s="2216" t="s">
        <v>11480</v>
      </c>
      <c r="G188" s="339"/>
      <c r="H188" s="86"/>
      <c r="L188" s="66"/>
    </row>
    <row r="189" spans="1:21" s="65" customFormat="1">
      <c r="A189" s="2212" t="s">
        <v>22</v>
      </c>
      <c r="B189" s="200">
        <f>SUMIFS(РД[S],РД[ИМ],A189,РД[Дата подачи на регистрацию],"&lt;="&amp;$A$1,РД[Дата подачи на регистрацию],"&gt;="&amp;DATE(YEAR($A$1),MONTH($A$1),1),РД[Источник рекламы],"Н -*")</f>
        <v>129.63</v>
      </c>
      <c r="C189" s="2250">
        <f>SUMIFS(РД[Стоимость без отделки итог],РД[ИМ],A189,РД[Дата подачи на регистрацию],"&lt;="&amp;$A$1,РД[Дата подачи на регистрацию],"&gt;="&amp;DATE(YEAR($A$1),MONTH($A$1),1),РД[Источник рекламы],"Н -*")</f>
        <v>16944183</v>
      </c>
      <c r="D189" s="199">
        <f>SUMIFS(Июль2555[м2],Июль2555[ИМ],$A189,Июль2555[КТУ],"АН -*")</f>
        <v>0</v>
      </c>
      <c r="E189" s="2254">
        <f>SUMIFS(Июль2555[Сумма без отделки],Июль2555[ИМ],$A189,Июль2555[КТУ],"АН -*")</f>
        <v>0</v>
      </c>
      <c r="F189" s="2179">
        <f>COUNTIFS(Июль2555[ИМ],$A189,Июль2555[КТУ],"АН -*")</f>
        <v>0</v>
      </c>
      <c r="G189" s="339"/>
      <c r="H189" s="86"/>
      <c r="L189" s="66"/>
    </row>
    <row r="190" spans="1:21" s="65" customFormat="1" ht="13.5" thickBot="1">
      <c r="A190" s="2214" t="s">
        <v>26</v>
      </c>
      <c r="B190" s="300">
        <f>SUMIFS(РД[S],РД[ИМ],A190,РД[Дата подачи на регистрацию],"&lt;="&amp;$A$1,РД[Дата подачи на регистрацию],"&gt;="&amp;DATE(YEAR($A$1),MONTH($A$1),1),РД[Источник рекламы],"Н -*")</f>
        <v>0</v>
      </c>
      <c r="C190" s="2251">
        <f>SUMIFS(РД[Стоимость без отделки итог],РД[ИМ],A190,РД[Дата подачи на регистрацию],"&lt;="&amp;$A$1,РД[Дата подачи на регистрацию],"&gt;="&amp;DATE(YEAR($A$1),MONTH($A$1),1),РД[Источник рекламы],"Н -*")</f>
        <v>0</v>
      </c>
      <c r="D190" s="299">
        <f>SUMIFS(Июль2555[м2],Июль2555[ИМ],$A190,Июль2555[КТУ],"АН -*")</f>
        <v>0</v>
      </c>
      <c r="E190" s="2255">
        <f>SUMIFS(Июль2555[Сумма без отделки],Июль2555[ИМ],$A190,Июль2555[КТУ],"АН -*")</f>
        <v>0</v>
      </c>
      <c r="F190" s="2178">
        <f>COUNTIFS(Июль2555[ИМ],$A190,Июль2555[КТУ],"АН -*")</f>
        <v>0</v>
      </c>
      <c r="G190" s="339"/>
      <c r="H190" s="86"/>
      <c r="L190" s="66"/>
    </row>
    <row r="191" spans="1:21" s="65" customFormat="1" ht="13.5" thickBot="1">
      <c r="A191" s="473" t="s">
        <v>114</v>
      </c>
      <c r="B191" s="321">
        <f>SUM(B189:B190)</f>
        <v>129.63</v>
      </c>
      <c r="C191" s="2252">
        <f>SUM(C189:C190)</f>
        <v>16944183</v>
      </c>
      <c r="D191" s="320">
        <f>SUM(D189:D190)</f>
        <v>0</v>
      </c>
      <c r="E191" s="2256">
        <f>SUM(E189:E190)</f>
        <v>0</v>
      </c>
      <c r="F191" s="319">
        <f>SUM(F189:F190)</f>
        <v>0</v>
      </c>
      <c r="G191" s="339"/>
      <c r="H191" s="86"/>
      <c r="L191" s="66"/>
    </row>
    <row r="192" spans="1:21" s="65" customFormat="1">
      <c r="H192" s="2063"/>
      <c r="O192" s="86"/>
      <c r="S192" s="66"/>
    </row>
    <row r="193" spans="10:21" s="65" customFormat="1">
      <c r="J193" s="2063"/>
      <c r="Q193" s="86"/>
      <c r="U193" s="66"/>
    </row>
    <row r="194" spans="10:21" s="65" customFormat="1">
      <c r="J194" s="2063"/>
      <c r="Q194" s="86"/>
      <c r="U194" s="66"/>
    </row>
    <row r="195" spans="10:21" s="65" customFormat="1">
      <c r="J195" s="2063"/>
      <c r="Q195" s="86"/>
      <c r="U195" s="66"/>
    </row>
    <row r="196" spans="10:21" s="65" customFormat="1">
      <c r="J196" s="2063"/>
      <c r="Q196" s="86"/>
      <c r="U196" s="66"/>
    </row>
    <row r="197" spans="10:21" s="65" customFormat="1">
      <c r="J197" s="2063"/>
      <c r="Q197" s="86"/>
      <c r="U197" s="66"/>
    </row>
    <row r="198" spans="10:21" s="65" customFormat="1">
      <c r="J198" s="2063"/>
      <c r="Q198" s="86"/>
      <c r="U198" s="66"/>
    </row>
    <row r="199" spans="10:21" s="65" customFormat="1">
      <c r="J199" s="2063"/>
      <c r="Q199" s="86"/>
      <c r="U199" s="66"/>
    </row>
    <row r="200" spans="10:21" s="65" customFormat="1">
      <c r="J200" s="2063"/>
      <c r="Q200" s="86"/>
      <c r="U200" s="66"/>
    </row>
    <row r="201" spans="10:21" s="65" customFormat="1">
      <c r="J201" s="2063"/>
      <c r="Q201" s="86"/>
      <c r="U201" s="66"/>
    </row>
    <row r="202" spans="10:21" s="65" customFormat="1">
      <c r="J202" s="2063"/>
      <c r="Q202" s="86"/>
      <c r="U202" s="66"/>
    </row>
    <row r="203" spans="10:21" s="65" customFormat="1">
      <c r="J203" s="2063"/>
      <c r="Q203" s="86"/>
      <c r="U203" s="66"/>
    </row>
    <row r="204" spans="10:21" s="65" customFormat="1">
      <c r="J204" s="2063"/>
      <c r="Q204" s="86"/>
      <c r="U204" s="66"/>
    </row>
    <row r="205" spans="10:21" s="65" customFormat="1">
      <c r="J205" s="2063"/>
      <c r="Q205" s="86"/>
      <c r="U205" s="66"/>
    </row>
    <row r="206" spans="10:21" s="65" customFormat="1">
      <c r="J206" s="2063"/>
      <c r="Q206" s="86"/>
      <c r="U206" s="66"/>
    </row>
    <row r="207" spans="10:21" s="65" customFormat="1">
      <c r="J207" s="2063"/>
      <c r="Q207" s="86"/>
      <c r="U207" s="66"/>
    </row>
    <row r="208" spans="10:21" s="65" customFormat="1">
      <c r="J208" s="2063"/>
      <c r="Q208" s="86"/>
      <c r="U208" s="66"/>
    </row>
    <row r="209" spans="10:21" s="65" customFormat="1">
      <c r="J209" s="2063"/>
      <c r="Q209" s="86"/>
      <c r="U209" s="66"/>
    </row>
    <row r="210" spans="10:21" s="65" customFormat="1">
      <c r="J210" s="2063"/>
      <c r="Q210" s="86"/>
      <c r="U210" s="66"/>
    </row>
    <row r="211" spans="10:21" s="65" customFormat="1">
      <c r="J211" s="2063"/>
      <c r="Q211" s="86"/>
      <c r="U211" s="66"/>
    </row>
    <row r="212" spans="10:21" s="65" customFormat="1">
      <c r="J212" s="2063"/>
      <c r="Q212" s="86"/>
      <c r="U212" s="66"/>
    </row>
    <row r="213" spans="10:21" s="65" customFormat="1">
      <c r="J213" s="2063"/>
      <c r="Q213" s="86"/>
      <c r="U213" s="66"/>
    </row>
    <row r="214" spans="10:21" s="65" customFormat="1">
      <c r="J214" s="2063"/>
      <c r="Q214" s="86"/>
      <c r="U214" s="66"/>
    </row>
    <row r="215" spans="10:21" s="65" customFormat="1">
      <c r="J215" s="2063"/>
      <c r="Q215" s="86"/>
      <c r="U215" s="66"/>
    </row>
    <row r="216" spans="10:21" s="65" customFormat="1">
      <c r="J216" s="2063"/>
      <c r="Q216" s="86"/>
      <c r="U216" s="66"/>
    </row>
    <row r="217" spans="10:21" s="65" customFormat="1">
      <c r="J217" s="2063"/>
      <c r="Q217" s="86"/>
      <c r="U217" s="66"/>
    </row>
    <row r="218" spans="10:21" s="65" customFormat="1">
      <c r="J218" s="2063"/>
      <c r="Q218" s="86"/>
      <c r="U218" s="66"/>
    </row>
    <row r="219" spans="10:21" s="65" customFormat="1">
      <c r="J219" s="2063"/>
      <c r="Q219" s="86"/>
      <c r="U219" s="66"/>
    </row>
    <row r="220" spans="10:21" s="65" customFormat="1">
      <c r="J220" s="2063"/>
      <c r="Q220" s="86"/>
      <c r="U220" s="66"/>
    </row>
    <row r="221" spans="10:21" s="65" customFormat="1">
      <c r="J221" s="2063"/>
      <c r="Q221" s="86"/>
      <c r="U221" s="66"/>
    </row>
    <row r="222" spans="10:21" s="65" customFormat="1">
      <c r="J222" s="2063"/>
      <c r="Q222" s="86"/>
      <c r="U222" s="66"/>
    </row>
    <row r="223" spans="10:21" s="65" customFormat="1">
      <c r="J223" s="2063"/>
      <c r="Q223" s="86"/>
      <c r="U223" s="66"/>
    </row>
    <row r="224" spans="10:21" s="65" customFormat="1">
      <c r="J224" s="2063"/>
      <c r="Q224" s="86"/>
      <c r="U224" s="66"/>
    </row>
    <row r="225" spans="1:21" s="65" customFormat="1">
      <c r="J225" s="2063"/>
      <c r="Q225" s="86"/>
      <c r="U225" s="66"/>
    </row>
    <row r="226" spans="1:21" s="65" customFormat="1">
      <c r="J226" s="2063"/>
      <c r="Q226" s="86"/>
      <c r="U226" s="66"/>
    </row>
    <row r="227" spans="1:21" s="65" customFormat="1">
      <c r="J227" s="2063"/>
      <c r="Q227" s="86"/>
      <c r="U227" s="66"/>
    </row>
    <row r="228" spans="1:21">
      <c r="A228" s="65"/>
      <c r="B228" s="65"/>
      <c r="C228" s="65"/>
      <c r="D228" s="65"/>
      <c r="E228" s="65"/>
      <c r="F228" s="65"/>
      <c r="G228" s="65"/>
      <c r="H228" s="65"/>
      <c r="I228" s="65"/>
      <c r="J228" s="2063"/>
      <c r="K228" s="65"/>
      <c r="L228" s="65"/>
      <c r="M228" s="65"/>
      <c r="N228" s="65"/>
      <c r="O228" s="65"/>
      <c r="P228" s="65"/>
      <c r="Q228" s="86"/>
      <c r="R228" s="65"/>
      <c r="S228" s="65"/>
    </row>
    <row r="229" spans="1:21">
      <c r="A229" s="65"/>
      <c r="B229" s="65"/>
      <c r="C229" s="65"/>
      <c r="D229" s="65"/>
      <c r="E229" s="65"/>
      <c r="F229" s="65"/>
      <c r="G229" s="65"/>
      <c r="H229" s="65"/>
      <c r="I229" s="65"/>
      <c r="J229" s="2063"/>
      <c r="K229" s="65"/>
      <c r="L229" s="65"/>
      <c r="M229" s="65"/>
      <c r="N229" s="65"/>
      <c r="O229" s="65"/>
      <c r="P229" s="65"/>
      <c r="Q229" s="86"/>
      <c r="R229" s="65"/>
      <c r="S229" s="65"/>
    </row>
    <row r="230" spans="1:21" s="65" customFormat="1">
      <c r="J230" s="2063"/>
      <c r="Q230" s="86"/>
      <c r="U230" s="66"/>
    </row>
    <row r="231" spans="1:21" s="65" customFormat="1">
      <c r="J231" s="2063"/>
      <c r="Q231" s="86"/>
      <c r="U231" s="66"/>
    </row>
    <row r="232" spans="1:21" s="65" customFormat="1">
      <c r="J232" s="2063"/>
      <c r="Q232" s="86"/>
      <c r="U232" s="66"/>
    </row>
    <row r="233" spans="1:21" s="65" customFormat="1">
      <c r="J233" s="2063"/>
      <c r="Q233" s="86"/>
      <c r="U233" s="66"/>
    </row>
    <row r="234" spans="1:21" s="65" customFormat="1">
      <c r="J234" s="2063"/>
      <c r="Q234" s="86"/>
      <c r="U234" s="66"/>
    </row>
    <row r="235" spans="1:21" s="65" customFormat="1">
      <c r="J235" s="2063"/>
      <c r="Q235" s="86"/>
      <c r="U235" s="66"/>
    </row>
    <row r="236" spans="1:21" s="65" customFormat="1">
      <c r="J236" s="2063"/>
      <c r="Q236" s="86"/>
      <c r="U236" s="66"/>
    </row>
    <row r="237" spans="1:21" s="65" customFormat="1">
      <c r="J237" s="2063"/>
      <c r="Q237" s="86"/>
      <c r="U237" s="66"/>
    </row>
    <row r="238" spans="1:21" s="65" customFormat="1">
      <c r="J238" s="2063"/>
      <c r="Q238" s="86"/>
      <c r="U238" s="66"/>
    </row>
    <row r="239" spans="1:21" s="65" customFormat="1">
      <c r="J239" s="2063"/>
      <c r="Q239" s="86"/>
      <c r="U239" s="66"/>
    </row>
    <row r="240" spans="1:21" s="65" customFormat="1">
      <c r="J240" s="2063"/>
      <c r="Q240" s="86"/>
      <c r="U240" s="66"/>
    </row>
    <row r="241" spans="10:21" s="65" customFormat="1">
      <c r="J241" s="2063"/>
      <c r="Q241" s="86"/>
      <c r="U241" s="66"/>
    </row>
    <row r="242" spans="10:21" s="65" customFormat="1">
      <c r="J242" s="2063"/>
      <c r="Q242" s="86"/>
      <c r="U242" s="66"/>
    </row>
    <row r="243" spans="10:21" s="65" customFormat="1">
      <c r="J243" s="2063"/>
      <c r="Q243" s="86"/>
      <c r="U243" s="66"/>
    </row>
    <row r="244" spans="10:21" s="65" customFormat="1">
      <c r="J244" s="2063"/>
      <c r="Q244" s="86"/>
      <c r="U244" s="66"/>
    </row>
    <row r="245" spans="10:21" s="65" customFormat="1">
      <c r="J245" s="2063"/>
      <c r="Q245" s="86"/>
      <c r="U245" s="66"/>
    </row>
    <row r="246" spans="10:21" s="65" customFormat="1">
      <c r="J246" s="2063"/>
      <c r="Q246" s="86"/>
      <c r="U246" s="66"/>
    </row>
    <row r="247" spans="10:21" s="65" customFormat="1">
      <c r="J247" s="2063"/>
      <c r="Q247" s="86"/>
      <c r="U247" s="66"/>
    </row>
    <row r="248" spans="10:21" s="65" customFormat="1">
      <c r="J248" s="2063"/>
      <c r="Q248" s="86"/>
      <c r="U248" s="66"/>
    </row>
    <row r="249" spans="10:21" s="65" customFormat="1">
      <c r="J249" s="2063"/>
      <c r="Q249" s="86"/>
      <c r="U249" s="66"/>
    </row>
    <row r="250" spans="10:21" s="65" customFormat="1">
      <c r="J250" s="2063"/>
      <c r="Q250" s="86"/>
      <c r="U250" s="66"/>
    </row>
    <row r="251" spans="10:21" s="65" customFormat="1">
      <c r="J251" s="2063"/>
      <c r="Q251" s="86"/>
      <c r="U251" s="66"/>
    </row>
    <row r="252" spans="10:21" s="65" customFormat="1">
      <c r="J252" s="2063"/>
      <c r="Q252" s="86"/>
      <c r="U252" s="66"/>
    </row>
    <row r="253" spans="10:21" s="65" customFormat="1">
      <c r="J253" s="2063"/>
      <c r="Q253" s="86"/>
      <c r="U253" s="66"/>
    </row>
    <row r="254" spans="10:21" s="65" customFormat="1">
      <c r="J254" s="2063"/>
      <c r="Q254" s="86"/>
      <c r="U254" s="66"/>
    </row>
    <row r="255" spans="10:21" s="65" customFormat="1">
      <c r="J255" s="2063"/>
      <c r="Q255" s="86"/>
      <c r="U255" s="66"/>
    </row>
    <row r="256" spans="10:21" s="65" customFormat="1">
      <c r="J256" s="2063"/>
      <c r="Q256" s="86"/>
      <c r="U256" s="66"/>
    </row>
    <row r="257" spans="10:21" s="65" customFormat="1">
      <c r="J257" s="2063"/>
      <c r="Q257" s="86"/>
      <c r="U257" s="66"/>
    </row>
    <row r="258" spans="10:21" s="65" customFormat="1">
      <c r="J258" s="2063"/>
      <c r="Q258" s="86"/>
      <c r="U258" s="66"/>
    </row>
    <row r="259" spans="10:21" s="65" customFormat="1">
      <c r="J259" s="2063"/>
      <c r="Q259" s="86"/>
      <c r="U259" s="66"/>
    </row>
    <row r="260" spans="10:21" s="65" customFormat="1">
      <c r="J260" s="2063"/>
      <c r="Q260" s="86"/>
      <c r="U260" s="66"/>
    </row>
    <row r="261" spans="10:21" s="65" customFormat="1">
      <c r="J261" s="2063"/>
      <c r="Q261" s="86"/>
      <c r="U261" s="66"/>
    </row>
    <row r="262" spans="10:21" s="65" customFormat="1">
      <c r="J262" s="2063"/>
      <c r="Q262" s="86"/>
      <c r="U262" s="66"/>
    </row>
    <row r="263" spans="10:21" s="65" customFormat="1">
      <c r="J263" s="2063"/>
      <c r="Q263" s="86"/>
      <c r="U263" s="66"/>
    </row>
    <row r="264" spans="10:21" s="65" customFormat="1">
      <c r="J264" s="2063"/>
      <c r="Q264" s="86"/>
      <c r="U264" s="66"/>
    </row>
    <row r="265" spans="10:21" s="65" customFormat="1">
      <c r="J265" s="2063"/>
      <c r="Q265" s="86"/>
      <c r="U265" s="66"/>
    </row>
    <row r="266" spans="10:21" s="65" customFormat="1">
      <c r="J266" s="2063"/>
      <c r="Q266" s="86"/>
      <c r="U266" s="66"/>
    </row>
    <row r="267" spans="10:21" s="65" customFormat="1">
      <c r="J267" s="2063"/>
      <c r="Q267" s="86"/>
      <c r="U267" s="66"/>
    </row>
    <row r="268" spans="10:21" s="65" customFormat="1">
      <c r="J268" s="2063"/>
      <c r="Q268" s="86"/>
      <c r="U268" s="66"/>
    </row>
    <row r="269" spans="10:21" s="65" customFormat="1">
      <c r="J269" s="2063"/>
      <c r="Q269" s="86"/>
      <c r="U269" s="66"/>
    </row>
    <row r="270" spans="10:21" s="65" customFormat="1">
      <c r="J270" s="2063"/>
      <c r="Q270" s="86"/>
      <c r="U270" s="66"/>
    </row>
    <row r="271" spans="10:21" s="65" customFormat="1">
      <c r="J271" s="2063"/>
      <c r="Q271" s="86"/>
      <c r="U271" s="66"/>
    </row>
    <row r="272" spans="10:21" s="65" customFormat="1">
      <c r="J272" s="2063"/>
      <c r="Q272" s="86"/>
      <c r="U272" s="66"/>
    </row>
    <row r="273" spans="10:21" s="65" customFormat="1">
      <c r="J273" s="2063"/>
      <c r="Q273" s="86"/>
      <c r="U273" s="66"/>
    </row>
    <row r="274" spans="10:21" s="65" customFormat="1">
      <c r="J274" s="2063"/>
      <c r="Q274" s="86"/>
      <c r="U274" s="66"/>
    </row>
    <row r="275" spans="10:21" s="65" customFormat="1">
      <c r="J275" s="2063"/>
      <c r="Q275" s="86"/>
      <c r="U275" s="66"/>
    </row>
    <row r="276" spans="10:21" s="65" customFormat="1">
      <c r="J276" s="2063"/>
      <c r="Q276" s="86"/>
      <c r="U276" s="66"/>
    </row>
    <row r="277" spans="10:21" s="65" customFormat="1">
      <c r="J277" s="2063"/>
      <c r="Q277" s="86"/>
      <c r="U277" s="66"/>
    </row>
    <row r="278" spans="10:21" s="65" customFormat="1">
      <c r="J278" s="2063"/>
      <c r="Q278" s="86"/>
      <c r="U278" s="66"/>
    </row>
    <row r="279" spans="10:21" s="65" customFormat="1">
      <c r="J279" s="2063"/>
      <c r="Q279" s="86"/>
      <c r="U279" s="66"/>
    </row>
    <row r="280" spans="10:21" s="65" customFormat="1">
      <c r="J280" s="2063"/>
      <c r="Q280" s="86"/>
      <c r="U280" s="66"/>
    </row>
    <row r="281" spans="10:21" s="65" customFormat="1">
      <c r="J281" s="2063"/>
      <c r="Q281" s="86"/>
      <c r="U281" s="66"/>
    </row>
    <row r="282" spans="10:21" s="65" customFormat="1">
      <c r="J282" s="2063"/>
      <c r="Q282" s="86"/>
      <c r="U282" s="66"/>
    </row>
    <row r="283" spans="10:21" s="65" customFormat="1">
      <c r="J283" s="2063"/>
      <c r="Q283" s="86"/>
      <c r="U283" s="66"/>
    </row>
    <row r="284" spans="10:21" s="65" customFormat="1">
      <c r="J284" s="2063"/>
      <c r="Q284" s="86"/>
      <c r="U284" s="66"/>
    </row>
    <row r="285" spans="10:21" s="65" customFormat="1">
      <c r="J285" s="2063"/>
      <c r="Q285" s="86"/>
      <c r="U285" s="66"/>
    </row>
    <row r="286" spans="10:21" s="65" customFormat="1">
      <c r="J286" s="2063"/>
      <c r="Q286" s="86"/>
      <c r="U286" s="66"/>
    </row>
    <row r="287" spans="10:21" s="65" customFormat="1">
      <c r="J287" s="2063"/>
      <c r="Q287" s="86"/>
      <c r="U287" s="66"/>
    </row>
    <row r="288" spans="10:21" s="65" customFormat="1">
      <c r="J288" s="2063"/>
      <c r="Q288" s="86"/>
      <c r="U288" s="66"/>
    </row>
    <row r="289" spans="10:21" s="65" customFormat="1">
      <c r="J289" s="2063"/>
      <c r="Q289" s="86"/>
      <c r="U289" s="66"/>
    </row>
    <row r="290" spans="10:21" s="65" customFormat="1">
      <c r="J290" s="2063"/>
      <c r="Q290" s="86"/>
      <c r="U290" s="66"/>
    </row>
    <row r="291" spans="10:21" s="65" customFormat="1">
      <c r="J291" s="2063"/>
      <c r="Q291" s="86"/>
      <c r="U291" s="66"/>
    </row>
    <row r="292" spans="10:21" s="65" customFormat="1">
      <c r="J292" s="2063"/>
      <c r="Q292" s="86"/>
      <c r="U292" s="66"/>
    </row>
    <row r="293" spans="10:21" s="65" customFormat="1">
      <c r="J293" s="2063"/>
      <c r="Q293" s="86"/>
      <c r="U293" s="66"/>
    </row>
    <row r="294" spans="10:21" s="65" customFormat="1">
      <c r="J294" s="2063"/>
      <c r="Q294" s="86"/>
      <c r="U294" s="66"/>
    </row>
    <row r="295" spans="10:21" s="65" customFormat="1">
      <c r="J295" s="2063"/>
      <c r="Q295" s="86"/>
      <c r="U295" s="66"/>
    </row>
    <row r="296" spans="10:21" s="65" customFormat="1">
      <c r="J296" s="2063"/>
      <c r="Q296" s="86"/>
      <c r="U296" s="66"/>
    </row>
    <row r="297" spans="10:21" s="65" customFormat="1">
      <c r="J297" s="2063"/>
      <c r="Q297" s="86"/>
      <c r="U297" s="66"/>
    </row>
    <row r="298" spans="10:21" s="65" customFormat="1">
      <c r="J298" s="2063"/>
      <c r="Q298" s="86"/>
      <c r="U298" s="66"/>
    </row>
    <row r="299" spans="10:21" s="65" customFormat="1">
      <c r="J299" s="2063"/>
      <c r="Q299" s="86"/>
      <c r="U299" s="66"/>
    </row>
    <row r="300" spans="10:21" s="65" customFormat="1">
      <c r="J300" s="2063"/>
      <c r="Q300" s="86"/>
      <c r="U300" s="66"/>
    </row>
    <row r="301" spans="10:21" s="65" customFormat="1">
      <c r="J301" s="2063"/>
      <c r="Q301" s="86"/>
      <c r="U301" s="66"/>
    </row>
    <row r="302" spans="10:21" s="65" customFormat="1">
      <c r="J302" s="2063"/>
      <c r="Q302" s="86"/>
      <c r="U302" s="66"/>
    </row>
    <row r="303" spans="10:21" s="65" customFormat="1">
      <c r="J303" s="2063"/>
      <c r="Q303" s="86"/>
      <c r="U303" s="66"/>
    </row>
    <row r="304" spans="10:21" s="65" customFormat="1">
      <c r="J304" s="2063"/>
      <c r="Q304" s="86"/>
      <c r="U304" s="66"/>
    </row>
    <row r="305" spans="10:21" s="65" customFormat="1">
      <c r="J305" s="2063"/>
      <c r="Q305" s="86"/>
      <c r="U305" s="66"/>
    </row>
    <row r="306" spans="10:21" s="65" customFormat="1">
      <c r="J306" s="2063"/>
      <c r="Q306" s="86"/>
      <c r="U306" s="66"/>
    </row>
    <row r="307" spans="10:21" s="65" customFormat="1">
      <c r="J307" s="2063"/>
      <c r="Q307" s="86"/>
      <c r="U307" s="66"/>
    </row>
    <row r="308" spans="10:21" s="65" customFormat="1">
      <c r="J308" s="2063"/>
      <c r="Q308" s="86"/>
      <c r="U308" s="66"/>
    </row>
    <row r="309" spans="10:21" s="65" customFormat="1">
      <c r="J309" s="2063"/>
      <c r="Q309" s="86"/>
      <c r="U309" s="66"/>
    </row>
    <row r="310" spans="10:21" s="65" customFormat="1">
      <c r="J310" s="2063"/>
      <c r="Q310" s="86"/>
      <c r="U310" s="66"/>
    </row>
    <row r="311" spans="10:21" s="65" customFormat="1">
      <c r="J311" s="2063"/>
      <c r="Q311" s="86"/>
      <c r="U311" s="66"/>
    </row>
    <row r="312" spans="10:21" s="65" customFormat="1">
      <c r="J312" s="2063"/>
      <c r="Q312" s="86"/>
      <c r="U312" s="66"/>
    </row>
    <row r="313" spans="10:21" s="65" customFormat="1">
      <c r="J313" s="2063"/>
      <c r="Q313" s="86"/>
      <c r="U313" s="66"/>
    </row>
    <row r="314" spans="10:21" s="65" customFormat="1">
      <c r="J314" s="2063"/>
      <c r="Q314" s="86"/>
      <c r="U314" s="66"/>
    </row>
    <row r="315" spans="10:21" s="65" customFormat="1">
      <c r="J315" s="2063"/>
      <c r="Q315" s="86"/>
      <c r="U315" s="66"/>
    </row>
    <row r="316" spans="10:21" s="65" customFormat="1">
      <c r="J316" s="2063"/>
      <c r="Q316" s="86"/>
      <c r="R316" s="66"/>
      <c r="S316" s="66"/>
      <c r="U316" s="66"/>
    </row>
    <row r="317" spans="10:21" s="65" customFormat="1">
      <c r="J317" s="2063"/>
      <c r="Q317" s="86"/>
      <c r="R317" s="66"/>
      <c r="S317" s="66"/>
      <c r="U317" s="66"/>
    </row>
    <row r="318" spans="10:21" s="65" customFormat="1">
      <c r="J318" s="2063"/>
      <c r="Q318" s="86"/>
      <c r="R318" s="66"/>
      <c r="S318" s="66"/>
      <c r="U318" s="66"/>
    </row>
    <row r="319" spans="10:21" s="65" customFormat="1">
      <c r="J319" s="2063"/>
      <c r="Q319" s="86"/>
      <c r="R319" s="66"/>
      <c r="S319" s="66"/>
      <c r="U319" s="66"/>
    </row>
  </sheetData>
  <sheetProtection algorithmName="SHA-512" hashValue="tALtB17FSqeiLWCQaz25c25WdZrO09pjjGJrVg96TWzSAHnZShJqvIxviDWs797IeuyL+MO5/VdL6dqowQuATQ==" saltValue="ugiSNM+3tie40fQh2jXTjA==" spinCount="100000" sheet="1" formatCells="0" formatColumns="0" formatRows="0" sort="0" autoFilter="0" pivotTables="0"/>
  <mergeCells count="24">
    <mergeCell ref="A1:U1"/>
    <mergeCell ref="A67:B67"/>
    <mergeCell ref="D67:F67"/>
    <mergeCell ref="G67:K67"/>
    <mergeCell ref="A81:B81"/>
    <mergeCell ref="D81:F81"/>
    <mergeCell ref="G81:K81"/>
    <mergeCell ref="A95:B95"/>
    <mergeCell ref="D95:F95"/>
    <mergeCell ref="G95:K95"/>
    <mergeCell ref="A109:B109"/>
    <mergeCell ref="D109:F109"/>
    <mergeCell ref="G109:K109"/>
    <mergeCell ref="A123:B123"/>
    <mergeCell ref="D123:F123"/>
    <mergeCell ref="G123:K123"/>
    <mergeCell ref="A137:B137"/>
    <mergeCell ref="D137:F137"/>
    <mergeCell ref="G137:K137"/>
    <mergeCell ref="A151:B151"/>
    <mergeCell ref="D151:F151"/>
    <mergeCell ref="G151:K151"/>
    <mergeCell ref="A165:K165"/>
    <mergeCell ref="A179:F179"/>
  </mergeCells>
  <pageMargins left="0.25" right="0.25" top="0.75" bottom="0.75" header="0.3" footer="0.3"/>
  <pageSetup paperSize="9" scale="20" orientation="landscape" r:id="rId1"/>
  <rowBreaks count="1" manualBreakCount="1">
    <brk id="60" max="16383" man="1"/>
  </rowBreak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4000-000000000000}">
          <x14:formula1>
            <xm:f>Списки!$H$2</xm:f>
          </x14:formula1>
          <xm:sqref>B4:B63</xm:sqref>
        </x14:dataValidation>
        <x14:dataValidation type="list" allowBlank="1" showInputMessage="1" showErrorMessage="1" xr:uid="{00000000-0002-0000-4000-000001000000}">
          <x14:formula1>
            <xm:f>Списки!$B$2:$B$10</xm:f>
          </x14:formula1>
          <xm:sqref>D4:D63</xm:sqref>
        </x14:dataValidation>
        <x14:dataValidation type="list" allowBlank="1" showInputMessage="1" showErrorMessage="1" xr:uid="{00000000-0002-0000-4000-000002000000}">
          <x14:formula1>
            <xm:f>Списки!$C$2:$C$27</xm:f>
          </x14:formula1>
          <xm:sqref>U9 K22:K25 K27:K63 T27:U63 T4:U8 T10:U25 K4:K20</xm:sqref>
        </x14:dataValidation>
        <x14:dataValidation type="list" allowBlank="1" showInputMessage="1" showErrorMessage="1" xr:uid="{00000000-0002-0000-4000-000003000000}">
          <x14:formula1>
            <xm:f>Списки!$F$2:$F$3</xm:f>
          </x14:formula1>
          <xm:sqref>V66 X66 P22:P25 P27:P63 P4:P20</xm:sqref>
        </x14:dataValidation>
        <x14:dataValidation type="list" allowBlank="1" showInputMessage="1" showErrorMessage="1" xr:uid="{00000000-0002-0000-4000-000004000000}">
          <x14:formula1>
            <xm:f>Списки!$C$3:$C$4</xm:f>
          </x14:formula1>
          <xm:sqref>D66</xm:sqref>
        </x14:dataValidation>
        <x14:dataValidation type="list" allowBlank="1" showInputMessage="1" showErrorMessage="1" xr:uid="{00000000-0002-0000-4000-000005000000}">
          <x14:formula1>
            <xm:f>Списки!$D$2:$D$7</xm:f>
          </x14:formula1>
          <xm:sqref>H22:H25 H27:H63 H4:H20</xm:sqref>
        </x14:dataValidation>
        <x14:dataValidation type="list" allowBlank="1" showInputMessage="1" showErrorMessage="1" xr:uid="{00000000-0002-0000-4000-000006000000}">
          <x14:formula1>
            <xm:f>Списки!$E$2:$E$7</xm:f>
          </x14:formula1>
          <xm:sqref>L22:L63 L4:L20</xm:sqref>
        </x14:dataValidation>
        <x14:dataValidation type="list" allowBlank="1" showInputMessage="1" showErrorMessage="1" xr:uid="{00000000-0002-0000-4000-000007000000}">
          <x14:formula1>
            <xm:f>Списки!$G$2:$G$3</xm:f>
          </x14:formula1>
          <xm:sqref>L66 N22:N25 N27:N63 N4:N20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N2740"/>
  <sheetViews>
    <sheetView workbookViewId="0">
      <selection activeCell="AI1" sqref="AI1"/>
    </sheetView>
  </sheetViews>
  <sheetFormatPr defaultColWidth="9" defaultRowHeight="15"/>
  <cols>
    <col min="1" max="1" width="5.5703125" customWidth="1"/>
    <col min="2" max="2" width="11.28515625" customWidth="1"/>
    <col min="3" max="3" width="30.140625" style="57" customWidth="1"/>
    <col min="4" max="4" width="16" bestFit="1" customWidth="1"/>
    <col min="5" max="5" width="9.85546875" hidden="1" customWidth="1"/>
    <col min="6" max="6" width="14.140625" hidden="1" customWidth="1"/>
    <col min="7" max="7" width="7.85546875" hidden="1" customWidth="1"/>
    <col min="8" max="8" width="8" hidden="1" customWidth="1"/>
    <col min="9" max="9" width="14.5703125" bestFit="1" customWidth="1"/>
    <col min="10" max="10" width="7" customWidth="1"/>
    <col min="11" max="11" width="13.85546875" hidden="1" customWidth="1"/>
    <col min="12" max="12" width="18.7109375" hidden="1" customWidth="1"/>
    <col min="13" max="13" width="12.28515625" hidden="1" customWidth="1"/>
    <col min="14" max="14" width="28.42578125" hidden="1" customWidth="1"/>
    <col min="15" max="15" width="26.28515625" hidden="1" customWidth="1"/>
    <col min="16" max="16" width="21.42578125" hidden="1" customWidth="1"/>
    <col min="17" max="17" width="29.5703125" customWidth="1"/>
    <col min="18" max="18" width="27.42578125" hidden="1" customWidth="1"/>
    <col min="19" max="19" width="18.140625" customWidth="1"/>
    <col min="20" max="20" width="47.7109375" hidden="1" customWidth="1"/>
    <col min="21" max="21" width="16.5703125" hidden="1" customWidth="1"/>
    <col min="22" max="22" width="27.85546875" hidden="1" customWidth="1"/>
    <col min="23" max="23" width="16.7109375" hidden="1" customWidth="1"/>
    <col min="24" max="24" width="14.5703125" hidden="1" customWidth="1"/>
    <col min="25" max="25" width="12.85546875" bestFit="1" customWidth="1"/>
    <col min="26" max="26" width="27.28515625" hidden="1" customWidth="1"/>
    <col min="27" max="27" width="22" hidden="1" customWidth="1"/>
    <col min="28" max="28" width="17.42578125" hidden="1" customWidth="1"/>
    <col min="29" max="29" width="18.140625" hidden="1" customWidth="1"/>
    <col min="30" max="30" width="20.42578125" hidden="1" customWidth="1"/>
    <col min="31" max="31" width="81.140625" hidden="1" customWidth="1"/>
    <col min="32" max="32" width="23.28515625" hidden="1" customWidth="1"/>
    <col min="33" max="33" width="40.140625" hidden="1" customWidth="1"/>
    <col min="34" max="34" width="24.42578125" customWidth="1"/>
    <col min="35" max="35" width="50.85546875" customWidth="1"/>
    <col min="36" max="36" width="29.85546875" hidden="1" customWidth="1"/>
    <col min="37" max="37" width="13.28515625" customWidth="1"/>
    <col min="38" max="38" width="11.85546875" customWidth="1"/>
    <col min="39" max="39" width="81.140625" hidden="1" customWidth="1"/>
    <col min="40" max="40" width="81.140625" customWidth="1"/>
  </cols>
  <sheetData>
    <row r="1" spans="1:40">
      <c r="J1" s="59">
        <f>SUBTOTAL(9,РД[S])</f>
        <v>956.49</v>
      </c>
      <c r="Q1" s="59">
        <f>SUBTOTAL(9,РД[Стоимость без отделки итог])</f>
        <v>98069677.599999994</v>
      </c>
      <c r="AH1">
        <f>J2464+J2467+J2468</f>
        <v>140.88</v>
      </c>
      <c r="AI1">
        <f>J1-AH1/2</f>
        <v>886.05</v>
      </c>
    </row>
    <row r="2" spans="1:40">
      <c r="A2" t="s">
        <v>48</v>
      </c>
      <c r="B2" t="s">
        <v>2471</v>
      </c>
      <c r="C2" s="57" t="s">
        <v>2472</v>
      </c>
      <c r="D2" t="s">
        <v>0</v>
      </c>
      <c r="E2" t="s">
        <v>2473</v>
      </c>
      <c r="F2" t="s">
        <v>2474</v>
      </c>
      <c r="G2" t="s">
        <v>2475</v>
      </c>
      <c r="H2" t="s">
        <v>1580</v>
      </c>
      <c r="I2" t="s">
        <v>2476</v>
      </c>
      <c r="J2" t="s">
        <v>2477</v>
      </c>
      <c r="K2" t="s">
        <v>2478</v>
      </c>
      <c r="L2" t="s">
        <v>2479</v>
      </c>
      <c r="M2" t="s">
        <v>2480</v>
      </c>
      <c r="N2" t="s">
        <v>2481</v>
      </c>
      <c r="O2" t="s">
        <v>2482</v>
      </c>
      <c r="P2" t="s">
        <v>2483</v>
      </c>
      <c r="Q2" t="s">
        <v>2484</v>
      </c>
      <c r="R2" t="s">
        <v>2485</v>
      </c>
      <c r="S2" t="s">
        <v>2486</v>
      </c>
      <c r="T2" t="s">
        <v>2487</v>
      </c>
      <c r="U2" t="s">
        <v>2488</v>
      </c>
      <c r="V2" t="s">
        <v>2489</v>
      </c>
      <c r="W2" t="s">
        <v>2490</v>
      </c>
      <c r="X2" t="s">
        <v>2491</v>
      </c>
      <c r="Y2" t="s">
        <v>2492</v>
      </c>
      <c r="Z2" t="s">
        <v>2493</v>
      </c>
      <c r="AA2" t="s">
        <v>2494</v>
      </c>
      <c r="AB2" t="s">
        <v>2495</v>
      </c>
      <c r="AC2" t="s">
        <v>2496</v>
      </c>
      <c r="AD2" t="s">
        <v>2497</v>
      </c>
      <c r="AE2" t="s">
        <v>2498</v>
      </c>
      <c r="AF2" t="s">
        <v>2499</v>
      </c>
      <c r="AG2" t="s">
        <v>2500</v>
      </c>
      <c r="AH2" t="s">
        <v>2501</v>
      </c>
      <c r="AI2" t="s">
        <v>2502</v>
      </c>
      <c r="AJ2" t="s">
        <v>2503</v>
      </c>
      <c r="AK2" t="s">
        <v>1</v>
      </c>
      <c r="AL2" t="s">
        <v>3</v>
      </c>
      <c r="AM2" t="s">
        <v>2504</v>
      </c>
      <c r="AN2" t="s">
        <v>2505</v>
      </c>
    </row>
    <row r="3" spans="1:40" hidden="1">
      <c r="A3">
        <v>1</v>
      </c>
      <c r="B3">
        <v>1</v>
      </c>
      <c r="C3" s="58">
        <v>43803</v>
      </c>
      <c r="D3" t="s">
        <v>74</v>
      </c>
      <c r="E3" t="s">
        <v>2506</v>
      </c>
      <c r="F3">
        <v>2</v>
      </c>
      <c r="G3">
        <v>22</v>
      </c>
      <c r="H3">
        <v>292</v>
      </c>
      <c r="I3">
        <v>2</v>
      </c>
      <c r="J3">
        <v>65.78</v>
      </c>
      <c r="K3" t="s">
        <v>15</v>
      </c>
      <c r="L3">
        <v>2647645</v>
      </c>
      <c r="M3">
        <v>0</v>
      </c>
      <c r="N3">
        <v>2647645</v>
      </c>
      <c r="O3">
        <v>40250</v>
      </c>
      <c r="P3">
        <v>0</v>
      </c>
      <c r="Q3">
        <v>2647645</v>
      </c>
      <c r="R3">
        <v>40250</v>
      </c>
      <c r="S3" t="s">
        <v>2507</v>
      </c>
      <c r="T3" t="s">
        <v>717</v>
      </c>
      <c r="U3" t="s">
        <v>717</v>
      </c>
      <c r="V3" t="s">
        <v>717</v>
      </c>
      <c r="W3">
        <v>43803</v>
      </c>
      <c r="X3" t="s">
        <v>2508</v>
      </c>
      <c r="Y3" t="s">
        <v>6</v>
      </c>
      <c r="Z3" t="s">
        <v>11</v>
      </c>
      <c r="AA3" t="s">
        <v>717</v>
      </c>
      <c r="AB3" t="s">
        <v>2509</v>
      </c>
      <c r="AC3" t="s">
        <v>118</v>
      </c>
      <c r="AD3" t="s">
        <v>717</v>
      </c>
      <c r="AE3" t="s">
        <v>2510</v>
      </c>
      <c r="AF3" t="s">
        <v>2511</v>
      </c>
      <c r="AG3" t="s">
        <v>2512</v>
      </c>
      <c r="AH3" t="s">
        <v>2191</v>
      </c>
      <c r="AI3" t="s">
        <v>2513</v>
      </c>
      <c r="AJ3" t="s">
        <v>2514</v>
      </c>
      <c r="AK3" t="s">
        <v>63</v>
      </c>
      <c r="AL3" t="s">
        <v>717</v>
      </c>
      <c r="AM3" t="s">
        <v>10</v>
      </c>
      <c r="AN3" t="s">
        <v>717</v>
      </c>
    </row>
    <row r="4" spans="1:40" hidden="1">
      <c r="A4">
        <v>2</v>
      </c>
      <c r="B4">
        <v>2</v>
      </c>
      <c r="C4" s="58">
        <v>43806</v>
      </c>
      <c r="D4" t="s">
        <v>74</v>
      </c>
      <c r="E4" t="s">
        <v>2515</v>
      </c>
      <c r="F4">
        <v>1</v>
      </c>
      <c r="G4">
        <v>2</v>
      </c>
      <c r="I4">
        <v>0</v>
      </c>
      <c r="J4">
        <v>32.770000000000003</v>
      </c>
      <c r="K4" t="s">
        <v>9</v>
      </c>
      <c r="L4">
        <v>1318992.5</v>
      </c>
      <c r="M4">
        <v>0</v>
      </c>
      <c r="N4">
        <v>1318992.5</v>
      </c>
      <c r="O4">
        <v>40249.999999999993</v>
      </c>
      <c r="P4">
        <v>0</v>
      </c>
      <c r="Q4">
        <v>1318992.5</v>
      </c>
      <c r="R4">
        <v>40249.999999999993</v>
      </c>
      <c r="S4" t="s">
        <v>130</v>
      </c>
      <c r="T4" t="s">
        <v>717</v>
      </c>
      <c r="U4" t="s">
        <v>717</v>
      </c>
      <c r="V4" t="s">
        <v>717</v>
      </c>
      <c r="W4">
        <v>43806</v>
      </c>
      <c r="X4" t="s">
        <v>2516</v>
      </c>
      <c r="Y4" t="s">
        <v>2517</v>
      </c>
      <c r="Z4" t="s">
        <v>11</v>
      </c>
      <c r="AA4" t="s">
        <v>717</v>
      </c>
      <c r="AB4" t="s">
        <v>2509</v>
      </c>
      <c r="AC4" t="s">
        <v>118</v>
      </c>
      <c r="AD4">
        <v>44238</v>
      </c>
      <c r="AE4" t="s">
        <v>2518</v>
      </c>
      <c r="AF4" t="s">
        <v>2519</v>
      </c>
      <c r="AG4" t="s">
        <v>2520</v>
      </c>
      <c r="AH4" t="s">
        <v>2191</v>
      </c>
      <c r="AI4" t="s">
        <v>2521</v>
      </c>
      <c r="AJ4" t="s">
        <v>2522</v>
      </c>
      <c r="AK4" t="s">
        <v>1221</v>
      </c>
      <c r="AL4" t="s">
        <v>717</v>
      </c>
      <c r="AM4" t="s">
        <v>10</v>
      </c>
      <c r="AN4" t="s">
        <v>717</v>
      </c>
    </row>
    <row r="5" spans="1:40" hidden="1">
      <c r="A5">
        <v>3</v>
      </c>
      <c r="B5">
        <v>3</v>
      </c>
      <c r="C5" s="58">
        <v>43806</v>
      </c>
      <c r="D5" t="s">
        <v>74</v>
      </c>
      <c r="E5" t="s">
        <v>2515</v>
      </c>
      <c r="F5">
        <v>2</v>
      </c>
      <c r="G5">
        <v>6</v>
      </c>
      <c r="H5">
        <v>42</v>
      </c>
      <c r="I5">
        <v>0</v>
      </c>
      <c r="J5">
        <v>31.88</v>
      </c>
      <c r="K5" t="s">
        <v>9</v>
      </c>
      <c r="L5">
        <v>1316644</v>
      </c>
      <c r="M5">
        <v>0</v>
      </c>
      <c r="N5">
        <v>1316644</v>
      </c>
      <c r="O5">
        <v>41300</v>
      </c>
      <c r="P5">
        <v>0</v>
      </c>
      <c r="Q5">
        <v>1316644</v>
      </c>
      <c r="R5">
        <v>41300</v>
      </c>
      <c r="S5" t="s">
        <v>2507</v>
      </c>
      <c r="T5" t="s">
        <v>717</v>
      </c>
      <c r="U5" t="s">
        <v>717</v>
      </c>
      <c r="V5" t="s">
        <v>717</v>
      </c>
      <c r="W5">
        <v>43806</v>
      </c>
      <c r="X5" t="s">
        <v>2523</v>
      </c>
      <c r="Y5" t="s">
        <v>6</v>
      </c>
      <c r="Z5" t="s">
        <v>11</v>
      </c>
      <c r="AA5" t="s">
        <v>717</v>
      </c>
      <c r="AB5" t="s">
        <v>2509</v>
      </c>
      <c r="AC5" t="s">
        <v>118</v>
      </c>
      <c r="AD5" t="s">
        <v>717</v>
      </c>
      <c r="AE5" t="s">
        <v>2524</v>
      </c>
      <c r="AF5" t="s">
        <v>2525</v>
      </c>
      <c r="AG5" t="s">
        <v>2526</v>
      </c>
      <c r="AH5" t="s">
        <v>2191</v>
      </c>
      <c r="AI5" t="s">
        <v>2521</v>
      </c>
      <c r="AJ5" t="s">
        <v>2514</v>
      </c>
      <c r="AK5" t="s">
        <v>20</v>
      </c>
      <c r="AL5" t="s">
        <v>717</v>
      </c>
      <c r="AM5" t="s">
        <v>10</v>
      </c>
      <c r="AN5" t="s">
        <v>717</v>
      </c>
    </row>
    <row r="6" spans="1:40" hidden="1">
      <c r="A6">
        <v>4</v>
      </c>
      <c r="B6">
        <v>4</v>
      </c>
      <c r="C6" s="58">
        <v>43806</v>
      </c>
      <c r="D6" t="s">
        <v>74</v>
      </c>
      <c r="E6" t="s">
        <v>2515</v>
      </c>
      <c r="F6">
        <v>7</v>
      </c>
      <c r="G6">
        <v>13</v>
      </c>
      <c r="H6">
        <v>117</v>
      </c>
      <c r="I6">
        <v>1</v>
      </c>
      <c r="J6">
        <v>41.95</v>
      </c>
      <c r="K6" t="s">
        <v>9</v>
      </c>
      <c r="L6">
        <v>1732535</v>
      </c>
      <c r="M6">
        <v>0</v>
      </c>
      <c r="N6">
        <v>1732535</v>
      </c>
      <c r="O6">
        <v>41300</v>
      </c>
      <c r="P6">
        <v>0</v>
      </c>
      <c r="Q6">
        <v>1732535</v>
      </c>
      <c r="R6">
        <v>41300</v>
      </c>
      <c r="S6" t="s">
        <v>130</v>
      </c>
      <c r="T6" t="s">
        <v>717</v>
      </c>
      <c r="U6" t="s">
        <v>717</v>
      </c>
      <c r="V6" t="s">
        <v>717</v>
      </c>
      <c r="W6">
        <v>43806</v>
      </c>
      <c r="X6" t="s">
        <v>2527</v>
      </c>
      <c r="Y6" t="s">
        <v>6</v>
      </c>
      <c r="Z6" t="s">
        <v>11</v>
      </c>
      <c r="AA6" t="s">
        <v>717</v>
      </c>
      <c r="AB6" t="s">
        <v>2509</v>
      </c>
      <c r="AC6" t="s">
        <v>118</v>
      </c>
      <c r="AD6" t="s">
        <v>717</v>
      </c>
      <c r="AE6" t="s">
        <v>2528</v>
      </c>
      <c r="AF6" t="s">
        <v>2529</v>
      </c>
      <c r="AG6" t="s">
        <v>2530</v>
      </c>
      <c r="AH6" t="s">
        <v>2191</v>
      </c>
      <c r="AI6" t="s">
        <v>2531</v>
      </c>
      <c r="AJ6" t="s">
        <v>2514</v>
      </c>
      <c r="AK6" t="s">
        <v>2532</v>
      </c>
      <c r="AL6" t="s">
        <v>717</v>
      </c>
      <c r="AM6" t="s">
        <v>10</v>
      </c>
      <c r="AN6" t="s">
        <v>717</v>
      </c>
    </row>
    <row r="7" spans="1:40" hidden="1">
      <c r="A7">
        <v>5</v>
      </c>
      <c r="B7">
        <v>5</v>
      </c>
      <c r="C7" s="58">
        <v>43806</v>
      </c>
      <c r="D7" t="s">
        <v>74</v>
      </c>
      <c r="E7" t="s">
        <v>2515</v>
      </c>
      <c r="F7">
        <v>2</v>
      </c>
      <c r="G7">
        <v>9</v>
      </c>
      <c r="H7">
        <v>72</v>
      </c>
      <c r="I7">
        <v>0</v>
      </c>
      <c r="J7">
        <v>31.88</v>
      </c>
      <c r="K7" t="s">
        <v>9</v>
      </c>
      <c r="L7">
        <v>1316644</v>
      </c>
      <c r="M7">
        <v>0</v>
      </c>
      <c r="N7">
        <v>1316644</v>
      </c>
      <c r="O7">
        <v>41300</v>
      </c>
      <c r="P7">
        <v>0</v>
      </c>
      <c r="Q7">
        <v>1316644</v>
      </c>
      <c r="R7">
        <v>41300</v>
      </c>
      <c r="S7" t="s">
        <v>130</v>
      </c>
      <c r="T7" t="s">
        <v>717</v>
      </c>
      <c r="U7" t="s">
        <v>717</v>
      </c>
      <c r="V7" t="s">
        <v>717</v>
      </c>
      <c r="W7">
        <v>43806</v>
      </c>
      <c r="X7" t="s">
        <v>2533</v>
      </c>
      <c r="Y7" t="s">
        <v>6</v>
      </c>
      <c r="Z7" t="s">
        <v>11</v>
      </c>
      <c r="AA7" t="s">
        <v>717</v>
      </c>
      <c r="AB7" t="s">
        <v>2509</v>
      </c>
      <c r="AC7" t="s">
        <v>118</v>
      </c>
      <c r="AD7" t="s">
        <v>717</v>
      </c>
      <c r="AE7" t="s">
        <v>2524</v>
      </c>
      <c r="AF7" t="s">
        <v>717</v>
      </c>
      <c r="AG7" t="s">
        <v>2526</v>
      </c>
      <c r="AH7" t="s">
        <v>2191</v>
      </c>
      <c r="AI7" t="s">
        <v>2513</v>
      </c>
      <c r="AJ7" t="s">
        <v>2514</v>
      </c>
      <c r="AK7" t="s">
        <v>20</v>
      </c>
      <c r="AL7" t="s">
        <v>717</v>
      </c>
      <c r="AM7" t="s">
        <v>10</v>
      </c>
      <c r="AN7" t="s">
        <v>717</v>
      </c>
    </row>
    <row r="8" spans="1:40" hidden="1">
      <c r="A8">
        <v>6</v>
      </c>
      <c r="B8">
        <v>6</v>
      </c>
      <c r="C8" s="58">
        <v>43808</v>
      </c>
      <c r="D8" t="s">
        <v>74</v>
      </c>
      <c r="E8" t="s">
        <v>2506</v>
      </c>
      <c r="F8">
        <v>5</v>
      </c>
      <c r="G8">
        <v>21</v>
      </c>
      <c r="H8">
        <v>288</v>
      </c>
      <c r="I8">
        <v>3</v>
      </c>
      <c r="J8">
        <v>78.03</v>
      </c>
      <c r="K8" t="s">
        <v>9</v>
      </c>
      <c r="L8">
        <v>3004155</v>
      </c>
      <c r="M8">
        <v>0</v>
      </c>
      <c r="N8">
        <v>3004155</v>
      </c>
      <c r="O8">
        <v>38500</v>
      </c>
      <c r="P8">
        <v>0</v>
      </c>
      <c r="Q8">
        <v>3004155</v>
      </c>
      <c r="R8">
        <v>38500</v>
      </c>
      <c r="S8" t="s">
        <v>130</v>
      </c>
      <c r="T8" t="s">
        <v>717</v>
      </c>
      <c r="U8" t="s">
        <v>717</v>
      </c>
      <c r="V8" t="s">
        <v>717</v>
      </c>
      <c r="W8">
        <v>43802</v>
      </c>
      <c r="X8" t="s">
        <v>2534</v>
      </c>
      <c r="Y8" t="s">
        <v>6</v>
      </c>
      <c r="Z8" t="s">
        <v>11</v>
      </c>
      <c r="AA8" t="s">
        <v>717</v>
      </c>
      <c r="AB8" t="s">
        <v>2509</v>
      </c>
      <c r="AC8" t="s">
        <v>118</v>
      </c>
      <c r="AD8" t="s">
        <v>717</v>
      </c>
      <c r="AE8" t="s">
        <v>2535</v>
      </c>
      <c r="AF8" t="s">
        <v>2536</v>
      </c>
      <c r="AG8" t="s">
        <v>2537</v>
      </c>
      <c r="AH8" t="s">
        <v>2191</v>
      </c>
      <c r="AI8" t="s">
        <v>2538</v>
      </c>
      <c r="AJ8" t="s">
        <v>2514</v>
      </c>
      <c r="AK8" t="s">
        <v>77</v>
      </c>
      <c r="AL8" t="s">
        <v>717</v>
      </c>
      <c r="AM8" t="s">
        <v>10</v>
      </c>
      <c r="AN8" t="s">
        <v>717</v>
      </c>
    </row>
    <row r="9" spans="1:40" hidden="1">
      <c r="A9">
        <v>7</v>
      </c>
      <c r="B9">
        <v>7</v>
      </c>
      <c r="C9" s="58">
        <v>43809</v>
      </c>
      <c r="D9" t="s">
        <v>74</v>
      </c>
      <c r="E9" t="s">
        <v>2515</v>
      </c>
      <c r="F9">
        <v>7</v>
      </c>
      <c r="G9">
        <v>16</v>
      </c>
      <c r="H9">
        <v>147</v>
      </c>
      <c r="I9">
        <v>1</v>
      </c>
      <c r="J9">
        <v>41.95</v>
      </c>
      <c r="K9" t="s">
        <v>9</v>
      </c>
      <c r="L9">
        <v>1732535</v>
      </c>
      <c r="M9">
        <v>0</v>
      </c>
      <c r="N9">
        <v>1732535</v>
      </c>
      <c r="O9">
        <v>41300</v>
      </c>
      <c r="P9">
        <v>0</v>
      </c>
      <c r="Q9">
        <v>1732535</v>
      </c>
      <c r="R9">
        <v>41300</v>
      </c>
      <c r="S9" t="s">
        <v>2507</v>
      </c>
      <c r="T9" t="s">
        <v>717</v>
      </c>
      <c r="U9" t="s">
        <v>717</v>
      </c>
      <c r="V9" t="s">
        <v>717</v>
      </c>
      <c r="W9">
        <v>43809</v>
      </c>
      <c r="X9" t="s">
        <v>2539</v>
      </c>
      <c r="Y9" t="s">
        <v>6</v>
      </c>
      <c r="Z9" t="s">
        <v>11</v>
      </c>
      <c r="AA9" t="s">
        <v>717</v>
      </c>
      <c r="AB9" t="s">
        <v>2509</v>
      </c>
      <c r="AC9" t="s">
        <v>118</v>
      </c>
      <c r="AD9" t="s">
        <v>717</v>
      </c>
      <c r="AE9" t="s">
        <v>2540</v>
      </c>
      <c r="AF9" t="s">
        <v>2541</v>
      </c>
      <c r="AG9" t="s">
        <v>2542</v>
      </c>
      <c r="AH9" t="s">
        <v>2191</v>
      </c>
      <c r="AI9" t="s">
        <v>2513</v>
      </c>
      <c r="AJ9" t="s">
        <v>2514</v>
      </c>
      <c r="AK9" t="s">
        <v>20</v>
      </c>
      <c r="AL9" t="s">
        <v>717</v>
      </c>
      <c r="AM9" t="s">
        <v>10</v>
      </c>
      <c r="AN9" t="s">
        <v>717</v>
      </c>
    </row>
    <row r="10" spans="1:40" hidden="1">
      <c r="A10">
        <v>8</v>
      </c>
      <c r="B10">
        <v>8</v>
      </c>
      <c r="C10" s="58">
        <v>43811</v>
      </c>
      <c r="D10" t="s">
        <v>74</v>
      </c>
      <c r="E10" t="s">
        <v>2506</v>
      </c>
      <c r="F10">
        <v>4</v>
      </c>
      <c r="G10">
        <v>23</v>
      </c>
      <c r="H10">
        <v>301</v>
      </c>
      <c r="I10">
        <v>1</v>
      </c>
      <c r="J10">
        <v>40.229999999999997</v>
      </c>
      <c r="K10" t="s">
        <v>15</v>
      </c>
      <c r="L10">
        <v>1577016</v>
      </c>
      <c r="M10">
        <v>0</v>
      </c>
      <c r="N10">
        <v>1577016</v>
      </c>
      <c r="O10">
        <v>39200</v>
      </c>
      <c r="P10">
        <v>0</v>
      </c>
      <c r="Q10">
        <v>1577016</v>
      </c>
      <c r="R10">
        <v>39200</v>
      </c>
      <c r="S10" t="s">
        <v>130</v>
      </c>
      <c r="T10" t="s">
        <v>717</v>
      </c>
      <c r="U10" t="s">
        <v>717</v>
      </c>
      <c r="V10" t="s">
        <v>717</v>
      </c>
      <c r="W10">
        <v>43814</v>
      </c>
      <c r="X10" t="s">
        <v>2543</v>
      </c>
      <c r="Y10" t="s">
        <v>6</v>
      </c>
      <c r="Z10" t="s">
        <v>11</v>
      </c>
      <c r="AA10" t="s">
        <v>717</v>
      </c>
      <c r="AB10" t="s">
        <v>2509</v>
      </c>
      <c r="AC10" t="s">
        <v>118</v>
      </c>
      <c r="AD10" t="s">
        <v>717</v>
      </c>
      <c r="AE10" t="s">
        <v>2544</v>
      </c>
      <c r="AF10" t="s">
        <v>2545</v>
      </c>
      <c r="AG10" t="s">
        <v>2546</v>
      </c>
      <c r="AH10" t="s">
        <v>2191</v>
      </c>
      <c r="AI10" t="s">
        <v>2547</v>
      </c>
      <c r="AJ10" t="s">
        <v>2514</v>
      </c>
      <c r="AK10" t="s">
        <v>2532</v>
      </c>
      <c r="AL10" t="s">
        <v>717</v>
      </c>
      <c r="AM10" t="s">
        <v>10</v>
      </c>
      <c r="AN10" t="s">
        <v>717</v>
      </c>
    </row>
    <row r="11" spans="1:40" hidden="1">
      <c r="A11">
        <v>9</v>
      </c>
      <c r="B11">
        <v>9</v>
      </c>
      <c r="C11" s="58">
        <v>43815</v>
      </c>
      <c r="D11" t="s">
        <v>74</v>
      </c>
      <c r="E11" t="s">
        <v>2506</v>
      </c>
      <c r="F11">
        <v>2</v>
      </c>
      <c r="G11">
        <v>9</v>
      </c>
      <c r="H11">
        <v>201</v>
      </c>
      <c r="I11">
        <v>1</v>
      </c>
      <c r="J11">
        <v>40.39</v>
      </c>
      <c r="K11" t="s">
        <v>9</v>
      </c>
      <c r="L11">
        <v>1583288</v>
      </c>
      <c r="M11">
        <v>0</v>
      </c>
      <c r="N11">
        <v>1583288</v>
      </c>
      <c r="O11">
        <v>39200</v>
      </c>
      <c r="P11">
        <v>0</v>
      </c>
      <c r="Q11">
        <v>1583288</v>
      </c>
      <c r="R11">
        <v>39200</v>
      </c>
      <c r="S11" t="s">
        <v>130</v>
      </c>
      <c r="T11" t="s">
        <v>717</v>
      </c>
      <c r="U11" t="s">
        <v>717</v>
      </c>
      <c r="V11" t="s">
        <v>717</v>
      </c>
      <c r="W11">
        <v>43815</v>
      </c>
      <c r="X11" t="s">
        <v>2548</v>
      </c>
      <c r="Y11" t="s">
        <v>6</v>
      </c>
      <c r="Z11" t="s">
        <v>11</v>
      </c>
      <c r="AA11" t="s">
        <v>717</v>
      </c>
      <c r="AB11" t="s">
        <v>2509</v>
      </c>
      <c r="AC11" t="s">
        <v>118</v>
      </c>
      <c r="AD11" t="s">
        <v>717</v>
      </c>
      <c r="AE11" t="s">
        <v>2549</v>
      </c>
      <c r="AF11" t="s">
        <v>2550</v>
      </c>
      <c r="AG11" t="s">
        <v>2551</v>
      </c>
      <c r="AH11" t="s">
        <v>2191</v>
      </c>
      <c r="AI11" t="s">
        <v>2552</v>
      </c>
      <c r="AJ11" t="s">
        <v>2514</v>
      </c>
      <c r="AK11" t="s">
        <v>20</v>
      </c>
      <c r="AL11" t="s">
        <v>717</v>
      </c>
      <c r="AM11" t="s">
        <v>10</v>
      </c>
      <c r="AN11" t="s">
        <v>717</v>
      </c>
    </row>
    <row r="12" spans="1:40" hidden="1">
      <c r="A12">
        <v>10</v>
      </c>
      <c r="B12">
        <v>10</v>
      </c>
      <c r="C12" s="58">
        <v>43815</v>
      </c>
      <c r="D12" t="s">
        <v>74</v>
      </c>
      <c r="E12" t="s">
        <v>2515</v>
      </c>
      <c r="F12">
        <v>9</v>
      </c>
      <c r="G12">
        <v>8</v>
      </c>
      <c r="H12">
        <v>69</v>
      </c>
      <c r="I12">
        <v>2</v>
      </c>
      <c r="J12">
        <v>66.14</v>
      </c>
      <c r="K12" t="s">
        <v>9</v>
      </c>
      <c r="L12">
        <v>2546390</v>
      </c>
      <c r="M12">
        <v>0</v>
      </c>
      <c r="N12">
        <v>2546390</v>
      </c>
      <c r="O12">
        <v>38500</v>
      </c>
      <c r="P12">
        <v>0</v>
      </c>
      <c r="Q12">
        <v>2546390</v>
      </c>
      <c r="R12">
        <v>38500</v>
      </c>
      <c r="S12" t="s">
        <v>130</v>
      </c>
      <c r="T12" t="s">
        <v>717</v>
      </c>
      <c r="U12" t="s">
        <v>717</v>
      </c>
      <c r="V12" t="s">
        <v>717</v>
      </c>
      <c r="W12">
        <v>43815</v>
      </c>
      <c r="X12" t="s">
        <v>2553</v>
      </c>
      <c r="Y12" t="s">
        <v>6</v>
      </c>
      <c r="Z12" t="s">
        <v>11</v>
      </c>
      <c r="AA12" t="s">
        <v>717</v>
      </c>
      <c r="AB12" t="s">
        <v>2509</v>
      </c>
      <c r="AC12" t="s">
        <v>118</v>
      </c>
      <c r="AD12" t="s">
        <v>717</v>
      </c>
      <c r="AE12" t="s">
        <v>2554</v>
      </c>
      <c r="AF12" t="s">
        <v>2555</v>
      </c>
      <c r="AG12" t="s">
        <v>2556</v>
      </c>
      <c r="AH12" t="s">
        <v>2191</v>
      </c>
      <c r="AI12" t="s">
        <v>2513</v>
      </c>
      <c r="AJ12" t="s">
        <v>2514</v>
      </c>
      <c r="AK12" t="s">
        <v>77</v>
      </c>
      <c r="AL12" t="s">
        <v>717</v>
      </c>
      <c r="AM12" t="s">
        <v>10</v>
      </c>
      <c r="AN12" t="s">
        <v>717</v>
      </c>
    </row>
    <row r="13" spans="1:40" hidden="1">
      <c r="A13">
        <v>11</v>
      </c>
      <c r="B13">
        <v>11</v>
      </c>
      <c r="C13" s="58">
        <v>43822</v>
      </c>
      <c r="D13" t="s">
        <v>74</v>
      </c>
      <c r="E13" t="s">
        <v>2506</v>
      </c>
      <c r="F13">
        <v>4</v>
      </c>
      <c r="G13">
        <v>9</v>
      </c>
      <c r="H13">
        <v>203</v>
      </c>
      <c r="I13">
        <v>1</v>
      </c>
      <c r="J13">
        <v>40.58</v>
      </c>
      <c r="K13" t="s">
        <v>9</v>
      </c>
      <c r="L13">
        <v>1590736</v>
      </c>
      <c r="M13">
        <v>0</v>
      </c>
      <c r="N13">
        <v>1590736</v>
      </c>
      <c r="O13">
        <v>39200</v>
      </c>
      <c r="P13">
        <v>0</v>
      </c>
      <c r="Q13">
        <v>1590736</v>
      </c>
      <c r="R13">
        <v>39200</v>
      </c>
      <c r="S13" t="s">
        <v>65</v>
      </c>
      <c r="T13" t="s">
        <v>717</v>
      </c>
      <c r="U13" t="s">
        <v>717</v>
      </c>
      <c r="V13" t="s">
        <v>717</v>
      </c>
      <c r="W13">
        <v>43813</v>
      </c>
      <c r="X13" t="s">
        <v>2557</v>
      </c>
      <c r="Y13" t="s">
        <v>6</v>
      </c>
      <c r="Z13" t="s">
        <v>11</v>
      </c>
      <c r="AA13" t="s">
        <v>717</v>
      </c>
      <c r="AB13" t="s">
        <v>2509</v>
      </c>
      <c r="AC13" t="s">
        <v>2558</v>
      </c>
      <c r="AD13" t="s">
        <v>717</v>
      </c>
      <c r="AE13" t="s">
        <v>2559</v>
      </c>
      <c r="AF13" t="s">
        <v>2560</v>
      </c>
      <c r="AG13" t="s">
        <v>2561</v>
      </c>
      <c r="AH13" t="s">
        <v>2191</v>
      </c>
      <c r="AI13" t="s">
        <v>2521</v>
      </c>
      <c r="AJ13" t="s">
        <v>2514</v>
      </c>
      <c r="AK13" t="s">
        <v>63</v>
      </c>
      <c r="AL13" t="s">
        <v>2562</v>
      </c>
      <c r="AM13" t="s">
        <v>10</v>
      </c>
      <c r="AN13" t="s">
        <v>717</v>
      </c>
    </row>
    <row r="14" spans="1:40" hidden="1">
      <c r="A14">
        <v>12</v>
      </c>
      <c r="B14">
        <v>12</v>
      </c>
      <c r="C14" s="58">
        <v>43822</v>
      </c>
      <c r="D14" t="s">
        <v>74</v>
      </c>
      <c r="E14" t="s">
        <v>2506</v>
      </c>
      <c r="F14">
        <v>5</v>
      </c>
      <c r="G14">
        <v>23</v>
      </c>
      <c r="H14">
        <v>302</v>
      </c>
      <c r="I14">
        <v>3</v>
      </c>
      <c r="J14">
        <v>78.03</v>
      </c>
      <c r="K14" t="s">
        <v>9</v>
      </c>
      <c r="L14">
        <v>3004155</v>
      </c>
      <c r="M14">
        <v>0</v>
      </c>
      <c r="N14">
        <v>3004155</v>
      </c>
      <c r="O14">
        <v>38500</v>
      </c>
      <c r="P14">
        <v>0</v>
      </c>
      <c r="Q14">
        <v>3004155</v>
      </c>
      <c r="R14">
        <v>38500</v>
      </c>
      <c r="S14" t="s">
        <v>65</v>
      </c>
      <c r="T14" t="s">
        <v>717</v>
      </c>
      <c r="U14" t="s">
        <v>717</v>
      </c>
      <c r="V14" t="s">
        <v>717</v>
      </c>
      <c r="W14">
        <v>43822</v>
      </c>
      <c r="X14" t="s">
        <v>2563</v>
      </c>
      <c r="Y14" t="s">
        <v>6</v>
      </c>
      <c r="Z14" t="s">
        <v>11</v>
      </c>
      <c r="AA14" t="s">
        <v>717</v>
      </c>
      <c r="AB14" t="s">
        <v>2509</v>
      </c>
      <c r="AC14" t="s">
        <v>2564</v>
      </c>
      <c r="AD14" t="s">
        <v>717</v>
      </c>
      <c r="AE14" t="s">
        <v>2565</v>
      </c>
      <c r="AF14" t="s">
        <v>2566</v>
      </c>
      <c r="AG14" t="s">
        <v>2567</v>
      </c>
      <c r="AH14" t="s">
        <v>2191</v>
      </c>
      <c r="AI14" t="s">
        <v>2568</v>
      </c>
      <c r="AJ14" t="s">
        <v>2569</v>
      </c>
      <c r="AK14" t="s">
        <v>77</v>
      </c>
      <c r="AL14" t="s">
        <v>2562</v>
      </c>
      <c r="AM14" t="s">
        <v>10</v>
      </c>
      <c r="AN14" t="s">
        <v>717</v>
      </c>
    </row>
    <row r="15" spans="1:40" hidden="1">
      <c r="A15">
        <v>13</v>
      </c>
      <c r="B15">
        <v>13</v>
      </c>
      <c r="C15" s="58">
        <v>43823</v>
      </c>
      <c r="D15" t="s">
        <v>74</v>
      </c>
      <c r="E15" t="s">
        <v>2506</v>
      </c>
      <c r="F15">
        <v>6</v>
      </c>
      <c r="G15">
        <v>19</v>
      </c>
      <c r="H15">
        <v>275</v>
      </c>
      <c r="I15">
        <v>2</v>
      </c>
      <c r="J15">
        <v>64.150000000000006</v>
      </c>
      <c r="K15" t="s">
        <v>9</v>
      </c>
      <c r="L15">
        <v>2469775</v>
      </c>
      <c r="M15">
        <v>0</v>
      </c>
      <c r="N15">
        <v>2469775</v>
      </c>
      <c r="O15">
        <v>38500</v>
      </c>
      <c r="P15">
        <v>0</v>
      </c>
      <c r="Q15">
        <v>2469775</v>
      </c>
      <c r="R15">
        <v>38500</v>
      </c>
      <c r="S15" t="s">
        <v>65</v>
      </c>
      <c r="T15" t="s">
        <v>717</v>
      </c>
      <c r="U15" t="s">
        <v>717</v>
      </c>
      <c r="V15" t="s">
        <v>717</v>
      </c>
      <c r="W15">
        <v>43823</v>
      </c>
      <c r="X15" t="s">
        <v>2570</v>
      </c>
      <c r="Y15" t="s">
        <v>6</v>
      </c>
      <c r="Z15" t="s">
        <v>11</v>
      </c>
      <c r="AA15" t="s">
        <v>717</v>
      </c>
      <c r="AB15" t="s">
        <v>2509</v>
      </c>
      <c r="AC15" t="s">
        <v>2571</v>
      </c>
      <c r="AD15" t="s">
        <v>717</v>
      </c>
      <c r="AE15" t="s">
        <v>2572</v>
      </c>
      <c r="AF15" t="s">
        <v>2573</v>
      </c>
      <c r="AG15" t="s">
        <v>2574</v>
      </c>
      <c r="AH15" t="s">
        <v>2191</v>
      </c>
      <c r="AI15" t="s">
        <v>2513</v>
      </c>
      <c r="AJ15" t="s">
        <v>2514</v>
      </c>
      <c r="AK15" t="s">
        <v>2532</v>
      </c>
      <c r="AL15" t="s">
        <v>2562</v>
      </c>
      <c r="AM15" t="s">
        <v>10</v>
      </c>
      <c r="AN15" t="s">
        <v>717</v>
      </c>
    </row>
    <row r="16" spans="1:40" hidden="1">
      <c r="A16">
        <v>14</v>
      </c>
      <c r="B16">
        <v>14</v>
      </c>
      <c r="C16" s="58">
        <v>43823</v>
      </c>
      <c r="D16" t="s">
        <v>74</v>
      </c>
      <c r="E16" t="s">
        <v>2506</v>
      </c>
      <c r="F16">
        <v>3</v>
      </c>
      <c r="G16">
        <v>24</v>
      </c>
      <c r="H16">
        <v>307</v>
      </c>
      <c r="I16">
        <v>1</v>
      </c>
      <c r="J16">
        <v>41.1</v>
      </c>
      <c r="K16" t="s">
        <v>9</v>
      </c>
      <c r="L16">
        <v>1611120</v>
      </c>
      <c r="M16">
        <v>0</v>
      </c>
      <c r="N16">
        <v>1611120</v>
      </c>
      <c r="O16">
        <v>39200</v>
      </c>
      <c r="P16">
        <v>0</v>
      </c>
      <c r="Q16">
        <v>1611120</v>
      </c>
      <c r="R16">
        <v>39200</v>
      </c>
      <c r="S16" t="s">
        <v>65</v>
      </c>
      <c r="T16" t="s">
        <v>717</v>
      </c>
      <c r="U16" t="s">
        <v>717</v>
      </c>
      <c r="V16" t="s">
        <v>717</v>
      </c>
      <c r="W16">
        <v>43823</v>
      </c>
      <c r="X16" t="s">
        <v>2575</v>
      </c>
      <c r="Y16" t="s">
        <v>6</v>
      </c>
      <c r="Z16" t="s">
        <v>11</v>
      </c>
      <c r="AA16" t="s">
        <v>717</v>
      </c>
      <c r="AB16" t="s">
        <v>2509</v>
      </c>
      <c r="AC16" t="s">
        <v>2576</v>
      </c>
      <c r="AD16" t="s">
        <v>717</v>
      </c>
      <c r="AE16" t="s">
        <v>2577</v>
      </c>
      <c r="AF16" t="s">
        <v>2578</v>
      </c>
      <c r="AG16" t="s">
        <v>2579</v>
      </c>
      <c r="AH16" t="s">
        <v>2580</v>
      </c>
      <c r="AI16" t="s">
        <v>2521</v>
      </c>
      <c r="AJ16" t="s">
        <v>2514</v>
      </c>
      <c r="AK16" t="s">
        <v>77</v>
      </c>
      <c r="AL16" t="s">
        <v>16</v>
      </c>
      <c r="AM16" t="s">
        <v>10</v>
      </c>
      <c r="AN16" t="s">
        <v>717</v>
      </c>
    </row>
    <row r="17" spans="1:40" hidden="1">
      <c r="A17">
        <v>15</v>
      </c>
      <c r="B17">
        <v>15</v>
      </c>
      <c r="C17" s="58">
        <v>43823</v>
      </c>
      <c r="D17" t="s">
        <v>74</v>
      </c>
      <c r="E17" t="s">
        <v>2581</v>
      </c>
      <c r="F17">
        <v>3</v>
      </c>
      <c r="G17">
        <v>2</v>
      </c>
      <c r="H17">
        <v>314</v>
      </c>
      <c r="I17">
        <v>1</v>
      </c>
      <c r="J17">
        <v>41.9</v>
      </c>
      <c r="K17" t="s">
        <v>9</v>
      </c>
      <c r="L17">
        <v>1642480</v>
      </c>
      <c r="M17">
        <v>0</v>
      </c>
      <c r="N17">
        <v>1642480</v>
      </c>
      <c r="O17">
        <v>39200</v>
      </c>
      <c r="P17">
        <v>0</v>
      </c>
      <c r="Q17">
        <v>1642480</v>
      </c>
      <c r="R17">
        <v>39200</v>
      </c>
      <c r="S17" t="s">
        <v>65</v>
      </c>
      <c r="T17" t="s">
        <v>717</v>
      </c>
      <c r="U17" t="s">
        <v>717</v>
      </c>
      <c r="V17" t="s">
        <v>717</v>
      </c>
      <c r="W17">
        <v>43823</v>
      </c>
      <c r="X17" t="s">
        <v>2582</v>
      </c>
      <c r="Y17" t="s">
        <v>6</v>
      </c>
      <c r="Z17" t="s">
        <v>11</v>
      </c>
      <c r="AA17" t="s">
        <v>717</v>
      </c>
      <c r="AB17" t="s">
        <v>2509</v>
      </c>
      <c r="AC17" t="s">
        <v>2564</v>
      </c>
      <c r="AD17" t="s">
        <v>717</v>
      </c>
      <c r="AE17" t="s">
        <v>2583</v>
      </c>
      <c r="AF17" t="s">
        <v>2584</v>
      </c>
      <c r="AG17" t="s">
        <v>2585</v>
      </c>
      <c r="AH17" t="s">
        <v>2191</v>
      </c>
      <c r="AI17" t="s">
        <v>2521</v>
      </c>
      <c r="AJ17" t="s">
        <v>2569</v>
      </c>
      <c r="AK17" t="s">
        <v>63</v>
      </c>
      <c r="AL17" t="s">
        <v>16</v>
      </c>
      <c r="AM17" t="s">
        <v>10</v>
      </c>
      <c r="AN17" t="s">
        <v>717</v>
      </c>
    </row>
    <row r="18" spans="1:40" hidden="1">
      <c r="A18">
        <v>16</v>
      </c>
      <c r="B18">
        <v>16</v>
      </c>
      <c r="C18" s="58">
        <v>43824</v>
      </c>
      <c r="D18" t="s">
        <v>74</v>
      </c>
      <c r="E18" t="s">
        <v>2506</v>
      </c>
      <c r="F18">
        <v>4</v>
      </c>
      <c r="G18">
        <v>20</v>
      </c>
      <c r="H18">
        <v>280</v>
      </c>
      <c r="I18">
        <v>1</v>
      </c>
      <c r="J18">
        <v>40.229999999999997</v>
      </c>
      <c r="K18" t="s">
        <v>9</v>
      </c>
      <c r="L18">
        <v>1661499</v>
      </c>
      <c r="M18">
        <v>0</v>
      </c>
      <c r="N18">
        <v>1661499</v>
      </c>
      <c r="O18">
        <v>41300</v>
      </c>
      <c r="P18">
        <v>0</v>
      </c>
      <c r="Q18">
        <v>1661499</v>
      </c>
      <c r="R18">
        <v>41300</v>
      </c>
      <c r="S18" t="s">
        <v>65</v>
      </c>
      <c r="T18" t="s">
        <v>717</v>
      </c>
      <c r="U18" t="s">
        <v>717</v>
      </c>
      <c r="V18" t="s">
        <v>717</v>
      </c>
      <c r="W18">
        <v>43824</v>
      </c>
      <c r="X18" t="s">
        <v>2586</v>
      </c>
      <c r="Y18" t="s">
        <v>6</v>
      </c>
      <c r="Z18" t="s">
        <v>11</v>
      </c>
      <c r="AA18" t="s">
        <v>717</v>
      </c>
      <c r="AB18" t="s">
        <v>2509</v>
      </c>
      <c r="AC18" t="s">
        <v>2571</v>
      </c>
      <c r="AD18" t="s">
        <v>717</v>
      </c>
      <c r="AE18" t="s">
        <v>2587</v>
      </c>
      <c r="AF18" t="s">
        <v>2588</v>
      </c>
      <c r="AG18" t="s">
        <v>2589</v>
      </c>
      <c r="AH18" t="s">
        <v>2191</v>
      </c>
      <c r="AI18" t="s">
        <v>2590</v>
      </c>
      <c r="AJ18" t="s">
        <v>2514</v>
      </c>
      <c r="AK18" t="s">
        <v>63</v>
      </c>
      <c r="AL18" t="s">
        <v>2562</v>
      </c>
      <c r="AM18" t="s">
        <v>10</v>
      </c>
      <c r="AN18" t="s">
        <v>717</v>
      </c>
    </row>
    <row r="19" spans="1:40" hidden="1">
      <c r="A19">
        <v>17</v>
      </c>
      <c r="B19">
        <v>1</v>
      </c>
      <c r="C19" s="58">
        <v>43834</v>
      </c>
      <c r="D19" t="s">
        <v>74</v>
      </c>
      <c r="E19" t="s">
        <v>2515</v>
      </c>
      <c r="F19">
        <v>1</v>
      </c>
      <c r="G19">
        <v>5</v>
      </c>
      <c r="H19">
        <v>31</v>
      </c>
      <c r="I19">
        <v>0</v>
      </c>
      <c r="J19">
        <v>32.03</v>
      </c>
      <c r="K19" t="s">
        <v>9</v>
      </c>
      <c r="L19">
        <v>1322839</v>
      </c>
      <c r="M19">
        <v>0</v>
      </c>
      <c r="N19">
        <v>1322839</v>
      </c>
      <c r="O19">
        <v>41300</v>
      </c>
      <c r="P19">
        <v>0</v>
      </c>
      <c r="Q19">
        <v>1322839</v>
      </c>
      <c r="R19">
        <v>41300</v>
      </c>
      <c r="S19" t="s">
        <v>130</v>
      </c>
      <c r="T19" t="s">
        <v>717</v>
      </c>
      <c r="U19" t="s">
        <v>717</v>
      </c>
      <c r="V19" t="s">
        <v>717</v>
      </c>
      <c r="W19">
        <v>43834</v>
      </c>
      <c r="X19" t="s">
        <v>2591</v>
      </c>
      <c r="Y19" t="s">
        <v>6</v>
      </c>
      <c r="Z19" t="s">
        <v>11</v>
      </c>
      <c r="AA19" t="s">
        <v>717</v>
      </c>
      <c r="AB19" t="s">
        <v>2509</v>
      </c>
      <c r="AC19" t="s">
        <v>118</v>
      </c>
      <c r="AD19" t="s">
        <v>717</v>
      </c>
      <c r="AE19" t="s">
        <v>2592</v>
      </c>
      <c r="AF19" t="s">
        <v>2593</v>
      </c>
      <c r="AG19" t="s">
        <v>2594</v>
      </c>
      <c r="AH19" t="s">
        <v>2191</v>
      </c>
      <c r="AI19" t="s">
        <v>2552</v>
      </c>
      <c r="AJ19" t="s">
        <v>2514</v>
      </c>
      <c r="AK19" t="s">
        <v>2532</v>
      </c>
      <c r="AL19" t="s">
        <v>717</v>
      </c>
      <c r="AM19" t="s">
        <v>10</v>
      </c>
      <c r="AN19" t="s">
        <v>717</v>
      </c>
    </row>
    <row r="20" spans="1:40" hidden="1">
      <c r="A20">
        <v>18</v>
      </c>
      <c r="B20">
        <v>2</v>
      </c>
      <c r="C20" s="58">
        <v>43838</v>
      </c>
      <c r="D20" t="s">
        <v>74</v>
      </c>
      <c r="E20" t="s">
        <v>2506</v>
      </c>
      <c r="F20">
        <v>2</v>
      </c>
      <c r="G20">
        <v>17</v>
      </c>
      <c r="H20">
        <v>257</v>
      </c>
      <c r="I20">
        <v>1</v>
      </c>
      <c r="J20">
        <v>40.39</v>
      </c>
      <c r="K20" t="s">
        <v>9</v>
      </c>
      <c r="L20">
        <v>1668107</v>
      </c>
      <c r="M20">
        <v>0</v>
      </c>
      <c r="N20">
        <v>1668107</v>
      </c>
      <c r="O20">
        <v>41300</v>
      </c>
      <c r="P20">
        <v>0</v>
      </c>
      <c r="Q20">
        <v>1668107</v>
      </c>
      <c r="R20">
        <v>41300</v>
      </c>
      <c r="S20" t="s">
        <v>130</v>
      </c>
      <c r="T20" t="s">
        <v>717</v>
      </c>
      <c r="U20" t="s">
        <v>717</v>
      </c>
      <c r="V20" t="s">
        <v>717</v>
      </c>
      <c r="W20">
        <v>43838</v>
      </c>
      <c r="X20" t="s">
        <v>2595</v>
      </c>
      <c r="Y20" t="s">
        <v>6</v>
      </c>
      <c r="Z20" t="s">
        <v>11</v>
      </c>
      <c r="AA20" t="s">
        <v>717</v>
      </c>
      <c r="AB20" t="s">
        <v>2509</v>
      </c>
      <c r="AC20" t="s">
        <v>118</v>
      </c>
      <c r="AD20" t="s">
        <v>717</v>
      </c>
      <c r="AE20" t="s">
        <v>2596</v>
      </c>
      <c r="AF20" t="s">
        <v>2597</v>
      </c>
      <c r="AG20" t="s">
        <v>2598</v>
      </c>
      <c r="AH20" t="s">
        <v>2191</v>
      </c>
      <c r="AI20" t="s">
        <v>2552</v>
      </c>
      <c r="AJ20" t="s">
        <v>2514</v>
      </c>
      <c r="AK20" t="s">
        <v>63</v>
      </c>
      <c r="AL20" t="s">
        <v>717</v>
      </c>
      <c r="AM20" t="s">
        <v>10</v>
      </c>
      <c r="AN20" t="s">
        <v>717</v>
      </c>
    </row>
    <row r="21" spans="1:40" hidden="1">
      <c r="A21">
        <v>19</v>
      </c>
      <c r="B21">
        <v>3</v>
      </c>
      <c r="C21" s="58">
        <v>43838</v>
      </c>
      <c r="D21" t="s">
        <v>74</v>
      </c>
      <c r="E21" t="s">
        <v>2506</v>
      </c>
      <c r="F21">
        <v>2</v>
      </c>
      <c r="G21">
        <v>18</v>
      </c>
      <c r="H21">
        <v>264</v>
      </c>
      <c r="I21">
        <v>1</v>
      </c>
      <c r="J21">
        <v>40.39</v>
      </c>
      <c r="K21" t="s">
        <v>9</v>
      </c>
      <c r="L21">
        <v>1668107</v>
      </c>
      <c r="M21">
        <v>0</v>
      </c>
      <c r="N21">
        <v>1668107</v>
      </c>
      <c r="O21">
        <v>41300</v>
      </c>
      <c r="P21">
        <v>0</v>
      </c>
      <c r="Q21">
        <v>1668107</v>
      </c>
      <c r="R21">
        <v>41300</v>
      </c>
      <c r="S21" t="s">
        <v>2507</v>
      </c>
      <c r="T21" t="s">
        <v>717</v>
      </c>
      <c r="U21" t="s">
        <v>717</v>
      </c>
      <c r="V21" t="s">
        <v>717</v>
      </c>
      <c r="W21">
        <v>43838</v>
      </c>
      <c r="X21" t="s">
        <v>2599</v>
      </c>
      <c r="Y21" t="s">
        <v>6</v>
      </c>
      <c r="Z21" t="s">
        <v>11</v>
      </c>
      <c r="AA21" t="s">
        <v>717</v>
      </c>
      <c r="AB21" t="s">
        <v>2509</v>
      </c>
      <c r="AC21" t="s">
        <v>118</v>
      </c>
      <c r="AD21" t="s">
        <v>717</v>
      </c>
      <c r="AE21" t="s">
        <v>2596</v>
      </c>
      <c r="AF21" t="s">
        <v>2597</v>
      </c>
      <c r="AG21" t="s">
        <v>2598</v>
      </c>
      <c r="AH21" t="s">
        <v>2580</v>
      </c>
      <c r="AI21" t="s">
        <v>2600</v>
      </c>
      <c r="AJ21" t="s">
        <v>2514</v>
      </c>
      <c r="AK21" t="s">
        <v>63</v>
      </c>
      <c r="AL21" t="s">
        <v>717</v>
      </c>
      <c r="AM21" t="s">
        <v>10</v>
      </c>
      <c r="AN21" t="s">
        <v>717</v>
      </c>
    </row>
    <row r="22" spans="1:40" hidden="1">
      <c r="A22">
        <v>20</v>
      </c>
      <c r="B22">
        <v>4</v>
      </c>
      <c r="C22" s="58">
        <v>43839</v>
      </c>
      <c r="D22" t="s">
        <v>74</v>
      </c>
      <c r="E22" t="s">
        <v>2515</v>
      </c>
      <c r="F22">
        <v>7</v>
      </c>
      <c r="G22">
        <v>8</v>
      </c>
      <c r="H22">
        <v>67</v>
      </c>
      <c r="I22">
        <v>1</v>
      </c>
      <c r="J22">
        <v>42.32</v>
      </c>
      <c r="K22" t="s">
        <v>9</v>
      </c>
      <c r="L22">
        <v>1658944</v>
      </c>
      <c r="M22">
        <v>0</v>
      </c>
      <c r="N22">
        <v>1658944</v>
      </c>
      <c r="O22">
        <v>39200</v>
      </c>
      <c r="P22">
        <v>0</v>
      </c>
      <c r="Q22">
        <v>1658944</v>
      </c>
      <c r="R22">
        <v>39200</v>
      </c>
      <c r="S22" t="s">
        <v>65</v>
      </c>
      <c r="T22" t="s">
        <v>717</v>
      </c>
      <c r="U22" t="s">
        <v>717</v>
      </c>
      <c r="V22" t="s">
        <v>717</v>
      </c>
      <c r="W22">
        <v>43839</v>
      </c>
      <c r="X22" t="s">
        <v>2601</v>
      </c>
      <c r="Y22" t="s">
        <v>6</v>
      </c>
      <c r="Z22" t="s">
        <v>11</v>
      </c>
      <c r="AA22" t="s">
        <v>717</v>
      </c>
      <c r="AB22" t="s">
        <v>2509</v>
      </c>
      <c r="AC22" t="s">
        <v>2571</v>
      </c>
      <c r="AD22" t="s">
        <v>717</v>
      </c>
      <c r="AE22" t="s">
        <v>2602</v>
      </c>
      <c r="AF22" t="s">
        <v>2603</v>
      </c>
      <c r="AG22" t="s">
        <v>2604</v>
      </c>
      <c r="AH22" t="s">
        <v>2191</v>
      </c>
      <c r="AI22" t="s">
        <v>2605</v>
      </c>
      <c r="AJ22" t="s">
        <v>2514</v>
      </c>
      <c r="AK22" t="s">
        <v>2532</v>
      </c>
      <c r="AL22" t="s">
        <v>16</v>
      </c>
      <c r="AM22" t="s">
        <v>10</v>
      </c>
      <c r="AN22" t="s">
        <v>717</v>
      </c>
    </row>
    <row r="23" spans="1:40" hidden="1">
      <c r="A23">
        <v>21</v>
      </c>
      <c r="B23">
        <v>5</v>
      </c>
      <c r="C23" s="58">
        <v>43840</v>
      </c>
      <c r="D23" t="s">
        <v>74</v>
      </c>
      <c r="E23" t="s">
        <v>2581</v>
      </c>
      <c r="F23">
        <v>3</v>
      </c>
      <c r="G23">
        <v>3</v>
      </c>
      <c r="H23">
        <v>322</v>
      </c>
      <c r="I23">
        <v>1</v>
      </c>
      <c r="J23">
        <v>41.9</v>
      </c>
      <c r="K23" t="s">
        <v>9</v>
      </c>
      <c r="L23">
        <v>1730470</v>
      </c>
      <c r="M23">
        <v>0</v>
      </c>
      <c r="N23">
        <v>1730470</v>
      </c>
      <c r="O23">
        <v>41300</v>
      </c>
      <c r="P23">
        <v>0</v>
      </c>
      <c r="Q23">
        <v>1730470</v>
      </c>
      <c r="R23">
        <v>41300</v>
      </c>
      <c r="S23" t="s">
        <v>130</v>
      </c>
      <c r="T23" t="s">
        <v>717</v>
      </c>
      <c r="U23" t="s">
        <v>717</v>
      </c>
      <c r="V23" t="s">
        <v>717</v>
      </c>
      <c r="W23">
        <v>43840</v>
      </c>
      <c r="X23" t="s">
        <v>2606</v>
      </c>
      <c r="Y23" t="s">
        <v>6</v>
      </c>
      <c r="Z23" t="s">
        <v>11</v>
      </c>
      <c r="AA23" t="s">
        <v>717</v>
      </c>
      <c r="AB23" t="s">
        <v>2509</v>
      </c>
      <c r="AC23" t="s">
        <v>118</v>
      </c>
      <c r="AD23" t="s">
        <v>717</v>
      </c>
      <c r="AE23" t="s">
        <v>2607</v>
      </c>
      <c r="AF23" t="s">
        <v>2608</v>
      </c>
      <c r="AG23" t="s">
        <v>2609</v>
      </c>
      <c r="AH23" t="s">
        <v>2191</v>
      </c>
      <c r="AI23" t="s">
        <v>2552</v>
      </c>
      <c r="AJ23" t="s">
        <v>2514</v>
      </c>
      <c r="AK23" t="s">
        <v>2532</v>
      </c>
      <c r="AL23" t="s">
        <v>717</v>
      </c>
      <c r="AM23" t="s">
        <v>10</v>
      </c>
      <c r="AN23" t="s">
        <v>717</v>
      </c>
    </row>
    <row r="24" spans="1:40" hidden="1">
      <c r="A24">
        <v>22</v>
      </c>
      <c r="B24">
        <v>6</v>
      </c>
      <c r="C24" s="58">
        <v>43844</v>
      </c>
      <c r="D24" t="s">
        <v>74</v>
      </c>
      <c r="E24" t="s">
        <v>2515</v>
      </c>
      <c r="F24">
        <v>1</v>
      </c>
      <c r="G24">
        <v>4</v>
      </c>
      <c r="H24">
        <v>21</v>
      </c>
      <c r="I24">
        <v>0</v>
      </c>
      <c r="J24">
        <v>32.03</v>
      </c>
      <c r="K24" t="s">
        <v>9</v>
      </c>
      <c r="L24">
        <v>1322839</v>
      </c>
      <c r="M24">
        <v>0</v>
      </c>
      <c r="N24">
        <v>1322839</v>
      </c>
      <c r="O24">
        <v>41300</v>
      </c>
      <c r="P24">
        <v>0</v>
      </c>
      <c r="Q24">
        <v>1322839</v>
      </c>
      <c r="R24">
        <v>41300</v>
      </c>
      <c r="S24" t="s">
        <v>2507</v>
      </c>
      <c r="T24" t="s">
        <v>717</v>
      </c>
      <c r="U24" t="s">
        <v>717</v>
      </c>
      <c r="V24" t="s">
        <v>717</v>
      </c>
      <c r="W24">
        <v>43844</v>
      </c>
      <c r="X24" t="s">
        <v>2610</v>
      </c>
      <c r="Y24" t="s">
        <v>2611</v>
      </c>
      <c r="Z24" t="s">
        <v>11</v>
      </c>
      <c r="AA24" t="s">
        <v>717</v>
      </c>
      <c r="AB24" t="s">
        <v>2509</v>
      </c>
      <c r="AC24" t="s">
        <v>118</v>
      </c>
      <c r="AD24">
        <v>44438</v>
      </c>
      <c r="AE24" t="s">
        <v>2612</v>
      </c>
      <c r="AF24" t="s">
        <v>2613</v>
      </c>
      <c r="AG24" t="s">
        <v>2614</v>
      </c>
      <c r="AH24" t="s">
        <v>2615</v>
      </c>
      <c r="AI24" t="s">
        <v>2552</v>
      </c>
      <c r="AJ24" t="s">
        <v>2616</v>
      </c>
      <c r="AK24" t="s">
        <v>73</v>
      </c>
      <c r="AL24" t="s">
        <v>717</v>
      </c>
      <c r="AM24" t="s">
        <v>10</v>
      </c>
      <c r="AN24" t="s">
        <v>717</v>
      </c>
    </row>
    <row r="25" spans="1:40" hidden="1">
      <c r="A25">
        <v>23</v>
      </c>
      <c r="B25">
        <v>7</v>
      </c>
      <c r="C25" s="58">
        <v>43844</v>
      </c>
      <c r="D25" t="s">
        <v>74</v>
      </c>
      <c r="E25" t="s">
        <v>2515</v>
      </c>
      <c r="F25">
        <v>2</v>
      </c>
      <c r="G25">
        <v>11</v>
      </c>
      <c r="H25">
        <v>92</v>
      </c>
      <c r="I25">
        <v>0</v>
      </c>
      <c r="J25">
        <v>31.88</v>
      </c>
      <c r="K25" t="s">
        <v>9</v>
      </c>
      <c r="L25">
        <v>1316644</v>
      </c>
      <c r="M25">
        <v>0</v>
      </c>
      <c r="N25">
        <v>1316644</v>
      </c>
      <c r="O25">
        <v>41300</v>
      </c>
      <c r="P25">
        <v>0</v>
      </c>
      <c r="Q25">
        <v>1316644</v>
      </c>
      <c r="R25">
        <v>41300</v>
      </c>
      <c r="S25" t="s">
        <v>2507</v>
      </c>
      <c r="T25" t="s">
        <v>717</v>
      </c>
      <c r="U25" t="s">
        <v>717</v>
      </c>
      <c r="V25" t="s">
        <v>717</v>
      </c>
      <c r="W25">
        <v>43844</v>
      </c>
      <c r="X25" t="s">
        <v>2617</v>
      </c>
      <c r="Y25" t="s">
        <v>6</v>
      </c>
      <c r="Z25" t="s">
        <v>11</v>
      </c>
      <c r="AA25" t="s">
        <v>717</v>
      </c>
      <c r="AB25" t="s">
        <v>2509</v>
      </c>
      <c r="AC25" t="s">
        <v>118</v>
      </c>
      <c r="AD25" t="s">
        <v>717</v>
      </c>
      <c r="AE25" t="s">
        <v>2618</v>
      </c>
      <c r="AF25" t="s">
        <v>2619</v>
      </c>
      <c r="AG25" t="s">
        <v>2620</v>
      </c>
      <c r="AH25" t="s">
        <v>2615</v>
      </c>
      <c r="AI25" t="s">
        <v>2621</v>
      </c>
      <c r="AJ25" t="s">
        <v>2514</v>
      </c>
      <c r="AK25" t="s">
        <v>2532</v>
      </c>
      <c r="AL25" t="s">
        <v>717</v>
      </c>
      <c r="AM25" t="s">
        <v>10</v>
      </c>
      <c r="AN25" t="s">
        <v>717</v>
      </c>
    </row>
    <row r="26" spans="1:40" hidden="1">
      <c r="A26">
        <v>24</v>
      </c>
      <c r="B26">
        <v>8</v>
      </c>
      <c r="C26" s="58">
        <v>43844</v>
      </c>
      <c r="D26" t="s">
        <v>74</v>
      </c>
      <c r="E26" t="s">
        <v>2581</v>
      </c>
      <c r="F26">
        <v>4</v>
      </c>
      <c r="G26">
        <v>7</v>
      </c>
      <c r="H26">
        <v>355</v>
      </c>
      <c r="I26">
        <v>2</v>
      </c>
      <c r="J26">
        <v>60.38</v>
      </c>
      <c r="K26" t="s">
        <v>9</v>
      </c>
      <c r="L26">
        <v>2388029</v>
      </c>
      <c r="M26">
        <v>0</v>
      </c>
      <c r="N26">
        <v>2388029</v>
      </c>
      <c r="O26">
        <v>39550</v>
      </c>
      <c r="P26">
        <v>0</v>
      </c>
      <c r="Q26">
        <v>2388029</v>
      </c>
      <c r="R26">
        <v>39550</v>
      </c>
      <c r="S26" t="s">
        <v>130</v>
      </c>
      <c r="T26" t="s">
        <v>717</v>
      </c>
      <c r="U26" t="s">
        <v>717</v>
      </c>
      <c r="V26" t="s">
        <v>717</v>
      </c>
      <c r="W26">
        <v>43844</v>
      </c>
      <c r="X26" t="s">
        <v>2622</v>
      </c>
      <c r="Y26" t="s">
        <v>6</v>
      </c>
      <c r="Z26" t="s">
        <v>11</v>
      </c>
      <c r="AA26" t="s">
        <v>717</v>
      </c>
      <c r="AB26" t="s">
        <v>2509</v>
      </c>
      <c r="AC26" t="s">
        <v>118</v>
      </c>
      <c r="AD26" t="s">
        <v>717</v>
      </c>
      <c r="AE26" t="s">
        <v>2623</v>
      </c>
      <c r="AF26" t="s">
        <v>2624</v>
      </c>
      <c r="AG26" t="s">
        <v>2625</v>
      </c>
      <c r="AH26" t="s">
        <v>2580</v>
      </c>
      <c r="AI26" t="s">
        <v>2513</v>
      </c>
      <c r="AJ26" t="s">
        <v>2514</v>
      </c>
      <c r="AK26" t="s">
        <v>20</v>
      </c>
      <c r="AL26" t="s">
        <v>717</v>
      </c>
      <c r="AM26" t="s">
        <v>10</v>
      </c>
      <c r="AN26" t="s">
        <v>717</v>
      </c>
    </row>
    <row r="27" spans="1:40" hidden="1">
      <c r="A27">
        <v>25</v>
      </c>
      <c r="B27">
        <v>9</v>
      </c>
      <c r="C27" s="58">
        <v>43847</v>
      </c>
      <c r="D27" t="s">
        <v>74</v>
      </c>
      <c r="E27" t="s">
        <v>2515</v>
      </c>
      <c r="F27">
        <v>4</v>
      </c>
      <c r="G27">
        <v>7</v>
      </c>
      <c r="H27">
        <v>54</v>
      </c>
      <c r="I27">
        <v>3</v>
      </c>
      <c r="J27">
        <v>80.33</v>
      </c>
      <c r="K27" t="s">
        <v>9</v>
      </c>
      <c r="L27">
        <v>3092705</v>
      </c>
      <c r="M27">
        <v>0</v>
      </c>
      <c r="N27">
        <v>3092705</v>
      </c>
      <c r="O27">
        <v>38500</v>
      </c>
      <c r="P27">
        <v>0</v>
      </c>
      <c r="Q27">
        <v>3092705</v>
      </c>
      <c r="R27">
        <v>38500</v>
      </c>
      <c r="S27" t="s">
        <v>65</v>
      </c>
      <c r="T27" t="s">
        <v>717</v>
      </c>
      <c r="U27" t="s">
        <v>717</v>
      </c>
      <c r="V27" t="s">
        <v>717</v>
      </c>
      <c r="W27">
        <v>43847</v>
      </c>
      <c r="X27" t="s">
        <v>2626</v>
      </c>
      <c r="Y27" t="s">
        <v>6</v>
      </c>
      <c r="Z27" t="s">
        <v>11</v>
      </c>
      <c r="AA27" t="s">
        <v>717</v>
      </c>
      <c r="AB27" t="s">
        <v>2509</v>
      </c>
      <c r="AC27" t="s">
        <v>2558</v>
      </c>
      <c r="AD27" t="s">
        <v>717</v>
      </c>
      <c r="AE27" t="s">
        <v>2627</v>
      </c>
      <c r="AF27" t="s">
        <v>2628</v>
      </c>
      <c r="AG27" t="s">
        <v>2629</v>
      </c>
      <c r="AH27" t="s">
        <v>2191</v>
      </c>
      <c r="AI27" t="s">
        <v>2552</v>
      </c>
      <c r="AJ27" t="s">
        <v>2514</v>
      </c>
      <c r="AK27" t="s">
        <v>2532</v>
      </c>
      <c r="AL27" t="s">
        <v>16</v>
      </c>
      <c r="AM27" t="s">
        <v>10</v>
      </c>
      <c r="AN27" t="s">
        <v>717</v>
      </c>
    </row>
    <row r="28" spans="1:40" hidden="1">
      <c r="A28">
        <v>26</v>
      </c>
      <c r="B28">
        <v>10</v>
      </c>
      <c r="C28" s="58">
        <v>43847</v>
      </c>
      <c r="D28" t="s">
        <v>74</v>
      </c>
      <c r="E28" t="s">
        <v>2515</v>
      </c>
      <c r="F28">
        <v>4</v>
      </c>
      <c r="G28">
        <v>15</v>
      </c>
      <c r="H28">
        <v>134</v>
      </c>
      <c r="I28">
        <v>3</v>
      </c>
      <c r="J28">
        <v>80.33</v>
      </c>
      <c r="K28" t="s">
        <v>9</v>
      </c>
      <c r="L28">
        <v>3092705</v>
      </c>
      <c r="M28">
        <v>0</v>
      </c>
      <c r="N28">
        <v>3092705</v>
      </c>
      <c r="O28">
        <v>38500</v>
      </c>
      <c r="P28">
        <v>0</v>
      </c>
      <c r="Q28">
        <v>3092705</v>
      </c>
      <c r="R28">
        <v>38500</v>
      </c>
      <c r="S28" t="s">
        <v>65</v>
      </c>
      <c r="T28" t="s">
        <v>717</v>
      </c>
      <c r="U28" t="s">
        <v>717</v>
      </c>
      <c r="V28" t="s">
        <v>717</v>
      </c>
      <c r="W28">
        <v>43847</v>
      </c>
      <c r="X28" t="s">
        <v>2630</v>
      </c>
      <c r="Y28" t="s">
        <v>6</v>
      </c>
      <c r="Z28" t="s">
        <v>11</v>
      </c>
      <c r="AA28" t="s">
        <v>717</v>
      </c>
      <c r="AB28" t="s">
        <v>2509</v>
      </c>
      <c r="AC28" t="s">
        <v>2558</v>
      </c>
      <c r="AD28" t="s">
        <v>717</v>
      </c>
      <c r="AE28" t="s">
        <v>2631</v>
      </c>
      <c r="AF28" t="s">
        <v>2632</v>
      </c>
      <c r="AG28" t="s">
        <v>2633</v>
      </c>
      <c r="AH28" t="s">
        <v>2191</v>
      </c>
      <c r="AI28" t="s">
        <v>2513</v>
      </c>
      <c r="AJ28" t="s">
        <v>2514</v>
      </c>
      <c r="AK28" t="s">
        <v>77</v>
      </c>
      <c r="AL28" t="s">
        <v>16</v>
      </c>
      <c r="AM28" t="s">
        <v>10</v>
      </c>
      <c r="AN28" t="s">
        <v>717</v>
      </c>
    </row>
    <row r="29" spans="1:40" hidden="1">
      <c r="A29">
        <v>27</v>
      </c>
      <c r="B29">
        <v>11</v>
      </c>
      <c r="C29" s="58">
        <v>43847</v>
      </c>
      <c r="D29" t="s">
        <v>74</v>
      </c>
      <c r="E29" t="s">
        <v>2506</v>
      </c>
      <c r="F29">
        <v>4</v>
      </c>
      <c r="G29">
        <v>21</v>
      </c>
      <c r="H29">
        <v>287</v>
      </c>
      <c r="I29">
        <v>1</v>
      </c>
      <c r="J29">
        <v>40.229999999999997</v>
      </c>
      <c r="K29" t="s">
        <v>9</v>
      </c>
      <c r="L29">
        <v>1661499</v>
      </c>
      <c r="M29">
        <v>0</v>
      </c>
      <c r="N29">
        <v>1661499</v>
      </c>
      <c r="O29">
        <v>41300</v>
      </c>
      <c r="P29">
        <v>0</v>
      </c>
      <c r="Q29">
        <v>1661499</v>
      </c>
      <c r="R29">
        <v>41300</v>
      </c>
      <c r="S29" t="s">
        <v>130</v>
      </c>
      <c r="T29" t="s">
        <v>717</v>
      </c>
      <c r="U29" t="s">
        <v>717</v>
      </c>
      <c r="V29" t="s">
        <v>717</v>
      </c>
      <c r="W29">
        <v>43847</v>
      </c>
      <c r="X29" t="s">
        <v>2634</v>
      </c>
      <c r="Y29" t="s">
        <v>6</v>
      </c>
      <c r="Z29" t="s">
        <v>11</v>
      </c>
      <c r="AA29" t="s">
        <v>717</v>
      </c>
      <c r="AB29" t="s">
        <v>2509</v>
      </c>
      <c r="AC29" t="s">
        <v>118</v>
      </c>
      <c r="AD29" t="s">
        <v>717</v>
      </c>
      <c r="AE29" t="s">
        <v>2635</v>
      </c>
      <c r="AF29" t="s">
        <v>2636</v>
      </c>
      <c r="AG29" t="s">
        <v>2637</v>
      </c>
      <c r="AH29" t="s">
        <v>2191</v>
      </c>
      <c r="AI29" t="s">
        <v>2621</v>
      </c>
      <c r="AJ29" t="s">
        <v>2514</v>
      </c>
      <c r="AK29" t="s">
        <v>20</v>
      </c>
      <c r="AL29" t="s">
        <v>717</v>
      </c>
      <c r="AM29" t="s">
        <v>10</v>
      </c>
      <c r="AN29" t="s">
        <v>717</v>
      </c>
    </row>
    <row r="30" spans="1:40" hidden="1">
      <c r="A30">
        <v>28</v>
      </c>
      <c r="B30">
        <v>12</v>
      </c>
      <c r="C30" s="58">
        <v>43848</v>
      </c>
      <c r="D30" t="s">
        <v>74</v>
      </c>
      <c r="E30" t="s">
        <v>2506</v>
      </c>
      <c r="F30">
        <v>1</v>
      </c>
      <c r="G30">
        <v>7</v>
      </c>
      <c r="H30">
        <v>186</v>
      </c>
      <c r="I30">
        <v>3</v>
      </c>
      <c r="J30">
        <v>89.56</v>
      </c>
      <c r="K30" t="s">
        <v>9</v>
      </c>
      <c r="L30">
        <v>3448060</v>
      </c>
      <c r="M30">
        <v>0</v>
      </c>
      <c r="N30">
        <v>3448060</v>
      </c>
      <c r="O30">
        <v>38500</v>
      </c>
      <c r="P30">
        <v>0</v>
      </c>
      <c r="Q30">
        <v>3448060</v>
      </c>
      <c r="R30">
        <v>38500</v>
      </c>
      <c r="S30" t="s">
        <v>65</v>
      </c>
      <c r="T30" t="s">
        <v>717</v>
      </c>
      <c r="U30" t="s">
        <v>717</v>
      </c>
      <c r="V30" t="s">
        <v>717</v>
      </c>
      <c r="W30">
        <v>43848</v>
      </c>
      <c r="X30" t="s">
        <v>2638</v>
      </c>
      <c r="Y30" t="s">
        <v>6</v>
      </c>
      <c r="Z30" t="s">
        <v>11</v>
      </c>
      <c r="AA30" t="s">
        <v>717</v>
      </c>
      <c r="AB30" t="s">
        <v>2509</v>
      </c>
      <c r="AC30" t="s">
        <v>2571</v>
      </c>
      <c r="AD30" t="s">
        <v>717</v>
      </c>
      <c r="AE30" t="s">
        <v>2639</v>
      </c>
      <c r="AF30" t="s">
        <v>2640</v>
      </c>
      <c r="AG30" t="s">
        <v>2641</v>
      </c>
      <c r="AH30" t="s">
        <v>2552</v>
      </c>
      <c r="AI30" t="s">
        <v>2552</v>
      </c>
      <c r="AJ30" t="s">
        <v>2642</v>
      </c>
      <c r="AK30" t="s">
        <v>20</v>
      </c>
      <c r="AL30" t="s">
        <v>16</v>
      </c>
      <c r="AM30" t="s">
        <v>10</v>
      </c>
      <c r="AN30" t="s">
        <v>717</v>
      </c>
    </row>
    <row r="31" spans="1:40" hidden="1">
      <c r="A31">
        <v>29</v>
      </c>
      <c r="B31">
        <v>13</v>
      </c>
      <c r="C31" s="58">
        <v>43850</v>
      </c>
      <c r="D31" t="s">
        <v>74</v>
      </c>
      <c r="E31" t="s">
        <v>2506</v>
      </c>
      <c r="F31">
        <v>3</v>
      </c>
      <c r="G31">
        <v>23</v>
      </c>
      <c r="H31">
        <v>300</v>
      </c>
      <c r="I31">
        <v>1</v>
      </c>
      <c r="J31">
        <v>41.1</v>
      </c>
      <c r="K31" t="s">
        <v>9</v>
      </c>
      <c r="L31">
        <v>1650165</v>
      </c>
      <c r="M31">
        <v>0</v>
      </c>
      <c r="N31">
        <v>1650165</v>
      </c>
      <c r="O31">
        <v>40150</v>
      </c>
      <c r="P31">
        <v>0</v>
      </c>
      <c r="Q31">
        <v>1650165</v>
      </c>
      <c r="R31">
        <v>40150</v>
      </c>
      <c r="S31" t="s">
        <v>65</v>
      </c>
      <c r="T31" t="s">
        <v>717</v>
      </c>
      <c r="U31" t="s">
        <v>717</v>
      </c>
      <c r="V31" t="s">
        <v>717</v>
      </c>
      <c r="W31">
        <v>43850</v>
      </c>
      <c r="X31" t="s">
        <v>2643</v>
      </c>
      <c r="Y31" t="s">
        <v>6</v>
      </c>
      <c r="Z31" t="s">
        <v>11</v>
      </c>
      <c r="AA31" t="s">
        <v>717</v>
      </c>
      <c r="AB31" t="s">
        <v>2509</v>
      </c>
      <c r="AC31" t="s">
        <v>2558</v>
      </c>
      <c r="AD31" t="s">
        <v>717</v>
      </c>
      <c r="AE31" t="s">
        <v>2644</v>
      </c>
      <c r="AF31" t="s">
        <v>2645</v>
      </c>
      <c r="AG31" t="s">
        <v>2646</v>
      </c>
      <c r="AH31" t="s">
        <v>2580</v>
      </c>
      <c r="AI31" t="s">
        <v>2547</v>
      </c>
      <c r="AJ31" t="s">
        <v>2569</v>
      </c>
      <c r="AK31" t="s">
        <v>77</v>
      </c>
      <c r="AL31" t="s">
        <v>16</v>
      </c>
      <c r="AM31" t="s">
        <v>10</v>
      </c>
      <c r="AN31" t="s">
        <v>717</v>
      </c>
    </row>
    <row r="32" spans="1:40" hidden="1">
      <c r="A32">
        <v>30</v>
      </c>
      <c r="B32">
        <v>14</v>
      </c>
      <c r="C32" s="58">
        <v>43853</v>
      </c>
      <c r="D32" t="s">
        <v>74</v>
      </c>
      <c r="E32" t="s">
        <v>2506</v>
      </c>
      <c r="F32">
        <v>4</v>
      </c>
      <c r="G32">
        <v>16</v>
      </c>
      <c r="H32">
        <v>252</v>
      </c>
      <c r="I32">
        <v>1</v>
      </c>
      <c r="J32">
        <v>40.58</v>
      </c>
      <c r="K32" t="s">
        <v>15</v>
      </c>
      <c r="L32">
        <v>1718563</v>
      </c>
      <c r="M32">
        <v>0</v>
      </c>
      <c r="N32">
        <v>1718563</v>
      </c>
      <c r="O32">
        <v>42350</v>
      </c>
      <c r="P32">
        <v>0</v>
      </c>
      <c r="Q32">
        <v>1718563</v>
      </c>
      <c r="R32">
        <v>42350</v>
      </c>
      <c r="S32" t="s">
        <v>130</v>
      </c>
      <c r="T32" t="s">
        <v>717</v>
      </c>
      <c r="U32" t="s">
        <v>717</v>
      </c>
      <c r="V32" t="s">
        <v>717</v>
      </c>
      <c r="W32">
        <v>43853</v>
      </c>
      <c r="X32" t="s">
        <v>2647</v>
      </c>
      <c r="Y32" t="s">
        <v>6</v>
      </c>
      <c r="Z32" t="s">
        <v>11</v>
      </c>
      <c r="AA32" t="s">
        <v>717</v>
      </c>
      <c r="AB32" t="s">
        <v>2509</v>
      </c>
      <c r="AC32" t="s">
        <v>118</v>
      </c>
      <c r="AD32" t="s">
        <v>717</v>
      </c>
      <c r="AE32" t="s">
        <v>2648</v>
      </c>
      <c r="AF32" t="s">
        <v>2649</v>
      </c>
      <c r="AG32" t="s">
        <v>2650</v>
      </c>
      <c r="AH32" t="s">
        <v>2615</v>
      </c>
      <c r="AI32" t="s">
        <v>2552</v>
      </c>
      <c r="AJ32" t="s">
        <v>2651</v>
      </c>
      <c r="AK32" t="s">
        <v>63</v>
      </c>
      <c r="AL32" t="s">
        <v>717</v>
      </c>
      <c r="AM32" t="s">
        <v>10</v>
      </c>
      <c r="AN32" t="s">
        <v>717</v>
      </c>
    </row>
    <row r="33" spans="1:40" hidden="1">
      <c r="A33">
        <v>31</v>
      </c>
      <c r="B33">
        <v>15</v>
      </c>
      <c r="C33" s="58">
        <v>43854</v>
      </c>
      <c r="D33" t="s">
        <v>74</v>
      </c>
      <c r="E33" t="s">
        <v>2506</v>
      </c>
      <c r="F33">
        <v>4</v>
      </c>
      <c r="G33">
        <v>2</v>
      </c>
      <c r="H33">
        <v>154</v>
      </c>
      <c r="I33">
        <v>1</v>
      </c>
      <c r="J33">
        <v>41.36</v>
      </c>
      <c r="K33" t="s">
        <v>15</v>
      </c>
      <c r="L33">
        <v>1621312</v>
      </c>
      <c r="M33">
        <v>0</v>
      </c>
      <c r="N33">
        <v>1621312</v>
      </c>
      <c r="O33">
        <v>39200</v>
      </c>
      <c r="P33">
        <v>0</v>
      </c>
      <c r="Q33">
        <v>1621312</v>
      </c>
      <c r="R33">
        <v>39200</v>
      </c>
      <c r="S33" t="s">
        <v>65</v>
      </c>
      <c r="T33" t="s">
        <v>717</v>
      </c>
      <c r="U33" t="s">
        <v>717</v>
      </c>
      <c r="V33" t="s">
        <v>717</v>
      </c>
      <c r="W33">
        <v>43854</v>
      </c>
      <c r="X33" t="s">
        <v>2652</v>
      </c>
      <c r="Y33" t="s">
        <v>6</v>
      </c>
      <c r="Z33" t="s">
        <v>11</v>
      </c>
      <c r="AA33" t="s">
        <v>717</v>
      </c>
      <c r="AB33" t="s">
        <v>2509</v>
      </c>
      <c r="AC33" t="s">
        <v>2576</v>
      </c>
      <c r="AD33" t="s">
        <v>717</v>
      </c>
      <c r="AE33" t="s">
        <v>2653</v>
      </c>
      <c r="AF33" t="s">
        <v>2654</v>
      </c>
      <c r="AG33" t="s">
        <v>2655</v>
      </c>
      <c r="AH33" t="s">
        <v>2580</v>
      </c>
      <c r="AI33" t="s">
        <v>2656</v>
      </c>
      <c r="AJ33" t="s">
        <v>2657</v>
      </c>
      <c r="AK33" t="s">
        <v>20</v>
      </c>
      <c r="AL33" t="s">
        <v>16</v>
      </c>
      <c r="AM33" t="s">
        <v>10</v>
      </c>
      <c r="AN33" t="s">
        <v>717</v>
      </c>
    </row>
    <row r="34" spans="1:40" hidden="1">
      <c r="A34">
        <v>32</v>
      </c>
      <c r="B34">
        <v>16</v>
      </c>
      <c r="C34" s="58">
        <v>43856</v>
      </c>
      <c r="D34" t="s">
        <v>74</v>
      </c>
      <c r="E34" t="s">
        <v>2515</v>
      </c>
      <c r="F34">
        <v>5</v>
      </c>
      <c r="G34">
        <v>6</v>
      </c>
      <c r="H34">
        <v>45</v>
      </c>
      <c r="I34">
        <v>2</v>
      </c>
      <c r="J34">
        <v>60.2</v>
      </c>
      <c r="K34" t="s">
        <v>15</v>
      </c>
      <c r="L34">
        <v>2423050</v>
      </c>
      <c r="M34">
        <v>0</v>
      </c>
      <c r="N34">
        <v>2423050</v>
      </c>
      <c r="O34">
        <v>40250</v>
      </c>
      <c r="P34">
        <v>0</v>
      </c>
      <c r="Q34">
        <v>2423050</v>
      </c>
      <c r="R34">
        <v>40250</v>
      </c>
      <c r="S34" t="s">
        <v>65</v>
      </c>
      <c r="T34" t="s">
        <v>717</v>
      </c>
      <c r="U34" t="s">
        <v>717</v>
      </c>
      <c r="V34" t="s">
        <v>717</v>
      </c>
      <c r="W34">
        <v>43856</v>
      </c>
      <c r="X34" t="s">
        <v>2658</v>
      </c>
      <c r="Y34" t="s">
        <v>6</v>
      </c>
      <c r="Z34" t="s">
        <v>11</v>
      </c>
      <c r="AA34" t="s">
        <v>717</v>
      </c>
      <c r="AB34" t="s">
        <v>2509</v>
      </c>
      <c r="AC34" t="s">
        <v>2571</v>
      </c>
      <c r="AD34" t="s">
        <v>717</v>
      </c>
      <c r="AE34" t="s">
        <v>2659</v>
      </c>
      <c r="AF34" t="s">
        <v>2660</v>
      </c>
      <c r="AG34" t="s">
        <v>2661</v>
      </c>
      <c r="AH34" t="s">
        <v>2552</v>
      </c>
      <c r="AI34" t="s">
        <v>2552</v>
      </c>
      <c r="AJ34" t="s">
        <v>2662</v>
      </c>
      <c r="AK34" t="s">
        <v>63</v>
      </c>
      <c r="AL34" t="s">
        <v>2663</v>
      </c>
      <c r="AM34" t="s">
        <v>10</v>
      </c>
      <c r="AN34" t="s">
        <v>717</v>
      </c>
    </row>
    <row r="35" spans="1:40" hidden="1">
      <c r="A35">
        <v>33</v>
      </c>
      <c r="B35">
        <v>17</v>
      </c>
      <c r="C35" s="58">
        <v>43858</v>
      </c>
      <c r="D35" t="s">
        <v>74</v>
      </c>
      <c r="E35" t="s">
        <v>2515</v>
      </c>
      <c r="F35">
        <v>6</v>
      </c>
      <c r="G35">
        <v>7</v>
      </c>
      <c r="H35">
        <v>56</v>
      </c>
      <c r="I35">
        <v>2</v>
      </c>
      <c r="J35">
        <v>63.03</v>
      </c>
      <c r="K35" t="s">
        <v>9</v>
      </c>
      <c r="L35">
        <v>2378122</v>
      </c>
      <c r="M35">
        <v>0</v>
      </c>
      <c r="N35">
        <v>2378122</v>
      </c>
      <c r="O35">
        <v>37730.001586546088</v>
      </c>
      <c r="P35">
        <v>0</v>
      </c>
      <c r="Q35">
        <v>2378122</v>
      </c>
      <c r="R35">
        <v>37730.001586546088</v>
      </c>
      <c r="S35" t="s">
        <v>130</v>
      </c>
      <c r="T35" t="s">
        <v>2664</v>
      </c>
      <c r="U35">
        <v>48533</v>
      </c>
      <c r="V35" t="s">
        <v>717</v>
      </c>
      <c r="W35">
        <v>43858</v>
      </c>
      <c r="X35" t="s">
        <v>2665</v>
      </c>
      <c r="Y35" t="s">
        <v>6</v>
      </c>
      <c r="Z35" t="s">
        <v>11</v>
      </c>
      <c r="AA35" t="s">
        <v>717</v>
      </c>
      <c r="AB35" t="s">
        <v>2509</v>
      </c>
      <c r="AC35" t="s">
        <v>118</v>
      </c>
      <c r="AD35" t="s">
        <v>717</v>
      </c>
      <c r="AE35" t="s">
        <v>2666</v>
      </c>
      <c r="AF35" t="s">
        <v>2667</v>
      </c>
      <c r="AG35" t="s">
        <v>2668</v>
      </c>
      <c r="AH35" t="s">
        <v>2191</v>
      </c>
      <c r="AI35" t="s">
        <v>2513</v>
      </c>
      <c r="AJ35" t="s">
        <v>2514</v>
      </c>
      <c r="AK35" t="s">
        <v>2532</v>
      </c>
      <c r="AL35" t="s">
        <v>717</v>
      </c>
      <c r="AM35" t="s">
        <v>10</v>
      </c>
      <c r="AN35" t="s">
        <v>717</v>
      </c>
    </row>
    <row r="36" spans="1:40" hidden="1">
      <c r="A36">
        <v>34</v>
      </c>
      <c r="B36">
        <v>18</v>
      </c>
      <c r="C36" s="58">
        <v>43862</v>
      </c>
      <c r="D36" t="s">
        <v>74</v>
      </c>
      <c r="E36" t="s">
        <v>2506</v>
      </c>
      <c r="F36">
        <v>5</v>
      </c>
      <c r="G36">
        <v>17</v>
      </c>
      <c r="H36">
        <v>260</v>
      </c>
      <c r="I36">
        <v>3</v>
      </c>
      <c r="J36">
        <v>78.03</v>
      </c>
      <c r="K36" t="s">
        <v>9</v>
      </c>
      <c r="L36">
        <v>2997600</v>
      </c>
      <c r="M36">
        <v>0</v>
      </c>
      <c r="N36">
        <v>2997600</v>
      </c>
      <c r="O36">
        <v>38415.9938485198</v>
      </c>
      <c r="P36">
        <v>0</v>
      </c>
      <c r="Q36">
        <v>2997600</v>
      </c>
      <c r="R36">
        <v>38415.9938485198</v>
      </c>
      <c r="S36" t="s">
        <v>65</v>
      </c>
      <c r="T36" t="s">
        <v>2664</v>
      </c>
      <c r="U36">
        <v>61176</v>
      </c>
      <c r="V36" t="s">
        <v>717</v>
      </c>
      <c r="W36">
        <v>43868</v>
      </c>
      <c r="X36" t="s">
        <v>2669</v>
      </c>
      <c r="Y36" t="s">
        <v>6</v>
      </c>
      <c r="Z36" t="s">
        <v>11</v>
      </c>
      <c r="AA36" t="s">
        <v>717</v>
      </c>
      <c r="AB36" t="s">
        <v>2509</v>
      </c>
      <c r="AC36" t="s">
        <v>2564</v>
      </c>
      <c r="AD36" t="s">
        <v>717</v>
      </c>
      <c r="AE36" t="s">
        <v>2670</v>
      </c>
      <c r="AF36" t="s">
        <v>2671</v>
      </c>
      <c r="AG36" t="s">
        <v>2672</v>
      </c>
      <c r="AH36" t="s">
        <v>2615</v>
      </c>
      <c r="AI36" t="s">
        <v>2673</v>
      </c>
      <c r="AJ36" t="s">
        <v>2662</v>
      </c>
      <c r="AK36" t="s">
        <v>77</v>
      </c>
      <c r="AL36" t="s">
        <v>2663</v>
      </c>
      <c r="AM36" t="s">
        <v>10</v>
      </c>
      <c r="AN36" t="s">
        <v>717</v>
      </c>
    </row>
    <row r="37" spans="1:40" hidden="1">
      <c r="A37">
        <v>35</v>
      </c>
      <c r="B37">
        <v>19</v>
      </c>
      <c r="C37" s="58">
        <v>43859</v>
      </c>
      <c r="D37" t="s">
        <v>74</v>
      </c>
      <c r="E37" t="s">
        <v>2581</v>
      </c>
      <c r="F37">
        <v>8</v>
      </c>
      <c r="G37">
        <v>4</v>
      </c>
      <c r="H37">
        <v>335</v>
      </c>
      <c r="I37">
        <v>2</v>
      </c>
      <c r="J37">
        <v>60.25</v>
      </c>
      <c r="K37" t="s">
        <v>9</v>
      </c>
      <c r="L37">
        <v>2551587.5</v>
      </c>
      <c r="M37">
        <v>0</v>
      </c>
      <c r="N37">
        <v>2551587.5</v>
      </c>
      <c r="O37">
        <v>42350</v>
      </c>
      <c r="P37">
        <v>0</v>
      </c>
      <c r="Q37">
        <v>2551587.5</v>
      </c>
      <c r="R37">
        <v>42350</v>
      </c>
      <c r="S37" t="s">
        <v>65</v>
      </c>
      <c r="T37" t="s">
        <v>717</v>
      </c>
      <c r="U37" t="s">
        <v>717</v>
      </c>
      <c r="V37" t="s">
        <v>717</v>
      </c>
      <c r="W37">
        <v>43859</v>
      </c>
      <c r="X37" t="s">
        <v>2674</v>
      </c>
      <c r="Y37" t="s">
        <v>6</v>
      </c>
      <c r="Z37" t="s">
        <v>11</v>
      </c>
      <c r="AA37" t="s">
        <v>717</v>
      </c>
      <c r="AB37" t="s">
        <v>2509</v>
      </c>
      <c r="AC37" t="s">
        <v>2571</v>
      </c>
      <c r="AD37" t="s">
        <v>717</v>
      </c>
      <c r="AE37" t="s">
        <v>2675</v>
      </c>
      <c r="AF37" t="s">
        <v>2676</v>
      </c>
      <c r="AG37" t="s">
        <v>2677</v>
      </c>
      <c r="AH37" t="s">
        <v>2615</v>
      </c>
      <c r="AI37" t="s">
        <v>2552</v>
      </c>
      <c r="AJ37" t="s">
        <v>2657</v>
      </c>
      <c r="AK37" t="s">
        <v>2532</v>
      </c>
      <c r="AL37" t="s">
        <v>16</v>
      </c>
      <c r="AM37" t="s">
        <v>10</v>
      </c>
      <c r="AN37" t="s">
        <v>717</v>
      </c>
    </row>
    <row r="38" spans="1:40" hidden="1">
      <c r="A38">
        <v>36</v>
      </c>
      <c r="B38">
        <v>20</v>
      </c>
      <c r="C38" s="58">
        <v>43862</v>
      </c>
      <c r="D38" t="s">
        <v>74</v>
      </c>
      <c r="E38" t="s">
        <v>2515</v>
      </c>
      <c r="F38">
        <v>5</v>
      </c>
      <c r="G38">
        <v>9</v>
      </c>
      <c r="H38">
        <v>75</v>
      </c>
      <c r="I38">
        <v>2</v>
      </c>
      <c r="J38">
        <v>60.2</v>
      </c>
      <c r="K38" t="s">
        <v>9</v>
      </c>
      <c r="L38">
        <v>2318000</v>
      </c>
      <c r="M38">
        <v>0</v>
      </c>
      <c r="N38">
        <v>2318000</v>
      </c>
      <c r="O38">
        <v>38504.983388704321</v>
      </c>
      <c r="P38">
        <v>0</v>
      </c>
      <c r="Q38">
        <v>2318000</v>
      </c>
      <c r="R38">
        <v>38504.983388704321</v>
      </c>
      <c r="S38" t="s">
        <v>65</v>
      </c>
      <c r="T38" t="s">
        <v>717</v>
      </c>
      <c r="U38" t="s">
        <v>717</v>
      </c>
      <c r="V38" t="s">
        <v>717</v>
      </c>
      <c r="W38">
        <v>43864</v>
      </c>
      <c r="X38" t="s">
        <v>2678</v>
      </c>
      <c r="Y38" t="s">
        <v>6</v>
      </c>
      <c r="Z38" t="s">
        <v>11</v>
      </c>
      <c r="AA38" t="s">
        <v>717</v>
      </c>
      <c r="AB38" t="s">
        <v>2509</v>
      </c>
      <c r="AC38" t="s">
        <v>2679</v>
      </c>
      <c r="AD38" t="s">
        <v>717</v>
      </c>
      <c r="AE38" t="s">
        <v>2680</v>
      </c>
      <c r="AF38" t="s">
        <v>2681</v>
      </c>
      <c r="AG38" t="s">
        <v>2682</v>
      </c>
      <c r="AH38" t="s">
        <v>2191</v>
      </c>
      <c r="AI38" t="s">
        <v>2552</v>
      </c>
      <c r="AJ38" t="s">
        <v>2514</v>
      </c>
      <c r="AK38" t="s">
        <v>20</v>
      </c>
      <c r="AL38" t="s">
        <v>2663</v>
      </c>
      <c r="AM38" t="s">
        <v>10</v>
      </c>
      <c r="AN38" t="s">
        <v>717</v>
      </c>
    </row>
    <row r="39" spans="1:40" hidden="1">
      <c r="A39">
        <v>37</v>
      </c>
      <c r="B39">
        <v>21</v>
      </c>
      <c r="C39" s="58">
        <v>43862</v>
      </c>
      <c r="D39" t="s">
        <v>74</v>
      </c>
      <c r="E39" t="s">
        <v>2506</v>
      </c>
      <c r="F39">
        <v>2</v>
      </c>
      <c r="G39">
        <v>15</v>
      </c>
      <c r="H39">
        <v>243</v>
      </c>
      <c r="I39">
        <v>1</v>
      </c>
      <c r="J39">
        <v>40.39</v>
      </c>
      <c r="K39" t="s">
        <v>9</v>
      </c>
      <c r="L39">
        <v>1668107</v>
      </c>
      <c r="M39">
        <v>0</v>
      </c>
      <c r="N39">
        <v>1668107</v>
      </c>
      <c r="O39">
        <v>41300</v>
      </c>
      <c r="P39">
        <v>0</v>
      </c>
      <c r="Q39">
        <v>1668107</v>
      </c>
      <c r="R39">
        <v>41300</v>
      </c>
      <c r="S39" t="s">
        <v>65</v>
      </c>
      <c r="T39" t="s">
        <v>717</v>
      </c>
      <c r="U39" t="s">
        <v>717</v>
      </c>
      <c r="V39" t="s">
        <v>717</v>
      </c>
      <c r="W39">
        <v>43864</v>
      </c>
      <c r="X39" t="s">
        <v>2683</v>
      </c>
      <c r="Y39" t="s">
        <v>6</v>
      </c>
      <c r="Z39" t="s">
        <v>11</v>
      </c>
      <c r="AA39" t="s">
        <v>717</v>
      </c>
      <c r="AB39" t="s">
        <v>2509</v>
      </c>
      <c r="AC39" t="s">
        <v>2558</v>
      </c>
      <c r="AD39" t="s">
        <v>717</v>
      </c>
      <c r="AE39" t="s">
        <v>2596</v>
      </c>
      <c r="AF39" t="s">
        <v>2597</v>
      </c>
      <c r="AG39" t="s">
        <v>2598</v>
      </c>
      <c r="AH39" t="s">
        <v>2580</v>
      </c>
      <c r="AI39" t="s">
        <v>2600</v>
      </c>
      <c r="AJ39" t="s">
        <v>2514</v>
      </c>
      <c r="AK39" t="s">
        <v>63</v>
      </c>
      <c r="AL39" t="s">
        <v>16</v>
      </c>
      <c r="AM39" t="s">
        <v>10</v>
      </c>
      <c r="AN39" t="s">
        <v>717</v>
      </c>
    </row>
    <row r="40" spans="1:40" hidden="1">
      <c r="A40">
        <v>38</v>
      </c>
      <c r="B40">
        <v>1</v>
      </c>
      <c r="C40" s="58">
        <v>43862</v>
      </c>
      <c r="D40" t="s">
        <v>74</v>
      </c>
      <c r="E40" t="s">
        <v>2506</v>
      </c>
      <c r="F40">
        <v>7</v>
      </c>
      <c r="G40">
        <v>21</v>
      </c>
      <c r="H40">
        <v>290</v>
      </c>
      <c r="I40">
        <v>2</v>
      </c>
      <c r="J40">
        <v>63.74</v>
      </c>
      <c r="K40" t="s">
        <v>9</v>
      </c>
      <c r="L40">
        <v>2448636</v>
      </c>
      <c r="M40">
        <v>0</v>
      </c>
      <c r="N40">
        <v>2448636</v>
      </c>
      <c r="O40">
        <v>38416.002510197679</v>
      </c>
      <c r="P40">
        <v>0</v>
      </c>
      <c r="Q40">
        <v>2448636</v>
      </c>
      <c r="R40">
        <v>38416.002510197679</v>
      </c>
      <c r="S40" t="s">
        <v>130</v>
      </c>
      <c r="T40" t="s">
        <v>2664</v>
      </c>
      <c r="U40">
        <v>49972</v>
      </c>
      <c r="V40" t="s">
        <v>717</v>
      </c>
      <c r="W40">
        <v>43864</v>
      </c>
      <c r="X40" t="s">
        <v>2684</v>
      </c>
      <c r="Y40" t="s">
        <v>6</v>
      </c>
      <c r="Z40" t="s">
        <v>11</v>
      </c>
      <c r="AA40" t="s">
        <v>717</v>
      </c>
      <c r="AB40" t="s">
        <v>2509</v>
      </c>
      <c r="AC40" t="s">
        <v>118</v>
      </c>
      <c r="AD40" t="s">
        <v>717</v>
      </c>
      <c r="AE40" t="s">
        <v>2685</v>
      </c>
      <c r="AF40" t="s">
        <v>2686</v>
      </c>
      <c r="AG40" t="s">
        <v>2687</v>
      </c>
      <c r="AH40" t="s">
        <v>2615</v>
      </c>
      <c r="AI40" t="s">
        <v>2688</v>
      </c>
      <c r="AJ40" t="s">
        <v>2642</v>
      </c>
      <c r="AK40" t="s">
        <v>20</v>
      </c>
      <c r="AL40" t="s">
        <v>717</v>
      </c>
      <c r="AM40" t="s">
        <v>10</v>
      </c>
      <c r="AN40" t="s">
        <v>717</v>
      </c>
    </row>
    <row r="41" spans="1:40" hidden="1">
      <c r="A41">
        <v>39</v>
      </c>
      <c r="B41">
        <v>2</v>
      </c>
      <c r="C41" s="58">
        <v>43864</v>
      </c>
      <c r="D41" t="s">
        <v>74</v>
      </c>
      <c r="E41" t="s">
        <v>2506</v>
      </c>
      <c r="F41">
        <v>2</v>
      </c>
      <c r="G41">
        <v>12</v>
      </c>
      <c r="H41">
        <v>222</v>
      </c>
      <c r="I41">
        <v>1</v>
      </c>
      <c r="J41">
        <v>40.39</v>
      </c>
      <c r="K41" t="s">
        <v>9</v>
      </c>
      <c r="L41">
        <v>1710516.5</v>
      </c>
      <c r="M41">
        <v>0</v>
      </c>
      <c r="N41">
        <v>1710516.5</v>
      </c>
      <c r="O41">
        <v>42350</v>
      </c>
      <c r="P41">
        <v>0</v>
      </c>
      <c r="Q41">
        <v>1710516.5</v>
      </c>
      <c r="R41">
        <v>42350</v>
      </c>
      <c r="S41" t="s">
        <v>2507</v>
      </c>
      <c r="T41" t="s">
        <v>717</v>
      </c>
      <c r="U41" t="s">
        <v>717</v>
      </c>
      <c r="V41" t="s">
        <v>717</v>
      </c>
      <c r="W41">
        <v>43868</v>
      </c>
      <c r="X41" t="s">
        <v>2689</v>
      </c>
      <c r="Y41" t="s">
        <v>2611</v>
      </c>
      <c r="Z41" t="s">
        <v>11</v>
      </c>
      <c r="AA41" t="s">
        <v>717</v>
      </c>
      <c r="AB41" t="s">
        <v>2509</v>
      </c>
      <c r="AC41" t="s">
        <v>118</v>
      </c>
      <c r="AD41">
        <v>44302</v>
      </c>
      <c r="AE41" t="s">
        <v>2690</v>
      </c>
      <c r="AF41" t="s">
        <v>2691</v>
      </c>
      <c r="AG41" t="s">
        <v>2692</v>
      </c>
      <c r="AH41" t="s">
        <v>2615</v>
      </c>
      <c r="AI41" t="s">
        <v>2552</v>
      </c>
      <c r="AJ41" t="s">
        <v>2616</v>
      </c>
      <c r="AK41" t="s">
        <v>77</v>
      </c>
      <c r="AL41" t="s">
        <v>717</v>
      </c>
      <c r="AM41" t="s">
        <v>10</v>
      </c>
      <c r="AN41" t="s">
        <v>717</v>
      </c>
    </row>
    <row r="42" spans="1:40" hidden="1">
      <c r="A42">
        <v>40</v>
      </c>
      <c r="B42">
        <v>3</v>
      </c>
      <c r="C42" s="58">
        <v>43865</v>
      </c>
      <c r="D42" t="s">
        <v>74</v>
      </c>
      <c r="E42" t="s">
        <v>2581</v>
      </c>
      <c r="F42">
        <v>8</v>
      </c>
      <c r="G42">
        <v>6</v>
      </c>
      <c r="H42">
        <v>351</v>
      </c>
      <c r="I42">
        <v>2</v>
      </c>
      <c r="J42">
        <v>60.25</v>
      </c>
      <c r="K42" t="s">
        <v>9</v>
      </c>
      <c r="L42">
        <v>2551587.5</v>
      </c>
      <c r="M42">
        <v>0</v>
      </c>
      <c r="N42">
        <v>2551587.5</v>
      </c>
      <c r="O42">
        <v>42350</v>
      </c>
      <c r="P42">
        <v>0</v>
      </c>
      <c r="Q42">
        <v>2551587.5</v>
      </c>
      <c r="R42">
        <v>42350</v>
      </c>
      <c r="S42" t="s">
        <v>130</v>
      </c>
      <c r="T42" t="s">
        <v>717</v>
      </c>
      <c r="U42" t="s">
        <v>717</v>
      </c>
      <c r="V42" t="s">
        <v>717</v>
      </c>
      <c r="W42">
        <v>43882</v>
      </c>
      <c r="X42" t="s">
        <v>2693</v>
      </c>
      <c r="Y42" t="s">
        <v>6</v>
      </c>
      <c r="Z42" t="s">
        <v>11</v>
      </c>
      <c r="AA42" t="s">
        <v>717</v>
      </c>
      <c r="AB42" t="s">
        <v>2509</v>
      </c>
      <c r="AC42" t="s">
        <v>118</v>
      </c>
      <c r="AD42" t="s">
        <v>717</v>
      </c>
      <c r="AE42" t="s">
        <v>2694</v>
      </c>
      <c r="AF42" t="s">
        <v>2695</v>
      </c>
      <c r="AG42" t="s">
        <v>2696</v>
      </c>
      <c r="AH42" t="s">
        <v>2615</v>
      </c>
      <c r="AI42" t="s">
        <v>2697</v>
      </c>
      <c r="AJ42" t="s">
        <v>2651</v>
      </c>
      <c r="AK42" t="s">
        <v>77</v>
      </c>
      <c r="AL42" t="s">
        <v>717</v>
      </c>
      <c r="AM42" t="s">
        <v>10</v>
      </c>
      <c r="AN42" t="s">
        <v>717</v>
      </c>
    </row>
    <row r="43" spans="1:40" hidden="1">
      <c r="A43">
        <v>41</v>
      </c>
      <c r="B43">
        <v>4</v>
      </c>
      <c r="C43" s="58">
        <v>43866</v>
      </c>
      <c r="D43" t="s">
        <v>74</v>
      </c>
      <c r="E43" t="s">
        <v>2581</v>
      </c>
      <c r="F43">
        <v>3</v>
      </c>
      <c r="G43">
        <v>5</v>
      </c>
      <c r="H43">
        <v>338</v>
      </c>
      <c r="I43">
        <v>1</v>
      </c>
      <c r="J43">
        <v>41.9</v>
      </c>
      <c r="K43" t="s">
        <v>9</v>
      </c>
      <c r="L43">
        <v>1847790</v>
      </c>
      <c r="M43">
        <v>0</v>
      </c>
      <c r="N43">
        <v>1847790</v>
      </c>
      <c r="O43">
        <v>44100</v>
      </c>
      <c r="P43">
        <v>0</v>
      </c>
      <c r="Q43">
        <v>1847790</v>
      </c>
      <c r="R43">
        <v>44100</v>
      </c>
      <c r="S43" t="s">
        <v>65</v>
      </c>
      <c r="T43" t="s">
        <v>717</v>
      </c>
      <c r="U43" t="s">
        <v>717</v>
      </c>
      <c r="V43" t="s">
        <v>717</v>
      </c>
      <c r="W43">
        <v>43867</v>
      </c>
      <c r="X43" t="s">
        <v>2698</v>
      </c>
      <c r="Y43" t="s">
        <v>6</v>
      </c>
      <c r="Z43" t="s">
        <v>11</v>
      </c>
      <c r="AA43" t="s">
        <v>717</v>
      </c>
      <c r="AB43" t="s">
        <v>2509</v>
      </c>
      <c r="AC43" t="s">
        <v>2564</v>
      </c>
      <c r="AD43" t="s">
        <v>717</v>
      </c>
      <c r="AE43" t="s">
        <v>2699</v>
      </c>
      <c r="AF43" t="s">
        <v>2700</v>
      </c>
      <c r="AG43" t="s">
        <v>2701</v>
      </c>
      <c r="AH43" t="s">
        <v>2191</v>
      </c>
      <c r="AI43" t="s">
        <v>2552</v>
      </c>
      <c r="AJ43" t="s">
        <v>2514</v>
      </c>
      <c r="AK43" t="s">
        <v>63</v>
      </c>
      <c r="AL43" t="s">
        <v>16</v>
      </c>
      <c r="AM43" t="s">
        <v>10</v>
      </c>
      <c r="AN43" t="s">
        <v>717</v>
      </c>
    </row>
    <row r="44" spans="1:40" hidden="1">
      <c r="A44">
        <v>42</v>
      </c>
      <c r="B44">
        <v>5</v>
      </c>
      <c r="C44" s="58">
        <v>43868</v>
      </c>
      <c r="D44" t="s">
        <v>74</v>
      </c>
      <c r="E44" t="s">
        <v>2506</v>
      </c>
      <c r="F44">
        <v>3</v>
      </c>
      <c r="G44">
        <v>5</v>
      </c>
      <c r="H44">
        <v>174</v>
      </c>
      <c r="I44">
        <v>1</v>
      </c>
      <c r="J44">
        <v>41.48</v>
      </c>
      <c r="K44" t="s">
        <v>9</v>
      </c>
      <c r="L44">
        <v>1721544.44</v>
      </c>
      <c r="M44">
        <v>0</v>
      </c>
      <c r="N44">
        <v>1721544.44</v>
      </c>
      <c r="O44">
        <v>41503</v>
      </c>
      <c r="P44">
        <v>0</v>
      </c>
      <c r="Q44">
        <v>1721544.44</v>
      </c>
      <c r="R44">
        <v>41503</v>
      </c>
      <c r="S44" t="s">
        <v>130</v>
      </c>
      <c r="T44" t="s">
        <v>2664</v>
      </c>
      <c r="U44">
        <v>35133.56</v>
      </c>
      <c r="V44" t="s">
        <v>717</v>
      </c>
      <c r="W44">
        <v>43882</v>
      </c>
      <c r="X44" t="s">
        <v>2702</v>
      </c>
      <c r="Y44" t="s">
        <v>6</v>
      </c>
      <c r="Z44" t="s">
        <v>11</v>
      </c>
      <c r="AA44" t="s">
        <v>717</v>
      </c>
      <c r="AB44" t="s">
        <v>2509</v>
      </c>
      <c r="AC44" t="s">
        <v>118</v>
      </c>
      <c r="AD44" t="s">
        <v>717</v>
      </c>
      <c r="AE44" t="s">
        <v>2703</v>
      </c>
      <c r="AF44" t="s">
        <v>2704</v>
      </c>
      <c r="AG44" t="s">
        <v>2705</v>
      </c>
      <c r="AH44" t="s">
        <v>2191</v>
      </c>
      <c r="AI44" t="s">
        <v>2706</v>
      </c>
      <c r="AJ44" t="s">
        <v>2662</v>
      </c>
      <c r="AK44" t="s">
        <v>20</v>
      </c>
      <c r="AL44" t="s">
        <v>717</v>
      </c>
      <c r="AM44" t="s">
        <v>10</v>
      </c>
      <c r="AN44" t="s">
        <v>717</v>
      </c>
    </row>
    <row r="45" spans="1:40" hidden="1">
      <c r="A45">
        <v>43</v>
      </c>
      <c r="B45">
        <v>6</v>
      </c>
      <c r="C45" s="58">
        <v>43868</v>
      </c>
      <c r="D45" t="s">
        <v>74</v>
      </c>
      <c r="E45" t="s">
        <v>2506</v>
      </c>
      <c r="F45">
        <v>4</v>
      </c>
      <c r="G45">
        <v>5</v>
      </c>
      <c r="H45">
        <v>175</v>
      </c>
      <c r="I45">
        <v>1</v>
      </c>
      <c r="J45">
        <v>40.58</v>
      </c>
      <c r="K45" t="s">
        <v>9</v>
      </c>
      <c r="L45">
        <v>1684191.74</v>
      </c>
      <c r="M45">
        <v>0</v>
      </c>
      <c r="N45">
        <v>1684191.74</v>
      </c>
      <c r="O45">
        <v>41503</v>
      </c>
      <c r="P45">
        <v>0</v>
      </c>
      <c r="Q45">
        <v>1684191.74</v>
      </c>
      <c r="R45">
        <v>41503</v>
      </c>
      <c r="S45" t="s">
        <v>130</v>
      </c>
      <c r="T45" t="s">
        <v>2664</v>
      </c>
      <c r="U45">
        <v>34371.26</v>
      </c>
      <c r="V45" t="s">
        <v>717</v>
      </c>
      <c r="W45">
        <v>43881</v>
      </c>
      <c r="X45" t="s">
        <v>2707</v>
      </c>
      <c r="Y45" t="s">
        <v>6</v>
      </c>
      <c r="Z45" t="s">
        <v>11</v>
      </c>
      <c r="AA45" t="s">
        <v>717</v>
      </c>
      <c r="AB45" t="s">
        <v>2509</v>
      </c>
      <c r="AC45" t="s">
        <v>118</v>
      </c>
      <c r="AD45" t="s">
        <v>717</v>
      </c>
      <c r="AE45" t="s">
        <v>2708</v>
      </c>
      <c r="AF45" t="s">
        <v>2709</v>
      </c>
      <c r="AG45" t="s">
        <v>2705</v>
      </c>
      <c r="AH45" t="s">
        <v>2615</v>
      </c>
      <c r="AI45" t="s">
        <v>2552</v>
      </c>
      <c r="AJ45" t="s">
        <v>2662</v>
      </c>
      <c r="AK45" t="s">
        <v>20</v>
      </c>
      <c r="AL45" t="s">
        <v>717</v>
      </c>
      <c r="AM45" t="s">
        <v>10</v>
      </c>
      <c r="AN45" t="s">
        <v>717</v>
      </c>
    </row>
    <row r="46" spans="1:40" hidden="1">
      <c r="A46">
        <v>44</v>
      </c>
      <c r="B46">
        <v>7</v>
      </c>
      <c r="C46" s="58">
        <v>43869</v>
      </c>
      <c r="D46" t="s">
        <v>74</v>
      </c>
      <c r="E46" t="s">
        <v>2506</v>
      </c>
      <c r="F46">
        <v>4</v>
      </c>
      <c r="G46">
        <v>19</v>
      </c>
      <c r="H46">
        <v>273</v>
      </c>
      <c r="I46">
        <v>1</v>
      </c>
      <c r="J46">
        <v>40.58</v>
      </c>
      <c r="K46" t="s">
        <v>9</v>
      </c>
      <c r="L46">
        <v>1684191.74</v>
      </c>
      <c r="M46">
        <v>0</v>
      </c>
      <c r="N46">
        <v>1684191.74</v>
      </c>
      <c r="O46">
        <v>41503</v>
      </c>
      <c r="P46">
        <v>0</v>
      </c>
      <c r="Q46">
        <v>1684191.74</v>
      </c>
      <c r="R46">
        <v>41503</v>
      </c>
      <c r="S46" t="s">
        <v>130</v>
      </c>
      <c r="T46" t="s">
        <v>2664</v>
      </c>
      <c r="U46">
        <v>34371.26</v>
      </c>
      <c r="V46" t="s">
        <v>717</v>
      </c>
      <c r="W46">
        <v>43882</v>
      </c>
      <c r="X46" t="s">
        <v>2710</v>
      </c>
      <c r="Y46" t="s">
        <v>6</v>
      </c>
      <c r="Z46" t="s">
        <v>11</v>
      </c>
      <c r="AA46" t="s">
        <v>717</v>
      </c>
      <c r="AB46" t="s">
        <v>2509</v>
      </c>
      <c r="AC46" t="s">
        <v>118</v>
      </c>
      <c r="AD46" t="s">
        <v>717</v>
      </c>
      <c r="AE46" t="s">
        <v>2711</v>
      </c>
      <c r="AF46" t="s">
        <v>2712</v>
      </c>
      <c r="AG46" t="s">
        <v>2713</v>
      </c>
      <c r="AH46" t="s">
        <v>2191</v>
      </c>
      <c r="AI46" t="s">
        <v>2656</v>
      </c>
      <c r="AJ46" t="s">
        <v>2514</v>
      </c>
      <c r="AK46" t="s">
        <v>77</v>
      </c>
      <c r="AL46" t="s">
        <v>717</v>
      </c>
      <c r="AM46" t="s">
        <v>10</v>
      </c>
      <c r="AN46" t="s">
        <v>717</v>
      </c>
    </row>
    <row r="47" spans="1:40" hidden="1">
      <c r="A47">
        <v>45</v>
      </c>
      <c r="B47">
        <v>8</v>
      </c>
      <c r="C47" s="58">
        <v>43871</v>
      </c>
      <c r="D47" t="s">
        <v>74</v>
      </c>
      <c r="E47" t="s">
        <v>2515</v>
      </c>
      <c r="F47">
        <v>8</v>
      </c>
      <c r="G47">
        <v>15</v>
      </c>
      <c r="H47">
        <v>138</v>
      </c>
      <c r="I47">
        <v>1</v>
      </c>
      <c r="J47">
        <v>47.97</v>
      </c>
      <c r="K47" t="s">
        <v>9</v>
      </c>
      <c r="L47">
        <v>1990898.91</v>
      </c>
      <c r="M47">
        <v>0</v>
      </c>
      <c r="N47">
        <v>1990898.91</v>
      </c>
      <c r="O47">
        <v>41503</v>
      </c>
      <c r="P47">
        <v>0</v>
      </c>
      <c r="Q47">
        <v>1990898.91</v>
      </c>
      <c r="R47">
        <v>41503</v>
      </c>
      <c r="S47" t="s">
        <v>65</v>
      </c>
      <c r="T47" t="s">
        <v>2664</v>
      </c>
      <c r="U47">
        <v>40630.589999999997</v>
      </c>
      <c r="V47" t="s">
        <v>717</v>
      </c>
      <c r="W47">
        <v>43871</v>
      </c>
      <c r="X47" t="s">
        <v>2714</v>
      </c>
      <c r="Y47" t="s">
        <v>6</v>
      </c>
      <c r="Z47" t="s">
        <v>11</v>
      </c>
      <c r="AA47" t="s">
        <v>717</v>
      </c>
      <c r="AB47" t="s">
        <v>2509</v>
      </c>
      <c r="AC47" t="s">
        <v>2571</v>
      </c>
      <c r="AD47" t="s">
        <v>717</v>
      </c>
      <c r="AE47" t="s">
        <v>2715</v>
      </c>
      <c r="AF47" t="s">
        <v>2716</v>
      </c>
      <c r="AG47" t="s">
        <v>2717</v>
      </c>
      <c r="AH47" t="s">
        <v>2191</v>
      </c>
      <c r="AI47" t="s">
        <v>2552</v>
      </c>
      <c r="AJ47" t="s">
        <v>2514</v>
      </c>
      <c r="AK47" t="s">
        <v>2532</v>
      </c>
      <c r="AL47" t="s">
        <v>16</v>
      </c>
      <c r="AM47" t="s">
        <v>10</v>
      </c>
      <c r="AN47" t="s">
        <v>717</v>
      </c>
    </row>
    <row r="48" spans="1:40" hidden="1">
      <c r="A48">
        <v>46</v>
      </c>
      <c r="B48">
        <v>9</v>
      </c>
      <c r="C48" s="58">
        <v>43874</v>
      </c>
      <c r="D48" t="s">
        <v>74</v>
      </c>
      <c r="E48" t="s">
        <v>2515</v>
      </c>
      <c r="F48">
        <v>7</v>
      </c>
      <c r="G48">
        <v>4</v>
      </c>
      <c r="I48">
        <v>1</v>
      </c>
      <c r="J48">
        <v>42.32</v>
      </c>
      <c r="K48" t="s">
        <v>9</v>
      </c>
      <c r="L48">
        <v>1866312</v>
      </c>
      <c r="M48">
        <v>0</v>
      </c>
      <c r="N48">
        <v>1866312</v>
      </c>
      <c r="O48">
        <v>44100</v>
      </c>
      <c r="P48">
        <v>0</v>
      </c>
      <c r="Q48">
        <v>1866312</v>
      </c>
      <c r="R48">
        <v>44100</v>
      </c>
      <c r="S48" t="s">
        <v>130</v>
      </c>
      <c r="T48" t="s">
        <v>717</v>
      </c>
      <c r="U48" t="s">
        <v>717</v>
      </c>
      <c r="V48" t="s">
        <v>717</v>
      </c>
      <c r="W48">
        <v>43874</v>
      </c>
      <c r="X48" t="s">
        <v>2718</v>
      </c>
      <c r="Y48" t="s">
        <v>2517</v>
      </c>
      <c r="Z48" t="s">
        <v>11</v>
      </c>
      <c r="AA48" t="s">
        <v>717</v>
      </c>
      <c r="AB48" t="s">
        <v>2509</v>
      </c>
      <c r="AC48" t="s">
        <v>118</v>
      </c>
      <c r="AD48">
        <v>44221</v>
      </c>
      <c r="AE48" t="s">
        <v>2719</v>
      </c>
      <c r="AF48" t="s">
        <v>2720</v>
      </c>
      <c r="AG48" t="s">
        <v>717</v>
      </c>
      <c r="AH48" t="s">
        <v>2191</v>
      </c>
      <c r="AI48" t="s">
        <v>2538</v>
      </c>
      <c r="AJ48" t="s">
        <v>2522</v>
      </c>
      <c r="AK48" t="s">
        <v>77</v>
      </c>
      <c r="AL48" t="s">
        <v>717</v>
      </c>
      <c r="AM48" t="s">
        <v>10</v>
      </c>
      <c r="AN48" t="s">
        <v>717</v>
      </c>
    </row>
    <row r="49" spans="1:40" hidden="1">
      <c r="A49">
        <v>47</v>
      </c>
      <c r="B49">
        <v>10</v>
      </c>
      <c r="C49" s="58">
        <v>43874</v>
      </c>
      <c r="D49" t="s">
        <v>74</v>
      </c>
      <c r="E49" t="s">
        <v>2506</v>
      </c>
      <c r="F49">
        <v>4</v>
      </c>
      <c r="G49">
        <v>24</v>
      </c>
      <c r="H49">
        <v>308</v>
      </c>
      <c r="I49">
        <v>1</v>
      </c>
      <c r="J49">
        <v>40.229999999999997</v>
      </c>
      <c r="K49" t="s">
        <v>9</v>
      </c>
      <c r="L49">
        <v>1577016</v>
      </c>
      <c r="M49">
        <v>0</v>
      </c>
      <c r="N49">
        <v>1577016</v>
      </c>
      <c r="O49">
        <v>39200</v>
      </c>
      <c r="P49">
        <v>0</v>
      </c>
      <c r="Q49">
        <v>1577016</v>
      </c>
      <c r="R49">
        <v>39200</v>
      </c>
      <c r="S49" t="s">
        <v>130</v>
      </c>
      <c r="T49" t="s">
        <v>717</v>
      </c>
      <c r="U49" t="s">
        <v>717</v>
      </c>
      <c r="V49" t="s">
        <v>717</v>
      </c>
      <c r="W49">
        <v>43874</v>
      </c>
      <c r="X49" t="s">
        <v>2721</v>
      </c>
      <c r="Y49" t="s">
        <v>6</v>
      </c>
      <c r="Z49" t="s">
        <v>11</v>
      </c>
      <c r="AA49" t="s">
        <v>717</v>
      </c>
      <c r="AB49" t="s">
        <v>2509</v>
      </c>
      <c r="AC49" t="s">
        <v>118</v>
      </c>
      <c r="AD49" t="s">
        <v>717</v>
      </c>
      <c r="AE49" t="s">
        <v>2722</v>
      </c>
      <c r="AF49" t="s">
        <v>2723</v>
      </c>
      <c r="AG49" t="s">
        <v>2724</v>
      </c>
      <c r="AH49" t="s">
        <v>2615</v>
      </c>
      <c r="AI49" t="s">
        <v>2552</v>
      </c>
      <c r="AJ49" t="s">
        <v>2651</v>
      </c>
      <c r="AK49" t="s">
        <v>63</v>
      </c>
      <c r="AL49" t="s">
        <v>717</v>
      </c>
      <c r="AM49" t="s">
        <v>10</v>
      </c>
      <c r="AN49" t="s">
        <v>717</v>
      </c>
    </row>
    <row r="50" spans="1:40" hidden="1">
      <c r="A50">
        <v>48</v>
      </c>
      <c r="B50">
        <v>11</v>
      </c>
      <c r="C50" s="58">
        <v>43874</v>
      </c>
      <c r="D50" t="s">
        <v>74</v>
      </c>
      <c r="E50" t="s">
        <v>2515</v>
      </c>
      <c r="F50">
        <v>5</v>
      </c>
      <c r="G50">
        <v>4</v>
      </c>
      <c r="H50">
        <v>25</v>
      </c>
      <c r="I50">
        <v>2</v>
      </c>
      <c r="J50">
        <v>60.2</v>
      </c>
      <c r="K50" t="s">
        <v>9</v>
      </c>
      <c r="L50">
        <v>2423050</v>
      </c>
      <c r="M50">
        <v>0</v>
      </c>
      <c r="N50">
        <v>2423050</v>
      </c>
      <c r="O50">
        <v>40250</v>
      </c>
      <c r="P50">
        <v>0</v>
      </c>
      <c r="Q50">
        <v>2423050</v>
      </c>
      <c r="R50">
        <v>40250</v>
      </c>
      <c r="S50" t="s">
        <v>65</v>
      </c>
      <c r="T50" t="s">
        <v>717</v>
      </c>
      <c r="U50" t="s">
        <v>717</v>
      </c>
      <c r="V50" t="s">
        <v>717</v>
      </c>
      <c r="W50">
        <v>43879</v>
      </c>
      <c r="X50" t="s">
        <v>2725</v>
      </c>
      <c r="Y50" t="s">
        <v>6</v>
      </c>
      <c r="Z50" t="s">
        <v>11</v>
      </c>
      <c r="AA50" t="s">
        <v>717</v>
      </c>
      <c r="AB50" t="s">
        <v>2509</v>
      </c>
      <c r="AC50" t="s">
        <v>2564</v>
      </c>
      <c r="AD50" t="s">
        <v>717</v>
      </c>
      <c r="AE50" t="s">
        <v>2726</v>
      </c>
      <c r="AF50" t="s">
        <v>2727</v>
      </c>
      <c r="AG50" t="s">
        <v>2728</v>
      </c>
      <c r="AH50" t="s">
        <v>2615</v>
      </c>
      <c r="AI50" t="s">
        <v>2538</v>
      </c>
      <c r="AJ50" t="s">
        <v>2662</v>
      </c>
      <c r="AK50" t="s">
        <v>63</v>
      </c>
      <c r="AL50" t="s">
        <v>16</v>
      </c>
      <c r="AM50" t="s">
        <v>10</v>
      </c>
      <c r="AN50" t="s">
        <v>717</v>
      </c>
    </row>
    <row r="51" spans="1:40" hidden="1">
      <c r="A51">
        <v>49</v>
      </c>
      <c r="B51">
        <v>12</v>
      </c>
      <c r="C51" s="58">
        <v>43875</v>
      </c>
      <c r="D51" t="s">
        <v>74</v>
      </c>
      <c r="E51" t="s">
        <v>2515</v>
      </c>
      <c r="F51">
        <v>8</v>
      </c>
      <c r="G51">
        <v>7</v>
      </c>
      <c r="H51">
        <v>58</v>
      </c>
      <c r="I51">
        <v>1</v>
      </c>
      <c r="J51">
        <v>47.97</v>
      </c>
      <c r="K51" t="s">
        <v>9</v>
      </c>
      <c r="L51">
        <v>1809908.1</v>
      </c>
      <c r="M51">
        <v>0</v>
      </c>
      <c r="N51">
        <v>1809908.1</v>
      </c>
      <c r="O51">
        <v>37730</v>
      </c>
      <c r="P51">
        <v>0</v>
      </c>
      <c r="Q51">
        <v>1809908.1</v>
      </c>
      <c r="R51">
        <v>37730</v>
      </c>
      <c r="S51" t="s">
        <v>65</v>
      </c>
      <c r="T51" t="s">
        <v>2664</v>
      </c>
      <c r="U51">
        <v>36936.9</v>
      </c>
      <c r="V51" t="s">
        <v>717</v>
      </c>
      <c r="W51">
        <v>43868</v>
      </c>
      <c r="X51" t="s">
        <v>2729</v>
      </c>
      <c r="Y51" t="s">
        <v>6</v>
      </c>
      <c r="Z51" t="s">
        <v>11</v>
      </c>
      <c r="AA51" t="s">
        <v>717</v>
      </c>
      <c r="AB51" t="s">
        <v>2509</v>
      </c>
      <c r="AC51" t="s">
        <v>2730</v>
      </c>
      <c r="AD51" t="s">
        <v>717</v>
      </c>
      <c r="AE51" t="s">
        <v>2731</v>
      </c>
      <c r="AF51" t="s">
        <v>2732</v>
      </c>
      <c r="AG51" t="s">
        <v>2733</v>
      </c>
      <c r="AH51" t="s">
        <v>2615</v>
      </c>
      <c r="AI51" t="s">
        <v>2697</v>
      </c>
      <c r="AJ51" t="s">
        <v>2642</v>
      </c>
      <c r="AK51" t="s">
        <v>2532</v>
      </c>
      <c r="AL51" t="s">
        <v>16</v>
      </c>
      <c r="AM51" t="s">
        <v>10</v>
      </c>
      <c r="AN51" t="s">
        <v>717</v>
      </c>
    </row>
    <row r="52" spans="1:40" hidden="1">
      <c r="A52">
        <v>50</v>
      </c>
      <c r="B52">
        <v>13</v>
      </c>
      <c r="C52" s="58">
        <v>43878</v>
      </c>
      <c r="D52" t="s">
        <v>74</v>
      </c>
      <c r="E52" t="s">
        <v>2515</v>
      </c>
      <c r="F52">
        <v>4</v>
      </c>
      <c r="G52">
        <v>5</v>
      </c>
      <c r="H52">
        <v>34</v>
      </c>
      <c r="I52">
        <v>3</v>
      </c>
      <c r="J52">
        <v>80.33</v>
      </c>
      <c r="K52" t="s">
        <v>9</v>
      </c>
      <c r="L52">
        <v>3148936</v>
      </c>
      <c r="M52">
        <v>0</v>
      </c>
      <c r="N52">
        <v>3148936</v>
      </c>
      <c r="O52">
        <v>39200</v>
      </c>
      <c r="P52">
        <v>0</v>
      </c>
      <c r="Q52">
        <v>3148936</v>
      </c>
      <c r="R52">
        <v>39200</v>
      </c>
      <c r="S52" t="s">
        <v>65</v>
      </c>
      <c r="T52" t="s">
        <v>717</v>
      </c>
      <c r="U52" t="s">
        <v>717</v>
      </c>
      <c r="V52" t="s">
        <v>717</v>
      </c>
      <c r="W52">
        <v>43874</v>
      </c>
      <c r="X52" t="s">
        <v>2734</v>
      </c>
      <c r="Y52" t="s">
        <v>6</v>
      </c>
      <c r="Z52" t="s">
        <v>11</v>
      </c>
      <c r="AA52" t="s">
        <v>717</v>
      </c>
      <c r="AB52" t="s">
        <v>2509</v>
      </c>
      <c r="AC52" t="s">
        <v>2564</v>
      </c>
      <c r="AD52" t="s">
        <v>717</v>
      </c>
      <c r="AE52" t="s">
        <v>2735</v>
      </c>
      <c r="AF52" t="s">
        <v>2736</v>
      </c>
      <c r="AG52" t="s">
        <v>2737</v>
      </c>
      <c r="AH52" t="s">
        <v>2615</v>
      </c>
      <c r="AI52" t="s">
        <v>2738</v>
      </c>
      <c r="AJ52" t="s">
        <v>2651</v>
      </c>
      <c r="AK52" t="s">
        <v>63</v>
      </c>
      <c r="AL52" t="s">
        <v>16</v>
      </c>
      <c r="AM52" t="s">
        <v>10</v>
      </c>
      <c r="AN52" t="s">
        <v>717</v>
      </c>
    </row>
    <row r="53" spans="1:40" hidden="1">
      <c r="A53">
        <v>51</v>
      </c>
      <c r="B53">
        <v>14</v>
      </c>
      <c r="C53" s="58">
        <v>43878</v>
      </c>
      <c r="D53" t="s">
        <v>74</v>
      </c>
      <c r="E53" t="s">
        <v>2506</v>
      </c>
      <c r="F53">
        <v>3</v>
      </c>
      <c r="G53">
        <v>8</v>
      </c>
      <c r="H53">
        <v>195</v>
      </c>
      <c r="I53">
        <v>1</v>
      </c>
      <c r="J53">
        <v>41.48</v>
      </c>
      <c r="K53" t="s">
        <v>9</v>
      </c>
      <c r="L53">
        <v>1721544.44</v>
      </c>
      <c r="M53">
        <v>0</v>
      </c>
      <c r="N53">
        <v>1721544.44</v>
      </c>
      <c r="O53">
        <v>41503</v>
      </c>
      <c r="P53">
        <v>0</v>
      </c>
      <c r="Q53">
        <v>1721544.44</v>
      </c>
      <c r="R53">
        <v>41503</v>
      </c>
      <c r="S53" t="s">
        <v>130</v>
      </c>
      <c r="T53" t="s">
        <v>2664</v>
      </c>
      <c r="U53">
        <v>35133.56</v>
      </c>
      <c r="V53" t="s">
        <v>717</v>
      </c>
      <c r="W53">
        <v>43878</v>
      </c>
      <c r="X53" t="s">
        <v>2739</v>
      </c>
      <c r="Y53" t="s">
        <v>6</v>
      </c>
      <c r="Z53" t="s">
        <v>11</v>
      </c>
      <c r="AA53" t="s">
        <v>717</v>
      </c>
      <c r="AB53" t="s">
        <v>2509</v>
      </c>
      <c r="AC53" t="s">
        <v>118</v>
      </c>
      <c r="AD53" t="s">
        <v>717</v>
      </c>
      <c r="AE53" t="s">
        <v>2740</v>
      </c>
      <c r="AF53" t="s">
        <v>2741</v>
      </c>
      <c r="AG53" t="s">
        <v>2742</v>
      </c>
      <c r="AH53" t="s">
        <v>2191</v>
      </c>
      <c r="AI53" t="s">
        <v>2513</v>
      </c>
      <c r="AJ53" t="s">
        <v>2514</v>
      </c>
      <c r="AK53" t="s">
        <v>20</v>
      </c>
      <c r="AL53" t="s">
        <v>717</v>
      </c>
      <c r="AM53" t="s">
        <v>10</v>
      </c>
      <c r="AN53" t="s">
        <v>717</v>
      </c>
    </row>
    <row r="54" spans="1:40" hidden="1">
      <c r="A54">
        <v>52</v>
      </c>
      <c r="B54">
        <v>15</v>
      </c>
      <c r="C54" s="58">
        <v>43879</v>
      </c>
      <c r="D54" t="s">
        <v>74</v>
      </c>
      <c r="E54" t="s">
        <v>2581</v>
      </c>
      <c r="F54">
        <v>1</v>
      </c>
      <c r="G54">
        <v>3</v>
      </c>
      <c r="H54">
        <v>320</v>
      </c>
      <c r="I54">
        <v>2</v>
      </c>
      <c r="J54">
        <v>59.13</v>
      </c>
      <c r="K54" t="s">
        <v>9</v>
      </c>
      <c r="L54">
        <v>2442069</v>
      </c>
      <c r="M54">
        <v>0</v>
      </c>
      <c r="N54">
        <v>2442069</v>
      </c>
      <c r="O54">
        <v>41300</v>
      </c>
      <c r="P54">
        <v>0</v>
      </c>
      <c r="Q54">
        <v>2442069</v>
      </c>
      <c r="R54">
        <v>41300</v>
      </c>
      <c r="S54" t="s">
        <v>65</v>
      </c>
      <c r="T54" t="s">
        <v>717</v>
      </c>
      <c r="U54" t="s">
        <v>717</v>
      </c>
      <c r="V54" t="s">
        <v>717</v>
      </c>
      <c r="W54">
        <v>43888</v>
      </c>
      <c r="X54" t="s">
        <v>2743</v>
      </c>
      <c r="Y54" t="s">
        <v>6</v>
      </c>
      <c r="Z54" t="s">
        <v>11</v>
      </c>
      <c r="AA54" t="s">
        <v>717</v>
      </c>
      <c r="AB54" t="s">
        <v>2509</v>
      </c>
      <c r="AC54" t="s">
        <v>2571</v>
      </c>
      <c r="AD54" t="s">
        <v>717</v>
      </c>
      <c r="AE54" t="s">
        <v>2744</v>
      </c>
      <c r="AF54" t="s">
        <v>2745</v>
      </c>
      <c r="AG54" t="s">
        <v>2746</v>
      </c>
      <c r="AH54" t="s">
        <v>2191</v>
      </c>
      <c r="AI54" t="s">
        <v>2747</v>
      </c>
      <c r="AJ54" t="s">
        <v>2514</v>
      </c>
      <c r="AK54" t="s">
        <v>63</v>
      </c>
      <c r="AL54" t="s">
        <v>16</v>
      </c>
      <c r="AM54" t="s">
        <v>10</v>
      </c>
      <c r="AN54" t="s">
        <v>717</v>
      </c>
    </row>
    <row r="55" spans="1:40" hidden="1">
      <c r="A55">
        <v>53</v>
      </c>
      <c r="B55">
        <v>16</v>
      </c>
      <c r="C55" s="58">
        <v>43880</v>
      </c>
      <c r="D55" t="s">
        <v>74</v>
      </c>
      <c r="E55" t="s">
        <v>2515</v>
      </c>
      <c r="F55">
        <v>4</v>
      </c>
      <c r="G55">
        <v>8</v>
      </c>
      <c r="H55">
        <v>64</v>
      </c>
      <c r="I55">
        <v>3</v>
      </c>
      <c r="J55">
        <v>80.33</v>
      </c>
      <c r="K55" t="s">
        <v>9</v>
      </c>
      <c r="L55">
        <v>3030850.9</v>
      </c>
      <c r="M55">
        <v>0</v>
      </c>
      <c r="N55">
        <v>3030850.9</v>
      </c>
      <c r="O55">
        <v>37730</v>
      </c>
      <c r="P55">
        <v>0</v>
      </c>
      <c r="Q55">
        <v>3030850.9</v>
      </c>
      <c r="R55">
        <v>37730</v>
      </c>
      <c r="S55" t="s">
        <v>65</v>
      </c>
      <c r="T55" t="s">
        <v>2664</v>
      </c>
      <c r="U55">
        <v>61854</v>
      </c>
      <c r="V55" t="s">
        <v>717</v>
      </c>
      <c r="W55">
        <v>43874</v>
      </c>
      <c r="X55" t="s">
        <v>2748</v>
      </c>
      <c r="Y55" t="s">
        <v>6</v>
      </c>
      <c r="Z55" t="s">
        <v>11</v>
      </c>
      <c r="AA55" t="s">
        <v>717</v>
      </c>
      <c r="AB55" t="s">
        <v>2509</v>
      </c>
      <c r="AC55" t="s">
        <v>2558</v>
      </c>
      <c r="AD55" t="s">
        <v>717</v>
      </c>
      <c r="AE55" t="s">
        <v>2749</v>
      </c>
      <c r="AF55" t="s">
        <v>2750</v>
      </c>
      <c r="AG55" t="s">
        <v>2751</v>
      </c>
      <c r="AH55" t="s">
        <v>2191</v>
      </c>
      <c r="AI55" t="s">
        <v>2538</v>
      </c>
      <c r="AJ55" t="s">
        <v>2514</v>
      </c>
      <c r="AK55" t="s">
        <v>77</v>
      </c>
      <c r="AL55" t="s">
        <v>2663</v>
      </c>
      <c r="AM55" t="s">
        <v>10</v>
      </c>
      <c r="AN55" t="s">
        <v>717</v>
      </c>
    </row>
    <row r="56" spans="1:40" hidden="1">
      <c r="A56">
        <v>54</v>
      </c>
      <c r="B56">
        <v>17</v>
      </c>
      <c r="C56" s="58">
        <v>43880</v>
      </c>
      <c r="D56" t="s">
        <v>74</v>
      </c>
      <c r="E56" t="s">
        <v>2506</v>
      </c>
      <c r="F56">
        <v>5</v>
      </c>
      <c r="G56">
        <v>19</v>
      </c>
      <c r="H56">
        <v>274</v>
      </c>
      <c r="I56">
        <v>3</v>
      </c>
      <c r="J56">
        <v>78.03</v>
      </c>
      <c r="K56" t="s">
        <v>9</v>
      </c>
      <c r="L56">
        <v>2997600.48</v>
      </c>
      <c r="M56">
        <v>0</v>
      </c>
      <c r="N56">
        <v>2997600.48</v>
      </c>
      <c r="O56">
        <v>38416</v>
      </c>
      <c r="P56">
        <v>0</v>
      </c>
      <c r="Q56">
        <v>2997600.48</v>
      </c>
      <c r="R56">
        <v>38416</v>
      </c>
      <c r="S56" t="s">
        <v>65</v>
      </c>
      <c r="T56" t="s">
        <v>2664</v>
      </c>
      <c r="U56">
        <v>61175.519999999997</v>
      </c>
      <c r="V56" t="s">
        <v>717</v>
      </c>
      <c r="W56">
        <v>43880</v>
      </c>
      <c r="X56" t="s">
        <v>2752</v>
      </c>
      <c r="Y56" t="s">
        <v>6</v>
      </c>
      <c r="Z56" t="s">
        <v>11</v>
      </c>
      <c r="AA56" t="s">
        <v>717</v>
      </c>
      <c r="AB56" t="s">
        <v>2509</v>
      </c>
      <c r="AC56" t="s">
        <v>2571</v>
      </c>
      <c r="AD56" t="s">
        <v>717</v>
      </c>
      <c r="AE56" t="s">
        <v>2753</v>
      </c>
      <c r="AF56" t="s">
        <v>2754</v>
      </c>
      <c r="AG56" t="s">
        <v>2755</v>
      </c>
      <c r="AH56" t="s">
        <v>2191</v>
      </c>
      <c r="AI56" t="s">
        <v>2568</v>
      </c>
      <c r="AJ56" t="s">
        <v>2514</v>
      </c>
      <c r="AK56" t="s">
        <v>77</v>
      </c>
      <c r="AL56" t="s">
        <v>16</v>
      </c>
      <c r="AM56" t="s">
        <v>10</v>
      </c>
      <c r="AN56" t="s">
        <v>717</v>
      </c>
    </row>
    <row r="57" spans="1:40" hidden="1">
      <c r="A57">
        <v>55</v>
      </c>
      <c r="B57">
        <v>18</v>
      </c>
      <c r="C57" s="58">
        <v>43881</v>
      </c>
      <c r="D57" t="s">
        <v>74</v>
      </c>
      <c r="E57" t="s">
        <v>2581</v>
      </c>
      <c r="F57">
        <v>4</v>
      </c>
      <c r="G57">
        <v>2</v>
      </c>
      <c r="H57">
        <v>315</v>
      </c>
      <c r="I57">
        <v>2</v>
      </c>
      <c r="J57">
        <v>60.38</v>
      </c>
      <c r="K57" t="s">
        <v>9</v>
      </c>
      <c r="L57">
        <v>2388029</v>
      </c>
      <c r="M57">
        <v>0</v>
      </c>
      <c r="N57">
        <v>2388029</v>
      </c>
      <c r="O57">
        <v>39550</v>
      </c>
      <c r="P57">
        <v>0</v>
      </c>
      <c r="Q57">
        <v>2388029</v>
      </c>
      <c r="R57">
        <v>39550</v>
      </c>
      <c r="S57" t="s">
        <v>65</v>
      </c>
      <c r="T57" t="s">
        <v>717</v>
      </c>
      <c r="U57" t="s">
        <v>717</v>
      </c>
      <c r="V57" t="s">
        <v>717</v>
      </c>
      <c r="W57">
        <v>43886</v>
      </c>
      <c r="X57" t="s">
        <v>2756</v>
      </c>
      <c r="Y57" t="s">
        <v>6</v>
      </c>
      <c r="Z57" t="s">
        <v>11</v>
      </c>
      <c r="AA57" t="s">
        <v>717</v>
      </c>
      <c r="AB57" t="s">
        <v>2509</v>
      </c>
      <c r="AC57" t="s">
        <v>2571</v>
      </c>
      <c r="AD57" t="s">
        <v>717</v>
      </c>
      <c r="AE57" t="s">
        <v>2757</v>
      </c>
      <c r="AF57" t="s">
        <v>2758</v>
      </c>
      <c r="AG57" t="s">
        <v>2759</v>
      </c>
      <c r="AH57" t="s">
        <v>2191</v>
      </c>
      <c r="AI57" t="s">
        <v>2552</v>
      </c>
      <c r="AJ57" t="s">
        <v>2514</v>
      </c>
      <c r="AK57" t="s">
        <v>20</v>
      </c>
      <c r="AL57" t="s">
        <v>16</v>
      </c>
      <c r="AM57" t="s">
        <v>10</v>
      </c>
      <c r="AN57" t="s">
        <v>717</v>
      </c>
    </row>
    <row r="58" spans="1:40" hidden="1">
      <c r="A58">
        <v>56</v>
      </c>
      <c r="B58">
        <v>19</v>
      </c>
      <c r="C58" s="58">
        <v>43881</v>
      </c>
      <c r="D58" t="s">
        <v>74</v>
      </c>
      <c r="E58" t="s">
        <v>2581</v>
      </c>
      <c r="F58">
        <v>1</v>
      </c>
      <c r="G58">
        <v>2</v>
      </c>
      <c r="H58">
        <v>312</v>
      </c>
      <c r="I58">
        <v>2</v>
      </c>
      <c r="J58">
        <v>59.13</v>
      </c>
      <c r="K58" t="s">
        <v>9</v>
      </c>
      <c r="L58">
        <v>2291819.67</v>
      </c>
      <c r="M58">
        <v>0</v>
      </c>
      <c r="N58">
        <v>2291819.67</v>
      </c>
      <c r="O58">
        <v>38759</v>
      </c>
      <c r="P58">
        <v>0</v>
      </c>
      <c r="Q58">
        <v>2291819.67</v>
      </c>
      <c r="R58">
        <v>38759</v>
      </c>
      <c r="S58" t="s">
        <v>65</v>
      </c>
      <c r="T58" t="s">
        <v>2664</v>
      </c>
      <c r="U58">
        <v>46771.83</v>
      </c>
      <c r="V58" t="s">
        <v>717</v>
      </c>
      <c r="W58">
        <v>43886</v>
      </c>
      <c r="X58" t="s">
        <v>2760</v>
      </c>
      <c r="Y58" t="s">
        <v>6</v>
      </c>
      <c r="Z58" t="s">
        <v>11</v>
      </c>
      <c r="AA58" t="s">
        <v>717</v>
      </c>
      <c r="AB58" t="s">
        <v>2509</v>
      </c>
      <c r="AC58" t="s">
        <v>2571</v>
      </c>
      <c r="AD58" t="s">
        <v>717</v>
      </c>
      <c r="AE58" t="s">
        <v>2761</v>
      </c>
      <c r="AF58" t="s">
        <v>2762</v>
      </c>
      <c r="AG58" t="s">
        <v>2763</v>
      </c>
      <c r="AH58" t="s">
        <v>2191</v>
      </c>
      <c r="AI58" t="s">
        <v>2513</v>
      </c>
      <c r="AJ58" t="s">
        <v>2514</v>
      </c>
      <c r="AK58" t="s">
        <v>2532</v>
      </c>
      <c r="AL58" t="s">
        <v>16</v>
      </c>
      <c r="AM58" t="s">
        <v>10</v>
      </c>
      <c r="AN58" t="s">
        <v>717</v>
      </c>
    </row>
    <row r="59" spans="1:40" hidden="1">
      <c r="A59">
        <v>57</v>
      </c>
      <c r="B59">
        <v>20</v>
      </c>
      <c r="C59" s="58">
        <v>43881</v>
      </c>
      <c r="D59" t="s">
        <v>74</v>
      </c>
      <c r="E59" t="s">
        <v>2506</v>
      </c>
      <c r="F59">
        <v>7</v>
      </c>
      <c r="G59">
        <v>22</v>
      </c>
      <c r="H59">
        <v>297</v>
      </c>
      <c r="I59">
        <v>2</v>
      </c>
      <c r="J59">
        <v>63.74</v>
      </c>
      <c r="K59" t="s">
        <v>9</v>
      </c>
      <c r="L59">
        <v>2498608</v>
      </c>
      <c r="M59">
        <v>0</v>
      </c>
      <c r="N59">
        <v>2498608</v>
      </c>
      <c r="O59">
        <v>39200</v>
      </c>
      <c r="P59">
        <v>0</v>
      </c>
      <c r="Q59">
        <v>2498608</v>
      </c>
      <c r="R59">
        <v>39200</v>
      </c>
      <c r="S59" t="s">
        <v>65</v>
      </c>
      <c r="T59" t="s">
        <v>717</v>
      </c>
      <c r="U59" t="s">
        <v>717</v>
      </c>
      <c r="V59" t="s">
        <v>717</v>
      </c>
      <c r="W59">
        <v>43888</v>
      </c>
      <c r="X59" t="s">
        <v>2764</v>
      </c>
      <c r="Y59" t="s">
        <v>6</v>
      </c>
      <c r="Z59" t="s">
        <v>11</v>
      </c>
      <c r="AA59" t="s">
        <v>717</v>
      </c>
      <c r="AB59" t="s">
        <v>2509</v>
      </c>
      <c r="AC59" t="s">
        <v>2571</v>
      </c>
      <c r="AD59" t="s">
        <v>717</v>
      </c>
      <c r="AE59" t="s">
        <v>2765</v>
      </c>
      <c r="AF59" t="s">
        <v>2766</v>
      </c>
      <c r="AG59" t="s">
        <v>2767</v>
      </c>
      <c r="AH59" t="s">
        <v>2580</v>
      </c>
      <c r="AI59" t="s">
        <v>2538</v>
      </c>
      <c r="AJ59" t="s">
        <v>2514</v>
      </c>
      <c r="AK59" t="s">
        <v>63</v>
      </c>
      <c r="AL59" t="s">
        <v>2663</v>
      </c>
      <c r="AM59" t="s">
        <v>10</v>
      </c>
      <c r="AN59" t="s">
        <v>717</v>
      </c>
    </row>
    <row r="60" spans="1:40" hidden="1">
      <c r="A60">
        <v>58</v>
      </c>
      <c r="B60">
        <v>21</v>
      </c>
      <c r="C60" s="58">
        <v>43882</v>
      </c>
      <c r="D60" t="s">
        <v>74</v>
      </c>
      <c r="E60" t="s">
        <v>2581</v>
      </c>
      <c r="F60">
        <v>5</v>
      </c>
      <c r="G60">
        <v>2</v>
      </c>
      <c r="H60">
        <v>316</v>
      </c>
      <c r="I60">
        <v>2</v>
      </c>
      <c r="J60">
        <v>60.9</v>
      </c>
      <c r="K60" t="s">
        <v>9</v>
      </c>
      <c r="L60">
        <v>2360423.1</v>
      </c>
      <c r="M60">
        <v>0</v>
      </c>
      <c r="N60">
        <v>2360423.1</v>
      </c>
      <c r="O60">
        <v>38759</v>
      </c>
      <c r="P60">
        <v>0</v>
      </c>
      <c r="Q60">
        <v>2360423.1</v>
      </c>
      <c r="R60">
        <v>38759</v>
      </c>
      <c r="S60" t="s">
        <v>130</v>
      </c>
      <c r="T60" t="s">
        <v>2664</v>
      </c>
      <c r="U60">
        <v>48171</v>
      </c>
      <c r="V60" t="s">
        <v>717</v>
      </c>
      <c r="W60">
        <v>43881</v>
      </c>
      <c r="X60" t="s">
        <v>2768</v>
      </c>
      <c r="Y60" t="s">
        <v>6</v>
      </c>
      <c r="Z60" t="s">
        <v>11</v>
      </c>
      <c r="AA60" t="s">
        <v>717</v>
      </c>
      <c r="AB60" t="s">
        <v>2509</v>
      </c>
      <c r="AC60" t="s">
        <v>118</v>
      </c>
      <c r="AD60" t="s">
        <v>717</v>
      </c>
      <c r="AE60" t="s">
        <v>2769</v>
      </c>
      <c r="AF60" t="s">
        <v>2770</v>
      </c>
      <c r="AG60" t="s">
        <v>2771</v>
      </c>
      <c r="AH60" t="s">
        <v>2191</v>
      </c>
      <c r="AI60" t="s">
        <v>2552</v>
      </c>
      <c r="AJ60" t="s">
        <v>2514</v>
      </c>
      <c r="AK60" t="s">
        <v>20</v>
      </c>
      <c r="AL60" t="s">
        <v>717</v>
      </c>
      <c r="AM60" t="s">
        <v>10</v>
      </c>
      <c r="AN60" t="s">
        <v>717</v>
      </c>
    </row>
    <row r="61" spans="1:40" hidden="1">
      <c r="A61">
        <v>59</v>
      </c>
      <c r="B61">
        <v>22</v>
      </c>
      <c r="C61" s="58">
        <v>43882</v>
      </c>
      <c r="D61" t="s">
        <v>74</v>
      </c>
      <c r="E61" t="s">
        <v>2515</v>
      </c>
      <c r="F61">
        <v>4</v>
      </c>
      <c r="G61">
        <v>2</v>
      </c>
      <c r="H61">
        <v>4</v>
      </c>
      <c r="I61">
        <v>3</v>
      </c>
      <c r="J61">
        <v>81.41</v>
      </c>
      <c r="K61" t="s">
        <v>9</v>
      </c>
      <c r="L61">
        <v>3134285</v>
      </c>
      <c r="M61">
        <v>0</v>
      </c>
      <c r="N61">
        <v>3134285</v>
      </c>
      <c r="O61">
        <v>38500</v>
      </c>
      <c r="P61">
        <v>0</v>
      </c>
      <c r="Q61">
        <v>3134285</v>
      </c>
      <c r="R61">
        <v>38500</v>
      </c>
      <c r="S61" t="s">
        <v>65</v>
      </c>
      <c r="T61" t="s">
        <v>717</v>
      </c>
      <c r="U61" t="s">
        <v>717</v>
      </c>
      <c r="V61" t="s">
        <v>717</v>
      </c>
      <c r="W61">
        <v>43882</v>
      </c>
      <c r="X61" t="s">
        <v>2772</v>
      </c>
      <c r="Y61" t="s">
        <v>6</v>
      </c>
      <c r="Z61" t="s">
        <v>11</v>
      </c>
      <c r="AA61" t="s">
        <v>717</v>
      </c>
      <c r="AB61" t="s">
        <v>2509</v>
      </c>
      <c r="AC61" t="s">
        <v>2571</v>
      </c>
      <c r="AD61" t="s">
        <v>717</v>
      </c>
      <c r="AE61" t="s">
        <v>2773</v>
      </c>
      <c r="AF61" t="s">
        <v>2774</v>
      </c>
      <c r="AG61" t="s">
        <v>2775</v>
      </c>
      <c r="AH61" t="s">
        <v>2191</v>
      </c>
      <c r="AI61" t="s">
        <v>2547</v>
      </c>
      <c r="AJ61" t="s">
        <v>2514</v>
      </c>
      <c r="AK61" t="s">
        <v>2532</v>
      </c>
      <c r="AL61" t="s">
        <v>2663</v>
      </c>
      <c r="AM61" t="s">
        <v>10</v>
      </c>
      <c r="AN61" t="s">
        <v>717</v>
      </c>
    </row>
    <row r="62" spans="1:40" hidden="1">
      <c r="A62">
        <v>60</v>
      </c>
      <c r="B62">
        <v>23</v>
      </c>
      <c r="C62" s="58">
        <v>43886</v>
      </c>
      <c r="D62" t="s">
        <v>74</v>
      </c>
      <c r="E62" t="s">
        <v>2515</v>
      </c>
      <c r="F62">
        <v>2</v>
      </c>
      <c r="G62">
        <v>8</v>
      </c>
      <c r="H62">
        <v>62</v>
      </c>
      <c r="I62">
        <v>0</v>
      </c>
      <c r="J62">
        <v>31.88</v>
      </c>
      <c r="K62" t="s">
        <v>9</v>
      </c>
      <c r="L62">
        <v>1323115.6399999999</v>
      </c>
      <c r="M62">
        <v>0</v>
      </c>
      <c r="N62">
        <v>1323115.6399999999</v>
      </c>
      <c r="O62">
        <v>41503</v>
      </c>
      <c r="P62">
        <v>0</v>
      </c>
      <c r="Q62">
        <v>1323115.6399999999</v>
      </c>
      <c r="R62">
        <v>41503</v>
      </c>
      <c r="S62" t="s">
        <v>130</v>
      </c>
      <c r="T62" t="s">
        <v>2664</v>
      </c>
      <c r="U62">
        <v>27002.36</v>
      </c>
      <c r="V62" t="s">
        <v>717</v>
      </c>
      <c r="W62">
        <v>43886</v>
      </c>
      <c r="X62" t="s">
        <v>2776</v>
      </c>
      <c r="Y62" t="s">
        <v>6</v>
      </c>
      <c r="Z62" t="s">
        <v>11</v>
      </c>
      <c r="AA62" t="s">
        <v>717</v>
      </c>
      <c r="AB62" t="s">
        <v>2509</v>
      </c>
      <c r="AC62" t="s">
        <v>118</v>
      </c>
      <c r="AD62" t="s">
        <v>717</v>
      </c>
      <c r="AE62" t="s">
        <v>2777</v>
      </c>
      <c r="AF62" t="s">
        <v>2778</v>
      </c>
      <c r="AG62" t="s">
        <v>2779</v>
      </c>
      <c r="AH62" t="s">
        <v>2191</v>
      </c>
      <c r="AI62" t="s">
        <v>2513</v>
      </c>
      <c r="AJ62" t="s">
        <v>2514</v>
      </c>
      <c r="AK62" t="s">
        <v>20</v>
      </c>
      <c r="AL62" t="s">
        <v>717</v>
      </c>
      <c r="AM62" t="s">
        <v>10</v>
      </c>
      <c r="AN62" t="s">
        <v>717</v>
      </c>
    </row>
    <row r="63" spans="1:40" hidden="1">
      <c r="A63">
        <v>61</v>
      </c>
      <c r="B63">
        <v>24</v>
      </c>
      <c r="C63" s="58">
        <v>43886</v>
      </c>
      <c r="D63" t="s">
        <v>74</v>
      </c>
      <c r="E63" t="s">
        <v>2515</v>
      </c>
      <c r="F63">
        <v>6</v>
      </c>
      <c r="G63">
        <v>8</v>
      </c>
      <c r="H63">
        <v>66</v>
      </c>
      <c r="I63">
        <v>2</v>
      </c>
      <c r="J63">
        <v>63.03</v>
      </c>
      <c r="K63" t="s">
        <v>9</v>
      </c>
      <c r="L63">
        <v>2426655</v>
      </c>
      <c r="M63">
        <v>0</v>
      </c>
      <c r="N63">
        <v>2426655</v>
      </c>
      <c r="O63">
        <v>38500</v>
      </c>
      <c r="P63">
        <v>0</v>
      </c>
      <c r="Q63">
        <v>2426655</v>
      </c>
      <c r="R63">
        <v>38500</v>
      </c>
      <c r="S63" t="s">
        <v>130</v>
      </c>
      <c r="T63" t="s">
        <v>717</v>
      </c>
      <c r="U63" t="s">
        <v>717</v>
      </c>
      <c r="V63" t="s">
        <v>717</v>
      </c>
      <c r="W63">
        <v>43882</v>
      </c>
      <c r="X63" t="s">
        <v>2780</v>
      </c>
      <c r="Y63" t="s">
        <v>6</v>
      </c>
      <c r="Z63" t="s">
        <v>11</v>
      </c>
      <c r="AA63" t="s">
        <v>717</v>
      </c>
      <c r="AB63" t="s">
        <v>2509</v>
      </c>
      <c r="AC63" t="s">
        <v>118</v>
      </c>
      <c r="AD63" t="s">
        <v>717</v>
      </c>
      <c r="AE63" t="s">
        <v>2781</v>
      </c>
      <c r="AF63" t="s">
        <v>2782</v>
      </c>
      <c r="AG63" t="s">
        <v>2783</v>
      </c>
      <c r="AH63" t="s">
        <v>2191</v>
      </c>
      <c r="AI63" t="s">
        <v>2656</v>
      </c>
      <c r="AJ63" t="s">
        <v>2514</v>
      </c>
      <c r="AK63" t="s">
        <v>2532</v>
      </c>
      <c r="AL63" t="s">
        <v>717</v>
      </c>
      <c r="AM63" t="s">
        <v>10</v>
      </c>
      <c r="AN63" t="s">
        <v>717</v>
      </c>
    </row>
    <row r="64" spans="1:40" hidden="1">
      <c r="A64">
        <v>62</v>
      </c>
      <c r="B64">
        <v>25</v>
      </c>
      <c r="C64" s="58">
        <v>43886</v>
      </c>
      <c r="D64" t="s">
        <v>74</v>
      </c>
      <c r="E64" t="s">
        <v>2506</v>
      </c>
      <c r="F64">
        <v>7</v>
      </c>
      <c r="G64">
        <v>24</v>
      </c>
      <c r="H64">
        <v>311</v>
      </c>
      <c r="I64">
        <v>2</v>
      </c>
      <c r="J64">
        <v>63.74</v>
      </c>
      <c r="K64" t="s">
        <v>9</v>
      </c>
      <c r="L64">
        <v>2448635.84</v>
      </c>
      <c r="M64">
        <v>0</v>
      </c>
      <c r="N64">
        <v>2448635.84</v>
      </c>
      <c r="O64">
        <v>38416</v>
      </c>
      <c r="P64">
        <v>0</v>
      </c>
      <c r="Q64">
        <v>2448635.84</v>
      </c>
      <c r="R64">
        <v>38416</v>
      </c>
      <c r="S64" t="s">
        <v>130</v>
      </c>
      <c r="T64" t="s">
        <v>2664</v>
      </c>
      <c r="U64">
        <v>49972.160000000003</v>
      </c>
      <c r="V64" t="s">
        <v>717</v>
      </c>
      <c r="W64">
        <v>43890</v>
      </c>
      <c r="X64" t="s">
        <v>2784</v>
      </c>
      <c r="Y64" t="s">
        <v>6</v>
      </c>
      <c r="Z64" t="s">
        <v>11</v>
      </c>
      <c r="AA64" t="s">
        <v>717</v>
      </c>
      <c r="AB64" t="s">
        <v>2509</v>
      </c>
      <c r="AC64" t="s">
        <v>118</v>
      </c>
      <c r="AD64" t="s">
        <v>717</v>
      </c>
      <c r="AE64" t="s">
        <v>2785</v>
      </c>
      <c r="AF64" t="s">
        <v>2786</v>
      </c>
      <c r="AG64" t="s">
        <v>2787</v>
      </c>
      <c r="AH64" t="s">
        <v>2191</v>
      </c>
      <c r="AI64" t="s">
        <v>2531</v>
      </c>
      <c r="AJ64" t="s">
        <v>2514</v>
      </c>
      <c r="AK64" t="s">
        <v>2532</v>
      </c>
      <c r="AL64" t="s">
        <v>717</v>
      </c>
      <c r="AM64" t="s">
        <v>10</v>
      </c>
      <c r="AN64" t="s">
        <v>717</v>
      </c>
    </row>
    <row r="65" spans="1:40" hidden="1">
      <c r="A65">
        <v>63</v>
      </c>
      <c r="B65">
        <v>26</v>
      </c>
      <c r="C65" s="58">
        <v>43887</v>
      </c>
      <c r="D65" t="s">
        <v>74</v>
      </c>
      <c r="E65" t="s">
        <v>2515</v>
      </c>
      <c r="F65">
        <v>4</v>
      </c>
      <c r="G65">
        <v>10</v>
      </c>
      <c r="H65">
        <v>84</v>
      </c>
      <c r="I65">
        <v>3</v>
      </c>
      <c r="J65">
        <v>80.33</v>
      </c>
      <c r="K65" t="s">
        <v>9</v>
      </c>
      <c r="L65">
        <v>3085957.28</v>
      </c>
      <c r="M65">
        <v>0</v>
      </c>
      <c r="N65">
        <v>3085957.28</v>
      </c>
      <c r="O65">
        <v>38416</v>
      </c>
      <c r="P65">
        <v>0</v>
      </c>
      <c r="Q65">
        <v>3085957.28</v>
      </c>
      <c r="R65">
        <v>38416</v>
      </c>
      <c r="S65" t="s">
        <v>130</v>
      </c>
      <c r="T65" t="s">
        <v>2664</v>
      </c>
      <c r="U65">
        <v>62987.72</v>
      </c>
      <c r="V65" t="s">
        <v>717</v>
      </c>
      <c r="W65">
        <v>43890</v>
      </c>
      <c r="X65" t="s">
        <v>2788</v>
      </c>
      <c r="Y65" t="s">
        <v>6</v>
      </c>
      <c r="Z65" t="s">
        <v>11</v>
      </c>
      <c r="AA65" t="s">
        <v>717</v>
      </c>
      <c r="AB65" t="s">
        <v>2509</v>
      </c>
      <c r="AC65" t="s">
        <v>118</v>
      </c>
      <c r="AD65" t="s">
        <v>717</v>
      </c>
      <c r="AE65" t="s">
        <v>2785</v>
      </c>
      <c r="AF65" t="s">
        <v>2786</v>
      </c>
      <c r="AG65" t="s">
        <v>2787</v>
      </c>
      <c r="AH65" t="s">
        <v>2580</v>
      </c>
      <c r="AI65" t="s">
        <v>2531</v>
      </c>
      <c r="AJ65" t="s">
        <v>2514</v>
      </c>
      <c r="AK65" t="s">
        <v>2532</v>
      </c>
      <c r="AL65" t="s">
        <v>717</v>
      </c>
      <c r="AM65" t="s">
        <v>10</v>
      </c>
      <c r="AN65" t="s">
        <v>717</v>
      </c>
    </row>
    <row r="66" spans="1:40" hidden="1">
      <c r="A66">
        <v>64</v>
      </c>
      <c r="B66">
        <v>27</v>
      </c>
      <c r="C66" s="58">
        <v>43889</v>
      </c>
      <c r="D66" t="s">
        <v>74</v>
      </c>
      <c r="E66" t="s">
        <v>2506</v>
      </c>
      <c r="F66">
        <v>3</v>
      </c>
      <c r="G66">
        <v>7</v>
      </c>
      <c r="H66">
        <v>188</v>
      </c>
      <c r="I66">
        <v>1</v>
      </c>
      <c r="J66">
        <v>41.48</v>
      </c>
      <c r="K66" t="s">
        <v>9</v>
      </c>
      <c r="L66">
        <v>1756678</v>
      </c>
      <c r="M66">
        <v>0</v>
      </c>
      <c r="N66">
        <v>1756678</v>
      </c>
      <c r="O66">
        <v>42350</v>
      </c>
      <c r="P66">
        <v>0</v>
      </c>
      <c r="Q66">
        <v>1756678</v>
      </c>
      <c r="R66">
        <v>42350</v>
      </c>
      <c r="S66" t="s">
        <v>65</v>
      </c>
      <c r="T66" t="s">
        <v>717</v>
      </c>
      <c r="U66" t="s">
        <v>717</v>
      </c>
      <c r="V66" t="s">
        <v>717</v>
      </c>
      <c r="W66">
        <v>43876</v>
      </c>
      <c r="X66" t="s">
        <v>2789</v>
      </c>
      <c r="Y66" t="s">
        <v>6</v>
      </c>
      <c r="Z66" t="s">
        <v>11</v>
      </c>
      <c r="AA66" t="s">
        <v>717</v>
      </c>
      <c r="AB66" t="s">
        <v>2509</v>
      </c>
      <c r="AC66" t="s">
        <v>2558</v>
      </c>
      <c r="AD66" t="s">
        <v>717</v>
      </c>
      <c r="AE66" t="s">
        <v>2790</v>
      </c>
      <c r="AF66" t="s">
        <v>2791</v>
      </c>
      <c r="AG66" t="s">
        <v>2792</v>
      </c>
      <c r="AH66" t="s">
        <v>2191</v>
      </c>
      <c r="AI66" t="s">
        <v>2568</v>
      </c>
      <c r="AJ66" t="s">
        <v>2793</v>
      </c>
      <c r="AK66" t="s">
        <v>2532</v>
      </c>
      <c r="AL66" t="s">
        <v>16</v>
      </c>
      <c r="AM66" t="s">
        <v>10</v>
      </c>
      <c r="AN66" t="s">
        <v>717</v>
      </c>
    </row>
    <row r="67" spans="1:40" hidden="1">
      <c r="A67">
        <v>65</v>
      </c>
      <c r="B67">
        <v>28</v>
      </c>
      <c r="C67" s="58">
        <v>43889</v>
      </c>
      <c r="D67" t="s">
        <v>74</v>
      </c>
      <c r="E67" t="s">
        <v>2515</v>
      </c>
      <c r="F67">
        <v>2</v>
      </c>
      <c r="G67">
        <v>3</v>
      </c>
      <c r="H67">
        <v>12</v>
      </c>
      <c r="I67">
        <v>0</v>
      </c>
      <c r="J67">
        <v>31.88</v>
      </c>
      <c r="K67" t="s">
        <v>9</v>
      </c>
      <c r="L67">
        <v>1350118</v>
      </c>
      <c r="M67">
        <v>0</v>
      </c>
      <c r="N67">
        <v>1350118</v>
      </c>
      <c r="O67">
        <v>42350</v>
      </c>
      <c r="P67">
        <v>0</v>
      </c>
      <c r="Q67">
        <v>1350118</v>
      </c>
      <c r="R67">
        <v>42350</v>
      </c>
      <c r="S67" t="s">
        <v>65</v>
      </c>
      <c r="T67" t="s">
        <v>717</v>
      </c>
      <c r="U67" t="s">
        <v>717</v>
      </c>
      <c r="V67" t="s">
        <v>717</v>
      </c>
      <c r="W67">
        <v>43889</v>
      </c>
      <c r="X67" t="s">
        <v>2794</v>
      </c>
      <c r="Y67" t="s">
        <v>6</v>
      </c>
      <c r="Z67" t="s">
        <v>11</v>
      </c>
      <c r="AA67" t="s">
        <v>717</v>
      </c>
      <c r="AB67" t="s">
        <v>2509</v>
      </c>
      <c r="AC67" t="s">
        <v>2564</v>
      </c>
      <c r="AD67" t="s">
        <v>717</v>
      </c>
      <c r="AE67" t="s">
        <v>2795</v>
      </c>
      <c r="AF67" t="s">
        <v>2796</v>
      </c>
      <c r="AG67" t="s">
        <v>2797</v>
      </c>
      <c r="AH67" t="s">
        <v>2191</v>
      </c>
      <c r="AI67" t="s">
        <v>2697</v>
      </c>
      <c r="AJ67" t="s">
        <v>2514</v>
      </c>
      <c r="AK67" t="s">
        <v>63</v>
      </c>
      <c r="AL67" t="s">
        <v>16</v>
      </c>
      <c r="AM67" t="s">
        <v>10</v>
      </c>
      <c r="AN67" t="s">
        <v>717</v>
      </c>
    </row>
    <row r="68" spans="1:40" hidden="1">
      <c r="A68">
        <v>66</v>
      </c>
      <c r="B68">
        <v>1</v>
      </c>
      <c r="C68" s="58">
        <v>43891</v>
      </c>
      <c r="D68" t="s">
        <v>74</v>
      </c>
      <c r="E68" t="s">
        <v>2515</v>
      </c>
      <c r="F68">
        <v>1</v>
      </c>
      <c r="G68">
        <v>3</v>
      </c>
      <c r="H68">
        <v>11</v>
      </c>
      <c r="I68">
        <v>0</v>
      </c>
      <c r="J68">
        <v>32.03</v>
      </c>
      <c r="K68" t="s">
        <v>9</v>
      </c>
      <c r="L68">
        <v>1351313.67</v>
      </c>
      <c r="M68">
        <v>0</v>
      </c>
      <c r="N68">
        <v>1351313.67</v>
      </c>
      <c r="O68">
        <v>42188.999999999993</v>
      </c>
      <c r="P68">
        <v>0</v>
      </c>
      <c r="Q68">
        <v>1351313.67</v>
      </c>
      <c r="R68">
        <v>42188.999999999993</v>
      </c>
      <c r="S68" t="s">
        <v>2507</v>
      </c>
      <c r="T68" t="s">
        <v>717</v>
      </c>
      <c r="U68" t="s">
        <v>717</v>
      </c>
      <c r="V68" t="s">
        <v>717</v>
      </c>
      <c r="W68">
        <v>43891</v>
      </c>
      <c r="X68" t="s">
        <v>2798</v>
      </c>
      <c r="Y68" t="s">
        <v>6</v>
      </c>
      <c r="Z68" t="s">
        <v>11</v>
      </c>
      <c r="AA68" t="s">
        <v>717</v>
      </c>
      <c r="AB68" t="s">
        <v>2509</v>
      </c>
      <c r="AC68" t="s">
        <v>118</v>
      </c>
      <c r="AD68" t="s">
        <v>717</v>
      </c>
      <c r="AE68" t="s">
        <v>2799</v>
      </c>
      <c r="AF68" t="s">
        <v>2800</v>
      </c>
      <c r="AG68" t="s">
        <v>2801</v>
      </c>
      <c r="AH68" t="s">
        <v>2615</v>
      </c>
      <c r="AI68" t="s">
        <v>2802</v>
      </c>
      <c r="AJ68" t="s">
        <v>2651</v>
      </c>
      <c r="AK68" t="s">
        <v>20</v>
      </c>
      <c r="AL68" t="s">
        <v>717</v>
      </c>
      <c r="AM68" t="s">
        <v>10</v>
      </c>
      <c r="AN68" t="s">
        <v>717</v>
      </c>
    </row>
    <row r="69" spans="1:40" hidden="1">
      <c r="A69">
        <v>67</v>
      </c>
      <c r="B69">
        <v>2</v>
      </c>
      <c r="C69" s="58">
        <v>43895</v>
      </c>
      <c r="D69" t="s">
        <v>74</v>
      </c>
      <c r="E69" t="s">
        <v>2515</v>
      </c>
      <c r="F69">
        <v>1</v>
      </c>
      <c r="G69">
        <v>8</v>
      </c>
      <c r="I69">
        <v>0</v>
      </c>
      <c r="J69">
        <v>32.03</v>
      </c>
      <c r="K69" t="s">
        <v>9</v>
      </c>
      <c r="L69">
        <v>1345260</v>
      </c>
      <c r="M69">
        <v>0</v>
      </c>
      <c r="N69">
        <v>1345260</v>
      </c>
      <c r="O69">
        <v>42000</v>
      </c>
      <c r="P69">
        <v>16015</v>
      </c>
      <c r="Q69">
        <v>1329245</v>
      </c>
      <c r="R69">
        <v>41500</v>
      </c>
      <c r="S69" t="s">
        <v>130</v>
      </c>
      <c r="T69" t="s">
        <v>717</v>
      </c>
      <c r="U69" t="s">
        <v>717</v>
      </c>
      <c r="V69" t="s">
        <v>717</v>
      </c>
      <c r="W69">
        <v>43892</v>
      </c>
      <c r="X69" t="s">
        <v>2803</v>
      </c>
      <c r="Y69" t="s">
        <v>2517</v>
      </c>
      <c r="Z69" t="s">
        <v>11</v>
      </c>
      <c r="AA69" t="s">
        <v>717</v>
      </c>
      <c r="AB69" t="s">
        <v>2509</v>
      </c>
      <c r="AC69" t="s">
        <v>118</v>
      </c>
      <c r="AD69">
        <v>44111</v>
      </c>
      <c r="AE69" t="s">
        <v>2804</v>
      </c>
      <c r="AF69" t="s">
        <v>2805</v>
      </c>
      <c r="AG69" t="s">
        <v>2806</v>
      </c>
      <c r="AH69" t="s">
        <v>2615</v>
      </c>
      <c r="AI69" t="s">
        <v>2673</v>
      </c>
      <c r="AJ69" t="s">
        <v>2522</v>
      </c>
      <c r="AK69" t="s">
        <v>20</v>
      </c>
      <c r="AL69" t="s">
        <v>717</v>
      </c>
      <c r="AM69" t="s">
        <v>10</v>
      </c>
      <c r="AN69" t="s">
        <v>717</v>
      </c>
    </row>
    <row r="70" spans="1:40" hidden="1">
      <c r="A70">
        <v>68</v>
      </c>
      <c r="B70">
        <v>3</v>
      </c>
      <c r="C70" s="58">
        <v>43896</v>
      </c>
      <c r="D70" t="s">
        <v>74</v>
      </c>
      <c r="E70" t="s">
        <v>2506</v>
      </c>
      <c r="F70">
        <v>1</v>
      </c>
      <c r="G70">
        <v>19</v>
      </c>
      <c r="H70">
        <v>270</v>
      </c>
      <c r="I70">
        <v>3</v>
      </c>
      <c r="J70">
        <v>89.56</v>
      </c>
      <c r="K70" t="s">
        <v>9</v>
      </c>
      <c r="L70">
        <v>3510752</v>
      </c>
      <c r="M70">
        <v>0</v>
      </c>
      <c r="N70">
        <v>3510752</v>
      </c>
      <c r="O70">
        <v>39200</v>
      </c>
      <c r="P70">
        <v>44780</v>
      </c>
      <c r="Q70">
        <v>3465972</v>
      </c>
      <c r="R70">
        <v>38700</v>
      </c>
      <c r="S70" t="s">
        <v>65</v>
      </c>
      <c r="T70" t="s">
        <v>717</v>
      </c>
      <c r="U70" t="s">
        <v>717</v>
      </c>
      <c r="V70" t="s">
        <v>717</v>
      </c>
      <c r="W70">
        <v>43895</v>
      </c>
      <c r="X70" t="s">
        <v>2807</v>
      </c>
      <c r="Y70" t="s">
        <v>6</v>
      </c>
      <c r="Z70" t="s">
        <v>11</v>
      </c>
      <c r="AA70" t="s">
        <v>717</v>
      </c>
      <c r="AB70" t="s">
        <v>2509</v>
      </c>
      <c r="AC70" t="s">
        <v>2571</v>
      </c>
      <c r="AD70" t="s">
        <v>717</v>
      </c>
      <c r="AE70" t="s">
        <v>2808</v>
      </c>
      <c r="AF70" t="s">
        <v>2809</v>
      </c>
      <c r="AG70" t="s">
        <v>2810</v>
      </c>
      <c r="AH70" t="s">
        <v>2615</v>
      </c>
      <c r="AI70" t="s">
        <v>2538</v>
      </c>
      <c r="AJ70" t="s">
        <v>2642</v>
      </c>
      <c r="AK70" t="s">
        <v>2532</v>
      </c>
      <c r="AL70" t="s">
        <v>2663</v>
      </c>
      <c r="AM70" t="s">
        <v>10</v>
      </c>
      <c r="AN70" t="s">
        <v>717</v>
      </c>
    </row>
    <row r="71" spans="1:40" hidden="1">
      <c r="A71">
        <v>69</v>
      </c>
      <c r="B71">
        <v>4</v>
      </c>
      <c r="C71" s="58">
        <v>43900</v>
      </c>
      <c r="D71" t="s">
        <v>74</v>
      </c>
      <c r="E71" t="s">
        <v>2515</v>
      </c>
      <c r="F71">
        <v>10</v>
      </c>
      <c r="G71">
        <v>2</v>
      </c>
      <c r="H71">
        <v>10</v>
      </c>
      <c r="I71">
        <v>2</v>
      </c>
      <c r="J71">
        <v>66.400000000000006</v>
      </c>
      <c r="K71" t="s">
        <v>9</v>
      </c>
      <c r="L71">
        <v>2602880</v>
      </c>
      <c r="M71">
        <v>0</v>
      </c>
      <c r="N71">
        <v>2602880</v>
      </c>
      <c r="O71">
        <v>39200</v>
      </c>
      <c r="P71">
        <v>0</v>
      </c>
      <c r="Q71">
        <v>2602880</v>
      </c>
      <c r="R71">
        <v>39200</v>
      </c>
      <c r="S71" t="s">
        <v>130</v>
      </c>
      <c r="T71" t="s">
        <v>717</v>
      </c>
      <c r="U71" t="s">
        <v>717</v>
      </c>
      <c r="V71" t="s">
        <v>717</v>
      </c>
      <c r="W71">
        <v>43900</v>
      </c>
      <c r="X71" t="s">
        <v>2811</v>
      </c>
      <c r="Y71" t="s">
        <v>6</v>
      </c>
      <c r="Z71" t="s">
        <v>11</v>
      </c>
      <c r="AA71" t="s">
        <v>717</v>
      </c>
      <c r="AB71" t="s">
        <v>2509</v>
      </c>
      <c r="AC71" t="s">
        <v>118</v>
      </c>
      <c r="AD71" t="s">
        <v>717</v>
      </c>
      <c r="AE71" t="s">
        <v>2812</v>
      </c>
      <c r="AF71" t="s">
        <v>2813</v>
      </c>
      <c r="AG71" t="s">
        <v>2814</v>
      </c>
      <c r="AH71" t="s">
        <v>2191</v>
      </c>
      <c r="AI71" t="s">
        <v>2538</v>
      </c>
      <c r="AJ71" t="s">
        <v>2514</v>
      </c>
      <c r="AK71" t="s">
        <v>2532</v>
      </c>
      <c r="AL71" t="s">
        <v>717</v>
      </c>
      <c r="AM71" t="s">
        <v>10</v>
      </c>
      <c r="AN71" t="s">
        <v>717</v>
      </c>
    </row>
    <row r="72" spans="1:40" hidden="1">
      <c r="A72">
        <v>70</v>
      </c>
      <c r="B72">
        <v>5</v>
      </c>
      <c r="C72" s="58">
        <v>43900</v>
      </c>
      <c r="D72" t="s">
        <v>74</v>
      </c>
      <c r="E72" t="s">
        <v>2515</v>
      </c>
      <c r="F72">
        <v>9</v>
      </c>
      <c r="G72">
        <v>7</v>
      </c>
      <c r="H72">
        <v>59</v>
      </c>
      <c r="I72">
        <v>2</v>
      </c>
      <c r="J72">
        <v>66.14</v>
      </c>
      <c r="K72" t="s">
        <v>9</v>
      </c>
      <c r="L72">
        <v>2528688.2999999998</v>
      </c>
      <c r="M72">
        <v>0</v>
      </c>
      <c r="N72">
        <v>2528688.2999999998</v>
      </c>
      <c r="O72">
        <v>38232.360145146653</v>
      </c>
      <c r="P72">
        <v>46290</v>
      </c>
      <c r="Q72">
        <v>2482398.2999999998</v>
      </c>
      <c r="R72">
        <v>37532.481100695491</v>
      </c>
      <c r="S72" t="s">
        <v>130</v>
      </c>
      <c r="T72" t="s">
        <v>2815</v>
      </c>
      <c r="U72">
        <v>64000</v>
      </c>
      <c r="V72" t="s">
        <v>717</v>
      </c>
      <c r="W72">
        <v>43900</v>
      </c>
      <c r="X72" t="s">
        <v>2816</v>
      </c>
      <c r="Y72" t="s">
        <v>6</v>
      </c>
      <c r="Z72" t="s">
        <v>11</v>
      </c>
      <c r="AA72" t="s">
        <v>717</v>
      </c>
      <c r="AB72" t="s">
        <v>2509</v>
      </c>
      <c r="AC72" t="s">
        <v>118</v>
      </c>
      <c r="AD72" t="s">
        <v>717</v>
      </c>
      <c r="AE72" t="s">
        <v>2817</v>
      </c>
      <c r="AF72" t="s">
        <v>2818</v>
      </c>
      <c r="AG72" t="s">
        <v>2819</v>
      </c>
      <c r="AH72" t="s">
        <v>2191</v>
      </c>
      <c r="AI72" t="s">
        <v>2552</v>
      </c>
      <c r="AJ72" t="s">
        <v>2514</v>
      </c>
      <c r="AK72" t="s">
        <v>2532</v>
      </c>
      <c r="AL72" t="s">
        <v>717</v>
      </c>
      <c r="AM72" t="s">
        <v>10</v>
      </c>
      <c r="AN72" t="s">
        <v>717</v>
      </c>
    </row>
    <row r="73" spans="1:40" hidden="1">
      <c r="A73">
        <v>71</v>
      </c>
      <c r="B73">
        <v>6</v>
      </c>
      <c r="C73" s="58">
        <v>43900</v>
      </c>
      <c r="D73" t="s">
        <v>74</v>
      </c>
      <c r="E73" t="s">
        <v>2506</v>
      </c>
      <c r="F73">
        <v>7</v>
      </c>
      <c r="G73">
        <v>3</v>
      </c>
      <c r="H73">
        <v>164</v>
      </c>
      <c r="I73">
        <v>2</v>
      </c>
      <c r="J73">
        <v>63.74</v>
      </c>
      <c r="K73" t="s">
        <v>9</v>
      </c>
      <c r="L73">
        <v>2440158.42</v>
      </c>
      <c r="M73">
        <v>0</v>
      </c>
      <c r="N73">
        <v>2440158.42</v>
      </c>
      <c r="O73">
        <v>38283</v>
      </c>
      <c r="P73">
        <v>31870</v>
      </c>
      <c r="Q73">
        <v>2408288.42</v>
      </c>
      <c r="R73">
        <v>37783</v>
      </c>
      <c r="S73" t="s">
        <v>130</v>
      </c>
      <c r="T73" t="s">
        <v>2664</v>
      </c>
      <c r="U73">
        <v>48888.54</v>
      </c>
      <c r="V73" t="s">
        <v>717</v>
      </c>
      <c r="W73">
        <v>43903</v>
      </c>
      <c r="X73" t="s">
        <v>2820</v>
      </c>
      <c r="Y73" t="s">
        <v>6</v>
      </c>
      <c r="Z73" t="s">
        <v>11</v>
      </c>
      <c r="AA73" t="s">
        <v>717</v>
      </c>
      <c r="AB73" t="s">
        <v>2509</v>
      </c>
      <c r="AC73" t="s">
        <v>118</v>
      </c>
      <c r="AD73" t="s">
        <v>717</v>
      </c>
      <c r="AE73" t="s">
        <v>2821</v>
      </c>
      <c r="AF73" t="s">
        <v>2822</v>
      </c>
      <c r="AG73" t="s">
        <v>2823</v>
      </c>
      <c r="AH73" t="s">
        <v>2615</v>
      </c>
      <c r="AI73" t="s">
        <v>2824</v>
      </c>
      <c r="AJ73" t="s">
        <v>2825</v>
      </c>
      <c r="AK73" t="s">
        <v>2532</v>
      </c>
      <c r="AL73" t="s">
        <v>717</v>
      </c>
      <c r="AM73" t="s">
        <v>10</v>
      </c>
      <c r="AN73" t="s">
        <v>717</v>
      </c>
    </row>
    <row r="74" spans="1:40" hidden="1">
      <c r="A74">
        <v>72</v>
      </c>
      <c r="B74">
        <v>7</v>
      </c>
      <c r="C74" s="58">
        <v>43901</v>
      </c>
      <c r="D74" t="s">
        <v>74</v>
      </c>
      <c r="E74" t="s">
        <v>2515</v>
      </c>
      <c r="F74">
        <v>4</v>
      </c>
      <c r="G74">
        <v>16</v>
      </c>
      <c r="H74">
        <v>144</v>
      </c>
      <c r="I74">
        <v>3</v>
      </c>
      <c r="J74">
        <v>80.33</v>
      </c>
      <c r="K74" t="s">
        <v>9</v>
      </c>
      <c r="L74">
        <v>3148936</v>
      </c>
      <c r="M74">
        <v>0</v>
      </c>
      <c r="N74">
        <v>3148936</v>
      </c>
      <c r="O74">
        <v>39200</v>
      </c>
      <c r="P74">
        <v>40165</v>
      </c>
      <c r="Q74">
        <v>3108771</v>
      </c>
      <c r="R74">
        <v>38700</v>
      </c>
      <c r="S74" t="s">
        <v>65</v>
      </c>
      <c r="T74" t="s">
        <v>717</v>
      </c>
      <c r="U74" t="s">
        <v>717</v>
      </c>
      <c r="V74" t="s">
        <v>717</v>
      </c>
      <c r="W74">
        <v>43902</v>
      </c>
      <c r="X74" t="s">
        <v>2826</v>
      </c>
      <c r="Y74" t="s">
        <v>6</v>
      </c>
      <c r="Z74" t="s">
        <v>11</v>
      </c>
      <c r="AA74" t="s">
        <v>717</v>
      </c>
      <c r="AB74" t="s">
        <v>2509</v>
      </c>
      <c r="AC74" t="s">
        <v>2571</v>
      </c>
      <c r="AD74" t="s">
        <v>717</v>
      </c>
      <c r="AE74" t="s">
        <v>2827</v>
      </c>
      <c r="AF74" t="s">
        <v>2828</v>
      </c>
      <c r="AG74" t="s">
        <v>2829</v>
      </c>
      <c r="AH74" t="s">
        <v>2191</v>
      </c>
      <c r="AI74" t="s">
        <v>2673</v>
      </c>
      <c r="AJ74" t="s">
        <v>2657</v>
      </c>
      <c r="AK74" t="s">
        <v>63</v>
      </c>
      <c r="AL74" t="s">
        <v>16</v>
      </c>
      <c r="AM74" t="s">
        <v>10</v>
      </c>
      <c r="AN74" t="s">
        <v>717</v>
      </c>
    </row>
    <row r="75" spans="1:40" hidden="1">
      <c r="A75">
        <v>73</v>
      </c>
      <c r="B75">
        <v>8</v>
      </c>
      <c r="C75" s="58">
        <v>43902</v>
      </c>
      <c r="D75" t="s">
        <v>74</v>
      </c>
      <c r="E75" t="s">
        <v>2515</v>
      </c>
      <c r="F75">
        <v>1</v>
      </c>
      <c r="G75">
        <v>13</v>
      </c>
      <c r="H75">
        <v>111</v>
      </c>
      <c r="I75">
        <v>0</v>
      </c>
      <c r="J75">
        <v>32.03</v>
      </c>
      <c r="K75" t="s">
        <v>15</v>
      </c>
      <c r="L75">
        <v>1523026.5</v>
      </c>
      <c r="M75">
        <v>0</v>
      </c>
      <c r="N75">
        <v>1523026.5</v>
      </c>
      <c r="O75">
        <v>47550</v>
      </c>
      <c r="P75">
        <v>150541</v>
      </c>
      <c r="Q75">
        <v>1372485.5</v>
      </c>
      <c r="R75">
        <v>42850</v>
      </c>
      <c r="S75" t="s">
        <v>65</v>
      </c>
      <c r="T75" t="s">
        <v>717</v>
      </c>
      <c r="U75" t="s">
        <v>717</v>
      </c>
      <c r="V75" t="s">
        <v>717</v>
      </c>
      <c r="W75">
        <v>43909</v>
      </c>
      <c r="X75" t="s">
        <v>2830</v>
      </c>
      <c r="Y75" t="s">
        <v>6</v>
      </c>
      <c r="Z75" t="s">
        <v>11</v>
      </c>
      <c r="AA75" t="s">
        <v>717</v>
      </c>
      <c r="AB75" t="s">
        <v>2509</v>
      </c>
      <c r="AC75" t="s">
        <v>2564</v>
      </c>
      <c r="AD75" t="s">
        <v>717</v>
      </c>
      <c r="AE75" t="s">
        <v>2831</v>
      </c>
      <c r="AF75" t="s">
        <v>2832</v>
      </c>
      <c r="AG75" t="s">
        <v>2833</v>
      </c>
      <c r="AH75" t="s">
        <v>2191</v>
      </c>
      <c r="AI75" t="s">
        <v>2834</v>
      </c>
      <c r="AJ75" t="s">
        <v>2514</v>
      </c>
      <c r="AK75" t="s">
        <v>20</v>
      </c>
      <c r="AL75" t="s">
        <v>16</v>
      </c>
      <c r="AM75" t="s">
        <v>10</v>
      </c>
      <c r="AN75" t="s">
        <v>717</v>
      </c>
    </row>
    <row r="76" spans="1:40" hidden="1">
      <c r="A76">
        <v>74</v>
      </c>
      <c r="B76">
        <v>9</v>
      </c>
      <c r="C76" s="58">
        <v>43903</v>
      </c>
      <c r="D76" t="s">
        <v>74</v>
      </c>
      <c r="E76" t="s">
        <v>2506</v>
      </c>
      <c r="F76">
        <v>7</v>
      </c>
      <c r="G76">
        <v>19</v>
      </c>
      <c r="H76">
        <v>276</v>
      </c>
      <c r="I76">
        <v>2</v>
      </c>
      <c r="J76">
        <v>63.74</v>
      </c>
      <c r="K76" t="s">
        <v>9</v>
      </c>
      <c r="L76">
        <v>2624430.7599999998</v>
      </c>
      <c r="M76">
        <v>0</v>
      </c>
      <c r="N76">
        <v>2624430.7599999998</v>
      </c>
      <c r="O76">
        <v>41173.999999999993</v>
      </c>
      <c r="P76">
        <v>31870</v>
      </c>
      <c r="Q76">
        <v>2592560.7599999998</v>
      </c>
      <c r="R76">
        <v>40673.999999999993</v>
      </c>
      <c r="S76" t="s">
        <v>130</v>
      </c>
      <c r="T76" t="s">
        <v>2664</v>
      </c>
      <c r="U76">
        <v>52904.2</v>
      </c>
      <c r="V76" t="s">
        <v>717</v>
      </c>
      <c r="W76">
        <v>43903</v>
      </c>
      <c r="X76" t="s">
        <v>2835</v>
      </c>
      <c r="Y76" t="s">
        <v>6</v>
      </c>
      <c r="Z76" t="s">
        <v>11</v>
      </c>
      <c r="AA76" t="s">
        <v>717</v>
      </c>
      <c r="AB76" t="s">
        <v>2509</v>
      </c>
      <c r="AC76" t="s">
        <v>118</v>
      </c>
      <c r="AD76" t="s">
        <v>717</v>
      </c>
      <c r="AE76" t="s">
        <v>2836</v>
      </c>
      <c r="AF76" t="s">
        <v>2837</v>
      </c>
      <c r="AG76" t="s">
        <v>2838</v>
      </c>
      <c r="AH76" t="s">
        <v>2191</v>
      </c>
      <c r="AI76" t="s">
        <v>2656</v>
      </c>
      <c r="AJ76" t="s">
        <v>2514</v>
      </c>
      <c r="AK76" t="s">
        <v>63</v>
      </c>
      <c r="AL76" t="s">
        <v>717</v>
      </c>
      <c r="AM76" t="s">
        <v>10</v>
      </c>
      <c r="AN76" t="s">
        <v>717</v>
      </c>
    </row>
    <row r="77" spans="1:40" hidden="1">
      <c r="A77">
        <v>75</v>
      </c>
      <c r="B77">
        <v>10</v>
      </c>
      <c r="C77" s="58">
        <v>43906</v>
      </c>
      <c r="D77" t="s">
        <v>74</v>
      </c>
      <c r="E77" t="s">
        <v>2506</v>
      </c>
      <c r="F77">
        <v>5</v>
      </c>
      <c r="G77">
        <v>5</v>
      </c>
      <c r="H77">
        <v>176</v>
      </c>
      <c r="I77">
        <v>3</v>
      </c>
      <c r="J77">
        <v>78.03</v>
      </c>
      <c r="K77" t="s">
        <v>15</v>
      </c>
      <c r="L77">
        <v>3409911</v>
      </c>
      <c r="M77">
        <v>0</v>
      </c>
      <c r="N77">
        <v>3409911</v>
      </c>
      <c r="O77">
        <v>43700</v>
      </c>
      <c r="P77">
        <v>335529</v>
      </c>
      <c r="Q77">
        <v>3074382</v>
      </c>
      <c r="R77">
        <v>39400</v>
      </c>
      <c r="S77" t="s">
        <v>65</v>
      </c>
      <c r="T77" t="s">
        <v>717</v>
      </c>
      <c r="U77" t="s">
        <v>717</v>
      </c>
      <c r="V77" t="s">
        <v>717</v>
      </c>
      <c r="W77">
        <v>43900</v>
      </c>
      <c r="X77" t="s">
        <v>2839</v>
      </c>
      <c r="Y77" t="s">
        <v>6</v>
      </c>
      <c r="Z77" t="s">
        <v>11</v>
      </c>
      <c r="AA77" t="s">
        <v>717</v>
      </c>
      <c r="AB77" t="s">
        <v>2509</v>
      </c>
      <c r="AC77" t="s">
        <v>2571</v>
      </c>
      <c r="AD77" t="s">
        <v>717</v>
      </c>
      <c r="AE77" t="s">
        <v>2840</v>
      </c>
      <c r="AF77" t="s">
        <v>2841</v>
      </c>
      <c r="AG77" t="s">
        <v>2842</v>
      </c>
      <c r="AH77" t="s">
        <v>2552</v>
      </c>
      <c r="AI77" t="s">
        <v>2552</v>
      </c>
      <c r="AJ77" t="s">
        <v>2662</v>
      </c>
      <c r="AK77" t="s">
        <v>20</v>
      </c>
      <c r="AL77" t="s">
        <v>2663</v>
      </c>
      <c r="AM77" t="s">
        <v>10</v>
      </c>
      <c r="AN77" t="s">
        <v>717</v>
      </c>
    </row>
    <row r="78" spans="1:40" hidden="1">
      <c r="A78">
        <v>76</v>
      </c>
      <c r="B78">
        <v>11</v>
      </c>
      <c r="C78" s="58">
        <v>43906</v>
      </c>
      <c r="D78" t="s">
        <v>74</v>
      </c>
      <c r="E78" t="s">
        <v>2515</v>
      </c>
      <c r="F78">
        <v>10</v>
      </c>
      <c r="G78">
        <v>7</v>
      </c>
      <c r="H78">
        <v>60</v>
      </c>
      <c r="I78">
        <v>2</v>
      </c>
      <c r="J78">
        <v>65.540000000000006</v>
      </c>
      <c r="K78" t="s">
        <v>15</v>
      </c>
      <c r="L78">
        <v>2852628.5</v>
      </c>
      <c r="M78">
        <v>0</v>
      </c>
      <c r="N78">
        <v>2852628.5</v>
      </c>
      <c r="O78">
        <v>43524.999999999993</v>
      </c>
      <c r="P78">
        <v>281822</v>
      </c>
      <c r="Q78">
        <v>2570806.5</v>
      </c>
      <c r="R78">
        <v>39224.999999999993</v>
      </c>
      <c r="S78" t="s">
        <v>65</v>
      </c>
      <c r="T78" t="s">
        <v>717</v>
      </c>
      <c r="U78" t="s">
        <v>717</v>
      </c>
      <c r="V78" t="s">
        <v>717</v>
      </c>
      <c r="W78">
        <v>43903</v>
      </c>
      <c r="X78" t="s">
        <v>2843</v>
      </c>
      <c r="Y78" t="s">
        <v>6</v>
      </c>
      <c r="Z78" t="s">
        <v>11</v>
      </c>
      <c r="AA78" t="s">
        <v>717</v>
      </c>
      <c r="AB78" t="s">
        <v>2509</v>
      </c>
      <c r="AC78" t="s">
        <v>2564</v>
      </c>
      <c r="AD78" t="s">
        <v>717</v>
      </c>
      <c r="AE78" t="s">
        <v>2844</v>
      </c>
      <c r="AF78" t="s">
        <v>2845</v>
      </c>
      <c r="AG78" t="s">
        <v>2846</v>
      </c>
      <c r="AH78" t="s">
        <v>2615</v>
      </c>
      <c r="AI78" t="s">
        <v>2847</v>
      </c>
      <c r="AJ78" t="s">
        <v>2642</v>
      </c>
      <c r="AK78" t="s">
        <v>20</v>
      </c>
      <c r="AL78" t="s">
        <v>2663</v>
      </c>
      <c r="AM78" t="s">
        <v>10</v>
      </c>
      <c r="AN78" t="s">
        <v>717</v>
      </c>
    </row>
    <row r="79" spans="1:40" hidden="1">
      <c r="A79">
        <v>77</v>
      </c>
      <c r="B79">
        <v>12</v>
      </c>
      <c r="C79" s="58">
        <v>43906</v>
      </c>
      <c r="D79" t="s">
        <v>74</v>
      </c>
      <c r="E79" t="s">
        <v>2581</v>
      </c>
      <c r="F79">
        <v>3</v>
      </c>
      <c r="G79">
        <v>6</v>
      </c>
      <c r="H79">
        <v>346</v>
      </c>
      <c r="I79">
        <v>1</v>
      </c>
      <c r="J79">
        <v>41.9</v>
      </c>
      <c r="K79" t="s">
        <v>9</v>
      </c>
      <c r="L79">
        <v>1825792.5</v>
      </c>
      <c r="M79">
        <v>0</v>
      </c>
      <c r="N79">
        <v>1825792.5</v>
      </c>
      <c r="O79">
        <v>43575</v>
      </c>
      <c r="P79">
        <v>20950</v>
      </c>
      <c r="Q79">
        <v>1804842.5</v>
      </c>
      <c r="R79">
        <v>43075</v>
      </c>
      <c r="S79" t="s">
        <v>130</v>
      </c>
      <c r="T79" t="s">
        <v>717</v>
      </c>
      <c r="U79" t="s">
        <v>717</v>
      </c>
      <c r="V79" t="s">
        <v>717</v>
      </c>
      <c r="W79">
        <v>43906</v>
      </c>
      <c r="X79" t="s">
        <v>2848</v>
      </c>
      <c r="Y79" t="s">
        <v>6</v>
      </c>
      <c r="Z79" t="s">
        <v>11</v>
      </c>
      <c r="AA79" t="s">
        <v>717</v>
      </c>
      <c r="AB79" t="s">
        <v>2509</v>
      </c>
      <c r="AC79" t="s">
        <v>118</v>
      </c>
      <c r="AD79" t="s">
        <v>717</v>
      </c>
      <c r="AE79" t="s">
        <v>2849</v>
      </c>
      <c r="AF79" t="s">
        <v>2850</v>
      </c>
      <c r="AG79" t="s">
        <v>2814</v>
      </c>
      <c r="AH79" t="s">
        <v>2615</v>
      </c>
      <c r="AI79" t="s">
        <v>2824</v>
      </c>
      <c r="AJ79" t="s">
        <v>2569</v>
      </c>
      <c r="AK79" t="s">
        <v>2532</v>
      </c>
      <c r="AL79" t="s">
        <v>717</v>
      </c>
      <c r="AM79" t="s">
        <v>10</v>
      </c>
      <c r="AN79" t="s">
        <v>717</v>
      </c>
    </row>
    <row r="80" spans="1:40" hidden="1">
      <c r="A80">
        <v>78</v>
      </c>
      <c r="B80">
        <v>13</v>
      </c>
      <c r="C80" s="58">
        <v>43906</v>
      </c>
      <c r="D80" t="s">
        <v>74</v>
      </c>
      <c r="E80" t="s">
        <v>2506</v>
      </c>
      <c r="F80">
        <v>2</v>
      </c>
      <c r="G80">
        <v>7</v>
      </c>
      <c r="H80">
        <v>187</v>
      </c>
      <c r="I80">
        <v>1</v>
      </c>
      <c r="J80">
        <v>40.39</v>
      </c>
      <c r="K80" t="s">
        <v>9</v>
      </c>
      <c r="L80">
        <v>1773848</v>
      </c>
      <c r="M80">
        <v>0</v>
      </c>
      <c r="N80">
        <v>1773848</v>
      </c>
      <c r="O80">
        <v>43917.999504827931</v>
      </c>
      <c r="P80">
        <v>20195</v>
      </c>
      <c r="Q80">
        <v>1753653</v>
      </c>
      <c r="R80">
        <v>43417.999504827931</v>
      </c>
      <c r="S80" t="s">
        <v>65</v>
      </c>
      <c r="T80" t="s">
        <v>2664</v>
      </c>
      <c r="U80">
        <v>35623.980000000003</v>
      </c>
      <c r="V80" t="s">
        <v>717</v>
      </c>
      <c r="W80">
        <v>43908</v>
      </c>
      <c r="X80" t="s">
        <v>2851</v>
      </c>
      <c r="Y80" t="s">
        <v>6</v>
      </c>
      <c r="Z80" t="s">
        <v>11</v>
      </c>
      <c r="AA80" t="s">
        <v>717</v>
      </c>
      <c r="AB80" t="s">
        <v>2509</v>
      </c>
      <c r="AC80" t="s">
        <v>2564</v>
      </c>
      <c r="AD80" t="s">
        <v>717</v>
      </c>
      <c r="AE80" t="s">
        <v>2852</v>
      </c>
      <c r="AF80" t="s">
        <v>2853</v>
      </c>
      <c r="AG80" t="s">
        <v>2854</v>
      </c>
      <c r="AH80" t="s">
        <v>2615</v>
      </c>
      <c r="AI80" t="s">
        <v>2552</v>
      </c>
      <c r="AJ80" t="s">
        <v>2855</v>
      </c>
      <c r="AK80" t="s">
        <v>77</v>
      </c>
      <c r="AL80" t="s">
        <v>2663</v>
      </c>
      <c r="AM80" t="s">
        <v>10</v>
      </c>
      <c r="AN80" t="s">
        <v>717</v>
      </c>
    </row>
    <row r="81" spans="1:40" hidden="1">
      <c r="A81">
        <v>79</v>
      </c>
      <c r="B81">
        <v>14</v>
      </c>
      <c r="C81" s="58">
        <v>43907</v>
      </c>
      <c r="D81" t="s">
        <v>74</v>
      </c>
      <c r="E81" t="s">
        <v>2506</v>
      </c>
      <c r="F81">
        <v>4</v>
      </c>
      <c r="G81">
        <v>18</v>
      </c>
      <c r="H81">
        <v>266</v>
      </c>
      <c r="I81">
        <v>1</v>
      </c>
      <c r="J81">
        <v>40.58</v>
      </c>
      <c r="K81" t="s">
        <v>9</v>
      </c>
      <c r="L81">
        <v>1684191.74</v>
      </c>
      <c r="M81">
        <v>0</v>
      </c>
      <c r="N81">
        <v>1684191.74</v>
      </c>
      <c r="O81">
        <v>41503</v>
      </c>
      <c r="P81">
        <v>0</v>
      </c>
      <c r="Q81">
        <v>1684191.74</v>
      </c>
      <c r="R81">
        <v>41503</v>
      </c>
      <c r="S81" t="s">
        <v>65</v>
      </c>
      <c r="T81" t="s">
        <v>2664</v>
      </c>
      <c r="U81">
        <v>34371.26</v>
      </c>
      <c r="V81" t="s">
        <v>717</v>
      </c>
      <c r="W81">
        <v>43903</v>
      </c>
      <c r="X81" t="s">
        <v>2856</v>
      </c>
      <c r="Y81" t="s">
        <v>6</v>
      </c>
      <c r="Z81" t="s">
        <v>11</v>
      </c>
      <c r="AA81" t="s">
        <v>717</v>
      </c>
      <c r="AB81" t="s">
        <v>2509</v>
      </c>
      <c r="AC81" t="s">
        <v>2564</v>
      </c>
      <c r="AD81" t="s">
        <v>717</v>
      </c>
      <c r="AE81" t="s">
        <v>2857</v>
      </c>
      <c r="AF81" t="s">
        <v>2858</v>
      </c>
      <c r="AG81" t="s">
        <v>2859</v>
      </c>
      <c r="AH81" t="s">
        <v>2615</v>
      </c>
      <c r="AI81" t="s">
        <v>2824</v>
      </c>
      <c r="AJ81" t="s">
        <v>2825</v>
      </c>
      <c r="AK81" t="s">
        <v>2532</v>
      </c>
      <c r="AL81" t="s">
        <v>16</v>
      </c>
      <c r="AM81" t="s">
        <v>10</v>
      </c>
      <c r="AN81" t="s">
        <v>717</v>
      </c>
    </row>
    <row r="82" spans="1:40" hidden="1">
      <c r="A82">
        <v>80</v>
      </c>
      <c r="B82">
        <v>15</v>
      </c>
      <c r="C82" s="58">
        <v>43908</v>
      </c>
      <c r="D82" t="s">
        <v>74</v>
      </c>
      <c r="E82" t="s">
        <v>2506</v>
      </c>
      <c r="F82">
        <v>6</v>
      </c>
      <c r="G82">
        <v>17</v>
      </c>
      <c r="H82">
        <v>261</v>
      </c>
      <c r="I82">
        <v>2</v>
      </c>
      <c r="J82">
        <v>64.150000000000006</v>
      </c>
      <c r="K82" t="s">
        <v>9</v>
      </c>
      <c r="L82">
        <v>2694300</v>
      </c>
      <c r="M82">
        <v>0</v>
      </c>
      <c r="N82">
        <v>2694300</v>
      </c>
      <c r="O82">
        <v>41999.999999999993</v>
      </c>
      <c r="P82">
        <v>32075</v>
      </c>
      <c r="Q82">
        <v>2662225</v>
      </c>
      <c r="R82">
        <v>41499.999999999993</v>
      </c>
      <c r="S82" t="s">
        <v>65</v>
      </c>
      <c r="T82" t="s">
        <v>717</v>
      </c>
      <c r="U82" t="s">
        <v>717</v>
      </c>
      <c r="V82" t="s">
        <v>717</v>
      </c>
      <c r="W82">
        <v>43904</v>
      </c>
      <c r="X82" t="s">
        <v>2860</v>
      </c>
      <c r="Y82" t="s">
        <v>6</v>
      </c>
      <c r="Z82" t="s">
        <v>11</v>
      </c>
      <c r="AA82" t="s">
        <v>717</v>
      </c>
      <c r="AB82" t="s">
        <v>2509</v>
      </c>
      <c r="AC82" t="s">
        <v>2571</v>
      </c>
      <c r="AD82" t="s">
        <v>717</v>
      </c>
      <c r="AE82" t="s">
        <v>2861</v>
      </c>
      <c r="AF82" t="s">
        <v>2862</v>
      </c>
      <c r="AG82" t="s">
        <v>2863</v>
      </c>
      <c r="AH82" t="s">
        <v>2615</v>
      </c>
      <c r="AI82" t="s">
        <v>2824</v>
      </c>
      <c r="AJ82" t="s">
        <v>2569</v>
      </c>
      <c r="AK82" t="s">
        <v>2532</v>
      </c>
      <c r="AL82" t="s">
        <v>16</v>
      </c>
      <c r="AM82" t="s">
        <v>10</v>
      </c>
      <c r="AN82" t="s">
        <v>717</v>
      </c>
    </row>
    <row r="83" spans="1:40" hidden="1">
      <c r="A83">
        <v>81</v>
      </c>
      <c r="B83">
        <v>16</v>
      </c>
      <c r="C83" s="58">
        <v>43908</v>
      </c>
      <c r="D83" t="s">
        <v>74</v>
      </c>
      <c r="E83" t="s">
        <v>2506</v>
      </c>
      <c r="F83">
        <v>1</v>
      </c>
      <c r="G83">
        <v>22</v>
      </c>
      <c r="H83">
        <v>291</v>
      </c>
      <c r="I83">
        <v>2</v>
      </c>
      <c r="J83">
        <v>63.88</v>
      </c>
      <c r="K83" t="s">
        <v>9</v>
      </c>
      <c r="L83">
        <v>2615886</v>
      </c>
      <c r="M83">
        <v>0</v>
      </c>
      <c r="N83">
        <v>2615886</v>
      </c>
      <c r="O83">
        <v>40950</v>
      </c>
      <c r="P83">
        <v>31940</v>
      </c>
      <c r="Q83">
        <v>2583946</v>
      </c>
      <c r="R83">
        <v>40450</v>
      </c>
      <c r="S83" t="s">
        <v>65</v>
      </c>
      <c r="T83" t="s">
        <v>717</v>
      </c>
      <c r="U83" t="s">
        <v>717</v>
      </c>
      <c r="V83" t="s">
        <v>717</v>
      </c>
      <c r="W83">
        <v>43907</v>
      </c>
      <c r="X83" t="s">
        <v>2864</v>
      </c>
      <c r="Y83" t="s">
        <v>6</v>
      </c>
      <c r="Z83" t="s">
        <v>11</v>
      </c>
      <c r="AA83" t="s">
        <v>717</v>
      </c>
      <c r="AB83" t="s">
        <v>2509</v>
      </c>
      <c r="AC83" t="s">
        <v>2571</v>
      </c>
      <c r="AD83" t="s">
        <v>717</v>
      </c>
      <c r="AE83" t="s">
        <v>2865</v>
      </c>
      <c r="AF83" t="s">
        <v>2866</v>
      </c>
      <c r="AG83" t="s">
        <v>2867</v>
      </c>
      <c r="AH83" t="s">
        <v>2191</v>
      </c>
      <c r="AI83" t="s">
        <v>2538</v>
      </c>
      <c r="AJ83" t="s">
        <v>2514</v>
      </c>
      <c r="AK83" t="s">
        <v>77</v>
      </c>
      <c r="AL83" t="s">
        <v>2663</v>
      </c>
      <c r="AM83" t="s">
        <v>10</v>
      </c>
      <c r="AN83" t="s">
        <v>717</v>
      </c>
    </row>
    <row r="84" spans="1:40" hidden="1">
      <c r="A84">
        <v>82</v>
      </c>
      <c r="B84">
        <v>17</v>
      </c>
      <c r="C84" s="58">
        <v>43908</v>
      </c>
      <c r="D84" t="s">
        <v>74</v>
      </c>
      <c r="E84" t="s">
        <v>2506</v>
      </c>
      <c r="F84">
        <v>6</v>
      </c>
      <c r="G84">
        <v>18</v>
      </c>
      <c r="H84">
        <v>268</v>
      </c>
      <c r="I84">
        <v>2</v>
      </c>
      <c r="J84">
        <v>64.150000000000006</v>
      </c>
      <c r="K84" t="s">
        <v>15</v>
      </c>
      <c r="L84">
        <v>2837033.75</v>
      </c>
      <c r="M84">
        <v>0</v>
      </c>
      <c r="N84">
        <v>2837033.75</v>
      </c>
      <c r="O84">
        <v>44224.999999999993</v>
      </c>
      <c r="P84">
        <v>275845</v>
      </c>
      <c r="Q84">
        <v>2561188.75</v>
      </c>
      <c r="R84">
        <v>39925</v>
      </c>
      <c r="S84" t="s">
        <v>65</v>
      </c>
      <c r="T84" t="s">
        <v>717</v>
      </c>
      <c r="U84" t="s">
        <v>717</v>
      </c>
      <c r="V84" t="s">
        <v>717</v>
      </c>
      <c r="W84">
        <v>43910</v>
      </c>
      <c r="X84" t="s">
        <v>2868</v>
      </c>
      <c r="Y84" t="s">
        <v>6</v>
      </c>
      <c r="Z84" t="s">
        <v>11</v>
      </c>
      <c r="AA84" t="s">
        <v>717</v>
      </c>
      <c r="AB84" t="s">
        <v>2509</v>
      </c>
      <c r="AC84" t="s">
        <v>2571</v>
      </c>
      <c r="AD84" t="s">
        <v>717</v>
      </c>
      <c r="AE84" t="s">
        <v>2869</v>
      </c>
      <c r="AF84" t="s">
        <v>2870</v>
      </c>
      <c r="AG84" t="s">
        <v>2871</v>
      </c>
      <c r="AH84" t="s">
        <v>2191</v>
      </c>
      <c r="AI84" t="s">
        <v>2872</v>
      </c>
      <c r="AJ84" t="s">
        <v>2855</v>
      </c>
      <c r="AK84" t="s">
        <v>63</v>
      </c>
      <c r="AL84" t="s">
        <v>16</v>
      </c>
      <c r="AM84" t="s">
        <v>10</v>
      </c>
      <c r="AN84" t="s">
        <v>717</v>
      </c>
    </row>
    <row r="85" spans="1:40" hidden="1">
      <c r="A85">
        <v>83</v>
      </c>
      <c r="B85">
        <v>18</v>
      </c>
      <c r="C85" s="58">
        <v>43908</v>
      </c>
      <c r="D85" t="s">
        <v>74</v>
      </c>
      <c r="E85" t="s">
        <v>2506</v>
      </c>
      <c r="F85">
        <v>6</v>
      </c>
      <c r="G85">
        <v>3</v>
      </c>
      <c r="H85">
        <v>163</v>
      </c>
      <c r="I85">
        <v>2</v>
      </c>
      <c r="J85">
        <v>64.150000000000006</v>
      </c>
      <c r="K85" t="s">
        <v>9</v>
      </c>
      <c r="L85">
        <v>2503453.75</v>
      </c>
      <c r="M85">
        <v>0</v>
      </c>
      <c r="N85">
        <v>2503453.75</v>
      </c>
      <c r="O85">
        <v>39025</v>
      </c>
      <c r="P85">
        <v>32075</v>
      </c>
      <c r="Q85">
        <v>2471378.75</v>
      </c>
      <c r="R85">
        <v>38525</v>
      </c>
      <c r="S85" t="s">
        <v>65</v>
      </c>
      <c r="T85" t="s">
        <v>717</v>
      </c>
      <c r="U85" t="s">
        <v>717</v>
      </c>
      <c r="V85" t="s">
        <v>717</v>
      </c>
      <c r="W85">
        <v>43911</v>
      </c>
      <c r="X85" t="s">
        <v>2873</v>
      </c>
      <c r="Y85" t="s">
        <v>6</v>
      </c>
      <c r="Z85" t="s">
        <v>11</v>
      </c>
      <c r="AA85" t="s">
        <v>717</v>
      </c>
      <c r="AB85" t="s">
        <v>2509</v>
      </c>
      <c r="AC85" t="s">
        <v>2571</v>
      </c>
      <c r="AD85" t="s">
        <v>717</v>
      </c>
      <c r="AE85" t="s">
        <v>2874</v>
      </c>
      <c r="AF85" t="s">
        <v>2875</v>
      </c>
      <c r="AG85" t="s">
        <v>2876</v>
      </c>
      <c r="AH85" t="s">
        <v>2191</v>
      </c>
      <c r="AI85" t="s">
        <v>2877</v>
      </c>
      <c r="AJ85" t="s">
        <v>2569</v>
      </c>
      <c r="AK85" t="s">
        <v>63</v>
      </c>
      <c r="AL85" t="s">
        <v>2663</v>
      </c>
      <c r="AM85" t="s">
        <v>10</v>
      </c>
      <c r="AN85" t="s">
        <v>717</v>
      </c>
    </row>
    <row r="86" spans="1:40" hidden="1">
      <c r="A86">
        <v>84</v>
      </c>
      <c r="B86">
        <v>19</v>
      </c>
      <c r="C86" s="58">
        <v>43910</v>
      </c>
      <c r="D86" t="s">
        <v>74</v>
      </c>
      <c r="E86" t="s">
        <v>2506</v>
      </c>
      <c r="F86">
        <v>4</v>
      </c>
      <c r="G86">
        <v>14</v>
      </c>
      <c r="H86">
        <v>238</v>
      </c>
      <c r="I86">
        <v>1</v>
      </c>
      <c r="J86">
        <v>40.58</v>
      </c>
      <c r="K86" t="s">
        <v>9</v>
      </c>
      <c r="L86">
        <v>1839288.5</v>
      </c>
      <c r="M86">
        <v>0</v>
      </c>
      <c r="N86">
        <v>1839288.5</v>
      </c>
      <c r="O86">
        <v>45325</v>
      </c>
      <c r="P86">
        <v>20290</v>
      </c>
      <c r="Q86">
        <v>1818998.5</v>
      </c>
      <c r="R86">
        <v>44825</v>
      </c>
      <c r="S86" t="s">
        <v>65</v>
      </c>
      <c r="T86" t="s">
        <v>717</v>
      </c>
      <c r="U86" t="s">
        <v>717</v>
      </c>
      <c r="V86" t="s">
        <v>717</v>
      </c>
      <c r="W86">
        <v>43907</v>
      </c>
      <c r="X86" t="s">
        <v>2878</v>
      </c>
      <c r="Y86" t="s">
        <v>6</v>
      </c>
      <c r="Z86" t="s">
        <v>11</v>
      </c>
      <c r="AA86" t="s">
        <v>717</v>
      </c>
      <c r="AB86" t="s">
        <v>2509</v>
      </c>
      <c r="AC86" t="s">
        <v>2571</v>
      </c>
      <c r="AD86" t="s">
        <v>717</v>
      </c>
      <c r="AE86" t="s">
        <v>2879</v>
      </c>
      <c r="AF86" t="s">
        <v>2880</v>
      </c>
      <c r="AG86" t="s">
        <v>2881</v>
      </c>
      <c r="AH86" t="s">
        <v>2615</v>
      </c>
      <c r="AI86" t="s">
        <v>2552</v>
      </c>
      <c r="AJ86" t="s">
        <v>2642</v>
      </c>
      <c r="AK86" t="s">
        <v>20</v>
      </c>
      <c r="AL86" t="s">
        <v>16</v>
      </c>
      <c r="AM86" t="s">
        <v>10</v>
      </c>
      <c r="AN86" t="s">
        <v>717</v>
      </c>
    </row>
    <row r="87" spans="1:40" hidden="1">
      <c r="A87">
        <v>85</v>
      </c>
      <c r="B87">
        <v>20</v>
      </c>
      <c r="C87" s="58">
        <v>43911</v>
      </c>
      <c r="D87" t="s">
        <v>74</v>
      </c>
      <c r="E87" t="s">
        <v>2515</v>
      </c>
      <c r="F87">
        <v>2</v>
      </c>
      <c r="G87">
        <v>16</v>
      </c>
      <c r="H87">
        <v>142</v>
      </c>
      <c r="I87">
        <v>0</v>
      </c>
      <c r="J87">
        <v>31.88</v>
      </c>
      <c r="K87" t="s">
        <v>9</v>
      </c>
      <c r="L87">
        <v>1411487</v>
      </c>
      <c r="M87">
        <v>0</v>
      </c>
      <c r="N87">
        <v>1411487</v>
      </c>
      <c r="O87">
        <v>44275</v>
      </c>
      <c r="P87">
        <v>15940</v>
      </c>
      <c r="Q87">
        <v>1395547</v>
      </c>
      <c r="R87">
        <v>43775</v>
      </c>
      <c r="S87" t="s">
        <v>130</v>
      </c>
      <c r="T87" t="s">
        <v>717</v>
      </c>
      <c r="U87" t="s">
        <v>717</v>
      </c>
      <c r="V87" t="s">
        <v>717</v>
      </c>
      <c r="W87">
        <v>43910</v>
      </c>
      <c r="X87" t="s">
        <v>2882</v>
      </c>
      <c r="Y87" t="s">
        <v>6</v>
      </c>
      <c r="Z87" t="s">
        <v>11</v>
      </c>
      <c r="AA87" t="s">
        <v>717</v>
      </c>
      <c r="AB87" t="s">
        <v>2509</v>
      </c>
      <c r="AC87" t="s">
        <v>118</v>
      </c>
      <c r="AD87" t="s">
        <v>717</v>
      </c>
      <c r="AE87" t="s">
        <v>2883</v>
      </c>
      <c r="AF87" t="s">
        <v>2884</v>
      </c>
      <c r="AG87" t="s">
        <v>2885</v>
      </c>
      <c r="AH87" t="s">
        <v>2191</v>
      </c>
      <c r="AI87" t="s">
        <v>2547</v>
      </c>
      <c r="AJ87" t="s">
        <v>2514</v>
      </c>
      <c r="AK87" t="s">
        <v>2532</v>
      </c>
      <c r="AL87" t="s">
        <v>717</v>
      </c>
      <c r="AM87" t="s">
        <v>10</v>
      </c>
      <c r="AN87" t="s">
        <v>717</v>
      </c>
    </row>
    <row r="88" spans="1:40" hidden="1">
      <c r="A88">
        <v>86</v>
      </c>
      <c r="B88">
        <v>21</v>
      </c>
      <c r="C88" s="58">
        <v>43914</v>
      </c>
      <c r="D88" t="s">
        <v>74</v>
      </c>
      <c r="E88" t="s">
        <v>2515</v>
      </c>
      <c r="F88">
        <v>5</v>
      </c>
      <c r="G88">
        <v>16</v>
      </c>
      <c r="H88">
        <v>145</v>
      </c>
      <c r="I88">
        <v>2</v>
      </c>
      <c r="J88">
        <v>60.2</v>
      </c>
      <c r="K88" t="s">
        <v>9</v>
      </c>
      <c r="L88">
        <v>2496795</v>
      </c>
      <c r="M88">
        <v>0</v>
      </c>
      <c r="N88">
        <v>2496795</v>
      </c>
      <c r="O88">
        <v>41475</v>
      </c>
      <c r="P88">
        <v>30100</v>
      </c>
      <c r="Q88">
        <v>2466695</v>
      </c>
      <c r="R88">
        <v>40975</v>
      </c>
      <c r="S88" t="s">
        <v>65</v>
      </c>
      <c r="T88" t="s">
        <v>717</v>
      </c>
      <c r="U88" t="s">
        <v>717</v>
      </c>
      <c r="V88" t="s">
        <v>717</v>
      </c>
      <c r="W88">
        <v>43912</v>
      </c>
      <c r="X88" t="s">
        <v>2886</v>
      </c>
      <c r="Y88" t="s">
        <v>6</v>
      </c>
      <c r="Z88" t="s">
        <v>11</v>
      </c>
      <c r="AA88" t="s">
        <v>717</v>
      </c>
      <c r="AB88" t="s">
        <v>2509</v>
      </c>
      <c r="AC88" t="s">
        <v>2571</v>
      </c>
      <c r="AD88" t="s">
        <v>717</v>
      </c>
      <c r="AE88" t="s">
        <v>2887</v>
      </c>
      <c r="AF88" t="s">
        <v>2888</v>
      </c>
      <c r="AG88" t="s">
        <v>2889</v>
      </c>
      <c r="AH88" t="s">
        <v>2191</v>
      </c>
      <c r="AI88" t="s">
        <v>2621</v>
      </c>
      <c r="AJ88" t="s">
        <v>2514</v>
      </c>
      <c r="AK88" t="s">
        <v>77</v>
      </c>
      <c r="AL88" t="s">
        <v>2663</v>
      </c>
      <c r="AM88" t="s">
        <v>10</v>
      </c>
      <c r="AN88" t="s">
        <v>717</v>
      </c>
    </row>
    <row r="89" spans="1:40" hidden="1">
      <c r="A89">
        <v>87</v>
      </c>
      <c r="B89">
        <v>22</v>
      </c>
      <c r="C89" s="58">
        <v>43916</v>
      </c>
      <c r="D89" t="s">
        <v>74</v>
      </c>
      <c r="E89" t="s">
        <v>2515</v>
      </c>
      <c r="F89">
        <v>9</v>
      </c>
      <c r="G89">
        <v>9</v>
      </c>
      <c r="H89">
        <v>79</v>
      </c>
      <c r="I89">
        <v>2</v>
      </c>
      <c r="J89">
        <v>66.14</v>
      </c>
      <c r="K89" t="s">
        <v>9</v>
      </c>
      <c r="L89">
        <v>2592688</v>
      </c>
      <c r="M89">
        <v>0</v>
      </c>
      <c r="N89">
        <v>2592688</v>
      </c>
      <c r="O89">
        <v>39200</v>
      </c>
      <c r="P89">
        <v>33070</v>
      </c>
      <c r="Q89">
        <v>2559618</v>
      </c>
      <c r="R89">
        <v>38700</v>
      </c>
      <c r="S89" t="s">
        <v>65</v>
      </c>
      <c r="T89" t="s">
        <v>717</v>
      </c>
      <c r="U89" t="s">
        <v>717</v>
      </c>
      <c r="V89" t="s">
        <v>717</v>
      </c>
      <c r="W89">
        <v>43906</v>
      </c>
      <c r="X89" t="s">
        <v>2890</v>
      </c>
      <c r="Y89" t="s">
        <v>6</v>
      </c>
      <c r="Z89" t="s">
        <v>11</v>
      </c>
      <c r="AA89" t="s">
        <v>717</v>
      </c>
      <c r="AB89" t="s">
        <v>2509</v>
      </c>
      <c r="AC89" t="s">
        <v>2891</v>
      </c>
      <c r="AD89" t="s">
        <v>717</v>
      </c>
      <c r="AE89" t="s">
        <v>2892</v>
      </c>
      <c r="AF89" t="s">
        <v>2893</v>
      </c>
      <c r="AG89" t="s">
        <v>2894</v>
      </c>
      <c r="AH89" t="s">
        <v>2615</v>
      </c>
      <c r="AI89" t="s">
        <v>2688</v>
      </c>
      <c r="AJ89" t="s">
        <v>2895</v>
      </c>
      <c r="AK89" t="s">
        <v>63</v>
      </c>
      <c r="AL89" t="s">
        <v>2663</v>
      </c>
      <c r="AM89" t="s">
        <v>10</v>
      </c>
      <c r="AN89" t="s">
        <v>717</v>
      </c>
    </row>
    <row r="90" spans="1:40" hidden="1">
      <c r="A90">
        <v>88</v>
      </c>
      <c r="B90">
        <v>23</v>
      </c>
      <c r="C90" s="58">
        <v>43920</v>
      </c>
      <c r="D90" t="s">
        <v>74</v>
      </c>
      <c r="E90" t="s">
        <v>2581</v>
      </c>
      <c r="F90">
        <v>7</v>
      </c>
      <c r="G90">
        <v>5</v>
      </c>
      <c r="H90">
        <v>342</v>
      </c>
      <c r="I90">
        <v>2</v>
      </c>
      <c r="J90">
        <v>65.5</v>
      </c>
      <c r="K90" t="s">
        <v>9</v>
      </c>
      <c r="L90">
        <v>2819775</v>
      </c>
      <c r="M90">
        <v>0</v>
      </c>
      <c r="N90">
        <v>2819775</v>
      </c>
      <c r="O90">
        <v>43050</v>
      </c>
      <c r="P90">
        <v>0</v>
      </c>
      <c r="Q90">
        <v>2819775</v>
      </c>
      <c r="R90">
        <v>43050</v>
      </c>
      <c r="S90" t="s">
        <v>65</v>
      </c>
      <c r="T90" t="s">
        <v>717</v>
      </c>
      <c r="U90" t="s">
        <v>717</v>
      </c>
      <c r="V90" t="s">
        <v>717</v>
      </c>
      <c r="W90">
        <v>43920</v>
      </c>
      <c r="X90" t="s">
        <v>2896</v>
      </c>
      <c r="Y90" t="s">
        <v>6</v>
      </c>
      <c r="Z90" t="s">
        <v>17</v>
      </c>
      <c r="AA90" t="s">
        <v>717</v>
      </c>
      <c r="AB90" t="s">
        <v>2509</v>
      </c>
      <c r="AC90" t="s">
        <v>2571</v>
      </c>
      <c r="AD90" t="s">
        <v>717</v>
      </c>
      <c r="AE90" t="s">
        <v>2897</v>
      </c>
      <c r="AF90" t="s">
        <v>2898</v>
      </c>
      <c r="AG90" t="s">
        <v>2899</v>
      </c>
      <c r="AH90" t="s">
        <v>2615</v>
      </c>
      <c r="AI90" t="s">
        <v>2552</v>
      </c>
      <c r="AJ90" t="s">
        <v>2642</v>
      </c>
      <c r="AK90" t="s">
        <v>2532</v>
      </c>
      <c r="AL90" t="s">
        <v>2663</v>
      </c>
      <c r="AM90" t="s">
        <v>10</v>
      </c>
      <c r="AN90" t="s">
        <v>717</v>
      </c>
    </row>
    <row r="91" spans="1:40" hidden="1">
      <c r="A91">
        <v>89</v>
      </c>
      <c r="B91">
        <v>24</v>
      </c>
      <c r="C91" s="58">
        <v>43922</v>
      </c>
      <c r="D91" t="s">
        <v>74</v>
      </c>
      <c r="E91" t="s">
        <v>2506</v>
      </c>
      <c r="F91">
        <v>6</v>
      </c>
      <c r="G91">
        <v>13</v>
      </c>
      <c r="H91">
        <v>233</v>
      </c>
      <c r="I91">
        <v>2</v>
      </c>
      <c r="J91">
        <v>64.150000000000006</v>
      </c>
      <c r="K91" t="s">
        <v>9</v>
      </c>
      <c r="L91">
        <v>2694300</v>
      </c>
      <c r="M91">
        <v>0</v>
      </c>
      <c r="N91">
        <v>2694300</v>
      </c>
      <c r="O91">
        <v>41999.999999999993</v>
      </c>
      <c r="P91">
        <v>0</v>
      </c>
      <c r="Q91">
        <v>2694300</v>
      </c>
      <c r="R91">
        <v>41999.999999999993</v>
      </c>
      <c r="S91" t="s">
        <v>65</v>
      </c>
      <c r="T91" t="s">
        <v>717</v>
      </c>
      <c r="U91" t="s">
        <v>717</v>
      </c>
      <c r="V91" t="s">
        <v>717</v>
      </c>
      <c r="W91">
        <v>43934</v>
      </c>
      <c r="X91" t="s">
        <v>2900</v>
      </c>
      <c r="Y91" t="s">
        <v>6</v>
      </c>
      <c r="Z91" t="s">
        <v>17</v>
      </c>
      <c r="AA91" t="s">
        <v>717</v>
      </c>
      <c r="AB91" t="s">
        <v>2509</v>
      </c>
      <c r="AC91" t="s">
        <v>2571</v>
      </c>
      <c r="AD91" t="s">
        <v>717</v>
      </c>
      <c r="AE91" t="s">
        <v>2901</v>
      </c>
      <c r="AF91" t="s">
        <v>2902</v>
      </c>
      <c r="AG91" t="s">
        <v>2903</v>
      </c>
      <c r="AH91" t="s">
        <v>2552</v>
      </c>
      <c r="AI91" t="s">
        <v>2547</v>
      </c>
      <c r="AJ91" t="s">
        <v>2855</v>
      </c>
      <c r="AK91" t="s">
        <v>20</v>
      </c>
      <c r="AL91" t="s">
        <v>16</v>
      </c>
      <c r="AM91" t="s">
        <v>10</v>
      </c>
      <c r="AN91" t="s">
        <v>717</v>
      </c>
    </row>
    <row r="92" spans="1:40" hidden="1">
      <c r="A92">
        <v>90</v>
      </c>
      <c r="B92">
        <v>25</v>
      </c>
      <c r="C92" s="58">
        <v>43922</v>
      </c>
      <c r="D92" t="s">
        <v>74</v>
      </c>
      <c r="E92" t="s">
        <v>2506</v>
      </c>
      <c r="F92">
        <v>6</v>
      </c>
      <c r="G92">
        <v>2</v>
      </c>
      <c r="H92">
        <v>156</v>
      </c>
      <c r="I92">
        <v>2</v>
      </c>
      <c r="J92">
        <v>65.099999999999994</v>
      </c>
      <c r="K92" t="s">
        <v>15</v>
      </c>
      <c r="L92">
        <v>2787907.5</v>
      </c>
      <c r="M92">
        <v>0</v>
      </c>
      <c r="N92">
        <v>2787907.5</v>
      </c>
      <c r="O92">
        <v>42825.000000000007</v>
      </c>
      <c r="P92">
        <v>279929.99999999953</v>
      </c>
      <c r="Q92">
        <v>2507977.5000000005</v>
      </c>
      <c r="R92">
        <v>38525.000000000007</v>
      </c>
      <c r="S92" t="s">
        <v>65</v>
      </c>
      <c r="T92" t="s">
        <v>717</v>
      </c>
      <c r="U92" t="s">
        <v>717</v>
      </c>
      <c r="V92" t="s">
        <v>717</v>
      </c>
      <c r="W92">
        <v>43923</v>
      </c>
      <c r="X92" t="s">
        <v>2904</v>
      </c>
      <c r="Y92" t="s">
        <v>6</v>
      </c>
      <c r="Z92" t="s">
        <v>17</v>
      </c>
      <c r="AA92" t="s">
        <v>717</v>
      </c>
      <c r="AB92" t="s">
        <v>2509</v>
      </c>
      <c r="AC92" t="s">
        <v>2571</v>
      </c>
      <c r="AD92" t="s">
        <v>717</v>
      </c>
      <c r="AE92" t="s">
        <v>2905</v>
      </c>
      <c r="AF92" t="s">
        <v>2906</v>
      </c>
      <c r="AG92" t="s">
        <v>2907</v>
      </c>
      <c r="AH92" t="s">
        <v>2191</v>
      </c>
      <c r="AI92" t="s">
        <v>2697</v>
      </c>
      <c r="AJ92" t="s">
        <v>2514</v>
      </c>
      <c r="AK92" t="s">
        <v>63</v>
      </c>
      <c r="AL92" t="s">
        <v>2663</v>
      </c>
      <c r="AM92" t="s">
        <v>10</v>
      </c>
      <c r="AN92" t="s">
        <v>717</v>
      </c>
    </row>
    <row r="93" spans="1:40" hidden="1">
      <c r="A93">
        <v>91</v>
      </c>
      <c r="B93">
        <v>1</v>
      </c>
      <c r="C93" s="58">
        <v>43934</v>
      </c>
      <c r="D93" t="s">
        <v>74</v>
      </c>
      <c r="E93" t="s">
        <v>2506</v>
      </c>
      <c r="F93">
        <v>6</v>
      </c>
      <c r="G93">
        <v>6</v>
      </c>
      <c r="H93">
        <v>184</v>
      </c>
      <c r="I93">
        <v>2</v>
      </c>
      <c r="J93">
        <v>64.150000000000006</v>
      </c>
      <c r="K93" t="s">
        <v>9</v>
      </c>
      <c r="L93">
        <v>2503453.75</v>
      </c>
      <c r="M93">
        <v>0</v>
      </c>
      <c r="N93">
        <v>2503453.75</v>
      </c>
      <c r="O93">
        <v>39025</v>
      </c>
      <c r="P93">
        <v>32075</v>
      </c>
      <c r="Q93">
        <v>2471378.75</v>
      </c>
      <c r="R93">
        <v>38525</v>
      </c>
      <c r="S93" t="s">
        <v>65</v>
      </c>
      <c r="T93" t="s">
        <v>717</v>
      </c>
      <c r="U93" t="s">
        <v>717</v>
      </c>
      <c r="V93" t="s">
        <v>717</v>
      </c>
      <c r="W93">
        <v>43923</v>
      </c>
      <c r="X93" t="s">
        <v>2908</v>
      </c>
      <c r="Y93" t="s">
        <v>6</v>
      </c>
      <c r="Z93" t="s">
        <v>11</v>
      </c>
      <c r="AA93" t="s">
        <v>717</v>
      </c>
      <c r="AB93" t="s">
        <v>2509</v>
      </c>
      <c r="AC93" t="s">
        <v>2571</v>
      </c>
      <c r="AD93" t="s">
        <v>717</v>
      </c>
      <c r="AE93" t="s">
        <v>2909</v>
      </c>
      <c r="AF93" t="s">
        <v>2910</v>
      </c>
      <c r="AG93" t="s">
        <v>2911</v>
      </c>
      <c r="AH93" t="s">
        <v>2552</v>
      </c>
      <c r="AI93" t="s">
        <v>2547</v>
      </c>
      <c r="AJ93" t="s">
        <v>2855</v>
      </c>
      <c r="AK93" t="s">
        <v>2532</v>
      </c>
      <c r="AL93" t="s">
        <v>16</v>
      </c>
      <c r="AM93" t="s">
        <v>10</v>
      </c>
      <c r="AN93" t="s">
        <v>717</v>
      </c>
    </row>
    <row r="94" spans="1:40" hidden="1">
      <c r="A94">
        <v>92</v>
      </c>
      <c r="B94">
        <v>2</v>
      </c>
      <c r="C94" s="58">
        <v>43934</v>
      </c>
      <c r="D94" t="s">
        <v>74</v>
      </c>
      <c r="E94" t="s">
        <v>2515</v>
      </c>
      <c r="F94">
        <v>9</v>
      </c>
      <c r="G94">
        <v>15</v>
      </c>
      <c r="H94">
        <v>139</v>
      </c>
      <c r="I94">
        <v>2</v>
      </c>
      <c r="J94">
        <v>66.14</v>
      </c>
      <c r="K94" t="s">
        <v>9</v>
      </c>
      <c r="L94">
        <v>2743156.5</v>
      </c>
      <c r="M94">
        <v>0</v>
      </c>
      <c r="N94">
        <v>2743156.5</v>
      </c>
      <c r="O94">
        <v>41475</v>
      </c>
      <c r="P94">
        <v>33070</v>
      </c>
      <c r="Q94">
        <v>2710086.5</v>
      </c>
      <c r="R94">
        <v>40975</v>
      </c>
      <c r="S94" t="s">
        <v>65</v>
      </c>
      <c r="T94" t="s">
        <v>717</v>
      </c>
      <c r="U94" t="s">
        <v>717</v>
      </c>
      <c r="V94" t="s">
        <v>717</v>
      </c>
      <c r="W94">
        <v>43931</v>
      </c>
      <c r="X94" t="s">
        <v>2912</v>
      </c>
      <c r="Y94" t="s">
        <v>6</v>
      </c>
      <c r="Z94" t="s">
        <v>11</v>
      </c>
      <c r="AA94" t="s">
        <v>717</v>
      </c>
      <c r="AB94" t="s">
        <v>2509</v>
      </c>
      <c r="AC94" t="s">
        <v>2564</v>
      </c>
      <c r="AD94" t="s">
        <v>717</v>
      </c>
      <c r="AE94" t="s">
        <v>2913</v>
      </c>
      <c r="AF94" t="s">
        <v>2914</v>
      </c>
      <c r="AG94" t="s">
        <v>2915</v>
      </c>
      <c r="AH94" t="s">
        <v>2191</v>
      </c>
      <c r="AI94" t="s">
        <v>2824</v>
      </c>
      <c r="AJ94" t="s">
        <v>2514</v>
      </c>
      <c r="AK94" t="s">
        <v>20</v>
      </c>
      <c r="AL94" t="s">
        <v>2663</v>
      </c>
      <c r="AM94" t="s">
        <v>10</v>
      </c>
      <c r="AN94" t="s">
        <v>717</v>
      </c>
    </row>
    <row r="95" spans="1:40" hidden="1">
      <c r="A95">
        <v>93</v>
      </c>
      <c r="B95">
        <v>3</v>
      </c>
      <c r="C95" s="58">
        <v>43935</v>
      </c>
      <c r="D95" t="s">
        <v>74</v>
      </c>
      <c r="E95" t="s">
        <v>2506</v>
      </c>
      <c r="F95">
        <v>4</v>
      </c>
      <c r="G95">
        <v>12</v>
      </c>
      <c r="H95">
        <v>224</v>
      </c>
      <c r="I95">
        <v>1</v>
      </c>
      <c r="J95">
        <v>40.58</v>
      </c>
      <c r="K95" t="s">
        <v>15</v>
      </c>
      <c r="L95">
        <v>2048062.45</v>
      </c>
      <c r="M95">
        <v>0</v>
      </c>
      <c r="N95">
        <v>2048062.45</v>
      </c>
      <c r="O95">
        <v>50469.749876786598</v>
      </c>
      <c r="P95">
        <v>174494</v>
      </c>
      <c r="Q95">
        <v>1873568.45</v>
      </c>
      <c r="R95">
        <v>46169.749876786598</v>
      </c>
      <c r="S95" t="s">
        <v>65</v>
      </c>
      <c r="T95" t="s">
        <v>717</v>
      </c>
      <c r="U95" t="s">
        <v>717</v>
      </c>
      <c r="V95" t="s">
        <v>717</v>
      </c>
      <c r="W95">
        <v>43935</v>
      </c>
      <c r="X95" t="s">
        <v>2916</v>
      </c>
      <c r="Y95" t="s">
        <v>6</v>
      </c>
      <c r="Z95" t="s">
        <v>17</v>
      </c>
      <c r="AA95" t="s">
        <v>717</v>
      </c>
      <c r="AB95" t="s">
        <v>2509</v>
      </c>
      <c r="AC95" t="s">
        <v>2571</v>
      </c>
      <c r="AD95" t="s">
        <v>717</v>
      </c>
      <c r="AE95" t="s">
        <v>2917</v>
      </c>
      <c r="AF95" t="s">
        <v>2918</v>
      </c>
      <c r="AG95" t="s">
        <v>2919</v>
      </c>
      <c r="AH95" t="s">
        <v>2191</v>
      </c>
      <c r="AI95" t="s">
        <v>2552</v>
      </c>
      <c r="AJ95" t="s">
        <v>2514</v>
      </c>
      <c r="AK95" t="s">
        <v>63</v>
      </c>
      <c r="AL95" t="s">
        <v>16</v>
      </c>
      <c r="AM95" t="s">
        <v>10</v>
      </c>
      <c r="AN95" t="s">
        <v>717</v>
      </c>
    </row>
    <row r="96" spans="1:40" hidden="1">
      <c r="A96">
        <v>94</v>
      </c>
      <c r="B96">
        <v>4</v>
      </c>
      <c r="C96" s="58">
        <v>43936</v>
      </c>
      <c r="D96" t="s">
        <v>74</v>
      </c>
      <c r="E96" t="s">
        <v>2506</v>
      </c>
      <c r="F96">
        <v>4</v>
      </c>
      <c r="G96">
        <v>13</v>
      </c>
      <c r="H96">
        <v>231</v>
      </c>
      <c r="I96">
        <v>1</v>
      </c>
      <c r="J96">
        <v>40.58</v>
      </c>
      <c r="K96" t="s">
        <v>9</v>
      </c>
      <c r="L96">
        <v>1839288.5</v>
      </c>
      <c r="M96">
        <v>0</v>
      </c>
      <c r="N96">
        <v>1839288.5</v>
      </c>
      <c r="O96">
        <v>45325</v>
      </c>
      <c r="P96">
        <v>20290</v>
      </c>
      <c r="Q96">
        <v>1818998.5</v>
      </c>
      <c r="R96">
        <v>44825</v>
      </c>
      <c r="S96" t="s">
        <v>65</v>
      </c>
      <c r="T96" t="s">
        <v>717</v>
      </c>
      <c r="U96" t="s">
        <v>717</v>
      </c>
      <c r="V96" t="s">
        <v>717</v>
      </c>
      <c r="W96">
        <v>43928</v>
      </c>
      <c r="X96" t="s">
        <v>2920</v>
      </c>
      <c r="Y96" t="s">
        <v>6</v>
      </c>
      <c r="Z96" t="s">
        <v>11</v>
      </c>
      <c r="AA96" t="s">
        <v>717</v>
      </c>
      <c r="AB96" t="s">
        <v>2509</v>
      </c>
      <c r="AC96" t="s">
        <v>2564</v>
      </c>
      <c r="AD96" t="s">
        <v>717</v>
      </c>
      <c r="AE96" t="s">
        <v>2921</v>
      </c>
      <c r="AF96" t="s">
        <v>2922</v>
      </c>
      <c r="AG96" t="s">
        <v>2923</v>
      </c>
      <c r="AH96" t="s">
        <v>2615</v>
      </c>
      <c r="AI96" t="s">
        <v>2824</v>
      </c>
      <c r="AJ96" t="s">
        <v>2514</v>
      </c>
      <c r="AK96" t="s">
        <v>2532</v>
      </c>
      <c r="AL96" t="s">
        <v>16</v>
      </c>
      <c r="AM96" t="s">
        <v>10</v>
      </c>
      <c r="AN96" t="s">
        <v>717</v>
      </c>
    </row>
    <row r="97" spans="1:40" hidden="1">
      <c r="A97">
        <v>95</v>
      </c>
      <c r="B97">
        <v>5</v>
      </c>
      <c r="C97" s="58">
        <v>43941</v>
      </c>
      <c r="D97" t="s">
        <v>74</v>
      </c>
      <c r="E97" t="s">
        <v>2506</v>
      </c>
      <c r="F97">
        <v>1</v>
      </c>
      <c r="G97">
        <v>24</v>
      </c>
      <c r="H97">
        <v>305</v>
      </c>
      <c r="I97">
        <v>2</v>
      </c>
      <c r="J97">
        <v>63.88</v>
      </c>
      <c r="K97" t="s">
        <v>15</v>
      </c>
      <c r="L97">
        <v>2892167</v>
      </c>
      <c r="M97">
        <v>0</v>
      </c>
      <c r="N97">
        <v>2892167</v>
      </c>
      <c r="O97">
        <v>45275</v>
      </c>
      <c r="P97">
        <v>274684</v>
      </c>
      <c r="Q97">
        <v>2617483</v>
      </c>
      <c r="R97">
        <v>40975</v>
      </c>
      <c r="S97" t="s">
        <v>65</v>
      </c>
      <c r="T97" t="s">
        <v>717</v>
      </c>
      <c r="U97" t="s">
        <v>717</v>
      </c>
      <c r="V97" t="s">
        <v>717</v>
      </c>
      <c r="W97">
        <v>43936</v>
      </c>
      <c r="X97" t="s">
        <v>2924</v>
      </c>
      <c r="Y97" t="s">
        <v>6</v>
      </c>
      <c r="Z97" t="s">
        <v>11</v>
      </c>
      <c r="AA97" t="s">
        <v>717</v>
      </c>
      <c r="AB97" t="s">
        <v>2509</v>
      </c>
      <c r="AC97" t="s">
        <v>2571</v>
      </c>
      <c r="AD97" t="s">
        <v>717</v>
      </c>
      <c r="AE97" t="s">
        <v>2925</v>
      </c>
      <c r="AF97" t="s">
        <v>2926</v>
      </c>
      <c r="AG97" t="s">
        <v>2927</v>
      </c>
      <c r="AH97" t="s">
        <v>2615</v>
      </c>
      <c r="AI97" t="s">
        <v>2538</v>
      </c>
      <c r="AJ97" t="s">
        <v>2514</v>
      </c>
      <c r="AK97" t="s">
        <v>77</v>
      </c>
      <c r="AL97" t="s">
        <v>16</v>
      </c>
      <c r="AM97" t="s">
        <v>10</v>
      </c>
      <c r="AN97" t="s">
        <v>717</v>
      </c>
    </row>
    <row r="98" spans="1:40" hidden="1">
      <c r="A98">
        <v>96</v>
      </c>
      <c r="B98">
        <v>6</v>
      </c>
      <c r="C98" s="58">
        <v>43941</v>
      </c>
      <c r="D98" t="s">
        <v>74</v>
      </c>
      <c r="E98" t="s">
        <v>2506</v>
      </c>
      <c r="F98">
        <v>6</v>
      </c>
      <c r="G98">
        <v>23</v>
      </c>
      <c r="H98">
        <v>303</v>
      </c>
      <c r="I98">
        <v>2</v>
      </c>
      <c r="J98">
        <v>64.150000000000006</v>
      </c>
      <c r="K98" t="s">
        <v>9</v>
      </c>
      <c r="L98">
        <v>2559585</v>
      </c>
      <c r="M98">
        <v>0</v>
      </c>
      <c r="N98">
        <v>2559585</v>
      </c>
      <c r="O98">
        <v>39900</v>
      </c>
      <c r="P98">
        <v>32075</v>
      </c>
      <c r="Q98">
        <v>2527510</v>
      </c>
      <c r="R98">
        <v>39400</v>
      </c>
      <c r="S98" t="s">
        <v>65</v>
      </c>
      <c r="T98" t="s">
        <v>717</v>
      </c>
      <c r="U98" t="s">
        <v>717</v>
      </c>
      <c r="V98" t="s">
        <v>717</v>
      </c>
      <c r="W98">
        <v>43942</v>
      </c>
      <c r="X98" t="s">
        <v>2928</v>
      </c>
      <c r="Y98" t="s">
        <v>6</v>
      </c>
      <c r="Z98" t="s">
        <v>11</v>
      </c>
      <c r="AA98" t="s">
        <v>717</v>
      </c>
      <c r="AB98" t="s">
        <v>2509</v>
      </c>
      <c r="AC98" t="s">
        <v>2564</v>
      </c>
      <c r="AD98" t="s">
        <v>717</v>
      </c>
      <c r="AE98" t="s">
        <v>2929</v>
      </c>
      <c r="AF98" t="s">
        <v>2930</v>
      </c>
      <c r="AG98" t="s">
        <v>2931</v>
      </c>
      <c r="AH98" t="s">
        <v>2615</v>
      </c>
      <c r="AI98" t="s">
        <v>2538</v>
      </c>
      <c r="AJ98" t="s">
        <v>2662</v>
      </c>
      <c r="AK98" t="s">
        <v>73</v>
      </c>
      <c r="AL98" t="s">
        <v>16</v>
      </c>
      <c r="AM98" t="s">
        <v>10</v>
      </c>
      <c r="AN98" t="s">
        <v>717</v>
      </c>
    </row>
    <row r="99" spans="1:40" hidden="1">
      <c r="A99">
        <v>97</v>
      </c>
      <c r="B99">
        <v>7</v>
      </c>
      <c r="C99" s="58">
        <v>43942</v>
      </c>
      <c r="D99" t="s">
        <v>74</v>
      </c>
      <c r="E99" t="s">
        <v>2506</v>
      </c>
      <c r="F99">
        <v>5</v>
      </c>
      <c r="G99">
        <v>24</v>
      </c>
      <c r="H99">
        <v>309</v>
      </c>
      <c r="I99">
        <v>3</v>
      </c>
      <c r="J99">
        <v>78.03</v>
      </c>
      <c r="K99" t="s">
        <v>9</v>
      </c>
      <c r="L99">
        <v>3154362.75</v>
      </c>
      <c r="M99">
        <v>0</v>
      </c>
      <c r="N99">
        <v>3154362.75</v>
      </c>
      <c r="O99">
        <v>40425</v>
      </c>
      <c r="P99">
        <v>39015</v>
      </c>
      <c r="Q99">
        <v>3115347.75</v>
      </c>
      <c r="R99">
        <v>39925</v>
      </c>
      <c r="S99" t="s">
        <v>65</v>
      </c>
      <c r="T99" t="s">
        <v>717</v>
      </c>
      <c r="U99" t="s">
        <v>717</v>
      </c>
      <c r="V99" t="s">
        <v>717</v>
      </c>
      <c r="W99">
        <v>43924</v>
      </c>
      <c r="X99" t="s">
        <v>2932</v>
      </c>
      <c r="Y99" t="s">
        <v>6</v>
      </c>
      <c r="Z99" t="s">
        <v>17</v>
      </c>
      <c r="AA99" t="s">
        <v>717</v>
      </c>
      <c r="AB99" t="s">
        <v>2509</v>
      </c>
      <c r="AC99" t="s">
        <v>2571</v>
      </c>
      <c r="AD99" t="s">
        <v>717</v>
      </c>
      <c r="AE99" t="s">
        <v>2933</v>
      </c>
      <c r="AF99" t="s">
        <v>2934</v>
      </c>
      <c r="AG99" t="s">
        <v>2935</v>
      </c>
      <c r="AH99" t="s">
        <v>2191</v>
      </c>
      <c r="AI99" t="s">
        <v>2552</v>
      </c>
      <c r="AJ99" t="s">
        <v>2514</v>
      </c>
      <c r="AK99" t="s">
        <v>2532</v>
      </c>
      <c r="AL99" t="s">
        <v>16</v>
      </c>
      <c r="AM99" t="s">
        <v>10</v>
      </c>
      <c r="AN99" t="s">
        <v>717</v>
      </c>
    </row>
    <row r="100" spans="1:40" hidden="1">
      <c r="A100">
        <v>98</v>
      </c>
      <c r="B100">
        <v>8</v>
      </c>
      <c r="C100" s="58">
        <v>43949</v>
      </c>
      <c r="D100" t="s">
        <v>74</v>
      </c>
      <c r="E100" t="s">
        <v>2506</v>
      </c>
      <c r="F100">
        <v>2</v>
      </c>
      <c r="G100">
        <v>10</v>
      </c>
      <c r="H100">
        <v>208</v>
      </c>
      <c r="I100">
        <v>1</v>
      </c>
      <c r="J100">
        <v>40.39</v>
      </c>
      <c r="K100" t="s">
        <v>9</v>
      </c>
      <c r="L100">
        <v>1809472</v>
      </c>
      <c r="M100">
        <v>0</v>
      </c>
      <c r="N100">
        <v>1809472</v>
      </c>
      <c r="O100">
        <v>44800</v>
      </c>
      <c r="P100">
        <v>20195</v>
      </c>
      <c r="Q100">
        <v>1789277</v>
      </c>
      <c r="R100">
        <v>44300</v>
      </c>
      <c r="S100" t="s">
        <v>130</v>
      </c>
      <c r="T100" t="s">
        <v>717</v>
      </c>
      <c r="U100" t="s">
        <v>717</v>
      </c>
      <c r="V100" t="s">
        <v>717</v>
      </c>
      <c r="W100">
        <v>43948</v>
      </c>
      <c r="X100" t="s">
        <v>2936</v>
      </c>
      <c r="Y100" t="s">
        <v>6</v>
      </c>
      <c r="Z100" t="s">
        <v>17</v>
      </c>
      <c r="AA100" t="s">
        <v>717</v>
      </c>
      <c r="AB100" t="s">
        <v>2509</v>
      </c>
      <c r="AC100" t="s">
        <v>118</v>
      </c>
      <c r="AD100" t="s">
        <v>717</v>
      </c>
      <c r="AE100" t="s">
        <v>2937</v>
      </c>
      <c r="AF100" t="s">
        <v>2938</v>
      </c>
      <c r="AG100" t="s">
        <v>2939</v>
      </c>
      <c r="AH100" t="s">
        <v>2615</v>
      </c>
      <c r="AI100" t="s">
        <v>2552</v>
      </c>
      <c r="AJ100" t="s">
        <v>2940</v>
      </c>
      <c r="AK100" t="s">
        <v>20</v>
      </c>
      <c r="AL100" t="s">
        <v>717</v>
      </c>
      <c r="AM100" t="s">
        <v>10</v>
      </c>
      <c r="AN100" t="s">
        <v>717</v>
      </c>
    </row>
    <row r="101" spans="1:40" hidden="1">
      <c r="A101">
        <v>99</v>
      </c>
      <c r="B101">
        <v>9</v>
      </c>
      <c r="C101" s="58">
        <v>43950</v>
      </c>
      <c r="D101" t="s">
        <v>74</v>
      </c>
      <c r="E101" t="s">
        <v>2515</v>
      </c>
      <c r="F101">
        <v>7</v>
      </c>
      <c r="G101">
        <v>5</v>
      </c>
      <c r="H101">
        <v>37</v>
      </c>
      <c r="I101">
        <v>1</v>
      </c>
      <c r="J101">
        <v>42.32</v>
      </c>
      <c r="K101" t="s">
        <v>9</v>
      </c>
      <c r="L101">
        <v>1854570.32</v>
      </c>
      <c r="M101">
        <v>0</v>
      </c>
      <c r="N101">
        <v>1854570.32</v>
      </c>
      <c r="O101">
        <v>43822.550094517959</v>
      </c>
      <c r="P101">
        <v>21160</v>
      </c>
      <c r="Q101">
        <v>1833410.32</v>
      </c>
      <c r="R101">
        <v>43322.550094517959</v>
      </c>
      <c r="S101" t="s">
        <v>130</v>
      </c>
      <c r="T101" t="s">
        <v>2941</v>
      </c>
      <c r="U101">
        <v>96551</v>
      </c>
      <c r="V101" t="s">
        <v>717</v>
      </c>
      <c r="W101">
        <v>43950</v>
      </c>
      <c r="X101" t="s">
        <v>2942</v>
      </c>
      <c r="Y101" t="s">
        <v>6</v>
      </c>
      <c r="Z101" t="s">
        <v>17</v>
      </c>
      <c r="AA101" t="s">
        <v>717</v>
      </c>
      <c r="AB101" t="s">
        <v>2509</v>
      </c>
      <c r="AC101" t="s">
        <v>118</v>
      </c>
      <c r="AD101" t="s">
        <v>717</v>
      </c>
      <c r="AE101" t="s">
        <v>2943</v>
      </c>
      <c r="AF101" t="s">
        <v>2944</v>
      </c>
      <c r="AG101" t="s">
        <v>2945</v>
      </c>
      <c r="AH101" t="s">
        <v>2615</v>
      </c>
      <c r="AI101" t="s">
        <v>2552</v>
      </c>
      <c r="AJ101" t="s">
        <v>2662</v>
      </c>
      <c r="AK101" t="s">
        <v>20</v>
      </c>
      <c r="AL101" t="s">
        <v>717</v>
      </c>
      <c r="AM101" t="s">
        <v>10</v>
      </c>
      <c r="AN101" t="s">
        <v>717</v>
      </c>
    </row>
    <row r="102" spans="1:40" hidden="1">
      <c r="A102">
        <v>100</v>
      </c>
      <c r="B102">
        <v>10</v>
      </c>
      <c r="C102" s="58">
        <v>43951</v>
      </c>
      <c r="D102" t="s">
        <v>74</v>
      </c>
      <c r="E102" t="s">
        <v>2515</v>
      </c>
      <c r="F102">
        <v>2</v>
      </c>
      <c r="G102">
        <v>12</v>
      </c>
      <c r="H102">
        <v>102</v>
      </c>
      <c r="I102">
        <v>0</v>
      </c>
      <c r="J102">
        <v>31.88</v>
      </c>
      <c r="K102" t="s">
        <v>9</v>
      </c>
      <c r="L102">
        <v>1453353.41</v>
      </c>
      <c r="M102">
        <v>0</v>
      </c>
      <c r="N102">
        <v>1453353.41</v>
      </c>
      <c r="O102">
        <v>45588.25</v>
      </c>
      <c r="P102">
        <v>15940</v>
      </c>
      <c r="Q102">
        <v>1437413.41</v>
      </c>
      <c r="R102">
        <v>45088.25</v>
      </c>
      <c r="S102" t="s">
        <v>65</v>
      </c>
      <c r="T102" t="s">
        <v>717</v>
      </c>
      <c r="U102" t="s">
        <v>717</v>
      </c>
      <c r="V102" t="s">
        <v>717</v>
      </c>
      <c r="W102">
        <v>43934</v>
      </c>
      <c r="X102" t="s">
        <v>2946</v>
      </c>
      <c r="Y102" t="s">
        <v>6</v>
      </c>
      <c r="Z102" t="s">
        <v>17</v>
      </c>
      <c r="AA102" t="s">
        <v>717</v>
      </c>
      <c r="AB102" t="s">
        <v>2509</v>
      </c>
      <c r="AC102" t="s">
        <v>2564</v>
      </c>
      <c r="AD102" t="s">
        <v>717</v>
      </c>
      <c r="AE102" t="s">
        <v>2947</v>
      </c>
      <c r="AF102" t="s">
        <v>2948</v>
      </c>
      <c r="AG102" t="s">
        <v>2949</v>
      </c>
      <c r="AH102" t="s">
        <v>2191</v>
      </c>
      <c r="AI102" t="s">
        <v>2513</v>
      </c>
      <c r="AJ102" t="s">
        <v>2514</v>
      </c>
      <c r="AK102" t="s">
        <v>20</v>
      </c>
      <c r="AL102" t="s">
        <v>16</v>
      </c>
      <c r="AM102" t="s">
        <v>10</v>
      </c>
      <c r="AN102" t="s">
        <v>717</v>
      </c>
    </row>
    <row r="103" spans="1:40" hidden="1">
      <c r="A103">
        <v>101</v>
      </c>
      <c r="B103">
        <v>11</v>
      </c>
      <c r="C103" s="58">
        <v>43951</v>
      </c>
      <c r="D103" t="s">
        <v>74</v>
      </c>
      <c r="E103" t="s">
        <v>2506</v>
      </c>
      <c r="F103">
        <v>2</v>
      </c>
      <c r="G103">
        <v>2</v>
      </c>
      <c r="H103">
        <v>152</v>
      </c>
      <c r="I103">
        <v>1</v>
      </c>
      <c r="J103">
        <v>41.21</v>
      </c>
      <c r="K103" t="s">
        <v>9</v>
      </c>
      <c r="L103">
        <v>1802938</v>
      </c>
      <c r="M103">
        <v>0</v>
      </c>
      <c r="N103">
        <v>1802938</v>
      </c>
      <c r="O103">
        <v>43750.012132977434</v>
      </c>
      <c r="P103">
        <v>20605</v>
      </c>
      <c r="Q103">
        <v>1782333</v>
      </c>
      <c r="R103">
        <v>43250.012132977434</v>
      </c>
      <c r="S103" t="s">
        <v>65</v>
      </c>
      <c r="T103" t="s">
        <v>717</v>
      </c>
      <c r="U103" t="s">
        <v>717</v>
      </c>
      <c r="V103" t="s">
        <v>717</v>
      </c>
      <c r="W103">
        <v>43950</v>
      </c>
      <c r="X103" t="s">
        <v>2950</v>
      </c>
      <c r="Y103" t="s">
        <v>6</v>
      </c>
      <c r="Z103" t="s">
        <v>17</v>
      </c>
      <c r="AA103" t="s">
        <v>717</v>
      </c>
      <c r="AB103" t="s">
        <v>2509</v>
      </c>
      <c r="AC103" t="s">
        <v>2564</v>
      </c>
      <c r="AD103" t="s">
        <v>717</v>
      </c>
      <c r="AE103" t="s">
        <v>2951</v>
      </c>
      <c r="AF103" t="s">
        <v>2952</v>
      </c>
      <c r="AG103" t="s">
        <v>2953</v>
      </c>
      <c r="AH103" t="s">
        <v>2615</v>
      </c>
      <c r="AI103" t="s">
        <v>2824</v>
      </c>
      <c r="AJ103" t="s">
        <v>2569</v>
      </c>
      <c r="AK103" t="s">
        <v>77</v>
      </c>
      <c r="AL103" t="s">
        <v>16</v>
      </c>
      <c r="AM103" t="s">
        <v>10</v>
      </c>
      <c r="AN103" t="s">
        <v>717</v>
      </c>
    </row>
    <row r="104" spans="1:40" hidden="1">
      <c r="A104">
        <v>102</v>
      </c>
      <c r="B104">
        <v>1</v>
      </c>
      <c r="C104" s="58">
        <v>43959</v>
      </c>
      <c r="D104" t="s">
        <v>74</v>
      </c>
      <c r="E104" t="s">
        <v>2581</v>
      </c>
      <c r="F104">
        <v>2</v>
      </c>
      <c r="G104">
        <v>3</v>
      </c>
      <c r="H104">
        <v>321</v>
      </c>
      <c r="I104">
        <v>3</v>
      </c>
      <c r="J104">
        <v>89.8</v>
      </c>
      <c r="K104" t="s">
        <v>9</v>
      </c>
      <c r="L104">
        <v>3770096</v>
      </c>
      <c r="M104">
        <v>0</v>
      </c>
      <c r="N104">
        <v>3770096</v>
      </c>
      <c r="O104">
        <v>41983.251670378624</v>
      </c>
      <c r="P104">
        <v>44900</v>
      </c>
      <c r="Q104">
        <v>3725196</v>
      </c>
      <c r="R104">
        <v>41483.251670378617</v>
      </c>
      <c r="S104" t="s">
        <v>65</v>
      </c>
      <c r="T104" t="s">
        <v>717</v>
      </c>
      <c r="U104" t="s">
        <v>717</v>
      </c>
      <c r="V104" t="s">
        <v>717</v>
      </c>
      <c r="W104">
        <v>43964</v>
      </c>
      <c r="X104" t="s">
        <v>2954</v>
      </c>
      <c r="Y104" t="s">
        <v>6</v>
      </c>
      <c r="Z104" t="s">
        <v>17</v>
      </c>
      <c r="AA104" t="s">
        <v>717</v>
      </c>
      <c r="AB104" t="s">
        <v>2509</v>
      </c>
      <c r="AC104" t="s">
        <v>2571</v>
      </c>
      <c r="AD104" t="s">
        <v>717</v>
      </c>
      <c r="AE104" t="s">
        <v>2955</v>
      </c>
      <c r="AF104" t="s">
        <v>2956</v>
      </c>
      <c r="AG104" t="s">
        <v>2957</v>
      </c>
      <c r="AH104" t="s">
        <v>2615</v>
      </c>
      <c r="AI104" t="s">
        <v>2538</v>
      </c>
      <c r="AJ104" t="s">
        <v>2958</v>
      </c>
      <c r="AK104" t="s">
        <v>77</v>
      </c>
      <c r="AL104" t="s">
        <v>16</v>
      </c>
      <c r="AM104" t="s">
        <v>10</v>
      </c>
      <c r="AN104" t="s">
        <v>717</v>
      </c>
    </row>
    <row r="105" spans="1:40" hidden="1">
      <c r="A105">
        <v>103</v>
      </c>
      <c r="B105">
        <v>2</v>
      </c>
      <c r="C105" s="58">
        <v>43963</v>
      </c>
      <c r="D105" t="s">
        <v>74</v>
      </c>
      <c r="E105" t="s">
        <v>2515</v>
      </c>
      <c r="F105">
        <v>2</v>
      </c>
      <c r="G105">
        <v>4</v>
      </c>
      <c r="H105">
        <v>22</v>
      </c>
      <c r="I105">
        <v>0</v>
      </c>
      <c r="J105">
        <v>31.88</v>
      </c>
      <c r="K105" t="s">
        <v>9</v>
      </c>
      <c r="L105">
        <v>1453353.41</v>
      </c>
      <c r="M105">
        <v>0</v>
      </c>
      <c r="N105">
        <v>1453353.41</v>
      </c>
      <c r="O105">
        <v>45588.25</v>
      </c>
      <c r="P105">
        <v>15940</v>
      </c>
      <c r="Q105">
        <v>1437413.41</v>
      </c>
      <c r="R105">
        <v>45088.25</v>
      </c>
      <c r="S105" t="s">
        <v>65</v>
      </c>
      <c r="T105" t="s">
        <v>717</v>
      </c>
      <c r="U105" t="s">
        <v>717</v>
      </c>
      <c r="V105" t="s">
        <v>717</v>
      </c>
      <c r="W105">
        <v>43952</v>
      </c>
      <c r="X105" t="s">
        <v>2959</v>
      </c>
      <c r="Y105" t="s">
        <v>6</v>
      </c>
      <c r="Z105" t="s">
        <v>17</v>
      </c>
      <c r="AA105" t="s">
        <v>717</v>
      </c>
      <c r="AB105" t="s">
        <v>2509</v>
      </c>
      <c r="AC105" t="s">
        <v>2571</v>
      </c>
      <c r="AD105" t="s">
        <v>717</v>
      </c>
      <c r="AE105" t="s">
        <v>2960</v>
      </c>
      <c r="AF105" t="s">
        <v>2961</v>
      </c>
      <c r="AG105" t="s">
        <v>2962</v>
      </c>
      <c r="AH105" t="s">
        <v>2615</v>
      </c>
      <c r="AI105" t="s">
        <v>2552</v>
      </c>
      <c r="AJ105" t="s">
        <v>2958</v>
      </c>
      <c r="AK105" t="s">
        <v>20</v>
      </c>
      <c r="AL105" t="s">
        <v>16</v>
      </c>
      <c r="AM105" t="s">
        <v>10</v>
      </c>
      <c r="AN105" t="s">
        <v>717</v>
      </c>
    </row>
    <row r="106" spans="1:40" hidden="1">
      <c r="A106">
        <v>104</v>
      </c>
      <c r="B106">
        <v>3</v>
      </c>
      <c r="C106" s="58">
        <v>43963</v>
      </c>
      <c r="D106" t="s">
        <v>74</v>
      </c>
      <c r="E106" t="s">
        <v>2506</v>
      </c>
      <c r="F106">
        <v>5</v>
      </c>
      <c r="G106">
        <v>18</v>
      </c>
      <c r="H106">
        <v>267</v>
      </c>
      <c r="I106">
        <v>3</v>
      </c>
      <c r="J106">
        <v>78.03</v>
      </c>
      <c r="K106" t="s">
        <v>15</v>
      </c>
      <c r="L106">
        <v>3332212.63</v>
      </c>
      <c r="M106">
        <v>0</v>
      </c>
      <c r="N106">
        <v>3332212.63</v>
      </c>
      <c r="O106">
        <v>42704.250032038959</v>
      </c>
      <c r="P106">
        <v>39015</v>
      </c>
      <c r="Q106">
        <v>3293197.63</v>
      </c>
      <c r="R106">
        <v>42204.250032038959</v>
      </c>
      <c r="S106" t="s">
        <v>65</v>
      </c>
      <c r="T106" t="s">
        <v>717</v>
      </c>
      <c r="U106" t="s">
        <v>717</v>
      </c>
      <c r="V106" t="s">
        <v>717</v>
      </c>
      <c r="W106">
        <v>43958</v>
      </c>
      <c r="X106" t="s">
        <v>2963</v>
      </c>
      <c r="Y106" t="s">
        <v>6</v>
      </c>
      <c r="Z106" t="s">
        <v>17</v>
      </c>
      <c r="AA106" t="s">
        <v>717</v>
      </c>
      <c r="AB106" t="s">
        <v>2509</v>
      </c>
      <c r="AC106" t="s">
        <v>2571</v>
      </c>
      <c r="AD106" t="s">
        <v>717</v>
      </c>
      <c r="AE106" t="s">
        <v>2964</v>
      </c>
      <c r="AF106" t="s">
        <v>2965</v>
      </c>
      <c r="AG106" t="s">
        <v>2594</v>
      </c>
      <c r="AH106" t="s">
        <v>2191</v>
      </c>
      <c r="AI106" t="s">
        <v>2802</v>
      </c>
      <c r="AJ106" t="s">
        <v>2514</v>
      </c>
      <c r="AK106" t="s">
        <v>20</v>
      </c>
      <c r="AL106" t="s">
        <v>16</v>
      </c>
      <c r="AM106" t="s">
        <v>10</v>
      </c>
      <c r="AN106" t="s">
        <v>717</v>
      </c>
    </row>
    <row r="107" spans="1:40" hidden="1">
      <c r="A107">
        <v>105</v>
      </c>
      <c r="B107">
        <v>4</v>
      </c>
      <c r="C107" s="58">
        <v>43963</v>
      </c>
      <c r="D107" t="s">
        <v>74</v>
      </c>
      <c r="E107" t="s">
        <v>2506</v>
      </c>
      <c r="F107">
        <v>7</v>
      </c>
      <c r="G107">
        <v>4</v>
      </c>
      <c r="H107">
        <v>171</v>
      </c>
      <c r="I107">
        <v>2</v>
      </c>
      <c r="J107">
        <v>63.74</v>
      </c>
      <c r="K107" t="s">
        <v>9</v>
      </c>
      <c r="L107">
        <v>2561121</v>
      </c>
      <c r="M107">
        <v>0</v>
      </c>
      <c r="N107">
        <v>2561121</v>
      </c>
      <c r="O107">
        <v>40180.749921556322</v>
      </c>
      <c r="P107">
        <v>31870</v>
      </c>
      <c r="Q107">
        <v>2529251</v>
      </c>
      <c r="R107">
        <v>39680.749921556322</v>
      </c>
      <c r="S107" t="s">
        <v>65</v>
      </c>
      <c r="T107" t="s">
        <v>717</v>
      </c>
      <c r="U107" t="s">
        <v>717</v>
      </c>
      <c r="V107" t="s">
        <v>717</v>
      </c>
      <c r="W107">
        <v>43964</v>
      </c>
      <c r="X107" t="s">
        <v>2966</v>
      </c>
      <c r="Y107" t="s">
        <v>6</v>
      </c>
      <c r="Z107" t="s">
        <v>17</v>
      </c>
      <c r="AA107" t="s">
        <v>717</v>
      </c>
      <c r="AB107" t="s">
        <v>2509</v>
      </c>
      <c r="AC107" t="s">
        <v>2571</v>
      </c>
      <c r="AD107" t="s">
        <v>717</v>
      </c>
      <c r="AE107" t="s">
        <v>2967</v>
      </c>
      <c r="AF107" t="s">
        <v>2968</v>
      </c>
      <c r="AG107" t="s">
        <v>2969</v>
      </c>
      <c r="AH107" t="s">
        <v>2615</v>
      </c>
      <c r="AI107" t="s">
        <v>2847</v>
      </c>
      <c r="AJ107" t="s">
        <v>2940</v>
      </c>
      <c r="AK107" t="s">
        <v>77</v>
      </c>
      <c r="AL107" t="s">
        <v>16</v>
      </c>
      <c r="AM107" t="s">
        <v>10</v>
      </c>
      <c r="AN107" t="s">
        <v>717</v>
      </c>
    </row>
    <row r="108" spans="1:40" hidden="1">
      <c r="A108">
        <v>106</v>
      </c>
      <c r="B108">
        <v>5</v>
      </c>
      <c r="C108" s="58">
        <v>43965</v>
      </c>
      <c r="D108" t="s">
        <v>74</v>
      </c>
      <c r="E108" t="s">
        <v>2515</v>
      </c>
      <c r="F108">
        <v>6</v>
      </c>
      <c r="G108">
        <v>9</v>
      </c>
      <c r="H108">
        <v>76</v>
      </c>
      <c r="I108">
        <v>2</v>
      </c>
      <c r="J108">
        <v>63.03</v>
      </c>
      <c r="K108" t="s">
        <v>9</v>
      </c>
      <c r="L108">
        <v>2623481.9300000002</v>
      </c>
      <c r="M108">
        <v>0</v>
      </c>
      <c r="N108">
        <v>2623481.9300000002</v>
      </c>
      <c r="O108">
        <v>41622.749960336347</v>
      </c>
      <c r="P108">
        <v>31515</v>
      </c>
      <c r="Q108">
        <v>2591966.9300000002</v>
      </c>
      <c r="R108">
        <v>41122.749960336347</v>
      </c>
      <c r="S108" t="s">
        <v>65</v>
      </c>
      <c r="T108" t="s">
        <v>717</v>
      </c>
      <c r="U108" t="s">
        <v>717</v>
      </c>
      <c r="V108" t="s">
        <v>717</v>
      </c>
      <c r="W108">
        <v>43961</v>
      </c>
      <c r="X108" t="s">
        <v>2970</v>
      </c>
      <c r="Y108" t="s">
        <v>6</v>
      </c>
      <c r="Z108" t="s">
        <v>11</v>
      </c>
      <c r="AA108" t="s">
        <v>717</v>
      </c>
      <c r="AB108" t="s">
        <v>2509</v>
      </c>
      <c r="AC108" t="s">
        <v>2576</v>
      </c>
      <c r="AD108" t="s">
        <v>717</v>
      </c>
      <c r="AE108" t="s">
        <v>2971</v>
      </c>
      <c r="AF108" t="s">
        <v>2972</v>
      </c>
      <c r="AG108" t="s">
        <v>2973</v>
      </c>
      <c r="AH108" t="s">
        <v>2615</v>
      </c>
      <c r="AI108" t="s">
        <v>2552</v>
      </c>
      <c r="AJ108" t="s">
        <v>2855</v>
      </c>
      <c r="AK108" t="s">
        <v>20</v>
      </c>
      <c r="AL108" t="s">
        <v>16</v>
      </c>
      <c r="AM108" t="s">
        <v>10</v>
      </c>
      <c r="AN108" t="s">
        <v>717</v>
      </c>
    </row>
    <row r="109" spans="1:40" hidden="1">
      <c r="A109">
        <v>107</v>
      </c>
      <c r="B109">
        <v>6</v>
      </c>
      <c r="C109" s="58">
        <v>43965</v>
      </c>
      <c r="D109" t="s">
        <v>74</v>
      </c>
      <c r="E109" t="s">
        <v>2515</v>
      </c>
      <c r="F109">
        <v>7</v>
      </c>
      <c r="G109">
        <v>2</v>
      </c>
      <c r="H109">
        <v>7</v>
      </c>
      <c r="I109">
        <v>1</v>
      </c>
      <c r="J109">
        <v>43.12</v>
      </c>
      <c r="K109" t="s">
        <v>9</v>
      </c>
      <c r="L109">
        <v>1872496.78</v>
      </c>
      <c r="M109">
        <v>0</v>
      </c>
      <c r="N109">
        <v>1872496.78</v>
      </c>
      <c r="O109">
        <v>43425.25</v>
      </c>
      <c r="P109">
        <v>21560</v>
      </c>
      <c r="Q109">
        <v>1850936.78</v>
      </c>
      <c r="R109">
        <v>42925.25</v>
      </c>
      <c r="S109" t="s">
        <v>65</v>
      </c>
      <c r="T109" t="s">
        <v>717</v>
      </c>
      <c r="U109" t="s">
        <v>717</v>
      </c>
      <c r="V109" t="s">
        <v>717</v>
      </c>
      <c r="W109">
        <v>43965</v>
      </c>
      <c r="X109" t="s">
        <v>2974</v>
      </c>
      <c r="Y109" t="s">
        <v>6</v>
      </c>
      <c r="Z109" t="s">
        <v>17</v>
      </c>
      <c r="AA109" t="s">
        <v>717</v>
      </c>
      <c r="AB109" t="s">
        <v>2509</v>
      </c>
      <c r="AC109" t="s">
        <v>2564</v>
      </c>
      <c r="AD109" t="s">
        <v>717</v>
      </c>
      <c r="AE109" t="s">
        <v>2975</v>
      </c>
      <c r="AF109" t="s">
        <v>2976</v>
      </c>
      <c r="AG109" t="s">
        <v>2977</v>
      </c>
      <c r="AH109" t="s">
        <v>2552</v>
      </c>
      <c r="AI109" t="s">
        <v>2552</v>
      </c>
      <c r="AJ109" t="s">
        <v>2569</v>
      </c>
      <c r="AK109" t="s">
        <v>63</v>
      </c>
      <c r="AL109" t="s">
        <v>16</v>
      </c>
      <c r="AM109" t="s">
        <v>10</v>
      </c>
      <c r="AN109" t="s">
        <v>717</v>
      </c>
    </row>
    <row r="110" spans="1:40" hidden="1">
      <c r="A110">
        <v>108</v>
      </c>
      <c r="B110">
        <v>7</v>
      </c>
      <c r="C110" s="58">
        <v>43969</v>
      </c>
      <c r="D110" t="s">
        <v>74</v>
      </c>
      <c r="E110" t="s">
        <v>2506</v>
      </c>
      <c r="F110">
        <v>3</v>
      </c>
      <c r="G110">
        <v>21</v>
      </c>
      <c r="H110">
        <v>286</v>
      </c>
      <c r="I110">
        <v>1</v>
      </c>
      <c r="J110">
        <v>41.1</v>
      </c>
      <c r="K110" t="s">
        <v>9</v>
      </c>
      <c r="L110">
        <v>1888493.63</v>
      </c>
      <c r="M110">
        <v>0</v>
      </c>
      <c r="N110">
        <v>1888493.63</v>
      </c>
      <c r="O110">
        <v>45948.750121654499</v>
      </c>
      <c r="P110">
        <v>20550</v>
      </c>
      <c r="Q110">
        <v>1867943.63</v>
      </c>
      <c r="R110">
        <v>45448.750121654499</v>
      </c>
      <c r="S110" t="s">
        <v>130</v>
      </c>
      <c r="T110" t="s">
        <v>717</v>
      </c>
      <c r="U110" t="s">
        <v>717</v>
      </c>
      <c r="V110" t="s">
        <v>717</v>
      </c>
      <c r="W110">
        <v>43965</v>
      </c>
      <c r="X110" t="s">
        <v>2978</v>
      </c>
      <c r="Y110" t="s">
        <v>6</v>
      </c>
      <c r="Z110" t="s">
        <v>17</v>
      </c>
      <c r="AA110" t="s">
        <v>717</v>
      </c>
      <c r="AB110" t="s">
        <v>2509</v>
      </c>
      <c r="AC110" t="s">
        <v>118</v>
      </c>
      <c r="AD110" t="s">
        <v>717</v>
      </c>
      <c r="AE110" t="s">
        <v>2979</v>
      </c>
      <c r="AF110" t="s">
        <v>2980</v>
      </c>
      <c r="AG110" t="s">
        <v>2981</v>
      </c>
      <c r="AH110" t="s">
        <v>2615</v>
      </c>
      <c r="AI110" t="s">
        <v>2847</v>
      </c>
      <c r="AJ110" t="s">
        <v>2940</v>
      </c>
      <c r="AK110" t="s">
        <v>77</v>
      </c>
      <c r="AL110" t="s">
        <v>717</v>
      </c>
      <c r="AM110" t="s">
        <v>10</v>
      </c>
      <c r="AN110" t="s">
        <v>717</v>
      </c>
    </row>
    <row r="111" spans="1:40" hidden="1">
      <c r="A111">
        <v>109</v>
      </c>
      <c r="B111">
        <v>8</v>
      </c>
      <c r="C111" s="58">
        <v>43969</v>
      </c>
      <c r="D111" t="s">
        <v>74</v>
      </c>
      <c r="E111" t="s">
        <v>2506</v>
      </c>
      <c r="F111">
        <v>5</v>
      </c>
      <c r="G111">
        <v>6</v>
      </c>
      <c r="H111">
        <v>183</v>
      </c>
      <c r="I111">
        <v>3</v>
      </c>
      <c r="J111">
        <v>78.03</v>
      </c>
      <c r="K111" t="s">
        <v>9</v>
      </c>
      <c r="L111">
        <v>3154362.75</v>
      </c>
      <c r="M111">
        <v>0</v>
      </c>
      <c r="N111">
        <v>3154362.75</v>
      </c>
      <c r="O111">
        <v>40425</v>
      </c>
      <c r="P111">
        <v>39015</v>
      </c>
      <c r="Q111">
        <v>3115347.75</v>
      </c>
      <c r="R111">
        <v>39925</v>
      </c>
      <c r="S111" t="s">
        <v>65</v>
      </c>
      <c r="T111" t="s">
        <v>717</v>
      </c>
      <c r="U111" t="s">
        <v>717</v>
      </c>
      <c r="V111" t="s">
        <v>717</v>
      </c>
      <c r="W111">
        <v>43970</v>
      </c>
      <c r="X111" t="s">
        <v>2982</v>
      </c>
      <c r="Y111" t="s">
        <v>6</v>
      </c>
      <c r="Z111" t="s">
        <v>17</v>
      </c>
      <c r="AA111" t="s">
        <v>717</v>
      </c>
      <c r="AB111" t="s">
        <v>2509</v>
      </c>
      <c r="AC111" t="s">
        <v>2571</v>
      </c>
      <c r="AD111" t="s">
        <v>717</v>
      </c>
      <c r="AE111" t="s">
        <v>2983</v>
      </c>
      <c r="AF111" t="s">
        <v>2984</v>
      </c>
      <c r="AG111" t="s">
        <v>2985</v>
      </c>
      <c r="AH111" t="s">
        <v>2552</v>
      </c>
      <c r="AI111" t="s">
        <v>2547</v>
      </c>
      <c r="AJ111" t="s">
        <v>2855</v>
      </c>
      <c r="AK111" t="s">
        <v>77</v>
      </c>
      <c r="AL111" t="s">
        <v>16</v>
      </c>
      <c r="AM111" t="s">
        <v>10</v>
      </c>
      <c r="AN111" t="s">
        <v>717</v>
      </c>
    </row>
    <row r="112" spans="1:40" hidden="1">
      <c r="A112">
        <v>110</v>
      </c>
      <c r="B112">
        <v>9</v>
      </c>
      <c r="C112" s="58">
        <v>43969</v>
      </c>
      <c r="D112" t="s">
        <v>74</v>
      </c>
      <c r="E112" t="s">
        <v>2515</v>
      </c>
      <c r="F112">
        <v>10</v>
      </c>
      <c r="G112">
        <v>3</v>
      </c>
      <c r="H112">
        <v>20</v>
      </c>
      <c r="I112">
        <v>2</v>
      </c>
      <c r="J112">
        <v>65.540000000000006</v>
      </c>
      <c r="K112" t="s">
        <v>9</v>
      </c>
      <c r="L112">
        <v>2718271.5</v>
      </c>
      <c r="M112">
        <v>0</v>
      </c>
      <c r="N112">
        <v>2718271.5</v>
      </c>
      <c r="O112">
        <v>41474.999999999993</v>
      </c>
      <c r="P112">
        <v>32770</v>
      </c>
      <c r="Q112">
        <v>2685501.5</v>
      </c>
      <c r="R112">
        <v>40974.999999999993</v>
      </c>
      <c r="S112" t="s">
        <v>65</v>
      </c>
      <c r="T112" t="s">
        <v>717</v>
      </c>
      <c r="U112" t="s">
        <v>717</v>
      </c>
      <c r="V112" t="s">
        <v>717</v>
      </c>
      <c r="W112">
        <v>43970</v>
      </c>
      <c r="X112" t="s">
        <v>2986</v>
      </c>
      <c r="Y112" t="s">
        <v>6</v>
      </c>
      <c r="Z112" t="s">
        <v>17</v>
      </c>
      <c r="AA112" t="s">
        <v>717</v>
      </c>
      <c r="AB112" t="s">
        <v>2509</v>
      </c>
      <c r="AC112" t="s">
        <v>2571</v>
      </c>
      <c r="AD112" t="s">
        <v>717</v>
      </c>
      <c r="AE112" t="s">
        <v>2987</v>
      </c>
      <c r="AF112" t="s">
        <v>2988</v>
      </c>
      <c r="AG112" t="s">
        <v>2989</v>
      </c>
      <c r="AH112" t="s">
        <v>2615</v>
      </c>
      <c r="AI112" t="s">
        <v>2706</v>
      </c>
      <c r="AJ112" t="s">
        <v>2855</v>
      </c>
      <c r="AK112" t="s">
        <v>77</v>
      </c>
      <c r="AL112" t="s">
        <v>16</v>
      </c>
      <c r="AM112" t="s">
        <v>10</v>
      </c>
      <c r="AN112" t="s">
        <v>717</v>
      </c>
    </row>
    <row r="113" spans="1:40" hidden="1">
      <c r="A113">
        <v>111</v>
      </c>
      <c r="B113">
        <v>10</v>
      </c>
      <c r="C113" s="58">
        <v>43970</v>
      </c>
      <c r="D113" t="s">
        <v>74</v>
      </c>
      <c r="E113" t="s">
        <v>2506</v>
      </c>
      <c r="F113">
        <v>7</v>
      </c>
      <c r="G113">
        <v>14</v>
      </c>
      <c r="H113">
        <v>241</v>
      </c>
      <c r="I113">
        <v>2</v>
      </c>
      <c r="J113">
        <v>63.74</v>
      </c>
      <c r="K113" t="s">
        <v>9</v>
      </c>
      <c r="L113">
        <v>2756436.3</v>
      </c>
      <c r="M113">
        <v>0</v>
      </c>
      <c r="N113">
        <v>2756436.3</v>
      </c>
      <c r="O113">
        <v>43244.999999999993</v>
      </c>
      <c r="P113">
        <v>31870</v>
      </c>
      <c r="Q113">
        <v>2724566.3</v>
      </c>
      <c r="R113">
        <v>42744.999999999993</v>
      </c>
      <c r="S113" t="s">
        <v>65</v>
      </c>
      <c r="T113" t="s">
        <v>717</v>
      </c>
      <c r="U113" t="s">
        <v>717</v>
      </c>
      <c r="V113" t="s">
        <v>717</v>
      </c>
      <c r="W113">
        <v>43972</v>
      </c>
      <c r="X113" t="s">
        <v>2990</v>
      </c>
      <c r="Y113" t="s">
        <v>6</v>
      </c>
      <c r="Z113" t="s">
        <v>17</v>
      </c>
      <c r="AA113" t="s">
        <v>717</v>
      </c>
      <c r="AB113" t="s">
        <v>2509</v>
      </c>
      <c r="AC113" t="s">
        <v>2571</v>
      </c>
      <c r="AD113" t="s">
        <v>717</v>
      </c>
      <c r="AE113" t="s">
        <v>2991</v>
      </c>
      <c r="AF113" t="s">
        <v>2992</v>
      </c>
      <c r="AG113" t="s">
        <v>2993</v>
      </c>
      <c r="AH113" t="s">
        <v>2615</v>
      </c>
      <c r="AI113" t="s">
        <v>2847</v>
      </c>
      <c r="AJ113" t="s">
        <v>2940</v>
      </c>
      <c r="AK113" t="s">
        <v>77</v>
      </c>
      <c r="AL113" t="s">
        <v>16</v>
      </c>
      <c r="AM113" t="s">
        <v>10</v>
      </c>
      <c r="AN113" t="s">
        <v>717</v>
      </c>
    </row>
    <row r="114" spans="1:40" hidden="1">
      <c r="A114">
        <v>112</v>
      </c>
      <c r="B114">
        <v>11</v>
      </c>
      <c r="C114" s="58">
        <v>43971</v>
      </c>
      <c r="D114" t="s">
        <v>74</v>
      </c>
      <c r="E114" t="s">
        <v>2506</v>
      </c>
      <c r="F114">
        <v>1</v>
      </c>
      <c r="G114">
        <v>12</v>
      </c>
      <c r="H114">
        <v>221</v>
      </c>
      <c r="I114">
        <v>3</v>
      </c>
      <c r="J114">
        <v>89.56</v>
      </c>
      <c r="K114" t="s">
        <v>9</v>
      </c>
      <c r="L114">
        <v>3727733.49</v>
      </c>
      <c r="M114">
        <v>0</v>
      </c>
      <c r="N114">
        <v>3727733.49</v>
      </c>
      <c r="O114">
        <v>41622.75</v>
      </c>
      <c r="P114">
        <v>44780</v>
      </c>
      <c r="Q114">
        <v>3682953.49</v>
      </c>
      <c r="R114">
        <v>41122.75</v>
      </c>
      <c r="S114" t="s">
        <v>65</v>
      </c>
      <c r="T114" t="s">
        <v>717</v>
      </c>
      <c r="U114" t="s">
        <v>717</v>
      </c>
      <c r="V114" t="s">
        <v>717</v>
      </c>
      <c r="W114">
        <v>43972</v>
      </c>
      <c r="X114" t="s">
        <v>2994</v>
      </c>
      <c r="Y114" t="s">
        <v>6</v>
      </c>
      <c r="Z114" t="s">
        <v>17</v>
      </c>
      <c r="AA114" t="s">
        <v>717</v>
      </c>
      <c r="AB114" t="s">
        <v>2509</v>
      </c>
      <c r="AC114" t="s">
        <v>2571</v>
      </c>
      <c r="AD114" t="s">
        <v>717</v>
      </c>
      <c r="AE114" t="s">
        <v>2995</v>
      </c>
      <c r="AF114" t="s">
        <v>2996</v>
      </c>
      <c r="AG114" t="s">
        <v>2997</v>
      </c>
      <c r="AH114" t="s">
        <v>2615</v>
      </c>
      <c r="AI114" t="s">
        <v>2552</v>
      </c>
      <c r="AJ114" t="s">
        <v>2958</v>
      </c>
      <c r="AK114" t="s">
        <v>77</v>
      </c>
      <c r="AL114" t="s">
        <v>16</v>
      </c>
      <c r="AM114" t="s">
        <v>10</v>
      </c>
      <c r="AN114" t="s">
        <v>717</v>
      </c>
    </row>
    <row r="115" spans="1:40" hidden="1">
      <c r="A115">
        <v>113</v>
      </c>
      <c r="B115">
        <v>12</v>
      </c>
      <c r="C115" s="58">
        <v>43972</v>
      </c>
      <c r="D115" t="s">
        <v>74</v>
      </c>
      <c r="E115" t="s">
        <v>2515</v>
      </c>
      <c r="F115">
        <v>10</v>
      </c>
      <c r="G115">
        <v>8</v>
      </c>
      <c r="H115">
        <v>70</v>
      </c>
      <c r="I115">
        <v>2</v>
      </c>
      <c r="J115">
        <v>65.540000000000006</v>
      </c>
      <c r="K115" t="s">
        <v>15</v>
      </c>
      <c r="L115">
        <v>2977007.04</v>
      </c>
      <c r="M115">
        <v>0</v>
      </c>
      <c r="N115">
        <v>2977007.04</v>
      </c>
      <c r="O115">
        <v>45422.750076289289</v>
      </c>
      <c r="P115">
        <v>281822</v>
      </c>
      <c r="Q115">
        <v>2695185.04</v>
      </c>
      <c r="R115">
        <v>41122.750076289289</v>
      </c>
      <c r="S115" t="s">
        <v>65</v>
      </c>
      <c r="T115" t="s">
        <v>717</v>
      </c>
      <c r="U115" t="s">
        <v>717</v>
      </c>
      <c r="V115" t="s">
        <v>717</v>
      </c>
      <c r="W115">
        <v>43972</v>
      </c>
      <c r="X115" t="s">
        <v>2998</v>
      </c>
      <c r="Y115" t="s">
        <v>6</v>
      </c>
      <c r="Z115" t="s">
        <v>17</v>
      </c>
      <c r="AA115" t="s">
        <v>717</v>
      </c>
      <c r="AB115" t="s">
        <v>2509</v>
      </c>
      <c r="AC115" t="s">
        <v>2571</v>
      </c>
      <c r="AD115" t="s">
        <v>717</v>
      </c>
      <c r="AE115" t="s">
        <v>2999</v>
      </c>
      <c r="AF115" t="s">
        <v>3000</v>
      </c>
      <c r="AG115" t="s">
        <v>3001</v>
      </c>
      <c r="AH115" t="s">
        <v>2615</v>
      </c>
      <c r="AI115" t="s">
        <v>2552</v>
      </c>
      <c r="AJ115" t="s">
        <v>2895</v>
      </c>
      <c r="AK115" t="s">
        <v>63</v>
      </c>
      <c r="AL115" t="s">
        <v>16</v>
      </c>
      <c r="AM115" t="s">
        <v>10</v>
      </c>
      <c r="AN115" t="s">
        <v>717</v>
      </c>
    </row>
    <row r="116" spans="1:40" hidden="1">
      <c r="A116">
        <v>114</v>
      </c>
      <c r="B116">
        <v>13</v>
      </c>
      <c r="C116" s="58">
        <v>43972</v>
      </c>
      <c r="D116" t="s">
        <v>74</v>
      </c>
      <c r="E116" t="s">
        <v>2506</v>
      </c>
      <c r="F116">
        <v>6</v>
      </c>
      <c r="G116">
        <v>21</v>
      </c>
      <c r="H116">
        <v>289</v>
      </c>
      <c r="I116">
        <v>2</v>
      </c>
      <c r="J116">
        <v>64.150000000000006</v>
      </c>
      <c r="K116" t="s">
        <v>9</v>
      </c>
      <c r="L116">
        <v>2670099.41</v>
      </c>
      <c r="M116">
        <v>0</v>
      </c>
      <c r="N116">
        <v>2670099.41</v>
      </c>
      <c r="O116">
        <v>41622.749961028829</v>
      </c>
      <c r="P116">
        <v>32075</v>
      </c>
      <c r="Q116">
        <v>2638024.41</v>
      </c>
      <c r="R116">
        <v>41122.749961028829</v>
      </c>
      <c r="S116" t="s">
        <v>65</v>
      </c>
      <c r="T116" t="s">
        <v>717</v>
      </c>
      <c r="U116" t="s">
        <v>717</v>
      </c>
      <c r="V116" t="s">
        <v>717</v>
      </c>
      <c r="W116">
        <v>43973</v>
      </c>
      <c r="X116" t="s">
        <v>3002</v>
      </c>
      <c r="Y116" t="s">
        <v>6</v>
      </c>
      <c r="Z116" t="s">
        <v>11</v>
      </c>
      <c r="AA116" t="s">
        <v>717</v>
      </c>
      <c r="AB116" t="s">
        <v>2509</v>
      </c>
      <c r="AC116" t="s">
        <v>2558</v>
      </c>
      <c r="AD116" t="s">
        <v>717</v>
      </c>
      <c r="AE116" t="s">
        <v>3003</v>
      </c>
      <c r="AF116" t="s">
        <v>3004</v>
      </c>
      <c r="AG116" t="s">
        <v>3005</v>
      </c>
      <c r="AH116" t="s">
        <v>2615</v>
      </c>
      <c r="AI116" t="s">
        <v>2834</v>
      </c>
      <c r="AJ116" t="s">
        <v>2958</v>
      </c>
      <c r="AK116" t="s">
        <v>2532</v>
      </c>
      <c r="AL116" t="s">
        <v>16</v>
      </c>
      <c r="AM116" t="s">
        <v>10</v>
      </c>
      <c r="AN116" t="s">
        <v>717</v>
      </c>
    </row>
    <row r="117" spans="1:40" hidden="1">
      <c r="A117">
        <v>115</v>
      </c>
      <c r="B117">
        <v>14</v>
      </c>
      <c r="C117" s="58">
        <v>43977</v>
      </c>
      <c r="D117" t="s">
        <v>74</v>
      </c>
      <c r="E117" t="s">
        <v>2506</v>
      </c>
      <c r="F117">
        <v>2</v>
      </c>
      <c r="G117">
        <v>3</v>
      </c>
      <c r="H117">
        <v>159</v>
      </c>
      <c r="I117">
        <v>1</v>
      </c>
      <c r="J117">
        <v>40.39</v>
      </c>
      <c r="K117" t="s">
        <v>9</v>
      </c>
      <c r="L117">
        <v>1863150.31</v>
      </c>
      <c r="M117">
        <v>0</v>
      </c>
      <c r="N117">
        <v>1863150.31</v>
      </c>
      <c r="O117">
        <v>46129</v>
      </c>
      <c r="P117">
        <v>20195</v>
      </c>
      <c r="Q117">
        <v>1842955.31</v>
      </c>
      <c r="R117">
        <v>45629</v>
      </c>
      <c r="S117" t="s">
        <v>65</v>
      </c>
      <c r="T117" t="s">
        <v>717</v>
      </c>
      <c r="U117" t="s">
        <v>717</v>
      </c>
      <c r="V117" t="s">
        <v>717</v>
      </c>
      <c r="W117">
        <v>43977</v>
      </c>
      <c r="X117" t="s">
        <v>3006</v>
      </c>
      <c r="Y117" t="s">
        <v>6</v>
      </c>
      <c r="Z117" t="s">
        <v>17</v>
      </c>
      <c r="AA117" t="s">
        <v>717</v>
      </c>
      <c r="AB117" t="s">
        <v>2509</v>
      </c>
      <c r="AC117" t="s">
        <v>2571</v>
      </c>
      <c r="AD117" t="s">
        <v>717</v>
      </c>
      <c r="AE117" t="s">
        <v>3007</v>
      </c>
      <c r="AF117" t="s">
        <v>3008</v>
      </c>
      <c r="AG117" t="s">
        <v>3009</v>
      </c>
      <c r="AH117" t="s">
        <v>2615</v>
      </c>
      <c r="AI117" t="s">
        <v>2673</v>
      </c>
      <c r="AJ117" t="s">
        <v>2958</v>
      </c>
      <c r="AK117" t="s">
        <v>63</v>
      </c>
      <c r="AL117" t="s">
        <v>16</v>
      </c>
      <c r="AM117" t="s">
        <v>10</v>
      </c>
      <c r="AN117" t="s">
        <v>717</v>
      </c>
    </row>
    <row r="118" spans="1:40" hidden="1">
      <c r="A118">
        <v>116</v>
      </c>
      <c r="B118">
        <v>15</v>
      </c>
      <c r="C118" s="58">
        <v>43977</v>
      </c>
      <c r="D118" t="s">
        <v>74</v>
      </c>
      <c r="E118" t="s">
        <v>2506</v>
      </c>
      <c r="F118">
        <v>7</v>
      </c>
      <c r="G118">
        <v>10</v>
      </c>
      <c r="H118">
        <v>213</v>
      </c>
      <c r="I118">
        <v>2</v>
      </c>
      <c r="J118">
        <v>63.74</v>
      </c>
      <c r="K118" t="s">
        <v>9</v>
      </c>
      <c r="L118">
        <v>2687501.49</v>
      </c>
      <c r="M118">
        <v>0</v>
      </c>
      <c r="N118">
        <v>2687501.49</v>
      </c>
      <c r="O118">
        <v>42163.5</v>
      </c>
      <c r="P118">
        <v>31870</v>
      </c>
      <c r="Q118">
        <v>2655631.4900000002</v>
      </c>
      <c r="R118">
        <v>41663.5</v>
      </c>
      <c r="S118" t="s">
        <v>65</v>
      </c>
      <c r="T118" t="s">
        <v>717</v>
      </c>
      <c r="U118" t="s">
        <v>717</v>
      </c>
      <c r="V118" t="s">
        <v>717</v>
      </c>
      <c r="W118">
        <v>43979</v>
      </c>
      <c r="X118" t="s">
        <v>3010</v>
      </c>
      <c r="Y118" t="s">
        <v>6</v>
      </c>
      <c r="Z118" t="s">
        <v>17</v>
      </c>
      <c r="AA118" t="s">
        <v>717</v>
      </c>
      <c r="AB118" t="s">
        <v>2509</v>
      </c>
      <c r="AC118" t="s">
        <v>2571</v>
      </c>
      <c r="AD118" t="s">
        <v>717</v>
      </c>
      <c r="AE118" t="s">
        <v>3011</v>
      </c>
      <c r="AF118" t="s">
        <v>3012</v>
      </c>
      <c r="AG118" t="s">
        <v>3013</v>
      </c>
      <c r="AH118" t="s">
        <v>2615</v>
      </c>
      <c r="AI118" t="s">
        <v>2824</v>
      </c>
      <c r="AJ118" t="s">
        <v>2855</v>
      </c>
      <c r="AK118" t="s">
        <v>2532</v>
      </c>
      <c r="AL118" t="s">
        <v>2663</v>
      </c>
      <c r="AM118" t="s">
        <v>10</v>
      </c>
      <c r="AN118" t="s">
        <v>717</v>
      </c>
    </row>
    <row r="119" spans="1:40" hidden="1">
      <c r="A119">
        <v>117</v>
      </c>
      <c r="B119">
        <v>16</v>
      </c>
      <c r="C119" s="58">
        <v>43977</v>
      </c>
      <c r="D119" t="s">
        <v>74</v>
      </c>
      <c r="E119" t="s">
        <v>2581</v>
      </c>
      <c r="F119">
        <v>6</v>
      </c>
      <c r="G119">
        <v>7</v>
      </c>
      <c r="H119">
        <v>357</v>
      </c>
      <c r="I119">
        <v>2</v>
      </c>
      <c r="J119">
        <v>65.72</v>
      </c>
      <c r="K119" t="s">
        <v>9</v>
      </c>
      <c r="L119">
        <v>2984213.76</v>
      </c>
      <c r="M119">
        <v>0</v>
      </c>
      <c r="N119">
        <v>2984213.76</v>
      </c>
      <c r="O119">
        <v>45408</v>
      </c>
      <c r="P119">
        <v>32860</v>
      </c>
      <c r="Q119">
        <v>2951353.76</v>
      </c>
      <c r="R119">
        <v>44908</v>
      </c>
      <c r="S119" t="s">
        <v>65</v>
      </c>
      <c r="T119" t="s">
        <v>717</v>
      </c>
      <c r="U119" t="s">
        <v>717</v>
      </c>
      <c r="V119" t="s">
        <v>717</v>
      </c>
      <c r="W119">
        <v>43981</v>
      </c>
      <c r="X119" t="s">
        <v>3014</v>
      </c>
      <c r="Y119" t="s">
        <v>6</v>
      </c>
      <c r="Z119" t="s">
        <v>17</v>
      </c>
      <c r="AA119" t="s">
        <v>717</v>
      </c>
      <c r="AB119" t="s">
        <v>2509</v>
      </c>
      <c r="AC119" t="s">
        <v>2571</v>
      </c>
      <c r="AD119" t="s">
        <v>717</v>
      </c>
      <c r="AE119" t="s">
        <v>3015</v>
      </c>
      <c r="AF119" t="s">
        <v>3016</v>
      </c>
      <c r="AG119" t="s">
        <v>3017</v>
      </c>
      <c r="AH119" t="s">
        <v>2615</v>
      </c>
      <c r="AI119" t="s">
        <v>2552</v>
      </c>
      <c r="AJ119" t="s">
        <v>2958</v>
      </c>
      <c r="AK119" t="s">
        <v>63</v>
      </c>
      <c r="AL119" t="s">
        <v>2663</v>
      </c>
      <c r="AM119" t="s">
        <v>10</v>
      </c>
      <c r="AN119" t="s">
        <v>717</v>
      </c>
    </row>
    <row r="120" spans="1:40" hidden="1">
      <c r="A120">
        <v>118</v>
      </c>
      <c r="B120">
        <v>17</v>
      </c>
      <c r="C120" s="58">
        <v>43978</v>
      </c>
      <c r="D120" t="s">
        <v>74</v>
      </c>
      <c r="E120" t="s">
        <v>2506</v>
      </c>
      <c r="F120">
        <v>2</v>
      </c>
      <c r="G120">
        <v>24</v>
      </c>
      <c r="H120">
        <v>306</v>
      </c>
      <c r="I120">
        <v>2</v>
      </c>
      <c r="J120">
        <v>65.78</v>
      </c>
      <c r="K120" t="s">
        <v>9</v>
      </c>
      <c r="L120">
        <v>2737944.5</v>
      </c>
      <c r="M120">
        <v>0</v>
      </c>
      <c r="N120">
        <v>2737944.5</v>
      </c>
      <c r="O120">
        <v>41622.750076010947</v>
      </c>
      <c r="P120">
        <v>32890</v>
      </c>
      <c r="Q120">
        <v>2705054.5</v>
      </c>
      <c r="R120">
        <v>41122.750076010947</v>
      </c>
      <c r="S120" t="s">
        <v>65</v>
      </c>
      <c r="T120" t="s">
        <v>717</v>
      </c>
      <c r="U120" t="s">
        <v>717</v>
      </c>
      <c r="V120" t="s">
        <v>717</v>
      </c>
      <c r="W120">
        <v>43978</v>
      </c>
      <c r="X120" t="s">
        <v>3018</v>
      </c>
      <c r="Y120" t="s">
        <v>6</v>
      </c>
      <c r="Z120" t="s">
        <v>17</v>
      </c>
      <c r="AA120" t="s">
        <v>717</v>
      </c>
      <c r="AB120" t="s">
        <v>2509</v>
      </c>
      <c r="AC120" t="s">
        <v>2571</v>
      </c>
      <c r="AD120" t="s">
        <v>717</v>
      </c>
      <c r="AE120" t="s">
        <v>3019</v>
      </c>
      <c r="AF120" t="s">
        <v>3020</v>
      </c>
      <c r="AG120" t="s">
        <v>3021</v>
      </c>
      <c r="AH120" t="s">
        <v>2615</v>
      </c>
      <c r="AI120" t="s">
        <v>2847</v>
      </c>
      <c r="AJ120" t="s">
        <v>2940</v>
      </c>
      <c r="AK120" t="s">
        <v>2532</v>
      </c>
      <c r="AL120" t="s">
        <v>16</v>
      </c>
      <c r="AM120" t="s">
        <v>10</v>
      </c>
      <c r="AN120" t="s">
        <v>717</v>
      </c>
    </row>
    <row r="121" spans="1:40" hidden="1">
      <c r="A121">
        <v>119</v>
      </c>
      <c r="B121">
        <v>18</v>
      </c>
      <c r="C121" s="58">
        <v>43979</v>
      </c>
      <c r="D121" t="s">
        <v>74</v>
      </c>
      <c r="E121" t="s">
        <v>2515</v>
      </c>
      <c r="F121">
        <v>4</v>
      </c>
      <c r="G121">
        <v>12</v>
      </c>
      <c r="H121">
        <v>104</v>
      </c>
      <c r="I121">
        <v>3</v>
      </c>
      <c r="J121">
        <v>80.33</v>
      </c>
      <c r="K121" t="s">
        <v>9</v>
      </c>
      <c r="L121">
        <v>3343555.51</v>
      </c>
      <c r="M121">
        <v>0</v>
      </c>
      <c r="N121">
        <v>3343555.51</v>
      </c>
      <c r="O121">
        <v>41622.750031121621</v>
      </c>
      <c r="P121">
        <v>40165</v>
      </c>
      <c r="Q121">
        <v>3303390.51</v>
      </c>
      <c r="R121">
        <v>41122.750031121621</v>
      </c>
      <c r="S121" t="s">
        <v>65</v>
      </c>
      <c r="T121" t="s">
        <v>717</v>
      </c>
      <c r="U121" t="s">
        <v>717</v>
      </c>
      <c r="V121" t="s">
        <v>717</v>
      </c>
      <c r="W121">
        <v>43979</v>
      </c>
      <c r="X121" t="s">
        <v>3022</v>
      </c>
      <c r="Y121" t="s">
        <v>6</v>
      </c>
      <c r="Z121" t="s">
        <v>17</v>
      </c>
      <c r="AA121" t="s">
        <v>717</v>
      </c>
      <c r="AB121" t="s">
        <v>2509</v>
      </c>
      <c r="AC121" t="s">
        <v>2571</v>
      </c>
      <c r="AD121" t="s">
        <v>717</v>
      </c>
      <c r="AE121" t="s">
        <v>3023</v>
      </c>
      <c r="AF121" t="s">
        <v>3024</v>
      </c>
      <c r="AG121" t="s">
        <v>3025</v>
      </c>
      <c r="AH121" t="s">
        <v>2191</v>
      </c>
      <c r="AI121" t="s">
        <v>2552</v>
      </c>
      <c r="AJ121" t="s">
        <v>2895</v>
      </c>
      <c r="AK121" t="s">
        <v>2532</v>
      </c>
      <c r="AL121" t="s">
        <v>2663</v>
      </c>
      <c r="AM121" t="s">
        <v>10</v>
      </c>
      <c r="AN121" t="s">
        <v>717</v>
      </c>
    </row>
    <row r="122" spans="1:40" hidden="1">
      <c r="A122">
        <v>120</v>
      </c>
      <c r="B122">
        <v>19</v>
      </c>
      <c r="C122" s="58">
        <v>43980</v>
      </c>
      <c r="D122" t="s">
        <v>74</v>
      </c>
      <c r="E122" t="s">
        <v>2581</v>
      </c>
      <c r="F122">
        <v>8</v>
      </c>
      <c r="G122">
        <v>3</v>
      </c>
      <c r="H122">
        <v>327</v>
      </c>
      <c r="I122">
        <v>2</v>
      </c>
      <c r="J122">
        <v>60.25</v>
      </c>
      <c r="K122" t="s">
        <v>9</v>
      </c>
      <c r="L122">
        <v>2703251.81</v>
      </c>
      <c r="M122">
        <v>0</v>
      </c>
      <c r="N122">
        <v>2703251.81</v>
      </c>
      <c r="O122">
        <v>44867.249958506225</v>
      </c>
      <c r="P122">
        <v>30125</v>
      </c>
      <c r="Q122">
        <v>2673126.81</v>
      </c>
      <c r="R122">
        <v>44367.249958506225</v>
      </c>
      <c r="S122" t="s">
        <v>65</v>
      </c>
      <c r="T122" t="s">
        <v>717</v>
      </c>
      <c r="U122" t="s">
        <v>717</v>
      </c>
      <c r="V122" t="s">
        <v>717</v>
      </c>
      <c r="W122">
        <v>43975</v>
      </c>
      <c r="X122" t="s">
        <v>3026</v>
      </c>
      <c r="Y122" t="s">
        <v>6</v>
      </c>
      <c r="Z122" t="s">
        <v>11</v>
      </c>
      <c r="AA122" t="s">
        <v>717</v>
      </c>
      <c r="AB122" t="s">
        <v>2509</v>
      </c>
      <c r="AC122" t="s">
        <v>2571</v>
      </c>
      <c r="AD122" t="s">
        <v>717</v>
      </c>
      <c r="AE122" t="s">
        <v>3027</v>
      </c>
      <c r="AF122" t="s">
        <v>3028</v>
      </c>
      <c r="AG122" t="s">
        <v>3029</v>
      </c>
      <c r="AH122" t="s">
        <v>2615</v>
      </c>
      <c r="AI122" t="s">
        <v>2552</v>
      </c>
      <c r="AJ122" t="s">
        <v>2895</v>
      </c>
      <c r="AK122" t="s">
        <v>20</v>
      </c>
      <c r="AL122" t="s">
        <v>16</v>
      </c>
      <c r="AM122" t="s">
        <v>10</v>
      </c>
      <c r="AN122" t="s">
        <v>717</v>
      </c>
    </row>
    <row r="123" spans="1:40" hidden="1">
      <c r="A123">
        <v>121</v>
      </c>
      <c r="B123">
        <v>20</v>
      </c>
      <c r="C123" s="58">
        <v>43980</v>
      </c>
      <c r="D123" t="s">
        <v>74</v>
      </c>
      <c r="E123" t="s">
        <v>2515</v>
      </c>
      <c r="F123">
        <v>1</v>
      </c>
      <c r="G123">
        <v>16</v>
      </c>
      <c r="H123">
        <v>141</v>
      </c>
      <c r="I123">
        <v>0</v>
      </c>
      <c r="J123">
        <v>32.03</v>
      </c>
      <c r="K123" t="s">
        <v>9</v>
      </c>
      <c r="L123">
        <v>1445191.65</v>
      </c>
      <c r="M123">
        <v>15000</v>
      </c>
      <c r="N123">
        <v>1460191.65</v>
      </c>
      <c r="O123">
        <v>45588.250078051824</v>
      </c>
      <c r="P123">
        <v>16015</v>
      </c>
      <c r="Q123">
        <v>1444176.65</v>
      </c>
      <c r="R123">
        <v>45088.250078051824</v>
      </c>
      <c r="S123" t="s">
        <v>65</v>
      </c>
      <c r="T123" t="s">
        <v>717</v>
      </c>
      <c r="U123" t="s">
        <v>717</v>
      </c>
      <c r="V123" t="s">
        <v>717</v>
      </c>
      <c r="W123">
        <v>43975</v>
      </c>
      <c r="X123" t="s">
        <v>3030</v>
      </c>
      <c r="Y123" t="s">
        <v>6</v>
      </c>
      <c r="Z123" t="s">
        <v>17</v>
      </c>
      <c r="AA123" t="s">
        <v>717</v>
      </c>
      <c r="AB123" t="s">
        <v>2509</v>
      </c>
      <c r="AC123" t="s">
        <v>2571</v>
      </c>
      <c r="AD123" t="s">
        <v>717</v>
      </c>
      <c r="AE123" t="s">
        <v>3031</v>
      </c>
      <c r="AF123" t="s">
        <v>3032</v>
      </c>
      <c r="AG123" t="s">
        <v>3033</v>
      </c>
      <c r="AH123" t="s">
        <v>2191</v>
      </c>
      <c r="AI123" t="s">
        <v>2552</v>
      </c>
      <c r="AJ123" t="s">
        <v>2514</v>
      </c>
      <c r="AK123" t="s">
        <v>20</v>
      </c>
      <c r="AL123" t="s">
        <v>16</v>
      </c>
      <c r="AM123" t="s">
        <v>10</v>
      </c>
      <c r="AN123" t="s">
        <v>717</v>
      </c>
    </row>
    <row r="124" spans="1:40" hidden="1">
      <c r="A124">
        <v>122</v>
      </c>
      <c r="B124">
        <v>21</v>
      </c>
      <c r="C124" s="58">
        <v>43980</v>
      </c>
      <c r="D124" t="s">
        <v>74</v>
      </c>
      <c r="E124" t="s">
        <v>2515</v>
      </c>
      <c r="F124">
        <v>9</v>
      </c>
      <c r="G124">
        <v>10</v>
      </c>
      <c r="H124">
        <v>89</v>
      </c>
      <c r="I124">
        <v>2</v>
      </c>
      <c r="J124">
        <v>66.14</v>
      </c>
      <c r="K124" t="s">
        <v>9</v>
      </c>
      <c r="L124">
        <v>2824459.09</v>
      </c>
      <c r="M124">
        <v>0</v>
      </c>
      <c r="N124">
        <v>2824459.09</v>
      </c>
      <c r="O124">
        <v>42704.249924402779</v>
      </c>
      <c r="P124">
        <v>33070</v>
      </c>
      <c r="Q124">
        <v>2791389.09</v>
      </c>
      <c r="R124">
        <v>42204.249924402779</v>
      </c>
      <c r="S124" t="s">
        <v>65</v>
      </c>
      <c r="T124" t="s">
        <v>717</v>
      </c>
      <c r="U124" t="s">
        <v>717</v>
      </c>
      <c r="V124" t="s">
        <v>717</v>
      </c>
      <c r="W124">
        <v>43978</v>
      </c>
      <c r="X124" t="s">
        <v>3034</v>
      </c>
      <c r="Y124" t="s">
        <v>6</v>
      </c>
      <c r="Z124" t="s">
        <v>17</v>
      </c>
      <c r="AA124" t="s">
        <v>717</v>
      </c>
      <c r="AB124" t="s">
        <v>2509</v>
      </c>
      <c r="AC124" t="s">
        <v>2571</v>
      </c>
      <c r="AD124" t="s">
        <v>717</v>
      </c>
      <c r="AE124" t="s">
        <v>3035</v>
      </c>
      <c r="AF124" t="s">
        <v>3036</v>
      </c>
      <c r="AG124" t="s">
        <v>3037</v>
      </c>
      <c r="AH124" t="s">
        <v>2191</v>
      </c>
      <c r="AI124" t="s">
        <v>2552</v>
      </c>
      <c r="AJ124" t="s">
        <v>2895</v>
      </c>
      <c r="AK124" t="s">
        <v>20</v>
      </c>
      <c r="AL124" t="s">
        <v>16</v>
      </c>
      <c r="AM124" t="s">
        <v>10</v>
      </c>
      <c r="AN124" t="s">
        <v>717</v>
      </c>
    </row>
    <row r="125" spans="1:40" hidden="1">
      <c r="A125">
        <v>123</v>
      </c>
      <c r="B125">
        <v>1</v>
      </c>
      <c r="C125" s="58">
        <v>43990</v>
      </c>
      <c r="D125" t="s">
        <v>74</v>
      </c>
      <c r="E125" t="s">
        <v>2506</v>
      </c>
      <c r="F125">
        <v>4</v>
      </c>
      <c r="G125">
        <v>4</v>
      </c>
      <c r="H125">
        <v>168</v>
      </c>
      <c r="I125">
        <v>1</v>
      </c>
      <c r="J125">
        <v>40.58</v>
      </c>
      <c r="K125" t="s">
        <v>15</v>
      </c>
      <c r="L125">
        <v>2048062.45</v>
      </c>
      <c r="M125">
        <v>0</v>
      </c>
      <c r="N125">
        <v>2048062.45</v>
      </c>
      <c r="O125">
        <v>50469.749876786598</v>
      </c>
      <c r="P125">
        <v>174494</v>
      </c>
      <c r="Q125">
        <v>1873568.45</v>
      </c>
      <c r="R125">
        <v>46169.749876786598</v>
      </c>
      <c r="S125" t="s">
        <v>65</v>
      </c>
      <c r="T125" t="s">
        <v>717</v>
      </c>
      <c r="U125" t="s">
        <v>717</v>
      </c>
      <c r="V125" t="s">
        <v>717</v>
      </c>
      <c r="W125">
        <v>43990</v>
      </c>
      <c r="X125" t="s">
        <v>3038</v>
      </c>
      <c r="Y125" t="s">
        <v>6</v>
      </c>
      <c r="Z125" t="s">
        <v>17</v>
      </c>
      <c r="AA125" t="s">
        <v>717</v>
      </c>
      <c r="AB125" t="s">
        <v>2509</v>
      </c>
      <c r="AC125" t="s">
        <v>2571</v>
      </c>
      <c r="AD125" t="s">
        <v>717</v>
      </c>
      <c r="AE125" t="s">
        <v>3039</v>
      </c>
      <c r="AF125" t="s">
        <v>3040</v>
      </c>
      <c r="AG125" t="s">
        <v>3041</v>
      </c>
      <c r="AH125" t="s">
        <v>2615</v>
      </c>
      <c r="AI125" t="s">
        <v>2552</v>
      </c>
      <c r="AJ125" t="s">
        <v>2662</v>
      </c>
      <c r="AK125" t="s">
        <v>2532</v>
      </c>
      <c r="AL125" t="s">
        <v>2663</v>
      </c>
      <c r="AM125" t="s">
        <v>10</v>
      </c>
      <c r="AN125" t="s">
        <v>717</v>
      </c>
    </row>
    <row r="126" spans="1:40" hidden="1">
      <c r="A126">
        <v>124</v>
      </c>
      <c r="B126">
        <v>2</v>
      </c>
      <c r="C126" s="58">
        <v>43991</v>
      </c>
      <c r="D126" t="s">
        <v>74</v>
      </c>
      <c r="E126" t="s">
        <v>2506</v>
      </c>
      <c r="F126">
        <v>6</v>
      </c>
      <c r="G126">
        <v>4</v>
      </c>
      <c r="H126">
        <v>170</v>
      </c>
      <c r="I126">
        <v>2</v>
      </c>
      <c r="J126">
        <v>64.150000000000006</v>
      </c>
      <c r="K126" t="s">
        <v>15</v>
      </c>
      <c r="L126">
        <v>2821365.11</v>
      </c>
      <c r="M126">
        <v>0</v>
      </c>
      <c r="N126">
        <v>2821365.11</v>
      </c>
      <c r="O126">
        <v>43980.749961028829</v>
      </c>
      <c r="P126">
        <v>275845</v>
      </c>
      <c r="Q126">
        <v>2545520.11</v>
      </c>
      <c r="R126">
        <v>39680.749961028829</v>
      </c>
      <c r="S126" t="s">
        <v>65</v>
      </c>
      <c r="T126" t="s">
        <v>717</v>
      </c>
      <c r="U126" t="s">
        <v>717</v>
      </c>
      <c r="V126" t="s">
        <v>717</v>
      </c>
      <c r="W126">
        <v>43983</v>
      </c>
      <c r="X126" t="s">
        <v>3042</v>
      </c>
      <c r="Y126" t="s">
        <v>6</v>
      </c>
      <c r="Z126" t="s">
        <v>17</v>
      </c>
      <c r="AA126" t="s">
        <v>717</v>
      </c>
      <c r="AB126" t="s">
        <v>2509</v>
      </c>
      <c r="AC126" t="s">
        <v>2571</v>
      </c>
      <c r="AD126" t="s">
        <v>717</v>
      </c>
      <c r="AE126" t="s">
        <v>3043</v>
      </c>
      <c r="AF126" t="s">
        <v>3044</v>
      </c>
      <c r="AG126" t="s">
        <v>3045</v>
      </c>
      <c r="AH126" t="s">
        <v>2615</v>
      </c>
      <c r="AI126" t="s">
        <v>2552</v>
      </c>
      <c r="AJ126" t="s">
        <v>2514</v>
      </c>
      <c r="AK126" t="s">
        <v>77</v>
      </c>
      <c r="AL126" t="s">
        <v>2663</v>
      </c>
      <c r="AM126" t="s">
        <v>10</v>
      </c>
      <c r="AN126" t="s">
        <v>717</v>
      </c>
    </row>
    <row r="127" spans="1:40" hidden="1">
      <c r="A127">
        <v>125</v>
      </c>
      <c r="B127">
        <v>3</v>
      </c>
      <c r="C127" s="58">
        <v>43991</v>
      </c>
      <c r="D127" t="s">
        <v>74</v>
      </c>
      <c r="E127" t="s">
        <v>2515</v>
      </c>
      <c r="F127">
        <v>3</v>
      </c>
      <c r="G127">
        <v>16</v>
      </c>
      <c r="H127">
        <v>143</v>
      </c>
      <c r="I127">
        <v>2</v>
      </c>
      <c r="J127">
        <v>67.16</v>
      </c>
      <c r="K127" t="s">
        <v>9</v>
      </c>
      <c r="L127">
        <v>2904334.2</v>
      </c>
      <c r="M127">
        <v>0</v>
      </c>
      <c r="N127">
        <v>2904334.2</v>
      </c>
      <c r="O127">
        <v>43245.000000000007</v>
      </c>
      <c r="P127">
        <v>33580</v>
      </c>
      <c r="Q127">
        <v>2870754.2</v>
      </c>
      <c r="R127">
        <v>42745.000000000007</v>
      </c>
      <c r="S127" t="s">
        <v>65</v>
      </c>
      <c r="T127" t="s">
        <v>717</v>
      </c>
      <c r="U127" t="s">
        <v>717</v>
      </c>
      <c r="V127" t="s">
        <v>717</v>
      </c>
      <c r="W127">
        <v>43988</v>
      </c>
      <c r="X127" t="s">
        <v>3046</v>
      </c>
      <c r="Y127" t="s">
        <v>6</v>
      </c>
      <c r="Z127" t="s">
        <v>17</v>
      </c>
      <c r="AA127" t="s">
        <v>717</v>
      </c>
      <c r="AB127" t="s">
        <v>2509</v>
      </c>
      <c r="AC127" t="s">
        <v>2571</v>
      </c>
      <c r="AD127" t="s">
        <v>717</v>
      </c>
      <c r="AE127" t="s">
        <v>3047</v>
      </c>
      <c r="AF127" t="s">
        <v>3048</v>
      </c>
      <c r="AG127" t="s">
        <v>3049</v>
      </c>
      <c r="AH127" t="s">
        <v>2615</v>
      </c>
      <c r="AI127" t="s">
        <v>2706</v>
      </c>
      <c r="AJ127" t="s">
        <v>2514</v>
      </c>
      <c r="AK127" t="s">
        <v>20</v>
      </c>
      <c r="AL127" t="s">
        <v>16</v>
      </c>
      <c r="AM127" t="s">
        <v>10</v>
      </c>
      <c r="AN127" t="s">
        <v>717</v>
      </c>
    </row>
    <row r="128" spans="1:40" hidden="1">
      <c r="A128">
        <v>126</v>
      </c>
      <c r="B128">
        <v>4</v>
      </c>
      <c r="C128" s="58">
        <v>43991</v>
      </c>
      <c r="D128" t="s">
        <v>74</v>
      </c>
      <c r="E128" t="s">
        <v>2515</v>
      </c>
      <c r="F128">
        <v>4</v>
      </c>
      <c r="G128">
        <v>14</v>
      </c>
      <c r="H128">
        <v>124</v>
      </c>
      <c r="I128">
        <v>3</v>
      </c>
      <c r="J128">
        <v>80.33</v>
      </c>
      <c r="K128" t="s">
        <v>9</v>
      </c>
      <c r="L128">
        <v>3343555.51</v>
      </c>
      <c r="M128">
        <v>0</v>
      </c>
      <c r="N128">
        <v>3343555.51</v>
      </c>
      <c r="O128">
        <v>41622.750031121621</v>
      </c>
      <c r="P128">
        <v>40165</v>
      </c>
      <c r="Q128">
        <v>3303390.51</v>
      </c>
      <c r="R128">
        <v>41122.750031121621</v>
      </c>
      <c r="S128" t="s">
        <v>65</v>
      </c>
      <c r="T128" t="s">
        <v>717</v>
      </c>
      <c r="U128" t="s">
        <v>717</v>
      </c>
      <c r="V128" t="s">
        <v>717</v>
      </c>
      <c r="W128">
        <v>43990</v>
      </c>
      <c r="X128" t="s">
        <v>3050</v>
      </c>
      <c r="Y128" t="s">
        <v>6</v>
      </c>
      <c r="Z128" t="s">
        <v>17</v>
      </c>
      <c r="AA128" t="s">
        <v>717</v>
      </c>
      <c r="AB128" t="s">
        <v>2509</v>
      </c>
      <c r="AC128" t="s">
        <v>2571</v>
      </c>
      <c r="AD128" t="s">
        <v>717</v>
      </c>
      <c r="AE128" t="s">
        <v>3051</v>
      </c>
      <c r="AF128" t="s">
        <v>3052</v>
      </c>
      <c r="AG128" t="s">
        <v>3053</v>
      </c>
      <c r="AH128" t="s">
        <v>2615</v>
      </c>
      <c r="AI128" t="s">
        <v>2538</v>
      </c>
      <c r="AJ128" t="s">
        <v>2825</v>
      </c>
      <c r="AK128" t="s">
        <v>2532</v>
      </c>
      <c r="AL128" t="s">
        <v>16</v>
      </c>
      <c r="AM128" t="s">
        <v>10</v>
      </c>
      <c r="AN128" t="s">
        <v>717</v>
      </c>
    </row>
    <row r="129" spans="1:40" hidden="1">
      <c r="A129">
        <v>127</v>
      </c>
      <c r="B129">
        <v>5</v>
      </c>
      <c r="C129" s="58">
        <v>43993</v>
      </c>
      <c r="D129" t="s">
        <v>74</v>
      </c>
      <c r="E129" t="s">
        <v>2515</v>
      </c>
      <c r="F129">
        <v>1</v>
      </c>
      <c r="G129">
        <v>10</v>
      </c>
      <c r="H129">
        <v>81</v>
      </c>
      <c r="I129">
        <v>0</v>
      </c>
      <c r="J129">
        <v>32.03</v>
      </c>
      <c r="K129" t="s">
        <v>9</v>
      </c>
      <c r="L129">
        <v>1491378.91</v>
      </c>
      <c r="M129">
        <v>15000</v>
      </c>
      <c r="N129">
        <v>1506378.91</v>
      </c>
      <c r="O129">
        <v>47030.250078051824</v>
      </c>
      <c r="P129">
        <v>16015</v>
      </c>
      <c r="Q129">
        <v>1490363.91</v>
      </c>
      <c r="R129">
        <v>46530.250078051824</v>
      </c>
      <c r="S129" t="s">
        <v>2507</v>
      </c>
      <c r="T129" t="s">
        <v>717</v>
      </c>
      <c r="U129" t="s">
        <v>717</v>
      </c>
      <c r="V129" t="s">
        <v>717</v>
      </c>
      <c r="W129">
        <v>43991</v>
      </c>
      <c r="X129" t="s">
        <v>3054</v>
      </c>
      <c r="Y129" t="s">
        <v>6</v>
      </c>
      <c r="Z129" t="s">
        <v>17</v>
      </c>
      <c r="AA129" t="s">
        <v>717</v>
      </c>
      <c r="AB129" t="s">
        <v>2509</v>
      </c>
      <c r="AC129" t="s">
        <v>118</v>
      </c>
      <c r="AD129" t="s">
        <v>717</v>
      </c>
      <c r="AE129" t="s">
        <v>3055</v>
      </c>
      <c r="AF129" t="s">
        <v>3056</v>
      </c>
      <c r="AG129" t="s">
        <v>3057</v>
      </c>
      <c r="AH129" t="s">
        <v>2615</v>
      </c>
      <c r="AI129" t="s">
        <v>2847</v>
      </c>
      <c r="AJ129" t="s">
        <v>2940</v>
      </c>
      <c r="AK129" t="s">
        <v>63</v>
      </c>
      <c r="AL129" t="s">
        <v>717</v>
      </c>
      <c r="AM129" t="s">
        <v>10</v>
      </c>
      <c r="AN129" t="s">
        <v>717</v>
      </c>
    </row>
    <row r="130" spans="1:40" hidden="1">
      <c r="A130">
        <v>128</v>
      </c>
      <c r="B130">
        <v>6</v>
      </c>
      <c r="C130" s="58">
        <v>43993</v>
      </c>
      <c r="D130" t="s">
        <v>74</v>
      </c>
      <c r="E130" t="s">
        <v>2506</v>
      </c>
      <c r="F130">
        <v>7</v>
      </c>
      <c r="G130">
        <v>5</v>
      </c>
      <c r="H130">
        <v>178</v>
      </c>
      <c r="I130">
        <v>2</v>
      </c>
      <c r="J130">
        <v>63.74</v>
      </c>
      <c r="K130" t="s">
        <v>9</v>
      </c>
      <c r="L130">
        <v>2561121</v>
      </c>
      <c r="M130">
        <v>0</v>
      </c>
      <c r="N130">
        <v>2561121</v>
      </c>
      <c r="O130">
        <v>40180.749921556322</v>
      </c>
      <c r="P130">
        <v>31870</v>
      </c>
      <c r="Q130">
        <v>2529251</v>
      </c>
      <c r="R130">
        <v>39680.749921556322</v>
      </c>
      <c r="S130" t="s">
        <v>65</v>
      </c>
      <c r="T130" t="s">
        <v>717</v>
      </c>
      <c r="U130" t="s">
        <v>717</v>
      </c>
      <c r="V130" t="s">
        <v>717</v>
      </c>
      <c r="W130">
        <v>43993</v>
      </c>
      <c r="X130" t="s">
        <v>3058</v>
      </c>
      <c r="Y130" t="s">
        <v>6</v>
      </c>
      <c r="Z130" t="s">
        <v>17</v>
      </c>
      <c r="AA130" t="s">
        <v>717</v>
      </c>
      <c r="AB130" t="s">
        <v>2509</v>
      </c>
      <c r="AC130" t="s">
        <v>2571</v>
      </c>
      <c r="AD130" t="s">
        <v>717</v>
      </c>
      <c r="AE130" t="s">
        <v>3059</v>
      </c>
      <c r="AF130" t="s">
        <v>3060</v>
      </c>
      <c r="AG130" t="s">
        <v>3061</v>
      </c>
      <c r="AH130" t="s">
        <v>2615</v>
      </c>
      <c r="AI130" t="s">
        <v>2552</v>
      </c>
      <c r="AJ130" t="s">
        <v>2642</v>
      </c>
      <c r="AK130" t="s">
        <v>2532</v>
      </c>
      <c r="AL130" t="s">
        <v>2663</v>
      </c>
      <c r="AM130" t="s">
        <v>10</v>
      </c>
      <c r="AN130" t="s">
        <v>717</v>
      </c>
    </row>
    <row r="131" spans="1:40" hidden="1">
      <c r="A131">
        <v>129</v>
      </c>
      <c r="B131">
        <v>7</v>
      </c>
      <c r="C131" s="58">
        <v>43993</v>
      </c>
      <c r="D131" t="s">
        <v>74</v>
      </c>
      <c r="E131" t="s">
        <v>2506</v>
      </c>
      <c r="F131">
        <v>2</v>
      </c>
      <c r="G131">
        <v>13</v>
      </c>
      <c r="H131">
        <v>229</v>
      </c>
      <c r="I131">
        <v>1</v>
      </c>
      <c r="J131">
        <v>40.39</v>
      </c>
      <c r="K131" t="s">
        <v>9</v>
      </c>
      <c r="L131">
        <v>1863150.31</v>
      </c>
      <c r="M131">
        <v>0</v>
      </c>
      <c r="N131">
        <v>1863150.31</v>
      </c>
      <c r="O131">
        <v>46129</v>
      </c>
      <c r="P131">
        <v>20195</v>
      </c>
      <c r="Q131">
        <v>1842955.31</v>
      </c>
      <c r="R131">
        <v>45629</v>
      </c>
      <c r="S131" t="s">
        <v>65</v>
      </c>
      <c r="T131" t="s">
        <v>717</v>
      </c>
      <c r="U131" t="s">
        <v>717</v>
      </c>
      <c r="V131" t="s">
        <v>717</v>
      </c>
      <c r="W131">
        <v>43993</v>
      </c>
      <c r="X131" t="s">
        <v>3062</v>
      </c>
      <c r="Y131" t="s">
        <v>6</v>
      </c>
      <c r="Z131" t="s">
        <v>17</v>
      </c>
      <c r="AA131" t="s">
        <v>717</v>
      </c>
      <c r="AB131" t="s">
        <v>2509</v>
      </c>
      <c r="AC131" t="s">
        <v>2571</v>
      </c>
      <c r="AD131" t="s">
        <v>717</v>
      </c>
      <c r="AE131" t="s">
        <v>3063</v>
      </c>
      <c r="AF131" t="s">
        <v>3064</v>
      </c>
      <c r="AG131" t="s">
        <v>3065</v>
      </c>
      <c r="AH131" t="s">
        <v>2615</v>
      </c>
      <c r="AI131" t="s">
        <v>2552</v>
      </c>
      <c r="AJ131" t="s">
        <v>2651</v>
      </c>
      <c r="AK131" t="s">
        <v>2532</v>
      </c>
      <c r="AL131" t="s">
        <v>2663</v>
      </c>
      <c r="AM131" t="s">
        <v>10</v>
      </c>
      <c r="AN131" t="s">
        <v>717</v>
      </c>
    </row>
    <row r="132" spans="1:40" hidden="1">
      <c r="A132">
        <v>130</v>
      </c>
      <c r="B132">
        <v>8</v>
      </c>
      <c r="C132" s="58">
        <v>43997</v>
      </c>
      <c r="D132" t="s">
        <v>74</v>
      </c>
      <c r="E132" t="s">
        <v>2506</v>
      </c>
      <c r="F132">
        <v>6</v>
      </c>
      <c r="G132">
        <v>10</v>
      </c>
      <c r="H132">
        <v>212</v>
      </c>
      <c r="I132">
        <v>2</v>
      </c>
      <c r="J132">
        <v>64.150000000000006</v>
      </c>
      <c r="K132" t="s">
        <v>9</v>
      </c>
      <c r="L132">
        <v>2704788.53</v>
      </c>
      <c r="M132">
        <v>0</v>
      </c>
      <c r="N132">
        <v>2704788.53</v>
      </c>
      <c r="O132">
        <v>42163.500077942314</v>
      </c>
      <c r="P132">
        <v>32075</v>
      </c>
      <c r="Q132">
        <v>2672713.5299999998</v>
      </c>
      <c r="R132">
        <v>41663.500077942314</v>
      </c>
      <c r="S132" t="s">
        <v>65</v>
      </c>
      <c r="T132" t="s">
        <v>717</v>
      </c>
      <c r="U132" t="s">
        <v>717</v>
      </c>
      <c r="V132" t="s">
        <v>717</v>
      </c>
      <c r="W132">
        <v>43984</v>
      </c>
      <c r="X132" t="s">
        <v>3066</v>
      </c>
      <c r="Y132" t="s">
        <v>6</v>
      </c>
      <c r="Z132" t="s">
        <v>17</v>
      </c>
      <c r="AA132" t="s">
        <v>717</v>
      </c>
      <c r="AB132" t="s">
        <v>2509</v>
      </c>
      <c r="AC132" t="s">
        <v>2571</v>
      </c>
      <c r="AD132" t="s">
        <v>717</v>
      </c>
      <c r="AE132" t="s">
        <v>3067</v>
      </c>
      <c r="AF132" t="s">
        <v>3068</v>
      </c>
      <c r="AG132" t="s">
        <v>3069</v>
      </c>
      <c r="AH132" t="s">
        <v>2615</v>
      </c>
      <c r="AI132" t="s">
        <v>2547</v>
      </c>
      <c r="AJ132" t="s">
        <v>2642</v>
      </c>
      <c r="AK132" t="s">
        <v>20</v>
      </c>
      <c r="AL132" t="s">
        <v>2663</v>
      </c>
      <c r="AM132" t="s">
        <v>10</v>
      </c>
      <c r="AN132" t="s">
        <v>717</v>
      </c>
    </row>
    <row r="133" spans="1:40" hidden="1">
      <c r="A133">
        <v>131</v>
      </c>
      <c r="B133">
        <v>9</v>
      </c>
      <c r="C133" s="58">
        <v>44008</v>
      </c>
      <c r="D133" t="s">
        <v>74</v>
      </c>
      <c r="E133" t="s">
        <v>2515</v>
      </c>
      <c r="F133">
        <v>10</v>
      </c>
      <c r="G133">
        <v>12</v>
      </c>
      <c r="H133">
        <v>110</v>
      </c>
      <c r="I133">
        <v>2</v>
      </c>
      <c r="J133">
        <v>65.540000000000006</v>
      </c>
      <c r="K133" t="s">
        <v>15</v>
      </c>
      <c r="L133">
        <v>3047888.55</v>
      </c>
      <c r="M133">
        <v>0</v>
      </c>
      <c r="N133">
        <v>3047888.55</v>
      </c>
      <c r="O133">
        <v>46504.250076289281</v>
      </c>
      <c r="P133">
        <v>281822</v>
      </c>
      <c r="Q133">
        <v>2766066.55</v>
      </c>
      <c r="R133">
        <v>42204.250076289281</v>
      </c>
      <c r="S133" t="s">
        <v>65</v>
      </c>
      <c r="T133" t="s">
        <v>717</v>
      </c>
      <c r="U133" t="s">
        <v>717</v>
      </c>
      <c r="V133" t="s">
        <v>717</v>
      </c>
      <c r="W133">
        <v>43998</v>
      </c>
      <c r="X133" t="s">
        <v>3070</v>
      </c>
      <c r="Y133" t="s">
        <v>6</v>
      </c>
      <c r="Z133" t="s">
        <v>17</v>
      </c>
      <c r="AA133" t="s">
        <v>717</v>
      </c>
      <c r="AB133" t="s">
        <v>2509</v>
      </c>
      <c r="AC133" t="s">
        <v>2571</v>
      </c>
      <c r="AD133" t="s">
        <v>717</v>
      </c>
      <c r="AE133" t="s">
        <v>3071</v>
      </c>
      <c r="AF133" t="s">
        <v>3072</v>
      </c>
      <c r="AG133" t="s">
        <v>3073</v>
      </c>
      <c r="AH133" t="s">
        <v>2615</v>
      </c>
      <c r="AI133" t="s">
        <v>2538</v>
      </c>
      <c r="AJ133" t="s">
        <v>2569</v>
      </c>
      <c r="AK133" t="s">
        <v>2532</v>
      </c>
      <c r="AL133" t="s">
        <v>16</v>
      </c>
      <c r="AM133" t="s">
        <v>10</v>
      </c>
      <c r="AN133" t="s">
        <v>717</v>
      </c>
    </row>
    <row r="134" spans="1:40" hidden="1">
      <c r="A134">
        <v>132</v>
      </c>
      <c r="B134">
        <v>10</v>
      </c>
      <c r="C134" s="58">
        <v>44011</v>
      </c>
      <c r="D134" t="s">
        <v>74</v>
      </c>
      <c r="E134" t="s">
        <v>2506</v>
      </c>
      <c r="F134">
        <v>7</v>
      </c>
      <c r="G134">
        <v>13</v>
      </c>
      <c r="H134">
        <v>234</v>
      </c>
      <c r="I134">
        <v>2</v>
      </c>
      <c r="J134">
        <v>63.74</v>
      </c>
      <c r="K134" t="s">
        <v>9</v>
      </c>
      <c r="L134">
        <v>2838173.29</v>
      </c>
      <c r="M134">
        <v>0</v>
      </c>
      <c r="N134">
        <v>2838173.29</v>
      </c>
      <c r="O134">
        <v>44527.350015688731</v>
      </c>
      <c r="P134">
        <v>31870</v>
      </c>
      <c r="Q134">
        <v>2806303.29</v>
      </c>
      <c r="R134">
        <v>44027.350015688731</v>
      </c>
      <c r="S134" t="s">
        <v>65</v>
      </c>
      <c r="T134" t="s">
        <v>717</v>
      </c>
      <c r="U134" t="s">
        <v>717</v>
      </c>
      <c r="V134" t="s">
        <v>717</v>
      </c>
      <c r="W134">
        <v>44005</v>
      </c>
      <c r="X134" t="s">
        <v>3074</v>
      </c>
      <c r="Y134" t="s">
        <v>6</v>
      </c>
      <c r="Z134" t="s">
        <v>17</v>
      </c>
      <c r="AA134" t="s">
        <v>717</v>
      </c>
      <c r="AB134" t="s">
        <v>2509</v>
      </c>
      <c r="AC134" t="s">
        <v>2571</v>
      </c>
      <c r="AD134" t="s">
        <v>717</v>
      </c>
      <c r="AE134" t="s">
        <v>3075</v>
      </c>
      <c r="AF134" t="s">
        <v>3076</v>
      </c>
      <c r="AG134" t="s">
        <v>3077</v>
      </c>
      <c r="AH134" t="s">
        <v>2552</v>
      </c>
      <c r="AI134" t="s">
        <v>2552</v>
      </c>
      <c r="AJ134" t="s">
        <v>2514</v>
      </c>
      <c r="AK134" t="s">
        <v>77</v>
      </c>
      <c r="AL134" t="s">
        <v>16</v>
      </c>
      <c r="AM134" t="s">
        <v>10</v>
      </c>
      <c r="AN134" t="s">
        <v>717</v>
      </c>
    </row>
    <row r="135" spans="1:40" hidden="1">
      <c r="A135">
        <v>133</v>
      </c>
      <c r="B135">
        <v>11</v>
      </c>
      <c r="C135" s="58">
        <v>44011</v>
      </c>
      <c r="D135" t="s">
        <v>74</v>
      </c>
      <c r="E135" t="s">
        <v>2515</v>
      </c>
      <c r="F135">
        <v>9</v>
      </c>
      <c r="G135">
        <v>3</v>
      </c>
      <c r="H135">
        <v>19</v>
      </c>
      <c r="I135">
        <v>2</v>
      </c>
      <c r="J135">
        <v>66.14</v>
      </c>
      <c r="K135" t="s">
        <v>9</v>
      </c>
      <c r="L135">
        <v>2908200.77</v>
      </c>
      <c r="M135">
        <v>0</v>
      </c>
      <c r="N135">
        <v>2908200.77</v>
      </c>
      <c r="O135">
        <v>43970.377532506805</v>
      </c>
      <c r="P135">
        <v>33070</v>
      </c>
      <c r="Q135">
        <v>2875130.77</v>
      </c>
      <c r="R135">
        <v>43470.377532506805</v>
      </c>
      <c r="S135" t="s">
        <v>65</v>
      </c>
      <c r="T135" t="s">
        <v>717</v>
      </c>
      <c r="U135" t="s">
        <v>717</v>
      </c>
      <c r="V135" t="s">
        <v>717</v>
      </c>
      <c r="W135">
        <v>44010</v>
      </c>
      <c r="X135" t="s">
        <v>3078</v>
      </c>
      <c r="Y135" t="s">
        <v>6</v>
      </c>
      <c r="Z135" t="s">
        <v>17</v>
      </c>
      <c r="AA135" t="s">
        <v>717</v>
      </c>
      <c r="AB135" t="s">
        <v>2509</v>
      </c>
      <c r="AC135" t="s">
        <v>2571</v>
      </c>
      <c r="AD135" t="s">
        <v>717</v>
      </c>
      <c r="AE135" t="s">
        <v>3079</v>
      </c>
      <c r="AF135" t="s">
        <v>3080</v>
      </c>
      <c r="AG135" t="s">
        <v>3081</v>
      </c>
      <c r="AH135" t="s">
        <v>2615</v>
      </c>
      <c r="AI135" t="s">
        <v>2552</v>
      </c>
      <c r="AJ135" t="s">
        <v>2514</v>
      </c>
      <c r="AK135" t="s">
        <v>63</v>
      </c>
      <c r="AL135" t="s">
        <v>16</v>
      </c>
      <c r="AM135" t="s">
        <v>10</v>
      </c>
      <c r="AN135" t="s">
        <v>717</v>
      </c>
    </row>
    <row r="136" spans="1:40" hidden="1">
      <c r="A136">
        <v>134</v>
      </c>
      <c r="B136">
        <v>12</v>
      </c>
      <c r="C136" s="58">
        <v>44011</v>
      </c>
      <c r="D136" t="s">
        <v>74</v>
      </c>
      <c r="E136" t="s">
        <v>2506</v>
      </c>
      <c r="F136">
        <v>3</v>
      </c>
      <c r="G136">
        <v>10</v>
      </c>
      <c r="H136">
        <v>209</v>
      </c>
      <c r="I136">
        <v>1</v>
      </c>
      <c r="J136">
        <v>41.48</v>
      </c>
      <c r="K136" t="s">
        <v>15</v>
      </c>
      <c r="L136">
        <v>2093485.23</v>
      </c>
      <c r="M136">
        <v>0</v>
      </c>
      <c r="N136">
        <v>2093485.23</v>
      </c>
      <c r="O136">
        <v>50469.75</v>
      </c>
      <c r="P136">
        <v>178364</v>
      </c>
      <c r="Q136">
        <v>1915121.23</v>
      </c>
      <c r="R136">
        <v>46169.75</v>
      </c>
      <c r="S136" t="s">
        <v>65</v>
      </c>
      <c r="T136" t="s">
        <v>717</v>
      </c>
      <c r="U136" t="s">
        <v>717</v>
      </c>
      <c r="V136" t="s">
        <v>717</v>
      </c>
      <c r="W136">
        <v>44011</v>
      </c>
      <c r="X136" t="s">
        <v>3082</v>
      </c>
      <c r="Y136" t="s">
        <v>6</v>
      </c>
      <c r="Z136" t="s">
        <v>17</v>
      </c>
      <c r="AA136" t="s">
        <v>717</v>
      </c>
      <c r="AB136" t="s">
        <v>2509</v>
      </c>
      <c r="AC136" t="s">
        <v>2571</v>
      </c>
      <c r="AD136" t="s">
        <v>717</v>
      </c>
      <c r="AE136" t="s">
        <v>3083</v>
      </c>
      <c r="AF136" t="s">
        <v>3084</v>
      </c>
      <c r="AG136" t="s">
        <v>3085</v>
      </c>
      <c r="AH136" t="s">
        <v>2552</v>
      </c>
      <c r="AI136" t="s">
        <v>2877</v>
      </c>
      <c r="AJ136" t="s">
        <v>2569</v>
      </c>
      <c r="AK136" t="s">
        <v>77</v>
      </c>
      <c r="AL136" t="s">
        <v>16</v>
      </c>
      <c r="AM136" t="s">
        <v>10</v>
      </c>
      <c r="AN136" t="s">
        <v>717</v>
      </c>
    </row>
    <row r="137" spans="1:40" hidden="1">
      <c r="A137">
        <v>135</v>
      </c>
      <c r="B137">
        <v>13</v>
      </c>
      <c r="C137" s="58">
        <v>44012</v>
      </c>
      <c r="D137" t="s">
        <v>74</v>
      </c>
      <c r="E137" t="s">
        <v>2506</v>
      </c>
      <c r="F137">
        <v>7</v>
      </c>
      <c r="G137">
        <v>6</v>
      </c>
      <c r="H137">
        <v>185</v>
      </c>
      <c r="I137">
        <v>2</v>
      </c>
      <c r="J137">
        <v>63.74</v>
      </c>
      <c r="K137" t="s">
        <v>9</v>
      </c>
      <c r="L137">
        <v>2546121</v>
      </c>
      <c r="M137">
        <v>15000</v>
      </c>
      <c r="N137">
        <v>2561121</v>
      </c>
      <c r="O137">
        <v>40180.749921556322</v>
      </c>
      <c r="P137">
        <v>31870</v>
      </c>
      <c r="Q137">
        <v>2529251</v>
      </c>
      <c r="R137">
        <v>39680.749921556322</v>
      </c>
      <c r="S137" t="s">
        <v>65</v>
      </c>
      <c r="T137" t="s">
        <v>717</v>
      </c>
      <c r="U137" t="s">
        <v>717</v>
      </c>
      <c r="V137" t="s">
        <v>717</v>
      </c>
      <c r="W137">
        <v>43987</v>
      </c>
      <c r="X137" t="s">
        <v>3086</v>
      </c>
      <c r="Y137" t="s">
        <v>6</v>
      </c>
      <c r="Z137" t="s">
        <v>17</v>
      </c>
      <c r="AA137" t="s">
        <v>717</v>
      </c>
      <c r="AB137" t="s">
        <v>2509</v>
      </c>
      <c r="AC137" t="s">
        <v>2571</v>
      </c>
      <c r="AD137" t="s">
        <v>717</v>
      </c>
      <c r="AE137" t="s">
        <v>3087</v>
      </c>
      <c r="AF137" t="s">
        <v>3088</v>
      </c>
      <c r="AG137" t="s">
        <v>3089</v>
      </c>
      <c r="AH137" t="s">
        <v>2615</v>
      </c>
      <c r="AI137" t="s">
        <v>2552</v>
      </c>
      <c r="AJ137" t="s">
        <v>2940</v>
      </c>
      <c r="AK137" t="s">
        <v>63</v>
      </c>
      <c r="AL137" t="s">
        <v>16</v>
      </c>
      <c r="AM137" t="s">
        <v>10</v>
      </c>
      <c r="AN137" t="s">
        <v>717</v>
      </c>
    </row>
    <row r="138" spans="1:40" hidden="1">
      <c r="A138">
        <v>136</v>
      </c>
      <c r="B138">
        <v>14</v>
      </c>
      <c r="C138" s="58">
        <v>44012</v>
      </c>
      <c r="D138" t="s">
        <v>74</v>
      </c>
      <c r="E138" t="s">
        <v>2581</v>
      </c>
      <c r="F138">
        <v>8</v>
      </c>
      <c r="G138">
        <v>2</v>
      </c>
      <c r="H138">
        <v>319</v>
      </c>
      <c r="I138">
        <v>2</v>
      </c>
      <c r="J138">
        <v>60.25</v>
      </c>
      <c r="K138" t="s">
        <v>9</v>
      </c>
      <c r="L138">
        <v>2529490.81</v>
      </c>
      <c r="M138">
        <v>0</v>
      </c>
      <c r="N138">
        <v>2529490.81</v>
      </c>
      <c r="O138">
        <v>41983.249958506225</v>
      </c>
      <c r="P138">
        <v>30125</v>
      </c>
      <c r="Q138">
        <v>2499365.81</v>
      </c>
      <c r="R138">
        <v>41483.249958506225</v>
      </c>
      <c r="S138" t="s">
        <v>65</v>
      </c>
      <c r="T138" t="s">
        <v>717</v>
      </c>
      <c r="U138" t="s">
        <v>717</v>
      </c>
      <c r="V138" t="s">
        <v>717</v>
      </c>
      <c r="W138">
        <v>43998</v>
      </c>
      <c r="X138" t="s">
        <v>3090</v>
      </c>
      <c r="Y138" t="s">
        <v>6</v>
      </c>
      <c r="Z138" t="s">
        <v>17</v>
      </c>
      <c r="AA138" t="s">
        <v>717</v>
      </c>
      <c r="AB138" t="s">
        <v>2509</v>
      </c>
      <c r="AC138" t="s">
        <v>2571</v>
      </c>
      <c r="AD138" t="s">
        <v>717</v>
      </c>
      <c r="AE138" t="s">
        <v>3091</v>
      </c>
      <c r="AF138" t="s">
        <v>3092</v>
      </c>
      <c r="AG138" t="s">
        <v>3093</v>
      </c>
      <c r="AH138" t="s">
        <v>2552</v>
      </c>
      <c r="AI138" t="s">
        <v>2552</v>
      </c>
      <c r="AJ138" t="s">
        <v>2514</v>
      </c>
      <c r="AK138" t="s">
        <v>2532</v>
      </c>
      <c r="AL138" t="s">
        <v>2663</v>
      </c>
      <c r="AM138" t="s">
        <v>10</v>
      </c>
      <c r="AN138" t="s">
        <v>717</v>
      </c>
    </row>
    <row r="139" spans="1:40" hidden="1">
      <c r="A139">
        <v>137</v>
      </c>
      <c r="B139">
        <v>15</v>
      </c>
      <c r="C139" s="58">
        <v>44012</v>
      </c>
      <c r="D139" t="s">
        <v>74</v>
      </c>
      <c r="E139" t="s">
        <v>2506</v>
      </c>
      <c r="F139">
        <v>3</v>
      </c>
      <c r="G139">
        <v>19</v>
      </c>
      <c r="H139">
        <v>272</v>
      </c>
      <c r="I139">
        <v>1</v>
      </c>
      <c r="J139">
        <v>41.48</v>
      </c>
      <c r="K139" t="s">
        <v>9</v>
      </c>
      <c r="L139">
        <v>1935861.23</v>
      </c>
      <c r="M139">
        <v>0</v>
      </c>
      <c r="N139">
        <v>1935861.23</v>
      </c>
      <c r="O139">
        <v>46669.75</v>
      </c>
      <c r="P139">
        <v>20740</v>
      </c>
      <c r="Q139">
        <v>1915121.23</v>
      </c>
      <c r="R139">
        <v>46169.75</v>
      </c>
      <c r="S139" t="s">
        <v>65</v>
      </c>
      <c r="T139" t="s">
        <v>717</v>
      </c>
      <c r="U139" t="s">
        <v>717</v>
      </c>
      <c r="V139" t="s">
        <v>717</v>
      </c>
      <c r="W139">
        <v>44006</v>
      </c>
      <c r="X139" t="s">
        <v>3094</v>
      </c>
      <c r="Y139" t="s">
        <v>6</v>
      </c>
      <c r="Z139" t="s">
        <v>17</v>
      </c>
      <c r="AA139" t="s">
        <v>717</v>
      </c>
      <c r="AB139" t="s">
        <v>2509</v>
      </c>
      <c r="AC139" t="s">
        <v>2571</v>
      </c>
      <c r="AD139" t="s">
        <v>717</v>
      </c>
      <c r="AE139" t="s">
        <v>3095</v>
      </c>
      <c r="AF139" t="s">
        <v>3096</v>
      </c>
      <c r="AG139" t="s">
        <v>3097</v>
      </c>
      <c r="AH139" t="s">
        <v>2615</v>
      </c>
      <c r="AI139" t="s">
        <v>2877</v>
      </c>
      <c r="AJ139" t="s">
        <v>3098</v>
      </c>
      <c r="AK139" t="s">
        <v>77</v>
      </c>
      <c r="AL139" t="s">
        <v>2663</v>
      </c>
      <c r="AM139" t="s">
        <v>10</v>
      </c>
      <c r="AN139" t="s">
        <v>717</v>
      </c>
    </row>
    <row r="140" spans="1:40" hidden="1">
      <c r="A140">
        <v>138</v>
      </c>
      <c r="B140">
        <v>16</v>
      </c>
      <c r="C140" s="58">
        <v>44012</v>
      </c>
      <c r="D140" t="s">
        <v>74</v>
      </c>
      <c r="E140" t="s">
        <v>2515</v>
      </c>
      <c r="F140">
        <v>5</v>
      </c>
      <c r="G140">
        <v>12</v>
      </c>
      <c r="H140">
        <v>105</v>
      </c>
      <c r="I140">
        <v>2</v>
      </c>
      <c r="J140">
        <v>60.2</v>
      </c>
      <c r="K140" t="s">
        <v>9</v>
      </c>
      <c r="L140">
        <v>2555795.85</v>
      </c>
      <c r="M140">
        <v>15000</v>
      </c>
      <c r="N140">
        <v>2570795.85</v>
      </c>
      <c r="O140">
        <v>42704.25</v>
      </c>
      <c r="P140">
        <v>30100</v>
      </c>
      <c r="Q140">
        <v>2540695.85</v>
      </c>
      <c r="R140">
        <v>42204.25</v>
      </c>
      <c r="S140" t="s">
        <v>65</v>
      </c>
      <c r="T140" t="s">
        <v>717</v>
      </c>
      <c r="U140" t="s">
        <v>717</v>
      </c>
      <c r="V140" t="s">
        <v>717</v>
      </c>
      <c r="W140">
        <v>44010</v>
      </c>
      <c r="X140" t="s">
        <v>3099</v>
      </c>
      <c r="Y140" t="s">
        <v>6</v>
      </c>
      <c r="Z140" t="s">
        <v>17</v>
      </c>
      <c r="AA140" t="s">
        <v>717</v>
      </c>
      <c r="AB140" t="s">
        <v>2509</v>
      </c>
      <c r="AC140" t="s">
        <v>2571</v>
      </c>
      <c r="AD140" t="s">
        <v>717</v>
      </c>
      <c r="AE140" t="s">
        <v>3100</v>
      </c>
      <c r="AF140" t="s">
        <v>3101</v>
      </c>
      <c r="AG140" t="s">
        <v>3102</v>
      </c>
      <c r="AH140" t="s">
        <v>2615</v>
      </c>
      <c r="AI140" t="s">
        <v>2552</v>
      </c>
      <c r="AJ140" t="s">
        <v>2662</v>
      </c>
      <c r="AK140" t="s">
        <v>63</v>
      </c>
      <c r="AL140" t="s">
        <v>16</v>
      </c>
      <c r="AM140" t="s">
        <v>10</v>
      </c>
      <c r="AN140" t="s">
        <v>717</v>
      </c>
    </row>
    <row r="141" spans="1:40" hidden="1">
      <c r="A141">
        <v>139</v>
      </c>
      <c r="B141">
        <v>17</v>
      </c>
      <c r="C141" s="58">
        <v>44012</v>
      </c>
      <c r="D141" t="s">
        <v>74</v>
      </c>
      <c r="E141" t="s">
        <v>2506</v>
      </c>
      <c r="F141">
        <v>7</v>
      </c>
      <c r="G141">
        <v>17</v>
      </c>
      <c r="H141">
        <v>262</v>
      </c>
      <c r="I141">
        <v>2</v>
      </c>
      <c r="J141">
        <v>63.74</v>
      </c>
      <c r="K141" t="s">
        <v>9</v>
      </c>
      <c r="L141">
        <v>2741436.3</v>
      </c>
      <c r="M141">
        <v>15000</v>
      </c>
      <c r="N141">
        <v>2756436.3</v>
      </c>
      <c r="O141">
        <v>43244.999999999993</v>
      </c>
      <c r="P141">
        <v>31870</v>
      </c>
      <c r="Q141">
        <v>2724566.3</v>
      </c>
      <c r="R141">
        <v>42744.999999999993</v>
      </c>
      <c r="S141" t="s">
        <v>65</v>
      </c>
      <c r="T141" t="s">
        <v>717</v>
      </c>
      <c r="U141" t="s">
        <v>717</v>
      </c>
      <c r="V141" t="s">
        <v>717</v>
      </c>
      <c r="W141">
        <v>44010</v>
      </c>
      <c r="X141" t="s">
        <v>3103</v>
      </c>
      <c r="Y141" t="s">
        <v>6</v>
      </c>
      <c r="Z141" t="s">
        <v>17</v>
      </c>
      <c r="AA141" t="s">
        <v>717</v>
      </c>
      <c r="AB141" t="s">
        <v>2509</v>
      </c>
      <c r="AC141" t="s">
        <v>2571</v>
      </c>
      <c r="AD141" t="s">
        <v>717</v>
      </c>
      <c r="AE141" t="s">
        <v>3104</v>
      </c>
      <c r="AF141" t="s">
        <v>3105</v>
      </c>
      <c r="AG141" t="s">
        <v>3106</v>
      </c>
      <c r="AH141" t="s">
        <v>2191</v>
      </c>
      <c r="AI141" t="s">
        <v>2538</v>
      </c>
      <c r="AJ141" t="s">
        <v>2514</v>
      </c>
      <c r="AK141" t="s">
        <v>63</v>
      </c>
      <c r="AL141" t="s">
        <v>16</v>
      </c>
      <c r="AM141" t="s">
        <v>10</v>
      </c>
      <c r="AN141" t="s">
        <v>717</v>
      </c>
    </row>
    <row r="142" spans="1:40" hidden="1">
      <c r="A142">
        <v>140</v>
      </c>
      <c r="B142">
        <v>18</v>
      </c>
      <c r="C142" s="58">
        <v>44012</v>
      </c>
      <c r="D142" t="s">
        <v>74</v>
      </c>
      <c r="E142" t="s">
        <v>2506</v>
      </c>
      <c r="F142">
        <v>6</v>
      </c>
      <c r="G142">
        <v>9</v>
      </c>
      <c r="H142">
        <v>205</v>
      </c>
      <c r="I142">
        <v>2</v>
      </c>
      <c r="J142">
        <v>64.150000000000006</v>
      </c>
      <c r="K142" t="s">
        <v>15</v>
      </c>
      <c r="L142">
        <v>3028739.61</v>
      </c>
      <c r="M142">
        <v>0</v>
      </c>
      <c r="N142">
        <v>3028739.61</v>
      </c>
      <c r="O142">
        <v>47213.399999999994</v>
      </c>
      <c r="P142">
        <v>275845</v>
      </c>
      <c r="Q142">
        <v>2752894.61</v>
      </c>
      <c r="R142">
        <v>42913.399999999994</v>
      </c>
      <c r="S142" t="s">
        <v>65</v>
      </c>
      <c r="T142" t="s">
        <v>717</v>
      </c>
      <c r="U142" t="s">
        <v>717</v>
      </c>
      <c r="V142" t="s">
        <v>717</v>
      </c>
      <c r="W142">
        <v>44012</v>
      </c>
      <c r="X142" t="s">
        <v>3107</v>
      </c>
      <c r="Y142" t="s">
        <v>6</v>
      </c>
      <c r="Z142" t="s">
        <v>17</v>
      </c>
      <c r="AA142" t="s">
        <v>717</v>
      </c>
      <c r="AB142" t="s">
        <v>2509</v>
      </c>
      <c r="AC142" t="s">
        <v>2571</v>
      </c>
      <c r="AD142" t="s">
        <v>717</v>
      </c>
      <c r="AE142" t="s">
        <v>3108</v>
      </c>
      <c r="AF142" t="s">
        <v>3109</v>
      </c>
      <c r="AG142" t="s">
        <v>3110</v>
      </c>
      <c r="AH142" t="s">
        <v>2615</v>
      </c>
      <c r="AI142" t="s">
        <v>2697</v>
      </c>
      <c r="AJ142" t="s">
        <v>2662</v>
      </c>
      <c r="AK142" t="s">
        <v>77</v>
      </c>
      <c r="AL142" t="s">
        <v>16</v>
      </c>
      <c r="AM142" t="s">
        <v>10</v>
      </c>
      <c r="AN142" t="s">
        <v>717</v>
      </c>
    </row>
    <row r="143" spans="1:40" hidden="1">
      <c r="A143">
        <v>141</v>
      </c>
      <c r="B143">
        <v>1</v>
      </c>
      <c r="C143" s="58">
        <v>44018</v>
      </c>
      <c r="D143" t="s">
        <v>74</v>
      </c>
      <c r="E143" t="s">
        <v>2515</v>
      </c>
      <c r="F143">
        <v>8</v>
      </c>
      <c r="G143">
        <v>14</v>
      </c>
      <c r="H143">
        <v>128</v>
      </c>
      <c r="I143">
        <v>1</v>
      </c>
      <c r="J143">
        <v>47.97</v>
      </c>
      <c r="K143" t="s">
        <v>9</v>
      </c>
      <c r="L143">
        <v>2197808.13</v>
      </c>
      <c r="M143">
        <v>15000</v>
      </c>
      <c r="N143">
        <v>2212808.13</v>
      </c>
      <c r="O143">
        <v>46129</v>
      </c>
      <c r="P143">
        <v>23985</v>
      </c>
      <c r="Q143">
        <v>2188823.13</v>
      </c>
      <c r="R143">
        <v>45629</v>
      </c>
      <c r="S143" t="s">
        <v>130</v>
      </c>
      <c r="T143" t="s">
        <v>717</v>
      </c>
      <c r="U143" t="s">
        <v>717</v>
      </c>
      <c r="V143" t="s">
        <v>717</v>
      </c>
      <c r="W143">
        <v>44020</v>
      </c>
      <c r="X143" t="s">
        <v>3111</v>
      </c>
      <c r="Y143" t="s">
        <v>6</v>
      </c>
      <c r="Z143" t="s">
        <v>17</v>
      </c>
      <c r="AA143" t="s">
        <v>717</v>
      </c>
      <c r="AB143" t="s">
        <v>2509</v>
      </c>
      <c r="AC143" t="s">
        <v>118</v>
      </c>
      <c r="AD143" t="s">
        <v>717</v>
      </c>
      <c r="AE143" t="s">
        <v>3112</v>
      </c>
      <c r="AF143" t="s">
        <v>3113</v>
      </c>
      <c r="AG143" t="s">
        <v>3114</v>
      </c>
      <c r="AH143" t="s">
        <v>2615</v>
      </c>
      <c r="AI143" t="s">
        <v>3115</v>
      </c>
      <c r="AJ143" t="s">
        <v>2895</v>
      </c>
      <c r="AK143" t="s">
        <v>63</v>
      </c>
      <c r="AL143" t="s">
        <v>717</v>
      </c>
      <c r="AM143" t="s">
        <v>10</v>
      </c>
      <c r="AN143" t="s">
        <v>717</v>
      </c>
    </row>
    <row r="144" spans="1:40" hidden="1">
      <c r="A144">
        <v>142</v>
      </c>
      <c r="B144">
        <v>2</v>
      </c>
      <c r="C144" s="58">
        <v>44018</v>
      </c>
      <c r="D144" t="s">
        <v>74</v>
      </c>
      <c r="E144" t="s">
        <v>2506</v>
      </c>
      <c r="F144">
        <v>7</v>
      </c>
      <c r="G144">
        <v>7</v>
      </c>
      <c r="H144">
        <v>192</v>
      </c>
      <c r="I144">
        <v>2</v>
      </c>
      <c r="J144">
        <v>63.74</v>
      </c>
      <c r="K144" t="s">
        <v>15</v>
      </c>
      <c r="L144">
        <v>2958881.01</v>
      </c>
      <c r="M144">
        <v>15000</v>
      </c>
      <c r="N144">
        <v>2973881.01</v>
      </c>
      <c r="O144">
        <v>46656.432538437395</v>
      </c>
      <c r="P144">
        <v>274082</v>
      </c>
      <c r="Q144">
        <v>2699799.01</v>
      </c>
      <c r="R144">
        <v>42356.432538437395</v>
      </c>
      <c r="S144" t="s">
        <v>65</v>
      </c>
      <c r="T144" t="s">
        <v>717</v>
      </c>
      <c r="U144" t="s">
        <v>717</v>
      </c>
      <c r="V144" t="s">
        <v>717</v>
      </c>
      <c r="W144">
        <v>44020</v>
      </c>
      <c r="X144" t="s">
        <v>3116</v>
      </c>
      <c r="Y144" t="s">
        <v>6</v>
      </c>
      <c r="Z144" t="s">
        <v>17</v>
      </c>
      <c r="AA144" t="s">
        <v>717</v>
      </c>
      <c r="AB144" t="s">
        <v>2509</v>
      </c>
      <c r="AC144" t="s">
        <v>2571</v>
      </c>
      <c r="AD144" t="s">
        <v>717</v>
      </c>
      <c r="AE144" t="s">
        <v>3117</v>
      </c>
      <c r="AF144" t="s">
        <v>3118</v>
      </c>
      <c r="AG144" t="s">
        <v>3119</v>
      </c>
      <c r="AH144" t="s">
        <v>2615</v>
      </c>
      <c r="AI144" t="s">
        <v>3120</v>
      </c>
      <c r="AJ144" t="s">
        <v>2940</v>
      </c>
      <c r="AK144" t="s">
        <v>63</v>
      </c>
      <c r="AL144" t="s">
        <v>2663</v>
      </c>
      <c r="AM144" t="s">
        <v>10</v>
      </c>
      <c r="AN144" t="s">
        <v>717</v>
      </c>
    </row>
    <row r="145" spans="1:40" hidden="1">
      <c r="A145">
        <v>143</v>
      </c>
      <c r="B145">
        <v>3</v>
      </c>
      <c r="C145" s="58">
        <v>44027</v>
      </c>
      <c r="D145" t="s">
        <v>74</v>
      </c>
      <c r="E145" t="s">
        <v>2506</v>
      </c>
      <c r="F145">
        <v>4</v>
      </c>
      <c r="G145">
        <v>8</v>
      </c>
      <c r="H145">
        <v>196</v>
      </c>
      <c r="I145">
        <v>1</v>
      </c>
      <c r="J145">
        <v>40.58</v>
      </c>
      <c r="K145" t="s">
        <v>9</v>
      </c>
      <c r="L145">
        <v>1950065.4</v>
      </c>
      <c r="M145">
        <v>0</v>
      </c>
      <c r="N145">
        <v>1950065.4</v>
      </c>
      <c r="O145">
        <v>48054.839822572685</v>
      </c>
      <c r="P145">
        <v>20290</v>
      </c>
      <c r="Q145">
        <v>1929775.4</v>
      </c>
      <c r="R145">
        <v>47554.839822572685</v>
      </c>
      <c r="S145" t="s">
        <v>2507</v>
      </c>
      <c r="T145" t="s">
        <v>717</v>
      </c>
      <c r="U145" t="s">
        <v>717</v>
      </c>
      <c r="V145" t="s">
        <v>717</v>
      </c>
      <c r="W145">
        <v>44022</v>
      </c>
      <c r="X145" t="s">
        <v>3121</v>
      </c>
      <c r="Y145" t="s">
        <v>6</v>
      </c>
      <c r="Z145" t="s">
        <v>17</v>
      </c>
      <c r="AA145" t="s">
        <v>717</v>
      </c>
      <c r="AB145" t="s">
        <v>2509</v>
      </c>
      <c r="AC145" t="s">
        <v>118</v>
      </c>
      <c r="AD145" t="s">
        <v>717</v>
      </c>
      <c r="AE145" t="s">
        <v>3122</v>
      </c>
      <c r="AF145" t="s">
        <v>3123</v>
      </c>
      <c r="AG145" t="s">
        <v>3124</v>
      </c>
      <c r="AH145" t="s">
        <v>2615</v>
      </c>
      <c r="AI145" t="s">
        <v>2538</v>
      </c>
      <c r="AJ145" t="s">
        <v>2514</v>
      </c>
      <c r="AK145" t="s">
        <v>2532</v>
      </c>
      <c r="AL145" t="s">
        <v>717</v>
      </c>
      <c r="AM145" t="s">
        <v>10</v>
      </c>
      <c r="AN145" t="s">
        <v>717</v>
      </c>
    </row>
    <row r="146" spans="1:40" hidden="1">
      <c r="A146">
        <v>144</v>
      </c>
      <c r="B146">
        <v>4</v>
      </c>
      <c r="C146" s="58">
        <v>44028</v>
      </c>
      <c r="D146" t="s">
        <v>74</v>
      </c>
      <c r="E146" t="s">
        <v>2515</v>
      </c>
      <c r="F146">
        <v>4</v>
      </c>
      <c r="G146">
        <v>13</v>
      </c>
      <c r="H146">
        <v>114</v>
      </c>
      <c r="I146">
        <v>3</v>
      </c>
      <c r="J146">
        <v>80.33</v>
      </c>
      <c r="K146" t="s">
        <v>15</v>
      </c>
      <c r="L146">
        <v>3732911.22</v>
      </c>
      <c r="M146">
        <v>15000</v>
      </c>
      <c r="N146">
        <v>3747911.22</v>
      </c>
      <c r="O146">
        <v>46656.432466077436</v>
      </c>
      <c r="P146">
        <v>345419</v>
      </c>
      <c r="Q146">
        <v>3402492.22</v>
      </c>
      <c r="R146">
        <v>42356.432466077436</v>
      </c>
      <c r="S146" t="s">
        <v>65</v>
      </c>
      <c r="T146" t="s">
        <v>717</v>
      </c>
      <c r="U146" t="s">
        <v>717</v>
      </c>
      <c r="V146" t="s">
        <v>717</v>
      </c>
      <c r="W146">
        <v>44028</v>
      </c>
      <c r="X146" t="s">
        <v>3125</v>
      </c>
      <c r="Y146" t="s">
        <v>6</v>
      </c>
      <c r="Z146" t="s">
        <v>11</v>
      </c>
      <c r="AA146" t="s">
        <v>717</v>
      </c>
      <c r="AB146" t="s">
        <v>2509</v>
      </c>
      <c r="AC146" t="s">
        <v>2571</v>
      </c>
      <c r="AD146" t="s">
        <v>717</v>
      </c>
      <c r="AE146" t="s">
        <v>3126</v>
      </c>
      <c r="AF146" t="s">
        <v>3127</v>
      </c>
      <c r="AG146" t="s">
        <v>3128</v>
      </c>
      <c r="AH146" t="s">
        <v>2191</v>
      </c>
      <c r="AI146" t="s">
        <v>2552</v>
      </c>
      <c r="AJ146" t="s">
        <v>2662</v>
      </c>
      <c r="AK146" t="s">
        <v>20</v>
      </c>
      <c r="AL146" t="s">
        <v>16</v>
      </c>
      <c r="AM146" t="s">
        <v>10</v>
      </c>
      <c r="AN146" t="s">
        <v>717</v>
      </c>
    </row>
    <row r="147" spans="1:40" hidden="1">
      <c r="A147">
        <v>145</v>
      </c>
      <c r="B147">
        <v>5</v>
      </c>
      <c r="C147" s="58">
        <v>44029</v>
      </c>
      <c r="D147" t="s">
        <v>74</v>
      </c>
      <c r="E147" t="s">
        <v>2506</v>
      </c>
      <c r="F147">
        <v>2</v>
      </c>
      <c r="G147">
        <v>6</v>
      </c>
      <c r="H147">
        <v>180</v>
      </c>
      <c r="I147">
        <v>1</v>
      </c>
      <c r="J147">
        <v>40.39</v>
      </c>
      <c r="K147" t="s">
        <v>15</v>
      </c>
      <c r="L147">
        <v>2071920.97</v>
      </c>
      <c r="M147">
        <v>0</v>
      </c>
      <c r="N147">
        <v>2071920.97</v>
      </c>
      <c r="O147">
        <v>51297.870017331021</v>
      </c>
      <c r="P147">
        <v>173677</v>
      </c>
      <c r="Q147">
        <v>1898243.97</v>
      </c>
      <c r="R147">
        <v>46997.870017331021</v>
      </c>
      <c r="S147" t="s">
        <v>65</v>
      </c>
      <c r="T147" t="s">
        <v>717</v>
      </c>
      <c r="U147" t="s">
        <v>717</v>
      </c>
      <c r="V147" t="s">
        <v>717</v>
      </c>
      <c r="W147">
        <v>44029</v>
      </c>
      <c r="X147" t="s">
        <v>3129</v>
      </c>
      <c r="Y147" t="s">
        <v>6</v>
      </c>
      <c r="Z147" t="s">
        <v>11</v>
      </c>
      <c r="AA147" t="s">
        <v>717</v>
      </c>
      <c r="AB147" t="s">
        <v>2509</v>
      </c>
      <c r="AC147" t="s">
        <v>2571</v>
      </c>
      <c r="AD147" t="s">
        <v>717</v>
      </c>
      <c r="AE147" t="s">
        <v>3130</v>
      </c>
      <c r="AF147" t="s">
        <v>3131</v>
      </c>
      <c r="AG147" t="s">
        <v>3132</v>
      </c>
      <c r="AH147" t="s">
        <v>2191</v>
      </c>
      <c r="AI147" t="s">
        <v>2621</v>
      </c>
      <c r="AJ147" t="s">
        <v>2514</v>
      </c>
      <c r="AK147" t="s">
        <v>2532</v>
      </c>
      <c r="AL147" t="s">
        <v>16</v>
      </c>
      <c r="AM147" t="s">
        <v>10</v>
      </c>
      <c r="AN147" t="s">
        <v>717</v>
      </c>
    </row>
    <row r="148" spans="1:40" hidden="1">
      <c r="A148">
        <v>146</v>
      </c>
      <c r="B148">
        <v>6</v>
      </c>
      <c r="C148" s="58">
        <v>44029</v>
      </c>
      <c r="D148" t="s">
        <v>74</v>
      </c>
      <c r="E148" t="s">
        <v>2506</v>
      </c>
      <c r="F148">
        <v>3</v>
      </c>
      <c r="G148">
        <v>11</v>
      </c>
      <c r="H148">
        <v>216</v>
      </c>
      <c r="I148">
        <v>1</v>
      </c>
      <c r="J148">
        <v>41.48</v>
      </c>
      <c r="K148" t="s">
        <v>9</v>
      </c>
      <c r="L148">
        <v>1935861.23</v>
      </c>
      <c r="M148">
        <v>0</v>
      </c>
      <c r="N148">
        <v>1935861.23</v>
      </c>
      <c r="O148">
        <v>46669.75</v>
      </c>
      <c r="P148">
        <v>20740</v>
      </c>
      <c r="Q148">
        <v>1915121.23</v>
      </c>
      <c r="R148">
        <v>46169.75</v>
      </c>
      <c r="S148" t="s">
        <v>65</v>
      </c>
      <c r="T148" t="s">
        <v>717</v>
      </c>
      <c r="U148" t="s">
        <v>717</v>
      </c>
      <c r="V148" t="s">
        <v>717</v>
      </c>
      <c r="W148">
        <v>44026</v>
      </c>
      <c r="X148" t="s">
        <v>3133</v>
      </c>
      <c r="Y148" t="s">
        <v>6</v>
      </c>
      <c r="Z148" t="s">
        <v>17</v>
      </c>
      <c r="AA148" t="s">
        <v>717</v>
      </c>
      <c r="AB148" t="s">
        <v>2509</v>
      </c>
      <c r="AC148" t="s">
        <v>2571</v>
      </c>
      <c r="AD148" t="s">
        <v>717</v>
      </c>
      <c r="AE148" t="s">
        <v>3134</v>
      </c>
      <c r="AF148" t="s">
        <v>3135</v>
      </c>
      <c r="AG148" t="s">
        <v>3136</v>
      </c>
      <c r="AH148" t="s">
        <v>2615</v>
      </c>
      <c r="AI148" t="s">
        <v>2688</v>
      </c>
      <c r="AJ148" t="s">
        <v>2569</v>
      </c>
      <c r="AK148" t="s">
        <v>20</v>
      </c>
      <c r="AL148" t="s">
        <v>2663</v>
      </c>
      <c r="AM148" t="s">
        <v>10</v>
      </c>
      <c r="AN148" t="s">
        <v>717</v>
      </c>
    </row>
    <row r="149" spans="1:40" hidden="1">
      <c r="A149">
        <v>147</v>
      </c>
      <c r="B149">
        <v>7</v>
      </c>
      <c r="C149" s="58">
        <v>44029</v>
      </c>
      <c r="D149" t="s">
        <v>74</v>
      </c>
      <c r="E149" t="s">
        <v>2515</v>
      </c>
      <c r="F149">
        <v>1</v>
      </c>
      <c r="G149">
        <v>7</v>
      </c>
      <c r="H149">
        <v>51</v>
      </c>
      <c r="I149">
        <v>0</v>
      </c>
      <c r="J149">
        <v>32.03</v>
      </c>
      <c r="K149" t="s">
        <v>9</v>
      </c>
      <c r="L149">
        <v>1608941.85</v>
      </c>
      <c r="M149">
        <v>0</v>
      </c>
      <c r="N149">
        <v>1608941.85</v>
      </c>
      <c r="O149">
        <v>50232.339993755857</v>
      </c>
      <c r="P149">
        <v>16015</v>
      </c>
      <c r="Q149">
        <v>1592926.85</v>
      </c>
      <c r="R149">
        <v>49732.339993755857</v>
      </c>
      <c r="S149" t="s">
        <v>130</v>
      </c>
      <c r="T149" t="s">
        <v>717</v>
      </c>
      <c r="U149" t="s">
        <v>717</v>
      </c>
      <c r="V149" t="s">
        <v>717</v>
      </c>
      <c r="W149">
        <v>44026</v>
      </c>
      <c r="X149" t="s">
        <v>3137</v>
      </c>
      <c r="Y149" t="s">
        <v>6</v>
      </c>
      <c r="Z149" t="s">
        <v>17</v>
      </c>
      <c r="AA149" t="s">
        <v>717</v>
      </c>
      <c r="AB149" t="s">
        <v>2509</v>
      </c>
      <c r="AC149" t="s">
        <v>118</v>
      </c>
      <c r="AD149" t="s">
        <v>717</v>
      </c>
      <c r="AE149" t="s">
        <v>3138</v>
      </c>
      <c r="AF149" t="s">
        <v>3139</v>
      </c>
      <c r="AG149" t="s">
        <v>3140</v>
      </c>
      <c r="AH149" t="s">
        <v>2615</v>
      </c>
      <c r="AI149" t="s">
        <v>2824</v>
      </c>
      <c r="AJ149" t="s">
        <v>2569</v>
      </c>
      <c r="AK149" t="s">
        <v>2532</v>
      </c>
      <c r="AL149" t="s">
        <v>717</v>
      </c>
      <c r="AM149" t="s">
        <v>10</v>
      </c>
      <c r="AN149" t="s">
        <v>717</v>
      </c>
    </row>
    <row r="150" spans="1:40" hidden="1">
      <c r="A150">
        <v>148</v>
      </c>
      <c r="B150">
        <v>8</v>
      </c>
      <c r="C150" s="58">
        <v>44032</v>
      </c>
      <c r="D150" t="s">
        <v>74</v>
      </c>
      <c r="E150" t="s">
        <v>2506</v>
      </c>
      <c r="F150">
        <v>2</v>
      </c>
      <c r="G150">
        <v>4</v>
      </c>
      <c r="H150">
        <v>166</v>
      </c>
      <c r="I150">
        <v>1</v>
      </c>
      <c r="J150">
        <v>40.39</v>
      </c>
      <c r="K150" t="s">
        <v>15</v>
      </c>
      <c r="L150">
        <v>2071920.97</v>
      </c>
      <c r="M150">
        <v>0</v>
      </c>
      <c r="N150">
        <v>2071920.97</v>
      </c>
      <c r="O150">
        <v>51297.870017331021</v>
      </c>
      <c r="P150">
        <v>173677</v>
      </c>
      <c r="Q150">
        <v>1898243.97</v>
      </c>
      <c r="R150">
        <v>46997.870017331021</v>
      </c>
      <c r="S150" t="s">
        <v>65</v>
      </c>
      <c r="T150" t="s">
        <v>717</v>
      </c>
      <c r="U150" t="s">
        <v>717</v>
      </c>
      <c r="V150" t="s">
        <v>717</v>
      </c>
      <c r="W150">
        <v>44018</v>
      </c>
      <c r="X150" t="s">
        <v>3141</v>
      </c>
      <c r="Y150" t="s">
        <v>6</v>
      </c>
      <c r="Z150" t="s">
        <v>17</v>
      </c>
      <c r="AA150" t="s">
        <v>717</v>
      </c>
      <c r="AB150" t="s">
        <v>2509</v>
      </c>
      <c r="AC150" t="s">
        <v>2571</v>
      </c>
      <c r="AD150" t="s">
        <v>717</v>
      </c>
      <c r="AE150" t="s">
        <v>3142</v>
      </c>
      <c r="AF150" t="s">
        <v>3143</v>
      </c>
      <c r="AG150" t="s">
        <v>3144</v>
      </c>
      <c r="AH150" t="s">
        <v>2191</v>
      </c>
      <c r="AI150" t="s">
        <v>2552</v>
      </c>
      <c r="AJ150" t="s">
        <v>2514</v>
      </c>
      <c r="AK150" t="s">
        <v>2532</v>
      </c>
      <c r="AL150" t="s">
        <v>2663</v>
      </c>
      <c r="AM150" t="s">
        <v>10</v>
      </c>
      <c r="AN150" t="s">
        <v>717</v>
      </c>
    </row>
    <row r="151" spans="1:40" hidden="1">
      <c r="A151">
        <v>149</v>
      </c>
      <c r="B151">
        <v>9</v>
      </c>
      <c r="C151" s="58">
        <v>44035</v>
      </c>
      <c r="D151" t="s">
        <v>74</v>
      </c>
      <c r="E151" t="s">
        <v>2581</v>
      </c>
      <c r="F151">
        <v>4</v>
      </c>
      <c r="G151">
        <v>3</v>
      </c>
      <c r="H151">
        <v>323</v>
      </c>
      <c r="I151">
        <v>2</v>
      </c>
      <c r="J151">
        <v>60.38</v>
      </c>
      <c r="K151" t="s">
        <v>15</v>
      </c>
      <c r="L151">
        <v>3015454.49</v>
      </c>
      <c r="M151">
        <v>0</v>
      </c>
      <c r="N151">
        <v>3015454.49</v>
      </c>
      <c r="O151">
        <v>49941.28005962239</v>
      </c>
      <c r="P151">
        <v>283786</v>
      </c>
      <c r="Q151">
        <v>2731668.49</v>
      </c>
      <c r="R151">
        <v>45241.28005962239</v>
      </c>
      <c r="S151" t="s">
        <v>65</v>
      </c>
      <c r="T151" t="s">
        <v>3145</v>
      </c>
      <c r="U151">
        <v>27592.62</v>
      </c>
      <c r="V151" t="s">
        <v>717</v>
      </c>
      <c r="W151">
        <v>44026</v>
      </c>
      <c r="X151" t="s">
        <v>3146</v>
      </c>
      <c r="Y151" t="s">
        <v>6</v>
      </c>
      <c r="Z151" t="s">
        <v>17</v>
      </c>
      <c r="AA151" t="s">
        <v>717</v>
      </c>
      <c r="AB151" t="s">
        <v>2509</v>
      </c>
      <c r="AC151" t="s">
        <v>2571</v>
      </c>
      <c r="AD151" t="s">
        <v>717</v>
      </c>
      <c r="AE151" t="s">
        <v>3147</v>
      </c>
      <c r="AF151" t="s">
        <v>3148</v>
      </c>
      <c r="AG151" t="s">
        <v>3149</v>
      </c>
      <c r="AH151" t="s">
        <v>2615</v>
      </c>
      <c r="AI151" t="s">
        <v>3120</v>
      </c>
      <c r="AJ151" t="s">
        <v>2514</v>
      </c>
      <c r="AK151" t="s">
        <v>2532</v>
      </c>
      <c r="AL151" t="s">
        <v>2663</v>
      </c>
      <c r="AM151" t="s">
        <v>10</v>
      </c>
      <c r="AN151" t="s">
        <v>717</v>
      </c>
    </row>
    <row r="152" spans="1:40" hidden="1">
      <c r="A152">
        <v>150</v>
      </c>
      <c r="B152">
        <v>10</v>
      </c>
      <c r="C152" s="58">
        <v>44036</v>
      </c>
      <c r="D152" t="s">
        <v>74</v>
      </c>
      <c r="E152" t="s">
        <v>2515</v>
      </c>
      <c r="F152">
        <v>9</v>
      </c>
      <c r="G152">
        <v>16</v>
      </c>
      <c r="H152">
        <v>149</v>
      </c>
      <c r="I152">
        <v>2</v>
      </c>
      <c r="J152">
        <v>66.14</v>
      </c>
      <c r="K152" t="s">
        <v>9</v>
      </c>
      <c r="L152">
        <v>2908200.93</v>
      </c>
      <c r="M152">
        <v>0</v>
      </c>
      <c r="N152">
        <v>2908200.93</v>
      </c>
      <c r="O152">
        <v>43970.379951617782</v>
      </c>
      <c r="P152">
        <v>33070</v>
      </c>
      <c r="Q152">
        <v>2875130.93</v>
      </c>
      <c r="R152">
        <v>43470.379951617782</v>
      </c>
      <c r="S152" t="s">
        <v>65</v>
      </c>
      <c r="T152" t="s">
        <v>717</v>
      </c>
      <c r="U152" t="s">
        <v>717</v>
      </c>
      <c r="V152" t="s">
        <v>717</v>
      </c>
      <c r="W152">
        <v>44036</v>
      </c>
      <c r="X152" t="s">
        <v>3150</v>
      </c>
      <c r="Y152" t="s">
        <v>6</v>
      </c>
      <c r="Z152" t="s">
        <v>11</v>
      </c>
      <c r="AA152" t="s">
        <v>717</v>
      </c>
      <c r="AB152" t="s">
        <v>2509</v>
      </c>
      <c r="AC152" t="s">
        <v>2571</v>
      </c>
      <c r="AD152" t="s">
        <v>717</v>
      </c>
      <c r="AE152" t="s">
        <v>3151</v>
      </c>
      <c r="AF152" t="s">
        <v>3152</v>
      </c>
      <c r="AG152" t="s">
        <v>3153</v>
      </c>
      <c r="AH152" t="s">
        <v>2615</v>
      </c>
      <c r="AI152" t="s">
        <v>2547</v>
      </c>
      <c r="AJ152" t="s">
        <v>2855</v>
      </c>
      <c r="AK152" t="s">
        <v>2532</v>
      </c>
      <c r="AL152" t="s">
        <v>16</v>
      </c>
      <c r="AM152" t="s">
        <v>10</v>
      </c>
      <c r="AN152" t="s">
        <v>717</v>
      </c>
    </row>
    <row r="153" spans="1:40" hidden="1">
      <c r="A153">
        <v>151</v>
      </c>
      <c r="B153">
        <v>11</v>
      </c>
      <c r="C153" s="58">
        <v>44036</v>
      </c>
      <c r="D153" t="s">
        <v>74</v>
      </c>
      <c r="E153" t="s">
        <v>2515</v>
      </c>
      <c r="F153">
        <v>9</v>
      </c>
      <c r="G153">
        <v>4</v>
      </c>
      <c r="H153">
        <v>29</v>
      </c>
      <c r="I153">
        <v>2</v>
      </c>
      <c r="J153">
        <v>66.14</v>
      </c>
      <c r="K153" t="s">
        <v>9</v>
      </c>
      <c r="L153">
        <v>2908200.93</v>
      </c>
      <c r="M153">
        <v>0</v>
      </c>
      <c r="N153">
        <v>2908200.93</v>
      </c>
      <c r="O153">
        <v>43970.379951617782</v>
      </c>
      <c r="P153">
        <v>33070</v>
      </c>
      <c r="Q153">
        <v>2875130.93</v>
      </c>
      <c r="R153">
        <v>43470.379951617782</v>
      </c>
      <c r="S153" t="s">
        <v>65</v>
      </c>
      <c r="T153" t="s">
        <v>717</v>
      </c>
      <c r="U153" t="s">
        <v>717</v>
      </c>
      <c r="V153" t="s">
        <v>717</v>
      </c>
      <c r="W153">
        <v>44030</v>
      </c>
      <c r="X153" t="s">
        <v>3154</v>
      </c>
      <c r="Y153" t="s">
        <v>6</v>
      </c>
      <c r="Z153" t="s">
        <v>17</v>
      </c>
      <c r="AA153" t="s">
        <v>717</v>
      </c>
      <c r="AB153" t="s">
        <v>2509</v>
      </c>
      <c r="AC153" t="s">
        <v>2571</v>
      </c>
      <c r="AD153" t="s">
        <v>717</v>
      </c>
      <c r="AE153" t="s">
        <v>3155</v>
      </c>
      <c r="AF153" t="s">
        <v>3156</v>
      </c>
      <c r="AG153" t="s">
        <v>3157</v>
      </c>
      <c r="AH153" t="s">
        <v>2580</v>
      </c>
      <c r="AI153" t="s">
        <v>2552</v>
      </c>
      <c r="AJ153" t="s">
        <v>2662</v>
      </c>
      <c r="AK153" t="s">
        <v>77</v>
      </c>
      <c r="AL153" t="s">
        <v>2663</v>
      </c>
      <c r="AM153" t="s">
        <v>10</v>
      </c>
      <c r="AN153" t="s">
        <v>717</v>
      </c>
    </row>
    <row r="154" spans="1:40" hidden="1">
      <c r="A154">
        <v>152</v>
      </c>
      <c r="B154">
        <v>12</v>
      </c>
      <c r="C154" s="58">
        <v>44039</v>
      </c>
      <c r="D154" t="s">
        <v>74</v>
      </c>
      <c r="E154" t="s">
        <v>2515</v>
      </c>
      <c r="F154">
        <v>5</v>
      </c>
      <c r="G154">
        <v>14</v>
      </c>
      <c r="H154">
        <v>125</v>
      </c>
      <c r="I154">
        <v>2</v>
      </c>
      <c r="J154">
        <v>60.2</v>
      </c>
      <c r="K154" t="s">
        <v>9</v>
      </c>
      <c r="L154">
        <v>2647016.88</v>
      </c>
      <c r="M154">
        <v>0</v>
      </c>
      <c r="N154">
        <v>2647016.88</v>
      </c>
      <c r="O154">
        <v>43970.380066445177</v>
      </c>
      <c r="P154">
        <v>30100</v>
      </c>
      <c r="Q154">
        <v>2616916.88</v>
      </c>
      <c r="R154">
        <v>43470.380066445177</v>
      </c>
      <c r="S154" t="s">
        <v>65</v>
      </c>
      <c r="T154" t="s">
        <v>717</v>
      </c>
      <c r="U154" t="s">
        <v>717</v>
      </c>
      <c r="V154" t="s">
        <v>717</v>
      </c>
      <c r="W154">
        <v>44039</v>
      </c>
      <c r="X154" t="s">
        <v>3158</v>
      </c>
      <c r="Y154" t="s">
        <v>6</v>
      </c>
      <c r="Z154" t="s">
        <v>11</v>
      </c>
      <c r="AA154" t="s">
        <v>717</v>
      </c>
      <c r="AB154" t="s">
        <v>2509</v>
      </c>
      <c r="AC154" t="s">
        <v>2571</v>
      </c>
      <c r="AD154" t="s">
        <v>717</v>
      </c>
      <c r="AE154" t="s">
        <v>3159</v>
      </c>
      <c r="AF154" t="s">
        <v>3160</v>
      </c>
      <c r="AG154" t="s">
        <v>3161</v>
      </c>
      <c r="AH154" t="s">
        <v>2615</v>
      </c>
      <c r="AI154" t="s">
        <v>2547</v>
      </c>
      <c r="AJ154" t="s">
        <v>2514</v>
      </c>
      <c r="AK154" t="s">
        <v>2532</v>
      </c>
      <c r="AL154" t="s">
        <v>16</v>
      </c>
      <c r="AM154" t="s">
        <v>10</v>
      </c>
      <c r="AN154" t="s">
        <v>717</v>
      </c>
    </row>
    <row r="155" spans="1:40" hidden="1">
      <c r="A155">
        <v>153</v>
      </c>
      <c r="B155">
        <v>13</v>
      </c>
      <c r="C155" s="58">
        <v>44039</v>
      </c>
      <c r="D155" t="s">
        <v>74</v>
      </c>
      <c r="E155" t="s">
        <v>2506</v>
      </c>
      <c r="F155">
        <v>3</v>
      </c>
      <c r="G155">
        <v>14</v>
      </c>
      <c r="H155">
        <v>237</v>
      </c>
      <c r="I155">
        <v>1</v>
      </c>
      <c r="J155">
        <v>41.48</v>
      </c>
      <c r="K155" t="s">
        <v>15</v>
      </c>
      <c r="L155">
        <v>2110077.23</v>
      </c>
      <c r="M155">
        <v>0</v>
      </c>
      <c r="N155">
        <v>2110077.23</v>
      </c>
      <c r="O155">
        <v>50869.75</v>
      </c>
      <c r="P155">
        <v>194956</v>
      </c>
      <c r="Q155">
        <v>1915121.23</v>
      </c>
      <c r="R155">
        <v>46169.75</v>
      </c>
      <c r="S155" t="s">
        <v>65</v>
      </c>
      <c r="T155" t="s">
        <v>717</v>
      </c>
      <c r="U155" t="s">
        <v>717</v>
      </c>
      <c r="V155" t="s">
        <v>717</v>
      </c>
      <c r="W155">
        <v>44035</v>
      </c>
      <c r="X155" t="s">
        <v>3162</v>
      </c>
      <c r="Y155" t="s">
        <v>6</v>
      </c>
      <c r="Z155" t="s">
        <v>17</v>
      </c>
      <c r="AA155" t="s">
        <v>717</v>
      </c>
      <c r="AB155" t="s">
        <v>2509</v>
      </c>
      <c r="AC155" t="s">
        <v>2571</v>
      </c>
      <c r="AD155" t="s">
        <v>717</v>
      </c>
      <c r="AE155" t="s">
        <v>3163</v>
      </c>
      <c r="AF155" t="s">
        <v>3164</v>
      </c>
      <c r="AG155" t="s">
        <v>3165</v>
      </c>
      <c r="AH155" t="s">
        <v>2552</v>
      </c>
      <c r="AI155" t="s">
        <v>2552</v>
      </c>
      <c r="AJ155" t="s">
        <v>2514</v>
      </c>
      <c r="AK155" t="s">
        <v>63</v>
      </c>
      <c r="AL155" t="s">
        <v>2663</v>
      </c>
      <c r="AM155" t="s">
        <v>10</v>
      </c>
      <c r="AN155" t="s">
        <v>717</v>
      </c>
    </row>
    <row r="156" spans="1:40" hidden="1">
      <c r="A156">
        <v>154</v>
      </c>
      <c r="B156">
        <v>14</v>
      </c>
      <c r="C156" s="58">
        <v>44039</v>
      </c>
      <c r="D156" t="s">
        <v>74</v>
      </c>
      <c r="E156" t="s">
        <v>2506</v>
      </c>
      <c r="F156">
        <v>4</v>
      </c>
      <c r="G156">
        <v>6</v>
      </c>
      <c r="H156">
        <v>182</v>
      </c>
      <c r="I156">
        <v>1</v>
      </c>
      <c r="J156">
        <v>40.58</v>
      </c>
      <c r="K156" t="s">
        <v>9</v>
      </c>
      <c r="L156">
        <v>1950065.41</v>
      </c>
      <c r="M156">
        <v>0</v>
      </c>
      <c r="N156">
        <v>1950065.41</v>
      </c>
      <c r="O156">
        <v>48054.840068999511</v>
      </c>
      <c r="P156">
        <v>20290</v>
      </c>
      <c r="Q156">
        <v>1929775.41</v>
      </c>
      <c r="R156">
        <v>47554.840068999511</v>
      </c>
      <c r="S156" t="s">
        <v>65</v>
      </c>
      <c r="T156" t="s">
        <v>717</v>
      </c>
      <c r="U156" t="s">
        <v>717</v>
      </c>
      <c r="V156" t="s">
        <v>717</v>
      </c>
      <c r="W156">
        <v>44035</v>
      </c>
      <c r="X156" t="s">
        <v>3166</v>
      </c>
      <c r="Y156" t="s">
        <v>6</v>
      </c>
      <c r="Z156" t="s">
        <v>17</v>
      </c>
      <c r="AA156" t="s">
        <v>717</v>
      </c>
      <c r="AB156" t="s">
        <v>2509</v>
      </c>
      <c r="AC156" t="s">
        <v>2571</v>
      </c>
      <c r="AD156" t="s">
        <v>717</v>
      </c>
      <c r="AE156" t="s">
        <v>3167</v>
      </c>
      <c r="AF156" t="s">
        <v>3168</v>
      </c>
      <c r="AG156" t="s">
        <v>3169</v>
      </c>
      <c r="AH156" t="s">
        <v>2191</v>
      </c>
      <c r="AI156" t="s">
        <v>2552</v>
      </c>
      <c r="AJ156" t="s">
        <v>2514</v>
      </c>
      <c r="AK156" t="s">
        <v>63</v>
      </c>
      <c r="AL156" t="s">
        <v>16</v>
      </c>
      <c r="AM156" t="s">
        <v>10</v>
      </c>
      <c r="AN156" t="s">
        <v>717</v>
      </c>
    </row>
    <row r="157" spans="1:40" hidden="1">
      <c r="A157">
        <v>155</v>
      </c>
      <c r="B157">
        <v>15</v>
      </c>
      <c r="C157" s="58">
        <v>44039</v>
      </c>
      <c r="D157" t="s">
        <v>74</v>
      </c>
      <c r="E157" t="s">
        <v>2506</v>
      </c>
      <c r="F157">
        <v>3</v>
      </c>
      <c r="G157">
        <v>15</v>
      </c>
      <c r="H157">
        <v>244</v>
      </c>
      <c r="I157">
        <v>1</v>
      </c>
      <c r="J157">
        <v>41.48</v>
      </c>
      <c r="K157" t="s">
        <v>9</v>
      </c>
      <c r="L157">
        <v>1935861.23</v>
      </c>
      <c r="M157">
        <v>0</v>
      </c>
      <c r="N157">
        <v>1935861.23</v>
      </c>
      <c r="O157">
        <v>46669.75</v>
      </c>
      <c r="P157">
        <v>20740</v>
      </c>
      <c r="Q157">
        <v>1915121.23</v>
      </c>
      <c r="R157">
        <v>46169.75</v>
      </c>
      <c r="S157" t="s">
        <v>65</v>
      </c>
      <c r="T157" t="s">
        <v>717</v>
      </c>
      <c r="U157" t="s">
        <v>717</v>
      </c>
      <c r="V157" t="s">
        <v>717</v>
      </c>
      <c r="W157">
        <v>44035</v>
      </c>
      <c r="X157" t="s">
        <v>3170</v>
      </c>
      <c r="Y157" t="s">
        <v>6</v>
      </c>
      <c r="Z157" t="s">
        <v>17</v>
      </c>
      <c r="AA157" t="s">
        <v>717</v>
      </c>
      <c r="AB157" t="s">
        <v>2509</v>
      </c>
      <c r="AC157" t="s">
        <v>2571</v>
      </c>
      <c r="AD157" t="s">
        <v>717</v>
      </c>
      <c r="AE157" t="s">
        <v>3171</v>
      </c>
      <c r="AF157" t="s">
        <v>3172</v>
      </c>
      <c r="AG157" t="s">
        <v>3173</v>
      </c>
      <c r="AH157" t="s">
        <v>2615</v>
      </c>
      <c r="AI157" t="s">
        <v>2552</v>
      </c>
      <c r="AJ157" t="s">
        <v>2642</v>
      </c>
      <c r="AK157" t="s">
        <v>2532</v>
      </c>
      <c r="AL157" t="s">
        <v>2663</v>
      </c>
      <c r="AM157" t="s">
        <v>10</v>
      </c>
      <c r="AN157" t="s">
        <v>717</v>
      </c>
    </row>
    <row r="158" spans="1:40" hidden="1">
      <c r="A158">
        <v>156</v>
      </c>
      <c r="B158">
        <v>16</v>
      </c>
      <c r="C158" s="58">
        <v>44039</v>
      </c>
      <c r="D158" t="s">
        <v>74</v>
      </c>
      <c r="E158" t="s">
        <v>2506</v>
      </c>
      <c r="F158">
        <v>4</v>
      </c>
      <c r="G158">
        <v>7</v>
      </c>
      <c r="H158">
        <v>189</v>
      </c>
      <c r="I158">
        <v>1</v>
      </c>
      <c r="J158">
        <v>40.58</v>
      </c>
      <c r="K158" t="s">
        <v>9</v>
      </c>
      <c r="L158">
        <v>1950065.41</v>
      </c>
      <c r="M158">
        <v>0</v>
      </c>
      <c r="N158">
        <v>1950065.41</v>
      </c>
      <c r="O158">
        <v>48054.840068999511</v>
      </c>
      <c r="P158">
        <v>20290</v>
      </c>
      <c r="Q158">
        <v>1929775.41</v>
      </c>
      <c r="R158">
        <v>47554.840068999511</v>
      </c>
      <c r="S158" t="s">
        <v>130</v>
      </c>
      <c r="T158" t="s">
        <v>717</v>
      </c>
      <c r="U158" t="s">
        <v>717</v>
      </c>
      <c r="V158" t="s">
        <v>717</v>
      </c>
      <c r="W158">
        <v>44036</v>
      </c>
      <c r="X158" t="s">
        <v>3174</v>
      </c>
      <c r="Y158" t="s">
        <v>6</v>
      </c>
      <c r="Z158" t="s">
        <v>11</v>
      </c>
      <c r="AA158" t="s">
        <v>717</v>
      </c>
      <c r="AB158" t="s">
        <v>2509</v>
      </c>
      <c r="AC158" t="s">
        <v>118</v>
      </c>
      <c r="AD158" t="s">
        <v>717</v>
      </c>
      <c r="AE158" t="s">
        <v>3175</v>
      </c>
      <c r="AF158" t="s">
        <v>3176</v>
      </c>
      <c r="AG158" t="s">
        <v>2594</v>
      </c>
      <c r="AH158" t="s">
        <v>2615</v>
      </c>
      <c r="AI158" t="s">
        <v>2847</v>
      </c>
      <c r="AJ158" t="s">
        <v>2514</v>
      </c>
      <c r="AK158" t="s">
        <v>20</v>
      </c>
      <c r="AL158" t="s">
        <v>717</v>
      </c>
      <c r="AM158" t="s">
        <v>10</v>
      </c>
      <c r="AN158" t="s">
        <v>717</v>
      </c>
    </row>
    <row r="159" spans="1:40" hidden="1">
      <c r="A159">
        <v>157</v>
      </c>
      <c r="B159">
        <v>17</v>
      </c>
      <c r="C159" s="58">
        <v>44040</v>
      </c>
      <c r="D159" t="s">
        <v>74</v>
      </c>
      <c r="E159" t="s">
        <v>2506</v>
      </c>
      <c r="F159">
        <v>3</v>
      </c>
      <c r="G159">
        <v>22</v>
      </c>
      <c r="H159">
        <v>293</v>
      </c>
      <c r="I159">
        <v>1</v>
      </c>
      <c r="J159">
        <v>41.1</v>
      </c>
      <c r="K159" t="s">
        <v>25</v>
      </c>
      <c r="L159">
        <v>2556851.5499999998</v>
      </c>
      <c r="M159">
        <v>0</v>
      </c>
      <c r="N159">
        <v>2556851.5499999998</v>
      </c>
      <c r="O159">
        <v>62210.499999999993</v>
      </c>
      <c r="P159">
        <v>637050</v>
      </c>
      <c r="Q159">
        <v>1919801.55</v>
      </c>
      <c r="R159">
        <v>46710.499999999993</v>
      </c>
      <c r="S159" t="s">
        <v>65</v>
      </c>
      <c r="T159" t="s">
        <v>717</v>
      </c>
      <c r="U159" t="s">
        <v>717</v>
      </c>
      <c r="V159" t="s">
        <v>717</v>
      </c>
      <c r="W159">
        <v>44018</v>
      </c>
      <c r="X159" t="s">
        <v>3177</v>
      </c>
      <c r="Y159" t="s">
        <v>6</v>
      </c>
      <c r="Z159" t="s">
        <v>11</v>
      </c>
      <c r="AA159" t="s">
        <v>717</v>
      </c>
      <c r="AB159" t="s">
        <v>2509</v>
      </c>
      <c r="AC159" t="s">
        <v>2564</v>
      </c>
      <c r="AD159" t="s">
        <v>717</v>
      </c>
      <c r="AE159" t="s">
        <v>3178</v>
      </c>
      <c r="AF159" t="s">
        <v>3179</v>
      </c>
      <c r="AG159" t="s">
        <v>3180</v>
      </c>
      <c r="AH159" t="s">
        <v>2615</v>
      </c>
      <c r="AI159" t="s">
        <v>2656</v>
      </c>
      <c r="AJ159" t="s">
        <v>2662</v>
      </c>
      <c r="AK159" t="s">
        <v>2532</v>
      </c>
      <c r="AL159" t="s">
        <v>16</v>
      </c>
      <c r="AM159" t="s">
        <v>10</v>
      </c>
      <c r="AN159" t="s">
        <v>717</v>
      </c>
    </row>
    <row r="160" spans="1:40" hidden="1">
      <c r="A160">
        <v>158</v>
      </c>
      <c r="B160">
        <v>18</v>
      </c>
      <c r="C160" s="58">
        <v>44040</v>
      </c>
      <c r="D160" t="s">
        <v>74</v>
      </c>
      <c r="E160" t="s">
        <v>2515</v>
      </c>
      <c r="F160">
        <v>1</v>
      </c>
      <c r="G160">
        <v>6</v>
      </c>
      <c r="H160">
        <v>41</v>
      </c>
      <c r="I160">
        <v>0</v>
      </c>
      <c r="J160">
        <v>32.03</v>
      </c>
      <c r="K160" t="s">
        <v>15</v>
      </c>
      <c r="L160">
        <v>1823114.29</v>
      </c>
      <c r="M160">
        <v>0</v>
      </c>
      <c r="N160">
        <v>1823114.29</v>
      </c>
      <c r="O160">
        <v>56918.960037464873</v>
      </c>
      <c r="P160">
        <v>150541</v>
      </c>
      <c r="Q160">
        <v>1672573.29</v>
      </c>
      <c r="R160">
        <v>52218.960037464873</v>
      </c>
      <c r="S160" t="s">
        <v>65</v>
      </c>
      <c r="T160" t="s">
        <v>717</v>
      </c>
      <c r="U160" t="s">
        <v>717</v>
      </c>
      <c r="V160" t="s">
        <v>717</v>
      </c>
      <c r="W160">
        <v>44033</v>
      </c>
      <c r="X160" t="s">
        <v>3181</v>
      </c>
      <c r="Y160" t="s">
        <v>6</v>
      </c>
      <c r="Z160" t="s">
        <v>17</v>
      </c>
      <c r="AA160" t="s">
        <v>717</v>
      </c>
      <c r="AB160" t="s">
        <v>2509</v>
      </c>
      <c r="AC160" t="s">
        <v>2571</v>
      </c>
      <c r="AD160" t="s">
        <v>717</v>
      </c>
      <c r="AE160" t="s">
        <v>3182</v>
      </c>
      <c r="AF160" t="s">
        <v>3183</v>
      </c>
      <c r="AG160" t="s">
        <v>3184</v>
      </c>
      <c r="AH160" t="s">
        <v>2552</v>
      </c>
      <c r="AI160" t="s">
        <v>2552</v>
      </c>
      <c r="AJ160" t="s">
        <v>3185</v>
      </c>
      <c r="AK160" t="s">
        <v>20</v>
      </c>
      <c r="AL160" t="s">
        <v>2663</v>
      </c>
      <c r="AM160" t="s">
        <v>10</v>
      </c>
      <c r="AN160" t="s">
        <v>717</v>
      </c>
    </row>
    <row r="161" spans="1:40" hidden="1">
      <c r="A161">
        <v>159</v>
      </c>
      <c r="B161">
        <v>19</v>
      </c>
      <c r="C161" s="58">
        <v>44042</v>
      </c>
      <c r="D161" t="s">
        <v>74</v>
      </c>
      <c r="E161" t="s">
        <v>2506</v>
      </c>
      <c r="F161">
        <v>5</v>
      </c>
      <c r="G161">
        <v>16</v>
      </c>
      <c r="H161">
        <v>253</v>
      </c>
      <c r="I161">
        <v>3</v>
      </c>
      <c r="J161">
        <v>78.03</v>
      </c>
      <c r="K161" t="s">
        <v>15</v>
      </c>
      <c r="L161">
        <v>3758734.75</v>
      </c>
      <c r="M161">
        <v>0</v>
      </c>
      <c r="N161">
        <v>3758734.75</v>
      </c>
      <c r="O161">
        <v>48170.379982058184</v>
      </c>
      <c r="P161">
        <v>366741</v>
      </c>
      <c r="Q161">
        <v>3391993.75</v>
      </c>
      <c r="R161">
        <v>43470.379982058184</v>
      </c>
      <c r="S161" t="s">
        <v>65</v>
      </c>
      <c r="T161" t="s">
        <v>717</v>
      </c>
      <c r="U161" t="s">
        <v>717</v>
      </c>
      <c r="V161" t="s">
        <v>717</v>
      </c>
      <c r="W161">
        <v>44036</v>
      </c>
      <c r="X161" t="s">
        <v>3186</v>
      </c>
      <c r="Y161" t="s">
        <v>6</v>
      </c>
      <c r="Z161" t="s">
        <v>11</v>
      </c>
      <c r="AA161" t="s">
        <v>717</v>
      </c>
      <c r="AB161" t="s">
        <v>2509</v>
      </c>
      <c r="AC161" t="s">
        <v>2576</v>
      </c>
      <c r="AD161" t="s">
        <v>717</v>
      </c>
      <c r="AE161" t="s">
        <v>3187</v>
      </c>
      <c r="AF161" t="s">
        <v>3188</v>
      </c>
      <c r="AG161" t="s">
        <v>3189</v>
      </c>
      <c r="AH161" t="s">
        <v>2615</v>
      </c>
      <c r="AI161" t="s">
        <v>2538</v>
      </c>
      <c r="AJ161" t="s">
        <v>2514</v>
      </c>
      <c r="AK161" t="s">
        <v>20</v>
      </c>
      <c r="AL161" t="s">
        <v>2663</v>
      </c>
      <c r="AM161" t="s">
        <v>10</v>
      </c>
      <c r="AN161" t="s">
        <v>717</v>
      </c>
    </row>
    <row r="162" spans="1:40" hidden="1">
      <c r="A162">
        <v>160</v>
      </c>
      <c r="B162">
        <v>20</v>
      </c>
      <c r="C162" s="58">
        <v>44042</v>
      </c>
      <c r="D162" t="s">
        <v>74</v>
      </c>
      <c r="E162" t="s">
        <v>2515</v>
      </c>
      <c r="F162">
        <v>5</v>
      </c>
      <c r="G162">
        <v>5</v>
      </c>
      <c r="H162">
        <v>35</v>
      </c>
      <c r="I162">
        <v>2</v>
      </c>
      <c r="J162">
        <v>60.2</v>
      </c>
      <c r="K162" t="s">
        <v>25</v>
      </c>
      <c r="L162">
        <v>3550016.88</v>
      </c>
      <c r="M162">
        <v>0</v>
      </c>
      <c r="N162">
        <v>3550016.88</v>
      </c>
      <c r="O162">
        <v>58970.380066445177</v>
      </c>
      <c r="P162">
        <v>933100</v>
      </c>
      <c r="Q162">
        <v>2616916.88</v>
      </c>
      <c r="R162">
        <v>43470.380066445177</v>
      </c>
      <c r="S162" t="s">
        <v>65</v>
      </c>
      <c r="T162" t="s">
        <v>717</v>
      </c>
      <c r="U162" t="s">
        <v>717</v>
      </c>
      <c r="V162" t="s">
        <v>717</v>
      </c>
      <c r="W162">
        <v>44038</v>
      </c>
      <c r="X162" t="s">
        <v>3190</v>
      </c>
      <c r="Y162" t="s">
        <v>6</v>
      </c>
      <c r="Z162" t="s">
        <v>17</v>
      </c>
      <c r="AA162" t="s">
        <v>717</v>
      </c>
      <c r="AB162" t="s">
        <v>2509</v>
      </c>
      <c r="AC162" t="s">
        <v>2571</v>
      </c>
      <c r="AD162" t="s">
        <v>717</v>
      </c>
      <c r="AE162" t="s">
        <v>3191</v>
      </c>
      <c r="AF162" t="s">
        <v>3192</v>
      </c>
      <c r="AG162" t="s">
        <v>3193</v>
      </c>
      <c r="AH162" t="s">
        <v>2552</v>
      </c>
      <c r="AI162" t="s">
        <v>2877</v>
      </c>
      <c r="AJ162" t="s">
        <v>2657</v>
      </c>
      <c r="AK162" t="s">
        <v>77</v>
      </c>
      <c r="AL162" t="s">
        <v>2663</v>
      </c>
      <c r="AM162" t="s">
        <v>10</v>
      </c>
      <c r="AN162" t="s">
        <v>717</v>
      </c>
    </row>
    <row r="163" spans="1:40" hidden="1">
      <c r="A163">
        <v>161</v>
      </c>
      <c r="B163">
        <v>21</v>
      </c>
      <c r="C163" s="58">
        <v>44042</v>
      </c>
      <c r="D163" t="s">
        <v>74</v>
      </c>
      <c r="E163" t="s">
        <v>2506</v>
      </c>
      <c r="F163">
        <v>6</v>
      </c>
      <c r="G163">
        <v>15</v>
      </c>
      <c r="H163">
        <v>247</v>
      </c>
      <c r="I163">
        <v>2</v>
      </c>
      <c r="J163">
        <v>64.150000000000006</v>
      </c>
      <c r="K163" t="s">
        <v>9</v>
      </c>
      <c r="L163">
        <v>2856429.5</v>
      </c>
      <c r="M163">
        <v>0</v>
      </c>
      <c r="N163">
        <v>2856429.5</v>
      </c>
      <c r="O163">
        <v>44527.349961028835</v>
      </c>
      <c r="P163">
        <v>32075</v>
      </c>
      <c r="Q163">
        <v>2824354.5</v>
      </c>
      <c r="R163">
        <v>44027.349961028835</v>
      </c>
      <c r="S163" t="s">
        <v>65</v>
      </c>
      <c r="T163" t="s">
        <v>717</v>
      </c>
      <c r="U163" t="s">
        <v>717</v>
      </c>
      <c r="V163" t="s">
        <v>717</v>
      </c>
      <c r="W163">
        <v>44040</v>
      </c>
      <c r="X163" t="s">
        <v>3194</v>
      </c>
      <c r="Y163" t="s">
        <v>6</v>
      </c>
      <c r="Z163" t="s">
        <v>17</v>
      </c>
      <c r="AA163" t="s">
        <v>717</v>
      </c>
      <c r="AB163" t="s">
        <v>2509</v>
      </c>
      <c r="AC163" t="s">
        <v>2571</v>
      </c>
      <c r="AD163" t="s">
        <v>717</v>
      </c>
      <c r="AE163" t="s">
        <v>3195</v>
      </c>
      <c r="AF163" t="s">
        <v>3196</v>
      </c>
      <c r="AG163" t="s">
        <v>3197</v>
      </c>
      <c r="AH163" t="s">
        <v>2191</v>
      </c>
      <c r="AI163" t="s">
        <v>2706</v>
      </c>
      <c r="AJ163" t="s">
        <v>2514</v>
      </c>
      <c r="AK163" t="s">
        <v>2532</v>
      </c>
      <c r="AL163" t="s">
        <v>16</v>
      </c>
      <c r="AM163" t="s">
        <v>10</v>
      </c>
      <c r="AN163" t="s">
        <v>717</v>
      </c>
    </row>
    <row r="164" spans="1:40" hidden="1">
      <c r="A164">
        <v>162</v>
      </c>
      <c r="B164">
        <v>1</v>
      </c>
      <c r="C164" s="58">
        <v>44047</v>
      </c>
      <c r="D164" t="s">
        <v>74</v>
      </c>
      <c r="E164" t="s">
        <v>2506</v>
      </c>
      <c r="F164">
        <v>4</v>
      </c>
      <c r="G164">
        <v>22</v>
      </c>
      <c r="H164">
        <v>294</v>
      </c>
      <c r="I164">
        <v>1</v>
      </c>
      <c r="J164">
        <v>40.229999999999997</v>
      </c>
      <c r="K164" t="s">
        <v>15</v>
      </c>
      <c r="L164">
        <v>2105264.13</v>
      </c>
      <c r="M164">
        <v>0</v>
      </c>
      <c r="N164">
        <v>2105264.13</v>
      </c>
      <c r="O164">
        <v>52330.701715137955</v>
      </c>
      <c r="P164">
        <v>189081</v>
      </c>
      <c r="Q164">
        <v>1916183.13</v>
      </c>
      <c r="R164">
        <v>47630.701715137955</v>
      </c>
      <c r="S164" t="s">
        <v>65</v>
      </c>
      <c r="T164" t="s">
        <v>717</v>
      </c>
      <c r="U164" t="s">
        <v>717</v>
      </c>
      <c r="V164" t="s">
        <v>717</v>
      </c>
      <c r="W164">
        <v>44047</v>
      </c>
      <c r="X164" t="s">
        <v>3198</v>
      </c>
      <c r="Y164" t="s">
        <v>6</v>
      </c>
      <c r="Z164" t="s">
        <v>17</v>
      </c>
      <c r="AA164" t="s">
        <v>717</v>
      </c>
      <c r="AB164" t="s">
        <v>2509</v>
      </c>
      <c r="AC164" t="s">
        <v>2571</v>
      </c>
      <c r="AD164" t="s">
        <v>717</v>
      </c>
      <c r="AE164" t="s">
        <v>3199</v>
      </c>
      <c r="AF164" t="s">
        <v>3200</v>
      </c>
      <c r="AG164" t="s">
        <v>3201</v>
      </c>
      <c r="AH164" t="s">
        <v>2615</v>
      </c>
      <c r="AI164" t="s">
        <v>3120</v>
      </c>
      <c r="AJ164" t="s">
        <v>3202</v>
      </c>
      <c r="AK164" t="s">
        <v>77</v>
      </c>
      <c r="AL164" t="s">
        <v>2663</v>
      </c>
      <c r="AM164" t="s">
        <v>10</v>
      </c>
      <c r="AN164" t="s">
        <v>717</v>
      </c>
    </row>
    <row r="165" spans="1:40" hidden="1">
      <c r="A165">
        <v>163</v>
      </c>
      <c r="B165">
        <v>2</v>
      </c>
      <c r="C165" s="58">
        <v>44047</v>
      </c>
      <c r="D165" t="s">
        <v>74</v>
      </c>
      <c r="E165" t="s">
        <v>2506</v>
      </c>
      <c r="F165">
        <v>3</v>
      </c>
      <c r="G165">
        <v>18</v>
      </c>
      <c r="H165">
        <v>265</v>
      </c>
      <c r="I165">
        <v>1</v>
      </c>
      <c r="J165">
        <v>41.48</v>
      </c>
      <c r="K165" t="s">
        <v>9</v>
      </c>
      <c r="L165">
        <v>1897559.01</v>
      </c>
      <c r="M165">
        <v>0</v>
      </c>
      <c r="N165">
        <v>1897559.01</v>
      </c>
      <c r="O165">
        <v>45746.359932497595</v>
      </c>
      <c r="P165">
        <v>20740</v>
      </c>
      <c r="Q165">
        <v>1876819.01</v>
      </c>
      <c r="R165">
        <v>45246.359932497595</v>
      </c>
      <c r="S165" t="s">
        <v>130</v>
      </c>
      <c r="T165" t="s">
        <v>3203</v>
      </c>
      <c r="U165">
        <v>38302.42</v>
      </c>
      <c r="V165" t="s">
        <v>717</v>
      </c>
      <c r="W165">
        <v>44047</v>
      </c>
      <c r="X165" t="s">
        <v>3204</v>
      </c>
      <c r="Y165" t="s">
        <v>6</v>
      </c>
      <c r="Z165" t="s">
        <v>17</v>
      </c>
      <c r="AA165" t="s">
        <v>717</v>
      </c>
      <c r="AB165" t="s">
        <v>2509</v>
      </c>
      <c r="AC165" t="s">
        <v>118</v>
      </c>
      <c r="AD165" t="s">
        <v>717</v>
      </c>
      <c r="AE165" t="s">
        <v>3205</v>
      </c>
      <c r="AF165" t="s">
        <v>3206</v>
      </c>
      <c r="AG165" t="s">
        <v>3207</v>
      </c>
      <c r="AH165" t="s">
        <v>2191</v>
      </c>
      <c r="AI165" t="s">
        <v>2568</v>
      </c>
      <c r="AJ165" t="s">
        <v>2514</v>
      </c>
      <c r="AK165" t="s">
        <v>2532</v>
      </c>
      <c r="AL165" t="s">
        <v>717</v>
      </c>
      <c r="AM165" t="s">
        <v>10</v>
      </c>
      <c r="AN165" t="s">
        <v>717</v>
      </c>
    </row>
    <row r="166" spans="1:40" hidden="1">
      <c r="A166">
        <v>164</v>
      </c>
      <c r="B166">
        <v>3</v>
      </c>
      <c r="C166" s="58">
        <v>44049</v>
      </c>
      <c r="D166" t="s">
        <v>74</v>
      </c>
      <c r="E166" t="s">
        <v>2581</v>
      </c>
      <c r="F166">
        <v>3</v>
      </c>
      <c r="G166">
        <v>7</v>
      </c>
      <c r="H166">
        <v>354</v>
      </c>
      <c r="I166">
        <v>1</v>
      </c>
      <c r="J166">
        <v>41.9</v>
      </c>
      <c r="K166" t="s">
        <v>9</v>
      </c>
      <c r="L166">
        <v>2036835.26</v>
      </c>
      <c r="M166">
        <v>0</v>
      </c>
      <c r="N166">
        <v>2036835.26</v>
      </c>
      <c r="O166">
        <v>48611.820047732697</v>
      </c>
      <c r="P166">
        <v>20950</v>
      </c>
      <c r="Q166">
        <v>2015885.26</v>
      </c>
      <c r="R166">
        <v>48111.820047732697</v>
      </c>
      <c r="S166" t="s">
        <v>130</v>
      </c>
      <c r="T166" t="s">
        <v>717</v>
      </c>
      <c r="U166" t="s">
        <v>717</v>
      </c>
      <c r="V166" t="s">
        <v>717</v>
      </c>
      <c r="W166">
        <v>44049</v>
      </c>
      <c r="X166" t="s">
        <v>3208</v>
      </c>
      <c r="Y166" t="s">
        <v>6</v>
      </c>
      <c r="Z166" t="s">
        <v>11</v>
      </c>
      <c r="AA166" t="s">
        <v>717</v>
      </c>
      <c r="AB166" t="s">
        <v>2509</v>
      </c>
      <c r="AC166" t="s">
        <v>118</v>
      </c>
      <c r="AD166" t="s">
        <v>717</v>
      </c>
      <c r="AE166" t="s">
        <v>3209</v>
      </c>
      <c r="AF166" t="s">
        <v>3210</v>
      </c>
      <c r="AG166" t="s">
        <v>3211</v>
      </c>
      <c r="AH166" t="s">
        <v>2580</v>
      </c>
      <c r="AI166" t="s">
        <v>2824</v>
      </c>
      <c r="AJ166" t="s">
        <v>2514</v>
      </c>
      <c r="AK166" t="s">
        <v>63</v>
      </c>
      <c r="AL166" t="s">
        <v>717</v>
      </c>
      <c r="AM166" t="s">
        <v>10</v>
      </c>
      <c r="AN166" t="s">
        <v>717</v>
      </c>
    </row>
    <row r="167" spans="1:40" hidden="1">
      <c r="A167">
        <v>165</v>
      </c>
      <c r="B167">
        <v>4</v>
      </c>
      <c r="C167" s="58">
        <v>44050</v>
      </c>
      <c r="D167" t="s">
        <v>74</v>
      </c>
      <c r="E167" t="s">
        <v>2515</v>
      </c>
      <c r="F167">
        <v>10</v>
      </c>
      <c r="G167">
        <v>16</v>
      </c>
      <c r="H167">
        <v>150</v>
      </c>
      <c r="I167">
        <v>2</v>
      </c>
      <c r="J167">
        <v>65.88</v>
      </c>
      <c r="K167" t="s">
        <v>25</v>
      </c>
      <c r="L167">
        <v>3884968.63</v>
      </c>
      <c r="M167">
        <v>0</v>
      </c>
      <c r="N167">
        <v>3884968.63</v>
      </c>
      <c r="O167">
        <v>58970.379933211902</v>
      </c>
      <c r="P167">
        <v>1021140</v>
      </c>
      <c r="Q167">
        <v>2863828.63</v>
      </c>
      <c r="R167">
        <v>43470.379933211902</v>
      </c>
      <c r="S167" t="s">
        <v>65</v>
      </c>
      <c r="T167" t="s">
        <v>717</v>
      </c>
      <c r="U167" t="s">
        <v>717</v>
      </c>
      <c r="V167" t="s">
        <v>717</v>
      </c>
      <c r="W167">
        <v>44044</v>
      </c>
      <c r="X167" t="s">
        <v>3212</v>
      </c>
      <c r="Y167" t="s">
        <v>6</v>
      </c>
      <c r="Z167" t="s">
        <v>17</v>
      </c>
      <c r="AA167" t="s">
        <v>717</v>
      </c>
      <c r="AB167" t="s">
        <v>2509</v>
      </c>
      <c r="AC167" t="s">
        <v>2571</v>
      </c>
      <c r="AD167" t="s">
        <v>717</v>
      </c>
      <c r="AE167" t="s">
        <v>3213</v>
      </c>
      <c r="AF167" t="s">
        <v>3214</v>
      </c>
      <c r="AG167" t="s">
        <v>3215</v>
      </c>
      <c r="AH167" t="s">
        <v>2615</v>
      </c>
      <c r="AI167" t="s">
        <v>2847</v>
      </c>
      <c r="AJ167" t="s">
        <v>2940</v>
      </c>
      <c r="AK167" t="s">
        <v>2532</v>
      </c>
      <c r="AL167" t="s">
        <v>16</v>
      </c>
      <c r="AM167" t="s">
        <v>10</v>
      </c>
      <c r="AN167" t="s">
        <v>717</v>
      </c>
    </row>
    <row r="168" spans="1:40" hidden="1">
      <c r="A168">
        <v>166</v>
      </c>
      <c r="B168">
        <v>5</v>
      </c>
      <c r="C168" s="58">
        <v>44050</v>
      </c>
      <c r="D168" t="s">
        <v>74</v>
      </c>
      <c r="E168" t="s">
        <v>2515</v>
      </c>
      <c r="F168">
        <v>9</v>
      </c>
      <c r="G168">
        <v>2</v>
      </c>
      <c r="H168">
        <v>9</v>
      </c>
      <c r="I168">
        <v>2</v>
      </c>
      <c r="J168">
        <v>67.11</v>
      </c>
      <c r="K168" t="s">
        <v>15</v>
      </c>
      <c r="L168">
        <v>3157957.02</v>
      </c>
      <c r="M168">
        <v>0</v>
      </c>
      <c r="N168">
        <v>3157957.02</v>
      </c>
      <c r="O168">
        <v>47056.430040232452</v>
      </c>
      <c r="P168">
        <v>315417</v>
      </c>
      <c r="Q168">
        <v>2842540.02</v>
      </c>
      <c r="R168">
        <v>42356.430040232452</v>
      </c>
      <c r="S168" t="s">
        <v>65</v>
      </c>
      <c r="T168" t="s">
        <v>717</v>
      </c>
      <c r="U168" t="s">
        <v>717</v>
      </c>
      <c r="V168" t="s">
        <v>717</v>
      </c>
      <c r="W168">
        <v>44045</v>
      </c>
      <c r="X168" t="s">
        <v>3216</v>
      </c>
      <c r="Y168" t="s">
        <v>6</v>
      </c>
      <c r="Z168" t="s">
        <v>17</v>
      </c>
      <c r="AA168" t="s">
        <v>717</v>
      </c>
      <c r="AB168" t="s">
        <v>2509</v>
      </c>
      <c r="AC168" t="s">
        <v>2571</v>
      </c>
      <c r="AD168" t="s">
        <v>717</v>
      </c>
      <c r="AE168" t="s">
        <v>3217</v>
      </c>
      <c r="AF168" t="s">
        <v>3218</v>
      </c>
      <c r="AG168" t="s">
        <v>3219</v>
      </c>
      <c r="AH168" t="s">
        <v>2615</v>
      </c>
      <c r="AI168" t="s">
        <v>2552</v>
      </c>
      <c r="AJ168" t="s">
        <v>2662</v>
      </c>
      <c r="AK168" t="s">
        <v>20</v>
      </c>
      <c r="AL168" t="s">
        <v>2663</v>
      </c>
      <c r="AM168" t="s">
        <v>10</v>
      </c>
      <c r="AN168" t="s">
        <v>717</v>
      </c>
    </row>
    <row r="169" spans="1:40" hidden="1">
      <c r="A169">
        <v>167</v>
      </c>
      <c r="B169">
        <v>6</v>
      </c>
      <c r="C169" s="58">
        <v>44050</v>
      </c>
      <c r="D169" t="s">
        <v>74</v>
      </c>
      <c r="E169" t="s">
        <v>2515</v>
      </c>
      <c r="F169">
        <v>9</v>
      </c>
      <c r="G169">
        <v>14</v>
      </c>
      <c r="H169">
        <v>129</v>
      </c>
      <c r="I169">
        <v>2</v>
      </c>
      <c r="J169">
        <v>66.14</v>
      </c>
      <c r="K169" t="s">
        <v>15</v>
      </c>
      <c r="L169">
        <v>3185988.93</v>
      </c>
      <c r="M169">
        <v>0</v>
      </c>
      <c r="N169">
        <v>3185988.93</v>
      </c>
      <c r="O169">
        <v>48170.379951617782</v>
      </c>
      <c r="P169">
        <v>310858</v>
      </c>
      <c r="Q169">
        <v>2875130.93</v>
      </c>
      <c r="R169">
        <v>43470.379951617782</v>
      </c>
      <c r="S169" t="s">
        <v>130</v>
      </c>
      <c r="T169" t="s">
        <v>717</v>
      </c>
      <c r="U169" t="s">
        <v>717</v>
      </c>
      <c r="V169" t="s">
        <v>717</v>
      </c>
      <c r="W169">
        <v>44054</v>
      </c>
      <c r="X169" t="s">
        <v>3220</v>
      </c>
      <c r="Y169" t="s">
        <v>6</v>
      </c>
      <c r="Z169" t="s">
        <v>11</v>
      </c>
      <c r="AA169" t="s">
        <v>717</v>
      </c>
      <c r="AB169" t="s">
        <v>2509</v>
      </c>
      <c r="AC169" t="s">
        <v>118</v>
      </c>
      <c r="AD169" t="s">
        <v>717</v>
      </c>
      <c r="AE169" t="s">
        <v>3221</v>
      </c>
      <c r="AF169" t="s">
        <v>3222</v>
      </c>
      <c r="AG169" t="s">
        <v>3223</v>
      </c>
      <c r="AH169" t="s">
        <v>2552</v>
      </c>
      <c r="AI169" t="s">
        <v>2877</v>
      </c>
      <c r="AJ169" t="s">
        <v>3098</v>
      </c>
      <c r="AK169" t="s">
        <v>77</v>
      </c>
      <c r="AL169" t="s">
        <v>717</v>
      </c>
      <c r="AM169" t="s">
        <v>10</v>
      </c>
      <c r="AN169" t="s">
        <v>717</v>
      </c>
    </row>
    <row r="170" spans="1:40" hidden="1">
      <c r="A170">
        <v>168</v>
      </c>
      <c r="B170">
        <v>7</v>
      </c>
      <c r="C170" s="58">
        <v>44053</v>
      </c>
      <c r="D170" t="s">
        <v>74</v>
      </c>
      <c r="E170" t="s">
        <v>2515</v>
      </c>
      <c r="F170">
        <v>5</v>
      </c>
      <c r="G170">
        <v>7</v>
      </c>
      <c r="H170">
        <v>55</v>
      </c>
      <c r="I170">
        <v>2</v>
      </c>
      <c r="J170">
        <v>60.2</v>
      </c>
      <c r="K170" t="s">
        <v>9</v>
      </c>
      <c r="L170">
        <v>2632017.44</v>
      </c>
      <c r="M170">
        <v>15000</v>
      </c>
      <c r="N170">
        <v>2647017.44</v>
      </c>
      <c r="O170">
        <v>43970.38936877076</v>
      </c>
      <c r="P170">
        <v>30100</v>
      </c>
      <c r="Q170">
        <v>2616917.44</v>
      </c>
      <c r="R170">
        <v>43470.38936877076</v>
      </c>
      <c r="S170" t="s">
        <v>65</v>
      </c>
      <c r="T170" t="s">
        <v>717</v>
      </c>
      <c r="U170" t="s">
        <v>717</v>
      </c>
      <c r="V170" t="s">
        <v>717</v>
      </c>
      <c r="W170">
        <v>44044</v>
      </c>
      <c r="X170" t="s">
        <v>3224</v>
      </c>
      <c r="Y170" t="s">
        <v>6</v>
      </c>
      <c r="Z170" t="s">
        <v>17</v>
      </c>
      <c r="AA170" t="s">
        <v>717</v>
      </c>
      <c r="AB170" t="s">
        <v>2509</v>
      </c>
      <c r="AC170" t="s">
        <v>2558</v>
      </c>
      <c r="AD170" t="s">
        <v>717</v>
      </c>
      <c r="AE170" t="s">
        <v>3225</v>
      </c>
      <c r="AF170" t="s">
        <v>3226</v>
      </c>
      <c r="AG170" t="s">
        <v>3227</v>
      </c>
      <c r="AH170" t="s">
        <v>2552</v>
      </c>
      <c r="AI170" t="s">
        <v>2877</v>
      </c>
      <c r="AJ170" t="s">
        <v>2657</v>
      </c>
      <c r="AK170" t="s">
        <v>2532</v>
      </c>
      <c r="AL170" t="s">
        <v>16</v>
      </c>
      <c r="AM170" t="s">
        <v>10</v>
      </c>
      <c r="AN170" t="s">
        <v>717</v>
      </c>
    </row>
    <row r="171" spans="1:40" hidden="1">
      <c r="A171">
        <v>169</v>
      </c>
      <c r="B171">
        <v>8</v>
      </c>
      <c r="C171" s="58">
        <v>44053</v>
      </c>
      <c r="D171" t="s">
        <v>74</v>
      </c>
      <c r="E171" t="s">
        <v>2506</v>
      </c>
      <c r="F171">
        <v>5</v>
      </c>
      <c r="G171">
        <v>10</v>
      </c>
      <c r="H171">
        <v>211</v>
      </c>
      <c r="I171">
        <v>3</v>
      </c>
      <c r="J171">
        <v>78.03</v>
      </c>
      <c r="K171" t="s">
        <v>9</v>
      </c>
      <c r="L171">
        <v>3344087.23</v>
      </c>
      <c r="M171">
        <v>0</v>
      </c>
      <c r="N171">
        <v>3344087.23</v>
      </c>
      <c r="O171">
        <v>42856.429962834809</v>
      </c>
      <c r="P171">
        <v>39015</v>
      </c>
      <c r="Q171">
        <v>3305072.23</v>
      </c>
      <c r="R171">
        <v>42356.429962834809</v>
      </c>
      <c r="S171" t="s">
        <v>65</v>
      </c>
      <c r="T171" t="s">
        <v>717</v>
      </c>
      <c r="U171" t="s">
        <v>717</v>
      </c>
      <c r="V171" t="s">
        <v>717</v>
      </c>
      <c r="W171">
        <v>44045</v>
      </c>
      <c r="X171" t="s">
        <v>3228</v>
      </c>
      <c r="Y171" t="s">
        <v>6</v>
      </c>
      <c r="Z171" t="s">
        <v>17</v>
      </c>
      <c r="AA171" t="s">
        <v>717</v>
      </c>
      <c r="AB171" t="s">
        <v>2509</v>
      </c>
      <c r="AC171" t="s">
        <v>2571</v>
      </c>
      <c r="AD171" t="s">
        <v>717</v>
      </c>
      <c r="AE171" t="s">
        <v>3229</v>
      </c>
      <c r="AF171" t="s">
        <v>3230</v>
      </c>
      <c r="AG171" t="s">
        <v>3231</v>
      </c>
      <c r="AH171" t="s">
        <v>2615</v>
      </c>
      <c r="AI171" t="s">
        <v>2552</v>
      </c>
      <c r="AJ171" t="s">
        <v>2642</v>
      </c>
      <c r="AK171" t="s">
        <v>20</v>
      </c>
      <c r="AL171" t="s">
        <v>2663</v>
      </c>
      <c r="AM171" t="s">
        <v>10</v>
      </c>
      <c r="AN171" t="s">
        <v>717</v>
      </c>
    </row>
    <row r="172" spans="1:40" hidden="1">
      <c r="A172">
        <v>170</v>
      </c>
      <c r="B172">
        <v>9</v>
      </c>
      <c r="C172" s="58">
        <v>44055</v>
      </c>
      <c r="D172" t="s">
        <v>74</v>
      </c>
      <c r="E172" t="s">
        <v>2506</v>
      </c>
      <c r="F172">
        <v>3</v>
      </c>
      <c r="G172">
        <v>4</v>
      </c>
      <c r="H172">
        <v>167</v>
      </c>
      <c r="I172">
        <v>1</v>
      </c>
      <c r="J172">
        <v>41.48</v>
      </c>
      <c r="K172" t="s">
        <v>25</v>
      </c>
      <c r="L172">
        <v>2538909.91</v>
      </c>
      <c r="M172">
        <v>0</v>
      </c>
      <c r="N172">
        <v>2538909.91</v>
      </c>
      <c r="O172">
        <v>61208.04990356799</v>
      </c>
      <c r="P172">
        <v>642940</v>
      </c>
      <c r="Q172">
        <v>1895969.91</v>
      </c>
      <c r="R172">
        <v>45708.04990356799</v>
      </c>
      <c r="S172" t="s">
        <v>65</v>
      </c>
      <c r="T172" t="s">
        <v>3145</v>
      </c>
      <c r="U172">
        <v>19151.22</v>
      </c>
      <c r="V172" t="s">
        <v>717</v>
      </c>
      <c r="W172">
        <v>44054</v>
      </c>
      <c r="X172" t="s">
        <v>3232</v>
      </c>
      <c r="Y172" t="s">
        <v>6</v>
      </c>
      <c r="Z172" t="s">
        <v>17</v>
      </c>
      <c r="AA172" t="s">
        <v>717</v>
      </c>
      <c r="AB172" t="s">
        <v>2509</v>
      </c>
      <c r="AC172" t="s">
        <v>2571</v>
      </c>
      <c r="AD172" t="s">
        <v>717</v>
      </c>
      <c r="AE172" t="s">
        <v>3233</v>
      </c>
      <c r="AF172" t="s">
        <v>3234</v>
      </c>
      <c r="AG172" t="s">
        <v>3235</v>
      </c>
      <c r="AH172" t="s">
        <v>2552</v>
      </c>
      <c r="AI172" t="s">
        <v>2877</v>
      </c>
      <c r="AJ172" t="s">
        <v>3098</v>
      </c>
      <c r="AK172" t="s">
        <v>77</v>
      </c>
      <c r="AL172" t="s">
        <v>2663</v>
      </c>
      <c r="AM172" t="s">
        <v>10</v>
      </c>
      <c r="AN172" t="s">
        <v>717</v>
      </c>
    </row>
    <row r="173" spans="1:40" hidden="1">
      <c r="A173">
        <v>171</v>
      </c>
      <c r="B173">
        <v>10</v>
      </c>
      <c r="C173" s="58">
        <v>44056</v>
      </c>
      <c r="D173" t="s">
        <v>74</v>
      </c>
      <c r="E173" t="s">
        <v>2581</v>
      </c>
      <c r="F173">
        <v>2</v>
      </c>
      <c r="G173">
        <v>7</v>
      </c>
      <c r="H173">
        <v>353</v>
      </c>
      <c r="I173">
        <v>3</v>
      </c>
      <c r="J173">
        <v>89.8</v>
      </c>
      <c r="K173" t="s">
        <v>9</v>
      </c>
      <c r="L173">
        <v>3948506</v>
      </c>
      <c r="M173">
        <v>0</v>
      </c>
      <c r="N173">
        <v>3948506</v>
      </c>
      <c r="O173">
        <v>43970</v>
      </c>
      <c r="P173">
        <v>44900</v>
      </c>
      <c r="Q173">
        <v>3903606</v>
      </c>
      <c r="R173">
        <v>43470</v>
      </c>
      <c r="S173" t="s">
        <v>65</v>
      </c>
      <c r="T173" t="s">
        <v>717</v>
      </c>
      <c r="U173" t="s">
        <v>717</v>
      </c>
      <c r="V173" t="s">
        <v>717</v>
      </c>
      <c r="W173">
        <v>44049</v>
      </c>
      <c r="X173" t="s">
        <v>3236</v>
      </c>
      <c r="Y173" t="s">
        <v>6</v>
      </c>
      <c r="Z173" t="s">
        <v>11</v>
      </c>
      <c r="AA173" t="s">
        <v>717</v>
      </c>
      <c r="AB173" t="s">
        <v>2509</v>
      </c>
      <c r="AC173" t="s">
        <v>2576</v>
      </c>
      <c r="AD173" t="s">
        <v>717</v>
      </c>
      <c r="AE173" t="s">
        <v>3237</v>
      </c>
      <c r="AF173" t="s">
        <v>3238</v>
      </c>
      <c r="AG173" t="s">
        <v>3239</v>
      </c>
      <c r="AH173" t="s">
        <v>2615</v>
      </c>
      <c r="AI173" t="s">
        <v>2824</v>
      </c>
      <c r="AJ173" t="s">
        <v>2514</v>
      </c>
      <c r="AK173" t="s">
        <v>77</v>
      </c>
      <c r="AL173" t="s">
        <v>2663</v>
      </c>
      <c r="AM173" t="s">
        <v>10</v>
      </c>
      <c r="AN173" t="s">
        <v>717</v>
      </c>
    </row>
    <row r="174" spans="1:40" hidden="1">
      <c r="A174">
        <v>172</v>
      </c>
      <c r="B174">
        <v>11</v>
      </c>
      <c r="C174" s="58">
        <v>44056</v>
      </c>
      <c r="D174" t="s">
        <v>74</v>
      </c>
      <c r="E174" t="s">
        <v>2581</v>
      </c>
      <c r="F174">
        <v>6</v>
      </c>
      <c r="G174">
        <v>4</v>
      </c>
      <c r="H174">
        <v>333</v>
      </c>
      <c r="I174">
        <v>2</v>
      </c>
      <c r="J174">
        <v>65.72</v>
      </c>
      <c r="K174" t="s">
        <v>25</v>
      </c>
      <c r="L174">
        <v>4021950.3</v>
      </c>
      <c r="M174">
        <v>0</v>
      </c>
      <c r="N174">
        <v>4021950.3</v>
      </c>
      <c r="O174">
        <v>61198.269933049298</v>
      </c>
      <c r="P174">
        <v>1018660</v>
      </c>
      <c r="Q174">
        <v>3003290.3</v>
      </c>
      <c r="R174">
        <v>45698.269933049298</v>
      </c>
      <c r="S174" t="s">
        <v>65</v>
      </c>
      <c r="T174" t="s">
        <v>717</v>
      </c>
      <c r="U174" t="s">
        <v>717</v>
      </c>
      <c r="V174" t="s">
        <v>717</v>
      </c>
      <c r="W174">
        <v>44054</v>
      </c>
      <c r="X174" t="s">
        <v>3240</v>
      </c>
      <c r="Y174" t="s">
        <v>6</v>
      </c>
      <c r="Z174" t="s">
        <v>17</v>
      </c>
      <c r="AA174" t="s">
        <v>717</v>
      </c>
      <c r="AB174" t="s">
        <v>2509</v>
      </c>
      <c r="AC174" t="s">
        <v>2571</v>
      </c>
      <c r="AD174" t="s">
        <v>717</v>
      </c>
      <c r="AE174" t="s">
        <v>3241</v>
      </c>
      <c r="AF174" t="s">
        <v>3242</v>
      </c>
      <c r="AG174" t="s">
        <v>3243</v>
      </c>
      <c r="AH174" t="s">
        <v>2191</v>
      </c>
      <c r="AI174" t="s">
        <v>2521</v>
      </c>
      <c r="AJ174" t="s">
        <v>2514</v>
      </c>
      <c r="AK174" t="s">
        <v>20</v>
      </c>
      <c r="AL174" t="s">
        <v>2663</v>
      </c>
      <c r="AM174" t="s">
        <v>10</v>
      </c>
      <c r="AN174" t="s">
        <v>717</v>
      </c>
    </row>
    <row r="175" spans="1:40" hidden="1">
      <c r="A175">
        <v>173</v>
      </c>
      <c r="B175">
        <v>12</v>
      </c>
      <c r="C175" s="58">
        <v>44056</v>
      </c>
      <c r="D175" t="s">
        <v>74</v>
      </c>
      <c r="E175" t="s">
        <v>2506</v>
      </c>
      <c r="F175">
        <v>3</v>
      </c>
      <c r="G175">
        <v>13</v>
      </c>
      <c r="H175">
        <v>230</v>
      </c>
      <c r="I175">
        <v>1</v>
      </c>
      <c r="J175">
        <v>41.48</v>
      </c>
      <c r="K175" t="s">
        <v>9</v>
      </c>
      <c r="L175">
        <v>1905861.23</v>
      </c>
      <c r="M175">
        <v>0</v>
      </c>
      <c r="N175">
        <v>1905861.23</v>
      </c>
      <c r="O175">
        <v>45946.509884281586</v>
      </c>
      <c r="P175">
        <v>20740</v>
      </c>
      <c r="Q175">
        <v>1885121.23</v>
      </c>
      <c r="R175">
        <v>45446.509884281586</v>
      </c>
      <c r="S175" t="s">
        <v>130</v>
      </c>
      <c r="T175" t="s">
        <v>2815</v>
      </c>
      <c r="U175">
        <v>30000</v>
      </c>
      <c r="V175" t="s">
        <v>717</v>
      </c>
      <c r="W175">
        <v>44054</v>
      </c>
      <c r="X175" t="s">
        <v>3244</v>
      </c>
      <c r="Y175" t="s">
        <v>6</v>
      </c>
      <c r="Z175" t="s">
        <v>17</v>
      </c>
      <c r="AA175" t="s">
        <v>717</v>
      </c>
      <c r="AB175" t="s">
        <v>2509</v>
      </c>
      <c r="AC175" t="s">
        <v>118</v>
      </c>
      <c r="AD175" t="s">
        <v>717</v>
      </c>
      <c r="AE175" t="s">
        <v>3245</v>
      </c>
      <c r="AF175" t="s">
        <v>3246</v>
      </c>
      <c r="AG175" t="s">
        <v>3247</v>
      </c>
      <c r="AH175" t="s">
        <v>2191</v>
      </c>
      <c r="AI175" t="s">
        <v>2552</v>
      </c>
      <c r="AJ175" t="s">
        <v>2514</v>
      </c>
      <c r="AK175" t="s">
        <v>63</v>
      </c>
      <c r="AL175" t="s">
        <v>717</v>
      </c>
      <c r="AM175" t="s">
        <v>10</v>
      </c>
      <c r="AN175" t="s">
        <v>717</v>
      </c>
    </row>
    <row r="176" spans="1:40" hidden="1">
      <c r="A176">
        <v>174</v>
      </c>
      <c r="B176">
        <v>13</v>
      </c>
      <c r="C176" s="58">
        <v>44057</v>
      </c>
      <c r="D176" t="s">
        <v>74</v>
      </c>
      <c r="E176" t="s">
        <v>2515</v>
      </c>
      <c r="F176">
        <v>8</v>
      </c>
      <c r="G176">
        <v>9</v>
      </c>
      <c r="H176">
        <v>78</v>
      </c>
      <c r="I176">
        <v>1</v>
      </c>
      <c r="J176">
        <v>47.97</v>
      </c>
      <c r="K176" t="s">
        <v>15</v>
      </c>
      <c r="L176">
        <v>2399282.39</v>
      </c>
      <c r="M176">
        <v>15000</v>
      </c>
      <c r="N176">
        <v>2414282.39</v>
      </c>
      <c r="O176">
        <v>50329.005420054207</v>
      </c>
      <c r="P176">
        <v>225459</v>
      </c>
      <c r="Q176">
        <v>2188823.39</v>
      </c>
      <c r="R176">
        <v>45629.005420054207</v>
      </c>
      <c r="S176" t="s">
        <v>65</v>
      </c>
      <c r="T176" t="s">
        <v>717</v>
      </c>
      <c r="U176" t="s">
        <v>717</v>
      </c>
      <c r="V176" t="s">
        <v>717</v>
      </c>
      <c r="W176">
        <v>44055</v>
      </c>
      <c r="X176" t="s">
        <v>3248</v>
      </c>
      <c r="Y176" t="s">
        <v>6</v>
      </c>
      <c r="Z176" t="s">
        <v>11</v>
      </c>
      <c r="AA176" t="s">
        <v>717</v>
      </c>
      <c r="AB176" t="s">
        <v>2509</v>
      </c>
      <c r="AC176" t="s">
        <v>2891</v>
      </c>
      <c r="AD176" t="s">
        <v>717</v>
      </c>
      <c r="AE176" t="s">
        <v>3249</v>
      </c>
      <c r="AF176" t="s">
        <v>3250</v>
      </c>
      <c r="AG176" t="s">
        <v>3251</v>
      </c>
      <c r="AH176" t="s">
        <v>2615</v>
      </c>
      <c r="AI176" t="s">
        <v>2552</v>
      </c>
      <c r="AJ176" t="s">
        <v>2825</v>
      </c>
      <c r="AK176" t="s">
        <v>63</v>
      </c>
      <c r="AL176" t="s">
        <v>2663</v>
      </c>
      <c r="AM176" t="s">
        <v>10</v>
      </c>
      <c r="AN176" t="s">
        <v>717</v>
      </c>
    </row>
    <row r="177" spans="1:40" hidden="1">
      <c r="A177">
        <v>175</v>
      </c>
      <c r="B177">
        <v>14</v>
      </c>
      <c r="C177" s="58">
        <v>44062</v>
      </c>
      <c r="D177" t="s">
        <v>74</v>
      </c>
      <c r="E177" t="s">
        <v>2506</v>
      </c>
      <c r="F177">
        <v>6</v>
      </c>
      <c r="G177">
        <v>8</v>
      </c>
      <c r="H177">
        <v>198</v>
      </c>
      <c r="I177">
        <v>2</v>
      </c>
      <c r="J177">
        <v>64.150000000000006</v>
      </c>
      <c r="K177" t="s">
        <v>9</v>
      </c>
      <c r="L177">
        <v>2784969.61</v>
      </c>
      <c r="M177">
        <v>0</v>
      </c>
      <c r="N177">
        <v>2784969.61</v>
      </c>
      <c r="O177">
        <v>43413.399999999994</v>
      </c>
      <c r="P177">
        <v>32075</v>
      </c>
      <c r="Q177">
        <v>2752894.61</v>
      </c>
      <c r="R177">
        <v>42913.399999999994</v>
      </c>
      <c r="S177" t="s">
        <v>65</v>
      </c>
      <c r="T177" t="s">
        <v>717</v>
      </c>
      <c r="U177" t="s">
        <v>717</v>
      </c>
      <c r="V177" t="s">
        <v>717</v>
      </c>
      <c r="W177">
        <v>44054</v>
      </c>
      <c r="X177" t="s">
        <v>3252</v>
      </c>
      <c r="Y177" t="s">
        <v>6</v>
      </c>
      <c r="Z177" t="s">
        <v>17</v>
      </c>
      <c r="AA177" t="s">
        <v>717</v>
      </c>
      <c r="AB177" t="s">
        <v>2509</v>
      </c>
      <c r="AC177" t="s">
        <v>2571</v>
      </c>
      <c r="AD177" t="s">
        <v>717</v>
      </c>
      <c r="AE177" t="s">
        <v>3253</v>
      </c>
      <c r="AF177" t="s">
        <v>3254</v>
      </c>
      <c r="AG177" t="s">
        <v>3255</v>
      </c>
      <c r="AH177" t="s">
        <v>2615</v>
      </c>
      <c r="AI177" t="s">
        <v>2552</v>
      </c>
      <c r="AJ177" t="s">
        <v>2662</v>
      </c>
      <c r="AK177" t="s">
        <v>63</v>
      </c>
      <c r="AL177" t="s">
        <v>2663</v>
      </c>
      <c r="AM177" t="s">
        <v>10</v>
      </c>
      <c r="AN177" t="s">
        <v>717</v>
      </c>
    </row>
    <row r="178" spans="1:40" hidden="1">
      <c r="A178">
        <v>176</v>
      </c>
      <c r="B178">
        <v>15</v>
      </c>
      <c r="C178" s="58">
        <v>44063</v>
      </c>
      <c r="D178" t="s">
        <v>74</v>
      </c>
      <c r="E178" t="s">
        <v>2515</v>
      </c>
      <c r="F178">
        <v>9</v>
      </c>
      <c r="G178">
        <v>5</v>
      </c>
      <c r="H178">
        <v>39</v>
      </c>
      <c r="I178">
        <v>2</v>
      </c>
      <c r="J178">
        <v>66.14</v>
      </c>
      <c r="K178" t="s">
        <v>25</v>
      </c>
      <c r="L178">
        <v>3900300.93</v>
      </c>
      <c r="M178">
        <v>0</v>
      </c>
      <c r="N178">
        <v>3900300.93</v>
      </c>
      <c r="O178">
        <v>58970.379951617782</v>
      </c>
      <c r="P178">
        <v>1025170</v>
      </c>
      <c r="Q178">
        <v>2875130.93</v>
      </c>
      <c r="R178">
        <v>43470.379951617782</v>
      </c>
      <c r="S178" t="s">
        <v>65</v>
      </c>
      <c r="T178" t="s">
        <v>717</v>
      </c>
      <c r="U178" t="s">
        <v>717</v>
      </c>
      <c r="V178" t="s">
        <v>717</v>
      </c>
      <c r="W178">
        <v>44044</v>
      </c>
      <c r="X178" t="s">
        <v>3256</v>
      </c>
      <c r="Y178" t="s">
        <v>6</v>
      </c>
      <c r="Z178" t="s">
        <v>17</v>
      </c>
      <c r="AA178" t="s">
        <v>717</v>
      </c>
      <c r="AB178" t="s">
        <v>2509</v>
      </c>
      <c r="AC178" t="s">
        <v>2571</v>
      </c>
      <c r="AD178" t="s">
        <v>717</v>
      </c>
      <c r="AE178" t="s">
        <v>3257</v>
      </c>
      <c r="AF178" t="s">
        <v>3258</v>
      </c>
      <c r="AG178" t="s">
        <v>3259</v>
      </c>
      <c r="AH178" t="s">
        <v>2615</v>
      </c>
      <c r="AI178" t="s">
        <v>3120</v>
      </c>
      <c r="AJ178" t="s">
        <v>2895</v>
      </c>
      <c r="AK178" t="s">
        <v>63</v>
      </c>
      <c r="AL178" t="s">
        <v>16</v>
      </c>
      <c r="AM178" t="s">
        <v>10</v>
      </c>
      <c r="AN178" t="s">
        <v>717</v>
      </c>
    </row>
    <row r="179" spans="1:40" hidden="1">
      <c r="A179">
        <v>177</v>
      </c>
      <c r="B179">
        <v>16</v>
      </c>
      <c r="C179" s="58">
        <v>44063</v>
      </c>
      <c r="D179" t="s">
        <v>74</v>
      </c>
      <c r="E179" t="s">
        <v>2581</v>
      </c>
      <c r="F179">
        <v>4</v>
      </c>
      <c r="G179">
        <v>4</v>
      </c>
      <c r="H179">
        <v>331</v>
      </c>
      <c r="I179">
        <v>2</v>
      </c>
      <c r="J179">
        <v>60.38</v>
      </c>
      <c r="K179" t="s">
        <v>15</v>
      </c>
      <c r="L179">
        <v>3043047.54</v>
      </c>
      <c r="M179">
        <v>0</v>
      </c>
      <c r="N179">
        <v>3043047.54</v>
      </c>
      <c r="O179">
        <v>50398.269956939381</v>
      </c>
      <c r="P179">
        <v>283786</v>
      </c>
      <c r="Q179">
        <v>2759261.54</v>
      </c>
      <c r="R179">
        <v>45698.269956939381</v>
      </c>
      <c r="S179" t="s">
        <v>65</v>
      </c>
      <c r="T179" t="s">
        <v>717</v>
      </c>
      <c r="U179" t="s">
        <v>717</v>
      </c>
      <c r="V179" t="s">
        <v>717</v>
      </c>
      <c r="W179">
        <v>44057</v>
      </c>
      <c r="X179" t="s">
        <v>3260</v>
      </c>
      <c r="Y179" t="s">
        <v>6</v>
      </c>
      <c r="Z179" t="s">
        <v>17</v>
      </c>
      <c r="AA179" t="s">
        <v>717</v>
      </c>
      <c r="AB179" t="s">
        <v>2509</v>
      </c>
      <c r="AC179" t="s">
        <v>2571</v>
      </c>
      <c r="AD179" t="s">
        <v>717</v>
      </c>
      <c r="AE179" t="s">
        <v>3261</v>
      </c>
      <c r="AF179" t="s">
        <v>3262</v>
      </c>
      <c r="AG179" t="s">
        <v>3263</v>
      </c>
      <c r="AH179" t="s">
        <v>2615</v>
      </c>
      <c r="AI179" t="s">
        <v>2552</v>
      </c>
      <c r="AJ179" t="s">
        <v>2569</v>
      </c>
      <c r="AK179" t="s">
        <v>63</v>
      </c>
      <c r="AL179" t="s">
        <v>16</v>
      </c>
      <c r="AM179" t="s">
        <v>10</v>
      </c>
      <c r="AN179" t="s">
        <v>717</v>
      </c>
    </row>
    <row r="180" spans="1:40" hidden="1">
      <c r="A180">
        <v>178</v>
      </c>
      <c r="B180">
        <v>17</v>
      </c>
      <c r="C180" s="58">
        <v>44064</v>
      </c>
      <c r="D180" t="s">
        <v>74</v>
      </c>
      <c r="E180" t="s">
        <v>2581</v>
      </c>
      <c r="F180">
        <v>5</v>
      </c>
      <c r="G180">
        <v>6</v>
      </c>
      <c r="H180">
        <v>348</v>
      </c>
      <c r="I180">
        <v>2</v>
      </c>
      <c r="J180">
        <v>60.9</v>
      </c>
      <c r="K180" t="s">
        <v>15</v>
      </c>
      <c r="L180">
        <v>3103174.12</v>
      </c>
      <c r="M180">
        <v>0</v>
      </c>
      <c r="N180">
        <v>3103174.12</v>
      </c>
      <c r="O180">
        <v>50955.24006568145</v>
      </c>
      <c r="P180">
        <v>286230</v>
      </c>
      <c r="Q180">
        <v>2816944.12</v>
      </c>
      <c r="R180">
        <v>46255.24006568145</v>
      </c>
      <c r="S180" t="s">
        <v>65</v>
      </c>
      <c r="T180" t="s">
        <v>717</v>
      </c>
      <c r="U180" t="s">
        <v>717</v>
      </c>
      <c r="V180" t="s">
        <v>717</v>
      </c>
      <c r="W180">
        <v>44057</v>
      </c>
      <c r="X180" t="s">
        <v>3264</v>
      </c>
      <c r="Y180" t="s">
        <v>6</v>
      </c>
      <c r="Z180" t="s">
        <v>17</v>
      </c>
      <c r="AA180" t="s">
        <v>717</v>
      </c>
      <c r="AB180" t="s">
        <v>2509</v>
      </c>
      <c r="AC180" t="s">
        <v>2571</v>
      </c>
      <c r="AD180" t="s">
        <v>717</v>
      </c>
      <c r="AE180" t="s">
        <v>3265</v>
      </c>
      <c r="AF180" t="s">
        <v>3266</v>
      </c>
      <c r="AG180" t="s">
        <v>3267</v>
      </c>
      <c r="AH180" t="s">
        <v>2191</v>
      </c>
      <c r="AI180" t="s">
        <v>2552</v>
      </c>
      <c r="AJ180" t="s">
        <v>2514</v>
      </c>
      <c r="AK180" t="s">
        <v>20</v>
      </c>
      <c r="AL180" t="s">
        <v>16</v>
      </c>
      <c r="AM180" t="s">
        <v>10</v>
      </c>
      <c r="AN180" t="s">
        <v>717</v>
      </c>
    </row>
    <row r="181" spans="1:40" hidden="1">
      <c r="A181">
        <v>179</v>
      </c>
      <c r="B181">
        <v>18</v>
      </c>
      <c r="C181" s="58">
        <v>44064</v>
      </c>
      <c r="D181" t="s">
        <v>74</v>
      </c>
      <c r="E181" t="s">
        <v>2515</v>
      </c>
      <c r="F181">
        <v>3</v>
      </c>
      <c r="G181">
        <v>14</v>
      </c>
      <c r="H181">
        <v>123</v>
      </c>
      <c r="I181">
        <v>2</v>
      </c>
      <c r="J181">
        <v>67.16</v>
      </c>
      <c r="K181" t="s">
        <v>15</v>
      </c>
      <c r="L181">
        <v>3182528.83</v>
      </c>
      <c r="M181">
        <v>15000</v>
      </c>
      <c r="N181">
        <v>3197528.83</v>
      </c>
      <c r="O181">
        <v>47610.613907087558</v>
      </c>
      <c r="P181">
        <v>315652</v>
      </c>
      <c r="Q181">
        <v>2881876.83</v>
      </c>
      <c r="R181">
        <v>42910.613907087558</v>
      </c>
      <c r="S181" t="s">
        <v>65</v>
      </c>
      <c r="T181" t="s">
        <v>3268</v>
      </c>
      <c r="U181">
        <v>60000</v>
      </c>
      <c r="V181" t="s">
        <v>717</v>
      </c>
      <c r="W181">
        <v>44061</v>
      </c>
      <c r="X181" t="s">
        <v>3269</v>
      </c>
      <c r="Y181" t="s">
        <v>6</v>
      </c>
      <c r="Z181" t="s">
        <v>17</v>
      </c>
      <c r="AA181" t="s">
        <v>717</v>
      </c>
      <c r="AB181" t="s">
        <v>2509</v>
      </c>
      <c r="AC181" t="s">
        <v>2571</v>
      </c>
      <c r="AD181" t="s">
        <v>717</v>
      </c>
      <c r="AE181" t="s">
        <v>3270</v>
      </c>
      <c r="AF181" t="s">
        <v>3271</v>
      </c>
      <c r="AG181" t="s">
        <v>3272</v>
      </c>
      <c r="AH181" t="s">
        <v>2615</v>
      </c>
      <c r="AI181" t="s">
        <v>2847</v>
      </c>
      <c r="AJ181" t="s">
        <v>2940</v>
      </c>
      <c r="AK181" t="s">
        <v>63</v>
      </c>
      <c r="AL181" t="s">
        <v>16</v>
      </c>
      <c r="AM181" t="s">
        <v>10</v>
      </c>
      <c r="AN181" t="s">
        <v>717</v>
      </c>
    </row>
    <row r="182" spans="1:40" hidden="1">
      <c r="A182">
        <v>180</v>
      </c>
      <c r="B182">
        <v>19</v>
      </c>
      <c r="C182" s="58">
        <v>44064</v>
      </c>
      <c r="D182" t="s">
        <v>74</v>
      </c>
      <c r="E182" t="s">
        <v>2515</v>
      </c>
      <c r="F182">
        <v>9</v>
      </c>
      <c r="G182">
        <v>11</v>
      </c>
      <c r="H182">
        <v>99</v>
      </c>
      <c r="I182">
        <v>2</v>
      </c>
      <c r="J182">
        <v>66.14</v>
      </c>
      <c r="K182" t="s">
        <v>25</v>
      </c>
      <c r="L182">
        <v>3986554.77</v>
      </c>
      <c r="M182">
        <v>0</v>
      </c>
      <c r="N182">
        <v>3986554.77</v>
      </c>
      <c r="O182">
        <v>60274.490021167221</v>
      </c>
      <c r="P182">
        <v>1025170</v>
      </c>
      <c r="Q182">
        <v>2961384.77</v>
      </c>
      <c r="R182">
        <v>44774.490021167221</v>
      </c>
      <c r="S182" t="s">
        <v>130</v>
      </c>
      <c r="T182" t="s">
        <v>717</v>
      </c>
      <c r="U182" t="s">
        <v>717</v>
      </c>
      <c r="V182" t="s">
        <v>717</v>
      </c>
      <c r="W182">
        <v>44063</v>
      </c>
      <c r="X182" t="s">
        <v>3273</v>
      </c>
      <c r="Y182" t="s">
        <v>6</v>
      </c>
      <c r="Z182" t="s">
        <v>17</v>
      </c>
      <c r="AA182" t="s">
        <v>717</v>
      </c>
      <c r="AB182" t="s">
        <v>2509</v>
      </c>
      <c r="AC182" t="s">
        <v>118</v>
      </c>
      <c r="AD182" t="s">
        <v>717</v>
      </c>
      <c r="AE182" t="s">
        <v>3274</v>
      </c>
      <c r="AF182" t="s">
        <v>3275</v>
      </c>
      <c r="AG182" t="s">
        <v>3276</v>
      </c>
      <c r="AH182" t="s">
        <v>2615</v>
      </c>
      <c r="AI182" t="s">
        <v>2552</v>
      </c>
      <c r="AJ182" t="s">
        <v>2514</v>
      </c>
      <c r="AK182" t="s">
        <v>63</v>
      </c>
      <c r="AL182" t="s">
        <v>717</v>
      </c>
      <c r="AM182" t="s">
        <v>10</v>
      </c>
      <c r="AN182" t="s">
        <v>717</v>
      </c>
    </row>
    <row r="183" spans="1:40" hidden="1">
      <c r="A183">
        <v>181</v>
      </c>
      <c r="B183">
        <v>20</v>
      </c>
      <c r="C183" s="58">
        <v>44065</v>
      </c>
      <c r="D183" t="s">
        <v>74</v>
      </c>
      <c r="E183" t="s">
        <v>2515</v>
      </c>
      <c r="F183">
        <v>8</v>
      </c>
      <c r="G183">
        <v>10</v>
      </c>
      <c r="H183">
        <v>88</v>
      </c>
      <c r="I183">
        <v>1</v>
      </c>
      <c r="J183">
        <v>47.97</v>
      </c>
      <c r="K183" t="s">
        <v>15</v>
      </c>
      <c r="L183">
        <v>2414282.13</v>
      </c>
      <c r="M183">
        <v>0</v>
      </c>
      <c r="N183">
        <v>2414282.13</v>
      </c>
      <c r="O183">
        <v>50329</v>
      </c>
      <c r="P183">
        <v>225459</v>
      </c>
      <c r="Q183">
        <v>2188823.13</v>
      </c>
      <c r="R183">
        <v>45629</v>
      </c>
      <c r="S183" t="s">
        <v>65</v>
      </c>
      <c r="T183" t="s">
        <v>717</v>
      </c>
      <c r="U183" t="s">
        <v>717</v>
      </c>
      <c r="V183" t="s">
        <v>717</v>
      </c>
      <c r="W183">
        <v>44067</v>
      </c>
      <c r="X183" t="s">
        <v>3277</v>
      </c>
      <c r="Y183" t="s">
        <v>6</v>
      </c>
      <c r="Z183" t="s">
        <v>17</v>
      </c>
      <c r="AA183" t="s">
        <v>717</v>
      </c>
      <c r="AB183" t="s">
        <v>2509</v>
      </c>
      <c r="AC183" t="s">
        <v>2571</v>
      </c>
      <c r="AD183" t="s">
        <v>717</v>
      </c>
      <c r="AE183" t="s">
        <v>3278</v>
      </c>
      <c r="AF183" t="s">
        <v>3279</v>
      </c>
      <c r="AG183" t="s">
        <v>3280</v>
      </c>
      <c r="AH183" t="s">
        <v>2615</v>
      </c>
      <c r="AI183" t="s">
        <v>2552</v>
      </c>
      <c r="AJ183" t="s">
        <v>2662</v>
      </c>
      <c r="AK183" t="s">
        <v>77</v>
      </c>
      <c r="AL183" t="s">
        <v>16</v>
      </c>
      <c r="AM183" t="s">
        <v>10</v>
      </c>
      <c r="AN183" t="s">
        <v>717</v>
      </c>
    </row>
    <row r="184" spans="1:40" hidden="1">
      <c r="A184">
        <v>182</v>
      </c>
      <c r="B184">
        <v>21</v>
      </c>
      <c r="C184" s="58">
        <v>44069</v>
      </c>
      <c r="D184" t="s">
        <v>74</v>
      </c>
      <c r="E184" t="s">
        <v>2506</v>
      </c>
      <c r="F184">
        <v>3</v>
      </c>
      <c r="G184">
        <v>17</v>
      </c>
      <c r="H184">
        <v>258</v>
      </c>
      <c r="I184">
        <v>1</v>
      </c>
      <c r="J184">
        <v>41.48</v>
      </c>
      <c r="K184" t="s">
        <v>15</v>
      </c>
      <c r="L184">
        <v>2110077.23</v>
      </c>
      <c r="M184">
        <v>0</v>
      </c>
      <c r="N184">
        <v>2110077.23</v>
      </c>
      <c r="O184">
        <v>50869.75</v>
      </c>
      <c r="P184">
        <v>194956</v>
      </c>
      <c r="Q184">
        <v>1915121.23</v>
      </c>
      <c r="R184">
        <v>46169.75</v>
      </c>
      <c r="S184" t="s">
        <v>65</v>
      </c>
      <c r="T184" t="s">
        <v>717</v>
      </c>
      <c r="U184" t="s">
        <v>717</v>
      </c>
      <c r="V184" t="s">
        <v>717</v>
      </c>
      <c r="W184">
        <v>44062</v>
      </c>
      <c r="X184" t="s">
        <v>3281</v>
      </c>
      <c r="Y184" t="s">
        <v>6</v>
      </c>
      <c r="Z184" t="s">
        <v>11</v>
      </c>
      <c r="AA184" t="s">
        <v>717</v>
      </c>
      <c r="AB184" t="s">
        <v>2509</v>
      </c>
      <c r="AC184" t="s">
        <v>2558</v>
      </c>
      <c r="AD184" t="s">
        <v>717</v>
      </c>
      <c r="AE184" t="s">
        <v>3282</v>
      </c>
      <c r="AF184" t="s">
        <v>3283</v>
      </c>
      <c r="AG184" t="s">
        <v>3284</v>
      </c>
      <c r="AH184" t="s">
        <v>2615</v>
      </c>
      <c r="AI184" t="s">
        <v>2538</v>
      </c>
      <c r="AJ184" t="s">
        <v>2662</v>
      </c>
      <c r="AK184" t="s">
        <v>20</v>
      </c>
      <c r="AL184" t="s">
        <v>2663</v>
      </c>
      <c r="AM184" t="s">
        <v>10</v>
      </c>
      <c r="AN184" t="s">
        <v>717</v>
      </c>
    </row>
    <row r="185" spans="1:40" hidden="1">
      <c r="A185">
        <v>183</v>
      </c>
      <c r="B185">
        <v>22</v>
      </c>
      <c r="C185" s="58">
        <v>44069</v>
      </c>
      <c r="D185" t="s">
        <v>74</v>
      </c>
      <c r="E185" t="s">
        <v>2515</v>
      </c>
      <c r="F185">
        <v>8</v>
      </c>
      <c r="G185">
        <v>12</v>
      </c>
      <c r="H185">
        <v>108</v>
      </c>
      <c r="I185">
        <v>1</v>
      </c>
      <c r="J185">
        <v>47.97</v>
      </c>
      <c r="K185" t="s">
        <v>25</v>
      </c>
      <c r="L185">
        <v>2998022.82</v>
      </c>
      <c r="M185">
        <v>0</v>
      </c>
      <c r="N185">
        <v>2998022.82</v>
      </c>
      <c r="O185">
        <v>62497.869918699187</v>
      </c>
      <c r="P185">
        <v>743535</v>
      </c>
      <c r="Q185">
        <v>2254487.8199999998</v>
      </c>
      <c r="R185">
        <v>46997.869918699187</v>
      </c>
      <c r="S185" t="s">
        <v>65</v>
      </c>
      <c r="T185" t="s">
        <v>717</v>
      </c>
      <c r="U185" t="s">
        <v>717</v>
      </c>
      <c r="V185" t="s">
        <v>717</v>
      </c>
      <c r="W185">
        <v>44065</v>
      </c>
      <c r="X185" t="s">
        <v>3285</v>
      </c>
      <c r="Y185" t="s">
        <v>6</v>
      </c>
      <c r="Z185" t="s">
        <v>17</v>
      </c>
      <c r="AA185" t="s">
        <v>717</v>
      </c>
      <c r="AB185" t="s">
        <v>2509</v>
      </c>
      <c r="AC185" t="s">
        <v>2571</v>
      </c>
      <c r="AD185" t="s">
        <v>717</v>
      </c>
      <c r="AE185" t="s">
        <v>3286</v>
      </c>
      <c r="AF185" t="s">
        <v>3287</v>
      </c>
      <c r="AG185" t="s">
        <v>3288</v>
      </c>
      <c r="AH185" t="s">
        <v>2580</v>
      </c>
      <c r="AI185" t="s">
        <v>2688</v>
      </c>
      <c r="AJ185" t="s">
        <v>3289</v>
      </c>
      <c r="AK185" t="s">
        <v>20</v>
      </c>
      <c r="AL185" t="s">
        <v>16</v>
      </c>
      <c r="AM185" t="s">
        <v>10</v>
      </c>
      <c r="AN185" t="s">
        <v>717</v>
      </c>
    </row>
    <row r="186" spans="1:40" hidden="1">
      <c r="A186">
        <v>184</v>
      </c>
      <c r="B186">
        <v>23</v>
      </c>
      <c r="C186" s="58">
        <v>44069</v>
      </c>
      <c r="D186" t="s">
        <v>74</v>
      </c>
      <c r="E186" t="s">
        <v>2515</v>
      </c>
      <c r="F186">
        <v>10</v>
      </c>
      <c r="G186">
        <v>13</v>
      </c>
      <c r="H186">
        <v>120</v>
      </c>
      <c r="I186">
        <v>2</v>
      </c>
      <c r="J186">
        <v>65.88</v>
      </c>
      <c r="K186" t="s">
        <v>15</v>
      </c>
      <c r="L186">
        <v>3259379.32</v>
      </c>
      <c r="M186">
        <v>0</v>
      </c>
      <c r="N186">
        <v>3259379.32</v>
      </c>
      <c r="O186">
        <v>49474.48876745598</v>
      </c>
      <c r="P186">
        <v>309636</v>
      </c>
      <c r="Q186">
        <v>2949743.32</v>
      </c>
      <c r="R186">
        <v>44774.48876745598</v>
      </c>
      <c r="S186" t="s">
        <v>65</v>
      </c>
      <c r="T186" t="s">
        <v>717</v>
      </c>
      <c r="U186" t="s">
        <v>717</v>
      </c>
      <c r="V186" t="s">
        <v>717</v>
      </c>
      <c r="W186">
        <v>44068</v>
      </c>
      <c r="X186" t="s">
        <v>3290</v>
      </c>
      <c r="Y186" t="s">
        <v>6</v>
      </c>
      <c r="Z186" t="s">
        <v>17</v>
      </c>
      <c r="AA186" t="s">
        <v>717</v>
      </c>
      <c r="AB186" t="s">
        <v>2509</v>
      </c>
      <c r="AC186" t="s">
        <v>2571</v>
      </c>
      <c r="AD186" t="s">
        <v>717</v>
      </c>
      <c r="AE186" t="s">
        <v>3291</v>
      </c>
      <c r="AF186" t="s">
        <v>3292</v>
      </c>
      <c r="AG186" t="s">
        <v>3293</v>
      </c>
      <c r="AH186" t="s">
        <v>2552</v>
      </c>
      <c r="AI186" t="s">
        <v>2877</v>
      </c>
      <c r="AJ186" t="s">
        <v>2657</v>
      </c>
      <c r="AK186" t="s">
        <v>20</v>
      </c>
      <c r="AL186" t="s">
        <v>2663</v>
      </c>
      <c r="AM186" t="s">
        <v>10</v>
      </c>
      <c r="AN186" t="s">
        <v>717</v>
      </c>
    </row>
    <row r="187" spans="1:40" hidden="1">
      <c r="A187">
        <v>185</v>
      </c>
      <c r="B187">
        <v>24</v>
      </c>
      <c r="C187" s="58">
        <v>44070</v>
      </c>
      <c r="D187" t="s">
        <v>74</v>
      </c>
      <c r="E187" t="s">
        <v>2515</v>
      </c>
      <c r="F187">
        <v>5</v>
      </c>
      <c r="G187">
        <v>3</v>
      </c>
      <c r="H187">
        <v>15</v>
      </c>
      <c r="I187">
        <v>2</v>
      </c>
      <c r="J187">
        <v>60.2</v>
      </c>
      <c r="K187" t="s">
        <v>15</v>
      </c>
      <c r="L187">
        <v>2978364.23</v>
      </c>
      <c r="M187">
        <v>0</v>
      </c>
      <c r="N187">
        <v>2978364.23</v>
      </c>
      <c r="O187">
        <v>49474.488870431895</v>
      </c>
      <c r="P187">
        <v>282940</v>
      </c>
      <c r="Q187">
        <v>2695424.23</v>
      </c>
      <c r="R187">
        <v>44774.488870431895</v>
      </c>
      <c r="S187" t="s">
        <v>65</v>
      </c>
      <c r="T187" t="s">
        <v>717</v>
      </c>
      <c r="U187" t="s">
        <v>717</v>
      </c>
      <c r="V187" t="s">
        <v>717</v>
      </c>
      <c r="W187">
        <v>44065</v>
      </c>
      <c r="X187" t="s">
        <v>3294</v>
      </c>
      <c r="Y187" t="s">
        <v>6</v>
      </c>
      <c r="Z187" t="s">
        <v>17</v>
      </c>
      <c r="AA187" t="s">
        <v>717</v>
      </c>
      <c r="AB187" t="s">
        <v>2509</v>
      </c>
      <c r="AC187" t="s">
        <v>2571</v>
      </c>
      <c r="AD187" t="s">
        <v>717</v>
      </c>
      <c r="AE187" t="s">
        <v>3295</v>
      </c>
      <c r="AF187" t="s">
        <v>3296</v>
      </c>
      <c r="AG187" t="s">
        <v>3297</v>
      </c>
      <c r="AH187" t="s">
        <v>2615</v>
      </c>
      <c r="AI187" t="s">
        <v>2521</v>
      </c>
      <c r="AJ187" t="s">
        <v>3298</v>
      </c>
      <c r="AK187" t="s">
        <v>20</v>
      </c>
      <c r="AL187" t="s">
        <v>2663</v>
      </c>
      <c r="AM187" t="s">
        <v>10</v>
      </c>
      <c r="AN187" t="s">
        <v>717</v>
      </c>
    </row>
    <row r="188" spans="1:40" hidden="1">
      <c r="A188">
        <v>186</v>
      </c>
      <c r="B188">
        <v>25</v>
      </c>
      <c r="C188" s="58">
        <v>44071</v>
      </c>
      <c r="D188" t="s">
        <v>74</v>
      </c>
      <c r="E188" t="s">
        <v>2581</v>
      </c>
      <c r="F188">
        <v>6</v>
      </c>
      <c r="G188">
        <v>2</v>
      </c>
      <c r="H188">
        <v>317</v>
      </c>
      <c r="I188">
        <v>2</v>
      </c>
      <c r="J188">
        <v>65.72</v>
      </c>
      <c r="K188" t="s">
        <v>15</v>
      </c>
      <c r="L188">
        <v>3035163.19</v>
      </c>
      <c r="M188">
        <v>0</v>
      </c>
      <c r="N188">
        <v>3035163.19</v>
      </c>
      <c r="O188">
        <v>46183.25</v>
      </c>
      <c r="P188">
        <v>308884</v>
      </c>
      <c r="Q188">
        <v>2726279.19</v>
      </c>
      <c r="R188">
        <v>41483.25</v>
      </c>
      <c r="S188" t="s">
        <v>65</v>
      </c>
      <c r="T188" t="s">
        <v>717</v>
      </c>
      <c r="U188" t="s">
        <v>717</v>
      </c>
      <c r="V188" t="s">
        <v>717</v>
      </c>
      <c r="W188">
        <v>44071</v>
      </c>
      <c r="X188" t="s">
        <v>3299</v>
      </c>
      <c r="Y188" t="s">
        <v>6</v>
      </c>
      <c r="Z188" t="s">
        <v>11</v>
      </c>
      <c r="AA188" t="s">
        <v>717</v>
      </c>
      <c r="AB188" t="s">
        <v>2509</v>
      </c>
      <c r="AC188" t="s">
        <v>3300</v>
      </c>
      <c r="AD188" t="s">
        <v>717</v>
      </c>
      <c r="AE188" t="s">
        <v>3301</v>
      </c>
      <c r="AF188" t="s">
        <v>3302</v>
      </c>
      <c r="AG188" t="s">
        <v>3303</v>
      </c>
      <c r="AH188" t="s">
        <v>2615</v>
      </c>
      <c r="AI188" t="s">
        <v>2552</v>
      </c>
      <c r="AJ188" t="s">
        <v>3304</v>
      </c>
      <c r="AK188" t="s">
        <v>77</v>
      </c>
      <c r="AL188" t="s">
        <v>2663</v>
      </c>
      <c r="AM188" t="s">
        <v>10</v>
      </c>
      <c r="AN188" t="s">
        <v>717</v>
      </c>
    </row>
    <row r="189" spans="1:40" hidden="1">
      <c r="A189">
        <v>187</v>
      </c>
      <c r="B189">
        <v>26</v>
      </c>
      <c r="C189" s="58">
        <v>44071</v>
      </c>
      <c r="D189" t="s">
        <v>74</v>
      </c>
      <c r="E189" t="s">
        <v>2515</v>
      </c>
      <c r="F189">
        <v>10</v>
      </c>
      <c r="G189">
        <v>6</v>
      </c>
      <c r="H189">
        <v>50</v>
      </c>
      <c r="I189">
        <v>2</v>
      </c>
      <c r="J189">
        <v>65.540000000000006</v>
      </c>
      <c r="K189" t="s">
        <v>9</v>
      </c>
      <c r="L189">
        <v>2937290.07</v>
      </c>
      <c r="M189">
        <v>0</v>
      </c>
      <c r="N189">
        <v>2937290.07</v>
      </c>
      <c r="O189">
        <v>44816.754195910886</v>
      </c>
      <c r="P189">
        <v>32770</v>
      </c>
      <c r="Q189">
        <v>2904520.07</v>
      </c>
      <c r="R189">
        <v>44316.754195910886</v>
      </c>
      <c r="S189" t="s">
        <v>65</v>
      </c>
      <c r="T189" t="s">
        <v>2941</v>
      </c>
      <c r="U189">
        <v>30000</v>
      </c>
      <c r="V189" t="s">
        <v>717</v>
      </c>
      <c r="W189">
        <v>44064</v>
      </c>
      <c r="X189" t="s">
        <v>3305</v>
      </c>
      <c r="Y189" t="s">
        <v>6</v>
      </c>
      <c r="Z189" t="s">
        <v>17</v>
      </c>
      <c r="AA189" t="s">
        <v>717</v>
      </c>
      <c r="AB189" t="s">
        <v>2509</v>
      </c>
      <c r="AC189" t="s">
        <v>2564</v>
      </c>
      <c r="AD189" t="s">
        <v>717</v>
      </c>
      <c r="AE189" t="s">
        <v>3306</v>
      </c>
      <c r="AF189" t="s">
        <v>3307</v>
      </c>
      <c r="AG189" t="s">
        <v>3308</v>
      </c>
      <c r="AH189" t="s">
        <v>2580</v>
      </c>
      <c r="AI189" t="s">
        <v>2552</v>
      </c>
      <c r="AJ189" t="s">
        <v>2514</v>
      </c>
      <c r="AK189" t="s">
        <v>20</v>
      </c>
      <c r="AL189" t="s">
        <v>16</v>
      </c>
      <c r="AM189" t="s">
        <v>10</v>
      </c>
      <c r="AN189" t="s">
        <v>717</v>
      </c>
    </row>
    <row r="190" spans="1:40" hidden="1">
      <c r="A190">
        <v>188</v>
      </c>
      <c r="B190">
        <v>27</v>
      </c>
      <c r="C190" s="58">
        <v>44071</v>
      </c>
      <c r="D190" t="s">
        <v>74</v>
      </c>
      <c r="E190" t="s">
        <v>2515</v>
      </c>
      <c r="F190">
        <v>8</v>
      </c>
      <c r="G190">
        <v>5</v>
      </c>
      <c r="H190">
        <v>38</v>
      </c>
      <c r="I190">
        <v>1</v>
      </c>
      <c r="J190">
        <v>47.97</v>
      </c>
      <c r="K190" t="s">
        <v>9</v>
      </c>
      <c r="L190">
        <v>2258472.8199999998</v>
      </c>
      <c r="M190">
        <v>0</v>
      </c>
      <c r="N190">
        <v>2258472.8199999998</v>
      </c>
      <c r="O190">
        <v>47080.942672503646</v>
      </c>
      <c r="P190">
        <v>23985</v>
      </c>
      <c r="Q190">
        <v>2234487.8199999998</v>
      </c>
      <c r="R190">
        <v>46580.942672503646</v>
      </c>
      <c r="S190" t="s">
        <v>65</v>
      </c>
      <c r="T190" t="s">
        <v>3309</v>
      </c>
      <c r="U190">
        <v>20000</v>
      </c>
      <c r="V190" t="s">
        <v>717</v>
      </c>
      <c r="W190">
        <v>44064</v>
      </c>
      <c r="X190" t="s">
        <v>3310</v>
      </c>
      <c r="Y190" t="s">
        <v>6</v>
      </c>
      <c r="Z190" t="s">
        <v>17</v>
      </c>
      <c r="AA190" t="s">
        <v>717</v>
      </c>
      <c r="AB190" t="s">
        <v>2509</v>
      </c>
      <c r="AC190" t="s">
        <v>2571</v>
      </c>
      <c r="AD190" t="s">
        <v>717</v>
      </c>
      <c r="AE190" t="s">
        <v>3311</v>
      </c>
      <c r="AF190" t="s">
        <v>3312</v>
      </c>
      <c r="AG190" t="s">
        <v>3313</v>
      </c>
      <c r="AH190" t="s">
        <v>2191</v>
      </c>
      <c r="AI190" t="s">
        <v>2552</v>
      </c>
      <c r="AJ190" t="s">
        <v>2895</v>
      </c>
      <c r="AK190" t="s">
        <v>20</v>
      </c>
      <c r="AL190" t="s">
        <v>16</v>
      </c>
      <c r="AM190" t="s">
        <v>10</v>
      </c>
      <c r="AN190" t="s">
        <v>717</v>
      </c>
    </row>
    <row r="191" spans="1:40" hidden="1">
      <c r="A191">
        <v>189</v>
      </c>
      <c r="B191">
        <v>28</v>
      </c>
      <c r="C191" s="58">
        <v>44071</v>
      </c>
      <c r="D191" t="s">
        <v>74</v>
      </c>
      <c r="E191" t="s">
        <v>2515</v>
      </c>
      <c r="F191">
        <v>8</v>
      </c>
      <c r="G191">
        <v>6</v>
      </c>
      <c r="H191">
        <v>48</v>
      </c>
      <c r="I191">
        <v>1</v>
      </c>
      <c r="J191">
        <v>47.97</v>
      </c>
      <c r="K191" t="s">
        <v>25</v>
      </c>
      <c r="L191">
        <v>2968022.82</v>
      </c>
      <c r="M191">
        <v>0</v>
      </c>
      <c r="N191">
        <v>2968022.82</v>
      </c>
      <c r="O191">
        <v>61872.479049405869</v>
      </c>
      <c r="P191">
        <v>743535</v>
      </c>
      <c r="Q191">
        <v>2224487.8199999998</v>
      </c>
      <c r="R191">
        <v>46372.479049405869</v>
      </c>
      <c r="S191" t="s">
        <v>130</v>
      </c>
      <c r="T191" t="s">
        <v>2815</v>
      </c>
      <c r="U191">
        <v>30000</v>
      </c>
      <c r="V191" t="s">
        <v>717</v>
      </c>
      <c r="W191">
        <v>44069</v>
      </c>
      <c r="X191" t="s">
        <v>3314</v>
      </c>
      <c r="Y191" t="s">
        <v>6</v>
      </c>
      <c r="Z191" t="s">
        <v>11</v>
      </c>
      <c r="AA191" t="s">
        <v>717</v>
      </c>
      <c r="AB191" t="s">
        <v>2509</v>
      </c>
      <c r="AC191" t="s">
        <v>118</v>
      </c>
      <c r="AD191" t="s">
        <v>717</v>
      </c>
      <c r="AE191" t="s">
        <v>3315</v>
      </c>
      <c r="AF191" t="s">
        <v>3316</v>
      </c>
      <c r="AG191" t="s">
        <v>3317</v>
      </c>
      <c r="AH191" t="s">
        <v>2615</v>
      </c>
      <c r="AI191" t="s">
        <v>2697</v>
      </c>
      <c r="AJ191" t="s">
        <v>2569</v>
      </c>
      <c r="AK191" t="s">
        <v>20</v>
      </c>
      <c r="AL191" t="s">
        <v>717</v>
      </c>
      <c r="AM191" t="s">
        <v>10</v>
      </c>
      <c r="AN191" t="s">
        <v>717</v>
      </c>
    </row>
    <row r="192" spans="1:40" hidden="1">
      <c r="A192">
        <v>190</v>
      </c>
      <c r="B192">
        <v>29</v>
      </c>
      <c r="C192" s="58">
        <v>44071</v>
      </c>
      <c r="D192" t="s">
        <v>74</v>
      </c>
      <c r="E192" t="s">
        <v>2515</v>
      </c>
      <c r="F192">
        <v>8</v>
      </c>
      <c r="G192">
        <v>11</v>
      </c>
      <c r="H192">
        <v>98</v>
      </c>
      <c r="I192">
        <v>1</v>
      </c>
      <c r="J192">
        <v>47.97</v>
      </c>
      <c r="K192" t="s">
        <v>9</v>
      </c>
      <c r="L192">
        <v>2212808.13</v>
      </c>
      <c r="M192">
        <v>0</v>
      </c>
      <c r="N192">
        <v>2212808.13</v>
      </c>
      <c r="O192">
        <v>46129</v>
      </c>
      <c r="P192">
        <v>23985</v>
      </c>
      <c r="Q192">
        <v>2188823.13</v>
      </c>
      <c r="R192">
        <v>45629</v>
      </c>
      <c r="S192" t="s">
        <v>65</v>
      </c>
      <c r="T192" t="s">
        <v>717</v>
      </c>
      <c r="U192" t="s">
        <v>717</v>
      </c>
      <c r="V192" t="s">
        <v>717</v>
      </c>
      <c r="W192">
        <v>44071</v>
      </c>
      <c r="X192" t="s">
        <v>3318</v>
      </c>
      <c r="Y192" t="s">
        <v>6</v>
      </c>
      <c r="Z192" t="s">
        <v>17</v>
      </c>
      <c r="AA192" t="s">
        <v>717</v>
      </c>
      <c r="AB192" t="s">
        <v>2509</v>
      </c>
      <c r="AC192" t="s">
        <v>2571</v>
      </c>
      <c r="AD192" t="s">
        <v>717</v>
      </c>
      <c r="AE192" t="s">
        <v>3319</v>
      </c>
      <c r="AF192" t="s">
        <v>3320</v>
      </c>
      <c r="AG192" t="s">
        <v>3321</v>
      </c>
      <c r="AH192" t="s">
        <v>2615</v>
      </c>
      <c r="AI192" t="s">
        <v>2706</v>
      </c>
      <c r="AJ192" t="s">
        <v>2569</v>
      </c>
      <c r="AK192" t="s">
        <v>77</v>
      </c>
      <c r="AL192" t="s">
        <v>16</v>
      </c>
      <c r="AM192" t="s">
        <v>10</v>
      </c>
      <c r="AN192" t="s">
        <v>717</v>
      </c>
    </row>
    <row r="193" spans="1:40" hidden="1">
      <c r="A193">
        <v>191</v>
      </c>
      <c r="B193">
        <v>30</v>
      </c>
      <c r="C193" s="58">
        <v>44072</v>
      </c>
      <c r="D193" t="s">
        <v>74</v>
      </c>
      <c r="E193" t="s">
        <v>2506</v>
      </c>
      <c r="F193">
        <v>3</v>
      </c>
      <c r="G193">
        <v>16</v>
      </c>
      <c r="H193">
        <v>251</v>
      </c>
      <c r="I193">
        <v>1</v>
      </c>
      <c r="J193">
        <v>41.48</v>
      </c>
      <c r="K193" t="s">
        <v>15</v>
      </c>
      <c r="L193">
        <v>2054522.23</v>
      </c>
      <c r="M193">
        <v>0</v>
      </c>
      <c r="N193">
        <v>2054522.23</v>
      </c>
      <c r="O193">
        <v>49530.429845708779</v>
      </c>
      <c r="P193">
        <v>194956</v>
      </c>
      <c r="Q193">
        <v>1859566.23</v>
      </c>
      <c r="R193">
        <v>44830.429845708779</v>
      </c>
      <c r="S193" t="s">
        <v>65</v>
      </c>
      <c r="T193" t="s">
        <v>3309</v>
      </c>
      <c r="U193">
        <v>55555</v>
      </c>
      <c r="V193" t="s">
        <v>717</v>
      </c>
      <c r="W193">
        <v>44072</v>
      </c>
      <c r="X193" t="s">
        <v>3322</v>
      </c>
      <c r="Y193" t="s">
        <v>6</v>
      </c>
      <c r="Z193" t="s">
        <v>17</v>
      </c>
      <c r="AA193" t="s">
        <v>717</v>
      </c>
      <c r="AB193" t="s">
        <v>2509</v>
      </c>
      <c r="AC193" t="s">
        <v>2564</v>
      </c>
      <c r="AD193" t="s">
        <v>717</v>
      </c>
      <c r="AE193" t="s">
        <v>3323</v>
      </c>
      <c r="AF193" t="s">
        <v>3324</v>
      </c>
      <c r="AG193" t="s">
        <v>3325</v>
      </c>
      <c r="AH193" t="s">
        <v>2615</v>
      </c>
      <c r="AI193" t="s">
        <v>2552</v>
      </c>
      <c r="AJ193" t="s">
        <v>2895</v>
      </c>
      <c r="AK193" t="s">
        <v>63</v>
      </c>
      <c r="AL193" t="s">
        <v>2663</v>
      </c>
      <c r="AM193" t="s">
        <v>10</v>
      </c>
      <c r="AN193" t="s">
        <v>717</v>
      </c>
    </row>
    <row r="194" spans="1:40" hidden="1">
      <c r="A194">
        <v>192</v>
      </c>
      <c r="B194">
        <v>31</v>
      </c>
      <c r="C194" s="58">
        <v>44074</v>
      </c>
      <c r="D194" t="s">
        <v>74</v>
      </c>
      <c r="E194" t="s">
        <v>2506</v>
      </c>
      <c r="F194">
        <v>4</v>
      </c>
      <c r="G194">
        <v>3</v>
      </c>
      <c r="H194">
        <v>161</v>
      </c>
      <c r="I194">
        <v>1</v>
      </c>
      <c r="J194">
        <v>40.58</v>
      </c>
      <c r="K194" t="s">
        <v>25</v>
      </c>
      <c r="L194">
        <v>2558765.41</v>
      </c>
      <c r="M194">
        <v>15000</v>
      </c>
      <c r="N194">
        <v>2573765.41</v>
      </c>
      <c r="O194">
        <v>63424.480285855105</v>
      </c>
      <c r="P194">
        <v>628990</v>
      </c>
      <c r="Q194">
        <v>1944775.41</v>
      </c>
      <c r="R194">
        <v>47924.480285855105</v>
      </c>
      <c r="S194" t="s">
        <v>65</v>
      </c>
      <c r="T194" t="s">
        <v>717</v>
      </c>
      <c r="U194" t="s">
        <v>717</v>
      </c>
      <c r="V194" t="s">
        <v>717</v>
      </c>
      <c r="W194">
        <v>44063</v>
      </c>
      <c r="X194" t="s">
        <v>3326</v>
      </c>
      <c r="Y194" t="s">
        <v>6</v>
      </c>
      <c r="Z194" t="s">
        <v>17</v>
      </c>
      <c r="AA194" t="s">
        <v>717</v>
      </c>
      <c r="AB194" t="s">
        <v>2509</v>
      </c>
      <c r="AC194" t="s">
        <v>2571</v>
      </c>
      <c r="AD194" t="s">
        <v>717</v>
      </c>
      <c r="AE194" t="s">
        <v>3327</v>
      </c>
      <c r="AF194" t="s">
        <v>3328</v>
      </c>
      <c r="AG194" t="s">
        <v>3329</v>
      </c>
      <c r="AH194" t="s">
        <v>2615</v>
      </c>
      <c r="AI194" t="s">
        <v>2538</v>
      </c>
      <c r="AJ194" t="s">
        <v>3330</v>
      </c>
      <c r="AK194" t="s">
        <v>63</v>
      </c>
      <c r="AL194" t="s">
        <v>16</v>
      </c>
      <c r="AM194" t="s">
        <v>10</v>
      </c>
      <c r="AN194" t="s">
        <v>717</v>
      </c>
    </row>
    <row r="195" spans="1:40" hidden="1">
      <c r="A195">
        <v>193</v>
      </c>
      <c r="B195">
        <v>32</v>
      </c>
      <c r="C195" s="58">
        <v>44074</v>
      </c>
      <c r="D195" t="s">
        <v>74</v>
      </c>
      <c r="E195" t="s">
        <v>2506</v>
      </c>
      <c r="F195">
        <v>5</v>
      </c>
      <c r="G195">
        <v>8</v>
      </c>
      <c r="H195">
        <v>197</v>
      </c>
      <c r="I195">
        <v>3</v>
      </c>
      <c r="J195">
        <v>78.03</v>
      </c>
      <c r="K195" t="s">
        <v>9</v>
      </c>
      <c r="L195">
        <v>3344087.23</v>
      </c>
      <c r="M195">
        <v>0</v>
      </c>
      <c r="N195">
        <v>3344087.23</v>
      </c>
      <c r="O195">
        <v>42856.429962834809</v>
      </c>
      <c r="P195">
        <v>39015</v>
      </c>
      <c r="Q195">
        <v>3305072.23</v>
      </c>
      <c r="R195">
        <v>42356.429962834809</v>
      </c>
      <c r="S195" t="s">
        <v>65</v>
      </c>
      <c r="T195" t="s">
        <v>717</v>
      </c>
      <c r="U195" t="s">
        <v>717</v>
      </c>
      <c r="V195" t="s">
        <v>717</v>
      </c>
      <c r="W195">
        <v>44074</v>
      </c>
      <c r="X195" t="s">
        <v>3331</v>
      </c>
      <c r="Y195" t="s">
        <v>6</v>
      </c>
      <c r="Z195" t="s">
        <v>11</v>
      </c>
      <c r="AA195" t="s">
        <v>717</v>
      </c>
      <c r="AB195" t="s">
        <v>2509</v>
      </c>
      <c r="AC195" t="s">
        <v>2576</v>
      </c>
      <c r="AD195" t="s">
        <v>717</v>
      </c>
      <c r="AE195" t="s">
        <v>3332</v>
      </c>
      <c r="AF195" t="s">
        <v>3333</v>
      </c>
      <c r="AG195" t="s">
        <v>3334</v>
      </c>
      <c r="AH195" t="s">
        <v>2615</v>
      </c>
      <c r="AI195" t="s">
        <v>2688</v>
      </c>
      <c r="AJ195" t="s">
        <v>3289</v>
      </c>
      <c r="AK195" t="s">
        <v>77</v>
      </c>
      <c r="AL195" t="s">
        <v>16</v>
      </c>
      <c r="AM195" t="s">
        <v>10</v>
      </c>
      <c r="AN195" t="s">
        <v>717</v>
      </c>
    </row>
    <row r="196" spans="1:40" hidden="1">
      <c r="A196">
        <v>194</v>
      </c>
      <c r="B196">
        <v>33</v>
      </c>
      <c r="C196" s="58">
        <v>44075</v>
      </c>
      <c r="D196" t="s">
        <v>74</v>
      </c>
      <c r="E196" t="s">
        <v>2515</v>
      </c>
      <c r="F196">
        <v>3</v>
      </c>
      <c r="G196">
        <v>10</v>
      </c>
      <c r="H196">
        <v>83</v>
      </c>
      <c r="I196">
        <v>2</v>
      </c>
      <c r="J196">
        <v>67.16</v>
      </c>
      <c r="K196" t="s">
        <v>15</v>
      </c>
      <c r="L196">
        <v>3361235.1</v>
      </c>
      <c r="M196">
        <v>0</v>
      </c>
      <c r="N196">
        <v>3361235.1</v>
      </c>
      <c r="O196">
        <v>50048.17004169149</v>
      </c>
      <c r="P196">
        <v>315652</v>
      </c>
      <c r="Q196">
        <v>3045583.1</v>
      </c>
      <c r="R196">
        <v>45348.17004169149</v>
      </c>
      <c r="S196" t="s">
        <v>65</v>
      </c>
      <c r="T196" t="s">
        <v>717</v>
      </c>
      <c r="U196" t="s">
        <v>717</v>
      </c>
      <c r="V196" t="s">
        <v>717</v>
      </c>
      <c r="W196">
        <v>44091</v>
      </c>
      <c r="X196" t="s">
        <v>3335</v>
      </c>
      <c r="Y196" t="s">
        <v>6</v>
      </c>
      <c r="Z196" t="s">
        <v>17</v>
      </c>
      <c r="AA196" t="s">
        <v>717</v>
      </c>
      <c r="AB196" t="s">
        <v>2509</v>
      </c>
      <c r="AC196" t="s">
        <v>2571</v>
      </c>
      <c r="AD196" t="s">
        <v>717</v>
      </c>
      <c r="AE196" t="s">
        <v>3336</v>
      </c>
      <c r="AF196" t="s">
        <v>3337</v>
      </c>
      <c r="AG196" t="s">
        <v>3338</v>
      </c>
      <c r="AH196" t="s">
        <v>2552</v>
      </c>
      <c r="AI196" t="s">
        <v>2877</v>
      </c>
      <c r="AJ196" t="s">
        <v>2657</v>
      </c>
      <c r="AK196" t="s">
        <v>77</v>
      </c>
      <c r="AL196" t="s">
        <v>2663</v>
      </c>
      <c r="AM196" t="s">
        <v>10</v>
      </c>
      <c r="AN196" t="s">
        <v>717</v>
      </c>
    </row>
    <row r="197" spans="1:40" hidden="1">
      <c r="A197">
        <v>195</v>
      </c>
      <c r="B197">
        <v>1</v>
      </c>
      <c r="C197" s="58">
        <v>44077</v>
      </c>
      <c r="D197" t="s">
        <v>74</v>
      </c>
      <c r="E197" t="s">
        <v>2515</v>
      </c>
      <c r="F197">
        <v>8</v>
      </c>
      <c r="G197">
        <v>2</v>
      </c>
      <c r="H197">
        <v>8</v>
      </c>
      <c r="I197">
        <v>1</v>
      </c>
      <c r="J197">
        <v>48.79</v>
      </c>
      <c r="K197" t="s">
        <v>15</v>
      </c>
      <c r="L197">
        <v>2495164.5099999998</v>
      </c>
      <c r="M197">
        <v>0</v>
      </c>
      <c r="N197">
        <v>2495164.5099999998</v>
      </c>
      <c r="O197">
        <v>51140.899979503993</v>
      </c>
      <c r="P197">
        <v>229313</v>
      </c>
      <c r="Q197">
        <v>2265851.5099999998</v>
      </c>
      <c r="R197">
        <v>46440.899979503993</v>
      </c>
      <c r="S197" t="s">
        <v>130</v>
      </c>
      <c r="T197" t="s">
        <v>717</v>
      </c>
      <c r="U197" t="s">
        <v>717</v>
      </c>
      <c r="V197" t="s">
        <v>717</v>
      </c>
      <c r="W197">
        <v>44076</v>
      </c>
      <c r="X197" t="s">
        <v>3339</v>
      </c>
      <c r="Y197" t="s">
        <v>6</v>
      </c>
      <c r="Z197" t="s">
        <v>17</v>
      </c>
      <c r="AA197" t="s">
        <v>717</v>
      </c>
      <c r="AB197" t="s">
        <v>2509</v>
      </c>
      <c r="AC197" t="s">
        <v>118</v>
      </c>
      <c r="AD197" t="s">
        <v>717</v>
      </c>
      <c r="AE197" t="s">
        <v>3340</v>
      </c>
      <c r="AF197" t="s">
        <v>3341</v>
      </c>
      <c r="AG197" t="s">
        <v>3342</v>
      </c>
      <c r="AH197" t="s">
        <v>2615</v>
      </c>
      <c r="AI197" t="s">
        <v>2552</v>
      </c>
      <c r="AJ197" t="s">
        <v>2651</v>
      </c>
      <c r="AK197" t="s">
        <v>63</v>
      </c>
      <c r="AL197" t="s">
        <v>717</v>
      </c>
      <c r="AM197" t="s">
        <v>10</v>
      </c>
      <c r="AN197" t="s">
        <v>717</v>
      </c>
    </row>
    <row r="198" spans="1:40" hidden="1">
      <c r="A198">
        <v>196</v>
      </c>
      <c r="B198">
        <v>2</v>
      </c>
      <c r="C198" s="58">
        <v>44081</v>
      </c>
      <c r="D198" t="s">
        <v>74</v>
      </c>
      <c r="E198" t="s">
        <v>2506</v>
      </c>
      <c r="F198">
        <v>5</v>
      </c>
      <c r="G198">
        <v>11</v>
      </c>
      <c r="I198">
        <v>3</v>
      </c>
      <c r="J198">
        <v>78.03</v>
      </c>
      <c r="K198" t="s">
        <v>25</v>
      </c>
      <c r="L198">
        <v>4613689.95</v>
      </c>
      <c r="M198">
        <v>0</v>
      </c>
      <c r="N198">
        <v>4613689.95</v>
      </c>
      <c r="O198">
        <v>59127.129950019225</v>
      </c>
      <c r="P198">
        <v>1209465</v>
      </c>
      <c r="Q198">
        <v>3404224.95</v>
      </c>
      <c r="R198">
        <v>43627.129950019225</v>
      </c>
      <c r="S198" t="s">
        <v>130</v>
      </c>
      <c r="T198" t="s">
        <v>717</v>
      </c>
      <c r="U198" t="s">
        <v>717</v>
      </c>
      <c r="V198" t="s">
        <v>717</v>
      </c>
      <c r="W198">
        <v>44081</v>
      </c>
      <c r="X198" t="s">
        <v>3343</v>
      </c>
      <c r="Y198" t="s">
        <v>2517</v>
      </c>
      <c r="Z198" t="s">
        <v>11</v>
      </c>
      <c r="AA198" t="s">
        <v>717</v>
      </c>
      <c r="AB198" t="s">
        <v>2509</v>
      </c>
      <c r="AC198" t="s">
        <v>118</v>
      </c>
      <c r="AD198">
        <v>44257</v>
      </c>
      <c r="AE198" t="s">
        <v>3344</v>
      </c>
      <c r="AF198" t="s">
        <v>3345</v>
      </c>
      <c r="AG198" t="s">
        <v>717</v>
      </c>
      <c r="AH198" t="s">
        <v>2615</v>
      </c>
      <c r="AI198" t="s">
        <v>2547</v>
      </c>
      <c r="AJ198" t="s">
        <v>2522</v>
      </c>
      <c r="AK198" t="s">
        <v>77</v>
      </c>
      <c r="AL198" t="s">
        <v>717</v>
      </c>
      <c r="AM198" t="s">
        <v>10</v>
      </c>
      <c r="AN198" t="s">
        <v>717</v>
      </c>
    </row>
    <row r="199" spans="1:40" hidden="1">
      <c r="A199">
        <v>197</v>
      </c>
      <c r="B199">
        <v>3</v>
      </c>
      <c r="C199" s="58">
        <v>44083</v>
      </c>
      <c r="D199" t="s">
        <v>74</v>
      </c>
      <c r="E199" t="s">
        <v>2515</v>
      </c>
      <c r="F199">
        <v>1</v>
      </c>
      <c r="G199">
        <v>12</v>
      </c>
      <c r="H199">
        <v>101</v>
      </c>
      <c r="I199">
        <v>0</v>
      </c>
      <c r="J199">
        <v>32.03</v>
      </c>
      <c r="K199" t="s">
        <v>25</v>
      </c>
      <c r="L199">
        <v>2219215.5299999998</v>
      </c>
      <c r="M199">
        <v>0</v>
      </c>
      <c r="N199">
        <v>2219215.5299999998</v>
      </c>
      <c r="O199">
        <v>69285.53012800499</v>
      </c>
      <c r="P199">
        <v>496465</v>
      </c>
      <c r="Q199">
        <v>1722750.5299999998</v>
      </c>
      <c r="R199">
        <v>53785.53012800499</v>
      </c>
      <c r="S199" t="s">
        <v>65</v>
      </c>
      <c r="T199" t="s">
        <v>717</v>
      </c>
      <c r="U199" t="s">
        <v>717</v>
      </c>
      <c r="V199" t="s">
        <v>717</v>
      </c>
      <c r="W199">
        <v>44082</v>
      </c>
      <c r="X199" t="s">
        <v>3346</v>
      </c>
      <c r="Y199" t="s">
        <v>6</v>
      </c>
      <c r="Z199" t="s">
        <v>17</v>
      </c>
      <c r="AA199" t="s">
        <v>717</v>
      </c>
      <c r="AB199" t="s">
        <v>2509</v>
      </c>
      <c r="AC199" t="s">
        <v>2564</v>
      </c>
      <c r="AD199" t="s">
        <v>717</v>
      </c>
      <c r="AE199" t="s">
        <v>3347</v>
      </c>
      <c r="AF199" t="s">
        <v>3348</v>
      </c>
      <c r="AG199" t="s">
        <v>3349</v>
      </c>
      <c r="AH199" t="s">
        <v>2615</v>
      </c>
      <c r="AI199" t="s">
        <v>2697</v>
      </c>
      <c r="AJ199" t="s">
        <v>2793</v>
      </c>
      <c r="AK199" t="s">
        <v>77</v>
      </c>
      <c r="AL199" t="s">
        <v>2663</v>
      </c>
      <c r="AM199" t="s">
        <v>10</v>
      </c>
      <c r="AN199" t="s">
        <v>717</v>
      </c>
    </row>
    <row r="200" spans="1:40" hidden="1">
      <c r="A200">
        <v>198</v>
      </c>
      <c r="B200">
        <v>4</v>
      </c>
      <c r="C200" s="58">
        <v>44085</v>
      </c>
      <c r="D200" t="s">
        <v>74</v>
      </c>
      <c r="E200" t="s">
        <v>2515</v>
      </c>
      <c r="F200">
        <v>6</v>
      </c>
      <c r="G200">
        <v>14</v>
      </c>
      <c r="H200">
        <v>126</v>
      </c>
      <c r="I200">
        <v>2</v>
      </c>
      <c r="J200">
        <v>63.03</v>
      </c>
      <c r="K200" t="s">
        <v>15</v>
      </c>
      <c r="L200">
        <v>3118377.1</v>
      </c>
      <c r="M200">
        <v>0</v>
      </c>
      <c r="N200">
        <v>3118377.1</v>
      </c>
      <c r="O200">
        <v>49474.489925432339</v>
      </c>
      <c r="P200">
        <v>296241</v>
      </c>
      <c r="Q200">
        <v>2822136.1</v>
      </c>
      <c r="R200">
        <v>44774.489925432339</v>
      </c>
      <c r="S200" t="s">
        <v>65</v>
      </c>
      <c r="T200" t="s">
        <v>717</v>
      </c>
      <c r="U200" t="s">
        <v>717</v>
      </c>
      <c r="V200" t="s">
        <v>717</v>
      </c>
      <c r="W200">
        <v>44082</v>
      </c>
      <c r="X200" t="s">
        <v>3350</v>
      </c>
      <c r="Y200" t="s">
        <v>6</v>
      </c>
      <c r="Z200" t="s">
        <v>17</v>
      </c>
      <c r="AA200" t="s">
        <v>717</v>
      </c>
      <c r="AB200" t="s">
        <v>2509</v>
      </c>
      <c r="AC200" t="s">
        <v>2564</v>
      </c>
      <c r="AD200" t="s">
        <v>717</v>
      </c>
      <c r="AE200" t="s">
        <v>3351</v>
      </c>
      <c r="AF200" t="s">
        <v>3352</v>
      </c>
      <c r="AG200" t="s">
        <v>3353</v>
      </c>
      <c r="AH200" t="s">
        <v>2615</v>
      </c>
      <c r="AI200" t="s">
        <v>2552</v>
      </c>
      <c r="AJ200" t="s">
        <v>3330</v>
      </c>
      <c r="AK200" t="s">
        <v>77</v>
      </c>
      <c r="AL200" t="s">
        <v>16</v>
      </c>
      <c r="AM200" t="s">
        <v>10</v>
      </c>
      <c r="AN200" t="s">
        <v>717</v>
      </c>
    </row>
    <row r="201" spans="1:40" hidden="1">
      <c r="A201">
        <v>199</v>
      </c>
      <c r="B201">
        <v>5</v>
      </c>
      <c r="C201" s="58">
        <v>44091</v>
      </c>
      <c r="D201" t="s">
        <v>74</v>
      </c>
      <c r="E201" t="s">
        <v>2515</v>
      </c>
      <c r="F201">
        <v>9</v>
      </c>
      <c r="G201">
        <v>6</v>
      </c>
      <c r="H201">
        <v>49</v>
      </c>
      <c r="I201">
        <v>2</v>
      </c>
      <c r="J201">
        <v>66.14</v>
      </c>
      <c r="K201" t="s">
        <v>15</v>
      </c>
      <c r="L201">
        <v>3272242.77</v>
      </c>
      <c r="M201">
        <v>0</v>
      </c>
      <c r="N201">
        <v>3272242.77</v>
      </c>
      <c r="O201">
        <v>49474.490021167221</v>
      </c>
      <c r="P201">
        <v>310858</v>
      </c>
      <c r="Q201">
        <v>2961384.77</v>
      </c>
      <c r="R201">
        <v>44774.490021167221</v>
      </c>
      <c r="S201" t="s">
        <v>65</v>
      </c>
      <c r="T201" t="s">
        <v>717</v>
      </c>
      <c r="U201" t="s">
        <v>717</v>
      </c>
      <c r="V201" t="s">
        <v>717</v>
      </c>
      <c r="W201">
        <v>44083</v>
      </c>
      <c r="X201" t="s">
        <v>3354</v>
      </c>
      <c r="Y201" t="s">
        <v>6</v>
      </c>
      <c r="Z201" t="s">
        <v>11</v>
      </c>
      <c r="AA201" t="s">
        <v>717</v>
      </c>
      <c r="AB201" t="s">
        <v>2509</v>
      </c>
      <c r="AC201" t="s">
        <v>2558</v>
      </c>
      <c r="AD201" t="s">
        <v>717</v>
      </c>
      <c r="AE201" t="s">
        <v>3355</v>
      </c>
      <c r="AF201" t="s">
        <v>3356</v>
      </c>
      <c r="AG201" t="s">
        <v>3357</v>
      </c>
      <c r="AH201" t="s">
        <v>2615</v>
      </c>
      <c r="AI201" t="s">
        <v>2547</v>
      </c>
      <c r="AJ201" t="s">
        <v>3298</v>
      </c>
      <c r="AK201" t="s">
        <v>63</v>
      </c>
      <c r="AL201" t="s">
        <v>16</v>
      </c>
      <c r="AM201" t="s">
        <v>10</v>
      </c>
      <c r="AN201" t="s">
        <v>717</v>
      </c>
    </row>
    <row r="202" spans="1:40" hidden="1">
      <c r="A202">
        <v>200</v>
      </c>
      <c r="B202">
        <v>6</v>
      </c>
      <c r="C202" s="58">
        <v>44091</v>
      </c>
      <c r="D202" t="s">
        <v>74</v>
      </c>
      <c r="E202" t="s">
        <v>2515</v>
      </c>
      <c r="F202">
        <v>7</v>
      </c>
      <c r="G202">
        <v>12</v>
      </c>
      <c r="H202">
        <v>107</v>
      </c>
      <c r="I202">
        <v>1</v>
      </c>
      <c r="J202">
        <v>42.32</v>
      </c>
      <c r="K202" t="s">
        <v>9</v>
      </c>
      <c r="L202">
        <v>2069778.52</v>
      </c>
      <c r="M202">
        <v>0</v>
      </c>
      <c r="N202">
        <v>2069778.52</v>
      </c>
      <c r="O202">
        <v>48907.81001890359</v>
      </c>
      <c r="P202">
        <v>21160</v>
      </c>
      <c r="Q202">
        <v>2048618.52</v>
      </c>
      <c r="R202">
        <v>48407.81001890359</v>
      </c>
      <c r="S202" t="s">
        <v>130</v>
      </c>
      <c r="T202" t="s">
        <v>717</v>
      </c>
      <c r="U202" t="s">
        <v>717</v>
      </c>
      <c r="V202" t="s">
        <v>717</v>
      </c>
      <c r="W202">
        <v>44092</v>
      </c>
      <c r="X202" t="s">
        <v>3358</v>
      </c>
      <c r="Y202" t="s">
        <v>6</v>
      </c>
      <c r="Z202" t="s">
        <v>11</v>
      </c>
      <c r="AA202" t="s">
        <v>717</v>
      </c>
      <c r="AB202" t="s">
        <v>2509</v>
      </c>
      <c r="AC202" t="s">
        <v>118</v>
      </c>
      <c r="AD202" t="s">
        <v>717</v>
      </c>
      <c r="AE202" t="s">
        <v>3359</v>
      </c>
      <c r="AF202" t="s">
        <v>3360</v>
      </c>
      <c r="AG202" t="s">
        <v>3361</v>
      </c>
      <c r="AH202" t="s">
        <v>2580</v>
      </c>
      <c r="AI202" t="s">
        <v>2747</v>
      </c>
      <c r="AJ202" t="s">
        <v>2514</v>
      </c>
      <c r="AK202" t="s">
        <v>63</v>
      </c>
      <c r="AL202" t="s">
        <v>717</v>
      </c>
      <c r="AM202" t="s">
        <v>10</v>
      </c>
      <c r="AN202" t="s">
        <v>717</v>
      </c>
    </row>
    <row r="203" spans="1:40" hidden="1">
      <c r="A203">
        <v>201</v>
      </c>
      <c r="B203">
        <v>7</v>
      </c>
      <c r="C203" s="58">
        <v>44092</v>
      </c>
      <c r="D203" t="s">
        <v>74</v>
      </c>
      <c r="E203" t="s">
        <v>2515</v>
      </c>
      <c r="F203">
        <v>9</v>
      </c>
      <c r="G203">
        <v>12</v>
      </c>
      <c r="H203">
        <v>109</v>
      </c>
      <c r="I203">
        <v>2</v>
      </c>
      <c r="J203">
        <v>66.14</v>
      </c>
      <c r="K203" t="s">
        <v>15</v>
      </c>
      <c r="L203">
        <v>3257242.77</v>
      </c>
      <c r="M203">
        <v>15000</v>
      </c>
      <c r="N203">
        <v>3272242.77</v>
      </c>
      <c r="O203">
        <v>49474.490021167221</v>
      </c>
      <c r="P203">
        <v>310858</v>
      </c>
      <c r="Q203">
        <v>2961384.77</v>
      </c>
      <c r="R203">
        <v>44774.490021167221</v>
      </c>
      <c r="S203" t="s">
        <v>65</v>
      </c>
      <c r="T203" t="s">
        <v>717</v>
      </c>
      <c r="U203" t="s">
        <v>717</v>
      </c>
      <c r="V203" t="s">
        <v>717</v>
      </c>
      <c r="W203">
        <v>44080</v>
      </c>
      <c r="X203" t="s">
        <v>3362</v>
      </c>
      <c r="Y203" t="s">
        <v>6</v>
      </c>
      <c r="Z203" t="s">
        <v>17</v>
      </c>
      <c r="AA203" t="s">
        <v>717</v>
      </c>
      <c r="AB203" t="s">
        <v>2509</v>
      </c>
      <c r="AC203" t="s">
        <v>2571</v>
      </c>
      <c r="AD203" t="s">
        <v>717</v>
      </c>
      <c r="AE203" t="s">
        <v>3363</v>
      </c>
      <c r="AF203" t="s">
        <v>3364</v>
      </c>
      <c r="AG203" t="s">
        <v>3365</v>
      </c>
      <c r="AH203" t="s">
        <v>2191</v>
      </c>
      <c r="AI203" t="s">
        <v>2538</v>
      </c>
      <c r="AJ203" t="s">
        <v>2793</v>
      </c>
      <c r="AK203" t="s">
        <v>63</v>
      </c>
      <c r="AL203" t="s">
        <v>16</v>
      </c>
      <c r="AM203" t="s">
        <v>10</v>
      </c>
      <c r="AN203" t="s">
        <v>717</v>
      </c>
    </row>
    <row r="204" spans="1:40" hidden="1">
      <c r="A204">
        <v>202</v>
      </c>
      <c r="B204">
        <v>8</v>
      </c>
      <c r="C204" s="58">
        <v>44092</v>
      </c>
      <c r="D204" t="s">
        <v>74</v>
      </c>
      <c r="E204" t="s">
        <v>2515</v>
      </c>
      <c r="F204">
        <v>10</v>
      </c>
      <c r="G204">
        <v>14</v>
      </c>
      <c r="H204">
        <v>130</v>
      </c>
      <c r="I204">
        <v>2</v>
      </c>
      <c r="J204">
        <v>65.88</v>
      </c>
      <c r="K204" t="s">
        <v>15</v>
      </c>
      <c r="L204">
        <v>3259379.4</v>
      </c>
      <c r="M204">
        <v>0</v>
      </c>
      <c r="N204">
        <v>3259379.4</v>
      </c>
      <c r="O204">
        <v>49474.489981785067</v>
      </c>
      <c r="P204">
        <v>309636</v>
      </c>
      <c r="Q204">
        <v>2949743.4</v>
      </c>
      <c r="R204">
        <v>44774.489981785067</v>
      </c>
      <c r="S204" t="s">
        <v>65</v>
      </c>
      <c r="T204" t="s">
        <v>717</v>
      </c>
      <c r="U204" t="s">
        <v>717</v>
      </c>
      <c r="V204" t="s">
        <v>717</v>
      </c>
      <c r="W204">
        <v>44084</v>
      </c>
      <c r="X204" t="s">
        <v>3366</v>
      </c>
      <c r="Y204" t="s">
        <v>6</v>
      </c>
      <c r="Z204" t="s">
        <v>17</v>
      </c>
      <c r="AA204" t="s">
        <v>717</v>
      </c>
      <c r="AB204" t="s">
        <v>2509</v>
      </c>
      <c r="AC204" t="s">
        <v>2571</v>
      </c>
      <c r="AD204" t="s">
        <v>717</v>
      </c>
      <c r="AE204" t="s">
        <v>3367</v>
      </c>
      <c r="AF204" t="s">
        <v>3368</v>
      </c>
      <c r="AG204" t="s">
        <v>3369</v>
      </c>
      <c r="AH204" t="s">
        <v>2615</v>
      </c>
      <c r="AI204" t="s">
        <v>2552</v>
      </c>
      <c r="AJ204" t="s">
        <v>2793</v>
      </c>
      <c r="AK204" t="s">
        <v>20</v>
      </c>
      <c r="AL204" t="s">
        <v>16</v>
      </c>
      <c r="AM204" t="s">
        <v>10</v>
      </c>
      <c r="AN204" t="s">
        <v>717</v>
      </c>
    </row>
    <row r="205" spans="1:40" hidden="1">
      <c r="A205">
        <v>203</v>
      </c>
      <c r="B205">
        <v>9</v>
      </c>
      <c r="C205" s="58">
        <v>44092</v>
      </c>
      <c r="D205" t="s">
        <v>74</v>
      </c>
      <c r="E205" t="s">
        <v>2515</v>
      </c>
      <c r="F205">
        <v>8</v>
      </c>
      <c r="G205">
        <v>8</v>
      </c>
      <c r="H205">
        <v>68</v>
      </c>
      <c r="I205">
        <v>1</v>
      </c>
      <c r="J205">
        <v>47.97</v>
      </c>
      <c r="K205" t="s">
        <v>15</v>
      </c>
      <c r="L205">
        <v>2479946.8199999998</v>
      </c>
      <c r="M205">
        <v>0</v>
      </c>
      <c r="N205">
        <v>2479946.8199999998</v>
      </c>
      <c r="O205">
        <v>51697.869918699187</v>
      </c>
      <c r="P205">
        <v>225459</v>
      </c>
      <c r="Q205">
        <v>2254487.8199999998</v>
      </c>
      <c r="R205">
        <v>46997.869918699187</v>
      </c>
      <c r="S205" t="s">
        <v>65</v>
      </c>
      <c r="T205" t="s">
        <v>717</v>
      </c>
      <c r="U205" t="s">
        <v>717</v>
      </c>
      <c r="V205" t="s">
        <v>717</v>
      </c>
      <c r="W205">
        <v>44090</v>
      </c>
      <c r="X205" t="s">
        <v>3370</v>
      </c>
      <c r="Y205" t="s">
        <v>6</v>
      </c>
      <c r="Z205" t="s">
        <v>17</v>
      </c>
      <c r="AA205" t="s">
        <v>717</v>
      </c>
      <c r="AB205" t="s">
        <v>2509</v>
      </c>
      <c r="AC205" t="s">
        <v>2571</v>
      </c>
      <c r="AD205" t="s">
        <v>717</v>
      </c>
      <c r="AE205" t="s">
        <v>3371</v>
      </c>
      <c r="AF205" t="s">
        <v>3372</v>
      </c>
      <c r="AG205" t="s">
        <v>3373</v>
      </c>
      <c r="AH205" t="s">
        <v>2191</v>
      </c>
      <c r="AI205" t="s">
        <v>2552</v>
      </c>
      <c r="AJ205" t="s">
        <v>2514</v>
      </c>
      <c r="AK205" t="s">
        <v>63</v>
      </c>
      <c r="AL205" t="s">
        <v>16</v>
      </c>
      <c r="AM205" t="s">
        <v>10</v>
      </c>
      <c r="AN205" t="s">
        <v>717</v>
      </c>
    </row>
    <row r="206" spans="1:40" hidden="1">
      <c r="A206">
        <v>204</v>
      </c>
      <c r="B206">
        <v>10</v>
      </c>
      <c r="C206" s="58">
        <v>44095</v>
      </c>
      <c r="D206" t="s">
        <v>74</v>
      </c>
      <c r="E206" t="s">
        <v>2506</v>
      </c>
      <c r="F206">
        <v>2</v>
      </c>
      <c r="G206">
        <v>11</v>
      </c>
      <c r="H206">
        <v>215</v>
      </c>
      <c r="I206">
        <v>1</v>
      </c>
      <c r="J206">
        <v>40.39</v>
      </c>
      <c r="K206" t="s">
        <v>9</v>
      </c>
      <c r="L206">
        <v>1955834.53</v>
      </c>
      <c r="M206">
        <v>0</v>
      </c>
      <c r="N206">
        <v>1955834.53</v>
      </c>
      <c r="O206">
        <v>48423.73186432285</v>
      </c>
      <c r="P206">
        <v>20195</v>
      </c>
      <c r="Q206">
        <v>1935639.53</v>
      </c>
      <c r="R206">
        <v>47923.73186432285</v>
      </c>
      <c r="S206" t="s">
        <v>65</v>
      </c>
      <c r="T206" t="s">
        <v>717</v>
      </c>
      <c r="U206" t="s">
        <v>717</v>
      </c>
      <c r="V206" t="s">
        <v>717</v>
      </c>
      <c r="W206">
        <v>44095</v>
      </c>
      <c r="X206" t="s">
        <v>3374</v>
      </c>
      <c r="Y206" t="s">
        <v>6</v>
      </c>
      <c r="Z206" t="s">
        <v>17</v>
      </c>
      <c r="AA206" t="s">
        <v>717</v>
      </c>
      <c r="AB206" t="s">
        <v>2509</v>
      </c>
      <c r="AC206" t="s">
        <v>2571</v>
      </c>
      <c r="AD206" t="s">
        <v>717</v>
      </c>
      <c r="AE206" t="s">
        <v>3375</v>
      </c>
      <c r="AF206" t="s">
        <v>3376</v>
      </c>
      <c r="AG206" t="s">
        <v>3377</v>
      </c>
      <c r="AH206" t="s">
        <v>2552</v>
      </c>
      <c r="AI206" t="s">
        <v>2877</v>
      </c>
      <c r="AJ206" t="s">
        <v>2514</v>
      </c>
      <c r="AK206" t="s">
        <v>77</v>
      </c>
      <c r="AL206" t="s">
        <v>16</v>
      </c>
      <c r="AM206" t="s">
        <v>10</v>
      </c>
      <c r="AN206" t="s">
        <v>717</v>
      </c>
    </row>
    <row r="207" spans="1:40" hidden="1">
      <c r="A207">
        <v>205</v>
      </c>
      <c r="B207">
        <v>11</v>
      </c>
      <c r="C207" s="58">
        <v>44096</v>
      </c>
      <c r="D207" t="s">
        <v>74</v>
      </c>
      <c r="E207" t="s">
        <v>2515</v>
      </c>
      <c r="F207">
        <v>7</v>
      </c>
      <c r="G207">
        <v>14</v>
      </c>
      <c r="H207">
        <v>127</v>
      </c>
      <c r="I207">
        <v>1</v>
      </c>
      <c r="J207">
        <v>41.95</v>
      </c>
      <c r="K207" t="s">
        <v>9</v>
      </c>
      <c r="L207">
        <v>2051682.63</v>
      </c>
      <c r="M207">
        <v>0</v>
      </c>
      <c r="N207">
        <v>2051682.63</v>
      </c>
      <c r="O207">
        <v>48907.810011918948</v>
      </c>
      <c r="P207">
        <v>20975</v>
      </c>
      <c r="Q207">
        <v>2030707.63</v>
      </c>
      <c r="R207">
        <v>48407.810011918948</v>
      </c>
      <c r="S207" t="s">
        <v>65</v>
      </c>
      <c r="T207" t="s">
        <v>717</v>
      </c>
      <c r="U207" t="s">
        <v>717</v>
      </c>
      <c r="V207" t="s">
        <v>717</v>
      </c>
      <c r="W207">
        <v>44090</v>
      </c>
      <c r="X207" t="s">
        <v>3378</v>
      </c>
      <c r="Y207" t="s">
        <v>6</v>
      </c>
      <c r="Z207" t="s">
        <v>17</v>
      </c>
      <c r="AA207" t="s">
        <v>717</v>
      </c>
      <c r="AB207" t="s">
        <v>2509</v>
      </c>
      <c r="AC207" t="s">
        <v>2571</v>
      </c>
      <c r="AD207" t="s">
        <v>717</v>
      </c>
      <c r="AE207" t="s">
        <v>3379</v>
      </c>
      <c r="AF207" t="s">
        <v>3380</v>
      </c>
      <c r="AG207" t="s">
        <v>3381</v>
      </c>
      <c r="AH207" t="s">
        <v>2191</v>
      </c>
      <c r="AI207" t="s">
        <v>2747</v>
      </c>
      <c r="AJ207" t="s">
        <v>2514</v>
      </c>
      <c r="AK207" t="s">
        <v>63</v>
      </c>
      <c r="AL207" t="s">
        <v>16</v>
      </c>
      <c r="AM207" t="s">
        <v>10</v>
      </c>
      <c r="AN207" t="s">
        <v>717</v>
      </c>
    </row>
    <row r="208" spans="1:40" hidden="1">
      <c r="A208">
        <v>206</v>
      </c>
      <c r="B208">
        <v>12</v>
      </c>
      <c r="C208" s="58">
        <v>44096</v>
      </c>
      <c r="D208" t="s">
        <v>74</v>
      </c>
      <c r="E208" t="s">
        <v>2515</v>
      </c>
      <c r="F208">
        <v>5</v>
      </c>
      <c r="G208">
        <v>2</v>
      </c>
      <c r="H208">
        <v>5</v>
      </c>
      <c r="I208">
        <v>2</v>
      </c>
      <c r="J208">
        <v>61.12</v>
      </c>
      <c r="K208" t="s">
        <v>25</v>
      </c>
      <c r="L208">
        <v>3613850.19</v>
      </c>
      <c r="M208">
        <v>0</v>
      </c>
      <c r="N208">
        <v>3613850.19</v>
      </c>
      <c r="O208">
        <v>59127.13007198953</v>
      </c>
      <c r="P208">
        <v>947360</v>
      </c>
      <c r="Q208">
        <v>2666490.19</v>
      </c>
      <c r="R208">
        <v>43627.13007198953</v>
      </c>
      <c r="S208" t="s">
        <v>65</v>
      </c>
      <c r="T208" t="s">
        <v>717</v>
      </c>
      <c r="U208" t="s">
        <v>717</v>
      </c>
      <c r="V208" t="s">
        <v>717</v>
      </c>
      <c r="W208">
        <v>44090</v>
      </c>
      <c r="X208" t="s">
        <v>3382</v>
      </c>
      <c r="Y208" t="s">
        <v>6</v>
      </c>
      <c r="Z208" t="s">
        <v>17</v>
      </c>
      <c r="AA208" t="s">
        <v>717</v>
      </c>
      <c r="AB208" t="s">
        <v>2509</v>
      </c>
      <c r="AC208" t="s">
        <v>2571</v>
      </c>
      <c r="AD208" t="s">
        <v>717</v>
      </c>
      <c r="AE208" t="s">
        <v>3383</v>
      </c>
      <c r="AF208" t="s">
        <v>3384</v>
      </c>
      <c r="AG208" t="s">
        <v>3385</v>
      </c>
      <c r="AH208" t="s">
        <v>2191</v>
      </c>
      <c r="AI208" t="s">
        <v>2552</v>
      </c>
      <c r="AJ208" t="s">
        <v>2514</v>
      </c>
      <c r="AK208" t="s">
        <v>63</v>
      </c>
      <c r="AL208" t="s">
        <v>2663</v>
      </c>
      <c r="AM208" t="s">
        <v>10</v>
      </c>
      <c r="AN208" t="s">
        <v>717</v>
      </c>
    </row>
    <row r="209" spans="1:40" hidden="1">
      <c r="A209">
        <v>207</v>
      </c>
      <c r="B209">
        <v>13</v>
      </c>
      <c r="C209" s="58">
        <v>44097</v>
      </c>
      <c r="D209" t="s">
        <v>74</v>
      </c>
      <c r="E209" t="s">
        <v>2506</v>
      </c>
      <c r="F209">
        <v>1</v>
      </c>
      <c r="G209">
        <v>4</v>
      </c>
      <c r="H209">
        <v>165</v>
      </c>
      <c r="I209">
        <v>3</v>
      </c>
      <c r="J209">
        <v>89.56</v>
      </c>
      <c r="K209" t="s">
        <v>25</v>
      </c>
      <c r="L209">
        <v>5295425.76</v>
      </c>
      <c r="M209">
        <v>0</v>
      </c>
      <c r="N209">
        <v>5295425.76</v>
      </c>
      <c r="O209">
        <v>59127.129968736037</v>
      </c>
      <c r="P209">
        <v>1388180</v>
      </c>
      <c r="Q209">
        <v>3907245.76</v>
      </c>
      <c r="R209">
        <v>43627.129968736037</v>
      </c>
      <c r="S209" t="s">
        <v>65</v>
      </c>
      <c r="T209" t="s">
        <v>717</v>
      </c>
      <c r="U209" t="s">
        <v>717</v>
      </c>
      <c r="V209" t="s">
        <v>717</v>
      </c>
      <c r="W209">
        <v>44083</v>
      </c>
      <c r="X209" t="s">
        <v>3386</v>
      </c>
      <c r="Y209" t="s">
        <v>6</v>
      </c>
      <c r="Z209" t="s">
        <v>17</v>
      </c>
      <c r="AA209" t="s">
        <v>717</v>
      </c>
      <c r="AB209" t="s">
        <v>2509</v>
      </c>
      <c r="AC209" t="s">
        <v>2571</v>
      </c>
      <c r="AD209" t="s">
        <v>717</v>
      </c>
      <c r="AE209" t="s">
        <v>3387</v>
      </c>
      <c r="AF209" t="s">
        <v>3388</v>
      </c>
      <c r="AG209" t="s">
        <v>3389</v>
      </c>
      <c r="AH209" t="s">
        <v>2615</v>
      </c>
      <c r="AI209" t="s">
        <v>2538</v>
      </c>
      <c r="AJ209" t="s">
        <v>2793</v>
      </c>
      <c r="AK209" t="s">
        <v>63</v>
      </c>
      <c r="AL209" t="s">
        <v>16</v>
      </c>
      <c r="AM209" t="s">
        <v>10</v>
      </c>
      <c r="AN209" t="s">
        <v>717</v>
      </c>
    </row>
    <row r="210" spans="1:40" hidden="1">
      <c r="A210">
        <v>208</v>
      </c>
      <c r="B210">
        <v>14</v>
      </c>
      <c r="C210" s="58">
        <v>44097</v>
      </c>
      <c r="D210" t="s">
        <v>74</v>
      </c>
      <c r="E210" t="s">
        <v>2506</v>
      </c>
      <c r="F210">
        <v>3</v>
      </c>
      <c r="G210">
        <v>2</v>
      </c>
      <c r="H210">
        <v>153</v>
      </c>
      <c r="I210">
        <v>1</v>
      </c>
      <c r="J210">
        <v>42.29</v>
      </c>
      <c r="K210" t="s">
        <v>9</v>
      </c>
      <c r="L210">
        <v>1992017.3</v>
      </c>
      <c r="M210">
        <v>0</v>
      </c>
      <c r="N210">
        <v>1992017.3</v>
      </c>
      <c r="O210">
        <v>47103.743201702535</v>
      </c>
      <c r="P210">
        <v>21145</v>
      </c>
      <c r="Q210">
        <v>1970872.3</v>
      </c>
      <c r="R210">
        <v>46603.743201702535</v>
      </c>
      <c r="S210" t="s">
        <v>2507</v>
      </c>
      <c r="T210" t="s">
        <v>3203</v>
      </c>
      <c r="U210">
        <v>40221.89</v>
      </c>
      <c r="V210" t="s">
        <v>717</v>
      </c>
      <c r="W210">
        <v>44090</v>
      </c>
      <c r="X210" t="s">
        <v>3390</v>
      </c>
      <c r="Y210" t="s">
        <v>6</v>
      </c>
      <c r="Z210" t="s">
        <v>11</v>
      </c>
      <c r="AA210" t="s">
        <v>717</v>
      </c>
      <c r="AB210" t="s">
        <v>2509</v>
      </c>
      <c r="AC210" t="s">
        <v>118</v>
      </c>
      <c r="AD210" t="s">
        <v>717</v>
      </c>
      <c r="AE210" t="s">
        <v>3391</v>
      </c>
      <c r="AF210" t="s">
        <v>3392</v>
      </c>
      <c r="AG210" t="s">
        <v>3393</v>
      </c>
      <c r="AH210" t="s">
        <v>2552</v>
      </c>
      <c r="AI210" t="s">
        <v>2877</v>
      </c>
      <c r="AJ210" t="s">
        <v>2514</v>
      </c>
      <c r="AK210" t="s">
        <v>77</v>
      </c>
      <c r="AL210" t="s">
        <v>717</v>
      </c>
      <c r="AM210" t="s">
        <v>10</v>
      </c>
      <c r="AN210" t="s">
        <v>717</v>
      </c>
    </row>
    <row r="211" spans="1:40" hidden="1">
      <c r="A211">
        <v>209</v>
      </c>
      <c r="B211">
        <v>15</v>
      </c>
      <c r="C211" s="58">
        <v>44097</v>
      </c>
      <c r="D211" t="s">
        <v>74</v>
      </c>
      <c r="E211" t="s">
        <v>2581</v>
      </c>
      <c r="F211">
        <v>2</v>
      </c>
      <c r="G211">
        <v>2</v>
      </c>
      <c r="H211">
        <v>313</v>
      </c>
      <c r="I211">
        <v>3</v>
      </c>
      <c r="J211">
        <v>89.8</v>
      </c>
      <c r="K211" t="s">
        <v>15</v>
      </c>
      <c r="L211">
        <v>4442809.2</v>
      </c>
      <c r="M211">
        <v>0</v>
      </c>
      <c r="N211">
        <v>4442809.2</v>
      </c>
      <c r="O211">
        <v>49474.489977728284</v>
      </c>
      <c r="P211">
        <v>422060</v>
      </c>
      <c r="Q211">
        <v>4020749.2</v>
      </c>
      <c r="R211">
        <v>44774.489977728284</v>
      </c>
      <c r="S211" t="s">
        <v>65</v>
      </c>
      <c r="T211" t="s">
        <v>717</v>
      </c>
      <c r="U211" t="s">
        <v>717</v>
      </c>
      <c r="V211" t="s">
        <v>717</v>
      </c>
      <c r="W211">
        <v>44090</v>
      </c>
      <c r="X211" t="s">
        <v>3394</v>
      </c>
      <c r="Y211" t="s">
        <v>6</v>
      </c>
      <c r="Z211" t="s">
        <v>17</v>
      </c>
      <c r="AA211" t="s">
        <v>717</v>
      </c>
      <c r="AB211" t="s">
        <v>2509</v>
      </c>
      <c r="AC211" t="s">
        <v>2571</v>
      </c>
      <c r="AD211" t="s">
        <v>717</v>
      </c>
      <c r="AE211" t="s">
        <v>3395</v>
      </c>
      <c r="AF211" t="s">
        <v>3396</v>
      </c>
      <c r="AG211" t="s">
        <v>3397</v>
      </c>
      <c r="AH211" t="s">
        <v>2615</v>
      </c>
      <c r="AI211" t="s">
        <v>3120</v>
      </c>
      <c r="AJ211" t="s">
        <v>2514</v>
      </c>
      <c r="AK211" t="s">
        <v>63</v>
      </c>
      <c r="AL211" t="s">
        <v>16</v>
      </c>
      <c r="AM211" t="s">
        <v>10</v>
      </c>
      <c r="AN211" t="s">
        <v>717</v>
      </c>
    </row>
    <row r="212" spans="1:40" hidden="1">
      <c r="A212">
        <v>210</v>
      </c>
      <c r="B212">
        <v>16</v>
      </c>
      <c r="C212" s="58">
        <v>44097</v>
      </c>
      <c r="D212" t="s">
        <v>74</v>
      </c>
      <c r="E212" t="s">
        <v>2515</v>
      </c>
      <c r="F212">
        <v>10</v>
      </c>
      <c r="G212">
        <v>11</v>
      </c>
      <c r="H212">
        <v>100</v>
      </c>
      <c r="I212">
        <v>2</v>
      </c>
      <c r="J212">
        <v>65.540000000000006</v>
      </c>
      <c r="K212" t="s">
        <v>15</v>
      </c>
      <c r="L212">
        <v>3242558.07</v>
      </c>
      <c r="M212">
        <v>0</v>
      </c>
      <c r="N212">
        <v>3242558.07</v>
      </c>
      <c r="O212">
        <v>49474.489929813848</v>
      </c>
      <c r="P212">
        <v>308038</v>
      </c>
      <c r="Q212">
        <v>2934520.07</v>
      </c>
      <c r="R212">
        <v>44774.489929813848</v>
      </c>
      <c r="S212" t="s">
        <v>65</v>
      </c>
      <c r="T212" t="s">
        <v>717</v>
      </c>
      <c r="U212" t="s">
        <v>717</v>
      </c>
      <c r="V212" t="s">
        <v>717</v>
      </c>
      <c r="W212">
        <v>44096</v>
      </c>
      <c r="X212" t="s">
        <v>3398</v>
      </c>
      <c r="Y212" t="s">
        <v>6</v>
      </c>
      <c r="Z212" t="s">
        <v>17</v>
      </c>
      <c r="AA212" t="s">
        <v>717</v>
      </c>
      <c r="AB212" t="s">
        <v>2509</v>
      </c>
      <c r="AC212" t="s">
        <v>2571</v>
      </c>
      <c r="AD212" t="s">
        <v>717</v>
      </c>
      <c r="AE212" t="s">
        <v>3399</v>
      </c>
      <c r="AF212" t="s">
        <v>3400</v>
      </c>
      <c r="AG212" t="s">
        <v>3401</v>
      </c>
      <c r="AH212" t="s">
        <v>2615</v>
      </c>
      <c r="AI212" t="s">
        <v>2824</v>
      </c>
      <c r="AJ212" t="s">
        <v>2662</v>
      </c>
      <c r="AK212" t="s">
        <v>77</v>
      </c>
      <c r="AL212" t="s">
        <v>16</v>
      </c>
      <c r="AM212" t="s">
        <v>10</v>
      </c>
      <c r="AN212" t="s">
        <v>717</v>
      </c>
    </row>
    <row r="213" spans="1:40" hidden="1">
      <c r="A213">
        <v>211</v>
      </c>
      <c r="B213">
        <v>17</v>
      </c>
      <c r="C213" s="58">
        <v>44098</v>
      </c>
      <c r="D213" t="s">
        <v>74</v>
      </c>
      <c r="E213" t="s">
        <v>2506</v>
      </c>
      <c r="F213">
        <v>1</v>
      </c>
      <c r="G213">
        <v>16</v>
      </c>
      <c r="H213">
        <v>249</v>
      </c>
      <c r="I213">
        <v>3</v>
      </c>
      <c r="J213">
        <v>89.56</v>
      </c>
      <c r="K213" t="s">
        <v>15</v>
      </c>
      <c r="L213">
        <v>4415935.32</v>
      </c>
      <c r="M213">
        <v>15000</v>
      </c>
      <c r="N213">
        <v>4430935.32</v>
      </c>
      <c r="O213">
        <v>49474.489950870928</v>
      </c>
      <c r="P213">
        <v>420932</v>
      </c>
      <c r="Q213">
        <v>4010003.32</v>
      </c>
      <c r="R213">
        <v>44774.489950870928</v>
      </c>
      <c r="S213" t="s">
        <v>65</v>
      </c>
      <c r="T213" t="s">
        <v>717</v>
      </c>
      <c r="U213" t="s">
        <v>717</v>
      </c>
      <c r="V213" t="s">
        <v>717</v>
      </c>
      <c r="W213">
        <v>44084</v>
      </c>
      <c r="X213" t="s">
        <v>3402</v>
      </c>
      <c r="Y213" t="s">
        <v>6</v>
      </c>
      <c r="Z213" t="s">
        <v>17</v>
      </c>
      <c r="AA213" t="s">
        <v>717</v>
      </c>
      <c r="AB213" t="s">
        <v>2509</v>
      </c>
      <c r="AC213" t="s">
        <v>2571</v>
      </c>
      <c r="AD213" t="s">
        <v>717</v>
      </c>
      <c r="AE213" t="s">
        <v>3403</v>
      </c>
      <c r="AF213" t="s">
        <v>3404</v>
      </c>
      <c r="AG213" t="s">
        <v>3405</v>
      </c>
      <c r="AH213" t="s">
        <v>2615</v>
      </c>
      <c r="AI213" t="s">
        <v>2552</v>
      </c>
      <c r="AJ213" t="s">
        <v>2825</v>
      </c>
      <c r="AK213" t="s">
        <v>63</v>
      </c>
      <c r="AL213" t="s">
        <v>16</v>
      </c>
      <c r="AM213" t="s">
        <v>10</v>
      </c>
      <c r="AN213" t="s">
        <v>717</v>
      </c>
    </row>
    <row r="214" spans="1:40" hidden="1">
      <c r="A214">
        <v>212</v>
      </c>
      <c r="B214">
        <v>18</v>
      </c>
      <c r="C214" s="58">
        <v>44098</v>
      </c>
      <c r="D214" t="s">
        <v>74</v>
      </c>
      <c r="E214" t="s">
        <v>2581</v>
      </c>
      <c r="F214">
        <v>2</v>
      </c>
      <c r="G214">
        <v>4</v>
      </c>
      <c r="H214">
        <v>329</v>
      </c>
      <c r="I214">
        <v>3</v>
      </c>
      <c r="J214">
        <v>89.8</v>
      </c>
      <c r="K214" t="s">
        <v>25</v>
      </c>
      <c r="L214">
        <v>5412649.2000000002</v>
      </c>
      <c r="M214">
        <v>0</v>
      </c>
      <c r="N214">
        <v>5412649.2000000002</v>
      </c>
      <c r="O214">
        <v>60274.489977728284</v>
      </c>
      <c r="P214">
        <v>1391900</v>
      </c>
      <c r="Q214">
        <v>4020749.2</v>
      </c>
      <c r="R214">
        <v>44774.489977728284</v>
      </c>
      <c r="S214" t="s">
        <v>65</v>
      </c>
      <c r="T214" t="s">
        <v>717</v>
      </c>
      <c r="U214" t="s">
        <v>717</v>
      </c>
      <c r="V214" t="s">
        <v>717</v>
      </c>
      <c r="W214">
        <v>44090</v>
      </c>
      <c r="X214" t="s">
        <v>3406</v>
      </c>
      <c r="Y214" t="s">
        <v>6</v>
      </c>
      <c r="Z214" t="s">
        <v>17</v>
      </c>
      <c r="AA214" t="s">
        <v>717</v>
      </c>
      <c r="AB214" t="s">
        <v>2509</v>
      </c>
      <c r="AC214" t="s">
        <v>2571</v>
      </c>
      <c r="AD214" t="s">
        <v>717</v>
      </c>
      <c r="AE214" t="s">
        <v>3407</v>
      </c>
      <c r="AF214" t="s">
        <v>3408</v>
      </c>
      <c r="AG214" t="s">
        <v>3409</v>
      </c>
      <c r="AH214" t="s">
        <v>2615</v>
      </c>
      <c r="AI214" t="s">
        <v>2656</v>
      </c>
      <c r="AJ214" t="s">
        <v>2662</v>
      </c>
      <c r="AK214" t="s">
        <v>63</v>
      </c>
      <c r="AL214" t="s">
        <v>2663</v>
      </c>
      <c r="AM214" t="s">
        <v>10</v>
      </c>
      <c r="AN214" t="s">
        <v>717</v>
      </c>
    </row>
    <row r="215" spans="1:40" hidden="1">
      <c r="A215">
        <v>213</v>
      </c>
      <c r="B215">
        <v>19</v>
      </c>
      <c r="C215" s="58">
        <v>44098</v>
      </c>
      <c r="D215" t="s">
        <v>74</v>
      </c>
      <c r="E215" t="s">
        <v>2515</v>
      </c>
      <c r="F215">
        <v>8</v>
      </c>
      <c r="G215">
        <v>4</v>
      </c>
      <c r="H215">
        <v>28</v>
      </c>
      <c r="I215">
        <v>1</v>
      </c>
      <c r="J215">
        <v>47.97</v>
      </c>
      <c r="K215" t="s">
        <v>9</v>
      </c>
      <c r="L215">
        <v>2340635.4</v>
      </c>
      <c r="M215">
        <v>0</v>
      </c>
      <c r="N215">
        <v>2340635.4</v>
      </c>
      <c r="O215">
        <v>48793.73358348968</v>
      </c>
      <c r="P215">
        <v>23985</v>
      </c>
      <c r="Q215">
        <v>2316650.4</v>
      </c>
      <c r="R215">
        <v>48293.73358348968</v>
      </c>
      <c r="S215" t="s">
        <v>65</v>
      </c>
      <c r="T215" t="s">
        <v>3203</v>
      </c>
      <c r="U215">
        <v>47278.58</v>
      </c>
      <c r="V215" t="s">
        <v>717</v>
      </c>
      <c r="W215">
        <v>44094</v>
      </c>
      <c r="X215" t="s">
        <v>3410</v>
      </c>
      <c r="Y215" t="s">
        <v>6</v>
      </c>
      <c r="Z215" t="s">
        <v>17</v>
      </c>
      <c r="AA215" t="s">
        <v>717</v>
      </c>
      <c r="AB215" t="s">
        <v>2509</v>
      </c>
      <c r="AC215" t="s">
        <v>2571</v>
      </c>
      <c r="AD215" t="s">
        <v>717</v>
      </c>
      <c r="AE215" t="s">
        <v>3411</v>
      </c>
      <c r="AF215" t="s">
        <v>3412</v>
      </c>
      <c r="AG215" t="s">
        <v>3413</v>
      </c>
      <c r="AH215" t="s">
        <v>2191</v>
      </c>
      <c r="AI215" t="s">
        <v>2552</v>
      </c>
      <c r="AJ215" t="s">
        <v>2514</v>
      </c>
      <c r="AK215" t="s">
        <v>77</v>
      </c>
      <c r="AL215" t="s">
        <v>16</v>
      </c>
      <c r="AM215" t="s">
        <v>10</v>
      </c>
      <c r="AN215" t="s">
        <v>717</v>
      </c>
    </row>
    <row r="216" spans="1:40" hidden="1">
      <c r="A216">
        <v>214</v>
      </c>
      <c r="B216">
        <v>20</v>
      </c>
      <c r="C216" s="58">
        <v>44099</v>
      </c>
      <c r="D216" t="s">
        <v>74</v>
      </c>
      <c r="E216" t="s">
        <v>2515</v>
      </c>
      <c r="F216">
        <v>7</v>
      </c>
      <c r="G216">
        <v>15</v>
      </c>
      <c r="H216">
        <v>137</v>
      </c>
      <c r="I216">
        <v>1</v>
      </c>
      <c r="J216">
        <v>41.95</v>
      </c>
      <c r="K216" t="s">
        <v>9</v>
      </c>
      <c r="L216">
        <v>1468250</v>
      </c>
      <c r="M216">
        <v>0</v>
      </c>
      <c r="N216">
        <v>1468250</v>
      </c>
      <c r="O216">
        <v>35000</v>
      </c>
      <c r="P216">
        <v>20975</v>
      </c>
      <c r="Q216">
        <v>1447275</v>
      </c>
      <c r="R216">
        <v>34500</v>
      </c>
      <c r="S216" t="s">
        <v>2507</v>
      </c>
      <c r="T216" t="s">
        <v>3414</v>
      </c>
      <c r="U216">
        <v>15.44</v>
      </c>
      <c r="V216" t="s">
        <v>717</v>
      </c>
      <c r="W216">
        <v>44104</v>
      </c>
      <c r="X216" t="s">
        <v>3415</v>
      </c>
      <c r="Y216" t="s">
        <v>6</v>
      </c>
      <c r="Z216" t="s">
        <v>11</v>
      </c>
      <c r="AA216" t="s">
        <v>717</v>
      </c>
      <c r="AB216" t="s">
        <v>2509</v>
      </c>
      <c r="AC216" t="s">
        <v>118</v>
      </c>
      <c r="AD216" t="s">
        <v>717</v>
      </c>
      <c r="AE216" t="s">
        <v>3416</v>
      </c>
      <c r="AF216" t="s">
        <v>717</v>
      </c>
      <c r="AG216" t="s">
        <v>3417</v>
      </c>
      <c r="AH216" t="s">
        <v>2191</v>
      </c>
      <c r="AI216" t="s">
        <v>2802</v>
      </c>
      <c r="AJ216" t="s">
        <v>2514</v>
      </c>
      <c r="AK216" t="s">
        <v>77</v>
      </c>
      <c r="AL216" t="s">
        <v>717</v>
      </c>
      <c r="AM216" t="s">
        <v>10</v>
      </c>
      <c r="AN216" t="s">
        <v>717</v>
      </c>
    </row>
    <row r="217" spans="1:40" hidden="1">
      <c r="A217">
        <v>215</v>
      </c>
      <c r="B217">
        <v>21</v>
      </c>
      <c r="C217" s="58">
        <v>44099</v>
      </c>
      <c r="D217" t="s">
        <v>74</v>
      </c>
      <c r="E217" t="s">
        <v>2515</v>
      </c>
      <c r="F217">
        <v>3</v>
      </c>
      <c r="G217">
        <v>13</v>
      </c>
      <c r="H217">
        <v>113</v>
      </c>
      <c r="I217">
        <v>2</v>
      </c>
      <c r="J217">
        <v>67.16</v>
      </c>
      <c r="K217" t="s">
        <v>9</v>
      </c>
      <c r="L217">
        <v>3227007.11</v>
      </c>
      <c r="M217">
        <v>0</v>
      </c>
      <c r="N217">
        <v>3227007.11</v>
      </c>
      <c r="O217">
        <v>48049.540053603334</v>
      </c>
      <c r="P217">
        <v>33580</v>
      </c>
      <c r="Q217">
        <v>3193427.11</v>
      </c>
      <c r="R217">
        <v>47549.540053603334</v>
      </c>
      <c r="S217" t="s">
        <v>130</v>
      </c>
      <c r="T217" t="s">
        <v>717</v>
      </c>
      <c r="U217" t="s">
        <v>717</v>
      </c>
      <c r="V217" t="s">
        <v>717</v>
      </c>
      <c r="W217">
        <v>44098</v>
      </c>
      <c r="X217" t="s">
        <v>3418</v>
      </c>
      <c r="Y217" t="s">
        <v>6</v>
      </c>
      <c r="Z217" t="s">
        <v>11</v>
      </c>
      <c r="AA217" t="s">
        <v>717</v>
      </c>
      <c r="AB217" t="s">
        <v>2509</v>
      </c>
      <c r="AC217" t="s">
        <v>118</v>
      </c>
      <c r="AD217" t="s">
        <v>717</v>
      </c>
      <c r="AE217" t="s">
        <v>3419</v>
      </c>
      <c r="AF217" t="s">
        <v>3420</v>
      </c>
      <c r="AG217" t="s">
        <v>3421</v>
      </c>
      <c r="AH217" t="s">
        <v>2615</v>
      </c>
      <c r="AI217" t="s">
        <v>2688</v>
      </c>
      <c r="AJ217" t="s">
        <v>3289</v>
      </c>
      <c r="AK217" t="s">
        <v>77</v>
      </c>
      <c r="AL217" t="s">
        <v>717</v>
      </c>
      <c r="AM217" t="s">
        <v>10</v>
      </c>
      <c r="AN217" t="s">
        <v>717</v>
      </c>
    </row>
    <row r="218" spans="1:40" hidden="1">
      <c r="A218">
        <v>216</v>
      </c>
      <c r="B218">
        <v>22</v>
      </c>
      <c r="C218" s="58">
        <v>44099</v>
      </c>
      <c r="D218" t="s">
        <v>74</v>
      </c>
      <c r="E218" t="s">
        <v>2506</v>
      </c>
      <c r="F218">
        <v>5</v>
      </c>
      <c r="G218">
        <v>4</v>
      </c>
      <c r="H218">
        <v>169</v>
      </c>
      <c r="I218">
        <v>3</v>
      </c>
      <c r="J218">
        <v>78.03</v>
      </c>
      <c r="K218" t="s">
        <v>9</v>
      </c>
      <c r="L218">
        <v>3443239.95</v>
      </c>
      <c r="M218">
        <v>0</v>
      </c>
      <c r="N218">
        <v>3443239.95</v>
      </c>
      <c r="O218">
        <v>44127.129950019225</v>
      </c>
      <c r="P218">
        <v>39015</v>
      </c>
      <c r="Q218">
        <v>3404224.95</v>
      </c>
      <c r="R218">
        <v>43627.129950019225</v>
      </c>
      <c r="S218" t="s">
        <v>65</v>
      </c>
      <c r="T218" t="s">
        <v>717</v>
      </c>
      <c r="U218" t="s">
        <v>717</v>
      </c>
      <c r="V218" t="s">
        <v>717</v>
      </c>
      <c r="W218">
        <v>44098</v>
      </c>
      <c r="X218" t="s">
        <v>3422</v>
      </c>
      <c r="Y218" t="s">
        <v>6</v>
      </c>
      <c r="Z218" t="s">
        <v>17</v>
      </c>
      <c r="AA218" t="s">
        <v>717</v>
      </c>
      <c r="AB218" t="s">
        <v>2509</v>
      </c>
      <c r="AC218" t="s">
        <v>2564</v>
      </c>
      <c r="AD218" t="s">
        <v>717</v>
      </c>
      <c r="AE218" t="s">
        <v>3423</v>
      </c>
      <c r="AF218" t="s">
        <v>3424</v>
      </c>
      <c r="AG218" t="s">
        <v>3425</v>
      </c>
      <c r="AH218" t="s">
        <v>2615</v>
      </c>
      <c r="AI218" t="s">
        <v>2824</v>
      </c>
      <c r="AJ218" t="s">
        <v>3298</v>
      </c>
      <c r="AK218" t="s">
        <v>77</v>
      </c>
      <c r="AL218" t="s">
        <v>2663</v>
      </c>
      <c r="AM218" t="s">
        <v>10</v>
      </c>
      <c r="AN218" t="s">
        <v>717</v>
      </c>
    </row>
    <row r="219" spans="1:40" hidden="1">
      <c r="A219">
        <v>217</v>
      </c>
      <c r="B219">
        <v>23</v>
      </c>
      <c r="C219" s="58">
        <v>44100</v>
      </c>
      <c r="D219" t="s">
        <v>74</v>
      </c>
      <c r="E219" t="s">
        <v>2515</v>
      </c>
      <c r="F219">
        <v>9</v>
      </c>
      <c r="G219">
        <v>13</v>
      </c>
      <c r="H219">
        <v>119</v>
      </c>
      <c r="I219">
        <v>2</v>
      </c>
      <c r="J219">
        <v>66.14</v>
      </c>
      <c r="K219" t="s">
        <v>9</v>
      </c>
      <c r="L219">
        <v>2979454.77</v>
      </c>
      <c r="M219">
        <v>15000</v>
      </c>
      <c r="N219">
        <v>2994454.77</v>
      </c>
      <c r="O219">
        <v>45274.490021167221</v>
      </c>
      <c r="P219">
        <v>33070</v>
      </c>
      <c r="Q219">
        <v>2961384.77</v>
      </c>
      <c r="R219">
        <v>44774.490021167221</v>
      </c>
      <c r="S219" t="s">
        <v>65</v>
      </c>
      <c r="T219" t="s">
        <v>717</v>
      </c>
      <c r="U219" t="s">
        <v>717</v>
      </c>
      <c r="V219" t="s">
        <v>717</v>
      </c>
      <c r="W219">
        <v>44083</v>
      </c>
      <c r="X219" t="s">
        <v>3426</v>
      </c>
      <c r="Y219" t="s">
        <v>6</v>
      </c>
      <c r="Z219" t="s">
        <v>17</v>
      </c>
      <c r="AA219" t="s">
        <v>717</v>
      </c>
      <c r="AB219" t="s">
        <v>2509</v>
      </c>
      <c r="AC219" t="s">
        <v>2571</v>
      </c>
      <c r="AD219" t="s">
        <v>717</v>
      </c>
      <c r="AE219" t="s">
        <v>3427</v>
      </c>
      <c r="AF219" t="s">
        <v>3428</v>
      </c>
      <c r="AG219" t="s">
        <v>3429</v>
      </c>
      <c r="AH219" t="s">
        <v>2615</v>
      </c>
      <c r="AI219" t="s">
        <v>2552</v>
      </c>
      <c r="AJ219" t="s">
        <v>2642</v>
      </c>
      <c r="AK219" t="s">
        <v>63</v>
      </c>
      <c r="AL219" t="s">
        <v>16</v>
      </c>
      <c r="AM219" t="s">
        <v>10</v>
      </c>
      <c r="AN219" t="s">
        <v>717</v>
      </c>
    </row>
    <row r="220" spans="1:40" hidden="1">
      <c r="A220">
        <v>218</v>
      </c>
      <c r="B220">
        <v>24</v>
      </c>
      <c r="C220" s="58">
        <v>44100</v>
      </c>
      <c r="D220" t="s">
        <v>74</v>
      </c>
      <c r="E220" t="s">
        <v>2581</v>
      </c>
      <c r="F220">
        <v>5</v>
      </c>
      <c r="G220">
        <v>3</v>
      </c>
      <c r="H220">
        <v>324</v>
      </c>
      <c r="I220">
        <v>2</v>
      </c>
      <c r="J220">
        <v>60.9</v>
      </c>
      <c r="K220" t="s">
        <v>9</v>
      </c>
      <c r="L220">
        <v>2896965.5</v>
      </c>
      <c r="M220">
        <v>0</v>
      </c>
      <c r="N220">
        <v>2896965.5</v>
      </c>
      <c r="O220">
        <v>47569.220032840727</v>
      </c>
      <c r="P220">
        <v>30450</v>
      </c>
      <c r="Q220">
        <v>2866515.5</v>
      </c>
      <c r="R220">
        <v>47069.220032840727</v>
      </c>
      <c r="S220" t="s">
        <v>65</v>
      </c>
      <c r="T220" t="s">
        <v>717</v>
      </c>
      <c r="U220" t="s">
        <v>717</v>
      </c>
      <c r="V220" t="s">
        <v>717</v>
      </c>
      <c r="W220">
        <v>44096</v>
      </c>
      <c r="X220" t="s">
        <v>3430</v>
      </c>
      <c r="Y220" t="s">
        <v>6</v>
      </c>
      <c r="Z220" t="s">
        <v>17</v>
      </c>
      <c r="AA220" t="s">
        <v>717</v>
      </c>
      <c r="AB220" t="s">
        <v>2509</v>
      </c>
      <c r="AC220" t="s">
        <v>2571</v>
      </c>
      <c r="AD220" t="s">
        <v>717</v>
      </c>
      <c r="AE220" t="s">
        <v>3431</v>
      </c>
      <c r="AF220" t="s">
        <v>3432</v>
      </c>
      <c r="AG220" t="s">
        <v>3433</v>
      </c>
      <c r="AH220" t="s">
        <v>2191</v>
      </c>
      <c r="AI220" t="s">
        <v>2538</v>
      </c>
      <c r="AJ220" t="s">
        <v>2514</v>
      </c>
      <c r="AK220" t="s">
        <v>20</v>
      </c>
      <c r="AL220" t="s">
        <v>16</v>
      </c>
      <c r="AM220" t="s">
        <v>10</v>
      </c>
      <c r="AN220" t="s">
        <v>717</v>
      </c>
    </row>
    <row r="221" spans="1:40" hidden="1">
      <c r="A221">
        <v>219</v>
      </c>
      <c r="B221">
        <v>25</v>
      </c>
      <c r="C221" s="58">
        <v>44100</v>
      </c>
      <c r="D221" t="s">
        <v>74</v>
      </c>
      <c r="E221" t="s">
        <v>2506</v>
      </c>
      <c r="F221">
        <v>5</v>
      </c>
      <c r="G221">
        <v>9</v>
      </c>
      <c r="H221">
        <v>204</v>
      </c>
      <c r="I221">
        <v>3</v>
      </c>
      <c r="J221">
        <v>78.03</v>
      </c>
      <c r="K221" t="s">
        <v>9</v>
      </c>
      <c r="L221">
        <v>3428239.95</v>
      </c>
      <c r="M221">
        <v>15000</v>
      </c>
      <c r="N221">
        <v>3443239.95</v>
      </c>
      <c r="O221">
        <v>44127.129950019225</v>
      </c>
      <c r="P221">
        <v>39015</v>
      </c>
      <c r="Q221">
        <v>3404224.95</v>
      </c>
      <c r="R221">
        <v>43627.129950019225</v>
      </c>
      <c r="S221" t="s">
        <v>65</v>
      </c>
      <c r="T221" t="s">
        <v>717</v>
      </c>
      <c r="U221" t="s">
        <v>717</v>
      </c>
      <c r="V221" t="s">
        <v>717</v>
      </c>
      <c r="W221">
        <v>44100</v>
      </c>
      <c r="X221" t="s">
        <v>3434</v>
      </c>
      <c r="Y221" t="s">
        <v>6</v>
      </c>
      <c r="Z221" t="s">
        <v>17</v>
      </c>
      <c r="AA221" t="s">
        <v>717</v>
      </c>
      <c r="AB221" t="s">
        <v>2509</v>
      </c>
      <c r="AC221" t="s">
        <v>2571</v>
      </c>
      <c r="AD221" t="s">
        <v>717</v>
      </c>
      <c r="AE221" t="s">
        <v>3435</v>
      </c>
      <c r="AF221" t="s">
        <v>3436</v>
      </c>
      <c r="AG221" t="s">
        <v>3437</v>
      </c>
      <c r="AH221" t="s">
        <v>2580</v>
      </c>
      <c r="AI221" t="s">
        <v>2656</v>
      </c>
      <c r="AJ221" t="s">
        <v>2514</v>
      </c>
      <c r="AK221" t="s">
        <v>63</v>
      </c>
      <c r="AL221" t="s">
        <v>2663</v>
      </c>
      <c r="AM221" t="s">
        <v>10</v>
      </c>
      <c r="AN221" t="s">
        <v>717</v>
      </c>
    </row>
    <row r="222" spans="1:40" hidden="1">
      <c r="A222">
        <v>220</v>
      </c>
      <c r="B222">
        <v>26</v>
      </c>
      <c r="C222" s="58">
        <v>44102</v>
      </c>
      <c r="D222" t="s">
        <v>74</v>
      </c>
      <c r="E222" t="s">
        <v>2515</v>
      </c>
      <c r="F222">
        <v>7</v>
      </c>
      <c r="G222">
        <v>3</v>
      </c>
      <c r="H222">
        <v>17</v>
      </c>
      <c r="I222">
        <v>1</v>
      </c>
      <c r="J222">
        <v>42.32</v>
      </c>
      <c r="K222" t="s">
        <v>9</v>
      </c>
      <c r="L222">
        <v>2169226.0099999998</v>
      </c>
      <c r="M222">
        <v>0</v>
      </c>
      <c r="N222">
        <v>2169226.0099999998</v>
      </c>
      <c r="O222">
        <v>51257.703449905479</v>
      </c>
      <c r="P222">
        <v>21160</v>
      </c>
      <c r="Q222">
        <v>2148066.0099999998</v>
      </c>
      <c r="R222">
        <v>50757.703449905479</v>
      </c>
      <c r="S222" t="s">
        <v>65</v>
      </c>
      <c r="T222" t="s">
        <v>717</v>
      </c>
      <c r="U222" t="s">
        <v>717</v>
      </c>
      <c r="V222" t="s">
        <v>717</v>
      </c>
      <c r="W222">
        <v>44100</v>
      </c>
      <c r="X222" t="s">
        <v>3438</v>
      </c>
      <c r="Y222" t="s">
        <v>6</v>
      </c>
      <c r="Z222" t="s">
        <v>17</v>
      </c>
      <c r="AA222" t="s">
        <v>717</v>
      </c>
      <c r="AB222" t="s">
        <v>2509</v>
      </c>
      <c r="AC222" t="s">
        <v>2571</v>
      </c>
      <c r="AD222" t="s">
        <v>717</v>
      </c>
      <c r="AE222" t="s">
        <v>3439</v>
      </c>
      <c r="AF222" t="s">
        <v>3440</v>
      </c>
      <c r="AG222" t="s">
        <v>3441</v>
      </c>
      <c r="AH222" t="s">
        <v>2580</v>
      </c>
      <c r="AI222" t="s">
        <v>2521</v>
      </c>
      <c r="AJ222" t="s">
        <v>2514</v>
      </c>
      <c r="AK222" t="s">
        <v>73</v>
      </c>
      <c r="AL222" t="s">
        <v>2663</v>
      </c>
      <c r="AM222" t="s">
        <v>10</v>
      </c>
      <c r="AN222" t="s">
        <v>717</v>
      </c>
    </row>
    <row r="223" spans="1:40" hidden="1">
      <c r="A223">
        <v>221</v>
      </c>
      <c r="B223">
        <v>27</v>
      </c>
      <c r="C223" s="58">
        <v>44102</v>
      </c>
      <c r="D223" t="s">
        <v>74</v>
      </c>
      <c r="E223" t="s">
        <v>2515</v>
      </c>
      <c r="F223">
        <v>7</v>
      </c>
      <c r="G223">
        <v>7</v>
      </c>
      <c r="H223">
        <v>57</v>
      </c>
      <c r="I223">
        <v>1</v>
      </c>
      <c r="J223">
        <v>42.32</v>
      </c>
      <c r="K223" t="s">
        <v>15</v>
      </c>
      <c r="L223">
        <v>2446417.21</v>
      </c>
      <c r="M223">
        <v>0</v>
      </c>
      <c r="N223">
        <v>2446417.21</v>
      </c>
      <c r="O223">
        <v>57807.590028355386</v>
      </c>
      <c r="P223">
        <v>198904</v>
      </c>
      <c r="Q223">
        <v>2247513.21</v>
      </c>
      <c r="R223">
        <v>53107.590028355386</v>
      </c>
      <c r="S223" t="s">
        <v>65</v>
      </c>
      <c r="T223" t="s">
        <v>717</v>
      </c>
      <c r="U223" t="s">
        <v>717</v>
      </c>
      <c r="V223" t="s">
        <v>717</v>
      </c>
      <c r="W223">
        <v>44101</v>
      </c>
      <c r="X223" t="s">
        <v>3442</v>
      </c>
      <c r="Y223" t="s">
        <v>6</v>
      </c>
      <c r="Z223" t="s">
        <v>17</v>
      </c>
      <c r="AA223" t="s">
        <v>717</v>
      </c>
      <c r="AB223" t="s">
        <v>2509</v>
      </c>
      <c r="AC223" t="s">
        <v>2571</v>
      </c>
      <c r="AD223" t="s">
        <v>717</v>
      </c>
      <c r="AE223" t="s">
        <v>3443</v>
      </c>
      <c r="AF223" t="s">
        <v>3444</v>
      </c>
      <c r="AG223" t="s">
        <v>3445</v>
      </c>
      <c r="AH223" t="s">
        <v>2615</v>
      </c>
      <c r="AI223" t="s">
        <v>2688</v>
      </c>
      <c r="AJ223" t="s">
        <v>3289</v>
      </c>
      <c r="AK223" t="s">
        <v>20</v>
      </c>
      <c r="AL223" t="s">
        <v>2663</v>
      </c>
      <c r="AM223" t="s">
        <v>10</v>
      </c>
      <c r="AN223" t="s">
        <v>717</v>
      </c>
    </row>
    <row r="224" spans="1:40" hidden="1">
      <c r="A224">
        <v>222</v>
      </c>
      <c r="B224">
        <v>28</v>
      </c>
      <c r="C224" s="58">
        <v>44105</v>
      </c>
      <c r="D224" t="s">
        <v>74</v>
      </c>
      <c r="E224" t="s">
        <v>2515</v>
      </c>
      <c r="F224">
        <v>6</v>
      </c>
      <c r="G224">
        <v>2</v>
      </c>
      <c r="H224">
        <v>6</v>
      </c>
      <c r="I224">
        <v>2</v>
      </c>
      <c r="J224">
        <v>63.93</v>
      </c>
      <c r="K224" t="s">
        <v>15</v>
      </c>
      <c r="L224">
        <v>3089553.42</v>
      </c>
      <c r="M224">
        <v>0</v>
      </c>
      <c r="N224">
        <v>3089553.42</v>
      </c>
      <c r="O224">
        <v>48327.129985922104</v>
      </c>
      <c r="P224">
        <v>300471</v>
      </c>
      <c r="Q224">
        <v>2789082.42</v>
      </c>
      <c r="R224">
        <v>43627.129985922104</v>
      </c>
      <c r="S224" t="s">
        <v>65</v>
      </c>
      <c r="T224" t="s">
        <v>717</v>
      </c>
      <c r="U224" t="s">
        <v>717</v>
      </c>
      <c r="V224" t="s">
        <v>717</v>
      </c>
      <c r="W224">
        <v>44118</v>
      </c>
      <c r="X224" t="s">
        <v>3446</v>
      </c>
      <c r="Y224" t="s">
        <v>6</v>
      </c>
      <c r="Z224" t="s">
        <v>17</v>
      </c>
      <c r="AA224" t="s">
        <v>717</v>
      </c>
      <c r="AB224" t="s">
        <v>2509</v>
      </c>
      <c r="AC224" t="s">
        <v>2571</v>
      </c>
      <c r="AD224" t="s">
        <v>717</v>
      </c>
      <c r="AE224" t="s">
        <v>3447</v>
      </c>
      <c r="AF224" t="s">
        <v>3448</v>
      </c>
      <c r="AG224" t="s">
        <v>3449</v>
      </c>
      <c r="AH224" t="s">
        <v>2552</v>
      </c>
      <c r="AI224" t="s">
        <v>2552</v>
      </c>
      <c r="AJ224" t="s">
        <v>3304</v>
      </c>
      <c r="AK224" t="s">
        <v>20</v>
      </c>
      <c r="AL224" t="s">
        <v>16</v>
      </c>
      <c r="AM224" t="s">
        <v>10</v>
      </c>
      <c r="AN224" t="s">
        <v>717</v>
      </c>
    </row>
    <row r="225" spans="1:40" hidden="1">
      <c r="A225">
        <v>223</v>
      </c>
      <c r="B225">
        <v>29</v>
      </c>
      <c r="C225" s="58">
        <v>44103</v>
      </c>
      <c r="D225" t="s">
        <v>74</v>
      </c>
      <c r="E225" t="s">
        <v>2515</v>
      </c>
      <c r="F225">
        <v>7</v>
      </c>
      <c r="G225">
        <v>11</v>
      </c>
      <c r="H225">
        <v>97</v>
      </c>
      <c r="I225">
        <v>1</v>
      </c>
      <c r="J225">
        <v>42.32</v>
      </c>
      <c r="K225" t="s">
        <v>9</v>
      </c>
      <c r="L225">
        <v>2069778.52</v>
      </c>
      <c r="M225">
        <v>0</v>
      </c>
      <c r="N225">
        <v>2069778.52</v>
      </c>
      <c r="O225">
        <v>48907.81001890359</v>
      </c>
      <c r="P225">
        <v>21160</v>
      </c>
      <c r="Q225">
        <v>2048618.52</v>
      </c>
      <c r="R225">
        <v>48407.81001890359</v>
      </c>
      <c r="S225" t="s">
        <v>65</v>
      </c>
      <c r="T225" t="s">
        <v>717</v>
      </c>
      <c r="U225" t="s">
        <v>717</v>
      </c>
      <c r="V225" t="s">
        <v>717</v>
      </c>
      <c r="W225">
        <v>44083</v>
      </c>
      <c r="X225" t="s">
        <v>3450</v>
      </c>
      <c r="Y225" t="s">
        <v>6</v>
      </c>
      <c r="Z225" t="s">
        <v>17</v>
      </c>
      <c r="AA225" t="s">
        <v>717</v>
      </c>
      <c r="AB225" t="s">
        <v>2509</v>
      </c>
      <c r="AC225" t="s">
        <v>2571</v>
      </c>
      <c r="AD225" t="s">
        <v>717</v>
      </c>
      <c r="AE225" t="s">
        <v>3451</v>
      </c>
      <c r="AF225" t="s">
        <v>3452</v>
      </c>
      <c r="AG225" t="s">
        <v>3453</v>
      </c>
      <c r="AH225" t="s">
        <v>2191</v>
      </c>
      <c r="AI225" t="s">
        <v>2552</v>
      </c>
      <c r="AJ225" t="s">
        <v>2514</v>
      </c>
      <c r="AK225" t="s">
        <v>20</v>
      </c>
      <c r="AL225" t="s">
        <v>2663</v>
      </c>
      <c r="AM225" t="s">
        <v>10</v>
      </c>
      <c r="AN225" t="s">
        <v>717</v>
      </c>
    </row>
    <row r="226" spans="1:40" hidden="1">
      <c r="A226">
        <v>224</v>
      </c>
      <c r="B226">
        <v>30</v>
      </c>
      <c r="C226" s="58">
        <v>44103</v>
      </c>
      <c r="D226" t="s">
        <v>74</v>
      </c>
      <c r="E226" t="s">
        <v>2581</v>
      </c>
      <c r="F226">
        <v>1</v>
      </c>
      <c r="G226">
        <v>5</v>
      </c>
      <c r="H226">
        <v>336</v>
      </c>
      <c r="I226">
        <v>2</v>
      </c>
      <c r="J226">
        <v>59.13</v>
      </c>
      <c r="K226" t="s">
        <v>9</v>
      </c>
      <c r="L226">
        <v>2983443.18</v>
      </c>
      <c r="M226">
        <v>0</v>
      </c>
      <c r="N226">
        <v>2983443.18</v>
      </c>
      <c r="O226">
        <v>50455.660071029939</v>
      </c>
      <c r="P226">
        <v>29565</v>
      </c>
      <c r="Q226">
        <v>2953878.18</v>
      </c>
      <c r="R226">
        <v>49955.660071029939</v>
      </c>
      <c r="S226" t="s">
        <v>65</v>
      </c>
      <c r="T226" t="s">
        <v>717</v>
      </c>
      <c r="U226" t="s">
        <v>717</v>
      </c>
      <c r="V226" t="s">
        <v>717</v>
      </c>
      <c r="W226">
        <v>44097</v>
      </c>
      <c r="X226" t="s">
        <v>3454</v>
      </c>
      <c r="Y226" t="s">
        <v>6</v>
      </c>
      <c r="Z226" t="s">
        <v>17</v>
      </c>
      <c r="AA226" t="s">
        <v>717</v>
      </c>
      <c r="AB226" t="s">
        <v>2509</v>
      </c>
      <c r="AC226" t="s">
        <v>2571</v>
      </c>
      <c r="AD226" t="s">
        <v>717</v>
      </c>
      <c r="AE226" t="s">
        <v>3455</v>
      </c>
      <c r="AF226" t="s">
        <v>3456</v>
      </c>
      <c r="AG226" t="s">
        <v>3457</v>
      </c>
      <c r="AH226" t="s">
        <v>2615</v>
      </c>
      <c r="AI226" t="s">
        <v>2673</v>
      </c>
      <c r="AJ226" t="s">
        <v>2825</v>
      </c>
      <c r="AK226" t="s">
        <v>63</v>
      </c>
      <c r="AL226" t="s">
        <v>16</v>
      </c>
      <c r="AM226" t="s">
        <v>10</v>
      </c>
      <c r="AN226" t="s">
        <v>717</v>
      </c>
    </row>
    <row r="227" spans="1:40" hidden="1">
      <c r="A227">
        <v>225</v>
      </c>
      <c r="B227">
        <v>31</v>
      </c>
      <c r="C227" s="58">
        <v>44103</v>
      </c>
      <c r="D227" t="s">
        <v>74</v>
      </c>
      <c r="E227" t="s">
        <v>2515</v>
      </c>
      <c r="F227">
        <v>10</v>
      </c>
      <c r="G227">
        <v>4</v>
      </c>
      <c r="H227">
        <v>30</v>
      </c>
      <c r="I227">
        <v>2</v>
      </c>
      <c r="J227">
        <v>65.540000000000006</v>
      </c>
      <c r="K227" t="s">
        <v>9</v>
      </c>
      <c r="L227">
        <v>3109742.58</v>
      </c>
      <c r="M227">
        <v>0</v>
      </c>
      <c r="N227">
        <v>3109742.58</v>
      </c>
      <c r="O227">
        <v>47448.010070186145</v>
      </c>
      <c r="P227">
        <v>32770</v>
      </c>
      <c r="Q227">
        <v>3076972.58</v>
      </c>
      <c r="R227">
        <v>46948.010070186145</v>
      </c>
      <c r="S227" t="s">
        <v>65</v>
      </c>
      <c r="T227" t="s">
        <v>717</v>
      </c>
      <c r="U227" t="s">
        <v>717</v>
      </c>
      <c r="V227" t="s">
        <v>717</v>
      </c>
      <c r="W227">
        <v>44099</v>
      </c>
      <c r="X227" t="s">
        <v>3458</v>
      </c>
      <c r="Y227" t="s">
        <v>6</v>
      </c>
      <c r="Z227" t="s">
        <v>17</v>
      </c>
      <c r="AA227" t="s">
        <v>717</v>
      </c>
      <c r="AB227" t="s">
        <v>2509</v>
      </c>
      <c r="AC227" t="s">
        <v>2571</v>
      </c>
      <c r="AD227" t="s">
        <v>717</v>
      </c>
      <c r="AE227" t="s">
        <v>3459</v>
      </c>
      <c r="AF227" t="s">
        <v>3460</v>
      </c>
      <c r="AG227" t="s">
        <v>3461</v>
      </c>
      <c r="AH227" t="s">
        <v>2191</v>
      </c>
      <c r="AI227" t="s">
        <v>2877</v>
      </c>
      <c r="AJ227" t="s">
        <v>2514</v>
      </c>
      <c r="AK227" t="s">
        <v>63</v>
      </c>
      <c r="AL227" t="s">
        <v>2663</v>
      </c>
      <c r="AM227" t="s">
        <v>10</v>
      </c>
      <c r="AN227" t="s">
        <v>717</v>
      </c>
    </row>
    <row r="228" spans="1:40" hidden="1">
      <c r="A228">
        <v>226</v>
      </c>
      <c r="B228">
        <v>32</v>
      </c>
      <c r="C228" s="58">
        <v>44103</v>
      </c>
      <c r="D228" t="s">
        <v>74</v>
      </c>
      <c r="E228" t="s">
        <v>2581</v>
      </c>
      <c r="F228">
        <v>7</v>
      </c>
      <c r="G228">
        <v>7</v>
      </c>
      <c r="H228">
        <v>358</v>
      </c>
      <c r="I228">
        <v>2</v>
      </c>
      <c r="J228">
        <v>65.5</v>
      </c>
      <c r="K228" t="s">
        <v>9</v>
      </c>
      <c r="L228">
        <v>3304845.86</v>
      </c>
      <c r="M228">
        <v>0</v>
      </c>
      <c r="N228">
        <v>3304845.86</v>
      </c>
      <c r="O228">
        <v>50455.661984732826</v>
      </c>
      <c r="P228">
        <v>32750</v>
      </c>
      <c r="Q228">
        <v>3272095.86</v>
      </c>
      <c r="R228">
        <v>49955.661984732826</v>
      </c>
      <c r="S228" t="s">
        <v>65</v>
      </c>
      <c r="T228" t="s">
        <v>717</v>
      </c>
      <c r="U228" t="s">
        <v>717</v>
      </c>
      <c r="V228" t="s">
        <v>717</v>
      </c>
      <c r="W228">
        <v>44099</v>
      </c>
      <c r="X228" t="s">
        <v>3462</v>
      </c>
      <c r="Y228" t="s">
        <v>6</v>
      </c>
      <c r="Z228" t="s">
        <v>17</v>
      </c>
      <c r="AA228" t="s">
        <v>717</v>
      </c>
      <c r="AB228" t="s">
        <v>2509</v>
      </c>
      <c r="AC228" t="s">
        <v>2571</v>
      </c>
      <c r="AD228" t="s">
        <v>717</v>
      </c>
      <c r="AE228" t="s">
        <v>3463</v>
      </c>
      <c r="AF228" t="s">
        <v>3464</v>
      </c>
      <c r="AG228" t="s">
        <v>3465</v>
      </c>
      <c r="AH228" t="s">
        <v>2615</v>
      </c>
      <c r="AI228" t="s">
        <v>2552</v>
      </c>
      <c r="AJ228" t="s">
        <v>2642</v>
      </c>
      <c r="AK228" t="s">
        <v>20</v>
      </c>
      <c r="AL228" t="s">
        <v>2663</v>
      </c>
      <c r="AM228" t="s">
        <v>10</v>
      </c>
      <c r="AN228" t="s">
        <v>717</v>
      </c>
    </row>
    <row r="229" spans="1:40" hidden="1">
      <c r="A229">
        <v>227</v>
      </c>
      <c r="B229">
        <v>33</v>
      </c>
      <c r="C229" s="58">
        <v>44104</v>
      </c>
      <c r="D229" t="s">
        <v>74</v>
      </c>
      <c r="E229" t="s">
        <v>2506</v>
      </c>
      <c r="F229">
        <v>2</v>
      </c>
      <c r="G229">
        <v>20</v>
      </c>
      <c r="H229">
        <v>278</v>
      </c>
      <c r="I229">
        <v>2</v>
      </c>
      <c r="J229">
        <v>65.78</v>
      </c>
      <c r="K229" t="s">
        <v>9</v>
      </c>
      <c r="L229">
        <v>3038629.44</v>
      </c>
      <c r="M229">
        <v>15000</v>
      </c>
      <c r="N229">
        <v>3053629.4399999999</v>
      </c>
      <c r="O229">
        <v>46421.852234721795</v>
      </c>
      <c r="P229">
        <v>32890</v>
      </c>
      <c r="Q229">
        <v>3020739.44</v>
      </c>
      <c r="R229">
        <v>45921.852234721795</v>
      </c>
      <c r="S229" t="s">
        <v>65</v>
      </c>
      <c r="T229" t="s">
        <v>717</v>
      </c>
      <c r="U229" t="s">
        <v>717</v>
      </c>
      <c r="V229" t="s">
        <v>717</v>
      </c>
      <c r="W229">
        <v>44075</v>
      </c>
      <c r="X229" t="s">
        <v>3466</v>
      </c>
      <c r="Y229" t="s">
        <v>6</v>
      </c>
      <c r="Z229" t="s">
        <v>11</v>
      </c>
      <c r="AA229" t="s">
        <v>717</v>
      </c>
      <c r="AB229" t="s">
        <v>2509</v>
      </c>
      <c r="AC229" t="s">
        <v>2571</v>
      </c>
      <c r="AD229" t="s">
        <v>717</v>
      </c>
      <c r="AE229" t="s">
        <v>3467</v>
      </c>
      <c r="AF229" t="s">
        <v>3468</v>
      </c>
      <c r="AG229" t="s">
        <v>3469</v>
      </c>
      <c r="AH229" t="s">
        <v>2615</v>
      </c>
      <c r="AI229" t="s">
        <v>2552</v>
      </c>
      <c r="AJ229" t="s">
        <v>2662</v>
      </c>
      <c r="AK229" t="s">
        <v>20</v>
      </c>
      <c r="AL229" t="s">
        <v>2663</v>
      </c>
      <c r="AM229" t="s">
        <v>10</v>
      </c>
      <c r="AN229" t="s">
        <v>717</v>
      </c>
    </row>
    <row r="230" spans="1:40" hidden="1">
      <c r="A230">
        <v>228</v>
      </c>
      <c r="B230">
        <v>34</v>
      </c>
      <c r="C230" s="58">
        <v>44104</v>
      </c>
      <c r="D230" t="s">
        <v>74</v>
      </c>
      <c r="E230" t="s">
        <v>2581</v>
      </c>
      <c r="F230">
        <v>7</v>
      </c>
      <c r="G230">
        <v>4</v>
      </c>
      <c r="H230">
        <v>334</v>
      </c>
      <c r="I230">
        <v>2</v>
      </c>
      <c r="J230">
        <v>65.5</v>
      </c>
      <c r="K230" t="s">
        <v>15</v>
      </c>
      <c r="L230">
        <v>3390883.91</v>
      </c>
      <c r="M230">
        <v>0</v>
      </c>
      <c r="N230">
        <v>3390883.91</v>
      </c>
      <c r="O230">
        <v>51769.22</v>
      </c>
      <c r="P230">
        <v>307850</v>
      </c>
      <c r="Q230">
        <v>3083033.91</v>
      </c>
      <c r="R230">
        <v>47069.22</v>
      </c>
      <c r="S230" t="s">
        <v>65</v>
      </c>
      <c r="T230" t="s">
        <v>717</v>
      </c>
      <c r="U230" t="s">
        <v>717</v>
      </c>
      <c r="V230" t="s">
        <v>717</v>
      </c>
      <c r="W230">
        <v>44099</v>
      </c>
      <c r="X230" t="s">
        <v>3470</v>
      </c>
      <c r="Y230" t="s">
        <v>6</v>
      </c>
      <c r="Z230" t="s">
        <v>17</v>
      </c>
      <c r="AA230" t="s">
        <v>717</v>
      </c>
      <c r="AB230" t="s">
        <v>2509</v>
      </c>
      <c r="AC230" t="s">
        <v>2571</v>
      </c>
      <c r="AD230" t="s">
        <v>717</v>
      </c>
      <c r="AE230" t="s">
        <v>3471</v>
      </c>
      <c r="AF230" t="s">
        <v>3472</v>
      </c>
      <c r="AG230" t="s">
        <v>3473</v>
      </c>
      <c r="AH230" t="s">
        <v>2191</v>
      </c>
      <c r="AI230" t="s">
        <v>2538</v>
      </c>
      <c r="AJ230" t="s">
        <v>2514</v>
      </c>
      <c r="AK230" t="s">
        <v>63</v>
      </c>
      <c r="AL230" t="s">
        <v>2663</v>
      </c>
      <c r="AM230" t="s">
        <v>10</v>
      </c>
      <c r="AN230" t="s">
        <v>717</v>
      </c>
    </row>
    <row r="231" spans="1:40" hidden="1">
      <c r="A231">
        <v>229</v>
      </c>
      <c r="B231">
        <v>1</v>
      </c>
      <c r="C231" s="58">
        <v>44106</v>
      </c>
      <c r="D231" t="s">
        <v>74</v>
      </c>
      <c r="E231" t="s">
        <v>2515</v>
      </c>
      <c r="F231">
        <v>8</v>
      </c>
      <c r="G231">
        <v>16</v>
      </c>
      <c r="H231">
        <v>148</v>
      </c>
      <c r="I231">
        <v>1</v>
      </c>
      <c r="J231">
        <v>47.97</v>
      </c>
      <c r="K231" t="s">
        <v>9</v>
      </c>
      <c r="L231">
        <v>2387913.98</v>
      </c>
      <c r="M231">
        <v>0</v>
      </c>
      <c r="N231">
        <v>2387913.98</v>
      </c>
      <c r="O231">
        <v>49779.319991661454</v>
      </c>
      <c r="P231">
        <v>23985</v>
      </c>
      <c r="Q231">
        <v>2363928.98</v>
      </c>
      <c r="R231">
        <v>49279.319991661454</v>
      </c>
      <c r="S231" t="s">
        <v>65</v>
      </c>
      <c r="T231" t="s">
        <v>717</v>
      </c>
      <c r="U231" t="s">
        <v>717</v>
      </c>
      <c r="V231" t="s">
        <v>717</v>
      </c>
      <c r="W231">
        <v>44106</v>
      </c>
      <c r="X231" t="s">
        <v>3474</v>
      </c>
      <c r="Y231" t="s">
        <v>6</v>
      </c>
      <c r="Z231" t="s">
        <v>17</v>
      </c>
      <c r="AA231" t="s">
        <v>717</v>
      </c>
      <c r="AB231" t="s">
        <v>2509</v>
      </c>
      <c r="AC231" t="s">
        <v>2571</v>
      </c>
      <c r="AD231" t="s">
        <v>717</v>
      </c>
      <c r="AE231" t="s">
        <v>3475</v>
      </c>
      <c r="AF231" t="s">
        <v>3476</v>
      </c>
      <c r="AG231" t="s">
        <v>3477</v>
      </c>
      <c r="AH231" t="s">
        <v>2615</v>
      </c>
      <c r="AI231" t="s">
        <v>2688</v>
      </c>
      <c r="AJ231" t="s">
        <v>3289</v>
      </c>
      <c r="AK231" t="s">
        <v>63</v>
      </c>
      <c r="AL231" t="s">
        <v>16</v>
      </c>
      <c r="AM231" t="s">
        <v>10</v>
      </c>
      <c r="AN231" t="s">
        <v>717</v>
      </c>
    </row>
    <row r="232" spans="1:40" hidden="1">
      <c r="A232">
        <v>230</v>
      </c>
      <c r="B232">
        <v>2</v>
      </c>
      <c r="C232" s="58">
        <v>44111</v>
      </c>
      <c r="D232" t="s">
        <v>74</v>
      </c>
      <c r="E232" t="s">
        <v>2506</v>
      </c>
      <c r="F232">
        <v>1</v>
      </c>
      <c r="G232">
        <v>18</v>
      </c>
      <c r="H232">
        <v>263</v>
      </c>
      <c r="I232">
        <v>3</v>
      </c>
      <c r="J232">
        <v>89.56</v>
      </c>
      <c r="K232" t="s">
        <v>9</v>
      </c>
      <c r="L232">
        <v>4249443.67</v>
      </c>
      <c r="M232">
        <v>0</v>
      </c>
      <c r="N232">
        <v>4249443.67</v>
      </c>
      <c r="O232">
        <v>47448.008820902185</v>
      </c>
      <c r="P232">
        <v>44780</v>
      </c>
      <c r="Q232">
        <v>4204663.67</v>
      </c>
      <c r="R232">
        <v>46948.008820902185</v>
      </c>
      <c r="S232" t="s">
        <v>65</v>
      </c>
      <c r="T232" t="s">
        <v>717</v>
      </c>
      <c r="U232" t="s">
        <v>717</v>
      </c>
      <c r="V232" t="s">
        <v>717</v>
      </c>
      <c r="W232">
        <v>44111</v>
      </c>
      <c r="X232" t="s">
        <v>3478</v>
      </c>
      <c r="Y232" t="s">
        <v>6</v>
      </c>
      <c r="Z232" t="s">
        <v>17</v>
      </c>
      <c r="AA232" t="s">
        <v>717</v>
      </c>
      <c r="AB232" t="s">
        <v>2509</v>
      </c>
      <c r="AC232" t="s">
        <v>2571</v>
      </c>
      <c r="AD232" t="s">
        <v>717</v>
      </c>
      <c r="AE232" t="s">
        <v>3479</v>
      </c>
      <c r="AF232" t="s">
        <v>3480</v>
      </c>
      <c r="AG232" t="s">
        <v>3481</v>
      </c>
      <c r="AH232" t="s">
        <v>2552</v>
      </c>
      <c r="AI232" t="s">
        <v>2877</v>
      </c>
      <c r="AJ232" t="s">
        <v>3098</v>
      </c>
      <c r="AK232" t="s">
        <v>20</v>
      </c>
      <c r="AL232" t="s">
        <v>2663</v>
      </c>
      <c r="AM232" t="s">
        <v>10</v>
      </c>
      <c r="AN232" t="s">
        <v>717</v>
      </c>
    </row>
    <row r="233" spans="1:40" hidden="1">
      <c r="A233">
        <v>231</v>
      </c>
      <c r="B233">
        <v>3</v>
      </c>
      <c r="C233" s="58">
        <v>44111</v>
      </c>
      <c r="D233" t="s">
        <v>74</v>
      </c>
      <c r="E233" t="s">
        <v>2515</v>
      </c>
      <c r="F233">
        <v>7</v>
      </c>
      <c r="G233">
        <v>9</v>
      </c>
      <c r="H233">
        <v>77</v>
      </c>
      <c r="I233">
        <v>1</v>
      </c>
      <c r="J233">
        <v>42.32</v>
      </c>
      <c r="K233" t="s">
        <v>9</v>
      </c>
      <c r="L233">
        <v>2169225.86</v>
      </c>
      <c r="M233">
        <v>0</v>
      </c>
      <c r="N233">
        <v>2169225.86</v>
      </c>
      <c r="O233">
        <v>51257.699905482041</v>
      </c>
      <c r="P233">
        <v>21160</v>
      </c>
      <c r="Q233">
        <v>2148065.86</v>
      </c>
      <c r="R233">
        <v>50757.699905482041</v>
      </c>
      <c r="S233" t="s">
        <v>65</v>
      </c>
      <c r="T233" t="s">
        <v>717</v>
      </c>
      <c r="U233" t="s">
        <v>717</v>
      </c>
      <c r="V233" t="s">
        <v>717</v>
      </c>
      <c r="W233">
        <v>44111</v>
      </c>
      <c r="X233" t="s">
        <v>3482</v>
      </c>
      <c r="Y233" t="s">
        <v>6</v>
      </c>
      <c r="Z233" t="s">
        <v>17</v>
      </c>
      <c r="AA233" t="s">
        <v>717</v>
      </c>
      <c r="AB233" t="s">
        <v>2509</v>
      </c>
      <c r="AC233" t="s">
        <v>2571</v>
      </c>
      <c r="AD233" t="s">
        <v>717</v>
      </c>
      <c r="AE233" t="s">
        <v>3483</v>
      </c>
      <c r="AF233" t="s">
        <v>3484</v>
      </c>
      <c r="AG233" t="s">
        <v>3485</v>
      </c>
      <c r="AH233" t="s">
        <v>2615</v>
      </c>
      <c r="AI233" t="s">
        <v>2824</v>
      </c>
      <c r="AJ233" t="s">
        <v>2662</v>
      </c>
      <c r="AK233" t="s">
        <v>20</v>
      </c>
      <c r="AL233" t="s">
        <v>2663</v>
      </c>
      <c r="AM233" t="s">
        <v>10</v>
      </c>
      <c r="AN233" t="s">
        <v>717</v>
      </c>
    </row>
    <row r="234" spans="1:40" hidden="1">
      <c r="A234">
        <v>232</v>
      </c>
      <c r="B234">
        <v>4</v>
      </c>
      <c r="C234" s="58">
        <v>44112</v>
      </c>
      <c r="D234" t="s">
        <v>74</v>
      </c>
      <c r="E234" t="s">
        <v>2506</v>
      </c>
      <c r="F234">
        <v>5</v>
      </c>
      <c r="G234">
        <v>12</v>
      </c>
      <c r="H234">
        <v>225</v>
      </c>
      <c r="I234">
        <v>3</v>
      </c>
      <c r="J234">
        <v>78.03</v>
      </c>
      <c r="K234" t="s">
        <v>15</v>
      </c>
      <c r="L234">
        <v>3656813.23</v>
      </c>
      <c r="M234">
        <v>15000</v>
      </c>
      <c r="N234">
        <v>3671813.23</v>
      </c>
      <c r="O234">
        <v>47056.429962834809</v>
      </c>
      <c r="P234">
        <v>366741</v>
      </c>
      <c r="Q234">
        <v>3305072.23</v>
      </c>
      <c r="R234">
        <v>42356.429962834809</v>
      </c>
      <c r="S234" t="s">
        <v>65</v>
      </c>
      <c r="T234" t="s">
        <v>717</v>
      </c>
      <c r="U234" t="s">
        <v>717</v>
      </c>
      <c r="V234" t="s">
        <v>717</v>
      </c>
      <c r="W234">
        <v>44112</v>
      </c>
      <c r="X234" t="s">
        <v>3486</v>
      </c>
      <c r="Y234" t="s">
        <v>6</v>
      </c>
      <c r="Z234" t="s">
        <v>17</v>
      </c>
      <c r="AA234" t="s">
        <v>717</v>
      </c>
      <c r="AB234" t="s">
        <v>2509</v>
      </c>
      <c r="AC234" t="s">
        <v>2571</v>
      </c>
      <c r="AD234" t="s">
        <v>717</v>
      </c>
      <c r="AE234" t="s">
        <v>3487</v>
      </c>
      <c r="AF234" t="s">
        <v>3488</v>
      </c>
      <c r="AG234" t="s">
        <v>3489</v>
      </c>
      <c r="AH234" t="s">
        <v>2615</v>
      </c>
      <c r="AI234" t="s">
        <v>2552</v>
      </c>
      <c r="AJ234" t="s">
        <v>2855</v>
      </c>
      <c r="AK234" t="s">
        <v>20</v>
      </c>
      <c r="AL234" t="s">
        <v>2663</v>
      </c>
      <c r="AM234" t="s">
        <v>10</v>
      </c>
      <c r="AN234" t="s">
        <v>717</v>
      </c>
    </row>
    <row r="235" spans="1:40" hidden="1">
      <c r="A235">
        <v>233</v>
      </c>
      <c r="B235">
        <v>5</v>
      </c>
      <c r="C235" s="58">
        <v>44112</v>
      </c>
      <c r="D235" t="s">
        <v>74</v>
      </c>
      <c r="E235" t="s">
        <v>2515</v>
      </c>
      <c r="F235">
        <v>3</v>
      </c>
      <c r="G235">
        <v>9</v>
      </c>
      <c r="H235">
        <v>73</v>
      </c>
      <c r="I235">
        <v>2</v>
      </c>
      <c r="J235">
        <v>67.16</v>
      </c>
      <c r="K235" t="s">
        <v>9</v>
      </c>
      <c r="L235">
        <v>3227007.11</v>
      </c>
      <c r="M235">
        <v>0</v>
      </c>
      <c r="N235">
        <v>3227007.11</v>
      </c>
      <c r="O235">
        <v>48049.540053603334</v>
      </c>
      <c r="P235">
        <v>33580</v>
      </c>
      <c r="Q235">
        <v>3193427.11</v>
      </c>
      <c r="R235">
        <v>47549.540053603334</v>
      </c>
      <c r="S235" t="s">
        <v>65</v>
      </c>
      <c r="T235" t="s">
        <v>717</v>
      </c>
      <c r="U235" t="s">
        <v>717</v>
      </c>
      <c r="V235" t="s">
        <v>717</v>
      </c>
      <c r="W235">
        <v>44112</v>
      </c>
      <c r="X235" t="s">
        <v>3490</v>
      </c>
      <c r="Y235" t="s">
        <v>6</v>
      </c>
      <c r="Z235" t="s">
        <v>17</v>
      </c>
      <c r="AA235" t="s">
        <v>717</v>
      </c>
      <c r="AB235" t="s">
        <v>2509</v>
      </c>
      <c r="AC235" t="s">
        <v>2571</v>
      </c>
      <c r="AD235" t="s">
        <v>717</v>
      </c>
      <c r="AE235" t="s">
        <v>3491</v>
      </c>
      <c r="AF235" t="s">
        <v>3492</v>
      </c>
      <c r="AG235" t="s">
        <v>3493</v>
      </c>
      <c r="AH235" t="s">
        <v>2615</v>
      </c>
      <c r="AI235" t="s">
        <v>2697</v>
      </c>
      <c r="AJ235" t="s">
        <v>3494</v>
      </c>
      <c r="AK235" t="s">
        <v>63</v>
      </c>
      <c r="AL235" t="s">
        <v>16</v>
      </c>
      <c r="AM235" t="s">
        <v>10</v>
      </c>
      <c r="AN235" t="s">
        <v>717</v>
      </c>
    </row>
    <row r="236" spans="1:40" hidden="1">
      <c r="A236">
        <v>234</v>
      </c>
      <c r="B236">
        <v>6</v>
      </c>
      <c r="C236" s="58">
        <v>44112</v>
      </c>
      <c r="D236" t="s">
        <v>74</v>
      </c>
      <c r="E236" t="s">
        <v>2515</v>
      </c>
      <c r="F236">
        <v>3</v>
      </c>
      <c r="G236">
        <v>8</v>
      </c>
      <c r="H236">
        <v>63</v>
      </c>
      <c r="I236">
        <v>2</v>
      </c>
      <c r="J236">
        <v>67.16</v>
      </c>
      <c r="K236" t="s">
        <v>9</v>
      </c>
      <c r="L236">
        <v>3227007.11</v>
      </c>
      <c r="M236">
        <v>0</v>
      </c>
      <c r="N236">
        <v>3227007.11</v>
      </c>
      <c r="O236">
        <v>48049.540053603334</v>
      </c>
      <c r="P236">
        <v>33580</v>
      </c>
      <c r="Q236">
        <v>3193427.11</v>
      </c>
      <c r="R236">
        <v>47549.540053603334</v>
      </c>
      <c r="S236" t="s">
        <v>130</v>
      </c>
      <c r="T236" t="s">
        <v>717</v>
      </c>
      <c r="U236" t="s">
        <v>717</v>
      </c>
      <c r="V236" t="s">
        <v>717</v>
      </c>
      <c r="W236">
        <v>44112</v>
      </c>
      <c r="X236" t="s">
        <v>3495</v>
      </c>
      <c r="Y236" t="s">
        <v>6</v>
      </c>
      <c r="Z236" t="s">
        <v>11</v>
      </c>
      <c r="AA236" t="s">
        <v>717</v>
      </c>
      <c r="AB236" t="s">
        <v>2509</v>
      </c>
      <c r="AC236" t="s">
        <v>118</v>
      </c>
      <c r="AD236" t="s">
        <v>717</v>
      </c>
      <c r="AE236" t="s">
        <v>3496</v>
      </c>
      <c r="AF236" t="s">
        <v>3497</v>
      </c>
      <c r="AG236" t="s">
        <v>3498</v>
      </c>
      <c r="AH236" t="s">
        <v>2580</v>
      </c>
      <c r="AI236" t="s">
        <v>2877</v>
      </c>
      <c r="AJ236" t="s">
        <v>3098</v>
      </c>
      <c r="AK236" t="s">
        <v>20</v>
      </c>
      <c r="AL236" t="s">
        <v>717</v>
      </c>
      <c r="AM236" t="s">
        <v>10</v>
      </c>
      <c r="AN236" t="s">
        <v>717</v>
      </c>
    </row>
    <row r="237" spans="1:40" hidden="1">
      <c r="A237">
        <v>235</v>
      </c>
      <c r="B237">
        <v>7</v>
      </c>
      <c r="C237" s="58">
        <v>44113</v>
      </c>
      <c r="D237" t="s">
        <v>74</v>
      </c>
      <c r="E237" t="s">
        <v>2506</v>
      </c>
      <c r="F237">
        <v>4</v>
      </c>
      <c r="G237">
        <v>10</v>
      </c>
      <c r="H237">
        <v>210</v>
      </c>
      <c r="I237">
        <v>1</v>
      </c>
      <c r="J237">
        <v>40.58</v>
      </c>
      <c r="K237" t="s">
        <v>25</v>
      </c>
      <c r="L237">
        <v>2855491.64</v>
      </c>
      <c r="M237">
        <v>0</v>
      </c>
      <c r="N237">
        <v>2855491.64</v>
      </c>
      <c r="O237">
        <v>70366.969935929039</v>
      </c>
      <c r="P237">
        <v>628990</v>
      </c>
      <c r="Q237">
        <v>2226501.64</v>
      </c>
      <c r="R237">
        <v>54866.969935929032</v>
      </c>
      <c r="S237" t="s">
        <v>65</v>
      </c>
      <c r="T237" t="s">
        <v>717</v>
      </c>
      <c r="U237" t="s">
        <v>717</v>
      </c>
      <c r="V237" t="s">
        <v>717</v>
      </c>
      <c r="W237">
        <v>44113</v>
      </c>
      <c r="X237" t="s">
        <v>3499</v>
      </c>
      <c r="Y237" t="s">
        <v>6</v>
      </c>
      <c r="Z237" t="s">
        <v>17</v>
      </c>
      <c r="AA237" t="s">
        <v>717</v>
      </c>
      <c r="AB237" t="s">
        <v>2509</v>
      </c>
      <c r="AC237" t="s">
        <v>2571</v>
      </c>
      <c r="AD237" t="s">
        <v>717</v>
      </c>
      <c r="AE237" t="s">
        <v>3500</v>
      </c>
      <c r="AF237" t="s">
        <v>3501</v>
      </c>
      <c r="AG237" t="s">
        <v>3502</v>
      </c>
      <c r="AH237" t="s">
        <v>2191</v>
      </c>
      <c r="AI237" t="s">
        <v>2552</v>
      </c>
      <c r="AJ237" t="s">
        <v>2514</v>
      </c>
      <c r="AK237" t="s">
        <v>63</v>
      </c>
      <c r="AL237" t="s">
        <v>2663</v>
      </c>
      <c r="AM237" t="s">
        <v>10</v>
      </c>
      <c r="AN237" t="s">
        <v>717</v>
      </c>
    </row>
    <row r="238" spans="1:40" hidden="1">
      <c r="A238">
        <v>236</v>
      </c>
      <c r="B238">
        <v>8</v>
      </c>
      <c r="C238" s="58">
        <v>44117</v>
      </c>
      <c r="D238" t="s">
        <v>74</v>
      </c>
      <c r="E238" t="s">
        <v>2515</v>
      </c>
      <c r="F238">
        <v>4</v>
      </c>
      <c r="G238">
        <v>3</v>
      </c>
      <c r="H238">
        <v>14</v>
      </c>
      <c r="I238">
        <v>3</v>
      </c>
      <c r="J238">
        <v>80.33</v>
      </c>
      <c r="K238" t="s">
        <v>25</v>
      </c>
      <c r="L238">
        <v>4919806.83</v>
      </c>
      <c r="M238">
        <v>0</v>
      </c>
      <c r="N238">
        <v>4919806.83</v>
      </c>
      <c r="O238">
        <v>61244.949956429729</v>
      </c>
      <c r="P238">
        <v>1245115</v>
      </c>
      <c r="Q238">
        <v>3674691.83</v>
      </c>
      <c r="R238">
        <v>45744.949956429729</v>
      </c>
      <c r="S238" t="s">
        <v>65</v>
      </c>
      <c r="T238" t="s">
        <v>717</v>
      </c>
      <c r="U238" t="s">
        <v>717</v>
      </c>
      <c r="V238" t="s">
        <v>717</v>
      </c>
      <c r="W238">
        <v>44114</v>
      </c>
      <c r="X238" t="s">
        <v>3503</v>
      </c>
      <c r="Y238" t="s">
        <v>6</v>
      </c>
      <c r="Z238" t="s">
        <v>17</v>
      </c>
      <c r="AA238" t="s">
        <v>717</v>
      </c>
      <c r="AB238" t="s">
        <v>2509</v>
      </c>
      <c r="AC238" t="s">
        <v>2571</v>
      </c>
      <c r="AD238" t="s">
        <v>717</v>
      </c>
      <c r="AE238" t="s">
        <v>3504</v>
      </c>
      <c r="AF238" t="s">
        <v>3505</v>
      </c>
      <c r="AG238" t="s">
        <v>3506</v>
      </c>
      <c r="AH238" t="s">
        <v>2191</v>
      </c>
      <c r="AI238" t="s">
        <v>2552</v>
      </c>
      <c r="AJ238" t="s">
        <v>2514</v>
      </c>
      <c r="AK238" t="s">
        <v>20</v>
      </c>
      <c r="AL238" t="s">
        <v>2663</v>
      </c>
      <c r="AM238" t="s">
        <v>10</v>
      </c>
      <c r="AN238" t="s">
        <v>717</v>
      </c>
    </row>
    <row r="239" spans="1:40" hidden="1">
      <c r="A239">
        <v>237</v>
      </c>
      <c r="B239">
        <v>9</v>
      </c>
      <c r="C239" s="58">
        <v>44119</v>
      </c>
      <c r="D239" t="s">
        <v>74</v>
      </c>
      <c r="E239" t="s">
        <v>2515</v>
      </c>
      <c r="F239">
        <v>3</v>
      </c>
      <c r="G239">
        <v>12</v>
      </c>
      <c r="H239">
        <v>103</v>
      </c>
      <c r="I239">
        <v>2</v>
      </c>
      <c r="J239">
        <v>67.16</v>
      </c>
      <c r="K239" t="s">
        <v>15</v>
      </c>
      <c r="L239">
        <v>3257528.83</v>
      </c>
      <c r="M239">
        <v>15000</v>
      </c>
      <c r="N239">
        <v>3272528.83</v>
      </c>
      <c r="O239">
        <v>48727.350059559263</v>
      </c>
      <c r="P239">
        <v>315652</v>
      </c>
      <c r="Q239">
        <v>2956876.83</v>
      </c>
      <c r="R239">
        <v>44027.350059559263</v>
      </c>
      <c r="S239" t="s">
        <v>65</v>
      </c>
      <c r="T239" t="s">
        <v>717</v>
      </c>
      <c r="U239" t="s">
        <v>717</v>
      </c>
      <c r="V239" t="s">
        <v>717</v>
      </c>
      <c r="W239">
        <v>44119</v>
      </c>
      <c r="X239" t="s">
        <v>3507</v>
      </c>
      <c r="Y239" t="s">
        <v>6</v>
      </c>
      <c r="Z239" t="s">
        <v>11</v>
      </c>
      <c r="AA239" t="s">
        <v>717</v>
      </c>
      <c r="AB239" t="s">
        <v>2509</v>
      </c>
      <c r="AC239" t="s">
        <v>2571</v>
      </c>
      <c r="AD239" t="s">
        <v>717</v>
      </c>
      <c r="AE239" t="s">
        <v>3508</v>
      </c>
      <c r="AF239" t="s">
        <v>3509</v>
      </c>
      <c r="AG239" t="s">
        <v>3510</v>
      </c>
      <c r="AH239" t="s">
        <v>2552</v>
      </c>
      <c r="AI239" t="s">
        <v>2552</v>
      </c>
      <c r="AJ239" t="s">
        <v>3185</v>
      </c>
      <c r="AK239" t="s">
        <v>20</v>
      </c>
      <c r="AL239" t="s">
        <v>2663</v>
      </c>
      <c r="AM239" t="s">
        <v>10</v>
      </c>
      <c r="AN239" t="s">
        <v>717</v>
      </c>
    </row>
    <row r="240" spans="1:40" hidden="1">
      <c r="A240">
        <v>238</v>
      </c>
      <c r="B240">
        <v>10</v>
      </c>
      <c r="C240" s="58">
        <v>44123</v>
      </c>
      <c r="D240" t="s">
        <v>74</v>
      </c>
      <c r="E240" t="s">
        <v>2515</v>
      </c>
      <c r="F240">
        <v>6</v>
      </c>
      <c r="G240">
        <v>6</v>
      </c>
      <c r="H240">
        <v>46</v>
      </c>
      <c r="I240">
        <v>2</v>
      </c>
      <c r="J240">
        <v>63.03</v>
      </c>
      <c r="K240" t="s">
        <v>25</v>
      </c>
      <c r="L240">
        <v>3921098.07</v>
      </c>
      <c r="M240">
        <v>15000</v>
      </c>
      <c r="N240">
        <v>3936098.07</v>
      </c>
      <c r="O240">
        <v>62448.009995240354</v>
      </c>
      <c r="P240">
        <v>976965</v>
      </c>
      <c r="Q240">
        <v>2959133.07</v>
      </c>
      <c r="R240">
        <v>46948.009995240362</v>
      </c>
      <c r="S240" t="s">
        <v>65</v>
      </c>
      <c r="T240" t="s">
        <v>717</v>
      </c>
      <c r="U240" t="s">
        <v>717</v>
      </c>
      <c r="V240" t="s">
        <v>717</v>
      </c>
      <c r="W240">
        <v>44123</v>
      </c>
      <c r="X240" t="s">
        <v>3511</v>
      </c>
      <c r="Y240" t="s">
        <v>6</v>
      </c>
      <c r="Z240" t="s">
        <v>17</v>
      </c>
      <c r="AA240" t="s">
        <v>717</v>
      </c>
      <c r="AB240" t="s">
        <v>2509</v>
      </c>
      <c r="AC240" t="s">
        <v>2571</v>
      </c>
      <c r="AD240" t="s">
        <v>717</v>
      </c>
      <c r="AE240" t="s">
        <v>3512</v>
      </c>
      <c r="AF240" t="s">
        <v>3513</v>
      </c>
      <c r="AG240" t="s">
        <v>3514</v>
      </c>
      <c r="AH240" t="s">
        <v>2615</v>
      </c>
      <c r="AI240" t="s">
        <v>2552</v>
      </c>
      <c r="AJ240" t="s">
        <v>2662</v>
      </c>
      <c r="AK240" t="s">
        <v>63</v>
      </c>
      <c r="AL240" t="s">
        <v>2663</v>
      </c>
      <c r="AM240" t="s">
        <v>10</v>
      </c>
      <c r="AN240" t="s">
        <v>717</v>
      </c>
    </row>
    <row r="241" spans="1:40" hidden="1">
      <c r="A241">
        <v>239</v>
      </c>
      <c r="B241">
        <v>11</v>
      </c>
      <c r="C241" s="58">
        <v>44123</v>
      </c>
      <c r="D241" t="s">
        <v>74</v>
      </c>
      <c r="E241" t="s">
        <v>2581</v>
      </c>
      <c r="F241">
        <v>5</v>
      </c>
      <c r="G241">
        <v>5</v>
      </c>
      <c r="H241">
        <v>340</v>
      </c>
      <c r="I241">
        <v>2</v>
      </c>
      <c r="J241">
        <v>60.9</v>
      </c>
      <c r="K241" t="s">
        <v>9</v>
      </c>
      <c r="L241">
        <v>2931902.61</v>
      </c>
      <c r="M241">
        <v>0</v>
      </c>
      <c r="N241">
        <v>2931902.61</v>
      </c>
      <c r="O241">
        <v>48142.9</v>
      </c>
      <c r="P241">
        <v>30450</v>
      </c>
      <c r="Q241">
        <v>2901452.61</v>
      </c>
      <c r="R241">
        <v>47642.9</v>
      </c>
      <c r="S241" t="s">
        <v>65</v>
      </c>
      <c r="T241" t="s">
        <v>717</v>
      </c>
      <c r="U241" t="s">
        <v>717</v>
      </c>
      <c r="V241" t="s">
        <v>717</v>
      </c>
      <c r="W241">
        <v>44123</v>
      </c>
      <c r="X241" t="s">
        <v>3515</v>
      </c>
      <c r="Y241" t="s">
        <v>6</v>
      </c>
      <c r="Z241" t="s">
        <v>17</v>
      </c>
      <c r="AA241" t="s">
        <v>717</v>
      </c>
      <c r="AB241" t="s">
        <v>2509</v>
      </c>
      <c r="AC241" t="s">
        <v>2571</v>
      </c>
      <c r="AD241" t="s">
        <v>717</v>
      </c>
      <c r="AE241" t="s">
        <v>3516</v>
      </c>
      <c r="AF241" t="s">
        <v>3517</v>
      </c>
      <c r="AG241" t="s">
        <v>3518</v>
      </c>
      <c r="AH241" t="s">
        <v>2615</v>
      </c>
      <c r="AI241" t="s">
        <v>2547</v>
      </c>
      <c r="AJ241" t="s">
        <v>2855</v>
      </c>
      <c r="AK241" t="s">
        <v>20</v>
      </c>
      <c r="AL241" t="s">
        <v>16</v>
      </c>
      <c r="AM241" t="s">
        <v>10</v>
      </c>
      <c r="AN241" t="s">
        <v>717</v>
      </c>
    </row>
    <row r="242" spans="1:40" hidden="1">
      <c r="A242">
        <v>240</v>
      </c>
      <c r="B242">
        <v>12</v>
      </c>
      <c r="C242" s="58">
        <v>44124</v>
      </c>
      <c r="D242" t="s">
        <v>74</v>
      </c>
      <c r="E242" t="s">
        <v>2515</v>
      </c>
      <c r="F242">
        <v>7</v>
      </c>
      <c r="G242">
        <v>10</v>
      </c>
      <c r="H242">
        <v>87</v>
      </c>
      <c r="I242">
        <v>1</v>
      </c>
      <c r="J242">
        <v>42.32</v>
      </c>
      <c r="K242" t="s">
        <v>25</v>
      </c>
      <c r="L242">
        <v>2888473.21</v>
      </c>
      <c r="M242">
        <v>15000</v>
      </c>
      <c r="N242">
        <v>2903473.21</v>
      </c>
      <c r="O242">
        <v>68607.590028355393</v>
      </c>
      <c r="P242">
        <v>655960</v>
      </c>
      <c r="Q242">
        <v>2247513.21</v>
      </c>
      <c r="R242">
        <v>53107.590028355386</v>
      </c>
      <c r="S242" t="s">
        <v>65</v>
      </c>
      <c r="T242" t="s">
        <v>717</v>
      </c>
      <c r="U242" t="s">
        <v>717</v>
      </c>
      <c r="V242" t="s">
        <v>717</v>
      </c>
      <c r="W242">
        <v>44124</v>
      </c>
      <c r="X242" t="s">
        <v>3519</v>
      </c>
      <c r="Y242" t="s">
        <v>6</v>
      </c>
      <c r="Z242" t="s">
        <v>17</v>
      </c>
      <c r="AA242" t="s">
        <v>717</v>
      </c>
      <c r="AB242" t="s">
        <v>2509</v>
      </c>
      <c r="AC242" t="s">
        <v>2571</v>
      </c>
      <c r="AD242" t="s">
        <v>717</v>
      </c>
      <c r="AE242" t="s">
        <v>3520</v>
      </c>
      <c r="AF242" t="s">
        <v>3521</v>
      </c>
      <c r="AG242" t="s">
        <v>3522</v>
      </c>
      <c r="AH242" t="s">
        <v>2615</v>
      </c>
      <c r="AI242" t="s">
        <v>2802</v>
      </c>
      <c r="AJ242" t="s">
        <v>2569</v>
      </c>
      <c r="AK242" t="s">
        <v>63</v>
      </c>
      <c r="AL242" t="s">
        <v>2663</v>
      </c>
      <c r="AM242" t="s">
        <v>10</v>
      </c>
      <c r="AN242" t="s">
        <v>717</v>
      </c>
    </row>
    <row r="243" spans="1:40" hidden="1">
      <c r="A243">
        <v>241</v>
      </c>
      <c r="B243">
        <v>13</v>
      </c>
      <c r="C243" s="58">
        <v>44125</v>
      </c>
      <c r="D243" t="s">
        <v>74</v>
      </c>
      <c r="E243" t="s">
        <v>2515</v>
      </c>
      <c r="F243">
        <v>6</v>
      </c>
      <c r="G243">
        <v>16</v>
      </c>
      <c r="H243">
        <v>146</v>
      </c>
      <c r="I243">
        <v>2</v>
      </c>
      <c r="J243">
        <v>63.03</v>
      </c>
      <c r="K243" t="s">
        <v>15</v>
      </c>
      <c r="L243">
        <v>3240374.07</v>
      </c>
      <c r="M243">
        <v>15000</v>
      </c>
      <c r="N243">
        <v>3255374.07</v>
      </c>
      <c r="O243">
        <v>51648.009995240362</v>
      </c>
      <c r="P243">
        <v>296241</v>
      </c>
      <c r="Q243">
        <v>2959133.07</v>
      </c>
      <c r="R243">
        <v>46948.009995240362</v>
      </c>
      <c r="S243" t="s">
        <v>65</v>
      </c>
      <c r="T243" t="s">
        <v>717</v>
      </c>
      <c r="U243" t="s">
        <v>717</v>
      </c>
      <c r="V243" t="s">
        <v>717</v>
      </c>
      <c r="W243">
        <v>44118</v>
      </c>
      <c r="X243" t="s">
        <v>3523</v>
      </c>
      <c r="Y243" t="s">
        <v>6</v>
      </c>
      <c r="Z243" t="s">
        <v>17</v>
      </c>
      <c r="AA243" t="s">
        <v>717</v>
      </c>
      <c r="AB243" t="s">
        <v>2509</v>
      </c>
      <c r="AC243" t="s">
        <v>2571</v>
      </c>
      <c r="AD243" t="s">
        <v>717</v>
      </c>
      <c r="AE243" t="s">
        <v>3524</v>
      </c>
      <c r="AF243" t="s">
        <v>3525</v>
      </c>
      <c r="AG243" t="s">
        <v>3526</v>
      </c>
      <c r="AH243" t="s">
        <v>2191</v>
      </c>
      <c r="AI243" t="s">
        <v>2538</v>
      </c>
      <c r="AJ243" t="s">
        <v>2514</v>
      </c>
      <c r="AK243" t="s">
        <v>63</v>
      </c>
      <c r="AL243" t="s">
        <v>2663</v>
      </c>
      <c r="AM243" t="s">
        <v>10</v>
      </c>
      <c r="AN243" t="s">
        <v>717</v>
      </c>
    </row>
    <row r="244" spans="1:40" hidden="1">
      <c r="A244">
        <v>242</v>
      </c>
      <c r="B244">
        <v>14</v>
      </c>
      <c r="C244" s="58">
        <v>44125</v>
      </c>
      <c r="D244" t="s">
        <v>74</v>
      </c>
      <c r="E244" t="s">
        <v>2506</v>
      </c>
      <c r="F244">
        <v>7</v>
      </c>
      <c r="G244">
        <v>2</v>
      </c>
      <c r="I244">
        <v>2</v>
      </c>
      <c r="J244">
        <v>64.17</v>
      </c>
      <c r="K244" t="s">
        <v>9</v>
      </c>
      <c r="L244">
        <v>2849604.63</v>
      </c>
      <c r="M244">
        <v>15000</v>
      </c>
      <c r="N244">
        <v>2864604.63</v>
      </c>
      <c r="O244">
        <v>44640.870032725565</v>
      </c>
      <c r="P244">
        <v>32085</v>
      </c>
      <c r="Q244">
        <v>2832519.63</v>
      </c>
      <c r="R244">
        <v>44140.870032725565</v>
      </c>
      <c r="S244" t="s">
        <v>130</v>
      </c>
      <c r="T244" t="s">
        <v>717</v>
      </c>
      <c r="U244" t="s">
        <v>717</v>
      </c>
      <c r="V244" t="s">
        <v>717</v>
      </c>
      <c r="W244">
        <v>44126</v>
      </c>
      <c r="X244" t="s">
        <v>3527</v>
      </c>
      <c r="Y244" t="s">
        <v>2517</v>
      </c>
      <c r="Z244" t="s">
        <v>11</v>
      </c>
      <c r="AA244" t="s">
        <v>717</v>
      </c>
      <c r="AB244" t="s">
        <v>2509</v>
      </c>
      <c r="AC244" t="s">
        <v>118</v>
      </c>
      <c r="AD244">
        <v>44244</v>
      </c>
      <c r="AE244" t="s">
        <v>3528</v>
      </c>
      <c r="AF244" t="s">
        <v>3529</v>
      </c>
      <c r="AG244" t="s">
        <v>3530</v>
      </c>
      <c r="AH244" t="s">
        <v>2615</v>
      </c>
      <c r="AI244" t="s">
        <v>2688</v>
      </c>
      <c r="AJ244" t="s">
        <v>2522</v>
      </c>
      <c r="AK244" t="s">
        <v>63</v>
      </c>
      <c r="AL244" t="s">
        <v>717</v>
      </c>
      <c r="AM244" t="s">
        <v>10</v>
      </c>
      <c r="AN244" t="s">
        <v>717</v>
      </c>
    </row>
    <row r="245" spans="1:40" hidden="1">
      <c r="A245">
        <v>243</v>
      </c>
      <c r="B245">
        <v>15</v>
      </c>
      <c r="C245" s="58">
        <v>44126</v>
      </c>
      <c r="D245" t="s">
        <v>74</v>
      </c>
      <c r="E245" t="s">
        <v>2515</v>
      </c>
      <c r="F245">
        <v>6</v>
      </c>
      <c r="G245">
        <v>13</v>
      </c>
      <c r="H245">
        <v>116</v>
      </c>
      <c r="I245">
        <v>2</v>
      </c>
      <c r="J245">
        <v>63.03</v>
      </c>
      <c r="K245" t="s">
        <v>9</v>
      </c>
      <c r="L245">
        <v>2990648.07</v>
      </c>
      <c r="M245">
        <v>0</v>
      </c>
      <c r="N245">
        <v>2990648.07</v>
      </c>
      <c r="O245">
        <v>47448.009995240362</v>
      </c>
      <c r="P245">
        <v>31515</v>
      </c>
      <c r="Q245">
        <v>2959133.07</v>
      </c>
      <c r="R245">
        <v>46948.009995240362</v>
      </c>
      <c r="S245" t="s">
        <v>65</v>
      </c>
      <c r="T245" t="s">
        <v>717</v>
      </c>
      <c r="U245" t="s">
        <v>717</v>
      </c>
      <c r="V245" t="s">
        <v>717</v>
      </c>
      <c r="W245">
        <v>44116</v>
      </c>
      <c r="X245" t="s">
        <v>3531</v>
      </c>
      <c r="Y245" t="s">
        <v>6</v>
      </c>
      <c r="Z245" t="s">
        <v>17</v>
      </c>
      <c r="AA245" t="s">
        <v>717</v>
      </c>
      <c r="AB245" t="s">
        <v>2509</v>
      </c>
      <c r="AC245" t="s">
        <v>2571</v>
      </c>
      <c r="AD245" t="s">
        <v>717</v>
      </c>
      <c r="AE245" t="s">
        <v>3532</v>
      </c>
      <c r="AF245" t="s">
        <v>3533</v>
      </c>
      <c r="AG245" t="s">
        <v>3534</v>
      </c>
      <c r="AH245" t="s">
        <v>2191</v>
      </c>
      <c r="AI245" t="s">
        <v>2552</v>
      </c>
      <c r="AJ245" t="s">
        <v>2514</v>
      </c>
      <c r="AK245" t="s">
        <v>77</v>
      </c>
      <c r="AL245" t="s">
        <v>2663</v>
      </c>
      <c r="AM245" t="s">
        <v>10</v>
      </c>
      <c r="AN245" t="s">
        <v>717</v>
      </c>
    </row>
    <row r="246" spans="1:40" hidden="1">
      <c r="A246">
        <v>244</v>
      </c>
      <c r="B246">
        <v>16</v>
      </c>
      <c r="C246" s="58">
        <v>44126</v>
      </c>
      <c r="D246" t="s">
        <v>74</v>
      </c>
      <c r="E246" t="s">
        <v>2515</v>
      </c>
      <c r="F246">
        <v>5</v>
      </c>
      <c r="G246">
        <v>8</v>
      </c>
      <c r="H246">
        <v>65</v>
      </c>
      <c r="I246">
        <v>2</v>
      </c>
      <c r="J246">
        <v>60.2</v>
      </c>
      <c r="K246" t="s">
        <v>15</v>
      </c>
      <c r="L246">
        <v>2981709.07</v>
      </c>
      <c r="M246">
        <v>0</v>
      </c>
      <c r="N246">
        <v>2981709.07</v>
      </c>
      <c r="O246">
        <v>49530.050996677739</v>
      </c>
      <c r="P246">
        <v>282940</v>
      </c>
      <c r="Q246">
        <v>2698769.07</v>
      </c>
      <c r="R246">
        <v>44830.050996677739</v>
      </c>
      <c r="S246" t="s">
        <v>65</v>
      </c>
      <c r="T246" t="s">
        <v>2941</v>
      </c>
      <c r="U246">
        <v>55076.92</v>
      </c>
      <c r="V246" t="s">
        <v>717</v>
      </c>
      <c r="W246">
        <v>44117</v>
      </c>
      <c r="X246" t="s">
        <v>3535</v>
      </c>
      <c r="Y246" t="s">
        <v>6</v>
      </c>
      <c r="Z246" t="s">
        <v>17</v>
      </c>
      <c r="AA246" t="s">
        <v>717</v>
      </c>
      <c r="AB246" t="s">
        <v>2509</v>
      </c>
      <c r="AC246" t="s">
        <v>2571</v>
      </c>
      <c r="AD246" t="s">
        <v>717</v>
      </c>
      <c r="AE246" t="s">
        <v>3467</v>
      </c>
      <c r="AF246" t="s">
        <v>3468</v>
      </c>
      <c r="AG246" t="s">
        <v>3469</v>
      </c>
      <c r="AH246" t="s">
        <v>2191</v>
      </c>
      <c r="AI246" t="s">
        <v>2600</v>
      </c>
      <c r="AJ246" t="s">
        <v>2642</v>
      </c>
      <c r="AK246" t="s">
        <v>20</v>
      </c>
      <c r="AL246" t="s">
        <v>16</v>
      </c>
      <c r="AM246" t="s">
        <v>10</v>
      </c>
      <c r="AN246" t="s">
        <v>717</v>
      </c>
    </row>
    <row r="247" spans="1:40" hidden="1">
      <c r="A247">
        <v>245</v>
      </c>
      <c r="B247">
        <v>17</v>
      </c>
      <c r="C247" s="58">
        <v>44126</v>
      </c>
      <c r="D247" t="s">
        <v>74</v>
      </c>
      <c r="E247" t="s">
        <v>2506</v>
      </c>
      <c r="F247">
        <v>6</v>
      </c>
      <c r="G247">
        <v>5</v>
      </c>
      <c r="H247">
        <v>177</v>
      </c>
      <c r="I247">
        <v>2</v>
      </c>
      <c r="J247">
        <v>64.150000000000006</v>
      </c>
      <c r="K247" t="s">
        <v>25</v>
      </c>
      <c r="L247">
        <v>3957055.54</v>
      </c>
      <c r="M247">
        <v>0</v>
      </c>
      <c r="N247">
        <v>3957055.54</v>
      </c>
      <c r="O247">
        <v>61684.419953234603</v>
      </c>
      <c r="P247">
        <v>994325</v>
      </c>
      <c r="Q247">
        <v>2962730.54</v>
      </c>
      <c r="R247">
        <v>46184.419953234603</v>
      </c>
      <c r="S247" t="s">
        <v>65</v>
      </c>
      <c r="T247" t="s">
        <v>717</v>
      </c>
      <c r="U247" t="s">
        <v>717</v>
      </c>
      <c r="V247" t="s">
        <v>717</v>
      </c>
      <c r="W247">
        <v>44124</v>
      </c>
      <c r="X247" t="s">
        <v>3536</v>
      </c>
      <c r="Y247" t="s">
        <v>6</v>
      </c>
      <c r="Z247" t="s">
        <v>17</v>
      </c>
      <c r="AA247" t="s">
        <v>717</v>
      </c>
      <c r="AB247" t="s">
        <v>2509</v>
      </c>
      <c r="AC247" t="s">
        <v>2571</v>
      </c>
      <c r="AD247" t="s">
        <v>717</v>
      </c>
      <c r="AE247" t="s">
        <v>3537</v>
      </c>
      <c r="AF247" t="s">
        <v>3538</v>
      </c>
      <c r="AG247" t="s">
        <v>3539</v>
      </c>
      <c r="AH247" t="s">
        <v>2552</v>
      </c>
      <c r="AI247" t="s">
        <v>2877</v>
      </c>
      <c r="AJ247" t="s">
        <v>3098</v>
      </c>
      <c r="AK247" t="s">
        <v>63</v>
      </c>
      <c r="AL247" t="s">
        <v>16</v>
      </c>
      <c r="AM247" t="s">
        <v>10</v>
      </c>
      <c r="AN247" t="s">
        <v>717</v>
      </c>
    </row>
    <row r="248" spans="1:40" hidden="1">
      <c r="A248">
        <v>246</v>
      </c>
      <c r="B248">
        <v>18</v>
      </c>
      <c r="C248" s="58">
        <v>44127</v>
      </c>
      <c r="D248" t="s">
        <v>74</v>
      </c>
      <c r="E248" t="s">
        <v>2506</v>
      </c>
      <c r="F248">
        <v>5</v>
      </c>
      <c r="G248">
        <v>13</v>
      </c>
      <c r="H248">
        <v>232</v>
      </c>
      <c r="I248">
        <v>3</v>
      </c>
      <c r="J248">
        <v>78.03</v>
      </c>
      <c r="K248" t="s">
        <v>9</v>
      </c>
      <c r="L248">
        <v>3608493.45</v>
      </c>
      <c r="M248">
        <v>0</v>
      </c>
      <c r="N248">
        <v>3608493.45</v>
      </c>
      <c r="O248">
        <v>46244.950019223375</v>
      </c>
      <c r="P248">
        <v>39015</v>
      </c>
      <c r="Q248">
        <v>3569478.45</v>
      </c>
      <c r="R248">
        <v>45744.950019223375</v>
      </c>
      <c r="S248" t="s">
        <v>65</v>
      </c>
      <c r="T248" t="s">
        <v>717</v>
      </c>
      <c r="U248" t="s">
        <v>717</v>
      </c>
      <c r="V248" t="s">
        <v>717</v>
      </c>
      <c r="W248">
        <v>44116</v>
      </c>
      <c r="X248" t="s">
        <v>3540</v>
      </c>
      <c r="Y248" t="s">
        <v>6</v>
      </c>
      <c r="Z248" t="s">
        <v>17</v>
      </c>
      <c r="AA248" t="s">
        <v>717</v>
      </c>
      <c r="AB248" t="s">
        <v>2509</v>
      </c>
      <c r="AC248" t="s">
        <v>2571</v>
      </c>
      <c r="AD248" t="s">
        <v>717</v>
      </c>
      <c r="AE248" t="s">
        <v>3541</v>
      </c>
      <c r="AF248" t="s">
        <v>3542</v>
      </c>
      <c r="AG248" t="s">
        <v>3543</v>
      </c>
      <c r="AH248" t="s">
        <v>2615</v>
      </c>
      <c r="AI248" t="s">
        <v>2552</v>
      </c>
      <c r="AJ248" t="s">
        <v>2642</v>
      </c>
      <c r="AK248" t="s">
        <v>73</v>
      </c>
      <c r="AL248" t="s">
        <v>2663</v>
      </c>
      <c r="AM248" t="s">
        <v>10</v>
      </c>
      <c r="AN248" t="s">
        <v>717</v>
      </c>
    </row>
    <row r="249" spans="1:40" hidden="1">
      <c r="A249">
        <v>247</v>
      </c>
      <c r="B249">
        <v>19</v>
      </c>
      <c r="C249" s="58">
        <v>44127</v>
      </c>
      <c r="D249" t="s">
        <v>74</v>
      </c>
      <c r="E249" t="s">
        <v>2515</v>
      </c>
      <c r="F249">
        <v>10</v>
      </c>
      <c r="G249">
        <v>9</v>
      </c>
      <c r="H249">
        <v>80</v>
      </c>
      <c r="I249">
        <v>2</v>
      </c>
      <c r="J249">
        <v>65.540000000000006</v>
      </c>
      <c r="K249" t="s">
        <v>15</v>
      </c>
      <c r="L249">
        <v>3444963.95</v>
      </c>
      <c r="M249">
        <v>0</v>
      </c>
      <c r="N249">
        <v>3444963.95</v>
      </c>
      <c r="O249">
        <v>52562.770064083001</v>
      </c>
      <c r="P249">
        <v>308038</v>
      </c>
      <c r="Q249">
        <v>3136925.95</v>
      </c>
      <c r="R249">
        <v>47862.770064083001</v>
      </c>
      <c r="S249" t="s">
        <v>65</v>
      </c>
      <c r="T249" t="s">
        <v>717</v>
      </c>
      <c r="U249" t="s">
        <v>717</v>
      </c>
      <c r="V249" t="s">
        <v>717</v>
      </c>
      <c r="W249">
        <v>44123</v>
      </c>
      <c r="X249" t="s">
        <v>3544</v>
      </c>
      <c r="Y249" t="s">
        <v>6</v>
      </c>
      <c r="Z249" t="s">
        <v>17</v>
      </c>
      <c r="AA249" t="s">
        <v>717</v>
      </c>
      <c r="AB249" t="s">
        <v>2509</v>
      </c>
      <c r="AC249" t="s">
        <v>2571</v>
      </c>
      <c r="AD249" t="s">
        <v>717</v>
      </c>
      <c r="AE249" t="s">
        <v>3545</v>
      </c>
      <c r="AF249" t="s">
        <v>3546</v>
      </c>
      <c r="AG249" t="s">
        <v>3547</v>
      </c>
      <c r="AH249" t="s">
        <v>2615</v>
      </c>
      <c r="AI249" t="s">
        <v>2552</v>
      </c>
      <c r="AJ249" t="s">
        <v>2825</v>
      </c>
      <c r="AK249" t="s">
        <v>20</v>
      </c>
      <c r="AL249" t="s">
        <v>2663</v>
      </c>
      <c r="AM249" t="s">
        <v>10</v>
      </c>
      <c r="AN249" t="s">
        <v>717</v>
      </c>
    </row>
    <row r="250" spans="1:40" hidden="1">
      <c r="A250">
        <v>248</v>
      </c>
      <c r="B250">
        <v>20</v>
      </c>
      <c r="C250" s="58">
        <v>44127</v>
      </c>
      <c r="D250" t="s">
        <v>74</v>
      </c>
      <c r="E250" t="s">
        <v>2515</v>
      </c>
      <c r="F250">
        <v>6</v>
      </c>
      <c r="G250">
        <v>12</v>
      </c>
      <c r="H250">
        <v>106</v>
      </c>
      <c r="I250">
        <v>2</v>
      </c>
      <c r="J250">
        <v>63.03</v>
      </c>
      <c r="K250" t="s">
        <v>15</v>
      </c>
      <c r="L250">
        <v>3240374.07</v>
      </c>
      <c r="M250">
        <v>15000</v>
      </c>
      <c r="N250">
        <v>3255374.07</v>
      </c>
      <c r="O250">
        <v>51648.009995240362</v>
      </c>
      <c r="P250">
        <v>296241</v>
      </c>
      <c r="Q250">
        <v>2959133.07</v>
      </c>
      <c r="R250">
        <v>46948.009995240362</v>
      </c>
      <c r="S250" t="s">
        <v>65</v>
      </c>
      <c r="T250" t="s">
        <v>717</v>
      </c>
      <c r="U250" t="s">
        <v>717</v>
      </c>
      <c r="V250" t="s">
        <v>717</v>
      </c>
      <c r="W250">
        <v>44124</v>
      </c>
      <c r="X250" t="s">
        <v>3548</v>
      </c>
      <c r="Y250" t="s">
        <v>6</v>
      </c>
      <c r="Z250" t="s">
        <v>17</v>
      </c>
      <c r="AA250" t="s">
        <v>717</v>
      </c>
      <c r="AB250" t="s">
        <v>2509</v>
      </c>
      <c r="AC250" t="s">
        <v>2564</v>
      </c>
      <c r="AD250" t="s">
        <v>717</v>
      </c>
      <c r="AE250" t="s">
        <v>3549</v>
      </c>
      <c r="AF250" t="s">
        <v>3550</v>
      </c>
      <c r="AG250" t="s">
        <v>3551</v>
      </c>
      <c r="AH250" t="s">
        <v>2191</v>
      </c>
      <c r="AI250" t="s">
        <v>2688</v>
      </c>
      <c r="AJ250" t="s">
        <v>2514</v>
      </c>
      <c r="AK250" t="s">
        <v>63</v>
      </c>
      <c r="AL250" t="s">
        <v>16</v>
      </c>
      <c r="AM250" t="s">
        <v>10</v>
      </c>
      <c r="AN250" t="s">
        <v>717</v>
      </c>
    </row>
    <row r="251" spans="1:40" hidden="1">
      <c r="A251">
        <v>249</v>
      </c>
      <c r="B251">
        <v>21</v>
      </c>
      <c r="C251" s="58">
        <v>44131</v>
      </c>
      <c r="D251" t="s">
        <v>74</v>
      </c>
      <c r="E251" t="s">
        <v>2506</v>
      </c>
      <c r="F251">
        <v>5</v>
      </c>
      <c r="G251">
        <v>22</v>
      </c>
      <c r="H251">
        <v>295</v>
      </c>
      <c r="I251">
        <v>3</v>
      </c>
      <c r="J251">
        <v>78.03</v>
      </c>
      <c r="K251" t="s">
        <v>25</v>
      </c>
      <c r="L251">
        <v>5042417.99</v>
      </c>
      <c r="M251">
        <v>0</v>
      </c>
      <c r="N251">
        <v>5042417.99</v>
      </c>
      <c r="O251">
        <v>64621.530052543894</v>
      </c>
      <c r="P251">
        <v>1209465</v>
      </c>
      <c r="Q251">
        <v>3832952.99</v>
      </c>
      <c r="R251">
        <v>49121.530052543894</v>
      </c>
      <c r="S251" t="s">
        <v>65</v>
      </c>
      <c r="T251" t="s">
        <v>717</v>
      </c>
      <c r="U251" t="s">
        <v>717</v>
      </c>
      <c r="V251" t="s">
        <v>717</v>
      </c>
      <c r="W251">
        <v>44121</v>
      </c>
      <c r="X251" t="s">
        <v>3552</v>
      </c>
      <c r="Y251" t="s">
        <v>6</v>
      </c>
      <c r="Z251" t="s">
        <v>17</v>
      </c>
      <c r="AA251" t="s">
        <v>717</v>
      </c>
      <c r="AB251" t="s">
        <v>2509</v>
      </c>
      <c r="AC251" t="s">
        <v>2571</v>
      </c>
      <c r="AD251" t="s">
        <v>717</v>
      </c>
      <c r="AE251" t="s">
        <v>3553</v>
      </c>
      <c r="AF251" t="s">
        <v>3554</v>
      </c>
      <c r="AG251" t="s">
        <v>3555</v>
      </c>
      <c r="AH251" t="s">
        <v>2552</v>
      </c>
      <c r="AI251" t="s">
        <v>3556</v>
      </c>
      <c r="AJ251" t="s">
        <v>3557</v>
      </c>
      <c r="AK251" t="s">
        <v>63</v>
      </c>
      <c r="AL251" t="s">
        <v>16</v>
      </c>
      <c r="AM251" t="s">
        <v>10</v>
      </c>
      <c r="AN251" t="s">
        <v>717</v>
      </c>
    </row>
    <row r="252" spans="1:40" hidden="1">
      <c r="A252">
        <v>250</v>
      </c>
      <c r="B252">
        <v>22</v>
      </c>
      <c r="C252" s="58">
        <v>44132</v>
      </c>
      <c r="D252" t="s">
        <v>74</v>
      </c>
      <c r="E252" t="s">
        <v>2515</v>
      </c>
      <c r="F252">
        <v>6</v>
      </c>
      <c r="G252">
        <v>3</v>
      </c>
      <c r="H252">
        <v>16</v>
      </c>
      <c r="I252">
        <v>2</v>
      </c>
      <c r="J252">
        <v>63.03</v>
      </c>
      <c r="K252" t="s">
        <v>9</v>
      </c>
      <c r="L252">
        <v>2931465.41</v>
      </c>
      <c r="M252">
        <v>0</v>
      </c>
      <c r="N252">
        <v>2931465.41</v>
      </c>
      <c r="O252">
        <v>46509.049817547202</v>
      </c>
      <c r="P252">
        <v>31515</v>
      </c>
      <c r="Q252">
        <v>2899950.41</v>
      </c>
      <c r="R252">
        <v>46009.049817547202</v>
      </c>
      <c r="S252" t="s">
        <v>65</v>
      </c>
      <c r="T252" t="s">
        <v>717</v>
      </c>
      <c r="U252" t="s">
        <v>717</v>
      </c>
      <c r="V252" t="s">
        <v>717</v>
      </c>
      <c r="W252">
        <v>44106</v>
      </c>
      <c r="X252" t="s">
        <v>3558</v>
      </c>
      <c r="Y252" t="s">
        <v>6</v>
      </c>
      <c r="Z252" t="s">
        <v>17</v>
      </c>
      <c r="AA252" t="s">
        <v>717</v>
      </c>
      <c r="AB252" t="s">
        <v>2509</v>
      </c>
      <c r="AC252" t="s">
        <v>2571</v>
      </c>
      <c r="AD252" t="s">
        <v>717</v>
      </c>
      <c r="AE252" t="s">
        <v>3447</v>
      </c>
      <c r="AF252" t="s">
        <v>3448</v>
      </c>
      <c r="AG252" t="s">
        <v>3449</v>
      </c>
      <c r="AH252" t="s">
        <v>2191</v>
      </c>
      <c r="AI252" t="s">
        <v>2600</v>
      </c>
      <c r="AJ252" t="s">
        <v>3304</v>
      </c>
      <c r="AK252" t="s">
        <v>20</v>
      </c>
      <c r="AL252" t="s">
        <v>16</v>
      </c>
      <c r="AM252" t="s">
        <v>10</v>
      </c>
      <c r="AN252" t="s">
        <v>717</v>
      </c>
    </row>
    <row r="253" spans="1:40" hidden="1">
      <c r="A253">
        <v>251</v>
      </c>
      <c r="B253">
        <v>23</v>
      </c>
      <c r="C253" s="58">
        <v>44132</v>
      </c>
      <c r="D253" t="s">
        <v>74</v>
      </c>
      <c r="E253" t="s">
        <v>2515</v>
      </c>
      <c r="F253">
        <v>3</v>
      </c>
      <c r="G253">
        <v>11</v>
      </c>
      <c r="H253">
        <v>93</v>
      </c>
      <c r="I253">
        <v>2</v>
      </c>
      <c r="J253">
        <v>67.16</v>
      </c>
      <c r="K253" t="s">
        <v>9</v>
      </c>
      <c r="L253">
        <v>3227007.11</v>
      </c>
      <c r="M253">
        <v>0</v>
      </c>
      <c r="N253">
        <v>3227007.11</v>
      </c>
      <c r="O253">
        <v>48049.540053603334</v>
      </c>
      <c r="P253">
        <v>33580</v>
      </c>
      <c r="Q253">
        <v>3193427.11</v>
      </c>
      <c r="R253">
        <v>47549.540053603334</v>
      </c>
      <c r="S253" t="s">
        <v>65</v>
      </c>
      <c r="T253" t="s">
        <v>717</v>
      </c>
      <c r="U253" t="s">
        <v>717</v>
      </c>
      <c r="V253" t="s">
        <v>717</v>
      </c>
      <c r="W253">
        <v>44119</v>
      </c>
      <c r="X253" t="s">
        <v>3559</v>
      </c>
      <c r="Y253" t="s">
        <v>6</v>
      </c>
      <c r="Z253" t="s">
        <v>17</v>
      </c>
      <c r="AA253" t="s">
        <v>717</v>
      </c>
      <c r="AB253" t="s">
        <v>2509</v>
      </c>
      <c r="AC253" t="s">
        <v>2571</v>
      </c>
      <c r="AD253" t="s">
        <v>717</v>
      </c>
      <c r="AE253" t="s">
        <v>3560</v>
      </c>
      <c r="AF253" t="s">
        <v>3561</v>
      </c>
      <c r="AG253" t="s">
        <v>3562</v>
      </c>
      <c r="AH253" t="s">
        <v>2191</v>
      </c>
      <c r="AI253" t="s">
        <v>2552</v>
      </c>
      <c r="AJ253" t="s">
        <v>2514</v>
      </c>
      <c r="AK253" t="s">
        <v>77</v>
      </c>
      <c r="AL253" t="s">
        <v>16</v>
      </c>
      <c r="AM253" t="s">
        <v>10</v>
      </c>
      <c r="AN253" t="s">
        <v>717</v>
      </c>
    </row>
    <row r="254" spans="1:40" hidden="1">
      <c r="A254">
        <v>252</v>
      </c>
      <c r="B254">
        <v>24</v>
      </c>
      <c r="C254" s="58">
        <v>44132</v>
      </c>
      <c r="D254" t="s">
        <v>74</v>
      </c>
      <c r="E254" t="s">
        <v>2506</v>
      </c>
      <c r="F254">
        <v>2</v>
      </c>
      <c r="G254">
        <v>14</v>
      </c>
      <c r="H254">
        <v>236</v>
      </c>
      <c r="I254">
        <v>1</v>
      </c>
      <c r="J254">
        <v>40.39</v>
      </c>
      <c r="K254" t="s">
        <v>9</v>
      </c>
      <c r="L254">
        <v>2165210.56</v>
      </c>
      <c r="M254">
        <v>0</v>
      </c>
      <c r="N254">
        <v>2165210.56</v>
      </c>
      <c r="O254">
        <v>53607.589997524141</v>
      </c>
      <c r="P254">
        <v>20195</v>
      </c>
      <c r="Q254">
        <v>2145015.56</v>
      </c>
      <c r="R254">
        <v>53107.589997524141</v>
      </c>
      <c r="S254" t="s">
        <v>65</v>
      </c>
      <c r="T254" t="s">
        <v>717</v>
      </c>
      <c r="U254" t="s">
        <v>717</v>
      </c>
      <c r="V254" t="s">
        <v>717</v>
      </c>
      <c r="W254">
        <v>44126</v>
      </c>
      <c r="X254" t="s">
        <v>3563</v>
      </c>
      <c r="Y254" t="s">
        <v>6</v>
      </c>
      <c r="Z254" t="s">
        <v>17</v>
      </c>
      <c r="AA254" t="s">
        <v>717</v>
      </c>
      <c r="AB254" t="s">
        <v>2509</v>
      </c>
      <c r="AC254" t="s">
        <v>2571</v>
      </c>
      <c r="AD254" t="s">
        <v>717</v>
      </c>
      <c r="AE254" t="s">
        <v>3564</v>
      </c>
      <c r="AF254" t="s">
        <v>3565</v>
      </c>
      <c r="AG254" t="s">
        <v>3566</v>
      </c>
      <c r="AH254" t="s">
        <v>2191</v>
      </c>
      <c r="AI254" t="s">
        <v>2552</v>
      </c>
      <c r="AJ254" t="s">
        <v>2514</v>
      </c>
      <c r="AK254" t="s">
        <v>20</v>
      </c>
      <c r="AL254" t="s">
        <v>16</v>
      </c>
      <c r="AM254" t="s">
        <v>10</v>
      </c>
      <c r="AN254" t="s">
        <v>717</v>
      </c>
    </row>
    <row r="255" spans="1:40" hidden="1">
      <c r="A255">
        <v>253</v>
      </c>
      <c r="B255">
        <v>25</v>
      </c>
      <c r="C255" s="58">
        <v>44132</v>
      </c>
      <c r="D255" t="s">
        <v>74</v>
      </c>
      <c r="E255" t="s">
        <v>2506</v>
      </c>
      <c r="F255">
        <v>3</v>
      </c>
      <c r="G255">
        <v>9</v>
      </c>
      <c r="H255">
        <v>202</v>
      </c>
      <c r="I255">
        <v>1</v>
      </c>
      <c r="J255">
        <v>41.48</v>
      </c>
      <c r="K255" t="s">
        <v>9</v>
      </c>
      <c r="L255">
        <v>2184827.09</v>
      </c>
      <c r="M255">
        <v>0</v>
      </c>
      <c r="N255">
        <v>2184827.09</v>
      </c>
      <c r="O255">
        <v>52671.819913211184</v>
      </c>
      <c r="P255">
        <v>20740</v>
      </c>
      <c r="Q255">
        <v>2164087.09</v>
      </c>
      <c r="R255">
        <v>52171.819913211184</v>
      </c>
      <c r="S255" t="s">
        <v>130</v>
      </c>
      <c r="T255" t="s">
        <v>717</v>
      </c>
      <c r="U255" t="s">
        <v>717</v>
      </c>
      <c r="V255" t="s">
        <v>717</v>
      </c>
      <c r="W255">
        <v>44135</v>
      </c>
      <c r="X255" t="s">
        <v>3567</v>
      </c>
      <c r="Y255" t="s">
        <v>6</v>
      </c>
      <c r="Z255" t="s">
        <v>11</v>
      </c>
      <c r="AA255" t="s">
        <v>717</v>
      </c>
      <c r="AB255" t="s">
        <v>2509</v>
      </c>
      <c r="AC255" t="s">
        <v>118</v>
      </c>
      <c r="AD255" t="s">
        <v>717</v>
      </c>
      <c r="AE255" t="s">
        <v>3568</v>
      </c>
      <c r="AF255" t="s">
        <v>3569</v>
      </c>
      <c r="AG255" t="s">
        <v>3570</v>
      </c>
      <c r="AH255" t="s">
        <v>2615</v>
      </c>
      <c r="AI255" t="s">
        <v>2552</v>
      </c>
      <c r="AJ255" t="s">
        <v>2793</v>
      </c>
      <c r="AK255" t="s">
        <v>63</v>
      </c>
      <c r="AL255" t="s">
        <v>717</v>
      </c>
      <c r="AM255" t="s">
        <v>10</v>
      </c>
      <c r="AN255" t="s">
        <v>717</v>
      </c>
    </row>
    <row r="256" spans="1:40" hidden="1">
      <c r="A256">
        <v>254</v>
      </c>
      <c r="B256">
        <v>26</v>
      </c>
      <c r="C256" s="58">
        <v>44133</v>
      </c>
      <c r="D256" t="s">
        <v>74</v>
      </c>
      <c r="E256" t="s">
        <v>2506</v>
      </c>
      <c r="F256">
        <v>3</v>
      </c>
      <c r="G256">
        <v>3</v>
      </c>
      <c r="H256">
        <v>160</v>
      </c>
      <c r="I256">
        <v>1</v>
      </c>
      <c r="J256">
        <v>41.48</v>
      </c>
      <c r="K256" t="s">
        <v>9</v>
      </c>
      <c r="L256">
        <v>2074070.93</v>
      </c>
      <c r="M256">
        <v>15000</v>
      </c>
      <c r="N256">
        <v>2089070.93</v>
      </c>
      <c r="O256">
        <v>50363.330038572807</v>
      </c>
      <c r="P256">
        <v>20740</v>
      </c>
      <c r="Q256">
        <v>2068330.93</v>
      </c>
      <c r="R256">
        <v>49863.330038572807</v>
      </c>
      <c r="S256" t="s">
        <v>65</v>
      </c>
      <c r="T256" t="s">
        <v>717</v>
      </c>
      <c r="U256" t="s">
        <v>717</v>
      </c>
      <c r="V256" t="s">
        <v>717</v>
      </c>
      <c r="W256">
        <v>44133</v>
      </c>
      <c r="X256" t="s">
        <v>3571</v>
      </c>
      <c r="Y256" t="s">
        <v>6</v>
      </c>
      <c r="Z256" t="s">
        <v>17</v>
      </c>
      <c r="AA256" t="s">
        <v>717</v>
      </c>
      <c r="AB256" t="s">
        <v>2509</v>
      </c>
      <c r="AC256" t="s">
        <v>2571</v>
      </c>
      <c r="AD256" t="s">
        <v>717</v>
      </c>
      <c r="AE256" t="s">
        <v>3572</v>
      </c>
      <c r="AF256" t="s">
        <v>3573</v>
      </c>
      <c r="AG256" t="s">
        <v>3574</v>
      </c>
      <c r="AH256" t="s">
        <v>2615</v>
      </c>
      <c r="AI256" t="s">
        <v>2552</v>
      </c>
      <c r="AJ256" t="s">
        <v>2642</v>
      </c>
      <c r="AK256" t="s">
        <v>63</v>
      </c>
      <c r="AL256" t="s">
        <v>2663</v>
      </c>
      <c r="AM256" t="s">
        <v>10</v>
      </c>
      <c r="AN256" t="s">
        <v>717</v>
      </c>
    </row>
    <row r="257" spans="1:40" hidden="1">
      <c r="A257">
        <v>255</v>
      </c>
      <c r="B257">
        <v>27</v>
      </c>
      <c r="C257" s="58">
        <v>44133</v>
      </c>
      <c r="D257" t="s">
        <v>74</v>
      </c>
      <c r="E257" t="s">
        <v>2515</v>
      </c>
      <c r="F257">
        <v>2</v>
      </c>
      <c r="G257">
        <v>7</v>
      </c>
      <c r="H257">
        <v>52</v>
      </c>
      <c r="I257">
        <v>0</v>
      </c>
      <c r="J257">
        <v>31.88</v>
      </c>
      <c r="K257" t="s">
        <v>9</v>
      </c>
      <c r="L257">
        <v>1897096.55</v>
      </c>
      <c r="M257">
        <v>0</v>
      </c>
      <c r="N257">
        <v>1897096.55</v>
      </c>
      <c r="O257">
        <v>59507.420012547052</v>
      </c>
      <c r="P257">
        <v>15940</v>
      </c>
      <c r="Q257">
        <v>1881156.55</v>
      </c>
      <c r="R257">
        <v>59007.420012547052</v>
      </c>
      <c r="S257" t="s">
        <v>65</v>
      </c>
      <c r="T257" t="s">
        <v>717</v>
      </c>
      <c r="U257" t="s">
        <v>717</v>
      </c>
      <c r="V257" t="s">
        <v>717</v>
      </c>
      <c r="W257">
        <v>44133</v>
      </c>
      <c r="X257" t="s">
        <v>3575</v>
      </c>
      <c r="Y257" t="s">
        <v>6</v>
      </c>
      <c r="Z257" t="s">
        <v>17</v>
      </c>
      <c r="AA257" t="s">
        <v>717</v>
      </c>
      <c r="AB257" t="s">
        <v>2509</v>
      </c>
      <c r="AC257" t="s">
        <v>2571</v>
      </c>
      <c r="AD257" t="s">
        <v>717</v>
      </c>
      <c r="AE257" t="s">
        <v>3576</v>
      </c>
      <c r="AF257" t="s">
        <v>3577</v>
      </c>
      <c r="AG257" t="s">
        <v>3578</v>
      </c>
      <c r="AH257" t="s">
        <v>2616</v>
      </c>
      <c r="AI257" t="s">
        <v>2552</v>
      </c>
      <c r="AJ257" t="s">
        <v>3185</v>
      </c>
      <c r="AK257" t="s">
        <v>73</v>
      </c>
      <c r="AL257" t="s">
        <v>16</v>
      </c>
      <c r="AM257" t="s">
        <v>10</v>
      </c>
      <c r="AN257" t="s">
        <v>717</v>
      </c>
    </row>
    <row r="258" spans="1:40" hidden="1">
      <c r="A258">
        <v>256</v>
      </c>
      <c r="B258">
        <v>28</v>
      </c>
      <c r="C258" s="58">
        <v>44134</v>
      </c>
      <c r="D258" t="s">
        <v>74</v>
      </c>
      <c r="E258" t="s">
        <v>2515</v>
      </c>
      <c r="F258">
        <v>4</v>
      </c>
      <c r="G258">
        <v>9</v>
      </c>
      <c r="H258">
        <v>74</v>
      </c>
      <c r="I258">
        <v>3</v>
      </c>
      <c r="J258">
        <v>80.33</v>
      </c>
      <c r="K258" t="s">
        <v>15</v>
      </c>
      <c r="L258">
        <v>4222367.3099999996</v>
      </c>
      <c r="M258">
        <v>0</v>
      </c>
      <c r="N258">
        <v>4222367.3099999996</v>
      </c>
      <c r="O258">
        <v>52562.769948960537</v>
      </c>
      <c r="P258">
        <v>377551</v>
      </c>
      <c r="Q258">
        <v>3844816.31</v>
      </c>
      <c r="R258">
        <v>47862.769948960537</v>
      </c>
      <c r="S258" t="s">
        <v>65</v>
      </c>
      <c r="T258" t="s">
        <v>717</v>
      </c>
      <c r="U258" t="s">
        <v>717</v>
      </c>
      <c r="V258" t="s">
        <v>717</v>
      </c>
      <c r="W258">
        <v>44134</v>
      </c>
      <c r="X258" t="s">
        <v>3579</v>
      </c>
      <c r="Y258" t="s">
        <v>6</v>
      </c>
      <c r="Z258" t="s">
        <v>17</v>
      </c>
      <c r="AA258" t="s">
        <v>717</v>
      </c>
      <c r="AB258" t="s">
        <v>2509</v>
      </c>
      <c r="AC258" t="s">
        <v>2571</v>
      </c>
      <c r="AD258" t="s">
        <v>717</v>
      </c>
      <c r="AE258" t="s">
        <v>3580</v>
      </c>
      <c r="AF258" t="s">
        <v>3581</v>
      </c>
      <c r="AG258" t="s">
        <v>3582</v>
      </c>
      <c r="AH258" t="s">
        <v>2616</v>
      </c>
      <c r="AI258" t="s">
        <v>2552</v>
      </c>
      <c r="AJ258" t="s">
        <v>2642</v>
      </c>
      <c r="AK258" t="s">
        <v>20</v>
      </c>
      <c r="AL258" t="s">
        <v>2663</v>
      </c>
      <c r="AM258" t="s">
        <v>10</v>
      </c>
      <c r="AN258" t="s">
        <v>717</v>
      </c>
    </row>
    <row r="259" spans="1:40" hidden="1">
      <c r="A259">
        <v>257</v>
      </c>
      <c r="B259">
        <v>29</v>
      </c>
      <c r="C259" s="58">
        <v>44134</v>
      </c>
      <c r="D259" t="s">
        <v>74</v>
      </c>
      <c r="E259" t="s">
        <v>2515</v>
      </c>
      <c r="F259">
        <v>7</v>
      </c>
      <c r="G259">
        <v>6</v>
      </c>
      <c r="H259">
        <v>47</v>
      </c>
      <c r="I259">
        <v>1</v>
      </c>
      <c r="J259">
        <v>42.32</v>
      </c>
      <c r="K259" t="s">
        <v>15</v>
      </c>
      <c r="L259">
        <v>2175124.59</v>
      </c>
      <c r="M259">
        <v>0</v>
      </c>
      <c r="N259">
        <v>2175124.59</v>
      </c>
      <c r="O259">
        <v>51397.083884688087</v>
      </c>
      <c r="P259">
        <v>198904</v>
      </c>
      <c r="Q259">
        <v>1976220.59</v>
      </c>
      <c r="R259">
        <v>46697.083884688087</v>
      </c>
      <c r="S259" t="s">
        <v>65</v>
      </c>
      <c r="T259" t="s">
        <v>717</v>
      </c>
      <c r="U259" t="s">
        <v>717</v>
      </c>
      <c r="V259" t="s">
        <v>717</v>
      </c>
      <c r="W259">
        <v>44134</v>
      </c>
      <c r="X259" t="s">
        <v>3583</v>
      </c>
      <c r="Y259" t="s">
        <v>6</v>
      </c>
      <c r="Z259" t="s">
        <v>17</v>
      </c>
      <c r="AA259" t="s">
        <v>717</v>
      </c>
      <c r="AB259" t="s">
        <v>2509</v>
      </c>
      <c r="AC259" t="s">
        <v>2571</v>
      </c>
      <c r="AD259" t="s">
        <v>717</v>
      </c>
      <c r="AE259" t="s">
        <v>3584</v>
      </c>
      <c r="AF259" t="s">
        <v>3585</v>
      </c>
      <c r="AG259" t="s">
        <v>3586</v>
      </c>
      <c r="AH259" t="s">
        <v>2191</v>
      </c>
      <c r="AI259" t="s">
        <v>2802</v>
      </c>
      <c r="AJ259" t="s">
        <v>2651</v>
      </c>
      <c r="AK259" t="s">
        <v>20</v>
      </c>
      <c r="AL259" t="s">
        <v>2663</v>
      </c>
      <c r="AM259" t="s">
        <v>10</v>
      </c>
      <c r="AN259" t="s">
        <v>717</v>
      </c>
    </row>
    <row r="260" spans="1:40" hidden="1">
      <c r="A260">
        <v>258</v>
      </c>
      <c r="B260">
        <v>30</v>
      </c>
      <c r="C260" s="58">
        <v>44135</v>
      </c>
      <c r="D260" t="s">
        <v>74</v>
      </c>
      <c r="E260" t="s">
        <v>2506</v>
      </c>
      <c r="F260">
        <v>7</v>
      </c>
      <c r="G260">
        <v>15</v>
      </c>
      <c r="H260">
        <v>248</v>
      </c>
      <c r="I260">
        <v>2</v>
      </c>
      <c r="J260">
        <v>63.74</v>
      </c>
      <c r="K260" t="s">
        <v>15</v>
      </c>
      <c r="L260">
        <v>3455700.37</v>
      </c>
      <c r="M260">
        <v>15000</v>
      </c>
      <c r="N260">
        <v>3470700.37</v>
      </c>
      <c r="O260">
        <v>54450.900062754939</v>
      </c>
      <c r="P260">
        <v>299578</v>
      </c>
      <c r="Q260">
        <v>3171122.37</v>
      </c>
      <c r="R260">
        <v>49750.900062754939</v>
      </c>
      <c r="S260" t="s">
        <v>65</v>
      </c>
      <c r="T260" t="s">
        <v>717</v>
      </c>
      <c r="U260" t="s">
        <v>717</v>
      </c>
      <c r="V260" t="s">
        <v>717</v>
      </c>
      <c r="W260">
        <v>44135</v>
      </c>
      <c r="X260" t="s">
        <v>3587</v>
      </c>
      <c r="Y260" t="s">
        <v>6</v>
      </c>
      <c r="Z260" t="s">
        <v>17</v>
      </c>
      <c r="AA260" t="s">
        <v>717</v>
      </c>
      <c r="AB260" t="s">
        <v>2509</v>
      </c>
      <c r="AC260" t="s">
        <v>2571</v>
      </c>
      <c r="AD260" t="s">
        <v>717</v>
      </c>
      <c r="AE260" t="s">
        <v>3588</v>
      </c>
      <c r="AF260" t="s">
        <v>3589</v>
      </c>
      <c r="AG260" t="s">
        <v>3590</v>
      </c>
      <c r="AH260" t="s">
        <v>2615</v>
      </c>
      <c r="AI260" t="s">
        <v>2552</v>
      </c>
      <c r="AJ260" t="s">
        <v>2642</v>
      </c>
      <c r="AK260" t="s">
        <v>63</v>
      </c>
      <c r="AL260" t="s">
        <v>16</v>
      </c>
      <c r="AM260" t="s">
        <v>10</v>
      </c>
      <c r="AN260" t="s">
        <v>717</v>
      </c>
    </row>
    <row r="261" spans="1:40" hidden="1">
      <c r="A261">
        <v>259</v>
      </c>
      <c r="B261">
        <v>31</v>
      </c>
      <c r="C261" s="58">
        <v>44135</v>
      </c>
      <c r="D261" t="s">
        <v>74</v>
      </c>
      <c r="E261" t="s">
        <v>2506</v>
      </c>
      <c r="F261">
        <v>4</v>
      </c>
      <c r="G261">
        <v>11</v>
      </c>
      <c r="H261">
        <v>217</v>
      </c>
      <c r="I261">
        <v>1</v>
      </c>
      <c r="J261">
        <v>40.58</v>
      </c>
      <c r="K261" t="s">
        <v>15</v>
      </c>
      <c r="L261">
        <v>2303709.9500000002</v>
      </c>
      <c r="M261">
        <v>15000</v>
      </c>
      <c r="N261">
        <v>2318709.9500000002</v>
      </c>
      <c r="O261">
        <v>57139.229916214899</v>
      </c>
      <c r="P261">
        <v>190726</v>
      </c>
      <c r="Q261">
        <v>2127983.9500000002</v>
      </c>
      <c r="R261">
        <v>52439.229916214899</v>
      </c>
      <c r="S261" t="s">
        <v>130</v>
      </c>
      <c r="T261" t="s">
        <v>717</v>
      </c>
      <c r="U261" t="s">
        <v>717</v>
      </c>
      <c r="V261" t="s">
        <v>717</v>
      </c>
      <c r="W261">
        <v>44118</v>
      </c>
      <c r="X261" t="s">
        <v>3591</v>
      </c>
      <c r="Y261" t="s">
        <v>6</v>
      </c>
      <c r="Z261" t="s">
        <v>17</v>
      </c>
      <c r="AA261" t="s">
        <v>717</v>
      </c>
      <c r="AB261" t="s">
        <v>2509</v>
      </c>
      <c r="AC261" t="s">
        <v>118</v>
      </c>
      <c r="AD261" t="s">
        <v>717</v>
      </c>
      <c r="AE261" t="s">
        <v>3592</v>
      </c>
      <c r="AF261" t="s">
        <v>3593</v>
      </c>
      <c r="AG261" t="s">
        <v>3594</v>
      </c>
      <c r="AH261" t="s">
        <v>2191</v>
      </c>
      <c r="AI261" t="s">
        <v>3595</v>
      </c>
      <c r="AJ261" t="s">
        <v>2793</v>
      </c>
      <c r="AK261" t="s">
        <v>63</v>
      </c>
      <c r="AL261" t="s">
        <v>717</v>
      </c>
      <c r="AM261" t="s">
        <v>10</v>
      </c>
      <c r="AN261" t="s">
        <v>717</v>
      </c>
    </row>
    <row r="262" spans="1:40" hidden="1">
      <c r="A262">
        <v>260</v>
      </c>
      <c r="B262">
        <v>1</v>
      </c>
      <c r="C262" s="58">
        <v>44144</v>
      </c>
      <c r="D262" t="s">
        <v>74</v>
      </c>
      <c r="E262" t="s">
        <v>2581</v>
      </c>
      <c r="F262">
        <v>3</v>
      </c>
      <c r="G262">
        <v>4</v>
      </c>
      <c r="H262">
        <v>330</v>
      </c>
      <c r="I262">
        <v>1</v>
      </c>
      <c r="J262">
        <v>41.9</v>
      </c>
      <c r="K262" t="s">
        <v>9</v>
      </c>
      <c r="L262">
        <v>1676000</v>
      </c>
      <c r="M262">
        <v>0</v>
      </c>
      <c r="N262">
        <v>1676000</v>
      </c>
      <c r="O262">
        <v>40000</v>
      </c>
      <c r="P262">
        <v>20950</v>
      </c>
      <c r="Q262">
        <v>1655050</v>
      </c>
      <c r="R262">
        <v>39500</v>
      </c>
      <c r="S262" t="s">
        <v>2507</v>
      </c>
      <c r="T262" t="s">
        <v>717</v>
      </c>
      <c r="U262" t="s">
        <v>717</v>
      </c>
      <c r="V262" t="s">
        <v>717</v>
      </c>
      <c r="W262">
        <v>44144</v>
      </c>
      <c r="X262" t="s">
        <v>3596</v>
      </c>
      <c r="Y262" t="s">
        <v>6</v>
      </c>
      <c r="Z262" t="s">
        <v>11</v>
      </c>
      <c r="AA262" t="s">
        <v>717</v>
      </c>
      <c r="AB262" t="s">
        <v>2509</v>
      </c>
      <c r="AC262" t="s">
        <v>118</v>
      </c>
      <c r="AD262" t="s">
        <v>717</v>
      </c>
      <c r="AE262" t="s">
        <v>3597</v>
      </c>
      <c r="AF262" t="s">
        <v>3598</v>
      </c>
      <c r="AG262" t="s">
        <v>3599</v>
      </c>
      <c r="AH262" t="s">
        <v>2191</v>
      </c>
      <c r="AI262" t="s">
        <v>2802</v>
      </c>
      <c r="AJ262" t="s">
        <v>2514</v>
      </c>
      <c r="AK262" t="s">
        <v>20</v>
      </c>
      <c r="AL262" t="s">
        <v>717</v>
      </c>
      <c r="AM262" t="s">
        <v>10</v>
      </c>
      <c r="AN262" t="s">
        <v>717</v>
      </c>
    </row>
    <row r="263" spans="1:40" hidden="1">
      <c r="A263">
        <v>261</v>
      </c>
      <c r="B263">
        <v>2</v>
      </c>
      <c r="C263" s="58">
        <v>44145</v>
      </c>
      <c r="D263" t="s">
        <v>74</v>
      </c>
      <c r="E263" t="s">
        <v>2515</v>
      </c>
      <c r="F263">
        <v>8</v>
      </c>
      <c r="G263">
        <v>13</v>
      </c>
      <c r="H263">
        <v>118</v>
      </c>
      <c r="I263">
        <v>1</v>
      </c>
      <c r="J263">
        <v>47.97</v>
      </c>
      <c r="K263" t="s">
        <v>9</v>
      </c>
      <c r="L263">
        <v>2497355.14</v>
      </c>
      <c r="M263">
        <v>0</v>
      </c>
      <c r="N263">
        <v>2497355.14</v>
      </c>
      <c r="O263">
        <v>52060.770064623728</v>
      </c>
      <c r="P263">
        <v>23985</v>
      </c>
      <c r="Q263">
        <v>2473370.14</v>
      </c>
      <c r="R263">
        <v>51560.770064623728</v>
      </c>
      <c r="S263" t="s">
        <v>65</v>
      </c>
      <c r="T263" t="s">
        <v>717</v>
      </c>
      <c r="U263" t="s">
        <v>717</v>
      </c>
      <c r="V263" t="s">
        <v>717</v>
      </c>
      <c r="W263">
        <v>44138</v>
      </c>
      <c r="X263" t="s">
        <v>3600</v>
      </c>
      <c r="Y263" t="s">
        <v>6</v>
      </c>
      <c r="Z263" t="s">
        <v>17</v>
      </c>
      <c r="AA263" t="s">
        <v>717</v>
      </c>
      <c r="AB263" t="s">
        <v>2509</v>
      </c>
      <c r="AC263" t="s">
        <v>2571</v>
      </c>
      <c r="AD263" t="s">
        <v>717</v>
      </c>
      <c r="AE263" t="s">
        <v>3601</v>
      </c>
      <c r="AF263" t="s">
        <v>3602</v>
      </c>
      <c r="AG263" t="s">
        <v>3603</v>
      </c>
      <c r="AH263" t="s">
        <v>2552</v>
      </c>
      <c r="AI263" t="s">
        <v>2547</v>
      </c>
      <c r="AJ263" t="s">
        <v>2514</v>
      </c>
      <c r="AK263" t="s">
        <v>20</v>
      </c>
      <c r="AL263" t="s">
        <v>16</v>
      </c>
      <c r="AM263" t="s">
        <v>10</v>
      </c>
      <c r="AN263" t="s">
        <v>717</v>
      </c>
    </row>
    <row r="264" spans="1:40" hidden="1">
      <c r="A264">
        <v>262</v>
      </c>
      <c r="B264">
        <v>3</v>
      </c>
      <c r="C264" s="58">
        <v>44145</v>
      </c>
      <c r="D264" t="s">
        <v>74</v>
      </c>
      <c r="E264" t="s">
        <v>2515</v>
      </c>
      <c r="F264">
        <v>2</v>
      </c>
      <c r="G264">
        <v>5</v>
      </c>
      <c r="H264">
        <v>32</v>
      </c>
      <c r="I264">
        <v>0</v>
      </c>
      <c r="J264">
        <v>31.88</v>
      </c>
      <c r="K264" t="s">
        <v>9</v>
      </c>
      <c r="L264">
        <v>1930391.38</v>
      </c>
      <c r="M264">
        <v>0</v>
      </c>
      <c r="N264">
        <v>1930391.38</v>
      </c>
      <c r="O264">
        <v>60551.799874529483</v>
      </c>
      <c r="P264">
        <v>15940</v>
      </c>
      <c r="Q264">
        <v>1914451.38</v>
      </c>
      <c r="R264">
        <v>60051.799874529483</v>
      </c>
      <c r="S264" t="s">
        <v>65</v>
      </c>
      <c r="T264" t="s">
        <v>717</v>
      </c>
      <c r="U264" t="s">
        <v>717</v>
      </c>
      <c r="V264" t="s">
        <v>717</v>
      </c>
      <c r="W264">
        <v>44141</v>
      </c>
      <c r="X264" t="s">
        <v>3604</v>
      </c>
      <c r="Y264" t="s">
        <v>6</v>
      </c>
      <c r="Z264" t="s">
        <v>17</v>
      </c>
      <c r="AA264" t="s">
        <v>717</v>
      </c>
      <c r="AB264" t="s">
        <v>2509</v>
      </c>
      <c r="AC264" t="s">
        <v>2571</v>
      </c>
      <c r="AD264" t="s">
        <v>717</v>
      </c>
      <c r="AE264" t="s">
        <v>3605</v>
      </c>
      <c r="AF264" t="s">
        <v>3606</v>
      </c>
      <c r="AG264" t="s">
        <v>3607</v>
      </c>
      <c r="AH264" t="s">
        <v>2615</v>
      </c>
      <c r="AI264" t="s">
        <v>2552</v>
      </c>
      <c r="AJ264" t="s">
        <v>2514</v>
      </c>
      <c r="AK264" t="s">
        <v>63</v>
      </c>
      <c r="AL264" t="s">
        <v>16</v>
      </c>
      <c r="AM264" t="s">
        <v>10</v>
      </c>
      <c r="AN264" t="s">
        <v>717</v>
      </c>
    </row>
    <row r="265" spans="1:40" hidden="1">
      <c r="A265">
        <v>263</v>
      </c>
      <c r="B265">
        <v>4</v>
      </c>
      <c r="C265" s="58">
        <v>44148</v>
      </c>
      <c r="D265" t="s">
        <v>74</v>
      </c>
      <c r="E265" t="s">
        <v>2506</v>
      </c>
      <c r="F265">
        <v>1</v>
      </c>
      <c r="G265">
        <v>17</v>
      </c>
      <c r="H265">
        <v>256</v>
      </c>
      <c r="I265">
        <v>3</v>
      </c>
      <c r="J265">
        <v>89.56</v>
      </c>
      <c r="K265" t="s">
        <v>9</v>
      </c>
      <c r="L265">
        <v>4444104.2300000004</v>
      </c>
      <c r="M265">
        <v>0</v>
      </c>
      <c r="N265">
        <v>4444104.2300000004</v>
      </c>
      <c r="O265">
        <v>49621.53003573024</v>
      </c>
      <c r="P265">
        <v>44780</v>
      </c>
      <c r="Q265">
        <v>4399324.2300000004</v>
      </c>
      <c r="R265">
        <v>49121.53003573024</v>
      </c>
      <c r="S265" t="s">
        <v>65</v>
      </c>
      <c r="T265" t="s">
        <v>717</v>
      </c>
      <c r="U265" t="s">
        <v>717</v>
      </c>
      <c r="V265" t="s">
        <v>717</v>
      </c>
      <c r="W265">
        <v>44136</v>
      </c>
      <c r="X265" t="s">
        <v>3608</v>
      </c>
      <c r="Y265" t="s">
        <v>6</v>
      </c>
      <c r="Z265" t="s">
        <v>17</v>
      </c>
      <c r="AA265" t="s">
        <v>717</v>
      </c>
      <c r="AB265" t="s">
        <v>2509</v>
      </c>
      <c r="AC265" t="s">
        <v>2571</v>
      </c>
      <c r="AD265" t="s">
        <v>717</v>
      </c>
      <c r="AE265" t="s">
        <v>3609</v>
      </c>
      <c r="AF265" t="s">
        <v>3610</v>
      </c>
      <c r="AG265" t="s">
        <v>3611</v>
      </c>
      <c r="AH265" t="s">
        <v>2552</v>
      </c>
      <c r="AI265" t="s">
        <v>2688</v>
      </c>
      <c r="AJ265" t="s">
        <v>3289</v>
      </c>
      <c r="AK265" t="s">
        <v>2532</v>
      </c>
      <c r="AL265" t="s">
        <v>16</v>
      </c>
      <c r="AM265" t="s">
        <v>10</v>
      </c>
      <c r="AN265" t="s">
        <v>717</v>
      </c>
    </row>
    <row r="266" spans="1:40" hidden="1">
      <c r="A266">
        <v>264</v>
      </c>
      <c r="B266">
        <v>5</v>
      </c>
      <c r="C266" s="58">
        <v>44148</v>
      </c>
      <c r="D266" t="s">
        <v>74</v>
      </c>
      <c r="E266" t="s">
        <v>2515</v>
      </c>
      <c r="F266">
        <v>2</v>
      </c>
      <c r="G266">
        <v>13</v>
      </c>
      <c r="H266">
        <v>112</v>
      </c>
      <c r="I266">
        <v>0</v>
      </c>
      <c r="J266">
        <v>31.88</v>
      </c>
      <c r="K266" t="s">
        <v>9</v>
      </c>
      <c r="L266">
        <v>1930391.38</v>
      </c>
      <c r="M266">
        <v>0</v>
      </c>
      <c r="N266">
        <v>1930391.38</v>
      </c>
      <c r="O266">
        <v>60551.799874529483</v>
      </c>
      <c r="P266">
        <v>15940</v>
      </c>
      <c r="Q266">
        <v>1914451.38</v>
      </c>
      <c r="R266">
        <v>60051.799874529483</v>
      </c>
      <c r="S266" t="s">
        <v>2507</v>
      </c>
      <c r="T266" t="s">
        <v>717</v>
      </c>
      <c r="U266" t="s">
        <v>717</v>
      </c>
      <c r="V266" t="s">
        <v>717</v>
      </c>
      <c r="W266">
        <v>44143</v>
      </c>
      <c r="X266" t="s">
        <v>3612</v>
      </c>
      <c r="Y266" t="s">
        <v>6</v>
      </c>
      <c r="Z266" t="s">
        <v>17</v>
      </c>
      <c r="AA266" t="s">
        <v>717</v>
      </c>
      <c r="AB266" t="s">
        <v>2509</v>
      </c>
      <c r="AC266" t="s">
        <v>118</v>
      </c>
      <c r="AD266" t="s">
        <v>717</v>
      </c>
      <c r="AE266" t="s">
        <v>3613</v>
      </c>
      <c r="AF266" t="s">
        <v>3614</v>
      </c>
      <c r="AG266" t="s">
        <v>3615</v>
      </c>
      <c r="AH266" t="s">
        <v>2615</v>
      </c>
      <c r="AI266" t="s">
        <v>2552</v>
      </c>
      <c r="AJ266" t="s">
        <v>2514</v>
      </c>
      <c r="AK266" t="s">
        <v>73</v>
      </c>
      <c r="AL266" t="s">
        <v>717</v>
      </c>
      <c r="AM266" t="s">
        <v>10</v>
      </c>
      <c r="AN266" t="s">
        <v>717</v>
      </c>
    </row>
    <row r="267" spans="1:40" hidden="1">
      <c r="A267">
        <v>265</v>
      </c>
      <c r="B267">
        <v>6</v>
      </c>
      <c r="C267" s="58">
        <v>44151</v>
      </c>
      <c r="D267" t="s">
        <v>74</v>
      </c>
      <c r="E267" t="s">
        <v>2506</v>
      </c>
      <c r="F267">
        <v>2</v>
      </c>
      <c r="G267">
        <v>5</v>
      </c>
      <c r="H267">
        <v>173</v>
      </c>
      <c r="I267">
        <v>1</v>
      </c>
      <c r="J267">
        <v>40.39</v>
      </c>
      <c r="K267" t="s">
        <v>9</v>
      </c>
      <c r="L267">
        <v>2203175.54</v>
      </c>
      <c r="M267">
        <v>0</v>
      </c>
      <c r="N267">
        <v>2203175.54</v>
      </c>
      <c r="O267">
        <v>54547.549888586283</v>
      </c>
      <c r="P267">
        <v>20195</v>
      </c>
      <c r="Q267">
        <v>2182980.54</v>
      </c>
      <c r="R267">
        <v>54047.549888586283</v>
      </c>
      <c r="S267" t="s">
        <v>65</v>
      </c>
      <c r="T267" t="s">
        <v>717</v>
      </c>
      <c r="U267" t="s">
        <v>717</v>
      </c>
      <c r="V267" t="s">
        <v>717</v>
      </c>
      <c r="W267">
        <v>44145</v>
      </c>
      <c r="X267" t="s">
        <v>3616</v>
      </c>
      <c r="Y267" t="s">
        <v>6</v>
      </c>
      <c r="Z267" t="s">
        <v>17</v>
      </c>
      <c r="AA267" t="s">
        <v>717</v>
      </c>
      <c r="AB267" t="s">
        <v>2509</v>
      </c>
      <c r="AC267" t="s">
        <v>2571</v>
      </c>
      <c r="AD267" t="s">
        <v>717</v>
      </c>
      <c r="AE267" t="s">
        <v>3617</v>
      </c>
      <c r="AF267" t="s">
        <v>3618</v>
      </c>
      <c r="AG267" t="s">
        <v>3619</v>
      </c>
      <c r="AH267" t="s">
        <v>2191</v>
      </c>
      <c r="AI267" t="s">
        <v>2538</v>
      </c>
      <c r="AJ267" t="s">
        <v>2514</v>
      </c>
      <c r="AK267" t="s">
        <v>73</v>
      </c>
      <c r="AL267" t="s">
        <v>16</v>
      </c>
      <c r="AM267" t="s">
        <v>10</v>
      </c>
      <c r="AN267" t="s">
        <v>717</v>
      </c>
    </row>
    <row r="268" spans="1:40" hidden="1">
      <c r="A268">
        <v>266</v>
      </c>
      <c r="B268">
        <v>7</v>
      </c>
      <c r="C268" s="58">
        <v>44152</v>
      </c>
      <c r="D268" t="s">
        <v>74</v>
      </c>
      <c r="E268" t="s">
        <v>2515</v>
      </c>
      <c r="F268">
        <v>2</v>
      </c>
      <c r="G268">
        <v>10</v>
      </c>
      <c r="H268">
        <v>82</v>
      </c>
      <c r="I268">
        <v>0</v>
      </c>
      <c r="J268">
        <v>31.88</v>
      </c>
      <c r="K268" t="s">
        <v>25</v>
      </c>
      <c r="L268">
        <v>2149557.7599999998</v>
      </c>
      <c r="M268">
        <v>0</v>
      </c>
      <c r="N268">
        <v>2149557.7599999998</v>
      </c>
      <c r="O268">
        <v>67426.529485570893</v>
      </c>
      <c r="P268">
        <v>494140</v>
      </c>
      <c r="Q268">
        <v>1655417.7599999998</v>
      </c>
      <c r="R268">
        <v>51926.529485570885</v>
      </c>
      <c r="S268" t="s">
        <v>65</v>
      </c>
      <c r="T268" t="s">
        <v>3414</v>
      </c>
      <c r="U268">
        <v>225738.78595200001</v>
      </c>
      <c r="V268" t="s">
        <v>717</v>
      </c>
      <c r="W268">
        <v>44147</v>
      </c>
      <c r="X268" t="s">
        <v>3620</v>
      </c>
      <c r="Y268" t="s">
        <v>6</v>
      </c>
      <c r="Z268" t="s">
        <v>17</v>
      </c>
      <c r="AA268" t="s">
        <v>717</v>
      </c>
      <c r="AB268" t="s">
        <v>2509</v>
      </c>
      <c r="AC268" t="s">
        <v>2571</v>
      </c>
      <c r="AD268" t="s">
        <v>717</v>
      </c>
      <c r="AE268" t="s">
        <v>3621</v>
      </c>
      <c r="AF268" t="s">
        <v>3622</v>
      </c>
      <c r="AG268" t="s">
        <v>3623</v>
      </c>
      <c r="AH268" t="s">
        <v>2615</v>
      </c>
      <c r="AI268" t="s">
        <v>2802</v>
      </c>
      <c r="AJ268" t="s">
        <v>2514</v>
      </c>
      <c r="AK268" t="s">
        <v>63</v>
      </c>
      <c r="AL268" t="s">
        <v>16</v>
      </c>
      <c r="AM268" t="s">
        <v>10</v>
      </c>
      <c r="AN268" t="s">
        <v>717</v>
      </c>
    </row>
    <row r="269" spans="1:40" hidden="1">
      <c r="A269">
        <v>267</v>
      </c>
      <c r="B269">
        <v>8</v>
      </c>
      <c r="C269" s="58">
        <v>44158</v>
      </c>
      <c r="D269" t="s">
        <v>74</v>
      </c>
      <c r="E269" t="s">
        <v>2506</v>
      </c>
      <c r="F269">
        <v>3</v>
      </c>
      <c r="G269">
        <v>12</v>
      </c>
      <c r="H269">
        <v>223</v>
      </c>
      <c r="I269">
        <v>1</v>
      </c>
      <c r="J269">
        <v>41.48</v>
      </c>
      <c r="K269" t="s">
        <v>9</v>
      </c>
      <c r="L269">
        <v>2208129.31</v>
      </c>
      <c r="M269">
        <v>15000</v>
      </c>
      <c r="N269">
        <v>2223129.31</v>
      </c>
      <c r="O269">
        <v>53595.209980713596</v>
      </c>
      <c r="P269">
        <v>20740</v>
      </c>
      <c r="Q269">
        <v>2202389.31</v>
      </c>
      <c r="R269">
        <v>53095.209980713596</v>
      </c>
      <c r="S269" t="s">
        <v>65</v>
      </c>
      <c r="T269" t="s">
        <v>717</v>
      </c>
      <c r="U269" t="s">
        <v>717</v>
      </c>
      <c r="V269" t="s">
        <v>717</v>
      </c>
      <c r="W269">
        <v>44154</v>
      </c>
      <c r="X269" t="s">
        <v>3624</v>
      </c>
      <c r="Y269" t="s">
        <v>6</v>
      </c>
      <c r="Z269" t="s">
        <v>17</v>
      </c>
      <c r="AA269" t="s">
        <v>717</v>
      </c>
      <c r="AB269" t="s">
        <v>2509</v>
      </c>
      <c r="AC269" t="s">
        <v>2571</v>
      </c>
      <c r="AD269" t="s">
        <v>717</v>
      </c>
      <c r="AE269" t="s">
        <v>3625</v>
      </c>
      <c r="AF269" t="s">
        <v>3626</v>
      </c>
      <c r="AG269" t="s">
        <v>3627</v>
      </c>
      <c r="AH269" t="s">
        <v>2191</v>
      </c>
      <c r="AI269" t="s">
        <v>2847</v>
      </c>
      <c r="AJ269" t="s">
        <v>2642</v>
      </c>
      <c r="AK269" t="s">
        <v>63</v>
      </c>
      <c r="AL269" t="s">
        <v>2663</v>
      </c>
      <c r="AM269" t="s">
        <v>10</v>
      </c>
      <c r="AN269" t="s">
        <v>717</v>
      </c>
    </row>
    <row r="270" spans="1:40" hidden="1">
      <c r="A270">
        <v>268</v>
      </c>
      <c r="B270">
        <v>9</v>
      </c>
      <c r="C270" s="58">
        <v>44162</v>
      </c>
      <c r="D270" t="s">
        <v>74</v>
      </c>
      <c r="E270" t="s">
        <v>2506</v>
      </c>
      <c r="F270">
        <v>7</v>
      </c>
      <c r="G270">
        <v>8</v>
      </c>
      <c r="H270">
        <v>199</v>
      </c>
      <c r="I270">
        <v>2</v>
      </c>
      <c r="J270">
        <v>63.74</v>
      </c>
      <c r="K270" t="s">
        <v>15</v>
      </c>
      <c r="L270">
        <v>3390467.64</v>
      </c>
      <c r="M270">
        <v>0</v>
      </c>
      <c r="N270">
        <v>3390467.64</v>
      </c>
      <c r="O270">
        <v>53192.149984311262</v>
      </c>
      <c r="P270">
        <v>299578</v>
      </c>
      <c r="Q270">
        <v>3090889.64</v>
      </c>
      <c r="R270">
        <v>48492.149984311262</v>
      </c>
      <c r="S270" t="s">
        <v>65</v>
      </c>
      <c r="T270" t="s">
        <v>717</v>
      </c>
      <c r="U270" t="s">
        <v>717</v>
      </c>
      <c r="V270" t="s">
        <v>717</v>
      </c>
      <c r="W270">
        <v>44144</v>
      </c>
      <c r="X270" t="s">
        <v>3628</v>
      </c>
      <c r="Y270" t="s">
        <v>6</v>
      </c>
      <c r="Z270" t="s">
        <v>17</v>
      </c>
      <c r="AA270" t="s">
        <v>717</v>
      </c>
      <c r="AB270" t="s">
        <v>2509</v>
      </c>
      <c r="AC270" t="s">
        <v>2571</v>
      </c>
      <c r="AD270" t="s">
        <v>717</v>
      </c>
      <c r="AE270" t="s">
        <v>3629</v>
      </c>
      <c r="AF270" t="s">
        <v>3630</v>
      </c>
      <c r="AG270" t="s">
        <v>3631</v>
      </c>
      <c r="AH270" t="s">
        <v>2615</v>
      </c>
      <c r="AI270" t="s">
        <v>2552</v>
      </c>
      <c r="AJ270" t="s">
        <v>2662</v>
      </c>
      <c r="AK270" t="s">
        <v>20</v>
      </c>
      <c r="AL270" t="s">
        <v>16</v>
      </c>
      <c r="AM270" t="s">
        <v>10</v>
      </c>
      <c r="AN270" t="s">
        <v>717</v>
      </c>
    </row>
    <row r="271" spans="1:40" hidden="1">
      <c r="A271">
        <v>269</v>
      </c>
      <c r="B271">
        <v>10</v>
      </c>
      <c r="C271" s="58">
        <v>44162</v>
      </c>
      <c r="D271" t="s">
        <v>74</v>
      </c>
      <c r="E271" t="s">
        <v>2506</v>
      </c>
      <c r="F271">
        <v>2</v>
      </c>
      <c r="G271">
        <v>8</v>
      </c>
      <c r="H271">
        <v>194</v>
      </c>
      <c r="I271">
        <v>1</v>
      </c>
      <c r="J271">
        <v>40.39</v>
      </c>
      <c r="K271" t="s">
        <v>9</v>
      </c>
      <c r="L271">
        <v>2158175.54</v>
      </c>
      <c r="M271">
        <v>15000</v>
      </c>
      <c r="N271">
        <v>2173175.54</v>
      </c>
      <c r="O271">
        <v>53804.791780143598</v>
      </c>
      <c r="P271">
        <v>20195</v>
      </c>
      <c r="Q271">
        <v>2152980.54</v>
      </c>
      <c r="R271">
        <v>53304.791780143598</v>
      </c>
      <c r="S271" t="s">
        <v>130</v>
      </c>
      <c r="T271" t="s">
        <v>2815</v>
      </c>
      <c r="U271">
        <v>30000</v>
      </c>
      <c r="V271" t="s">
        <v>717</v>
      </c>
      <c r="W271">
        <v>44154</v>
      </c>
      <c r="X271" t="s">
        <v>3632</v>
      </c>
      <c r="Y271" t="s">
        <v>6</v>
      </c>
      <c r="Z271" t="s">
        <v>17</v>
      </c>
      <c r="AA271" t="s">
        <v>717</v>
      </c>
      <c r="AB271" t="s">
        <v>2509</v>
      </c>
      <c r="AC271" t="s">
        <v>118</v>
      </c>
      <c r="AD271" t="s">
        <v>717</v>
      </c>
      <c r="AE271" t="s">
        <v>3633</v>
      </c>
      <c r="AF271" t="s">
        <v>3634</v>
      </c>
      <c r="AG271" t="s">
        <v>3635</v>
      </c>
      <c r="AH271" t="s">
        <v>2615</v>
      </c>
      <c r="AI271" t="s">
        <v>2552</v>
      </c>
      <c r="AJ271" t="s">
        <v>2651</v>
      </c>
      <c r="AK271" t="s">
        <v>63</v>
      </c>
      <c r="AL271" t="s">
        <v>717</v>
      </c>
      <c r="AM271" t="s">
        <v>10</v>
      </c>
      <c r="AN271" t="s">
        <v>717</v>
      </c>
    </row>
    <row r="272" spans="1:40" hidden="1">
      <c r="A272">
        <v>270</v>
      </c>
      <c r="B272">
        <v>11</v>
      </c>
      <c r="C272" s="58">
        <v>44162</v>
      </c>
      <c r="D272" t="s">
        <v>74</v>
      </c>
      <c r="E272" t="s">
        <v>2581</v>
      </c>
      <c r="F272">
        <v>8</v>
      </c>
      <c r="G272">
        <v>5</v>
      </c>
      <c r="H272">
        <v>343</v>
      </c>
      <c r="I272">
        <v>2</v>
      </c>
      <c r="J272">
        <v>60.25</v>
      </c>
      <c r="K272" t="s">
        <v>15</v>
      </c>
      <c r="L272">
        <v>3432347.31</v>
      </c>
      <c r="M272">
        <v>0</v>
      </c>
      <c r="N272">
        <v>3432347.31</v>
      </c>
      <c r="O272">
        <v>56968.420082987555</v>
      </c>
      <c r="P272">
        <v>283175</v>
      </c>
      <c r="Q272">
        <v>3149172.31</v>
      </c>
      <c r="R272">
        <v>52268.420082987555</v>
      </c>
      <c r="S272" t="s">
        <v>65</v>
      </c>
      <c r="T272" t="s">
        <v>717</v>
      </c>
      <c r="U272" t="s">
        <v>717</v>
      </c>
      <c r="V272" t="s">
        <v>717</v>
      </c>
      <c r="W272">
        <v>44159</v>
      </c>
      <c r="X272" t="s">
        <v>3636</v>
      </c>
      <c r="Y272" t="s">
        <v>6</v>
      </c>
      <c r="Z272" t="s">
        <v>17</v>
      </c>
      <c r="AA272" t="s">
        <v>717</v>
      </c>
      <c r="AB272" t="s">
        <v>2509</v>
      </c>
      <c r="AC272" t="s">
        <v>2571</v>
      </c>
      <c r="AD272" t="s">
        <v>717</v>
      </c>
      <c r="AE272" t="s">
        <v>3637</v>
      </c>
      <c r="AF272" t="s">
        <v>3638</v>
      </c>
      <c r="AG272" t="s">
        <v>3639</v>
      </c>
      <c r="AH272" t="s">
        <v>2191</v>
      </c>
      <c r="AI272" t="s">
        <v>2552</v>
      </c>
      <c r="AJ272" t="s">
        <v>2642</v>
      </c>
      <c r="AK272" t="s">
        <v>73</v>
      </c>
      <c r="AL272" t="s">
        <v>2663</v>
      </c>
      <c r="AM272" t="s">
        <v>10</v>
      </c>
      <c r="AN272" t="s">
        <v>717</v>
      </c>
    </row>
    <row r="273" spans="1:40" hidden="1">
      <c r="A273">
        <v>271</v>
      </c>
      <c r="B273">
        <v>12</v>
      </c>
      <c r="C273" s="58">
        <v>44162</v>
      </c>
      <c r="D273" t="s">
        <v>74</v>
      </c>
      <c r="E273" t="s">
        <v>2506</v>
      </c>
      <c r="F273">
        <v>5</v>
      </c>
      <c r="G273">
        <v>2</v>
      </c>
      <c r="H273">
        <v>155</v>
      </c>
      <c r="I273">
        <v>3</v>
      </c>
      <c r="J273">
        <v>79.150000000000006</v>
      </c>
      <c r="K273" t="s">
        <v>9</v>
      </c>
      <c r="L273">
        <v>3747931.45</v>
      </c>
      <c r="M273">
        <v>0</v>
      </c>
      <c r="N273">
        <v>3747931.45</v>
      </c>
      <c r="O273">
        <v>47352.260897030952</v>
      </c>
      <c r="P273">
        <v>39575</v>
      </c>
      <c r="Q273">
        <v>3708356.45</v>
      </c>
      <c r="R273">
        <v>46852.260897030952</v>
      </c>
      <c r="S273" t="s">
        <v>65</v>
      </c>
      <c r="T273" t="s">
        <v>717</v>
      </c>
      <c r="U273" t="s">
        <v>717</v>
      </c>
      <c r="V273" t="s">
        <v>717</v>
      </c>
      <c r="W273">
        <v>44160</v>
      </c>
      <c r="X273" t="s">
        <v>3640</v>
      </c>
      <c r="Y273" t="s">
        <v>6</v>
      </c>
      <c r="Z273" t="s">
        <v>17</v>
      </c>
      <c r="AA273" t="s">
        <v>717</v>
      </c>
      <c r="AB273" t="s">
        <v>2509</v>
      </c>
      <c r="AC273" t="s">
        <v>2571</v>
      </c>
      <c r="AD273" t="s">
        <v>717</v>
      </c>
      <c r="AE273" t="s">
        <v>3641</v>
      </c>
      <c r="AF273" t="s">
        <v>3642</v>
      </c>
      <c r="AG273" t="s">
        <v>3643</v>
      </c>
      <c r="AH273" t="s">
        <v>2552</v>
      </c>
      <c r="AI273" t="s">
        <v>2877</v>
      </c>
      <c r="AJ273" t="s">
        <v>2657</v>
      </c>
      <c r="AK273" t="s">
        <v>73</v>
      </c>
      <c r="AL273" t="s">
        <v>16</v>
      </c>
      <c r="AM273" t="s">
        <v>10</v>
      </c>
      <c r="AN273" t="s">
        <v>717</v>
      </c>
    </row>
    <row r="274" spans="1:40" hidden="1">
      <c r="A274">
        <v>272</v>
      </c>
      <c r="B274">
        <v>13</v>
      </c>
      <c r="C274" s="58">
        <v>44165</v>
      </c>
      <c r="D274" t="s">
        <v>74</v>
      </c>
      <c r="E274" t="s">
        <v>2515</v>
      </c>
      <c r="F274">
        <v>8</v>
      </c>
      <c r="G274">
        <v>3</v>
      </c>
      <c r="H274">
        <v>18</v>
      </c>
      <c r="I274">
        <v>1</v>
      </c>
      <c r="J274">
        <v>47.97</v>
      </c>
      <c r="K274" t="s">
        <v>9</v>
      </c>
      <c r="L274">
        <v>2729349.09</v>
      </c>
      <c r="M274">
        <v>0</v>
      </c>
      <c r="N274">
        <v>2729349.09</v>
      </c>
      <c r="O274">
        <v>56897</v>
      </c>
      <c r="P274">
        <v>23985</v>
      </c>
      <c r="Q274">
        <v>2705364.09</v>
      </c>
      <c r="R274">
        <v>56397</v>
      </c>
      <c r="S274" t="s">
        <v>65</v>
      </c>
      <c r="T274" t="s">
        <v>717</v>
      </c>
      <c r="U274" t="s">
        <v>717</v>
      </c>
      <c r="V274" t="s">
        <v>717</v>
      </c>
      <c r="W274">
        <v>44161</v>
      </c>
      <c r="X274" t="s">
        <v>3644</v>
      </c>
      <c r="Y274" t="s">
        <v>6</v>
      </c>
      <c r="Z274" t="s">
        <v>17</v>
      </c>
      <c r="AA274" t="s">
        <v>717</v>
      </c>
      <c r="AB274" t="s">
        <v>2509</v>
      </c>
      <c r="AC274" t="s">
        <v>2571</v>
      </c>
      <c r="AD274" t="s">
        <v>717</v>
      </c>
      <c r="AE274" t="s">
        <v>3645</v>
      </c>
      <c r="AF274" t="s">
        <v>3646</v>
      </c>
      <c r="AG274" t="s">
        <v>3647</v>
      </c>
      <c r="AH274" t="s">
        <v>2191</v>
      </c>
      <c r="AI274" t="s">
        <v>2538</v>
      </c>
      <c r="AJ274" t="s">
        <v>2514</v>
      </c>
      <c r="AK274" t="s">
        <v>20</v>
      </c>
      <c r="AL274" t="s">
        <v>2663</v>
      </c>
      <c r="AM274" t="s">
        <v>10</v>
      </c>
      <c r="AN274" t="s">
        <v>717</v>
      </c>
    </row>
    <row r="275" spans="1:40" hidden="1">
      <c r="A275">
        <v>273</v>
      </c>
      <c r="B275">
        <v>1</v>
      </c>
      <c r="C275" s="58">
        <v>44169</v>
      </c>
      <c r="D275" t="s">
        <v>74</v>
      </c>
      <c r="E275" t="s">
        <v>2506</v>
      </c>
      <c r="F275">
        <v>7</v>
      </c>
      <c r="G275">
        <v>11</v>
      </c>
      <c r="H275">
        <v>220</v>
      </c>
      <c r="I275">
        <v>2</v>
      </c>
      <c r="J275">
        <v>63.74</v>
      </c>
      <c r="K275" t="s">
        <v>25</v>
      </c>
      <c r="L275">
        <v>4159093</v>
      </c>
      <c r="M275">
        <v>0</v>
      </c>
      <c r="N275">
        <v>4159093</v>
      </c>
      <c r="O275">
        <v>65250.909946658299</v>
      </c>
      <c r="P275">
        <v>987970</v>
      </c>
      <c r="Q275">
        <v>3171123</v>
      </c>
      <c r="R275">
        <v>49750.909946658299</v>
      </c>
      <c r="S275" t="s">
        <v>65</v>
      </c>
      <c r="T275" t="s">
        <v>717</v>
      </c>
      <c r="U275" t="s">
        <v>717</v>
      </c>
      <c r="V275" t="s">
        <v>717</v>
      </c>
      <c r="W275">
        <v>44169</v>
      </c>
      <c r="X275" t="s">
        <v>3648</v>
      </c>
      <c r="Y275" t="s">
        <v>6</v>
      </c>
      <c r="Z275" t="s">
        <v>17</v>
      </c>
      <c r="AA275" t="s">
        <v>717</v>
      </c>
      <c r="AB275" t="s">
        <v>2509</v>
      </c>
      <c r="AC275" t="s">
        <v>2571</v>
      </c>
      <c r="AD275" t="s">
        <v>717</v>
      </c>
      <c r="AE275" t="s">
        <v>3649</v>
      </c>
      <c r="AF275" t="s">
        <v>3650</v>
      </c>
      <c r="AG275" t="s">
        <v>3651</v>
      </c>
      <c r="AH275" t="s">
        <v>2191</v>
      </c>
      <c r="AI275" t="s">
        <v>2552</v>
      </c>
      <c r="AJ275" t="s">
        <v>2514</v>
      </c>
      <c r="AK275" t="s">
        <v>20</v>
      </c>
      <c r="AL275" t="s">
        <v>2663</v>
      </c>
      <c r="AM275" t="s">
        <v>10</v>
      </c>
      <c r="AN275" t="s">
        <v>717</v>
      </c>
    </row>
    <row r="276" spans="1:40" hidden="1">
      <c r="A276">
        <v>274</v>
      </c>
      <c r="B276">
        <v>2</v>
      </c>
      <c r="C276" s="58">
        <v>44169</v>
      </c>
      <c r="D276" t="s">
        <v>74</v>
      </c>
      <c r="E276" t="s">
        <v>2515</v>
      </c>
      <c r="F276">
        <v>5</v>
      </c>
      <c r="G276">
        <v>13</v>
      </c>
      <c r="H276">
        <v>115</v>
      </c>
      <c r="I276">
        <v>2</v>
      </c>
      <c r="J276">
        <v>60.2</v>
      </c>
      <c r="K276" t="s">
        <v>25</v>
      </c>
      <c r="L276">
        <v>3890244.4</v>
      </c>
      <c r="M276">
        <v>0</v>
      </c>
      <c r="N276">
        <v>3890244.4</v>
      </c>
      <c r="O276">
        <v>64621.999999999993</v>
      </c>
      <c r="P276">
        <v>933100</v>
      </c>
      <c r="Q276">
        <v>2957144.4</v>
      </c>
      <c r="R276">
        <v>49121.999999999993</v>
      </c>
      <c r="S276" t="s">
        <v>65</v>
      </c>
      <c r="T276" t="s">
        <v>717</v>
      </c>
      <c r="U276" t="s">
        <v>717</v>
      </c>
      <c r="V276" t="s">
        <v>717</v>
      </c>
      <c r="W276">
        <v>44169</v>
      </c>
      <c r="X276" t="s">
        <v>3652</v>
      </c>
      <c r="Y276" t="s">
        <v>6</v>
      </c>
      <c r="Z276" t="s">
        <v>17</v>
      </c>
      <c r="AA276" t="s">
        <v>717</v>
      </c>
      <c r="AB276" t="s">
        <v>2509</v>
      </c>
      <c r="AC276" t="s">
        <v>2571</v>
      </c>
      <c r="AD276" t="s">
        <v>717</v>
      </c>
      <c r="AE276" t="s">
        <v>3653</v>
      </c>
      <c r="AF276" t="s">
        <v>3654</v>
      </c>
      <c r="AG276" t="s">
        <v>3655</v>
      </c>
      <c r="AH276" t="s">
        <v>2615</v>
      </c>
      <c r="AI276" t="s">
        <v>3120</v>
      </c>
      <c r="AJ276" t="s">
        <v>3202</v>
      </c>
      <c r="AK276" t="s">
        <v>20</v>
      </c>
      <c r="AL276" t="s">
        <v>2663</v>
      </c>
      <c r="AM276" t="s">
        <v>10</v>
      </c>
      <c r="AN276" t="s">
        <v>717</v>
      </c>
    </row>
    <row r="277" spans="1:40" hidden="1">
      <c r="A277">
        <v>275</v>
      </c>
      <c r="B277">
        <v>3</v>
      </c>
      <c r="C277" s="58">
        <v>44172</v>
      </c>
      <c r="D277" t="s">
        <v>74</v>
      </c>
      <c r="E277" t="s">
        <v>2506</v>
      </c>
      <c r="F277">
        <v>6</v>
      </c>
      <c r="G277">
        <v>24</v>
      </c>
      <c r="H277">
        <v>310</v>
      </c>
      <c r="I277">
        <v>2</v>
      </c>
      <c r="J277">
        <v>64.150000000000006</v>
      </c>
      <c r="K277" t="s">
        <v>9</v>
      </c>
      <c r="L277">
        <v>3134587.85</v>
      </c>
      <c r="M277">
        <v>0</v>
      </c>
      <c r="N277">
        <v>3134587.85</v>
      </c>
      <c r="O277">
        <v>48863.411535463754</v>
      </c>
      <c r="P277">
        <v>32075</v>
      </c>
      <c r="Q277">
        <v>3102512.85</v>
      </c>
      <c r="R277">
        <v>48363.411535463754</v>
      </c>
      <c r="S277" t="s">
        <v>65</v>
      </c>
      <c r="T277" t="s">
        <v>3203</v>
      </c>
      <c r="U277">
        <v>63316.59</v>
      </c>
      <c r="V277" t="s">
        <v>717</v>
      </c>
      <c r="W277">
        <v>44172</v>
      </c>
      <c r="X277" t="s">
        <v>3656</v>
      </c>
      <c r="Y277" t="s">
        <v>6</v>
      </c>
      <c r="Z277" t="s">
        <v>17</v>
      </c>
      <c r="AA277" t="s">
        <v>717</v>
      </c>
      <c r="AB277" t="s">
        <v>2509</v>
      </c>
      <c r="AC277" t="s">
        <v>2571</v>
      </c>
      <c r="AD277" t="s">
        <v>717</v>
      </c>
      <c r="AE277" t="s">
        <v>3657</v>
      </c>
      <c r="AF277" t="s">
        <v>3658</v>
      </c>
      <c r="AG277" t="s">
        <v>3659</v>
      </c>
      <c r="AH277" t="s">
        <v>2615</v>
      </c>
      <c r="AI277" t="s">
        <v>2538</v>
      </c>
      <c r="AJ277" t="s">
        <v>2514</v>
      </c>
      <c r="AK277" t="s">
        <v>20</v>
      </c>
      <c r="AL277" t="s">
        <v>2663</v>
      </c>
      <c r="AM277" t="s">
        <v>10</v>
      </c>
      <c r="AN277" t="s">
        <v>717</v>
      </c>
    </row>
    <row r="278" spans="1:40" hidden="1">
      <c r="A278">
        <v>276</v>
      </c>
      <c r="B278">
        <v>4</v>
      </c>
      <c r="C278" s="58">
        <v>44173</v>
      </c>
      <c r="D278" t="s">
        <v>74</v>
      </c>
      <c r="E278" t="s">
        <v>2581</v>
      </c>
      <c r="F278">
        <v>7</v>
      </c>
      <c r="G278">
        <v>6</v>
      </c>
      <c r="H278">
        <v>350</v>
      </c>
      <c r="I278">
        <v>2</v>
      </c>
      <c r="J278">
        <v>65.5</v>
      </c>
      <c r="K278" t="s">
        <v>9</v>
      </c>
      <c r="L278">
        <v>3441304</v>
      </c>
      <c r="M278">
        <v>15000</v>
      </c>
      <c r="N278">
        <v>3456304</v>
      </c>
      <c r="O278">
        <v>52768</v>
      </c>
      <c r="P278">
        <v>32750</v>
      </c>
      <c r="Q278">
        <v>3423554</v>
      </c>
      <c r="R278">
        <v>52268</v>
      </c>
      <c r="S278" t="s">
        <v>65</v>
      </c>
      <c r="T278" t="s">
        <v>717</v>
      </c>
      <c r="U278" t="s">
        <v>717</v>
      </c>
      <c r="V278" t="s">
        <v>717</v>
      </c>
      <c r="W278">
        <v>44173</v>
      </c>
      <c r="X278" t="s">
        <v>3660</v>
      </c>
      <c r="Y278" t="s">
        <v>6</v>
      </c>
      <c r="Z278" t="s">
        <v>17</v>
      </c>
      <c r="AA278" t="s">
        <v>717</v>
      </c>
      <c r="AB278" t="s">
        <v>2509</v>
      </c>
      <c r="AC278" t="s">
        <v>2571</v>
      </c>
      <c r="AD278" t="s">
        <v>717</v>
      </c>
      <c r="AE278" t="s">
        <v>3661</v>
      </c>
      <c r="AF278" t="s">
        <v>3662</v>
      </c>
      <c r="AG278" t="s">
        <v>3663</v>
      </c>
      <c r="AH278" t="s">
        <v>2615</v>
      </c>
      <c r="AI278" t="s">
        <v>2552</v>
      </c>
      <c r="AJ278" t="s">
        <v>2662</v>
      </c>
      <c r="AK278" t="s">
        <v>20</v>
      </c>
      <c r="AL278" t="s">
        <v>16</v>
      </c>
      <c r="AM278" t="s">
        <v>10</v>
      </c>
      <c r="AN278" t="s">
        <v>717</v>
      </c>
    </row>
    <row r="279" spans="1:40" hidden="1">
      <c r="A279">
        <v>277</v>
      </c>
      <c r="B279">
        <v>5</v>
      </c>
      <c r="C279" s="58">
        <v>44173</v>
      </c>
      <c r="D279" t="s">
        <v>74</v>
      </c>
      <c r="E279" t="s">
        <v>2506</v>
      </c>
      <c r="F279">
        <v>2</v>
      </c>
      <c r="G279">
        <v>16</v>
      </c>
      <c r="H279">
        <v>250</v>
      </c>
      <c r="I279">
        <v>1</v>
      </c>
      <c r="J279">
        <v>40.39</v>
      </c>
      <c r="K279" t="s">
        <v>9</v>
      </c>
      <c r="L279">
        <v>2336036.4300000002</v>
      </c>
      <c r="M279">
        <v>0</v>
      </c>
      <c r="N279">
        <v>2336036.4300000002</v>
      </c>
      <c r="O279">
        <v>57837</v>
      </c>
      <c r="P279">
        <v>20195</v>
      </c>
      <c r="Q279">
        <v>2315841.4300000002</v>
      </c>
      <c r="R279">
        <v>57337</v>
      </c>
      <c r="S279" t="s">
        <v>65</v>
      </c>
      <c r="T279" t="s">
        <v>717</v>
      </c>
      <c r="U279" t="s">
        <v>717</v>
      </c>
      <c r="V279" t="s">
        <v>717</v>
      </c>
      <c r="W279">
        <v>44176</v>
      </c>
      <c r="X279" t="s">
        <v>3664</v>
      </c>
      <c r="Y279" t="s">
        <v>6</v>
      </c>
      <c r="Z279" t="s">
        <v>17</v>
      </c>
      <c r="AA279" t="s">
        <v>717</v>
      </c>
      <c r="AB279" t="s">
        <v>2509</v>
      </c>
      <c r="AC279" t="s">
        <v>2571</v>
      </c>
      <c r="AD279" t="s">
        <v>717</v>
      </c>
      <c r="AE279" t="s">
        <v>3665</v>
      </c>
      <c r="AF279" t="s">
        <v>3666</v>
      </c>
      <c r="AG279" t="s">
        <v>3667</v>
      </c>
      <c r="AH279" t="s">
        <v>2615</v>
      </c>
      <c r="AI279" t="s">
        <v>2552</v>
      </c>
      <c r="AJ279" t="s">
        <v>2651</v>
      </c>
      <c r="AK279" t="s">
        <v>77</v>
      </c>
      <c r="AL279" t="s">
        <v>16</v>
      </c>
      <c r="AM279" t="s">
        <v>10</v>
      </c>
      <c r="AN279" t="s">
        <v>717</v>
      </c>
    </row>
    <row r="280" spans="1:40" hidden="1">
      <c r="A280">
        <v>278</v>
      </c>
      <c r="B280">
        <v>6</v>
      </c>
      <c r="C280" s="58">
        <v>44175</v>
      </c>
      <c r="D280" t="s">
        <v>74</v>
      </c>
      <c r="E280" t="s">
        <v>2506</v>
      </c>
      <c r="F280">
        <v>1</v>
      </c>
      <c r="G280">
        <v>5</v>
      </c>
      <c r="H280">
        <v>172</v>
      </c>
      <c r="I280">
        <v>3</v>
      </c>
      <c r="J280">
        <v>89.56</v>
      </c>
      <c r="K280" t="s">
        <v>9</v>
      </c>
      <c r="L280">
        <v>4331390.28</v>
      </c>
      <c r="M280">
        <v>0</v>
      </c>
      <c r="N280">
        <v>4331390.28</v>
      </c>
      <c r="O280">
        <v>48363</v>
      </c>
      <c r="P280">
        <v>44780</v>
      </c>
      <c r="Q280">
        <v>4286610.28</v>
      </c>
      <c r="R280">
        <v>47863</v>
      </c>
      <c r="S280" t="s">
        <v>65</v>
      </c>
      <c r="T280" t="s">
        <v>717</v>
      </c>
      <c r="U280" t="s">
        <v>717</v>
      </c>
      <c r="V280" t="s">
        <v>717</v>
      </c>
      <c r="W280">
        <v>44175</v>
      </c>
      <c r="X280" t="s">
        <v>3668</v>
      </c>
      <c r="Y280" t="s">
        <v>6</v>
      </c>
      <c r="Z280" t="s">
        <v>17</v>
      </c>
      <c r="AA280" t="s">
        <v>717</v>
      </c>
      <c r="AB280" t="s">
        <v>2509</v>
      </c>
      <c r="AC280" t="s">
        <v>2571</v>
      </c>
      <c r="AD280" t="s">
        <v>717</v>
      </c>
      <c r="AE280" t="s">
        <v>3669</v>
      </c>
      <c r="AF280" t="s">
        <v>3670</v>
      </c>
      <c r="AG280" t="s">
        <v>3671</v>
      </c>
      <c r="AH280" t="s">
        <v>2552</v>
      </c>
      <c r="AI280" t="s">
        <v>2877</v>
      </c>
      <c r="AJ280" t="s">
        <v>2657</v>
      </c>
      <c r="AK280" t="s">
        <v>63</v>
      </c>
      <c r="AL280" t="s">
        <v>2663</v>
      </c>
      <c r="AM280" t="s">
        <v>10</v>
      </c>
      <c r="AN280" t="s">
        <v>717</v>
      </c>
    </row>
    <row r="281" spans="1:40" hidden="1">
      <c r="A281">
        <v>279</v>
      </c>
      <c r="B281">
        <v>7</v>
      </c>
      <c r="C281" s="58">
        <v>44175</v>
      </c>
      <c r="D281" t="s">
        <v>74</v>
      </c>
      <c r="E281" t="s">
        <v>2581</v>
      </c>
      <c r="F281">
        <v>6</v>
      </c>
      <c r="G281">
        <v>6</v>
      </c>
      <c r="H281">
        <v>349</v>
      </c>
      <c r="I281">
        <v>2</v>
      </c>
      <c r="J281">
        <v>65.72</v>
      </c>
      <c r="K281" t="s">
        <v>9</v>
      </c>
      <c r="L281">
        <v>3452912.96</v>
      </c>
      <c r="M281">
        <v>15000</v>
      </c>
      <c r="N281">
        <v>3467912.96</v>
      </c>
      <c r="O281">
        <v>52768</v>
      </c>
      <c r="P281">
        <v>32860</v>
      </c>
      <c r="Q281">
        <v>3435052.96</v>
      </c>
      <c r="R281">
        <v>52268</v>
      </c>
      <c r="S281" t="s">
        <v>65</v>
      </c>
      <c r="T281" t="s">
        <v>717</v>
      </c>
      <c r="U281" t="s">
        <v>717</v>
      </c>
      <c r="V281" t="s">
        <v>717</v>
      </c>
      <c r="W281">
        <v>44175</v>
      </c>
      <c r="X281" t="s">
        <v>3672</v>
      </c>
      <c r="Y281" t="s">
        <v>6</v>
      </c>
      <c r="Z281" t="s">
        <v>17</v>
      </c>
      <c r="AA281" t="s">
        <v>717</v>
      </c>
      <c r="AB281" t="s">
        <v>2509</v>
      </c>
      <c r="AC281" t="s">
        <v>2571</v>
      </c>
      <c r="AD281" t="s">
        <v>717</v>
      </c>
      <c r="AE281" t="s">
        <v>3673</v>
      </c>
      <c r="AF281" t="s">
        <v>3674</v>
      </c>
      <c r="AG281" t="s">
        <v>3675</v>
      </c>
      <c r="AH281" t="s">
        <v>2615</v>
      </c>
      <c r="AI281" t="s">
        <v>2621</v>
      </c>
      <c r="AJ281" t="s">
        <v>2642</v>
      </c>
      <c r="AK281" t="s">
        <v>63</v>
      </c>
      <c r="AL281" t="s">
        <v>16</v>
      </c>
      <c r="AM281" t="s">
        <v>10</v>
      </c>
      <c r="AN281" t="s">
        <v>717</v>
      </c>
    </row>
    <row r="282" spans="1:40" hidden="1">
      <c r="A282">
        <v>280</v>
      </c>
      <c r="B282">
        <v>8</v>
      </c>
      <c r="C282" s="58">
        <v>44180</v>
      </c>
      <c r="D282" t="s">
        <v>74</v>
      </c>
      <c r="E282" t="s">
        <v>2506</v>
      </c>
      <c r="F282">
        <v>5</v>
      </c>
      <c r="G282">
        <v>14</v>
      </c>
      <c r="H282">
        <v>239</v>
      </c>
      <c r="I282">
        <v>3</v>
      </c>
      <c r="J282">
        <v>78.03</v>
      </c>
      <c r="K282" t="s">
        <v>9</v>
      </c>
      <c r="L282">
        <v>3862004.66</v>
      </c>
      <c r="M282">
        <v>0</v>
      </c>
      <c r="N282">
        <v>3862004.66</v>
      </c>
      <c r="O282">
        <v>49493.844162501606</v>
      </c>
      <c r="P282">
        <v>39015</v>
      </c>
      <c r="Q282">
        <v>3822989.66</v>
      </c>
      <c r="R282">
        <v>48993.844162501606</v>
      </c>
      <c r="S282" t="s">
        <v>65</v>
      </c>
      <c r="T282" t="s">
        <v>2941</v>
      </c>
      <c r="U282">
        <v>10000</v>
      </c>
      <c r="V282" t="s">
        <v>717</v>
      </c>
      <c r="W282">
        <v>44180</v>
      </c>
      <c r="X282" t="s">
        <v>3676</v>
      </c>
      <c r="Y282" t="s">
        <v>6</v>
      </c>
      <c r="Z282" t="s">
        <v>17</v>
      </c>
      <c r="AA282" t="s">
        <v>717</v>
      </c>
      <c r="AB282" t="s">
        <v>2509</v>
      </c>
      <c r="AC282" t="s">
        <v>2571</v>
      </c>
      <c r="AD282" t="s">
        <v>717</v>
      </c>
      <c r="AE282" t="s">
        <v>3677</v>
      </c>
      <c r="AF282" t="s">
        <v>3678</v>
      </c>
      <c r="AG282" t="s">
        <v>3679</v>
      </c>
      <c r="AH282" t="s">
        <v>2191</v>
      </c>
      <c r="AI282" t="s">
        <v>2706</v>
      </c>
      <c r="AJ282" t="s">
        <v>2514</v>
      </c>
      <c r="AK282" t="s">
        <v>20</v>
      </c>
      <c r="AL282" t="s">
        <v>16</v>
      </c>
      <c r="AM282" t="s">
        <v>10</v>
      </c>
      <c r="AN282" t="s">
        <v>717</v>
      </c>
    </row>
    <row r="283" spans="1:40" hidden="1">
      <c r="A283">
        <v>281</v>
      </c>
      <c r="B283">
        <v>9</v>
      </c>
      <c r="C283" s="58">
        <v>44181</v>
      </c>
      <c r="D283" t="s">
        <v>74</v>
      </c>
      <c r="E283" t="s">
        <v>2581</v>
      </c>
      <c r="F283">
        <v>4</v>
      </c>
      <c r="G283">
        <v>6</v>
      </c>
      <c r="H283">
        <v>347</v>
      </c>
      <c r="I283">
        <v>2</v>
      </c>
      <c r="J283">
        <v>60.38</v>
      </c>
      <c r="K283" t="s">
        <v>9</v>
      </c>
      <c r="L283">
        <v>3186131.84</v>
      </c>
      <c r="M283">
        <v>0</v>
      </c>
      <c r="N283">
        <v>3186131.84</v>
      </c>
      <c r="O283">
        <v>52767.999999999993</v>
      </c>
      <c r="P283">
        <v>30190</v>
      </c>
      <c r="Q283">
        <v>3155941.84</v>
      </c>
      <c r="R283">
        <v>52267.999999999993</v>
      </c>
      <c r="S283" t="s">
        <v>65</v>
      </c>
      <c r="T283" t="s">
        <v>717</v>
      </c>
      <c r="U283" t="s">
        <v>717</v>
      </c>
      <c r="V283" t="s">
        <v>717</v>
      </c>
      <c r="W283">
        <v>44181</v>
      </c>
      <c r="X283" t="s">
        <v>3680</v>
      </c>
      <c r="Y283" t="s">
        <v>6</v>
      </c>
      <c r="Z283" t="s">
        <v>17</v>
      </c>
      <c r="AA283" t="s">
        <v>717</v>
      </c>
      <c r="AB283" t="s">
        <v>2509</v>
      </c>
      <c r="AC283" t="s">
        <v>2571</v>
      </c>
      <c r="AD283" t="s">
        <v>717</v>
      </c>
      <c r="AE283" t="s">
        <v>3681</v>
      </c>
      <c r="AF283" t="s">
        <v>3682</v>
      </c>
      <c r="AG283" t="s">
        <v>3683</v>
      </c>
      <c r="AH283" t="s">
        <v>2615</v>
      </c>
      <c r="AI283" t="s">
        <v>2552</v>
      </c>
      <c r="AJ283" t="s">
        <v>2642</v>
      </c>
      <c r="AK283" t="s">
        <v>73</v>
      </c>
      <c r="AL283" t="s">
        <v>16</v>
      </c>
      <c r="AM283" t="s">
        <v>10</v>
      </c>
      <c r="AN283" t="s">
        <v>717</v>
      </c>
    </row>
    <row r="284" spans="1:40" hidden="1">
      <c r="A284">
        <v>282</v>
      </c>
      <c r="B284">
        <v>10</v>
      </c>
      <c r="C284" s="58">
        <v>44181</v>
      </c>
      <c r="D284" t="s">
        <v>74</v>
      </c>
      <c r="E284" t="s">
        <v>2506</v>
      </c>
      <c r="F284">
        <v>1</v>
      </c>
      <c r="G284">
        <v>6</v>
      </c>
      <c r="H284">
        <v>179</v>
      </c>
      <c r="I284">
        <v>3</v>
      </c>
      <c r="J284">
        <v>89.56</v>
      </c>
      <c r="K284" t="s">
        <v>9</v>
      </c>
      <c r="L284">
        <v>4331390.28</v>
      </c>
      <c r="M284">
        <v>0</v>
      </c>
      <c r="N284">
        <v>4331390.28</v>
      </c>
      <c r="O284">
        <v>48363</v>
      </c>
      <c r="P284">
        <v>44780</v>
      </c>
      <c r="Q284">
        <v>4286610.28</v>
      </c>
      <c r="R284">
        <v>47863</v>
      </c>
      <c r="S284" t="s">
        <v>65</v>
      </c>
      <c r="T284" t="s">
        <v>717</v>
      </c>
      <c r="U284" t="s">
        <v>717</v>
      </c>
      <c r="V284" t="s">
        <v>717</v>
      </c>
      <c r="W284">
        <v>44186</v>
      </c>
      <c r="X284" t="s">
        <v>3684</v>
      </c>
      <c r="Y284" t="s">
        <v>6</v>
      </c>
      <c r="Z284" t="s">
        <v>17</v>
      </c>
      <c r="AA284" t="s">
        <v>717</v>
      </c>
      <c r="AB284" t="s">
        <v>2509</v>
      </c>
      <c r="AC284" t="s">
        <v>2571</v>
      </c>
      <c r="AD284" t="s">
        <v>717</v>
      </c>
      <c r="AE284" t="s">
        <v>3685</v>
      </c>
      <c r="AF284" t="s">
        <v>3686</v>
      </c>
      <c r="AG284" t="s">
        <v>3687</v>
      </c>
      <c r="AH284" t="s">
        <v>2191</v>
      </c>
      <c r="AI284" t="s">
        <v>2552</v>
      </c>
      <c r="AJ284" t="s">
        <v>2514</v>
      </c>
      <c r="AK284" t="s">
        <v>73</v>
      </c>
      <c r="AL284" t="s">
        <v>16</v>
      </c>
      <c r="AM284" t="s">
        <v>10</v>
      </c>
      <c r="AN284" t="s">
        <v>717</v>
      </c>
    </row>
    <row r="285" spans="1:40" hidden="1">
      <c r="A285">
        <v>283</v>
      </c>
      <c r="B285">
        <v>11</v>
      </c>
      <c r="C285" s="58">
        <v>44181</v>
      </c>
      <c r="D285" t="s">
        <v>74</v>
      </c>
      <c r="E285" t="s">
        <v>2506</v>
      </c>
      <c r="F285">
        <v>7</v>
      </c>
      <c r="G285">
        <v>20</v>
      </c>
      <c r="H285">
        <v>283</v>
      </c>
      <c r="I285">
        <v>2</v>
      </c>
      <c r="J285">
        <v>63.74</v>
      </c>
      <c r="K285" t="s">
        <v>9</v>
      </c>
      <c r="L285">
        <v>3343290.48</v>
      </c>
      <c r="M285">
        <v>0</v>
      </c>
      <c r="N285">
        <v>3343290.48</v>
      </c>
      <c r="O285">
        <v>52452</v>
      </c>
      <c r="P285">
        <v>31870</v>
      </c>
      <c r="Q285">
        <v>3311420.48</v>
      </c>
      <c r="R285">
        <v>51952</v>
      </c>
      <c r="S285" t="s">
        <v>65</v>
      </c>
      <c r="T285" t="s">
        <v>717</v>
      </c>
      <c r="U285" t="s">
        <v>717</v>
      </c>
      <c r="V285" t="s">
        <v>717</v>
      </c>
      <c r="W285">
        <v>44181</v>
      </c>
      <c r="X285" t="s">
        <v>3688</v>
      </c>
      <c r="Y285" t="s">
        <v>6</v>
      </c>
      <c r="Z285" t="s">
        <v>17</v>
      </c>
      <c r="AA285" t="s">
        <v>717</v>
      </c>
      <c r="AB285" t="s">
        <v>2509</v>
      </c>
      <c r="AC285" t="s">
        <v>2571</v>
      </c>
      <c r="AD285" t="s">
        <v>717</v>
      </c>
      <c r="AE285" t="s">
        <v>3689</v>
      </c>
      <c r="AF285" t="s">
        <v>3690</v>
      </c>
      <c r="AG285" t="s">
        <v>3691</v>
      </c>
      <c r="AH285" t="s">
        <v>2552</v>
      </c>
      <c r="AI285" t="s">
        <v>2877</v>
      </c>
      <c r="AJ285" t="s">
        <v>2657</v>
      </c>
      <c r="AK285" t="s">
        <v>20</v>
      </c>
      <c r="AL285" t="s">
        <v>16</v>
      </c>
      <c r="AM285" t="s">
        <v>10</v>
      </c>
      <c r="AN285" t="s">
        <v>717</v>
      </c>
    </row>
    <row r="286" spans="1:40" hidden="1">
      <c r="A286">
        <v>284</v>
      </c>
      <c r="B286">
        <v>12</v>
      </c>
      <c r="C286" s="58">
        <v>44181</v>
      </c>
      <c r="D286" t="s">
        <v>74</v>
      </c>
      <c r="E286" t="s">
        <v>2581</v>
      </c>
      <c r="F286">
        <v>5</v>
      </c>
      <c r="G286">
        <v>4</v>
      </c>
      <c r="H286">
        <v>332</v>
      </c>
      <c r="I286">
        <v>2</v>
      </c>
      <c r="J286">
        <v>60.9</v>
      </c>
      <c r="K286" t="s">
        <v>9</v>
      </c>
      <c r="L286">
        <v>3160265.1</v>
      </c>
      <c r="M286">
        <v>15000</v>
      </c>
      <c r="N286">
        <v>3175265.1</v>
      </c>
      <c r="O286">
        <v>52139</v>
      </c>
      <c r="P286">
        <v>30450</v>
      </c>
      <c r="Q286">
        <v>3144815.1</v>
      </c>
      <c r="R286">
        <v>51639</v>
      </c>
      <c r="S286" t="s">
        <v>2507</v>
      </c>
      <c r="T286" t="s">
        <v>717</v>
      </c>
      <c r="U286" t="s">
        <v>717</v>
      </c>
      <c r="V286" t="s">
        <v>717</v>
      </c>
      <c r="W286">
        <v>44181</v>
      </c>
      <c r="X286" t="s">
        <v>3692</v>
      </c>
      <c r="Y286" t="s">
        <v>6</v>
      </c>
      <c r="Z286" t="s">
        <v>11</v>
      </c>
      <c r="AA286" t="s">
        <v>717</v>
      </c>
      <c r="AB286" t="s">
        <v>2509</v>
      </c>
      <c r="AC286" t="s">
        <v>118</v>
      </c>
      <c r="AD286" t="s">
        <v>717</v>
      </c>
      <c r="AE286" t="s">
        <v>3693</v>
      </c>
      <c r="AF286" t="s">
        <v>3694</v>
      </c>
      <c r="AG286" t="s">
        <v>3695</v>
      </c>
      <c r="AH286" t="s">
        <v>2552</v>
      </c>
      <c r="AI286" t="s">
        <v>2552</v>
      </c>
      <c r="AJ286" t="s">
        <v>2642</v>
      </c>
      <c r="AK286" t="s">
        <v>73</v>
      </c>
      <c r="AL286" t="s">
        <v>717</v>
      </c>
      <c r="AM286" t="s">
        <v>10</v>
      </c>
      <c r="AN286" t="s">
        <v>717</v>
      </c>
    </row>
    <row r="287" spans="1:40" hidden="1">
      <c r="A287">
        <v>285</v>
      </c>
      <c r="B287">
        <v>13</v>
      </c>
      <c r="C287" s="58">
        <v>44183</v>
      </c>
      <c r="D287" t="s">
        <v>74</v>
      </c>
      <c r="E287" t="s">
        <v>2506</v>
      </c>
      <c r="F287">
        <v>6</v>
      </c>
      <c r="G287">
        <v>16</v>
      </c>
      <c r="H287">
        <v>254</v>
      </c>
      <c r="I287">
        <v>2</v>
      </c>
      <c r="J287">
        <v>64.150000000000006</v>
      </c>
      <c r="K287" t="s">
        <v>9</v>
      </c>
      <c r="L287">
        <v>3305339.85</v>
      </c>
      <c r="M287">
        <v>15000</v>
      </c>
      <c r="N287">
        <v>3320339.85</v>
      </c>
      <c r="O287">
        <v>51759</v>
      </c>
      <c r="P287">
        <v>32075</v>
      </c>
      <c r="Q287">
        <v>3288264.85</v>
      </c>
      <c r="R287">
        <v>51259</v>
      </c>
      <c r="S287" t="s">
        <v>65</v>
      </c>
      <c r="T287" t="s">
        <v>717</v>
      </c>
      <c r="U287" t="s">
        <v>717</v>
      </c>
      <c r="V287" t="s">
        <v>717</v>
      </c>
      <c r="W287">
        <v>44183</v>
      </c>
      <c r="X287" t="s">
        <v>3696</v>
      </c>
      <c r="Y287" t="s">
        <v>6</v>
      </c>
      <c r="Z287" t="s">
        <v>17</v>
      </c>
      <c r="AA287" t="s">
        <v>717</v>
      </c>
      <c r="AB287" t="s">
        <v>2509</v>
      </c>
      <c r="AC287" t="s">
        <v>2564</v>
      </c>
      <c r="AD287" t="s">
        <v>717</v>
      </c>
      <c r="AE287" t="s">
        <v>3697</v>
      </c>
      <c r="AF287" t="s">
        <v>3698</v>
      </c>
      <c r="AG287" t="s">
        <v>3699</v>
      </c>
      <c r="AH287" t="s">
        <v>2191</v>
      </c>
      <c r="AI287" t="s">
        <v>2538</v>
      </c>
      <c r="AJ287" t="s">
        <v>2514</v>
      </c>
      <c r="AK287" t="s">
        <v>63</v>
      </c>
      <c r="AL287" t="s">
        <v>2663</v>
      </c>
      <c r="AM287" t="s">
        <v>10</v>
      </c>
      <c r="AN287" t="s">
        <v>717</v>
      </c>
    </row>
    <row r="288" spans="1:40" hidden="1">
      <c r="A288">
        <v>286</v>
      </c>
      <c r="B288">
        <v>14</v>
      </c>
      <c r="C288" s="58">
        <v>44183</v>
      </c>
      <c r="D288" t="s">
        <v>74</v>
      </c>
      <c r="E288" t="s">
        <v>2506</v>
      </c>
      <c r="F288">
        <v>4</v>
      </c>
      <c r="G288">
        <v>17</v>
      </c>
      <c r="H288">
        <v>259</v>
      </c>
      <c r="I288">
        <v>1</v>
      </c>
      <c r="J288">
        <v>41.5</v>
      </c>
      <c r="K288" t="s">
        <v>9</v>
      </c>
      <c r="L288">
        <v>2390428.2200000002</v>
      </c>
      <c r="M288">
        <v>0</v>
      </c>
      <c r="N288">
        <v>2390428.2200000002</v>
      </c>
      <c r="O288">
        <v>57600.680000000008</v>
      </c>
      <c r="P288">
        <v>20750</v>
      </c>
      <c r="Q288">
        <v>2369678.2200000002</v>
      </c>
      <c r="R288">
        <v>57100.680000000008</v>
      </c>
      <c r="S288" t="s">
        <v>65</v>
      </c>
      <c r="T288" t="s">
        <v>2664</v>
      </c>
      <c r="U288">
        <v>48360.78</v>
      </c>
      <c r="V288" t="s">
        <v>717</v>
      </c>
      <c r="W288">
        <v>44186</v>
      </c>
      <c r="X288" t="s">
        <v>3700</v>
      </c>
      <c r="Y288" t="s">
        <v>6</v>
      </c>
      <c r="Z288" t="s">
        <v>17</v>
      </c>
      <c r="AA288" t="s">
        <v>717</v>
      </c>
      <c r="AB288" t="s">
        <v>2509</v>
      </c>
      <c r="AC288" t="s">
        <v>2571</v>
      </c>
      <c r="AD288" t="s">
        <v>717</v>
      </c>
      <c r="AE288" t="s">
        <v>3701</v>
      </c>
      <c r="AF288" t="s">
        <v>3702</v>
      </c>
      <c r="AG288" t="s">
        <v>3703</v>
      </c>
      <c r="AH288" t="s">
        <v>2616</v>
      </c>
      <c r="AI288" t="s">
        <v>2552</v>
      </c>
      <c r="AJ288" t="s">
        <v>3185</v>
      </c>
      <c r="AK288" t="s">
        <v>20</v>
      </c>
      <c r="AL288" t="s">
        <v>16</v>
      </c>
      <c r="AM288" t="s">
        <v>10</v>
      </c>
      <c r="AN288" t="s">
        <v>717</v>
      </c>
    </row>
    <row r="289" spans="1:40" hidden="1">
      <c r="A289">
        <v>287</v>
      </c>
      <c r="B289">
        <v>15</v>
      </c>
      <c r="C289" s="58">
        <v>44186</v>
      </c>
      <c r="D289" t="s">
        <v>74</v>
      </c>
      <c r="E289" t="s">
        <v>2506</v>
      </c>
      <c r="F289">
        <v>2</v>
      </c>
      <c r="G289">
        <v>19</v>
      </c>
      <c r="H289">
        <v>271</v>
      </c>
      <c r="I289">
        <v>1</v>
      </c>
      <c r="J289">
        <v>40.39</v>
      </c>
      <c r="K289" t="s">
        <v>9</v>
      </c>
      <c r="L289">
        <v>2252512.33</v>
      </c>
      <c r="M289">
        <v>0</v>
      </c>
      <c r="N289">
        <v>2252512.33</v>
      </c>
      <c r="O289">
        <v>55769.059915820755</v>
      </c>
      <c r="P289">
        <v>20195</v>
      </c>
      <c r="Q289">
        <v>2232317.33</v>
      </c>
      <c r="R289">
        <v>55269.059915820755</v>
      </c>
      <c r="S289" t="s">
        <v>65</v>
      </c>
      <c r="T289" t="s">
        <v>3203</v>
      </c>
      <c r="U289">
        <v>45557.5</v>
      </c>
      <c r="V289" t="s">
        <v>717</v>
      </c>
      <c r="W289">
        <v>44186</v>
      </c>
      <c r="X289" t="s">
        <v>3704</v>
      </c>
      <c r="Y289" t="s">
        <v>6</v>
      </c>
      <c r="Z289" t="s">
        <v>17</v>
      </c>
      <c r="AA289" t="s">
        <v>717</v>
      </c>
      <c r="AB289" t="s">
        <v>2509</v>
      </c>
      <c r="AC289" t="s">
        <v>2571</v>
      </c>
      <c r="AD289" t="s">
        <v>717</v>
      </c>
      <c r="AE289" t="s">
        <v>3705</v>
      </c>
      <c r="AF289" t="s">
        <v>3706</v>
      </c>
      <c r="AG289" t="s">
        <v>3707</v>
      </c>
      <c r="AH289" t="s">
        <v>2191</v>
      </c>
      <c r="AI289" t="s">
        <v>2688</v>
      </c>
      <c r="AJ289" t="s">
        <v>3289</v>
      </c>
      <c r="AK289" t="s">
        <v>77</v>
      </c>
      <c r="AL289" t="s">
        <v>16</v>
      </c>
      <c r="AM289" t="s">
        <v>10</v>
      </c>
      <c r="AN289" t="s">
        <v>717</v>
      </c>
    </row>
    <row r="290" spans="1:40" hidden="1">
      <c r="A290">
        <v>288</v>
      </c>
      <c r="B290">
        <v>16</v>
      </c>
      <c r="C290" s="58">
        <v>44188</v>
      </c>
      <c r="D290" t="s">
        <v>74</v>
      </c>
      <c r="E290" t="s">
        <v>2506</v>
      </c>
      <c r="F290">
        <v>7</v>
      </c>
      <c r="G290">
        <v>23</v>
      </c>
      <c r="H290">
        <v>304</v>
      </c>
      <c r="I290">
        <v>2</v>
      </c>
      <c r="J290">
        <v>63.74</v>
      </c>
      <c r="K290" t="s">
        <v>15</v>
      </c>
      <c r="L290">
        <v>3559857.9</v>
      </c>
      <c r="M290">
        <v>15000</v>
      </c>
      <c r="N290">
        <v>3574857.9</v>
      </c>
      <c r="O290">
        <v>56085</v>
      </c>
      <c r="P290">
        <v>299578</v>
      </c>
      <c r="Q290">
        <v>3275279.9</v>
      </c>
      <c r="R290">
        <v>51385</v>
      </c>
      <c r="S290" t="s">
        <v>65</v>
      </c>
      <c r="T290" t="s">
        <v>717</v>
      </c>
      <c r="U290" t="s">
        <v>717</v>
      </c>
      <c r="V290" t="s">
        <v>717</v>
      </c>
      <c r="W290">
        <v>44188</v>
      </c>
      <c r="X290" t="s">
        <v>3708</v>
      </c>
      <c r="Y290" t="s">
        <v>6</v>
      </c>
      <c r="Z290" t="s">
        <v>17</v>
      </c>
      <c r="AA290" t="s">
        <v>717</v>
      </c>
      <c r="AB290" t="s">
        <v>2509</v>
      </c>
      <c r="AC290" t="s">
        <v>2571</v>
      </c>
      <c r="AD290" t="s">
        <v>717</v>
      </c>
      <c r="AE290" t="s">
        <v>3709</v>
      </c>
      <c r="AF290" t="s">
        <v>3710</v>
      </c>
      <c r="AG290" t="s">
        <v>3711</v>
      </c>
      <c r="AH290" t="s">
        <v>2191</v>
      </c>
      <c r="AI290" t="s">
        <v>2656</v>
      </c>
      <c r="AJ290" t="s">
        <v>2514</v>
      </c>
      <c r="AK290" t="s">
        <v>77</v>
      </c>
      <c r="AL290" t="s">
        <v>2663</v>
      </c>
      <c r="AM290" t="s">
        <v>10</v>
      </c>
      <c r="AN290" t="s">
        <v>717</v>
      </c>
    </row>
    <row r="291" spans="1:40" hidden="1">
      <c r="A291">
        <v>289</v>
      </c>
      <c r="B291">
        <v>17</v>
      </c>
      <c r="C291" s="58">
        <v>44189</v>
      </c>
      <c r="D291" t="s">
        <v>74</v>
      </c>
      <c r="E291" t="s">
        <v>2581</v>
      </c>
      <c r="F291">
        <v>7</v>
      </c>
      <c r="G291">
        <v>2</v>
      </c>
      <c r="H291">
        <v>318</v>
      </c>
      <c r="I291">
        <v>2</v>
      </c>
      <c r="J291">
        <v>65.5</v>
      </c>
      <c r="K291" t="s">
        <v>15</v>
      </c>
      <c r="L291">
        <v>3461954.03</v>
      </c>
      <c r="M291">
        <v>0</v>
      </c>
      <c r="N291">
        <v>3461954.03</v>
      </c>
      <c r="O291">
        <v>52854.259999999995</v>
      </c>
      <c r="P291">
        <v>307850</v>
      </c>
      <c r="Q291">
        <v>3154104.03</v>
      </c>
      <c r="R291">
        <v>48154.259999999995</v>
      </c>
      <c r="S291" t="s">
        <v>65</v>
      </c>
      <c r="T291" t="s">
        <v>2664</v>
      </c>
      <c r="U291">
        <v>64369.47</v>
      </c>
      <c r="V291" t="s">
        <v>717</v>
      </c>
      <c r="W291">
        <v>44189</v>
      </c>
      <c r="X291" t="s">
        <v>3712</v>
      </c>
      <c r="Y291" t="s">
        <v>6</v>
      </c>
      <c r="Z291" t="s">
        <v>17</v>
      </c>
      <c r="AA291" t="s">
        <v>717</v>
      </c>
      <c r="AB291" t="s">
        <v>2509</v>
      </c>
      <c r="AC291" t="s">
        <v>2571</v>
      </c>
      <c r="AD291" t="s">
        <v>717</v>
      </c>
      <c r="AE291" t="s">
        <v>3713</v>
      </c>
      <c r="AF291" t="s">
        <v>3714</v>
      </c>
      <c r="AG291" t="s">
        <v>3715</v>
      </c>
      <c r="AH291" t="s">
        <v>2616</v>
      </c>
      <c r="AI291" t="s">
        <v>2552</v>
      </c>
      <c r="AJ291" t="s">
        <v>3185</v>
      </c>
      <c r="AK291" t="s">
        <v>73</v>
      </c>
      <c r="AL291" t="s">
        <v>16</v>
      </c>
      <c r="AM291" t="s">
        <v>10</v>
      </c>
      <c r="AN291" t="s">
        <v>717</v>
      </c>
    </row>
    <row r="292" spans="1:40" hidden="1">
      <c r="A292">
        <v>290</v>
      </c>
      <c r="B292">
        <v>18</v>
      </c>
      <c r="C292" s="58">
        <v>44190</v>
      </c>
      <c r="D292" t="s">
        <v>74</v>
      </c>
      <c r="E292" t="s">
        <v>2506</v>
      </c>
      <c r="F292">
        <v>7</v>
      </c>
      <c r="G292">
        <v>18</v>
      </c>
      <c r="H292">
        <v>269</v>
      </c>
      <c r="I292">
        <v>2</v>
      </c>
      <c r="J292">
        <v>63.74</v>
      </c>
      <c r="K292" t="s">
        <v>9</v>
      </c>
      <c r="L292">
        <v>3277062.07</v>
      </c>
      <c r="M292">
        <v>0</v>
      </c>
      <c r="N292">
        <v>3277062.07</v>
      </c>
      <c r="O292">
        <v>51412.9599937245</v>
      </c>
      <c r="P292">
        <v>31870</v>
      </c>
      <c r="Q292">
        <v>3245192.07</v>
      </c>
      <c r="R292">
        <v>50912.9599937245</v>
      </c>
      <c r="S292" t="s">
        <v>65</v>
      </c>
      <c r="T292" t="s">
        <v>2664</v>
      </c>
      <c r="U292">
        <v>66228.41</v>
      </c>
      <c r="V292" t="s">
        <v>717</v>
      </c>
      <c r="W292">
        <v>44190</v>
      </c>
      <c r="X292" t="s">
        <v>3716</v>
      </c>
      <c r="Y292" t="s">
        <v>6</v>
      </c>
      <c r="Z292" t="s">
        <v>17</v>
      </c>
      <c r="AA292" t="s">
        <v>717</v>
      </c>
      <c r="AB292" t="s">
        <v>2509</v>
      </c>
      <c r="AC292" t="s">
        <v>2571</v>
      </c>
      <c r="AD292" t="s">
        <v>717</v>
      </c>
      <c r="AE292" t="s">
        <v>3717</v>
      </c>
      <c r="AF292" t="s">
        <v>3718</v>
      </c>
      <c r="AG292" t="s">
        <v>3719</v>
      </c>
      <c r="AH292" t="s">
        <v>2615</v>
      </c>
      <c r="AI292" t="s">
        <v>2513</v>
      </c>
      <c r="AJ292" t="s">
        <v>3720</v>
      </c>
      <c r="AK292" t="s">
        <v>20</v>
      </c>
      <c r="AL292" t="s">
        <v>2663</v>
      </c>
      <c r="AM292" t="s">
        <v>10</v>
      </c>
      <c r="AN292" t="s">
        <v>717</v>
      </c>
    </row>
    <row r="293" spans="1:40" hidden="1">
      <c r="A293">
        <v>291</v>
      </c>
      <c r="B293">
        <v>19</v>
      </c>
      <c r="C293" s="58">
        <v>44190</v>
      </c>
      <c r="D293" t="s">
        <v>74</v>
      </c>
      <c r="E293" t="s">
        <v>2506</v>
      </c>
      <c r="F293">
        <v>4</v>
      </c>
      <c r="G293">
        <v>15</v>
      </c>
      <c r="H293">
        <v>245</v>
      </c>
      <c r="I293">
        <v>1</v>
      </c>
      <c r="J293">
        <v>41.8</v>
      </c>
      <c r="K293" t="s">
        <v>9</v>
      </c>
      <c r="L293">
        <v>2407708.42</v>
      </c>
      <c r="M293">
        <v>0</v>
      </c>
      <c r="N293">
        <v>2407708.42</v>
      </c>
      <c r="O293">
        <v>57600.67990430622</v>
      </c>
      <c r="P293">
        <v>20900</v>
      </c>
      <c r="Q293">
        <v>2386808.42</v>
      </c>
      <c r="R293">
        <v>57100.67990430622</v>
      </c>
      <c r="S293" t="s">
        <v>65</v>
      </c>
      <c r="T293" t="s">
        <v>2664</v>
      </c>
      <c r="U293">
        <v>48710.38</v>
      </c>
      <c r="V293" t="s">
        <v>717</v>
      </c>
      <c r="W293">
        <v>44190</v>
      </c>
      <c r="X293" t="s">
        <v>3721</v>
      </c>
      <c r="Y293" t="s">
        <v>6</v>
      </c>
      <c r="Z293" t="s">
        <v>17</v>
      </c>
      <c r="AA293" t="s">
        <v>717</v>
      </c>
      <c r="AB293" t="s">
        <v>2509</v>
      </c>
      <c r="AC293" t="s">
        <v>2571</v>
      </c>
      <c r="AD293" t="s">
        <v>717</v>
      </c>
      <c r="AE293" t="s">
        <v>3722</v>
      </c>
      <c r="AF293" t="s">
        <v>3723</v>
      </c>
      <c r="AG293" t="s">
        <v>3724</v>
      </c>
      <c r="AH293" t="s">
        <v>2552</v>
      </c>
      <c r="AI293" t="s">
        <v>2877</v>
      </c>
      <c r="AJ293" t="s">
        <v>2657</v>
      </c>
      <c r="AK293" t="s">
        <v>73</v>
      </c>
      <c r="AL293" t="s">
        <v>16</v>
      </c>
      <c r="AM293" t="s">
        <v>10</v>
      </c>
      <c r="AN293" t="s">
        <v>717</v>
      </c>
    </row>
    <row r="294" spans="1:40" hidden="1">
      <c r="A294">
        <v>292</v>
      </c>
      <c r="B294">
        <v>20</v>
      </c>
      <c r="C294" s="58">
        <v>44190</v>
      </c>
      <c r="D294" t="s">
        <v>74</v>
      </c>
      <c r="E294" t="s">
        <v>2515</v>
      </c>
      <c r="F294">
        <v>6</v>
      </c>
      <c r="G294">
        <v>4</v>
      </c>
      <c r="H294">
        <v>26</v>
      </c>
      <c r="I294">
        <v>2</v>
      </c>
      <c r="J294">
        <v>64.8</v>
      </c>
      <c r="K294" t="s">
        <v>9</v>
      </c>
      <c r="L294">
        <v>3200505.6</v>
      </c>
      <c r="M294">
        <v>15000</v>
      </c>
      <c r="N294">
        <v>3215505.6</v>
      </c>
      <c r="O294">
        <v>49622</v>
      </c>
      <c r="P294">
        <v>32400</v>
      </c>
      <c r="Q294">
        <v>3183105.6</v>
      </c>
      <c r="R294">
        <v>49122</v>
      </c>
      <c r="S294" t="s">
        <v>65</v>
      </c>
      <c r="T294" t="s">
        <v>717</v>
      </c>
      <c r="U294" t="s">
        <v>717</v>
      </c>
      <c r="V294" t="s">
        <v>717</v>
      </c>
      <c r="W294">
        <v>44190</v>
      </c>
      <c r="X294" t="s">
        <v>3725</v>
      </c>
      <c r="Y294" t="s">
        <v>6</v>
      </c>
      <c r="Z294" t="s">
        <v>17</v>
      </c>
      <c r="AA294" t="s">
        <v>717</v>
      </c>
      <c r="AB294" t="s">
        <v>2509</v>
      </c>
      <c r="AC294" t="s">
        <v>2571</v>
      </c>
      <c r="AD294" t="s">
        <v>717</v>
      </c>
      <c r="AE294" t="s">
        <v>3726</v>
      </c>
      <c r="AF294" t="s">
        <v>3727</v>
      </c>
      <c r="AG294" t="s">
        <v>3728</v>
      </c>
      <c r="AH294" t="s">
        <v>2191</v>
      </c>
      <c r="AI294" t="s">
        <v>2552</v>
      </c>
      <c r="AJ294" t="s">
        <v>2514</v>
      </c>
      <c r="AK294" t="s">
        <v>63</v>
      </c>
      <c r="AL294" t="s">
        <v>16</v>
      </c>
      <c r="AM294" t="s">
        <v>10</v>
      </c>
      <c r="AN294" t="s">
        <v>717</v>
      </c>
    </row>
    <row r="295" spans="1:40" hidden="1">
      <c r="A295">
        <v>293</v>
      </c>
      <c r="B295">
        <v>21</v>
      </c>
      <c r="C295" s="58">
        <v>44191</v>
      </c>
      <c r="D295" t="s">
        <v>74</v>
      </c>
      <c r="E295" t="s">
        <v>2515</v>
      </c>
      <c r="F295">
        <v>3</v>
      </c>
      <c r="G295">
        <v>6</v>
      </c>
      <c r="H295">
        <v>43</v>
      </c>
      <c r="I295">
        <v>2</v>
      </c>
      <c r="J295">
        <v>68.7</v>
      </c>
      <c r="K295" t="s">
        <v>9</v>
      </c>
      <c r="L295">
        <v>3368885.83</v>
      </c>
      <c r="M295">
        <v>15000</v>
      </c>
      <c r="N295">
        <v>3383885.83</v>
      </c>
      <c r="O295">
        <v>49255.980058224159</v>
      </c>
      <c r="P295">
        <v>34350</v>
      </c>
      <c r="Q295">
        <v>3349535.83</v>
      </c>
      <c r="R295">
        <v>48755.980058224159</v>
      </c>
      <c r="S295" t="s">
        <v>65</v>
      </c>
      <c r="T295" t="s">
        <v>2664</v>
      </c>
      <c r="U295">
        <v>68357.87</v>
      </c>
      <c r="V295" t="s">
        <v>717</v>
      </c>
      <c r="W295">
        <v>44191</v>
      </c>
      <c r="X295" t="s">
        <v>3729</v>
      </c>
      <c r="Y295" t="s">
        <v>6</v>
      </c>
      <c r="Z295" t="s">
        <v>17</v>
      </c>
      <c r="AA295" t="s">
        <v>717</v>
      </c>
      <c r="AB295" t="s">
        <v>2509</v>
      </c>
      <c r="AC295" t="s">
        <v>2571</v>
      </c>
      <c r="AD295" t="s">
        <v>717</v>
      </c>
      <c r="AE295" t="s">
        <v>3730</v>
      </c>
      <c r="AF295" t="s">
        <v>3731</v>
      </c>
      <c r="AG295" t="s">
        <v>3732</v>
      </c>
      <c r="AH295" t="s">
        <v>2615</v>
      </c>
      <c r="AI295" t="s">
        <v>2552</v>
      </c>
      <c r="AJ295" t="s">
        <v>2642</v>
      </c>
      <c r="AK295" t="s">
        <v>63</v>
      </c>
      <c r="AL295" t="s">
        <v>2663</v>
      </c>
      <c r="AM295" t="s">
        <v>10</v>
      </c>
      <c r="AN295" t="s">
        <v>717</v>
      </c>
    </row>
    <row r="296" spans="1:40" hidden="1">
      <c r="A296">
        <v>294</v>
      </c>
      <c r="B296">
        <v>22</v>
      </c>
      <c r="C296" s="58">
        <v>44193</v>
      </c>
      <c r="D296" t="s">
        <v>74</v>
      </c>
      <c r="E296" t="s">
        <v>2515</v>
      </c>
      <c r="F296">
        <v>5</v>
      </c>
      <c r="G296">
        <v>10</v>
      </c>
      <c r="H296">
        <v>85</v>
      </c>
      <c r="I296">
        <v>2</v>
      </c>
      <c r="J296">
        <v>62</v>
      </c>
      <c r="K296" t="s">
        <v>25</v>
      </c>
      <c r="L296">
        <v>4141290</v>
      </c>
      <c r="M296">
        <v>0</v>
      </c>
      <c r="N296">
        <v>4141290</v>
      </c>
      <c r="O296">
        <v>66795</v>
      </c>
      <c r="P296">
        <v>961000</v>
      </c>
      <c r="Q296">
        <v>3180290</v>
      </c>
      <c r="R296">
        <v>51295</v>
      </c>
      <c r="S296" t="s">
        <v>65</v>
      </c>
      <c r="T296" t="s">
        <v>717</v>
      </c>
      <c r="U296" t="s">
        <v>717</v>
      </c>
      <c r="V296" t="s">
        <v>717</v>
      </c>
      <c r="W296">
        <v>44193</v>
      </c>
      <c r="X296" t="s">
        <v>3733</v>
      </c>
      <c r="Y296" t="s">
        <v>6</v>
      </c>
      <c r="Z296" t="s">
        <v>17</v>
      </c>
      <c r="AA296" t="s">
        <v>717</v>
      </c>
      <c r="AB296" t="s">
        <v>2509</v>
      </c>
      <c r="AC296" t="s">
        <v>2571</v>
      </c>
      <c r="AD296" t="s">
        <v>717</v>
      </c>
      <c r="AE296" t="s">
        <v>3734</v>
      </c>
      <c r="AF296" t="s">
        <v>3735</v>
      </c>
      <c r="AG296" t="s">
        <v>3736</v>
      </c>
      <c r="AH296" t="s">
        <v>2616</v>
      </c>
      <c r="AI296" t="s">
        <v>2877</v>
      </c>
      <c r="AJ296" t="s">
        <v>2657</v>
      </c>
      <c r="AK296" t="s">
        <v>73</v>
      </c>
      <c r="AL296" t="s">
        <v>16</v>
      </c>
      <c r="AM296" t="s">
        <v>10</v>
      </c>
      <c r="AN296" t="s">
        <v>717</v>
      </c>
    </row>
    <row r="297" spans="1:40" hidden="1">
      <c r="A297">
        <v>295</v>
      </c>
      <c r="B297">
        <v>23</v>
      </c>
      <c r="C297" s="58">
        <v>44193</v>
      </c>
      <c r="D297" t="s">
        <v>74</v>
      </c>
      <c r="E297" t="s">
        <v>2506</v>
      </c>
      <c r="F297">
        <v>7</v>
      </c>
      <c r="G297">
        <v>9</v>
      </c>
      <c r="H297">
        <v>206</v>
      </c>
      <c r="I297">
        <v>2</v>
      </c>
      <c r="J297">
        <v>65.5</v>
      </c>
      <c r="K297" t="s">
        <v>9</v>
      </c>
      <c r="L297">
        <v>3200526.5</v>
      </c>
      <c r="M297">
        <v>0</v>
      </c>
      <c r="N297">
        <v>3200526.5</v>
      </c>
      <c r="O297">
        <v>48863</v>
      </c>
      <c r="P297">
        <v>32750</v>
      </c>
      <c r="Q297">
        <v>3167776.5</v>
      </c>
      <c r="R297">
        <v>48363</v>
      </c>
      <c r="S297" t="s">
        <v>65</v>
      </c>
      <c r="T297" t="s">
        <v>2664</v>
      </c>
      <c r="U297">
        <v>64648.5</v>
      </c>
      <c r="V297" t="s">
        <v>717</v>
      </c>
      <c r="W297">
        <v>44193</v>
      </c>
      <c r="X297" t="s">
        <v>3737</v>
      </c>
      <c r="Y297" t="s">
        <v>6</v>
      </c>
      <c r="Z297" t="s">
        <v>17</v>
      </c>
      <c r="AA297" t="s">
        <v>717</v>
      </c>
      <c r="AB297" t="s">
        <v>2509</v>
      </c>
      <c r="AC297" t="s">
        <v>2571</v>
      </c>
      <c r="AD297" t="s">
        <v>717</v>
      </c>
      <c r="AE297" t="s">
        <v>3738</v>
      </c>
      <c r="AF297" t="s">
        <v>3739</v>
      </c>
      <c r="AG297" t="s">
        <v>3740</v>
      </c>
      <c r="AH297" t="s">
        <v>2552</v>
      </c>
      <c r="AI297" t="s">
        <v>2877</v>
      </c>
      <c r="AJ297" t="s">
        <v>2657</v>
      </c>
      <c r="AK297" t="s">
        <v>63</v>
      </c>
      <c r="AL297" t="s">
        <v>16</v>
      </c>
      <c r="AM297" t="s">
        <v>10</v>
      </c>
      <c r="AN297" t="s">
        <v>717</v>
      </c>
    </row>
    <row r="298" spans="1:40" hidden="1">
      <c r="A298">
        <v>296</v>
      </c>
      <c r="B298">
        <v>24</v>
      </c>
      <c r="C298" s="58">
        <v>44193</v>
      </c>
      <c r="D298" t="s">
        <v>74</v>
      </c>
      <c r="E298" t="s">
        <v>2581</v>
      </c>
      <c r="F298">
        <v>6</v>
      </c>
      <c r="G298">
        <v>5</v>
      </c>
      <c r="H298">
        <v>341</v>
      </c>
      <c r="I298">
        <v>2</v>
      </c>
      <c r="J298">
        <v>67.400000000000006</v>
      </c>
      <c r="K298" t="s">
        <v>9</v>
      </c>
      <c r="L298">
        <v>3486105.94</v>
      </c>
      <c r="M298">
        <v>0</v>
      </c>
      <c r="N298">
        <v>3486105.94</v>
      </c>
      <c r="O298">
        <v>51722.640059347177</v>
      </c>
      <c r="P298">
        <v>33700</v>
      </c>
      <c r="Q298">
        <v>3452405.94</v>
      </c>
      <c r="R298">
        <v>51222.640059347177</v>
      </c>
      <c r="S298" t="s">
        <v>65</v>
      </c>
      <c r="T298" t="s">
        <v>2664</v>
      </c>
      <c r="U298">
        <v>70457.259999999995</v>
      </c>
      <c r="V298" t="s">
        <v>717</v>
      </c>
      <c r="W298">
        <v>44194</v>
      </c>
      <c r="X298" t="s">
        <v>3741</v>
      </c>
      <c r="Y298" t="s">
        <v>6</v>
      </c>
      <c r="Z298" t="s">
        <v>17</v>
      </c>
      <c r="AA298" t="s">
        <v>717</v>
      </c>
      <c r="AB298" t="s">
        <v>2509</v>
      </c>
      <c r="AC298" t="s">
        <v>2571</v>
      </c>
      <c r="AD298" t="s">
        <v>717</v>
      </c>
      <c r="AE298" t="s">
        <v>3742</v>
      </c>
      <c r="AF298" t="s">
        <v>3743</v>
      </c>
      <c r="AG298" t="s">
        <v>3744</v>
      </c>
      <c r="AH298" t="s">
        <v>2552</v>
      </c>
      <c r="AI298" t="s">
        <v>2877</v>
      </c>
      <c r="AJ298" t="s">
        <v>2657</v>
      </c>
      <c r="AK298" t="s">
        <v>63</v>
      </c>
      <c r="AL298" t="s">
        <v>16</v>
      </c>
      <c r="AM298" t="s">
        <v>10</v>
      </c>
      <c r="AN298" t="s">
        <v>717</v>
      </c>
    </row>
    <row r="299" spans="1:40" hidden="1">
      <c r="A299">
        <v>297</v>
      </c>
      <c r="B299">
        <v>25</v>
      </c>
      <c r="C299" s="58">
        <v>44195</v>
      </c>
      <c r="D299" t="s">
        <v>74</v>
      </c>
      <c r="E299" t="s">
        <v>2515</v>
      </c>
      <c r="F299">
        <v>4</v>
      </c>
      <c r="G299">
        <v>11</v>
      </c>
      <c r="H299">
        <v>94</v>
      </c>
      <c r="I299">
        <v>3</v>
      </c>
      <c r="J299">
        <v>82.3</v>
      </c>
      <c r="K299" t="s">
        <v>9</v>
      </c>
      <c r="L299">
        <v>3901492.4</v>
      </c>
      <c r="M299">
        <v>0</v>
      </c>
      <c r="N299">
        <v>3901492.4</v>
      </c>
      <c r="O299">
        <v>47405.739975698663</v>
      </c>
      <c r="P299">
        <v>41150</v>
      </c>
      <c r="Q299">
        <v>3860342.4</v>
      </c>
      <c r="R299">
        <v>46905.739975698663</v>
      </c>
      <c r="S299" t="s">
        <v>65</v>
      </c>
      <c r="T299" t="s">
        <v>2664</v>
      </c>
      <c r="U299">
        <v>78782.5</v>
      </c>
      <c r="V299" t="s">
        <v>717</v>
      </c>
      <c r="W299">
        <v>44195</v>
      </c>
      <c r="X299" t="s">
        <v>3745</v>
      </c>
      <c r="Y299" t="s">
        <v>6</v>
      </c>
      <c r="Z299" t="s">
        <v>17</v>
      </c>
      <c r="AA299" t="s">
        <v>717</v>
      </c>
      <c r="AB299" t="s">
        <v>2509</v>
      </c>
      <c r="AC299" t="s">
        <v>2571</v>
      </c>
      <c r="AD299" t="s">
        <v>717</v>
      </c>
      <c r="AE299" t="s">
        <v>3746</v>
      </c>
      <c r="AF299" t="s">
        <v>3747</v>
      </c>
      <c r="AG299" t="s">
        <v>3748</v>
      </c>
      <c r="AH299" t="s">
        <v>2191</v>
      </c>
      <c r="AI299" t="s">
        <v>2552</v>
      </c>
      <c r="AJ299" t="s">
        <v>2514</v>
      </c>
      <c r="AK299" t="s">
        <v>20</v>
      </c>
      <c r="AL299" t="s">
        <v>16</v>
      </c>
      <c r="AM299" t="s">
        <v>10</v>
      </c>
      <c r="AN299" t="s">
        <v>717</v>
      </c>
    </row>
    <row r="300" spans="1:40" hidden="1">
      <c r="A300">
        <v>298</v>
      </c>
      <c r="B300">
        <v>1</v>
      </c>
      <c r="C300" s="58">
        <v>44209</v>
      </c>
      <c r="D300" t="s">
        <v>74</v>
      </c>
      <c r="E300" t="s">
        <v>2506</v>
      </c>
      <c r="F300">
        <v>6</v>
      </c>
      <c r="G300">
        <v>11</v>
      </c>
      <c r="H300">
        <v>219</v>
      </c>
      <c r="I300">
        <v>2</v>
      </c>
      <c r="J300">
        <v>66.2</v>
      </c>
      <c r="K300" t="s">
        <v>9</v>
      </c>
      <c r="L300">
        <v>3260745.88</v>
      </c>
      <c r="M300">
        <v>0</v>
      </c>
      <c r="N300">
        <v>3260745.88</v>
      </c>
      <c r="O300">
        <v>49255.98006042296</v>
      </c>
      <c r="P300">
        <v>33100</v>
      </c>
      <c r="Q300">
        <v>3227645.88</v>
      </c>
      <c r="R300">
        <v>48755.98006042296</v>
      </c>
      <c r="S300" t="s">
        <v>65</v>
      </c>
      <c r="T300" t="s">
        <v>2664</v>
      </c>
      <c r="U300">
        <v>65870.320000000007</v>
      </c>
      <c r="V300" t="s">
        <v>717</v>
      </c>
      <c r="W300">
        <v>44209</v>
      </c>
      <c r="X300" t="s">
        <v>3749</v>
      </c>
      <c r="Y300" t="s">
        <v>6</v>
      </c>
      <c r="Z300" t="s">
        <v>17</v>
      </c>
      <c r="AA300" t="s">
        <v>717</v>
      </c>
      <c r="AB300" t="s">
        <v>2509</v>
      </c>
      <c r="AC300" t="s">
        <v>2571</v>
      </c>
      <c r="AD300" t="s">
        <v>717</v>
      </c>
      <c r="AE300" t="s">
        <v>3750</v>
      </c>
      <c r="AF300" t="s">
        <v>3751</v>
      </c>
      <c r="AG300" t="s">
        <v>3752</v>
      </c>
      <c r="AH300" t="s">
        <v>2615</v>
      </c>
      <c r="AI300" t="s">
        <v>2568</v>
      </c>
      <c r="AJ300" t="s">
        <v>2569</v>
      </c>
      <c r="AK300" t="s">
        <v>73</v>
      </c>
      <c r="AL300" t="s">
        <v>2663</v>
      </c>
      <c r="AM300" t="s">
        <v>10</v>
      </c>
      <c r="AN300" t="s">
        <v>717</v>
      </c>
    </row>
    <row r="301" spans="1:40" hidden="1">
      <c r="A301">
        <v>299</v>
      </c>
      <c r="B301">
        <v>2</v>
      </c>
      <c r="C301" s="58">
        <v>44222</v>
      </c>
      <c r="D301" t="s">
        <v>74</v>
      </c>
      <c r="E301" t="s">
        <v>2515</v>
      </c>
      <c r="F301">
        <v>5</v>
      </c>
      <c r="G301">
        <v>11</v>
      </c>
      <c r="H301">
        <v>95</v>
      </c>
      <c r="I301">
        <v>2</v>
      </c>
      <c r="J301">
        <v>61.8</v>
      </c>
      <c r="K301" t="s">
        <v>9</v>
      </c>
      <c r="L301">
        <v>3036639.6</v>
      </c>
      <c r="M301">
        <v>0</v>
      </c>
      <c r="N301">
        <v>3036639.6</v>
      </c>
      <c r="O301">
        <v>49136.563106796122</v>
      </c>
      <c r="P301">
        <v>30900</v>
      </c>
      <c r="Q301">
        <v>3005739.6</v>
      </c>
      <c r="R301">
        <v>48636.563106796122</v>
      </c>
      <c r="S301" t="s">
        <v>65</v>
      </c>
      <c r="T301" t="s">
        <v>2941</v>
      </c>
      <c r="U301">
        <v>30000</v>
      </c>
      <c r="V301" t="s">
        <v>717</v>
      </c>
      <c r="W301">
        <v>44222</v>
      </c>
      <c r="X301" t="s">
        <v>3753</v>
      </c>
      <c r="Y301" t="s">
        <v>6</v>
      </c>
      <c r="Z301" t="s">
        <v>11</v>
      </c>
      <c r="AA301" t="s">
        <v>717</v>
      </c>
      <c r="AB301" t="s">
        <v>2509</v>
      </c>
      <c r="AC301" t="s">
        <v>2576</v>
      </c>
      <c r="AD301" t="s">
        <v>717</v>
      </c>
      <c r="AE301" t="s">
        <v>3754</v>
      </c>
      <c r="AF301" t="s">
        <v>3755</v>
      </c>
      <c r="AG301" t="s">
        <v>3756</v>
      </c>
      <c r="AH301" t="s">
        <v>2191</v>
      </c>
      <c r="AI301" t="s">
        <v>2538</v>
      </c>
      <c r="AJ301" t="s">
        <v>2514</v>
      </c>
      <c r="AK301" t="s">
        <v>77</v>
      </c>
      <c r="AL301" t="s">
        <v>2663</v>
      </c>
      <c r="AM301" t="s">
        <v>10</v>
      </c>
      <c r="AN301" t="s">
        <v>717</v>
      </c>
    </row>
    <row r="302" spans="1:40" hidden="1">
      <c r="A302">
        <v>300</v>
      </c>
      <c r="B302">
        <v>3</v>
      </c>
      <c r="C302" s="58">
        <v>44224</v>
      </c>
      <c r="D302" t="s">
        <v>74</v>
      </c>
      <c r="E302" t="s">
        <v>2515</v>
      </c>
      <c r="F302">
        <v>6</v>
      </c>
      <c r="G302">
        <v>10</v>
      </c>
      <c r="H302">
        <v>86</v>
      </c>
      <c r="I302">
        <v>2</v>
      </c>
      <c r="J302">
        <v>64.7</v>
      </c>
      <c r="K302" t="s">
        <v>9</v>
      </c>
      <c r="L302">
        <v>3131979.53</v>
      </c>
      <c r="M302">
        <v>15000</v>
      </c>
      <c r="N302">
        <v>3146979.53</v>
      </c>
      <c r="O302">
        <v>48639.559969088099</v>
      </c>
      <c r="P302">
        <v>32350</v>
      </c>
      <c r="Q302">
        <v>3114629.53</v>
      </c>
      <c r="R302">
        <v>48139.559969088099</v>
      </c>
      <c r="S302" t="s">
        <v>65</v>
      </c>
      <c r="T302" t="s">
        <v>2664</v>
      </c>
      <c r="U302">
        <v>63563.87</v>
      </c>
      <c r="V302" t="s">
        <v>717</v>
      </c>
      <c r="W302">
        <v>44224</v>
      </c>
      <c r="X302" t="s">
        <v>3757</v>
      </c>
      <c r="Y302" t="s">
        <v>6</v>
      </c>
      <c r="Z302" t="s">
        <v>17</v>
      </c>
      <c r="AA302" t="s">
        <v>717</v>
      </c>
      <c r="AB302" t="s">
        <v>2509</v>
      </c>
      <c r="AC302" t="s">
        <v>2571</v>
      </c>
      <c r="AD302" t="s">
        <v>717</v>
      </c>
      <c r="AE302" t="s">
        <v>3758</v>
      </c>
      <c r="AF302" t="s">
        <v>3759</v>
      </c>
      <c r="AG302" t="s">
        <v>3760</v>
      </c>
      <c r="AH302" t="s">
        <v>2616</v>
      </c>
      <c r="AI302" t="s">
        <v>2552</v>
      </c>
      <c r="AJ302" t="s">
        <v>3185</v>
      </c>
      <c r="AK302" t="s">
        <v>63</v>
      </c>
      <c r="AL302" t="s">
        <v>16</v>
      </c>
      <c r="AM302" t="s">
        <v>10</v>
      </c>
      <c r="AN302" t="s">
        <v>717</v>
      </c>
    </row>
    <row r="303" spans="1:40" hidden="1">
      <c r="A303">
        <v>301</v>
      </c>
      <c r="B303">
        <v>4</v>
      </c>
      <c r="C303" s="58">
        <v>44225</v>
      </c>
      <c r="D303" t="s">
        <v>74</v>
      </c>
      <c r="E303" t="s">
        <v>2515</v>
      </c>
      <c r="F303">
        <v>1</v>
      </c>
      <c r="G303">
        <v>8</v>
      </c>
      <c r="H303">
        <v>61</v>
      </c>
      <c r="I303">
        <v>0</v>
      </c>
      <c r="J303">
        <v>33.5</v>
      </c>
      <c r="K303" t="s">
        <v>9</v>
      </c>
      <c r="L303">
        <v>2002261.5</v>
      </c>
      <c r="M303">
        <v>0</v>
      </c>
      <c r="N303">
        <v>2002261.5</v>
      </c>
      <c r="O303">
        <v>59769</v>
      </c>
      <c r="P303">
        <v>16750</v>
      </c>
      <c r="Q303">
        <v>1985511.5</v>
      </c>
      <c r="R303">
        <v>59269</v>
      </c>
      <c r="S303" t="s">
        <v>65</v>
      </c>
      <c r="T303" t="s">
        <v>717</v>
      </c>
      <c r="U303" t="s">
        <v>717</v>
      </c>
      <c r="V303" t="s">
        <v>717</v>
      </c>
      <c r="W303">
        <v>44225</v>
      </c>
      <c r="X303" t="s">
        <v>2803</v>
      </c>
      <c r="Y303" t="s">
        <v>6</v>
      </c>
      <c r="Z303" t="s">
        <v>17</v>
      </c>
      <c r="AA303" t="s">
        <v>717</v>
      </c>
      <c r="AB303" t="s">
        <v>2509</v>
      </c>
      <c r="AC303" t="s">
        <v>2571</v>
      </c>
      <c r="AD303" t="s">
        <v>717</v>
      </c>
      <c r="AE303" t="s">
        <v>3761</v>
      </c>
      <c r="AF303" t="s">
        <v>3762</v>
      </c>
      <c r="AG303" t="s">
        <v>3763</v>
      </c>
      <c r="AH303" t="s">
        <v>2615</v>
      </c>
      <c r="AI303" t="s">
        <v>2824</v>
      </c>
      <c r="AJ303" t="s">
        <v>2569</v>
      </c>
      <c r="AK303" t="s">
        <v>73</v>
      </c>
      <c r="AL303" t="s">
        <v>2663</v>
      </c>
      <c r="AM303" t="s">
        <v>10</v>
      </c>
      <c r="AN303" t="s">
        <v>717</v>
      </c>
    </row>
    <row r="304" spans="1:40" hidden="1">
      <c r="A304">
        <v>302</v>
      </c>
      <c r="B304">
        <v>5</v>
      </c>
      <c r="C304" s="58">
        <v>44225</v>
      </c>
      <c r="D304" t="s">
        <v>74</v>
      </c>
      <c r="E304" t="s">
        <v>2506</v>
      </c>
      <c r="F304">
        <v>5</v>
      </c>
      <c r="G304">
        <v>7</v>
      </c>
      <c r="H304">
        <v>190</v>
      </c>
      <c r="I304">
        <v>3</v>
      </c>
      <c r="J304">
        <v>80.599999999999994</v>
      </c>
      <c r="K304" t="s">
        <v>9</v>
      </c>
      <c r="L304">
        <v>3965419.8</v>
      </c>
      <c r="M304">
        <v>0</v>
      </c>
      <c r="N304">
        <v>3965419.8</v>
      </c>
      <c r="O304">
        <v>49198.756823821343</v>
      </c>
      <c r="P304">
        <v>40300</v>
      </c>
      <c r="Q304">
        <v>3925119.8</v>
      </c>
      <c r="R304">
        <v>48698.756823821343</v>
      </c>
      <c r="S304" t="s">
        <v>65</v>
      </c>
      <c r="T304" t="s">
        <v>2941</v>
      </c>
      <c r="U304">
        <v>35000</v>
      </c>
      <c r="V304" t="s">
        <v>717</v>
      </c>
      <c r="W304">
        <v>44225</v>
      </c>
      <c r="X304" t="s">
        <v>3764</v>
      </c>
      <c r="Y304" t="s">
        <v>6</v>
      </c>
      <c r="Z304" t="s">
        <v>17</v>
      </c>
      <c r="AA304" t="s">
        <v>717</v>
      </c>
      <c r="AB304" t="s">
        <v>2509</v>
      </c>
      <c r="AC304" t="s">
        <v>2571</v>
      </c>
      <c r="AD304" t="s">
        <v>717</v>
      </c>
      <c r="AE304" t="s">
        <v>3765</v>
      </c>
      <c r="AF304" t="s">
        <v>3766</v>
      </c>
      <c r="AG304" t="s">
        <v>3767</v>
      </c>
      <c r="AH304" t="s">
        <v>2615</v>
      </c>
      <c r="AI304" t="s">
        <v>2538</v>
      </c>
      <c r="AJ304" t="s">
        <v>2662</v>
      </c>
      <c r="AK304" t="s">
        <v>20</v>
      </c>
      <c r="AL304" t="s">
        <v>16</v>
      </c>
      <c r="AM304" t="s">
        <v>10</v>
      </c>
      <c r="AN304" t="s">
        <v>717</v>
      </c>
    </row>
    <row r="305" spans="1:40" hidden="1">
      <c r="A305">
        <v>303</v>
      </c>
      <c r="B305">
        <v>6</v>
      </c>
      <c r="C305" s="58">
        <v>44225</v>
      </c>
      <c r="D305" t="s">
        <v>74</v>
      </c>
      <c r="E305" t="s">
        <v>2506</v>
      </c>
      <c r="F305">
        <v>3</v>
      </c>
      <c r="G305">
        <v>20</v>
      </c>
      <c r="H305">
        <v>279</v>
      </c>
      <c r="I305">
        <v>1</v>
      </c>
      <c r="J305">
        <v>42.8</v>
      </c>
      <c r="K305" t="s">
        <v>9</v>
      </c>
      <c r="L305">
        <v>2411662.73</v>
      </c>
      <c r="M305">
        <v>0</v>
      </c>
      <c r="N305">
        <v>2411662.73</v>
      </c>
      <c r="O305">
        <v>56347.260046728974</v>
      </c>
      <c r="P305">
        <v>21400</v>
      </c>
      <c r="Q305">
        <v>2390262.73</v>
      </c>
      <c r="R305">
        <v>55847.260046728974</v>
      </c>
      <c r="S305" t="s">
        <v>65</v>
      </c>
      <c r="T305" t="s">
        <v>2664</v>
      </c>
      <c r="U305">
        <v>48780.87</v>
      </c>
      <c r="V305" t="s">
        <v>717</v>
      </c>
      <c r="W305">
        <v>44225</v>
      </c>
      <c r="X305" t="s">
        <v>3768</v>
      </c>
      <c r="Y305" t="s">
        <v>6</v>
      </c>
      <c r="Z305" t="s">
        <v>17</v>
      </c>
      <c r="AA305" t="s">
        <v>717</v>
      </c>
      <c r="AB305" t="s">
        <v>2509</v>
      </c>
      <c r="AC305" t="s">
        <v>2571</v>
      </c>
      <c r="AD305" t="s">
        <v>717</v>
      </c>
      <c r="AE305" t="s">
        <v>3769</v>
      </c>
      <c r="AF305" t="s">
        <v>3770</v>
      </c>
      <c r="AG305" t="s">
        <v>3771</v>
      </c>
      <c r="AH305" t="s">
        <v>2615</v>
      </c>
      <c r="AI305" t="s">
        <v>2877</v>
      </c>
      <c r="AJ305" t="s">
        <v>2657</v>
      </c>
      <c r="AK305" t="s">
        <v>73</v>
      </c>
      <c r="AL305" t="s">
        <v>16</v>
      </c>
      <c r="AM305" t="s">
        <v>10</v>
      </c>
      <c r="AN305" t="s">
        <v>717</v>
      </c>
    </row>
    <row r="306" spans="1:40" hidden="1">
      <c r="A306">
        <v>304</v>
      </c>
      <c r="B306">
        <v>1</v>
      </c>
      <c r="C306" s="58">
        <v>44229</v>
      </c>
      <c r="D306" t="s">
        <v>74</v>
      </c>
      <c r="E306" t="s">
        <v>2506</v>
      </c>
      <c r="F306">
        <v>1</v>
      </c>
      <c r="G306">
        <v>2</v>
      </c>
      <c r="H306">
        <v>151</v>
      </c>
      <c r="I306">
        <v>3</v>
      </c>
      <c r="J306">
        <v>93.3</v>
      </c>
      <c r="K306" t="s">
        <v>9</v>
      </c>
      <c r="L306">
        <v>4422955.54</v>
      </c>
      <c r="M306">
        <v>0</v>
      </c>
      <c r="N306">
        <v>4422955.54</v>
      </c>
      <c r="O306">
        <v>47405.739978563775</v>
      </c>
      <c r="P306">
        <v>46650</v>
      </c>
      <c r="Q306">
        <v>4376305.54</v>
      </c>
      <c r="R306">
        <v>46905.739978563775</v>
      </c>
      <c r="S306" t="s">
        <v>65</v>
      </c>
      <c r="T306" t="s">
        <v>2664</v>
      </c>
      <c r="U306">
        <v>89312.36</v>
      </c>
      <c r="V306" t="s">
        <v>717</v>
      </c>
      <c r="W306">
        <v>44229</v>
      </c>
      <c r="X306" t="s">
        <v>3772</v>
      </c>
      <c r="Y306" t="s">
        <v>6</v>
      </c>
      <c r="Z306" t="s">
        <v>17</v>
      </c>
      <c r="AA306" t="s">
        <v>717</v>
      </c>
      <c r="AB306" t="s">
        <v>2509</v>
      </c>
      <c r="AC306" t="s">
        <v>2571</v>
      </c>
      <c r="AD306" t="s">
        <v>717</v>
      </c>
      <c r="AE306" t="s">
        <v>126</v>
      </c>
      <c r="AF306" t="s">
        <v>3773</v>
      </c>
      <c r="AG306" t="s">
        <v>3774</v>
      </c>
      <c r="AH306" t="s">
        <v>3775</v>
      </c>
      <c r="AI306" t="s">
        <v>2521</v>
      </c>
      <c r="AJ306" t="s">
        <v>2514</v>
      </c>
      <c r="AK306" t="s">
        <v>73</v>
      </c>
      <c r="AL306" t="s">
        <v>2663</v>
      </c>
      <c r="AM306" t="s">
        <v>10</v>
      </c>
      <c r="AN306" t="s">
        <v>717</v>
      </c>
    </row>
    <row r="307" spans="1:40" hidden="1">
      <c r="A307">
        <v>305</v>
      </c>
      <c r="B307">
        <v>2</v>
      </c>
      <c r="C307" s="58">
        <v>44230</v>
      </c>
      <c r="D307" t="s">
        <v>74</v>
      </c>
      <c r="E307" t="s">
        <v>2515</v>
      </c>
      <c r="F307">
        <v>1</v>
      </c>
      <c r="G307">
        <v>14</v>
      </c>
      <c r="H307">
        <v>121</v>
      </c>
      <c r="I307">
        <v>0</v>
      </c>
      <c r="J307">
        <v>33.5</v>
      </c>
      <c r="K307" t="s">
        <v>15</v>
      </c>
      <c r="L307">
        <v>2142961.5</v>
      </c>
      <c r="M307">
        <v>0</v>
      </c>
      <c r="N307">
        <v>2142961.5</v>
      </c>
      <c r="O307">
        <v>63969</v>
      </c>
      <c r="P307">
        <v>157450</v>
      </c>
      <c r="Q307">
        <v>1985511.5</v>
      </c>
      <c r="R307">
        <v>59269</v>
      </c>
      <c r="S307" t="s">
        <v>65</v>
      </c>
      <c r="T307" t="s">
        <v>717</v>
      </c>
      <c r="U307" t="s">
        <v>717</v>
      </c>
      <c r="V307" t="s">
        <v>717</v>
      </c>
      <c r="W307">
        <v>44230</v>
      </c>
      <c r="X307" t="s">
        <v>3776</v>
      </c>
      <c r="Y307" t="s">
        <v>6</v>
      </c>
      <c r="Z307" t="s">
        <v>17</v>
      </c>
      <c r="AA307" t="s">
        <v>717</v>
      </c>
      <c r="AB307" t="s">
        <v>2509</v>
      </c>
      <c r="AC307" t="s">
        <v>2571</v>
      </c>
      <c r="AD307" t="s">
        <v>717</v>
      </c>
      <c r="AE307" t="s">
        <v>3777</v>
      </c>
      <c r="AF307" t="s">
        <v>3778</v>
      </c>
      <c r="AG307" t="s">
        <v>3779</v>
      </c>
      <c r="AH307" t="s">
        <v>2552</v>
      </c>
      <c r="AI307" t="s">
        <v>2552</v>
      </c>
      <c r="AJ307" t="s">
        <v>3185</v>
      </c>
      <c r="AK307" t="s">
        <v>20</v>
      </c>
      <c r="AL307" t="s">
        <v>2663</v>
      </c>
      <c r="AM307" t="s">
        <v>10</v>
      </c>
      <c r="AN307" t="s">
        <v>3780</v>
      </c>
    </row>
    <row r="308" spans="1:40" hidden="1">
      <c r="A308">
        <v>306</v>
      </c>
      <c r="B308">
        <v>3</v>
      </c>
      <c r="C308" s="58">
        <v>44231</v>
      </c>
      <c r="D308" t="s">
        <v>74</v>
      </c>
      <c r="E308" t="s">
        <v>2581</v>
      </c>
      <c r="F308">
        <v>5</v>
      </c>
      <c r="G308">
        <v>7</v>
      </c>
      <c r="H308">
        <v>356</v>
      </c>
      <c r="I308">
        <v>2</v>
      </c>
      <c r="J308">
        <v>62.1</v>
      </c>
      <c r="K308" t="s">
        <v>9</v>
      </c>
      <c r="L308">
        <v>3231892.8</v>
      </c>
      <c r="M308">
        <v>0</v>
      </c>
      <c r="N308">
        <v>3231892.8</v>
      </c>
      <c r="O308">
        <v>52043.362318840576</v>
      </c>
      <c r="P308">
        <v>31050</v>
      </c>
      <c r="Q308">
        <v>3200842.8</v>
      </c>
      <c r="R308">
        <v>51543.362318840576</v>
      </c>
      <c r="S308" t="s">
        <v>65</v>
      </c>
      <c r="T308" t="s">
        <v>2941</v>
      </c>
      <c r="U308">
        <v>45000</v>
      </c>
      <c r="V308" t="s">
        <v>717</v>
      </c>
      <c r="W308">
        <v>44231</v>
      </c>
      <c r="X308" t="s">
        <v>3781</v>
      </c>
      <c r="Y308" t="s">
        <v>6</v>
      </c>
      <c r="Z308" t="s">
        <v>17</v>
      </c>
      <c r="AA308" t="s">
        <v>717</v>
      </c>
      <c r="AB308" t="s">
        <v>2509</v>
      </c>
      <c r="AC308" t="s">
        <v>2571</v>
      </c>
      <c r="AD308" t="s">
        <v>717</v>
      </c>
      <c r="AE308" t="s">
        <v>3782</v>
      </c>
      <c r="AF308" t="s">
        <v>3783</v>
      </c>
      <c r="AG308" t="s">
        <v>3784</v>
      </c>
      <c r="AH308" t="s">
        <v>2615</v>
      </c>
      <c r="AI308" t="s">
        <v>2538</v>
      </c>
      <c r="AJ308" t="s">
        <v>2662</v>
      </c>
      <c r="AK308" t="s">
        <v>73</v>
      </c>
      <c r="AL308" t="s">
        <v>16</v>
      </c>
      <c r="AM308" t="s">
        <v>10</v>
      </c>
      <c r="AN308" t="s">
        <v>717</v>
      </c>
    </row>
    <row r="309" spans="1:40" hidden="1">
      <c r="A309">
        <v>307</v>
      </c>
      <c r="B309">
        <v>4</v>
      </c>
      <c r="C309" s="58">
        <v>44236</v>
      </c>
      <c r="D309" t="s">
        <v>74</v>
      </c>
      <c r="E309" t="s">
        <v>2515</v>
      </c>
      <c r="F309">
        <v>10</v>
      </c>
      <c r="G309">
        <v>10</v>
      </c>
      <c r="H309">
        <v>90</v>
      </c>
      <c r="I309">
        <v>2</v>
      </c>
      <c r="J309">
        <v>67.400000000000006</v>
      </c>
      <c r="K309" t="s">
        <v>9</v>
      </c>
      <c r="L309">
        <v>3344522.8</v>
      </c>
      <c r="M309">
        <v>0</v>
      </c>
      <c r="N309">
        <v>3344522.8</v>
      </c>
      <c r="O309">
        <v>49621.999999999993</v>
      </c>
      <c r="P309">
        <v>33700</v>
      </c>
      <c r="Q309">
        <v>3310822.8</v>
      </c>
      <c r="R309">
        <v>49121.999999999993</v>
      </c>
      <c r="S309" t="s">
        <v>65</v>
      </c>
      <c r="T309" t="s">
        <v>717</v>
      </c>
      <c r="U309" t="s">
        <v>717</v>
      </c>
      <c r="V309" t="s">
        <v>717</v>
      </c>
      <c r="W309">
        <v>44236</v>
      </c>
      <c r="X309" t="s">
        <v>3785</v>
      </c>
      <c r="Y309" t="s">
        <v>6</v>
      </c>
      <c r="Z309" t="s">
        <v>17</v>
      </c>
      <c r="AA309" t="s">
        <v>717</v>
      </c>
      <c r="AB309" t="s">
        <v>2509</v>
      </c>
      <c r="AC309" t="s">
        <v>2571</v>
      </c>
      <c r="AD309" t="s">
        <v>717</v>
      </c>
      <c r="AE309" t="s">
        <v>3786</v>
      </c>
      <c r="AF309" t="s">
        <v>3787</v>
      </c>
      <c r="AG309" t="s">
        <v>3788</v>
      </c>
      <c r="AH309" t="s">
        <v>2615</v>
      </c>
      <c r="AI309" t="s">
        <v>3120</v>
      </c>
      <c r="AJ309" t="s">
        <v>3202</v>
      </c>
      <c r="AK309" t="s">
        <v>20</v>
      </c>
      <c r="AL309" t="s">
        <v>2663</v>
      </c>
      <c r="AM309" t="s">
        <v>10</v>
      </c>
      <c r="AN309" t="s">
        <v>717</v>
      </c>
    </row>
    <row r="310" spans="1:40" hidden="1">
      <c r="A310">
        <v>308</v>
      </c>
      <c r="B310">
        <v>5</v>
      </c>
      <c r="C310" s="58">
        <v>44236</v>
      </c>
      <c r="D310" t="s">
        <v>74</v>
      </c>
      <c r="E310" t="s">
        <v>2506</v>
      </c>
      <c r="F310">
        <v>1</v>
      </c>
      <c r="G310">
        <v>10</v>
      </c>
      <c r="H310">
        <v>207</v>
      </c>
      <c r="I310">
        <v>3</v>
      </c>
      <c r="J310">
        <v>92.3</v>
      </c>
      <c r="K310" t="s">
        <v>9</v>
      </c>
      <c r="L310">
        <v>4463904.9000000004</v>
      </c>
      <c r="M310">
        <v>0</v>
      </c>
      <c r="N310">
        <v>4463904.9000000004</v>
      </c>
      <c r="O310">
        <v>48363.000000000007</v>
      </c>
      <c r="P310">
        <v>46150</v>
      </c>
      <c r="Q310">
        <v>4417754.9000000004</v>
      </c>
      <c r="R310">
        <v>47863.000000000007</v>
      </c>
      <c r="S310" t="s">
        <v>2507</v>
      </c>
      <c r="T310" t="s">
        <v>717</v>
      </c>
      <c r="U310" t="s">
        <v>717</v>
      </c>
      <c r="V310" t="s">
        <v>717</v>
      </c>
      <c r="W310">
        <v>44236</v>
      </c>
      <c r="X310" t="s">
        <v>3789</v>
      </c>
      <c r="Y310" t="s">
        <v>6</v>
      </c>
      <c r="Z310" t="s">
        <v>17</v>
      </c>
      <c r="AA310" t="s">
        <v>717</v>
      </c>
      <c r="AB310" t="s">
        <v>2509</v>
      </c>
      <c r="AC310" t="s">
        <v>118</v>
      </c>
      <c r="AD310" t="s">
        <v>717</v>
      </c>
      <c r="AE310" t="s">
        <v>3790</v>
      </c>
      <c r="AF310" t="s">
        <v>3791</v>
      </c>
      <c r="AG310" t="s">
        <v>3792</v>
      </c>
      <c r="AH310" t="s">
        <v>2615</v>
      </c>
      <c r="AI310" t="s">
        <v>2847</v>
      </c>
      <c r="AJ310" t="s">
        <v>2940</v>
      </c>
      <c r="AK310" t="s">
        <v>63</v>
      </c>
      <c r="AL310" t="s">
        <v>717</v>
      </c>
      <c r="AM310" t="s">
        <v>10</v>
      </c>
      <c r="AN310" t="s">
        <v>717</v>
      </c>
    </row>
    <row r="311" spans="1:40" hidden="1">
      <c r="A311">
        <v>309</v>
      </c>
      <c r="B311">
        <v>6</v>
      </c>
      <c r="C311" s="58">
        <v>44238</v>
      </c>
      <c r="D311" t="s">
        <v>74</v>
      </c>
      <c r="E311" t="s">
        <v>2515</v>
      </c>
      <c r="F311">
        <v>5</v>
      </c>
      <c r="G311">
        <v>15</v>
      </c>
      <c r="H311">
        <v>135</v>
      </c>
      <c r="I311">
        <v>2</v>
      </c>
      <c r="J311">
        <v>62</v>
      </c>
      <c r="K311" t="s">
        <v>25</v>
      </c>
      <c r="L311">
        <v>4156915.24</v>
      </c>
      <c r="M311">
        <v>0</v>
      </c>
      <c r="N311">
        <v>4156915.24</v>
      </c>
      <c r="O311">
        <v>67047.02</v>
      </c>
      <c r="P311">
        <v>961000</v>
      </c>
      <c r="Q311">
        <v>3195915.24</v>
      </c>
      <c r="R311">
        <v>51547.02</v>
      </c>
      <c r="S311" t="s">
        <v>65</v>
      </c>
      <c r="T311" t="s">
        <v>2664</v>
      </c>
      <c r="U311">
        <v>65222.76</v>
      </c>
      <c r="V311" t="s">
        <v>717</v>
      </c>
      <c r="W311">
        <v>44238</v>
      </c>
      <c r="X311" t="s">
        <v>3793</v>
      </c>
      <c r="Y311" t="s">
        <v>6</v>
      </c>
      <c r="Z311" t="s">
        <v>17</v>
      </c>
      <c r="AA311" t="s">
        <v>717</v>
      </c>
      <c r="AB311" t="s">
        <v>2509</v>
      </c>
      <c r="AC311" t="s">
        <v>2571</v>
      </c>
      <c r="AD311" t="s">
        <v>717</v>
      </c>
      <c r="AE311" t="s">
        <v>3794</v>
      </c>
      <c r="AF311" t="s">
        <v>3795</v>
      </c>
      <c r="AG311" t="s">
        <v>3796</v>
      </c>
      <c r="AH311" t="s">
        <v>2615</v>
      </c>
      <c r="AI311" t="s">
        <v>2552</v>
      </c>
      <c r="AJ311" t="s">
        <v>2825</v>
      </c>
      <c r="AK311" t="s">
        <v>20</v>
      </c>
      <c r="AL311" t="s">
        <v>16</v>
      </c>
      <c r="AM311" t="s">
        <v>10</v>
      </c>
      <c r="AN311" t="s">
        <v>717</v>
      </c>
    </row>
    <row r="312" spans="1:40" hidden="1">
      <c r="A312">
        <v>310</v>
      </c>
      <c r="B312">
        <v>7</v>
      </c>
      <c r="C312" s="58">
        <v>44239</v>
      </c>
      <c r="D312" t="s">
        <v>74</v>
      </c>
      <c r="E312" t="s">
        <v>2581</v>
      </c>
      <c r="F312">
        <v>6</v>
      </c>
      <c r="G312">
        <v>3</v>
      </c>
      <c r="H312">
        <v>325</v>
      </c>
      <c r="I312">
        <v>2</v>
      </c>
      <c r="J312">
        <v>67.2</v>
      </c>
      <c r="K312" t="s">
        <v>9</v>
      </c>
      <c r="L312">
        <v>3448740.8</v>
      </c>
      <c r="M312">
        <v>15000</v>
      </c>
      <c r="N312">
        <v>3463740.8</v>
      </c>
      <c r="O312">
        <v>51543.761904761901</v>
      </c>
      <c r="P312">
        <v>33600</v>
      </c>
      <c r="Q312">
        <v>3430140.8</v>
      </c>
      <c r="R312">
        <v>51043.761904761901</v>
      </c>
      <c r="S312" t="s">
        <v>65</v>
      </c>
      <c r="T312" t="s">
        <v>717</v>
      </c>
      <c r="U312" t="s">
        <v>717</v>
      </c>
      <c r="V312" t="s">
        <v>717</v>
      </c>
      <c r="W312">
        <v>44239</v>
      </c>
      <c r="X312" t="s">
        <v>3797</v>
      </c>
      <c r="Y312" t="s">
        <v>6</v>
      </c>
      <c r="Z312" t="s">
        <v>17</v>
      </c>
      <c r="AA312" t="s">
        <v>717</v>
      </c>
      <c r="AB312" t="s">
        <v>2509</v>
      </c>
      <c r="AC312" t="s">
        <v>2571</v>
      </c>
      <c r="AD312" t="s">
        <v>717</v>
      </c>
      <c r="AE312" t="s">
        <v>3798</v>
      </c>
      <c r="AF312" t="s">
        <v>3799</v>
      </c>
      <c r="AG312" t="s">
        <v>3800</v>
      </c>
      <c r="AH312" t="s">
        <v>2615</v>
      </c>
      <c r="AI312" t="s">
        <v>2673</v>
      </c>
      <c r="AJ312" t="s">
        <v>2569</v>
      </c>
      <c r="AK312" t="s">
        <v>63</v>
      </c>
      <c r="AL312" t="s">
        <v>2663</v>
      </c>
      <c r="AM312" t="s">
        <v>10</v>
      </c>
      <c r="AN312" t="s">
        <v>717</v>
      </c>
    </row>
    <row r="313" spans="1:40" hidden="1">
      <c r="A313">
        <v>311</v>
      </c>
      <c r="B313">
        <v>8</v>
      </c>
      <c r="C313" s="58">
        <v>44240</v>
      </c>
      <c r="D313" t="s">
        <v>74</v>
      </c>
      <c r="E313" t="s">
        <v>2515</v>
      </c>
      <c r="F313">
        <v>6</v>
      </c>
      <c r="G313">
        <v>15</v>
      </c>
      <c r="H313">
        <v>136</v>
      </c>
      <c r="I313">
        <v>2</v>
      </c>
      <c r="J313">
        <v>63.03</v>
      </c>
      <c r="K313" t="s">
        <v>25</v>
      </c>
      <c r="L313">
        <v>4114581.2</v>
      </c>
      <c r="M313">
        <v>0</v>
      </c>
      <c r="N313">
        <v>4114581.2</v>
      </c>
      <c r="O313">
        <v>65279.727114072666</v>
      </c>
      <c r="P313">
        <v>976965</v>
      </c>
      <c r="Q313">
        <v>3137616.2</v>
      </c>
      <c r="R313">
        <v>49779.727114072666</v>
      </c>
      <c r="S313" t="s">
        <v>65</v>
      </c>
      <c r="T313" t="s">
        <v>3268</v>
      </c>
      <c r="U313">
        <v>60000</v>
      </c>
      <c r="V313" t="s">
        <v>717</v>
      </c>
      <c r="W313">
        <v>44240</v>
      </c>
      <c r="X313" t="s">
        <v>3801</v>
      </c>
      <c r="Y313" t="s">
        <v>6</v>
      </c>
      <c r="Z313" t="s">
        <v>17</v>
      </c>
      <c r="AA313" t="s">
        <v>717</v>
      </c>
      <c r="AB313" t="s">
        <v>2509</v>
      </c>
      <c r="AC313" t="s">
        <v>2571</v>
      </c>
      <c r="AD313" t="s">
        <v>717</v>
      </c>
      <c r="AE313" t="s">
        <v>3802</v>
      </c>
      <c r="AF313" t="s">
        <v>3803</v>
      </c>
      <c r="AG313" t="s">
        <v>3804</v>
      </c>
      <c r="AH313" t="s">
        <v>2615</v>
      </c>
      <c r="AI313" t="s">
        <v>2552</v>
      </c>
      <c r="AJ313" t="s">
        <v>3330</v>
      </c>
      <c r="AK313" t="s">
        <v>77</v>
      </c>
      <c r="AL313" t="s">
        <v>2663</v>
      </c>
      <c r="AM313" t="s">
        <v>10</v>
      </c>
      <c r="AN313" t="s">
        <v>717</v>
      </c>
    </row>
    <row r="314" spans="1:40" hidden="1">
      <c r="A314">
        <v>312</v>
      </c>
      <c r="B314">
        <v>9</v>
      </c>
      <c r="C314" s="58">
        <v>44245</v>
      </c>
      <c r="D314" t="s">
        <v>74</v>
      </c>
      <c r="E314" t="s">
        <v>2506</v>
      </c>
      <c r="F314">
        <v>1</v>
      </c>
      <c r="G314">
        <v>23</v>
      </c>
      <c r="H314">
        <v>298</v>
      </c>
      <c r="I314">
        <v>2</v>
      </c>
      <c r="J314">
        <v>63.88</v>
      </c>
      <c r="K314" t="s">
        <v>9</v>
      </c>
      <c r="L314">
        <v>3387931.5</v>
      </c>
      <c r="M314">
        <v>15000</v>
      </c>
      <c r="N314">
        <v>3402931.5</v>
      </c>
      <c r="O314">
        <v>53270.687226048838</v>
      </c>
      <c r="P314">
        <v>31940</v>
      </c>
      <c r="Q314">
        <v>3370991.5</v>
      </c>
      <c r="R314">
        <v>52770.687226048838</v>
      </c>
      <c r="S314" t="s">
        <v>65</v>
      </c>
      <c r="T314" t="s">
        <v>717</v>
      </c>
      <c r="U314" t="s">
        <v>717</v>
      </c>
      <c r="V314" t="s">
        <v>717</v>
      </c>
      <c r="W314">
        <v>44245</v>
      </c>
      <c r="X314" t="s">
        <v>3805</v>
      </c>
      <c r="Y314" t="s">
        <v>6</v>
      </c>
      <c r="Z314" t="s">
        <v>17</v>
      </c>
      <c r="AA314" t="s">
        <v>717</v>
      </c>
      <c r="AB314" t="s">
        <v>2509</v>
      </c>
      <c r="AC314" t="s">
        <v>2571</v>
      </c>
      <c r="AD314" t="s">
        <v>717</v>
      </c>
      <c r="AE314" t="s">
        <v>3806</v>
      </c>
      <c r="AF314" t="s">
        <v>3807</v>
      </c>
      <c r="AG314" t="s">
        <v>3808</v>
      </c>
      <c r="AH314" t="s">
        <v>2552</v>
      </c>
      <c r="AI314" t="s">
        <v>2552</v>
      </c>
      <c r="AJ314" t="s">
        <v>2895</v>
      </c>
      <c r="AK314" t="s">
        <v>63</v>
      </c>
      <c r="AL314" t="s">
        <v>16</v>
      </c>
      <c r="AM314" t="s">
        <v>10</v>
      </c>
      <c r="AN314" t="s">
        <v>717</v>
      </c>
    </row>
    <row r="315" spans="1:40" hidden="1">
      <c r="A315">
        <v>313</v>
      </c>
      <c r="B315">
        <v>10</v>
      </c>
      <c r="C315" s="58">
        <v>44245</v>
      </c>
      <c r="D315" t="s">
        <v>74</v>
      </c>
      <c r="E315" t="s">
        <v>2515</v>
      </c>
      <c r="F315">
        <v>2</v>
      </c>
      <c r="G315">
        <v>14</v>
      </c>
      <c r="H315">
        <v>122</v>
      </c>
      <c r="I315">
        <v>0</v>
      </c>
      <c r="J315">
        <v>31.88</v>
      </c>
      <c r="K315" t="s">
        <v>9</v>
      </c>
      <c r="L315">
        <v>2103327.9</v>
      </c>
      <c r="M315">
        <v>0</v>
      </c>
      <c r="N315">
        <v>2103327.9</v>
      </c>
      <c r="O315">
        <v>65976.408406524468</v>
      </c>
      <c r="P315">
        <v>15940</v>
      </c>
      <c r="Q315">
        <v>2087387.9</v>
      </c>
      <c r="R315">
        <v>65476.408406524461</v>
      </c>
      <c r="S315" t="s">
        <v>65</v>
      </c>
      <c r="T315" t="s">
        <v>717</v>
      </c>
      <c r="U315" t="s">
        <v>717</v>
      </c>
      <c r="V315" t="s">
        <v>717</v>
      </c>
      <c r="W315">
        <v>44245</v>
      </c>
      <c r="X315" t="s">
        <v>3809</v>
      </c>
      <c r="Y315" t="s">
        <v>6</v>
      </c>
      <c r="Z315" t="s">
        <v>17</v>
      </c>
      <c r="AA315" t="s">
        <v>717</v>
      </c>
      <c r="AB315" t="s">
        <v>2509</v>
      </c>
      <c r="AC315" t="s">
        <v>2571</v>
      </c>
      <c r="AD315" t="s">
        <v>717</v>
      </c>
      <c r="AE315" t="s">
        <v>3810</v>
      </c>
      <c r="AF315" t="s">
        <v>3811</v>
      </c>
      <c r="AG315" t="s">
        <v>3812</v>
      </c>
      <c r="AH315" t="s">
        <v>65</v>
      </c>
      <c r="AI315" t="s">
        <v>3813</v>
      </c>
      <c r="AJ315" t="s">
        <v>2514</v>
      </c>
      <c r="AK315" t="s">
        <v>63</v>
      </c>
      <c r="AL315" t="s">
        <v>16</v>
      </c>
      <c r="AM315" t="s">
        <v>10</v>
      </c>
      <c r="AN315" t="s">
        <v>717</v>
      </c>
    </row>
    <row r="316" spans="1:40" hidden="1">
      <c r="A316">
        <v>314</v>
      </c>
      <c r="B316">
        <v>11</v>
      </c>
      <c r="C316" s="58">
        <v>44246</v>
      </c>
      <c r="D316" t="s">
        <v>74</v>
      </c>
      <c r="E316" t="s">
        <v>2506</v>
      </c>
      <c r="F316">
        <v>6</v>
      </c>
      <c r="G316">
        <v>20</v>
      </c>
      <c r="H316">
        <v>282</v>
      </c>
      <c r="I316">
        <v>2</v>
      </c>
      <c r="J316">
        <v>64.150000000000006</v>
      </c>
      <c r="K316" t="s">
        <v>9</v>
      </c>
      <c r="L316">
        <v>3261591.1</v>
      </c>
      <c r="M316">
        <v>0</v>
      </c>
      <c r="N316">
        <v>3261591.1</v>
      </c>
      <c r="O316">
        <v>50843.197194076383</v>
      </c>
      <c r="P316">
        <v>32075</v>
      </c>
      <c r="Q316">
        <v>3229516.1</v>
      </c>
      <c r="R316">
        <v>50343.197194076383</v>
      </c>
      <c r="S316" t="s">
        <v>65</v>
      </c>
      <c r="T316" t="s">
        <v>3268</v>
      </c>
      <c r="U316">
        <v>60000</v>
      </c>
      <c r="V316" t="s">
        <v>717</v>
      </c>
      <c r="W316">
        <v>44247</v>
      </c>
      <c r="X316" t="s">
        <v>3814</v>
      </c>
      <c r="Y316" t="s">
        <v>6</v>
      </c>
      <c r="Z316" t="s">
        <v>17</v>
      </c>
      <c r="AA316" t="s">
        <v>717</v>
      </c>
      <c r="AB316" t="s">
        <v>2509</v>
      </c>
      <c r="AC316" t="s">
        <v>2571</v>
      </c>
      <c r="AD316" t="s">
        <v>717</v>
      </c>
      <c r="AE316" t="s">
        <v>3815</v>
      </c>
      <c r="AF316" t="s">
        <v>3816</v>
      </c>
      <c r="AG316" t="s">
        <v>3817</v>
      </c>
      <c r="AH316" t="s">
        <v>2191</v>
      </c>
      <c r="AI316" t="s">
        <v>2552</v>
      </c>
      <c r="AJ316" t="s">
        <v>2514</v>
      </c>
      <c r="AK316" t="s">
        <v>20</v>
      </c>
      <c r="AL316" t="s">
        <v>2663</v>
      </c>
      <c r="AM316" t="s">
        <v>10</v>
      </c>
      <c r="AN316" t="s">
        <v>717</v>
      </c>
    </row>
    <row r="317" spans="1:40" hidden="1">
      <c r="A317">
        <v>315</v>
      </c>
      <c r="B317">
        <v>12</v>
      </c>
      <c r="C317" s="58">
        <v>44247</v>
      </c>
      <c r="D317" t="s">
        <v>74</v>
      </c>
      <c r="E317" t="s">
        <v>2515</v>
      </c>
      <c r="F317">
        <v>1</v>
      </c>
      <c r="G317">
        <v>15</v>
      </c>
      <c r="H317">
        <v>131</v>
      </c>
      <c r="I317">
        <v>0</v>
      </c>
      <c r="J317">
        <v>32.03</v>
      </c>
      <c r="K317" t="s">
        <v>9</v>
      </c>
      <c r="L317">
        <v>2109644.2000000002</v>
      </c>
      <c r="M317">
        <v>0</v>
      </c>
      <c r="N317">
        <v>2109644.2000000002</v>
      </c>
      <c r="O317">
        <v>65864.633156415861</v>
      </c>
      <c r="P317">
        <v>16015</v>
      </c>
      <c r="Q317">
        <v>2093629.2</v>
      </c>
      <c r="R317">
        <v>65364.633156415861</v>
      </c>
      <c r="S317" t="s">
        <v>65</v>
      </c>
      <c r="T317" t="s">
        <v>717</v>
      </c>
      <c r="U317" t="s">
        <v>717</v>
      </c>
      <c r="V317" t="s">
        <v>717</v>
      </c>
      <c r="W317">
        <v>44247</v>
      </c>
      <c r="X317" t="s">
        <v>3818</v>
      </c>
      <c r="Y317" t="s">
        <v>6</v>
      </c>
      <c r="Z317" t="s">
        <v>17</v>
      </c>
      <c r="AA317" t="s">
        <v>717</v>
      </c>
      <c r="AB317" t="s">
        <v>2509</v>
      </c>
      <c r="AC317" t="s">
        <v>2571</v>
      </c>
      <c r="AD317" t="s">
        <v>717</v>
      </c>
      <c r="AE317" t="s">
        <v>3819</v>
      </c>
      <c r="AF317" t="s">
        <v>3820</v>
      </c>
      <c r="AG317" t="s">
        <v>3821</v>
      </c>
      <c r="AH317" t="s">
        <v>2552</v>
      </c>
      <c r="AI317" t="s">
        <v>2552</v>
      </c>
      <c r="AJ317" t="s">
        <v>2569</v>
      </c>
      <c r="AK317" t="s">
        <v>73</v>
      </c>
      <c r="AL317" t="s">
        <v>16</v>
      </c>
      <c r="AM317" t="s">
        <v>10</v>
      </c>
      <c r="AN317" t="s">
        <v>717</v>
      </c>
    </row>
    <row r="318" spans="1:40" hidden="1">
      <c r="A318">
        <v>316</v>
      </c>
      <c r="B318">
        <v>13</v>
      </c>
      <c r="C318" s="58">
        <v>44256</v>
      </c>
      <c r="D318" t="s">
        <v>74</v>
      </c>
      <c r="E318" t="s">
        <v>2506</v>
      </c>
      <c r="F318">
        <v>7</v>
      </c>
      <c r="G318">
        <v>12</v>
      </c>
      <c r="H318">
        <v>227</v>
      </c>
      <c r="I318">
        <v>2</v>
      </c>
      <c r="J318">
        <v>63.74</v>
      </c>
      <c r="K318" t="s">
        <v>9</v>
      </c>
      <c r="L318">
        <v>3202998.74</v>
      </c>
      <c r="M318">
        <v>0</v>
      </c>
      <c r="N318">
        <v>3202998.74</v>
      </c>
      <c r="O318">
        <v>50251</v>
      </c>
      <c r="P318">
        <v>31870</v>
      </c>
      <c r="Q318">
        <v>3171128.74</v>
      </c>
      <c r="R318">
        <v>49751</v>
      </c>
      <c r="S318" t="s">
        <v>2507</v>
      </c>
      <c r="T318" t="s">
        <v>717</v>
      </c>
      <c r="U318" t="s">
        <v>717</v>
      </c>
      <c r="V318" t="s">
        <v>717</v>
      </c>
      <c r="W318">
        <v>44247</v>
      </c>
      <c r="X318" t="s">
        <v>3822</v>
      </c>
      <c r="Y318" t="s">
        <v>6</v>
      </c>
      <c r="Z318" t="s">
        <v>11</v>
      </c>
      <c r="AA318" t="s">
        <v>717</v>
      </c>
      <c r="AB318" t="s">
        <v>2509</v>
      </c>
      <c r="AC318" t="s">
        <v>118</v>
      </c>
      <c r="AD318" t="s">
        <v>717</v>
      </c>
      <c r="AE318" t="s">
        <v>3823</v>
      </c>
      <c r="AF318" t="s">
        <v>3824</v>
      </c>
      <c r="AG318" t="s">
        <v>3825</v>
      </c>
      <c r="AH318" t="s">
        <v>2615</v>
      </c>
      <c r="AI318" t="s">
        <v>2847</v>
      </c>
      <c r="AJ318" t="s">
        <v>2940</v>
      </c>
      <c r="AK318" t="s">
        <v>63</v>
      </c>
      <c r="AL318" t="s">
        <v>717</v>
      </c>
      <c r="AM318" t="s">
        <v>10</v>
      </c>
      <c r="AN318" t="s">
        <v>717</v>
      </c>
    </row>
    <row r="319" spans="1:40" hidden="1">
      <c r="A319">
        <v>317</v>
      </c>
      <c r="B319">
        <v>14</v>
      </c>
      <c r="C319" s="58">
        <v>44251</v>
      </c>
      <c r="D319" t="s">
        <v>74</v>
      </c>
      <c r="E319" t="s">
        <v>2506</v>
      </c>
      <c r="F319">
        <v>6</v>
      </c>
      <c r="G319">
        <v>14</v>
      </c>
      <c r="H319">
        <v>240</v>
      </c>
      <c r="I319">
        <v>2</v>
      </c>
      <c r="J319">
        <v>64.150000000000006</v>
      </c>
      <c r="K319" t="s">
        <v>9</v>
      </c>
      <c r="L319">
        <v>3316566</v>
      </c>
      <c r="M319">
        <v>0</v>
      </c>
      <c r="N319">
        <v>3316566</v>
      </c>
      <c r="O319">
        <v>51700.171473109891</v>
      </c>
      <c r="P319">
        <v>32075</v>
      </c>
      <c r="Q319">
        <v>3284491</v>
      </c>
      <c r="R319">
        <v>51200.171473109891</v>
      </c>
      <c r="S319" t="s">
        <v>65</v>
      </c>
      <c r="T319" t="s">
        <v>717</v>
      </c>
      <c r="U319" t="s">
        <v>717</v>
      </c>
      <c r="V319" t="s">
        <v>717</v>
      </c>
      <c r="W319">
        <v>44251</v>
      </c>
      <c r="X319" t="s">
        <v>3826</v>
      </c>
      <c r="Y319" t="s">
        <v>6</v>
      </c>
      <c r="Z319" t="s">
        <v>17</v>
      </c>
      <c r="AA319" t="s">
        <v>717</v>
      </c>
      <c r="AB319" t="s">
        <v>2509</v>
      </c>
      <c r="AC319" t="s">
        <v>2571</v>
      </c>
      <c r="AD319" t="s">
        <v>717</v>
      </c>
      <c r="AE319" t="s">
        <v>3827</v>
      </c>
      <c r="AF319" t="s">
        <v>3828</v>
      </c>
      <c r="AG319" t="s">
        <v>3829</v>
      </c>
      <c r="AH319" t="s">
        <v>2191</v>
      </c>
      <c r="AI319" t="s">
        <v>2538</v>
      </c>
      <c r="AJ319" t="s">
        <v>2514</v>
      </c>
      <c r="AK319" t="s">
        <v>73</v>
      </c>
      <c r="AL319" t="s">
        <v>2663</v>
      </c>
      <c r="AM319" t="s">
        <v>10</v>
      </c>
      <c r="AN319" t="s">
        <v>717</v>
      </c>
    </row>
    <row r="320" spans="1:40" hidden="1">
      <c r="A320">
        <v>318</v>
      </c>
      <c r="B320">
        <v>15</v>
      </c>
      <c r="C320" s="58">
        <v>44251</v>
      </c>
      <c r="D320" t="s">
        <v>74</v>
      </c>
      <c r="E320" t="s">
        <v>2506</v>
      </c>
      <c r="F320">
        <v>5</v>
      </c>
      <c r="G320">
        <v>15</v>
      </c>
      <c r="H320">
        <v>246</v>
      </c>
      <c r="I320">
        <v>3</v>
      </c>
      <c r="J320">
        <v>78.03</v>
      </c>
      <c r="K320" t="s">
        <v>9</v>
      </c>
      <c r="L320">
        <v>3913755.78</v>
      </c>
      <c r="M320">
        <v>0</v>
      </c>
      <c r="N320">
        <v>3913755.78</v>
      </c>
      <c r="O320">
        <v>50157.064975009605</v>
      </c>
      <c r="P320">
        <v>39015</v>
      </c>
      <c r="Q320">
        <v>3874740.78</v>
      </c>
      <c r="R320">
        <v>49657.064975009605</v>
      </c>
      <c r="S320" t="s">
        <v>65</v>
      </c>
      <c r="T320" t="s">
        <v>3268</v>
      </c>
      <c r="U320">
        <v>60000</v>
      </c>
      <c r="V320" t="s">
        <v>717</v>
      </c>
      <c r="W320">
        <v>44251</v>
      </c>
      <c r="X320" t="s">
        <v>3830</v>
      </c>
      <c r="Y320" t="s">
        <v>6</v>
      </c>
      <c r="Z320" t="s">
        <v>17</v>
      </c>
      <c r="AA320" t="s">
        <v>717</v>
      </c>
      <c r="AB320" t="s">
        <v>2509</v>
      </c>
      <c r="AC320" t="s">
        <v>2571</v>
      </c>
      <c r="AD320" t="s">
        <v>717</v>
      </c>
      <c r="AE320" t="s">
        <v>3831</v>
      </c>
      <c r="AF320" t="s">
        <v>3832</v>
      </c>
      <c r="AG320" t="s">
        <v>3833</v>
      </c>
      <c r="AH320" t="s">
        <v>2615</v>
      </c>
      <c r="AI320" t="s">
        <v>2688</v>
      </c>
      <c r="AJ320" t="s">
        <v>2651</v>
      </c>
      <c r="AK320" t="s">
        <v>20</v>
      </c>
      <c r="AL320" t="s">
        <v>2663</v>
      </c>
      <c r="AM320" t="s">
        <v>10</v>
      </c>
      <c r="AN320" t="s">
        <v>717</v>
      </c>
    </row>
    <row r="321" spans="1:40" hidden="1">
      <c r="A321">
        <v>319</v>
      </c>
      <c r="B321">
        <v>16</v>
      </c>
      <c r="C321" s="58">
        <v>44253</v>
      </c>
      <c r="D321" t="s">
        <v>74</v>
      </c>
      <c r="E321" t="s">
        <v>2515</v>
      </c>
      <c r="F321">
        <v>10</v>
      </c>
      <c r="G321">
        <v>15</v>
      </c>
      <c r="H321">
        <v>140</v>
      </c>
      <c r="I321">
        <v>2</v>
      </c>
      <c r="J321">
        <v>65.88</v>
      </c>
      <c r="K321" t="s">
        <v>9</v>
      </c>
      <c r="L321">
        <v>3344409.4</v>
      </c>
      <c r="M321">
        <v>15000</v>
      </c>
      <c r="N321">
        <v>3359409.4</v>
      </c>
      <c r="O321">
        <v>50992.856709168183</v>
      </c>
      <c r="P321">
        <v>32940</v>
      </c>
      <c r="Q321">
        <v>3326469.4</v>
      </c>
      <c r="R321">
        <v>50492.856709168183</v>
      </c>
      <c r="S321" t="s">
        <v>65</v>
      </c>
      <c r="T321" t="s">
        <v>717</v>
      </c>
      <c r="U321" t="s">
        <v>717</v>
      </c>
      <c r="V321" t="s">
        <v>717</v>
      </c>
      <c r="W321">
        <v>44251</v>
      </c>
      <c r="X321" t="s">
        <v>3834</v>
      </c>
      <c r="Y321" t="s">
        <v>6</v>
      </c>
      <c r="Z321" t="s">
        <v>17</v>
      </c>
      <c r="AA321" t="s">
        <v>717</v>
      </c>
      <c r="AB321" t="s">
        <v>2509</v>
      </c>
      <c r="AC321" t="s">
        <v>2571</v>
      </c>
      <c r="AD321" t="s">
        <v>717</v>
      </c>
      <c r="AE321" t="s">
        <v>3835</v>
      </c>
      <c r="AF321" t="s">
        <v>3836</v>
      </c>
      <c r="AG321" t="s">
        <v>3837</v>
      </c>
      <c r="AH321" t="s">
        <v>2615</v>
      </c>
      <c r="AI321" t="s">
        <v>2552</v>
      </c>
      <c r="AJ321" t="s">
        <v>2895</v>
      </c>
      <c r="AK321" t="s">
        <v>63</v>
      </c>
      <c r="AL321" t="s">
        <v>16</v>
      </c>
      <c r="AM321" t="s">
        <v>10</v>
      </c>
      <c r="AN321" t="s">
        <v>717</v>
      </c>
    </row>
    <row r="322" spans="1:40" hidden="1">
      <c r="A322">
        <v>320</v>
      </c>
      <c r="B322">
        <v>1</v>
      </c>
      <c r="C322" s="58">
        <v>44287</v>
      </c>
      <c r="D322" t="s">
        <v>121</v>
      </c>
      <c r="E322" t="s">
        <v>2515</v>
      </c>
      <c r="F322">
        <v>2</v>
      </c>
      <c r="G322">
        <v>21</v>
      </c>
      <c r="H322">
        <v>135</v>
      </c>
      <c r="I322">
        <v>2</v>
      </c>
      <c r="J322">
        <v>58.99</v>
      </c>
      <c r="K322" t="s">
        <v>15</v>
      </c>
      <c r="L322">
        <v>2812230.27</v>
      </c>
      <c r="M322">
        <v>0</v>
      </c>
      <c r="N322">
        <v>2812230.27</v>
      </c>
      <c r="O322">
        <v>47673</v>
      </c>
      <c r="P322">
        <v>265455</v>
      </c>
      <c r="Q322">
        <v>2546775.27</v>
      </c>
      <c r="R322">
        <v>43173</v>
      </c>
      <c r="S322" t="s">
        <v>130</v>
      </c>
      <c r="T322" t="s">
        <v>717</v>
      </c>
      <c r="U322" t="s">
        <v>717</v>
      </c>
      <c r="V322" t="s">
        <v>717</v>
      </c>
      <c r="W322">
        <v>44258</v>
      </c>
      <c r="X322" t="s">
        <v>3838</v>
      </c>
      <c r="Y322" t="s">
        <v>6</v>
      </c>
      <c r="Z322" t="s">
        <v>11</v>
      </c>
      <c r="AA322" t="s">
        <v>717</v>
      </c>
      <c r="AB322" t="s">
        <v>2509</v>
      </c>
      <c r="AC322" t="s">
        <v>118</v>
      </c>
      <c r="AD322" t="s">
        <v>717</v>
      </c>
      <c r="AE322" t="s">
        <v>3839</v>
      </c>
      <c r="AF322" t="s">
        <v>3840</v>
      </c>
      <c r="AG322" t="s">
        <v>3841</v>
      </c>
      <c r="AH322" t="s">
        <v>2191</v>
      </c>
      <c r="AI322" t="s">
        <v>2538</v>
      </c>
      <c r="AJ322" t="s">
        <v>2514</v>
      </c>
      <c r="AK322" t="s">
        <v>20</v>
      </c>
      <c r="AL322" t="s">
        <v>717</v>
      </c>
      <c r="AM322" t="s">
        <v>10</v>
      </c>
      <c r="AN322" t="s">
        <v>717</v>
      </c>
    </row>
    <row r="323" spans="1:40" hidden="1">
      <c r="A323">
        <v>321</v>
      </c>
      <c r="B323">
        <v>2</v>
      </c>
      <c r="C323" s="58">
        <v>44258</v>
      </c>
      <c r="D323" t="s">
        <v>74</v>
      </c>
      <c r="E323" t="s">
        <v>2506</v>
      </c>
      <c r="F323">
        <v>6</v>
      </c>
      <c r="G323">
        <v>12</v>
      </c>
      <c r="H323">
        <v>226</v>
      </c>
      <c r="I323">
        <v>2</v>
      </c>
      <c r="J323">
        <v>64.150000000000006</v>
      </c>
      <c r="K323" t="s">
        <v>9</v>
      </c>
      <c r="L323">
        <v>3223601.65</v>
      </c>
      <c r="M323">
        <v>0</v>
      </c>
      <c r="N323">
        <v>3223601.65</v>
      </c>
      <c r="O323">
        <v>50250.999999999993</v>
      </c>
      <c r="P323">
        <v>32075</v>
      </c>
      <c r="Q323">
        <v>3191526.65</v>
      </c>
      <c r="R323">
        <v>49750.999999999993</v>
      </c>
      <c r="S323" t="s">
        <v>65</v>
      </c>
      <c r="T323" t="s">
        <v>717</v>
      </c>
      <c r="U323" t="s">
        <v>717</v>
      </c>
      <c r="V323" t="s">
        <v>717</v>
      </c>
      <c r="W323">
        <v>44258</v>
      </c>
      <c r="X323" t="s">
        <v>3842</v>
      </c>
      <c r="Y323" t="s">
        <v>6</v>
      </c>
      <c r="Z323" t="s">
        <v>11</v>
      </c>
      <c r="AA323" t="s">
        <v>717</v>
      </c>
      <c r="AB323" t="s">
        <v>2509</v>
      </c>
      <c r="AC323" t="s">
        <v>2571</v>
      </c>
      <c r="AD323" t="s">
        <v>717</v>
      </c>
      <c r="AE323" t="s">
        <v>78</v>
      </c>
      <c r="AF323" t="s">
        <v>3843</v>
      </c>
      <c r="AG323" t="s">
        <v>3844</v>
      </c>
      <c r="AH323" t="s">
        <v>2615</v>
      </c>
      <c r="AI323" t="s">
        <v>2552</v>
      </c>
      <c r="AJ323" t="s">
        <v>2662</v>
      </c>
      <c r="AK323" t="s">
        <v>77</v>
      </c>
      <c r="AL323" t="s">
        <v>16</v>
      </c>
      <c r="AM323" t="s">
        <v>10</v>
      </c>
      <c r="AN323" t="s">
        <v>717</v>
      </c>
    </row>
    <row r="324" spans="1:40" hidden="1">
      <c r="A324">
        <v>322</v>
      </c>
      <c r="B324">
        <v>3</v>
      </c>
      <c r="C324" s="58">
        <v>44261</v>
      </c>
      <c r="D324" t="s">
        <v>74</v>
      </c>
      <c r="E324" t="s">
        <v>2581</v>
      </c>
      <c r="F324">
        <v>8</v>
      </c>
      <c r="G324">
        <v>7</v>
      </c>
      <c r="H324">
        <v>359</v>
      </c>
      <c r="I324">
        <v>2</v>
      </c>
      <c r="J324">
        <v>60.25</v>
      </c>
      <c r="K324" t="s">
        <v>9</v>
      </c>
      <c r="L324">
        <v>3179272</v>
      </c>
      <c r="M324">
        <v>0</v>
      </c>
      <c r="N324">
        <v>3179272</v>
      </c>
      <c r="O324">
        <v>52768</v>
      </c>
      <c r="P324">
        <v>30125</v>
      </c>
      <c r="Q324">
        <v>3149147</v>
      </c>
      <c r="R324">
        <v>52268</v>
      </c>
      <c r="S324" t="s">
        <v>65</v>
      </c>
      <c r="T324" t="s">
        <v>717</v>
      </c>
      <c r="U324" t="s">
        <v>717</v>
      </c>
      <c r="V324" t="s">
        <v>717</v>
      </c>
      <c r="W324">
        <v>44261</v>
      </c>
      <c r="X324" t="s">
        <v>3845</v>
      </c>
      <c r="Y324" t="s">
        <v>6</v>
      </c>
      <c r="Z324" t="s">
        <v>11</v>
      </c>
      <c r="AA324" t="s">
        <v>717</v>
      </c>
      <c r="AB324" t="s">
        <v>2509</v>
      </c>
      <c r="AC324" t="s">
        <v>2571</v>
      </c>
      <c r="AD324" t="s">
        <v>717</v>
      </c>
      <c r="AE324" t="s">
        <v>75</v>
      </c>
      <c r="AF324" t="s">
        <v>3846</v>
      </c>
      <c r="AG324" t="s">
        <v>3847</v>
      </c>
      <c r="AH324" t="s">
        <v>2615</v>
      </c>
      <c r="AI324" t="s">
        <v>2552</v>
      </c>
      <c r="AJ324" t="s">
        <v>2895</v>
      </c>
      <c r="AK324" t="s">
        <v>73</v>
      </c>
      <c r="AL324" t="s">
        <v>16</v>
      </c>
      <c r="AM324" t="s">
        <v>10</v>
      </c>
      <c r="AN324" t="s">
        <v>717</v>
      </c>
    </row>
    <row r="325" spans="1:40" hidden="1">
      <c r="A325">
        <v>323</v>
      </c>
      <c r="B325">
        <v>4</v>
      </c>
      <c r="C325" s="58">
        <v>44264</v>
      </c>
      <c r="D325" t="s">
        <v>74</v>
      </c>
      <c r="E325" t="s">
        <v>2506</v>
      </c>
      <c r="F325">
        <v>3</v>
      </c>
      <c r="G325">
        <v>6</v>
      </c>
      <c r="H325">
        <v>181</v>
      </c>
      <c r="I325">
        <v>1</v>
      </c>
      <c r="J325">
        <v>41.48</v>
      </c>
      <c r="K325" t="s">
        <v>9</v>
      </c>
      <c r="L325">
        <v>2476473.6</v>
      </c>
      <c r="M325">
        <v>15000</v>
      </c>
      <c r="N325">
        <v>2491473.6</v>
      </c>
      <c r="O325">
        <v>60064.455159112833</v>
      </c>
      <c r="P325">
        <v>20740</v>
      </c>
      <c r="Q325">
        <v>2470733.6</v>
      </c>
      <c r="R325">
        <v>59564.455159112833</v>
      </c>
      <c r="S325" t="s">
        <v>65</v>
      </c>
      <c r="T325" t="s">
        <v>717</v>
      </c>
      <c r="U325" t="s">
        <v>717</v>
      </c>
      <c r="V325" t="s">
        <v>717</v>
      </c>
      <c r="W325">
        <v>44264</v>
      </c>
      <c r="X325" t="s">
        <v>3848</v>
      </c>
      <c r="Y325" t="s">
        <v>6</v>
      </c>
      <c r="Z325" t="s">
        <v>11</v>
      </c>
      <c r="AA325" t="s">
        <v>717</v>
      </c>
      <c r="AB325" t="s">
        <v>2509</v>
      </c>
      <c r="AC325" t="s">
        <v>2558</v>
      </c>
      <c r="AD325" t="s">
        <v>717</v>
      </c>
      <c r="AE325" t="s">
        <v>66</v>
      </c>
      <c r="AF325" t="s">
        <v>3849</v>
      </c>
      <c r="AG325" t="s">
        <v>3850</v>
      </c>
      <c r="AH325" t="s">
        <v>2615</v>
      </c>
      <c r="AI325" t="s">
        <v>2656</v>
      </c>
      <c r="AJ325" t="s">
        <v>2940</v>
      </c>
      <c r="AK325" t="s">
        <v>63</v>
      </c>
      <c r="AL325" t="s">
        <v>16</v>
      </c>
      <c r="AM325" t="s">
        <v>10</v>
      </c>
      <c r="AN325" t="s">
        <v>717</v>
      </c>
    </row>
    <row r="326" spans="1:40" hidden="1">
      <c r="A326">
        <v>324</v>
      </c>
      <c r="B326">
        <v>5</v>
      </c>
      <c r="C326" s="58">
        <v>44271</v>
      </c>
      <c r="D326" t="s">
        <v>74</v>
      </c>
      <c r="E326" t="s">
        <v>2506</v>
      </c>
      <c r="F326">
        <v>1</v>
      </c>
      <c r="G326">
        <v>14</v>
      </c>
      <c r="H326">
        <v>235</v>
      </c>
      <c r="I326">
        <v>3</v>
      </c>
      <c r="J326">
        <v>89.56</v>
      </c>
      <c r="K326" t="s">
        <v>15</v>
      </c>
      <c r="L326">
        <v>4820298.32</v>
      </c>
      <c r="M326">
        <v>0</v>
      </c>
      <c r="N326">
        <v>4820298.32</v>
      </c>
      <c r="O326">
        <v>53822</v>
      </c>
      <c r="P326">
        <v>420932</v>
      </c>
      <c r="Q326">
        <v>4399366.32</v>
      </c>
      <c r="R326">
        <v>49122</v>
      </c>
      <c r="S326" t="s">
        <v>65</v>
      </c>
      <c r="T326" t="s">
        <v>717</v>
      </c>
      <c r="U326" t="s">
        <v>717</v>
      </c>
      <c r="V326" t="s">
        <v>717</v>
      </c>
      <c r="W326">
        <v>44271</v>
      </c>
      <c r="X326" t="s">
        <v>3851</v>
      </c>
      <c r="Y326" t="s">
        <v>6</v>
      </c>
      <c r="Z326" t="s">
        <v>11</v>
      </c>
      <c r="AA326" t="s">
        <v>717</v>
      </c>
      <c r="AB326" t="s">
        <v>2509</v>
      </c>
      <c r="AC326" t="s">
        <v>2571</v>
      </c>
      <c r="AD326" t="s">
        <v>717</v>
      </c>
      <c r="AE326" t="s">
        <v>81</v>
      </c>
      <c r="AF326" t="s">
        <v>3852</v>
      </c>
      <c r="AG326" t="s">
        <v>3853</v>
      </c>
      <c r="AH326" t="s">
        <v>2615</v>
      </c>
      <c r="AI326" t="s">
        <v>2877</v>
      </c>
      <c r="AJ326" t="s">
        <v>2940</v>
      </c>
      <c r="AK326" t="s">
        <v>63</v>
      </c>
      <c r="AL326" t="s">
        <v>16</v>
      </c>
      <c r="AM326" t="s">
        <v>10</v>
      </c>
      <c r="AN326" t="s">
        <v>3780</v>
      </c>
    </row>
    <row r="327" spans="1:40" hidden="1">
      <c r="A327">
        <v>325</v>
      </c>
      <c r="B327">
        <v>6</v>
      </c>
      <c r="C327" s="58">
        <v>44273</v>
      </c>
      <c r="D327" t="s">
        <v>74</v>
      </c>
      <c r="E327" t="s">
        <v>2506</v>
      </c>
      <c r="F327">
        <v>7</v>
      </c>
      <c r="G327">
        <v>16</v>
      </c>
      <c r="H327">
        <v>255</v>
      </c>
      <c r="I327">
        <v>2</v>
      </c>
      <c r="J327">
        <v>63.74</v>
      </c>
      <c r="K327" t="s">
        <v>15</v>
      </c>
      <c r="L327">
        <v>3470706.74</v>
      </c>
      <c r="M327">
        <v>0</v>
      </c>
      <c r="N327">
        <v>3470706.74</v>
      </c>
      <c r="O327">
        <v>54451</v>
      </c>
      <c r="P327">
        <v>299578</v>
      </c>
      <c r="Q327">
        <v>3171128.74</v>
      </c>
      <c r="R327">
        <v>49751</v>
      </c>
      <c r="S327" t="s">
        <v>65</v>
      </c>
      <c r="T327" t="s">
        <v>717</v>
      </c>
      <c r="U327" t="s">
        <v>717</v>
      </c>
      <c r="V327" t="s">
        <v>717</v>
      </c>
      <c r="W327">
        <v>44273</v>
      </c>
      <c r="X327" t="s">
        <v>3854</v>
      </c>
      <c r="Y327" t="s">
        <v>6</v>
      </c>
      <c r="Z327" t="s">
        <v>11</v>
      </c>
      <c r="AA327" t="s">
        <v>717</v>
      </c>
      <c r="AB327" t="s">
        <v>2509</v>
      </c>
      <c r="AC327" t="s">
        <v>2571</v>
      </c>
      <c r="AD327" t="s">
        <v>717</v>
      </c>
      <c r="AE327" t="s">
        <v>80</v>
      </c>
      <c r="AF327" t="s">
        <v>3855</v>
      </c>
      <c r="AG327" t="s">
        <v>3856</v>
      </c>
      <c r="AH327" t="s">
        <v>2615</v>
      </c>
      <c r="AI327" t="s">
        <v>2552</v>
      </c>
      <c r="AJ327" t="s">
        <v>2895</v>
      </c>
      <c r="AK327" t="s">
        <v>63</v>
      </c>
      <c r="AL327" t="s">
        <v>16</v>
      </c>
      <c r="AM327" t="s">
        <v>10</v>
      </c>
      <c r="AN327" t="s">
        <v>3780</v>
      </c>
    </row>
    <row r="328" spans="1:40" hidden="1">
      <c r="A328">
        <v>326</v>
      </c>
      <c r="B328">
        <v>7</v>
      </c>
      <c r="C328" s="58">
        <v>44273</v>
      </c>
      <c r="D328" t="s">
        <v>74</v>
      </c>
      <c r="E328" t="s">
        <v>2515</v>
      </c>
      <c r="F328">
        <v>10</v>
      </c>
      <c r="G328">
        <v>5</v>
      </c>
      <c r="H328">
        <v>40</v>
      </c>
      <c r="I328">
        <v>2</v>
      </c>
      <c r="J328">
        <v>65.540000000000006</v>
      </c>
      <c r="K328" t="s">
        <v>9</v>
      </c>
      <c r="L328">
        <v>3252225.88</v>
      </c>
      <c r="M328">
        <v>0</v>
      </c>
      <c r="N328">
        <v>3252225.88</v>
      </c>
      <c r="O328">
        <v>49621.999999999993</v>
      </c>
      <c r="P328">
        <v>32770</v>
      </c>
      <c r="Q328">
        <v>3219455.88</v>
      </c>
      <c r="R328">
        <v>49121.999999999993</v>
      </c>
      <c r="S328" t="s">
        <v>2507</v>
      </c>
      <c r="T328" t="s">
        <v>717</v>
      </c>
      <c r="U328" t="s">
        <v>717</v>
      </c>
      <c r="V328" t="s">
        <v>717</v>
      </c>
      <c r="W328">
        <v>44273</v>
      </c>
      <c r="X328" t="s">
        <v>3857</v>
      </c>
      <c r="Y328" t="s">
        <v>6</v>
      </c>
      <c r="Z328" t="s">
        <v>11</v>
      </c>
      <c r="AA328" t="s">
        <v>717</v>
      </c>
      <c r="AB328" t="s">
        <v>2509</v>
      </c>
      <c r="AC328" t="s">
        <v>118</v>
      </c>
      <c r="AD328" t="s">
        <v>717</v>
      </c>
      <c r="AE328" t="s">
        <v>3858</v>
      </c>
      <c r="AF328" t="s">
        <v>3859</v>
      </c>
      <c r="AG328" t="s">
        <v>3860</v>
      </c>
      <c r="AH328" t="s">
        <v>2191</v>
      </c>
      <c r="AI328" t="s">
        <v>2552</v>
      </c>
      <c r="AJ328" t="s">
        <v>2514</v>
      </c>
      <c r="AK328" t="s">
        <v>63</v>
      </c>
      <c r="AL328" t="s">
        <v>717</v>
      </c>
      <c r="AM328" t="s">
        <v>10</v>
      </c>
      <c r="AN328" t="s">
        <v>717</v>
      </c>
    </row>
    <row r="329" spans="1:40" hidden="1">
      <c r="A329">
        <v>327</v>
      </c>
      <c r="B329">
        <v>8</v>
      </c>
      <c r="C329" s="58">
        <v>44287</v>
      </c>
      <c r="D329" t="s">
        <v>74</v>
      </c>
      <c r="E329" t="s">
        <v>2506</v>
      </c>
      <c r="F329">
        <v>1</v>
      </c>
      <c r="G329">
        <v>11</v>
      </c>
      <c r="H329">
        <v>214</v>
      </c>
      <c r="I329">
        <v>3</v>
      </c>
      <c r="J329">
        <v>89.56</v>
      </c>
      <c r="K329" t="s">
        <v>9</v>
      </c>
      <c r="L329">
        <v>4271390.28</v>
      </c>
      <c r="M329">
        <v>0</v>
      </c>
      <c r="N329">
        <v>4271390.28</v>
      </c>
      <c r="O329">
        <v>47693.058061634663</v>
      </c>
      <c r="P329">
        <v>44780</v>
      </c>
      <c r="Q329">
        <v>4226610.28</v>
      </c>
      <c r="R329">
        <v>47193.058061634663</v>
      </c>
      <c r="S329" t="s">
        <v>65</v>
      </c>
      <c r="T329" t="s">
        <v>3268</v>
      </c>
      <c r="U329">
        <v>60000</v>
      </c>
      <c r="V329" t="s">
        <v>717</v>
      </c>
      <c r="W329">
        <v>44287</v>
      </c>
      <c r="X329" t="s">
        <v>3861</v>
      </c>
      <c r="Y329" t="s">
        <v>6</v>
      </c>
      <c r="Z329" t="s">
        <v>11</v>
      </c>
      <c r="AA329" t="s">
        <v>717</v>
      </c>
      <c r="AB329" t="s">
        <v>2509</v>
      </c>
      <c r="AC329" t="s">
        <v>3862</v>
      </c>
      <c r="AD329" t="s">
        <v>717</v>
      </c>
      <c r="AE329" t="s">
        <v>3863</v>
      </c>
      <c r="AF329" t="s">
        <v>3864</v>
      </c>
      <c r="AG329" t="s">
        <v>3865</v>
      </c>
      <c r="AH329" t="s">
        <v>2615</v>
      </c>
      <c r="AI329" t="s">
        <v>2538</v>
      </c>
      <c r="AJ329" t="s">
        <v>2569</v>
      </c>
      <c r="AK329" t="s">
        <v>20</v>
      </c>
      <c r="AL329" t="s">
        <v>16</v>
      </c>
      <c r="AM329" t="s">
        <v>10</v>
      </c>
      <c r="AN329" t="s">
        <v>717</v>
      </c>
    </row>
    <row r="330" spans="1:40" hidden="1">
      <c r="A330">
        <v>328</v>
      </c>
      <c r="B330">
        <v>9</v>
      </c>
      <c r="C330" s="58">
        <v>44274</v>
      </c>
      <c r="D330" t="s">
        <v>74</v>
      </c>
      <c r="E330" t="s">
        <v>2515</v>
      </c>
      <c r="F330">
        <v>3</v>
      </c>
      <c r="G330">
        <v>7</v>
      </c>
      <c r="H330">
        <v>53</v>
      </c>
      <c r="I330">
        <v>2</v>
      </c>
      <c r="J330">
        <v>67.16</v>
      </c>
      <c r="K330" t="s">
        <v>9</v>
      </c>
      <c r="L330">
        <v>3374857.16</v>
      </c>
      <c r="M330">
        <v>0</v>
      </c>
      <c r="N330">
        <v>3374857.16</v>
      </c>
      <c r="O330">
        <v>50251.000000000007</v>
      </c>
      <c r="P330">
        <v>33580</v>
      </c>
      <c r="Q330">
        <v>3341277.16</v>
      </c>
      <c r="R330">
        <v>49751.000000000007</v>
      </c>
      <c r="S330" t="s">
        <v>65</v>
      </c>
      <c r="T330" t="s">
        <v>717</v>
      </c>
      <c r="U330" t="s">
        <v>717</v>
      </c>
      <c r="V330" t="s">
        <v>717</v>
      </c>
      <c r="W330">
        <v>44274</v>
      </c>
      <c r="X330" t="s">
        <v>3866</v>
      </c>
      <c r="Y330" t="s">
        <v>6</v>
      </c>
      <c r="Z330" t="s">
        <v>11</v>
      </c>
      <c r="AA330" t="s">
        <v>717</v>
      </c>
      <c r="AB330" t="s">
        <v>2509</v>
      </c>
      <c r="AC330" t="s">
        <v>2571</v>
      </c>
      <c r="AD330" t="s">
        <v>717</v>
      </c>
      <c r="AE330" t="s">
        <v>3867</v>
      </c>
      <c r="AF330" t="s">
        <v>3868</v>
      </c>
      <c r="AG330" t="s">
        <v>3869</v>
      </c>
      <c r="AH330" t="s">
        <v>2191</v>
      </c>
      <c r="AI330" t="s">
        <v>2552</v>
      </c>
      <c r="AJ330" t="s">
        <v>2514</v>
      </c>
      <c r="AK330" t="s">
        <v>63</v>
      </c>
      <c r="AL330" t="s">
        <v>16</v>
      </c>
      <c r="AM330" t="s">
        <v>10</v>
      </c>
      <c r="AN330" t="s">
        <v>717</v>
      </c>
    </row>
    <row r="331" spans="1:40" hidden="1">
      <c r="A331">
        <v>329</v>
      </c>
      <c r="B331">
        <v>10</v>
      </c>
      <c r="C331" s="58">
        <v>44275</v>
      </c>
      <c r="D331" t="s">
        <v>74</v>
      </c>
      <c r="E331" t="s">
        <v>2515</v>
      </c>
      <c r="F331">
        <v>3</v>
      </c>
      <c r="G331">
        <v>3</v>
      </c>
      <c r="H331">
        <v>13</v>
      </c>
      <c r="I331">
        <v>2</v>
      </c>
      <c r="J331">
        <v>67.16</v>
      </c>
      <c r="K331" t="s">
        <v>9</v>
      </c>
      <c r="L331">
        <v>3359857.16</v>
      </c>
      <c r="M331">
        <v>15000</v>
      </c>
      <c r="N331">
        <v>3374857.16</v>
      </c>
      <c r="O331">
        <v>50251.000000000007</v>
      </c>
      <c r="P331">
        <v>33580</v>
      </c>
      <c r="Q331">
        <v>3341277.16</v>
      </c>
      <c r="R331">
        <v>49751.000000000007</v>
      </c>
      <c r="S331" t="s">
        <v>65</v>
      </c>
      <c r="T331" t="s">
        <v>717</v>
      </c>
      <c r="U331" t="s">
        <v>717</v>
      </c>
      <c r="V331" t="s">
        <v>717</v>
      </c>
      <c r="W331">
        <v>44275</v>
      </c>
      <c r="X331" t="s">
        <v>3870</v>
      </c>
      <c r="Y331" t="s">
        <v>6</v>
      </c>
      <c r="Z331" t="s">
        <v>11</v>
      </c>
      <c r="AA331" t="s">
        <v>717</v>
      </c>
      <c r="AB331" t="s">
        <v>2509</v>
      </c>
      <c r="AC331" t="s">
        <v>2571</v>
      </c>
      <c r="AD331" t="s">
        <v>717</v>
      </c>
      <c r="AE331" t="s">
        <v>70</v>
      </c>
      <c r="AF331" t="s">
        <v>3871</v>
      </c>
      <c r="AG331" t="s">
        <v>3872</v>
      </c>
      <c r="AH331" t="s">
        <v>2191</v>
      </c>
      <c r="AI331" t="s">
        <v>2547</v>
      </c>
      <c r="AJ331" t="s">
        <v>2514</v>
      </c>
      <c r="AK331" t="s">
        <v>63</v>
      </c>
      <c r="AL331" t="s">
        <v>16</v>
      </c>
      <c r="AM331" t="s">
        <v>10</v>
      </c>
      <c r="AN331" t="s">
        <v>717</v>
      </c>
    </row>
    <row r="332" spans="1:40" hidden="1">
      <c r="A332">
        <v>330</v>
      </c>
      <c r="B332">
        <v>11</v>
      </c>
      <c r="C332" s="58">
        <v>44278</v>
      </c>
      <c r="D332" t="s">
        <v>74</v>
      </c>
      <c r="E332" t="s">
        <v>2515</v>
      </c>
      <c r="F332">
        <v>1</v>
      </c>
      <c r="G332">
        <v>11</v>
      </c>
      <c r="H332">
        <v>91</v>
      </c>
      <c r="I332">
        <v>0</v>
      </c>
      <c r="J332">
        <v>32.03</v>
      </c>
      <c r="K332" t="s">
        <v>15</v>
      </c>
      <c r="L332">
        <v>2142636.89</v>
      </c>
      <c r="M332">
        <v>15000</v>
      </c>
      <c r="N332">
        <v>2157636.89</v>
      </c>
      <c r="O332">
        <v>67363</v>
      </c>
      <c r="P332">
        <v>150541</v>
      </c>
      <c r="Q332">
        <v>2007095.89</v>
      </c>
      <c r="R332">
        <v>62663</v>
      </c>
      <c r="S332" t="s">
        <v>65</v>
      </c>
      <c r="T332" t="s">
        <v>717</v>
      </c>
      <c r="U332" t="s">
        <v>717</v>
      </c>
      <c r="V332" t="s">
        <v>717</v>
      </c>
      <c r="W332">
        <v>44278</v>
      </c>
      <c r="X332" t="s">
        <v>3873</v>
      </c>
      <c r="Y332" t="s">
        <v>6</v>
      </c>
      <c r="Z332" t="s">
        <v>11</v>
      </c>
      <c r="AA332" t="s">
        <v>717</v>
      </c>
      <c r="AB332" t="s">
        <v>2509</v>
      </c>
      <c r="AC332" t="s">
        <v>2571</v>
      </c>
      <c r="AD332" t="s">
        <v>717</v>
      </c>
      <c r="AE332" t="s">
        <v>89</v>
      </c>
      <c r="AF332" t="s">
        <v>3874</v>
      </c>
      <c r="AG332" t="s">
        <v>3875</v>
      </c>
      <c r="AH332" t="s">
        <v>2191</v>
      </c>
      <c r="AI332" t="s">
        <v>2552</v>
      </c>
      <c r="AJ332" t="s">
        <v>2514</v>
      </c>
      <c r="AK332" t="s">
        <v>63</v>
      </c>
      <c r="AL332" t="s">
        <v>16</v>
      </c>
      <c r="AM332" t="s">
        <v>10</v>
      </c>
      <c r="AN332" t="s">
        <v>717</v>
      </c>
    </row>
    <row r="333" spans="1:40" hidden="1">
      <c r="A333">
        <v>331</v>
      </c>
      <c r="B333">
        <v>12</v>
      </c>
      <c r="C333" s="58">
        <v>44279</v>
      </c>
      <c r="D333" t="s">
        <v>74</v>
      </c>
      <c r="E333" t="s">
        <v>2515</v>
      </c>
      <c r="F333">
        <v>7</v>
      </c>
      <c r="G333">
        <v>4</v>
      </c>
      <c r="H333">
        <v>27</v>
      </c>
      <c r="I333">
        <v>1</v>
      </c>
      <c r="J333">
        <v>42.32</v>
      </c>
      <c r="K333" t="s">
        <v>9</v>
      </c>
      <c r="L333">
        <v>2488416</v>
      </c>
      <c r="M333">
        <v>0</v>
      </c>
      <c r="N333">
        <v>2488416</v>
      </c>
      <c r="O333">
        <v>58800</v>
      </c>
      <c r="P333">
        <v>0</v>
      </c>
      <c r="Q333">
        <v>2488416</v>
      </c>
      <c r="R333">
        <v>58800</v>
      </c>
      <c r="S333" t="s">
        <v>65</v>
      </c>
      <c r="T333" t="s">
        <v>3203</v>
      </c>
      <c r="U333">
        <v>50784</v>
      </c>
      <c r="V333" t="s">
        <v>717</v>
      </c>
      <c r="W333">
        <v>44273</v>
      </c>
      <c r="X333" t="s">
        <v>2718</v>
      </c>
      <c r="Y333" t="s">
        <v>6</v>
      </c>
      <c r="Z333" t="s">
        <v>11</v>
      </c>
      <c r="AA333" t="s">
        <v>717</v>
      </c>
      <c r="AB333" t="s">
        <v>2509</v>
      </c>
      <c r="AC333" t="s">
        <v>2571</v>
      </c>
      <c r="AD333" t="s">
        <v>717</v>
      </c>
      <c r="AE333" t="s">
        <v>87</v>
      </c>
      <c r="AF333" t="s">
        <v>3876</v>
      </c>
      <c r="AG333" t="s">
        <v>3877</v>
      </c>
      <c r="AH333" t="s">
        <v>2615</v>
      </c>
      <c r="AI333" t="s">
        <v>3120</v>
      </c>
      <c r="AJ333" t="s">
        <v>2514</v>
      </c>
      <c r="AK333" t="s">
        <v>73</v>
      </c>
      <c r="AL333" t="s">
        <v>16</v>
      </c>
      <c r="AM333" t="s">
        <v>10</v>
      </c>
      <c r="AN333" t="s">
        <v>717</v>
      </c>
    </row>
    <row r="334" spans="1:40" hidden="1">
      <c r="A334">
        <v>332</v>
      </c>
      <c r="B334">
        <v>13</v>
      </c>
      <c r="C334" s="58">
        <v>44281</v>
      </c>
      <c r="D334" t="s">
        <v>74</v>
      </c>
      <c r="E334" t="s">
        <v>2515</v>
      </c>
      <c r="F334">
        <v>3</v>
      </c>
      <c r="G334">
        <v>4</v>
      </c>
      <c r="H334">
        <v>23</v>
      </c>
      <c r="I334">
        <v>2</v>
      </c>
      <c r="J334">
        <v>67.16</v>
      </c>
      <c r="K334" t="s">
        <v>9</v>
      </c>
      <c r="L334">
        <v>3359857.16</v>
      </c>
      <c r="M334">
        <v>15000</v>
      </c>
      <c r="N334">
        <v>3374857.16</v>
      </c>
      <c r="O334">
        <v>50251.000000000007</v>
      </c>
      <c r="P334">
        <v>33580</v>
      </c>
      <c r="Q334">
        <v>3341277.16</v>
      </c>
      <c r="R334">
        <v>49751.000000000007</v>
      </c>
      <c r="S334" t="s">
        <v>65</v>
      </c>
      <c r="T334" t="s">
        <v>717</v>
      </c>
      <c r="U334" t="s">
        <v>717</v>
      </c>
      <c r="V334" t="s">
        <v>717</v>
      </c>
      <c r="W334">
        <v>44285</v>
      </c>
      <c r="X334" t="s">
        <v>3878</v>
      </c>
      <c r="Y334" t="s">
        <v>6</v>
      </c>
      <c r="Z334" t="s">
        <v>11</v>
      </c>
      <c r="AA334" t="s">
        <v>717</v>
      </c>
      <c r="AB334" t="s">
        <v>2509</v>
      </c>
      <c r="AC334" t="s">
        <v>2571</v>
      </c>
      <c r="AD334" t="s">
        <v>717</v>
      </c>
      <c r="AE334" t="s">
        <v>82</v>
      </c>
      <c r="AF334" t="s">
        <v>3879</v>
      </c>
      <c r="AG334" t="s">
        <v>3880</v>
      </c>
      <c r="AH334" t="s">
        <v>2615</v>
      </c>
      <c r="AI334" t="s">
        <v>2552</v>
      </c>
      <c r="AJ334" t="s">
        <v>3289</v>
      </c>
      <c r="AK334" t="s">
        <v>63</v>
      </c>
      <c r="AL334" t="s">
        <v>16</v>
      </c>
      <c r="AM334" t="s">
        <v>10</v>
      </c>
      <c r="AN334" t="s">
        <v>717</v>
      </c>
    </row>
    <row r="335" spans="1:40" hidden="1">
      <c r="A335">
        <v>333</v>
      </c>
      <c r="B335">
        <v>14</v>
      </c>
      <c r="C335" s="58">
        <v>44286</v>
      </c>
      <c r="D335" t="s">
        <v>74</v>
      </c>
      <c r="E335" t="s">
        <v>2506</v>
      </c>
      <c r="F335">
        <v>6</v>
      </c>
      <c r="G335">
        <v>7</v>
      </c>
      <c r="H335">
        <v>191</v>
      </c>
      <c r="I335">
        <v>2</v>
      </c>
      <c r="J335">
        <v>64.150000000000006</v>
      </c>
      <c r="K335" t="s">
        <v>25</v>
      </c>
      <c r="L335">
        <v>4064736.45</v>
      </c>
      <c r="M335">
        <v>0</v>
      </c>
      <c r="N335">
        <v>4064736.45</v>
      </c>
      <c r="O335">
        <v>63363</v>
      </c>
      <c r="P335">
        <v>994325</v>
      </c>
      <c r="Q335">
        <v>3070411.45</v>
      </c>
      <c r="R335">
        <v>47863</v>
      </c>
      <c r="S335" t="s">
        <v>65</v>
      </c>
      <c r="T335" t="s">
        <v>717</v>
      </c>
      <c r="U335" t="s">
        <v>717</v>
      </c>
      <c r="V335" t="s">
        <v>717</v>
      </c>
      <c r="W335">
        <v>44286</v>
      </c>
      <c r="X335" t="s">
        <v>3881</v>
      </c>
      <c r="Y335" t="s">
        <v>6</v>
      </c>
      <c r="Z335" t="s">
        <v>11</v>
      </c>
      <c r="AA335" t="s">
        <v>717</v>
      </c>
      <c r="AB335" t="s">
        <v>2509</v>
      </c>
      <c r="AC335" t="s">
        <v>2571</v>
      </c>
      <c r="AD335" t="s">
        <v>717</v>
      </c>
      <c r="AE335" t="s">
        <v>3882</v>
      </c>
      <c r="AF335" t="s">
        <v>3883</v>
      </c>
      <c r="AG335" t="s">
        <v>3884</v>
      </c>
      <c r="AH335" t="s">
        <v>2615</v>
      </c>
      <c r="AI335" t="s">
        <v>2552</v>
      </c>
      <c r="AJ335" t="s">
        <v>2895</v>
      </c>
      <c r="AK335" t="s">
        <v>73</v>
      </c>
      <c r="AL335" t="s">
        <v>16</v>
      </c>
      <c r="AM335" t="s">
        <v>10</v>
      </c>
      <c r="AN335" t="s">
        <v>3885</v>
      </c>
    </row>
    <row r="336" spans="1:40" hidden="1">
      <c r="A336">
        <v>334</v>
      </c>
      <c r="B336">
        <v>15</v>
      </c>
      <c r="C336" s="58">
        <v>44286</v>
      </c>
      <c r="D336" t="s">
        <v>74</v>
      </c>
      <c r="E336" t="s">
        <v>2515</v>
      </c>
      <c r="F336">
        <v>3</v>
      </c>
      <c r="G336">
        <v>15</v>
      </c>
      <c r="H336">
        <v>133</v>
      </c>
      <c r="I336">
        <v>2</v>
      </c>
      <c r="J336">
        <v>67.16</v>
      </c>
      <c r="K336" t="s">
        <v>9</v>
      </c>
      <c r="L336">
        <v>3374857.16</v>
      </c>
      <c r="M336">
        <v>0</v>
      </c>
      <c r="N336">
        <v>3374857.16</v>
      </c>
      <c r="O336">
        <v>50251.000000000007</v>
      </c>
      <c r="P336">
        <v>33580</v>
      </c>
      <c r="Q336">
        <v>3341277.16</v>
      </c>
      <c r="R336">
        <v>49751.000000000007</v>
      </c>
      <c r="S336" t="s">
        <v>65</v>
      </c>
      <c r="T336" t="s">
        <v>717</v>
      </c>
      <c r="U336" t="s">
        <v>717</v>
      </c>
      <c r="V336" t="s">
        <v>717</v>
      </c>
      <c r="W336">
        <v>44286</v>
      </c>
      <c r="X336" t="s">
        <v>3886</v>
      </c>
      <c r="Y336" t="s">
        <v>6</v>
      </c>
      <c r="Z336" t="s">
        <v>11</v>
      </c>
      <c r="AA336" t="s">
        <v>717</v>
      </c>
      <c r="AB336" t="s">
        <v>2509</v>
      </c>
      <c r="AC336" t="s">
        <v>2571</v>
      </c>
      <c r="AD336" t="s">
        <v>717</v>
      </c>
      <c r="AE336" t="s">
        <v>90</v>
      </c>
      <c r="AF336" t="s">
        <v>3887</v>
      </c>
      <c r="AG336" t="s">
        <v>3888</v>
      </c>
      <c r="AH336" t="s">
        <v>2615</v>
      </c>
      <c r="AI336" t="s">
        <v>2552</v>
      </c>
      <c r="AJ336" t="s">
        <v>2662</v>
      </c>
      <c r="AK336" t="s">
        <v>63</v>
      </c>
      <c r="AL336" t="s">
        <v>16</v>
      </c>
      <c r="AM336" t="s">
        <v>10</v>
      </c>
      <c r="AN336" t="s">
        <v>717</v>
      </c>
    </row>
    <row r="337" spans="1:40" hidden="1">
      <c r="A337">
        <v>335</v>
      </c>
      <c r="B337">
        <v>16</v>
      </c>
      <c r="C337" s="58">
        <v>44286</v>
      </c>
      <c r="D337" t="s">
        <v>74</v>
      </c>
      <c r="E337" t="s">
        <v>2581</v>
      </c>
      <c r="F337">
        <v>1</v>
      </c>
      <c r="G337">
        <v>4</v>
      </c>
      <c r="H337">
        <v>328</v>
      </c>
      <c r="I337">
        <v>2</v>
      </c>
      <c r="J337">
        <v>59.13</v>
      </c>
      <c r="K337" t="s">
        <v>9</v>
      </c>
      <c r="L337">
        <v>3082979.07</v>
      </c>
      <c r="M337">
        <v>0</v>
      </c>
      <c r="N337">
        <v>3082979.07</v>
      </c>
      <c r="O337">
        <v>52138.999999999993</v>
      </c>
      <c r="P337">
        <v>29565</v>
      </c>
      <c r="Q337">
        <v>3053414.07</v>
      </c>
      <c r="R337">
        <v>51638.999999999993</v>
      </c>
      <c r="S337" t="s">
        <v>65</v>
      </c>
      <c r="T337" t="s">
        <v>717</v>
      </c>
      <c r="U337" t="s">
        <v>717</v>
      </c>
      <c r="V337" t="s">
        <v>717</v>
      </c>
      <c r="W337">
        <v>44286</v>
      </c>
      <c r="X337" t="s">
        <v>3889</v>
      </c>
      <c r="Y337" t="s">
        <v>6</v>
      </c>
      <c r="Z337" t="s">
        <v>11</v>
      </c>
      <c r="AA337" t="s">
        <v>717</v>
      </c>
      <c r="AB337" t="s">
        <v>2509</v>
      </c>
      <c r="AC337" t="s">
        <v>2571</v>
      </c>
      <c r="AD337" t="s">
        <v>717</v>
      </c>
      <c r="AE337" t="s">
        <v>3890</v>
      </c>
      <c r="AF337" t="s">
        <v>3891</v>
      </c>
      <c r="AG337" t="s">
        <v>3892</v>
      </c>
      <c r="AH337" t="s">
        <v>2615</v>
      </c>
      <c r="AI337" t="s">
        <v>2538</v>
      </c>
      <c r="AJ337" t="s">
        <v>2793</v>
      </c>
      <c r="AK337" t="s">
        <v>63</v>
      </c>
      <c r="AL337" t="s">
        <v>16</v>
      </c>
      <c r="AM337" t="s">
        <v>10</v>
      </c>
      <c r="AN337" t="s">
        <v>717</v>
      </c>
    </row>
    <row r="338" spans="1:40" hidden="1">
      <c r="A338">
        <v>336</v>
      </c>
      <c r="B338">
        <v>1</v>
      </c>
      <c r="C338" s="58">
        <v>44292</v>
      </c>
      <c r="D338" t="s">
        <v>74</v>
      </c>
      <c r="E338" t="s">
        <v>2515</v>
      </c>
      <c r="F338">
        <v>6</v>
      </c>
      <c r="G338">
        <v>11</v>
      </c>
      <c r="H338">
        <v>96</v>
      </c>
      <c r="I338">
        <v>2</v>
      </c>
      <c r="J338">
        <v>63.03</v>
      </c>
      <c r="K338" t="s">
        <v>9</v>
      </c>
      <c r="L338">
        <v>3050751.47</v>
      </c>
      <c r="M338">
        <v>15000</v>
      </c>
      <c r="N338">
        <v>3065751.47</v>
      </c>
      <c r="O338">
        <v>48639.560050769469</v>
      </c>
      <c r="P338">
        <v>31515</v>
      </c>
      <c r="Q338">
        <v>3034236.47</v>
      </c>
      <c r="R338">
        <v>48139.560050769469</v>
      </c>
      <c r="S338" t="s">
        <v>2507</v>
      </c>
      <c r="T338" t="s">
        <v>3203</v>
      </c>
      <c r="U338">
        <v>61923.19</v>
      </c>
      <c r="V338" t="s">
        <v>717</v>
      </c>
      <c r="W338">
        <v>44287</v>
      </c>
      <c r="X338" t="s">
        <v>3893</v>
      </c>
      <c r="Y338" t="s">
        <v>6</v>
      </c>
      <c r="Z338" t="s">
        <v>11</v>
      </c>
      <c r="AA338" t="s">
        <v>717</v>
      </c>
      <c r="AB338" t="s">
        <v>2509</v>
      </c>
      <c r="AC338" t="s">
        <v>118</v>
      </c>
      <c r="AD338" t="s">
        <v>717</v>
      </c>
      <c r="AE338" t="s">
        <v>3894</v>
      </c>
      <c r="AF338" t="s">
        <v>3895</v>
      </c>
      <c r="AG338" t="s">
        <v>3896</v>
      </c>
      <c r="AH338" t="s">
        <v>2615</v>
      </c>
      <c r="AI338" t="s">
        <v>2847</v>
      </c>
      <c r="AJ338" t="s">
        <v>2895</v>
      </c>
      <c r="AK338" t="s">
        <v>63</v>
      </c>
      <c r="AL338" t="s">
        <v>717</v>
      </c>
      <c r="AM338" t="s">
        <v>10</v>
      </c>
      <c r="AN338" t="s">
        <v>717</v>
      </c>
    </row>
    <row r="339" spans="1:40" hidden="1">
      <c r="A339">
        <v>337</v>
      </c>
      <c r="B339">
        <v>2</v>
      </c>
      <c r="C339" s="58">
        <v>44293</v>
      </c>
      <c r="D339" t="s">
        <v>121</v>
      </c>
      <c r="E339" t="s">
        <v>2515</v>
      </c>
      <c r="F339">
        <v>2</v>
      </c>
      <c r="G339">
        <v>3</v>
      </c>
      <c r="H339">
        <v>9</v>
      </c>
      <c r="I339">
        <v>2</v>
      </c>
      <c r="J339">
        <v>58.99</v>
      </c>
      <c r="K339" t="s">
        <v>15</v>
      </c>
      <c r="L339">
        <v>2756575.56</v>
      </c>
      <c r="M339">
        <v>0</v>
      </c>
      <c r="N339">
        <v>2756575.56</v>
      </c>
      <c r="O339">
        <v>46729.539922020682</v>
      </c>
      <c r="P339">
        <v>265455</v>
      </c>
      <c r="Q339">
        <v>2491120.56</v>
      </c>
      <c r="R339">
        <v>42229.539922020682</v>
      </c>
      <c r="S339" t="s">
        <v>65</v>
      </c>
      <c r="T339" t="s">
        <v>3897</v>
      </c>
      <c r="U339">
        <v>55654.71</v>
      </c>
      <c r="V339" t="s">
        <v>717</v>
      </c>
      <c r="W339">
        <v>44287</v>
      </c>
      <c r="X339" t="s">
        <v>3898</v>
      </c>
      <c r="Y339" t="s">
        <v>6</v>
      </c>
      <c r="Z339" t="s">
        <v>11</v>
      </c>
      <c r="AA339" t="s">
        <v>717</v>
      </c>
      <c r="AB339" t="s">
        <v>2509</v>
      </c>
      <c r="AC339" t="s">
        <v>2571</v>
      </c>
      <c r="AD339" t="s">
        <v>717</v>
      </c>
      <c r="AE339" t="s">
        <v>168</v>
      </c>
      <c r="AF339" t="s">
        <v>3899</v>
      </c>
      <c r="AG339" t="s">
        <v>3900</v>
      </c>
      <c r="AH339" t="s">
        <v>2191</v>
      </c>
      <c r="AI339" t="s">
        <v>2538</v>
      </c>
      <c r="AJ339" t="s">
        <v>2514</v>
      </c>
      <c r="AK339" t="s">
        <v>73</v>
      </c>
      <c r="AL339" t="s">
        <v>16</v>
      </c>
      <c r="AM339" t="s">
        <v>10</v>
      </c>
      <c r="AN339" t="s">
        <v>717</v>
      </c>
    </row>
    <row r="340" spans="1:40" hidden="1">
      <c r="A340">
        <v>338</v>
      </c>
      <c r="B340">
        <v>3</v>
      </c>
      <c r="C340" s="58">
        <v>44293</v>
      </c>
      <c r="D340" t="s">
        <v>121</v>
      </c>
      <c r="E340" t="s">
        <v>2506</v>
      </c>
      <c r="F340">
        <v>5</v>
      </c>
      <c r="G340">
        <v>4</v>
      </c>
      <c r="H340">
        <v>188</v>
      </c>
      <c r="I340">
        <v>2</v>
      </c>
      <c r="J340">
        <v>60.19</v>
      </c>
      <c r="K340" t="s">
        <v>9</v>
      </c>
      <c r="L340">
        <v>2598582.87</v>
      </c>
      <c r="M340">
        <v>0</v>
      </c>
      <c r="N340">
        <v>2598582.87</v>
      </c>
      <c r="O340">
        <v>43173</v>
      </c>
      <c r="P340">
        <v>0</v>
      </c>
      <c r="Q340">
        <v>2598582.87</v>
      </c>
      <c r="R340">
        <v>43173</v>
      </c>
      <c r="S340" t="s">
        <v>65</v>
      </c>
      <c r="T340" t="s">
        <v>717</v>
      </c>
      <c r="U340" t="s">
        <v>717</v>
      </c>
      <c r="V340" t="s">
        <v>717</v>
      </c>
      <c r="W340">
        <v>44287</v>
      </c>
      <c r="X340" t="s">
        <v>3901</v>
      </c>
      <c r="Y340" t="s">
        <v>6</v>
      </c>
      <c r="Z340" t="s">
        <v>11</v>
      </c>
      <c r="AA340" t="s">
        <v>717</v>
      </c>
      <c r="AB340" t="s">
        <v>2509</v>
      </c>
      <c r="AC340" t="s">
        <v>2571</v>
      </c>
      <c r="AD340" t="s">
        <v>717</v>
      </c>
      <c r="AE340" t="s">
        <v>3902</v>
      </c>
      <c r="AF340" t="s">
        <v>3903</v>
      </c>
      <c r="AG340" t="s">
        <v>3904</v>
      </c>
      <c r="AH340" t="s">
        <v>2615</v>
      </c>
      <c r="AI340" t="s">
        <v>2706</v>
      </c>
      <c r="AJ340" t="s">
        <v>3330</v>
      </c>
      <c r="AK340" t="s">
        <v>63</v>
      </c>
      <c r="AL340" t="s">
        <v>16</v>
      </c>
      <c r="AM340" t="s">
        <v>10</v>
      </c>
      <c r="AN340" t="s">
        <v>717</v>
      </c>
    </row>
    <row r="341" spans="1:40" hidden="1">
      <c r="A341">
        <v>339</v>
      </c>
      <c r="B341">
        <v>4</v>
      </c>
      <c r="C341" s="58">
        <v>44293</v>
      </c>
      <c r="D341" t="s">
        <v>121</v>
      </c>
      <c r="E341" t="s">
        <v>2515</v>
      </c>
      <c r="F341">
        <v>6</v>
      </c>
      <c r="G341">
        <v>19</v>
      </c>
      <c r="H341">
        <v>125</v>
      </c>
      <c r="I341">
        <v>2</v>
      </c>
      <c r="J341">
        <v>59.96</v>
      </c>
      <c r="K341" t="s">
        <v>15</v>
      </c>
      <c r="L341">
        <v>3209239.08</v>
      </c>
      <c r="M341">
        <v>0</v>
      </c>
      <c r="N341">
        <v>3209239.08</v>
      </c>
      <c r="O341">
        <v>53523</v>
      </c>
      <c r="P341">
        <v>269819.99999999953</v>
      </c>
      <c r="Q341">
        <v>2939419.0800000005</v>
      </c>
      <c r="R341">
        <v>49023.000000000007</v>
      </c>
      <c r="S341" t="s">
        <v>65</v>
      </c>
      <c r="T341" t="s">
        <v>717</v>
      </c>
      <c r="U341" t="s">
        <v>717</v>
      </c>
      <c r="V341" t="s">
        <v>717</v>
      </c>
      <c r="W341">
        <v>44287</v>
      </c>
      <c r="X341" t="s">
        <v>3905</v>
      </c>
      <c r="Y341" t="s">
        <v>6</v>
      </c>
      <c r="Z341" t="s">
        <v>11</v>
      </c>
      <c r="AA341" t="s">
        <v>717</v>
      </c>
      <c r="AB341" t="s">
        <v>2509</v>
      </c>
      <c r="AC341" t="s">
        <v>2571</v>
      </c>
      <c r="AD341" t="s">
        <v>717</v>
      </c>
      <c r="AE341" t="s">
        <v>3906</v>
      </c>
      <c r="AF341" t="s">
        <v>3907</v>
      </c>
      <c r="AG341" t="s">
        <v>3908</v>
      </c>
      <c r="AH341" t="s">
        <v>2615</v>
      </c>
      <c r="AI341" t="s">
        <v>2621</v>
      </c>
      <c r="AJ341" t="s">
        <v>2569</v>
      </c>
      <c r="AK341" t="s">
        <v>63</v>
      </c>
      <c r="AL341" t="s">
        <v>16</v>
      </c>
      <c r="AM341" t="s">
        <v>10</v>
      </c>
      <c r="AN341" t="s">
        <v>717</v>
      </c>
    </row>
    <row r="342" spans="1:40" hidden="1">
      <c r="A342">
        <v>340</v>
      </c>
      <c r="B342">
        <v>5</v>
      </c>
      <c r="C342" s="58">
        <v>44293</v>
      </c>
      <c r="D342" t="s">
        <v>121</v>
      </c>
      <c r="E342" t="s">
        <v>2506</v>
      </c>
      <c r="F342">
        <v>10</v>
      </c>
      <c r="G342">
        <v>2</v>
      </c>
      <c r="H342">
        <v>171</v>
      </c>
      <c r="I342">
        <v>0</v>
      </c>
      <c r="J342">
        <v>25.91</v>
      </c>
      <c r="K342" t="s">
        <v>15</v>
      </c>
      <c r="L342">
        <v>1531281</v>
      </c>
      <c r="M342">
        <v>0</v>
      </c>
      <c r="N342">
        <v>1531281</v>
      </c>
      <c r="O342">
        <v>59100</v>
      </c>
      <c r="P342">
        <v>116595</v>
      </c>
      <c r="Q342">
        <v>1414686</v>
      </c>
      <c r="R342">
        <v>54600</v>
      </c>
      <c r="S342" t="s">
        <v>65</v>
      </c>
      <c r="T342" t="s">
        <v>717</v>
      </c>
      <c r="U342" t="s">
        <v>717</v>
      </c>
      <c r="V342" t="s">
        <v>717</v>
      </c>
      <c r="W342">
        <v>44287</v>
      </c>
      <c r="X342" t="s">
        <v>3909</v>
      </c>
      <c r="Y342" t="s">
        <v>6</v>
      </c>
      <c r="Z342" t="s">
        <v>11</v>
      </c>
      <c r="AA342" t="s">
        <v>717</v>
      </c>
      <c r="AB342" t="s">
        <v>2509</v>
      </c>
      <c r="AC342" t="s">
        <v>2571</v>
      </c>
      <c r="AD342" t="s">
        <v>717</v>
      </c>
      <c r="AE342" t="s">
        <v>3910</v>
      </c>
      <c r="AF342" t="s">
        <v>3911</v>
      </c>
      <c r="AG342" t="s">
        <v>3912</v>
      </c>
      <c r="AH342" t="s">
        <v>2616</v>
      </c>
      <c r="AI342" t="s">
        <v>2552</v>
      </c>
      <c r="AJ342" t="s">
        <v>2895</v>
      </c>
      <c r="AK342" t="s">
        <v>20</v>
      </c>
      <c r="AL342" t="s">
        <v>16</v>
      </c>
      <c r="AM342" t="s">
        <v>10</v>
      </c>
      <c r="AN342" t="s">
        <v>717</v>
      </c>
    </row>
    <row r="343" spans="1:40" hidden="1">
      <c r="A343">
        <v>341</v>
      </c>
      <c r="B343">
        <v>6</v>
      </c>
      <c r="C343" s="58">
        <v>44293</v>
      </c>
      <c r="D343" t="s">
        <v>121</v>
      </c>
      <c r="E343" t="s">
        <v>2515</v>
      </c>
      <c r="F343">
        <v>6</v>
      </c>
      <c r="G343">
        <v>3</v>
      </c>
      <c r="H343">
        <v>13</v>
      </c>
      <c r="I343">
        <v>2</v>
      </c>
      <c r="J343">
        <v>59.96</v>
      </c>
      <c r="K343" t="s">
        <v>15</v>
      </c>
      <c r="L343">
        <v>2858473.08</v>
      </c>
      <c r="M343">
        <v>0</v>
      </c>
      <c r="N343">
        <v>2858473.08</v>
      </c>
      <c r="O343">
        <v>47673</v>
      </c>
      <c r="P343">
        <v>269820</v>
      </c>
      <c r="Q343">
        <v>2588653.08</v>
      </c>
      <c r="R343">
        <v>43173</v>
      </c>
      <c r="S343" t="s">
        <v>65</v>
      </c>
      <c r="T343" t="s">
        <v>717</v>
      </c>
      <c r="U343" t="s">
        <v>717</v>
      </c>
      <c r="V343" t="s">
        <v>717</v>
      </c>
      <c r="W343">
        <v>44287</v>
      </c>
      <c r="X343" t="s">
        <v>3913</v>
      </c>
      <c r="Y343" t="s">
        <v>6</v>
      </c>
      <c r="Z343" t="s">
        <v>11</v>
      </c>
      <c r="AA343" t="s">
        <v>717</v>
      </c>
      <c r="AB343" t="s">
        <v>2509</v>
      </c>
      <c r="AC343" t="s">
        <v>2571</v>
      </c>
      <c r="AD343" t="s">
        <v>717</v>
      </c>
      <c r="AE343" t="s">
        <v>3914</v>
      </c>
      <c r="AF343" t="s">
        <v>3915</v>
      </c>
      <c r="AG343" t="s">
        <v>3916</v>
      </c>
      <c r="AH343" t="s">
        <v>2615</v>
      </c>
      <c r="AI343" t="s">
        <v>2552</v>
      </c>
      <c r="AJ343" t="s">
        <v>2662</v>
      </c>
      <c r="AK343" t="s">
        <v>20</v>
      </c>
      <c r="AL343" t="s">
        <v>16</v>
      </c>
      <c r="AM343" t="s">
        <v>10</v>
      </c>
      <c r="AN343" t="s">
        <v>717</v>
      </c>
    </row>
    <row r="344" spans="1:40" hidden="1">
      <c r="A344">
        <v>342</v>
      </c>
      <c r="B344">
        <v>7</v>
      </c>
      <c r="C344" s="58">
        <v>44293</v>
      </c>
      <c r="D344" t="s">
        <v>121</v>
      </c>
      <c r="E344" t="s">
        <v>2515</v>
      </c>
      <c r="F344">
        <v>7</v>
      </c>
      <c r="G344">
        <v>3</v>
      </c>
      <c r="H344">
        <v>14</v>
      </c>
      <c r="I344">
        <v>2</v>
      </c>
      <c r="J344">
        <v>58.17</v>
      </c>
      <c r="K344" t="s">
        <v>15</v>
      </c>
      <c r="L344">
        <v>2773138.41</v>
      </c>
      <c r="M344">
        <v>0</v>
      </c>
      <c r="N344">
        <v>2773138.41</v>
      </c>
      <c r="O344">
        <v>47673</v>
      </c>
      <c r="P344">
        <v>261765</v>
      </c>
      <c r="Q344">
        <v>2511373.41</v>
      </c>
      <c r="R344">
        <v>43173</v>
      </c>
      <c r="S344" t="s">
        <v>65</v>
      </c>
      <c r="T344" t="s">
        <v>717</v>
      </c>
      <c r="U344" t="s">
        <v>717</v>
      </c>
      <c r="V344" t="s">
        <v>717</v>
      </c>
      <c r="W344">
        <v>44287</v>
      </c>
      <c r="X344" t="s">
        <v>3917</v>
      </c>
      <c r="Y344" t="s">
        <v>6</v>
      </c>
      <c r="Z344" t="s">
        <v>11</v>
      </c>
      <c r="AA344" t="s">
        <v>717</v>
      </c>
      <c r="AB344" t="s">
        <v>2509</v>
      </c>
      <c r="AC344" t="s">
        <v>2571</v>
      </c>
      <c r="AD344" t="s">
        <v>717</v>
      </c>
      <c r="AE344" t="s">
        <v>3918</v>
      </c>
      <c r="AF344" t="s">
        <v>3919</v>
      </c>
      <c r="AG344" t="s">
        <v>3920</v>
      </c>
      <c r="AH344" t="s">
        <v>2580</v>
      </c>
      <c r="AI344" t="s">
        <v>2552</v>
      </c>
      <c r="AJ344" t="s">
        <v>3921</v>
      </c>
      <c r="AK344" t="s">
        <v>20</v>
      </c>
      <c r="AL344" t="s">
        <v>16</v>
      </c>
      <c r="AM344" t="s">
        <v>10</v>
      </c>
      <c r="AN344" t="s">
        <v>717</v>
      </c>
    </row>
    <row r="345" spans="1:40" hidden="1">
      <c r="A345">
        <v>343</v>
      </c>
      <c r="B345">
        <v>8</v>
      </c>
      <c r="C345" s="58">
        <v>44293</v>
      </c>
      <c r="D345" t="s">
        <v>121</v>
      </c>
      <c r="E345" t="s">
        <v>2506</v>
      </c>
      <c r="F345">
        <v>3</v>
      </c>
      <c r="G345">
        <v>10</v>
      </c>
      <c r="H345">
        <v>252</v>
      </c>
      <c r="I345">
        <v>3</v>
      </c>
      <c r="J345">
        <v>86.58</v>
      </c>
      <c r="K345" t="s">
        <v>15</v>
      </c>
      <c r="L345">
        <v>4195060.74</v>
      </c>
      <c r="M345">
        <v>0</v>
      </c>
      <c r="N345">
        <v>4195060.74</v>
      </c>
      <c r="O345">
        <v>48453</v>
      </c>
      <c r="P345">
        <v>389610</v>
      </c>
      <c r="Q345">
        <v>3805450.74</v>
      </c>
      <c r="R345">
        <v>43953</v>
      </c>
      <c r="S345" t="s">
        <v>65</v>
      </c>
      <c r="T345" t="s">
        <v>717</v>
      </c>
      <c r="U345" t="s">
        <v>717</v>
      </c>
      <c r="V345" t="s">
        <v>717</v>
      </c>
      <c r="W345">
        <v>44287</v>
      </c>
      <c r="X345" t="s">
        <v>3922</v>
      </c>
      <c r="Y345" t="s">
        <v>6</v>
      </c>
      <c r="Z345" t="s">
        <v>11</v>
      </c>
      <c r="AA345" t="s">
        <v>717</v>
      </c>
      <c r="AB345" t="s">
        <v>2509</v>
      </c>
      <c r="AC345" t="s">
        <v>2571</v>
      </c>
      <c r="AD345" t="s">
        <v>717</v>
      </c>
      <c r="AE345" t="s">
        <v>3923</v>
      </c>
      <c r="AF345" t="s">
        <v>3924</v>
      </c>
      <c r="AG345" t="s">
        <v>3925</v>
      </c>
      <c r="AH345" t="s">
        <v>2191</v>
      </c>
      <c r="AI345" t="s">
        <v>2847</v>
      </c>
      <c r="AJ345" t="s">
        <v>2514</v>
      </c>
      <c r="AK345" t="s">
        <v>63</v>
      </c>
      <c r="AL345" t="s">
        <v>16</v>
      </c>
      <c r="AM345" t="s">
        <v>10</v>
      </c>
      <c r="AN345" t="s">
        <v>717</v>
      </c>
    </row>
    <row r="346" spans="1:40" hidden="1">
      <c r="A346">
        <v>344</v>
      </c>
      <c r="B346">
        <v>9</v>
      </c>
      <c r="C346" s="58">
        <v>44293</v>
      </c>
      <c r="D346" t="s">
        <v>121</v>
      </c>
      <c r="E346" t="s">
        <v>2506</v>
      </c>
      <c r="F346">
        <v>6</v>
      </c>
      <c r="G346">
        <v>2</v>
      </c>
      <c r="H346">
        <v>167</v>
      </c>
      <c r="I346">
        <v>2</v>
      </c>
      <c r="J346">
        <v>60.24</v>
      </c>
      <c r="K346" t="s">
        <v>9</v>
      </c>
      <c r="L346">
        <v>2600741.52</v>
      </c>
      <c r="M346">
        <v>0</v>
      </c>
      <c r="N346">
        <v>2600741.52</v>
      </c>
      <c r="O346">
        <v>43173</v>
      </c>
      <c r="P346">
        <v>0</v>
      </c>
      <c r="Q346">
        <v>2600741.52</v>
      </c>
      <c r="R346">
        <v>43173</v>
      </c>
      <c r="S346" t="s">
        <v>65</v>
      </c>
      <c r="T346" t="s">
        <v>717</v>
      </c>
      <c r="U346" t="s">
        <v>717</v>
      </c>
      <c r="V346" t="s">
        <v>717</v>
      </c>
      <c r="W346">
        <v>44287</v>
      </c>
      <c r="X346" t="s">
        <v>3926</v>
      </c>
      <c r="Y346" t="s">
        <v>6</v>
      </c>
      <c r="Z346" t="s">
        <v>11</v>
      </c>
      <c r="AA346" t="s">
        <v>717</v>
      </c>
      <c r="AB346" t="s">
        <v>2509</v>
      </c>
      <c r="AC346" t="s">
        <v>2571</v>
      </c>
      <c r="AD346" t="s">
        <v>717</v>
      </c>
      <c r="AE346" t="s">
        <v>3927</v>
      </c>
      <c r="AF346" t="s">
        <v>3928</v>
      </c>
      <c r="AG346" t="s">
        <v>3929</v>
      </c>
      <c r="AH346" t="s">
        <v>2615</v>
      </c>
      <c r="AI346" t="s">
        <v>2552</v>
      </c>
      <c r="AJ346" t="s">
        <v>2662</v>
      </c>
      <c r="AK346" t="s">
        <v>20</v>
      </c>
      <c r="AL346" t="s">
        <v>16</v>
      </c>
      <c r="AM346" t="s">
        <v>10</v>
      </c>
      <c r="AN346" t="s">
        <v>717</v>
      </c>
    </row>
    <row r="347" spans="1:40" hidden="1">
      <c r="A347">
        <v>345</v>
      </c>
      <c r="B347">
        <v>10</v>
      </c>
      <c r="C347" s="58">
        <v>44293</v>
      </c>
      <c r="D347" t="s">
        <v>121</v>
      </c>
      <c r="E347" t="s">
        <v>2506</v>
      </c>
      <c r="F347">
        <v>1</v>
      </c>
      <c r="G347">
        <v>12</v>
      </c>
      <c r="H347">
        <v>272</v>
      </c>
      <c r="I347">
        <v>1</v>
      </c>
      <c r="J347">
        <v>38.83</v>
      </c>
      <c r="K347" t="s">
        <v>9</v>
      </c>
      <c r="L347">
        <v>1921580.21</v>
      </c>
      <c r="M347">
        <v>0</v>
      </c>
      <c r="N347">
        <v>1921580.21</v>
      </c>
      <c r="O347">
        <v>49487</v>
      </c>
      <c r="P347">
        <v>0</v>
      </c>
      <c r="Q347">
        <v>1921580.21</v>
      </c>
      <c r="R347">
        <v>49487</v>
      </c>
      <c r="S347" t="s">
        <v>65</v>
      </c>
      <c r="T347" t="s">
        <v>717</v>
      </c>
      <c r="U347" t="s">
        <v>717</v>
      </c>
      <c r="V347" t="s">
        <v>717</v>
      </c>
      <c r="W347">
        <v>44287</v>
      </c>
      <c r="X347" t="s">
        <v>3930</v>
      </c>
      <c r="Y347" t="s">
        <v>6</v>
      </c>
      <c r="Z347" t="s">
        <v>11</v>
      </c>
      <c r="AA347" t="s">
        <v>717</v>
      </c>
      <c r="AB347" t="s">
        <v>2509</v>
      </c>
      <c r="AC347" t="s">
        <v>2571</v>
      </c>
      <c r="AD347" t="s">
        <v>717</v>
      </c>
      <c r="AE347" t="s">
        <v>163</v>
      </c>
      <c r="AF347" t="s">
        <v>3931</v>
      </c>
      <c r="AG347" t="s">
        <v>3932</v>
      </c>
      <c r="AH347" t="s">
        <v>2191</v>
      </c>
      <c r="AI347" t="s">
        <v>2552</v>
      </c>
      <c r="AJ347" t="s">
        <v>2514</v>
      </c>
      <c r="AK347" t="s">
        <v>63</v>
      </c>
      <c r="AL347" t="s">
        <v>16</v>
      </c>
      <c r="AM347" t="s">
        <v>10</v>
      </c>
      <c r="AN347" t="s">
        <v>717</v>
      </c>
    </row>
    <row r="348" spans="1:40" hidden="1">
      <c r="A348">
        <v>346</v>
      </c>
      <c r="B348">
        <v>11</v>
      </c>
      <c r="C348" s="58">
        <v>44293</v>
      </c>
      <c r="D348" t="s">
        <v>121</v>
      </c>
      <c r="E348" t="s">
        <v>2515</v>
      </c>
      <c r="F348">
        <v>6</v>
      </c>
      <c r="G348">
        <v>9</v>
      </c>
      <c r="H348">
        <v>55</v>
      </c>
      <c r="I348">
        <v>2</v>
      </c>
      <c r="J348">
        <v>59.96</v>
      </c>
      <c r="K348" t="s">
        <v>15</v>
      </c>
      <c r="L348">
        <v>2910246.14</v>
      </c>
      <c r="M348">
        <v>0</v>
      </c>
      <c r="N348">
        <v>2910246.14</v>
      </c>
      <c r="O348">
        <v>48536.459973315556</v>
      </c>
      <c r="P348">
        <v>269820</v>
      </c>
      <c r="Q348">
        <v>2640426.14</v>
      </c>
      <c r="R348">
        <v>44036.459973315556</v>
      </c>
      <c r="S348" t="s">
        <v>65</v>
      </c>
      <c r="T348" t="s">
        <v>717</v>
      </c>
      <c r="U348" t="s">
        <v>717</v>
      </c>
      <c r="V348" t="s">
        <v>717</v>
      </c>
      <c r="W348">
        <v>44287</v>
      </c>
      <c r="X348" t="s">
        <v>3933</v>
      </c>
      <c r="Y348" t="s">
        <v>6</v>
      </c>
      <c r="Z348" t="s">
        <v>11</v>
      </c>
      <c r="AA348" t="s">
        <v>717</v>
      </c>
      <c r="AB348" t="s">
        <v>2509</v>
      </c>
      <c r="AC348" t="s">
        <v>2571</v>
      </c>
      <c r="AD348" t="s">
        <v>717</v>
      </c>
      <c r="AE348" t="s">
        <v>3934</v>
      </c>
      <c r="AF348" t="s">
        <v>3935</v>
      </c>
      <c r="AG348" t="s">
        <v>3936</v>
      </c>
      <c r="AH348" t="s">
        <v>2615</v>
      </c>
      <c r="AI348" t="s">
        <v>2552</v>
      </c>
      <c r="AJ348" t="s">
        <v>2895</v>
      </c>
      <c r="AK348" t="s">
        <v>63</v>
      </c>
      <c r="AL348" t="s">
        <v>16</v>
      </c>
      <c r="AM348" t="s">
        <v>10</v>
      </c>
      <c r="AN348" t="s">
        <v>717</v>
      </c>
    </row>
    <row r="349" spans="1:40" hidden="1">
      <c r="A349">
        <v>347</v>
      </c>
      <c r="B349">
        <v>12</v>
      </c>
      <c r="C349" s="58">
        <v>44293</v>
      </c>
      <c r="D349" t="s">
        <v>121</v>
      </c>
      <c r="E349" t="s">
        <v>2506</v>
      </c>
      <c r="F349">
        <v>3</v>
      </c>
      <c r="G349">
        <v>4</v>
      </c>
      <c r="H349">
        <v>186</v>
      </c>
      <c r="I349">
        <v>3</v>
      </c>
      <c r="J349">
        <v>86.58</v>
      </c>
      <c r="K349" t="s">
        <v>9</v>
      </c>
      <c r="L349">
        <v>3805450.74</v>
      </c>
      <c r="M349">
        <v>0</v>
      </c>
      <c r="N349">
        <v>3805450.74</v>
      </c>
      <c r="O349">
        <v>43953</v>
      </c>
      <c r="P349">
        <v>0</v>
      </c>
      <c r="Q349">
        <v>3805450.74</v>
      </c>
      <c r="R349">
        <v>43953</v>
      </c>
      <c r="S349" t="s">
        <v>65</v>
      </c>
      <c r="T349" t="s">
        <v>717</v>
      </c>
      <c r="U349" t="s">
        <v>717</v>
      </c>
      <c r="V349" t="s">
        <v>717</v>
      </c>
      <c r="W349">
        <v>44287</v>
      </c>
      <c r="X349" t="s">
        <v>3937</v>
      </c>
      <c r="Y349" t="s">
        <v>6</v>
      </c>
      <c r="Z349" t="s">
        <v>11</v>
      </c>
      <c r="AA349" t="s">
        <v>717</v>
      </c>
      <c r="AB349" t="s">
        <v>2509</v>
      </c>
      <c r="AC349" t="s">
        <v>2571</v>
      </c>
      <c r="AD349" t="s">
        <v>717</v>
      </c>
      <c r="AE349" t="s">
        <v>3938</v>
      </c>
      <c r="AF349" t="s">
        <v>3939</v>
      </c>
      <c r="AG349" t="s">
        <v>3940</v>
      </c>
      <c r="AH349" t="s">
        <v>2191</v>
      </c>
      <c r="AI349" t="s">
        <v>2538</v>
      </c>
      <c r="AJ349" t="s">
        <v>2514</v>
      </c>
      <c r="AK349" t="s">
        <v>20</v>
      </c>
      <c r="AL349" t="s">
        <v>16</v>
      </c>
      <c r="AM349" t="s">
        <v>10</v>
      </c>
      <c r="AN349" t="s">
        <v>717</v>
      </c>
    </row>
    <row r="350" spans="1:40" hidden="1">
      <c r="A350">
        <v>348</v>
      </c>
      <c r="B350">
        <v>13</v>
      </c>
      <c r="C350" s="58">
        <v>44293</v>
      </c>
      <c r="D350" t="s">
        <v>121</v>
      </c>
      <c r="E350" t="s">
        <v>2506</v>
      </c>
      <c r="F350">
        <v>11</v>
      </c>
      <c r="G350">
        <v>13</v>
      </c>
      <c r="H350">
        <v>293</v>
      </c>
      <c r="I350">
        <v>0</v>
      </c>
      <c r="J350">
        <v>25.85</v>
      </c>
      <c r="K350" t="s">
        <v>15</v>
      </c>
      <c r="L350">
        <v>1527735</v>
      </c>
      <c r="M350">
        <v>0</v>
      </c>
      <c r="N350">
        <v>1527735</v>
      </c>
      <c r="O350">
        <v>59100</v>
      </c>
      <c r="P350">
        <v>116325</v>
      </c>
      <c r="Q350">
        <v>1411410</v>
      </c>
      <c r="R350">
        <v>54600</v>
      </c>
      <c r="S350" t="s">
        <v>65</v>
      </c>
      <c r="T350" t="s">
        <v>717</v>
      </c>
      <c r="U350" t="s">
        <v>717</v>
      </c>
      <c r="V350" t="s">
        <v>717</v>
      </c>
      <c r="W350">
        <v>44287</v>
      </c>
      <c r="X350" t="s">
        <v>3941</v>
      </c>
      <c r="Y350" t="s">
        <v>6</v>
      </c>
      <c r="Z350" t="s">
        <v>11</v>
      </c>
      <c r="AA350" t="s">
        <v>717</v>
      </c>
      <c r="AB350" t="s">
        <v>2509</v>
      </c>
      <c r="AC350" t="s">
        <v>2571</v>
      </c>
      <c r="AD350" t="s">
        <v>717</v>
      </c>
      <c r="AE350" t="s">
        <v>165</v>
      </c>
      <c r="AF350" t="s">
        <v>3942</v>
      </c>
      <c r="AG350" t="s">
        <v>3943</v>
      </c>
      <c r="AH350" t="s">
        <v>2615</v>
      </c>
      <c r="AI350" t="s">
        <v>2552</v>
      </c>
      <c r="AJ350" t="s">
        <v>2895</v>
      </c>
      <c r="AK350" t="s">
        <v>63</v>
      </c>
      <c r="AL350" t="s">
        <v>16</v>
      </c>
      <c r="AM350" t="s">
        <v>10</v>
      </c>
      <c r="AN350" t="s">
        <v>717</v>
      </c>
    </row>
    <row r="351" spans="1:40" hidden="1">
      <c r="A351">
        <v>349</v>
      </c>
      <c r="B351">
        <v>14</v>
      </c>
      <c r="C351" s="58">
        <v>44293</v>
      </c>
      <c r="D351" t="s">
        <v>121</v>
      </c>
      <c r="E351" t="s">
        <v>2506</v>
      </c>
      <c r="F351">
        <v>4</v>
      </c>
      <c r="G351">
        <v>7</v>
      </c>
      <c r="H351">
        <v>220</v>
      </c>
      <c r="I351">
        <v>1</v>
      </c>
      <c r="J351">
        <v>37.89</v>
      </c>
      <c r="K351" t="s">
        <v>15</v>
      </c>
      <c r="L351">
        <v>2162296.67</v>
      </c>
      <c r="M351">
        <v>0</v>
      </c>
      <c r="N351">
        <v>2162296.67</v>
      </c>
      <c r="O351">
        <v>57067.740036949057</v>
      </c>
      <c r="P351">
        <v>170505</v>
      </c>
      <c r="Q351">
        <v>1991791.67</v>
      </c>
      <c r="R351">
        <v>52567.740036949057</v>
      </c>
      <c r="S351" t="s">
        <v>65</v>
      </c>
      <c r="T351" t="s">
        <v>717</v>
      </c>
      <c r="U351" t="s">
        <v>717</v>
      </c>
      <c r="V351" t="s">
        <v>717</v>
      </c>
      <c r="W351">
        <v>44287</v>
      </c>
      <c r="X351" t="s">
        <v>3944</v>
      </c>
      <c r="Y351" t="s">
        <v>6</v>
      </c>
      <c r="Z351" t="s">
        <v>11</v>
      </c>
      <c r="AA351" t="s">
        <v>717</v>
      </c>
      <c r="AB351" t="s">
        <v>2509</v>
      </c>
      <c r="AC351" t="s">
        <v>2571</v>
      </c>
      <c r="AD351" t="s">
        <v>717</v>
      </c>
      <c r="AE351" t="s">
        <v>3945</v>
      </c>
      <c r="AF351" t="s">
        <v>3946</v>
      </c>
      <c r="AG351" t="s">
        <v>3947</v>
      </c>
      <c r="AH351" t="s">
        <v>2552</v>
      </c>
      <c r="AI351" t="s">
        <v>2877</v>
      </c>
      <c r="AJ351" t="s">
        <v>3098</v>
      </c>
      <c r="AK351" t="s">
        <v>20</v>
      </c>
      <c r="AL351" t="s">
        <v>16</v>
      </c>
      <c r="AM351" t="s">
        <v>10</v>
      </c>
      <c r="AN351" t="s">
        <v>717</v>
      </c>
    </row>
    <row r="352" spans="1:40" hidden="1">
      <c r="A352">
        <v>350</v>
      </c>
      <c r="B352">
        <v>15</v>
      </c>
      <c r="C352" s="58">
        <v>44293</v>
      </c>
      <c r="D352" t="s">
        <v>121</v>
      </c>
      <c r="E352" t="s">
        <v>2506</v>
      </c>
      <c r="F352">
        <v>7</v>
      </c>
      <c r="G352">
        <v>13</v>
      </c>
      <c r="H352">
        <v>289</v>
      </c>
      <c r="I352">
        <v>0</v>
      </c>
      <c r="J352">
        <v>24.23</v>
      </c>
      <c r="K352" t="s">
        <v>15</v>
      </c>
      <c r="L352">
        <v>1438607.79</v>
      </c>
      <c r="M352">
        <v>0</v>
      </c>
      <c r="N352">
        <v>1438607.79</v>
      </c>
      <c r="O352">
        <v>59373</v>
      </c>
      <c r="P352">
        <v>109035</v>
      </c>
      <c r="Q352">
        <v>1329572.79</v>
      </c>
      <c r="R352">
        <v>54873</v>
      </c>
      <c r="S352" t="s">
        <v>130</v>
      </c>
      <c r="T352" t="s">
        <v>717</v>
      </c>
      <c r="U352" t="s">
        <v>717</v>
      </c>
      <c r="V352" t="s">
        <v>717</v>
      </c>
      <c r="W352">
        <v>44287</v>
      </c>
      <c r="X352" t="s">
        <v>3948</v>
      </c>
      <c r="Y352" t="s">
        <v>6</v>
      </c>
      <c r="Z352" t="s">
        <v>11</v>
      </c>
      <c r="AA352" t="s">
        <v>717</v>
      </c>
      <c r="AB352" t="s">
        <v>2509</v>
      </c>
      <c r="AC352" t="s">
        <v>118</v>
      </c>
      <c r="AD352" t="s">
        <v>717</v>
      </c>
      <c r="AE352" t="s">
        <v>3949</v>
      </c>
      <c r="AF352" t="s">
        <v>3950</v>
      </c>
      <c r="AG352" t="s">
        <v>3951</v>
      </c>
      <c r="AH352" t="s">
        <v>2191</v>
      </c>
      <c r="AI352" t="s">
        <v>2538</v>
      </c>
      <c r="AJ352" t="s">
        <v>2514</v>
      </c>
      <c r="AK352" t="s">
        <v>77</v>
      </c>
      <c r="AL352" t="s">
        <v>717</v>
      </c>
      <c r="AM352" t="s">
        <v>10</v>
      </c>
      <c r="AN352" t="s">
        <v>717</v>
      </c>
    </row>
    <row r="353" spans="1:40" hidden="1">
      <c r="A353">
        <v>351</v>
      </c>
      <c r="B353">
        <v>16</v>
      </c>
      <c r="C353" s="58">
        <v>44294</v>
      </c>
      <c r="D353" t="s">
        <v>121</v>
      </c>
      <c r="E353" t="s">
        <v>2506</v>
      </c>
      <c r="F353">
        <v>8</v>
      </c>
      <c r="G353">
        <v>3</v>
      </c>
      <c r="H353">
        <v>180</v>
      </c>
      <c r="I353">
        <v>2</v>
      </c>
      <c r="J353">
        <v>56.93</v>
      </c>
      <c r="K353" t="s">
        <v>15</v>
      </c>
      <c r="L353">
        <v>2758429.29</v>
      </c>
      <c r="M353">
        <v>0</v>
      </c>
      <c r="N353">
        <v>2758429.29</v>
      </c>
      <c r="O353">
        <v>48453</v>
      </c>
      <c r="P353">
        <v>256185</v>
      </c>
      <c r="Q353">
        <v>2502244.29</v>
      </c>
      <c r="R353">
        <v>43953</v>
      </c>
      <c r="S353" t="s">
        <v>65</v>
      </c>
      <c r="T353" t="s">
        <v>717</v>
      </c>
      <c r="U353" t="s">
        <v>717</v>
      </c>
      <c r="V353" t="s">
        <v>717</v>
      </c>
      <c r="W353">
        <v>44287</v>
      </c>
      <c r="X353" t="s">
        <v>3952</v>
      </c>
      <c r="Y353" t="s">
        <v>6</v>
      </c>
      <c r="Z353" t="s">
        <v>11</v>
      </c>
      <c r="AA353" t="s">
        <v>717</v>
      </c>
      <c r="AB353" t="s">
        <v>2509</v>
      </c>
      <c r="AC353" t="s">
        <v>2571</v>
      </c>
      <c r="AD353" t="s">
        <v>717</v>
      </c>
      <c r="AE353" t="s">
        <v>181</v>
      </c>
      <c r="AF353" t="s">
        <v>3953</v>
      </c>
      <c r="AG353" t="s">
        <v>3954</v>
      </c>
      <c r="AH353" t="s">
        <v>2191</v>
      </c>
      <c r="AI353" t="s">
        <v>2538</v>
      </c>
      <c r="AJ353" t="s">
        <v>2514</v>
      </c>
      <c r="AK353" t="s">
        <v>77</v>
      </c>
      <c r="AL353" t="s">
        <v>16</v>
      </c>
      <c r="AM353" t="s">
        <v>10</v>
      </c>
      <c r="AN353" t="s">
        <v>717</v>
      </c>
    </row>
    <row r="354" spans="1:40" hidden="1">
      <c r="A354">
        <v>352</v>
      </c>
      <c r="B354">
        <v>17</v>
      </c>
      <c r="C354" s="58">
        <v>44294</v>
      </c>
      <c r="D354" t="s">
        <v>121</v>
      </c>
      <c r="E354" t="s">
        <v>2506</v>
      </c>
      <c r="F354">
        <v>1</v>
      </c>
      <c r="G354">
        <v>2</v>
      </c>
      <c r="H354">
        <v>162</v>
      </c>
      <c r="I354">
        <v>1</v>
      </c>
      <c r="J354">
        <v>38.83</v>
      </c>
      <c r="K354" t="s">
        <v>9</v>
      </c>
      <c r="L354">
        <v>1921580.21</v>
      </c>
      <c r="M354">
        <v>0</v>
      </c>
      <c r="N354">
        <v>1921580.21</v>
      </c>
      <c r="O354">
        <v>49487</v>
      </c>
      <c r="P354">
        <v>0</v>
      </c>
      <c r="Q354">
        <v>1921580.21</v>
      </c>
      <c r="R354">
        <v>49487</v>
      </c>
      <c r="S354" t="s">
        <v>65</v>
      </c>
      <c r="T354" t="s">
        <v>717</v>
      </c>
      <c r="U354" t="s">
        <v>717</v>
      </c>
      <c r="V354" t="s">
        <v>717</v>
      </c>
      <c r="W354">
        <v>44287</v>
      </c>
      <c r="X354" t="s">
        <v>3955</v>
      </c>
      <c r="Y354" t="s">
        <v>6</v>
      </c>
      <c r="Z354" t="s">
        <v>17</v>
      </c>
      <c r="AA354" t="s">
        <v>717</v>
      </c>
      <c r="AB354" t="s">
        <v>2509</v>
      </c>
      <c r="AC354" t="s">
        <v>2571</v>
      </c>
      <c r="AD354" t="s">
        <v>717</v>
      </c>
      <c r="AE354" t="s">
        <v>126</v>
      </c>
      <c r="AF354" t="s">
        <v>3773</v>
      </c>
      <c r="AG354" t="s">
        <v>3774</v>
      </c>
      <c r="AH354" t="s">
        <v>3775</v>
      </c>
      <c r="AI354" t="s">
        <v>2600</v>
      </c>
      <c r="AJ354" t="s">
        <v>3921</v>
      </c>
      <c r="AK354" t="s">
        <v>73</v>
      </c>
      <c r="AL354" t="s">
        <v>16</v>
      </c>
      <c r="AM354" t="s">
        <v>10</v>
      </c>
      <c r="AN354" t="s">
        <v>717</v>
      </c>
    </row>
    <row r="355" spans="1:40" hidden="1">
      <c r="A355">
        <v>353</v>
      </c>
      <c r="B355">
        <v>18</v>
      </c>
      <c r="C355" s="58">
        <v>44294</v>
      </c>
      <c r="D355" t="s">
        <v>121</v>
      </c>
      <c r="E355" t="s">
        <v>2515</v>
      </c>
      <c r="F355">
        <v>2</v>
      </c>
      <c r="G355">
        <v>12</v>
      </c>
      <c r="H355">
        <v>72</v>
      </c>
      <c r="I355">
        <v>2</v>
      </c>
      <c r="J355">
        <v>58.99</v>
      </c>
      <c r="K355" t="s">
        <v>15</v>
      </c>
      <c r="L355">
        <v>2733280.24</v>
      </c>
      <c r="M355">
        <v>0</v>
      </c>
      <c r="N355">
        <v>2733280.24</v>
      </c>
      <c r="O355">
        <v>46334.637057128326</v>
      </c>
      <c r="P355">
        <v>265455</v>
      </c>
      <c r="Q355">
        <v>2467825.2400000002</v>
      </c>
      <c r="R355">
        <v>41834.637057128326</v>
      </c>
      <c r="S355" t="s">
        <v>65</v>
      </c>
      <c r="T355" t="s">
        <v>3414</v>
      </c>
      <c r="U355">
        <v>129885.53539999994</v>
      </c>
      <c r="V355" t="s">
        <v>717</v>
      </c>
      <c r="W355">
        <v>44287</v>
      </c>
      <c r="X355" t="s">
        <v>3956</v>
      </c>
      <c r="Y355" t="s">
        <v>6</v>
      </c>
      <c r="Z355" t="s">
        <v>17</v>
      </c>
      <c r="AA355" t="s">
        <v>717</v>
      </c>
      <c r="AB355" t="s">
        <v>2509</v>
      </c>
      <c r="AC355" t="s">
        <v>2571</v>
      </c>
      <c r="AD355" t="s">
        <v>717</v>
      </c>
      <c r="AE355" t="s">
        <v>3957</v>
      </c>
      <c r="AF355" t="s">
        <v>3958</v>
      </c>
      <c r="AG355" t="s">
        <v>3959</v>
      </c>
      <c r="AH355" t="s">
        <v>2191</v>
      </c>
      <c r="AI355" t="s">
        <v>2552</v>
      </c>
      <c r="AJ355" t="s">
        <v>2514</v>
      </c>
      <c r="AK355" t="s">
        <v>20</v>
      </c>
      <c r="AL355" t="s">
        <v>16</v>
      </c>
      <c r="AM355" t="s">
        <v>10</v>
      </c>
      <c r="AN355" t="s">
        <v>717</v>
      </c>
    </row>
    <row r="356" spans="1:40" hidden="1">
      <c r="A356">
        <v>354</v>
      </c>
      <c r="B356">
        <v>19</v>
      </c>
      <c r="C356" s="58">
        <v>44294</v>
      </c>
      <c r="D356" t="s">
        <v>121</v>
      </c>
      <c r="E356" t="s">
        <v>2506</v>
      </c>
      <c r="F356">
        <v>3</v>
      </c>
      <c r="G356">
        <v>15</v>
      </c>
      <c r="H356">
        <v>307</v>
      </c>
      <c r="I356">
        <v>3</v>
      </c>
      <c r="J356">
        <v>86.58</v>
      </c>
      <c r="K356" t="s">
        <v>15</v>
      </c>
      <c r="L356">
        <v>4180060.74</v>
      </c>
      <c r="M356">
        <v>15000</v>
      </c>
      <c r="N356">
        <v>4195060.74</v>
      </c>
      <c r="O356">
        <v>48453</v>
      </c>
      <c r="P356">
        <v>389610</v>
      </c>
      <c r="Q356">
        <v>3805450.74</v>
      </c>
      <c r="R356">
        <v>43953</v>
      </c>
      <c r="S356" t="s">
        <v>65</v>
      </c>
      <c r="T356" t="s">
        <v>717</v>
      </c>
      <c r="U356" t="s">
        <v>717</v>
      </c>
      <c r="V356" t="s">
        <v>717</v>
      </c>
      <c r="W356">
        <v>44287</v>
      </c>
      <c r="X356" t="s">
        <v>3960</v>
      </c>
      <c r="Y356" t="s">
        <v>6</v>
      </c>
      <c r="Z356" t="s">
        <v>17</v>
      </c>
      <c r="AA356" t="s">
        <v>717</v>
      </c>
      <c r="AB356" t="s">
        <v>2509</v>
      </c>
      <c r="AC356" t="s">
        <v>2571</v>
      </c>
      <c r="AD356" t="s">
        <v>717</v>
      </c>
      <c r="AE356" t="s">
        <v>3961</v>
      </c>
      <c r="AF356" t="s">
        <v>3962</v>
      </c>
      <c r="AG356" t="s">
        <v>3963</v>
      </c>
      <c r="AH356" t="s">
        <v>2191</v>
      </c>
      <c r="AI356" t="s">
        <v>2552</v>
      </c>
      <c r="AJ356" t="s">
        <v>2514</v>
      </c>
      <c r="AK356" t="s">
        <v>77</v>
      </c>
      <c r="AL356" t="s">
        <v>16</v>
      </c>
      <c r="AM356" t="s">
        <v>10</v>
      </c>
      <c r="AN356" t="s">
        <v>717</v>
      </c>
    </row>
    <row r="357" spans="1:40" hidden="1">
      <c r="A357">
        <v>355</v>
      </c>
      <c r="B357">
        <v>20</v>
      </c>
      <c r="C357" s="58">
        <v>44294</v>
      </c>
      <c r="D357" t="s">
        <v>74</v>
      </c>
      <c r="E357" t="s">
        <v>2515</v>
      </c>
      <c r="F357">
        <v>3</v>
      </c>
      <c r="G357">
        <v>5</v>
      </c>
      <c r="H357">
        <v>33</v>
      </c>
      <c r="I357">
        <v>2</v>
      </c>
      <c r="J357">
        <v>67.16</v>
      </c>
      <c r="K357" t="s">
        <v>9</v>
      </c>
      <c r="L357">
        <v>3359857.16</v>
      </c>
      <c r="M357">
        <v>15000</v>
      </c>
      <c r="N357">
        <v>3374857.16</v>
      </c>
      <c r="O357">
        <v>50251.000000000007</v>
      </c>
      <c r="P357">
        <v>33580</v>
      </c>
      <c r="Q357">
        <v>3341277.16</v>
      </c>
      <c r="R357">
        <v>49751.000000000007</v>
      </c>
      <c r="S357" t="s">
        <v>65</v>
      </c>
      <c r="T357" t="s">
        <v>717</v>
      </c>
      <c r="U357" t="s">
        <v>717</v>
      </c>
      <c r="V357" t="s">
        <v>717</v>
      </c>
      <c r="W357">
        <v>44287</v>
      </c>
      <c r="X357" t="s">
        <v>3964</v>
      </c>
      <c r="Y357" t="s">
        <v>6</v>
      </c>
      <c r="Z357" t="s">
        <v>11</v>
      </c>
      <c r="AA357" t="s">
        <v>717</v>
      </c>
      <c r="AB357" t="s">
        <v>2509</v>
      </c>
      <c r="AC357" t="s">
        <v>2576</v>
      </c>
      <c r="AD357" t="s">
        <v>717</v>
      </c>
      <c r="AE357" t="s">
        <v>3965</v>
      </c>
      <c r="AF357" t="s">
        <v>3966</v>
      </c>
      <c r="AG357" t="s">
        <v>3967</v>
      </c>
      <c r="AH357" t="s">
        <v>2191</v>
      </c>
      <c r="AI357" t="s">
        <v>2538</v>
      </c>
      <c r="AJ357" t="s">
        <v>2514</v>
      </c>
      <c r="AK357" t="s">
        <v>63</v>
      </c>
      <c r="AL357" t="s">
        <v>16</v>
      </c>
      <c r="AM357" t="s">
        <v>10</v>
      </c>
      <c r="AN357" t="s">
        <v>717</v>
      </c>
    </row>
    <row r="358" spans="1:40" hidden="1">
      <c r="A358">
        <v>356</v>
      </c>
      <c r="B358">
        <v>21</v>
      </c>
      <c r="C358" s="58">
        <v>44294</v>
      </c>
      <c r="D358" t="s">
        <v>121</v>
      </c>
      <c r="E358" t="s">
        <v>2506</v>
      </c>
      <c r="F358">
        <v>7</v>
      </c>
      <c r="G358">
        <v>3</v>
      </c>
      <c r="H358">
        <v>179</v>
      </c>
      <c r="I358">
        <v>0</v>
      </c>
      <c r="J358">
        <v>24.23</v>
      </c>
      <c r="K358" t="s">
        <v>15</v>
      </c>
      <c r="L358">
        <v>1320618.8400000001</v>
      </c>
      <c r="M358">
        <v>0</v>
      </c>
      <c r="N358">
        <v>1320618.8400000001</v>
      </c>
      <c r="O358">
        <v>54503.460173338841</v>
      </c>
      <c r="P358">
        <v>109035</v>
      </c>
      <c r="Q358">
        <v>1211583.8400000001</v>
      </c>
      <c r="R358">
        <v>50003.460173338841</v>
      </c>
      <c r="S358" t="s">
        <v>130</v>
      </c>
      <c r="T358" t="s">
        <v>717</v>
      </c>
      <c r="U358" t="s">
        <v>717</v>
      </c>
      <c r="V358" t="s">
        <v>717</v>
      </c>
      <c r="W358">
        <v>44288</v>
      </c>
      <c r="X358" t="s">
        <v>3968</v>
      </c>
      <c r="Y358" t="s">
        <v>6</v>
      </c>
      <c r="Z358" t="s">
        <v>11</v>
      </c>
      <c r="AA358" t="s">
        <v>717</v>
      </c>
      <c r="AB358" t="s">
        <v>2509</v>
      </c>
      <c r="AC358" t="s">
        <v>118</v>
      </c>
      <c r="AD358" t="s">
        <v>717</v>
      </c>
      <c r="AE358" t="s">
        <v>3969</v>
      </c>
      <c r="AF358" t="s">
        <v>3970</v>
      </c>
      <c r="AG358" t="s">
        <v>3971</v>
      </c>
      <c r="AH358" t="s">
        <v>2615</v>
      </c>
      <c r="AI358" t="s">
        <v>2621</v>
      </c>
      <c r="AJ358" t="s">
        <v>2569</v>
      </c>
      <c r="AK358" t="s">
        <v>77</v>
      </c>
      <c r="AL358" t="s">
        <v>717</v>
      </c>
      <c r="AM358" t="s">
        <v>10</v>
      </c>
      <c r="AN358" t="s">
        <v>717</v>
      </c>
    </row>
    <row r="359" spans="1:40" hidden="1">
      <c r="A359">
        <v>357</v>
      </c>
      <c r="B359">
        <v>22</v>
      </c>
      <c r="C359" s="58">
        <v>44294</v>
      </c>
      <c r="D359" t="s">
        <v>74</v>
      </c>
      <c r="E359" t="s">
        <v>2515</v>
      </c>
      <c r="F359">
        <v>1</v>
      </c>
      <c r="G359">
        <v>2</v>
      </c>
      <c r="H359">
        <v>1</v>
      </c>
      <c r="I359">
        <v>0</v>
      </c>
      <c r="J359">
        <v>32.770000000000003</v>
      </c>
      <c r="K359" t="s">
        <v>9</v>
      </c>
      <c r="L359">
        <v>2069851.51</v>
      </c>
      <c r="M359">
        <v>0</v>
      </c>
      <c r="N359">
        <v>2069851.51</v>
      </c>
      <c r="O359">
        <v>63162.999999999993</v>
      </c>
      <c r="P359">
        <v>16385</v>
      </c>
      <c r="Q359">
        <v>2053466.51</v>
      </c>
      <c r="R359">
        <v>62662.999999999993</v>
      </c>
      <c r="S359" t="s">
        <v>65</v>
      </c>
      <c r="T359" t="s">
        <v>717</v>
      </c>
      <c r="U359" t="s">
        <v>717</v>
      </c>
      <c r="V359" t="s">
        <v>717</v>
      </c>
      <c r="W359">
        <v>44289</v>
      </c>
      <c r="X359" t="s">
        <v>2516</v>
      </c>
      <c r="Y359" t="s">
        <v>6</v>
      </c>
      <c r="Z359" t="s">
        <v>17</v>
      </c>
      <c r="AA359" t="s">
        <v>717</v>
      </c>
      <c r="AB359" t="s">
        <v>2509</v>
      </c>
      <c r="AC359" t="s">
        <v>2571</v>
      </c>
      <c r="AD359" t="s">
        <v>717</v>
      </c>
      <c r="AE359" t="s">
        <v>3972</v>
      </c>
      <c r="AF359" t="s">
        <v>3973</v>
      </c>
      <c r="AG359" t="s">
        <v>3974</v>
      </c>
      <c r="AH359" t="s">
        <v>2191</v>
      </c>
      <c r="AI359" t="s">
        <v>2706</v>
      </c>
      <c r="AJ359" t="s">
        <v>2514</v>
      </c>
      <c r="AK359" t="s">
        <v>77</v>
      </c>
      <c r="AL359" t="s">
        <v>16</v>
      </c>
      <c r="AM359" t="s">
        <v>10</v>
      </c>
      <c r="AN359" t="s">
        <v>717</v>
      </c>
    </row>
    <row r="360" spans="1:40" hidden="1">
      <c r="A360">
        <v>358</v>
      </c>
      <c r="B360">
        <v>23</v>
      </c>
      <c r="C360" s="58">
        <v>44294</v>
      </c>
      <c r="D360" t="s">
        <v>74</v>
      </c>
      <c r="E360" t="s">
        <v>2581</v>
      </c>
      <c r="F360">
        <v>1</v>
      </c>
      <c r="G360">
        <v>7</v>
      </c>
      <c r="H360">
        <v>352</v>
      </c>
      <c r="I360">
        <v>2</v>
      </c>
      <c r="J360">
        <v>59.13</v>
      </c>
      <c r="K360" t="s">
        <v>9</v>
      </c>
      <c r="L360">
        <v>3120171.84</v>
      </c>
      <c r="M360">
        <v>0</v>
      </c>
      <c r="N360">
        <v>3120171.84</v>
      </c>
      <c r="O360">
        <v>52767.999999999993</v>
      </c>
      <c r="P360">
        <v>29565</v>
      </c>
      <c r="Q360">
        <v>3090606.84</v>
      </c>
      <c r="R360">
        <v>52267.999999999993</v>
      </c>
      <c r="S360" t="s">
        <v>2507</v>
      </c>
      <c r="T360" t="s">
        <v>717</v>
      </c>
      <c r="U360" t="s">
        <v>717</v>
      </c>
      <c r="V360" t="s">
        <v>717</v>
      </c>
      <c r="W360">
        <v>44298</v>
      </c>
      <c r="X360" t="s">
        <v>3975</v>
      </c>
      <c r="Y360" t="s">
        <v>6</v>
      </c>
      <c r="Z360" t="s">
        <v>17</v>
      </c>
      <c r="AA360" t="s">
        <v>717</v>
      </c>
      <c r="AB360" t="s">
        <v>2509</v>
      </c>
      <c r="AC360" t="s">
        <v>118</v>
      </c>
      <c r="AD360" t="s">
        <v>717</v>
      </c>
      <c r="AE360" t="s">
        <v>3976</v>
      </c>
      <c r="AF360" t="s">
        <v>3977</v>
      </c>
      <c r="AG360" t="s">
        <v>3978</v>
      </c>
      <c r="AH360" t="s">
        <v>2615</v>
      </c>
      <c r="AI360" t="s">
        <v>2847</v>
      </c>
      <c r="AJ360" t="s">
        <v>3289</v>
      </c>
      <c r="AK360" t="s">
        <v>77</v>
      </c>
      <c r="AL360" t="s">
        <v>717</v>
      </c>
      <c r="AM360" t="s">
        <v>10</v>
      </c>
      <c r="AN360" t="s">
        <v>717</v>
      </c>
    </row>
    <row r="361" spans="1:40" hidden="1">
      <c r="A361">
        <v>359</v>
      </c>
      <c r="B361">
        <v>24</v>
      </c>
      <c r="C361" s="58">
        <v>44295</v>
      </c>
      <c r="D361" t="s">
        <v>121</v>
      </c>
      <c r="E361" t="s">
        <v>2506</v>
      </c>
      <c r="F361">
        <v>10</v>
      </c>
      <c r="G361">
        <v>14</v>
      </c>
      <c r="H361">
        <v>303</v>
      </c>
      <c r="I361">
        <v>0</v>
      </c>
      <c r="J361">
        <v>25.91</v>
      </c>
      <c r="K361" t="s">
        <v>15</v>
      </c>
      <c r="L361">
        <v>1531281</v>
      </c>
      <c r="M361">
        <v>0</v>
      </c>
      <c r="N361">
        <v>1531281</v>
      </c>
      <c r="O361">
        <v>59100</v>
      </c>
      <c r="P361">
        <v>116595</v>
      </c>
      <c r="Q361">
        <v>1414686</v>
      </c>
      <c r="R361">
        <v>54600</v>
      </c>
      <c r="S361" t="s">
        <v>65</v>
      </c>
      <c r="T361" t="s">
        <v>717</v>
      </c>
      <c r="U361" t="s">
        <v>717</v>
      </c>
      <c r="V361" t="s">
        <v>717</v>
      </c>
      <c r="W361">
        <v>44287</v>
      </c>
      <c r="X361" t="s">
        <v>3979</v>
      </c>
      <c r="Y361" t="s">
        <v>6</v>
      </c>
      <c r="Z361" t="s">
        <v>11</v>
      </c>
      <c r="AA361" t="s">
        <v>717</v>
      </c>
      <c r="AB361" t="s">
        <v>2509</v>
      </c>
      <c r="AC361" t="s">
        <v>2571</v>
      </c>
      <c r="AD361" t="s">
        <v>717</v>
      </c>
      <c r="AE361" t="s">
        <v>169</v>
      </c>
      <c r="AF361" t="s">
        <v>3980</v>
      </c>
      <c r="AG361" t="s">
        <v>3981</v>
      </c>
      <c r="AH361" t="s">
        <v>2191</v>
      </c>
      <c r="AI361" t="s">
        <v>2824</v>
      </c>
      <c r="AJ361" t="s">
        <v>2514</v>
      </c>
      <c r="AK361" t="s">
        <v>73</v>
      </c>
      <c r="AL361" t="s">
        <v>16</v>
      </c>
      <c r="AM361" t="s">
        <v>10</v>
      </c>
      <c r="AN361" t="s">
        <v>717</v>
      </c>
    </row>
    <row r="362" spans="1:40" hidden="1">
      <c r="A362">
        <v>360</v>
      </c>
      <c r="B362">
        <v>25</v>
      </c>
      <c r="C362" s="58">
        <v>44295</v>
      </c>
      <c r="D362" t="s">
        <v>121</v>
      </c>
      <c r="E362" t="s">
        <v>2506</v>
      </c>
      <c r="F362">
        <v>1</v>
      </c>
      <c r="G362">
        <v>4</v>
      </c>
      <c r="H362">
        <v>184</v>
      </c>
      <c r="I362">
        <v>1</v>
      </c>
      <c r="J362">
        <v>38.83</v>
      </c>
      <c r="K362" t="s">
        <v>9</v>
      </c>
      <c r="L362">
        <v>1921580.21</v>
      </c>
      <c r="M362">
        <v>0</v>
      </c>
      <c r="N362">
        <v>1921580.21</v>
      </c>
      <c r="O362">
        <v>49487</v>
      </c>
      <c r="P362">
        <v>0</v>
      </c>
      <c r="Q362">
        <v>1921580.21</v>
      </c>
      <c r="R362">
        <v>49487</v>
      </c>
      <c r="S362" t="s">
        <v>130</v>
      </c>
      <c r="T362" t="s">
        <v>717</v>
      </c>
      <c r="U362" t="s">
        <v>717</v>
      </c>
      <c r="V362" t="s">
        <v>717</v>
      </c>
      <c r="W362">
        <v>44287</v>
      </c>
      <c r="X362" t="s">
        <v>3982</v>
      </c>
      <c r="Y362" t="s">
        <v>6</v>
      </c>
      <c r="Z362" t="s">
        <v>11</v>
      </c>
      <c r="AA362" t="s">
        <v>717</v>
      </c>
      <c r="AB362" t="s">
        <v>2509</v>
      </c>
      <c r="AC362" t="s">
        <v>118</v>
      </c>
      <c r="AD362" t="s">
        <v>717</v>
      </c>
      <c r="AE362" t="s">
        <v>144</v>
      </c>
      <c r="AF362" t="s">
        <v>3983</v>
      </c>
      <c r="AG362" t="s">
        <v>3984</v>
      </c>
      <c r="AH362" t="s">
        <v>2191</v>
      </c>
      <c r="AI362" t="s">
        <v>2538</v>
      </c>
      <c r="AJ362" t="s">
        <v>2514</v>
      </c>
      <c r="AK362" t="s">
        <v>73</v>
      </c>
      <c r="AL362" t="s">
        <v>717</v>
      </c>
      <c r="AM362" t="s">
        <v>10</v>
      </c>
      <c r="AN362" t="s">
        <v>717</v>
      </c>
    </row>
    <row r="363" spans="1:40" hidden="1">
      <c r="A363">
        <v>361</v>
      </c>
      <c r="B363">
        <v>26</v>
      </c>
      <c r="C363" s="58">
        <v>44295</v>
      </c>
      <c r="D363" t="s">
        <v>121</v>
      </c>
      <c r="E363" t="s">
        <v>2506</v>
      </c>
      <c r="F363">
        <v>8</v>
      </c>
      <c r="G363">
        <v>13</v>
      </c>
      <c r="H363">
        <v>290</v>
      </c>
      <c r="I363">
        <v>2</v>
      </c>
      <c r="J363">
        <v>56.93</v>
      </c>
      <c r="K363" t="s">
        <v>15</v>
      </c>
      <c r="L363">
        <v>3076469.79</v>
      </c>
      <c r="M363">
        <v>15000</v>
      </c>
      <c r="N363">
        <v>3091469.79</v>
      </c>
      <c r="O363">
        <v>54303</v>
      </c>
      <c r="P363">
        <v>256185</v>
      </c>
      <c r="Q363">
        <v>2835284.79</v>
      </c>
      <c r="R363">
        <v>49803</v>
      </c>
      <c r="S363" t="s">
        <v>2507</v>
      </c>
      <c r="T363" t="s">
        <v>717</v>
      </c>
      <c r="U363" t="s">
        <v>717</v>
      </c>
      <c r="V363" t="s">
        <v>717</v>
      </c>
      <c r="W363">
        <v>44287</v>
      </c>
      <c r="X363" t="s">
        <v>3985</v>
      </c>
      <c r="Y363" t="s">
        <v>6</v>
      </c>
      <c r="Z363" t="s">
        <v>17</v>
      </c>
      <c r="AA363" t="s">
        <v>717</v>
      </c>
      <c r="AB363" t="s">
        <v>2509</v>
      </c>
      <c r="AC363" t="s">
        <v>118</v>
      </c>
      <c r="AD363" t="s">
        <v>717</v>
      </c>
      <c r="AE363" t="s">
        <v>3986</v>
      </c>
      <c r="AF363" t="s">
        <v>3987</v>
      </c>
      <c r="AG363" t="s">
        <v>3988</v>
      </c>
      <c r="AH363" t="s">
        <v>2615</v>
      </c>
      <c r="AI363" t="s">
        <v>2552</v>
      </c>
      <c r="AJ363" t="s">
        <v>2569</v>
      </c>
      <c r="AK363" t="s">
        <v>73</v>
      </c>
      <c r="AL363" t="s">
        <v>717</v>
      </c>
      <c r="AM363" t="s">
        <v>10</v>
      </c>
      <c r="AN363" t="s">
        <v>717</v>
      </c>
    </row>
    <row r="364" spans="1:40" hidden="1">
      <c r="A364">
        <v>362</v>
      </c>
      <c r="B364">
        <v>27</v>
      </c>
      <c r="C364" s="58">
        <v>44295</v>
      </c>
      <c r="D364" t="s">
        <v>121</v>
      </c>
      <c r="E364" t="s">
        <v>2506</v>
      </c>
      <c r="F364">
        <v>10</v>
      </c>
      <c r="G364">
        <v>9</v>
      </c>
      <c r="H364">
        <v>248</v>
      </c>
      <c r="I364">
        <v>0</v>
      </c>
      <c r="J364">
        <v>25.91</v>
      </c>
      <c r="K364" t="s">
        <v>9</v>
      </c>
      <c r="L364">
        <v>1263112.5</v>
      </c>
      <c r="M364">
        <v>0</v>
      </c>
      <c r="N364">
        <v>1263112.5</v>
      </c>
      <c r="O364">
        <v>48750</v>
      </c>
      <c r="P364">
        <v>0</v>
      </c>
      <c r="Q364">
        <v>1263112.5</v>
      </c>
      <c r="R364">
        <v>48750</v>
      </c>
      <c r="S364" t="s">
        <v>130</v>
      </c>
      <c r="T364" t="s">
        <v>717</v>
      </c>
      <c r="U364" t="s">
        <v>717</v>
      </c>
      <c r="V364" t="s">
        <v>717</v>
      </c>
      <c r="W364">
        <v>44287</v>
      </c>
      <c r="X364" t="s">
        <v>3989</v>
      </c>
      <c r="Y364" t="s">
        <v>6</v>
      </c>
      <c r="Z364" t="s">
        <v>11</v>
      </c>
      <c r="AA364" t="s">
        <v>717</v>
      </c>
      <c r="AB364" t="s">
        <v>2509</v>
      </c>
      <c r="AC364" t="s">
        <v>118</v>
      </c>
      <c r="AD364" t="s">
        <v>717</v>
      </c>
      <c r="AE364" t="s">
        <v>140</v>
      </c>
      <c r="AF364" t="s">
        <v>3990</v>
      </c>
      <c r="AG364" t="s">
        <v>3991</v>
      </c>
      <c r="AH364" t="s">
        <v>2615</v>
      </c>
      <c r="AI364" t="s">
        <v>3115</v>
      </c>
      <c r="AJ364" t="s">
        <v>2569</v>
      </c>
      <c r="AK364" t="s">
        <v>77</v>
      </c>
      <c r="AL364" t="s">
        <v>717</v>
      </c>
      <c r="AM364" t="s">
        <v>10</v>
      </c>
      <c r="AN364" t="s">
        <v>717</v>
      </c>
    </row>
    <row r="365" spans="1:40" hidden="1">
      <c r="A365">
        <v>363</v>
      </c>
      <c r="B365">
        <v>28</v>
      </c>
      <c r="C365" s="58">
        <v>44295</v>
      </c>
      <c r="D365" t="s">
        <v>121</v>
      </c>
      <c r="E365" t="s">
        <v>2506</v>
      </c>
      <c r="F365">
        <v>2</v>
      </c>
      <c r="G365">
        <v>3</v>
      </c>
      <c r="H365">
        <v>174</v>
      </c>
      <c r="I365">
        <v>1</v>
      </c>
      <c r="J365">
        <v>38.22</v>
      </c>
      <c r="K365" t="s">
        <v>15</v>
      </c>
      <c r="L365">
        <v>2141734.14</v>
      </c>
      <c r="M365">
        <v>0</v>
      </c>
      <c r="N365">
        <v>2141734.14</v>
      </c>
      <c r="O365">
        <v>56037.000000000007</v>
      </c>
      <c r="P365">
        <v>171990.00000000047</v>
      </c>
      <c r="Q365">
        <v>1969744.1399999997</v>
      </c>
      <c r="R365">
        <v>51536.999999999993</v>
      </c>
      <c r="S365" t="s">
        <v>65</v>
      </c>
      <c r="T365" t="s">
        <v>717</v>
      </c>
      <c r="U365" t="s">
        <v>717</v>
      </c>
      <c r="V365" t="s">
        <v>717</v>
      </c>
      <c r="W365">
        <v>44287</v>
      </c>
      <c r="X365" t="s">
        <v>3992</v>
      </c>
      <c r="Y365" t="s">
        <v>6</v>
      </c>
      <c r="Z365" t="s">
        <v>11</v>
      </c>
      <c r="AA365" t="s">
        <v>717</v>
      </c>
      <c r="AB365" t="s">
        <v>2509</v>
      </c>
      <c r="AC365" t="s">
        <v>2571</v>
      </c>
      <c r="AD365" t="s">
        <v>717</v>
      </c>
      <c r="AE365" t="s">
        <v>3532</v>
      </c>
      <c r="AF365" t="s">
        <v>3993</v>
      </c>
      <c r="AG365" t="s">
        <v>3534</v>
      </c>
      <c r="AH365" t="s">
        <v>2191</v>
      </c>
      <c r="AI365" t="s">
        <v>2706</v>
      </c>
      <c r="AJ365" t="s">
        <v>3921</v>
      </c>
      <c r="AK365" t="s">
        <v>73</v>
      </c>
      <c r="AL365" t="s">
        <v>16</v>
      </c>
      <c r="AM365" t="s">
        <v>10</v>
      </c>
      <c r="AN365" t="s">
        <v>717</v>
      </c>
    </row>
    <row r="366" spans="1:40" hidden="1">
      <c r="A366">
        <v>364</v>
      </c>
      <c r="B366">
        <v>29</v>
      </c>
      <c r="C366" s="58">
        <v>44295</v>
      </c>
      <c r="D366" t="s">
        <v>121</v>
      </c>
      <c r="E366" t="s">
        <v>2506</v>
      </c>
      <c r="F366">
        <v>6</v>
      </c>
      <c r="G366">
        <v>3</v>
      </c>
      <c r="H366">
        <v>178</v>
      </c>
      <c r="I366">
        <v>2</v>
      </c>
      <c r="J366">
        <v>60.24</v>
      </c>
      <c r="K366" t="s">
        <v>25</v>
      </c>
      <c r="L366">
        <v>3556356.35</v>
      </c>
      <c r="M366">
        <v>0</v>
      </c>
      <c r="N366">
        <v>3556356.35</v>
      </c>
      <c r="O366">
        <v>59036.459993359895</v>
      </c>
      <c r="P366">
        <v>903600</v>
      </c>
      <c r="Q366">
        <v>2652756.35</v>
      </c>
      <c r="R366">
        <v>44036.459993359895</v>
      </c>
      <c r="S366" t="s">
        <v>65</v>
      </c>
      <c r="T366" t="s">
        <v>717</v>
      </c>
      <c r="U366" t="s">
        <v>717</v>
      </c>
      <c r="V366" t="s">
        <v>717</v>
      </c>
      <c r="W366">
        <v>44287</v>
      </c>
      <c r="X366" t="s">
        <v>3994</v>
      </c>
      <c r="Y366" t="s">
        <v>6</v>
      </c>
      <c r="Z366" t="s">
        <v>11</v>
      </c>
      <c r="AA366" t="s">
        <v>717</v>
      </c>
      <c r="AB366" t="s">
        <v>2509</v>
      </c>
      <c r="AC366" t="s">
        <v>2571</v>
      </c>
      <c r="AD366" t="s">
        <v>717</v>
      </c>
      <c r="AE366" t="s">
        <v>3995</v>
      </c>
      <c r="AF366" t="s">
        <v>3996</v>
      </c>
      <c r="AG366" t="s">
        <v>3997</v>
      </c>
      <c r="AH366" t="s">
        <v>2615</v>
      </c>
      <c r="AI366" t="s">
        <v>2552</v>
      </c>
      <c r="AJ366" t="s">
        <v>2657</v>
      </c>
      <c r="AK366" t="s">
        <v>73</v>
      </c>
      <c r="AL366" t="s">
        <v>16</v>
      </c>
      <c r="AM366" t="s">
        <v>10</v>
      </c>
      <c r="AN366" t="s">
        <v>717</v>
      </c>
    </row>
    <row r="367" spans="1:40" hidden="1">
      <c r="A367">
        <v>365</v>
      </c>
      <c r="B367">
        <v>30</v>
      </c>
      <c r="C367" s="58">
        <v>44295</v>
      </c>
      <c r="D367" t="s">
        <v>121</v>
      </c>
      <c r="E367" t="s">
        <v>2506</v>
      </c>
      <c r="F367">
        <v>8</v>
      </c>
      <c r="G367">
        <v>9</v>
      </c>
      <c r="H367">
        <v>246</v>
      </c>
      <c r="I367">
        <v>2</v>
      </c>
      <c r="J367">
        <v>56.93</v>
      </c>
      <c r="K367" t="s">
        <v>15</v>
      </c>
      <c r="L367">
        <v>2758429.29</v>
      </c>
      <c r="M367">
        <v>0</v>
      </c>
      <c r="N367">
        <v>2758429.29</v>
      </c>
      <c r="O367">
        <v>48453</v>
      </c>
      <c r="P367">
        <v>256185</v>
      </c>
      <c r="Q367">
        <v>2502244.29</v>
      </c>
      <c r="R367">
        <v>43953</v>
      </c>
      <c r="S367" t="s">
        <v>65</v>
      </c>
      <c r="T367" t="s">
        <v>717</v>
      </c>
      <c r="U367" t="s">
        <v>717</v>
      </c>
      <c r="V367" t="s">
        <v>717</v>
      </c>
      <c r="W367">
        <v>44287</v>
      </c>
      <c r="X367" t="s">
        <v>3998</v>
      </c>
      <c r="Y367" t="s">
        <v>6</v>
      </c>
      <c r="Z367" t="s">
        <v>11</v>
      </c>
      <c r="AA367" t="s">
        <v>717</v>
      </c>
      <c r="AB367" t="s">
        <v>2509</v>
      </c>
      <c r="AC367" t="s">
        <v>2564</v>
      </c>
      <c r="AD367" t="s">
        <v>717</v>
      </c>
      <c r="AE367" t="s">
        <v>3999</v>
      </c>
      <c r="AF367" t="s">
        <v>4000</v>
      </c>
      <c r="AG367" t="s">
        <v>4001</v>
      </c>
      <c r="AH367" t="s">
        <v>2191</v>
      </c>
      <c r="AI367" t="s">
        <v>2552</v>
      </c>
      <c r="AJ367" t="s">
        <v>2514</v>
      </c>
      <c r="AK367" t="s">
        <v>20</v>
      </c>
      <c r="AL367" t="s">
        <v>16</v>
      </c>
      <c r="AM367" t="s">
        <v>10</v>
      </c>
      <c r="AN367" t="s">
        <v>717</v>
      </c>
    </row>
    <row r="368" spans="1:40" hidden="1">
      <c r="A368">
        <v>366</v>
      </c>
      <c r="B368">
        <v>31</v>
      </c>
      <c r="C368" s="58">
        <v>44295</v>
      </c>
      <c r="D368" t="s">
        <v>121</v>
      </c>
      <c r="E368" t="s">
        <v>2506</v>
      </c>
      <c r="F368">
        <v>9</v>
      </c>
      <c r="G368">
        <v>9</v>
      </c>
      <c r="H368">
        <v>247</v>
      </c>
      <c r="I368">
        <v>2</v>
      </c>
      <c r="J368">
        <v>60.3</v>
      </c>
      <c r="K368" t="s">
        <v>15</v>
      </c>
      <c r="L368">
        <v>2859681.9</v>
      </c>
      <c r="M368">
        <v>15000</v>
      </c>
      <c r="N368">
        <v>2874681.9</v>
      </c>
      <c r="O368">
        <v>47673</v>
      </c>
      <c r="P368">
        <v>271350</v>
      </c>
      <c r="Q368">
        <v>2603331.9</v>
      </c>
      <c r="R368">
        <v>43173</v>
      </c>
      <c r="S368" t="s">
        <v>130</v>
      </c>
      <c r="T368" t="s">
        <v>717</v>
      </c>
      <c r="U368" t="s">
        <v>717</v>
      </c>
      <c r="V368" t="s">
        <v>717</v>
      </c>
      <c r="W368">
        <v>44288</v>
      </c>
      <c r="X368" t="s">
        <v>4002</v>
      </c>
      <c r="Y368" t="s">
        <v>6</v>
      </c>
      <c r="Z368" t="s">
        <v>11</v>
      </c>
      <c r="AA368" t="s">
        <v>717</v>
      </c>
      <c r="AB368" t="s">
        <v>2509</v>
      </c>
      <c r="AC368" t="s">
        <v>118</v>
      </c>
      <c r="AD368" t="s">
        <v>717</v>
      </c>
      <c r="AE368" t="s">
        <v>4003</v>
      </c>
      <c r="AF368" t="s">
        <v>4004</v>
      </c>
      <c r="AG368" t="s">
        <v>4005</v>
      </c>
      <c r="AH368" t="s">
        <v>2191</v>
      </c>
      <c r="AI368" t="s">
        <v>2538</v>
      </c>
      <c r="AJ368" t="s">
        <v>2514</v>
      </c>
      <c r="AK368" t="s">
        <v>73</v>
      </c>
      <c r="AL368" t="s">
        <v>717</v>
      </c>
      <c r="AM368" t="s">
        <v>10</v>
      </c>
      <c r="AN368" t="s">
        <v>717</v>
      </c>
    </row>
    <row r="369" spans="1:40" hidden="1">
      <c r="A369">
        <v>367</v>
      </c>
      <c r="B369">
        <v>32</v>
      </c>
      <c r="C369" s="58">
        <v>44296</v>
      </c>
      <c r="D369" t="s">
        <v>121</v>
      </c>
      <c r="E369" t="s">
        <v>2506</v>
      </c>
      <c r="F369">
        <v>3</v>
      </c>
      <c r="G369">
        <v>13</v>
      </c>
      <c r="H369">
        <v>285</v>
      </c>
      <c r="I369">
        <v>3</v>
      </c>
      <c r="J369">
        <v>86.58</v>
      </c>
      <c r="K369" t="s">
        <v>9</v>
      </c>
      <c r="L369">
        <v>3805450.74</v>
      </c>
      <c r="M369">
        <v>0</v>
      </c>
      <c r="N369">
        <v>3805450.74</v>
      </c>
      <c r="O369">
        <v>43953</v>
      </c>
      <c r="P369">
        <v>0</v>
      </c>
      <c r="Q369">
        <v>3805450.74</v>
      </c>
      <c r="R369">
        <v>43953</v>
      </c>
      <c r="S369" t="s">
        <v>65</v>
      </c>
      <c r="T369" t="s">
        <v>717</v>
      </c>
      <c r="U369" t="s">
        <v>717</v>
      </c>
      <c r="V369" t="s">
        <v>717</v>
      </c>
      <c r="W369">
        <v>44287</v>
      </c>
      <c r="X369" t="s">
        <v>4006</v>
      </c>
      <c r="Y369" t="s">
        <v>6</v>
      </c>
      <c r="Z369" t="s">
        <v>11</v>
      </c>
      <c r="AA369" t="s">
        <v>717</v>
      </c>
      <c r="AB369" t="s">
        <v>2509</v>
      </c>
      <c r="AC369" t="s">
        <v>2571</v>
      </c>
      <c r="AD369" t="s">
        <v>717</v>
      </c>
      <c r="AE369" t="s">
        <v>167</v>
      </c>
      <c r="AF369" t="s">
        <v>4007</v>
      </c>
      <c r="AG369" t="s">
        <v>4008</v>
      </c>
      <c r="AH369" t="s">
        <v>2191</v>
      </c>
      <c r="AI369" t="s">
        <v>2688</v>
      </c>
      <c r="AJ369" t="s">
        <v>2514</v>
      </c>
      <c r="AK369" t="s">
        <v>73</v>
      </c>
      <c r="AL369" t="s">
        <v>16</v>
      </c>
      <c r="AM369" t="s">
        <v>10</v>
      </c>
      <c r="AN369" t="s">
        <v>717</v>
      </c>
    </row>
    <row r="370" spans="1:40" hidden="1">
      <c r="A370">
        <v>368</v>
      </c>
      <c r="B370">
        <v>33</v>
      </c>
      <c r="C370" s="58">
        <v>44296</v>
      </c>
      <c r="D370" t="s">
        <v>121</v>
      </c>
      <c r="E370" t="s">
        <v>2506</v>
      </c>
      <c r="F370">
        <v>4</v>
      </c>
      <c r="G370">
        <v>8</v>
      </c>
      <c r="H370">
        <v>231</v>
      </c>
      <c r="I370">
        <v>1</v>
      </c>
      <c r="J370">
        <v>37.89</v>
      </c>
      <c r="K370" t="s">
        <v>15</v>
      </c>
      <c r="L370">
        <v>2162296.67</v>
      </c>
      <c r="M370">
        <v>0</v>
      </c>
      <c r="N370">
        <v>2162296.67</v>
      </c>
      <c r="O370">
        <v>57067.740036949057</v>
      </c>
      <c r="P370">
        <v>170505</v>
      </c>
      <c r="Q370">
        <v>1991791.67</v>
      </c>
      <c r="R370">
        <v>52567.740036949057</v>
      </c>
      <c r="S370" t="s">
        <v>65</v>
      </c>
      <c r="T370" t="s">
        <v>717</v>
      </c>
      <c r="U370" t="s">
        <v>717</v>
      </c>
      <c r="V370" t="s">
        <v>717</v>
      </c>
      <c r="W370">
        <v>44287</v>
      </c>
      <c r="X370" t="s">
        <v>4009</v>
      </c>
      <c r="Y370" t="s">
        <v>6</v>
      </c>
      <c r="Z370" t="s">
        <v>11</v>
      </c>
      <c r="AA370" t="s">
        <v>717</v>
      </c>
      <c r="AB370" t="s">
        <v>2509</v>
      </c>
      <c r="AC370" t="s">
        <v>2564</v>
      </c>
      <c r="AD370" t="s">
        <v>717</v>
      </c>
      <c r="AE370" t="s">
        <v>4010</v>
      </c>
      <c r="AF370" t="s">
        <v>4011</v>
      </c>
      <c r="AG370" t="s">
        <v>4012</v>
      </c>
      <c r="AH370" t="s">
        <v>2615</v>
      </c>
      <c r="AI370" t="s">
        <v>2688</v>
      </c>
      <c r="AJ370" t="s">
        <v>3289</v>
      </c>
      <c r="AK370" t="s">
        <v>77</v>
      </c>
      <c r="AL370" t="s">
        <v>16</v>
      </c>
      <c r="AM370" t="s">
        <v>10</v>
      </c>
      <c r="AN370" t="s">
        <v>717</v>
      </c>
    </row>
    <row r="371" spans="1:40" hidden="1">
      <c r="A371">
        <v>369</v>
      </c>
      <c r="B371">
        <v>34</v>
      </c>
      <c r="C371" s="58">
        <v>44296</v>
      </c>
      <c r="D371" t="s">
        <v>121</v>
      </c>
      <c r="E371" t="s">
        <v>2506</v>
      </c>
      <c r="F371">
        <v>1</v>
      </c>
      <c r="G371">
        <v>14</v>
      </c>
      <c r="H371">
        <v>294</v>
      </c>
      <c r="I371">
        <v>1</v>
      </c>
      <c r="J371">
        <v>38.83</v>
      </c>
      <c r="K371" t="s">
        <v>25</v>
      </c>
      <c r="L371">
        <v>2568631.71</v>
      </c>
      <c r="M371">
        <v>15000</v>
      </c>
      <c r="N371">
        <v>2583631.71</v>
      </c>
      <c r="O371">
        <v>66537</v>
      </c>
      <c r="P371">
        <v>582450</v>
      </c>
      <c r="Q371">
        <v>2001181.71</v>
      </c>
      <c r="R371">
        <v>51537</v>
      </c>
      <c r="S371" t="s">
        <v>65</v>
      </c>
      <c r="T371" t="s">
        <v>717</v>
      </c>
      <c r="U371" t="s">
        <v>717</v>
      </c>
      <c r="V371" t="s">
        <v>717</v>
      </c>
      <c r="W371">
        <v>44287</v>
      </c>
      <c r="X371" t="s">
        <v>4013</v>
      </c>
      <c r="Y371" t="s">
        <v>6</v>
      </c>
      <c r="Z371" t="s">
        <v>17</v>
      </c>
      <c r="AA371" t="s">
        <v>717</v>
      </c>
      <c r="AB371" t="s">
        <v>2509</v>
      </c>
      <c r="AC371" t="s">
        <v>2571</v>
      </c>
      <c r="AD371" t="s">
        <v>717</v>
      </c>
      <c r="AE371" t="s">
        <v>4014</v>
      </c>
      <c r="AF371" t="s">
        <v>4015</v>
      </c>
      <c r="AG371" t="s">
        <v>4016</v>
      </c>
      <c r="AH371" t="s">
        <v>2615</v>
      </c>
      <c r="AI371" t="s">
        <v>2552</v>
      </c>
      <c r="AJ371" t="s">
        <v>2895</v>
      </c>
      <c r="AK371" t="s">
        <v>77</v>
      </c>
      <c r="AL371" t="s">
        <v>16</v>
      </c>
      <c r="AM371" t="s">
        <v>10</v>
      </c>
      <c r="AN371" t="s">
        <v>717</v>
      </c>
    </row>
    <row r="372" spans="1:40" hidden="1">
      <c r="A372">
        <v>370</v>
      </c>
      <c r="B372">
        <v>35</v>
      </c>
      <c r="C372" s="58">
        <v>44296</v>
      </c>
      <c r="D372" t="s">
        <v>121</v>
      </c>
      <c r="E372" t="s">
        <v>2515</v>
      </c>
      <c r="F372">
        <v>4</v>
      </c>
      <c r="G372">
        <v>20</v>
      </c>
      <c r="H372">
        <v>130</v>
      </c>
      <c r="I372">
        <v>1</v>
      </c>
      <c r="J372">
        <v>36.86</v>
      </c>
      <c r="K372" t="s">
        <v>15</v>
      </c>
      <c r="L372">
        <v>2292212.8199999998</v>
      </c>
      <c r="M372">
        <v>0</v>
      </c>
      <c r="N372">
        <v>2292212.8199999998</v>
      </c>
      <c r="O372">
        <v>62187</v>
      </c>
      <c r="P372">
        <v>165870</v>
      </c>
      <c r="Q372">
        <v>2126342.8199999998</v>
      </c>
      <c r="R372">
        <v>57686.999999999993</v>
      </c>
      <c r="S372" t="s">
        <v>65</v>
      </c>
      <c r="T372" t="s">
        <v>717</v>
      </c>
      <c r="U372" t="s">
        <v>717</v>
      </c>
      <c r="V372" t="s">
        <v>717</v>
      </c>
      <c r="W372">
        <v>44292</v>
      </c>
      <c r="X372" t="s">
        <v>4017</v>
      </c>
      <c r="Y372" t="s">
        <v>6</v>
      </c>
      <c r="Z372" t="s">
        <v>17</v>
      </c>
      <c r="AA372" t="s">
        <v>717</v>
      </c>
      <c r="AB372" t="s">
        <v>2509</v>
      </c>
      <c r="AC372" t="s">
        <v>2571</v>
      </c>
      <c r="AD372" t="s">
        <v>717</v>
      </c>
      <c r="AE372" t="s">
        <v>4018</v>
      </c>
      <c r="AF372" t="s">
        <v>4019</v>
      </c>
      <c r="AG372" t="s">
        <v>4020</v>
      </c>
      <c r="AH372" t="s">
        <v>2615</v>
      </c>
      <c r="AI372" t="s">
        <v>2538</v>
      </c>
      <c r="AJ372" t="s">
        <v>2895</v>
      </c>
      <c r="AK372" t="s">
        <v>63</v>
      </c>
      <c r="AL372" t="s">
        <v>16</v>
      </c>
      <c r="AM372" t="s">
        <v>10</v>
      </c>
      <c r="AN372" t="s">
        <v>717</v>
      </c>
    </row>
    <row r="373" spans="1:40" hidden="1">
      <c r="A373">
        <v>371</v>
      </c>
      <c r="B373">
        <v>36</v>
      </c>
      <c r="C373" s="58">
        <v>44298</v>
      </c>
      <c r="D373" t="s">
        <v>121</v>
      </c>
      <c r="E373" t="s">
        <v>2506</v>
      </c>
      <c r="F373">
        <v>2</v>
      </c>
      <c r="G373">
        <v>11</v>
      </c>
      <c r="H373">
        <v>262</v>
      </c>
      <c r="I373">
        <v>1</v>
      </c>
      <c r="J373">
        <v>38.22</v>
      </c>
      <c r="K373" t="s">
        <v>15</v>
      </c>
      <c r="L373">
        <v>2141734.14</v>
      </c>
      <c r="M373">
        <v>0</v>
      </c>
      <c r="N373">
        <v>2141734.14</v>
      </c>
      <c r="O373">
        <v>56037.000000000007</v>
      </c>
      <c r="P373">
        <v>171990</v>
      </c>
      <c r="Q373">
        <v>1969744.14</v>
      </c>
      <c r="R373">
        <v>51537.000000000007</v>
      </c>
      <c r="S373" t="s">
        <v>65</v>
      </c>
      <c r="T373" t="s">
        <v>717</v>
      </c>
      <c r="U373" t="s">
        <v>717</v>
      </c>
      <c r="V373" t="s">
        <v>717</v>
      </c>
      <c r="W373">
        <v>44287</v>
      </c>
      <c r="X373" t="s">
        <v>4021</v>
      </c>
      <c r="Y373" t="s">
        <v>6</v>
      </c>
      <c r="Z373" t="s">
        <v>11</v>
      </c>
      <c r="AA373" t="s">
        <v>717</v>
      </c>
      <c r="AB373" t="s">
        <v>2509</v>
      </c>
      <c r="AC373" t="s">
        <v>2571</v>
      </c>
      <c r="AD373" t="s">
        <v>717</v>
      </c>
      <c r="AE373" t="s">
        <v>166</v>
      </c>
      <c r="AF373" t="s">
        <v>4022</v>
      </c>
      <c r="AG373" t="s">
        <v>4023</v>
      </c>
      <c r="AH373" t="s">
        <v>2191</v>
      </c>
      <c r="AI373" t="s">
        <v>2802</v>
      </c>
      <c r="AJ373" t="s">
        <v>2514</v>
      </c>
      <c r="AK373" t="s">
        <v>73</v>
      </c>
      <c r="AL373" t="s">
        <v>16</v>
      </c>
      <c r="AM373" t="s">
        <v>10</v>
      </c>
      <c r="AN373" t="s">
        <v>717</v>
      </c>
    </row>
    <row r="374" spans="1:40" hidden="1">
      <c r="A374">
        <v>372</v>
      </c>
      <c r="B374">
        <v>37</v>
      </c>
      <c r="C374" s="58">
        <v>44298</v>
      </c>
      <c r="D374" t="s">
        <v>121</v>
      </c>
      <c r="E374" t="s">
        <v>2506</v>
      </c>
      <c r="F374">
        <v>4</v>
      </c>
      <c r="G374">
        <v>10</v>
      </c>
      <c r="H374">
        <v>253</v>
      </c>
      <c r="I374">
        <v>1</v>
      </c>
      <c r="J374">
        <v>37.89</v>
      </c>
      <c r="K374" t="s">
        <v>9</v>
      </c>
      <c r="L374">
        <v>1673438.31</v>
      </c>
      <c r="M374">
        <v>0</v>
      </c>
      <c r="N374">
        <v>1673438.31</v>
      </c>
      <c r="O374">
        <v>44165.69833729216</v>
      </c>
      <c r="P374">
        <v>0</v>
      </c>
      <c r="Q374">
        <v>1673438.31</v>
      </c>
      <c r="R374">
        <v>44165.69833729216</v>
      </c>
      <c r="S374" t="s">
        <v>65</v>
      </c>
      <c r="T374" t="s">
        <v>3414</v>
      </c>
      <c r="U374">
        <v>201624.12</v>
      </c>
      <c r="V374" t="s">
        <v>717</v>
      </c>
      <c r="W374">
        <v>44287</v>
      </c>
      <c r="X374" t="s">
        <v>4024</v>
      </c>
      <c r="Y374" t="s">
        <v>6</v>
      </c>
      <c r="Z374" t="s">
        <v>11</v>
      </c>
      <c r="AA374" t="s">
        <v>717</v>
      </c>
      <c r="AB374" t="s">
        <v>2509</v>
      </c>
      <c r="AC374" t="s">
        <v>2571</v>
      </c>
      <c r="AD374" t="s">
        <v>717</v>
      </c>
      <c r="AE374" t="s">
        <v>4025</v>
      </c>
      <c r="AF374" t="s">
        <v>4026</v>
      </c>
      <c r="AG374" t="s">
        <v>4027</v>
      </c>
      <c r="AH374" t="s">
        <v>3775</v>
      </c>
      <c r="AI374" t="s">
        <v>2521</v>
      </c>
      <c r="AJ374" t="s">
        <v>2514</v>
      </c>
      <c r="AK374" t="s">
        <v>16</v>
      </c>
      <c r="AL374" t="s">
        <v>16</v>
      </c>
      <c r="AM374" t="s">
        <v>10</v>
      </c>
      <c r="AN374" t="s">
        <v>717</v>
      </c>
    </row>
    <row r="375" spans="1:40" hidden="1">
      <c r="A375">
        <v>373</v>
      </c>
      <c r="B375">
        <v>38</v>
      </c>
      <c r="C375" s="58">
        <v>44298</v>
      </c>
      <c r="D375" t="s">
        <v>121</v>
      </c>
      <c r="E375" t="s">
        <v>2515</v>
      </c>
      <c r="F375">
        <v>7</v>
      </c>
      <c r="G375">
        <v>12</v>
      </c>
      <c r="H375">
        <v>77</v>
      </c>
      <c r="I375">
        <v>2</v>
      </c>
      <c r="J375">
        <v>58.17</v>
      </c>
      <c r="K375" t="s">
        <v>9</v>
      </c>
      <c r="L375">
        <v>2561600.88</v>
      </c>
      <c r="M375">
        <v>0</v>
      </c>
      <c r="N375">
        <v>2561600.88</v>
      </c>
      <c r="O375">
        <v>44036.460030943781</v>
      </c>
      <c r="P375">
        <v>0</v>
      </c>
      <c r="Q375">
        <v>2561600.88</v>
      </c>
      <c r="R375">
        <v>44036.460030943781</v>
      </c>
      <c r="S375" t="s">
        <v>65</v>
      </c>
      <c r="T375" t="s">
        <v>717</v>
      </c>
      <c r="U375" t="s">
        <v>717</v>
      </c>
      <c r="V375" t="s">
        <v>717</v>
      </c>
      <c r="W375">
        <v>44290</v>
      </c>
      <c r="X375" t="s">
        <v>4028</v>
      </c>
      <c r="Y375" t="s">
        <v>6</v>
      </c>
      <c r="Z375" t="s">
        <v>17</v>
      </c>
      <c r="AA375" t="s">
        <v>717</v>
      </c>
      <c r="AB375" t="s">
        <v>2509</v>
      </c>
      <c r="AC375" t="s">
        <v>2571</v>
      </c>
      <c r="AD375" t="s">
        <v>717</v>
      </c>
      <c r="AE375" t="s">
        <v>4029</v>
      </c>
      <c r="AF375" t="s">
        <v>4030</v>
      </c>
      <c r="AG375" t="s">
        <v>4031</v>
      </c>
      <c r="AH375" t="s">
        <v>2191</v>
      </c>
      <c r="AI375" t="s">
        <v>2538</v>
      </c>
      <c r="AJ375" t="s">
        <v>2514</v>
      </c>
      <c r="AK375" t="s">
        <v>77</v>
      </c>
      <c r="AL375" t="s">
        <v>16</v>
      </c>
      <c r="AM375" t="s">
        <v>10</v>
      </c>
      <c r="AN375" t="s">
        <v>717</v>
      </c>
    </row>
    <row r="376" spans="1:40" hidden="1">
      <c r="A376">
        <v>374</v>
      </c>
      <c r="B376">
        <v>39</v>
      </c>
      <c r="C376" s="58">
        <v>44298</v>
      </c>
      <c r="D376" t="s">
        <v>121</v>
      </c>
      <c r="E376" t="s">
        <v>2506</v>
      </c>
      <c r="F376">
        <v>2</v>
      </c>
      <c r="G376">
        <v>9</v>
      </c>
      <c r="H376">
        <v>240</v>
      </c>
      <c r="I376">
        <v>1</v>
      </c>
      <c r="J376">
        <v>38.22</v>
      </c>
      <c r="K376" t="s">
        <v>15</v>
      </c>
      <c r="L376">
        <v>2141734.14</v>
      </c>
      <c r="M376">
        <v>0</v>
      </c>
      <c r="N376">
        <v>2141734.14</v>
      </c>
      <c r="O376">
        <v>56037.000000000007</v>
      </c>
      <c r="P376">
        <v>171990</v>
      </c>
      <c r="Q376">
        <v>1969744.14</v>
      </c>
      <c r="R376">
        <v>51537.000000000007</v>
      </c>
      <c r="S376" t="s">
        <v>65</v>
      </c>
      <c r="T376" t="s">
        <v>717</v>
      </c>
      <c r="U376" t="s">
        <v>717</v>
      </c>
      <c r="V376" t="s">
        <v>717</v>
      </c>
      <c r="W376">
        <v>44294</v>
      </c>
      <c r="X376" t="s">
        <v>4032</v>
      </c>
      <c r="Y376" t="s">
        <v>6</v>
      </c>
      <c r="Z376" t="s">
        <v>17</v>
      </c>
      <c r="AA376" t="s">
        <v>717</v>
      </c>
      <c r="AB376" t="s">
        <v>2509</v>
      </c>
      <c r="AC376" t="s">
        <v>2571</v>
      </c>
      <c r="AD376" t="s">
        <v>717</v>
      </c>
      <c r="AE376" t="s">
        <v>4033</v>
      </c>
      <c r="AF376" t="s">
        <v>4034</v>
      </c>
      <c r="AG376" t="s">
        <v>4035</v>
      </c>
      <c r="AH376" t="s">
        <v>2616</v>
      </c>
      <c r="AI376" t="s">
        <v>2552</v>
      </c>
      <c r="AJ376" t="s">
        <v>3185</v>
      </c>
      <c r="AK376" t="s">
        <v>20</v>
      </c>
      <c r="AL376" t="s">
        <v>16</v>
      </c>
      <c r="AM376" t="s">
        <v>10</v>
      </c>
      <c r="AN376" t="s">
        <v>717</v>
      </c>
    </row>
    <row r="377" spans="1:40" hidden="1">
      <c r="A377">
        <v>375</v>
      </c>
      <c r="B377">
        <v>40</v>
      </c>
      <c r="C377" s="58">
        <v>44298</v>
      </c>
      <c r="D377" t="s">
        <v>74</v>
      </c>
      <c r="E377" t="s">
        <v>2506</v>
      </c>
      <c r="F377">
        <v>5</v>
      </c>
      <c r="G377">
        <v>20</v>
      </c>
      <c r="H377">
        <v>281</v>
      </c>
      <c r="I377">
        <v>3</v>
      </c>
      <c r="J377">
        <v>78.03</v>
      </c>
      <c r="K377" t="s">
        <v>9</v>
      </c>
      <c r="L377">
        <v>3300000</v>
      </c>
      <c r="M377">
        <v>0</v>
      </c>
      <c r="N377">
        <v>3300000</v>
      </c>
      <c r="O377">
        <v>42291.426374471353</v>
      </c>
      <c r="P377">
        <v>39015</v>
      </c>
      <c r="Q377">
        <v>3260985</v>
      </c>
      <c r="R377">
        <v>41791.426374471353</v>
      </c>
      <c r="S377" t="s">
        <v>65</v>
      </c>
      <c r="T377" t="s">
        <v>2941</v>
      </c>
      <c r="U377">
        <v>857672.49</v>
      </c>
      <c r="V377" t="s">
        <v>717</v>
      </c>
      <c r="W377">
        <v>44295</v>
      </c>
      <c r="X377" t="s">
        <v>4036</v>
      </c>
      <c r="Y377" t="s">
        <v>6</v>
      </c>
      <c r="Z377" t="s">
        <v>17</v>
      </c>
      <c r="AA377" t="s">
        <v>717</v>
      </c>
      <c r="AB377" t="s">
        <v>2509</v>
      </c>
      <c r="AC377" t="s">
        <v>2571</v>
      </c>
      <c r="AD377" t="s">
        <v>717</v>
      </c>
      <c r="AE377" t="s">
        <v>4037</v>
      </c>
      <c r="AF377" t="s">
        <v>4038</v>
      </c>
      <c r="AG377" t="s">
        <v>4039</v>
      </c>
      <c r="AH377" t="s">
        <v>2615</v>
      </c>
      <c r="AI377" t="s">
        <v>2552</v>
      </c>
      <c r="AJ377" t="s">
        <v>2662</v>
      </c>
      <c r="AK377" t="s">
        <v>63</v>
      </c>
      <c r="AL377" t="s">
        <v>16</v>
      </c>
      <c r="AM377" t="s">
        <v>10</v>
      </c>
      <c r="AN377" t="s">
        <v>717</v>
      </c>
    </row>
    <row r="378" spans="1:40" hidden="1">
      <c r="A378">
        <v>376</v>
      </c>
      <c r="B378">
        <v>41</v>
      </c>
      <c r="C378" s="58">
        <v>44299</v>
      </c>
      <c r="D378" t="s">
        <v>121</v>
      </c>
      <c r="E378" t="s">
        <v>2506</v>
      </c>
      <c r="F378">
        <v>11</v>
      </c>
      <c r="G378">
        <v>11</v>
      </c>
      <c r="H378">
        <v>271</v>
      </c>
      <c r="I378">
        <v>0</v>
      </c>
      <c r="J378">
        <v>25.85</v>
      </c>
      <c r="K378" t="s">
        <v>15</v>
      </c>
      <c r="L378">
        <v>1512735</v>
      </c>
      <c r="M378">
        <v>15000</v>
      </c>
      <c r="N378">
        <v>1527735</v>
      </c>
      <c r="O378">
        <v>59100</v>
      </c>
      <c r="P378">
        <v>116325</v>
      </c>
      <c r="Q378">
        <v>1411410</v>
      </c>
      <c r="R378">
        <v>54600</v>
      </c>
      <c r="S378" t="s">
        <v>2507</v>
      </c>
      <c r="T378" t="s">
        <v>717</v>
      </c>
      <c r="U378" t="s">
        <v>717</v>
      </c>
      <c r="V378" t="s">
        <v>717</v>
      </c>
      <c r="W378">
        <v>44287</v>
      </c>
      <c r="X378" t="s">
        <v>4040</v>
      </c>
      <c r="Y378" t="s">
        <v>6</v>
      </c>
      <c r="Z378" t="s">
        <v>11</v>
      </c>
      <c r="AA378" t="s">
        <v>717</v>
      </c>
      <c r="AB378" t="s">
        <v>2509</v>
      </c>
      <c r="AC378" t="s">
        <v>118</v>
      </c>
      <c r="AD378" t="s">
        <v>717</v>
      </c>
      <c r="AE378" t="s">
        <v>4041</v>
      </c>
      <c r="AF378" t="s">
        <v>4042</v>
      </c>
      <c r="AG378" t="s">
        <v>4043</v>
      </c>
      <c r="AH378" t="s">
        <v>2615</v>
      </c>
      <c r="AI378" t="s">
        <v>2538</v>
      </c>
      <c r="AJ378" t="s">
        <v>2651</v>
      </c>
      <c r="AK378" t="s">
        <v>73</v>
      </c>
      <c r="AL378" t="s">
        <v>717</v>
      </c>
      <c r="AM378" t="s">
        <v>10</v>
      </c>
      <c r="AN378" t="s">
        <v>717</v>
      </c>
    </row>
    <row r="379" spans="1:40" hidden="1">
      <c r="A379">
        <v>377</v>
      </c>
      <c r="B379">
        <v>42</v>
      </c>
      <c r="C379" s="58">
        <v>44299</v>
      </c>
      <c r="D379" t="s">
        <v>121</v>
      </c>
      <c r="E379" t="s">
        <v>2506</v>
      </c>
      <c r="F379">
        <v>4</v>
      </c>
      <c r="G379">
        <v>4</v>
      </c>
      <c r="H379">
        <v>187</v>
      </c>
      <c r="I379">
        <v>1</v>
      </c>
      <c r="J379">
        <v>37.89</v>
      </c>
      <c r="K379" t="s">
        <v>9</v>
      </c>
      <c r="L379">
        <v>1937736.93</v>
      </c>
      <c r="M379">
        <v>15000</v>
      </c>
      <c r="N379">
        <v>1952736.93</v>
      </c>
      <c r="O379">
        <v>51537</v>
      </c>
      <c r="P379">
        <v>0</v>
      </c>
      <c r="Q379">
        <v>1952736.93</v>
      </c>
      <c r="R379">
        <v>51537</v>
      </c>
      <c r="S379" t="s">
        <v>2507</v>
      </c>
      <c r="T379" t="s">
        <v>717</v>
      </c>
      <c r="U379" t="s">
        <v>717</v>
      </c>
      <c r="V379" t="s">
        <v>717</v>
      </c>
      <c r="W379">
        <v>44287</v>
      </c>
      <c r="X379" t="s">
        <v>4044</v>
      </c>
      <c r="Y379" t="s">
        <v>6</v>
      </c>
      <c r="Z379" t="s">
        <v>11</v>
      </c>
      <c r="AA379" t="s">
        <v>717</v>
      </c>
      <c r="AB379" t="s">
        <v>2509</v>
      </c>
      <c r="AC379" t="s">
        <v>118</v>
      </c>
      <c r="AD379" t="s">
        <v>717</v>
      </c>
      <c r="AE379" t="s">
        <v>4045</v>
      </c>
      <c r="AF379" t="s">
        <v>4046</v>
      </c>
      <c r="AG379" t="s">
        <v>4047</v>
      </c>
      <c r="AH379" t="s">
        <v>2191</v>
      </c>
      <c r="AI379" t="s">
        <v>2697</v>
      </c>
      <c r="AJ379" t="s">
        <v>2514</v>
      </c>
      <c r="AK379" t="s">
        <v>77</v>
      </c>
      <c r="AL379" t="s">
        <v>717</v>
      </c>
      <c r="AM379" t="s">
        <v>10</v>
      </c>
      <c r="AN379" t="s">
        <v>717</v>
      </c>
    </row>
    <row r="380" spans="1:40" hidden="1">
      <c r="A380">
        <v>378</v>
      </c>
      <c r="B380">
        <v>43</v>
      </c>
      <c r="C380" s="58">
        <v>44300</v>
      </c>
      <c r="D380" t="s">
        <v>121</v>
      </c>
      <c r="E380" t="s">
        <v>2506</v>
      </c>
      <c r="F380">
        <v>1</v>
      </c>
      <c r="G380">
        <v>8</v>
      </c>
      <c r="H380">
        <v>228</v>
      </c>
      <c r="I380">
        <v>1</v>
      </c>
      <c r="J380">
        <v>38.83</v>
      </c>
      <c r="K380" t="s">
        <v>15</v>
      </c>
      <c r="L380">
        <v>2175916.71</v>
      </c>
      <c r="M380">
        <v>0</v>
      </c>
      <c r="N380">
        <v>2175916.71</v>
      </c>
      <c r="O380">
        <v>56037</v>
      </c>
      <c r="P380">
        <v>174735</v>
      </c>
      <c r="Q380">
        <v>2001181.71</v>
      </c>
      <c r="R380">
        <v>51537</v>
      </c>
      <c r="S380" t="s">
        <v>2507</v>
      </c>
      <c r="T380" t="s">
        <v>717</v>
      </c>
      <c r="U380" t="s">
        <v>717</v>
      </c>
      <c r="V380" t="s">
        <v>717</v>
      </c>
      <c r="W380">
        <v>44292</v>
      </c>
      <c r="X380" t="s">
        <v>4048</v>
      </c>
      <c r="Y380" t="s">
        <v>6</v>
      </c>
      <c r="Z380" t="s">
        <v>11</v>
      </c>
      <c r="AA380" t="s">
        <v>717</v>
      </c>
      <c r="AB380" t="s">
        <v>2509</v>
      </c>
      <c r="AC380" t="s">
        <v>118</v>
      </c>
      <c r="AD380" t="s">
        <v>717</v>
      </c>
      <c r="AE380" t="s">
        <v>4049</v>
      </c>
      <c r="AF380" t="s">
        <v>4050</v>
      </c>
      <c r="AG380" t="s">
        <v>4051</v>
      </c>
      <c r="AH380" t="s">
        <v>2191</v>
      </c>
      <c r="AI380" t="s">
        <v>2538</v>
      </c>
      <c r="AJ380" t="s">
        <v>2514</v>
      </c>
      <c r="AK380" t="s">
        <v>20</v>
      </c>
      <c r="AL380" t="s">
        <v>717</v>
      </c>
      <c r="AM380" t="s">
        <v>10</v>
      </c>
      <c r="AN380" t="s">
        <v>717</v>
      </c>
    </row>
    <row r="381" spans="1:40" hidden="1">
      <c r="A381">
        <v>379</v>
      </c>
      <c r="B381">
        <v>44</v>
      </c>
      <c r="C381" s="58">
        <v>44300</v>
      </c>
      <c r="D381" t="s">
        <v>121</v>
      </c>
      <c r="E381" t="s">
        <v>2506</v>
      </c>
      <c r="F381">
        <v>1</v>
      </c>
      <c r="G381">
        <v>6</v>
      </c>
      <c r="H381">
        <v>206</v>
      </c>
      <c r="I381">
        <v>1</v>
      </c>
      <c r="J381">
        <v>38.83</v>
      </c>
      <c r="K381" t="s">
        <v>25</v>
      </c>
      <c r="L381">
        <v>2608655.34</v>
      </c>
      <c r="M381">
        <v>15000</v>
      </c>
      <c r="N381">
        <v>2623655.34</v>
      </c>
      <c r="O381">
        <v>67567.739891836201</v>
      </c>
      <c r="P381">
        <v>582450</v>
      </c>
      <c r="Q381">
        <v>2041205.34</v>
      </c>
      <c r="R381">
        <v>52567.739891836209</v>
      </c>
      <c r="S381" t="s">
        <v>65</v>
      </c>
      <c r="T381" t="s">
        <v>717</v>
      </c>
      <c r="U381" t="s">
        <v>717</v>
      </c>
      <c r="V381" t="s">
        <v>717</v>
      </c>
      <c r="W381">
        <v>44294</v>
      </c>
      <c r="X381" t="s">
        <v>4052</v>
      </c>
      <c r="Y381" t="s">
        <v>6</v>
      </c>
      <c r="Z381" t="s">
        <v>17</v>
      </c>
      <c r="AA381" t="s">
        <v>717</v>
      </c>
      <c r="AB381" t="s">
        <v>2509</v>
      </c>
      <c r="AC381" t="s">
        <v>2571</v>
      </c>
      <c r="AD381" t="s">
        <v>717</v>
      </c>
      <c r="AE381" t="s">
        <v>215</v>
      </c>
      <c r="AF381" t="s">
        <v>4053</v>
      </c>
      <c r="AG381" t="s">
        <v>4054</v>
      </c>
      <c r="AH381" t="s">
        <v>2615</v>
      </c>
      <c r="AI381" t="s">
        <v>2552</v>
      </c>
      <c r="AJ381" t="s">
        <v>2569</v>
      </c>
      <c r="AK381" t="s">
        <v>73</v>
      </c>
      <c r="AL381" t="s">
        <v>16</v>
      </c>
      <c r="AM381" t="s">
        <v>10</v>
      </c>
      <c r="AN381" t="s">
        <v>717</v>
      </c>
    </row>
    <row r="382" spans="1:40" hidden="1">
      <c r="A382">
        <v>380</v>
      </c>
      <c r="B382">
        <v>45</v>
      </c>
      <c r="C382" s="58">
        <v>44300</v>
      </c>
      <c r="D382" t="s">
        <v>121</v>
      </c>
      <c r="E382" t="s">
        <v>2506</v>
      </c>
      <c r="F382">
        <v>11</v>
      </c>
      <c r="G382">
        <v>2</v>
      </c>
      <c r="H382">
        <v>172</v>
      </c>
      <c r="I382">
        <v>0</v>
      </c>
      <c r="J382">
        <v>25.85</v>
      </c>
      <c r="K382" t="s">
        <v>15</v>
      </c>
      <c r="L382">
        <v>1527735</v>
      </c>
      <c r="M382">
        <v>0</v>
      </c>
      <c r="N382">
        <v>1527735</v>
      </c>
      <c r="O382">
        <v>59100</v>
      </c>
      <c r="P382">
        <v>116325</v>
      </c>
      <c r="Q382">
        <v>1411410</v>
      </c>
      <c r="R382">
        <v>54600</v>
      </c>
      <c r="S382" t="s">
        <v>65</v>
      </c>
      <c r="T382" t="s">
        <v>717</v>
      </c>
      <c r="U382" t="s">
        <v>717</v>
      </c>
      <c r="V382" t="s">
        <v>717</v>
      </c>
      <c r="W382">
        <v>44299</v>
      </c>
      <c r="X382" t="s">
        <v>4055</v>
      </c>
      <c r="Y382" t="s">
        <v>6</v>
      </c>
      <c r="Z382" t="s">
        <v>17</v>
      </c>
      <c r="AA382" t="s">
        <v>717</v>
      </c>
      <c r="AB382" t="s">
        <v>2509</v>
      </c>
      <c r="AC382" t="s">
        <v>2571</v>
      </c>
      <c r="AD382" t="s">
        <v>717</v>
      </c>
      <c r="AE382" t="s">
        <v>4056</v>
      </c>
      <c r="AF382" t="s">
        <v>4057</v>
      </c>
      <c r="AG382" t="s">
        <v>4058</v>
      </c>
      <c r="AH382" t="s">
        <v>2615</v>
      </c>
      <c r="AI382" t="s">
        <v>2552</v>
      </c>
      <c r="AJ382" t="s">
        <v>2569</v>
      </c>
      <c r="AK382" t="s">
        <v>63</v>
      </c>
      <c r="AL382" t="s">
        <v>16</v>
      </c>
      <c r="AM382" t="s">
        <v>10</v>
      </c>
      <c r="AN382" t="s">
        <v>717</v>
      </c>
    </row>
    <row r="383" spans="1:40" hidden="1">
      <c r="A383">
        <v>381</v>
      </c>
      <c r="B383">
        <v>46</v>
      </c>
      <c r="C383" s="58">
        <v>44301</v>
      </c>
      <c r="D383" t="s">
        <v>74</v>
      </c>
      <c r="E383" t="s">
        <v>2506</v>
      </c>
      <c r="F383">
        <v>1</v>
      </c>
      <c r="G383">
        <v>21</v>
      </c>
      <c r="H383">
        <v>284</v>
      </c>
      <c r="I383">
        <v>2</v>
      </c>
      <c r="J383">
        <v>63.88</v>
      </c>
      <c r="K383" t="s">
        <v>9</v>
      </c>
      <c r="L383">
        <v>3243130.11</v>
      </c>
      <c r="M383">
        <v>0</v>
      </c>
      <c r="N383">
        <v>3243130.11</v>
      </c>
      <c r="O383">
        <v>50769.100031308699</v>
      </c>
      <c r="P383">
        <v>31940</v>
      </c>
      <c r="Q383">
        <v>3211190.11</v>
      </c>
      <c r="R383">
        <v>50269.100031308699</v>
      </c>
      <c r="S383" t="s">
        <v>2507</v>
      </c>
      <c r="T383" t="s">
        <v>4059</v>
      </c>
      <c r="U383">
        <v>64223.802199999998</v>
      </c>
      <c r="V383" t="s">
        <v>717</v>
      </c>
      <c r="W383">
        <v>44287</v>
      </c>
      <c r="X383" t="s">
        <v>4060</v>
      </c>
      <c r="Y383" t="s">
        <v>6</v>
      </c>
      <c r="Z383" t="s">
        <v>11</v>
      </c>
      <c r="AA383" t="s">
        <v>717</v>
      </c>
      <c r="AB383" t="s">
        <v>2509</v>
      </c>
      <c r="AC383" t="s">
        <v>118</v>
      </c>
      <c r="AD383" t="s">
        <v>717</v>
      </c>
      <c r="AE383" t="s">
        <v>4061</v>
      </c>
      <c r="AF383" t="s">
        <v>4062</v>
      </c>
      <c r="AG383" t="s">
        <v>4063</v>
      </c>
      <c r="AH383" t="s">
        <v>2615</v>
      </c>
      <c r="AI383" t="s">
        <v>2688</v>
      </c>
      <c r="AJ383" t="s">
        <v>3289</v>
      </c>
      <c r="AK383" t="s">
        <v>20</v>
      </c>
      <c r="AL383" t="s">
        <v>717</v>
      </c>
      <c r="AM383" t="s">
        <v>10</v>
      </c>
      <c r="AN383" t="s">
        <v>717</v>
      </c>
    </row>
    <row r="384" spans="1:40" hidden="1">
      <c r="A384">
        <v>382</v>
      </c>
      <c r="B384">
        <v>47</v>
      </c>
      <c r="C384" s="58">
        <v>44302</v>
      </c>
      <c r="D384" t="s">
        <v>121</v>
      </c>
      <c r="E384" t="s">
        <v>2515</v>
      </c>
      <c r="F384">
        <v>7</v>
      </c>
      <c r="G384">
        <v>10</v>
      </c>
      <c r="H384">
        <v>63</v>
      </c>
      <c r="I384">
        <v>2</v>
      </c>
      <c r="J384">
        <v>58.17</v>
      </c>
      <c r="K384" t="s">
        <v>15</v>
      </c>
      <c r="L384">
        <v>3113432.91</v>
      </c>
      <c r="M384">
        <v>0</v>
      </c>
      <c r="N384">
        <v>3113432.91</v>
      </c>
      <c r="O384">
        <v>53523</v>
      </c>
      <c r="P384">
        <v>261765</v>
      </c>
      <c r="Q384">
        <v>2851667.91</v>
      </c>
      <c r="R384">
        <v>49023</v>
      </c>
      <c r="S384" t="s">
        <v>65</v>
      </c>
      <c r="T384" t="s">
        <v>717</v>
      </c>
      <c r="U384" t="s">
        <v>717</v>
      </c>
      <c r="V384" t="s">
        <v>717</v>
      </c>
      <c r="W384">
        <v>44287</v>
      </c>
      <c r="X384" t="s">
        <v>4064</v>
      </c>
      <c r="Y384" t="s">
        <v>6</v>
      </c>
      <c r="Z384" t="s">
        <v>11</v>
      </c>
      <c r="AA384" t="s">
        <v>717</v>
      </c>
      <c r="AB384" t="s">
        <v>2509</v>
      </c>
      <c r="AC384" t="s">
        <v>2571</v>
      </c>
      <c r="AD384" t="s">
        <v>717</v>
      </c>
      <c r="AE384" t="s">
        <v>186</v>
      </c>
      <c r="AF384" t="s">
        <v>4065</v>
      </c>
      <c r="AG384" t="s">
        <v>4066</v>
      </c>
      <c r="AH384" t="s">
        <v>2191</v>
      </c>
      <c r="AI384" t="s">
        <v>2538</v>
      </c>
      <c r="AJ384" t="s">
        <v>2514</v>
      </c>
      <c r="AK384" t="s">
        <v>73</v>
      </c>
      <c r="AL384" t="s">
        <v>16</v>
      </c>
      <c r="AM384" t="s">
        <v>10</v>
      </c>
      <c r="AN384" t="s">
        <v>717</v>
      </c>
    </row>
    <row r="385" spans="1:40" hidden="1">
      <c r="A385">
        <v>383</v>
      </c>
      <c r="B385">
        <v>48</v>
      </c>
      <c r="C385" s="58">
        <v>44303</v>
      </c>
      <c r="D385" t="s">
        <v>121</v>
      </c>
      <c r="E385" t="s">
        <v>2506</v>
      </c>
      <c r="F385">
        <v>10</v>
      </c>
      <c r="G385">
        <v>6</v>
      </c>
      <c r="H385">
        <v>215</v>
      </c>
      <c r="I385">
        <v>0</v>
      </c>
      <c r="J385">
        <v>25.91</v>
      </c>
      <c r="K385" t="s">
        <v>15</v>
      </c>
      <c r="L385">
        <v>1364707.5</v>
      </c>
      <c r="M385">
        <v>15000</v>
      </c>
      <c r="N385">
        <v>1379707.5</v>
      </c>
      <c r="O385">
        <v>53250</v>
      </c>
      <c r="P385">
        <v>116595</v>
      </c>
      <c r="Q385">
        <v>1263112.5</v>
      </c>
      <c r="R385">
        <v>48750</v>
      </c>
      <c r="S385" t="s">
        <v>2507</v>
      </c>
      <c r="T385" t="s">
        <v>717</v>
      </c>
      <c r="U385" t="s">
        <v>717</v>
      </c>
      <c r="V385" t="s">
        <v>717</v>
      </c>
      <c r="W385">
        <v>44287</v>
      </c>
      <c r="X385" t="s">
        <v>4067</v>
      </c>
      <c r="Y385" t="s">
        <v>6</v>
      </c>
      <c r="Z385" t="s">
        <v>11</v>
      </c>
      <c r="AA385" t="s">
        <v>717</v>
      </c>
      <c r="AB385" t="s">
        <v>2509</v>
      </c>
      <c r="AC385" t="s">
        <v>118</v>
      </c>
      <c r="AD385" t="s">
        <v>717</v>
      </c>
      <c r="AE385" t="s">
        <v>4068</v>
      </c>
      <c r="AF385" t="s">
        <v>4069</v>
      </c>
      <c r="AG385" t="s">
        <v>4070</v>
      </c>
      <c r="AH385" t="s">
        <v>2615</v>
      </c>
      <c r="AI385" t="s">
        <v>2747</v>
      </c>
      <c r="AJ385" t="s">
        <v>2895</v>
      </c>
      <c r="AK385" t="s">
        <v>63</v>
      </c>
      <c r="AL385" t="s">
        <v>717</v>
      </c>
      <c r="AM385" t="s">
        <v>10</v>
      </c>
      <c r="AN385" t="s">
        <v>717</v>
      </c>
    </row>
    <row r="386" spans="1:40" hidden="1">
      <c r="A386">
        <v>384</v>
      </c>
      <c r="B386">
        <v>49</v>
      </c>
      <c r="C386" s="58">
        <v>44303</v>
      </c>
      <c r="D386" t="s">
        <v>121</v>
      </c>
      <c r="E386" t="s">
        <v>2515</v>
      </c>
      <c r="F386">
        <v>6</v>
      </c>
      <c r="G386">
        <v>6</v>
      </c>
      <c r="H386">
        <v>34</v>
      </c>
      <c r="I386">
        <v>2</v>
      </c>
      <c r="J386">
        <v>59.96</v>
      </c>
      <c r="K386" t="s">
        <v>25</v>
      </c>
      <c r="L386">
        <v>3539826.14</v>
      </c>
      <c r="M386">
        <v>0</v>
      </c>
      <c r="N386">
        <v>3539826.14</v>
      </c>
      <c r="O386">
        <v>59036.459973315556</v>
      </c>
      <c r="P386">
        <v>899400</v>
      </c>
      <c r="Q386">
        <v>2640426.14</v>
      </c>
      <c r="R386">
        <v>44036.459973315556</v>
      </c>
      <c r="S386" t="s">
        <v>65</v>
      </c>
      <c r="T386" t="s">
        <v>717</v>
      </c>
      <c r="U386" t="s">
        <v>717</v>
      </c>
      <c r="V386" t="s">
        <v>717</v>
      </c>
      <c r="W386">
        <v>44287</v>
      </c>
      <c r="X386" t="s">
        <v>4071</v>
      </c>
      <c r="Y386" t="s">
        <v>6</v>
      </c>
      <c r="Z386" t="s">
        <v>17</v>
      </c>
      <c r="AA386" t="s">
        <v>717</v>
      </c>
      <c r="AB386" t="s">
        <v>2509</v>
      </c>
      <c r="AC386" t="s">
        <v>2571</v>
      </c>
      <c r="AD386" t="s">
        <v>717</v>
      </c>
      <c r="AE386" t="s">
        <v>4072</v>
      </c>
      <c r="AF386" t="s">
        <v>4073</v>
      </c>
      <c r="AG386" t="s">
        <v>4074</v>
      </c>
      <c r="AH386" t="s">
        <v>2552</v>
      </c>
      <c r="AI386" t="s">
        <v>2877</v>
      </c>
      <c r="AJ386" t="s">
        <v>3098</v>
      </c>
      <c r="AK386" t="s">
        <v>63</v>
      </c>
      <c r="AL386" t="s">
        <v>16</v>
      </c>
      <c r="AM386" t="s">
        <v>10</v>
      </c>
      <c r="AN386" t="s">
        <v>717</v>
      </c>
    </row>
    <row r="387" spans="1:40" hidden="1">
      <c r="A387">
        <v>385</v>
      </c>
      <c r="B387">
        <v>50</v>
      </c>
      <c r="C387" s="58">
        <v>44303</v>
      </c>
      <c r="D387" t="s">
        <v>121</v>
      </c>
      <c r="E387" t="s">
        <v>2506</v>
      </c>
      <c r="F387">
        <v>5</v>
      </c>
      <c r="G387">
        <v>14</v>
      </c>
      <c r="H387">
        <v>298</v>
      </c>
      <c r="I387">
        <v>2</v>
      </c>
      <c r="J387">
        <v>60.19</v>
      </c>
      <c r="K387" t="s">
        <v>25</v>
      </c>
      <c r="L387">
        <v>3553404.53</v>
      </c>
      <c r="M387">
        <v>0</v>
      </c>
      <c r="N387">
        <v>3553404.53</v>
      </c>
      <c r="O387">
        <v>59036.460043196545</v>
      </c>
      <c r="P387">
        <v>902850</v>
      </c>
      <c r="Q387">
        <v>2650554.5299999998</v>
      </c>
      <c r="R387">
        <v>44036.460043196545</v>
      </c>
      <c r="S387" t="s">
        <v>65</v>
      </c>
      <c r="T387" t="s">
        <v>717</v>
      </c>
      <c r="U387" t="s">
        <v>717</v>
      </c>
      <c r="V387" t="s">
        <v>717</v>
      </c>
      <c r="W387">
        <v>44301</v>
      </c>
      <c r="X387" t="s">
        <v>4075</v>
      </c>
      <c r="Y387" t="s">
        <v>6</v>
      </c>
      <c r="Z387" t="s">
        <v>17</v>
      </c>
      <c r="AA387" t="s">
        <v>717</v>
      </c>
      <c r="AB387" t="s">
        <v>2509</v>
      </c>
      <c r="AC387" t="s">
        <v>2571</v>
      </c>
      <c r="AD387" t="s">
        <v>717</v>
      </c>
      <c r="AE387" t="s">
        <v>4076</v>
      </c>
      <c r="AF387" t="s">
        <v>4077</v>
      </c>
      <c r="AG387" t="s">
        <v>4078</v>
      </c>
      <c r="AH387" t="s">
        <v>2615</v>
      </c>
      <c r="AI387" t="s">
        <v>2552</v>
      </c>
      <c r="AJ387" t="s">
        <v>2895</v>
      </c>
      <c r="AK387" t="s">
        <v>63</v>
      </c>
      <c r="AL387" t="s">
        <v>16</v>
      </c>
      <c r="AM387" t="s">
        <v>10</v>
      </c>
      <c r="AN387" t="s">
        <v>717</v>
      </c>
    </row>
    <row r="388" spans="1:40" hidden="1">
      <c r="A388">
        <v>386</v>
      </c>
      <c r="B388">
        <v>51</v>
      </c>
      <c r="C388" s="58">
        <v>44305</v>
      </c>
      <c r="D388" t="s">
        <v>121</v>
      </c>
      <c r="E388" t="s">
        <v>2506</v>
      </c>
      <c r="F388">
        <v>10</v>
      </c>
      <c r="G388">
        <v>12</v>
      </c>
      <c r="H388">
        <v>281</v>
      </c>
      <c r="I388">
        <v>0</v>
      </c>
      <c r="J388">
        <v>25.91</v>
      </c>
      <c r="K388" t="s">
        <v>9</v>
      </c>
      <c r="L388">
        <v>1248112.5</v>
      </c>
      <c r="M388">
        <v>15000</v>
      </c>
      <c r="N388">
        <v>1263112.5</v>
      </c>
      <c r="O388">
        <v>48750</v>
      </c>
      <c r="P388">
        <v>0</v>
      </c>
      <c r="Q388">
        <v>1263112.5</v>
      </c>
      <c r="R388">
        <v>48750</v>
      </c>
      <c r="S388" t="s">
        <v>130</v>
      </c>
      <c r="T388" t="s">
        <v>717</v>
      </c>
      <c r="U388" t="s">
        <v>717</v>
      </c>
      <c r="V388" t="s">
        <v>717</v>
      </c>
      <c r="W388">
        <v>44287</v>
      </c>
      <c r="X388" t="s">
        <v>4079</v>
      </c>
      <c r="Y388" t="s">
        <v>6</v>
      </c>
      <c r="Z388" t="s">
        <v>11</v>
      </c>
      <c r="AA388" t="s">
        <v>717</v>
      </c>
      <c r="AB388" t="s">
        <v>2509</v>
      </c>
      <c r="AC388" t="s">
        <v>118</v>
      </c>
      <c r="AD388" t="s">
        <v>717</v>
      </c>
      <c r="AE388" t="s">
        <v>4080</v>
      </c>
      <c r="AF388" t="s">
        <v>4081</v>
      </c>
      <c r="AG388" t="s">
        <v>4082</v>
      </c>
      <c r="AH388" t="s">
        <v>2615</v>
      </c>
      <c r="AI388" t="s">
        <v>2590</v>
      </c>
      <c r="AJ388" t="s">
        <v>2895</v>
      </c>
      <c r="AK388" t="s">
        <v>63</v>
      </c>
      <c r="AL388" t="s">
        <v>717</v>
      </c>
      <c r="AM388" t="s">
        <v>10</v>
      </c>
      <c r="AN388" t="s">
        <v>717</v>
      </c>
    </row>
    <row r="389" spans="1:40" hidden="1">
      <c r="A389">
        <v>387</v>
      </c>
      <c r="B389">
        <v>52</v>
      </c>
      <c r="C389" s="58">
        <v>44305</v>
      </c>
      <c r="D389" t="s">
        <v>121</v>
      </c>
      <c r="E389" t="s">
        <v>2506</v>
      </c>
      <c r="F389">
        <v>8</v>
      </c>
      <c r="G389">
        <v>12</v>
      </c>
      <c r="H389">
        <v>279</v>
      </c>
      <c r="I389">
        <v>2</v>
      </c>
      <c r="J389">
        <v>56.93</v>
      </c>
      <c r="K389" t="s">
        <v>15</v>
      </c>
      <c r="L389">
        <v>2757428.39</v>
      </c>
      <c r="M389">
        <v>0</v>
      </c>
      <c r="N389">
        <v>2757428.39</v>
      </c>
      <c r="O389">
        <v>48435.418759880558</v>
      </c>
      <c r="P389">
        <v>256185</v>
      </c>
      <c r="Q389">
        <v>2501243.39</v>
      </c>
      <c r="R389">
        <v>43935.418759880558</v>
      </c>
      <c r="S389" t="s">
        <v>65</v>
      </c>
      <c r="T389" t="s">
        <v>3414</v>
      </c>
      <c r="U389">
        <v>51045.785799999721</v>
      </c>
      <c r="V389" t="s">
        <v>717</v>
      </c>
      <c r="W389">
        <v>44296</v>
      </c>
      <c r="X389" t="s">
        <v>4083</v>
      </c>
      <c r="Y389" t="s">
        <v>6</v>
      </c>
      <c r="Z389" t="s">
        <v>17</v>
      </c>
      <c r="AA389" t="s">
        <v>717</v>
      </c>
      <c r="AB389" t="s">
        <v>2509</v>
      </c>
      <c r="AC389" t="s">
        <v>2571</v>
      </c>
      <c r="AD389" t="s">
        <v>717</v>
      </c>
      <c r="AE389" t="s">
        <v>2964</v>
      </c>
      <c r="AF389" t="s">
        <v>2965</v>
      </c>
      <c r="AG389" t="s">
        <v>2594</v>
      </c>
      <c r="AH389" t="s">
        <v>2191</v>
      </c>
      <c r="AI389" t="s">
        <v>2600</v>
      </c>
      <c r="AJ389" t="s">
        <v>3921</v>
      </c>
      <c r="AK389" t="s">
        <v>77</v>
      </c>
      <c r="AL389" t="s">
        <v>16</v>
      </c>
      <c r="AM389" t="s">
        <v>10</v>
      </c>
      <c r="AN389" t="s">
        <v>717</v>
      </c>
    </row>
    <row r="390" spans="1:40" hidden="1">
      <c r="A390">
        <v>388</v>
      </c>
      <c r="B390">
        <v>53</v>
      </c>
      <c r="C390" s="58">
        <v>44306</v>
      </c>
      <c r="D390" t="s">
        <v>121</v>
      </c>
      <c r="E390" t="s">
        <v>2506</v>
      </c>
      <c r="F390">
        <v>11</v>
      </c>
      <c r="G390">
        <v>9</v>
      </c>
      <c r="H390">
        <v>249</v>
      </c>
      <c r="I390">
        <v>0</v>
      </c>
      <c r="J390">
        <v>25.85</v>
      </c>
      <c r="K390" t="s">
        <v>15</v>
      </c>
      <c r="L390">
        <v>1401716.25</v>
      </c>
      <c r="M390">
        <v>0</v>
      </c>
      <c r="N390">
        <v>1401716.25</v>
      </c>
      <c r="O390">
        <v>54225</v>
      </c>
      <c r="P390">
        <v>116325</v>
      </c>
      <c r="Q390">
        <v>1285391.25</v>
      </c>
      <c r="R390">
        <v>49725</v>
      </c>
      <c r="S390" t="s">
        <v>2507</v>
      </c>
      <c r="T390" t="s">
        <v>717</v>
      </c>
      <c r="U390" t="s">
        <v>717</v>
      </c>
      <c r="V390" t="s">
        <v>717</v>
      </c>
      <c r="W390">
        <v>44292</v>
      </c>
      <c r="X390" t="s">
        <v>4084</v>
      </c>
      <c r="Y390" t="s">
        <v>6</v>
      </c>
      <c r="Z390" t="s">
        <v>11</v>
      </c>
      <c r="AA390" t="s">
        <v>717</v>
      </c>
      <c r="AB390" t="s">
        <v>2509</v>
      </c>
      <c r="AC390" t="s">
        <v>118</v>
      </c>
      <c r="AD390" t="s">
        <v>717</v>
      </c>
      <c r="AE390" t="s">
        <v>4085</v>
      </c>
      <c r="AF390" t="s">
        <v>4086</v>
      </c>
      <c r="AG390" t="s">
        <v>4087</v>
      </c>
      <c r="AH390" t="s">
        <v>2615</v>
      </c>
      <c r="AI390" t="s">
        <v>2847</v>
      </c>
      <c r="AJ390" t="s">
        <v>2940</v>
      </c>
      <c r="AK390" t="s">
        <v>20</v>
      </c>
      <c r="AL390" t="s">
        <v>717</v>
      </c>
      <c r="AM390" t="s">
        <v>10</v>
      </c>
      <c r="AN390" t="s">
        <v>717</v>
      </c>
    </row>
    <row r="391" spans="1:40" hidden="1">
      <c r="A391">
        <v>389</v>
      </c>
      <c r="B391">
        <v>54</v>
      </c>
      <c r="C391" s="58">
        <v>44306</v>
      </c>
      <c r="D391" t="s">
        <v>121</v>
      </c>
      <c r="E391" t="s">
        <v>2515</v>
      </c>
      <c r="F391">
        <v>1</v>
      </c>
      <c r="G391">
        <v>21</v>
      </c>
      <c r="H391">
        <v>134</v>
      </c>
      <c r="I391">
        <v>2</v>
      </c>
      <c r="J391">
        <v>59.52</v>
      </c>
      <c r="K391" t="s">
        <v>15</v>
      </c>
      <c r="L391">
        <v>2837496.96</v>
      </c>
      <c r="M391">
        <v>0</v>
      </c>
      <c r="N391">
        <v>2837496.96</v>
      </c>
      <c r="O391">
        <v>47673</v>
      </c>
      <c r="P391">
        <v>267840</v>
      </c>
      <c r="Q391">
        <v>2569656.96</v>
      </c>
      <c r="R391">
        <v>43173</v>
      </c>
      <c r="S391" t="s">
        <v>130</v>
      </c>
      <c r="T391" t="s">
        <v>717</v>
      </c>
      <c r="U391" t="s">
        <v>717</v>
      </c>
      <c r="V391" t="s">
        <v>717</v>
      </c>
      <c r="W391">
        <v>44293</v>
      </c>
      <c r="X391" t="s">
        <v>4088</v>
      </c>
      <c r="Y391" t="s">
        <v>6</v>
      </c>
      <c r="Z391" t="s">
        <v>11</v>
      </c>
      <c r="AA391" t="s">
        <v>717</v>
      </c>
      <c r="AB391" t="s">
        <v>2509</v>
      </c>
      <c r="AC391" t="s">
        <v>118</v>
      </c>
      <c r="AD391" t="s">
        <v>717</v>
      </c>
      <c r="AE391" t="s">
        <v>4089</v>
      </c>
      <c r="AF391" t="s">
        <v>4090</v>
      </c>
      <c r="AG391" t="s">
        <v>4091</v>
      </c>
      <c r="AH391" t="s">
        <v>2615</v>
      </c>
      <c r="AI391" t="s">
        <v>2706</v>
      </c>
      <c r="AJ391" t="s">
        <v>2514</v>
      </c>
      <c r="AK391" t="s">
        <v>20</v>
      </c>
      <c r="AL391" t="s">
        <v>717</v>
      </c>
      <c r="AM391" t="s">
        <v>10</v>
      </c>
      <c r="AN391" t="s">
        <v>717</v>
      </c>
    </row>
    <row r="392" spans="1:40" hidden="1">
      <c r="A392">
        <v>390</v>
      </c>
      <c r="B392">
        <v>55</v>
      </c>
      <c r="C392" s="58">
        <v>44306</v>
      </c>
      <c r="D392" t="s">
        <v>121</v>
      </c>
      <c r="E392" t="s">
        <v>2515</v>
      </c>
      <c r="F392">
        <v>7</v>
      </c>
      <c r="G392">
        <v>20</v>
      </c>
      <c r="H392">
        <v>133</v>
      </c>
      <c r="I392">
        <v>2</v>
      </c>
      <c r="J392">
        <v>58.17</v>
      </c>
      <c r="K392" t="s">
        <v>9</v>
      </c>
      <c r="L392">
        <v>2851667.91</v>
      </c>
      <c r="M392">
        <v>0</v>
      </c>
      <c r="N392">
        <v>2851667.91</v>
      </c>
      <c r="O392">
        <v>49023</v>
      </c>
      <c r="P392">
        <v>0</v>
      </c>
      <c r="Q392">
        <v>2851667.91</v>
      </c>
      <c r="R392">
        <v>49023</v>
      </c>
      <c r="S392" t="s">
        <v>65</v>
      </c>
      <c r="T392" t="s">
        <v>717</v>
      </c>
      <c r="U392" t="s">
        <v>717</v>
      </c>
      <c r="V392" t="s">
        <v>717</v>
      </c>
      <c r="W392">
        <v>44302</v>
      </c>
      <c r="X392" t="s">
        <v>4092</v>
      </c>
      <c r="Y392" t="s">
        <v>6</v>
      </c>
      <c r="Z392" t="s">
        <v>17</v>
      </c>
      <c r="AA392" t="s">
        <v>717</v>
      </c>
      <c r="AB392" t="s">
        <v>2509</v>
      </c>
      <c r="AC392" t="s">
        <v>2571</v>
      </c>
      <c r="AD392" t="s">
        <v>717</v>
      </c>
      <c r="AE392" t="s">
        <v>4093</v>
      </c>
      <c r="AF392" t="s">
        <v>4094</v>
      </c>
      <c r="AG392" t="s">
        <v>4095</v>
      </c>
      <c r="AH392" t="s">
        <v>2191</v>
      </c>
      <c r="AI392" t="s">
        <v>2538</v>
      </c>
      <c r="AJ392" t="s">
        <v>2514</v>
      </c>
      <c r="AK392" t="s">
        <v>77</v>
      </c>
      <c r="AL392" t="s">
        <v>16</v>
      </c>
      <c r="AM392" t="s">
        <v>10</v>
      </c>
      <c r="AN392" t="s">
        <v>717</v>
      </c>
    </row>
    <row r="393" spans="1:40" hidden="1">
      <c r="A393">
        <v>391</v>
      </c>
      <c r="B393">
        <v>56</v>
      </c>
      <c r="C393" s="58">
        <v>44306</v>
      </c>
      <c r="D393" t="s">
        <v>121</v>
      </c>
      <c r="E393" t="s">
        <v>2515</v>
      </c>
      <c r="F393">
        <v>7</v>
      </c>
      <c r="G393">
        <v>6</v>
      </c>
      <c r="H393">
        <v>35</v>
      </c>
      <c r="I393">
        <v>2</v>
      </c>
      <c r="J393">
        <v>58.17</v>
      </c>
      <c r="K393" t="s">
        <v>9</v>
      </c>
      <c r="L393">
        <v>2561600.88</v>
      </c>
      <c r="M393">
        <v>0</v>
      </c>
      <c r="N393">
        <v>2561600.88</v>
      </c>
      <c r="O393">
        <v>44036.460030943781</v>
      </c>
      <c r="P393">
        <v>0</v>
      </c>
      <c r="Q393">
        <v>2561600.88</v>
      </c>
      <c r="R393">
        <v>44036.460030943781</v>
      </c>
      <c r="S393" t="s">
        <v>2507</v>
      </c>
      <c r="T393" t="s">
        <v>717</v>
      </c>
      <c r="U393" t="s">
        <v>717</v>
      </c>
      <c r="V393" t="s">
        <v>717</v>
      </c>
      <c r="W393">
        <v>44302</v>
      </c>
      <c r="X393" t="s">
        <v>4096</v>
      </c>
      <c r="Y393" t="s">
        <v>6</v>
      </c>
      <c r="Z393" t="s">
        <v>11</v>
      </c>
      <c r="AA393" t="s">
        <v>717</v>
      </c>
      <c r="AB393" t="s">
        <v>2509</v>
      </c>
      <c r="AC393" t="s">
        <v>118</v>
      </c>
      <c r="AD393" t="s">
        <v>717</v>
      </c>
      <c r="AE393" t="s">
        <v>4097</v>
      </c>
      <c r="AF393" t="s">
        <v>4098</v>
      </c>
      <c r="AG393" t="s">
        <v>4099</v>
      </c>
      <c r="AH393" t="s">
        <v>2191</v>
      </c>
      <c r="AI393" t="s">
        <v>2552</v>
      </c>
      <c r="AJ393" t="s">
        <v>2514</v>
      </c>
      <c r="AK393" t="s">
        <v>20</v>
      </c>
      <c r="AL393" t="s">
        <v>717</v>
      </c>
      <c r="AM393" t="s">
        <v>10</v>
      </c>
      <c r="AN393" t="s">
        <v>717</v>
      </c>
    </row>
    <row r="394" spans="1:40" hidden="1">
      <c r="A394">
        <v>392</v>
      </c>
      <c r="B394">
        <v>57</v>
      </c>
      <c r="C394" s="58">
        <v>44307</v>
      </c>
      <c r="D394" t="s">
        <v>121</v>
      </c>
      <c r="E394" t="s">
        <v>2506</v>
      </c>
      <c r="F394">
        <v>11</v>
      </c>
      <c r="G394">
        <v>5</v>
      </c>
      <c r="H394">
        <v>205</v>
      </c>
      <c r="I394">
        <v>0</v>
      </c>
      <c r="J394">
        <v>25.85</v>
      </c>
      <c r="K394" t="s">
        <v>15</v>
      </c>
      <c r="L394">
        <v>1512735</v>
      </c>
      <c r="M394">
        <v>15000</v>
      </c>
      <c r="N394">
        <v>1527735</v>
      </c>
      <c r="O394">
        <v>59100</v>
      </c>
      <c r="P394">
        <v>116325</v>
      </c>
      <c r="Q394">
        <v>1411410</v>
      </c>
      <c r="R394">
        <v>54600</v>
      </c>
      <c r="S394" t="s">
        <v>130</v>
      </c>
      <c r="T394" t="s">
        <v>717</v>
      </c>
      <c r="U394" t="s">
        <v>717</v>
      </c>
      <c r="V394" t="s">
        <v>717</v>
      </c>
      <c r="W394">
        <v>44288</v>
      </c>
      <c r="X394" t="s">
        <v>4100</v>
      </c>
      <c r="Y394" t="s">
        <v>6</v>
      </c>
      <c r="Z394" t="s">
        <v>11</v>
      </c>
      <c r="AA394" t="s">
        <v>717</v>
      </c>
      <c r="AB394" t="s">
        <v>2509</v>
      </c>
      <c r="AC394" t="s">
        <v>118</v>
      </c>
      <c r="AD394" t="s">
        <v>717</v>
      </c>
      <c r="AE394" t="s">
        <v>4101</v>
      </c>
      <c r="AF394" t="s">
        <v>4102</v>
      </c>
      <c r="AG394" t="s">
        <v>4103</v>
      </c>
      <c r="AH394" t="s">
        <v>2615</v>
      </c>
      <c r="AI394" t="s">
        <v>2552</v>
      </c>
      <c r="AJ394" t="s">
        <v>2895</v>
      </c>
      <c r="AK394" t="s">
        <v>77</v>
      </c>
      <c r="AL394" t="s">
        <v>717</v>
      </c>
      <c r="AM394" t="s">
        <v>10</v>
      </c>
      <c r="AN394" t="s">
        <v>717</v>
      </c>
    </row>
    <row r="395" spans="1:40" hidden="1">
      <c r="A395">
        <v>393</v>
      </c>
      <c r="B395">
        <v>58</v>
      </c>
      <c r="C395" s="58">
        <v>44307</v>
      </c>
      <c r="D395" t="s">
        <v>121</v>
      </c>
      <c r="E395" t="s">
        <v>2515</v>
      </c>
      <c r="F395">
        <v>6</v>
      </c>
      <c r="G395">
        <v>12</v>
      </c>
      <c r="H395">
        <v>76</v>
      </c>
      <c r="I395">
        <v>2</v>
      </c>
      <c r="J395">
        <v>59.96</v>
      </c>
      <c r="K395" t="s">
        <v>9</v>
      </c>
      <c r="L395">
        <v>2640426.14</v>
      </c>
      <c r="M395">
        <v>0</v>
      </c>
      <c r="N395">
        <v>2640426.14</v>
      </c>
      <c r="O395">
        <v>44036.459973315556</v>
      </c>
      <c r="P395">
        <v>0</v>
      </c>
      <c r="Q395">
        <v>2640426.14</v>
      </c>
      <c r="R395">
        <v>44036.459973315556</v>
      </c>
      <c r="S395" t="s">
        <v>130</v>
      </c>
      <c r="T395" t="s">
        <v>717</v>
      </c>
      <c r="U395" t="s">
        <v>717</v>
      </c>
      <c r="V395" t="s">
        <v>717</v>
      </c>
      <c r="W395">
        <v>44295</v>
      </c>
      <c r="X395" t="s">
        <v>4104</v>
      </c>
      <c r="Y395" t="s">
        <v>6</v>
      </c>
      <c r="Z395" t="s">
        <v>11</v>
      </c>
      <c r="AA395" t="s">
        <v>717</v>
      </c>
      <c r="AB395" t="s">
        <v>2509</v>
      </c>
      <c r="AC395" t="s">
        <v>118</v>
      </c>
      <c r="AD395" t="s">
        <v>717</v>
      </c>
      <c r="AE395" t="s">
        <v>4105</v>
      </c>
      <c r="AF395" t="s">
        <v>4106</v>
      </c>
      <c r="AG395" t="s">
        <v>4107</v>
      </c>
      <c r="AH395" t="s">
        <v>2615</v>
      </c>
      <c r="AI395" t="s">
        <v>2552</v>
      </c>
      <c r="AJ395" t="s">
        <v>2662</v>
      </c>
      <c r="AK395" t="s">
        <v>63</v>
      </c>
      <c r="AL395" t="s">
        <v>717</v>
      </c>
      <c r="AM395" t="s">
        <v>10</v>
      </c>
      <c r="AN395" t="s">
        <v>717</v>
      </c>
    </row>
    <row r="396" spans="1:40" hidden="1">
      <c r="A396">
        <v>394</v>
      </c>
      <c r="B396">
        <v>59</v>
      </c>
      <c r="C396" s="58">
        <v>44307</v>
      </c>
      <c r="D396" t="s">
        <v>121</v>
      </c>
      <c r="E396" t="s">
        <v>2515</v>
      </c>
      <c r="F396">
        <v>1</v>
      </c>
      <c r="G396">
        <v>12</v>
      </c>
      <c r="H396">
        <v>71</v>
      </c>
      <c r="I396">
        <v>2</v>
      </c>
      <c r="J396">
        <v>59.52</v>
      </c>
      <c r="K396" t="s">
        <v>9</v>
      </c>
      <c r="L396">
        <v>2621050.1</v>
      </c>
      <c r="M396">
        <v>0</v>
      </c>
      <c r="N396">
        <v>2621050.1</v>
      </c>
      <c r="O396">
        <v>44036.460013440861</v>
      </c>
      <c r="P396">
        <v>0</v>
      </c>
      <c r="Q396">
        <v>2621050.1</v>
      </c>
      <c r="R396">
        <v>44036.460013440861</v>
      </c>
      <c r="S396" t="s">
        <v>2507</v>
      </c>
      <c r="T396" t="s">
        <v>717</v>
      </c>
      <c r="U396" t="s">
        <v>717</v>
      </c>
      <c r="V396" t="s">
        <v>717</v>
      </c>
      <c r="W396">
        <v>44298</v>
      </c>
      <c r="X396" t="s">
        <v>4108</v>
      </c>
      <c r="Y396" t="s">
        <v>6</v>
      </c>
      <c r="Z396" t="s">
        <v>11</v>
      </c>
      <c r="AA396" t="s">
        <v>717</v>
      </c>
      <c r="AB396" t="s">
        <v>2509</v>
      </c>
      <c r="AC396" t="s">
        <v>118</v>
      </c>
      <c r="AD396" t="s">
        <v>717</v>
      </c>
      <c r="AE396" t="s">
        <v>4109</v>
      </c>
      <c r="AF396" t="s">
        <v>4110</v>
      </c>
      <c r="AG396" t="s">
        <v>4111</v>
      </c>
      <c r="AH396" t="s">
        <v>2615</v>
      </c>
      <c r="AI396" t="s">
        <v>2621</v>
      </c>
      <c r="AJ396" t="s">
        <v>3921</v>
      </c>
      <c r="AK396" t="s">
        <v>63</v>
      </c>
      <c r="AL396" t="s">
        <v>717</v>
      </c>
      <c r="AM396" t="s">
        <v>10</v>
      </c>
      <c r="AN396" t="s">
        <v>717</v>
      </c>
    </row>
    <row r="397" spans="1:40" hidden="1">
      <c r="A397">
        <v>395</v>
      </c>
      <c r="B397">
        <v>60</v>
      </c>
      <c r="C397" s="58">
        <v>44307</v>
      </c>
      <c r="D397" t="s">
        <v>121</v>
      </c>
      <c r="E397" t="s">
        <v>2506</v>
      </c>
      <c r="F397">
        <v>4</v>
      </c>
      <c r="G397">
        <v>14</v>
      </c>
      <c r="H397">
        <v>297</v>
      </c>
      <c r="I397">
        <v>1</v>
      </c>
      <c r="J397">
        <v>37.89</v>
      </c>
      <c r="K397" t="s">
        <v>9</v>
      </c>
      <c r="L397">
        <v>1991791.67</v>
      </c>
      <c r="M397">
        <v>0</v>
      </c>
      <c r="N397">
        <v>1991791.67</v>
      </c>
      <c r="O397">
        <v>52567.740036949057</v>
      </c>
      <c r="P397">
        <v>0</v>
      </c>
      <c r="Q397">
        <v>1991791.67</v>
      </c>
      <c r="R397">
        <v>52567.740036949057</v>
      </c>
      <c r="S397" t="s">
        <v>2507</v>
      </c>
      <c r="T397" t="s">
        <v>717</v>
      </c>
      <c r="U397" t="s">
        <v>717</v>
      </c>
      <c r="V397" t="s">
        <v>717</v>
      </c>
      <c r="W397">
        <v>44298</v>
      </c>
      <c r="X397" t="s">
        <v>4112</v>
      </c>
      <c r="Y397" t="s">
        <v>6</v>
      </c>
      <c r="Z397" t="s">
        <v>11</v>
      </c>
      <c r="AA397" t="s">
        <v>717</v>
      </c>
      <c r="AB397" t="s">
        <v>2509</v>
      </c>
      <c r="AC397" t="s">
        <v>118</v>
      </c>
      <c r="AD397" t="s">
        <v>717</v>
      </c>
      <c r="AE397" t="s">
        <v>4109</v>
      </c>
      <c r="AF397" t="s">
        <v>4110</v>
      </c>
      <c r="AG397" t="s">
        <v>4111</v>
      </c>
      <c r="AH397" t="s">
        <v>2580</v>
      </c>
      <c r="AI397" t="s">
        <v>2600</v>
      </c>
      <c r="AJ397" t="s">
        <v>3921</v>
      </c>
      <c r="AK397" t="s">
        <v>63</v>
      </c>
      <c r="AL397" t="s">
        <v>717</v>
      </c>
      <c r="AM397" t="s">
        <v>10</v>
      </c>
      <c r="AN397" t="s">
        <v>717</v>
      </c>
    </row>
    <row r="398" spans="1:40" hidden="1">
      <c r="A398">
        <v>396</v>
      </c>
      <c r="B398">
        <v>61</v>
      </c>
      <c r="C398" s="58">
        <v>44307</v>
      </c>
      <c r="D398" t="s">
        <v>121</v>
      </c>
      <c r="E398" t="s">
        <v>2506</v>
      </c>
      <c r="F398">
        <v>6</v>
      </c>
      <c r="G398">
        <v>7</v>
      </c>
      <c r="H398">
        <v>222</v>
      </c>
      <c r="I398">
        <v>2</v>
      </c>
      <c r="J398">
        <v>60.24</v>
      </c>
      <c r="K398" t="s">
        <v>15</v>
      </c>
      <c r="L398">
        <v>2923836.35</v>
      </c>
      <c r="M398">
        <v>0</v>
      </c>
      <c r="N398">
        <v>2923836.35</v>
      </c>
      <c r="O398">
        <v>48536.459993359895</v>
      </c>
      <c r="P398">
        <v>271080</v>
      </c>
      <c r="Q398">
        <v>2652756.35</v>
      </c>
      <c r="R398">
        <v>44036.459993359895</v>
      </c>
      <c r="S398" t="s">
        <v>65</v>
      </c>
      <c r="T398" t="s">
        <v>717</v>
      </c>
      <c r="U398" t="s">
        <v>717</v>
      </c>
      <c r="V398" t="s">
        <v>717</v>
      </c>
      <c r="W398">
        <v>44299</v>
      </c>
      <c r="X398" t="s">
        <v>4113</v>
      </c>
      <c r="Y398" t="s">
        <v>6</v>
      </c>
      <c r="Z398" t="s">
        <v>17</v>
      </c>
      <c r="AA398" t="s">
        <v>717</v>
      </c>
      <c r="AB398" t="s">
        <v>2509</v>
      </c>
      <c r="AC398" t="s">
        <v>2571</v>
      </c>
      <c r="AD398" t="s">
        <v>717</v>
      </c>
      <c r="AE398" t="s">
        <v>4114</v>
      </c>
      <c r="AF398" t="s">
        <v>4115</v>
      </c>
      <c r="AG398" t="s">
        <v>4116</v>
      </c>
      <c r="AH398" t="s">
        <v>2615</v>
      </c>
      <c r="AI398" t="s">
        <v>3120</v>
      </c>
      <c r="AJ398" t="s">
        <v>3202</v>
      </c>
      <c r="AK398" t="s">
        <v>63</v>
      </c>
      <c r="AL398" t="s">
        <v>16</v>
      </c>
      <c r="AM398" t="s">
        <v>10</v>
      </c>
      <c r="AN398" t="s">
        <v>717</v>
      </c>
    </row>
    <row r="399" spans="1:40" hidden="1">
      <c r="A399">
        <v>397</v>
      </c>
      <c r="B399">
        <v>62</v>
      </c>
      <c r="C399" s="58">
        <v>44307</v>
      </c>
      <c r="D399" t="s">
        <v>121</v>
      </c>
      <c r="E399" t="s">
        <v>2515</v>
      </c>
      <c r="F399">
        <v>2</v>
      </c>
      <c r="G399">
        <v>23</v>
      </c>
      <c r="H399">
        <v>149</v>
      </c>
      <c r="I399">
        <v>2</v>
      </c>
      <c r="J399">
        <v>58.99</v>
      </c>
      <c r="K399" t="s">
        <v>9</v>
      </c>
      <c r="L399">
        <v>2891866.77</v>
      </c>
      <c r="M399">
        <v>0</v>
      </c>
      <c r="N399">
        <v>2891866.77</v>
      </c>
      <c r="O399">
        <v>49023</v>
      </c>
      <c r="P399">
        <v>0</v>
      </c>
      <c r="Q399">
        <v>2891866.77</v>
      </c>
      <c r="R399">
        <v>49023</v>
      </c>
      <c r="S399" t="s">
        <v>2507</v>
      </c>
      <c r="T399" t="s">
        <v>717</v>
      </c>
      <c r="U399" t="s">
        <v>717</v>
      </c>
      <c r="V399" t="s">
        <v>717</v>
      </c>
      <c r="W399">
        <v>44300</v>
      </c>
      <c r="X399" t="s">
        <v>4117</v>
      </c>
      <c r="Y399" t="s">
        <v>6</v>
      </c>
      <c r="Z399" t="s">
        <v>11</v>
      </c>
      <c r="AA399" t="s">
        <v>717</v>
      </c>
      <c r="AB399" t="s">
        <v>2509</v>
      </c>
      <c r="AC399" t="s">
        <v>118</v>
      </c>
      <c r="AD399" t="s">
        <v>717</v>
      </c>
      <c r="AE399" t="s">
        <v>224</v>
      </c>
      <c r="AF399" t="s">
        <v>4118</v>
      </c>
      <c r="AG399" t="s">
        <v>4119</v>
      </c>
      <c r="AH399" t="s">
        <v>2552</v>
      </c>
      <c r="AI399" t="s">
        <v>2877</v>
      </c>
      <c r="AJ399" t="s">
        <v>3098</v>
      </c>
      <c r="AK399" t="s">
        <v>73</v>
      </c>
      <c r="AL399" t="s">
        <v>717</v>
      </c>
      <c r="AM399" t="s">
        <v>10</v>
      </c>
      <c r="AN399" t="s">
        <v>717</v>
      </c>
    </row>
    <row r="400" spans="1:40" hidden="1">
      <c r="A400">
        <v>398</v>
      </c>
      <c r="B400">
        <v>63</v>
      </c>
      <c r="C400" s="58">
        <v>44308</v>
      </c>
      <c r="D400" t="s">
        <v>121</v>
      </c>
      <c r="E400" t="s">
        <v>2515</v>
      </c>
      <c r="F400">
        <v>5</v>
      </c>
      <c r="G400">
        <v>12</v>
      </c>
      <c r="H400">
        <v>75</v>
      </c>
      <c r="I400">
        <v>1</v>
      </c>
      <c r="J400">
        <v>36.42</v>
      </c>
      <c r="K400" t="s">
        <v>9</v>
      </c>
      <c r="L400">
        <v>1787316.54</v>
      </c>
      <c r="M400">
        <v>15000</v>
      </c>
      <c r="N400">
        <v>1802316.54</v>
      </c>
      <c r="O400">
        <v>49487</v>
      </c>
      <c r="P400">
        <v>0</v>
      </c>
      <c r="Q400">
        <v>1802316.54</v>
      </c>
      <c r="R400">
        <v>49487</v>
      </c>
      <c r="S400" t="s">
        <v>2507</v>
      </c>
      <c r="T400" t="s">
        <v>717</v>
      </c>
      <c r="U400" t="s">
        <v>717</v>
      </c>
      <c r="V400" t="s">
        <v>717</v>
      </c>
      <c r="W400">
        <v>44287</v>
      </c>
      <c r="X400" t="s">
        <v>4120</v>
      </c>
      <c r="Y400" t="s">
        <v>6</v>
      </c>
      <c r="Z400" t="s">
        <v>11</v>
      </c>
      <c r="AA400" t="s">
        <v>717</v>
      </c>
      <c r="AB400" t="s">
        <v>2509</v>
      </c>
      <c r="AC400" t="s">
        <v>118</v>
      </c>
      <c r="AD400" t="s">
        <v>717</v>
      </c>
      <c r="AE400" t="s">
        <v>4121</v>
      </c>
      <c r="AF400" t="s">
        <v>4122</v>
      </c>
      <c r="AG400" t="s">
        <v>4123</v>
      </c>
      <c r="AH400" t="s">
        <v>2615</v>
      </c>
      <c r="AI400" t="s">
        <v>2621</v>
      </c>
      <c r="AJ400" t="s">
        <v>2569</v>
      </c>
      <c r="AK400" t="s">
        <v>63</v>
      </c>
      <c r="AL400" t="s">
        <v>717</v>
      </c>
      <c r="AM400" t="s">
        <v>10</v>
      </c>
      <c r="AN400" t="s">
        <v>717</v>
      </c>
    </row>
    <row r="401" spans="1:40" hidden="1">
      <c r="A401">
        <v>399</v>
      </c>
      <c r="B401">
        <v>64</v>
      </c>
      <c r="C401" s="58">
        <v>44308</v>
      </c>
      <c r="D401" t="s">
        <v>121</v>
      </c>
      <c r="E401" t="s">
        <v>2515</v>
      </c>
      <c r="F401">
        <v>3</v>
      </c>
      <c r="G401">
        <v>9</v>
      </c>
      <c r="H401">
        <v>52</v>
      </c>
      <c r="I401">
        <v>3</v>
      </c>
      <c r="J401">
        <v>76.56</v>
      </c>
      <c r="K401" t="s">
        <v>25</v>
      </c>
      <c r="L401">
        <v>4580742.51</v>
      </c>
      <c r="M401">
        <v>0</v>
      </c>
      <c r="N401">
        <v>4580742.51</v>
      </c>
      <c r="O401">
        <v>59832.059952978045</v>
      </c>
      <c r="P401">
        <v>1148400</v>
      </c>
      <c r="Q401">
        <v>3432342.51</v>
      </c>
      <c r="R401">
        <v>44832.059952978045</v>
      </c>
      <c r="S401" t="s">
        <v>65</v>
      </c>
      <c r="T401" t="s">
        <v>717</v>
      </c>
      <c r="U401" t="s">
        <v>717</v>
      </c>
      <c r="V401" t="s">
        <v>717</v>
      </c>
      <c r="W401">
        <v>44289</v>
      </c>
      <c r="X401" t="s">
        <v>4124</v>
      </c>
      <c r="Y401" t="s">
        <v>6</v>
      </c>
      <c r="Z401" t="s">
        <v>11</v>
      </c>
      <c r="AA401" t="s">
        <v>717</v>
      </c>
      <c r="AB401" t="s">
        <v>2509</v>
      </c>
      <c r="AC401" t="s">
        <v>2571</v>
      </c>
      <c r="AD401" t="s">
        <v>717</v>
      </c>
      <c r="AE401" t="s">
        <v>225</v>
      </c>
      <c r="AF401" t="s">
        <v>4125</v>
      </c>
      <c r="AG401" t="s">
        <v>4126</v>
      </c>
      <c r="AH401" t="s">
        <v>2615</v>
      </c>
      <c r="AI401" t="s">
        <v>2538</v>
      </c>
      <c r="AJ401" t="s">
        <v>2793</v>
      </c>
      <c r="AK401" t="s">
        <v>73</v>
      </c>
      <c r="AL401" t="s">
        <v>16</v>
      </c>
      <c r="AM401" t="s">
        <v>10</v>
      </c>
      <c r="AN401" t="s">
        <v>717</v>
      </c>
    </row>
    <row r="402" spans="1:40" hidden="1">
      <c r="A402">
        <v>400</v>
      </c>
      <c r="B402">
        <v>65</v>
      </c>
      <c r="C402" s="58">
        <v>44308</v>
      </c>
      <c r="D402" t="s">
        <v>121</v>
      </c>
      <c r="E402" t="s">
        <v>2515</v>
      </c>
      <c r="F402">
        <v>7</v>
      </c>
      <c r="G402">
        <v>22</v>
      </c>
      <c r="H402">
        <v>147</v>
      </c>
      <c r="I402">
        <v>2</v>
      </c>
      <c r="J402">
        <v>58.17</v>
      </c>
      <c r="K402" t="s">
        <v>15</v>
      </c>
      <c r="L402">
        <v>3098432.91</v>
      </c>
      <c r="M402">
        <v>15000</v>
      </c>
      <c r="N402">
        <v>3113432.91</v>
      </c>
      <c r="O402">
        <v>53523</v>
      </c>
      <c r="P402">
        <v>261765</v>
      </c>
      <c r="Q402">
        <v>2851667.91</v>
      </c>
      <c r="R402">
        <v>49023</v>
      </c>
      <c r="S402" t="s">
        <v>65</v>
      </c>
      <c r="T402" t="s">
        <v>717</v>
      </c>
      <c r="U402" t="s">
        <v>717</v>
      </c>
      <c r="V402" t="s">
        <v>717</v>
      </c>
      <c r="W402">
        <v>44295</v>
      </c>
      <c r="X402" t="s">
        <v>4127</v>
      </c>
      <c r="Y402" t="s">
        <v>6</v>
      </c>
      <c r="Z402" t="s">
        <v>17</v>
      </c>
      <c r="AA402" t="s">
        <v>717</v>
      </c>
      <c r="AB402" t="s">
        <v>2509</v>
      </c>
      <c r="AC402" t="s">
        <v>2571</v>
      </c>
      <c r="AD402" t="s">
        <v>717</v>
      </c>
      <c r="AE402" t="s">
        <v>4128</v>
      </c>
      <c r="AF402" t="s">
        <v>4129</v>
      </c>
      <c r="AG402" t="s">
        <v>4130</v>
      </c>
      <c r="AH402" t="s">
        <v>2552</v>
      </c>
      <c r="AI402" t="s">
        <v>2877</v>
      </c>
      <c r="AJ402" t="s">
        <v>3098</v>
      </c>
      <c r="AK402" t="s">
        <v>73</v>
      </c>
      <c r="AL402" t="s">
        <v>16</v>
      </c>
      <c r="AM402" t="s">
        <v>10</v>
      </c>
      <c r="AN402" t="s">
        <v>717</v>
      </c>
    </row>
    <row r="403" spans="1:40" hidden="1">
      <c r="A403">
        <v>401</v>
      </c>
      <c r="B403">
        <v>66</v>
      </c>
      <c r="C403" s="58">
        <v>44308</v>
      </c>
      <c r="D403" t="s">
        <v>121</v>
      </c>
      <c r="E403" t="s">
        <v>2515</v>
      </c>
      <c r="F403">
        <v>1</v>
      </c>
      <c r="G403">
        <v>23</v>
      </c>
      <c r="H403">
        <v>148</v>
      </c>
      <c r="I403">
        <v>2</v>
      </c>
      <c r="J403">
        <v>59.52</v>
      </c>
      <c r="K403" t="s">
        <v>15</v>
      </c>
      <c r="L403">
        <v>3185688.96</v>
      </c>
      <c r="M403">
        <v>0</v>
      </c>
      <c r="N403">
        <v>3185688.96</v>
      </c>
      <c r="O403">
        <v>53523</v>
      </c>
      <c r="P403">
        <v>267840</v>
      </c>
      <c r="Q403">
        <v>2917848.96</v>
      </c>
      <c r="R403">
        <v>49023</v>
      </c>
      <c r="S403" t="s">
        <v>65</v>
      </c>
      <c r="T403" t="s">
        <v>717</v>
      </c>
      <c r="U403" t="s">
        <v>717</v>
      </c>
      <c r="V403" t="s">
        <v>4131</v>
      </c>
      <c r="W403">
        <v>44302</v>
      </c>
      <c r="X403" t="s">
        <v>4132</v>
      </c>
      <c r="Y403" t="s">
        <v>6</v>
      </c>
      <c r="Z403" t="s">
        <v>17</v>
      </c>
      <c r="AA403" t="s">
        <v>717</v>
      </c>
      <c r="AB403" t="s">
        <v>2509</v>
      </c>
      <c r="AC403" t="s">
        <v>2571</v>
      </c>
      <c r="AD403" t="s">
        <v>717</v>
      </c>
      <c r="AE403" t="s">
        <v>4133</v>
      </c>
      <c r="AF403" t="s">
        <v>4134</v>
      </c>
      <c r="AG403" t="s">
        <v>4135</v>
      </c>
      <c r="AH403" t="s">
        <v>2191</v>
      </c>
      <c r="AI403" t="s">
        <v>2538</v>
      </c>
      <c r="AJ403" t="s">
        <v>2514</v>
      </c>
      <c r="AK403" t="s">
        <v>20</v>
      </c>
      <c r="AL403" t="s">
        <v>16</v>
      </c>
      <c r="AM403" t="s">
        <v>10</v>
      </c>
      <c r="AN403" t="s">
        <v>717</v>
      </c>
    </row>
    <row r="404" spans="1:40" hidden="1">
      <c r="A404">
        <v>402</v>
      </c>
      <c r="B404">
        <v>67</v>
      </c>
      <c r="C404" s="58">
        <v>44308</v>
      </c>
      <c r="D404" t="s">
        <v>74</v>
      </c>
      <c r="E404" t="s">
        <v>2506</v>
      </c>
      <c r="F404">
        <v>1</v>
      </c>
      <c r="G404">
        <v>8</v>
      </c>
      <c r="H404">
        <v>193</v>
      </c>
      <c r="I404">
        <v>3</v>
      </c>
      <c r="J404">
        <v>89.56</v>
      </c>
      <c r="K404" t="s">
        <v>9</v>
      </c>
      <c r="L404">
        <v>3981390.28</v>
      </c>
      <c r="M404">
        <v>0</v>
      </c>
      <c r="N404">
        <v>3981390.28</v>
      </c>
      <c r="O404">
        <v>44455.005359535506</v>
      </c>
      <c r="P404">
        <v>44780</v>
      </c>
      <c r="Q404">
        <v>3936610.28</v>
      </c>
      <c r="R404">
        <v>43955.005359535506</v>
      </c>
      <c r="S404" t="s">
        <v>65</v>
      </c>
      <c r="T404" t="s">
        <v>2941</v>
      </c>
      <c r="U404">
        <v>350000</v>
      </c>
      <c r="V404" t="s">
        <v>717</v>
      </c>
      <c r="W404">
        <v>44306</v>
      </c>
      <c r="X404" t="s">
        <v>4136</v>
      </c>
      <c r="Y404" t="s">
        <v>6</v>
      </c>
      <c r="Z404" t="s">
        <v>17</v>
      </c>
      <c r="AA404" t="s">
        <v>717</v>
      </c>
      <c r="AB404" t="s">
        <v>2509</v>
      </c>
      <c r="AC404" t="s">
        <v>2571</v>
      </c>
      <c r="AD404" t="s">
        <v>717</v>
      </c>
      <c r="AE404" t="s">
        <v>4137</v>
      </c>
      <c r="AF404" t="s">
        <v>4138</v>
      </c>
      <c r="AG404" t="s">
        <v>4139</v>
      </c>
      <c r="AH404" t="s">
        <v>2191</v>
      </c>
      <c r="AI404" t="s">
        <v>3115</v>
      </c>
      <c r="AJ404" t="s">
        <v>2569</v>
      </c>
      <c r="AK404" t="s">
        <v>20</v>
      </c>
      <c r="AL404" t="s">
        <v>16</v>
      </c>
      <c r="AM404" t="s">
        <v>10</v>
      </c>
      <c r="AN404" t="s">
        <v>717</v>
      </c>
    </row>
    <row r="405" spans="1:40" hidden="1">
      <c r="A405">
        <v>403</v>
      </c>
      <c r="B405">
        <v>68</v>
      </c>
      <c r="C405" s="58">
        <v>44309</v>
      </c>
      <c r="D405" t="s">
        <v>121</v>
      </c>
      <c r="E405" t="s">
        <v>2515</v>
      </c>
      <c r="F405">
        <v>4</v>
      </c>
      <c r="G405">
        <v>9</v>
      </c>
      <c r="H405">
        <v>53</v>
      </c>
      <c r="I405">
        <v>1</v>
      </c>
      <c r="J405">
        <v>36.86</v>
      </c>
      <c r="K405" t="s">
        <v>15</v>
      </c>
      <c r="L405">
        <v>2050523.82</v>
      </c>
      <c r="M405">
        <v>15000</v>
      </c>
      <c r="N405">
        <v>2065523.82</v>
      </c>
      <c r="O405">
        <v>56037</v>
      </c>
      <c r="P405">
        <v>165870</v>
      </c>
      <c r="Q405">
        <v>1899653.82</v>
      </c>
      <c r="R405">
        <v>51537</v>
      </c>
      <c r="S405" t="s">
        <v>2507</v>
      </c>
      <c r="T405" t="s">
        <v>717</v>
      </c>
      <c r="U405" t="s">
        <v>717</v>
      </c>
      <c r="V405" t="s">
        <v>717</v>
      </c>
      <c r="W405">
        <v>44287</v>
      </c>
      <c r="X405" t="s">
        <v>4140</v>
      </c>
      <c r="Y405" t="s">
        <v>6</v>
      </c>
      <c r="Z405" t="s">
        <v>11</v>
      </c>
      <c r="AA405" t="s">
        <v>717</v>
      </c>
      <c r="AB405" t="s">
        <v>2509</v>
      </c>
      <c r="AC405" t="s">
        <v>118</v>
      </c>
      <c r="AD405" t="s">
        <v>717</v>
      </c>
      <c r="AE405" t="s">
        <v>211</v>
      </c>
      <c r="AF405" t="s">
        <v>4141</v>
      </c>
      <c r="AG405" t="s">
        <v>4142</v>
      </c>
      <c r="AH405" t="s">
        <v>2191</v>
      </c>
      <c r="AI405" t="s">
        <v>2872</v>
      </c>
      <c r="AJ405" t="s">
        <v>2514</v>
      </c>
      <c r="AK405" t="s">
        <v>73</v>
      </c>
      <c r="AL405" t="s">
        <v>717</v>
      </c>
      <c r="AM405" t="s">
        <v>10</v>
      </c>
      <c r="AN405" t="s">
        <v>717</v>
      </c>
    </row>
    <row r="406" spans="1:40" hidden="1">
      <c r="A406">
        <v>404</v>
      </c>
      <c r="B406">
        <v>69</v>
      </c>
      <c r="C406" s="58">
        <v>44309</v>
      </c>
      <c r="D406" t="s">
        <v>121</v>
      </c>
      <c r="E406" t="s">
        <v>2506</v>
      </c>
      <c r="F406">
        <v>10</v>
      </c>
      <c r="G406">
        <v>8</v>
      </c>
      <c r="H406">
        <v>237</v>
      </c>
      <c r="I406">
        <v>0</v>
      </c>
      <c r="J406">
        <v>25.91</v>
      </c>
      <c r="K406" t="s">
        <v>15</v>
      </c>
      <c r="L406">
        <v>1531281</v>
      </c>
      <c r="M406">
        <v>0</v>
      </c>
      <c r="N406">
        <v>1531281</v>
      </c>
      <c r="O406">
        <v>59100</v>
      </c>
      <c r="P406">
        <v>116595</v>
      </c>
      <c r="Q406">
        <v>1414686</v>
      </c>
      <c r="R406">
        <v>54600</v>
      </c>
      <c r="S406" t="s">
        <v>130</v>
      </c>
      <c r="T406" t="s">
        <v>717</v>
      </c>
      <c r="U406" t="s">
        <v>717</v>
      </c>
      <c r="V406" t="s">
        <v>717</v>
      </c>
      <c r="W406">
        <v>44287</v>
      </c>
      <c r="X406" t="s">
        <v>4143</v>
      </c>
      <c r="Y406" t="s">
        <v>6</v>
      </c>
      <c r="Z406" t="s">
        <v>11</v>
      </c>
      <c r="AA406" t="s">
        <v>717</v>
      </c>
      <c r="AB406" t="s">
        <v>2509</v>
      </c>
      <c r="AC406" t="s">
        <v>118</v>
      </c>
      <c r="AD406" t="s">
        <v>717</v>
      </c>
      <c r="AE406" t="s">
        <v>4144</v>
      </c>
      <c r="AF406" t="s">
        <v>4145</v>
      </c>
      <c r="AG406" t="s">
        <v>4146</v>
      </c>
      <c r="AH406" t="s">
        <v>2615</v>
      </c>
      <c r="AI406" t="s">
        <v>2552</v>
      </c>
      <c r="AJ406" t="s">
        <v>2895</v>
      </c>
      <c r="AK406" t="s">
        <v>63</v>
      </c>
      <c r="AL406" t="s">
        <v>717</v>
      </c>
      <c r="AM406" t="s">
        <v>10</v>
      </c>
      <c r="AN406" t="s">
        <v>717</v>
      </c>
    </row>
    <row r="407" spans="1:40" hidden="1">
      <c r="A407">
        <v>405</v>
      </c>
      <c r="B407">
        <v>70</v>
      </c>
      <c r="C407" s="58">
        <v>44309</v>
      </c>
      <c r="D407" t="s">
        <v>121</v>
      </c>
      <c r="E407" t="s">
        <v>2506</v>
      </c>
      <c r="F407">
        <v>9</v>
      </c>
      <c r="G407">
        <v>3</v>
      </c>
      <c r="H407">
        <v>181</v>
      </c>
      <c r="I407">
        <v>2</v>
      </c>
      <c r="J407">
        <v>60.3</v>
      </c>
      <c r="K407" t="s">
        <v>15</v>
      </c>
      <c r="L407">
        <v>2859681.9</v>
      </c>
      <c r="M407">
        <v>15000</v>
      </c>
      <c r="N407">
        <v>2874681.9</v>
      </c>
      <c r="O407">
        <v>47673</v>
      </c>
      <c r="P407">
        <v>271350</v>
      </c>
      <c r="Q407">
        <v>2603331.9</v>
      </c>
      <c r="R407">
        <v>43173</v>
      </c>
      <c r="S407" t="s">
        <v>2507</v>
      </c>
      <c r="T407" t="s">
        <v>717</v>
      </c>
      <c r="U407" t="s">
        <v>717</v>
      </c>
      <c r="V407" t="s">
        <v>717</v>
      </c>
      <c r="W407">
        <v>44287</v>
      </c>
      <c r="X407" t="s">
        <v>4147</v>
      </c>
      <c r="Y407" t="s">
        <v>6</v>
      </c>
      <c r="Z407" t="s">
        <v>11</v>
      </c>
      <c r="AA407" t="s">
        <v>717</v>
      </c>
      <c r="AB407" t="s">
        <v>2509</v>
      </c>
      <c r="AC407" t="s">
        <v>118</v>
      </c>
      <c r="AD407" t="s">
        <v>717</v>
      </c>
      <c r="AE407" t="s">
        <v>4148</v>
      </c>
      <c r="AF407" t="s">
        <v>4149</v>
      </c>
      <c r="AG407" t="s">
        <v>4150</v>
      </c>
      <c r="AH407" t="s">
        <v>2191</v>
      </c>
      <c r="AI407" t="s">
        <v>2688</v>
      </c>
      <c r="AJ407" t="s">
        <v>2514</v>
      </c>
      <c r="AK407" t="s">
        <v>77</v>
      </c>
      <c r="AL407" t="s">
        <v>717</v>
      </c>
      <c r="AM407" t="s">
        <v>10</v>
      </c>
      <c r="AN407" t="s">
        <v>717</v>
      </c>
    </row>
    <row r="408" spans="1:40" hidden="1">
      <c r="A408">
        <v>406</v>
      </c>
      <c r="B408">
        <v>71</v>
      </c>
      <c r="C408" s="58">
        <v>44309</v>
      </c>
      <c r="D408" t="s">
        <v>121</v>
      </c>
      <c r="E408" t="s">
        <v>2515</v>
      </c>
      <c r="F408">
        <v>1</v>
      </c>
      <c r="G408">
        <v>24</v>
      </c>
      <c r="H408">
        <v>155</v>
      </c>
      <c r="I408">
        <v>2</v>
      </c>
      <c r="J408">
        <v>59.52</v>
      </c>
      <c r="K408" t="s">
        <v>15</v>
      </c>
      <c r="L408">
        <v>3170688.96</v>
      </c>
      <c r="M408">
        <v>15000</v>
      </c>
      <c r="N408">
        <v>3185688.96</v>
      </c>
      <c r="O408">
        <v>53523</v>
      </c>
      <c r="P408">
        <v>267840</v>
      </c>
      <c r="Q408">
        <v>2917848.96</v>
      </c>
      <c r="R408">
        <v>49023</v>
      </c>
      <c r="S408" t="s">
        <v>65</v>
      </c>
      <c r="T408" t="s">
        <v>717</v>
      </c>
      <c r="U408" t="s">
        <v>717</v>
      </c>
      <c r="V408" t="s">
        <v>4131</v>
      </c>
      <c r="W408">
        <v>44292</v>
      </c>
      <c r="X408" t="s">
        <v>4151</v>
      </c>
      <c r="Y408" t="s">
        <v>6</v>
      </c>
      <c r="Z408" t="s">
        <v>17</v>
      </c>
      <c r="AA408" t="s">
        <v>717</v>
      </c>
      <c r="AB408" t="s">
        <v>2509</v>
      </c>
      <c r="AC408" t="s">
        <v>2571</v>
      </c>
      <c r="AD408" t="s">
        <v>717</v>
      </c>
      <c r="AE408" t="s">
        <v>4152</v>
      </c>
      <c r="AF408" t="s">
        <v>4153</v>
      </c>
      <c r="AG408" t="s">
        <v>4154</v>
      </c>
      <c r="AH408" t="s">
        <v>2615</v>
      </c>
      <c r="AI408" t="s">
        <v>2621</v>
      </c>
      <c r="AJ408" t="s">
        <v>2569</v>
      </c>
      <c r="AK408" t="s">
        <v>63</v>
      </c>
      <c r="AL408" t="s">
        <v>16</v>
      </c>
      <c r="AM408" t="s">
        <v>10</v>
      </c>
      <c r="AN408" t="s">
        <v>717</v>
      </c>
    </row>
    <row r="409" spans="1:40" hidden="1">
      <c r="A409">
        <v>407</v>
      </c>
      <c r="B409">
        <v>72</v>
      </c>
      <c r="C409" s="58">
        <v>44309</v>
      </c>
      <c r="D409" t="s">
        <v>121</v>
      </c>
      <c r="E409" t="s">
        <v>2506</v>
      </c>
      <c r="F409">
        <v>10</v>
      </c>
      <c r="G409">
        <v>10</v>
      </c>
      <c r="H409">
        <v>259</v>
      </c>
      <c r="I409">
        <v>0</v>
      </c>
      <c r="J409">
        <v>25.91</v>
      </c>
      <c r="K409" t="s">
        <v>15</v>
      </c>
      <c r="L409">
        <v>1516281</v>
      </c>
      <c r="M409">
        <v>15000</v>
      </c>
      <c r="N409">
        <v>1531281</v>
      </c>
      <c r="O409">
        <v>59100</v>
      </c>
      <c r="P409">
        <v>116595</v>
      </c>
      <c r="Q409">
        <v>1414686</v>
      </c>
      <c r="R409">
        <v>54600</v>
      </c>
      <c r="S409" t="s">
        <v>65</v>
      </c>
      <c r="T409" t="s">
        <v>717</v>
      </c>
      <c r="U409" t="s">
        <v>717</v>
      </c>
      <c r="V409" t="s">
        <v>717</v>
      </c>
      <c r="W409">
        <v>44303</v>
      </c>
      <c r="X409" t="s">
        <v>4155</v>
      </c>
      <c r="Y409" t="s">
        <v>6</v>
      </c>
      <c r="Z409" t="s">
        <v>17</v>
      </c>
      <c r="AA409" t="s">
        <v>717</v>
      </c>
      <c r="AB409" t="s">
        <v>2509</v>
      </c>
      <c r="AC409" t="s">
        <v>2571</v>
      </c>
      <c r="AD409" t="s">
        <v>717</v>
      </c>
      <c r="AE409" t="s">
        <v>4156</v>
      </c>
      <c r="AF409" t="s">
        <v>4157</v>
      </c>
      <c r="AG409" t="s">
        <v>4158</v>
      </c>
      <c r="AH409" t="s">
        <v>2191</v>
      </c>
      <c r="AI409" t="s">
        <v>2552</v>
      </c>
      <c r="AJ409" t="s">
        <v>2514</v>
      </c>
      <c r="AK409" t="s">
        <v>77</v>
      </c>
      <c r="AL409" t="s">
        <v>16</v>
      </c>
      <c r="AM409" t="s">
        <v>10</v>
      </c>
      <c r="AN409" t="s">
        <v>717</v>
      </c>
    </row>
    <row r="410" spans="1:40" hidden="1">
      <c r="A410">
        <v>408</v>
      </c>
      <c r="B410">
        <v>73</v>
      </c>
      <c r="C410" s="58">
        <v>44309</v>
      </c>
      <c r="D410" t="s">
        <v>121</v>
      </c>
      <c r="E410" t="s">
        <v>2506</v>
      </c>
      <c r="F410">
        <v>7</v>
      </c>
      <c r="G410">
        <v>11</v>
      </c>
      <c r="H410">
        <v>267</v>
      </c>
      <c r="I410">
        <v>0</v>
      </c>
      <c r="J410">
        <v>24.23</v>
      </c>
      <c r="K410" t="s">
        <v>9</v>
      </c>
      <c r="L410">
        <v>1329572.79</v>
      </c>
      <c r="M410">
        <v>0</v>
      </c>
      <c r="N410">
        <v>1329572.79</v>
      </c>
      <c r="O410">
        <v>54873</v>
      </c>
      <c r="P410">
        <v>0</v>
      </c>
      <c r="Q410">
        <v>1329572.79</v>
      </c>
      <c r="R410">
        <v>54873</v>
      </c>
      <c r="S410" t="s">
        <v>65</v>
      </c>
      <c r="T410" t="s">
        <v>717</v>
      </c>
      <c r="U410" t="s">
        <v>717</v>
      </c>
      <c r="V410" t="s">
        <v>717</v>
      </c>
      <c r="W410">
        <v>44303</v>
      </c>
      <c r="X410" t="s">
        <v>4159</v>
      </c>
      <c r="Y410" t="s">
        <v>6</v>
      </c>
      <c r="Z410" t="s">
        <v>17</v>
      </c>
      <c r="AA410" t="s">
        <v>717</v>
      </c>
      <c r="AB410" t="s">
        <v>2509</v>
      </c>
      <c r="AC410" t="s">
        <v>2571</v>
      </c>
      <c r="AD410" t="s">
        <v>717</v>
      </c>
      <c r="AE410" t="s">
        <v>4160</v>
      </c>
      <c r="AF410" t="s">
        <v>4161</v>
      </c>
      <c r="AG410" t="s">
        <v>4162</v>
      </c>
      <c r="AH410" t="s">
        <v>2615</v>
      </c>
      <c r="AI410" t="s">
        <v>2673</v>
      </c>
      <c r="AJ410" t="s">
        <v>2569</v>
      </c>
      <c r="AK410" t="s">
        <v>63</v>
      </c>
      <c r="AL410" t="s">
        <v>16</v>
      </c>
      <c r="AM410" t="s">
        <v>10</v>
      </c>
      <c r="AN410" t="s">
        <v>717</v>
      </c>
    </row>
    <row r="411" spans="1:40" hidden="1">
      <c r="A411">
        <v>409</v>
      </c>
      <c r="B411">
        <v>74</v>
      </c>
      <c r="C411" s="58">
        <v>44309</v>
      </c>
      <c r="D411" t="s">
        <v>121</v>
      </c>
      <c r="E411" t="s">
        <v>2506</v>
      </c>
      <c r="F411">
        <v>5</v>
      </c>
      <c r="G411">
        <v>2</v>
      </c>
      <c r="H411">
        <v>166</v>
      </c>
      <c r="I411">
        <v>2</v>
      </c>
      <c r="J411">
        <v>60.19</v>
      </c>
      <c r="K411" t="s">
        <v>9</v>
      </c>
      <c r="L411">
        <v>2650554.5299999998</v>
      </c>
      <c r="M411">
        <v>0</v>
      </c>
      <c r="N411">
        <v>2650554.5299999998</v>
      </c>
      <c r="O411">
        <v>44036.460043196545</v>
      </c>
      <c r="P411">
        <v>0</v>
      </c>
      <c r="Q411">
        <v>2650554.5299999998</v>
      </c>
      <c r="R411">
        <v>44036.460043196545</v>
      </c>
      <c r="S411" t="s">
        <v>65</v>
      </c>
      <c r="T411" t="s">
        <v>717</v>
      </c>
      <c r="U411" t="s">
        <v>717</v>
      </c>
      <c r="V411" t="s">
        <v>717</v>
      </c>
      <c r="W411">
        <v>44306</v>
      </c>
      <c r="X411" t="s">
        <v>4163</v>
      </c>
      <c r="Y411" t="s">
        <v>6</v>
      </c>
      <c r="Z411" t="s">
        <v>17</v>
      </c>
      <c r="AA411" t="s">
        <v>717</v>
      </c>
      <c r="AB411" t="s">
        <v>2509</v>
      </c>
      <c r="AC411" t="s">
        <v>2571</v>
      </c>
      <c r="AD411" t="s">
        <v>717</v>
      </c>
      <c r="AE411" t="s">
        <v>4164</v>
      </c>
      <c r="AF411" t="s">
        <v>4165</v>
      </c>
      <c r="AG411" t="s">
        <v>4166</v>
      </c>
      <c r="AH411" t="s">
        <v>2615</v>
      </c>
      <c r="AI411" t="s">
        <v>2552</v>
      </c>
      <c r="AJ411" t="s">
        <v>2657</v>
      </c>
      <c r="AK411" t="s">
        <v>77</v>
      </c>
      <c r="AL411" t="s">
        <v>16</v>
      </c>
      <c r="AM411" t="s">
        <v>10</v>
      </c>
      <c r="AN411" t="s">
        <v>717</v>
      </c>
    </row>
    <row r="412" spans="1:40" hidden="1">
      <c r="A412">
        <v>410</v>
      </c>
      <c r="B412">
        <v>75</v>
      </c>
      <c r="C412" s="58">
        <v>44309</v>
      </c>
      <c r="D412" t="s">
        <v>121</v>
      </c>
      <c r="E412" t="s">
        <v>2515</v>
      </c>
      <c r="F412">
        <v>4</v>
      </c>
      <c r="G412">
        <v>12</v>
      </c>
      <c r="H412">
        <v>74</v>
      </c>
      <c r="I412">
        <v>1</v>
      </c>
      <c r="J412">
        <v>36.86</v>
      </c>
      <c r="K412" t="s">
        <v>9</v>
      </c>
      <c r="L412">
        <v>1860572.64</v>
      </c>
      <c r="M412">
        <v>0</v>
      </c>
      <c r="N412">
        <v>1860572.64</v>
      </c>
      <c r="O412">
        <v>50476.740097666843</v>
      </c>
      <c r="P412">
        <v>0</v>
      </c>
      <c r="Q412">
        <v>1860572.64</v>
      </c>
      <c r="R412">
        <v>50476.740097666843</v>
      </c>
      <c r="S412" t="s">
        <v>65</v>
      </c>
      <c r="T412" t="s">
        <v>717</v>
      </c>
      <c r="U412" t="s">
        <v>717</v>
      </c>
      <c r="V412" t="s">
        <v>717</v>
      </c>
      <c r="W412">
        <v>44307</v>
      </c>
      <c r="X412" t="s">
        <v>4167</v>
      </c>
      <c r="Y412" t="s">
        <v>6</v>
      </c>
      <c r="Z412" t="s">
        <v>17</v>
      </c>
      <c r="AA412" t="s">
        <v>717</v>
      </c>
      <c r="AB412" t="s">
        <v>2509</v>
      </c>
      <c r="AC412" t="s">
        <v>2571</v>
      </c>
      <c r="AD412" t="s">
        <v>717</v>
      </c>
      <c r="AE412" t="s">
        <v>4168</v>
      </c>
      <c r="AF412" t="s">
        <v>4169</v>
      </c>
      <c r="AG412" t="s">
        <v>4170</v>
      </c>
      <c r="AH412" t="s">
        <v>2615</v>
      </c>
      <c r="AI412" t="s">
        <v>2552</v>
      </c>
      <c r="AJ412" t="s">
        <v>2895</v>
      </c>
      <c r="AK412" t="s">
        <v>63</v>
      </c>
      <c r="AL412" t="s">
        <v>16</v>
      </c>
      <c r="AM412" t="s">
        <v>10</v>
      </c>
      <c r="AN412" t="s">
        <v>717</v>
      </c>
    </row>
    <row r="413" spans="1:40" hidden="1">
      <c r="A413">
        <v>411</v>
      </c>
      <c r="B413">
        <v>76</v>
      </c>
      <c r="C413" s="58">
        <v>44309</v>
      </c>
      <c r="D413" t="s">
        <v>121</v>
      </c>
      <c r="E413" t="s">
        <v>2515</v>
      </c>
      <c r="F413">
        <v>1</v>
      </c>
      <c r="G413">
        <v>6</v>
      </c>
      <c r="H413">
        <v>29</v>
      </c>
      <c r="I413">
        <v>2</v>
      </c>
      <c r="J413">
        <v>59.52</v>
      </c>
      <c r="K413" t="s">
        <v>15</v>
      </c>
      <c r="L413">
        <v>2888890.1</v>
      </c>
      <c r="M413">
        <v>0</v>
      </c>
      <c r="N413">
        <v>2888890.1</v>
      </c>
      <c r="O413">
        <v>48536.460013440861</v>
      </c>
      <c r="P413">
        <v>267840</v>
      </c>
      <c r="Q413">
        <v>2621050.1</v>
      </c>
      <c r="R413">
        <v>44036.460013440861</v>
      </c>
      <c r="S413" t="s">
        <v>65</v>
      </c>
      <c r="T413" t="s">
        <v>717</v>
      </c>
      <c r="U413" t="s">
        <v>717</v>
      </c>
      <c r="V413" t="s">
        <v>4131</v>
      </c>
      <c r="W413">
        <v>44307</v>
      </c>
      <c r="X413" t="s">
        <v>4171</v>
      </c>
      <c r="Y413" t="s">
        <v>6</v>
      </c>
      <c r="Z413" t="s">
        <v>17</v>
      </c>
      <c r="AA413" t="s">
        <v>717</v>
      </c>
      <c r="AB413" t="s">
        <v>2509</v>
      </c>
      <c r="AC413" t="s">
        <v>2571</v>
      </c>
      <c r="AD413" t="s">
        <v>717</v>
      </c>
      <c r="AE413" t="s">
        <v>242</v>
      </c>
      <c r="AF413" t="s">
        <v>4172</v>
      </c>
      <c r="AG413" t="s">
        <v>4173</v>
      </c>
      <c r="AH413" t="s">
        <v>2552</v>
      </c>
      <c r="AI413" t="s">
        <v>2877</v>
      </c>
      <c r="AJ413" t="s">
        <v>3098</v>
      </c>
      <c r="AK413" t="s">
        <v>73</v>
      </c>
      <c r="AL413" t="s">
        <v>16</v>
      </c>
      <c r="AM413" t="s">
        <v>10</v>
      </c>
      <c r="AN413" t="s">
        <v>717</v>
      </c>
    </row>
    <row r="414" spans="1:40" hidden="1">
      <c r="A414">
        <v>412</v>
      </c>
      <c r="B414">
        <v>77</v>
      </c>
      <c r="C414" s="58">
        <v>44309</v>
      </c>
      <c r="D414" t="s">
        <v>121</v>
      </c>
      <c r="E414" t="s">
        <v>2515</v>
      </c>
      <c r="F414">
        <v>7</v>
      </c>
      <c r="G414">
        <v>16</v>
      </c>
      <c r="H414">
        <v>105</v>
      </c>
      <c r="I414">
        <v>2</v>
      </c>
      <c r="J414">
        <v>58.17</v>
      </c>
      <c r="K414" t="s">
        <v>15</v>
      </c>
      <c r="L414">
        <v>3113432.91</v>
      </c>
      <c r="M414">
        <v>0</v>
      </c>
      <c r="N414">
        <v>3113432.91</v>
      </c>
      <c r="O414">
        <v>53523</v>
      </c>
      <c r="P414">
        <v>261765</v>
      </c>
      <c r="Q414">
        <v>2851667.91</v>
      </c>
      <c r="R414">
        <v>49023</v>
      </c>
      <c r="S414" t="s">
        <v>65</v>
      </c>
      <c r="T414" t="s">
        <v>717</v>
      </c>
      <c r="U414" t="s">
        <v>717</v>
      </c>
      <c r="V414" t="s">
        <v>4131</v>
      </c>
      <c r="W414">
        <v>44307</v>
      </c>
      <c r="X414" t="s">
        <v>4174</v>
      </c>
      <c r="Y414" t="s">
        <v>6</v>
      </c>
      <c r="Z414" t="s">
        <v>17</v>
      </c>
      <c r="AA414" t="s">
        <v>717</v>
      </c>
      <c r="AB414" t="s">
        <v>2509</v>
      </c>
      <c r="AC414" t="s">
        <v>2571</v>
      </c>
      <c r="AD414" t="s">
        <v>717</v>
      </c>
      <c r="AE414" t="s">
        <v>4175</v>
      </c>
      <c r="AF414" t="s">
        <v>4176</v>
      </c>
      <c r="AG414" t="s">
        <v>4177</v>
      </c>
      <c r="AH414" t="s">
        <v>2615</v>
      </c>
      <c r="AI414" t="s">
        <v>2552</v>
      </c>
      <c r="AJ414" t="s">
        <v>2895</v>
      </c>
      <c r="AK414" t="s">
        <v>63</v>
      </c>
      <c r="AL414" t="s">
        <v>16</v>
      </c>
      <c r="AM414" t="s">
        <v>10</v>
      </c>
      <c r="AN414" t="s">
        <v>717</v>
      </c>
    </row>
    <row r="415" spans="1:40" hidden="1">
      <c r="A415">
        <v>413</v>
      </c>
      <c r="B415">
        <v>78</v>
      </c>
      <c r="C415" s="58">
        <v>44312</v>
      </c>
      <c r="D415" t="s">
        <v>121</v>
      </c>
      <c r="E415" t="s">
        <v>2506</v>
      </c>
      <c r="F415">
        <v>5</v>
      </c>
      <c r="G415">
        <v>6</v>
      </c>
      <c r="H415">
        <v>210</v>
      </c>
      <c r="I415">
        <v>2</v>
      </c>
      <c r="J415">
        <v>60.19</v>
      </c>
      <c r="K415" t="s">
        <v>9</v>
      </c>
      <c r="L415">
        <v>2650554.5299999998</v>
      </c>
      <c r="M415">
        <v>0</v>
      </c>
      <c r="N415">
        <v>2650554.5299999998</v>
      </c>
      <c r="O415">
        <v>44036.460043196545</v>
      </c>
      <c r="P415">
        <v>0</v>
      </c>
      <c r="Q415">
        <v>2650554.5299999998</v>
      </c>
      <c r="R415">
        <v>44036.460043196545</v>
      </c>
      <c r="S415" t="s">
        <v>130</v>
      </c>
      <c r="T415" t="s">
        <v>717</v>
      </c>
      <c r="U415" t="s">
        <v>717</v>
      </c>
      <c r="V415" t="s">
        <v>717</v>
      </c>
      <c r="W415">
        <v>44306</v>
      </c>
      <c r="X415" t="s">
        <v>4178</v>
      </c>
      <c r="Y415" t="s">
        <v>6</v>
      </c>
      <c r="Z415" t="s">
        <v>11</v>
      </c>
      <c r="AA415" t="s">
        <v>717</v>
      </c>
      <c r="AB415" t="s">
        <v>2509</v>
      </c>
      <c r="AC415" t="s">
        <v>118</v>
      </c>
      <c r="AD415" t="s">
        <v>717</v>
      </c>
      <c r="AE415" t="s">
        <v>4179</v>
      </c>
      <c r="AF415" t="s">
        <v>4180</v>
      </c>
      <c r="AG415" t="s">
        <v>4181</v>
      </c>
      <c r="AH415" t="s">
        <v>2615</v>
      </c>
      <c r="AI415" t="s">
        <v>2552</v>
      </c>
      <c r="AJ415" t="s">
        <v>2793</v>
      </c>
      <c r="AK415" t="s">
        <v>77</v>
      </c>
      <c r="AL415" t="s">
        <v>717</v>
      </c>
      <c r="AM415" t="s">
        <v>10</v>
      </c>
      <c r="AN415" t="s">
        <v>717</v>
      </c>
    </row>
    <row r="416" spans="1:40" hidden="1">
      <c r="A416">
        <v>414</v>
      </c>
      <c r="B416">
        <v>79</v>
      </c>
      <c r="C416" s="58">
        <v>44313</v>
      </c>
      <c r="D416" t="s">
        <v>121</v>
      </c>
      <c r="E416" t="s">
        <v>2506</v>
      </c>
      <c r="F416">
        <v>2</v>
      </c>
      <c r="G416">
        <v>13</v>
      </c>
      <c r="H416">
        <v>284</v>
      </c>
      <c r="I416">
        <v>1</v>
      </c>
      <c r="J416">
        <v>38.22</v>
      </c>
      <c r="K416" t="s">
        <v>15</v>
      </c>
      <c r="L416">
        <v>2126734.14</v>
      </c>
      <c r="M416">
        <v>15000</v>
      </c>
      <c r="N416">
        <v>2141734.14</v>
      </c>
      <c r="O416">
        <v>56037.000000000007</v>
      </c>
      <c r="P416">
        <v>171990</v>
      </c>
      <c r="Q416">
        <v>1969744.14</v>
      </c>
      <c r="R416">
        <v>51537.000000000007</v>
      </c>
      <c r="S416" t="s">
        <v>65</v>
      </c>
      <c r="T416" t="s">
        <v>717</v>
      </c>
      <c r="U416" t="s">
        <v>717</v>
      </c>
      <c r="V416" t="s">
        <v>717</v>
      </c>
      <c r="W416">
        <v>44299</v>
      </c>
      <c r="X416" t="s">
        <v>4182</v>
      </c>
      <c r="Y416" t="s">
        <v>6</v>
      </c>
      <c r="Z416" t="s">
        <v>17</v>
      </c>
      <c r="AA416" t="s">
        <v>717</v>
      </c>
      <c r="AB416" t="s">
        <v>2509</v>
      </c>
      <c r="AC416" t="s">
        <v>2571</v>
      </c>
      <c r="AD416" t="s">
        <v>717</v>
      </c>
      <c r="AE416" t="s">
        <v>4183</v>
      </c>
      <c r="AF416" t="s">
        <v>4184</v>
      </c>
      <c r="AG416" t="s">
        <v>4185</v>
      </c>
      <c r="AH416" t="s">
        <v>2191</v>
      </c>
      <c r="AI416" t="s">
        <v>2688</v>
      </c>
      <c r="AJ416" t="s">
        <v>2514</v>
      </c>
      <c r="AK416" t="s">
        <v>77</v>
      </c>
      <c r="AL416" t="s">
        <v>16</v>
      </c>
      <c r="AM416" t="s">
        <v>10</v>
      </c>
      <c r="AN416" t="s">
        <v>717</v>
      </c>
    </row>
    <row r="417" spans="1:40" hidden="1">
      <c r="A417">
        <v>415</v>
      </c>
      <c r="B417">
        <v>80</v>
      </c>
      <c r="C417" s="58">
        <v>44313</v>
      </c>
      <c r="D417" t="s">
        <v>121</v>
      </c>
      <c r="E417" t="s">
        <v>2506</v>
      </c>
      <c r="F417">
        <v>11</v>
      </c>
      <c r="G417">
        <v>12</v>
      </c>
      <c r="H417">
        <v>282</v>
      </c>
      <c r="I417">
        <v>0</v>
      </c>
      <c r="J417">
        <v>25.85</v>
      </c>
      <c r="K417" t="s">
        <v>9</v>
      </c>
      <c r="L417">
        <v>1285391.25</v>
      </c>
      <c r="M417">
        <v>0</v>
      </c>
      <c r="N417">
        <v>1285391.25</v>
      </c>
      <c r="O417">
        <v>49725</v>
      </c>
      <c r="P417">
        <v>0</v>
      </c>
      <c r="Q417">
        <v>1285391.25</v>
      </c>
      <c r="R417">
        <v>49725</v>
      </c>
      <c r="S417" t="s">
        <v>65</v>
      </c>
      <c r="T417" t="s">
        <v>717</v>
      </c>
      <c r="U417" t="s">
        <v>717</v>
      </c>
      <c r="V417" t="s">
        <v>4131</v>
      </c>
      <c r="W417">
        <v>44303</v>
      </c>
      <c r="X417" t="s">
        <v>4186</v>
      </c>
      <c r="Y417" t="s">
        <v>6</v>
      </c>
      <c r="Z417" t="s">
        <v>17</v>
      </c>
      <c r="AA417" t="s">
        <v>717</v>
      </c>
      <c r="AB417" t="s">
        <v>2509</v>
      </c>
      <c r="AC417" t="s">
        <v>2571</v>
      </c>
      <c r="AD417" t="s">
        <v>717</v>
      </c>
      <c r="AE417" t="s">
        <v>231</v>
      </c>
      <c r="AF417" t="s">
        <v>4187</v>
      </c>
      <c r="AG417" t="s">
        <v>4188</v>
      </c>
      <c r="AH417" t="s">
        <v>2191</v>
      </c>
      <c r="AI417" t="s">
        <v>2621</v>
      </c>
      <c r="AJ417" t="s">
        <v>2514</v>
      </c>
      <c r="AK417" t="s">
        <v>77</v>
      </c>
      <c r="AL417" t="s">
        <v>16</v>
      </c>
      <c r="AM417" t="s">
        <v>10</v>
      </c>
      <c r="AN417" t="s">
        <v>717</v>
      </c>
    </row>
    <row r="418" spans="1:40" hidden="1">
      <c r="A418">
        <v>416</v>
      </c>
      <c r="B418">
        <v>81</v>
      </c>
      <c r="C418" s="58">
        <v>44313</v>
      </c>
      <c r="D418" t="s">
        <v>121</v>
      </c>
      <c r="E418" t="s">
        <v>2515</v>
      </c>
      <c r="F418">
        <v>1</v>
      </c>
      <c r="G418">
        <v>18</v>
      </c>
      <c r="H418">
        <v>113</v>
      </c>
      <c r="I418">
        <v>2</v>
      </c>
      <c r="J418">
        <v>59.52</v>
      </c>
      <c r="K418" t="s">
        <v>15</v>
      </c>
      <c r="L418">
        <v>3185688.96</v>
      </c>
      <c r="M418">
        <v>0</v>
      </c>
      <c r="N418">
        <v>3185688.96</v>
      </c>
      <c r="O418">
        <v>53523</v>
      </c>
      <c r="P418">
        <v>267840</v>
      </c>
      <c r="Q418">
        <v>2917848.96</v>
      </c>
      <c r="R418">
        <v>49023</v>
      </c>
      <c r="S418" t="s">
        <v>130</v>
      </c>
      <c r="T418" t="s">
        <v>717</v>
      </c>
      <c r="U418" t="s">
        <v>717</v>
      </c>
      <c r="V418" t="s">
        <v>717</v>
      </c>
      <c r="W418">
        <v>44308</v>
      </c>
      <c r="X418" t="s">
        <v>4189</v>
      </c>
      <c r="Y418" t="s">
        <v>6</v>
      </c>
      <c r="Z418" t="s">
        <v>11</v>
      </c>
      <c r="AA418" t="s">
        <v>717</v>
      </c>
      <c r="AB418" t="s">
        <v>2509</v>
      </c>
      <c r="AC418" t="s">
        <v>118</v>
      </c>
      <c r="AD418" t="s">
        <v>717</v>
      </c>
      <c r="AE418" t="s">
        <v>4190</v>
      </c>
      <c r="AF418" t="s">
        <v>4191</v>
      </c>
      <c r="AG418" t="s">
        <v>4192</v>
      </c>
      <c r="AH418" t="s">
        <v>2615</v>
      </c>
      <c r="AI418" t="s">
        <v>2552</v>
      </c>
      <c r="AJ418" t="s">
        <v>2895</v>
      </c>
      <c r="AK418" t="s">
        <v>77</v>
      </c>
      <c r="AL418" t="s">
        <v>717</v>
      </c>
      <c r="AM418" t="s">
        <v>10</v>
      </c>
      <c r="AN418" t="s">
        <v>717</v>
      </c>
    </row>
    <row r="419" spans="1:40" hidden="1">
      <c r="A419">
        <v>417</v>
      </c>
      <c r="B419">
        <v>82</v>
      </c>
      <c r="C419" s="58">
        <v>44313</v>
      </c>
      <c r="D419" t="s">
        <v>121</v>
      </c>
      <c r="E419" t="s">
        <v>2515</v>
      </c>
      <c r="F419">
        <v>7</v>
      </c>
      <c r="G419">
        <v>7</v>
      </c>
      <c r="H419">
        <v>42</v>
      </c>
      <c r="I419">
        <v>2</v>
      </c>
      <c r="J419">
        <v>58.17</v>
      </c>
      <c r="K419" t="s">
        <v>15</v>
      </c>
      <c r="L419">
        <v>3098432.91</v>
      </c>
      <c r="M419">
        <v>15000</v>
      </c>
      <c r="N419">
        <v>3113432.91</v>
      </c>
      <c r="O419">
        <v>53523</v>
      </c>
      <c r="P419">
        <v>261765</v>
      </c>
      <c r="Q419">
        <v>2851667.91</v>
      </c>
      <c r="R419">
        <v>49023</v>
      </c>
      <c r="S419" t="s">
        <v>130</v>
      </c>
      <c r="T419" t="s">
        <v>717</v>
      </c>
      <c r="U419" t="s">
        <v>717</v>
      </c>
      <c r="V419" t="s">
        <v>717</v>
      </c>
      <c r="W419">
        <v>44309</v>
      </c>
      <c r="X419" t="s">
        <v>4193</v>
      </c>
      <c r="Y419" t="s">
        <v>6</v>
      </c>
      <c r="Z419" t="s">
        <v>11</v>
      </c>
      <c r="AA419" t="s">
        <v>717</v>
      </c>
      <c r="AB419" t="s">
        <v>2509</v>
      </c>
      <c r="AC419" t="s">
        <v>118</v>
      </c>
      <c r="AD419" t="s">
        <v>717</v>
      </c>
      <c r="AE419" t="s">
        <v>4194</v>
      </c>
      <c r="AF419" t="s">
        <v>4195</v>
      </c>
      <c r="AG419" t="s">
        <v>4196</v>
      </c>
      <c r="AH419" t="s">
        <v>2552</v>
      </c>
      <c r="AI419" t="s">
        <v>2552</v>
      </c>
      <c r="AJ419" t="s">
        <v>2895</v>
      </c>
      <c r="AK419" t="s">
        <v>20</v>
      </c>
      <c r="AL419" t="s">
        <v>717</v>
      </c>
      <c r="AM419" t="s">
        <v>10</v>
      </c>
      <c r="AN419" t="s">
        <v>717</v>
      </c>
    </row>
    <row r="420" spans="1:40" hidden="1">
      <c r="A420">
        <v>418</v>
      </c>
      <c r="B420">
        <v>83</v>
      </c>
      <c r="C420" s="58">
        <v>44314</v>
      </c>
      <c r="D420" t="s">
        <v>121</v>
      </c>
      <c r="E420" t="s">
        <v>2506</v>
      </c>
      <c r="F420">
        <v>1</v>
      </c>
      <c r="G420">
        <v>9</v>
      </c>
      <c r="H420">
        <v>239</v>
      </c>
      <c r="I420">
        <v>1</v>
      </c>
      <c r="J420">
        <v>38.83</v>
      </c>
      <c r="K420" t="s">
        <v>9</v>
      </c>
      <c r="L420">
        <v>2026205.34</v>
      </c>
      <c r="M420">
        <v>15000</v>
      </c>
      <c r="N420">
        <v>2041205.34</v>
      </c>
      <c r="O420">
        <v>52567.739891836216</v>
      </c>
      <c r="P420">
        <v>0</v>
      </c>
      <c r="Q420">
        <v>2041205.34</v>
      </c>
      <c r="R420">
        <v>52567.739891836216</v>
      </c>
      <c r="S420" t="s">
        <v>65</v>
      </c>
      <c r="T420" t="s">
        <v>717</v>
      </c>
      <c r="U420" t="s">
        <v>717</v>
      </c>
      <c r="V420" t="s">
        <v>717</v>
      </c>
      <c r="W420">
        <v>44308</v>
      </c>
      <c r="X420" t="s">
        <v>4197</v>
      </c>
      <c r="Y420" t="s">
        <v>6</v>
      </c>
      <c r="Z420" t="s">
        <v>17</v>
      </c>
      <c r="AA420" t="s">
        <v>717</v>
      </c>
      <c r="AB420" t="s">
        <v>2509</v>
      </c>
      <c r="AC420" t="s">
        <v>2571</v>
      </c>
      <c r="AD420" t="s">
        <v>717</v>
      </c>
      <c r="AE420" t="s">
        <v>4198</v>
      </c>
      <c r="AF420" t="s">
        <v>4199</v>
      </c>
      <c r="AG420" t="s">
        <v>4200</v>
      </c>
      <c r="AH420" t="s">
        <v>2191</v>
      </c>
      <c r="AI420" t="s">
        <v>2538</v>
      </c>
      <c r="AJ420" t="s">
        <v>2514</v>
      </c>
      <c r="AK420" t="s">
        <v>77</v>
      </c>
      <c r="AL420" t="s">
        <v>16</v>
      </c>
      <c r="AM420" t="s">
        <v>10</v>
      </c>
      <c r="AN420" t="s">
        <v>717</v>
      </c>
    </row>
    <row r="421" spans="1:40" hidden="1">
      <c r="A421">
        <v>419</v>
      </c>
      <c r="B421">
        <v>84</v>
      </c>
      <c r="C421" s="58">
        <v>44314</v>
      </c>
      <c r="D421" t="s">
        <v>121</v>
      </c>
      <c r="E421" t="s">
        <v>2506</v>
      </c>
      <c r="F421">
        <v>11</v>
      </c>
      <c r="G421">
        <v>7</v>
      </c>
      <c r="H421">
        <v>227</v>
      </c>
      <c r="I421">
        <v>0</v>
      </c>
      <c r="J421">
        <v>25.85</v>
      </c>
      <c r="K421" t="s">
        <v>25</v>
      </c>
      <c r="L421">
        <v>1799160</v>
      </c>
      <c r="M421">
        <v>0</v>
      </c>
      <c r="N421">
        <v>1799160</v>
      </c>
      <c r="O421">
        <v>69600</v>
      </c>
      <c r="P421">
        <v>387750</v>
      </c>
      <c r="Q421">
        <v>1411410</v>
      </c>
      <c r="R421">
        <v>54600</v>
      </c>
      <c r="S421" t="s">
        <v>65</v>
      </c>
      <c r="T421" t="s">
        <v>717</v>
      </c>
      <c r="U421" t="s">
        <v>717</v>
      </c>
      <c r="V421" t="s">
        <v>717</v>
      </c>
      <c r="W421">
        <v>44310</v>
      </c>
      <c r="X421" t="s">
        <v>4201</v>
      </c>
      <c r="Y421" t="s">
        <v>6</v>
      </c>
      <c r="Z421" t="s">
        <v>17</v>
      </c>
      <c r="AA421" t="s">
        <v>717</v>
      </c>
      <c r="AB421" t="s">
        <v>2509</v>
      </c>
      <c r="AC421" t="s">
        <v>2571</v>
      </c>
      <c r="AD421" t="s">
        <v>717</v>
      </c>
      <c r="AE421" t="s">
        <v>4202</v>
      </c>
      <c r="AF421" t="s">
        <v>4203</v>
      </c>
      <c r="AG421" t="s">
        <v>4204</v>
      </c>
      <c r="AH421" t="s">
        <v>2615</v>
      </c>
      <c r="AI421" t="s">
        <v>2552</v>
      </c>
      <c r="AJ421" t="s">
        <v>3330</v>
      </c>
      <c r="AK421" t="s">
        <v>77</v>
      </c>
      <c r="AL421" t="s">
        <v>16</v>
      </c>
      <c r="AM421" t="s">
        <v>10</v>
      </c>
      <c r="AN421" t="s">
        <v>717</v>
      </c>
    </row>
    <row r="422" spans="1:40" hidden="1">
      <c r="A422">
        <v>420</v>
      </c>
      <c r="B422">
        <v>85</v>
      </c>
      <c r="C422" s="58">
        <v>44315</v>
      </c>
      <c r="D422" t="s">
        <v>121</v>
      </c>
      <c r="E422" t="s">
        <v>2506</v>
      </c>
      <c r="F422">
        <v>10</v>
      </c>
      <c r="G422">
        <v>4</v>
      </c>
      <c r="H422">
        <v>193</v>
      </c>
      <c r="I422">
        <v>0</v>
      </c>
      <c r="J422">
        <v>25.91</v>
      </c>
      <c r="K422" t="s">
        <v>15</v>
      </c>
      <c r="L422">
        <v>1516281</v>
      </c>
      <c r="M422">
        <v>15000</v>
      </c>
      <c r="N422">
        <v>1531281</v>
      </c>
      <c r="O422">
        <v>59100</v>
      </c>
      <c r="P422">
        <v>116595</v>
      </c>
      <c r="Q422">
        <v>1414686</v>
      </c>
      <c r="R422">
        <v>54600</v>
      </c>
      <c r="S422" t="s">
        <v>130</v>
      </c>
      <c r="T422" t="s">
        <v>717</v>
      </c>
      <c r="U422" t="s">
        <v>717</v>
      </c>
      <c r="V422" t="s">
        <v>717</v>
      </c>
      <c r="W422">
        <v>44287</v>
      </c>
      <c r="X422" t="s">
        <v>4205</v>
      </c>
      <c r="Y422" t="s">
        <v>6</v>
      </c>
      <c r="Z422" t="s">
        <v>17</v>
      </c>
      <c r="AA422" t="s">
        <v>717</v>
      </c>
      <c r="AB422" t="s">
        <v>2509</v>
      </c>
      <c r="AC422" t="s">
        <v>118</v>
      </c>
      <c r="AD422" t="s">
        <v>717</v>
      </c>
      <c r="AE422" t="s">
        <v>247</v>
      </c>
      <c r="AF422" t="s">
        <v>4206</v>
      </c>
      <c r="AG422" t="s">
        <v>3981</v>
      </c>
      <c r="AH422" t="s">
        <v>2615</v>
      </c>
      <c r="AI422" t="s">
        <v>2706</v>
      </c>
      <c r="AJ422" t="s">
        <v>2569</v>
      </c>
      <c r="AK422" t="s">
        <v>73</v>
      </c>
      <c r="AL422" t="s">
        <v>717</v>
      </c>
      <c r="AM422" t="s">
        <v>10</v>
      </c>
      <c r="AN422" t="s">
        <v>717</v>
      </c>
    </row>
    <row r="423" spans="1:40" hidden="1">
      <c r="A423">
        <v>421</v>
      </c>
      <c r="B423">
        <v>86</v>
      </c>
      <c r="C423" s="58">
        <v>44315</v>
      </c>
      <c r="D423" t="s">
        <v>121</v>
      </c>
      <c r="E423" t="s">
        <v>2515</v>
      </c>
      <c r="F423">
        <v>3</v>
      </c>
      <c r="G423">
        <v>12</v>
      </c>
      <c r="H423">
        <v>73</v>
      </c>
      <c r="I423">
        <v>3</v>
      </c>
      <c r="J423">
        <v>76.56</v>
      </c>
      <c r="K423" t="s">
        <v>15</v>
      </c>
      <c r="L423">
        <v>3776862.51</v>
      </c>
      <c r="M423">
        <v>0</v>
      </c>
      <c r="N423">
        <v>3776862.51</v>
      </c>
      <c r="O423">
        <v>49332.059952978045</v>
      </c>
      <c r="P423">
        <v>344520</v>
      </c>
      <c r="Q423">
        <v>3432342.51</v>
      </c>
      <c r="R423">
        <v>44832.059952978045</v>
      </c>
      <c r="S423" t="s">
        <v>65</v>
      </c>
      <c r="T423" t="s">
        <v>717</v>
      </c>
      <c r="U423" t="s">
        <v>717</v>
      </c>
      <c r="V423" t="s">
        <v>4131</v>
      </c>
      <c r="W423">
        <v>44313</v>
      </c>
      <c r="X423" t="s">
        <v>4207</v>
      </c>
      <c r="Y423" t="s">
        <v>6</v>
      </c>
      <c r="Z423" t="s">
        <v>17</v>
      </c>
      <c r="AA423" t="s">
        <v>717</v>
      </c>
      <c r="AB423" t="s">
        <v>2509</v>
      </c>
      <c r="AC423" t="s">
        <v>2571</v>
      </c>
      <c r="AD423" t="s">
        <v>717</v>
      </c>
      <c r="AE423" t="s">
        <v>4208</v>
      </c>
      <c r="AF423" t="s">
        <v>4209</v>
      </c>
      <c r="AG423" t="s">
        <v>4210</v>
      </c>
      <c r="AH423" t="s">
        <v>2191</v>
      </c>
      <c r="AI423" t="s">
        <v>2538</v>
      </c>
      <c r="AJ423" t="s">
        <v>2514</v>
      </c>
      <c r="AK423" t="s">
        <v>20</v>
      </c>
      <c r="AL423" t="s">
        <v>16</v>
      </c>
      <c r="AM423" t="s">
        <v>10</v>
      </c>
      <c r="AN423" t="s">
        <v>717</v>
      </c>
    </row>
    <row r="424" spans="1:40" hidden="1">
      <c r="A424">
        <v>422</v>
      </c>
      <c r="B424">
        <v>87</v>
      </c>
      <c r="C424" s="58">
        <v>44316</v>
      </c>
      <c r="D424" t="s">
        <v>121</v>
      </c>
      <c r="E424" t="s">
        <v>2515</v>
      </c>
      <c r="F424">
        <v>2</v>
      </c>
      <c r="G424">
        <v>20</v>
      </c>
      <c r="H424">
        <v>128</v>
      </c>
      <c r="I424">
        <v>2</v>
      </c>
      <c r="J424">
        <v>58.99</v>
      </c>
      <c r="K424" t="s">
        <v>15</v>
      </c>
      <c r="L424">
        <v>3157321.77</v>
      </c>
      <c r="M424">
        <v>0</v>
      </c>
      <c r="N424">
        <v>3157321.77</v>
      </c>
      <c r="O424">
        <v>53523</v>
      </c>
      <c r="P424">
        <v>265455</v>
      </c>
      <c r="Q424">
        <v>2891866.77</v>
      </c>
      <c r="R424">
        <v>49023</v>
      </c>
      <c r="S424" t="s">
        <v>65</v>
      </c>
      <c r="T424" t="s">
        <v>717</v>
      </c>
      <c r="U424" t="s">
        <v>717</v>
      </c>
      <c r="V424" t="s">
        <v>4131</v>
      </c>
      <c r="W424">
        <v>44308</v>
      </c>
      <c r="X424" t="s">
        <v>4211</v>
      </c>
      <c r="Y424" t="s">
        <v>6</v>
      </c>
      <c r="Z424" t="s">
        <v>17</v>
      </c>
      <c r="AA424" t="s">
        <v>717</v>
      </c>
      <c r="AB424" t="s">
        <v>2509</v>
      </c>
      <c r="AC424" t="s">
        <v>2571</v>
      </c>
      <c r="AD424" t="s">
        <v>717</v>
      </c>
      <c r="AE424" t="s">
        <v>4212</v>
      </c>
      <c r="AF424" t="s">
        <v>4213</v>
      </c>
      <c r="AG424" t="s">
        <v>4214</v>
      </c>
      <c r="AH424" t="s">
        <v>2191</v>
      </c>
      <c r="AI424" t="s">
        <v>2847</v>
      </c>
      <c r="AJ424" t="s">
        <v>2514</v>
      </c>
      <c r="AK424" t="s">
        <v>63</v>
      </c>
      <c r="AL424" t="s">
        <v>16</v>
      </c>
      <c r="AM424" t="s">
        <v>10</v>
      </c>
      <c r="AN424" t="s">
        <v>717</v>
      </c>
    </row>
    <row r="425" spans="1:40" hidden="1">
      <c r="A425">
        <v>423</v>
      </c>
      <c r="B425">
        <v>88</v>
      </c>
      <c r="C425" s="58">
        <v>44316</v>
      </c>
      <c r="D425" t="s">
        <v>121</v>
      </c>
      <c r="E425" t="s">
        <v>2506</v>
      </c>
      <c r="F425">
        <v>6</v>
      </c>
      <c r="G425">
        <v>14</v>
      </c>
      <c r="H425">
        <v>299</v>
      </c>
      <c r="I425">
        <v>2</v>
      </c>
      <c r="J425">
        <v>60.24</v>
      </c>
      <c r="K425" t="s">
        <v>9</v>
      </c>
      <c r="L425">
        <v>2652756.35</v>
      </c>
      <c r="M425">
        <v>0</v>
      </c>
      <c r="N425">
        <v>2652756.35</v>
      </c>
      <c r="O425">
        <v>44036.459993359895</v>
      </c>
      <c r="P425">
        <v>0</v>
      </c>
      <c r="Q425">
        <v>2652756.35</v>
      </c>
      <c r="R425">
        <v>44036.459993359895</v>
      </c>
      <c r="S425" t="s">
        <v>65</v>
      </c>
      <c r="T425" t="s">
        <v>717</v>
      </c>
      <c r="U425" t="s">
        <v>717</v>
      </c>
      <c r="V425" t="s">
        <v>4131</v>
      </c>
      <c r="W425">
        <v>44310</v>
      </c>
      <c r="X425" t="s">
        <v>4215</v>
      </c>
      <c r="Y425" t="s">
        <v>6</v>
      </c>
      <c r="Z425" t="s">
        <v>17</v>
      </c>
      <c r="AA425" t="s">
        <v>717</v>
      </c>
      <c r="AB425" t="s">
        <v>2509</v>
      </c>
      <c r="AC425" t="s">
        <v>2571</v>
      </c>
      <c r="AD425" t="s">
        <v>717</v>
      </c>
      <c r="AE425" t="s">
        <v>4216</v>
      </c>
      <c r="AF425" t="s">
        <v>4217</v>
      </c>
      <c r="AG425" t="s">
        <v>4218</v>
      </c>
      <c r="AH425" t="s">
        <v>2615</v>
      </c>
      <c r="AI425" t="s">
        <v>2688</v>
      </c>
      <c r="AJ425" t="s">
        <v>3289</v>
      </c>
      <c r="AK425" t="s">
        <v>20</v>
      </c>
      <c r="AL425" t="s">
        <v>16</v>
      </c>
      <c r="AM425" t="s">
        <v>10</v>
      </c>
      <c r="AN425" t="s">
        <v>717</v>
      </c>
    </row>
    <row r="426" spans="1:40" hidden="1">
      <c r="A426">
        <v>424</v>
      </c>
      <c r="B426">
        <v>89</v>
      </c>
      <c r="C426" s="58">
        <v>44316</v>
      </c>
      <c r="D426" t="s">
        <v>121</v>
      </c>
      <c r="E426" t="s">
        <v>2515</v>
      </c>
      <c r="F426">
        <v>3</v>
      </c>
      <c r="G426">
        <v>3</v>
      </c>
      <c r="H426">
        <v>10</v>
      </c>
      <c r="I426">
        <v>3</v>
      </c>
      <c r="J426">
        <v>76.56</v>
      </c>
      <c r="K426" t="s">
        <v>15</v>
      </c>
      <c r="L426">
        <v>3715951.38</v>
      </c>
      <c r="M426">
        <v>0</v>
      </c>
      <c r="N426">
        <v>3715951.38</v>
      </c>
      <c r="O426">
        <v>48536.46003134796</v>
      </c>
      <c r="P426">
        <v>344520</v>
      </c>
      <c r="Q426">
        <v>3371431.38</v>
      </c>
      <c r="R426">
        <v>44036.46003134796</v>
      </c>
      <c r="S426" t="s">
        <v>65</v>
      </c>
      <c r="T426" t="s">
        <v>717</v>
      </c>
      <c r="U426" t="s">
        <v>717</v>
      </c>
      <c r="V426" t="s">
        <v>4131</v>
      </c>
      <c r="W426">
        <v>44313</v>
      </c>
      <c r="X426" t="s">
        <v>4219</v>
      </c>
      <c r="Y426" t="s">
        <v>6</v>
      </c>
      <c r="Z426" t="s">
        <v>17</v>
      </c>
      <c r="AA426" t="s">
        <v>717</v>
      </c>
      <c r="AB426" t="s">
        <v>2509</v>
      </c>
      <c r="AC426" t="s">
        <v>2571</v>
      </c>
      <c r="AD426" t="s">
        <v>717</v>
      </c>
      <c r="AE426" t="s">
        <v>4220</v>
      </c>
      <c r="AF426" t="s">
        <v>4221</v>
      </c>
      <c r="AG426" t="s">
        <v>4222</v>
      </c>
      <c r="AH426" t="s">
        <v>2552</v>
      </c>
      <c r="AI426" t="s">
        <v>2547</v>
      </c>
      <c r="AJ426" t="s">
        <v>2855</v>
      </c>
      <c r="AK426" t="s">
        <v>20</v>
      </c>
      <c r="AL426" t="s">
        <v>16</v>
      </c>
      <c r="AM426" t="s">
        <v>10</v>
      </c>
      <c r="AN426" t="s">
        <v>717</v>
      </c>
    </row>
    <row r="427" spans="1:40" hidden="1">
      <c r="A427">
        <v>425</v>
      </c>
      <c r="B427">
        <v>90</v>
      </c>
      <c r="C427" s="58">
        <v>44316</v>
      </c>
      <c r="D427" t="s">
        <v>121</v>
      </c>
      <c r="E427" t="s">
        <v>2506</v>
      </c>
      <c r="F427">
        <v>5</v>
      </c>
      <c r="G427">
        <v>7</v>
      </c>
      <c r="H427">
        <v>221</v>
      </c>
      <c r="I427">
        <v>2</v>
      </c>
      <c r="J427">
        <v>60.19</v>
      </c>
      <c r="K427" t="s">
        <v>15</v>
      </c>
      <c r="L427">
        <v>3051338.67</v>
      </c>
      <c r="M427">
        <v>0</v>
      </c>
      <c r="N427">
        <v>3051338.67</v>
      </c>
      <c r="O427">
        <v>50695.109985047347</v>
      </c>
      <c r="P427">
        <v>270855</v>
      </c>
      <c r="Q427">
        <v>2780483.67</v>
      </c>
      <c r="R427">
        <v>46195.109985047347</v>
      </c>
      <c r="S427" t="s">
        <v>65</v>
      </c>
      <c r="T427" t="s">
        <v>717</v>
      </c>
      <c r="U427" t="s">
        <v>717</v>
      </c>
      <c r="V427" t="s">
        <v>4131</v>
      </c>
      <c r="W427">
        <v>44314</v>
      </c>
      <c r="X427" t="s">
        <v>4223</v>
      </c>
      <c r="Y427" t="s">
        <v>6</v>
      </c>
      <c r="Z427" t="s">
        <v>11</v>
      </c>
      <c r="AA427" t="s">
        <v>717</v>
      </c>
      <c r="AB427" t="s">
        <v>2509</v>
      </c>
      <c r="AC427" t="s">
        <v>2571</v>
      </c>
      <c r="AD427" t="s">
        <v>717</v>
      </c>
      <c r="AE427" t="s">
        <v>253</v>
      </c>
      <c r="AF427" t="s">
        <v>4224</v>
      </c>
      <c r="AG427" t="s">
        <v>4225</v>
      </c>
      <c r="AH427" t="s">
        <v>2616</v>
      </c>
      <c r="AI427" t="s">
        <v>2552</v>
      </c>
      <c r="AJ427" t="s">
        <v>3185</v>
      </c>
      <c r="AK427" t="s">
        <v>73</v>
      </c>
      <c r="AL427" t="s">
        <v>16</v>
      </c>
      <c r="AM427" t="s">
        <v>10</v>
      </c>
      <c r="AN427" t="s">
        <v>717</v>
      </c>
    </row>
    <row r="428" spans="1:40" hidden="1">
      <c r="A428">
        <v>426</v>
      </c>
      <c r="B428">
        <v>1</v>
      </c>
      <c r="C428" s="58">
        <v>44320</v>
      </c>
      <c r="D428" t="s">
        <v>121</v>
      </c>
      <c r="E428" t="s">
        <v>2515</v>
      </c>
      <c r="F428">
        <v>1</v>
      </c>
      <c r="G428">
        <v>2</v>
      </c>
      <c r="H428">
        <v>1</v>
      </c>
      <c r="I428">
        <v>2</v>
      </c>
      <c r="J428">
        <v>59.52</v>
      </c>
      <c r="K428" t="s">
        <v>9</v>
      </c>
      <c r="L428">
        <v>2917848.96</v>
      </c>
      <c r="M428">
        <v>0</v>
      </c>
      <c r="N428">
        <v>2917848.96</v>
      </c>
      <c r="O428">
        <v>49023</v>
      </c>
      <c r="P428">
        <v>0</v>
      </c>
      <c r="Q428">
        <v>2917848.96</v>
      </c>
      <c r="R428">
        <v>49023</v>
      </c>
      <c r="S428" t="s">
        <v>65</v>
      </c>
      <c r="T428" t="s">
        <v>717</v>
      </c>
      <c r="U428" t="s">
        <v>717</v>
      </c>
      <c r="V428" t="s">
        <v>4131</v>
      </c>
      <c r="W428">
        <v>44316</v>
      </c>
      <c r="X428" t="s">
        <v>4226</v>
      </c>
      <c r="Y428" t="s">
        <v>6</v>
      </c>
      <c r="Z428" t="s">
        <v>11</v>
      </c>
      <c r="AA428" t="s">
        <v>717</v>
      </c>
      <c r="AB428" t="s">
        <v>2509</v>
      </c>
      <c r="AC428" t="s">
        <v>2571</v>
      </c>
      <c r="AD428" t="s">
        <v>717</v>
      </c>
      <c r="AE428" t="s">
        <v>4227</v>
      </c>
      <c r="AF428" t="s">
        <v>4228</v>
      </c>
      <c r="AG428" t="s">
        <v>4229</v>
      </c>
      <c r="AH428" t="s">
        <v>2191</v>
      </c>
      <c r="AI428" t="s">
        <v>2538</v>
      </c>
      <c r="AJ428" t="s">
        <v>2514</v>
      </c>
      <c r="AK428" t="s">
        <v>77</v>
      </c>
      <c r="AL428" t="s">
        <v>16</v>
      </c>
      <c r="AM428" t="s">
        <v>10</v>
      </c>
      <c r="AN428" t="s">
        <v>717</v>
      </c>
    </row>
    <row r="429" spans="1:40" hidden="1">
      <c r="A429">
        <v>427</v>
      </c>
      <c r="B429">
        <v>2</v>
      </c>
      <c r="C429" s="58">
        <v>44327</v>
      </c>
      <c r="D429" t="s">
        <v>121</v>
      </c>
      <c r="E429" t="s">
        <v>2506</v>
      </c>
      <c r="F429">
        <v>11</v>
      </c>
      <c r="G429">
        <v>10</v>
      </c>
      <c r="H429">
        <v>260</v>
      </c>
      <c r="I429">
        <v>0</v>
      </c>
      <c r="J429">
        <v>25.85</v>
      </c>
      <c r="K429" t="s">
        <v>9</v>
      </c>
      <c r="L429">
        <v>1438752.3</v>
      </c>
      <c r="M429">
        <v>15000</v>
      </c>
      <c r="N429">
        <v>1453752.3</v>
      </c>
      <c r="O429">
        <v>56238</v>
      </c>
      <c r="P429">
        <v>0</v>
      </c>
      <c r="Q429">
        <v>1453752.3</v>
      </c>
      <c r="R429">
        <v>56238</v>
      </c>
      <c r="S429" t="s">
        <v>2507</v>
      </c>
      <c r="T429" t="s">
        <v>717</v>
      </c>
      <c r="U429" t="s">
        <v>717</v>
      </c>
      <c r="V429" t="s">
        <v>717</v>
      </c>
      <c r="W429">
        <v>44318</v>
      </c>
      <c r="X429" t="s">
        <v>4230</v>
      </c>
      <c r="Y429" t="s">
        <v>6</v>
      </c>
      <c r="Z429" t="s">
        <v>11</v>
      </c>
      <c r="AA429" t="s">
        <v>717</v>
      </c>
      <c r="AB429" t="s">
        <v>2509</v>
      </c>
      <c r="AC429" t="s">
        <v>118</v>
      </c>
      <c r="AD429" t="s">
        <v>717</v>
      </c>
      <c r="AE429" t="s">
        <v>4231</v>
      </c>
      <c r="AF429" t="s">
        <v>4232</v>
      </c>
      <c r="AG429" t="s">
        <v>4233</v>
      </c>
      <c r="AH429" t="s">
        <v>2615</v>
      </c>
      <c r="AI429" t="s">
        <v>2547</v>
      </c>
      <c r="AJ429" t="s">
        <v>2940</v>
      </c>
      <c r="AK429" t="s">
        <v>77</v>
      </c>
      <c r="AL429" t="s">
        <v>717</v>
      </c>
      <c r="AM429" t="s">
        <v>10</v>
      </c>
      <c r="AN429" t="s">
        <v>717</v>
      </c>
    </row>
    <row r="430" spans="1:40" hidden="1">
      <c r="A430">
        <v>428</v>
      </c>
      <c r="B430">
        <v>3</v>
      </c>
      <c r="C430" s="58">
        <v>44327</v>
      </c>
      <c r="D430" t="s">
        <v>121</v>
      </c>
      <c r="E430" t="s">
        <v>2506</v>
      </c>
      <c r="F430">
        <v>6</v>
      </c>
      <c r="G430">
        <v>6</v>
      </c>
      <c r="H430">
        <v>211</v>
      </c>
      <c r="I430">
        <v>2</v>
      </c>
      <c r="J430">
        <v>60.24</v>
      </c>
      <c r="K430" t="s">
        <v>9</v>
      </c>
      <c r="L430">
        <v>2637756.35</v>
      </c>
      <c r="M430">
        <v>15000</v>
      </c>
      <c r="N430">
        <v>2652756.35</v>
      </c>
      <c r="O430">
        <v>44036.459993359895</v>
      </c>
      <c r="P430">
        <v>0</v>
      </c>
      <c r="Q430">
        <v>2652756.35</v>
      </c>
      <c r="R430">
        <v>44036.459993359895</v>
      </c>
      <c r="S430" t="s">
        <v>2507</v>
      </c>
      <c r="T430" t="s">
        <v>717</v>
      </c>
      <c r="U430" t="s">
        <v>717</v>
      </c>
      <c r="V430" t="s">
        <v>717</v>
      </c>
      <c r="W430">
        <v>44321</v>
      </c>
      <c r="X430" t="s">
        <v>4234</v>
      </c>
      <c r="Y430" t="s">
        <v>6</v>
      </c>
      <c r="Z430" t="s">
        <v>11</v>
      </c>
      <c r="AA430" t="s">
        <v>717</v>
      </c>
      <c r="AB430" t="s">
        <v>2509</v>
      </c>
      <c r="AC430" t="s">
        <v>118</v>
      </c>
      <c r="AD430" t="s">
        <v>717</v>
      </c>
      <c r="AE430" t="s">
        <v>4235</v>
      </c>
      <c r="AF430" t="s">
        <v>4236</v>
      </c>
      <c r="AG430" t="s">
        <v>4237</v>
      </c>
      <c r="AH430" t="s">
        <v>2615</v>
      </c>
      <c r="AI430" t="s">
        <v>2552</v>
      </c>
      <c r="AJ430" t="s">
        <v>3289</v>
      </c>
      <c r="AK430" t="s">
        <v>73</v>
      </c>
      <c r="AL430" t="s">
        <v>717</v>
      </c>
      <c r="AM430" t="s">
        <v>10</v>
      </c>
      <c r="AN430" t="s">
        <v>717</v>
      </c>
    </row>
    <row r="431" spans="1:40" hidden="1">
      <c r="A431">
        <v>429</v>
      </c>
      <c r="B431">
        <v>4</v>
      </c>
      <c r="C431" s="58">
        <v>44328</v>
      </c>
      <c r="D431" t="s">
        <v>121</v>
      </c>
      <c r="E431" t="s">
        <v>2506</v>
      </c>
      <c r="F431">
        <v>10</v>
      </c>
      <c r="G431">
        <v>3</v>
      </c>
      <c r="H431">
        <v>182</v>
      </c>
      <c r="I431">
        <v>0</v>
      </c>
      <c r="J431">
        <v>25.91</v>
      </c>
      <c r="K431" t="s">
        <v>9</v>
      </c>
      <c r="L431">
        <v>1288374.75</v>
      </c>
      <c r="M431">
        <v>0</v>
      </c>
      <c r="N431">
        <v>1288374.75</v>
      </c>
      <c r="O431">
        <v>49725</v>
      </c>
      <c r="P431">
        <v>0</v>
      </c>
      <c r="Q431">
        <v>1288374.75</v>
      </c>
      <c r="R431">
        <v>49725</v>
      </c>
      <c r="S431" t="s">
        <v>2507</v>
      </c>
      <c r="T431" t="s">
        <v>717</v>
      </c>
      <c r="U431" t="s">
        <v>717</v>
      </c>
      <c r="V431" t="s">
        <v>717</v>
      </c>
      <c r="W431">
        <v>44313</v>
      </c>
      <c r="X431" t="s">
        <v>4238</v>
      </c>
      <c r="Y431" t="s">
        <v>6</v>
      </c>
      <c r="Z431" t="s">
        <v>11</v>
      </c>
      <c r="AA431" t="s">
        <v>717</v>
      </c>
      <c r="AB431" t="s">
        <v>2509</v>
      </c>
      <c r="AC431" t="s">
        <v>118</v>
      </c>
      <c r="AD431" t="s">
        <v>717</v>
      </c>
      <c r="AE431" t="s">
        <v>4239</v>
      </c>
      <c r="AF431" t="s">
        <v>4240</v>
      </c>
      <c r="AG431" t="s">
        <v>4188</v>
      </c>
      <c r="AH431" t="s">
        <v>2615</v>
      </c>
      <c r="AI431" t="s">
        <v>2600</v>
      </c>
      <c r="AJ431" t="s">
        <v>3921</v>
      </c>
      <c r="AK431" t="s">
        <v>77</v>
      </c>
      <c r="AL431" t="s">
        <v>717</v>
      </c>
      <c r="AM431" t="s">
        <v>10</v>
      </c>
      <c r="AN431" t="s">
        <v>717</v>
      </c>
    </row>
    <row r="432" spans="1:40" hidden="1">
      <c r="A432">
        <v>430</v>
      </c>
      <c r="B432">
        <v>5</v>
      </c>
      <c r="C432" s="58">
        <v>44329</v>
      </c>
      <c r="D432" t="s">
        <v>121</v>
      </c>
      <c r="E432" t="s">
        <v>2506</v>
      </c>
      <c r="F432">
        <v>5</v>
      </c>
      <c r="G432">
        <v>11</v>
      </c>
      <c r="H432">
        <v>265</v>
      </c>
      <c r="I432">
        <v>2</v>
      </c>
      <c r="J432">
        <v>60.19</v>
      </c>
      <c r="K432" t="s">
        <v>15</v>
      </c>
      <c r="L432">
        <v>2906409.53</v>
      </c>
      <c r="M432">
        <v>15000</v>
      </c>
      <c r="N432">
        <v>2921409.53</v>
      </c>
      <c r="O432">
        <v>48536.460043196545</v>
      </c>
      <c r="P432">
        <v>270855</v>
      </c>
      <c r="Q432">
        <v>2650554.5299999998</v>
      </c>
      <c r="R432">
        <v>44036.460043196545</v>
      </c>
      <c r="S432" t="s">
        <v>130</v>
      </c>
      <c r="T432" t="s">
        <v>717</v>
      </c>
      <c r="U432" t="s">
        <v>717</v>
      </c>
      <c r="V432" t="s">
        <v>717</v>
      </c>
      <c r="W432">
        <v>44320</v>
      </c>
      <c r="X432" t="s">
        <v>4241</v>
      </c>
      <c r="Y432" t="s">
        <v>6</v>
      </c>
      <c r="Z432" t="s">
        <v>11</v>
      </c>
      <c r="AA432" t="s">
        <v>717</v>
      </c>
      <c r="AB432" t="s">
        <v>2509</v>
      </c>
      <c r="AC432" t="s">
        <v>118</v>
      </c>
      <c r="AD432" t="s">
        <v>717</v>
      </c>
      <c r="AE432" t="s">
        <v>4242</v>
      </c>
      <c r="AF432" t="s">
        <v>4243</v>
      </c>
      <c r="AG432" t="s">
        <v>4244</v>
      </c>
      <c r="AH432" t="s">
        <v>2615</v>
      </c>
      <c r="AI432" t="s">
        <v>2568</v>
      </c>
      <c r="AJ432" t="s">
        <v>2569</v>
      </c>
      <c r="AK432" t="s">
        <v>77</v>
      </c>
      <c r="AL432" t="s">
        <v>717</v>
      </c>
      <c r="AM432" t="s">
        <v>10</v>
      </c>
      <c r="AN432" t="s">
        <v>717</v>
      </c>
    </row>
    <row r="433" spans="1:40" hidden="1">
      <c r="A433">
        <v>431</v>
      </c>
      <c r="B433">
        <v>6</v>
      </c>
      <c r="C433" s="58">
        <v>44330</v>
      </c>
      <c r="D433" t="s">
        <v>121</v>
      </c>
      <c r="E433" t="s">
        <v>2506</v>
      </c>
      <c r="F433">
        <v>5</v>
      </c>
      <c r="G433">
        <v>10</v>
      </c>
      <c r="H433">
        <v>254</v>
      </c>
      <c r="I433">
        <v>2</v>
      </c>
      <c r="J433">
        <v>60.19</v>
      </c>
      <c r="K433" t="s">
        <v>15</v>
      </c>
      <c r="L433">
        <v>2906409.53</v>
      </c>
      <c r="M433">
        <v>15000</v>
      </c>
      <c r="N433">
        <v>2921409.53</v>
      </c>
      <c r="O433">
        <v>48536.460043196545</v>
      </c>
      <c r="P433">
        <v>270855</v>
      </c>
      <c r="Q433">
        <v>2650554.5299999998</v>
      </c>
      <c r="R433">
        <v>44036.460043196545</v>
      </c>
      <c r="S433" t="s">
        <v>65</v>
      </c>
      <c r="T433" t="s">
        <v>717</v>
      </c>
      <c r="U433" t="s">
        <v>717</v>
      </c>
      <c r="V433" t="s">
        <v>4131</v>
      </c>
      <c r="W433">
        <v>44307</v>
      </c>
      <c r="X433" t="s">
        <v>4245</v>
      </c>
      <c r="Y433" t="s">
        <v>6</v>
      </c>
      <c r="Z433" t="s">
        <v>17</v>
      </c>
      <c r="AA433" t="s">
        <v>717</v>
      </c>
      <c r="AB433" t="s">
        <v>2509</v>
      </c>
      <c r="AC433" t="s">
        <v>2571</v>
      </c>
      <c r="AD433" t="s">
        <v>717</v>
      </c>
      <c r="AE433" t="s">
        <v>4246</v>
      </c>
      <c r="AF433" t="s">
        <v>4247</v>
      </c>
      <c r="AG433" t="s">
        <v>4248</v>
      </c>
      <c r="AH433" t="s">
        <v>2615</v>
      </c>
      <c r="AI433" t="s">
        <v>2552</v>
      </c>
      <c r="AJ433" t="s">
        <v>2895</v>
      </c>
      <c r="AK433" t="s">
        <v>63</v>
      </c>
      <c r="AL433" t="s">
        <v>16</v>
      </c>
      <c r="AM433" t="s">
        <v>10</v>
      </c>
      <c r="AN433" t="s">
        <v>717</v>
      </c>
    </row>
    <row r="434" spans="1:40" hidden="1">
      <c r="A434">
        <v>432</v>
      </c>
      <c r="B434">
        <v>7</v>
      </c>
      <c r="C434" s="58">
        <v>44330</v>
      </c>
      <c r="D434" t="s">
        <v>121</v>
      </c>
      <c r="E434" t="s">
        <v>2515</v>
      </c>
      <c r="F434">
        <v>5</v>
      </c>
      <c r="G434">
        <v>2</v>
      </c>
      <c r="H434">
        <v>5</v>
      </c>
      <c r="I434">
        <v>1</v>
      </c>
      <c r="J434">
        <v>36.42</v>
      </c>
      <c r="K434" t="s">
        <v>15</v>
      </c>
      <c r="L434">
        <v>2228840.9300000002</v>
      </c>
      <c r="M434">
        <v>15000</v>
      </c>
      <c r="N434">
        <v>2243840.9300000002</v>
      </c>
      <c r="O434">
        <v>61610.129873695776</v>
      </c>
      <c r="P434">
        <v>163890</v>
      </c>
      <c r="Q434">
        <v>2079950.93</v>
      </c>
      <c r="R434">
        <v>57110.129873695776</v>
      </c>
      <c r="S434" t="s">
        <v>65</v>
      </c>
      <c r="T434" t="s">
        <v>2941</v>
      </c>
      <c r="U434">
        <v>21009.610000000102</v>
      </c>
      <c r="V434" t="s">
        <v>717</v>
      </c>
      <c r="W434">
        <v>44320</v>
      </c>
      <c r="X434" t="s">
        <v>4249</v>
      </c>
      <c r="Y434" t="s">
        <v>6</v>
      </c>
      <c r="Z434" t="s">
        <v>17</v>
      </c>
      <c r="AA434" t="s">
        <v>717</v>
      </c>
      <c r="AB434" t="s">
        <v>2509</v>
      </c>
      <c r="AC434" t="s">
        <v>2564</v>
      </c>
      <c r="AD434" t="s">
        <v>717</v>
      </c>
      <c r="AE434" t="s">
        <v>4250</v>
      </c>
      <c r="AF434" t="s">
        <v>3200</v>
      </c>
      <c r="AG434" t="s">
        <v>4251</v>
      </c>
      <c r="AH434" t="s">
        <v>2615</v>
      </c>
      <c r="AI434" t="s">
        <v>2600</v>
      </c>
      <c r="AJ434" t="s">
        <v>2895</v>
      </c>
      <c r="AK434" t="s">
        <v>77</v>
      </c>
      <c r="AL434" t="s">
        <v>16</v>
      </c>
      <c r="AM434" t="s">
        <v>10</v>
      </c>
      <c r="AN434" t="s">
        <v>717</v>
      </c>
    </row>
    <row r="435" spans="1:40" hidden="1">
      <c r="A435">
        <v>433</v>
      </c>
      <c r="B435">
        <v>8</v>
      </c>
      <c r="C435" s="58">
        <v>44330</v>
      </c>
      <c r="D435" t="s">
        <v>121</v>
      </c>
      <c r="E435" t="s">
        <v>2506</v>
      </c>
      <c r="F435">
        <v>3</v>
      </c>
      <c r="G435">
        <v>8</v>
      </c>
      <c r="H435">
        <v>230</v>
      </c>
      <c r="I435">
        <v>3</v>
      </c>
      <c r="J435">
        <v>86.58</v>
      </c>
      <c r="K435" t="s">
        <v>15</v>
      </c>
      <c r="L435">
        <v>4241169.75</v>
      </c>
      <c r="M435">
        <v>30000</v>
      </c>
      <c r="N435">
        <v>4271169.75</v>
      </c>
      <c r="O435">
        <v>49332.059944559944</v>
      </c>
      <c r="P435">
        <v>389610</v>
      </c>
      <c r="Q435">
        <v>3881559.75</v>
      </c>
      <c r="R435">
        <v>44832.059944559944</v>
      </c>
      <c r="S435" t="s">
        <v>2507</v>
      </c>
      <c r="T435" t="s">
        <v>717</v>
      </c>
      <c r="U435" t="s">
        <v>717</v>
      </c>
      <c r="V435" t="s">
        <v>717</v>
      </c>
      <c r="W435">
        <v>44328</v>
      </c>
      <c r="X435" t="s">
        <v>4252</v>
      </c>
      <c r="Y435" t="s">
        <v>6</v>
      </c>
      <c r="Z435" t="s">
        <v>11</v>
      </c>
      <c r="AA435" t="s">
        <v>717</v>
      </c>
      <c r="AB435" t="s">
        <v>2509</v>
      </c>
      <c r="AC435" t="s">
        <v>118</v>
      </c>
      <c r="AD435" t="s">
        <v>717</v>
      </c>
      <c r="AE435" t="s">
        <v>4253</v>
      </c>
      <c r="AF435" t="s">
        <v>4254</v>
      </c>
      <c r="AG435" t="s">
        <v>4255</v>
      </c>
      <c r="AH435" t="s">
        <v>2615</v>
      </c>
      <c r="AI435" t="s">
        <v>2688</v>
      </c>
      <c r="AJ435" t="s">
        <v>3289</v>
      </c>
      <c r="AK435" t="s">
        <v>73</v>
      </c>
      <c r="AL435" t="s">
        <v>717</v>
      </c>
      <c r="AM435" t="s">
        <v>10</v>
      </c>
      <c r="AN435" t="s">
        <v>717</v>
      </c>
    </row>
    <row r="436" spans="1:40" hidden="1">
      <c r="A436">
        <v>434</v>
      </c>
      <c r="B436">
        <v>9</v>
      </c>
      <c r="C436" s="58">
        <v>44333</v>
      </c>
      <c r="D436" t="s">
        <v>121</v>
      </c>
      <c r="E436" t="s">
        <v>2506</v>
      </c>
      <c r="F436">
        <v>11</v>
      </c>
      <c r="G436">
        <v>3</v>
      </c>
      <c r="H436">
        <v>183</v>
      </c>
      <c r="I436">
        <v>0</v>
      </c>
      <c r="J436">
        <v>25.85</v>
      </c>
      <c r="K436" t="s">
        <v>15</v>
      </c>
      <c r="L436">
        <v>1361512.5</v>
      </c>
      <c r="M436">
        <v>15000</v>
      </c>
      <c r="N436">
        <v>1376512.5</v>
      </c>
      <c r="O436">
        <v>53250</v>
      </c>
      <c r="P436">
        <v>116325</v>
      </c>
      <c r="Q436">
        <v>1260187.5</v>
      </c>
      <c r="R436">
        <v>48750</v>
      </c>
      <c r="S436" t="s">
        <v>2507</v>
      </c>
      <c r="T436" t="s">
        <v>717</v>
      </c>
      <c r="U436" t="s">
        <v>717</v>
      </c>
      <c r="V436" t="s">
        <v>717</v>
      </c>
      <c r="W436">
        <v>44326</v>
      </c>
      <c r="X436" t="s">
        <v>4256</v>
      </c>
      <c r="Y436" t="s">
        <v>6</v>
      </c>
      <c r="Z436" t="s">
        <v>11</v>
      </c>
      <c r="AA436" t="s">
        <v>717</v>
      </c>
      <c r="AB436" t="s">
        <v>2509</v>
      </c>
      <c r="AC436" t="s">
        <v>118</v>
      </c>
      <c r="AD436" t="s">
        <v>717</v>
      </c>
      <c r="AE436" t="s">
        <v>4257</v>
      </c>
      <c r="AF436" t="s">
        <v>4258</v>
      </c>
      <c r="AG436" t="s">
        <v>4259</v>
      </c>
      <c r="AH436" t="s">
        <v>2615</v>
      </c>
      <c r="AI436" t="s">
        <v>2697</v>
      </c>
      <c r="AJ436" t="s">
        <v>3289</v>
      </c>
      <c r="AK436" t="s">
        <v>20</v>
      </c>
      <c r="AL436" t="s">
        <v>717</v>
      </c>
      <c r="AM436" t="s">
        <v>10</v>
      </c>
      <c r="AN436" t="s">
        <v>717</v>
      </c>
    </row>
    <row r="437" spans="1:40" hidden="1">
      <c r="A437">
        <v>435</v>
      </c>
      <c r="B437">
        <v>10</v>
      </c>
      <c r="C437" s="58">
        <v>44334</v>
      </c>
      <c r="D437" t="s">
        <v>121</v>
      </c>
      <c r="E437" t="s">
        <v>2515</v>
      </c>
      <c r="F437">
        <v>1</v>
      </c>
      <c r="G437">
        <v>14</v>
      </c>
      <c r="H437">
        <v>85</v>
      </c>
      <c r="I437">
        <v>2</v>
      </c>
      <c r="J437">
        <v>59.52</v>
      </c>
      <c r="K437" t="s">
        <v>25</v>
      </c>
      <c r="L437">
        <v>3795648.96</v>
      </c>
      <c r="M437">
        <v>15000</v>
      </c>
      <c r="N437">
        <v>3810648.96</v>
      </c>
      <c r="O437">
        <v>64022.999999999993</v>
      </c>
      <c r="P437">
        <v>892800</v>
      </c>
      <c r="Q437">
        <v>2917848.96</v>
      </c>
      <c r="R437">
        <v>49023</v>
      </c>
      <c r="S437" t="s">
        <v>65</v>
      </c>
      <c r="T437" t="s">
        <v>717</v>
      </c>
      <c r="U437" t="s">
        <v>717</v>
      </c>
      <c r="V437" t="s">
        <v>4131</v>
      </c>
      <c r="W437">
        <v>44322</v>
      </c>
      <c r="X437" t="s">
        <v>4260</v>
      </c>
      <c r="Y437" t="s">
        <v>6</v>
      </c>
      <c r="Z437" t="s">
        <v>17</v>
      </c>
      <c r="AA437" t="s">
        <v>717</v>
      </c>
      <c r="AB437" t="s">
        <v>2509</v>
      </c>
      <c r="AC437" t="s">
        <v>2571</v>
      </c>
      <c r="AD437" t="s">
        <v>717</v>
      </c>
      <c r="AE437" t="s">
        <v>275</v>
      </c>
      <c r="AF437" t="s">
        <v>4261</v>
      </c>
      <c r="AG437" t="s">
        <v>4262</v>
      </c>
      <c r="AH437" t="s">
        <v>2615</v>
      </c>
      <c r="AI437" t="s">
        <v>2697</v>
      </c>
      <c r="AJ437" t="s">
        <v>2651</v>
      </c>
      <c r="AK437" t="s">
        <v>73</v>
      </c>
      <c r="AL437" t="s">
        <v>16</v>
      </c>
      <c r="AM437" t="s">
        <v>10</v>
      </c>
      <c r="AN437" t="s">
        <v>717</v>
      </c>
    </row>
    <row r="438" spans="1:40" hidden="1">
      <c r="A438">
        <v>436</v>
      </c>
      <c r="B438">
        <v>11</v>
      </c>
      <c r="C438" s="58">
        <v>44334</v>
      </c>
      <c r="D438" t="s">
        <v>121</v>
      </c>
      <c r="E438" t="s">
        <v>2515</v>
      </c>
      <c r="F438">
        <v>7</v>
      </c>
      <c r="G438">
        <v>4</v>
      </c>
      <c r="H438">
        <v>21</v>
      </c>
      <c r="I438">
        <v>2</v>
      </c>
      <c r="J438">
        <v>58.17</v>
      </c>
      <c r="K438" t="s">
        <v>9</v>
      </c>
      <c r="L438">
        <v>2994251.31</v>
      </c>
      <c r="M438">
        <v>0</v>
      </c>
      <c r="N438">
        <v>2994251.31</v>
      </c>
      <c r="O438">
        <v>51474.15007735946</v>
      </c>
      <c r="P438">
        <v>0</v>
      </c>
      <c r="Q438">
        <v>2994251.31</v>
      </c>
      <c r="R438">
        <v>51474.15007735946</v>
      </c>
      <c r="S438" t="s">
        <v>65</v>
      </c>
      <c r="T438" t="s">
        <v>717</v>
      </c>
      <c r="U438" t="s">
        <v>717</v>
      </c>
      <c r="V438" t="s">
        <v>717</v>
      </c>
      <c r="W438">
        <v>44324</v>
      </c>
      <c r="X438" t="s">
        <v>4263</v>
      </c>
      <c r="Y438" t="s">
        <v>6</v>
      </c>
      <c r="Z438" t="s">
        <v>11</v>
      </c>
      <c r="AA438" t="s">
        <v>717</v>
      </c>
      <c r="AB438" t="s">
        <v>2509</v>
      </c>
      <c r="AC438" t="s">
        <v>2576</v>
      </c>
      <c r="AD438" t="s">
        <v>717</v>
      </c>
      <c r="AE438" t="s">
        <v>4264</v>
      </c>
      <c r="AF438" t="s">
        <v>4265</v>
      </c>
      <c r="AG438" t="s">
        <v>4266</v>
      </c>
      <c r="AH438" t="s">
        <v>2191</v>
      </c>
      <c r="AI438" t="s">
        <v>2688</v>
      </c>
      <c r="AJ438" t="s">
        <v>3289</v>
      </c>
      <c r="AK438" t="s">
        <v>20</v>
      </c>
      <c r="AL438" t="s">
        <v>16</v>
      </c>
      <c r="AM438" t="s">
        <v>10</v>
      </c>
      <c r="AN438" t="s">
        <v>717</v>
      </c>
    </row>
    <row r="439" spans="1:40" hidden="1">
      <c r="A439">
        <v>437</v>
      </c>
      <c r="B439">
        <v>12</v>
      </c>
      <c r="C439" s="58">
        <v>44336</v>
      </c>
      <c r="D439" t="s">
        <v>121</v>
      </c>
      <c r="E439" t="s">
        <v>2506</v>
      </c>
      <c r="F439">
        <v>9</v>
      </c>
      <c r="G439">
        <v>6</v>
      </c>
      <c r="H439">
        <v>214</v>
      </c>
      <c r="I439">
        <v>2</v>
      </c>
      <c r="J439">
        <v>60.3</v>
      </c>
      <c r="K439" t="s">
        <v>15</v>
      </c>
      <c r="L439">
        <v>3163094.39</v>
      </c>
      <c r="M439">
        <v>0</v>
      </c>
      <c r="N439">
        <v>3163094.39</v>
      </c>
      <c r="O439">
        <v>52455.960033167503</v>
      </c>
      <c r="P439">
        <v>271350</v>
      </c>
      <c r="Q439">
        <v>2891744.39</v>
      </c>
      <c r="R439">
        <v>47955.960033167503</v>
      </c>
      <c r="S439" t="s">
        <v>65</v>
      </c>
      <c r="T439" t="s">
        <v>717</v>
      </c>
      <c r="U439" t="s">
        <v>717</v>
      </c>
      <c r="V439" t="s">
        <v>4131</v>
      </c>
      <c r="W439">
        <v>44329</v>
      </c>
      <c r="X439" t="s">
        <v>4267</v>
      </c>
      <c r="Y439" t="s">
        <v>6</v>
      </c>
      <c r="Z439" t="s">
        <v>17</v>
      </c>
      <c r="AA439" t="s">
        <v>717</v>
      </c>
      <c r="AB439" t="s">
        <v>2509</v>
      </c>
      <c r="AC439" t="s">
        <v>2571</v>
      </c>
      <c r="AD439" t="s">
        <v>717</v>
      </c>
      <c r="AE439" t="s">
        <v>4268</v>
      </c>
      <c r="AF439" t="s">
        <v>4269</v>
      </c>
      <c r="AG439" t="s">
        <v>4270</v>
      </c>
      <c r="AH439" t="s">
        <v>2615</v>
      </c>
      <c r="AI439" t="s">
        <v>2552</v>
      </c>
      <c r="AJ439" t="s">
        <v>2895</v>
      </c>
      <c r="AK439" t="s">
        <v>20</v>
      </c>
      <c r="AL439" t="s">
        <v>16</v>
      </c>
      <c r="AM439" t="s">
        <v>10</v>
      </c>
      <c r="AN439" t="s">
        <v>717</v>
      </c>
    </row>
    <row r="440" spans="1:40" hidden="1">
      <c r="A440">
        <v>438</v>
      </c>
      <c r="B440">
        <v>13</v>
      </c>
      <c r="C440" s="58">
        <v>44336</v>
      </c>
      <c r="D440" t="s">
        <v>121</v>
      </c>
      <c r="E440" t="s">
        <v>2506</v>
      </c>
      <c r="F440">
        <v>6</v>
      </c>
      <c r="G440">
        <v>12</v>
      </c>
      <c r="H440">
        <v>277</v>
      </c>
      <c r="I440">
        <v>2</v>
      </c>
      <c r="J440">
        <v>60.24</v>
      </c>
      <c r="K440" t="s">
        <v>9</v>
      </c>
      <c r="L440">
        <v>2715778.6</v>
      </c>
      <c r="M440">
        <v>15000</v>
      </c>
      <c r="N440">
        <v>2730778.6</v>
      </c>
      <c r="O440">
        <v>45331.65006640106</v>
      </c>
      <c r="P440">
        <v>0</v>
      </c>
      <c r="Q440">
        <v>2730778.6</v>
      </c>
      <c r="R440">
        <v>45331.65006640106</v>
      </c>
      <c r="S440" t="s">
        <v>130</v>
      </c>
      <c r="T440" t="s">
        <v>717</v>
      </c>
      <c r="U440" t="s">
        <v>717</v>
      </c>
      <c r="V440" t="s">
        <v>717</v>
      </c>
      <c r="W440">
        <v>44331</v>
      </c>
      <c r="X440" t="s">
        <v>4271</v>
      </c>
      <c r="Y440" t="s">
        <v>6</v>
      </c>
      <c r="Z440" t="s">
        <v>11</v>
      </c>
      <c r="AA440" t="s">
        <v>717</v>
      </c>
      <c r="AB440" t="s">
        <v>2509</v>
      </c>
      <c r="AC440" t="s">
        <v>118</v>
      </c>
      <c r="AD440" t="s">
        <v>717</v>
      </c>
      <c r="AE440" t="s">
        <v>4272</v>
      </c>
      <c r="AF440" t="s">
        <v>4273</v>
      </c>
      <c r="AG440" t="s">
        <v>4274</v>
      </c>
      <c r="AH440" t="s">
        <v>2191</v>
      </c>
      <c r="AI440" t="s">
        <v>2538</v>
      </c>
      <c r="AJ440" t="s">
        <v>2514</v>
      </c>
      <c r="AK440" t="s">
        <v>73</v>
      </c>
      <c r="AL440" t="s">
        <v>717</v>
      </c>
      <c r="AM440" t="s">
        <v>10</v>
      </c>
      <c r="AN440" t="s">
        <v>717</v>
      </c>
    </row>
    <row r="441" spans="1:40" hidden="1">
      <c r="A441">
        <v>439</v>
      </c>
      <c r="B441">
        <v>14</v>
      </c>
      <c r="C441" s="58">
        <v>44336</v>
      </c>
      <c r="D441" t="s">
        <v>121</v>
      </c>
      <c r="E441" t="s">
        <v>2506</v>
      </c>
      <c r="F441">
        <v>7</v>
      </c>
      <c r="G441">
        <v>10</v>
      </c>
      <c r="H441">
        <v>256</v>
      </c>
      <c r="I441">
        <v>0</v>
      </c>
      <c r="J441">
        <v>24.23</v>
      </c>
      <c r="K441" t="s">
        <v>9</v>
      </c>
      <c r="L441">
        <v>1555600.16</v>
      </c>
      <c r="M441">
        <v>0</v>
      </c>
      <c r="N441">
        <v>1555600.16</v>
      </c>
      <c r="O441">
        <v>64201.409822534042</v>
      </c>
      <c r="P441">
        <v>0</v>
      </c>
      <c r="Q441">
        <v>1555600.16</v>
      </c>
      <c r="R441">
        <v>64201.409822534042</v>
      </c>
      <c r="S441" t="s">
        <v>130</v>
      </c>
      <c r="T441" t="s">
        <v>717</v>
      </c>
      <c r="U441" t="s">
        <v>717</v>
      </c>
      <c r="V441" t="s">
        <v>717</v>
      </c>
      <c r="W441">
        <v>44334</v>
      </c>
      <c r="X441" t="s">
        <v>4275</v>
      </c>
      <c r="Y441" t="s">
        <v>6</v>
      </c>
      <c r="Z441" t="s">
        <v>11</v>
      </c>
      <c r="AA441" t="s">
        <v>717</v>
      </c>
      <c r="AB441" t="s">
        <v>2509</v>
      </c>
      <c r="AC441" t="s">
        <v>118</v>
      </c>
      <c r="AD441" t="s">
        <v>717</v>
      </c>
      <c r="AE441" t="s">
        <v>4276</v>
      </c>
      <c r="AF441" t="s">
        <v>4277</v>
      </c>
      <c r="AG441" t="s">
        <v>4278</v>
      </c>
      <c r="AH441" t="s">
        <v>2615</v>
      </c>
      <c r="AI441" t="s">
        <v>2538</v>
      </c>
      <c r="AJ441" t="s">
        <v>2895</v>
      </c>
      <c r="AK441" t="s">
        <v>63</v>
      </c>
      <c r="AL441" t="s">
        <v>717</v>
      </c>
      <c r="AM441" t="s">
        <v>10</v>
      </c>
      <c r="AN441" t="s">
        <v>717</v>
      </c>
    </row>
    <row r="442" spans="1:40" hidden="1">
      <c r="A442">
        <v>440</v>
      </c>
      <c r="B442">
        <v>15</v>
      </c>
      <c r="C442" s="58">
        <v>44336</v>
      </c>
      <c r="D442" t="s">
        <v>121</v>
      </c>
      <c r="E442" t="s">
        <v>2515</v>
      </c>
      <c r="F442">
        <v>1</v>
      </c>
      <c r="G442">
        <v>15</v>
      </c>
      <c r="H442">
        <v>92</v>
      </c>
      <c r="I442">
        <v>2</v>
      </c>
      <c r="J442">
        <v>59.52</v>
      </c>
      <c r="K442" t="s">
        <v>15</v>
      </c>
      <c r="L442">
        <v>3389736.44</v>
      </c>
      <c r="M442">
        <v>0</v>
      </c>
      <c r="N442">
        <v>3389736.44</v>
      </c>
      <c r="O442">
        <v>56951.217069892467</v>
      </c>
      <c r="P442">
        <v>267840</v>
      </c>
      <c r="Q442">
        <v>3121896.44</v>
      </c>
      <c r="R442">
        <v>52451.217069892467</v>
      </c>
      <c r="S442" t="s">
        <v>65</v>
      </c>
      <c r="T442" t="s">
        <v>2664</v>
      </c>
      <c r="U442">
        <v>63712.168000000529</v>
      </c>
      <c r="V442" t="s">
        <v>4131</v>
      </c>
      <c r="W442">
        <v>44335</v>
      </c>
      <c r="X442" t="s">
        <v>4279</v>
      </c>
      <c r="Y442" t="s">
        <v>6</v>
      </c>
      <c r="Z442" t="s">
        <v>17</v>
      </c>
      <c r="AA442" t="s">
        <v>717</v>
      </c>
      <c r="AB442" t="s">
        <v>2509</v>
      </c>
      <c r="AC442" t="s">
        <v>2571</v>
      </c>
      <c r="AD442" t="s">
        <v>717</v>
      </c>
      <c r="AE442" t="s">
        <v>4280</v>
      </c>
      <c r="AF442" t="s">
        <v>4281</v>
      </c>
      <c r="AG442" t="s">
        <v>4282</v>
      </c>
      <c r="AH442" t="s">
        <v>2616</v>
      </c>
      <c r="AI442" t="s">
        <v>2552</v>
      </c>
      <c r="AJ442" t="s">
        <v>3185</v>
      </c>
      <c r="AK442" t="s">
        <v>77</v>
      </c>
      <c r="AL442" t="s">
        <v>16</v>
      </c>
      <c r="AM442" t="s">
        <v>10</v>
      </c>
      <c r="AN442" t="s">
        <v>717</v>
      </c>
    </row>
    <row r="443" spans="1:40" hidden="1">
      <c r="A443">
        <v>441</v>
      </c>
      <c r="B443">
        <v>16</v>
      </c>
      <c r="C443" s="58">
        <v>44337</v>
      </c>
      <c r="D443" t="s">
        <v>121</v>
      </c>
      <c r="E443" t="s">
        <v>2515</v>
      </c>
      <c r="F443">
        <v>2</v>
      </c>
      <c r="G443">
        <v>9</v>
      </c>
      <c r="H443">
        <v>51</v>
      </c>
      <c r="I443">
        <v>2</v>
      </c>
      <c r="J443">
        <v>58.99</v>
      </c>
      <c r="K443" t="s">
        <v>15</v>
      </c>
      <c r="L443">
        <v>2797230.27</v>
      </c>
      <c r="M443">
        <v>15000</v>
      </c>
      <c r="N443">
        <v>2812230.27</v>
      </c>
      <c r="O443">
        <v>47673</v>
      </c>
      <c r="P443">
        <v>265455</v>
      </c>
      <c r="Q443">
        <v>2546775.27</v>
      </c>
      <c r="R443">
        <v>43173</v>
      </c>
      <c r="S443" t="s">
        <v>65</v>
      </c>
      <c r="T443" t="s">
        <v>717</v>
      </c>
      <c r="U443" t="s">
        <v>717</v>
      </c>
      <c r="V443" t="s">
        <v>4131</v>
      </c>
      <c r="W443">
        <v>44326</v>
      </c>
      <c r="X443" t="s">
        <v>4283</v>
      </c>
      <c r="Y443" t="s">
        <v>6</v>
      </c>
      <c r="Z443" t="s">
        <v>17</v>
      </c>
      <c r="AA443" t="s">
        <v>717</v>
      </c>
      <c r="AB443" t="s">
        <v>2509</v>
      </c>
      <c r="AC443" t="s">
        <v>2571</v>
      </c>
      <c r="AD443" t="s">
        <v>717</v>
      </c>
      <c r="AE443" t="s">
        <v>4257</v>
      </c>
      <c r="AF443" t="s">
        <v>4258</v>
      </c>
      <c r="AG443" t="s">
        <v>4259</v>
      </c>
      <c r="AH443" t="s">
        <v>2580</v>
      </c>
      <c r="AI443" t="s">
        <v>2697</v>
      </c>
      <c r="AJ443" t="s">
        <v>3921</v>
      </c>
      <c r="AK443" t="s">
        <v>20</v>
      </c>
      <c r="AL443" t="s">
        <v>16</v>
      </c>
      <c r="AM443" t="s">
        <v>10</v>
      </c>
      <c r="AN443" t="s">
        <v>717</v>
      </c>
    </row>
    <row r="444" spans="1:40" hidden="1">
      <c r="A444">
        <v>442</v>
      </c>
      <c r="B444">
        <v>17</v>
      </c>
      <c r="C444" s="58">
        <v>44337</v>
      </c>
      <c r="D444" t="s">
        <v>121</v>
      </c>
      <c r="E444" t="s">
        <v>2515</v>
      </c>
      <c r="F444">
        <v>1</v>
      </c>
      <c r="G444">
        <v>4</v>
      </c>
      <c r="H444">
        <v>15</v>
      </c>
      <c r="I444">
        <v>2</v>
      </c>
      <c r="J444">
        <v>59.52</v>
      </c>
      <c r="K444" t="s">
        <v>9</v>
      </c>
      <c r="L444">
        <v>2902848.96</v>
      </c>
      <c r="M444">
        <v>15000</v>
      </c>
      <c r="N444">
        <v>2917848.96</v>
      </c>
      <c r="O444">
        <v>49023</v>
      </c>
      <c r="P444">
        <v>0</v>
      </c>
      <c r="Q444">
        <v>2917848.96</v>
      </c>
      <c r="R444">
        <v>49023</v>
      </c>
      <c r="S444" t="s">
        <v>65</v>
      </c>
      <c r="T444" t="s">
        <v>717</v>
      </c>
      <c r="U444" t="s">
        <v>717</v>
      </c>
      <c r="V444" t="s">
        <v>4131</v>
      </c>
      <c r="W444">
        <v>44335</v>
      </c>
      <c r="X444" t="s">
        <v>4284</v>
      </c>
      <c r="Y444" t="s">
        <v>6</v>
      </c>
      <c r="Z444" t="s">
        <v>17</v>
      </c>
      <c r="AA444" t="s">
        <v>717</v>
      </c>
      <c r="AB444" t="s">
        <v>2509</v>
      </c>
      <c r="AC444" t="s">
        <v>2571</v>
      </c>
      <c r="AD444" t="s">
        <v>717</v>
      </c>
      <c r="AE444" t="s">
        <v>4285</v>
      </c>
      <c r="AF444" t="s">
        <v>4286</v>
      </c>
      <c r="AG444" t="s">
        <v>4287</v>
      </c>
      <c r="AH444" t="s">
        <v>2615</v>
      </c>
      <c r="AI444" t="s">
        <v>2552</v>
      </c>
      <c r="AJ444" t="s">
        <v>2895</v>
      </c>
      <c r="AK444" t="s">
        <v>77</v>
      </c>
      <c r="AL444" t="s">
        <v>16</v>
      </c>
      <c r="AM444" t="s">
        <v>10</v>
      </c>
      <c r="AN444" t="s">
        <v>717</v>
      </c>
    </row>
    <row r="445" spans="1:40" hidden="1">
      <c r="A445">
        <v>443</v>
      </c>
      <c r="B445">
        <v>18</v>
      </c>
      <c r="C445" s="58">
        <v>44420</v>
      </c>
      <c r="D445" t="s">
        <v>74</v>
      </c>
      <c r="E445" t="s">
        <v>2515</v>
      </c>
      <c r="F445">
        <v>2</v>
      </c>
      <c r="G445">
        <v>2</v>
      </c>
      <c r="H445">
        <v>2</v>
      </c>
      <c r="I445">
        <v>0</v>
      </c>
      <c r="J445">
        <v>31.6</v>
      </c>
      <c r="K445" t="s">
        <v>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4288</v>
      </c>
      <c r="T445" t="s">
        <v>717</v>
      </c>
      <c r="U445" t="s">
        <v>717</v>
      </c>
      <c r="V445" t="s">
        <v>717</v>
      </c>
      <c r="W445">
        <v>44420</v>
      </c>
      <c r="X445" t="s">
        <v>4289</v>
      </c>
      <c r="Y445" t="s">
        <v>6</v>
      </c>
      <c r="Z445" t="s">
        <v>11</v>
      </c>
      <c r="AA445" t="s">
        <v>717</v>
      </c>
      <c r="AB445" t="s">
        <v>4290</v>
      </c>
      <c r="AC445" t="s">
        <v>118</v>
      </c>
      <c r="AD445" t="s">
        <v>717</v>
      </c>
      <c r="AE445" t="s">
        <v>4291</v>
      </c>
      <c r="AF445" t="s">
        <v>717</v>
      </c>
      <c r="AG445" t="s">
        <v>717</v>
      </c>
      <c r="AH445" t="s">
        <v>717</v>
      </c>
      <c r="AI445" t="s">
        <v>2521</v>
      </c>
      <c r="AJ445" t="s">
        <v>4292</v>
      </c>
      <c r="AK445" t="s">
        <v>29</v>
      </c>
      <c r="AL445" t="s">
        <v>717</v>
      </c>
      <c r="AM445" t="s">
        <v>10</v>
      </c>
      <c r="AN445" t="s">
        <v>4288</v>
      </c>
    </row>
    <row r="446" spans="1:40" hidden="1">
      <c r="A446">
        <v>444</v>
      </c>
      <c r="B446">
        <v>19</v>
      </c>
      <c r="C446" s="58">
        <v>44410</v>
      </c>
      <c r="D446" t="s">
        <v>74</v>
      </c>
      <c r="E446" t="s">
        <v>2515</v>
      </c>
      <c r="F446">
        <v>2</v>
      </c>
      <c r="G446">
        <v>15</v>
      </c>
      <c r="H446">
        <v>132</v>
      </c>
      <c r="I446">
        <v>0</v>
      </c>
      <c r="J446">
        <v>31.1</v>
      </c>
      <c r="K446" t="s">
        <v>9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4288</v>
      </c>
      <c r="T446" t="s">
        <v>717</v>
      </c>
      <c r="U446" t="s">
        <v>717</v>
      </c>
      <c r="V446" t="s">
        <v>717</v>
      </c>
      <c r="W446">
        <v>44410</v>
      </c>
      <c r="X446" t="s">
        <v>4293</v>
      </c>
      <c r="Y446" t="s">
        <v>6</v>
      </c>
      <c r="Z446" t="s">
        <v>11</v>
      </c>
      <c r="AA446" t="s">
        <v>717</v>
      </c>
      <c r="AB446" t="s">
        <v>4290</v>
      </c>
      <c r="AC446" t="s">
        <v>118</v>
      </c>
      <c r="AD446" t="s">
        <v>717</v>
      </c>
      <c r="AE446" t="s">
        <v>4294</v>
      </c>
      <c r="AF446" t="s">
        <v>717</v>
      </c>
      <c r="AG446" t="s">
        <v>717</v>
      </c>
      <c r="AH446" t="s">
        <v>717</v>
      </c>
      <c r="AI446" t="s">
        <v>2521</v>
      </c>
      <c r="AJ446" t="s">
        <v>4292</v>
      </c>
      <c r="AK446" t="s">
        <v>29</v>
      </c>
      <c r="AL446" t="s">
        <v>717</v>
      </c>
      <c r="AM446" t="s">
        <v>10</v>
      </c>
      <c r="AN446" t="s">
        <v>4288</v>
      </c>
    </row>
    <row r="447" spans="1:40" hidden="1">
      <c r="A447">
        <v>445</v>
      </c>
      <c r="B447">
        <v>20</v>
      </c>
      <c r="C447" s="58">
        <v>44341</v>
      </c>
      <c r="D447" t="s">
        <v>121</v>
      </c>
      <c r="E447" t="s">
        <v>2506</v>
      </c>
      <c r="F447">
        <v>7</v>
      </c>
      <c r="G447">
        <v>7</v>
      </c>
      <c r="H447">
        <v>223</v>
      </c>
      <c r="I447">
        <v>0</v>
      </c>
      <c r="J447">
        <v>24.23</v>
      </c>
      <c r="K447" t="s">
        <v>15</v>
      </c>
      <c r="L447">
        <v>1438607.79</v>
      </c>
      <c r="M447">
        <v>0</v>
      </c>
      <c r="N447">
        <v>1438607.79</v>
      </c>
      <c r="O447">
        <v>59373</v>
      </c>
      <c r="P447">
        <v>109035</v>
      </c>
      <c r="Q447">
        <v>1329572.79</v>
      </c>
      <c r="R447">
        <v>54873</v>
      </c>
      <c r="S447" t="s">
        <v>65</v>
      </c>
      <c r="T447" t="s">
        <v>717</v>
      </c>
      <c r="U447" t="s">
        <v>717</v>
      </c>
      <c r="V447" t="s">
        <v>717</v>
      </c>
      <c r="W447">
        <v>44302</v>
      </c>
      <c r="X447" t="s">
        <v>4295</v>
      </c>
      <c r="Y447" t="s">
        <v>6</v>
      </c>
      <c r="Z447" t="s">
        <v>17</v>
      </c>
      <c r="AA447" t="s">
        <v>717</v>
      </c>
      <c r="AB447" t="s">
        <v>2509</v>
      </c>
      <c r="AC447" t="s">
        <v>2571</v>
      </c>
      <c r="AD447" t="s">
        <v>717</v>
      </c>
      <c r="AE447" t="s">
        <v>4296</v>
      </c>
      <c r="AF447" t="s">
        <v>4297</v>
      </c>
      <c r="AG447" t="s">
        <v>4298</v>
      </c>
      <c r="AH447" t="s">
        <v>2552</v>
      </c>
      <c r="AI447" t="s">
        <v>2877</v>
      </c>
      <c r="AJ447" t="s">
        <v>3098</v>
      </c>
      <c r="AK447" t="s">
        <v>20</v>
      </c>
      <c r="AL447" t="s">
        <v>16</v>
      </c>
      <c r="AM447" t="s">
        <v>10</v>
      </c>
      <c r="AN447" t="s">
        <v>717</v>
      </c>
    </row>
    <row r="448" spans="1:40" hidden="1">
      <c r="A448">
        <v>446</v>
      </c>
      <c r="B448">
        <v>21</v>
      </c>
      <c r="C448" s="58">
        <v>44341</v>
      </c>
      <c r="D448" t="s">
        <v>121</v>
      </c>
      <c r="E448" t="s">
        <v>2515</v>
      </c>
      <c r="F448">
        <v>1</v>
      </c>
      <c r="G448">
        <v>17</v>
      </c>
      <c r="H448">
        <v>106</v>
      </c>
      <c r="I448">
        <v>2</v>
      </c>
      <c r="J448">
        <v>59.52</v>
      </c>
      <c r="K448" t="s">
        <v>15</v>
      </c>
      <c r="L448">
        <v>3453448.61</v>
      </c>
      <c r="M448">
        <v>0</v>
      </c>
      <c r="N448">
        <v>3453448.61</v>
      </c>
      <c r="O448">
        <v>58021.650033602142</v>
      </c>
      <c r="P448">
        <v>267840</v>
      </c>
      <c r="Q448">
        <v>3185608.61</v>
      </c>
      <c r="R448">
        <v>53521.650033602149</v>
      </c>
      <c r="S448" t="s">
        <v>65</v>
      </c>
      <c r="T448" t="s">
        <v>717</v>
      </c>
      <c r="U448" t="s">
        <v>717</v>
      </c>
      <c r="V448" t="s">
        <v>4131</v>
      </c>
      <c r="W448">
        <v>44333</v>
      </c>
      <c r="X448" t="s">
        <v>4299</v>
      </c>
      <c r="Y448" t="s">
        <v>6</v>
      </c>
      <c r="Z448" t="s">
        <v>17</v>
      </c>
      <c r="AA448" t="s">
        <v>717</v>
      </c>
      <c r="AB448" t="s">
        <v>2509</v>
      </c>
      <c r="AC448" t="s">
        <v>2571</v>
      </c>
      <c r="AD448" t="s">
        <v>717</v>
      </c>
      <c r="AE448" t="s">
        <v>4300</v>
      </c>
      <c r="AF448" t="s">
        <v>4301</v>
      </c>
      <c r="AG448" t="s">
        <v>4302</v>
      </c>
      <c r="AH448" t="s">
        <v>2615</v>
      </c>
      <c r="AI448" t="s">
        <v>2706</v>
      </c>
      <c r="AJ448" t="s">
        <v>2895</v>
      </c>
      <c r="AK448" t="s">
        <v>20</v>
      </c>
      <c r="AL448" t="s">
        <v>16</v>
      </c>
      <c r="AM448" t="s">
        <v>10</v>
      </c>
      <c r="AN448" t="s">
        <v>717</v>
      </c>
    </row>
    <row r="449" spans="1:40" hidden="1">
      <c r="A449">
        <v>447</v>
      </c>
      <c r="B449">
        <v>22</v>
      </c>
      <c r="C449" s="58">
        <v>44341</v>
      </c>
      <c r="D449" t="s">
        <v>121</v>
      </c>
      <c r="E449" t="s">
        <v>2515</v>
      </c>
      <c r="F449">
        <v>2</v>
      </c>
      <c r="G449">
        <v>17</v>
      </c>
      <c r="H449">
        <v>107</v>
      </c>
      <c r="I449">
        <v>2</v>
      </c>
      <c r="J449">
        <v>58.99</v>
      </c>
      <c r="K449" t="s">
        <v>15</v>
      </c>
      <c r="L449">
        <v>3471009.94</v>
      </c>
      <c r="M449">
        <v>0</v>
      </c>
      <c r="N449">
        <v>3471009.94</v>
      </c>
      <c r="O449">
        <v>58840.649940667907</v>
      </c>
      <c r="P449">
        <v>265455</v>
      </c>
      <c r="Q449">
        <v>3205554.94</v>
      </c>
      <c r="R449">
        <v>54340.649940667907</v>
      </c>
      <c r="S449" t="s">
        <v>65</v>
      </c>
      <c r="T449" t="s">
        <v>717</v>
      </c>
      <c r="U449" t="s">
        <v>717</v>
      </c>
      <c r="V449" t="s">
        <v>4131</v>
      </c>
      <c r="W449">
        <v>44333</v>
      </c>
      <c r="X449" t="s">
        <v>4303</v>
      </c>
      <c r="Y449" t="s">
        <v>6</v>
      </c>
      <c r="Z449" t="s">
        <v>17</v>
      </c>
      <c r="AA449" t="s">
        <v>717</v>
      </c>
      <c r="AB449" t="s">
        <v>2509</v>
      </c>
      <c r="AC449" t="s">
        <v>2571</v>
      </c>
      <c r="AD449" t="s">
        <v>717</v>
      </c>
      <c r="AE449" t="s">
        <v>4304</v>
      </c>
      <c r="AF449" t="s">
        <v>4305</v>
      </c>
      <c r="AG449" t="s">
        <v>4306</v>
      </c>
      <c r="AH449" t="s">
        <v>2615</v>
      </c>
      <c r="AI449" t="s">
        <v>2552</v>
      </c>
      <c r="AJ449" t="s">
        <v>2895</v>
      </c>
      <c r="AK449" t="s">
        <v>63</v>
      </c>
      <c r="AL449" t="s">
        <v>16</v>
      </c>
      <c r="AM449" t="s">
        <v>10</v>
      </c>
      <c r="AN449" t="s">
        <v>717</v>
      </c>
    </row>
    <row r="450" spans="1:40" hidden="1">
      <c r="A450">
        <v>448</v>
      </c>
      <c r="B450">
        <v>23</v>
      </c>
      <c r="C450" s="58">
        <v>44391</v>
      </c>
      <c r="D450" t="s">
        <v>74</v>
      </c>
      <c r="E450" t="s">
        <v>2581</v>
      </c>
      <c r="F450">
        <v>2</v>
      </c>
      <c r="G450">
        <v>5</v>
      </c>
      <c r="H450">
        <v>337</v>
      </c>
      <c r="I450">
        <v>3</v>
      </c>
      <c r="J450">
        <v>89.8</v>
      </c>
      <c r="K450" t="s">
        <v>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4288</v>
      </c>
      <c r="T450" t="s">
        <v>717</v>
      </c>
      <c r="U450" t="s">
        <v>717</v>
      </c>
      <c r="V450" t="s">
        <v>717</v>
      </c>
      <c r="W450">
        <v>44391</v>
      </c>
      <c r="X450" t="s">
        <v>4307</v>
      </c>
      <c r="Y450" t="s">
        <v>6</v>
      </c>
      <c r="Z450" t="s">
        <v>11</v>
      </c>
      <c r="AA450" t="s">
        <v>717</v>
      </c>
      <c r="AB450" t="s">
        <v>4290</v>
      </c>
      <c r="AC450" t="s">
        <v>118</v>
      </c>
      <c r="AD450" t="s">
        <v>717</v>
      </c>
      <c r="AE450" t="s">
        <v>4308</v>
      </c>
      <c r="AF450" t="s">
        <v>717</v>
      </c>
      <c r="AG450" t="s">
        <v>717</v>
      </c>
      <c r="AH450" t="s">
        <v>717</v>
      </c>
      <c r="AI450" t="s">
        <v>2521</v>
      </c>
      <c r="AJ450" t="s">
        <v>4292</v>
      </c>
      <c r="AK450" t="s">
        <v>29</v>
      </c>
      <c r="AL450" t="s">
        <v>717</v>
      </c>
      <c r="AM450" t="s">
        <v>10</v>
      </c>
      <c r="AN450" t="s">
        <v>4288</v>
      </c>
    </row>
    <row r="451" spans="1:40" hidden="1">
      <c r="A451">
        <v>449</v>
      </c>
      <c r="B451">
        <v>24</v>
      </c>
      <c r="C451" s="58">
        <v>44342</v>
      </c>
      <c r="D451" t="s">
        <v>121</v>
      </c>
      <c r="E451" t="s">
        <v>2506</v>
      </c>
      <c r="F451">
        <v>10</v>
      </c>
      <c r="G451">
        <v>7</v>
      </c>
      <c r="H451">
        <v>226</v>
      </c>
      <c r="I451">
        <v>0</v>
      </c>
      <c r="J451">
        <v>25.91</v>
      </c>
      <c r="K451" t="s">
        <v>9</v>
      </c>
      <c r="L451">
        <v>1399686</v>
      </c>
      <c r="M451">
        <v>15000</v>
      </c>
      <c r="N451">
        <v>1414686</v>
      </c>
      <c r="O451">
        <v>54600</v>
      </c>
      <c r="P451">
        <v>0</v>
      </c>
      <c r="Q451">
        <v>1414686</v>
      </c>
      <c r="R451">
        <v>54600</v>
      </c>
      <c r="S451" t="s">
        <v>2507</v>
      </c>
      <c r="T451" t="s">
        <v>717</v>
      </c>
      <c r="U451" t="s">
        <v>717</v>
      </c>
      <c r="V451" t="s">
        <v>717</v>
      </c>
      <c r="W451">
        <v>44339</v>
      </c>
      <c r="X451" t="s">
        <v>4309</v>
      </c>
      <c r="Y451" t="s">
        <v>6</v>
      </c>
      <c r="Z451" t="s">
        <v>11</v>
      </c>
      <c r="AA451" t="s">
        <v>717</v>
      </c>
      <c r="AB451" t="s">
        <v>2509</v>
      </c>
      <c r="AC451" t="s">
        <v>118</v>
      </c>
      <c r="AD451" t="s">
        <v>717</v>
      </c>
      <c r="AE451" t="s">
        <v>4310</v>
      </c>
      <c r="AF451" t="s">
        <v>4311</v>
      </c>
      <c r="AG451" t="s">
        <v>4312</v>
      </c>
      <c r="AH451" t="s">
        <v>2191</v>
      </c>
      <c r="AI451" t="s">
        <v>2847</v>
      </c>
      <c r="AJ451" t="s">
        <v>2514</v>
      </c>
      <c r="AK451" t="s">
        <v>73</v>
      </c>
      <c r="AL451" t="s">
        <v>717</v>
      </c>
      <c r="AM451" t="s">
        <v>10</v>
      </c>
      <c r="AN451" t="s">
        <v>717</v>
      </c>
    </row>
    <row r="452" spans="1:40" hidden="1">
      <c r="A452">
        <v>450</v>
      </c>
      <c r="B452">
        <v>25</v>
      </c>
      <c r="C452" s="58">
        <v>44343</v>
      </c>
      <c r="D452" t="s">
        <v>121</v>
      </c>
      <c r="E452" t="s">
        <v>2515</v>
      </c>
      <c r="F452">
        <v>6</v>
      </c>
      <c r="G452">
        <v>16</v>
      </c>
      <c r="H452">
        <v>104</v>
      </c>
      <c r="I452">
        <v>2</v>
      </c>
      <c r="J452">
        <v>59.96</v>
      </c>
      <c r="K452" t="s">
        <v>15</v>
      </c>
      <c r="L452">
        <v>3194239.08</v>
      </c>
      <c r="M452">
        <v>15000</v>
      </c>
      <c r="N452">
        <v>3209239.08</v>
      </c>
      <c r="O452">
        <v>53523</v>
      </c>
      <c r="P452">
        <v>269820</v>
      </c>
      <c r="Q452">
        <v>2939419.08</v>
      </c>
      <c r="R452">
        <v>49023</v>
      </c>
      <c r="S452" t="s">
        <v>65</v>
      </c>
      <c r="T452" t="s">
        <v>717</v>
      </c>
      <c r="U452" t="s">
        <v>717</v>
      </c>
      <c r="V452" t="s">
        <v>4131</v>
      </c>
      <c r="W452">
        <v>44328</v>
      </c>
      <c r="X452" t="s">
        <v>4313</v>
      </c>
      <c r="Y452" t="s">
        <v>6</v>
      </c>
      <c r="Z452" t="s">
        <v>17</v>
      </c>
      <c r="AA452" t="s">
        <v>717</v>
      </c>
      <c r="AB452" t="s">
        <v>2509</v>
      </c>
      <c r="AC452" t="s">
        <v>2571</v>
      </c>
      <c r="AD452" t="s">
        <v>717</v>
      </c>
      <c r="AE452" t="s">
        <v>4314</v>
      </c>
      <c r="AF452" t="s">
        <v>4315</v>
      </c>
      <c r="AG452" t="s">
        <v>4316</v>
      </c>
      <c r="AH452" t="s">
        <v>2552</v>
      </c>
      <c r="AI452" t="s">
        <v>2552</v>
      </c>
      <c r="AJ452" t="s">
        <v>3304</v>
      </c>
      <c r="AK452" t="s">
        <v>77</v>
      </c>
      <c r="AL452" t="s">
        <v>16</v>
      </c>
      <c r="AM452" t="s">
        <v>10</v>
      </c>
      <c r="AN452" t="s">
        <v>717</v>
      </c>
    </row>
    <row r="453" spans="1:40" hidden="1">
      <c r="A453">
        <v>451</v>
      </c>
      <c r="B453">
        <v>26</v>
      </c>
      <c r="C453" s="58">
        <v>44344</v>
      </c>
      <c r="D453" t="s">
        <v>121</v>
      </c>
      <c r="E453" t="s">
        <v>2506</v>
      </c>
      <c r="F453">
        <v>5</v>
      </c>
      <c r="G453">
        <v>8</v>
      </c>
      <c r="H453">
        <v>232</v>
      </c>
      <c r="I453">
        <v>2</v>
      </c>
      <c r="J453">
        <v>60.19</v>
      </c>
      <c r="K453" t="s">
        <v>9</v>
      </c>
      <c r="L453">
        <v>2903722.7</v>
      </c>
      <c r="M453">
        <v>0</v>
      </c>
      <c r="N453">
        <v>2903722.7</v>
      </c>
      <c r="O453">
        <v>48242.610068117632</v>
      </c>
      <c r="P453">
        <v>0</v>
      </c>
      <c r="Q453">
        <v>2903722.7</v>
      </c>
      <c r="R453">
        <v>48242.610068117632</v>
      </c>
      <c r="S453" t="s">
        <v>65</v>
      </c>
      <c r="T453" t="s">
        <v>717</v>
      </c>
      <c r="U453" t="s">
        <v>717</v>
      </c>
      <c r="V453" t="s">
        <v>717</v>
      </c>
      <c r="W453">
        <v>44338</v>
      </c>
      <c r="X453" t="s">
        <v>4317</v>
      </c>
      <c r="Y453" t="s">
        <v>6</v>
      </c>
      <c r="Z453" t="s">
        <v>17</v>
      </c>
      <c r="AA453" t="s">
        <v>717</v>
      </c>
      <c r="AB453" t="s">
        <v>2509</v>
      </c>
      <c r="AC453" t="s">
        <v>2564</v>
      </c>
      <c r="AD453" t="s">
        <v>717</v>
      </c>
      <c r="AE453" t="s">
        <v>4318</v>
      </c>
      <c r="AF453" t="s">
        <v>4319</v>
      </c>
      <c r="AG453" t="s">
        <v>4320</v>
      </c>
      <c r="AH453" t="s">
        <v>2191</v>
      </c>
      <c r="AI453" t="s">
        <v>2621</v>
      </c>
      <c r="AJ453" t="s">
        <v>2514</v>
      </c>
      <c r="AK453" t="s">
        <v>63</v>
      </c>
      <c r="AL453" t="s">
        <v>16</v>
      </c>
      <c r="AM453" t="s">
        <v>10</v>
      </c>
      <c r="AN453" t="s">
        <v>717</v>
      </c>
    </row>
    <row r="454" spans="1:40" hidden="1">
      <c r="A454">
        <v>452</v>
      </c>
      <c r="B454">
        <v>27</v>
      </c>
      <c r="C454" s="58">
        <v>44344</v>
      </c>
      <c r="D454" t="s">
        <v>121</v>
      </c>
      <c r="E454" t="s">
        <v>2515</v>
      </c>
      <c r="F454">
        <v>1</v>
      </c>
      <c r="G454">
        <v>20</v>
      </c>
      <c r="H454">
        <v>127</v>
      </c>
      <c r="I454">
        <v>2</v>
      </c>
      <c r="J454">
        <v>59.52</v>
      </c>
      <c r="K454" t="s">
        <v>25</v>
      </c>
      <c r="L454">
        <v>4175902.37</v>
      </c>
      <c r="M454">
        <v>0</v>
      </c>
      <c r="N454">
        <v>4175902.37</v>
      </c>
      <c r="O454">
        <v>70159.650033602142</v>
      </c>
      <c r="P454">
        <v>892800</v>
      </c>
      <c r="Q454">
        <v>3283102.37</v>
      </c>
      <c r="R454">
        <v>55159.650033602149</v>
      </c>
      <c r="S454" t="s">
        <v>130</v>
      </c>
      <c r="T454" t="s">
        <v>717</v>
      </c>
      <c r="U454" t="s">
        <v>717</v>
      </c>
      <c r="V454" t="s">
        <v>717</v>
      </c>
      <c r="W454">
        <v>44341</v>
      </c>
      <c r="X454" t="s">
        <v>4321</v>
      </c>
      <c r="Y454" t="s">
        <v>6</v>
      </c>
      <c r="Z454" t="s">
        <v>11</v>
      </c>
      <c r="AA454" t="s">
        <v>717</v>
      </c>
      <c r="AB454" t="s">
        <v>2509</v>
      </c>
      <c r="AC454" t="s">
        <v>118</v>
      </c>
      <c r="AD454" t="s">
        <v>717</v>
      </c>
      <c r="AE454" t="s">
        <v>4322</v>
      </c>
      <c r="AF454" t="s">
        <v>4323</v>
      </c>
      <c r="AG454" t="s">
        <v>4324</v>
      </c>
      <c r="AH454" t="s">
        <v>2191</v>
      </c>
      <c r="AI454" t="s">
        <v>2552</v>
      </c>
      <c r="AJ454" t="s">
        <v>3921</v>
      </c>
      <c r="AK454" t="s">
        <v>63</v>
      </c>
      <c r="AL454" t="s">
        <v>717</v>
      </c>
      <c r="AM454" t="s">
        <v>10</v>
      </c>
      <c r="AN454" t="s">
        <v>717</v>
      </c>
    </row>
    <row r="455" spans="1:40" hidden="1">
      <c r="A455">
        <v>453</v>
      </c>
      <c r="B455">
        <v>28</v>
      </c>
      <c r="C455" s="58">
        <v>44344</v>
      </c>
      <c r="D455" t="s">
        <v>121</v>
      </c>
      <c r="E455" t="s">
        <v>2515</v>
      </c>
      <c r="F455">
        <v>2</v>
      </c>
      <c r="G455">
        <v>14</v>
      </c>
      <c r="H455">
        <v>86</v>
      </c>
      <c r="I455">
        <v>2</v>
      </c>
      <c r="J455">
        <v>58.99</v>
      </c>
      <c r="K455" t="s">
        <v>25</v>
      </c>
      <c r="L455">
        <v>4090404.94</v>
      </c>
      <c r="M455">
        <v>0</v>
      </c>
      <c r="N455">
        <v>4090404.94</v>
      </c>
      <c r="O455">
        <v>69340.649940667907</v>
      </c>
      <c r="P455">
        <v>884850</v>
      </c>
      <c r="Q455">
        <v>3205554.94</v>
      </c>
      <c r="R455">
        <v>54340.649940667907</v>
      </c>
      <c r="S455" t="s">
        <v>130</v>
      </c>
      <c r="T455" t="s">
        <v>717</v>
      </c>
      <c r="U455" t="s">
        <v>717</v>
      </c>
      <c r="V455" t="s">
        <v>717</v>
      </c>
      <c r="W455">
        <v>44341</v>
      </c>
      <c r="X455" t="s">
        <v>4325</v>
      </c>
      <c r="Y455" t="s">
        <v>6</v>
      </c>
      <c r="Z455" t="s">
        <v>11</v>
      </c>
      <c r="AA455" t="s">
        <v>717</v>
      </c>
      <c r="AB455" t="s">
        <v>2509</v>
      </c>
      <c r="AC455" t="s">
        <v>118</v>
      </c>
      <c r="AD455" t="s">
        <v>717</v>
      </c>
      <c r="AE455" t="s">
        <v>4322</v>
      </c>
      <c r="AF455" t="s">
        <v>4323</v>
      </c>
      <c r="AG455" t="s">
        <v>4324</v>
      </c>
      <c r="AH455" t="s">
        <v>2580</v>
      </c>
      <c r="AI455" t="s">
        <v>2600</v>
      </c>
      <c r="AJ455" t="s">
        <v>2514</v>
      </c>
      <c r="AK455" t="s">
        <v>63</v>
      </c>
      <c r="AL455" t="s">
        <v>717</v>
      </c>
      <c r="AM455" t="s">
        <v>10</v>
      </c>
      <c r="AN455" t="s">
        <v>717</v>
      </c>
    </row>
    <row r="456" spans="1:40" hidden="1">
      <c r="A456">
        <v>454</v>
      </c>
      <c r="B456">
        <v>29</v>
      </c>
      <c r="C456" s="58">
        <v>44344</v>
      </c>
      <c r="D456" t="s">
        <v>121</v>
      </c>
      <c r="E456" t="s">
        <v>2506</v>
      </c>
      <c r="F456">
        <v>7</v>
      </c>
      <c r="G456">
        <v>4</v>
      </c>
      <c r="H456">
        <v>190</v>
      </c>
      <c r="I456">
        <v>0</v>
      </c>
      <c r="J456">
        <v>24.23</v>
      </c>
      <c r="K456" t="s">
        <v>15</v>
      </c>
      <c r="L456">
        <v>1641895.86</v>
      </c>
      <c r="M456">
        <v>15000</v>
      </c>
      <c r="N456">
        <v>1656895.86</v>
      </c>
      <c r="O456">
        <v>68382</v>
      </c>
      <c r="P456">
        <v>109035</v>
      </c>
      <c r="Q456">
        <v>1547860.86</v>
      </c>
      <c r="R456">
        <v>63882</v>
      </c>
      <c r="S456" t="s">
        <v>65</v>
      </c>
      <c r="T456" t="s">
        <v>717</v>
      </c>
      <c r="U456" t="s">
        <v>717</v>
      </c>
      <c r="V456" t="s">
        <v>717</v>
      </c>
      <c r="W456">
        <v>44342</v>
      </c>
      <c r="X456" t="s">
        <v>4326</v>
      </c>
      <c r="Y456" t="s">
        <v>6</v>
      </c>
      <c r="Z456" t="s">
        <v>17</v>
      </c>
      <c r="AA456" t="s">
        <v>717</v>
      </c>
      <c r="AB456" t="s">
        <v>2509</v>
      </c>
      <c r="AC456" t="s">
        <v>2571</v>
      </c>
      <c r="AD456" t="s">
        <v>717</v>
      </c>
      <c r="AE456" t="s">
        <v>4327</v>
      </c>
      <c r="AF456" t="s">
        <v>4328</v>
      </c>
      <c r="AG456" t="s">
        <v>4329</v>
      </c>
      <c r="AH456" t="s">
        <v>2615</v>
      </c>
      <c r="AI456" t="s">
        <v>2552</v>
      </c>
      <c r="AJ456" t="s">
        <v>2793</v>
      </c>
      <c r="AK456" t="s">
        <v>63</v>
      </c>
      <c r="AL456" t="s">
        <v>16</v>
      </c>
      <c r="AM456" t="s">
        <v>10</v>
      </c>
      <c r="AN456" t="s">
        <v>717</v>
      </c>
    </row>
    <row r="457" spans="1:40" hidden="1">
      <c r="A457">
        <v>455</v>
      </c>
      <c r="B457">
        <v>30</v>
      </c>
      <c r="C457" s="58">
        <v>44344</v>
      </c>
      <c r="D457" t="s">
        <v>121</v>
      </c>
      <c r="E457" t="s">
        <v>2515</v>
      </c>
      <c r="F457">
        <v>4</v>
      </c>
      <c r="G457">
        <v>13</v>
      </c>
      <c r="H457">
        <v>81</v>
      </c>
      <c r="I457">
        <v>1</v>
      </c>
      <c r="J457">
        <v>36.86</v>
      </c>
      <c r="K457" t="s">
        <v>15</v>
      </c>
      <c r="L457">
        <v>2441056.8199999998</v>
      </c>
      <c r="M457">
        <v>0</v>
      </c>
      <c r="N457">
        <v>2441056.8199999998</v>
      </c>
      <c r="O457">
        <v>66225.09007053716</v>
      </c>
      <c r="P457">
        <v>165870</v>
      </c>
      <c r="Q457">
        <v>2275186.8199999998</v>
      </c>
      <c r="R457">
        <v>61725.09007053716</v>
      </c>
      <c r="S457" t="s">
        <v>65</v>
      </c>
      <c r="T457" t="s">
        <v>717</v>
      </c>
      <c r="U457" t="s">
        <v>717</v>
      </c>
      <c r="V457" t="s">
        <v>717</v>
      </c>
      <c r="W457">
        <v>44342</v>
      </c>
      <c r="X457" t="s">
        <v>4330</v>
      </c>
      <c r="Y457" t="s">
        <v>6</v>
      </c>
      <c r="Z457" t="s">
        <v>17</v>
      </c>
      <c r="AA457" t="s">
        <v>717</v>
      </c>
      <c r="AB457" t="s">
        <v>2509</v>
      </c>
      <c r="AC457" t="s">
        <v>2571</v>
      </c>
      <c r="AD457" t="s">
        <v>717</v>
      </c>
      <c r="AE457" t="s">
        <v>4331</v>
      </c>
      <c r="AF457" t="s">
        <v>4332</v>
      </c>
      <c r="AG457" t="s">
        <v>4333</v>
      </c>
      <c r="AH457" t="s">
        <v>2615</v>
      </c>
      <c r="AI457" t="s">
        <v>2621</v>
      </c>
      <c r="AJ457" t="s">
        <v>2895</v>
      </c>
      <c r="AK457" t="s">
        <v>77</v>
      </c>
      <c r="AL457" t="s">
        <v>16</v>
      </c>
      <c r="AM457" t="s">
        <v>10</v>
      </c>
      <c r="AN457" t="s">
        <v>717</v>
      </c>
    </row>
    <row r="458" spans="1:40" hidden="1">
      <c r="A458">
        <v>456</v>
      </c>
      <c r="B458">
        <v>31</v>
      </c>
      <c r="C458" s="58">
        <v>44347</v>
      </c>
      <c r="D458" t="s">
        <v>121</v>
      </c>
      <c r="E458" t="s">
        <v>2515</v>
      </c>
      <c r="F458">
        <v>7</v>
      </c>
      <c r="G458">
        <v>2</v>
      </c>
      <c r="H458">
        <v>7</v>
      </c>
      <c r="I458">
        <v>2</v>
      </c>
      <c r="J458">
        <v>58.17</v>
      </c>
      <c r="K458" t="s">
        <v>15</v>
      </c>
      <c r="L458">
        <v>3256016.31</v>
      </c>
      <c r="M458">
        <v>0</v>
      </c>
      <c r="N458">
        <v>3256016.31</v>
      </c>
      <c r="O458">
        <v>55974.15007735946</v>
      </c>
      <c r="P458">
        <v>261765</v>
      </c>
      <c r="Q458">
        <v>2994251.31</v>
      </c>
      <c r="R458">
        <v>51474.15007735946</v>
      </c>
      <c r="S458" t="s">
        <v>65</v>
      </c>
      <c r="T458" t="s">
        <v>717</v>
      </c>
      <c r="U458" t="s">
        <v>717</v>
      </c>
      <c r="V458" t="s">
        <v>4131</v>
      </c>
      <c r="W458">
        <v>44341</v>
      </c>
      <c r="X458" t="s">
        <v>4334</v>
      </c>
      <c r="Y458" t="s">
        <v>6</v>
      </c>
      <c r="Z458" t="s">
        <v>17</v>
      </c>
      <c r="AA458" t="s">
        <v>717</v>
      </c>
      <c r="AB458" t="s">
        <v>2509</v>
      </c>
      <c r="AC458" t="s">
        <v>2571</v>
      </c>
      <c r="AD458" t="s">
        <v>717</v>
      </c>
      <c r="AE458" t="s">
        <v>4335</v>
      </c>
      <c r="AF458" t="s">
        <v>4336</v>
      </c>
      <c r="AG458" t="s">
        <v>4337</v>
      </c>
      <c r="AH458" t="s">
        <v>2191</v>
      </c>
      <c r="AI458" t="s">
        <v>2568</v>
      </c>
      <c r="AJ458" t="s">
        <v>2514</v>
      </c>
      <c r="AK458" t="s">
        <v>20</v>
      </c>
      <c r="AL458" t="s">
        <v>16</v>
      </c>
      <c r="AM458" t="s">
        <v>10</v>
      </c>
      <c r="AN458" t="s">
        <v>717</v>
      </c>
    </row>
    <row r="459" spans="1:40" hidden="1">
      <c r="A459">
        <v>457</v>
      </c>
      <c r="B459">
        <v>32</v>
      </c>
      <c r="C459" s="58">
        <v>44347</v>
      </c>
      <c r="D459" t="s">
        <v>121</v>
      </c>
      <c r="E459" t="s">
        <v>2515</v>
      </c>
      <c r="F459">
        <v>2</v>
      </c>
      <c r="G459">
        <v>5</v>
      </c>
      <c r="H459">
        <v>23</v>
      </c>
      <c r="I459">
        <v>2</v>
      </c>
      <c r="J459">
        <v>58.99</v>
      </c>
      <c r="K459" t="s">
        <v>15</v>
      </c>
      <c r="L459">
        <v>3471009.94</v>
      </c>
      <c r="M459">
        <v>0</v>
      </c>
      <c r="N459">
        <v>3471009.94</v>
      </c>
      <c r="O459">
        <v>58840.649940667907</v>
      </c>
      <c r="P459">
        <v>265455</v>
      </c>
      <c r="Q459">
        <v>3205554.94</v>
      </c>
      <c r="R459">
        <v>54340.649940667907</v>
      </c>
      <c r="S459" t="s">
        <v>65</v>
      </c>
      <c r="T459" t="s">
        <v>717</v>
      </c>
      <c r="U459" t="s">
        <v>717</v>
      </c>
      <c r="V459" t="s">
        <v>4131</v>
      </c>
      <c r="W459">
        <v>44342</v>
      </c>
      <c r="X459" t="s">
        <v>4338</v>
      </c>
      <c r="Y459" t="s">
        <v>6</v>
      </c>
      <c r="Z459" t="s">
        <v>11</v>
      </c>
      <c r="AA459" t="s">
        <v>717</v>
      </c>
      <c r="AB459" t="s">
        <v>2509</v>
      </c>
      <c r="AC459" t="s">
        <v>2571</v>
      </c>
      <c r="AD459" t="s">
        <v>717</v>
      </c>
      <c r="AE459" t="s">
        <v>4339</v>
      </c>
      <c r="AF459" t="s">
        <v>4340</v>
      </c>
      <c r="AG459" t="s">
        <v>4341</v>
      </c>
      <c r="AH459" t="s">
        <v>2552</v>
      </c>
      <c r="AI459" t="s">
        <v>2877</v>
      </c>
      <c r="AJ459" t="s">
        <v>3098</v>
      </c>
      <c r="AK459" t="s">
        <v>73</v>
      </c>
      <c r="AL459" t="s">
        <v>16</v>
      </c>
      <c r="AM459" t="s">
        <v>10</v>
      </c>
      <c r="AN459" t="s">
        <v>717</v>
      </c>
    </row>
    <row r="460" spans="1:40" hidden="1">
      <c r="A460">
        <v>458</v>
      </c>
      <c r="B460">
        <v>33</v>
      </c>
      <c r="C460" s="58">
        <v>44347</v>
      </c>
      <c r="D460" t="s">
        <v>121</v>
      </c>
      <c r="E460" t="s">
        <v>2515</v>
      </c>
      <c r="F460">
        <v>2</v>
      </c>
      <c r="G460">
        <v>8</v>
      </c>
      <c r="H460">
        <v>44</v>
      </c>
      <c r="I460">
        <v>2</v>
      </c>
      <c r="J460">
        <v>58.99</v>
      </c>
      <c r="K460" t="s">
        <v>25</v>
      </c>
      <c r="L460">
        <v>4026293.84</v>
      </c>
      <c r="M460">
        <v>0</v>
      </c>
      <c r="N460">
        <v>4026293.84</v>
      </c>
      <c r="O460">
        <v>68253.83692151212</v>
      </c>
      <c r="P460">
        <v>884850</v>
      </c>
      <c r="Q460">
        <v>3141443.84</v>
      </c>
      <c r="R460">
        <v>53253.836921512113</v>
      </c>
      <c r="S460" t="s">
        <v>65</v>
      </c>
      <c r="T460" t="s">
        <v>2664</v>
      </c>
      <c r="U460">
        <v>64111.100000000093</v>
      </c>
      <c r="V460" t="s">
        <v>4131</v>
      </c>
      <c r="W460">
        <v>44343</v>
      </c>
      <c r="X460" t="s">
        <v>4342</v>
      </c>
      <c r="Y460" t="s">
        <v>6</v>
      </c>
      <c r="Z460" t="s">
        <v>17</v>
      </c>
      <c r="AA460" t="s">
        <v>717</v>
      </c>
      <c r="AB460" t="s">
        <v>2509</v>
      </c>
      <c r="AC460" t="s">
        <v>2571</v>
      </c>
      <c r="AD460" t="s">
        <v>717</v>
      </c>
      <c r="AE460" t="s">
        <v>4343</v>
      </c>
      <c r="AF460" t="s">
        <v>4344</v>
      </c>
      <c r="AG460" t="s">
        <v>4345</v>
      </c>
      <c r="AH460" t="s">
        <v>2191</v>
      </c>
      <c r="AI460" t="s">
        <v>2552</v>
      </c>
      <c r="AJ460" t="s">
        <v>2514</v>
      </c>
      <c r="AK460" t="s">
        <v>63</v>
      </c>
      <c r="AL460" t="s">
        <v>16</v>
      </c>
      <c r="AM460" t="s">
        <v>10</v>
      </c>
      <c r="AN460" t="s">
        <v>717</v>
      </c>
    </row>
    <row r="461" spans="1:40" hidden="1">
      <c r="A461">
        <v>459</v>
      </c>
      <c r="B461">
        <v>34</v>
      </c>
      <c r="C461" s="58">
        <v>44347</v>
      </c>
      <c r="D461" t="s">
        <v>121</v>
      </c>
      <c r="E461" t="s">
        <v>2506</v>
      </c>
      <c r="F461">
        <v>11</v>
      </c>
      <c r="G461">
        <v>8</v>
      </c>
      <c r="H461">
        <v>238</v>
      </c>
      <c r="I461">
        <v>0</v>
      </c>
      <c r="J461">
        <v>25.85</v>
      </c>
      <c r="K461" t="s">
        <v>9</v>
      </c>
      <c r="L461">
        <v>1438752.3</v>
      </c>
      <c r="M461">
        <v>15000</v>
      </c>
      <c r="N461">
        <v>1453752.3</v>
      </c>
      <c r="O461">
        <v>56238</v>
      </c>
      <c r="P461">
        <v>0</v>
      </c>
      <c r="Q461">
        <v>1453752.3</v>
      </c>
      <c r="R461">
        <v>56238</v>
      </c>
      <c r="S461" t="s">
        <v>65</v>
      </c>
      <c r="T461" t="s">
        <v>717</v>
      </c>
      <c r="U461" t="s">
        <v>717</v>
      </c>
      <c r="V461" t="s">
        <v>717</v>
      </c>
      <c r="W461">
        <v>44343</v>
      </c>
      <c r="X461" t="s">
        <v>4346</v>
      </c>
      <c r="Y461" t="s">
        <v>6</v>
      </c>
      <c r="Z461" t="s">
        <v>17</v>
      </c>
      <c r="AA461" t="s">
        <v>717</v>
      </c>
      <c r="AB461" t="s">
        <v>2509</v>
      </c>
      <c r="AC461" t="s">
        <v>2564</v>
      </c>
      <c r="AD461" t="s">
        <v>717</v>
      </c>
      <c r="AE461" t="s">
        <v>313</v>
      </c>
      <c r="AF461" t="s">
        <v>4347</v>
      </c>
      <c r="AG461" t="s">
        <v>4348</v>
      </c>
      <c r="AH461" t="s">
        <v>2615</v>
      </c>
      <c r="AI461" t="s">
        <v>2847</v>
      </c>
      <c r="AJ461" t="s">
        <v>2940</v>
      </c>
      <c r="AK461" t="s">
        <v>73</v>
      </c>
      <c r="AL461" t="s">
        <v>16</v>
      </c>
      <c r="AM461" t="s">
        <v>10</v>
      </c>
      <c r="AN461" t="s">
        <v>717</v>
      </c>
    </row>
    <row r="462" spans="1:40" hidden="1">
      <c r="A462">
        <v>460</v>
      </c>
      <c r="B462">
        <v>35</v>
      </c>
      <c r="C462" s="58">
        <v>44347</v>
      </c>
      <c r="D462" t="s">
        <v>121</v>
      </c>
      <c r="E462" t="s">
        <v>2506</v>
      </c>
      <c r="F462">
        <v>7</v>
      </c>
      <c r="G462">
        <v>9</v>
      </c>
      <c r="H462">
        <v>245</v>
      </c>
      <c r="I462">
        <v>0</v>
      </c>
      <c r="J462">
        <v>24.23</v>
      </c>
      <c r="K462" t="s">
        <v>15</v>
      </c>
      <c r="L462">
        <v>1669596.26</v>
      </c>
      <c r="M462">
        <v>0</v>
      </c>
      <c r="N462">
        <v>1669596.26</v>
      </c>
      <c r="O462">
        <v>68906.160132067685</v>
      </c>
      <c r="P462">
        <v>109035</v>
      </c>
      <c r="Q462">
        <v>1560561.26</v>
      </c>
      <c r="R462">
        <v>64406.160132067685</v>
      </c>
      <c r="S462" t="s">
        <v>65</v>
      </c>
      <c r="T462" t="s">
        <v>717</v>
      </c>
      <c r="U462" t="s">
        <v>717</v>
      </c>
      <c r="V462" t="s">
        <v>717</v>
      </c>
      <c r="W462">
        <v>44344</v>
      </c>
      <c r="X462" t="s">
        <v>4349</v>
      </c>
      <c r="Y462" t="s">
        <v>6</v>
      </c>
      <c r="Z462" t="s">
        <v>17</v>
      </c>
      <c r="AA462" t="s">
        <v>717</v>
      </c>
      <c r="AB462" t="s">
        <v>2509</v>
      </c>
      <c r="AC462" t="s">
        <v>2571</v>
      </c>
      <c r="AD462" t="s">
        <v>717</v>
      </c>
      <c r="AE462" t="s">
        <v>4350</v>
      </c>
      <c r="AF462" t="s">
        <v>4351</v>
      </c>
      <c r="AG462" t="s">
        <v>4352</v>
      </c>
      <c r="AH462" t="s">
        <v>2552</v>
      </c>
      <c r="AI462" t="s">
        <v>2877</v>
      </c>
      <c r="AJ462" t="s">
        <v>3098</v>
      </c>
      <c r="AK462" t="s">
        <v>20</v>
      </c>
      <c r="AL462" t="s">
        <v>16</v>
      </c>
      <c r="AM462" t="s">
        <v>10</v>
      </c>
      <c r="AN462" t="s">
        <v>717</v>
      </c>
    </row>
    <row r="463" spans="1:40" hidden="1">
      <c r="A463">
        <v>461</v>
      </c>
      <c r="B463">
        <v>36</v>
      </c>
      <c r="C463" s="58">
        <v>44347</v>
      </c>
      <c r="D463" t="s">
        <v>121</v>
      </c>
      <c r="E463" t="s">
        <v>2515</v>
      </c>
      <c r="F463">
        <v>11</v>
      </c>
      <c r="G463">
        <v>3</v>
      </c>
      <c r="H463">
        <v>8</v>
      </c>
      <c r="I463">
        <v>2</v>
      </c>
      <c r="J463">
        <v>59.52</v>
      </c>
      <c r="K463" t="s">
        <v>15</v>
      </c>
      <c r="L463">
        <v>3160635.85</v>
      </c>
      <c r="M463">
        <v>0</v>
      </c>
      <c r="N463">
        <v>3160635.85</v>
      </c>
      <c r="O463">
        <v>53102.080813172041</v>
      </c>
      <c r="P463">
        <v>267840</v>
      </c>
      <c r="Q463">
        <v>2892795.85</v>
      </c>
      <c r="R463">
        <v>48602.080813172041</v>
      </c>
      <c r="S463" t="s">
        <v>65</v>
      </c>
      <c r="T463" t="s">
        <v>2664</v>
      </c>
      <c r="U463">
        <v>59036.649984000003</v>
      </c>
      <c r="V463" t="s">
        <v>4131</v>
      </c>
      <c r="W463">
        <v>44344</v>
      </c>
      <c r="X463" t="s">
        <v>4353</v>
      </c>
      <c r="Y463" t="s">
        <v>6</v>
      </c>
      <c r="Z463" t="s">
        <v>11</v>
      </c>
      <c r="AA463" t="s">
        <v>717</v>
      </c>
      <c r="AB463" t="s">
        <v>2509</v>
      </c>
      <c r="AC463" t="s">
        <v>2571</v>
      </c>
      <c r="AD463" t="s">
        <v>717</v>
      </c>
      <c r="AE463" t="s">
        <v>314</v>
      </c>
      <c r="AF463" t="s">
        <v>4354</v>
      </c>
      <c r="AG463" t="s">
        <v>4355</v>
      </c>
      <c r="AH463" t="s">
        <v>2552</v>
      </c>
      <c r="AI463" t="s">
        <v>2877</v>
      </c>
      <c r="AJ463" t="s">
        <v>3098</v>
      </c>
      <c r="AK463" t="s">
        <v>73</v>
      </c>
      <c r="AL463" t="s">
        <v>16</v>
      </c>
      <c r="AM463" t="s">
        <v>10</v>
      </c>
      <c r="AN463" t="s">
        <v>717</v>
      </c>
    </row>
    <row r="464" spans="1:40" hidden="1">
      <c r="A464">
        <v>462</v>
      </c>
      <c r="B464">
        <v>1</v>
      </c>
      <c r="C464" s="58">
        <v>44350</v>
      </c>
      <c r="D464" t="s">
        <v>74</v>
      </c>
      <c r="E464" t="s">
        <v>2506</v>
      </c>
      <c r="F464">
        <v>5</v>
      </c>
      <c r="G464">
        <v>3</v>
      </c>
      <c r="H464">
        <v>162</v>
      </c>
      <c r="I464">
        <v>3</v>
      </c>
      <c r="J464">
        <v>78.099999999999994</v>
      </c>
      <c r="K464" t="s">
        <v>9</v>
      </c>
      <c r="L464">
        <v>4444805.95</v>
      </c>
      <c r="M464">
        <v>0</v>
      </c>
      <c r="N464">
        <v>4444805.95</v>
      </c>
      <c r="O464">
        <v>56911.727912932147</v>
      </c>
      <c r="P464">
        <v>40275</v>
      </c>
      <c r="Q464">
        <v>4404530.95</v>
      </c>
      <c r="R464">
        <v>56396.042893726</v>
      </c>
      <c r="S464" t="s">
        <v>65</v>
      </c>
      <c r="T464" t="s">
        <v>2941</v>
      </c>
      <c r="U464">
        <v>20000</v>
      </c>
      <c r="V464" t="s">
        <v>4131</v>
      </c>
      <c r="W464">
        <v>44315</v>
      </c>
      <c r="X464" t="s">
        <v>4356</v>
      </c>
      <c r="Y464" t="s">
        <v>6</v>
      </c>
      <c r="Z464" t="s">
        <v>17</v>
      </c>
      <c r="AA464" t="s">
        <v>717</v>
      </c>
      <c r="AB464" t="s">
        <v>326</v>
      </c>
      <c r="AC464" t="s">
        <v>2571</v>
      </c>
      <c r="AD464" t="s">
        <v>717</v>
      </c>
      <c r="AE464" t="s">
        <v>4357</v>
      </c>
      <c r="AF464" t="s">
        <v>4358</v>
      </c>
      <c r="AG464" t="s">
        <v>4359</v>
      </c>
      <c r="AH464" t="s">
        <v>2615</v>
      </c>
      <c r="AI464" t="s">
        <v>2552</v>
      </c>
      <c r="AJ464" t="s">
        <v>3298</v>
      </c>
      <c r="AK464" t="s">
        <v>73</v>
      </c>
      <c r="AL464" t="s">
        <v>16</v>
      </c>
      <c r="AM464" t="s">
        <v>10</v>
      </c>
      <c r="AN464" t="s">
        <v>717</v>
      </c>
    </row>
    <row r="465" spans="1:40" hidden="1">
      <c r="A465">
        <v>463</v>
      </c>
      <c r="B465">
        <v>2</v>
      </c>
      <c r="C465" s="58">
        <v>44350</v>
      </c>
      <c r="D465" t="s">
        <v>121</v>
      </c>
      <c r="E465" t="s">
        <v>2515</v>
      </c>
      <c r="F465">
        <v>6</v>
      </c>
      <c r="G465">
        <v>4</v>
      </c>
      <c r="H465">
        <v>20</v>
      </c>
      <c r="I465">
        <v>2</v>
      </c>
      <c r="J465">
        <v>59.96</v>
      </c>
      <c r="K465" t="s">
        <v>9</v>
      </c>
      <c r="L465">
        <v>3127863.36</v>
      </c>
      <c r="M465">
        <v>15000</v>
      </c>
      <c r="N465">
        <v>3142863.36</v>
      </c>
      <c r="O465">
        <v>52416</v>
      </c>
      <c r="P465">
        <v>0</v>
      </c>
      <c r="Q465">
        <v>3142863.36</v>
      </c>
      <c r="R465">
        <v>52416</v>
      </c>
      <c r="S465" t="s">
        <v>65</v>
      </c>
      <c r="T465" t="s">
        <v>717</v>
      </c>
      <c r="U465" t="s">
        <v>717</v>
      </c>
      <c r="V465" t="s">
        <v>4131</v>
      </c>
      <c r="W465">
        <v>44343</v>
      </c>
      <c r="X465" t="s">
        <v>4360</v>
      </c>
      <c r="Y465" t="s">
        <v>6</v>
      </c>
      <c r="Z465" t="s">
        <v>17</v>
      </c>
      <c r="AA465" t="s">
        <v>717</v>
      </c>
      <c r="AB465" t="s">
        <v>2509</v>
      </c>
      <c r="AC465" t="s">
        <v>2571</v>
      </c>
      <c r="AD465" t="s">
        <v>717</v>
      </c>
      <c r="AE465" t="s">
        <v>337</v>
      </c>
      <c r="AF465" t="s">
        <v>4361</v>
      </c>
      <c r="AG465" t="s">
        <v>4362</v>
      </c>
      <c r="AH465" t="s">
        <v>2615</v>
      </c>
      <c r="AI465" t="s">
        <v>2552</v>
      </c>
      <c r="AJ465" t="s">
        <v>2895</v>
      </c>
      <c r="AK465" t="s">
        <v>73</v>
      </c>
      <c r="AL465" t="s">
        <v>16</v>
      </c>
      <c r="AM465" t="s">
        <v>10</v>
      </c>
      <c r="AN465" t="s">
        <v>717</v>
      </c>
    </row>
    <row r="466" spans="1:40" hidden="1">
      <c r="A466">
        <v>464</v>
      </c>
      <c r="B466">
        <v>3</v>
      </c>
      <c r="C466" s="58">
        <v>44355</v>
      </c>
      <c r="D466" t="s">
        <v>74</v>
      </c>
      <c r="E466" t="s">
        <v>2581</v>
      </c>
      <c r="F466">
        <v>2</v>
      </c>
      <c r="G466">
        <v>6</v>
      </c>
      <c r="H466">
        <v>345</v>
      </c>
      <c r="I466">
        <v>3</v>
      </c>
      <c r="J466">
        <v>93.8</v>
      </c>
      <c r="K466" t="s">
        <v>9</v>
      </c>
      <c r="L466">
        <v>3500000.67</v>
      </c>
      <c r="M466">
        <v>0</v>
      </c>
      <c r="N466">
        <v>3500000.67</v>
      </c>
      <c r="O466">
        <v>37313.439978678041</v>
      </c>
      <c r="P466">
        <v>46900</v>
      </c>
      <c r="Q466">
        <v>3453100.67</v>
      </c>
      <c r="R466">
        <v>36813.439978678041</v>
      </c>
      <c r="S466" t="s">
        <v>130</v>
      </c>
      <c r="T466" t="s">
        <v>2941</v>
      </c>
      <c r="U466">
        <v>248054.77</v>
      </c>
      <c r="V466" t="s">
        <v>717</v>
      </c>
      <c r="W466">
        <v>44344</v>
      </c>
      <c r="X466" t="s">
        <v>4363</v>
      </c>
      <c r="Y466" t="s">
        <v>6</v>
      </c>
      <c r="Z466" t="s">
        <v>11</v>
      </c>
      <c r="AA466" t="s">
        <v>717</v>
      </c>
      <c r="AB466" t="s">
        <v>326</v>
      </c>
      <c r="AC466" t="s">
        <v>118</v>
      </c>
      <c r="AD466" t="s">
        <v>717</v>
      </c>
      <c r="AE466" t="s">
        <v>4364</v>
      </c>
      <c r="AF466" t="s">
        <v>4365</v>
      </c>
      <c r="AG466" t="s">
        <v>4366</v>
      </c>
      <c r="AH466" t="s">
        <v>2615</v>
      </c>
      <c r="AI466" t="s">
        <v>2802</v>
      </c>
      <c r="AJ466" t="s">
        <v>2514</v>
      </c>
      <c r="AK466" t="s">
        <v>77</v>
      </c>
      <c r="AL466" t="s">
        <v>717</v>
      </c>
      <c r="AM466" t="s">
        <v>10</v>
      </c>
      <c r="AN466" t="s">
        <v>717</v>
      </c>
    </row>
    <row r="467" spans="1:40" hidden="1">
      <c r="A467">
        <v>465</v>
      </c>
      <c r="B467">
        <v>4</v>
      </c>
      <c r="C467" s="58">
        <v>44357</v>
      </c>
      <c r="D467" t="s">
        <v>121</v>
      </c>
      <c r="E467" t="s">
        <v>2515</v>
      </c>
      <c r="F467">
        <v>2</v>
      </c>
      <c r="G467">
        <v>19</v>
      </c>
      <c r="H467">
        <v>121</v>
      </c>
      <c r="I467">
        <v>2</v>
      </c>
      <c r="J467">
        <v>58.99</v>
      </c>
      <c r="K467" t="s">
        <v>15</v>
      </c>
      <c r="L467">
        <v>3286915.11</v>
      </c>
      <c r="M467">
        <v>15000</v>
      </c>
      <c r="N467">
        <v>3301915.11</v>
      </c>
      <c r="O467">
        <v>55974.150025428033</v>
      </c>
      <c r="P467">
        <v>265455</v>
      </c>
      <c r="Q467">
        <v>3036460.11</v>
      </c>
      <c r="R467">
        <v>51474.150025428033</v>
      </c>
      <c r="S467" t="s">
        <v>65</v>
      </c>
      <c r="T467" t="s">
        <v>717</v>
      </c>
      <c r="U467" t="s">
        <v>717</v>
      </c>
      <c r="V467" t="s">
        <v>4131</v>
      </c>
      <c r="W467">
        <v>44330</v>
      </c>
      <c r="X467" t="s">
        <v>4367</v>
      </c>
      <c r="Y467" t="s">
        <v>6</v>
      </c>
      <c r="Z467" t="s">
        <v>17</v>
      </c>
      <c r="AA467" t="s">
        <v>717</v>
      </c>
      <c r="AB467" t="s">
        <v>2509</v>
      </c>
      <c r="AC467" t="s">
        <v>2571</v>
      </c>
      <c r="AD467" t="s">
        <v>717</v>
      </c>
      <c r="AE467" t="s">
        <v>4368</v>
      </c>
      <c r="AF467" t="s">
        <v>4369</v>
      </c>
      <c r="AG467" t="s">
        <v>4370</v>
      </c>
      <c r="AH467" t="s">
        <v>2615</v>
      </c>
      <c r="AI467" t="s">
        <v>2847</v>
      </c>
      <c r="AJ467" t="s">
        <v>2940</v>
      </c>
      <c r="AK467" t="s">
        <v>77</v>
      </c>
      <c r="AL467" t="s">
        <v>16</v>
      </c>
      <c r="AM467" t="s">
        <v>10</v>
      </c>
      <c r="AN467" t="s">
        <v>717</v>
      </c>
    </row>
    <row r="468" spans="1:40" hidden="1">
      <c r="A468">
        <v>466</v>
      </c>
      <c r="B468">
        <v>5</v>
      </c>
      <c r="C468" s="58">
        <v>44357</v>
      </c>
      <c r="D468" t="s">
        <v>121</v>
      </c>
      <c r="E468" t="s">
        <v>2515</v>
      </c>
      <c r="F468">
        <v>4</v>
      </c>
      <c r="G468">
        <v>15</v>
      </c>
      <c r="H468">
        <v>95</v>
      </c>
      <c r="I468">
        <v>1</v>
      </c>
      <c r="J468">
        <v>36.86</v>
      </c>
      <c r="K468" t="s">
        <v>15</v>
      </c>
      <c r="L468">
        <v>2441056.8199999998</v>
      </c>
      <c r="M468">
        <v>0</v>
      </c>
      <c r="N468">
        <v>2441056.8199999998</v>
      </c>
      <c r="O468">
        <v>66225.09007053716</v>
      </c>
      <c r="P468">
        <v>165870</v>
      </c>
      <c r="Q468">
        <v>2275186.8199999998</v>
      </c>
      <c r="R468">
        <v>61725.09007053716</v>
      </c>
      <c r="S468" t="s">
        <v>65</v>
      </c>
      <c r="T468" t="s">
        <v>717</v>
      </c>
      <c r="U468" t="s">
        <v>717</v>
      </c>
      <c r="V468" t="s">
        <v>717</v>
      </c>
      <c r="W468">
        <v>44352</v>
      </c>
      <c r="X468" t="s">
        <v>4371</v>
      </c>
      <c r="Y468" t="s">
        <v>6</v>
      </c>
      <c r="Z468" t="s">
        <v>17</v>
      </c>
      <c r="AA468" t="s">
        <v>717</v>
      </c>
      <c r="AB468" t="s">
        <v>2509</v>
      </c>
      <c r="AC468" t="s">
        <v>2571</v>
      </c>
      <c r="AD468" t="s">
        <v>717</v>
      </c>
      <c r="AE468" t="s">
        <v>4372</v>
      </c>
      <c r="AF468" t="s">
        <v>4373</v>
      </c>
      <c r="AG468" t="s">
        <v>4374</v>
      </c>
      <c r="AH468" t="s">
        <v>2615</v>
      </c>
      <c r="AI468" t="s">
        <v>4375</v>
      </c>
      <c r="AJ468" t="s">
        <v>2651</v>
      </c>
      <c r="AK468" t="s">
        <v>63</v>
      </c>
      <c r="AL468" t="s">
        <v>16</v>
      </c>
      <c r="AM468" t="s">
        <v>10</v>
      </c>
      <c r="AN468" t="s">
        <v>717</v>
      </c>
    </row>
    <row r="469" spans="1:40" hidden="1">
      <c r="A469">
        <v>467</v>
      </c>
      <c r="B469">
        <v>6</v>
      </c>
      <c r="C469" s="58">
        <v>44358</v>
      </c>
      <c r="D469" t="s">
        <v>121</v>
      </c>
      <c r="E469" t="s">
        <v>2515</v>
      </c>
      <c r="F469">
        <v>6</v>
      </c>
      <c r="G469">
        <v>2</v>
      </c>
      <c r="H469">
        <v>6</v>
      </c>
      <c r="I469">
        <v>2</v>
      </c>
      <c r="J469">
        <v>59.44</v>
      </c>
      <c r="K469" t="s">
        <v>9</v>
      </c>
      <c r="L469">
        <v>3108304.84</v>
      </c>
      <c r="M469">
        <v>0</v>
      </c>
      <c r="N469">
        <v>3108304.84</v>
      </c>
      <c r="O469">
        <v>52293.150067294751</v>
      </c>
      <c r="P469">
        <v>0</v>
      </c>
      <c r="Q469">
        <v>3108304.84</v>
      </c>
      <c r="R469">
        <v>52293.150067294751</v>
      </c>
      <c r="S469" t="s">
        <v>2507</v>
      </c>
      <c r="T469" t="s">
        <v>717</v>
      </c>
      <c r="U469" t="s">
        <v>717</v>
      </c>
      <c r="V469" t="s">
        <v>717</v>
      </c>
      <c r="W469">
        <v>44350</v>
      </c>
      <c r="X469" t="s">
        <v>4376</v>
      </c>
      <c r="Y469" t="s">
        <v>6</v>
      </c>
      <c r="Z469" t="s">
        <v>11</v>
      </c>
      <c r="AA469" t="s">
        <v>717</v>
      </c>
      <c r="AB469" t="s">
        <v>2509</v>
      </c>
      <c r="AC469" t="s">
        <v>118</v>
      </c>
      <c r="AD469" t="s">
        <v>717</v>
      </c>
      <c r="AE469" t="s">
        <v>323</v>
      </c>
      <c r="AF469" t="s">
        <v>4377</v>
      </c>
      <c r="AG469" t="s">
        <v>4378</v>
      </c>
      <c r="AH469" t="s">
        <v>2615</v>
      </c>
      <c r="AI469" t="s">
        <v>2552</v>
      </c>
      <c r="AJ469" t="s">
        <v>2895</v>
      </c>
      <c r="AK469" t="s">
        <v>73</v>
      </c>
      <c r="AL469" t="s">
        <v>717</v>
      </c>
      <c r="AM469" t="s">
        <v>10</v>
      </c>
      <c r="AN469" t="s">
        <v>717</v>
      </c>
    </row>
    <row r="470" spans="1:40" hidden="1">
      <c r="A470">
        <v>468</v>
      </c>
      <c r="B470">
        <v>7</v>
      </c>
      <c r="C470" s="58">
        <v>44363</v>
      </c>
      <c r="D470" t="s">
        <v>121</v>
      </c>
      <c r="E470" t="s">
        <v>2515</v>
      </c>
      <c r="F470">
        <v>3</v>
      </c>
      <c r="G470">
        <v>6</v>
      </c>
      <c r="H470">
        <v>31</v>
      </c>
      <c r="I470">
        <v>3</v>
      </c>
      <c r="J470">
        <v>76.56</v>
      </c>
      <c r="K470" t="s">
        <v>15</v>
      </c>
      <c r="L470">
        <v>3858102.71</v>
      </c>
      <c r="M470">
        <v>15000</v>
      </c>
      <c r="N470">
        <v>3873102.71</v>
      </c>
      <c r="O470">
        <v>50589.115856844306</v>
      </c>
      <c r="P470">
        <v>344520</v>
      </c>
      <c r="Q470">
        <v>3528582.71</v>
      </c>
      <c r="R470">
        <v>46089.115856844306</v>
      </c>
      <c r="S470" t="s">
        <v>65</v>
      </c>
      <c r="T470" t="s">
        <v>4379</v>
      </c>
      <c r="U470">
        <v>72011.887600000016</v>
      </c>
      <c r="V470" t="s">
        <v>4131</v>
      </c>
      <c r="W470">
        <v>44334</v>
      </c>
      <c r="X470" t="s">
        <v>4380</v>
      </c>
      <c r="Y470" t="s">
        <v>6</v>
      </c>
      <c r="Z470" t="s">
        <v>17</v>
      </c>
      <c r="AA470" t="s">
        <v>717</v>
      </c>
      <c r="AB470" t="s">
        <v>2509</v>
      </c>
      <c r="AC470" t="s">
        <v>2571</v>
      </c>
      <c r="AD470" t="s">
        <v>717</v>
      </c>
      <c r="AE470" t="s">
        <v>4381</v>
      </c>
      <c r="AF470" t="s">
        <v>4382</v>
      </c>
      <c r="AG470" t="s">
        <v>4383</v>
      </c>
      <c r="AH470" t="s">
        <v>2191</v>
      </c>
      <c r="AI470" t="s">
        <v>2621</v>
      </c>
      <c r="AJ470" t="s">
        <v>2514</v>
      </c>
      <c r="AK470" t="s">
        <v>63</v>
      </c>
      <c r="AL470" t="s">
        <v>16</v>
      </c>
      <c r="AM470" t="s">
        <v>10</v>
      </c>
      <c r="AN470" t="s">
        <v>717</v>
      </c>
    </row>
    <row r="471" spans="1:40" hidden="1">
      <c r="A471">
        <v>469</v>
      </c>
      <c r="B471">
        <v>8</v>
      </c>
      <c r="C471" s="58">
        <v>44363</v>
      </c>
      <c r="D471" t="s">
        <v>121</v>
      </c>
      <c r="E471" t="s">
        <v>2506</v>
      </c>
      <c r="F471">
        <v>3</v>
      </c>
      <c r="G471">
        <v>12</v>
      </c>
      <c r="H471">
        <v>274</v>
      </c>
      <c r="I471">
        <v>3</v>
      </c>
      <c r="J471">
        <v>86.58</v>
      </c>
      <c r="K471" t="s">
        <v>9</v>
      </c>
      <c r="L471">
        <v>4331875.67</v>
      </c>
      <c r="M471">
        <v>0</v>
      </c>
      <c r="N471">
        <v>4331875.67</v>
      </c>
      <c r="O471">
        <v>50033.214021714019</v>
      </c>
      <c r="P471">
        <v>0</v>
      </c>
      <c r="Q471">
        <v>4331875.67</v>
      </c>
      <c r="R471">
        <v>50033.214021714019</v>
      </c>
      <c r="S471" t="s">
        <v>65</v>
      </c>
      <c r="T471" t="s">
        <v>2664</v>
      </c>
      <c r="U471">
        <v>88405.623999998905</v>
      </c>
      <c r="V471" t="s">
        <v>4131</v>
      </c>
      <c r="W471">
        <v>44357</v>
      </c>
      <c r="X471" t="s">
        <v>4384</v>
      </c>
      <c r="Y471" t="s">
        <v>6</v>
      </c>
      <c r="Z471" t="s">
        <v>17</v>
      </c>
      <c r="AA471" t="s">
        <v>717</v>
      </c>
      <c r="AB471" t="s">
        <v>2509</v>
      </c>
      <c r="AC471" t="s">
        <v>2571</v>
      </c>
      <c r="AD471" t="s">
        <v>717</v>
      </c>
      <c r="AE471" t="s">
        <v>339</v>
      </c>
      <c r="AF471" t="s">
        <v>4385</v>
      </c>
      <c r="AG471" t="s">
        <v>4386</v>
      </c>
      <c r="AH471" t="s">
        <v>2191</v>
      </c>
      <c r="AI471" t="s">
        <v>2538</v>
      </c>
      <c r="AJ471" t="s">
        <v>2514</v>
      </c>
      <c r="AK471" t="s">
        <v>73</v>
      </c>
      <c r="AL471" t="s">
        <v>16</v>
      </c>
      <c r="AM471" t="s">
        <v>10</v>
      </c>
      <c r="AN471" t="s">
        <v>717</v>
      </c>
    </row>
    <row r="472" spans="1:40" hidden="1">
      <c r="A472">
        <v>470</v>
      </c>
      <c r="B472">
        <v>9</v>
      </c>
      <c r="C472" s="58">
        <v>44363</v>
      </c>
      <c r="D472" t="s">
        <v>121</v>
      </c>
      <c r="E472" t="s">
        <v>2515</v>
      </c>
      <c r="F472">
        <v>1</v>
      </c>
      <c r="G472">
        <v>16</v>
      </c>
      <c r="H472">
        <v>99</v>
      </c>
      <c r="I472">
        <v>2</v>
      </c>
      <c r="J472">
        <v>59.52</v>
      </c>
      <c r="K472" t="s">
        <v>15</v>
      </c>
      <c r="L472">
        <v>3374736.44</v>
      </c>
      <c r="M472">
        <v>15000</v>
      </c>
      <c r="N472">
        <v>3389736.44</v>
      </c>
      <c r="O472">
        <v>56951.217069892467</v>
      </c>
      <c r="P472">
        <v>267840</v>
      </c>
      <c r="Q472">
        <v>3121896.44</v>
      </c>
      <c r="R472">
        <v>52451.217069892467</v>
      </c>
      <c r="S472" t="s">
        <v>65</v>
      </c>
      <c r="T472" t="s">
        <v>2664</v>
      </c>
      <c r="U472">
        <v>63712.168000000529</v>
      </c>
      <c r="V472" t="s">
        <v>4131</v>
      </c>
      <c r="W472">
        <v>44358</v>
      </c>
      <c r="X472" t="s">
        <v>4387</v>
      </c>
      <c r="Y472" t="s">
        <v>6</v>
      </c>
      <c r="Z472" t="s">
        <v>17</v>
      </c>
      <c r="AA472" t="s">
        <v>717</v>
      </c>
      <c r="AB472" t="s">
        <v>2509</v>
      </c>
      <c r="AC472" t="s">
        <v>2571</v>
      </c>
      <c r="AD472" t="s">
        <v>717</v>
      </c>
      <c r="AE472" t="s">
        <v>338</v>
      </c>
      <c r="AF472" t="s">
        <v>4388</v>
      </c>
      <c r="AG472" t="s">
        <v>4389</v>
      </c>
      <c r="AH472" t="s">
        <v>2615</v>
      </c>
      <c r="AI472" t="s">
        <v>2688</v>
      </c>
      <c r="AJ472" t="s">
        <v>3289</v>
      </c>
      <c r="AK472" t="s">
        <v>73</v>
      </c>
      <c r="AL472" t="s">
        <v>16</v>
      </c>
      <c r="AM472" t="s">
        <v>10</v>
      </c>
      <c r="AN472" t="s">
        <v>717</v>
      </c>
    </row>
    <row r="473" spans="1:40" hidden="1">
      <c r="A473">
        <v>471</v>
      </c>
      <c r="B473">
        <v>10</v>
      </c>
      <c r="C473" s="58">
        <v>44364</v>
      </c>
      <c r="D473" t="s">
        <v>74</v>
      </c>
      <c r="E473" t="s">
        <v>2515</v>
      </c>
      <c r="F473">
        <v>6</v>
      </c>
      <c r="G473">
        <v>5</v>
      </c>
      <c r="H473">
        <v>36</v>
      </c>
      <c r="I473">
        <v>2</v>
      </c>
      <c r="J473">
        <v>63.2</v>
      </c>
      <c r="K473" t="s">
        <v>9</v>
      </c>
      <c r="L473">
        <v>3321136.5</v>
      </c>
      <c r="M473">
        <v>15000</v>
      </c>
      <c r="N473">
        <v>3336136.5</v>
      </c>
      <c r="O473">
        <v>52786.969936708861</v>
      </c>
      <c r="P473">
        <v>32350</v>
      </c>
      <c r="Q473">
        <v>3303786.5</v>
      </c>
      <c r="R473">
        <v>52275.102848101262</v>
      </c>
      <c r="S473" t="s">
        <v>65</v>
      </c>
      <c r="T473" t="s">
        <v>2941</v>
      </c>
      <c r="U473">
        <v>15000</v>
      </c>
      <c r="V473" t="s">
        <v>717</v>
      </c>
      <c r="W473">
        <v>44320</v>
      </c>
      <c r="X473" t="s">
        <v>4390</v>
      </c>
      <c r="Y473" t="s">
        <v>6</v>
      </c>
      <c r="Z473" t="s">
        <v>17</v>
      </c>
      <c r="AA473" t="s">
        <v>717</v>
      </c>
      <c r="AB473" t="s">
        <v>326</v>
      </c>
      <c r="AC473" t="s">
        <v>2571</v>
      </c>
      <c r="AD473" t="s">
        <v>717</v>
      </c>
      <c r="AE473" t="s">
        <v>340</v>
      </c>
      <c r="AF473" t="s">
        <v>4391</v>
      </c>
      <c r="AG473" t="s">
        <v>4392</v>
      </c>
      <c r="AH473" t="s">
        <v>2191</v>
      </c>
      <c r="AI473" t="s">
        <v>2538</v>
      </c>
      <c r="AJ473" t="s">
        <v>2514</v>
      </c>
      <c r="AK473" t="s">
        <v>73</v>
      </c>
      <c r="AL473" t="s">
        <v>16</v>
      </c>
      <c r="AM473" t="s">
        <v>10</v>
      </c>
      <c r="AN473" t="s">
        <v>717</v>
      </c>
    </row>
    <row r="474" spans="1:40" hidden="1">
      <c r="A474">
        <v>472</v>
      </c>
      <c r="B474">
        <v>11</v>
      </c>
      <c r="C474" s="58">
        <v>44364</v>
      </c>
      <c r="D474" t="s">
        <v>121</v>
      </c>
      <c r="E474" t="s">
        <v>2506</v>
      </c>
      <c r="F474">
        <v>6</v>
      </c>
      <c r="G474">
        <v>10</v>
      </c>
      <c r="H474">
        <v>255</v>
      </c>
      <c r="I474">
        <v>2</v>
      </c>
      <c r="J474">
        <v>60.24</v>
      </c>
      <c r="K474" t="s">
        <v>25</v>
      </c>
      <c r="L474">
        <v>3845878.83</v>
      </c>
      <c r="M474">
        <v>0</v>
      </c>
      <c r="N474">
        <v>3845878.83</v>
      </c>
      <c r="O474">
        <v>63842.610059760955</v>
      </c>
      <c r="P474">
        <v>903600</v>
      </c>
      <c r="Q474">
        <v>2942278.83</v>
      </c>
      <c r="R474">
        <v>48842.610059760955</v>
      </c>
      <c r="S474" t="s">
        <v>65</v>
      </c>
      <c r="T474" t="s">
        <v>717</v>
      </c>
      <c r="U474" t="s">
        <v>717</v>
      </c>
      <c r="V474" t="s">
        <v>4131</v>
      </c>
      <c r="W474">
        <v>44356</v>
      </c>
      <c r="X474" t="s">
        <v>4393</v>
      </c>
      <c r="Y474" t="s">
        <v>6</v>
      </c>
      <c r="Z474" t="s">
        <v>17</v>
      </c>
      <c r="AA474" t="s">
        <v>717</v>
      </c>
      <c r="AB474" t="s">
        <v>2509</v>
      </c>
      <c r="AC474" t="s">
        <v>2571</v>
      </c>
      <c r="AD474" t="s">
        <v>717</v>
      </c>
      <c r="AE474" t="s">
        <v>4394</v>
      </c>
      <c r="AF474" t="s">
        <v>4395</v>
      </c>
      <c r="AG474" t="s">
        <v>4396</v>
      </c>
      <c r="AH474" t="s">
        <v>2552</v>
      </c>
      <c r="AI474" t="s">
        <v>2877</v>
      </c>
      <c r="AJ474" t="s">
        <v>3098</v>
      </c>
      <c r="AK474" t="s">
        <v>77</v>
      </c>
      <c r="AL474" t="s">
        <v>16</v>
      </c>
      <c r="AM474" t="s">
        <v>10</v>
      </c>
      <c r="AN474" t="s">
        <v>717</v>
      </c>
    </row>
    <row r="475" spans="1:40" hidden="1">
      <c r="A475">
        <v>473</v>
      </c>
      <c r="B475">
        <v>12</v>
      </c>
      <c r="C475" s="58">
        <v>44364</v>
      </c>
      <c r="D475" t="s">
        <v>121</v>
      </c>
      <c r="E475" t="s">
        <v>2515</v>
      </c>
      <c r="F475">
        <v>7</v>
      </c>
      <c r="G475">
        <v>14</v>
      </c>
      <c r="H475">
        <v>91</v>
      </c>
      <c r="I475">
        <v>2</v>
      </c>
      <c r="J475">
        <v>58.17</v>
      </c>
      <c r="K475" t="s">
        <v>25</v>
      </c>
      <c r="L475">
        <v>3866801.31</v>
      </c>
      <c r="M475">
        <v>0</v>
      </c>
      <c r="N475">
        <v>3866801.31</v>
      </c>
      <c r="O475">
        <v>66474.15007735946</v>
      </c>
      <c r="P475">
        <v>872550</v>
      </c>
      <c r="Q475">
        <v>2994251.31</v>
      </c>
      <c r="R475">
        <v>51474.15007735946</v>
      </c>
      <c r="S475" t="s">
        <v>65</v>
      </c>
      <c r="T475" t="s">
        <v>717</v>
      </c>
      <c r="U475" t="s">
        <v>717</v>
      </c>
      <c r="V475" t="s">
        <v>4131</v>
      </c>
      <c r="W475">
        <v>44356</v>
      </c>
      <c r="X475" t="s">
        <v>4397</v>
      </c>
      <c r="Y475" t="s">
        <v>6</v>
      </c>
      <c r="Z475" t="s">
        <v>17</v>
      </c>
      <c r="AA475" t="s">
        <v>717</v>
      </c>
      <c r="AB475" t="s">
        <v>2509</v>
      </c>
      <c r="AC475" t="s">
        <v>2571</v>
      </c>
      <c r="AD475" t="s">
        <v>717</v>
      </c>
      <c r="AE475" t="s">
        <v>4398</v>
      </c>
      <c r="AF475" t="s">
        <v>4399</v>
      </c>
      <c r="AG475" t="s">
        <v>4400</v>
      </c>
      <c r="AH475" t="s">
        <v>2191</v>
      </c>
      <c r="AI475" t="s">
        <v>2552</v>
      </c>
      <c r="AJ475" t="s">
        <v>2514</v>
      </c>
      <c r="AK475" t="s">
        <v>20</v>
      </c>
      <c r="AL475" t="s">
        <v>16</v>
      </c>
      <c r="AM475" t="s">
        <v>10</v>
      </c>
      <c r="AN475" t="s">
        <v>717</v>
      </c>
    </row>
    <row r="476" spans="1:40" hidden="1">
      <c r="A476">
        <v>474</v>
      </c>
      <c r="B476">
        <v>13</v>
      </c>
      <c r="C476" s="58">
        <v>44364</v>
      </c>
      <c r="D476" t="s">
        <v>121</v>
      </c>
      <c r="E476" t="s">
        <v>2515</v>
      </c>
      <c r="F476">
        <v>4</v>
      </c>
      <c r="G476">
        <v>19</v>
      </c>
      <c r="H476">
        <v>123</v>
      </c>
      <c r="I476">
        <v>1</v>
      </c>
      <c r="J476">
        <v>36.86</v>
      </c>
      <c r="K476" t="s">
        <v>9</v>
      </c>
      <c r="L476">
        <v>2275186.8199999998</v>
      </c>
      <c r="M476">
        <v>0</v>
      </c>
      <c r="N476">
        <v>2275186.8199999998</v>
      </c>
      <c r="O476">
        <v>61725.09007053716</v>
      </c>
      <c r="P476">
        <v>0</v>
      </c>
      <c r="Q476">
        <v>2275186.8199999998</v>
      </c>
      <c r="R476">
        <v>61725.09007053716</v>
      </c>
      <c r="S476" t="s">
        <v>65</v>
      </c>
      <c r="T476" t="s">
        <v>717</v>
      </c>
      <c r="U476" t="s">
        <v>717</v>
      </c>
      <c r="V476" t="s">
        <v>717</v>
      </c>
      <c r="W476">
        <v>44358</v>
      </c>
      <c r="X476" t="s">
        <v>4401</v>
      </c>
      <c r="Y476" t="s">
        <v>6</v>
      </c>
      <c r="Z476" t="s">
        <v>17</v>
      </c>
      <c r="AA476" t="s">
        <v>717</v>
      </c>
      <c r="AB476" t="s">
        <v>2509</v>
      </c>
      <c r="AC476" t="s">
        <v>2571</v>
      </c>
      <c r="AD476" t="s">
        <v>717</v>
      </c>
      <c r="AE476" t="s">
        <v>347</v>
      </c>
      <c r="AF476" t="s">
        <v>4402</v>
      </c>
      <c r="AG476" t="s">
        <v>4403</v>
      </c>
      <c r="AH476" t="s">
        <v>2191</v>
      </c>
      <c r="AI476" t="s">
        <v>2847</v>
      </c>
      <c r="AJ476" t="s">
        <v>2514</v>
      </c>
      <c r="AK476" t="s">
        <v>73</v>
      </c>
      <c r="AL476" t="s">
        <v>16</v>
      </c>
      <c r="AM476" t="s">
        <v>10</v>
      </c>
      <c r="AN476" t="s">
        <v>717</v>
      </c>
    </row>
    <row r="477" spans="1:40" hidden="1">
      <c r="A477">
        <v>475</v>
      </c>
      <c r="B477">
        <v>14</v>
      </c>
      <c r="C477" s="58">
        <v>44365</v>
      </c>
      <c r="D477" t="s">
        <v>74</v>
      </c>
      <c r="E477" t="s">
        <v>2581</v>
      </c>
      <c r="F477">
        <v>4</v>
      </c>
      <c r="G477">
        <v>5</v>
      </c>
      <c r="H477">
        <v>339</v>
      </c>
      <c r="I477">
        <v>2</v>
      </c>
      <c r="J477">
        <v>60.5</v>
      </c>
      <c r="K477" t="s">
        <v>9</v>
      </c>
      <c r="L477">
        <v>3184045.28</v>
      </c>
      <c r="M477">
        <v>15000</v>
      </c>
      <c r="N477">
        <v>3199045.28</v>
      </c>
      <c r="O477">
        <v>52876.781487603301</v>
      </c>
      <c r="P477">
        <v>30250</v>
      </c>
      <c r="Q477">
        <v>3168795.28</v>
      </c>
      <c r="R477">
        <v>52376.781487603301</v>
      </c>
      <c r="S477" t="s">
        <v>2507</v>
      </c>
      <c r="T477" t="s">
        <v>2941</v>
      </c>
      <c r="U477">
        <v>63075.905599999998</v>
      </c>
      <c r="V477" t="s">
        <v>717</v>
      </c>
      <c r="W477">
        <v>44288</v>
      </c>
      <c r="X477" t="s">
        <v>4404</v>
      </c>
      <c r="Y477" t="s">
        <v>6</v>
      </c>
      <c r="Z477" t="s">
        <v>11</v>
      </c>
      <c r="AA477" t="s">
        <v>717</v>
      </c>
      <c r="AB477" t="s">
        <v>326</v>
      </c>
      <c r="AC477" t="s">
        <v>118</v>
      </c>
      <c r="AD477" t="s">
        <v>717</v>
      </c>
      <c r="AE477" t="s">
        <v>345</v>
      </c>
      <c r="AF477" t="s">
        <v>4405</v>
      </c>
      <c r="AG477" t="s">
        <v>717</v>
      </c>
      <c r="AH477" t="s">
        <v>2191</v>
      </c>
      <c r="AI477" t="s">
        <v>2552</v>
      </c>
      <c r="AJ477" t="s">
        <v>2514</v>
      </c>
      <c r="AK477" t="s">
        <v>73</v>
      </c>
      <c r="AL477" t="s">
        <v>717</v>
      </c>
      <c r="AM477" t="s">
        <v>10</v>
      </c>
      <c r="AN477" t="s">
        <v>717</v>
      </c>
    </row>
    <row r="478" spans="1:40" hidden="1">
      <c r="A478">
        <v>476</v>
      </c>
      <c r="B478">
        <v>15</v>
      </c>
      <c r="C478" s="58">
        <v>44365</v>
      </c>
      <c r="D478" t="s">
        <v>121</v>
      </c>
      <c r="E478" t="s">
        <v>2506</v>
      </c>
      <c r="F478">
        <v>5</v>
      </c>
      <c r="G478">
        <v>5</v>
      </c>
      <c r="H478">
        <v>199</v>
      </c>
      <c r="I478">
        <v>2</v>
      </c>
      <c r="J478">
        <v>60.19</v>
      </c>
      <c r="K478" t="s">
        <v>15</v>
      </c>
      <c r="L478">
        <v>3151894.96</v>
      </c>
      <c r="M478">
        <v>0</v>
      </c>
      <c r="N478">
        <v>3151894.96</v>
      </c>
      <c r="O478">
        <v>52365.757767070943</v>
      </c>
      <c r="P478">
        <v>270855</v>
      </c>
      <c r="Q478">
        <v>2881039.96</v>
      </c>
      <c r="R478">
        <v>47865.757767070943</v>
      </c>
      <c r="S478" t="s">
        <v>65</v>
      </c>
      <c r="T478" t="s">
        <v>2664</v>
      </c>
      <c r="U478">
        <v>58796.735899999738</v>
      </c>
      <c r="V478" t="s">
        <v>4131</v>
      </c>
      <c r="W478">
        <v>44357</v>
      </c>
      <c r="X478" t="s">
        <v>4406</v>
      </c>
      <c r="Y478" t="s">
        <v>6</v>
      </c>
      <c r="Z478" t="s">
        <v>17</v>
      </c>
      <c r="AA478" t="s">
        <v>717</v>
      </c>
      <c r="AB478" t="s">
        <v>2509</v>
      </c>
      <c r="AC478" t="s">
        <v>2571</v>
      </c>
      <c r="AD478" t="s">
        <v>717</v>
      </c>
      <c r="AE478" t="s">
        <v>384</v>
      </c>
      <c r="AF478" t="s">
        <v>4407</v>
      </c>
      <c r="AG478" t="s">
        <v>4408</v>
      </c>
      <c r="AH478" t="s">
        <v>2615</v>
      </c>
      <c r="AI478" t="s">
        <v>2621</v>
      </c>
      <c r="AJ478" t="s">
        <v>3289</v>
      </c>
      <c r="AK478" t="s">
        <v>63</v>
      </c>
      <c r="AL478" t="s">
        <v>16</v>
      </c>
      <c r="AM478" t="s">
        <v>10</v>
      </c>
      <c r="AN478" t="s">
        <v>717</v>
      </c>
    </row>
    <row r="479" spans="1:40" hidden="1">
      <c r="A479">
        <v>477</v>
      </c>
      <c r="B479">
        <v>16</v>
      </c>
      <c r="C479" s="58">
        <v>44365</v>
      </c>
      <c r="D479" t="s">
        <v>27</v>
      </c>
      <c r="E479" t="s">
        <v>4409</v>
      </c>
      <c r="F479">
        <v>6</v>
      </c>
      <c r="G479">
        <v>8</v>
      </c>
      <c r="H479">
        <v>565</v>
      </c>
      <c r="I479">
        <v>1</v>
      </c>
      <c r="J479">
        <v>37.11</v>
      </c>
      <c r="K479" t="s">
        <v>15</v>
      </c>
      <c r="L479">
        <v>2044761</v>
      </c>
      <c r="M479">
        <v>0</v>
      </c>
      <c r="N479">
        <v>2044761</v>
      </c>
      <c r="O479">
        <v>55100</v>
      </c>
      <c r="P479">
        <v>166995</v>
      </c>
      <c r="Q479">
        <v>1877766</v>
      </c>
      <c r="R479">
        <v>50600</v>
      </c>
      <c r="S479" t="s">
        <v>2507</v>
      </c>
      <c r="T479" t="s">
        <v>717</v>
      </c>
      <c r="U479" t="s">
        <v>717</v>
      </c>
      <c r="V479" t="s">
        <v>717</v>
      </c>
      <c r="W479">
        <v>44365</v>
      </c>
      <c r="X479" t="s">
        <v>4410</v>
      </c>
      <c r="Y479" t="s">
        <v>6</v>
      </c>
      <c r="Z479" t="s">
        <v>11</v>
      </c>
      <c r="AA479" t="s">
        <v>717</v>
      </c>
      <c r="AB479" t="s">
        <v>2509</v>
      </c>
      <c r="AC479" t="s">
        <v>118</v>
      </c>
      <c r="AD479" t="s">
        <v>717</v>
      </c>
      <c r="AE479" t="s">
        <v>4411</v>
      </c>
      <c r="AF479" t="s">
        <v>4412</v>
      </c>
      <c r="AG479" t="s">
        <v>4413</v>
      </c>
      <c r="AH479" t="s">
        <v>2552</v>
      </c>
      <c r="AI479" t="s">
        <v>2877</v>
      </c>
      <c r="AJ479" t="s">
        <v>3098</v>
      </c>
      <c r="AK479" t="s">
        <v>77</v>
      </c>
      <c r="AL479" t="s">
        <v>717</v>
      </c>
      <c r="AM479" t="s">
        <v>10</v>
      </c>
      <c r="AN479" t="s">
        <v>717</v>
      </c>
    </row>
    <row r="480" spans="1:40" hidden="1">
      <c r="A480">
        <v>478</v>
      </c>
      <c r="B480">
        <v>17</v>
      </c>
      <c r="C480" s="58">
        <v>44368</v>
      </c>
      <c r="D480" t="s">
        <v>121</v>
      </c>
      <c r="E480" t="s">
        <v>2506</v>
      </c>
      <c r="F480">
        <v>6</v>
      </c>
      <c r="G480">
        <v>5</v>
      </c>
      <c r="H480">
        <v>200</v>
      </c>
      <c r="I480">
        <v>2</v>
      </c>
      <c r="J480">
        <v>60.24</v>
      </c>
      <c r="K480" t="s">
        <v>15</v>
      </c>
      <c r="L480">
        <v>3154513.25</v>
      </c>
      <c r="M480">
        <v>0</v>
      </c>
      <c r="N480">
        <v>3154513.25</v>
      </c>
      <c r="O480">
        <v>52365.757802124834</v>
      </c>
      <c r="P480">
        <v>271080</v>
      </c>
      <c r="Q480">
        <v>2883433.25</v>
      </c>
      <c r="R480">
        <v>47865.757802124834</v>
      </c>
      <c r="S480" t="s">
        <v>2507</v>
      </c>
      <c r="T480" t="s">
        <v>2664</v>
      </c>
      <c r="U480">
        <v>58845.576399999671</v>
      </c>
      <c r="V480" t="s">
        <v>717</v>
      </c>
      <c r="W480">
        <v>44355</v>
      </c>
      <c r="X480" t="s">
        <v>4414</v>
      </c>
      <c r="Y480" t="s">
        <v>6</v>
      </c>
      <c r="Z480" t="s">
        <v>11</v>
      </c>
      <c r="AA480" t="s">
        <v>717</v>
      </c>
      <c r="AB480" t="s">
        <v>2509</v>
      </c>
      <c r="AC480" t="s">
        <v>118</v>
      </c>
      <c r="AD480" t="s">
        <v>717</v>
      </c>
      <c r="AE480" t="s">
        <v>4415</v>
      </c>
      <c r="AF480" t="s">
        <v>4416</v>
      </c>
      <c r="AG480" t="s">
        <v>4417</v>
      </c>
      <c r="AH480" t="s">
        <v>2615</v>
      </c>
      <c r="AI480" t="s">
        <v>2552</v>
      </c>
      <c r="AJ480" t="s">
        <v>2940</v>
      </c>
      <c r="AK480" t="s">
        <v>73</v>
      </c>
      <c r="AL480" t="s">
        <v>717</v>
      </c>
      <c r="AM480" t="s">
        <v>10</v>
      </c>
      <c r="AN480" t="s">
        <v>717</v>
      </c>
    </row>
    <row r="481" spans="1:40" hidden="1">
      <c r="A481">
        <v>479</v>
      </c>
      <c r="B481">
        <v>18</v>
      </c>
      <c r="C481" s="58">
        <v>44369</v>
      </c>
      <c r="D481" t="s">
        <v>74</v>
      </c>
      <c r="E481" t="s">
        <v>2581</v>
      </c>
      <c r="F481">
        <v>7</v>
      </c>
      <c r="G481">
        <v>3</v>
      </c>
      <c r="H481">
        <v>326</v>
      </c>
      <c r="I481">
        <v>2</v>
      </c>
      <c r="J481">
        <v>65.599999999999994</v>
      </c>
      <c r="K481" t="s">
        <v>9</v>
      </c>
      <c r="L481">
        <v>3628686.8</v>
      </c>
      <c r="M481">
        <v>15000</v>
      </c>
      <c r="N481">
        <v>3643686.8</v>
      </c>
      <c r="O481">
        <v>55544.006097560974</v>
      </c>
      <c r="P481">
        <v>33475</v>
      </c>
      <c r="Q481">
        <v>3610211.8</v>
      </c>
      <c r="R481">
        <v>55033.716463414639</v>
      </c>
      <c r="S481" t="s">
        <v>65</v>
      </c>
      <c r="T481" t="s">
        <v>717</v>
      </c>
      <c r="U481" t="s">
        <v>717</v>
      </c>
      <c r="V481" t="s">
        <v>717</v>
      </c>
      <c r="W481">
        <v>44308</v>
      </c>
      <c r="X481" t="s">
        <v>4418</v>
      </c>
      <c r="Y481" t="s">
        <v>6</v>
      </c>
      <c r="Z481" t="s">
        <v>11</v>
      </c>
      <c r="AA481" t="s">
        <v>717</v>
      </c>
      <c r="AB481" t="s">
        <v>326</v>
      </c>
      <c r="AC481" t="s">
        <v>2730</v>
      </c>
      <c r="AD481" t="s">
        <v>717</v>
      </c>
      <c r="AE481" t="s">
        <v>4419</v>
      </c>
      <c r="AF481" t="s">
        <v>4420</v>
      </c>
      <c r="AG481" t="s">
        <v>4421</v>
      </c>
      <c r="AH481" t="s">
        <v>2615</v>
      </c>
      <c r="AI481" t="s">
        <v>2847</v>
      </c>
      <c r="AJ481" t="s">
        <v>2940</v>
      </c>
      <c r="AK481" t="s">
        <v>63</v>
      </c>
      <c r="AL481" t="s">
        <v>16</v>
      </c>
      <c r="AM481" t="s">
        <v>10</v>
      </c>
      <c r="AN481" t="s">
        <v>717</v>
      </c>
    </row>
    <row r="482" spans="1:40" hidden="1">
      <c r="A482">
        <v>480</v>
      </c>
      <c r="B482">
        <v>19</v>
      </c>
      <c r="C482" s="58">
        <v>44369</v>
      </c>
      <c r="D482" t="s">
        <v>121</v>
      </c>
      <c r="E482" t="s">
        <v>2515</v>
      </c>
      <c r="F482">
        <v>1</v>
      </c>
      <c r="G482">
        <v>5</v>
      </c>
      <c r="H482">
        <v>22</v>
      </c>
      <c r="I482">
        <v>2</v>
      </c>
      <c r="J482">
        <v>59.52</v>
      </c>
      <c r="K482" t="s">
        <v>15</v>
      </c>
      <c r="L482">
        <v>3489160.61</v>
      </c>
      <c r="M482">
        <v>0</v>
      </c>
      <c r="N482">
        <v>3489160.61</v>
      </c>
      <c r="O482">
        <v>58621.650033602142</v>
      </c>
      <c r="P482">
        <v>327360</v>
      </c>
      <c r="Q482">
        <v>3161800.61</v>
      </c>
      <c r="R482">
        <v>53121.650033602149</v>
      </c>
      <c r="S482" t="s">
        <v>65</v>
      </c>
      <c r="T482" t="s">
        <v>717</v>
      </c>
      <c r="U482" t="s">
        <v>717</v>
      </c>
      <c r="V482" t="s">
        <v>4131</v>
      </c>
      <c r="W482">
        <v>44350</v>
      </c>
      <c r="X482" t="s">
        <v>4422</v>
      </c>
      <c r="Y482" t="s">
        <v>6</v>
      </c>
      <c r="Z482" t="s">
        <v>17</v>
      </c>
      <c r="AA482" t="s">
        <v>717</v>
      </c>
      <c r="AB482" t="s">
        <v>2509</v>
      </c>
      <c r="AC482" t="s">
        <v>2571</v>
      </c>
      <c r="AD482" t="s">
        <v>717</v>
      </c>
      <c r="AE482" t="s">
        <v>359</v>
      </c>
      <c r="AF482" t="s">
        <v>4423</v>
      </c>
      <c r="AG482" t="s">
        <v>4424</v>
      </c>
      <c r="AH482" t="s">
        <v>2191</v>
      </c>
      <c r="AI482" t="s">
        <v>2552</v>
      </c>
      <c r="AJ482" t="s">
        <v>2514</v>
      </c>
      <c r="AK482" t="s">
        <v>73</v>
      </c>
      <c r="AL482" t="s">
        <v>16</v>
      </c>
      <c r="AM482" t="s">
        <v>10</v>
      </c>
      <c r="AN482" t="s">
        <v>717</v>
      </c>
    </row>
    <row r="483" spans="1:40" hidden="1">
      <c r="A483">
        <v>481</v>
      </c>
      <c r="B483">
        <v>20</v>
      </c>
      <c r="C483" s="58">
        <v>44369</v>
      </c>
      <c r="D483" t="s">
        <v>74</v>
      </c>
      <c r="E483" t="s">
        <v>2581</v>
      </c>
      <c r="F483">
        <v>1</v>
      </c>
      <c r="G483">
        <v>6</v>
      </c>
      <c r="H483">
        <v>344</v>
      </c>
      <c r="I483">
        <v>2</v>
      </c>
      <c r="J483">
        <v>59</v>
      </c>
      <c r="K483" t="s">
        <v>9</v>
      </c>
      <c r="L483">
        <v>3301384.3</v>
      </c>
      <c r="M483">
        <v>0</v>
      </c>
      <c r="N483">
        <v>3301384.3</v>
      </c>
      <c r="O483">
        <v>55955.666101694915</v>
      </c>
      <c r="P483">
        <v>30150</v>
      </c>
      <c r="Q483">
        <v>3271234.3</v>
      </c>
      <c r="R483">
        <v>55444.64915254237</v>
      </c>
      <c r="S483" t="s">
        <v>65</v>
      </c>
      <c r="T483" t="s">
        <v>2941</v>
      </c>
      <c r="U483">
        <v>20000</v>
      </c>
      <c r="V483" t="s">
        <v>717</v>
      </c>
      <c r="W483">
        <v>44353</v>
      </c>
      <c r="X483" t="s">
        <v>4425</v>
      </c>
      <c r="Y483" t="s">
        <v>6</v>
      </c>
      <c r="Z483" t="s">
        <v>11</v>
      </c>
      <c r="AA483" t="s">
        <v>717</v>
      </c>
      <c r="AB483" t="s">
        <v>326</v>
      </c>
      <c r="AC483" t="s">
        <v>2571</v>
      </c>
      <c r="AD483" t="s">
        <v>717</v>
      </c>
      <c r="AE483" t="s">
        <v>4426</v>
      </c>
      <c r="AF483" t="s">
        <v>4427</v>
      </c>
      <c r="AG483" t="s">
        <v>4428</v>
      </c>
      <c r="AH483" t="s">
        <v>2552</v>
      </c>
      <c r="AI483" t="s">
        <v>2552</v>
      </c>
      <c r="AJ483" t="s">
        <v>4429</v>
      </c>
      <c r="AK483" t="s">
        <v>73</v>
      </c>
      <c r="AL483" t="s">
        <v>16</v>
      </c>
      <c r="AM483" t="s">
        <v>10</v>
      </c>
      <c r="AN483" t="s">
        <v>717</v>
      </c>
    </row>
    <row r="484" spans="1:40" hidden="1">
      <c r="A484">
        <v>482</v>
      </c>
      <c r="B484">
        <v>21</v>
      </c>
      <c r="C484" s="58">
        <v>44369</v>
      </c>
      <c r="D484" t="s">
        <v>121</v>
      </c>
      <c r="E484" t="s">
        <v>2506</v>
      </c>
      <c r="F484">
        <v>8</v>
      </c>
      <c r="G484">
        <v>6</v>
      </c>
      <c r="H484">
        <v>213</v>
      </c>
      <c r="I484">
        <v>2</v>
      </c>
      <c r="J484">
        <v>56.93</v>
      </c>
      <c r="K484" t="s">
        <v>15</v>
      </c>
      <c r="L484">
        <v>2997510.24</v>
      </c>
      <c r="M484">
        <v>0</v>
      </c>
      <c r="N484">
        <v>2997510.24</v>
      </c>
      <c r="O484">
        <v>52652.559985947657</v>
      </c>
      <c r="P484">
        <v>256185</v>
      </c>
      <c r="Q484">
        <v>2741325.24</v>
      </c>
      <c r="R484">
        <v>48152.559985947657</v>
      </c>
      <c r="S484" t="s">
        <v>65</v>
      </c>
      <c r="T484" t="s">
        <v>717</v>
      </c>
      <c r="U484" t="s">
        <v>717</v>
      </c>
      <c r="V484" t="s">
        <v>4131</v>
      </c>
      <c r="W484">
        <v>44356</v>
      </c>
      <c r="X484" t="s">
        <v>4430</v>
      </c>
      <c r="Y484" t="s">
        <v>6</v>
      </c>
      <c r="Z484" t="s">
        <v>17</v>
      </c>
      <c r="AA484" t="s">
        <v>717</v>
      </c>
      <c r="AB484" t="s">
        <v>2509</v>
      </c>
      <c r="AC484" t="s">
        <v>2571</v>
      </c>
      <c r="AD484" t="s">
        <v>717</v>
      </c>
      <c r="AE484" t="s">
        <v>4431</v>
      </c>
      <c r="AF484" t="s">
        <v>4432</v>
      </c>
      <c r="AG484" t="s">
        <v>4433</v>
      </c>
      <c r="AH484" t="s">
        <v>2615</v>
      </c>
      <c r="AI484" t="s">
        <v>2552</v>
      </c>
      <c r="AJ484" t="s">
        <v>2895</v>
      </c>
      <c r="AK484" t="s">
        <v>77</v>
      </c>
      <c r="AL484" t="s">
        <v>16</v>
      </c>
      <c r="AM484" t="s">
        <v>10</v>
      </c>
      <c r="AN484" t="s">
        <v>717</v>
      </c>
    </row>
    <row r="485" spans="1:40" hidden="1">
      <c r="A485">
        <v>483</v>
      </c>
      <c r="B485">
        <v>22</v>
      </c>
      <c r="C485" s="58">
        <v>44369</v>
      </c>
      <c r="D485" t="s">
        <v>121</v>
      </c>
      <c r="E485" t="s">
        <v>2506</v>
      </c>
      <c r="F485">
        <v>6</v>
      </c>
      <c r="G485">
        <v>9</v>
      </c>
      <c r="H485">
        <v>244</v>
      </c>
      <c r="I485">
        <v>2</v>
      </c>
      <c r="J485">
        <v>60.24</v>
      </c>
      <c r="K485" t="s">
        <v>15</v>
      </c>
      <c r="L485">
        <v>3154513.25</v>
      </c>
      <c r="M485">
        <v>0</v>
      </c>
      <c r="N485">
        <v>3154513.25</v>
      </c>
      <c r="O485">
        <v>52365.757802124834</v>
      </c>
      <c r="P485">
        <v>271080</v>
      </c>
      <c r="Q485">
        <v>2883433.25</v>
      </c>
      <c r="R485">
        <v>47865.757802124834</v>
      </c>
      <c r="S485" t="s">
        <v>65</v>
      </c>
      <c r="T485" t="s">
        <v>2664</v>
      </c>
      <c r="U485">
        <v>58845.576399999671</v>
      </c>
      <c r="V485" t="s">
        <v>4131</v>
      </c>
      <c r="W485">
        <v>44356</v>
      </c>
      <c r="X485" t="s">
        <v>4434</v>
      </c>
      <c r="Y485" t="s">
        <v>6</v>
      </c>
      <c r="Z485" t="s">
        <v>17</v>
      </c>
      <c r="AA485" t="s">
        <v>717</v>
      </c>
      <c r="AB485" t="s">
        <v>2509</v>
      </c>
      <c r="AC485" t="s">
        <v>2571</v>
      </c>
      <c r="AD485" t="s">
        <v>717</v>
      </c>
      <c r="AE485" t="s">
        <v>4435</v>
      </c>
      <c r="AF485" t="s">
        <v>4436</v>
      </c>
      <c r="AG485" t="s">
        <v>4437</v>
      </c>
      <c r="AH485" t="s">
        <v>2191</v>
      </c>
      <c r="AI485" t="s">
        <v>2552</v>
      </c>
      <c r="AJ485" t="s">
        <v>2514</v>
      </c>
      <c r="AK485" t="s">
        <v>63</v>
      </c>
      <c r="AL485" t="s">
        <v>16</v>
      </c>
      <c r="AM485" t="s">
        <v>10</v>
      </c>
      <c r="AN485" t="s">
        <v>717</v>
      </c>
    </row>
    <row r="486" spans="1:40" hidden="1">
      <c r="A486">
        <v>484</v>
      </c>
      <c r="B486">
        <v>23</v>
      </c>
      <c r="C486" s="58">
        <v>44369</v>
      </c>
      <c r="D486" t="s">
        <v>121</v>
      </c>
      <c r="E486" t="s">
        <v>2506</v>
      </c>
      <c r="F486">
        <v>4</v>
      </c>
      <c r="G486">
        <v>6</v>
      </c>
      <c r="H486">
        <v>209</v>
      </c>
      <c r="I486">
        <v>1</v>
      </c>
      <c r="J486">
        <v>37.89</v>
      </c>
      <c r="K486" t="s">
        <v>15</v>
      </c>
      <c r="L486">
        <v>2147296.67</v>
      </c>
      <c r="M486">
        <v>15000</v>
      </c>
      <c r="N486">
        <v>2162296.67</v>
      </c>
      <c r="O486">
        <v>57067.740036949057</v>
      </c>
      <c r="P486">
        <v>170505</v>
      </c>
      <c r="Q486">
        <v>1991791.67</v>
      </c>
      <c r="R486">
        <v>52567.740036949057</v>
      </c>
      <c r="S486" t="s">
        <v>65</v>
      </c>
      <c r="T486" t="s">
        <v>717</v>
      </c>
      <c r="U486" t="s">
        <v>717</v>
      </c>
      <c r="V486" t="s">
        <v>717</v>
      </c>
      <c r="W486">
        <v>44360</v>
      </c>
      <c r="X486" t="s">
        <v>4438</v>
      </c>
      <c r="Y486" t="s">
        <v>6</v>
      </c>
      <c r="Z486" t="s">
        <v>17</v>
      </c>
      <c r="AA486" t="s">
        <v>717</v>
      </c>
      <c r="AB486" t="s">
        <v>2509</v>
      </c>
      <c r="AC486" t="s">
        <v>2564</v>
      </c>
      <c r="AD486" t="s">
        <v>717</v>
      </c>
      <c r="AE486" t="s">
        <v>4439</v>
      </c>
      <c r="AF486" t="s">
        <v>4440</v>
      </c>
      <c r="AG486" t="s">
        <v>4441</v>
      </c>
      <c r="AH486" t="s">
        <v>2191</v>
      </c>
      <c r="AI486" t="s">
        <v>2513</v>
      </c>
      <c r="AJ486" t="s">
        <v>2514</v>
      </c>
      <c r="AK486" t="s">
        <v>20</v>
      </c>
      <c r="AL486" t="s">
        <v>16</v>
      </c>
      <c r="AM486" t="s">
        <v>10</v>
      </c>
      <c r="AN486" t="s">
        <v>717</v>
      </c>
    </row>
    <row r="487" spans="1:40" hidden="1">
      <c r="A487">
        <v>485</v>
      </c>
      <c r="B487">
        <v>24</v>
      </c>
      <c r="C487" s="58">
        <v>44369</v>
      </c>
      <c r="D487" t="s">
        <v>121</v>
      </c>
      <c r="E487" t="s">
        <v>2506</v>
      </c>
      <c r="F487">
        <v>8</v>
      </c>
      <c r="G487">
        <v>14</v>
      </c>
      <c r="H487">
        <v>301</v>
      </c>
      <c r="I487">
        <v>2</v>
      </c>
      <c r="J487">
        <v>56.93</v>
      </c>
      <c r="K487" t="s">
        <v>25</v>
      </c>
      <c r="L487">
        <v>3828294.85</v>
      </c>
      <c r="M487">
        <v>0</v>
      </c>
      <c r="N487">
        <v>3828294.85</v>
      </c>
      <c r="O487">
        <v>67245.649920955562</v>
      </c>
      <c r="P487">
        <v>853950</v>
      </c>
      <c r="Q487">
        <v>2974344.85</v>
      </c>
      <c r="R487">
        <v>52245.649920955562</v>
      </c>
      <c r="S487" t="s">
        <v>65</v>
      </c>
      <c r="T487" t="s">
        <v>717</v>
      </c>
      <c r="U487" t="s">
        <v>717</v>
      </c>
      <c r="V487" t="s">
        <v>4131</v>
      </c>
      <c r="W487">
        <v>44364</v>
      </c>
      <c r="X487" t="s">
        <v>4442</v>
      </c>
      <c r="Y487" t="s">
        <v>6</v>
      </c>
      <c r="Z487" t="s">
        <v>17</v>
      </c>
      <c r="AA487" t="s">
        <v>717</v>
      </c>
      <c r="AB487" t="s">
        <v>2509</v>
      </c>
      <c r="AC487" t="s">
        <v>2571</v>
      </c>
      <c r="AD487" t="s">
        <v>717</v>
      </c>
      <c r="AE487" t="s">
        <v>4443</v>
      </c>
      <c r="AF487" t="s">
        <v>4444</v>
      </c>
      <c r="AG487" t="s">
        <v>4445</v>
      </c>
      <c r="AH487" t="s">
        <v>2615</v>
      </c>
      <c r="AI487" t="s">
        <v>2552</v>
      </c>
      <c r="AJ487" t="s">
        <v>2895</v>
      </c>
      <c r="AK487" t="s">
        <v>20</v>
      </c>
      <c r="AL487" t="s">
        <v>16</v>
      </c>
      <c r="AM487" t="s">
        <v>10</v>
      </c>
      <c r="AN487" t="s">
        <v>717</v>
      </c>
    </row>
    <row r="488" spans="1:40" hidden="1">
      <c r="A488">
        <v>486</v>
      </c>
      <c r="B488">
        <v>25</v>
      </c>
      <c r="C488" s="58">
        <v>44370</v>
      </c>
      <c r="D488" t="s">
        <v>121</v>
      </c>
      <c r="E488" t="s">
        <v>2506</v>
      </c>
      <c r="F488">
        <v>6</v>
      </c>
      <c r="G488">
        <v>11</v>
      </c>
      <c r="H488">
        <v>266</v>
      </c>
      <c r="I488">
        <v>2</v>
      </c>
      <c r="J488">
        <v>60.24</v>
      </c>
      <c r="K488" t="s">
        <v>25</v>
      </c>
      <c r="L488">
        <v>3867022.83</v>
      </c>
      <c r="M488">
        <v>15000</v>
      </c>
      <c r="N488">
        <v>3882022.83</v>
      </c>
      <c r="O488">
        <v>64442.610059760955</v>
      </c>
      <c r="P488">
        <v>903600</v>
      </c>
      <c r="Q488">
        <v>2978422.83</v>
      </c>
      <c r="R488">
        <v>49442.610059760955</v>
      </c>
      <c r="S488" t="s">
        <v>65</v>
      </c>
      <c r="T488" t="s">
        <v>717</v>
      </c>
      <c r="U488" t="s">
        <v>717</v>
      </c>
      <c r="V488" t="s">
        <v>4131</v>
      </c>
      <c r="W488">
        <v>44364</v>
      </c>
      <c r="X488" t="s">
        <v>4446</v>
      </c>
      <c r="Y488" t="s">
        <v>6</v>
      </c>
      <c r="Z488" t="s">
        <v>17</v>
      </c>
      <c r="AA488" t="s">
        <v>717</v>
      </c>
      <c r="AB488" t="s">
        <v>2509</v>
      </c>
      <c r="AC488" t="s">
        <v>2571</v>
      </c>
      <c r="AD488" t="s">
        <v>717</v>
      </c>
      <c r="AE488" t="s">
        <v>4447</v>
      </c>
      <c r="AF488" t="s">
        <v>4448</v>
      </c>
      <c r="AG488" t="s">
        <v>4449</v>
      </c>
      <c r="AH488" t="s">
        <v>2615</v>
      </c>
      <c r="AI488" t="s">
        <v>2552</v>
      </c>
      <c r="AJ488" t="s">
        <v>3289</v>
      </c>
      <c r="AK488" t="s">
        <v>73</v>
      </c>
      <c r="AL488" t="s">
        <v>16</v>
      </c>
      <c r="AM488" t="s">
        <v>10</v>
      </c>
      <c r="AN488" t="s">
        <v>717</v>
      </c>
    </row>
    <row r="489" spans="1:40" hidden="1">
      <c r="A489">
        <v>487</v>
      </c>
      <c r="B489">
        <v>26</v>
      </c>
      <c r="C489" s="58">
        <v>44370</v>
      </c>
      <c r="D489" t="s">
        <v>121</v>
      </c>
      <c r="E489" t="s">
        <v>2515</v>
      </c>
      <c r="F489">
        <v>4</v>
      </c>
      <c r="G489">
        <v>3</v>
      </c>
      <c r="H489">
        <v>11</v>
      </c>
      <c r="I489">
        <v>1</v>
      </c>
      <c r="J489">
        <v>36.86</v>
      </c>
      <c r="K489" t="s">
        <v>15</v>
      </c>
      <c r="L489">
        <v>2273352.66</v>
      </c>
      <c r="M489">
        <v>0</v>
      </c>
      <c r="N489">
        <v>2273352.66</v>
      </c>
      <c r="O489">
        <v>61675.32989690722</v>
      </c>
      <c r="P489">
        <v>202730</v>
      </c>
      <c r="Q489">
        <v>2070622.66</v>
      </c>
      <c r="R489">
        <v>56175.32989690722</v>
      </c>
      <c r="S489" t="s">
        <v>65</v>
      </c>
      <c r="T489" t="s">
        <v>717</v>
      </c>
      <c r="U489" t="s">
        <v>717</v>
      </c>
      <c r="V489" t="s">
        <v>717</v>
      </c>
      <c r="W489">
        <v>44365</v>
      </c>
      <c r="X489" t="s">
        <v>4450</v>
      </c>
      <c r="Y489" t="s">
        <v>6</v>
      </c>
      <c r="Z489" t="s">
        <v>17</v>
      </c>
      <c r="AA489" t="s">
        <v>717</v>
      </c>
      <c r="AB489" t="s">
        <v>2509</v>
      </c>
      <c r="AC489" t="s">
        <v>2564</v>
      </c>
      <c r="AD489" t="s">
        <v>717</v>
      </c>
      <c r="AE489" t="s">
        <v>4451</v>
      </c>
      <c r="AF489" t="s">
        <v>4452</v>
      </c>
      <c r="AG489" t="s">
        <v>4453</v>
      </c>
      <c r="AH489" t="s">
        <v>2615</v>
      </c>
      <c r="AI489" t="s">
        <v>2552</v>
      </c>
      <c r="AJ489" t="s">
        <v>2895</v>
      </c>
      <c r="AK489" t="s">
        <v>20</v>
      </c>
      <c r="AL489" t="s">
        <v>16</v>
      </c>
      <c r="AM489" t="s">
        <v>10</v>
      </c>
      <c r="AN489" t="s">
        <v>717</v>
      </c>
    </row>
    <row r="490" spans="1:40" hidden="1">
      <c r="A490">
        <v>488</v>
      </c>
      <c r="B490">
        <v>27</v>
      </c>
      <c r="C490" s="58">
        <v>44371</v>
      </c>
      <c r="D490" t="s">
        <v>121</v>
      </c>
      <c r="E490" t="s">
        <v>2506</v>
      </c>
      <c r="F490">
        <v>8</v>
      </c>
      <c r="G490">
        <v>5</v>
      </c>
      <c r="H490">
        <v>202</v>
      </c>
      <c r="I490">
        <v>2</v>
      </c>
      <c r="J490">
        <v>56.93</v>
      </c>
      <c r="K490" t="s">
        <v>15</v>
      </c>
      <c r="L490">
        <v>3033722.84</v>
      </c>
      <c r="M490">
        <v>0</v>
      </c>
      <c r="N490">
        <v>3033722.84</v>
      </c>
      <c r="O490">
        <v>53288.649920955555</v>
      </c>
      <c r="P490">
        <v>256185</v>
      </c>
      <c r="Q490">
        <v>2777537.84</v>
      </c>
      <c r="R490">
        <v>48788.649920955555</v>
      </c>
      <c r="S490" t="s">
        <v>65</v>
      </c>
      <c r="T490" t="s">
        <v>717</v>
      </c>
      <c r="U490" t="s">
        <v>717</v>
      </c>
      <c r="V490" t="s">
        <v>4131</v>
      </c>
      <c r="W490">
        <v>44368</v>
      </c>
      <c r="X490" t="s">
        <v>4454</v>
      </c>
      <c r="Y490" t="s">
        <v>6</v>
      </c>
      <c r="Z490" t="s">
        <v>17</v>
      </c>
      <c r="AA490" t="s">
        <v>717</v>
      </c>
      <c r="AB490" t="s">
        <v>2509</v>
      </c>
      <c r="AC490" t="s">
        <v>2571</v>
      </c>
      <c r="AD490" t="s">
        <v>717</v>
      </c>
      <c r="AE490" t="s">
        <v>140</v>
      </c>
      <c r="AF490" t="s">
        <v>3990</v>
      </c>
      <c r="AG490" t="s">
        <v>3991</v>
      </c>
      <c r="AH490" t="s">
        <v>2615</v>
      </c>
      <c r="AI490" t="s">
        <v>2600</v>
      </c>
      <c r="AJ490" t="s">
        <v>3921</v>
      </c>
      <c r="AK490" t="s">
        <v>77</v>
      </c>
      <c r="AL490" t="s">
        <v>16</v>
      </c>
      <c r="AM490" t="s">
        <v>10</v>
      </c>
      <c r="AN490" t="s">
        <v>717</v>
      </c>
    </row>
    <row r="491" spans="1:40" hidden="1">
      <c r="A491">
        <v>489</v>
      </c>
      <c r="B491">
        <v>28</v>
      </c>
      <c r="C491" s="58">
        <v>44372</v>
      </c>
      <c r="D491" t="s">
        <v>121</v>
      </c>
      <c r="E491" t="s">
        <v>2515</v>
      </c>
      <c r="F491">
        <v>3</v>
      </c>
      <c r="G491">
        <v>21</v>
      </c>
      <c r="H491">
        <v>136</v>
      </c>
      <c r="I491">
        <v>3</v>
      </c>
      <c r="J491">
        <v>76.56</v>
      </c>
      <c r="K491" t="s">
        <v>9</v>
      </c>
      <c r="L491">
        <v>3811601.61</v>
      </c>
      <c r="M491">
        <v>0</v>
      </c>
      <c r="N491">
        <v>3811601.61</v>
      </c>
      <c r="O491">
        <v>49785.809952978045</v>
      </c>
      <c r="P491">
        <v>0</v>
      </c>
      <c r="Q491">
        <v>3811601.61</v>
      </c>
      <c r="R491">
        <v>49785.809952978045</v>
      </c>
      <c r="S491" t="s">
        <v>65</v>
      </c>
      <c r="T491" t="s">
        <v>717</v>
      </c>
      <c r="U491" t="s">
        <v>717</v>
      </c>
      <c r="V491" t="s">
        <v>717</v>
      </c>
      <c r="W491">
        <v>44363</v>
      </c>
      <c r="X491" t="s">
        <v>4455</v>
      </c>
      <c r="Y491" t="s">
        <v>6</v>
      </c>
      <c r="Z491" t="s">
        <v>17</v>
      </c>
      <c r="AA491" t="s">
        <v>717</v>
      </c>
      <c r="AB491" t="s">
        <v>2509</v>
      </c>
      <c r="AC491" t="s">
        <v>2564</v>
      </c>
      <c r="AD491" t="s">
        <v>717</v>
      </c>
      <c r="AE491" t="s">
        <v>4456</v>
      </c>
      <c r="AF491" t="s">
        <v>4457</v>
      </c>
      <c r="AG491" t="s">
        <v>4458</v>
      </c>
      <c r="AH491" t="s">
        <v>2615</v>
      </c>
      <c r="AI491" t="s">
        <v>2834</v>
      </c>
      <c r="AJ491" t="s">
        <v>2569</v>
      </c>
      <c r="AK491" t="s">
        <v>20</v>
      </c>
      <c r="AL491" t="s">
        <v>16</v>
      </c>
      <c r="AM491" t="s">
        <v>10</v>
      </c>
      <c r="AN491" t="s">
        <v>717</v>
      </c>
    </row>
    <row r="492" spans="1:40" hidden="1">
      <c r="A492">
        <v>490</v>
      </c>
      <c r="B492">
        <v>29</v>
      </c>
      <c r="C492" s="58">
        <v>44372</v>
      </c>
      <c r="D492" t="s">
        <v>121</v>
      </c>
      <c r="E492" t="s">
        <v>2506</v>
      </c>
      <c r="F492">
        <v>9</v>
      </c>
      <c r="G492">
        <v>8</v>
      </c>
      <c r="H492">
        <v>236</v>
      </c>
      <c r="I492">
        <v>2</v>
      </c>
      <c r="J492">
        <v>60.3</v>
      </c>
      <c r="K492" t="s">
        <v>15</v>
      </c>
      <c r="L492">
        <v>3396421.25</v>
      </c>
      <c r="M492">
        <v>15000</v>
      </c>
      <c r="N492">
        <v>3411421.25</v>
      </c>
      <c r="O492">
        <v>56574.150082918743</v>
      </c>
      <c r="P492">
        <v>271350</v>
      </c>
      <c r="Q492">
        <v>3140071.25</v>
      </c>
      <c r="R492">
        <v>52074.150082918743</v>
      </c>
      <c r="S492" t="s">
        <v>65</v>
      </c>
      <c r="T492" t="s">
        <v>717</v>
      </c>
      <c r="U492" t="s">
        <v>717</v>
      </c>
      <c r="V492" t="s">
        <v>4131</v>
      </c>
      <c r="W492">
        <v>44366</v>
      </c>
      <c r="X492" t="s">
        <v>4459</v>
      </c>
      <c r="Y492" t="s">
        <v>6</v>
      </c>
      <c r="Z492" t="s">
        <v>17</v>
      </c>
      <c r="AA492" t="s">
        <v>717</v>
      </c>
      <c r="AB492" t="s">
        <v>2509</v>
      </c>
      <c r="AC492" t="s">
        <v>2571</v>
      </c>
      <c r="AD492" t="s">
        <v>717</v>
      </c>
      <c r="AE492" t="s">
        <v>396</v>
      </c>
      <c r="AF492" t="s">
        <v>4460</v>
      </c>
      <c r="AG492" t="s">
        <v>4461</v>
      </c>
      <c r="AH492" t="s">
        <v>2615</v>
      </c>
      <c r="AI492" t="s">
        <v>2688</v>
      </c>
      <c r="AJ492" t="s">
        <v>3330</v>
      </c>
      <c r="AK492" t="s">
        <v>73</v>
      </c>
      <c r="AL492" t="s">
        <v>16</v>
      </c>
      <c r="AM492" t="s">
        <v>10</v>
      </c>
      <c r="AN492" t="s">
        <v>717</v>
      </c>
    </row>
    <row r="493" spans="1:40" hidden="1">
      <c r="A493">
        <v>491</v>
      </c>
      <c r="B493">
        <v>30</v>
      </c>
      <c r="C493" s="58">
        <v>44372</v>
      </c>
      <c r="D493" t="s">
        <v>27</v>
      </c>
      <c r="E493" t="s">
        <v>4409</v>
      </c>
      <c r="F493">
        <v>3</v>
      </c>
      <c r="G493">
        <v>3</v>
      </c>
      <c r="H493">
        <v>522</v>
      </c>
      <c r="I493">
        <v>0</v>
      </c>
      <c r="J493">
        <v>23.54</v>
      </c>
      <c r="K493" t="s">
        <v>9</v>
      </c>
      <c r="L493">
        <v>1377560.8</v>
      </c>
      <c r="M493">
        <v>0</v>
      </c>
      <c r="N493">
        <v>1377560.8</v>
      </c>
      <c r="O493">
        <v>58520.000000000007</v>
      </c>
      <c r="P493">
        <v>0</v>
      </c>
      <c r="Q493">
        <v>1377560.8</v>
      </c>
      <c r="R493">
        <v>58520.000000000007</v>
      </c>
      <c r="S493" t="s">
        <v>130</v>
      </c>
      <c r="T493" t="s">
        <v>717</v>
      </c>
      <c r="U493" t="s">
        <v>717</v>
      </c>
      <c r="V493" t="s">
        <v>717</v>
      </c>
      <c r="W493">
        <v>44367</v>
      </c>
      <c r="X493" t="s">
        <v>4462</v>
      </c>
      <c r="Y493" t="s">
        <v>6</v>
      </c>
      <c r="Z493" t="s">
        <v>11</v>
      </c>
      <c r="AA493" t="s">
        <v>717</v>
      </c>
      <c r="AB493" t="s">
        <v>2509</v>
      </c>
      <c r="AC493" t="s">
        <v>118</v>
      </c>
      <c r="AD493" t="s">
        <v>717</v>
      </c>
      <c r="AE493" t="s">
        <v>399</v>
      </c>
      <c r="AF493" t="s">
        <v>4463</v>
      </c>
      <c r="AG493" t="s">
        <v>4464</v>
      </c>
      <c r="AH493" t="s">
        <v>2615</v>
      </c>
      <c r="AI493" t="s">
        <v>2706</v>
      </c>
      <c r="AJ493" t="s">
        <v>4465</v>
      </c>
      <c r="AK493" t="s">
        <v>73</v>
      </c>
      <c r="AL493" t="s">
        <v>717</v>
      </c>
      <c r="AM493" t="s">
        <v>10</v>
      </c>
      <c r="AN493" t="s">
        <v>717</v>
      </c>
    </row>
    <row r="494" spans="1:40" hidden="1">
      <c r="A494">
        <v>492</v>
      </c>
      <c r="B494">
        <v>31</v>
      </c>
      <c r="C494" s="58">
        <v>44373</v>
      </c>
      <c r="D494" t="s">
        <v>121</v>
      </c>
      <c r="E494" t="s">
        <v>2515</v>
      </c>
      <c r="F494">
        <v>1</v>
      </c>
      <c r="G494">
        <v>8</v>
      </c>
      <c r="H494">
        <v>43</v>
      </c>
      <c r="I494">
        <v>2</v>
      </c>
      <c r="J494">
        <v>59.52</v>
      </c>
      <c r="K494" t="s">
        <v>9</v>
      </c>
      <c r="L494">
        <v>3170608.61</v>
      </c>
      <c r="M494">
        <v>15000</v>
      </c>
      <c r="N494">
        <v>3185608.61</v>
      </c>
      <c r="O494">
        <v>53521.650033602149</v>
      </c>
      <c r="P494">
        <v>0</v>
      </c>
      <c r="Q494">
        <v>3185608.61</v>
      </c>
      <c r="R494">
        <v>53521.650033602149</v>
      </c>
      <c r="S494" t="s">
        <v>65</v>
      </c>
      <c r="T494" t="s">
        <v>717</v>
      </c>
      <c r="U494" t="s">
        <v>717</v>
      </c>
      <c r="V494" t="s">
        <v>4131</v>
      </c>
      <c r="W494">
        <v>44367</v>
      </c>
      <c r="X494" t="s">
        <v>4466</v>
      </c>
      <c r="Y494" t="s">
        <v>6</v>
      </c>
      <c r="Z494" t="s">
        <v>17</v>
      </c>
      <c r="AA494" t="s">
        <v>717</v>
      </c>
      <c r="AB494" t="s">
        <v>2509</v>
      </c>
      <c r="AC494" t="s">
        <v>2571</v>
      </c>
      <c r="AD494" t="s">
        <v>717</v>
      </c>
      <c r="AE494" t="s">
        <v>4467</v>
      </c>
      <c r="AF494" t="s">
        <v>4468</v>
      </c>
      <c r="AG494" t="s">
        <v>4469</v>
      </c>
      <c r="AH494" t="s">
        <v>2191</v>
      </c>
      <c r="AI494" t="s">
        <v>2552</v>
      </c>
      <c r="AJ494" t="s">
        <v>2569</v>
      </c>
      <c r="AK494" t="s">
        <v>77</v>
      </c>
      <c r="AL494" t="s">
        <v>16</v>
      </c>
      <c r="AM494" t="s">
        <v>10</v>
      </c>
      <c r="AN494" t="s">
        <v>717</v>
      </c>
    </row>
    <row r="495" spans="1:40" hidden="1">
      <c r="A495">
        <v>493</v>
      </c>
      <c r="B495">
        <v>32</v>
      </c>
      <c r="C495" s="58">
        <v>44373</v>
      </c>
      <c r="D495" t="s">
        <v>121</v>
      </c>
      <c r="E495" t="s">
        <v>2506</v>
      </c>
      <c r="F495">
        <v>5</v>
      </c>
      <c r="G495">
        <v>13</v>
      </c>
      <c r="H495">
        <v>287</v>
      </c>
      <c r="I495">
        <v>2</v>
      </c>
      <c r="J495">
        <v>60.19</v>
      </c>
      <c r="K495" t="s">
        <v>25</v>
      </c>
      <c r="L495">
        <v>3819281.68</v>
      </c>
      <c r="M495">
        <v>0</v>
      </c>
      <c r="N495">
        <v>3819281.68</v>
      </c>
      <c r="O495">
        <v>63453.757767070951</v>
      </c>
      <c r="P495">
        <v>902850</v>
      </c>
      <c r="Q495">
        <v>2916431.68</v>
      </c>
      <c r="R495">
        <v>48453.757767070943</v>
      </c>
      <c r="S495" t="s">
        <v>65</v>
      </c>
      <c r="T495" t="s">
        <v>3414</v>
      </c>
      <c r="U495">
        <v>59519.015899999533</v>
      </c>
      <c r="V495" t="s">
        <v>4131</v>
      </c>
      <c r="W495">
        <v>44367</v>
      </c>
      <c r="X495" t="s">
        <v>4470</v>
      </c>
      <c r="Y495" t="s">
        <v>6</v>
      </c>
      <c r="Z495" t="s">
        <v>17</v>
      </c>
      <c r="AA495" t="s">
        <v>717</v>
      </c>
      <c r="AB495" t="s">
        <v>2509</v>
      </c>
      <c r="AC495" t="s">
        <v>2571</v>
      </c>
      <c r="AD495" t="s">
        <v>717</v>
      </c>
      <c r="AE495" t="s">
        <v>4471</v>
      </c>
      <c r="AF495" t="s">
        <v>4472</v>
      </c>
      <c r="AG495" t="s">
        <v>4473</v>
      </c>
      <c r="AH495" t="s">
        <v>2615</v>
      </c>
      <c r="AI495" t="s">
        <v>2706</v>
      </c>
      <c r="AJ495" t="s">
        <v>2569</v>
      </c>
      <c r="AK495" t="s">
        <v>73</v>
      </c>
      <c r="AL495" t="s">
        <v>16</v>
      </c>
      <c r="AM495" t="s">
        <v>10</v>
      </c>
      <c r="AN495" t="s">
        <v>717</v>
      </c>
    </row>
    <row r="496" spans="1:40" hidden="1">
      <c r="A496">
        <v>494</v>
      </c>
      <c r="B496">
        <v>33</v>
      </c>
      <c r="C496" s="58">
        <v>44376</v>
      </c>
      <c r="D496" t="s">
        <v>121</v>
      </c>
      <c r="E496" t="s">
        <v>2515</v>
      </c>
      <c r="F496">
        <v>2</v>
      </c>
      <c r="G496">
        <v>7</v>
      </c>
      <c r="H496">
        <v>37</v>
      </c>
      <c r="I496">
        <v>2</v>
      </c>
      <c r="J496">
        <v>58.99</v>
      </c>
      <c r="K496" t="s">
        <v>15</v>
      </c>
      <c r="L496">
        <v>3506403.94</v>
      </c>
      <c r="M496">
        <v>0</v>
      </c>
      <c r="N496">
        <v>3506403.94</v>
      </c>
      <c r="O496">
        <v>59440.649940667907</v>
      </c>
      <c r="P496">
        <v>265455</v>
      </c>
      <c r="Q496">
        <v>3240948.94</v>
      </c>
      <c r="R496">
        <v>54940.649940667907</v>
      </c>
      <c r="S496" t="s">
        <v>65</v>
      </c>
      <c r="T496" t="s">
        <v>717</v>
      </c>
      <c r="U496" t="s">
        <v>717</v>
      </c>
      <c r="V496" t="s">
        <v>717</v>
      </c>
      <c r="W496">
        <v>44355</v>
      </c>
      <c r="X496" t="s">
        <v>4474</v>
      </c>
      <c r="Y496" t="s">
        <v>6</v>
      </c>
      <c r="Z496" t="s">
        <v>11</v>
      </c>
      <c r="AA496" t="s">
        <v>717</v>
      </c>
      <c r="AB496" t="s">
        <v>2509</v>
      </c>
      <c r="AC496" t="s">
        <v>3862</v>
      </c>
      <c r="AD496" t="s">
        <v>717</v>
      </c>
      <c r="AE496" t="s">
        <v>4475</v>
      </c>
      <c r="AF496" t="s">
        <v>4476</v>
      </c>
      <c r="AG496" t="s">
        <v>4477</v>
      </c>
      <c r="AH496" t="s">
        <v>2615</v>
      </c>
      <c r="AI496" t="s">
        <v>2552</v>
      </c>
      <c r="AJ496" t="s">
        <v>2895</v>
      </c>
      <c r="AK496" t="s">
        <v>77</v>
      </c>
      <c r="AL496" t="s">
        <v>16</v>
      </c>
      <c r="AM496" t="s">
        <v>10</v>
      </c>
      <c r="AN496" t="s">
        <v>717</v>
      </c>
    </row>
    <row r="497" spans="1:40" hidden="1">
      <c r="A497">
        <v>495</v>
      </c>
      <c r="B497">
        <v>34</v>
      </c>
      <c r="C497" s="58">
        <v>44376</v>
      </c>
      <c r="D497" t="s">
        <v>27</v>
      </c>
      <c r="E497" t="s">
        <v>2506</v>
      </c>
      <c r="F497">
        <v>5</v>
      </c>
      <c r="G497">
        <v>4</v>
      </c>
      <c r="H497">
        <v>228</v>
      </c>
      <c r="I497">
        <v>0</v>
      </c>
      <c r="J497">
        <v>23.63</v>
      </c>
      <c r="K497" t="s">
        <v>15</v>
      </c>
      <c r="L497">
        <v>1405985</v>
      </c>
      <c r="M497">
        <v>0</v>
      </c>
      <c r="N497">
        <v>1405985</v>
      </c>
      <c r="O497">
        <v>59500</v>
      </c>
      <c r="P497">
        <v>106335</v>
      </c>
      <c r="Q497">
        <v>1299650</v>
      </c>
      <c r="R497">
        <v>55000</v>
      </c>
      <c r="S497" t="s">
        <v>2507</v>
      </c>
      <c r="T497" t="s">
        <v>717</v>
      </c>
      <c r="U497" t="s">
        <v>717</v>
      </c>
      <c r="V497" t="s">
        <v>717</v>
      </c>
      <c r="W497">
        <v>44357</v>
      </c>
      <c r="X497" t="s">
        <v>4478</v>
      </c>
      <c r="Y497" t="s">
        <v>6</v>
      </c>
      <c r="Z497" t="s">
        <v>11</v>
      </c>
      <c r="AA497" t="s">
        <v>717</v>
      </c>
      <c r="AB497" t="s">
        <v>2509</v>
      </c>
      <c r="AC497" t="s">
        <v>118</v>
      </c>
      <c r="AD497" t="s">
        <v>717</v>
      </c>
      <c r="AE497" t="s">
        <v>4479</v>
      </c>
      <c r="AF497" t="s">
        <v>4480</v>
      </c>
      <c r="AG497" t="s">
        <v>4481</v>
      </c>
      <c r="AH497" t="s">
        <v>2191</v>
      </c>
      <c r="AI497" t="s">
        <v>2552</v>
      </c>
      <c r="AJ497" t="s">
        <v>2514</v>
      </c>
      <c r="AK497" t="s">
        <v>77</v>
      </c>
      <c r="AL497" t="s">
        <v>717</v>
      </c>
      <c r="AM497" t="s">
        <v>10</v>
      </c>
      <c r="AN497" t="s">
        <v>717</v>
      </c>
    </row>
    <row r="498" spans="1:40" hidden="1">
      <c r="A498">
        <v>496</v>
      </c>
      <c r="B498">
        <v>35</v>
      </c>
      <c r="C498" s="58">
        <v>44376</v>
      </c>
      <c r="D498" t="s">
        <v>74</v>
      </c>
      <c r="E498" t="s">
        <v>2506</v>
      </c>
      <c r="F498">
        <v>2</v>
      </c>
      <c r="G498">
        <v>21</v>
      </c>
      <c r="H498">
        <v>285</v>
      </c>
      <c r="I498">
        <v>2</v>
      </c>
      <c r="J498">
        <v>65.8</v>
      </c>
      <c r="K498" t="s">
        <v>9</v>
      </c>
      <c r="L498">
        <v>3651312.5</v>
      </c>
      <c r="M498">
        <v>0</v>
      </c>
      <c r="N498">
        <v>3651312.5</v>
      </c>
      <c r="O498">
        <v>55491.071428571428</v>
      </c>
      <c r="P498">
        <v>34375</v>
      </c>
      <c r="Q498">
        <v>3616937.5</v>
      </c>
      <c r="R498">
        <v>54968.655015197568</v>
      </c>
      <c r="S498" t="s">
        <v>65</v>
      </c>
      <c r="T498" t="s">
        <v>717</v>
      </c>
      <c r="U498" t="s">
        <v>717</v>
      </c>
      <c r="V498" t="s">
        <v>717</v>
      </c>
      <c r="W498">
        <v>44365</v>
      </c>
      <c r="X498" t="s">
        <v>4482</v>
      </c>
      <c r="Y498" t="s">
        <v>6</v>
      </c>
      <c r="Z498" t="s">
        <v>11</v>
      </c>
      <c r="AA498" t="s">
        <v>717</v>
      </c>
      <c r="AB498" t="s">
        <v>326</v>
      </c>
      <c r="AC498" t="s">
        <v>2564</v>
      </c>
      <c r="AD498" t="s">
        <v>717</v>
      </c>
      <c r="AE498" t="s">
        <v>4483</v>
      </c>
      <c r="AF498" t="s">
        <v>4484</v>
      </c>
      <c r="AG498" t="s">
        <v>4485</v>
      </c>
      <c r="AH498" t="s">
        <v>2615</v>
      </c>
      <c r="AI498" t="s">
        <v>2847</v>
      </c>
      <c r="AJ498" t="s">
        <v>2895</v>
      </c>
      <c r="AK498" t="s">
        <v>77</v>
      </c>
      <c r="AL498" t="s">
        <v>16</v>
      </c>
      <c r="AM498" t="s">
        <v>10</v>
      </c>
      <c r="AN498" t="s">
        <v>717</v>
      </c>
    </row>
    <row r="499" spans="1:40" hidden="1">
      <c r="A499">
        <v>497</v>
      </c>
      <c r="B499">
        <v>36</v>
      </c>
      <c r="C499" s="58">
        <v>44376</v>
      </c>
      <c r="D499" t="s">
        <v>121</v>
      </c>
      <c r="E499" t="s">
        <v>2515</v>
      </c>
      <c r="F499">
        <v>5</v>
      </c>
      <c r="G499">
        <v>13</v>
      </c>
      <c r="H499">
        <v>82</v>
      </c>
      <c r="I499">
        <v>1</v>
      </c>
      <c r="J499">
        <v>36.42</v>
      </c>
      <c r="K499" t="s">
        <v>15</v>
      </c>
      <c r="L499">
        <v>2448337.7799999998</v>
      </c>
      <c r="M499">
        <v>0</v>
      </c>
      <c r="N499">
        <v>2448337.7799999998</v>
      </c>
      <c r="O499">
        <v>67225.090060406365</v>
      </c>
      <c r="P499">
        <v>200310</v>
      </c>
      <c r="Q499">
        <v>2248027.7799999998</v>
      </c>
      <c r="R499">
        <v>61725.090060406365</v>
      </c>
      <c r="S499" t="s">
        <v>65</v>
      </c>
      <c r="T499" t="s">
        <v>717</v>
      </c>
      <c r="U499" t="s">
        <v>717</v>
      </c>
      <c r="V499" t="s">
        <v>717</v>
      </c>
      <c r="W499">
        <v>44370</v>
      </c>
      <c r="X499" t="s">
        <v>4486</v>
      </c>
      <c r="Y499" t="s">
        <v>6</v>
      </c>
      <c r="Z499" t="s">
        <v>17</v>
      </c>
      <c r="AA499" t="s">
        <v>717</v>
      </c>
      <c r="AB499" t="s">
        <v>2509</v>
      </c>
      <c r="AC499" t="s">
        <v>2564</v>
      </c>
      <c r="AD499" t="s">
        <v>717</v>
      </c>
      <c r="AE499" t="s">
        <v>4487</v>
      </c>
      <c r="AF499" t="s">
        <v>4488</v>
      </c>
      <c r="AG499" t="s">
        <v>4489</v>
      </c>
      <c r="AH499" t="s">
        <v>2615</v>
      </c>
      <c r="AI499" t="s">
        <v>2552</v>
      </c>
      <c r="AJ499" t="s">
        <v>2651</v>
      </c>
      <c r="AK499" t="s">
        <v>73</v>
      </c>
      <c r="AL499" t="s">
        <v>16</v>
      </c>
      <c r="AM499" t="s">
        <v>10</v>
      </c>
      <c r="AN499" t="s">
        <v>717</v>
      </c>
    </row>
    <row r="500" spans="1:40" hidden="1">
      <c r="A500">
        <v>498</v>
      </c>
      <c r="B500">
        <v>37</v>
      </c>
      <c r="C500" s="58">
        <v>44377</v>
      </c>
      <c r="D500" t="s">
        <v>121</v>
      </c>
      <c r="E500" t="s">
        <v>2506</v>
      </c>
      <c r="F500">
        <v>2</v>
      </c>
      <c r="G500">
        <v>15</v>
      </c>
      <c r="H500">
        <v>306</v>
      </c>
      <c r="I500">
        <v>1</v>
      </c>
      <c r="J500">
        <v>38.22</v>
      </c>
      <c r="K500" t="s">
        <v>15</v>
      </c>
      <c r="L500">
        <v>1860003.05</v>
      </c>
      <c r="M500">
        <v>0</v>
      </c>
      <c r="N500">
        <v>1860003.05</v>
      </c>
      <c r="O500">
        <v>48665.699895342754</v>
      </c>
      <c r="P500">
        <v>171990</v>
      </c>
      <c r="Q500">
        <v>1688013.05</v>
      </c>
      <c r="R500">
        <v>44165.699895342754</v>
      </c>
      <c r="S500" t="s">
        <v>130</v>
      </c>
      <c r="T500" t="s">
        <v>3414</v>
      </c>
      <c r="U500">
        <v>241207.95</v>
      </c>
      <c r="V500" t="s">
        <v>717</v>
      </c>
      <c r="W500">
        <v>44351</v>
      </c>
      <c r="X500" t="s">
        <v>4490</v>
      </c>
      <c r="Y500" t="s">
        <v>6</v>
      </c>
      <c r="Z500" t="s">
        <v>11</v>
      </c>
      <c r="AA500" t="s">
        <v>717</v>
      </c>
      <c r="AB500" t="s">
        <v>2509</v>
      </c>
      <c r="AC500" t="s">
        <v>118</v>
      </c>
      <c r="AD500" t="s">
        <v>717</v>
      </c>
      <c r="AE500" t="s">
        <v>4491</v>
      </c>
      <c r="AF500" t="s">
        <v>4492</v>
      </c>
      <c r="AG500" t="s">
        <v>4493</v>
      </c>
      <c r="AH500" t="s">
        <v>3775</v>
      </c>
      <c r="AI500" t="s">
        <v>3115</v>
      </c>
      <c r="AJ500" t="s">
        <v>2514</v>
      </c>
      <c r="AK500" t="s">
        <v>20</v>
      </c>
      <c r="AL500" t="s">
        <v>717</v>
      </c>
      <c r="AM500" t="s">
        <v>10</v>
      </c>
      <c r="AN500" t="s">
        <v>717</v>
      </c>
    </row>
    <row r="501" spans="1:40" hidden="1">
      <c r="A501">
        <v>499</v>
      </c>
      <c r="B501">
        <v>38</v>
      </c>
      <c r="C501" s="58">
        <v>44377</v>
      </c>
      <c r="D501" t="s">
        <v>27</v>
      </c>
      <c r="E501" t="s">
        <v>4409</v>
      </c>
      <c r="F501">
        <v>8</v>
      </c>
      <c r="G501">
        <v>12</v>
      </c>
      <c r="H501">
        <v>599</v>
      </c>
      <c r="I501">
        <v>2</v>
      </c>
      <c r="J501">
        <v>55.8</v>
      </c>
      <c r="K501" t="s">
        <v>15</v>
      </c>
      <c r="L501">
        <v>2804508</v>
      </c>
      <c r="M501">
        <v>0</v>
      </c>
      <c r="N501">
        <v>2804508</v>
      </c>
      <c r="O501">
        <v>50260</v>
      </c>
      <c r="P501">
        <v>251100</v>
      </c>
      <c r="Q501">
        <v>2553408</v>
      </c>
      <c r="R501">
        <v>45760</v>
      </c>
      <c r="S501" t="s">
        <v>65</v>
      </c>
      <c r="T501" t="s">
        <v>717</v>
      </c>
      <c r="U501" t="s">
        <v>717</v>
      </c>
      <c r="V501" t="s">
        <v>4131</v>
      </c>
      <c r="W501">
        <v>44377</v>
      </c>
      <c r="X501" t="s">
        <v>4494</v>
      </c>
      <c r="Y501" t="s">
        <v>6</v>
      </c>
      <c r="Z501" t="s">
        <v>17</v>
      </c>
      <c r="AA501" t="s">
        <v>717</v>
      </c>
      <c r="AB501" t="s">
        <v>2509</v>
      </c>
      <c r="AC501" t="s">
        <v>2571</v>
      </c>
      <c r="AD501" t="s">
        <v>717</v>
      </c>
      <c r="AE501" t="s">
        <v>383</v>
      </c>
      <c r="AF501" t="s">
        <v>4495</v>
      </c>
      <c r="AG501" t="s">
        <v>4496</v>
      </c>
      <c r="AH501" t="s">
        <v>2191</v>
      </c>
      <c r="AI501" t="s">
        <v>2706</v>
      </c>
      <c r="AJ501" t="s">
        <v>2514</v>
      </c>
      <c r="AK501" t="s">
        <v>73</v>
      </c>
      <c r="AL501" t="s">
        <v>16</v>
      </c>
      <c r="AM501" t="s">
        <v>10</v>
      </c>
      <c r="AN501" t="s">
        <v>717</v>
      </c>
    </row>
    <row r="502" spans="1:40" hidden="1">
      <c r="A502">
        <v>500</v>
      </c>
      <c r="B502">
        <v>39</v>
      </c>
      <c r="C502" s="58">
        <v>44377</v>
      </c>
      <c r="D502" t="s">
        <v>27</v>
      </c>
      <c r="E502" t="s">
        <v>4409</v>
      </c>
      <c r="F502">
        <v>8</v>
      </c>
      <c r="G502">
        <v>7</v>
      </c>
      <c r="H502">
        <v>559</v>
      </c>
      <c r="I502">
        <v>2</v>
      </c>
      <c r="J502">
        <v>55.8</v>
      </c>
      <c r="K502" t="s">
        <v>9</v>
      </c>
      <c r="L502">
        <v>2553408</v>
      </c>
      <c r="M502">
        <v>0</v>
      </c>
      <c r="N502">
        <v>2553408</v>
      </c>
      <c r="O502">
        <v>45760</v>
      </c>
      <c r="P502">
        <v>0</v>
      </c>
      <c r="Q502">
        <v>2553408</v>
      </c>
      <c r="R502">
        <v>45760</v>
      </c>
      <c r="S502" t="s">
        <v>65</v>
      </c>
      <c r="T502" t="s">
        <v>717</v>
      </c>
      <c r="U502" t="s">
        <v>717</v>
      </c>
      <c r="V502" t="s">
        <v>4131</v>
      </c>
      <c r="W502">
        <v>44377</v>
      </c>
      <c r="X502" t="s">
        <v>4497</v>
      </c>
      <c r="Y502" t="s">
        <v>6</v>
      </c>
      <c r="Z502" t="s">
        <v>17</v>
      </c>
      <c r="AA502" t="s">
        <v>717</v>
      </c>
      <c r="AB502" t="s">
        <v>2509</v>
      </c>
      <c r="AC502" t="s">
        <v>2571</v>
      </c>
      <c r="AD502" t="s">
        <v>717</v>
      </c>
      <c r="AE502" t="s">
        <v>4498</v>
      </c>
      <c r="AF502" t="s">
        <v>4499</v>
      </c>
      <c r="AG502" t="s">
        <v>4500</v>
      </c>
      <c r="AH502" t="s">
        <v>2552</v>
      </c>
      <c r="AI502" t="s">
        <v>2877</v>
      </c>
      <c r="AJ502" t="s">
        <v>2569</v>
      </c>
      <c r="AK502" t="s">
        <v>77</v>
      </c>
      <c r="AL502" t="s">
        <v>16</v>
      </c>
      <c r="AM502" t="s">
        <v>10</v>
      </c>
      <c r="AN502" t="s">
        <v>717</v>
      </c>
    </row>
    <row r="503" spans="1:40" hidden="1">
      <c r="A503">
        <v>501</v>
      </c>
      <c r="B503">
        <v>40</v>
      </c>
      <c r="C503" s="58">
        <v>44377</v>
      </c>
      <c r="D503" t="s">
        <v>27</v>
      </c>
      <c r="E503" t="s">
        <v>4409</v>
      </c>
      <c r="F503">
        <v>5</v>
      </c>
      <c r="G503">
        <v>15</v>
      </c>
      <c r="H503">
        <v>620</v>
      </c>
      <c r="I503">
        <v>0</v>
      </c>
      <c r="J503">
        <v>23.63</v>
      </c>
      <c r="K503" t="s">
        <v>15</v>
      </c>
      <c r="L503">
        <v>1405985</v>
      </c>
      <c r="M503">
        <v>0</v>
      </c>
      <c r="N503">
        <v>1405985</v>
      </c>
      <c r="O503">
        <v>59500</v>
      </c>
      <c r="P503">
        <v>106335</v>
      </c>
      <c r="Q503">
        <v>1299650</v>
      </c>
      <c r="R503">
        <v>55000</v>
      </c>
      <c r="S503" t="s">
        <v>65</v>
      </c>
      <c r="T503" t="s">
        <v>717</v>
      </c>
      <c r="U503" t="s">
        <v>717</v>
      </c>
      <c r="V503" t="s">
        <v>717</v>
      </c>
      <c r="W503">
        <v>44363</v>
      </c>
      <c r="X503" t="s">
        <v>4501</v>
      </c>
      <c r="Y503" t="s">
        <v>6</v>
      </c>
      <c r="Z503" t="s">
        <v>17</v>
      </c>
      <c r="AA503" t="s">
        <v>717</v>
      </c>
      <c r="AB503" t="s">
        <v>2509</v>
      </c>
      <c r="AC503" t="s">
        <v>2571</v>
      </c>
      <c r="AD503" t="s">
        <v>717</v>
      </c>
      <c r="AE503" t="s">
        <v>352</v>
      </c>
      <c r="AF503" t="s">
        <v>4502</v>
      </c>
      <c r="AG503" t="s">
        <v>4503</v>
      </c>
      <c r="AH503" t="s">
        <v>2615</v>
      </c>
      <c r="AI503" t="s">
        <v>2552</v>
      </c>
      <c r="AJ503" t="s">
        <v>2662</v>
      </c>
      <c r="AK503" t="s">
        <v>73</v>
      </c>
      <c r="AL503" t="s">
        <v>16</v>
      </c>
      <c r="AM503" t="s">
        <v>10</v>
      </c>
      <c r="AN503" t="s">
        <v>717</v>
      </c>
    </row>
    <row r="504" spans="1:40" hidden="1">
      <c r="A504">
        <v>502</v>
      </c>
      <c r="B504">
        <v>41</v>
      </c>
      <c r="C504" s="58">
        <v>44377</v>
      </c>
      <c r="D504" t="s">
        <v>27</v>
      </c>
      <c r="E504" t="s">
        <v>2506</v>
      </c>
      <c r="F504">
        <v>3</v>
      </c>
      <c r="G504">
        <v>12</v>
      </c>
      <c r="H504">
        <v>290</v>
      </c>
      <c r="I504">
        <v>0</v>
      </c>
      <c r="J504">
        <v>23.54</v>
      </c>
      <c r="K504" t="s">
        <v>9</v>
      </c>
      <c r="L504">
        <v>1279700</v>
      </c>
      <c r="M504">
        <v>15000</v>
      </c>
      <c r="N504">
        <v>1294700</v>
      </c>
      <c r="O504">
        <v>55000</v>
      </c>
      <c r="P504">
        <v>0</v>
      </c>
      <c r="Q504">
        <v>1294700</v>
      </c>
      <c r="R504">
        <v>55000</v>
      </c>
      <c r="S504" t="s">
        <v>65</v>
      </c>
      <c r="T504" t="s">
        <v>717</v>
      </c>
      <c r="U504" t="s">
        <v>717</v>
      </c>
      <c r="V504" t="s">
        <v>717</v>
      </c>
      <c r="W504">
        <v>44363</v>
      </c>
      <c r="X504" t="s">
        <v>4504</v>
      </c>
      <c r="Y504" t="s">
        <v>6</v>
      </c>
      <c r="Z504" t="s">
        <v>17</v>
      </c>
      <c r="AA504" t="s">
        <v>717</v>
      </c>
      <c r="AB504" t="s">
        <v>2509</v>
      </c>
      <c r="AC504" t="s">
        <v>2571</v>
      </c>
      <c r="AD504" t="s">
        <v>717</v>
      </c>
      <c r="AE504" t="s">
        <v>4505</v>
      </c>
      <c r="AF504" t="s">
        <v>4506</v>
      </c>
      <c r="AG504" t="s">
        <v>4507</v>
      </c>
      <c r="AH504" t="s">
        <v>2191</v>
      </c>
      <c r="AI504" t="s">
        <v>2538</v>
      </c>
      <c r="AJ504" t="s">
        <v>2514</v>
      </c>
      <c r="AK504" t="s">
        <v>77</v>
      </c>
      <c r="AL504" t="s">
        <v>16</v>
      </c>
      <c r="AM504" t="s">
        <v>10</v>
      </c>
      <c r="AN504" t="s">
        <v>717</v>
      </c>
    </row>
    <row r="505" spans="1:40" hidden="1">
      <c r="A505">
        <v>503</v>
      </c>
      <c r="B505">
        <v>42</v>
      </c>
      <c r="C505" s="58">
        <v>44377</v>
      </c>
      <c r="D505" t="s">
        <v>27</v>
      </c>
      <c r="E505" t="s">
        <v>2506</v>
      </c>
      <c r="F505">
        <v>8</v>
      </c>
      <c r="G505">
        <v>9</v>
      </c>
      <c r="H505">
        <v>271</v>
      </c>
      <c r="I505">
        <v>2</v>
      </c>
      <c r="J505">
        <v>55.8</v>
      </c>
      <c r="K505" t="s">
        <v>9</v>
      </c>
      <c r="L505">
        <v>2700720</v>
      </c>
      <c r="M505">
        <v>0</v>
      </c>
      <c r="N505">
        <v>2700720</v>
      </c>
      <c r="O505">
        <v>48400</v>
      </c>
      <c r="P505">
        <v>0</v>
      </c>
      <c r="Q505">
        <v>2700720</v>
      </c>
      <c r="R505">
        <v>48400</v>
      </c>
      <c r="S505" t="s">
        <v>65</v>
      </c>
      <c r="T505" t="s">
        <v>717</v>
      </c>
      <c r="U505" t="s">
        <v>717</v>
      </c>
      <c r="V505" t="s">
        <v>4131</v>
      </c>
      <c r="W505">
        <v>44366</v>
      </c>
      <c r="X505" t="s">
        <v>4508</v>
      </c>
      <c r="Y505" t="s">
        <v>6</v>
      </c>
      <c r="Z505" t="s">
        <v>17</v>
      </c>
      <c r="AA505" t="s">
        <v>717</v>
      </c>
      <c r="AB505" t="s">
        <v>2509</v>
      </c>
      <c r="AC505" t="s">
        <v>2571</v>
      </c>
      <c r="AD505" t="s">
        <v>717</v>
      </c>
      <c r="AE505" t="s">
        <v>4509</v>
      </c>
      <c r="AF505" t="s">
        <v>4510</v>
      </c>
      <c r="AG505" t="s">
        <v>4511</v>
      </c>
      <c r="AH505" t="s">
        <v>2615</v>
      </c>
      <c r="AI505" t="s">
        <v>2538</v>
      </c>
      <c r="AJ505" t="s">
        <v>2940</v>
      </c>
      <c r="AK505" t="s">
        <v>73</v>
      </c>
      <c r="AL505" t="s">
        <v>16</v>
      </c>
      <c r="AM505" t="s">
        <v>10</v>
      </c>
      <c r="AN505" t="s">
        <v>717</v>
      </c>
    </row>
    <row r="506" spans="1:40" hidden="1">
      <c r="A506">
        <v>504</v>
      </c>
      <c r="B506">
        <v>43</v>
      </c>
      <c r="C506" s="58">
        <v>44377</v>
      </c>
      <c r="D506" t="s">
        <v>27</v>
      </c>
      <c r="E506" t="s">
        <v>4409</v>
      </c>
      <c r="F506">
        <v>2</v>
      </c>
      <c r="G506">
        <v>8</v>
      </c>
      <c r="H506">
        <v>561</v>
      </c>
      <c r="I506">
        <v>1</v>
      </c>
      <c r="J506">
        <v>37.159999999999997</v>
      </c>
      <c r="K506" t="s">
        <v>9</v>
      </c>
      <c r="L506">
        <v>1880296</v>
      </c>
      <c r="M506">
        <v>0</v>
      </c>
      <c r="N506">
        <v>1880296</v>
      </c>
      <c r="O506">
        <v>50600.000000000007</v>
      </c>
      <c r="P506">
        <v>0</v>
      </c>
      <c r="Q506">
        <v>1880296</v>
      </c>
      <c r="R506">
        <v>50600.000000000007</v>
      </c>
      <c r="S506" t="s">
        <v>65</v>
      </c>
      <c r="T506" t="s">
        <v>717</v>
      </c>
      <c r="U506" t="s">
        <v>717</v>
      </c>
      <c r="V506" t="s">
        <v>717</v>
      </c>
      <c r="W506">
        <v>44369</v>
      </c>
      <c r="X506" t="s">
        <v>4512</v>
      </c>
      <c r="Y506" t="s">
        <v>6</v>
      </c>
      <c r="Z506" t="s">
        <v>17</v>
      </c>
      <c r="AA506" t="s">
        <v>717</v>
      </c>
      <c r="AB506" t="s">
        <v>2509</v>
      </c>
      <c r="AC506" t="s">
        <v>2571</v>
      </c>
      <c r="AD506" t="s">
        <v>717</v>
      </c>
      <c r="AE506" t="s">
        <v>4513</v>
      </c>
      <c r="AF506" t="s">
        <v>4514</v>
      </c>
      <c r="AG506" t="s">
        <v>4515</v>
      </c>
      <c r="AH506" t="s">
        <v>2191</v>
      </c>
      <c r="AI506" t="s">
        <v>2688</v>
      </c>
      <c r="AJ506" t="s">
        <v>2514</v>
      </c>
      <c r="AK506" t="s">
        <v>73</v>
      </c>
      <c r="AL506" t="s">
        <v>16</v>
      </c>
      <c r="AM506" t="s">
        <v>10</v>
      </c>
      <c r="AN506" t="s">
        <v>717</v>
      </c>
    </row>
    <row r="507" spans="1:40" hidden="1">
      <c r="A507">
        <v>505</v>
      </c>
      <c r="B507">
        <v>44</v>
      </c>
      <c r="C507" s="58">
        <v>44377</v>
      </c>
      <c r="D507" t="s">
        <v>27</v>
      </c>
      <c r="E507" t="s">
        <v>4409</v>
      </c>
      <c r="F507">
        <v>4</v>
      </c>
      <c r="G507">
        <v>3</v>
      </c>
      <c r="H507">
        <v>523</v>
      </c>
      <c r="I507">
        <v>1</v>
      </c>
      <c r="J507">
        <v>40</v>
      </c>
      <c r="K507" t="s">
        <v>9</v>
      </c>
      <c r="L507">
        <v>2024000</v>
      </c>
      <c r="M507">
        <v>0</v>
      </c>
      <c r="N507">
        <v>2024000</v>
      </c>
      <c r="O507">
        <v>50600</v>
      </c>
      <c r="P507">
        <v>0</v>
      </c>
      <c r="Q507">
        <v>2024000</v>
      </c>
      <c r="R507">
        <v>50600</v>
      </c>
      <c r="S507" t="s">
        <v>65</v>
      </c>
      <c r="T507" t="s">
        <v>717</v>
      </c>
      <c r="U507" t="s">
        <v>717</v>
      </c>
      <c r="V507" t="s">
        <v>717</v>
      </c>
      <c r="W507">
        <v>44371</v>
      </c>
      <c r="X507" t="s">
        <v>4516</v>
      </c>
      <c r="Y507" t="s">
        <v>6</v>
      </c>
      <c r="Z507" t="s">
        <v>17</v>
      </c>
      <c r="AA507" t="s">
        <v>717</v>
      </c>
      <c r="AB507" t="s">
        <v>2509</v>
      </c>
      <c r="AC507" t="s">
        <v>2571</v>
      </c>
      <c r="AD507" t="s">
        <v>717</v>
      </c>
      <c r="AE507" t="s">
        <v>4517</v>
      </c>
      <c r="AF507" t="s">
        <v>4518</v>
      </c>
      <c r="AG507" t="s">
        <v>4519</v>
      </c>
      <c r="AH507" t="s">
        <v>2191</v>
      </c>
      <c r="AI507" t="s">
        <v>2552</v>
      </c>
      <c r="AJ507" t="s">
        <v>2514</v>
      </c>
      <c r="AK507" t="s">
        <v>77</v>
      </c>
      <c r="AL507" t="s">
        <v>16</v>
      </c>
      <c r="AM507" t="s">
        <v>10</v>
      </c>
      <c r="AN507" t="s">
        <v>717</v>
      </c>
    </row>
    <row r="508" spans="1:40" hidden="1">
      <c r="A508">
        <v>506</v>
      </c>
      <c r="B508">
        <v>45</v>
      </c>
      <c r="C508" s="58">
        <v>44377</v>
      </c>
      <c r="D508" t="s">
        <v>27</v>
      </c>
      <c r="E508" t="s">
        <v>2581</v>
      </c>
      <c r="F508">
        <v>7</v>
      </c>
      <c r="G508">
        <v>14</v>
      </c>
      <c r="H508">
        <v>494</v>
      </c>
      <c r="I508">
        <v>2</v>
      </c>
      <c r="J508">
        <v>59.93</v>
      </c>
      <c r="K508" t="s">
        <v>15</v>
      </c>
      <c r="L508">
        <v>3414811.4</v>
      </c>
      <c r="M508">
        <v>0</v>
      </c>
      <c r="N508">
        <v>3414811.4</v>
      </c>
      <c r="O508">
        <v>56980</v>
      </c>
      <c r="P508">
        <v>329615</v>
      </c>
      <c r="Q508">
        <v>3085196.4</v>
      </c>
      <c r="R508">
        <v>51480</v>
      </c>
      <c r="S508" t="s">
        <v>65</v>
      </c>
      <c r="T508" t="s">
        <v>717</v>
      </c>
      <c r="U508" t="s">
        <v>717</v>
      </c>
      <c r="V508" t="s">
        <v>4131</v>
      </c>
      <c r="W508">
        <v>44371</v>
      </c>
      <c r="X508" t="s">
        <v>4520</v>
      </c>
      <c r="Y508" t="s">
        <v>6</v>
      </c>
      <c r="Z508" t="s">
        <v>17</v>
      </c>
      <c r="AA508" t="s">
        <v>717</v>
      </c>
      <c r="AB508" t="s">
        <v>2509</v>
      </c>
      <c r="AC508" t="s">
        <v>2571</v>
      </c>
      <c r="AD508" t="s">
        <v>717</v>
      </c>
      <c r="AE508" t="s">
        <v>4521</v>
      </c>
      <c r="AF508" t="s">
        <v>4522</v>
      </c>
      <c r="AG508" t="s">
        <v>4523</v>
      </c>
      <c r="AH508" t="s">
        <v>2615</v>
      </c>
      <c r="AI508" t="s">
        <v>2552</v>
      </c>
      <c r="AJ508" t="s">
        <v>3289</v>
      </c>
      <c r="AK508" t="s">
        <v>20</v>
      </c>
      <c r="AL508" t="s">
        <v>16</v>
      </c>
      <c r="AM508" t="s">
        <v>10</v>
      </c>
      <c r="AN508" t="s">
        <v>717</v>
      </c>
    </row>
    <row r="509" spans="1:40" hidden="1">
      <c r="A509">
        <v>507</v>
      </c>
      <c r="B509">
        <v>46</v>
      </c>
      <c r="C509" s="58">
        <v>44377</v>
      </c>
      <c r="D509" t="s">
        <v>27</v>
      </c>
      <c r="E509" t="s">
        <v>4409</v>
      </c>
      <c r="F509">
        <v>1</v>
      </c>
      <c r="G509">
        <v>12</v>
      </c>
      <c r="H509">
        <v>592</v>
      </c>
      <c r="I509">
        <v>3</v>
      </c>
      <c r="J509">
        <v>82.27</v>
      </c>
      <c r="K509" t="s">
        <v>9</v>
      </c>
      <c r="L509">
        <v>3764675.2</v>
      </c>
      <c r="M509">
        <v>0</v>
      </c>
      <c r="N509">
        <v>3764675.2</v>
      </c>
      <c r="O509">
        <v>45760.000000000007</v>
      </c>
      <c r="P509">
        <v>0</v>
      </c>
      <c r="Q509">
        <v>3764675.2</v>
      </c>
      <c r="R509">
        <v>45760.000000000007</v>
      </c>
      <c r="S509" t="s">
        <v>65</v>
      </c>
      <c r="T509" t="s">
        <v>717</v>
      </c>
      <c r="U509" t="s">
        <v>717</v>
      </c>
      <c r="V509" t="s">
        <v>717</v>
      </c>
      <c r="W509">
        <v>44372</v>
      </c>
      <c r="X509" t="s">
        <v>4524</v>
      </c>
      <c r="Y509" t="s">
        <v>6</v>
      </c>
      <c r="Z509" t="s">
        <v>17</v>
      </c>
      <c r="AA509" t="s">
        <v>717</v>
      </c>
      <c r="AB509" t="s">
        <v>2509</v>
      </c>
      <c r="AC509" t="s">
        <v>2571</v>
      </c>
      <c r="AD509" t="s">
        <v>717</v>
      </c>
      <c r="AE509" t="s">
        <v>4525</v>
      </c>
      <c r="AF509" t="s">
        <v>4526</v>
      </c>
      <c r="AG509" t="s">
        <v>4527</v>
      </c>
      <c r="AH509" t="s">
        <v>2615</v>
      </c>
      <c r="AI509" t="s">
        <v>2552</v>
      </c>
      <c r="AJ509" t="s">
        <v>2662</v>
      </c>
      <c r="AK509" t="s">
        <v>63</v>
      </c>
      <c r="AL509" t="s">
        <v>16</v>
      </c>
      <c r="AM509" t="s">
        <v>10</v>
      </c>
      <c r="AN509" t="s">
        <v>717</v>
      </c>
    </row>
    <row r="510" spans="1:40" hidden="1">
      <c r="A510">
        <v>508</v>
      </c>
      <c r="B510">
        <v>47</v>
      </c>
      <c r="C510" s="58">
        <v>44377</v>
      </c>
      <c r="D510" t="s">
        <v>27</v>
      </c>
      <c r="E510" t="s">
        <v>4409</v>
      </c>
      <c r="F510">
        <v>3</v>
      </c>
      <c r="G510">
        <v>10</v>
      </c>
      <c r="H510">
        <v>578</v>
      </c>
      <c r="I510">
        <v>0</v>
      </c>
      <c r="J510">
        <v>23.54</v>
      </c>
      <c r="K510" t="s">
        <v>9</v>
      </c>
      <c r="L510">
        <v>1377560.8</v>
      </c>
      <c r="M510">
        <v>0</v>
      </c>
      <c r="N510">
        <v>1377560.8</v>
      </c>
      <c r="O510">
        <v>58520.000000000007</v>
      </c>
      <c r="P510">
        <v>0</v>
      </c>
      <c r="Q510">
        <v>1377560.8</v>
      </c>
      <c r="R510">
        <v>58520.000000000007</v>
      </c>
      <c r="S510" t="s">
        <v>130</v>
      </c>
      <c r="T510" t="s">
        <v>717</v>
      </c>
      <c r="U510" t="s">
        <v>717</v>
      </c>
      <c r="V510" t="s">
        <v>717</v>
      </c>
      <c r="W510">
        <v>44372</v>
      </c>
      <c r="X510" t="s">
        <v>4528</v>
      </c>
      <c r="Y510" t="s">
        <v>6</v>
      </c>
      <c r="Z510" t="s">
        <v>11</v>
      </c>
      <c r="AA510" t="s">
        <v>717</v>
      </c>
      <c r="AB510" t="s">
        <v>2509</v>
      </c>
      <c r="AC510" t="s">
        <v>118</v>
      </c>
      <c r="AD510" t="s">
        <v>717</v>
      </c>
      <c r="AE510" t="s">
        <v>4529</v>
      </c>
      <c r="AF510" t="s">
        <v>4530</v>
      </c>
      <c r="AG510" t="s">
        <v>4531</v>
      </c>
      <c r="AH510" t="s">
        <v>2191</v>
      </c>
      <c r="AI510" t="s">
        <v>2538</v>
      </c>
      <c r="AJ510" t="s">
        <v>2514</v>
      </c>
      <c r="AK510" t="s">
        <v>77</v>
      </c>
      <c r="AL510" t="s">
        <v>717</v>
      </c>
      <c r="AM510" t="s">
        <v>10</v>
      </c>
      <c r="AN510" t="s">
        <v>717</v>
      </c>
    </row>
    <row r="511" spans="1:40" hidden="1">
      <c r="A511">
        <v>509</v>
      </c>
      <c r="B511">
        <v>48</v>
      </c>
      <c r="C511" s="58">
        <v>44377</v>
      </c>
      <c r="D511" t="s">
        <v>121</v>
      </c>
      <c r="E511" t="s">
        <v>2515</v>
      </c>
      <c r="F511">
        <v>4</v>
      </c>
      <c r="G511">
        <v>6</v>
      </c>
      <c r="H511">
        <v>32</v>
      </c>
      <c r="I511">
        <v>1</v>
      </c>
      <c r="J511">
        <v>36.86</v>
      </c>
      <c r="K511" t="s">
        <v>25</v>
      </c>
      <c r="L511">
        <v>2623522.66</v>
      </c>
      <c r="M511">
        <v>0</v>
      </c>
      <c r="N511">
        <v>2623522.66</v>
      </c>
      <c r="O511">
        <v>71175.32989690722</v>
      </c>
      <c r="P511">
        <v>552900</v>
      </c>
      <c r="Q511">
        <v>2070622.66</v>
      </c>
      <c r="R511">
        <v>56175.32989690722</v>
      </c>
      <c r="S511" t="s">
        <v>65</v>
      </c>
      <c r="T511" t="s">
        <v>717</v>
      </c>
      <c r="U511" t="s">
        <v>717</v>
      </c>
      <c r="V511" t="s">
        <v>717</v>
      </c>
      <c r="W511">
        <v>44373</v>
      </c>
      <c r="X511" t="s">
        <v>4532</v>
      </c>
      <c r="Y511" t="s">
        <v>6</v>
      </c>
      <c r="Z511" t="s">
        <v>17</v>
      </c>
      <c r="AA511" t="s">
        <v>717</v>
      </c>
      <c r="AB511" t="s">
        <v>2509</v>
      </c>
      <c r="AC511" t="s">
        <v>2571</v>
      </c>
      <c r="AD511" t="s">
        <v>717</v>
      </c>
      <c r="AE511" t="s">
        <v>4533</v>
      </c>
      <c r="AF511" t="s">
        <v>4534</v>
      </c>
      <c r="AG511" t="s">
        <v>4535</v>
      </c>
      <c r="AH511" t="s">
        <v>2191</v>
      </c>
      <c r="AI511" t="s">
        <v>2538</v>
      </c>
      <c r="AJ511" t="s">
        <v>2514</v>
      </c>
      <c r="AK511" t="s">
        <v>73</v>
      </c>
      <c r="AL511" t="s">
        <v>16</v>
      </c>
      <c r="AM511" t="s">
        <v>10</v>
      </c>
      <c r="AN511" t="s">
        <v>717</v>
      </c>
    </row>
    <row r="512" spans="1:40" hidden="1">
      <c r="A512">
        <v>510</v>
      </c>
      <c r="B512">
        <v>49</v>
      </c>
      <c r="C512" s="58">
        <v>44377</v>
      </c>
      <c r="D512" t="s">
        <v>27</v>
      </c>
      <c r="E512" t="s">
        <v>2506</v>
      </c>
      <c r="F512">
        <v>6</v>
      </c>
      <c r="G512">
        <v>12</v>
      </c>
      <c r="H512">
        <v>293</v>
      </c>
      <c r="I512">
        <v>1</v>
      </c>
      <c r="J512">
        <v>37.11</v>
      </c>
      <c r="K512" t="s">
        <v>9</v>
      </c>
      <c r="L512">
        <v>2090035.2</v>
      </c>
      <c r="M512">
        <v>0</v>
      </c>
      <c r="N512">
        <v>2090035.2</v>
      </c>
      <c r="O512">
        <v>56320</v>
      </c>
      <c r="P512">
        <v>0</v>
      </c>
      <c r="Q512">
        <v>2090035.2</v>
      </c>
      <c r="R512">
        <v>56320</v>
      </c>
      <c r="S512" t="s">
        <v>2507</v>
      </c>
      <c r="T512" t="s">
        <v>717</v>
      </c>
      <c r="U512" t="s">
        <v>717</v>
      </c>
      <c r="V512" t="s">
        <v>717</v>
      </c>
      <c r="W512">
        <v>44374</v>
      </c>
      <c r="X512" t="s">
        <v>4536</v>
      </c>
      <c r="Y512" t="s">
        <v>6</v>
      </c>
      <c r="Z512" t="s">
        <v>11</v>
      </c>
      <c r="AA512" t="s">
        <v>717</v>
      </c>
      <c r="AB512" t="s">
        <v>2509</v>
      </c>
      <c r="AC512" t="s">
        <v>118</v>
      </c>
      <c r="AD512" t="s">
        <v>717</v>
      </c>
      <c r="AE512" t="s">
        <v>4537</v>
      </c>
      <c r="AF512" t="s">
        <v>4538</v>
      </c>
      <c r="AG512" t="s">
        <v>4142</v>
      </c>
      <c r="AH512" t="s">
        <v>2615</v>
      </c>
      <c r="AI512" t="s">
        <v>2600</v>
      </c>
      <c r="AJ512" t="s">
        <v>2514</v>
      </c>
      <c r="AK512" t="s">
        <v>407</v>
      </c>
      <c r="AL512" t="s">
        <v>717</v>
      </c>
      <c r="AM512" t="s">
        <v>10</v>
      </c>
      <c r="AN512" t="s">
        <v>717</v>
      </c>
    </row>
    <row r="513" spans="1:40" hidden="1">
      <c r="A513">
        <v>511</v>
      </c>
      <c r="B513">
        <v>50</v>
      </c>
      <c r="C513" s="58">
        <v>44377</v>
      </c>
      <c r="D513" t="s">
        <v>27</v>
      </c>
      <c r="E513" t="s">
        <v>4409</v>
      </c>
      <c r="F513">
        <v>6</v>
      </c>
      <c r="G513">
        <v>4</v>
      </c>
      <c r="H513">
        <v>533</v>
      </c>
      <c r="I513">
        <v>1</v>
      </c>
      <c r="J513">
        <v>37.11</v>
      </c>
      <c r="K513" t="s">
        <v>15</v>
      </c>
      <c r="L513">
        <v>2044761</v>
      </c>
      <c r="M513">
        <v>0</v>
      </c>
      <c r="N513">
        <v>2044761</v>
      </c>
      <c r="O513">
        <v>55100</v>
      </c>
      <c r="P513">
        <v>166995</v>
      </c>
      <c r="Q513">
        <v>1877766</v>
      </c>
      <c r="R513">
        <v>50600</v>
      </c>
      <c r="S513" t="s">
        <v>65</v>
      </c>
      <c r="T513" t="s">
        <v>717</v>
      </c>
      <c r="U513" t="s">
        <v>717</v>
      </c>
      <c r="V513" t="s">
        <v>717</v>
      </c>
      <c r="W513">
        <v>44389</v>
      </c>
      <c r="X513" t="s">
        <v>4539</v>
      </c>
      <c r="Y513" t="s">
        <v>2611</v>
      </c>
      <c r="Z513" t="s">
        <v>17</v>
      </c>
      <c r="AA513" t="s">
        <v>717</v>
      </c>
      <c r="AB513" t="s">
        <v>2509</v>
      </c>
      <c r="AC513" t="s">
        <v>2571</v>
      </c>
      <c r="AE513" t="s">
        <v>4540</v>
      </c>
      <c r="AF513" t="s">
        <v>4541</v>
      </c>
      <c r="AG513" t="s">
        <v>4542</v>
      </c>
      <c r="AH513" t="s">
        <v>2191</v>
      </c>
      <c r="AI513" t="s">
        <v>2552</v>
      </c>
      <c r="AJ513" t="s">
        <v>2514</v>
      </c>
      <c r="AK513" t="s">
        <v>63</v>
      </c>
      <c r="AL513" t="s">
        <v>16</v>
      </c>
      <c r="AM513" t="s">
        <v>10</v>
      </c>
      <c r="AN513" t="s">
        <v>717</v>
      </c>
    </row>
    <row r="514" spans="1:40" hidden="1">
      <c r="A514">
        <v>512</v>
      </c>
      <c r="B514">
        <v>1</v>
      </c>
      <c r="C514" s="58">
        <v>44392</v>
      </c>
      <c r="D514" t="s">
        <v>121</v>
      </c>
      <c r="E514" t="s">
        <v>2506</v>
      </c>
      <c r="F514">
        <v>8</v>
      </c>
      <c r="G514">
        <v>2</v>
      </c>
      <c r="H514">
        <v>169</v>
      </c>
      <c r="I514">
        <v>2</v>
      </c>
      <c r="J514">
        <v>56.93</v>
      </c>
      <c r="K514" t="s">
        <v>15</v>
      </c>
      <c r="L514">
        <v>3147582.84</v>
      </c>
      <c r="M514">
        <v>0</v>
      </c>
      <c r="N514">
        <v>3147582.84</v>
      </c>
      <c r="O514">
        <v>55288.649920955555</v>
      </c>
      <c r="P514">
        <v>313115</v>
      </c>
      <c r="Q514">
        <v>2834467.84</v>
      </c>
      <c r="R514">
        <v>49788.649920955555</v>
      </c>
      <c r="S514" t="s">
        <v>130</v>
      </c>
      <c r="T514" t="s">
        <v>717</v>
      </c>
      <c r="U514" t="s">
        <v>717</v>
      </c>
      <c r="V514" t="s">
        <v>717</v>
      </c>
      <c r="W514">
        <v>44388</v>
      </c>
      <c r="X514" t="s">
        <v>4543</v>
      </c>
      <c r="Y514" t="s">
        <v>6</v>
      </c>
      <c r="Z514" t="s">
        <v>17</v>
      </c>
      <c r="AA514" t="s">
        <v>717</v>
      </c>
      <c r="AB514" t="s">
        <v>2509</v>
      </c>
      <c r="AC514" t="s">
        <v>118</v>
      </c>
      <c r="AD514" t="s">
        <v>717</v>
      </c>
      <c r="AE514" t="s">
        <v>4544</v>
      </c>
      <c r="AF514" t="s">
        <v>4545</v>
      </c>
      <c r="AG514" t="s">
        <v>4546</v>
      </c>
      <c r="AH514" t="s">
        <v>2191</v>
      </c>
      <c r="AI514" t="s">
        <v>2552</v>
      </c>
      <c r="AJ514" t="s">
        <v>2514</v>
      </c>
      <c r="AK514" t="s">
        <v>20</v>
      </c>
      <c r="AL514" t="s">
        <v>717</v>
      </c>
      <c r="AM514" t="s">
        <v>10</v>
      </c>
      <c r="AN514" t="s">
        <v>717</v>
      </c>
    </row>
    <row r="515" spans="1:40" hidden="1">
      <c r="A515">
        <v>513</v>
      </c>
      <c r="B515">
        <v>2</v>
      </c>
      <c r="C515" s="58">
        <v>44393</v>
      </c>
      <c r="D515" t="s">
        <v>121</v>
      </c>
      <c r="E515" t="s">
        <v>2506</v>
      </c>
      <c r="F515">
        <v>2</v>
      </c>
      <c r="G515">
        <v>14</v>
      </c>
      <c r="H515">
        <v>295</v>
      </c>
      <c r="I515">
        <v>1</v>
      </c>
      <c r="J515">
        <v>38.22</v>
      </c>
      <c r="K515" t="s">
        <v>25</v>
      </c>
      <c r="L515">
        <v>2261313.0499999998</v>
      </c>
      <c r="M515">
        <v>0</v>
      </c>
      <c r="N515">
        <v>2261313.0499999998</v>
      </c>
      <c r="O515">
        <v>59165.699895342746</v>
      </c>
      <c r="P515">
        <v>573300</v>
      </c>
      <c r="Q515">
        <v>1688013.0499999998</v>
      </c>
      <c r="R515">
        <v>44165.699895342746</v>
      </c>
      <c r="S515" t="s">
        <v>65</v>
      </c>
      <c r="T515" t="s">
        <v>3414</v>
      </c>
      <c r="U515">
        <v>241207.95279999985</v>
      </c>
      <c r="V515" t="s">
        <v>4131</v>
      </c>
      <c r="W515">
        <v>44376</v>
      </c>
      <c r="X515" t="s">
        <v>4547</v>
      </c>
      <c r="Y515" t="s">
        <v>6</v>
      </c>
      <c r="Z515" t="s">
        <v>11</v>
      </c>
      <c r="AA515" t="s">
        <v>717</v>
      </c>
      <c r="AB515" t="s">
        <v>2509</v>
      </c>
      <c r="AC515" t="s">
        <v>2571</v>
      </c>
      <c r="AD515" t="s">
        <v>717</v>
      </c>
      <c r="AE515" t="s">
        <v>4548</v>
      </c>
      <c r="AF515" t="s">
        <v>4549</v>
      </c>
      <c r="AG515" t="s">
        <v>4550</v>
      </c>
      <c r="AH515" t="s">
        <v>2191</v>
      </c>
      <c r="AI515" t="s">
        <v>2802</v>
      </c>
      <c r="AJ515" t="s">
        <v>2514</v>
      </c>
      <c r="AK515" t="s">
        <v>20</v>
      </c>
      <c r="AL515" t="s">
        <v>16</v>
      </c>
      <c r="AM515" t="s">
        <v>10</v>
      </c>
      <c r="AN515" t="s">
        <v>717</v>
      </c>
    </row>
    <row r="516" spans="1:40" hidden="1">
      <c r="A516">
        <v>514</v>
      </c>
      <c r="B516">
        <v>3</v>
      </c>
      <c r="C516" s="58">
        <v>44393</v>
      </c>
      <c r="D516" t="s">
        <v>121</v>
      </c>
      <c r="E516" t="s">
        <v>2506</v>
      </c>
      <c r="F516">
        <v>9</v>
      </c>
      <c r="G516">
        <v>14</v>
      </c>
      <c r="H516">
        <v>302</v>
      </c>
      <c r="I516">
        <v>2</v>
      </c>
      <c r="J516">
        <v>60.3</v>
      </c>
      <c r="K516" t="s">
        <v>15</v>
      </c>
      <c r="L516">
        <v>3507901.25</v>
      </c>
      <c r="M516">
        <v>0</v>
      </c>
      <c r="N516">
        <v>3507901.25</v>
      </c>
      <c r="O516">
        <v>58174.150082918743</v>
      </c>
      <c r="P516">
        <v>331650</v>
      </c>
      <c r="Q516">
        <v>3176251.25</v>
      </c>
      <c r="R516">
        <v>52674.150082918743</v>
      </c>
      <c r="S516" t="s">
        <v>65</v>
      </c>
      <c r="T516" t="s">
        <v>717</v>
      </c>
      <c r="U516" t="s">
        <v>717</v>
      </c>
      <c r="V516" t="s">
        <v>4131</v>
      </c>
      <c r="W516">
        <v>44390</v>
      </c>
      <c r="X516" t="s">
        <v>4551</v>
      </c>
      <c r="Y516" t="s">
        <v>6</v>
      </c>
      <c r="Z516" t="s">
        <v>17</v>
      </c>
      <c r="AA516" t="s">
        <v>717</v>
      </c>
      <c r="AB516" t="s">
        <v>2509</v>
      </c>
      <c r="AC516" t="s">
        <v>2571</v>
      </c>
      <c r="AD516" t="s">
        <v>717</v>
      </c>
      <c r="AE516" t="s">
        <v>4552</v>
      </c>
      <c r="AF516" t="s">
        <v>4553</v>
      </c>
      <c r="AG516" t="s">
        <v>4554</v>
      </c>
      <c r="AH516" t="s">
        <v>2552</v>
      </c>
      <c r="AI516" t="s">
        <v>2547</v>
      </c>
      <c r="AJ516" t="s">
        <v>2855</v>
      </c>
      <c r="AK516" t="s">
        <v>77</v>
      </c>
      <c r="AL516" t="s">
        <v>16</v>
      </c>
      <c r="AM516" t="s">
        <v>10</v>
      </c>
      <c r="AN516" t="s">
        <v>717</v>
      </c>
    </row>
    <row r="517" spans="1:40" hidden="1">
      <c r="A517">
        <v>515</v>
      </c>
      <c r="B517">
        <v>4</v>
      </c>
      <c r="C517" s="58">
        <v>44396</v>
      </c>
      <c r="D517" t="s">
        <v>74</v>
      </c>
      <c r="E517" t="s">
        <v>2506</v>
      </c>
      <c r="F517">
        <v>2</v>
      </c>
      <c r="G517">
        <v>23</v>
      </c>
      <c r="H517">
        <v>299</v>
      </c>
      <c r="I517">
        <v>2</v>
      </c>
      <c r="J517">
        <v>63.9</v>
      </c>
      <c r="K517" t="s">
        <v>15</v>
      </c>
      <c r="L517">
        <v>3813308</v>
      </c>
      <c r="M517">
        <v>15000</v>
      </c>
      <c r="N517">
        <v>3828308</v>
      </c>
      <c r="O517">
        <v>59910.923317683882</v>
      </c>
      <c r="P517">
        <v>313960</v>
      </c>
      <c r="Q517">
        <v>3514348</v>
      </c>
      <c r="R517">
        <v>54997.621283255088</v>
      </c>
      <c r="S517" t="s">
        <v>65</v>
      </c>
      <c r="T517" t="s">
        <v>717</v>
      </c>
      <c r="U517" t="s">
        <v>717</v>
      </c>
      <c r="V517" t="s">
        <v>717</v>
      </c>
      <c r="W517">
        <v>44354</v>
      </c>
      <c r="X517" t="s">
        <v>4555</v>
      </c>
      <c r="Y517" t="s">
        <v>6</v>
      </c>
      <c r="Z517" t="s">
        <v>11</v>
      </c>
      <c r="AA517" t="s">
        <v>717</v>
      </c>
      <c r="AB517" t="s">
        <v>326</v>
      </c>
      <c r="AC517" t="s">
        <v>2558</v>
      </c>
      <c r="AD517" t="s">
        <v>717</v>
      </c>
      <c r="AE517" t="s">
        <v>4556</v>
      </c>
      <c r="AF517" t="s">
        <v>4557</v>
      </c>
      <c r="AG517" t="s">
        <v>717</v>
      </c>
      <c r="AH517" t="s">
        <v>2191</v>
      </c>
      <c r="AI517" t="s">
        <v>2847</v>
      </c>
      <c r="AJ517" t="s">
        <v>2514</v>
      </c>
      <c r="AK517" t="s">
        <v>77</v>
      </c>
      <c r="AL517" t="s">
        <v>16</v>
      </c>
      <c r="AM517" t="s">
        <v>10</v>
      </c>
      <c r="AN517" t="s">
        <v>717</v>
      </c>
    </row>
    <row r="518" spans="1:40" hidden="1">
      <c r="A518">
        <v>516</v>
      </c>
      <c r="B518">
        <v>5</v>
      </c>
      <c r="C518" s="58">
        <v>44397</v>
      </c>
      <c r="D518" t="s">
        <v>27</v>
      </c>
      <c r="E518" t="s">
        <v>4409</v>
      </c>
      <c r="F518">
        <v>5</v>
      </c>
      <c r="G518">
        <v>3</v>
      </c>
      <c r="H518">
        <v>524</v>
      </c>
      <c r="I518">
        <v>0</v>
      </c>
      <c r="J518">
        <v>23.63</v>
      </c>
      <c r="K518" t="s">
        <v>15</v>
      </c>
      <c r="L518">
        <v>1429615</v>
      </c>
      <c r="M518">
        <v>0</v>
      </c>
      <c r="N518">
        <v>1429615</v>
      </c>
      <c r="O518">
        <v>60500</v>
      </c>
      <c r="P518">
        <v>129965</v>
      </c>
      <c r="Q518">
        <v>1299650</v>
      </c>
      <c r="R518">
        <v>55000</v>
      </c>
      <c r="S518" t="s">
        <v>65</v>
      </c>
      <c r="T518" t="s">
        <v>717</v>
      </c>
      <c r="U518" t="s">
        <v>717</v>
      </c>
      <c r="V518" t="s">
        <v>717</v>
      </c>
      <c r="W518">
        <v>44385</v>
      </c>
      <c r="X518" t="s">
        <v>4558</v>
      </c>
      <c r="Y518" t="s">
        <v>6</v>
      </c>
      <c r="Z518" t="s">
        <v>17</v>
      </c>
      <c r="AA518" t="s">
        <v>717</v>
      </c>
      <c r="AB518" t="s">
        <v>2509</v>
      </c>
      <c r="AC518" t="s">
        <v>2571</v>
      </c>
      <c r="AD518" t="s">
        <v>717</v>
      </c>
      <c r="AE518" t="s">
        <v>4559</v>
      </c>
      <c r="AF518" t="s">
        <v>4560</v>
      </c>
      <c r="AG518" t="s">
        <v>4561</v>
      </c>
      <c r="AH518" t="s">
        <v>2615</v>
      </c>
      <c r="AI518" t="s">
        <v>2552</v>
      </c>
      <c r="AJ518" t="s">
        <v>2895</v>
      </c>
      <c r="AK518" t="s">
        <v>20</v>
      </c>
      <c r="AL518" t="s">
        <v>16</v>
      </c>
      <c r="AM518" t="s">
        <v>10</v>
      </c>
      <c r="AN518" t="s">
        <v>717</v>
      </c>
    </row>
    <row r="519" spans="1:40" hidden="1">
      <c r="A519">
        <v>517</v>
      </c>
      <c r="B519">
        <v>6</v>
      </c>
      <c r="C519" s="58">
        <v>44398</v>
      </c>
      <c r="D519" t="s">
        <v>27</v>
      </c>
      <c r="E519" t="s">
        <v>4409</v>
      </c>
      <c r="F519">
        <v>8</v>
      </c>
      <c r="G519">
        <v>11</v>
      </c>
      <c r="H519">
        <v>591</v>
      </c>
      <c r="I519">
        <v>2</v>
      </c>
      <c r="J519">
        <v>55.8</v>
      </c>
      <c r="K519" t="s">
        <v>25</v>
      </c>
      <c r="L519">
        <v>3446208</v>
      </c>
      <c r="M519">
        <v>0</v>
      </c>
      <c r="N519">
        <v>3446208</v>
      </c>
      <c r="O519">
        <v>61760</v>
      </c>
      <c r="P519">
        <v>892800</v>
      </c>
      <c r="Q519">
        <v>2553408</v>
      </c>
      <c r="R519">
        <v>45760</v>
      </c>
      <c r="S519" t="s">
        <v>65</v>
      </c>
      <c r="T519" t="s">
        <v>717</v>
      </c>
      <c r="U519" t="s">
        <v>717</v>
      </c>
      <c r="V519" t="s">
        <v>4131</v>
      </c>
      <c r="W519">
        <v>44391</v>
      </c>
      <c r="X519" t="s">
        <v>4562</v>
      </c>
      <c r="Y519" t="s">
        <v>6</v>
      </c>
      <c r="Z519" t="s">
        <v>17</v>
      </c>
      <c r="AA519" t="s">
        <v>717</v>
      </c>
      <c r="AB519" t="s">
        <v>2509</v>
      </c>
      <c r="AC519" t="s">
        <v>2571</v>
      </c>
      <c r="AD519" t="s">
        <v>717</v>
      </c>
      <c r="AE519" t="s">
        <v>4563</v>
      </c>
      <c r="AF519" t="s">
        <v>4564</v>
      </c>
      <c r="AG519" t="s">
        <v>4565</v>
      </c>
      <c r="AH519" t="s">
        <v>2615</v>
      </c>
      <c r="AI519" t="s">
        <v>2552</v>
      </c>
      <c r="AJ519" t="s">
        <v>2895</v>
      </c>
      <c r="AK519" t="s">
        <v>77</v>
      </c>
      <c r="AL519" t="s">
        <v>16</v>
      </c>
      <c r="AM519" t="s">
        <v>10</v>
      </c>
      <c r="AN519" t="s">
        <v>717</v>
      </c>
    </row>
    <row r="520" spans="1:40" hidden="1">
      <c r="A520">
        <v>518</v>
      </c>
      <c r="B520">
        <v>7</v>
      </c>
      <c r="C520" s="58">
        <v>44398</v>
      </c>
      <c r="D520" t="s">
        <v>121</v>
      </c>
      <c r="E520" t="s">
        <v>2506</v>
      </c>
      <c r="F520">
        <v>8</v>
      </c>
      <c r="G520">
        <v>7</v>
      </c>
      <c r="H520">
        <v>224</v>
      </c>
      <c r="I520">
        <v>2</v>
      </c>
      <c r="J520">
        <v>56.93</v>
      </c>
      <c r="K520" t="s">
        <v>15</v>
      </c>
      <c r="L520">
        <v>3287459.85</v>
      </c>
      <c r="M520">
        <v>0</v>
      </c>
      <c r="N520">
        <v>3287459.85</v>
      </c>
      <c r="O520">
        <v>57745.649920955562</v>
      </c>
      <c r="P520">
        <v>313115</v>
      </c>
      <c r="Q520">
        <v>2974344.85</v>
      </c>
      <c r="R520">
        <v>52245.649920955562</v>
      </c>
      <c r="S520" t="s">
        <v>65</v>
      </c>
      <c r="T520" t="s">
        <v>717</v>
      </c>
      <c r="U520" t="s">
        <v>717</v>
      </c>
      <c r="V520" t="s">
        <v>4131</v>
      </c>
      <c r="W520">
        <v>44392</v>
      </c>
      <c r="X520" t="s">
        <v>4566</v>
      </c>
      <c r="Y520" t="s">
        <v>6</v>
      </c>
      <c r="Z520" t="s">
        <v>17</v>
      </c>
      <c r="AA520" t="s">
        <v>717</v>
      </c>
      <c r="AB520" t="s">
        <v>2509</v>
      </c>
      <c r="AC520" t="s">
        <v>2571</v>
      </c>
      <c r="AD520" t="s">
        <v>717</v>
      </c>
      <c r="AE520" t="s">
        <v>4567</v>
      </c>
      <c r="AF520" t="s">
        <v>4568</v>
      </c>
      <c r="AG520" t="s">
        <v>4569</v>
      </c>
      <c r="AH520" t="s">
        <v>2552</v>
      </c>
      <c r="AI520" t="s">
        <v>2547</v>
      </c>
      <c r="AJ520" t="s">
        <v>2855</v>
      </c>
      <c r="AK520" t="s">
        <v>73</v>
      </c>
      <c r="AL520" t="s">
        <v>16</v>
      </c>
      <c r="AM520" t="s">
        <v>10</v>
      </c>
      <c r="AN520" t="s">
        <v>717</v>
      </c>
    </row>
    <row r="521" spans="1:40" hidden="1">
      <c r="A521">
        <v>519</v>
      </c>
      <c r="B521">
        <v>8</v>
      </c>
      <c r="C521" s="58">
        <v>44399</v>
      </c>
      <c r="D521" t="s">
        <v>27</v>
      </c>
      <c r="E521" t="s">
        <v>2506</v>
      </c>
      <c r="F521">
        <v>8</v>
      </c>
      <c r="G521">
        <v>17</v>
      </c>
      <c r="H521">
        <v>335</v>
      </c>
      <c r="I521">
        <v>2</v>
      </c>
      <c r="J521">
        <v>55.8</v>
      </c>
      <c r="K521" t="s">
        <v>15</v>
      </c>
      <c r="L521">
        <v>3007620</v>
      </c>
      <c r="M521">
        <v>0</v>
      </c>
      <c r="N521">
        <v>3007620</v>
      </c>
      <c r="O521">
        <v>53900</v>
      </c>
      <c r="P521">
        <v>306900</v>
      </c>
      <c r="Q521">
        <v>2700720</v>
      </c>
      <c r="R521">
        <v>48400</v>
      </c>
      <c r="S521" t="s">
        <v>2507</v>
      </c>
      <c r="T521" t="s">
        <v>717</v>
      </c>
      <c r="U521" t="s">
        <v>717</v>
      </c>
      <c r="V521" t="s">
        <v>717</v>
      </c>
      <c r="W521">
        <v>44391</v>
      </c>
      <c r="X521" t="s">
        <v>4570</v>
      </c>
      <c r="Y521" t="s">
        <v>6</v>
      </c>
      <c r="Z521" t="s">
        <v>11</v>
      </c>
      <c r="AA521" t="s">
        <v>717</v>
      </c>
      <c r="AB521" t="s">
        <v>2509</v>
      </c>
      <c r="AC521" t="s">
        <v>118</v>
      </c>
      <c r="AD521" t="s">
        <v>717</v>
      </c>
      <c r="AE521" t="s">
        <v>4571</v>
      </c>
      <c r="AF521" t="s">
        <v>4572</v>
      </c>
      <c r="AG521" t="s">
        <v>4573</v>
      </c>
      <c r="AH521" t="s">
        <v>2615</v>
      </c>
      <c r="AI521" t="s">
        <v>2847</v>
      </c>
      <c r="AJ521" t="s">
        <v>2662</v>
      </c>
      <c r="AK521" t="s">
        <v>407</v>
      </c>
      <c r="AL521" t="s">
        <v>717</v>
      </c>
      <c r="AM521" t="s">
        <v>10</v>
      </c>
      <c r="AN521" t="s">
        <v>717</v>
      </c>
    </row>
    <row r="522" spans="1:40" hidden="1">
      <c r="A522">
        <v>520</v>
      </c>
      <c r="B522">
        <v>9</v>
      </c>
      <c r="C522" s="58">
        <v>44399</v>
      </c>
      <c r="D522" t="s">
        <v>27</v>
      </c>
      <c r="E522" t="s">
        <v>4409</v>
      </c>
      <c r="F522">
        <v>8</v>
      </c>
      <c r="G522">
        <v>3</v>
      </c>
      <c r="H522">
        <v>527</v>
      </c>
      <c r="I522">
        <v>2</v>
      </c>
      <c r="J522">
        <v>55.8</v>
      </c>
      <c r="K522" t="s">
        <v>9</v>
      </c>
      <c r="L522">
        <v>2553408</v>
      </c>
      <c r="M522">
        <v>0</v>
      </c>
      <c r="N522">
        <v>2553408</v>
      </c>
      <c r="O522">
        <v>45760</v>
      </c>
      <c r="P522">
        <v>0</v>
      </c>
      <c r="Q522">
        <v>2553408</v>
      </c>
      <c r="R522">
        <v>45760</v>
      </c>
      <c r="S522" t="s">
        <v>65</v>
      </c>
      <c r="T522" t="s">
        <v>717</v>
      </c>
      <c r="U522" t="s">
        <v>717</v>
      </c>
      <c r="V522" t="s">
        <v>717</v>
      </c>
      <c r="W522">
        <v>44391</v>
      </c>
      <c r="X522" t="s">
        <v>4574</v>
      </c>
      <c r="Y522" t="s">
        <v>2611</v>
      </c>
      <c r="Z522" t="s">
        <v>17</v>
      </c>
      <c r="AA522" t="s">
        <v>717</v>
      </c>
      <c r="AB522" t="s">
        <v>2509</v>
      </c>
      <c r="AC522" t="s">
        <v>2571</v>
      </c>
      <c r="AD522">
        <v>45022</v>
      </c>
      <c r="AE522" t="s">
        <v>4575</v>
      </c>
      <c r="AF522" t="s">
        <v>4576</v>
      </c>
      <c r="AG522" t="s">
        <v>4577</v>
      </c>
      <c r="AH522" t="s">
        <v>2615</v>
      </c>
      <c r="AI522" t="s">
        <v>2824</v>
      </c>
      <c r="AJ522" t="s">
        <v>2569</v>
      </c>
      <c r="AK522" t="s">
        <v>73</v>
      </c>
      <c r="AL522" t="s">
        <v>16</v>
      </c>
      <c r="AM522" t="s">
        <v>10</v>
      </c>
      <c r="AN522" t="s">
        <v>717</v>
      </c>
    </row>
    <row r="523" spans="1:40" hidden="1">
      <c r="A523">
        <v>521</v>
      </c>
      <c r="B523">
        <v>10</v>
      </c>
      <c r="C523" s="58">
        <v>44399</v>
      </c>
      <c r="D523" t="s">
        <v>27</v>
      </c>
      <c r="E523" t="s">
        <v>4409</v>
      </c>
      <c r="F523">
        <v>3</v>
      </c>
      <c r="G523">
        <v>9</v>
      </c>
      <c r="H523">
        <v>570</v>
      </c>
      <c r="I523">
        <v>0</v>
      </c>
      <c r="J523">
        <v>23.54</v>
      </c>
      <c r="K523" t="s">
        <v>9</v>
      </c>
      <c r="L523">
        <v>1377560.8</v>
      </c>
      <c r="M523">
        <v>0</v>
      </c>
      <c r="N523">
        <v>1377560.8</v>
      </c>
      <c r="O523">
        <v>58520.000000000007</v>
      </c>
      <c r="P523">
        <v>0</v>
      </c>
      <c r="Q523">
        <v>1377560.8</v>
      </c>
      <c r="R523">
        <v>58520.000000000007</v>
      </c>
      <c r="S523" t="s">
        <v>2507</v>
      </c>
      <c r="T523" t="s">
        <v>717</v>
      </c>
      <c r="U523" t="s">
        <v>717</v>
      </c>
      <c r="V523" t="s">
        <v>717</v>
      </c>
      <c r="W523">
        <v>44393</v>
      </c>
      <c r="X523" t="s">
        <v>4578</v>
      </c>
      <c r="Y523" t="s">
        <v>6</v>
      </c>
      <c r="Z523" t="s">
        <v>11</v>
      </c>
      <c r="AA523" t="s">
        <v>717</v>
      </c>
      <c r="AB523" t="s">
        <v>2509</v>
      </c>
      <c r="AC523" t="s">
        <v>118</v>
      </c>
      <c r="AD523" t="s">
        <v>717</v>
      </c>
      <c r="AE523" t="s">
        <v>4579</v>
      </c>
      <c r="AF523" t="s">
        <v>4580</v>
      </c>
      <c r="AG523" t="s">
        <v>4581</v>
      </c>
      <c r="AH523" t="s">
        <v>2191</v>
      </c>
      <c r="AI523" t="s">
        <v>2552</v>
      </c>
      <c r="AJ523" t="s">
        <v>2514</v>
      </c>
      <c r="AK523" t="s">
        <v>20</v>
      </c>
      <c r="AL523" t="s">
        <v>717</v>
      </c>
      <c r="AM523" t="s">
        <v>10</v>
      </c>
      <c r="AN523" t="s">
        <v>717</v>
      </c>
    </row>
    <row r="524" spans="1:40" hidden="1">
      <c r="A524">
        <v>522</v>
      </c>
      <c r="B524">
        <v>11</v>
      </c>
      <c r="C524" s="58">
        <v>44399</v>
      </c>
      <c r="D524" t="s">
        <v>27</v>
      </c>
      <c r="E524" t="s">
        <v>4409</v>
      </c>
      <c r="F524">
        <v>4</v>
      </c>
      <c r="G524">
        <v>13</v>
      </c>
      <c r="H524">
        <v>603</v>
      </c>
      <c r="I524">
        <v>1</v>
      </c>
      <c r="J524">
        <v>40</v>
      </c>
      <c r="K524" t="s">
        <v>15</v>
      </c>
      <c r="L524">
        <v>2304720</v>
      </c>
      <c r="M524">
        <v>0</v>
      </c>
      <c r="N524">
        <v>2304720</v>
      </c>
      <c r="O524">
        <v>57618</v>
      </c>
      <c r="P524">
        <v>220000</v>
      </c>
      <c r="Q524">
        <v>2084720</v>
      </c>
      <c r="R524">
        <v>52118</v>
      </c>
      <c r="S524" t="s">
        <v>130</v>
      </c>
      <c r="T524" t="s">
        <v>717</v>
      </c>
      <c r="U524" t="s">
        <v>717</v>
      </c>
      <c r="V524" t="s">
        <v>717</v>
      </c>
      <c r="W524">
        <v>44393</v>
      </c>
      <c r="X524" t="s">
        <v>4582</v>
      </c>
      <c r="Y524" t="s">
        <v>6</v>
      </c>
      <c r="Z524" t="s">
        <v>11</v>
      </c>
      <c r="AA524" t="s">
        <v>717</v>
      </c>
      <c r="AB524" t="s">
        <v>2509</v>
      </c>
      <c r="AC524" t="s">
        <v>118</v>
      </c>
      <c r="AD524" t="s">
        <v>717</v>
      </c>
      <c r="AE524" t="s">
        <v>4583</v>
      </c>
      <c r="AF524" t="s">
        <v>4584</v>
      </c>
      <c r="AG524" t="s">
        <v>4585</v>
      </c>
      <c r="AH524" t="s">
        <v>2552</v>
      </c>
      <c r="AI524" t="s">
        <v>2547</v>
      </c>
      <c r="AJ524" t="s">
        <v>2855</v>
      </c>
      <c r="AK524" t="s">
        <v>20</v>
      </c>
      <c r="AL524" t="s">
        <v>717</v>
      </c>
      <c r="AM524" t="s">
        <v>10</v>
      </c>
      <c r="AN524" t="s">
        <v>717</v>
      </c>
    </row>
    <row r="525" spans="1:40" hidden="1">
      <c r="A525">
        <v>523</v>
      </c>
      <c r="B525">
        <v>12</v>
      </c>
      <c r="C525" s="58">
        <v>44399</v>
      </c>
      <c r="D525" t="s">
        <v>121</v>
      </c>
      <c r="E525" t="s">
        <v>2506</v>
      </c>
      <c r="F525">
        <v>3</v>
      </c>
      <c r="G525">
        <v>14</v>
      </c>
      <c r="H525">
        <v>296</v>
      </c>
      <c r="I525">
        <v>3</v>
      </c>
      <c r="J525">
        <v>86.58</v>
      </c>
      <c r="K525" t="s">
        <v>25</v>
      </c>
      <c r="L525">
        <v>5857509.29</v>
      </c>
      <c r="M525">
        <v>0</v>
      </c>
      <c r="N525">
        <v>5857509.29</v>
      </c>
      <c r="O525">
        <v>67654.299953799957</v>
      </c>
      <c r="P525">
        <v>1385280</v>
      </c>
      <c r="Q525">
        <v>4472229.29</v>
      </c>
      <c r="R525">
        <v>51654.299953799957</v>
      </c>
      <c r="S525" t="s">
        <v>65</v>
      </c>
      <c r="T525" t="s">
        <v>717</v>
      </c>
      <c r="U525" t="s">
        <v>717</v>
      </c>
      <c r="V525" t="s">
        <v>4131</v>
      </c>
      <c r="W525">
        <v>44394</v>
      </c>
      <c r="X525" t="s">
        <v>4586</v>
      </c>
      <c r="Y525" t="s">
        <v>6</v>
      </c>
      <c r="Z525" t="s">
        <v>17</v>
      </c>
      <c r="AA525" t="s">
        <v>717</v>
      </c>
      <c r="AB525" t="s">
        <v>2509</v>
      </c>
      <c r="AC525" t="s">
        <v>2571</v>
      </c>
      <c r="AD525" t="s">
        <v>717</v>
      </c>
      <c r="AE525" t="s">
        <v>4587</v>
      </c>
      <c r="AF525" t="s">
        <v>4588</v>
      </c>
      <c r="AG525" t="s">
        <v>4589</v>
      </c>
      <c r="AH525" t="s">
        <v>2552</v>
      </c>
      <c r="AI525" t="s">
        <v>2877</v>
      </c>
      <c r="AJ525" t="s">
        <v>3098</v>
      </c>
      <c r="AK525" t="s">
        <v>407</v>
      </c>
      <c r="AL525" t="s">
        <v>16</v>
      </c>
      <c r="AM525" t="s">
        <v>10</v>
      </c>
      <c r="AN525" t="s">
        <v>717</v>
      </c>
    </row>
    <row r="526" spans="1:40" hidden="1">
      <c r="A526">
        <v>524</v>
      </c>
      <c r="B526">
        <v>13</v>
      </c>
      <c r="C526" s="58">
        <v>44400</v>
      </c>
      <c r="D526" t="s">
        <v>27</v>
      </c>
      <c r="E526" t="s">
        <v>4409</v>
      </c>
      <c r="F526">
        <v>4</v>
      </c>
      <c r="G526">
        <v>14</v>
      </c>
      <c r="H526">
        <v>611</v>
      </c>
      <c r="I526">
        <v>1</v>
      </c>
      <c r="J526">
        <v>40</v>
      </c>
      <c r="K526" t="s">
        <v>15</v>
      </c>
      <c r="L526">
        <v>2304720</v>
      </c>
      <c r="M526">
        <v>0</v>
      </c>
      <c r="N526">
        <v>2304720</v>
      </c>
      <c r="O526">
        <v>57618</v>
      </c>
      <c r="P526">
        <v>220000</v>
      </c>
      <c r="Q526">
        <v>2084720</v>
      </c>
      <c r="R526">
        <v>52118</v>
      </c>
      <c r="S526" t="s">
        <v>65</v>
      </c>
      <c r="T526" t="s">
        <v>717</v>
      </c>
      <c r="U526" t="s">
        <v>717</v>
      </c>
      <c r="V526" t="s">
        <v>717</v>
      </c>
      <c r="W526">
        <v>44377</v>
      </c>
      <c r="X526" t="s">
        <v>4590</v>
      </c>
      <c r="Y526" t="s">
        <v>6</v>
      </c>
      <c r="Z526" t="s">
        <v>11</v>
      </c>
      <c r="AA526" t="s">
        <v>717</v>
      </c>
      <c r="AB526" t="s">
        <v>2509</v>
      </c>
      <c r="AC526" t="s">
        <v>2576</v>
      </c>
      <c r="AD526" t="s">
        <v>717</v>
      </c>
      <c r="AE526" t="s">
        <v>4591</v>
      </c>
      <c r="AF526" t="s">
        <v>4592</v>
      </c>
      <c r="AG526" t="s">
        <v>4593</v>
      </c>
      <c r="AH526" t="s">
        <v>2552</v>
      </c>
      <c r="AI526" t="s">
        <v>2621</v>
      </c>
      <c r="AJ526" t="s">
        <v>2651</v>
      </c>
      <c r="AK526" t="s">
        <v>20</v>
      </c>
      <c r="AL526" t="s">
        <v>16</v>
      </c>
      <c r="AM526" t="s">
        <v>10</v>
      </c>
      <c r="AN526" t="s">
        <v>717</v>
      </c>
    </row>
    <row r="527" spans="1:40" hidden="1">
      <c r="A527">
        <v>525</v>
      </c>
      <c r="B527">
        <v>14</v>
      </c>
      <c r="C527" s="58">
        <v>44400</v>
      </c>
      <c r="D527" t="s">
        <v>121</v>
      </c>
      <c r="E527" t="s">
        <v>2515</v>
      </c>
      <c r="F527">
        <v>5</v>
      </c>
      <c r="G527">
        <v>4</v>
      </c>
      <c r="H527">
        <v>19</v>
      </c>
      <c r="I527">
        <v>1</v>
      </c>
      <c r="J527">
        <v>36.42</v>
      </c>
      <c r="K527" t="s">
        <v>9</v>
      </c>
      <c r="L527">
        <v>2248027.7799999998</v>
      </c>
      <c r="M527">
        <v>0</v>
      </c>
      <c r="N527">
        <v>2248027.7799999998</v>
      </c>
      <c r="O527">
        <v>61725.090060406365</v>
      </c>
      <c r="P527">
        <v>0</v>
      </c>
      <c r="Q527">
        <v>2248027.7799999998</v>
      </c>
      <c r="R527">
        <v>61725.090060406365</v>
      </c>
      <c r="S527" t="s">
        <v>65</v>
      </c>
      <c r="T527" t="s">
        <v>717</v>
      </c>
      <c r="U527" t="s">
        <v>717</v>
      </c>
      <c r="V527" t="s">
        <v>717</v>
      </c>
      <c r="W527">
        <v>44388</v>
      </c>
      <c r="X527" t="s">
        <v>4594</v>
      </c>
      <c r="Y527" t="s">
        <v>6</v>
      </c>
      <c r="Z527" t="s">
        <v>17</v>
      </c>
      <c r="AA527" t="s">
        <v>717</v>
      </c>
      <c r="AB527" t="s">
        <v>2509</v>
      </c>
      <c r="AC527" t="s">
        <v>2571</v>
      </c>
      <c r="AD527" t="s">
        <v>717</v>
      </c>
      <c r="AE527" t="s">
        <v>4595</v>
      </c>
      <c r="AF527" t="s">
        <v>4596</v>
      </c>
      <c r="AG527" t="s">
        <v>4597</v>
      </c>
      <c r="AH527" t="s">
        <v>2615</v>
      </c>
      <c r="AI527" t="s">
        <v>2552</v>
      </c>
      <c r="AJ527" t="s">
        <v>2895</v>
      </c>
      <c r="AK527" t="s">
        <v>20</v>
      </c>
      <c r="AL527" t="s">
        <v>16</v>
      </c>
      <c r="AM527" t="s">
        <v>10</v>
      </c>
      <c r="AN527" t="s">
        <v>717</v>
      </c>
    </row>
    <row r="528" spans="1:40" hidden="1">
      <c r="A528">
        <v>526</v>
      </c>
      <c r="B528">
        <v>15</v>
      </c>
      <c r="C528" s="58">
        <v>44400</v>
      </c>
      <c r="D528" t="s">
        <v>121</v>
      </c>
      <c r="E528" t="s">
        <v>2515</v>
      </c>
      <c r="F528">
        <v>5</v>
      </c>
      <c r="G528">
        <v>18</v>
      </c>
      <c r="H528">
        <v>117</v>
      </c>
      <c r="I528">
        <v>1</v>
      </c>
      <c r="J528">
        <v>36.42</v>
      </c>
      <c r="K528" t="s">
        <v>9</v>
      </c>
      <c r="L528">
        <v>2248027.7799999998</v>
      </c>
      <c r="M528">
        <v>0</v>
      </c>
      <c r="N528">
        <v>2248027.7799999998</v>
      </c>
      <c r="O528">
        <v>61725.090060406365</v>
      </c>
      <c r="P528">
        <v>0</v>
      </c>
      <c r="Q528">
        <v>2248027.7799999998</v>
      </c>
      <c r="R528">
        <v>61725.090060406365</v>
      </c>
      <c r="S528" t="s">
        <v>2507</v>
      </c>
      <c r="T528" t="s">
        <v>717</v>
      </c>
      <c r="U528" t="s">
        <v>717</v>
      </c>
      <c r="V528" t="s">
        <v>717</v>
      </c>
      <c r="W528">
        <v>44399</v>
      </c>
      <c r="X528" t="s">
        <v>4598</v>
      </c>
      <c r="Y528" t="s">
        <v>6</v>
      </c>
      <c r="Z528" t="s">
        <v>11</v>
      </c>
      <c r="AA528" t="s">
        <v>717</v>
      </c>
      <c r="AB528" t="s">
        <v>2509</v>
      </c>
      <c r="AC528" t="s">
        <v>118</v>
      </c>
      <c r="AD528" t="s">
        <v>717</v>
      </c>
      <c r="AE528" t="s">
        <v>4599</v>
      </c>
      <c r="AF528" t="s">
        <v>4600</v>
      </c>
      <c r="AG528" t="s">
        <v>4601</v>
      </c>
      <c r="AH528" t="s">
        <v>2191</v>
      </c>
      <c r="AI528" t="s">
        <v>2538</v>
      </c>
      <c r="AJ528" t="s">
        <v>2514</v>
      </c>
      <c r="AK528" t="s">
        <v>77</v>
      </c>
      <c r="AL528" t="s">
        <v>717</v>
      </c>
      <c r="AM528" t="s">
        <v>10</v>
      </c>
      <c r="AN528" t="s">
        <v>717</v>
      </c>
    </row>
    <row r="529" spans="1:40" hidden="1">
      <c r="A529">
        <v>527</v>
      </c>
      <c r="B529">
        <v>16</v>
      </c>
      <c r="C529" s="58">
        <v>44401</v>
      </c>
      <c r="D529" t="s">
        <v>27</v>
      </c>
      <c r="E529" t="s">
        <v>4409</v>
      </c>
      <c r="F529">
        <v>4</v>
      </c>
      <c r="G529">
        <v>4</v>
      </c>
      <c r="H529">
        <v>531</v>
      </c>
      <c r="I529">
        <v>1</v>
      </c>
      <c r="J529">
        <v>40</v>
      </c>
      <c r="K529" t="s">
        <v>9</v>
      </c>
      <c r="L529">
        <v>2024000</v>
      </c>
      <c r="M529">
        <v>0</v>
      </c>
      <c r="N529">
        <v>2024000</v>
      </c>
      <c r="O529">
        <v>50600</v>
      </c>
      <c r="P529">
        <v>0</v>
      </c>
      <c r="Q529">
        <v>2024000</v>
      </c>
      <c r="R529">
        <v>50600</v>
      </c>
      <c r="S529" t="s">
        <v>2507</v>
      </c>
      <c r="T529" t="s">
        <v>717</v>
      </c>
      <c r="U529" t="s">
        <v>717</v>
      </c>
      <c r="V529" t="s">
        <v>717</v>
      </c>
      <c r="W529">
        <v>44398</v>
      </c>
      <c r="X529" t="s">
        <v>4602</v>
      </c>
      <c r="Y529" t="s">
        <v>6</v>
      </c>
      <c r="Z529" t="s">
        <v>11</v>
      </c>
      <c r="AA529" t="s">
        <v>717</v>
      </c>
      <c r="AB529" t="s">
        <v>2509</v>
      </c>
      <c r="AC529" t="s">
        <v>118</v>
      </c>
      <c r="AD529" t="s">
        <v>717</v>
      </c>
      <c r="AE529" t="s">
        <v>4603</v>
      </c>
      <c r="AF529" t="s">
        <v>4604</v>
      </c>
      <c r="AG529" t="s">
        <v>4605</v>
      </c>
      <c r="AH529" t="s">
        <v>2552</v>
      </c>
      <c r="AI529" t="s">
        <v>3556</v>
      </c>
      <c r="AJ529" t="s">
        <v>2569</v>
      </c>
      <c r="AK529" t="s">
        <v>63</v>
      </c>
      <c r="AL529" t="s">
        <v>717</v>
      </c>
      <c r="AM529" t="s">
        <v>10</v>
      </c>
      <c r="AN529" t="s">
        <v>717</v>
      </c>
    </row>
    <row r="530" spans="1:40" hidden="1">
      <c r="A530">
        <v>528</v>
      </c>
      <c r="B530">
        <v>17</v>
      </c>
      <c r="C530" s="58">
        <v>44403</v>
      </c>
      <c r="D530" t="s">
        <v>27</v>
      </c>
      <c r="E530" t="s">
        <v>4409</v>
      </c>
      <c r="F530">
        <v>7</v>
      </c>
      <c r="G530">
        <v>12</v>
      </c>
      <c r="H530">
        <v>598</v>
      </c>
      <c r="I530">
        <v>2</v>
      </c>
      <c r="J530">
        <v>59.93</v>
      </c>
      <c r="K530" t="s">
        <v>15</v>
      </c>
      <c r="L530">
        <v>3181666.2</v>
      </c>
      <c r="M530">
        <v>15000</v>
      </c>
      <c r="N530">
        <v>3196666.2</v>
      </c>
      <c r="O530">
        <v>53340</v>
      </c>
      <c r="P530">
        <v>269685</v>
      </c>
      <c r="Q530">
        <v>2926981.2</v>
      </c>
      <c r="R530">
        <v>48840</v>
      </c>
      <c r="S530" t="s">
        <v>2507</v>
      </c>
      <c r="T530" t="s">
        <v>717</v>
      </c>
      <c r="U530" t="s">
        <v>717</v>
      </c>
      <c r="V530" t="s">
        <v>717</v>
      </c>
      <c r="W530">
        <v>44378</v>
      </c>
      <c r="X530" t="s">
        <v>4606</v>
      </c>
      <c r="Y530" t="s">
        <v>6</v>
      </c>
      <c r="Z530" t="s">
        <v>17</v>
      </c>
      <c r="AA530" t="s">
        <v>717</v>
      </c>
      <c r="AB530" t="s">
        <v>2509</v>
      </c>
      <c r="AC530" t="s">
        <v>118</v>
      </c>
      <c r="AD530" t="s">
        <v>717</v>
      </c>
      <c r="AE530" t="s">
        <v>4607</v>
      </c>
      <c r="AF530" t="s">
        <v>4608</v>
      </c>
      <c r="AG530" t="s">
        <v>4609</v>
      </c>
      <c r="AH530" t="s">
        <v>2615</v>
      </c>
      <c r="AI530" t="s">
        <v>2552</v>
      </c>
      <c r="AJ530" t="s">
        <v>2895</v>
      </c>
      <c r="AK530" t="s">
        <v>73</v>
      </c>
      <c r="AL530" t="s">
        <v>717</v>
      </c>
      <c r="AM530" t="s">
        <v>10</v>
      </c>
      <c r="AN530" t="s">
        <v>717</v>
      </c>
    </row>
    <row r="531" spans="1:40" hidden="1">
      <c r="A531">
        <v>529</v>
      </c>
      <c r="B531">
        <v>18</v>
      </c>
      <c r="C531" s="58">
        <v>44403</v>
      </c>
      <c r="D531" t="s">
        <v>27</v>
      </c>
      <c r="E531" t="s">
        <v>4409</v>
      </c>
      <c r="F531">
        <v>6</v>
      </c>
      <c r="G531">
        <v>2</v>
      </c>
      <c r="H531">
        <v>517</v>
      </c>
      <c r="I531">
        <v>1</v>
      </c>
      <c r="J531">
        <v>37.11</v>
      </c>
      <c r="K531" t="s">
        <v>15</v>
      </c>
      <c r="L531">
        <v>2081871</v>
      </c>
      <c r="M531">
        <v>0</v>
      </c>
      <c r="N531">
        <v>2081871</v>
      </c>
      <c r="O531">
        <v>56100</v>
      </c>
      <c r="P531">
        <v>204105</v>
      </c>
      <c r="Q531">
        <v>1877766</v>
      </c>
      <c r="R531">
        <v>50600</v>
      </c>
      <c r="S531" t="s">
        <v>65</v>
      </c>
      <c r="T531" t="s">
        <v>717</v>
      </c>
      <c r="U531" t="s">
        <v>717</v>
      </c>
      <c r="V531" t="s">
        <v>717</v>
      </c>
      <c r="W531">
        <v>44377</v>
      </c>
      <c r="X531" t="s">
        <v>4610</v>
      </c>
      <c r="Y531" t="s">
        <v>6</v>
      </c>
      <c r="Z531" t="s">
        <v>17</v>
      </c>
      <c r="AA531" t="s">
        <v>717</v>
      </c>
      <c r="AB531" t="s">
        <v>2509</v>
      </c>
      <c r="AC531" t="s">
        <v>2571</v>
      </c>
      <c r="AD531" t="s">
        <v>717</v>
      </c>
      <c r="AE531" t="s">
        <v>4611</v>
      </c>
      <c r="AF531" t="s">
        <v>4612</v>
      </c>
      <c r="AG531" t="s">
        <v>4613</v>
      </c>
      <c r="AH531" t="s">
        <v>2552</v>
      </c>
      <c r="AI531" t="s">
        <v>2877</v>
      </c>
      <c r="AJ531" t="s">
        <v>3098</v>
      </c>
      <c r="AK531" t="s">
        <v>77</v>
      </c>
      <c r="AL531" t="s">
        <v>16</v>
      </c>
      <c r="AM531" t="s">
        <v>10</v>
      </c>
      <c r="AN531" t="s">
        <v>717</v>
      </c>
    </row>
    <row r="532" spans="1:40" hidden="1">
      <c r="A532">
        <v>530</v>
      </c>
      <c r="B532">
        <v>19</v>
      </c>
      <c r="C532" s="58">
        <v>44403</v>
      </c>
      <c r="D532" t="s">
        <v>27</v>
      </c>
      <c r="E532" t="s">
        <v>2515</v>
      </c>
      <c r="F532">
        <v>1</v>
      </c>
      <c r="G532">
        <v>24</v>
      </c>
      <c r="H532">
        <v>199</v>
      </c>
      <c r="I532">
        <v>3</v>
      </c>
      <c r="J532">
        <v>82.71</v>
      </c>
      <c r="K532" t="s">
        <v>9</v>
      </c>
      <c r="L532">
        <v>4514861.28</v>
      </c>
      <c r="M532">
        <v>15000</v>
      </c>
      <c r="N532">
        <v>4529861.28</v>
      </c>
      <c r="O532">
        <v>54768.000000000007</v>
      </c>
      <c r="P532">
        <v>0</v>
      </c>
      <c r="Q532">
        <v>4529861.28</v>
      </c>
      <c r="R532">
        <v>54768.000000000007</v>
      </c>
      <c r="S532" t="s">
        <v>65</v>
      </c>
      <c r="T532" t="s">
        <v>717</v>
      </c>
      <c r="U532" t="s">
        <v>717</v>
      </c>
      <c r="V532" t="s">
        <v>4131</v>
      </c>
      <c r="W532">
        <v>44391</v>
      </c>
      <c r="X532" t="s">
        <v>4614</v>
      </c>
      <c r="Y532" t="s">
        <v>6</v>
      </c>
      <c r="Z532" t="s">
        <v>17</v>
      </c>
      <c r="AA532" t="s">
        <v>717</v>
      </c>
      <c r="AB532" t="s">
        <v>2509</v>
      </c>
      <c r="AC532" t="s">
        <v>2571</v>
      </c>
      <c r="AD532" t="s">
        <v>717</v>
      </c>
      <c r="AE532" t="s">
        <v>4615</v>
      </c>
      <c r="AF532" t="s">
        <v>4616</v>
      </c>
      <c r="AG532" t="s">
        <v>4617</v>
      </c>
      <c r="AH532" t="s">
        <v>2615</v>
      </c>
      <c r="AI532" t="s">
        <v>2552</v>
      </c>
      <c r="AJ532" t="s">
        <v>2895</v>
      </c>
      <c r="AK532" t="s">
        <v>407</v>
      </c>
      <c r="AL532" t="s">
        <v>16</v>
      </c>
      <c r="AM532" t="s">
        <v>10</v>
      </c>
      <c r="AN532" t="s">
        <v>717</v>
      </c>
    </row>
    <row r="533" spans="1:40" hidden="1">
      <c r="A533">
        <v>531</v>
      </c>
      <c r="B533">
        <v>20</v>
      </c>
      <c r="C533" s="58">
        <v>44403</v>
      </c>
      <c r="D533" t="s">
        <v>121</v>
      </c>
      <c r="E533" t="s">
        <v>2506</v>
      </c>
      <c r="F533">
        <v>10</v>
      </c>
      <c r="G533">
        <v>13</v>
      </c>
      <c r="H533">
        <v>292</v>
      </c>
      <c r="I533">
        <v>0</v>
      </c>
      <c r="J533">
        <v>25.91</v>
      </c>
      <c r="K533" t="s">
        <v>25</v>
      </c>
      <c r="L533">
        <v>2152501.75</v>
      </c>
      <c r="M533">
        <v>0</v>
      </c>
      <c r="N533">
        <v>2152501.75</v>
      </c>
      <c r="O533">
        <v>83076.099961404863</v>
      </c>
      <c r="P533">
        <v>414560</v>
      </c>
      <c r="Q533">
        <v>1737941.75</v>
      </c>
      <c r="R533">
        <v>67076.099961404863</v>
      </c>
      <c r="S533" t="s">
        <v>65</v>
      </c>
      <c r="T533" t="s">
        <v>717</v>
      </c>
      <c r="U533" t="s">
        <v>717</v>
      </c>
      <c r="V533" t="s">
        <v>717</v>
      </c>
      <c r="W533">
        <v>44394</v>
      </c>
      <c r="X533" t="s">
        <v>4618</v>
      </c>
      <c r="Y533" t="s">
        <v>6</v>
      </c>
      <c r="Z533" t="s">
        <v>17</v>
      </c>
      <c r="AA533" t="s">
        <v>717</v>
      </c>
      <c r="AB533" t="s">
        <v>2509</v>
      </c>
      <c r="AC533" t="s">
        <v>2571</v>
      </c>
      <c r="AD533" t="s">
        <v>717</v>
      </c>
      <c r="AE533" t="s">
        <v>4619</v>
      </c>
      <c r="AF533" t="s">
        <v>4620</v>
      </c>
      <c r="AG533" t="s">
        <v>4621</v>
      </c>
      <c r="AH533" t="s">
        <v>2552</v>
      </c>
      <c r="AI533" t="s">
        <v>2877</v>
      </c>
      <c r="AJ533" t="s">
        <v>3098</v>
      </c>
      <c r="AK533" t="s">
        <v>77</v>
      </c>
      <c r="AL533" t="s">
        <v>16</v>
      </c>
      <c r="AM533" t="s">
        <v>10</v>
      </c>
      <c r="AN533" t="s">
        <v>717</v>
      </c>
    </row>
    <row r="534" spans="1:40" hidden="1">
      <c r="A534">
        <v>532</v>
      </c>
      <c r="B534">
        <v>21</v>
      </c>
      <c r="C534" s="58">
        <v>44404</v>
      </c>
      <c r="D534" t="s">
        <v>27</v>
      </c>
      <c r="E534" t="s">
        <v>4409</v>
      </c>
      <c r="F534">
        <v>8</v>
      </c>
      <c r="G534">
        <v>10</v>
      </c>
      <c r="H534">
        <v>583</v>
      </c>
      <c r="I534">
        <v>2</v>
      </c>
      <c r="J534">
        <v>55.8</v>
      </c>
      <c r="K534" t="s">
        <v>9</v>
      </c>
      <c r="L534">
        <v>2553408</v>
      </c>
      <c r="M534">
        <v>0</v>
      </c>
      <c r="N534">
        <v>2553408</v>
      </c>
      <c r="O534">
        <v>45760</v>
      </c>
      <c r="P534">
        <v>0</v>
      </c>
      <c r="Q534">
        <v>2553408</v>
      </c>
      <c r="R534">
        <v>45760</v>
      </c>
      <c r="S534" t="s">
        <v>65</v>
      </c>
      <c r="T534" t="s">
        <v>717</v>
      </c>
      <c r="U534" t="s">
        <v>717</v>
      </c>
      <c r="V534" t="s">
        <v>717</v>
      </c>
      <c r="W534">
        <v>44377</v>
      </c>
      <c r="X534" t="s">
        <v>4622</v>
      </c>
      <c r="Y534" t="s">
        <v>6</v>
      </c>
      <c r="Z534" t="s">
        <v>17</v>
      </c>
      <c r="AA534" t="s">
        <v>717</v>
      </c>
      <c r="AB534" t="s">
        <v>2509</v>
      </c>
      <c r="AC534" t="s">
        <v>2571</v>
      </c>
      <c r="AD534" t="s">
        <v>717</v>
      </c>
      <c r="AE534" t="s">
        <v>4623</v>
      </c>
      <c r="AF534" t="s">
        <v>4624</v>
      </c>
      <c r="AG534" t="s">
        <v>4625</v>
      </c>
      <c r="AH534" t="s">
        <v>2191</v>
      </c>
      <c r="AI534" t="s">
        <v>2552</v>
      </c>
      <c r="AJ534" t="s">
        <v>2514</v>
      </c>
      <c r="AK534" t="s">
        <v>20</v>
      </c>
      <c r="AL534" t="s">
        <v>16</v>
      </c>
      <c r="AM534" t="s">
        <v>10</v>
      </c>
      <c r="AN534" t="s">
        <v>717</v>
      </c>
    </row>
    <row r="535" spans="1:40" hidden="1">
      <c r="A535">
        <v>533</v>
      </c>
      <c r="B535">
        <v>22</v>
      </c>
      <c r="C535" s="58">
        <v>44404</v>
      </c>
      <c r="D535" t="s">
        <v>27</v>
      </c>
      <c r="E535" t="s">
        <v>2581</v>
      </c>
      <c r="F535">
        <v>3</v>
      </c>
      <c r="G535">
        <v>10</v>
      </c>
      <c r="H535">
        <v>458</v>
      </c>
      <c r="I535">
        <v>0</v>
      </c>
      <c r="J535">
        <v>23.54</v>
      </c>
      <c r="K535" t="s">
        <v>9</v>
      </c>
      <c r="L535">
        <v>1294700</v>
      </c>
      <c r="M535">
        <v>0</v>
      </c>
      <c r="N535">
        <v>1294700</v>
      </c>
      <c r="O535">
        <v>55000</v>
      </c>
      <c r="P535">
        <v>0</v>
      </c>
      <c r="Q535">
        <v>1294700</v>
      </c>
      <c r="R535">
        <v>55000</v>
      </c>
      <c r="S535" t="s">
        <v>2507</v>
      </c>
      <c r="T535" t="s">
        <v>717</v>
      </c>
      <c r="U535" t="s">
        <v>717</v>
      </c>
      <c r="V535" t="s">
        <v>717</v>
      </c>
      <c r="W535">
        <v>44383</v>
      </c>
      <c r="X535" t="s">
        <v>4626</v>
      </c>
      <c r="Y535" t="s">
        <v>6</v>
      </c>
      <c r="Z535" t="s">
        <v>11</v>
      </c>
      <c r="AA535" t="s">
        <v>717</v>
      </c>
      <c r="AB535" t="s">
        <v>2509</v>
      </c>
      <c r="AC535" t="s">
        <v>118</v>
      </c>
      <c r="AD535" t="s">
        <v>717</v>
      </c>
      <c r="AE535" t="s">
        <v>4627</v>
      </c>
      <c r="AF535" t="s">
        <v>4628</v>
      </c>
      <c r="AG535" t="s">
        <v>717</v>
      </c>
      <c r="AH535" t="s">
        <v>2615</v>
      </c>
      <c r="AI535" t="s">
        <v>2552</v>
      </c>
      <c r="AJ535" t="s">
        <v>2895</v>
      </c>
      <c r="AK535" t="s">
        <v>77</v>
      </c>
      <c r="AL535" t="s">
        <v>717</v>
      </c>
      <c r="AM535" t="s">
        <v>10</v>
      </c>
      <c r="AN535" t="s">
        <v>717</v>
      </c>
    </row>
    <row r="536" spans="1:40" hidden="1">
      <c r="A536">
        <v>534</v>
      </c>
      <c r="B536">
        <v>23</v>
      </c>
      <c r="C536" s="58">
        <v>44404</v>
      </c>
      <c r="D536" t="s">
        <v>121</v>
      </c>
      <c r="E536" t="s">
        <v>2506</v>
      </c>
      <c r="F536">
        <v>8</v>
      </c>
      <c r="G536">
        <v>8</v>
      </c>
      <c r="H536">
        <v>235</v>
      </c>
      <c r="I536">
        <v>2</v>
      </c>
      <c r="J536">
        <v>56.93</v>
      </c>
      <c r="K536" t="s">
        <v>15</v>
      </c>
      <c r="L536">
        <v>3287459.85</v>
      </c>
      <c r="M536">
        <v>0</v>
      </c>
      <c r="N536">
        <v>3287459.85</v>
      </c>
      <c r="O536">
        <v>57745.649920955562</v>
      </c>
      <c r="P536">
        <v>313115</v>
      </c>
      <c r="Q536">
        <v>2974344.85</v>
      </c>
      <c r="R536">
        <v>52245.649920955562</v>
      </c>
      <c r="S536" t="s">
        <v>65</v>
      </c>
      <c r="T536" t="s">
        <v>717</v>
      </c>
      <c r="U536" t="s">
        <v>717</v>
      </c>
      <c r="V536" t="s">
        <v>4131</v>
      </c>
      <c r="W536">
        <v>44397</v>
      </c>
      <c r="X536" t="s">
        <v>4629</v>
      </c>
      <c r="Y536" t="s">
        <v>6</v>
      </c>
      <c r="Z536" t="s">
        <v>17</v>
      </c>
      <c r="AA536" t="s">
        <v>717</v>
      </c>
      <c r="AB536" t="s">
        <v>2509</v>
      </c>
      <c r="AC536" t="s">
        <v>2571</v>
      </c>
      <c r="AD536" t="s">
        <v>717</v>
      </c>
      <c r="AE536" t="s">
        <v>4630</v>
      </c>
      <c r="AF536" t="s">
        <v>4631</v>
      </c>
      <c r="AG536" t="s">
        <v>4632</v>
      </c>
      <c r="AH536" t="s">
        <v>2615</v>
      </c>
      <c r="AI536" t="s">
        <v>2552</v>
      </c>
      <c r="AJ536" t="s">
        <v>2895</v>
      </c>
      <c r="AK536" t="s">
        <v>20</v>
      </c>
      <c r="AL536" t="s">
        <v>16</v>
      </c>
      <c r="AM536" t="s">
        <v>10</v>
      </c>
      <c r="AN536" t="s">
        <v>717</v>
      </c>
    </row>
    <row r="537" spans="1:40" hidden="1">
      <c r="A537">
        <v>535</v>
      </c>
      <c r="B537">
        <v>24</v>
      </c>
      <c r="C537" s="58">
        <v>44404</v>
      </c>
      <c r="D537" t="s">
        <v>27</v>
      </c>
      <c r="E537" t="s">
        <v>2581</v>
      </c>
      <c r="F537">
        <v>8</v>
      </c>
      <c r="G537">
        <v>8</v>
      </c>
      <c r="H537">
        <v>447</v>
      </c>
      <c r="I537">
        <v>2</v>
      </c>
      <c r="J537">
        <v>55.8</v>
      </c>
      <c r="K537" t="s">
        <v>9</v>
      </c>
      <c r="L537">
        <v>2700720</v>
      </c>
      <c r="M537">
        <v>0</v>
      </c>
      <c r="N537">
        <v>2700720</v>
      </c>
      <c r="O537">
        <v>48400</v>
      </c>
      <c r="P537">
        <v>0</v>
      </c>
      <c r="Q537">
        <v>2700720</v>
      </c>
      <c r="R537">
        <v>48400</v>
      </c>
      <c r="S537" t="s">
        <v>65</v>
      </c>
      <c r="T537" t="s">
        <v>717</v>
      </c>
      <c r="U537" t="s">
        <v>717</v>
      </c>
      <c r="V537" t="s">
        <v>717</v>
      </c>
      <c r="W537">
        <v>44398</v>
      </c>
      <c r="X537" t="s">
        <v>4633</v>
      </c>
      <c r="Y537" t="s">
        <v>6</v>
      </c>
      <c r="Z537" t="s">
        <v>17</v>
      </c>
      <c r="AA537" t="s">
        <v>717</v>
      </c>
      <c r="AB537" t="s">
        <v>2509</v>
      </c>
      <c r="AC537" t="s">
        <v>2571</v>
      </c>
      <c r="AD537" t="s">
        <v>717</v>
      </c>
      <c r="AE537" t="s">
        <v>4634</v>
      </c>
      <c r="AF537" t="s">
        <v>4635</v>
      </c>
      <c r="AG537" t="s">
        <v>4636</v>
      </c>
      <c r="AH537" t="s">
        <v>2615</v>
      </c>
      <c r="AI537" t="s">
        <v>2688</v>
      </c>
      <c r="AJ537" t="s">
        <v>3289</v>
      </c>
      <c r="AK537" t="s">
        <v>77</v>
      </c>
      <c r="AL537" t="s">
        <v>16</v>
      </c>
      <c r="AM537" t="s">
        <v>10</v>
      </c>
      <c r="AN537" t="s">
        <v>717</v>
      </c>
    </row>
    <row r="538" spans="1:40" hidden="1">
      <c r="A538">
        <v>536</v>
      </c>
      <c r="B538">
        <v>25</v>
      </c>
      <c r="C538" s="58">
        <v>44404</v>
      </c>
      <c r="D538" t="s">
        <v>27</v>
      </c>
      <c r="E538" t="s">
        <v>2581</v>
      </c>
      <c r="F538">
        <v>3</v>
      </c>
      <c r="G538">
        <v>8</v>
      </c>
      <c r="H538">
        <v>442</v>
      </c>
      <c r="I538">
        <v>0</v>
      </c>
      <c r="J538">
        <v>23.54</v>
      </c>
      <c r="K538" t="s">
        <v>9</v>
      </c>
      <c r="L538">
        <v>1294700</v>
      </c>
      <c r="M538">
        <v>0</v>
      </c>
      <c r="N538">
        <v>1294700</v>
      </c>
      <c r="O538">
        <v>55000</v>
      </c>
      <c r="P538">
        <v>0</v>
      </c>
      <c r="Q538">
        <v>1294700</v>
      </c>
      <c r="R538">
        <v>55000</v>
      </c>
      <c r="S538" t="s">
        <v>130</v>
      </c>
      <c r="T538" t="s">
        <v>717</v>
      </c>
      <c r="U538" t="s">
        <v>717</v>
      </c>
      <c r="V538" t="s">
        <v>717</v>
      </c>
      <c r="W538">
        <v>44399</v>
      </c>
      <c r="X538" t="s">
        <v>4637</v>
      </c>
      <c r="Y538" t="s">
        <v>6</v>
      </c>
      <c r="Z538" t="s">
        <v>11</v>
      </c>
      <c r="AA538" t="s">
        <v>717</v>
      </c>
      <c r="AB538" t="s">
        <v>2509</v>
      </c>
      <c r="AC538" t="s">
        <v>118</v>
      </c>
      <c r="AD538" t="s">
        <v>717</v>
      </c>
      <c r="AE538" t="s">
        <v>4638</v>
      </c>
      <c r="AF538" t="s">
        <v>4639</v>
      </c>
      <c r="AG538" t="s">
        <v>4640</v>
      </c>
      <c r="AH538" t="s">
        <v>2615</v>
      </c>
      <c r="AI538" t="s">
        <v>2552</v>
      </c>
      <c r="AJ538" t="s">
        <v>2662</v>
      </c>
      <c r="AK538" t="s">
        <v>20</v>
      </c>
      <c r="AL538" t="s">
        <v>717</v>
      </c>
      <c r="AM538" t="s">
        <v>10</v>
      </c>
      <c r="AN538" t="s">
        <v>717</v>
      </c>
    </row>
    <row r="539" spans="1:40" hidden="1">
      <c r="A539">
        <v>537</v>
      </c>
      <c r="B539">
        <v>26</v>
      </c>
      <c r="C539" s="58">
        <v>44404</v>
      </c>
      <c r="D539" t="s">
        <v>27</v>
      </c>
      <c r="E539" t="s">
        <v>2581</v>
      </c>
      <c r="F539">
        <v>5</v>
      </c>
      <c r="G539">
        <v>8</v>
      </c>
      <c r="H539">
        <v>444</v>
      </c>
      <c r="I539">
        <v>0</v>
      </c>
      <c r="J539">
        <v>23.63</v>
      </c>
      <c r="K539" t="s">
        <v>9</v>
      </c>
      <c r="L539">
        <v>1299650</v>
      </c>
      <c r="M539">
        <v>0</v>
      </c>
      <c r="N539">
        <v>1299650</v>
      </c>
      <c r="O539">
        <v>55000</v>
      </c>
      <c r="P539">
        <v>0</v>
      </c>
      <c r="Q539">
        <v>1299650</v>
      </c>
      <c r="R539">
        <v>55000</v>
      </c>
      <c r="S539" t="s">
        <v>130</v>
      </c>
      <c r="T539" t="s">
        <v>717</v>
      </c>
      <c r="U539" t="s">
        <v>717</v>
      </c>
      <c r="V539" t="s">
        <v>717</v>
      </c>
      <c r="W539">
        <v>44399</v>
      </c>
      <c r="X539" t="s">
        <v>4641</v>
      </c>
      <c r="Y539" t="s">
        <v>6</v>
      </c>
      <c r="Z539" t="s">
        <v>11</v>
      </c>
      <c r="AA539" t="s">
        <v>717</v>
      </c>
      <c r="AB539" t="s">
        <v>2509</v>
      </c>
      <c r="AC539" t="s">
        <v>118</v>
      </c>
      <c r="AD539" t="s">
        <v>717</v>
      </c>
      <c r="AE539" t="s">
        <v>4638</v>
      </c>
      <c r="AF539" t="s">
        <v>4639</v>
      </c>
      <c r="AG539" t="s">
        <v>4640</v>
      </c>
      <c r="AH539" t="s">
        <v>2580</v>
      </c>
      <c r="AI539" t="s">
        <v>2552</v>
      </c>
      <c r="AJ539" t="s">
        <v>2662</v>
      </c>
      <c r="AK539" t="s">
        <v>20</v>
      </c>
      <c r="AL539" t="s">
        <v>717</v>
      </c>
      <c r="AM539" t="s">
        <v>10</v>
      </c>
      <c r="AN539" t="s">
        <v>717</v>
      </c>
    </row>
    <row r="540" spans="1:40" hidden="1">
      <c r="A540">
        <v>538</v>
      </c>
      <c r="B540">
        <v>27</v>
      </c>
      <c r="C540" s="58">
        <v>44404</v>
      </c>
      <c r="D540" t="s">
        <v>27</v>
      </c>
      <c r="E540" t="s">
        <v>4409</v>
      </c>
      <c r="F540">
        <v>3</v>
      </c>
      <c r="G540">
        <v>8</v>
      </c>
      <c r="H540">
        <v>562</v>
      </c>
      <c r="I540">
        <v>0</v>
      </c>
      <c r="J540">
        <v>23.54</v>
      </c>
      <c r="K540" t="s">
        <v>9</v>
      </c>
      <c r="L540">
        <v>1359435</v>
      </c>
      <c r="M540">
        <v>0</v>
      </c>
      <c r="N540">
        <v>1359435</v>
      </c>
      <c r="O540">
        <v>57750</v>
      </c>
      <c r="P540">
        <v>0</v>
      </c>
      <c r="Q540">
        <v>1359435</v>
      </c>
      <c r="R540">
        <v>57750</v>
      </c>
      <c r="S540" t="s">
        <v>2507</v>
      </c>
      <c r="T540" t="s">
        <v>717</v>
      </c>
      <c r="U540" t="s">
        <v>717</v>
      </c>
      <c r="V540" t="s">
        <v>717</v>
      </c>
      <c r="W540">
        <v>44403</v>
      </c>
      <c r="X540" t="s">
        <v>4642</v>
      </c>
      <c r="Y540" t="s">
        <v>6</v>
      </c>
      <c r="Z540" t="s">
        <v>17</v>
      </c>
      <c r="AA540" t="s">
        <v>717</v>
      </c>
      <c r="AB540" t="s">
        <v>2509</v>
      </c>
      <c r="AC540" t="s">
        <v>118</v>
      </c>
      <c r="AD540" t="s">
        <v>717</v>
      </c>
      <c r="AE540" t="s">
        <v>4643</v>
      </c>
      <c r="AF540" t="s">
        <v>4644</v>
      </c>
      <c r="AG540" t="s">
        <v>4645</v>
      </c>
      <c r="AH540" t="s">
        <v>2615</v>
      </c>
      <c r="AI540" t="s">
        <v>2688</v>
      </c>
      <c r="AJ540" t="s">
        <v>3289</v>
      </c>
      <c r="AK540" t="s">
        <v>20</v>
      </c>
      <c r="AL540" t="s">
        <v>717</v>
      </c>
      <c r="AM540" t="s">
        <v>10</v>
      </c>
      <c r="AN540" t="s">
        <v>717</v>
      </c>
    </row>
    <row r="541" spans="1:40" hidden="1">
      <c r="A541">
        <v>539</v>
      </c>
      <c r="B541">
        <v>28</v>
      </c>
      <c r="C541" s="58">
        <v>44405</v>
      </c>
      <c r="D541" t="s">
        <v>27</v>
      </c>
      <c r="E541" t="s">
        <v>2581</v>
      </c>
      <c r="F541">
        <v>8</v>
      </c>
      <c r="G541">
        <v>5</v>
      </c>
      <c r="H541">
        <v>423</v>
      </c>
      <c r="I541">
        <v>2</v>
      </c>
      <c r="J541">
        <v>55.8</v>
      </c>
      <c r="K541" t="s">
        <v>9</v>
      </c>
      <c r="L541">
        <v>2685720</v>
      </c>
      <c r="M541">
        <v>15000</v>
      </c>
      <c r="N541">
        <v>2700720</v>
      </c>
      <c r="O541">
        <v>48400</v>
      </c>
      <c r="P541">
        <v>0</v>
      </c>
      <c r="Q541">
        <v>2700720</v>
      </c>
      <c r="R541">
        <v>48400</v>
      </c>
      <c r="S541" t="s">
        <v>2507</v>
      </c>
      <c r="T541" t="s">
        <v>717</v>
      </c>
      <c r="U541" t="s">
        <v>717</v>
      </c>
      <c r="V541" t="s">
        <v>717</v>
      </c>
      <c r="W541">
        <v>44372</v>
      </c>
      <c r="X541" t="s">
        <v>4646</v>
      </c>
      <c r="Y541" t="s">
        <v>6</v>
      </c>
      <c r="Z541" t="s">
        <v>17</v>
      </c>
      <c r="AA541" t="s">
        <v>717</v>
      </c>
      <c r="AB541" t="s">
        <v>2509</v>
      </c>
      <c r="AC541" t="s">
        <v>118</v>
      </c>
      <c r="AD541" t="s">
        <v>717</v>
      </c>
      <c r="AE541" t="s">
        <v>3528</v>
      </c>
      <c r="AF541" t="s">
        <v>3529</v>
      </c>
      <c r="AG541" t="s">
        <v>3530</v>
      </c>
      <c r="AH541" t="s">
        <v>2191</v>
      </c>
      <c r="AI541" t="s">
        <v>2600</v>
      </c>
      <c r="AJ541" t="s">
        <v>3921</v>
      </c>
      <c r="AK541" t="s">
        <v>63</v>
      </c>
      <c r="AL541" t="s">
        <v>717</v>
      </c>
      <c r="AM541" t="s">
        <v>10</v>
      </c>
      <c r="AN541" t="s">
        <v>717</v>
      </c>
    </row>
    <row r="542" spans="1:40" hidden="1">
      <c r="A542">
        <v>540</v>
      </c>
      <c r="B542">
        <v>29</v>
      </c>
      <c r="C542" s="58">
        <v>44405</v>
      </c>
      <c r="D542" t="s">
        <v>27</v>
      </c>
      <c r="E542" t="s">
        <v>2506</v>
      </c>
      <c r="F542">
        <v>7</v>
      </c>
      <c r="G542">
        <v>6</v>
      </c>
      <c r="H542">
        <v>246</v>
      </c>
      <c r="I542">
        <v>2</v>
      </c>
      <c r="J542">
        <v>59.93</v>
      </c>
      <c r="K542" t="s">
        <v>9</v>
      </c>
      <c r="L542">
        <v>3085196.4</v>
      </c>
      <c r="M542">
        <v>0</v>
      </c>
      <c r="N542">
        <v>3085196.4</v>
      </c>
      <c r="O542">
        <v>51480</v>
      </c>
      <c r="P542">
        <v>0</v>
      </c>
      <c r="Q542">
        <v>3085196.4</v>
      </c>
      <c r="R542">
        <v>51480</v>
      </c>
      <c r="S542" t="s">
        <v>130</v>
      </c>
      <c r="T542" t="s">
        <v>717</v>
      </c>
      <c r="U542" t="s">
        <v>717</v>
      </c>
      <c r="V542" t="s">
        <v>717</v>
      </c>
      <c r="W542">
        <v>44386</v>
      </c>
      <c r="X542" t="s">
        <v>4647</v>
      </c>
      <c r="Y542" t="s">
        <v>6</v>
      </c>
      <c r="Z542" t="s">
        <v>17</v>
      </c>
      <c r="AA542" t="s">
        <v>717</v>
      </c>
      <c r="AB542" t="s">
        <v>2509</v>
      </c>
      <c r="AC542" t="s">
        <v>118</v>
      </c>
      <c r="AD542" t="s">
        <v>717</v>
      </c>
      <c r="AE542" t="s">
        <v>4648</v>
      </c>
      <c r="AF542" t="s">
        <v>4649</v>
      </c>
      <c r="AG542" t="s">
        <v>4650</v>
      </c>
      <c r="AH542" t="s">
        <v>2615</v>
      </c>
      <c r="AI542" t="s">
        <v>2706</v>
      </c>
      <c r="AJ542" t="s">
        <v>2895</v>
      </c>
      <c r="AK542" t="s">
        <v>63</v>
      </c>
      <c r="AL542" t="s">
        <v>717</v>
      </c>
      <c r="AM542" t="s">
        <v>10</v>
      </c>
      <c r="AN542" t="s">
        <v>717</v>
      </c>
    </row>
    <row r="543" spans="1:40" hidden="1">
      <c r="A543">
        <v>541</v>
      </c>
      <c r="B543">
        <v>30</v>
      </c>
      <c r="C543" s="58">
        <v>44405</v>
      </c>
      <c r="D543" t="s">
        <v>27</v>
      </c>
      <c r="E543" t="s">
        <v>2581</v>
      </c>
      <c r="F543">
        <v>8</v>
      </c>
      <c r="G543">
        <v>14</v>
      </c>
      <c r="H543">
        <v>495</v>
      </c>
      <c r="I543">
        <v>2</v>
      </c>
      <c r="J543">
        <v>55.8</v>
      </c>
      <c r="K543" t="s">
        <v>15</v>
      </c>
      <c r="L543">
        <v>3007620</v>
      </c>
      <c r="M543">
        <v>0</v>
      </c>
      <c r="N543">
        <v>3007620</v>
      </c>
      <c r="O543">
        <v>53900</v>
      </c>
      <c r="P543">
        <v>306900</v>
      </c>
      <c r="Q543">
        <v>2700720</v>
      </c>
      <c r="R543">
        <v>48400</v>
      </c>
      <c r="S543" t="s">
        <v>2507</v>
      </c>
      <c r="T543" t="s">
        <v>717</v>
      </c>
      <c r="U543" t="s">
        <v>717</v>
      </c>
      <c r="V543" t="s">
        <v>717</v>
      </c>
      <c r="W543">
        <v>44398</v>
      </c>
      <c r="X543" t="s">
        <v>4651</v>
      </c>
      <c r="Y543" t="s">
        <v>6</v>
      </c>
      <c r="Z543" t="s">
        <v>11</v>
      </c>
      <c r="AA543" t="s">
        <v>717</v>
      </c>
      <c r="AB543" t="s">
        <v>2509</v>
      </c>
      <c r="AC543" t="s">
        <v>118</v>
      </c>
      <c r="AD543" t="s">
        <v>717</v>
      </c>
      <c r="AE543" t="s">
        <v>4652</v>
      </c>
      <c r="AF543" t="s">
        <v>4653</v>
      </c>
      <c r="AG543" t="s">
        <v>4654</v>
      </c>
      <c r="AH543" t="s">
        <v>2191</v>
      </c>
      <c r="AI543" t="s">
        <v>3115</v>
      </c>
      <c r="AJ543" t="s">
        <v>2514</v>
      </c>
      <c r="AK543" t="s">
        <v>20</v>
      </c>
      <c r="AL543" t="s">
        <v>717</v>
      </c>
      <c r="AM543" t="s">
        <v>10</v>
      </c>
      <c r="AN543" t="s">
        <v>717</v>
      </c>
    </row>
    <row r="544" spans="1:40" hidden="1">
      <c r="A544">
        <v>542</v>
      </c>
      <c r="B544">
        <v>31</v>
      </c>
      <c r="C544" s="58">
        <v>44406</v>
      </c>
      <c r="D544" t="s">
        <v>27</v>
      </c>
      <c r="E544" t="s">
        <v>2506</v>
      </c>
      <c r="F544">
        <v>3</v>
      </c>
      <c r="G544">
        <v>11</v>
      </c>
      <c r="H544">
        <v>282</v>
      </c>
      <c r="I544">
        <v>0</v>
      </c>
      <c r="J544">
        <v>23.54</v>
      </c>
      <c r="K544" t="s">
        <v>15</v>
      </c>
      <c r="L544">
        <v>1424170</v>
      </c>
      <c r="M544">
        <v>0</v>
      </c>
      <c r="N544">
        <v>1424170</v>
      </c>
      <c r="O544">
        <v>60500</v>
      </c>
      <c r="P544">
        <v>129470</v>
      </c>
      <c r="Q544">
        <v>1294700</v>
      </c>
      <c r="R544">
        <v>55000</v>
      </c>
      <c r="S544" t="s">
        <v>2507</v>
      </c>
      <c r="T544" t="s">
        <v>717</v>
      </c>
      <c r="U544" t="s">
        <v>717</v>
      </c>
      <c r="V544" t="s">
        <v>717</v>
      </c>
      <c r="W544">
        <v>44381</v>
      </c>
      <c r="X544" t="s">
        <v>4655</v>
      </c>
      <c r="Y544" t="s">
        <v>6</v>
      </c>
      <c r="Z544" t="s">
        <v>17</v>
      </c>
      <c r="AA544" t="s">
        <v>717</v>
      </c>
      <c r="AB544" t="s">
        <v>2509</v>
      </c>
      <c r="AC544" t="s">
        <v>118</v>
      </c>
      <c r="AD544" t="s">
        <v>717</v>
      </c>
      <c r="AE544" t="s">
        <v>4656</v>
      </c>
      <c r="AF544" t="s">
        <v>4657</v>
      </c>
      <c r="AG544" t="s">
        <v>4658</v>
      </c>
      <c r="AH544" t="s">
        <v>2191</v>
      </c>
      <c r="AI544" t="s">
        <v>2847</v>
      </c>
      <c r="AJ544" t="s">
        <v>2514</v>
      </c>
      <c r="AK544" t="s">
        <v>63</v>
      </c>
      <c r="AL544" t="s">
        <v>717</v>
      </c>
      <c r="AM544" t="s">
        <v>10</v>
      </c>
      <c r="AN544" t="s">
        <v>717</v>
      </c>
    </row>
    <row r="545" spans="1:40" hidden="1">
      <c r="A545">
        <v>543</v>
      </c>
      <c r="B545">
        <v>32</v>
      </c>
      <c r="C545" s="58">
        <v>44406</v>
      </c>
      <c r="D545" t="s">
        <v>27</v>
      </c>
      <c r="E545" t="s">
        <v>2506</v>
      </c>
      <c r="F545">
        <v>8</v>
      </c>
      <c r="G545">
        <v>7</v>
      </c>
      <c r="H545">
        <v>255</v>
      </c>
      <c r="I545">
        <v>2</v>
      </c>
      <c r="J545">
        <v>55.8</v>
      </c>
      <c r="K545" t="s">
        <v>15</v>
      </c>
      <c r="L545">
        <v>3007620</v>
      </c>
      <c r="M545">
        <v>0</v>
      </c>
      <c r="N545">
        <v>3007620</v>
      </c>
      <c r="O545">
        <v>53900</v>
      </c>
      <c r="P545">
        <v>306900</v>
      </c>
      <c r="Q545">
        <v>2700720</v>
      </c>
      <c r="R545">
        <v>48400</v>
      </c>
      <c r="S545" t="s">
        <v>65</v>
      </c>
      <c r="T545" t="s">
        <v>717</v>
      </c>
      <c r="U545" t="s">
        <v>717</v>
      </c>
      <c r="V545" t="s">
        <v>4131</v>
      </c>
      <c r="W545">
        <v>44397</v>
      </c>
      <c r="X545" t="s">
        <v>4659</v>
      </c>
      <c r="Y545" t="s">
        <v>6</v>
      </c>
      <c r="Z545" t="s">
        <v>17</v>
      </c>
      <c r="AA545" t="s">
        <v>717</v>
      </c>
      <c r="AB545" t="s">
        <v>2509</v>
      </c>
      <c r="AC545" t="s">
        <v>2571</v>
      </c>
      <c r="AD545" t="s">
        <v>717</v>
      </c>
      <c r="AE545" t="s">
        <v>4660</v>
      </c>
      <c r="AF545" t="s">
        <v>4661</v>
      </c>
      <c r="AG545" t="s">
        <v>4662</v>
      </c>
      <c r="AH545" t="s">
        <v>2615</v>
      </c>
      <c r="AI545" t="s">
        <v>2538</v>
      </c>
      <c r="AJ545" t="s">
        <v>3202</v>
      </c>
      <c r="AK545" t="s">
        <v>77</v>
      </c>
      <c r="AL545" t="s">
        <v>16</v>
      </c>
      <c r="AM545" t="s">
        <v>10</v>
      </c>
      <c r="AN545" t="s">
        <v>717</v>
      </c>
    </row>
    <row r="546" spans="1:40" hidden="1">
      <c r="A546">
        <v>544</v>
      </c>
      <c r="B546">
        <v>33</v>
      </c>
      <c r="C546" s="58">
        <v>44406</v>
      </c>
      <c r="D546" t="s">
        <v>121</v>
      </c>
      <c r="E546" t="s">
        <v>2506</v>
      </c>
      <c r="F546">
        <v>2</v>
      </c>
      <c r="G546">
        <v>4</v>
      </c>
      <c r="H546">
        <v>185</v>
      </c>
      <c r="I546">
        <v>1</v>
      </c>
      <c r="J546">
        <v>38.22</v>
      </c>
      <c r="K546" t="s">
        <v>9</v>
      </c>
      <c r="L546">
        <v>2449671.7400000002</v>
      </c>
      <c r="M546">
        <v>15000</v>
      </c>
      <c r="N546">
        <v>2464671.7400000002</v>
      </c>
      <c r="O546">
        <v>64486.440083725807</v>
      </c>
      <c r="P546">
        <v>0</v>
      </c>
      <c r="Q546">
        <v>2464671.7400000002</v>
      </c>
      <c r="R546">
        <v>64486.440083725807</v>
      </c>
      <c r="S546" t="s">
        <v>130</v>
      </c>
      <c r="T546" t="s">
        <v>717</v>
      </c>
      <c r="U546" t="s">
        <v>717</v>
      </c>
      <c r="V546" t="s">
        <v>717</v>
      </c>
      <c r="W546">
        <v>44397</v>
      </c>
      <c r="X546" t="s">
        <v>4663</v>
      </c>
      <c r="Y546" t="s">
        <v>6</v>
      </c>
      <c r="Z546" t="s">
        <v>11</v>
      </c>
      <c r="AA546" t="s">
        <v>717</v>
      </c>
      <c r="AB546" t="s">
        <v>2509</v>
      </c>
      <c r="AC546" t="s">
        <v>118</v>
      </c>
      <c r="AD546" t="s">
        <v>717</v>
      </c>
      <c r="AE546" t="s">
        <v>4664</v>
      </c>
      <c r="AF546" t="s">
        <v>4665</v>
      </c>
      <c r="AG546" t="s">
        <v>4666</v>
      </c>
      <c r="AH546" t="s">
        <v>2191</v>
      </c>
      <c r="AI546" t="s">
        <v>2538</v>
      </c>
      <c r="AJ546" t="s">
        <v>2514</v>
      </c>
      <c r="AK546" t="s">
        <v>77</v>
      </c>
      <c r="AL546" t="s">
        <v>717</v>
      </c>
      <c r="AM546" t="s">
        <v>10</v>
      </c>
      <c r="AN546" t="s">
        <v>717</v>
      </c>
    </row>
    <row r="547" spans="1:40" hidden="1">
      <c r="A547">
        <v>545</v>
      </c>
      <c r="B547">
        <v>34</v>
      </c>
      <c r="C547" s="58">
        <v>44406</v>
      </c>
      <c r="D547" t="s">
        <v>121</v>
      </c>
      <c r="E547" t="s">
        <v>2506</v>
      </c>
      <c r="F547">
        <v>10</v>
      </c>
      <c r="G547">
        <v>11</v>
      </c>
      <c r="H547">
        <v>270</v>
      </c>
      <c r="I547">
        <v>0</v>
      </c>
      <c r="J547">
        <v>25.91</v>
      </c>
      <c r="K547" t="s">
        <v>25</v>
      </c>
      <c r="L547">
        <v>2009541.69</v>
      </c>
      <c r="M547">
        <v>0</v>
      </c>
      <c r="N547">
        <v>2009541.69</v>
      </c>
      <c r="O547">
        <v>77558.536858355845</v>
      </c>
      <c r="P547">
        <v>389945.5</v>
      </c>
      <c r="Q547">
        <v>1619596.19</v>
      </c>
      <c r="R547">
        <v>62508.536858355845</v>
      </c>
      <c r="S547" t="s">
        <v>2507</v>
      </c>
      <c r="T547" t="s">
        <v>3414</v>
      </c>
      <c r="U547">
        <v>85241.9</v>
      </c>
      <c r="V547" t="s">
        <v>717</v>
      </c>
      <c r="W547">
        <v>44400</v>
      </c>
      <c r="X547" t="s">
        <v>4667</v>
      </c>
      <c r="Y547" t="s">
        <v>6</v>
      </c>
      <c r="Z547" t="s">
        <v>11</v>
      </c>
      <c r="AA547" t="s">
        <v>717</v>
      </c>
      <c r="AB547" t="s">
        <v>2509</v>
      </c>
      <c r="AC547" t="s">
        <v>118</v>
      </c>
      <c r="AD547" t="s">
        <v>717</v>
      </c>
      <c r="AE547" t="s">
        <v>4668</v>
      </c>
      <c r="AF547" t="s">
        <v>4669</v>
      </c>
      <c r="AG547" t="s">
        <v>4670</v>
      </c>
      <c r="AH547" t="s">
        <v>2616</v>
      </c>
      <c r="AI547" t="s">
        <v>2552</v>
      </c>
      <c r="AJ547" t="s">
        <v>2895</v>
      </c>
      <c r="AK547" t="s">
        <v>77</v>
      </c>
      <c r="AL547" t="s">
        <v>717</v>
      </c>
      <c r="AM547" t="s">
        <v>10</v>
      </c>
      <c r="AN547" t="s">
        <v>717</v>
      </c>
    </row>
    <row r="548" spans="1:40" hidden="1">
      <c r="A548">
        <v>546</v>
      </c>
      <c r="B548">
        <v>35</v>
      </c>
      <c r="C548" s="58">
        <v>44406</v>
      </c>
      <c r="D548" t="s">
        <v>27</v>
      </c>
      <c r="E548" t="s">
        <v>4409</v>
      </c>
      <c r="F548">
        <v>8</v>
      </c>
      <c r="G548">
        <v>4</v>
      </c>
      <c r="H548">
        <v>535</v>
      </c>
      <c r="I548">
        <v>2</v>
      </c>
      <c r="J548">
        <v>55.8</v>
      </c>
      <c r="K548" t="s">
        <v>9</v>
      </c>
      <c r="L548">
        <v>2553408</v>
      </c>
      <c r="M548">
        <v>0</v>
      </c>
      <c r="N548">
        <v>2553408</v>
      </c>
      <c r="O548">
        <v>45760</v>
      </c>
      <c r="P548">
        <v>0</v>
      </c>
      <c r="Q548">
        <v>2553408</v>
      </c>
      <c r="R548">
        <v>45760</v>
      </c>
      <c r="S548" t="s">
        <v>65</v>
      </c>
      <c r="T548" t="s">
        <v>717</v>
      </c>
      <c r="U548" t="s">
        <v>717</v>
      </c>
      <c r="V548" t="s">
        <v>4131</v>
      </c>
      <c r="W548">
        <v>44404</v>
      </c>
      <c r="X548" t="s">
        <v>4671</v>
      </c>
      <c r="Y548" t="s">
        <v>6</v>
      </c>
      <c r="Z548" t="s">
        <v>17</v>
      </c>
      <c r="AA548" t="s">
        <v>717</v>
      </c>
      <c r="AB548" t="s">
        <v>2509</v>
      </c>
      <c r="AC548" t="s">
        <v>2571</v>
      </c>
      <c r="AD548" t="s">
        <v>717</v>
      </c>
      <c r="AE548" t="s">
        <v>4672</v>
      </c>
      <c r="AF548" t="s">
        <v>4673</v>
      </c>
      <c r="AG548" t="s">
        <v>4674</v>
      </c>
      <c r="AH548" t="s">
        <v>2615</v>
      </c>
      <c r="AI548" t="s">
        <v>2552</v>
      </c>
      <c r="AJ548" t="s">
        <v>2569</v>
      </c>
      <c r="AK548" t="s">
        <v>20</v>
      </c>
      <c r="AL548" t="s">
        <v>16</v>
      </c>
      <c r="AM548" t="s">
        <v>10</v>
      </c>
      <c r="AN548" t="s">
        <v>717</v>
      </c>
    </row>
    <row r="549" spans="1:40" hidden="1">
      <c r="A549">
        <v>547</v>
      </c>
      <c r="B549">
        <v>36</v>
      </c>
      <c r="C549" s="58">
        <v>44407</v>
      </c>
      <c r="D549" t="s">
        <v>121</v>
      </c>
      <c r="E549" t="s">
        <v>2515</v>
      </c>
      <c r="F549">
        <v>3</v>
      </c>
      <c r="G549">
        <v>23</v>
      </c>
      <c r="H549">
        <v>150</v>
      </c>
      <c r="I549">
        <v>3</v>
      </c>
      <c r="J549">
        <v>76.56</v>
      </c>
      <c r="K549" t="s">
        <v>15</v>
      </c>
      <c r="L549">
        <v>4344083.3</v>
      </c>
      <c r="M549">
        <v>0</v>
      </c>
      <c r="N549">
        <v>4344083.3</v>
      </c>
      <c r="O549">
        <v>56740.899947753394</v>
      </c>
      <c r="P549">
        <v>421080</v>
      </c>
      <c r="Q549">
        <v>3923003.3</v>
      </c>
      <c r="R549">
        <v>51240.899947753394</v>
      </c>
      <c r="S549" t="s">
        <v>65</v>
      </c>
      <c r="T549" t="s">
        <v>717</v>
      </c>
      <c r="U549" t="s">
        <v>717</v>
      </c>
      <c r="V549" t="s">
        <v>717</v>
      </c>
      <c r="W549">
        <v>44372</v>
      </c>
      <c r="X549" t="s">
        <v>4675</v>
      </c>
      <c r="Y549" t="s">
        <v>6</v>
      </c>
      <c r="Z549" t="s">
        <v>11</v>
      </c>
      <c r="AA549" t="s">
        <v>717</v>
      </c>
      <c r="AB549" t="s">
        <v>2509</v>
      </c>
      <c r="AC549" t="s">
        <v>2558</v>
      </c>
      <c r="AD549" t="s">
        <v>717</v>
      </c>
      <c r="AE549" t="s">
        <v>4676</v>
      </c>
      <c r="AF549" t="s">
        <v>4677</v>
      </c>
      <c r="AG549" t="s">
        <v>4678</v>
      </c>
      <c r="AH549" t="s">
        <v>2615</v>
      </c>
      <c r="AI549" t="s">
        <v>2688</v>
      </c>
      <c r="AJ549" t="s">
        <v>3289</v>
      </c>
      <c r="AK549" t="s">
        <v>63</v>
      </c>
      <c r="AL549" t="s">
        <v>16</v>
      </c>
      <c r="AM549" t="s">
        <v>10</v>
      </c>
      <c r="AN549" t="s">
        <v>717</v>
      </c>
    </row>
    <row r="550" spans="1:40" hidden="1">
      <c r="A550">
        <v>548</v>
      </c>
      <c r="B550">
        <v>37</v>
      </c>
      <c r="C550" s="58">
        <v>44407</v>
      </c>
      <c r="D550" t="s">
        <v>121</v>
      </c>
      <c r="E550" t="s">
        <v>2515</v>
      </c>
      <c r="F550">
        <v>4</v>
      </c>
      <c r="G550">
        <v>5</v>
      </c>
      <c r="H550">
        <v>25</v>
      </c>
      <c r="I550">
        <v>1</v>
      </c>
      <c r="J550">
        <v>36.86</v>
      </c>
      <c r="K550" t="s">
        <v>9</v>
      </c>
      <c r="L550">
        <v>2275186.8199999998</v>
      </c>
      <c r="M550">
        <v>0</v>
      </c>
      <c r="N550">
        <v>2275186.8199999998</v>
      </c>
      <c r="O550">
        <v>61725.09007053716</v>
      </c>
      <c r="P550">
        <v>0</v>
      </c>
      <c r="Q550">
        <v>2275186.8199999998</v>
      </c>
      <c r="R550">
        <v>61725.09007053716</v>
      </c>
      <c r="S550" t="s">
        <v>65</v>
      </c>
      <c r="T550" t="s">
        <v>717</v>
      </c>
      <c r="U550" t="s">
        <v>717</v>
      </c>
      <c r="V550" t="s">
        <v>717</v>
      </c>
      <c r="W550">
        <v>44397</v>
      </c>
      <c r="X550" t="s">
        <v>4679</v>
      </c>
      <c r="Y550" t="s">
        <v>6</v>
      </c>
      <c r="Z550" t="s">
        <v>17</v>
      </c>
      <c r="AA550" t="s">
        <v>717</v>
      </c>
      <c r="AB550" t="s">
        <v>2509</v>
      </c>
      <c r="AC550" t="s">
        <v>2571</v>
      </c>
      <c r="AD550" t="s">
        <v>717</v>
      </c>
      <c r="AE550" t="s">
        <v>4680</v>
      </c>
      <c r="AF550" t="s">
        <v>4681</v>
      </c>
      <c r="AG550" t="s">
        <v>4682</v>
      </c>
      <c r="AH550" t="s">
        <v>2615</v>
      </c>
      <c r="AI550" t="s">
        <v>2552</v>
      </c>
      <c r="AJ550" t="s">
        <v>2895</v>
      </c>
      <c r="AK550" t="s">
        <v>77</v>
      </c>
      <c r="AL550" t="s">
        <v>16</v>
      </c>
      <c r="AM550" t="s">
        <v>10</v>
      </c>
      <c r="AN550" t="s">
        <v>717</v>
      </c>
    </row>
    <row r="551" spans="1:40" hidden="1">
      <c r="A551">
        <v>549</v>
      </c>
      <c r="B551">
        <v>38</v>
      </c>
      <c r="C551" s="58">
        <v>44407</v>
      </c>
      <c r="D551" t="s">
        <v>27</v>
      </c>
      <c r="E551" t="s">
        <v>2506</v>
      </c>
      <c r="F551">
        <v>8</v>
      </c>
      <c r="G551">
        <v>6</v>
      </c>
      <c r="H551">
        <v>247</v>
      </c>
      <c r="I551">
        <v>2</v>
      </c>
      <c r="J551">
        <v>55.8</v>
      </c>
      <c r="K551" t="s">
        <v>9</v>
      </c>
      <c r="L551">
        <v>2700720</v>
      </c>
      <c r="M551">
        <v>0</v>
      </c>
      <c r="N551">
        <v>2700720</v>
      </c>
      <c r="O551">
        <v>48400</v>
      </c>
      <c r="P551">
        <v>0</v>
      </c>
      <c r="Q551">
        <v>2700720</v>
      </c>
      <c r="R551">
        <v>48400</v>
      </c>
      <c r="S551" t="s">
        <v>65</v>
      </c>
      <c r="T551" t="s">
        <v>717</v>
      </c>
      <c r="U551" t="s">
        <v>717</v>
      </c>
      <c r="V551" t="s">
        <v>4131</v>
      </c>
      <c r="W551">
        <v>44397</v>
      </c>
      <c r="X551" t="s">
        <v>4683</v>
      </c>
      <c r="Y551" t="s">
        <v>6</v>
      </c>
      <c r="Z551" t="s">
        <v>17</v>
      </c>
      <c r="AA551" t="s">
        <v>717</v>
      </c>
      <c r="AB551" t="s">
        <v>2509</v>
      </c>
      <c r="AC551" t="s">
        <v>2571</v>
      </c>
      <c r="AD551" t="s">
        <v>717</v>
      </c>
      <c r="AE551" t="s">
        <v>4684</v>
      </c>
      <c r="AF551" t="s">
        <v>4685</v>
      </c>
      <c r="AG551" t="s">
        <v>4686</v>
      </c>
      <c r="AH551" t="s">
        <v>2580</v>
      </c>
      <c r="AI551" t="s">
        <v>2538</v>
      </c>
      <c r="AJ551" t="s">
        <v>3921</v>
      </c>
      <c r="AK551" t="s">
        <v>20</v>
      </c>
      <c r="AL551" t="s">
        <v>16</v>
      </c>
      <c r="AM551" t="s">
        <v>10</v>
      </c>
      <c r="AN551" t="s">
        <v>717</v>
      </c>
    </row>
    <row r="552" spans="1:40" hidden="1">
      <c r="A552">
        <v>550</v>
      </c>
      <c r="B552">
        <v>39</v>
      </c>
      <c r="C552" s="58">
        <v>44407</v>
      </c>
      <c r="D552" t="s">
        <v>74</v>
      </c>
      <c r="E552" t="s">
        <v>2506</v>
      </c>
      <c r="F552">
        <v>1</v>
      </c>
      <c r="G552">
        <v>20</v>
      </c>
      <c r="H552">
        <v>277</v>
      </c>
      <c r="I552">
        <v>2</v>
      </c>
      <c r="J552">
        <v>62.7</v>
      </c>
      <c r="K552" t="s">
        <v>9</v>
      </c>
      <c r="L552">
        <v>3537668.18</v>
      </c>
      <c r="M552">
        <v>0</v>
      </c>
      <c r="N552">
        <v>3537668.18</v>
      </c>
      <c r="O552">
        <v>56422.140031897929</v>
      </c>
      <c r="P552">
        <v>31350</v>
      </c>
      <c r="Q552">
        <v>3506318.18</v>
      </c>
      <c r="R552">
        <v>55922.140031897929</v>
      </c>
      <c r="S552" t="s">
        <v>65</v>
      </c>
      <c r="T552" t="s">
        <v>717</v>
      </c>
      <c r="U552" t="s">
        <v>717</v>
      </c>
      <c r="V552" t="s">
        <v>717</v>
      </c>
      <c r="W552">
        <v>44397</v>
      </c>
      <c r="X552" t="s">
        <v>4687</v>
      </c>
      <c r="Y552" t="s">
        <v>6</v>
      </c>
      <c r="Z552" t="s">
        <v>17</v>
      </c>
      <c r="AA552" t="s">
        <v>717</v>
      </c>
      <c r="AB552" t="s">
        <v>326</v>
      </c>
      <c r="AC552" t="s">
        <v>2571</v>
      </c>
      <c r="AD552" t="s">
        <v>717</v>
      </c>
      <c r="AE552" t="s">
        <v>4688</v>
      </c>
      <c r="AF552" t="s">
        <v>4689</v>
      </c>
      <c r="AG552" t="s">
        <v>717</v>
      </c>
      <c r="AH552" t="s">
        <v>2552</v>
      </c>
      <c r="AI552" t="s">
        <v>2877</v>
      </c>
      <c r="AJ552" t="s">
        <v>3098</v>
      </c>
      <c r="AK552" t="s">
        <v>471</v>
      </c>
      <c r="AL552" t="s">
        <v>16</v>
      </c>
      <c r="AM552" t="s">
        <v>10</v>
      </c>
      <c r="AN552" t="s">
        <v>717</v>
      </c>
    </row>
    <row r="553" spans="1:40" hidden="1">
      <c r="A553">
        <v>551</v>
      </c>
      <c r="B553">
        <v>40</v>
      </c>
      <c r="C553" s="58">
        <v>44407</v>
      </c>
      <c r="D553" t="s">
        <v>27</v>
      </c>
      <c r="E553" t="s">
        <v>2506</v>
      </c>
      <c r="F553">
        <v>5</v>
      </c>
      <c r="G553">
        <v>11</v>
      </c>
      <c r="H553">
        <v>284</v>
      </c>
      <c r="I553">
        <v>0</v>
      </c>
      <c r="J553">
        <v>23.63</v>
      </c>
      <c r="K553" t="s">
        <v>25</v>
      </c>
      <c r="L553">
        <v>1760907.6</v>
      </c>
      <c r="M553">
        <v>0</v>
      </c>
      <c r="N553">
        <v>1760907.6</v>
      </c>
      <c r="O553">
        <v>74520</v>
      </c>
      <c r="P553">
        <v>378080</v>
      </c>
      <c r="Q553">
        <v>1382827.6</v>
      </c>
      <c r="R553">
        <v>58520.000000000007</v>
      </c>
      <c r="S553" t="s">
        <v>65</v>
      </c>
      <c r="T553" t="s">
        <v>717</v>
      </c>
      <c r="U553" t="s">
        <v>717</v>
      </c>
      <c r="V553" t="s">
        <v>717</v>
      </c>
      <c r="W553">
        <v>44399</v>
      </c>
      <c r="X553" t="s">
        <v>4690</v>
      </c>
      <c r="Y553" t="s">
        <v>6</v>
      </c>
      <c r="Z553" t="s">
        <v>17</v>
      </c>
      <c r="AA553" t="s">
        <v>717</v>
      </c>
      <c r="AB553" t="s">
        <v>2509</v>
      </c>
      <c r="AC553" t="s">
        <v>2564</v>
      </c>
      <c r="AD553" t="s">
        <v>717</v>
      </c>
      <c r="AE553" t="s">
        <v>4691</v>
      </c>
      <c r="AF553" t="s">
        <v>4692</v>
      </c>
      <c r="AG553" t="s">
        <v>4693</v>
      </c>
      <c r="AH553" t="s">
        <v>2615</v>
      </c>
      <c r="AI553" t="s">
        <v>2847</v>
      </c>
      <c r="AJ553" t="s">
        <v>2940</v>
      </c>
      <c r="AK553" t="s">
        <v>20</v>
      </c>
      <c r="AL553" t="s">
        <v>16</v>
      </c>
      <c r="AM553" t="s">
        <v>10</v>
      </c>
      <c r="AN553" t="s">
        <v>717</v>
      </c>
    </row>
    <row r="554" spans="1:40" hidden="1">
      <c r="A554">
        <v>552</v>
      </c>
      <c r="B554">
        <v>41</v>
      </c>
      <c r="C554" s="58">
        <v>44407</v>
      </c>
      <c r="D554" t="s">
        <v>27</v>
      </c>
      <c r="E554" t="s">
        <v>4409</v>
      </c>
      <c r="F554">
        <v>5</v>
      </c>
      <c r="G554">
        <v>8</v>
      </c>
      <c r="H554">
        <v>564</v>
      </c>
      <c r="I554">
        <v>0</v>
      </c>
      <c r="J554">
        <v>23.63</v>
      </c>
      <c r="K554" t="s">
        <v>9</v>
      </c>
      <c r="L554">
        <v>1299650</v>
      </c>
      <c r="M554">
        <v>0</v>
      </c>
      <c r="N554">
        <v>1299650</v>
      </c>
      <c r="O554">
        <v>55000</v>
      </c>
      <c r="P554">
        <v>0</v>
      </c>
      <c r="Q554">
        <v>1299650</v>
      </c>
      <c r="R554">
        <v>55000</v>
      </c>
      <c r="S554" t="s">
        <v>2507</v>
      </c>
      <c r="T554" t="s">
        <v>717</v>
      </c>
      <c r="U554" t="s">
        <v>717</v>
      </c>
      <c r="V554" t="s">
        <v>717</v>
      </c>
      <c r="W554">
        <v>44400</v>
      </c>
      <c r="X554" t="s">
        <v>4694</v>
      </c>
      <c r="Y554" t="s">
        <v>6</v>
      </c>
      <c r="Z554" t="s">
        <v>11</v>
      </c>
      <c r="AA554" t="s">
        <v>717</v>
      </c>
      <c r="AB554" t="s">
        <v>2509</v>
      </c>
      <c r="AC554" t="s">
        <v>118</v>
      </c>
      <c r="AD554" t="s">
        <v>717</v>
      </c>
      <c r="AE554" t="s">
        <v>4695</v>
      </c>
      <c r="AF554" t="s">
        <v>4696</v>
      </c>
      <c r="AG554" t="s">
        <v>2567</v>
      </c>
      <c r="AH554" t="s">
        <v>2615</v>
      </c>
      <c r="AI554" t="s">
        <v>2600</v>
      </c>
      <c r="AJ554" t="s">
        <v>3921</v>
      </c>
      <c r="AK554" t="s">
        <v>77</v>
      </c>
      <c r="AL554" t="s">
        <v>717</v>
      </c>
      <c r="AM554" t="s">
        <v>10</v>
      </c>
      <c r="AN554" t="s">
        <v>717</v>
      </c>
    </row>
    <row r="555" spans="1:40" hidden="1">
      <c r="A555">
        <v>553</v>
      </c>
      <c r="B555">
        <v>42</v>
      </c>
      <c r="C555" s="58">
        <v>44407</v>
      </c>
      <c r="D555" t="s">
        <v>27</v>
      </c>
      <c r="E555" t="s">
        <v>4409</v>
      </c>
      <c r="F555">
        <v>4</v>
      </c>
      <c r="G555">
        <v>6</v>
      </c>
      <c r="H555">
        <v>547</v>
      </c>
      <c r="I555">
        <v>1</v>
      </c>
      <c r="J555">
        <v>40</v>
      </c>
      <c r="K555" t="s">
        <v>25</v>
      </c>
      <c r="L555">
        <v>2649000</v>
      </c>
      <c r="M555">
        <v>15000</v>
      </c>
      <c r="N555">
        <v>2664000</v>
      </c>
      <c r="O555">
        <v>66600</v>
      </c>
      <c r="P555">
        <v>640000</v>
      </c>
      <c r="Q555">
        <v>2024000</v>
      </c>
      <c r="R555">
        <v>50600</v>
      </c>
      <c r="S555" t="s">
        <v>130</v>
      </c>
      <c r="T555" t="s">
        <v>717</v>
      </c>
      <c r="U555" t="s">
        <v>717</v>
      </c>
      <c r="V555" t="s">
        <v>717</v>
      </c>
      <c r="W555">
        <v>44403</v>
      </c>
      <c r="X555" t="s">
        <v>4697</v>
      </c>
      <c r="Y555" t="s">
        <v>6</v>
      </c>
      <c r="Z555" t="s">
        <v>17</v>
      </c>
      <c r="AA555" t="s">
        <v>717</v>
      </c>
      <c r="AB555" t="s">
        <v>2509</v>
      </c>
      <c r="AC555" t="s">
        <v>118</v>
      </c>
      <c r="AD555" t="s">
        <v>717</v>
      </c>
      <c r="AE555" t="s">
        <v>4698</v>
      </c>
      <c r="AF555" t="s">
        <v>4699</v>
      </c>
      <c r="AG555" t="s">
        <v>4700</v>
      </c>
      <c r="AH555" t="s">
        <v>2615</v>
      </c>
      <c r="AI555" t="s">
        <v>2552</v>
      </c>
      <c r="AJ555" t="s">
        <v>2793</v>
      </c>
      <c r="AK555" t="s">
        <v>73</v>
      </c>
      <c r="AL555" t="s">
        <v>717</v>
      </c>
      <c r="AM555" t="s">
        <v>10</v>
      </c>
      <c r="AN555" t="s">
        <v>717</v>
      </c>
    </row>
    <row r="556" spans="1:40" hidden="1">
      <c r="A556">
        <v>554</v>
      </c>
      <c r="B556">
        <v>43</v>
      </c>
      <c r="C556" s="58">
        <v>44407</v>
      </c>
      <c r="D556" t="s">
        <v>121</v>
      </c>
      <c r="E556" t="s">
        <v>2506</v>
      </c>
      <c r="F556">
        <v>9</v>
      </c>
      <c r="G556">
        <v>11</v>
      </c>
      <c r="H556">
        <v>269</v>
      </c>
      <c r="I556">
        <v>2</v>
      </c>
      <c r="J556">
        <v>60.3</v>
      </c>
      <c r="K556" t="s">
        <v>15</v>
      </c>
      <c r="L556">
        <v>3666713.96</v>
      </c>
      <c r="M556">
        <v>0</v>
      </c>
      <c r="N556">
        <v>3666713.96</v>
      </c>
      <c r="O556">
        <v>60807.860033167497</v>
      </c>
      <c r="P556">
        <v>331650</v>
      </c>
      <c r="Q556">
        <v>3335063.96</v>
      </c>
      <c r="R556">
        <v>55307.860033167497</v>
      </c>
      <c r="S556" t="s">
        <v>65</v>
      </c>
      <c r="T556" t="s">
        <v>717</v>
      </c>
      <c r="U556" t="s">
        <v>717</v>
      </c>
      <c r="V556" t="s">
        <v>4131</v>
      </c>
      <c r="W556">
        <v>44404</v>
      </c>
      <c r="X556" t="s">
        <v>4701</v>
      </c>
      <c r="Y556" t="s">
        <v>6</v>
      </c>
      <c r="Z556" t="s">
        <v>17</v>
      </c>
      <c r="AA556" t="s">
        <v>717</v>
      </c>
      <c r="AB556" t="s">
        <v>2509</v>
      </c>
      <c r="AC556" t="s">
        <v>2571</v>
      </c>
      <c r="AD556" t="s">
        <v>717</v>
      </c>
      <c r="AE556" t="s">
        <v>4702</v>
      </c>
      <c r="AF556" t="s">
        <v>4703</v>
      </c>
      <c r="AG556" t="s">
        <v>4704</v>
      </c>
      <c r="AH556" t="s">
        <v>2616</v>
      </c>
      <c r="AI556" t="s">
        <v>2552</v>
      </c>
      <c r="AJ556" t="s">
        <v>3185</v>
      </c>
      <c r="AK556" t="s">
        <v>471</v>
      </c>
      <c r="AL556" t="s">
        <v>16</v>
      </c>
      <c r="AM556" t="s">
        <v>10</v>
      </c>
      <c r="AN556" t="s">
        <v>717</v>
      </c>
    </row>
    <row r="557" spans="1:40" hidden="1">
      <c r="A557">
        <v>555</v>
      </c>
      <c r="B557">
        <v>44</v>
      </c>
      <c r="C557" s="58">
        <v>44407</v>
      </c>
      <c r="D557" t="s">
        <v>27</v>
      </c>
      <c r="E557" t="s">
        <v>4409</v>
      </c>
      <c r="F557">
        <v>1</v>
      </c>
      <c r="G557">
        <v>11</v>
      </c>
      <c r="H557">
        <v>584</v>
      </c>
      <c r="I557">
        <v>3</v>
      </c>
      <c r="J557">
        <v>82.27</v>
      </c>
      <c r="K557" t="s">
        <v>9</v>
      </c>
      <c r="L557">
        <v>3749675.2</v>
      </c>
      <c r="M557">
        <v>15000</v>
      </c>
      <c r="N557">
        <v>3764675.2</v>
      </c>
      <c r="O557">
        <v>45760.000000000007</v>
      </c>
      <c r="P557">
        <v>0</v>
      </c>
      <c r="Q557">
        <v>3764675.2</v>
      </c>
      <c r="R557">
        <v>45760.000000000007</v>
      </c>
      <c r="S557" t="s">
        <v>65</v>
      </c>
      <c r="T557" t="s">
        <v>717</v>
      </c>
      <c r="U557" t="s">
        <v>717</v>
      </c>
      <c r="V557" t="s">
        <v>4131</v>
      </c>
      <c r="W557">
        <v>44399</v>
      </c>
      <c r="X557" t="s">
        <v>4705</v>
      </c>
      <c r="Y557" t="s">
        <v>6</v>
      </c>
      <c r="Z557" t="s">
        <v>17</v>
      </c>
      <c r="AA557" t="s">
        <v>717</v>
      </c>
      <c r="AB557" t="s">
        <v>2509</v>
      </c>
      <c r="AC557" t="s">
        <v>2571</v>
      </c>
      <c r="AD557" t="s">
        <v>717</v>
      </c>
      <c r="AE557" t="s">
        <v>4706</v>
      </c>
      <c r="AF557" t="s">
        <v>4707</v>
      </c>
      <c r="AG557" t="s">
        <v>4708</v>
      </c>
      <c r="AH557" t="s">
        <v>2191</v>
      </c>
      <c r="AI557" t="s">
        <v>2688</v>
      </c>
      <c r="AJ557" t="s">
        <v>2514</v>
      </c>
      <c r="AK557" t="s">
        <v>73</v>
      </c>
      <c r="AL557" t="s">
        <v>16</v>
      </c>
      <c r="AM557" t="s">
        <v>10</v>
      </c>
      <c r="AN557" t="s">
        <v>717</v>
      </c>
    </row>
    <row r="558" spans="1:40" hidden="1">
      <c r="A558">
        <v>556</v>
      </c>
      <c r="B558">
        <v>45</v>
      </c>
      <c r="C558" s="58">
        <v>44407</v>
      </c>
      <c r="D558" t="s">
        <v>121</v>
      </c>
      <c r="E558" t="s">
        <v>2506</v>
      </c>
      <c r="F558">
        <v>3</v>
      </c>
      <c r="G558">
        <v>11</v>
      </c>
      <c r="H558">
        <v>263</v>
      </c>
      <c r="I558">
        <v>3</v>
      </c>
      <c r="J558">
        <v>86.58</v>
      </c>
      <c r="K558" t="s">
        <v>15</v>
      </c>
      <c r="L558">
        <v>4933419.29</v>
      </c>
      <c r="M558">
        <v>15000</v>
      </c>
      <c r="N558">
        <v>4948419.29</v>
      </c>
      <c r="O558">
        <v>57154.299953799957</v>
      </c>
      <c r="P558">
        <v>476190</v>
      </c>
      <c r="Q558">
        <v>4472229.29</v>
      </c>
      <c r="R558">
        <v>51654.299953799957</v>
      </c>
      <c r="S558" t="s">
        <v>65</v>
      </c>
      <c r="T558" t="s">
        <v>717</v>
      </c>
      <c r="U558" t="s">
        <v>717</v>
      </c>
      <c r="V558" t="s">
        <v>4131</v>
      </c>
      <c r="W558">
        <v>44405</v>
      </c>
      <c r="X558" t="s">
        <v>4709</v>
      </c>
      <c r="Y558" t="s">
        <v>6</v>
      </c>
      <c r="Z558" t="s">
        <v>17</v>
      </c>
      <c r="AA558" t="s">
        <v>717</v>
      </c>
      <c r="AB558" t="s">
        <v>2509</v>
      </c>
      <c r="AC558" t="s">
        <v>2571</v>
      </c>
      <c r="AD558" t="s">
        <v>717</v>
      </c>
      <c r="AE558" t="s">
        <v>4710</v>
      </c>
      <c r="AF558" t="s">
        <v>4711</v>
      </c>
      <c r="AG558" t="s">
        <v>4712</v>
      </c>
      <c r="AH558" t="s">
        <v>2552</v>
      </c>
      <c r="AI558" t="s">
        <v>2877</v>
      </c>
      <c r="AJ558" t="s">
        <v>3098</v>
      </c>
      <c r="AK558" t="s">
        <v>73</v>
      </c>
      <c r="AL558" t="s">
        <v>16</v>
      </c>
      <c r="AM558" t="s">
        <v>10</v>
      </c>
      <c r="AN558" t="s">
        <v>717</v>
      </c>
    </row>
    <row r="559" spans="1:40" hidden="1">
      <c r="A559">
        <v>557</v>
      </c>
      <c r="B559">
        <v>46</v>
      </c>
      <c r="C559" s="58">
        <v>44407</v>
      </c>
      <c r="D559" t="s">
        <v>121</v>
      </c>
      <c r="E559" t="s">
        <v>2506</v>
      </c>
      <c r="F559">
        <v>4</v>
      </c>
      <c r="G559">
        <v>12</v>
      </c>
      <c r="H559">
        <v>275</v>
      </c>
      <c r="I559">
        <v>1</v>
      </c>
      <c r="J559">
        <v>37.89</v>
      </c>
      <c r="K559" t="s">
        <v>15</v>
      </c>
      <c r="L559">
        <v>2722557.78</v>
      </c>
      <c r="M559">
        <v>0</v>
      </c>
      <c r="N559">
        <v>2722557.78</v>
      </c>
      <c r="O559">
        <v>71854.256532066502</v>
      </c>
      <c r="P559">
        <v>208395</v>
      </c>
      <c r="Q559">
        <v>2514162.7799999998</v>
      </c>
      <c r="R559">
        <v>66354.256532066502</v>
      </c>
      <c r="S559" t="s">
        <v>65</v>
      </c>
      <c r="T559" t="s">
        <v>717</v>
      </c>
      <c r="U559" t="s">
        <v>717</v>
      </c>
      <c r="V559" t="s">
        <v>717</v>
      </c>
      <c r="W559">
        <v>44406</v>
      </c>
      <c r="X559" t="s">
        <v>4713</v>
      </c>
      <c r="Y559" t="s">
        <v>6</v>
      </c>
      <c r="Z559" t="s">
        <v>17</v>
      </c>
      <c r="AA559" t="s">
        <v>717</v>
      </c>
      <c r="AB559" t="s">
        <v>2509</v>
      </c>
      <c r="AC559" t="s">
        <v>2571</v>
      </c>
      <c r="AD559" t="s">
        <v>717</v>
      </c>
      <c r="AE559" t="s">
        <v>4714</v>
      </c>
      <c r="AF559" t="s">
        <v>4715</v>
      </c>
      <c r="AG559" t="s">
        <v>4716</v>
      </c>
      <c r="AH559" t="s">
        <v>2552</v>
      </c>
      <c r="AI559" t="s">
        <v>2547</v>
      </c>
      <c r="AJ559" t="s">
        <v>2855</v>
      </c>
      <c r="AK559" t="s">
        <v>73</v>
      </c>
      <c r="AL559" t="s">
        <v>16</v>
      </c>
      <c r="AM559" t="s">
        <v>10</v>
      </c>
      <c r="AN559" t="s">
        <v>717</v>
      </c>
    </row>
    <row r="560" spans="1:40" hidden="1">
      <c r="A560">
        <v>558</v>
      </c>
      <c r="B560">
        <v>47</v>
      </c>
      <c r="C560" s="58">
        <v>44407</v>
      </c>
      <c r="D560" t="s">
        <v>27</v>
      </c>
      <c r="E560" t="s">
        <v>2506</v>
      </c>
      <c r="F560">
        <v>8</v>
      </c>
      <c r="G560">
        <v>13</v>
      </c>
      <c r="H560">
        <v>303</v>
      </c>
      <c r="I560">
        <v>2</v>
      </c>
      <c r="J560">
        <v>55.8</v>
      </c>
      <c r="K560" t="s">
        <v>15</v>
      </c>
      <c r="L560">
        <v>3142656</v>
      </c>
      <c r="M560">
        <v>0</v>
      </c>
      <c r="N560">
        <v>3142656</v>
      </c>
      <c r="O560">
        <v>56320</v>
      </c>
      <c r="P560">
        <v>306900</v>
      </c>
      <c r="Q560">
        <v>2835756</v>
      </c>
      <c r="R560">
        <v>50820</v>
      </c>
      <c r="S560" t="s">
        <v>65</v>
      </c>
      <c r="T560" t="s">
        <v>717</v>
      </c>
      <c r="U560" t="s">
        <v>717</v>
      </c>
      <c r="V560" t="s">
        <v>4131</v>
      </c>
      <c r="W560">
        <v>44407</v>
      </c>
      <c r="X560" t="s">
        <v>4717</v>
      </c>
      <c r="Y560" t="s">
        <v>6</v>
      </c>
      <c r="Z560" t="s">
        <v>11</v>
      </c>
      <c r="AA560" t="s">
        <v>717</v>
      </c>
      <c r="AB560" t="s">
        <v>2509</v>
      </c>
      <c r="AC560" t="s">
        <v>2571</v>
      </c>
      <c r="AD560" t="s">
        <v>717</v>
      </c>
      <c r="AE560" t="s">
        <v>4718</v>
      </c>
      <c r="AF560" t="s">
        <v>4719</v>
      </c>
      <c r="AG560" t="s">
        <v>4720</v>
      </c>
      <c r="AH560" t="s">
        <v>2552</v>
      </c>
      <c r="AI560" t="s">
        <v>2877</v>
      </c>
      <c r="AJ560" t="s">
        <v>3098</v>
      </c>
      <c r="AK560" t="s">
        <v>73</v>
      </c>
      <c r="AL560" t="s">
        <v>16</v>
      </c>
      <c r="AM560" t="s">
        <v>10</v>
      </c>
      <c r="AN560" t="s">
        <v>717</v>
      </c>
    </row>
    <row r="561" spans="1:40" hidden="1">
      <c r="A561">
        <v>559</v>
      </c>
      <c r="B561">
        <v>1</v>
      </c>
      <c r="C561" s="58">
        <v>44412</v>
      </c>
      <c r="D561" t="s">
        <v>27</v>
      </c>
      <c r="E561" t="s">
        <v>4409</v>
      </c>
      <c r="F561">
        <v>5</v>
      </c>
      <c r="G561">
        <v>9</v>
      </c>
      <c r="H561">
        <v>572</v>
      </c>
      <c r="I561">
        <v>0</v>
      </c>
      <c r="J561">
        <v>23.63</v>
      </c>
      <c r="K561" t="s">
        <v>9</v>
      </c>
      <c r="L561">
        <v>1284650</v>
      </c>
      <c r="M561">
        <v>15000</v>
      </c>
      <c r="N561">
        <v>1299650</v>
      </c>
      <c r="O561">
        <v>55000</v>
      </c>
      <c r="P561">
        <v>0</v>
      </c>
      <c r="Q561">
        <v>1299650</v>
      </c>
      <c r="R561">
        <v>55000</v>
      </c>
      <c r="S561" t="s">
        <v>130</v>
      </c>
      <c r="T561" t="s">
        <v>717</v>
      </c>
      <c r="U561" t="s">
        <v>717</v>
      </c>
      <c r="V561" t="s">
        <v>717</v>
      </c>
      <c r="W561">
        <v>44375</v>
      </c>
      <c r="X561" t="s">
        <v>4721</v>
      </c>
      <c r="Y561" t="s">
        <v>6</v>
      </c>
      <c r="Z561" t="s">
        <v>11</v>
      </c>
      <c r="AA561" t="s">
        <v>717</v>
      </c>
      <c r="AB561" t="s">
        <v>2509</v>
      </c>
      <c r="AC561" t="s">
        <v>118</v>
      </c>
      <c r="AD561" t="s">
        <v>717</v>
      </c>
      <c r="AE561" t="s">
        <v>4722</v>
      </c>
      <c r="AF561" t="s">
        <v>4723</v>
      </c>
      <c r="AG561" t="s">
        <v>4724</v>
      </c>
      <c r="AH561" t="s">
        <v>2615</v>
      </c>
      <c r="AI561" t="s">
        <v>2552</v>
      </c>
      <c r="AJ561" t="s">
        <v>2651</v>
      </c>
      <c r="AK561" t="s">
        <v>77</v>
      </c>
      <c r="AL561" t="s">
        <v>717</v>
      </c>
      <c r="AM561" t="s">
        <v>10</v>
      </c>
      <c r="AN561" t="s">
        <v>717</v>
      </c>
    </row>
    <row r="562" spans="1:40" hidden="1">
      <c r="A562">
        <v>560</v>
      </c>
      <c r="B562">
        <v>2</v>
      </c>
      <c r="C562" s="58">
        <v>44414</v>
      </c>
      <c r="D562" t="s">
        <v>27</v>
      </c>
      <c r="E562" t="s">
        <v>4409</v>
      </c>
      <c r="F562">
        <v>5</v>
      </c>
      <c r="G562">
        <v>13</v>
      </c>
      <c r="H562">
        <v>604</v>
      </c>
      <c r="I562">
        <v>0</v>
      </c>
      <c r="J562">
        <v>23.63</v>
      </c>
      <c r="K562" t="s">
        <v>15</v>
      </c>
      <c r="L562">
        <v>1494597.5</v>
      </c>
      <c r="M562">
        <v>0</v>
      </c>
      <c r="N562">
        <v>1494597.5</v>
      </c>
      <c r="O562">
        <v>63250</v>
      </c>
      <c r="P562">
        <v>129965</v>
      </c>
      <c r="Q562">
        <v>1364632.5</v>
      </c>
      <c r="R562">
        <v>57750</v>
      </c>
      <c r="S562" t="s">
        <v>130</v>
      </c>
      <c r="T562" t="s">
        <v>717</v>
      </c>
      <c r="U562" t="s">
        <v>717</v>
      </c>
      <c r="V562" t="s">
        <v>717</v>
      </c>
      <c r="W562">
        <v>44412</v>
      </c>
      <c r="X562" t="s">
        <v>4725</v>
      </c>
      <c r="Y562" t="s">
        <v>6</v>
      </c>
      <c r="Z562" t="s">
        <v>11</v>
      </c>
      <c r="AA562" t="s">
        <v>717</v>
      </c>
      <c r="AB562" t="s">
        <v>2509</v>
      </c>
      <c r="AC562" t="s">
        <v>118</v>
      </c>
      <c r="AD562" t="s">
        <v>717</v>
      </c>
      <c r="AE562" t="s">
        <v>4726</v>
      </c>
      <c r="AF562" t="s">
        <v>4727</v>
      </c>
      <c r="AG562" t="s">
        <v>4728</v>
      </c>
      <c r="AH562" t="s">
        <v>2615</v>
      </c>
      <c r="AI562" t="s">
        <v>2538</v>
      </c>
      <c r="AJ562" t="s">
        <v>2662</v>
      </c>
      <c r="AK562" t="s">
        <v>471</v>
      </c>
      <c r="AL562" t="s">
        <v>717</v>
      </c>
      <c r="AM562" t="s">
        <v>10</v>
      </c>
      <c r="AN562" t="s">
        <v>717</v>
      </c>
    </row>
    <row r="563" spans="1:40" hidden="1">
      <c r="A563">
        <v>561</v>
      </c>
      <c r="B563">
        <v>3</v>
      </c>
      <c r="C563" s="58">
        <v>44414</v>
      </c>
      <c r="D563" t="s">
        <v>74</v>
      </c>
      <c r="E563" t="s">
        <v>2515</v>
      </c>
      <c r="F563">
        <v>1</v>
      </c>
      <c r="G563">
        <v>9</v>
      </c>
      <c r="H563">
        <v>71</v>
      </c>
      <c r="I563">
        <v>0</v>
      </c>
      <c r="J563">
        <v>31</v>
      </c>
      <c r="K563" t="s">
        <v>9</v>
      </c>
      <c r="L563">
        <v>2001893.51</v>
      </c>
      <c r="M563">
        <v>0</v>
      </c>
      <c r="N563">
        <v>2001893.51</v>
      </c>
      <c r="O563">
        <v>64577.21</v>
      </c>
      <c r="P563">
        <v>15500</v>
      </c>
      <c r="Q563">
        <v>1986393.51</v>
      </c>
      <c r="R563">
        <v>64077.21</v>
      </c>
      <c r="S563" t="s">
        <v>2507</v>
      </c>
      <c r="T563" t="s">
        <v>2941</v>
      </c>
      <c r="U563">
        <v>191669.39</v>
      </c>
      <c r="V563" t="s">
        <v>717</v>
      </c>
      <c r="W563">
        <v>44413</v>
      </c>
      <c r="X563" t="s">
        <v>4729</v>
      </c>
      <c r="Y563" t="s">
        <v>6</v>
      </c>
      <c r="Z563" t="s">
        <v>11</v>
      </c>
      <c r="AA563" t="s">
        <v>717</v>
      </c>
      <c r="AB563" t="s">
        <v>326</v>
      </c>
      <c r="AC563" t="s">
        <v>118</v>
      </c>
      <c r="AD563" t="s">
        <v>717</v>
      </c>
      <c r="AE563" t="s">
        <v>4730</v>
      </c>
      <c r="AF563" t="s">
        <v>4731</v>
      </c>
      <c r="AG563" t="s">
        <v>4732</v>
      </c>
      <c r="AH563" t="s">
        <v>2552</v>
      </c>
      <c r="AI563" t="s">
        <v>2877</v>
      </c>
      <c r="AJ563" t="s">
        <v>3098</v>
      </c>
      <c r="AK563" t="s">
        <v>20</v>
      </c>
      <c r="AL563" t="s">
        <v>717</v>
      </c>
      <c r="AM563" t="s">
        <v>10</v>
      </c>
      <c r="AN563" t="s">
        <v>717</v>
      </c>
    </row>
    <row r="564" spans="1:40" hidden="1">
      <c r="A564">
        <v>562</v>
      </c>
      <c r="B564">
        <v>4</v>
      </c>
      <c r="C564" s="58">
        <v>44417</v>
      </c>
      <c r="D564" t="s">
        <v>121</v>
      </c>
      <c r="E564" t="s">
        <v>2506</v>
      </c>
      <c r="F564">
        <v>8</v>
      </c>
      <c r="G564">
        <v>15</v>
      </c>
      <c r="H564">
        <v>312</v>
      </c>
      <c r="I564">
        <v>2</v>
      </c>
      <c r="J564">
        <v>56.93</v>
      </c>
      <c r="K564" t="s">
        <v>9</v>
      </c>
      <c r="L564">
        <v>2974344.85</v>
      </c>
      <c r="M564">
        <v>0</v>
      </c>
      <c r="N564">
        <v>2974344.85</v>
      </c>
      <c r="O564">
        <v>52245.649920955562</v>
      </c>
      <c r="P564">
        <v>0</v>
      </c>
      <c r="Q564">
        <v>2974344.85</v>
      </c>
      <c r="R564">
        <v>52245.649920955562</v>
      </c>
      <c r="S564" t="s">
        <v>65</v>
      </c>
      <c r="T564" t="s">
        <v>717</v>
      </c>
      <c r="U564" t="s">
        <v>717</v>
      </c>
      <c r="V564" t="s">
        <v>717</v>
      </c>
      <c r="W564">
        <v>44403</v>
      </c>
      <c r="X564" t="s">
        <v>4733</v>
      </c>
      <c r="Y564" t="s">
        <v>6</v>
      </c>
      <c r="Z564" t="s">
        <v>11</v>
      </c>
      <c r="AA564" t="s">
        <v>717</v>
      </c>
      <c r="AB564" t="s">
        <v>2509</v>
      </c>
      <c r="AC564" t="s">
        <v>3300</v>
      </c>
      <c r="AD564" t="s">
        <v>717</v>
      </c>
      <c r="AE564" t="s">
        <v>4734</v>
      </c>
      <c r="AF564" t="s">
        <v>4735</v>
      </c>
      <c r="AG564" t="s">
        <v>4736</v>
      </c>
      <c r="AH564" t="s">
        <v>2615</v>
      </c>
      <c r="AI564" t="s">
        <v>2824</v>
      </c>
      <c r="AJ564" t="s">
        <v>2940</v>
      </c>
      <c r="AK564" t="s">
        <v>20</v>
      </c>
      <c r="AL564" t="s">
        <v>16</v>
      </c>
      <c r="AM564" t="s">
        <v>10</v>
      </c>
      <c r="AN564" t="s">
        <v>717</v>
      </c>
    </row>
    <row r="565" spans="1:40" hidden="1">
      <c r="A565">
        <v>563</v>
      </c>
      <c r="B565">
        <v>5</v>
      </c>
      <c r="C565" s="58">
        <v>44417</v>
      </c>
      <c r="D565" t="s">
        <v>74</v>
      </c>
      <c r="E565" t="s">
        <v>2506</v>
      </c>
      <c r="F565">
        <v>1</v>
      </c>
      <c r="G565">
        <v>15</v>
      </c>
      <c r="H565">
        <v>242</v>
      </c>
      <c r="I565">
        <v>3</v>
      </c>
      <c r="J565">
        <v>87.8</v>
      </c>
      <c r="K565" t="s">
        <v>9</v>
      </c>
      <c r="L565">
        <v>4760499</v>
      </c>
      <c r="M565">
        <v>15000</v>
      </c>
      <c r="N565">
        <v>4775499</v>
      </c>
      <c r="O565">
        <v>54390.64920273349</v>
      </c>
      <c r="P565">
        <v>43900</v>
      </c>
      <c r="Q565">
        <v>4731599</v>
      </c>
      <c r="R565">
        <v>53890.64920273349</v>
      </c>
      <c r="S565" t="s">
        <v>65</v>
      </c>
      <c r="T565" t="s">
        <v>717</v>
      </c>
      <c r="U565" t="s">
        <v>717</v>
      </c>
      <c r="V565" t="s">
        <v>717</v>
      </c>
      <c r="W565">
        <v>44411</v>
      </c>
      <c r="X565" t="s">
        <v>4737</v>
      </c>
      <c r="Y565" t="s">
        <v>6</v>
      </c>
      <c r="Z565" t="s">
        <v>11</v>
      </c>
      <c r="AA565" t="s">
        <v>717</v>
      </c>
      <c r="AB565" t="s">
        <v>326</v>
      </c>
      <c r="AC565" t="s">
        <v>2558</v>
      </c>
      <c r="AD565" t="s">
        <v>717</v>
      </c>
      <c r="AE565" t="s">
        <v>4738</v>
      </c>
      <c r="AF565" t="s">
        <v>4739</v>
      </c>
      <c r="AG565" t="s">
        <v>4740</v>
      </c>
      <c r="AH565" t="s">
        <v>2615</v>
      </c>
      <c r="AI565" t="s">
        <v>2621</v>
      </c>
      <c r="AJ565" t="s">
        <v>2569</v>
      </c>
      <c r="AK565" t="s">
        <v>63</v>
      </c>
      <c r="AL565" t="s">
        <v>16</v>
      </c>
      <c r="AM565" t="s">
        <v>10</v>
      </c>
      <c r="AN565" t="s">
        <v>717</v>
      </c>
    </row>
    <row r="566" spans="1:40" hidden="1">
      <c r="A566">
        <v>564</v>
      </c>
      <c r="B566">
        <v>6</v>
      </c>
      <c r="C566" s="58">
        <v>44419</v>
      </c>
      <c r="D566" t="s">
        <v>27</v>
      </c>
      <c r="E566" t="s">
        <v>2506</v>
      </c>
      <c r="F566">
        <v>3</v>
      </c>
      <c r="G566">
        <v>4</v>
      </c>
      <c r="H566">
        <v>226</v>
      </c>
      <c r="I566">
        <v>0</v>
      </c>
      <c r="J566">
        <v>23.54</v>
      </c>
      <c r="K566" t="s">
        <v>9</v>
      </c>
      <c r="L566">
        <v>1359435</v>
      </c>
      <c r="M566">
        <v>0</v>
      </c>
      <c r="N566">
        <v>1359435</v>
      </c>
      <c r="O566">
        <v>57750</v>
      </c>
      <c r="P566">
        <v>0</v>
      </c>
      <c r="Q566">
        <v>1359435</v>
      </c>
      <c r="R566">
        <v>57750</v>
      </c>
      <c r="S566" t="s">
        <v>130</v>
      </c>
      <c r="T566" t="s">
        <v>717</v>
      </c>
      <c r="U566" t="s">
        <v>717</v>
      </c>
      <c r="V566" t="s">
        <v>717</v>
      </c>
      <c r="W566">
        <v>44403</v>
      </c>
      <c r="X566" t="s">
        <v>4741</v>
      </c>
      <c r="Y566" t="s">
        <v>6</v>
      </c>
      <c r="Z566" t="s">
        <v>11</v>
      </c>
      <c r="AA566" t="s">
        <v>717</v>
      </c>
      <c r="AB566" t="s">
        <v>2509</v>
      </c>
      <c r="AC566" t="s">
        <v>118</v>
      </c>
      <c r="AD566" t="s">
        <v>717</v>
      </c>
      <c r="AE566" t="s">
        <v>4742</v>
      </c>
      <c r="AF566" t="s">
        <v>4743</v>
      </c>
      <c r="AG566" t="s">
        <v>4744</v>
      </c>
      <c r="AH566" t="s">
        <v>2580</v>
      </c>
      <c r="AI566" t="s">
        <v>2538</v>
      </c>
      <c r="AJ566" t="s">
        <v>3921</v>
      </c>
      <c r="AK566" t="s">
        <v>77</v>
      </c>
      <c r="AL566" t="s">
        <v>717</v>
      </c>
      <c r="AM566" t="s">
        <v>10</v>
      </c>
      <c r="AN566" t="s">
        <v>717</v>
      </c>
    </row>
    <row r="567" spans="1:40" hidden="1">
      <c r="A567">
        <v>565</v>
      </c>
      <c r="B567">
        <v>7</v>
      </c>
      <c r="C567" s="58">
        <v>44419</v>
      </c>
      <c r="D567" t="s">
        <v>121</v>
      </c>
      <c r="E567" t="s">
        <v>2515</v>
      </c>
      <c r="F567">
        <v>2</v>
      </c>
      <c r="G567">
        <v>13</v>
      </c>
      <c r="H567">
        <v>79</v>
      </c>
      <c r="I567">
        <v>2</v>
      </c>
      <c r="J567">
        <v>58.99</v>
      </c>
      <c r="K567" t="s">
        <v>9</v>
      </c>
      <c r="L567">
        <v>3440160.09</v>
      </c>
      <c r="M567">
        <v>0</v>
      </c>
      <c r="N567">
        <v>3440160.09</v>
      </c>
      <c r="O567">
        <v>58317.682488557381</v>
      </c>
      <c r="P567">
        <v>0</v>
      </c>
      <c r="Q567">
        <v>3440160.09</v>
      </c>
      <c r="R567">
        <v>58317.682488557381</v>
      </c>
      <c r="S567" t="s">
        <v>2507</v>
      </c>
      <c r="T567" t="s">
        <v>717</v>
      </c>
      <c r="U567" t="s">
        <v>717</v>
      </c>
      <c r="V567" t="s">
        <v>717</v>
      </c>
      <c r="W567">
        <v>44404</v>
      </c>
      <c r="X567" t="s">
        <v>4745</v>
      </c>
      <c r="Y567" t="s">
        <v>6</v>
      </c>
      <c r="Z567" t="s">
        <v>11</v>
      </c>
      <c r="AA567" t="s">
        <v>717</v>
      </c>
      <c r="AB567" t="s">
        <v>2509</v>
      </c>
      <c r="AC567" t="s">
        <v>118</v>
      </c>
      <c r="AD567" t="s">
        <v>717</v>
      </c>
      <c r="AE567" t="s">
        <v>4746</v>
      </c>
      <c r="AF567" t="s">
        <v>4747</v>
      </c>
      <c r="AG567" t="s">
        <v>4748</v>
      </c>
      <c r="AH567" t="s">
        <v>2615</v>
      </c>
      <c r="AI567" t="s">
        <v>2552</v>
      </c>
      <c r="AJ567" t="s">
        <v>2895</v>
      </c>
      <c r="AK567" t="s">
        <v>20</v>
      </c>
      <c r="AL567" t="s">
        <v>717</v>
      </c>
      <c r="AM567" t="s">
        <v>10</v>
      </c>
      <c r="AN567" t="s">
        <v>717</v>
      </c>
    </row>
    <row r="568" spans="1:40" hidden="1">
      <c r="A568">
        <v>566</v>
      </c>
      <c r="B568">
        <v>8</v>
      </c>
      <c r="C568" s="58">
        <v>44419</v>
      </c>
      <c r="D568" t="s">
        <v>121</v>
      </c>
      <c r="E568" t="s">
        <v>2515</v>
      </c>
      <c r="F568">
        <v>3</v>
      </c>
      <c r="G568">
        <v>13</v>
      </c>
      <c r="H568">
        <v>80</v>
      </c>
      <c r="I568">
        <v>3</v>
      </c>
      <c r="J568">
        <v>76.56</v>
      </c>
      <c r="K568" t="s">
        <v>9</v>
      </c>
      <c r="L568">
        <v>4119153.47</v>
      </c>
      <c r="M568">
        <v>0</v>
      </c>
      <c r="N568">
        <v>4119153.47</v>
      </c>
      <c r="O568">
        <v>53802.945010449323</v>
      </c>
      <c r="P568">
        <v>0</v>
      </c>
      <c r="Q568">
        <v>4119153.47</v>
      </c>
      <c r="R568">
        <v>53802.945010449323</v>
      </c>
      <c r="S568" t="s">
        <v>2507</v>
      </c>
      <c r="T568" t="s">
        <v>717</v>
      </c>
      <c r="U568" t="s">
        <v>717</v>
      </c>
      <c r="V568" t="s">
        <v>717</v>
      </c>
      <c r="W568">
        <v>44404</v>
      </c>
      <c r="X568" t="s">
        <v>4749</v>
      </c>
      <c r="Y568" t="s">
        <v>6</v>
      </c>
      <c r="Z568" t="s">
        <v>11</v>
      </c>
      <c r="AA568" t="s">
        <v>717</v>
      </c>
      <c r="AB568" t="s">
        <v>2509</v>
      </c>
      <c r="AC568" t="s">
        <v>118</v>
      </c>
      <c r="AD568" t="s">
        <v>717</v>
      </c>
      <c r="AE568" t="s">
        <v>4746</v>
      </c>
      <c r="AF568" t="s">
        <v>4747</v>
      </c>
      <c r="AG568" t="s">
        <v>4748</v>
      </c>
      <c r="AH568" t="s">
        <v>2580</v>
      </c>
      <c r="AI568" t="s">
        <v>2552</v>
      </c>
      <c r="AJ568" t="s">
        <v>3921</v>
      </c>
      <c r="AK568" t="s">
        <v>20</v>
      </c>
      <c r="AL568" t="s">
        <v>717</v>
      </c>
      <c r="AM568" t="s">
        <v>10</v>
      </c>
      <c r="AN568" t="s">
        <v>717</v>
      </c>
    </row>
    <row r="569" spans="1:40" hidden="1">
      <c r="A569">
        <v>567</v>
      </c>
      <c r="B569">
        <v>9</v>
      </c>
      <c r="C569" s="58">
        <v>44419</v>
      </c>
      <c r="D569" t="s">
        <v>121</v>
      </c>
      <c r="E569" t="s">
        <v>2506</v>
      </c>
      <c r="F569">
        <v>5</v>
      </c>
      <c r="G569">
        <v>12</v>
      </c>
      <c r="H569">
        <v>276</v>
      </c>
      <c r="I569">
        <v>2</v>
      </c>
      <c r="J569">
        <v>60.19</v>
      </c>
      <c r="K569" t="s">
        <v>9</v>
      </c>
      <c r="L569">
        <v>3109748.2</v>
      </c>
      <c r="M569">
        <v>15000</v>
      </c>
      <c r="N569">
        <v>3124748.2</v>
      </c>
      <c r="O569">
        <v>51914.739990031565</v>
      </c>
      <c r="P569">
        <v>0</v>
      </c>
      <c r="Q569">
        <v>3124748.2</v>
      </c>
      <c r="R569">
        <v>51914.739990031565</v>
      </c>
      <c r="S569" t="s">
        <v>65</v>
      </c>
      <c r="T569" t="s">
        <v>717</v>
      </c>
      <c r="U569" t="s">
        <v>717</v>
      </c>
      <c r="V569" t="s">
        <v>4131</v>
      </c>
      <c r="W569">
        <v>44405</v>
      </c>
      <c r="X569" t="s">
        <v>4750</v>
      </c>
      <c r="Y569" t="s">
        <v>6</v>
      </c>
      <c r="Z569" t="s">
        <v>17</v>
      </c>
      <c r="AA569" t="s">
        <v>717</v>
      </c>
      <c r="AB569" t="s">
        <v>2509</v>
      </c>
      <c r="AC569" t="s">
        <v>2571</v>
      </c>
      <c r="AD569" t="s">
        <v>717</v>
      </c>
      <c r="AE569" t="s">
        <v>4751</v>
      </c>
      <c r="AF569" t="s">
        <v>4752</v>
      </c>
      <c r="AG569" t="s">
        <v>4753</v>
      </c>
      <c r="AH569" t="s">
        <v>2615</v>
      </c>
      <c r="AI569" t="s">
        <v>2538</v>
      </c>
      <c r="AJ569" t="s">
        <v>2651</v>
      </c>
      <c r="AK569" t="s">
        <v>63</v>
      </c>
      <c r="AL569" t="s">
        <v>16</v>
      </c>
      <c r="AM569" t="s">
        <v>10</v>
      </c>
      <c r="AN569" t="s">
        <v>717</v>
      </c>
    </row>
    <row r="570" spans="1:40" hidden="1">
      <c r="A570">
        <v>568</v>
      </c>
      <c r="B570">
        <v>10</v>
      </c>
      <c r="C570" s="58">
        <v>44419</v>
      </c>
      <c r="D570" t="s">
        <v>27</v>
      </c>
      <c r="E570" t="s">
        <v>2506</v>
      </c>
      <c r="F570">
        <v>7</v>
      </c>
      <c r="G570">
        <v>7</v>
      </c>
      <c r="H570">
        <v>254</v>
      </c>
      <c r="I570">
        <v>2</v>
      </c>
      <c r="J570">
        <v>59.93</v>
      </c>
      <c r="K570" t="s">
        <v>15</v>
      </c>
      <c r="L570">
        <v>3569071.22</v>
      </c>
      <c r="M570">
        <v>0</v>
      </c>
      <c r="N570">
        <v>3569071.22</v>
      </c>
      <c r="O570">
        <v>59554.000000000007</v>
      </c>
      <c r="P570">
        <v>329615</v>
      </c>
      <c r="Q570">
        <v>3239456.22</v>
      </c>
      <c r="R570">
        <v>54054.000000000007</v>
      </c>
      <c r="S570" t="s">
        <v>65</v>
      </c>
      <c r="T570" t="s">
        <v>717</v>
      </c>
      <c r="U570" t="s">
        <v>717</v>
      </c>
      <c r="V570" t="s">
        <v>4131</v>
      </c>
      <c r="W570">
        <v>44406</v>
      </c>
      <c r="X570" t="s">
        <v>4754</v>
      </c>
      <c r="Y570" t="s">
        <v>6</v>
      </c>
      <c r="Z570" t="s">
        <v>17</v>
      </c>
      <c r="AA570" t="s">
        <v>717</v>
      </c>
      <c r="AB570" t="s">
        <v>2509</v>
      </c>
      <c r="AC570" t="s">
        <v>2571</v>
      </c>
      <c r="AD570" t="s">
        <v>717</v>
      </c>
      <c r="AE570" t="s">
        <v>4755</v>
      </c>
      <c r="AF570" t="s">
        <v>4756</v>
      </c>
      <c r="AG570" t="s">
        <v>4757</v>
      </c>
      <c r="AH570" t="s">
        <v>2552</v>
      </c>
      <c r="AI570" t="s">
        <v>2547</v>
      </c>
      <c r="AJ570" t="s">
        <v>2855</v>
      </c>
      <c r="AK570" t="s">
        <v>77</v>
      </c>
      <c r="AL570" t="s">
        <v>16</v>
      </c>
      <c r="AM570" t="s">
        <v>10</v>
      </c>
      <c r="AN570" t="s">
        <v>717</v>
      </c>
    </row>
    <row r="571" spans="1:40" hidden="1">
      <c r="A571">
        <v>569</v>
      </c>
      <c r="B571">
        <v>11</v>
      </c>
      <c r="C571" s="58">
        <v>44419</v>
      </c>
      <c r="D571" t="s">
        <v>27</v>
      </c>
      <c r="E571" t="s">
        <v>2506</v>
      </c>
      <c r="F571">
        <v>8</v>
      </c>
      <c r="G571">
        <v>16</v>
      </c>
      <c r="H571">
        <v>327</v>
      </c>
      <c r="I571">
        <v>2</v>
      </c>
      <c r="J571">
        <v>55.8</v>
      </c>
      <c r="K571" t="s">
        <v>15</v>
      </c>
      <c r="L571">
        <v>3142656</v>
      </c>
      <c r="M571">
        <v>0</v>
      </c>
      <c r="N571">
        <v>3142656</v>
      </c>
      <c r="O571">
        <v>56320</v>
      </c>
      <c r="P571">
        <v>306900</v>
      </c>
      <c r="Q571">
        <v>2835756</v>
      </c>
      <c r="R571">
        <v>50820</v>
      </c>
      <c r="S571" t="s">
        <v>65</v>
      </c>
      <c r="T571" t="s">
        <v>717</v>
      </c>
      <c r="U571" t="s">
        <v>717</v>
      </c>
      <c r="V571" t="s">
        <v>4131</v>
      </c>
      <c r="W571">
        <v>44410</v>
      </c>
      <c r="X571" t="s">
        <v>4758</v>
      </c>
      <c r="Y571" t="s">
        <v>6</v>
      </c>
      <c r="Z571" t="s">
        <v>17</v>
      </c>
      <c r="AA571" t="s">
        <v>717</v>
      </c>
      <c r="AB571" t="s">
        <v>2509</v>
      </c>
      <c r="AC571" t="s">
        <v>2571</v>
      </c>
      <c r="AD571" t="s">
        <v>717</v>
      </c>
      <c r="AE571" t="s">
        <v>4759</v>
      </c>
      <c r="AF571" t="s">
        <v>4760</v>
      </c>
      <c r="AG571" t="s">
        <v>4761</v>
      </c>
      <c r="AH571" t="s">
        <v>2615</v>
      </c>
      <c r="AI571" t="s">
        <v>4762</v>
      </c>
      <c r="AJ571" t="s">
        <v>2514</v>
      </c>
      <c r="AK571" t="s">
        <v>63</v>
      </c>
      <c r="AL571" t="s">
        <v>16</v>
      </c>
      <c r="AM571" t="s">
        <v>10</v>
      </c>
      <c r="AN571" t="s">
        <v>717</v>
      </c>
    </row>
    <row r="572" spans="1:40" hidden="1">
      <c r="A572">
        <v>570</v>
      </c>
      <c r="B572">
        <v>12</v>
      </c>
      <c r="C572" s="58">
        <v>44421</v>
      </c>
      <c r="D572" t="s">
        <v>121</v>
      </c>
      <c r="E572" t="s">
        <v>2515</v>
      </c>
      <c r="F572">
        <v>6</v>
      </c>
      <c r="G572">
        <v>21</v>
      </c>
      <c r="H572">
        <v>139</v>
      </c>
      <c r="I572">
        <v>2</v>
      </c>
      <c r="J572">
        <v>59.96</v>
      </c>
      <c r="K572" t="s">
        <v>15</v>
      </c>
      <c r="L572">
        <v>3605010.04</v>
      </c>
      <c r="M572">
        <v>0</v>
      </c>
      <c r="N572">
        <v>3605010.04</v>
      </c>
      <c r="O572">
        <v>60123.583055370247</v>
      </c>
      <c r="P572">
        <v>329780</v>
      </c>
      <c r="Q572">
        <v>3275230.04</v>
      </c>
      <c r="R572">
        <v>54623.583055370247</v>
      </c>
      <c r="S572" t="s">
        <v>65</v>
      </c>
      <c r="T572" t="s">
        <v>717</v>
      </c>
      <c r="U572" t="s">
        <v>717</v>
      </c>
      <c r="V572" t="s">
        <v>4131</v>
      </c>
      <c r="W572">
        <v>44410</v>
      </c>
      <c r="X572" t="s">
        <v>4763</v>
      </c>
      <c r="Y572" t="s">
        <v>6</v>
      </c>
      <c r="Z572" t="s">
        <v>11</v>
      </c>
      <c r="AA572" t="s">
        <v>717</v>
      </c>
      <c r="AB572" t="s">
        <v>2509</v>
      </c>
      <c r="AC572" t="s">
        <v>2571</v>
      </c>
      <c r="AD572" t="s">
        <v>717</v>
      </c>
      <c r="AE572" t="s">
        <v>4764</v>
      </c>
      <c r="AF572" t="s">
        <v>4765</v>
      </c>
      <c r="AG572" t="s">
        <v>4766</v>
      </c>
      <c r="AH572" t="s">
        <v>2191</v>
      </c>
      <c r="AI572" t="s">
        <v>2538</v>
      </c>
      <c r="AJ572" t="s">
        <v>2514</v>
      </c>
      <c r="AK572" t="s">
        <v>63</v>
      </c>
      <c r="AL572" t="s">
        <v>16</v>
      </c>
      <c r="AM572" t="s">
        <v>10</v>
      </c>
      <c r="AN572" t="s">
        <v>717</v>
      </c>
    </row>
    <row r="573" spans="1:40" hidden="1">
      <c r="A573">
        <v>571</v>
      </c>
      <c r="B573">
        <v>13</v>
      </c>
      <c r="C573" s="58">
        <v>44421</v>
      </c>
      <c r="D573" t="s">
        <v>27</v>
      </c>
      <c r="E573" t="s">
        <v>4409</v>
      </c>
      <c r="F573">
        <v>4</v>
      </c>
      <c r="G573">
        <v>12</v>
      </c>
      <c r="H573">
        <v>595</v>
      </c>
      <c r="I573">
        <v>1</v>
      </c>
      <c r="J573">
        <v>40</v>
      </c>
      <c r="K573" t="s">
        <v>25</v>
      </c>
      <c r="L573">
        <v>2765200</v>
      </c>
      <c r="M573">
        <v>0</v>
      </c>
      <c r="N573">
        <v>2765200</v>
      </c>
      <c r="O573">
        <v>69130</v>
      </c>
      <c r="P573">
        <v>640000</v>
      </c>
      <c r="Q573">
        <v>2125200</v>
      </c>
      <c r="R573">
        <v>53130</v>
      </c>
      <c r="S573" t="s">
        <v>65</v>
      </c>
      <c r="T573" t="s">
        <v>717</v>
      </c>
      <c r="U573" t="s">
        <v>717</v>
      </c>
      <c r="V573" t="s">
        <v>717</v>
      </c>
      <c r="W573">
        <v>44413</v>
      </c>
      <c r="X573" t="s">
        <v>4767</v>
      </c>
      <c r="Y573" t="s">
        <v>6</v>
      </c>
      <c r="Z573" t="s">
        <v>17</v>
      </c>
      <c r="AA573" t="s">
        <v>717</v>
      </c>
      <c r="AB573" t="s">
        <v>2509</v>
      </c>
      <c r="AC573" t="s">
        <v>2571</v>
      </c>
      <c r="AD573" t="s">
        <v>717</v>
      </c>
      <c r="AE573" t="s">
        <v>4768</v>
      </c>
      <c r="AF573" t="s">
        <v>4769</v>
      </c>
      <c r="AG573" t="s">
        <v>4770</v>
      </c>
      <c r="AH573" t="s">
        <v>2191</v>
      </c>
      <c r="AI573" t="s">
        <v>2552</v>
      </c>
      <c r="AJ573" t="s">
        <v>2514</v>
      </c>
      <c r="AK573" t="s">
        <v>20</v>
      </c>
      <c r="AL573" t="s">
        <v>16</v>
      </c>
      <c r="AM573" t="s">
        <v>10</v>
      </c>
      <c r="AN573" t="s">
        <v>717</v>
      </c>
    </row>
    <row r="574" spans="1:40" hidden="1">
      <c r="A574">
        <v>572</v>
      </c>
      <c r="B574">
        <v>14</v>
      </c>
      <c r="C574" s="58">
        <v>44421</v>
      </c>
      <c r="D574" t="s">
        <v>121</v>
      </c>
      <c r="E574" t="s">
        <v>2515</v>
      </c>
      <c r="F574">
        <v>5</v>
      </c>
      <c r="G574">
        <v>6</v>
      </c>
      <c r="H574">
        <v>33</v>
      </c>
      <c r="I574">
        <v>1</v>
      </c>
      <c r="J574">
        <v>36.42</v>
      </c>
      <c r="K574" t="s">
        <v>25</v>
      </c>
      <c r="L574">
        <v>2403720</v>
      </c>
      <c r="M574">
        <v>0</v>
      </c>
      <c r="N574">
        <v>2403720</v>
      </c>
      <c r="O574">
        <v>66000</v>
      </c>
      <c r="P574">
        <v>582720</v>
      </c>
      <c r="Q574">
        <v>1821000</v>
      </c>
      <c r="R574">
        <v>50000</v>
      </c>
      <c r="S574" t="s">
        <v>65</v>
      </c>
      <c r="T574" t="s">
        <v>3414</v>
      </c>
      <c r="U574">
        <v>429495.96</v>
      </c>
      <c r="V574" t="s">
        <v>4131</v>
      </c>
      <c r="W574">
        <v>44417</v>
      </c>
      <c r="X574" t="s">
        <v>4771</v>
      </c>
      <c r="Y574" t="s">
        <v>6</v>
      </c>
      <c r="Z574" t="s">
        <v>17</v>
      </c>
      <c r="AA574" t="s">
        <v>717</v>
      </c>
      <c r="AB574" t="s">
        <v>2509</v>
      </c>
      <c r="AC574" t="s">
        <v>2571</v>
      </c>
      <c r="AD574" t="s">
        <v>717</v>
      </c>
      <c r="AE574" t="s">
        <v>4772</v>
      </c>
      <c r="AF574" t="s">
        <v>4773</v>
      </c>
      <c r="AG574" t="s">
        <v>4774</v>
      </c>
      <c r="AH574" t="s">
        <v>3775</v>
      </c>
      <c r="AI574" t="s">
        <v>2600</v>
      </c>
      <c r="AJ574" t="s">
        <v>3921</v>
      </c>
      <c r="AK574" t="s">
        <v>73</v>
      </c>
      <c r="AL574" t="s">
        <v>16</v>
      </c>
      <c r="AM574" t="s">
        <v>10</v>
      </c>
      <c r="AN574" t="s">
        <v>717</v>
      </c>
    </row>
    <row r="575" spans="1:40" hidden="1">
      <c r="A575">
        <v>573</v>
      </c>
      <c r="B575">
        <v>15</v>
      </c>
      <c r="C575" s="58">
        <v>44421</v>
      </c>
      <c r="D575" t="s">
        <v>27</v>
      </c>
      <c r="E575" t="s">
        <v>2506</v>
      </c>
      <c r="F575">
        <v>6</v>
      </c>
      <c r="G575">
        <v>10</v>
      </c>
      <c r="H575">
        <v>277</v>
      </c>
      <c r="I575">
        <v>1</v>
      </c>
      <c r="J575">
        <v>37.11</v>
      </c>
      <c r="K575" t="s">
        <v>9</v>
      </c>
      <c r="L575">
        <v>2194536.96</v>
      </c>
      <c r="M575">
        <v>0</v>
      </c>
      <c r="N575">
        <v>2194536.96</v>
      </c>
      <c r="O575">
        <v>59136</v>
      </c>
      <c r="P575">
        <v>0</v>
      </c>
      <c r="Q575">
        <v>2194536.96</v>
      </c>
      <c r="R575">
        <v>59136</v>
      </c>
      <c r="S575" t="s">
        <v>130</v>
      </c>
      <c r="T575" t="s">
        <v>717</v>
      </c>
      <c r="U575" t="s">
        <v>717</v>
      </c>
      <c r="V575" t="s">
        <v>717</v>
      </c>
      <c r="W575">
        <v>44417</v>
      </c>
      <c r="X575" t="s">
        <v>4775</v>
      </c>
      <c r="Y575" t="s">
        <v>6</v>
      </c>
      <c r="Z575" t="s">
        <v>11</v>
      </c>
      <c r="AA575" t="s">
        <v>717</v>
      </c>
      <c r="AB575" t="s">
        <v>2509</v>
      </c>
      <c r="AC575" t="s">
        <v>118</v>
      </c>
      <c r="AD575" t="s">
        <v>717</v>
      </c>
      <c r="AE575" t="s">
        <v>4776</v>
      </c>
      <c r="AF575" t="s">
        <v>4777</v>
      </c>
      <c r="AG575" t="s">
        <v>4778</v>
      </c>
      <c r="AH575" t="s">
        <v>2552</v>
      </c>
      <c r="AI575" t="s">
        <v>2877</v>
      </c>
      <c r="AJ575" t="s">
        <v>3098</v>
      </c>
      <c r="AK575" t="s">
        <v>77</v>
      </c>
      <c r="AL575" t="s">
        <v>717</v>
      </c>
      <c r="AM575" t="s">
        <v>10</v>
      </c>
      <c r="AN575" t="s">
        <v>717</v>
      </c>
    </row>
    <row r="576" spans="1:40" hidden="1">
      <c r="A576">
        <v>574</v>
      </c>
      <c r="B576">
        <v>16</v>
      </c>
      <c r="C576" s="58">
        <v>44424</v>
      </c>
      <c r="D576" t="s">
        <v>74</v>
      </c>
      <c r="E576" t="s">
        <v>2506</v>
      </c>
      <c r="F576">
        <v>1</v>
      </c>
      <c r="G576">
        <v>13</v>
      </c>
      <c r="H576">
        <v>228</v>
      </c>
      <c r="I576">
        <v>3</v>
      </c>
      <c r="J576">
        <v>87.6</v>
      </c>
      <c r="K576" t="s">
        <v>9</v>
      </c>
      <c r="L576">
        <v>4644252</v>
      </c>
      <c r="M576">
        <v>0</v>
      </c>
      <c r="N576">
        <v>4644252</v>
      </c>
      <c r="O576">
        <v>53016.57534246576</v>
      </c>
      <c r="P576">
        <v>43800</v>
      </c>
      <c r="Q576">
        <v>4600452</v>
      </c>
      <c r="R576">
        <v>52516.57534246576</v>
      </c>
      <c r="S576" t="s">
        <v>65</v>
      </c>
      <c r="T576" t="s">
        <v>717</v>
      </c>
      <c r="U576" t="s">
        <v>717</v>
      </c>
      <c r="V576" t="s">
        <v>717</v>
      </c>
      <c r="W576">
        <v>44419</v>
      </c>
      <c r="X576" t="s">
        <v>4779</v>
      </c>
      <c r="Y576" t="s">
        <v>6</v>
      </c>
      <c r="Z576" t="s">
        <v>17</v>
      </c>
      <c r="AA576" t="s">
        <v>717</v>
      </c>
      <c r="AB576" t="s">
        <v>326</v>
      </c>
      <c r="AC576" t="s">
        <v>2571</v>
      </c>
      <c r="AD576" t="s">
        <v>717</v>
      </c>
      <c r="AE576" t="s">
        <v>4780</v>
      </c>
      <c r="AF576" t="s">
        <v>4781</v>
      </c>
      <c r="AG576" t="s">
        <v>4782</v>
      </c>
      <c r="AH576" t="s">
        <v>2615</v>
      </c>
      <c r="AI576" t="s">
        <v>2513</v>
      </c>
      <c r="AJ576" t="s">
        <v>2569</v>
      </c>
      <c r="AK576" t="s">
        <v>20</v>
      </c>
      <c r="AL576" t="s">
        <v>16</v>
      </c>
      <c r="AM576" t="s">
        <v>10</v>
      </c>
      <c r="AN576" t="s">
        <v>717</v>
      </c>
    </row>
    <row r="577" spans="1:40" hidden="1">
      <c r="A577">
        <v>575</v>
      </c>
      <c r="B577">
        <v>17</v>
      </c>
      <c r="C577" s="58">
        <v>44425</v>
      </c>
      <c r="D577" t="s">
        <v>27</v>
      </c>
      <c r="E577" t="s">
        <v>4409</v>
      </c>
      <c r="F577">
        <v>3</v>
      </c>
      <c r="G577">
        <v>14</v>
      </c>
      <c r="H577">
        <v>610</v>
      </c>
      <c r="I577">
        <v>0</v>
      </c>
      <c r="J577">
        <v>23.54</v>
      </c>
      <c r="K577" t="s">
        <v>9</v>
      </c>
      <c r="L577">
        <v>1291463.25</v>
      </c>
      <c r="M577">
        <v>0</v>
      </c>
      <c r="N577">
        <v>1291463.25</v>
      </c>
      <c r="O577">
        <v>54862.5</v>
      </c>
      <c r="P577">
        <v>0</v>
      </c>
      <c r="Q577">
        <v>1291463.25</v>
      </c>
      <c r="R577">
        <v>54862.5</v>
      </c>
      <c r="S577" t="s">
        <v>65</v>
      </c>
      <c r="T577" t="s">
        <v>3414</v>
      </c>
      <c r="U577">
        <v>67971.75</v>
      </c>
      <c r="V577" t="s">
        <v>717</v>
      </c>
      <c r="W577">
        <v>44406</v>
      </c>
      <c r="X577" t="s">
        <v>4783</v>
      </c>
      <c r="Y577" t="s">
        <v>6</v>
      </c>
      <c r="Z577" t="s">
        <v>17</v>
      </c>
      <c r="AA577" t="s">
        <v>717</v>
      </c>
      <c r="AB577" t="s">
        <v>2509</v>
      </c>
      <c r="AC577" t="s">
        <v>2571</v>
      </c>
      <c r="AD577" t="s">
        <v>717</v>
      </c>
      <c r="AE577" t="s">
        <v>4784</v>
      </c>
      <c r="AF577" t="s">
        <v>4785</v>
      </c>
      <c r="AG577" t="s">
        <v>4786</v>
      </c>
      <c r="AH577" t="s">
        <v>2191</v>
      </c>
      <c r="AI577" t="s">
        <v>2802</v>
      </c>
      <c r="AJ577" t="s">
        <v>2514</v>
      </c>
      <c r="AK577" t="s">
        <v>20</v>
      </c>
      <c r="AL577" t="s">
        <v>16</v>
      </c>
      <c r="AM577" t="s">
        <v>10</v>
      </c>
      <c r="AN577" t="s">
        <v>717</v>
      </c>
    </row>
    <row r="578" spans="1:40" hidden="1">
      <c r="A578">
        <v>576</v>
      </c>
      <c r="B578">
        <v>18</v>
      </c>
      <c r="C578" s="58">
        <v>44425</v>
      </c>
      <c r="D578" t="s">
        <v>27</v>
      </c>
      <c r="E578" t="s">
        <v>2581</v>
      </c>
      <c r="F578">
        <v>3</v>
      </c>
      <c r="G578">
        <v>15</v>
      </c>
      <c r="H578">
        <v>498</v>
      </c>
      <c r="I578">
        <v>0</v>
      </c>
      <c r="J578">
        <v>23.54</v>
      </c>
      <c r="K578" t="s">
        <v>25</v>
      </c>
      <c r="L578">
        <v>1800810</v>
      </c>
      <c r="M578">
        <v>0</v>
      </c>
      <c r="N578">
        <v>1800810</v>
      </c>
      <c r="O578">
        <v>76500</v>
      </c>
      <c r="P578">
        <v>376640</v>
      </c>
      <c r="Q578">
        <v>1424170</v>
      </c>
      <c r="R578">
        <v>60500</v>
      </c>
      <c r="S578" t="s">
        <v>130</v>
      </c>
      <c r="T578" t="s">
        <v>717</v>
      </c>
      <c r="U578" t="s">
        <v>717</v>
      </c>
      <c r="V578" t="s">
        <v>717</v>
      </c>
      <c r="W578">
        <v>44414</v>
      </c>
      <c r="X578" t="s">
        <v>4787</v>
      </c>
      <c r="Y578" t="s">
        <v>6</v>
      </c>
      <c r="Z578" t="s">
        <v>11</v>
      </c>
      <c r="AA578" t="s">
        <v>717</v>
      </c>
      <c r="AB578" t="s">
        <v>2509</v>
      </c>
      <c r="AC578" t="s">
        <v>118</v>
      </c>
      <c r="AD578" t="s">
        <v>717</v>
      </c>
      <c r="AE578" t="s">
        <v>4788</v>
      </c>
      <c r="AF578" t="s">
        <v>4789</v>
      </c>
      <c r="AG578" t="s">
        <v>4790</v>
      </c>
      <c r="AH578" t="s">
        <v>2615</v>
      </c>
      <c r="AI578" t="s">
        <v>2552</v>
      </c>
      <c r="AJ578" t="s">
        <v>2895</v>
      </c>
      <c r="AK578" t="s">
        <v>73</v>
      </c>
      <c r="AL578" t="s">
        <v>717</v>
      </c>
      <c r="AM578" t="s">
        <v>10</v>
      </c>
      <c r="AN578" t="s">
        <v>717</v>
      </c>
    </row>
    <row r="579" spans="1:40" hidden="1">
      <c r="A579">
        <v>577</v>
      </c>
      <c r="B579">
        <v>19</v>
      </c>
      <c r="C579" s="58">
        <v>44425</v>
      </c>
      <c r="D579" t="s">
        <v>27</v>
      </c>
      <c r="E579" t="s">
        <v>4409</v>
      </c>
      <c r="F579">
        <v>5</v>
      </c>
      <c r="G579">
        <v>5</v>
      </c>
      <c r="H579">
        <v>540</v>
      </c>
      <c r="I579">
        <v>0</v>
      </c>
      <c r="J579">
        <v>23.63</v>
      </c>
      <c r="K579" t="s">
        <v>9</v>
      </c>
      <c r="L579">
        <v>1364632.5</v>
      </c>
      <c r="M579">
        <v>0</v>
      </c>
      <c r="N579">
        <v>1364632.5</v>
      </c>
      <c r="O579">
        <v>57750</v>
      </c>
      <c r="P579">
        <v>0</v>
      </c>
      <c r="Q579">
        <v>1364632.5</v>
      </c>
      <c r="R579">
        <v>57750</v>
      </c>
      <c r="S579" t="s">
        <v>130</v>
      </c>
      <c r="T579" t="s">
        <v>717</v>
      </c>
      <c r="U579" t="s">
        <v>717</v>
      </c>
      <c r="V579" t="s">
        <v>717</v>
      </c>
      <c r="W579">
        <v>44416</v>
      </c>
      <c r="X579" t="s">
        <v>4791</v>
      </c>
      <c r="Y579" t="s">
        <v>6</v>
      </c>
      <c r="Z579" t="s">
        <v>11</v>
      </c>
      <c r="AA579" t="s">
        <v>717</v>
      </c>
      <c r="AB579" t="s">
        <v>2509</v>
      </c>
      <c r="AC579" t="s">
        <v>118</v>
      </c>
      <c r="AD579" t="s">
        <v>717</v>
      </c>
      <c r="AE579" t="s">
        <v>4792</v>
      </c>
      <c r="AF579" t="s">
        <v>4793</v>
      </c>
      <c r="AG579" t="s">
        <v>4794</v>
      </c>
      <c r="AH579" t="s">
        <v>2615</v>
      </c>
      <c r="AI579" t="s">
        <v>2538</v>
      </c>
      <c r="AJ579" t="s">
        <v>2895</v>
      </c>
      <c r="AK579" t="s">
        <v>20</v>
      </c>
      <c r="AL579" t="s">
        <v>717</v>
      </c>
      <c r="AM579" t="s">
        <v>10</v>
      </c>
      <c r="AN579" t="s">
        <v>717</v>
      </c>
    </row>
    <row r="580" spans="1:40" hidden="1">
      <c r="A580">
        <v>578</v>
      </c>
      <c r="B580">
        <v>20</v>
      </c>
      <c r="C580" s="58">
        <v>44426</v>
      </c>
      <c r="D580" t="s">
        <v>121</v>
      </c>
      <c r="E580" t="s">
        <v>2506</v>
      </c>
      <c r="F580">
        <v>5</v>
      </c>
      <c r="G580">
        <v>9</v>
      </c>
      <c r="H580">
        <v>243</v>
      </c>
      <c r="I580">
        <v>2</v>
      </c>
      <c r="J580">
        <v>60.19</v>
      </c>
      <c r="K580" t="s">
        <v>15</v>
      </c>
      <c r="L580">
        <v>3455793.23</v>
      </c>
      <c r="M580">
        <v>0</v>
      </c>
      <c r="N580">
        <v>3455793.23</v>
      </c>
      <c r="O580">
        <v>57414.74048845323</v>
      </c>
      <c r="P580">
        <v>331045</v>
      </c>
      <c r="Q580">
        <v>3124748.23</v>
      </c>
      <c r="R580">
        <v>51914.74048845323</v>
      </c>
      <c r="S580" t="s">
        <v>65</v>
      </c>
      <c r="T580" t="s">
        <v>717</v>
      </c>
      <c r="U580" t="s">
        <v>717</v>
      </c>
      <c r="V580" t="s">
        <v>717</v>
      </c>
      <c r="W580">
        <v>44406</v>
      </c>
      <c r="X580" t="s">
        <v>4795</v>
      </c>
      <c r="Y580" t="s">
        <v>6</v>
      </c>
      <c r="Z580" t="s">
        <v>17</v>
      </c>
      <c r="AA580" t="s">
        <v>717</v>
      </c>
      <c r="AB580" t="s">
        <v>2509</v>
      </c>
      <c r="AC580" t="s">
        <v>2571</v>
      </c>
      <c r="AD580" t="s">
        <v>717</v>
      </c>
      <c r="AE580" t="s">
        <v>4796</v>
      </c>
      <c r="AF580" t="s">
        <v>4797</v>
      </c>
      <c r="AG580" t="s">
        <v>4798</v>
      </c>
      <c r="AH580" t="s">
        <v>2615</v>
      </c>
      <c r="AI580" t="s">
        <v>2521</v>
      </c>
      <c r="AJ580" t="s">
        <v>4799</v>
      </c>
      <c r="AK580" t="s">
        <v>77</v>
      </c>
      <c r="AL580" t="s">
        <v>16</v>
      </c>
      <c r="AM580" t="s">
        <v>10</v>
      </c>
      <c r="AN580" t="s">
        <v>717</v>
      </c>
    </row>
    <row r="581" spans="1:40" hidden="1">
      <c r="A581">
        <v>579</v>
      </c>
      <c r="B581">
        <v>21</v>
      </c>
      <c r="C581" s="58">
        <v>44426</v>
      </c>
      <c r="D581" t="s">
        <v>74</v>
      </c>
      <c r="E581" t="s">
        <v>2506</v>
      </c>
      <c r="F581">
        <v>7</v>
      </c>
      <c r="G581">
        <v>2</v>
      </c>
      <c r="H581">
        <v>157</v>
      </c>
      <c r="I581">
        <v>2</v>
      </c>
      <c r="J581">
        <v>62.9</v>
      </c>
      <c r="K581" t="s">
        <v>9</v>
      </c>
      <c r="L581">
        <v>3480508.5</v>
      </c>
      <c r="M581">
        <v>0</v>
      </c>
      <c r="N581">
        <v>3480508.5</v>
      </c>
      <c r="O581">
        <v>55333.998410174885</v>
      </c>
      <c r="P581">
        <v>31450</v>
      </c>
      <c r="Q581">
        <v>3449058.5</v>
      </c>
      <c r="R581">
        <v>54833.998410174885</v>
      </c>
      <c r="S581" t="s">
        <v>65</v>
      </c>
      <c r="T581" t="s">
        <v>717</v>
      </c>
      <c r="U581" t="s">
        <v>717</v>
      </c>
      <c r="V581" t="s">
        <v>717</v>
      </c>
      <c r="W581">
        <v>44407</v>
      </c>
      <c r="X581" t="s">
        <v>3527</v>
      </c>
      <c r="Y581" t="s">
        <v>6</v>
      </c>
      <c r="Z581" t="s">
        <v>17</v>
      </c>
      <c r="AA581" t="s">
        <v>717</v>
      </c>
      <c r="AB581" t="s">
        <v>326</v>
      </c>
      <c r="AC581" t="s">
        <v>2571</v>
      </c>
      <c r="AD581" t="s">
        <v>717</v>
      </c>
      <c r="AE581" t="s">
        <v>4800</v>
      </c>
      <c r="AF581" t="s">
        <v>4801</v>
      </c>
      <c r="AG581" t="s">
        <v>4802</v>
      </c>
      <c r="AH581" t="s">
        <v>2552</v>
      </c>
      <c r="AI581" t="s">
        <v>2877</v>
      </c>
      <c r="AJ581" t="s">
        <v>2940</v>
      </c>
      <c r="AK581" t="s">
        <v>77</v>
      </c>
      <c r="AL581" t="s">
        <v>16</v>
      </c>
      <c r="AM581" t="s">
        <v>10</v>
      </c>
      <c r="AN581" t="s">
        <v>717</v>
      </c>
    </row>
    <row r="582" spans="1:40" hidden="1">
      <c r="A582">
        <v>580</v>
      </c>
      <c r="B582">
        <v>22</v>
      </c>
      <c r="C582" s="58">
        <v>44426</v>
      </c>
      <c r="D582" t="s">
        <v>27</v>
      </c>
      <c r="E582" t="s">
        <v>2506</v>
      </c>
      <c r="F582">
        <v>2</v>
      </c>
      <c r="G582">
        <v>5</v>
      </c>
      <c r="H582">
        <v>233</v>
      </c>
      <c r="I582">
        <v>1</v>
      </c>
      <c r="J582">
        <v>37.159999999999997</v>
      </c>
      <c r="K582" t="s">
        <v>9</v>
      </c>
      <c r="L582">
        <v>2197493.7599999998</v>
      </c>
      <c r="M582">
        <v>0</v>
      </c>
      <c r="N582">
        <v>2197493.7599999998</v>
      </c>
      <c r="O582">
        <v>59136</v>
      </c>
      <c r="P582">
        <v>0</v>
      </c>
      <c r="Q582">
        <v>2197493.7599999998</v>
      </c>
      <c r="R582">
        <v>59136</v>
      </c>
      <c r="S582" t="s">
        <v>65</v>
      </c>
      <c r="T582" t="s">
        <v>717</v>
      </c>
      <c r="U582" t="s">
        <v>717</v>
      </c>
      <c r="V582" t="s">
        <v>4131</v>
      </c>
      <c r="W582">
        <v>44419</v>
      </c>
      <c r="X582" t="s">
        <v>4803</v>
      </c>
      <c r="Y582" t="s">
        <v>6</v>
      </c>
      <c r="Z582" t="s">
        <v>17</v>
      </c>
      <c r="AA582" t="s">
        <v>717</v>
      </c>
      <c r="AB582" t="s">
        <v>2509</v>
      </c>
      <c r="AC582" t="s">
        <v>2571</v>
      </c>
      <c r="AD582" t="s">
        <v>717</v>
      </c>
      <c r="AE582" t="s">
        <v>4804</v>
      </c>
      <c r="AF582" t="s">
        <v>4805</v>
      </c>
      <c r="AG582" t="s">
        <v>4806</v>
      </c>
      <c r="AH582" t="s">
        <v>2615</v>
      </c>
      <c r="AI582" t="s">
        <v>2552</v>
      </c>
      <c r="AJ582" t="s">
        <v>3202</v>
      </c>
      <c r="AK582" t="s">
        <v>63</v>
      </c>
      <c r="AL582" t="s">
        <v>16</v>
      </c>
      <c r="AM582" t="s">
        <v>10</v>
      </c>
      <c r="AN582" t="s">
        <v>717</v>
      </c>
    </row>
    <row r="583" spans="1:40" hidden="1">
      <c r="A583">
        <v>581</v>
      </c>
      <c r="B583">
        <v>23</v>
      </c>
      <c r="C583" s="58">
        <v>44427</v>
      </c>
      <c r="D583" t="s">
        <v>27</v>
      </c>
      <c r="E583" t="s">
        <v>4409</v>
      </c>
      <c r="F583">
        <v>6</v>
      </c>
      <c r="G583">
        <v>3</v>
      </c>
      <c r="H583">
        <v>525</v>
      </c>
      <c r="I583">
        <v>1</v>
      </c>
      <c r="J583">
        <v>37.11</v>
      </c>
      <c r="K583" t="s">
        <v>9</v>
      </c>
      <c r="L583">
        <v>1971654.3</v>
      </c>
      <c r="M583">
        <v>0</v>
      </c>
      <c r="N583">
        <v>1971654.3</v>
      </c>
      <c r="O583">
        <v>53130</v>
      </c>
      <c r="P583">
        <v>0</v>
      </c>
      <c r="Q583">
        <v>1971654.3</v>
      </c>
      <c r="R583">
        <v>53130</v>
      </c>
      <c r="S583" t="s">
        <v>65</v>
      </c>
      <c r="T583" t="s">
        <v>717</v>
      </c>
      <c r="U583" t="s">
        <v>717</v>
      </c>
      <c r="V583" t="s">
        <v>717</v>
      </c>
      <c r="W583">
        <v>44421</v>
      </c>
      <c r="X583" t="s">
        <v>4807</v>
      </c>
      <c r="Y583" t="s">
        <v>6</v>
      </c>
      <c r="Z583" t="s">
        <v>11</v>
      </c>
      <c r="AA583" t="s">
        <v>717</v>
      </c>
      <c r="AB583" t="s">
        <v>2509</v>
      </c>
      <c r="AC583" t="s">
        <v>4808</v>
      </c>
      <c r="AD583" t="s">
        <v>717</v>
      </c>
      <c r="AE583" t="s">
        <v>4809</v>
      </c>
      <c r="AF583" t="s">
        <v>4810</v>
      </c>
      <c r="AG583" t="s">
        <v>4811</v>
      </c>
      <c r="AH583" t="s">
        <v>2615</v>
      </c>
      <c r="AI583" t="s">
        <v>2673</v>
      </c>
      <c r="AJ583" t="s">
        <v>2793</v>
      </c>
      <c r="AK583" t="s">
        <v>20</v>
      </c>
      <c r="AL583" t="s">
        <v>16</v>
      </c>
      <c r="AM583" t="s">
        <v>10</v>
      </c>
      <c r="AN583" t="s">
        <v>717</v>
      </c>
    </row>
    <row r="584" spans="1:40" hidden="1">
      <c r="A584">
        <v>582</v>
      </c>
      <c r="B584">
        <v>24</v>
      </c>
      <c r="C584" s="58">
        <v>44427</v>
      </c>
      <c r="D584" t="s">
        <v>27</v>
      </c>
      <c r="E584" t="s">
        <v>2506</v>
      </c>
      <c r="F584">
        <v>5</v>
      </c>
      <c r="G584">
        <v>13</v>
      </c>
      <c r="H584">
        <v>300</v>
      </c>
      <c r="I584">
        <v>0</v>
      </c>
      <c r="J584">
        <v>23.63</v>
      </c>
      <c r="K584" t="s">
        <v>15</v>
      </c>
      <c r="L584">
        <v>1488099.25</v>
      </c>
      <c r="M584">
        <v>0</v>
      </c>
      <c r="N584">
        <v>1488099.25</v>
      </c>
      <c r="O584">
        <v>62975</v>
      </c>
      <c r="P584">
        <v>129965</v>
      </c>
      <c r="Q584">
        <v>1358134.25</v>
      </c>
      <c r="R584">
        <v>57475</v>
      </c>
      <c r="S584" t="s">
        <v>65</v>
      </c>
      <c r="T584" t="s">
        <v>3414</v>
      </c>
      <c r="U584">
        <v>71480.75</v>
      </c>
      <c r="V584" t="s">
        <v>717</v>
      </c>
      <c r="W584">
        <v>44424</v>
      </c>
      <c r="X584" t="s">
        <v>4812</v>
      </c>
      <c r="Y584" t="s">
        <v>6</v>
      </c>
      <c r="Z584" t="s">
        <v>17</v>
      </c>
      <c r="AA584" t="s">
        <v>717</v>
      </c>
      <c r="AB584" t="s">
        <v>2509</v>
      </c>
      <c r="AC584" t="s">
        <v>2571</v>
      </c>
      <c r="AD584" t="s">
        <v>717</v>
      </c>
      <c r="AE584" t="s">
        <v>4813</v>
      </c>
      <c r="AF584" t="s">
        <v>4814</v>
      </c>
      <c r="AG584" t="s">
        <v>4815</v>
      </c>
      <c r="AH584" t="s">
        <v>2191</v>
      </c>
      <c r="AI584" t="s">
        <v>2802</v>
      </c>
      <c r="AJ584" t="s">
        <v>2514</v>
      </c>
      <c r="AK584" t="s">
        <v>63</v>
      </c>
      <c r="AL584" t="s">
        <v>16</v>
      </c>
      <c r="AM584" t="s">
        <v>10</v>
      </c>
      <c r="AN584" t="s">
        <v>717</v>
      </c>
    </row>
    <row r="585" spans="1:40" hidden="1">
      <c r="A585">
        <v>583</v>
      </c>
      <c r="B585">
        <v>25</v>
      </c>
      <c r="C585" s="58">
        <v>44428</v>
      </c>
      <c r="D585" t="s">
        <v>27</v>
      </c>
      <c r="E585" t="s">
        <v>2506</v>
      </c>
      <c r="F585">
        <v>2</v>
      </c>
      <c r="G585">
        <v>11</v>
      </c>
      <c r="H585">
        <v>281</v>
      </c>
      <c r="I585">
        <v>1</v>
      </c>
      <c r="J585">
        <v>37.159999999999997</v>
      </c>
      <c r="K585" t="s">
        <v>9</v>
      </c>
      <c r="L585">
        <v>2197493.7599999998</v>
      </c>
      <c r="M585">
        <v>0</v>
      </c>
      <c r="N585">
        <v>2197493.7599999998</v>
      </c>
      <c r="O585">
        <v>59136</v>
      </c>
      <c r="P585">
        <v>0</v>
      </c>
      <c r="Q585">
        <v>2197493.7599999998</v>
      </c>
      <c r="R585">
        <v>59136</v>
      </c>
      <c r="S585" t="s">
        <v>65</v>
      </c>
      <c r="T585" t="s">
        <v>717</v>
      </c>
      <c r="U585" t="s">
        <v>717</v>
      </c>
      <c r="V585" t="s">
        <v>717</v>
      </c>
      <c r="W585">
        <v>44425</v>
      </c>
      <c r="X585" t="s">
        <v>4816</v>
      </c>
      <c r="Y585" t="s">
        <v>6</v>
      </c>
      <c r="Z585" t="s">
        <v>17</v>
      </c>
      <c r="AA585" t="s">
        <v>717</v>
      </c>
      <c r="AB585" t="s">
        <v>2509</v>
      </c>
      <c r="AC585" t="s">
        <v>2571</v>
      </c>
      <c r="AD585" t="s">
        <v>717</v>
      </c>
      <c r="AE585" t="s">
        <v>4817</v>
      </c>
      <c r="AF585" t="s">
        <v>4818</v>
      </c>
      <c r="AG585" t="s">
        <v>4819</v>
      </c>
      <c r="AH585" t="s">
        <v>2615</v>
      </c>
      <c r="AI585" t="s">
        <v>2706</v>
      </c>
      <c r="AJ585" t="s">
        <v>2569</v>
      </c>
      <c r="AK585" t="s">
        <v>73</v>
      </c>
      <c r="AL585" t="s">
        <v>16</v>
      </c>
      <c r="AM585" t="s">
        <v>10</v>
      </c>
      <c r="AN585" t="s">
        <v>717</v>
      </c>
    </row>
    <row r="586" spans="1:40" hidden="1">
      <c r="A586">
        <v>584</v>
      </c>
      <c r="B586">
        <v>26</v>
      </c>
      <c r="C586" s="58">
        <v>44431</v>
      </c>
      <c r="D586" t="s">
        <v>121</v>
      </c>
      <c r="E586" t="s">
        <v>2506</v>
      </c>
      <c r="F586">
        <v>4</v>
      </c>
      <c r="G586">
        <v>2</v>
      </c>
      <c r="H586">
        <v>165</v>
      </c>
      <c r="I586">
        <v>1</v>
      </c>
      <c r="J586">
        <v>37.89</v>
      </c>
      <c r="K586" t="s">
        <v>15</v>
      </c>
      <c r="L586">
        <v>2847748.1</v>
      </c>
      <c r="M586">
        <v>0</v>
      </c>
      <c r="N586">
        <v>2847748.1</v>
      </c>
      <c r="O586">
        <v>75158.30298231724</v>
      </c>
      <c r="P586">
        <v>208395</v>
      </c>
      <c r="Q586">
        <v>2639353.1</v>
      </c>
      <c r="R586">
        <v>69658.30298231724</v>
      </c>
      <c r="S586" t="s">
        <v>65</v>
      </c>
      <c r="T586" t="s">
        <v>717</v>
      </c>
      <c r="U586" t="s">
        <v>717</v>
      </c>
      <c r="V586" t="s">
        <v>717</v>
      </c>
      <c r="W586">
        <v>44422</v>
      </c>
      <c r="X586" t="s">
        <v>4820</v>
      </c>
      <c r="Y586" t="s">
        <v>6</v>
      </c>
      <c r="Z586" t="s">
        <v>17</v>
      </c>
      <c r="AA586" t="s">
        <v>717</v>
      </c>
      <c r="AB586" t="s">
        <v>2509</v>
      </c>
      <c r="AC586" t="s">
        <v>2571</v>
      </c>
      <c r="AD586" t="s">
        <v>717</v>
      </c>
      <c r="AE586" t="s">
        <v>4821</v>
      </c>
      <c r="AF586" t="s">
        <v>4822</v>
      </c>
      <c r="AG586" t="s">
        <v>4823</v>
      </c>
      <c r="AH586" t="s">
        <v>2615</v>
      </c>
      <c r="AI586" t="s">
        <v>2824</v>
      </c>
      <c r="AJ586" t="s">
        <v>2569</v>
      </c>
      <c r="AK586" t="s">
        <v>77</v>
      </c>
      <c r="AL586" t="s">
        <v>16</v>
      </c>
      <c r="AM586" t="s">
        <v>10</v>
      </c>
      <c r="AN586" t="s">
        <v>717</v>
      </c>
    </row>
    <row r="587" spans="1:40" hidden="1">
      <c r="A587">
        <v>585</v>
      </c>
      <c r="B587">
        <v>27</v>
      </c>
      <c r="C587" s="58">
        <v>44431</v>
      </c>
      <c r="D587" t="s">
        <v>27</v>
      </c>
      <c r="E587" t="s">
        <v>4409</v>
      </c>
      <c r="F587">
        <v>4</v>
      </c>
      <c r="G587">
        <v>2</v>
      </c>
      <c r="H587">
        <v>515</v>
      </c>
      <c r="I587">
        <v>1</v>
      </c>
      <c r="J587">
        <v>40</v>
      </c>
      <c r="K587" t="s">
        <v>15</v>
      </c>
      <c r="L587">
        <v>2486880</v>
      </c>
      <c r="M587">
        <v>0</v>
      </c>
      <c r="N587">
        <v>2486880</v>
      </c>
      <c r="O587">
        <v>62172</v>
      </c>
      <c r="P587">
        <v>220000</v>
      </c>
      <c r="Q587">
        <v>2266880</v>
      </c>
      <c r="R587">
        <v>56672</v>
      </c>
      <c r="S587" t="s">
        <v>65</v>
      </c>
      <c r="T587" t="s">
        <v>717</v>
      </c>
      <c r="U587" t="s">
        <v>717</v>
      </c>
      <c r="V587" t="s">
        <v>717</v>
      </c>
      <c r="W587">
        <v>44424</v>
      </c>
      <c r="X587" t="s">
        <v>4824</v>
      </c>
      <c r="Y587" t="s">
        <v>6</v>
      </c>
      <c r="Z587" t="s">
        <v>17</v>
      </c>
      <c r="AA587" t="s">
        <v>717</v>
      </c>
      <c r="AB587" t="s">
        <v>2509</v>
      </c>
      <c r="AC587" t="s">
        <v>2571</v>
      </c>
      <c r="AD587" t="s">
        <v>717</v>
      </c>
      <c r="AE587" t="s">
        <v>4825</v>
      </c>
      <c r="AF587" t="s">
        <v>4826</v>
      </c>
      <c r="AG587" t="s">
        <v>4827</v>
      </c>
      <c r="AH587" t="s">
        <v>2615</v>
      </c>
      <c r="AI587" t="s">
        <v>2621</v>
      </c>
      <c r="AJ587" t="s">
        <v>2895</v>
      </c>
      <c r="AK587" t="s">
        <v>471</v>
      </c>
      <c r="AL587" t="s">
        <v>16</v>
      </c>
      <c r="AM587" t="s">
        <v>10</v>
      </c>
      <c r="AN587" t="s">
        <v>717</v>
      </c>
    </row>
    <row r="588" spans="1:40" hidden="1">
      <c r="A588">
        <v>586</v>
      </c>
      <c r="B588">
        <v>28</v>
      </c>
      <c r="C588" s="58">
        <v>44432</v>
      </c>
      <c r="D588" t="s">
        <v>27</v>
      </c>
      <c r="E588" t="s">
        <v>2581</v>
      </c>
      <c r="F588">
        <v>3</v>
      </c>
      <c r="G588">
        <v>13</v>
      </c>
      <c r="H588">
        <v>482</v>
      </c>
      <c r="I588">
        <v>0</v>
      </c>
      <c r="J588">
        <v>23.54</v>
      </c>
      <c r="K588" t="s">
        <v>9</v>
      </c>
      <c r="L588">
        <v>1359435</v>
      </c>
      <c r="M588">
        <v>0</v>
      </c>
      <c r="N588">
        <v>1359435</v>
      </c>
      <c r="O588">
        <v>57750</v>
      </c>
      <c r="P588">
        <v>0</v>
      </c>
      <c r="Q588">
        <v>1359435</v>
      </c>
      <c r="R588">
        <v>57750</v>
      </c>
      <c r="S588" t="s">
        <v>130</v>
      </c>
      <c r="T588" t="s">
        <v>717</v>
      </c>
      <c r="U588" t="s">
        <v>717</v>
      </c>
      <c r="V588" t="s">
        <v>717</v>
      </c>
      <c r="W588">
        <v>44415</v>
      </c>
      <c r="X588" t="s">
        <v>4828</v>
      </c>
      <c r="Y588" t="s">
        <v>6</v>
      </c>
      <c r="Z588" t="s">
        <v>11</v>
      </c>
      <c r="AA588" t="s">
        <v>717</v>
      </c>
      <c r="AB588" t="s">
        <v>2509</v>
      </c>
      <c r="AC588" t="s">
        <v>118</v>
      </c>
      <c r="AD588" t="s">
        <v>717</v>
      </c>
      <c r="AE588" t="s">
        <v>4829</v>
      </c>
      <c r="AF588" t="s">
        <v>4830</v>
      </c>
      <c r="AG588" t="s">
        <v>4831</v>
      </c>
      <c r="AH588" t="s">
        <v>2615</v>
      </c>
      <c r="AI588" t="s">
        <v>2824</v>
      </c>
      <c r="AJ588" t="s">
        <v>2569</v>
      </c>
      <c r="AK588" t="s">
        <v>20</v>
      </c>
      <c r="AL588" t="s">
        <v>717</v>
      </c>
      <c r="AM588" t="s">
        <v>10</v>
      </c>
      <c r="AN588" t="s">
        <v>717</v>
      </c>
    </row>
    <row r="589" spans="1:40" hidden="1">
      <c r="A589">
        <v>587</v>
      </c>
      <c r="B589">
        <v>29</v>
      </c>
      <c r="C589" s="58">
        <v>44432</v>
      </c>
      <c r="D589" t="s">
        <v>27</v>
      </c>
      <c r="E589" t="s">
        <v>4409</v>
      </c>
      <c r="F589">
        <v>7</v>
      </c>
      <c r="G589">
        <v>3</v>
      </c>
      <c r="H589">
        <v>526</v>
      </c>
      <c r="I589">
        <v>2</v>
      </c>
      <c r="J589">
        <v>59.93</v>
      </c>
      <c r="K589" t="s">
        <v>25</v>
      </c>
      <c r="L589">
        <v>4220516.79</v>
      </c>
      <c r="M589">
        <v>15000</v>
      </c>
      <c r="N589">
        <v>4235516.79</v>
      </c>
      <c r="O589">
        <v>70674.399966627738</v>
      </c>
      <c r="P589">
        <v>958880</v>
      </c>
      <c r="Q589">
        <v>3276636.79</v>
      </c>
      <c r="R589">
        <v>54674.39996662773</v>
      </c>
      <c r="S589" t="s">
        <v>65</v>
      </c>
      <c r="T589" t="s">
        <v>717</v>
      </c>
      <c r="U589" t="s">
        <v>717</v>
      </c>
      <c r="V589" t="s">
        <v>4131</v>
      </c>
      <c r="W589">
        <v>44424</v>
      </c>
      <c r="X589" t="s">
        <v>4832</v>
      </c>
      <c r="Y589" t="s">
        <v>6</v>
      </c>
      <c r="Z589" t="s">
        <v>17</v>
      </c>
      <c r="AA589" t="s">
        <v>717</v>
      </c>
      <c r="AB589" t="s">
        <v>2509</v>
      </c>
      <c r="AC589" t="s">
        <v>2571</v>
      </c>
      <c r="AD589" t="s">
        <v>717</v>
      </c>
      <c r="AE589" t="s">
        <v>4833</v>
      </c>
      <c r="AF589" t="s">
        <v>4834</v>
      </c>
      <c r="AG589" t="s">
        <v>4835</v>
      </c>
      <c r="AH589" t="s">
        <v>2552</v>
      </c>
      <c r="AI589" t="s">
        <v>2877</v>
      </c>
      <c r="AJ589" t="s">
        <v>3098</v>
      </c>
      <c r="AK589" t="s">
        <v>63</v>
      </c>
      <c r="AL589" t="s">
        <v>16</v>
      </c>
      <c r="AM589" t="s">
        <v>10</v>
      </c>
      <c r="AN589" t="s">
        <v>717</v>
      </c>
    </row>
    <row r="590" spans="1:40" hidden="1">
      <c r="A590">
        <v>588</v>
      </c>
      <c r="B590">
        <v>30</v>
      </c>
      <c r="C590" s="58">
        <v>44432</v>
      </c>
      <c r="D590" t="s">
        <v>27</v>
      </c>
      <c r="E590" t="s">
        <v>4409</v>
      </c>
      <c r="F590">
        <v>7</v>
      </c>
      <c r="G590">
        <v>8</v>
      </c>
      <c r="H590">
        <v>566</v>
      </c>
      <c r="I590">
        <v>2</v>
      </c>
      <c r="J590">
        <v>59.93</v>
      </c>
      <c r="K590" t="s">
        <v>25</v>
      </c>
      <c r="L590">
        <v>4264259.22</v>
      </c>
      <c r="M590">
        <v>0</v>
      </c>
      <c r="N590">
        <v>4264259.22</v>
      </c>
      <c r="O590">
        <v>71154</v>
      </c>
      <c r="P590">
        <v>958880</v>
      </c>
      <c r="Q590">
        <v>3305379.2199999997</v>
      </c>
      <c r="R590">
        <v>55153.999999999993</v>
      </c>
      <c r="S590" t="s">
        <v>65</v>
      </c>
      <c r="T590" t="s">
        <v>717</v>
      </c>
      <c r="U590" t="s">
        <v>717</v>
      </c>
      <c r="V590" t="s">
        <v>4131</v>
      </c>
      <c r="W590">
        <v>44425</v>
      </c>
      <c r="X590" t="s">
        <v>4836</v>
      </c>
      <c r="Y590" t="s">
        <v>6</v>
      </c>
      <c r="Z590" t="s">
        <v>17</v>
      </c>
      <c r="AA590" t="s">
        <v>717</v>
      </c>
      <c r="AB590" t="s">
        <v>2509</v>
      </c>
      <c r="AC590" t="s">
        <v>2571</v>
      </c>
      <c r="AD590" t="s">
        <v>717</v>
      </c>
      <c r="AE590" t="s">
        <v>4837</v>
      </c>
      <c r="AF590" t="s">
        <v>4838</v>
      </c>
      <c r="AG590" t="s">
        <v>4839</v>
      </c>
      <c r="AH590" t="s">
        <v>2616</v>
      </c>
      <c r="AI590" t="s">
        <v>2552</v>
      </c>
      <c r="AJ590" t="s">
        <v>3185</v>
      </c>
      <c r="AK590" t="s">
        <v>77</v>
      </c>
      <c r="AL590" t="s">
        <v>16</v>
      </c>
      <c r="AM590" t="s">
        <v>10</v>
      </c>
      <c r="AN590" t="s">
        <v>717</v>
      </c>
    </row>
    <row r="591" spans="1:40" hidden="1">
      <c r="A591">
        <v>589</v>
      </c>
      <c r="B591">
        <v>31</v>
      </c>
      <c r="C591" s="58">
        <v>44433</v>
      </c>
      <c r="D591" t="s">
        <v>27</v>
      </c>
      <c r="E591" t="s">
        <v>2506</v>
      </c>
      <c r="F591">
        <v>5</v>
      </c>
      <c r="G591">
        <v>10</v>
      </c>
      <c r="H591">
        <v>276</v>
      </c>
      <c r="I591">
        <v>0</v>
      </c>
      <c r="J591">
        <v>23.63</v>
      </c>
      <c r="K591" t="s">
        <v>9</v>
      </c>
      <c r="L591">
        <v>1414615</v>
      </c>
      <c r="M591">
        <v>15000</v>
      </c>
      <c r="N591">
        <v>1429615</v>
      </c>
      <c r="O591">
        <v>60500</v>
      </c>
      <c r="P591">
        <v>0</v>
      </c>
      <c r="Q591">
        <v>1429615</v>
      </c>
      <c r="R591">
        <v>60500</v>
      </c>
      <c r="S591" t="s">
        <v>2507</v>
      </c>
      <c r="T591" t="s">
        <v>717</v>
      </c>
      <c r="U591" t="s">
        <v>717</v>
      </c>
      <c r="V591" t="s">
        <v>717</v>
      </c>
      <c r="W591">
        <v>44418</v>
      </c>
      <c r="X591" t="s">
        <v>4840</v>
      </c>
      <c r="Y591" t="s">
        <v>2611</v>
      </c>
      <c r="Z591" t="s">
        <v>11</v>
      </c>
      <c r="AA591" t="s">
        <v>717</v>
      </c>
      <c r="AB591" t="s">
        <v>2509</v>
      </c>
      <c r="AC591" t="s">
        <v>118</v>
      </c>
      <c r="AD591">
        <v>44977</v>
      </c>
      <c r="AE591" t="s">
        <v>4841</v>
      </c>
      <c r="AF591" t="s">
        <v>4842</v>
      </c>
      <c r="AG591" t="s">
        <v>4843</v>
      </c>
      <c r="AH591" t="s">
        <v>2580</v>
      </c>
      <c r="AI591" t="s">
        <v>2552</v>
      </c>
      <c r="AJ591" t="s">
        <v>3921</v>
      </c>
      <c r="AK591" t="s">
        <v>73</v>
      </c>
      <c r="AL591" t="s">
        <v>717</v>
      </c>
      <c r="AM591" t="s">
        <v>10</v>
      </c>
      <c r="AN591" t="s">
        <v>717</v>
      </c>
    </row>
    <row r="592" spans="1:40" hidden="1">
      <c r="A592">
        <v>590</v>
      </c>
      <c r="B592">
        <v>32</v>
      </c>
      <c r="C592" s="58">
        <v>44433</v>
      </c>
      <c r="D592" t="s">
        <v>27</v>
      </c>
      <c r="E592" t="s">
        <v>4409</v>
      </c>
      <c r="F592">
        <v>6</v>
      </c>
      <c r="G592">
        <v>7</v>
      </c>
      <c r="H592">
        <v>557</v>
      </c>
      <c r="I592">
        <v>1</v>
      </c>
      <c r="J592">
        <v>37.11</v>
      </c>
      <c r="K592" t="s">
        <v>15</v>
      </c>
      <c r="L592">
        <v>2292202.92</v>
      </c>
      <c r="M592">
        <v>15000</v>
      </c>
      <c r="N592">
        <v>2307202.92</v>
      </c>
      <c r="O592">
        <v>62172</v>
      </c>
      <c r="P592">
        <v>204105</v>
      </c>
      <c r="Q592">
        <v>2103097.92</v>
      </c>
      <c r="R592">
        <v>56672</v>
      </c>
      <c r="S592" t="s">
        <v>2507</v>
      </c>
      <c r="T592" t="s">
        <v>717</v>
      </c>
      <c r="U592" t="s">
        <v>717</v>
      </c>
      <c r="V592" t="s">
        <v>717</v>
      </c>
      <c r="W592">
        <v>44418</v>
      </c>
      <c r="X592" t="s">
        <v>4844</v>
      </c>
      <c r="Y592" t="s">
        <v>2611</v>
      </c>
      <c r="Z592" t="s">
        <v>11</v>
      </c>
      <c r="AA592" t="s">
        <v>717</v>
      </c>
      <c r="AB592" t="s">
        <v>2509</v>
      </c>
      <c r="AC592" t="s">
        <v>118</v>
      </c>
      <c r="AD592">
        <v>45023</v>
      </c>
      <c r="AE592" t="s">
        <v>4845</v>
      </c>
      <c r="AF592" t="s">
        <v>4846</v>
      </c>
      <c r="AG592" t="s">
        <v>4847</v>
      </c>
      <c r="AH592" t="s">
        <v>2615</v>
      </c>
      <c r="AI592" t="s">
        <v>2552</v>
      </c>
      <c r="AJ592" t="s">
        <v>2895</v>
      </c>
      <c r="AK592" t="s">
        <v>73</v>
      </c>
      <c r="AL592" t="s">
        <v>717</v>
      </c>
      <c r="AM592" t="s">
        <v>10</v>
      </c>
      <c r="AN592" t="s">
        <v>717</v>
      </c>
    </row>
    <row r="593" spans="1:40" hidden="1">
      <c r="A593">
        <v>591</v>
      </c>
      <c r="B593">
        <v>33</v>
      </c>
      <c r="C593" s="58">
        <v>44434</v>
      </c>
      <c r="D593" t="s">
        <v>27</v>
      </c>
      <c r="E593" t="s">
        <v>4409</v>
      </c>
      <c r="F593">
        <v>4</v>
      </c>
      <c r="G593">
        <v>7</v>
      </c>
      <c r="H593">
        <v>555</v>
      </c>
      <c r="I593">
        <v>1</v>
      </c>
      <c r="J593">
        <v>40</v>
      </c>
      <c r="K593" t="s">
        <v>15</v>
      </c>
      <c r="L593">
        <v>2208760</v>
      </c>
      <c r="M593">
        <v>15000</v>
      </c>
      <c r="N593">
        <v>2223760</v>
      </c>
      <c r="O593">
        <v>55594</v>
      </c>
      <c r="P593">
        <v>220000</v>
      </c>
      <c r="Q593">
        <v>2003760</v>
      </c>
      <c r="R593">
        <v>50094</v>
      </c>
      <c r="S593" t="s">
        <v>2507</v>
      </c>
      <c r="T593" t="s">
        <v>2941</v>
      </c>
      <c r="U593">
        <v>20240</v>
      </c>
      <c r="V593" t="s">
        <v>717</v>
      </c>
      <c r="W593">
        <v>44415</v>
      </c>
      <c r="X593" t="s">
        <v>4848</v>
      </c>
      <c r="Y593" t="s">
        <v>6</v>
      </c>
      <c r="Z593" t="s">
        <v>11</v>
      </c>
      <c r="AA593" t="s">
        <v>717</v>
      </c>
      <c r="AB593" t="s">
        <v>2509</v>
      </c>
      <c r="AC593" t="s">
        <v>118</v>
      </c>
      <c r="AD593" t="s">
        <v>717</v>
      </c>
      <c r="AE593" t="s">
        <v>4849</v>
      </c>
      <c r="AF593" t="s">
        <v>4850</v>
      </c>
      <c r="AG593" t="s">
        <v>4851</v>
      </c>
      <c r="AH593" t="s">
        <v>2191</v>
      </c>
      <c r="AI593" t="s">
        <v>2802</v>
      </c>
      <c r="AJ593" t="s">
        <v>2514</v>
      </c>
      <c r="AK593" t="s">
        <v>20</v>
      </c>
      <c r="AL593" t="s">
        <v>717</v>
      </c>
      <c r="AM593" t="s">
        <v>10</v>
      </c>
      <c r="AN593" t="s">
        <v>717</v>
      </c>
    </row>
    <row r="594" spans="1:40" hidden="1">
      <c r="A594">
        <v>592</v>
      </c>
      <c r="B594">
        <v>34</v>
      </c>
      <c r="C594" s="58">
        <v>44434</v>
      </c>
      <c r="D594" t="s">
        <v>27</v>
      </c>
      <c r="E594" t="s">
        <v>4409</v>
      </c>
      <c r="F594">
        <v>5</v>
      </c>
      <c r="G594">
        <v>12</v>
      </c>
      <c r="H594">
        <v>596</v>
      </c>
      <c r="I594">
        <v>0</v>
      </c>
      <c r="J594">
        <v>23.63</v>
      </c>
      <c r="K594" t="s">
        <v>9</v>
      </c>
      <c r="L594">
        <v>1429615</v>
      </c>
      <c r="M594">
        <v>0</v>
      </c>
      <c r="N594">
        <v>1429615</v>
      </c>
      <c r="O594">
        <v>60500</v>
      </c>
      <c r="P594">
        <v>0</v>
      </c>
      <c r="Q594">
        <v>1429615</v>
      </c>
      <c r="R594">
        <v>60500</v>
      </c>
      <c r="S594" t="s">
        <v>2507</v>
      </c>
      <c r="T594" t="s">
        <v>717</v>
      </c>
      <c r="U594" t="s">
        <v>717</v>
      </c>
      <c r="V594" t="s">
        <v>717</v>
      </c>
      <c r="W594">
        <v>44431</v>
      </c>
      <c r="X594" t="s">
        <v>4852</v>
      </c>
      <c r="Y594" t="s">
        <v>6</v>
      </c>
      <c r="Z594" t="s">
        <v>17</v>
      </c>
      <c r="AA594" t="s">
        <v>717</v>
      </c>
      <c r="AB594" t="s">
        <v>2509</v>
      </c>
      <c r="AC594" t="s">
        <v>118</v>
      </c>
      <c r="AD594" t="s">
        <v>717</v>
      </c>
      <c r="AE594" t="s">
        <v>4853</v>
      </c>
      <c r="AF594" t="s">
        <v>4854</v>
      </c>
      <c r="AG594" t="s">
        <v>4855</v>
      </c>
      <c r="AH594" t="s">
        <v>2615</v>
      </c>
      <c r="AI594" t="s">
        <v>2538</v>
      </c>
      <c r="AJ594" t="s">
        <v>2895</v>
      </c>
      <c r="AK594" t="s">
        <v>20</v>
      </c>
      <c r="AL594" t="s">
        <v>717</v>
      </c>
      <c r="AM594" t="s">
        <v>10</v>
      </c>
      <c r="AN594" t="s">
        <v>717</v>
      </c>
    </row>
    <row r="595" spans="1:40" hidden="1">
      <c r="A595">
        <v>593</v>
      </c>
      <c r="B595">
        <v>35</v>
      </c>
      <c r="C595" s="58">
        <v>44435</v>
      </c>
      <c r="D595" t="s">
        <v>27</v>
      </c>
      <c r="E595" t="s">
        <v>4409</v>
      </c>
      <c r="F595">
        <v>1</v>
      </c>
      <c r="G595">
        <v>8</v>
      </c>
      <c r="H595">
        <v>560</v>
      </c>
      <c r="I595">
        <v>3</v>
      </c>
      <c r="J595">
        <v>82.27</v>
      </c>
      <c r="K595" t="s">
        <v>9</v>
      </c>
      <c r="L595">
        <v>3937908.96</v>
      </c>
      <c r="M595">
        <v>15000</v>
      </c>
      <c r="N595">
        <v>3952908.96</v>
      </c>
      <c r="O595">
        <v>48048</v>
      </c>
      <c r="P595">
        <v>0</v>
      </c>
      <c r="Q595">
        <v>3952908.96</v>
      </c>
      <c r="R595">
        <v>48048</v>
      </c>
      <c r="S595" t="s">
        <v>65</v>
      </c>
      <c r="T595" t="s">
        <v>717</v>
      </c>
      <c r="U595" t="s">
        <v>717</v>
      </c>
      <c r="V595" t="s">
        <v>4131</v>
      </c>
      <c r="W595">
        <v>44421</v>
      </c>
      <c r="X595" t="s">
        <v>4856</v>
      </c>
      <c r="Y595" t="s">
        <v>6</v>
      </c>
      <c r="Z595" t="s">
        <v>17</v>
      </c>
      <c r="AA595" t="s">
        <v>717</v>
      </c>
      <c r="AB595" t="s">
        <v>2509</v>
      </c>
      <c r="AC595" t="s">
        <v>2571</v>
      </c>
      <c r="AD595" t="s">
        <v>717</v>
      </c>
      <c r="AE595" t="s">
        <v>4857</v>
      </c>
      <c r="AF595" t="s">
        <v>4858</v>
      </c>
      <c r="AG595" t="s">
        <v>4859</v>
      </c>
      <c r="AH595" t="s">
        <v>2616</v>
      </c>
      <c r="AI595" t="s">
        <v>2552</v>
      </c>
      <c r="AJ595" t="s">
        <v>3185</v>
      </c>
      <c r="AK595" t="s">
        <v>73</v>
      </c>
      <c r="AL595" t="s">
        <v>16</v>
      </c>
      <c r="AM595" t="s">
        <v>10</v>
      </c>
      <c r="AN595" t="s">
        <v>717</v>
      </c>
    </row>
    <row r="596" spans="1:40" hidden="1">
      <c r="A596">
        <v>594</v>
      </c>
      <c r="B596">
        <v>36</v>
      </c>
      <c r="C596" s="58">
        <v>44435</v>
      </c>
      <c r="D596" t="s">
        <v>27</v>
      </c>
      <c r="E596" t="s">
        <v>4409</v>
      </c>
      <c r="F596">
        <v>6</v>
      </c>
      <c r="G596">
        <v>10</v>
      </c>
      <c r="H596">
        <v>581</v>
      </c>
      <c r="I596">
        <v>1</v>
      </c>
      <c r="J596">
        <v>37.11</v>
      </c>
      <c r="K596" t="s">
        <v>15</v>
      </c>
      <c r="L596">
        <v>2307202.92</v>
      </c>
      <c r="M596">
        <v>0</v>
      </c>
      <c r="N596">
        <v>2307202.92</v>
      </c>
      <c r="O596">
        <v>62172</v>
      </c>
      <c r="P596">
        <v>204105</v>
      </c>
      <c r="Q596">
        <v>2103097.92</v>
      </c>
      <c r="R596">
        <v>56672</v>
      </c>
      <c r="S596" t="s">
        <v>65</v>
      </c>
      <c r="T596" t="s">
        <v>717</v>
      </c>
      <c r="U596" t="s">
        <v>717</v>
      </c>
      <c r="V596" t="s">
        <v>717</v>
      </c>
      <c r="W596">
        <v>44430</v>
      </c>
      <c r="X596" t="s">
        <v>4860</v>
      </c>
      <c r="Y596" t="s">
        <v>6</v>
      </c>
      <c r="Z596" t="s">
        <v>17</v>
      </c>
      <c r="AA596" t="s">
        <v>717</v>
      </c>
      <c r="AB596" t="s">
        <v>2509</v>
      </c>
      <c r="AC596" t="s">
        <v>2571</v>
      </c>
      <c r="AD596" t="s">
        <v>717</v>
      </c>
      <c r="AE596" t="s">
        <v>4861</v>
      </c>
      <c r="AF596" t="s">
        <v>4862</v>
      </c>
      <c r="AG596" t="s">
        <v>4863</v>
      </c>
      <c r="AH596" t="s">
        <v>2191</v>
      </c>
      <c r="AI596" t="s">
        <v>2673</v>
      </c>
      <c r="AJ596" t="s">
        <v>2514</v>
      </c>
      <c r="AK596" t="s">
        <v>471</v>
      </c>
      <c r="AL596" t="s">
        <v>16</v>
      </c>
      <c r="AM596" t="s">
        <v>10</v>
      </c>
      <c r="AN596" t="s">
        <v>717</v>
      </c>
    </row>
    <row r="597" spans="1:40" hidden="1">
      <c r="A597">
        <v>595</v>
      </c>
      <c r="B597">
        <v>37</v>
      </c>
      <c r="C597" s="58">
        <v>44435</v>
      </c>
      <c r="D597" t="s">
        <v>27</v>
      </c>
      <c r="E597" t="s">
        <v>2506</v>
      </c>
      <c r="F597">
        <v>8</v>
      </c>
      <c r="G597">
        <v>3</v>
      </c>
      <c r="H597">
        <v>223</v>
      </c>
      <c r="I597">
        <v>2</v>
      </c>
      <c r="J597">
        <v>55.8</v>
      </c>
      <c r="K597" t="s">
        <v>9</v>
      </c>
      <c r="L597">
        <v>2943784.8</v>
      </c>
      <c r="M597">
        <v>0</v>
      </c>
      <c r="N597">
        <v>2943784.8</v>
      </c>
      <c r="O597">
        <v>52756</v>
      </c>
      <c r="P597">
        <v>0</v>
      </c>
      <c r="Q597">
        <v>2943784.8</v>
      </c>
      <c r="R597">
        <v>52756</v>
      </c>
      <c r="S597" t="s">
        <v>65</v>
      </c>
      <c r="T597" t="s">
        <v>717</v>
      </c>
      <c r="U597" t="s">
        <v>717</v>
      </c>
      <c r="V597" t="s">
        <v>4131</v>
      </c>
      <c r="W597">
        <v>44432</v>
      </c>
      <c r="X597" t="s">
        <v>4864</v>
      </c>
      <c r="Y597" t="s">
        <v>6</v>
      </c>
      <c r="Z597" t="s">
        <v>17</v>
      </c>
      <c r="AA597" t="s">
        <v>717</v>
      </c>
      <c r="AB597" t="s">
        <v>2509</v>
      </c>
      <c r="AC597" t="s">
        <v>2571</v>
      </c>
      <c r="AD597" t="s">
        <v>717</v>
      </c>
      <c r="AE597" t="s">
        <v>4865</v>
      </c>
      <c r="AF597" t="s">
        <v>4866</v>
      </c>
      <c r="AG597" t="s">
        <v>4867</v>
      </c>
      <c r="AH597" t="s">
        <v>2191</v>
      </c>
      <c r="AI597" t="s">
        <v>2673</v>
      </c>
      <c r="AJ597" t="s">
        <v>2514</v>
      </c>
      <c r="AK597" t="s">
        <v>471</v>
      </c>
      <c r="AL597" t="s">
        <v>16</v>
      </c>
      <c r="AM597" t="s">
        <v>10</v>
      </c>
      <c r="AN597" t="s">
        <v>717</v>
      </c>
    </row>
    <row r="598" spans="1:40" hidden="1">
      <c r="A598">
        <v>596</v>
      </c>
      <c r="B598">
        <v>38</v>
      </c>
      <c r="C598" s="58">
        <v>44435</v>
      </c>
      <c r="D598" t="s">
        <v>27</v>
      </c>
      <c r="E598" t="s">
        <v>4409</v>
      </c>
      <c r="F598">
        <v>7</v>
      </c>
      <c r="G598">
        <v>4</v>
      </c>
      <c r="H598">
        <v>534</v>
      </c>
      <c r="I598">
        <v>2</v>
      </c>
      <c r="J598">
        <v>59.93</v>
      </c>
      <c r="K598" t="s">
        <v>15</v>
      </c>
      <c r="L598">
        <v>3256596.2</v>
      </c>
      <c r="M598">
        <v>0</v>
      </c>
      <c r="N598">
        <v>3256596.2</v>
      </c>
      <c r="O598">
        <v>54340</v>
      </c>
      <c r="P598">
        <v>329615</v>
      </c>
      <c r="Q598">
        <v>2926981.2</v>
      </c>
      <c r="R598">
        <v>48840</v>
      </c>
      <c r="S598" t="s">
        <v>65</v>
      </c>
      <c r="T598" t="s">
        <v>717</v>
      </c>
      <c r="U598" t="s">
        <v>717</v>
      </c>
      <c r="V598" t="s">
        <v>717</v>
      </c>
      <c r="W598">
        <v>44432</v>
      </c>
      <c r="X598" t="s">
        <v>4868</v>
      </c>
      <c r="Y598" t="s">
        <v>6</v>
      </c>
      <c r="Z598" t="s">
        <v>17</v>
      </c>
      <c r="AA598" t="s">
        <v>717</v>
      </c>
      <c r="AB598" t="s">
        <v>2509</v>
      </c>
      <c r="AC598" t="s">
        <v>2564</v>
      </c>
      <c r="AD598" t="s">
        <v>717</v>
      </c>
      <c r="AE598" t="s">
        <v>4869</v>
      </c>
      <c r="AF598" t="s">
        <v>4870</v>
      </c>
      <c r="AG598" t="s">
        <v>717</v>
      </c>
      <c r="AH598" t="s">
        <v>2191</v>
      </c>
      <c r="AI598" t="s">
        <v>2552</v>
      </c>
      <c r="AJ598" t="s">
        <v>2514</v>
      </c>
      <c r="AK598" t="s">
        <v>73</v>
      </c>
      <c r="AL598" t="s">
        <v>16</v>
      </c>
      <c r="AM598" t="s">
        <v>10</v>
      </c>
      <c r="AN598" t="s">
        <v>717</v>
      </c>
    </row>
    <row r="599" spans="1:40" hidden="1">
      <c r="A599">
        <v>597</v>
      </c>
      <c r="B599">
        <v>39</v>
      </c>
      <c r="C599" s="58">
        <v>44435</v>
      </c>
      <c r="D599" t="s">
        <v>27</v>
      </c>
      <c r="E599" t="s">
        <v>4409</v>
      </c>
      <c r="F599">
        <v>6</v>
      </c>
      <c r="G599">
        <v>9</v>
      </c>
      <c r="H599">
        <v>573</v>
      </c>
      <c r="I599">
        <v>1</v>
      </c>
      <c r="J599">
        <v>37.11</v>
      </c>
      <c r="K599" t="s">
        <v>15</v>
      </c>
      <c r="L599">
        <v>2307202.92</v>
      </c>
      <c r="M599">
        <v>0</v>
      </c>
      <c r="N599">
        <v>2307202.92</v>
      </c>
      <c r="O599">
        <v>62172</v>
      </c>
      <c r="P599">
        <v>204105</v>
      </c>
      <c r="Q599">
        <v>2103097.92</v>
      </c>
      <c r="R599">
        <v>56672</v>
      </c>
      <c r="S599" t="s">
        <v>65</v>
      </c>
      <c r="T599" t="s">
        <v>717</v>
      </c>
      <c r="U599" t="s">
        <v>717</v>
      </c>
      <c r="V599" t="s">
        <v>717</v>
      </c>
      <c r="W599">
        <v>44433</v>
      </c>
      <c r="X599" t="s">
        <v>4871</v>
      </c>
      <c r="Y599" t="s">
        <v>6</v>
      </c>
      <c r="Z599" t="s">
        <v>17</v>
      </c>
      <c r="AA599" t="s">
        <v>717</v>
      </c>
      <c r="AB599" t="s">
        <v>2509</v>
      </c>
      <c r="AC599" t="s">
        <v>2571</v>
      </c>
      <c r="AD599" t="s">
        <v>717</v>
      </c>
      <c r="AE599" t="s">
        <v>4872</v>
      </c>
      <c r="AF599" t="s">
        <v>4873</v>
      </c>
      <c r="AG599" t="s">
        <v>4874</v>
      </c>
      <c r="AH599" t="s">
        <v>2552</v>
      </c>
      <c r="AI599" t="s">
        <v>2547</v>
      </c>
      <c r="AJ599" t="s">
        <v>2855</v>
      </c>
      <c r="AK599" t="s">
        <v>73</v>
      </c>
      <c r="AL599" t="s">
        <v>16</v>
      </c>
      <c r="AM599" t="s">
        <v>10</v>
      </c>
      <c r="AN599" t="s">
        <v>717</v>
      </c>
    </row>
    <row r="600" spans="1:40" hidden="1">
      <c r="A600">
        <v>598</v>
      </c>
      <c r="B600">
        <v>40</v>
      </c>
      <c r="C600" s="58">
        <v>44435</v>
      </c>
      <c r="D600" t="s">
        <v>27</v>
      </c>
      <c r="E600" t="s">
        <v>4409</v>
      </c>
      <c r="F600">
        <v>7</v>
      </c>
      <c r="G600">
        <v>5</v>
      </c>
      <c r="H600">
        <v>542</v>
      </c>
      <c r="I600">
        <v>2</v>
      </c>
      <c r="J600">
        <v>59.93</v>
      </c>
      <c r="K600" t="s">
        <v>9</v>
      </c>
      <c r="L600">
        <v>3305379.22</v>
      </c>
      <c r="M600">
        <v>0</v>
      </c>
      <c r="N600">
        <v>3305379.22</v>
      </c>
      <c r="O600">
        <v>55154.000000000007</v>
      </c>
      <c r="P600">
        <v>0</v>
      </c>
      <c r="Q600">
        <v>3305379.22</v>
      </c>
      <c r="R600">
        <v>55154.000000000007</v>
      </c>
      <c r="S600" t="s">
        <v>65</v>
      </c>
      <c r="T600" t="s">
        <v>717</v>
      </c>
      <c r="U600" t="s">
        <v>717</v>
      </c>
      <c r="V600" t="s">
        <v>4131</v>
      </c>
      <c r="W600">
        <v>44433</v>
      </c>
      <c r="X600" t="s">
        <v>4875</v>
      </c>
      <c r="Y600" t="s">
        <v>6</v>
      </c>
      <c r="Z600" t="s">
        <v>17</v>
      </c>
      <c r="AA600" t="s">
        <v>717</v>
      </c>
      <c r="AB600" t="s">
        <v>2509</v>
      </c>
      <c r="AC600" t="s">
        <v>2571</v>
      </c>
      <c r="AD600" t="s">
        <v>717</v>
      </c>
      <c r="AE600" t="s">
        <v>4876</v>
      </c>
      <c r="AF600" t="s">
        <v>4877</v>
      </c>
      <c r="AG600" t="s">
        <v>4878</v>
      </c>
      <c r="AH600" t="s">
        <v>2616</v>
      </c>
      <c r="AI600" t="s">
        <v>2552</v>
      </c>
      <c r="AJ600" t="s">
        <v>3185</v>
      </c>
      <c r="AK600" t="s">
        <v>407</v>
      </c>
      <c r="AL600" t="s">
        <v>16</v>
      </c>
      <c r="AM600" t="s">
        <v>10</v>
      </c>
      <c r="AN600" t="s">
        <v>717</v>
      </c>
    </row>
    <row r="601" spans="1:40" hidden="1">
      <c r="A601">
        <v>599</v>
      </c>
      <c r="B601">
        <v>41</v>
      </c>
      <c r="C601" s="58">
        <v>44438</v>
      </c>
      <c r="D601" t="s">
        <v>27</v>
      </c>
      <c r="E601" t="s">
        <v>4409</v>
      </c>
      <c r="F601">
        <v>8</v>
      </c>
      <c r="G601">
        <v>8</v>
      </c>
      <c r="H601">
        <v>567</v>
      </c>
      <c r="I601">
        <v>2</v>
      </c>
      <c r="J601">
        <v>55.8</v>
      </c>
      <c r="K601" t="s">
        <v>9</v>
      </c>
      <c r="L601">
        <v>2870351.04</v>
      </c>
      <c r="M601">
        <v>15000</v>
      </c>
      <c r="N601">
        <v>2885351.04</v>
      </c>
      <c r="O601">
        <v>51708.800000000003</v>
      </c>
      <c r="P601">
        <v>0</v>
      </c>
      <c r="Q601">
        <v>2885351.04</v>
      </c>
      <c r="R601">
        <v>51708.800000000003</v>
      </c>
      <c r="S601" t="s">
        <v>65</v>
      </c>
      <c r="T601" t="s">
        <v>717</v>
      </c>
      <c r="U601" t="s">
        <v>717</v>
      </c>
      <c r="V601" t="s">
        <v>4131</v>
      </c>
      <c r="W601">
        <v>44431</v>
      </c>
      <c r="X601" t="s">
        <v>4879</v>
      </c>
      <c r="Y601" t="s">
        <v>6</v>
      </c>
      <c r="Z601" t="s">
        <v>17</v>
      </c>
      <c r="AA601" t="s">
        <v>717</v>
      </c>
      <c r="AB601" t="s">
        <v>2509</v>
      </c>
      <c r="AC601" t="s">
        <v>2571</v>
      </c>
      <c r="AD601" t="s">
        <v>717</v>
      </c>
      <c r="AE601" t="s">
        <v>4880</v>
      </c>
      <c r="AF601" t="s">
        <v>4881</v>
      </c>
      <c r="AG601" t="s">
        <v>4882</v>
      </c>
      <c r="AH601" t="s">
        <v>2191</v>
      </c>
      <c r="AI601" t="s">
        <v>2600</v>
      </c>
      <c r="AJ601" t="s">
        <v>3921</v>
      </c>
      <c r="AK601" t="s">
        <v>20</v>
      </c>
      <c r="AL601" t="s">
        <v>16</v>
      </c>
      <c r="AM601" t="s">
        <v>10</v>
      </c>
      <c r="AN601" t="s">
        <v>717</v>
      </c>
    </row>
    <row r="602" spans="1:40" hidden="1">
      <c r="A602">
        <v>600</v>
      </c>
      <c r="B602">
        <v>42</v>
      </c>
      <c r="C602" s="58">
        <v>44438</v>
      </c>
      <c r="D602" t="s">
        <v>27</v>
      </c>
      <c r="E602" t="s">
        <v>4409</v>
      </c>
      <c r="F602">
        <v>7</v>
      </c>
      <c r="G602">
        <v>7</v>
      </c>
      <c r="H602">
        <v>558</v>
      </c>
      <c r="I602">
        <v>2</v>
      </c>
      <c r="J602">
        <v>59.93</v>
      </c>
      <c r="K602" t="s">
        <v>9</v>
      </c>
      <c r="L602">
        <v>2911981.2</v>
      </c>
      <c r="M602">
        <v>15000</v>
      </c>
      <c r="N602">
        <v>2926981.2</v>
      </c>
      <c r="O602">
        <v>48840</v>
      </c>
      <c r="P602">
        <v>0</v>
      </c>
      <c r="Q602">
        <v>2926981.2</v>
      </c>
      <c r="R602">
        <v>48840</v>
      </c>
      <c r="S602" t="s">
        <v>65</v>
      </c>
      <c r="T602" t="s">
        <v>717</v>
      </c>
      <c r="U602" t="s">
        <v>717</v>
      </c>
      <c r="V602" t="s">
        <v>717</v>
      </c>
      <c r="W602">
        <v>44431</v>
      </c>
      <c r="X602" t="s">
        <v>4883</v>
      </c>
      <c r="Y602" t="s">
        <v>6</v>
      </c>
      <c r="Z602" t="s">
        <v>17</v>
      </c>
      <c r="AA602" t="s">
        <v>717</v>
      </c>
      <c r="AB602" t="s">
        <v>2509</v>
      </c>
      <c r="AC602" t="s">
        <v>2571</v>
      </c>
      <c r="AD602" t="s">
        <v>717</v>
      </c>
      <c r="AE602" t="s">
        <v>4884</v>
      </c>
      <c r="AF602" t="s">
        <v>4885</v>
      </c>
      <c r="AG602" t="s">
        <v>4886</v>
      </c>
      <c r="AH602" t="s">
        <v>2191</v>
      </c>
      <c r="AI602" t="s">
        <v>2538</v>
      </c>
      <c r="AJ602" t="s">
        <v>2569</v>
      </c>
      <c r="AK602" t="s">
        <v>77</v>
      </c>
      <c r="AL602" t="s">
        <v>16</v>
      </c>
      <c r="AM602" t="s">
        <v>10</v>
      </c>
      <c r="AN602" t="s">
        <v>717</v>
      </c>
    </row>
    <row r="603" spans="1:40" hidden="1">
      <c r="A603">
        <v>601</v>
      </c>
      <c r="B603">
        <v>43</v>
      </c>
      <c r="C603" s="58">
        <v>44438</v>
      </c>
      <c r="D603" t="s">
        <v>27</v>
      </c>
      <c r="E603" t="s">
        <v>2581</v>
      </c>
      <c r="F603">
        <v>6</v>
      </c>
      <c r="G603">
        <v>5</v>
      </c>
      <c r="H603">
        <v>421</v>
      </c>
      <c r="I603">
        <v>1</v>
      </c>
      <c r="J603">
        <v>37.11</v>
      </c>
      <c r="K603" t="s">
        <v>9</v>
      </c>
      <c r="L603">
        <v>2103097.92</v>
      </c>
      <c r="M603">
        <v>0</v>
      </c>
      <c r="N603">
        <v>2103097.92</v>
      </c>
      <c r="O603">
        <v>56672</v>
      </c>
      <c r="P603">
        <v>0</v>
      </c>
      <c r="Q603">
        <v>2103097.92</v>
      </c>
      <c r="R603">
        <v>56672</v>
      </c>
      <c r="S603" t="s">
        <v>65</v>
      </c>
      <c r="T603" t="s">
        <v>717</v>
      </c>
      <c r="U603" t="s">
        <v>717</v>
      </c>
      <c r="V603" t="s">
        <v>717</v>
      </c>
      <c r="W603">
        <v>44433</v>
      </c>
      <c r="X603" t="s">
        <v>4887</v>
      </c>
      <c r="Y603" t="s">
        <v>6</v>
      </c>
      <c r="Z603" t="s">
        <v>17</v>
      </c>
      <c r="AA603" t="s">
        <v>717</v>
      </c>
      <c r="AB603" t="s">
        <v>2509</v>
      </c>
      <c r="AC603" t="s">
        <v>2564</v>
      </c>
      <c r="AD603" t="s">
        <v>717</v>
      </c>
      <c r="AE603" t="s">
        <v>4888</v>
      </c>
      <c r="AF603" t="s">
        <v>4889</v>
      </c>
      <c r="AG603" t="s">
        <v>4890</v>
      </c>
      <c r="AH603" t="s">
        <v>2191</v>
      </c>
      <c r="AI603" t="s">
        <v>2552</v>
      </c>
      <c r="AJ603" t="s">
        <v>2514</v>
      </c>
      <c r="AK603" t="s">
        <v>77</v>
      </c>
      <c r="AL603" t="s">
        <v>16</v>
      </c>
      <c r="AM603" t="s">
        <v>10</v>
      </c>
      <c r="AN603" t="s">
        <v>717</v>
      </c>
    </row>
    <row r="604" spans="1:40" hidden="1">
      <c r="A604">
        <v>602</v>
      </c>
      <c r="B604">
        <v>44</v>
      </c>
      <c r="C604" s="58">
        <v>44439</v>
      </c>
      <c r="D604" t="s">
        <v>121</v>
      </c>
      <c r="E604" t="s">
        <v>2515</v>
      </c>
      <c r="F604">
        <v>3</v>
      </c>
      <c r="G604">
        <v>17</v>
      </c>
      <c r="H604">
        <v>108</v>
      </c>
      <c r="I604">
        <v>3</v>
      </c>
      <c r="J604">
        <v>76.56</v>
      </c>
      <c r="K604" t="s">
        <v>9</v>
      </c>
      <c r="L604">
        <v>4104153.47</v>
      </c>
      <c r="M604">
        <v>15000</v>
      </c>
      <c r="N604">
        <v>4119153.47</v>
      </c>
      <c r="O604">
        <v>53802.945010449323</v>
      </c>
      <c r="P604">
        <v>0</v>
      </c>
      <c r="Q604">
        <v>4119153.47</v>
      </c>
      <c r="R604">
        <v>53802.945010449323</v>
      </c>
      <c r="S604" t="s">
        <v>65</v>
      </c>
      <c r="T604" t="s">
        <v>717</v>
      </c>
      <c r="U604" t="s">
        <v>717</v>
      </c>
      <c r="V604" t="s">
        <v>4131</v>
      </c>
      <c r="W604">
        <v>44421</v>
      </c>
      <c r="X604" t="s">
        <v>4891</v>
      </c>
      <c r="Y604" t="s">
        <v>6</v>
      </c>
      <c r="Z604" t="s">
        <v>17</v>
      </c>
      <c r="AA604" t="s">
        <v>717</v>
      </c>
      <c r="AB604" t="s">
        <v>2509</v>
      </c>
      <c r="AC604" t="s">
        <v>2571</v>
      </c>
      <c r="AD604" t="s">
        <v>717</v>
      </c>
      <c r="AE604" t="s">
        <v>4892</v>
      </c>
      <c r="AF604" t="s">
        <v>4893</v>
      </c>
      <c r="AG604" t="s">
        <v>4894</v>
      </c>
      <c r="AH604" t="s">
        <v>2191</v>
      </c>
      <c r="AI604" t="s">
        <v>2847</v>
      </c>
      <c r="AJ604" t="s">
        <v>2514</v>
      </c>
      <c r="AK604" t="s">
        <v>73</v>
      </c>
      <c r="AL604" t="s">
        <v>16</v>
      </c>
      <c r="AM604" t="s">
        <v>10</v>
      </c>
      <c r="AN604" t="s">
        <v>717</v>
      </c>
    </row>
    <row r="605" spans="1:40" hidden="1">
      <c r="A605">
        <v>603</v>
      </c>
      <c r="B605">
        <v>45</v>
      </c>
      <c r="C605" s="58">
        <v>44439</v>
      </c>
      <c r="D605" t="s">
        <v>121</v>
      </c>
      <c r="E605" t="s">
        <v>2506</v>
      </c>
      <c r="F605">
        <v>9</v>
      </c>
      <c r="G605">
        <v>5</v>
      </c>
      <c r="H605">
        <v>203</v>
      </c>
      <c r="I605">
        <v>2</v>
      </c>
      <c r="J605">
        <v>60.3</v>
      </c>
      <c r="K605" t="s">
        <v>15</v>
      </c>
      <c r="L605">
        <v>3492901.25</v>
      </c>
      <c r="M605">
        <v>15000</v>
      </c>
      <c r="N605">
        <v>3507901.25</v>
      </c>
      <c r="O605">
        <v>58174.150082918743</v>
      </c>
      <c r="P605">
        <v>331650</v>
      </c>
      <c r="Q605">
        <v>3176251.25</v>
      </c>
      <c r="R605">
        <v>52674.150082918743</v>
      </c>
      <c r="S605" t="s">
        <v>65</v>
      </c>
      <c r="T605" t="s">
        <v>717</v>
      </c>
      <c r="U605" t="s">
        <v>717</v>
      </c>
      <c r="V605" t="s">
        <v>717</v>
      </c>
      <c r="W605">
        <v>44424</v>
      </c>
      <c r="X605" t="s">
        <v>4895</v>
      </c>
      <c r="Y605" t="s">
        <v>6</v>
      </c>
      <c r="Z605" t="s">
        <v>11</v>
      </c>
      <c r="AA605" t="s">
        <v>717</v>
      </c>
      <c r="AB605" t="s">
        <v>2509</v>
      </c>
      <c r="AC605" t="s">
        <v>3862</v>
      </c>
      <c r="AD605" t="s">
        <v>717</v>
      </c>
      <c r="AE605" t="s">
        <v>4896</v>
      </c>
      <c r="AF605" t="s">
        <v>4897</v>
      </c>
      <c r="AG605" t="s">
        <v>4898</v>
      </c>
      <c r="AH605" t="s">
        <v>2615</v>
      </c>
      <c r="AI605" t="s">
        <v>2552</v>
      </c>
      <c r="AJ605" t="s">
        <v>3289</v>
      </c>
      <c r="AK605" t="s">
        <v>63</v>
      </c>
      <c r="AL605" t="s">
        <v>16</v>
      </c>
      <c r="AM605" t="s">
        <v>10</v>
      </c>
      <c r="AN605" t="s">
        <v>717</v>
      </c>
    </row>
    <row r="606" spans="1:40" hidden="1">
      <c r="A606">
        <v>604</v>
      </c>
      <c r="B606">
        <v>46</v>
      </c>
      <c r="C606" s="58">
        <v>44439</v>
      </c>
      <c r="D606" t="s">
        <v>121</v>
      </c>
      <c r="E606" t="s">
        <v>2515</v>
      </c>
      <c r="F606">
        <v>5</v>
      </c>
      <c r="G606">
        <v>7</v>
      </c>
      <c r="H606">
        <v>40</v>
      </c>
      <c r="I606">
        <v>1</v>
      </c>
      <c r="J606">
        <v>36.42</v>
      </c>
      <c r="K606" t="s">
        <v>25</v>
      </c>
      <c r="L606">
        <v>3055550.56</v>
      </c>
      <c r="M606">
        <v>0</v>
      </c>
      <c r="N606">
        <v>3055550.56</v>
      </c>
      <c r="O606">
        <v>83897.599121361884</v>
      </c>
      <c r="P606">
        <v>582720</v>
      </c>
      <c r="Q606">
        <v>2472830.56</v>
      </c>
      <c r="R606">
        <v>67897.599121361884</v>
      </c>
      <c r="S606" t="s">
        <v>65</v>
      </c>
      <c r="T606" t="s">
        <v>717</v>
      </c>
      <c r="U606" t="s">
        <v>717</v>
      </c>
      <c r="V606" t="s">
        <v>717</v>
      </c>
      <c r="W606">
        <v>44435</v>
      </c>
      <c r="X606" t="s">
        <v>4899</v>
      </c>
      <c r="Y606" t="s">
        <v>6</v>
      </c>
      <c r="Z606" t="s">
        <v>11</v>
      </c>
      <c r="AA606" t="s">
        <v>717</v>
      </c>
      <c r="AB606" t="s">
        <v>2509</v>
      </c>
      <c r="AC606" t="s">
        <v>4900</v>
      </c>
      <c r="AD606" t="s">
        <v>717</v>
      </c>
      <c r="AE606" t="s">
        <v>4901</v>
      </c>
      <c r="AF606" t="s">
        <v>4902</v>
      </c>
      <c r="AG606" t="s">
        <v>4903</v>
      </c>
      <c r="AH606" t="s">
        <v>2191</v>
      </c>
      <c r="AI606" t="s">
        <v>2552</v>
      </c>
      <c r="AJ606" t="s">
        <v>2514</v>
      </c>
      <c r="AK606" t="s">
        <v>77</v>
      </c>
      <c r="AL606" t="s">
        <v>16</v>
      </c>
      <c r="AM606" t="s">
        <v>10</v>
      </c>
      <c r="AN606" t="s">
        <v>717</v>
      </c>
    </row>
    <row r="607" spans="1:40" hidden="1">
      <c r="A607">
        <v>605</v>
      </c>
      <c r="B607">
        <v>47</v>
      </c>
      <c r="C607" s="58">
        <v>44439</v>
      </c>
      <c r="D607" t="s">
        <v>27</v>
      </c>
      <c r="E607" t="s">
        <v>2581</v>
      </c>
      <c r="F607">
        <v>2</v>
      </c>
      <c r="G607">
        <v>5</v>
      </c>
      <c r="H607">
        <v>417</v>
      </c>
      <c r="I607">
        <v>1</v>
      </c>
      <c r="J607">
        <v>37.159999999999997</v>
      </c>
      <c r="K607" t="s">
        <v>9</v>
      </c>
      <c r="L607">
        <v>2197493.7599999998</v>
      </c>
      <c r="M607">
        <v>0</v>
      </c>
      <c r="N607">
        <v>2197493.7599999998</v>
      </c>
      <c r="O607">
        <v>59136</v>
      </c>
      <c r="P607">
        <v>0</v>
      </c>
      <c r="Q607">
        <v>2197493.7599999998</v>
      </c>
      <c r="R607">
        <v>59136</v>
      </c>
      <c r="S607" t="s">
        <v>130</v>
      </c>
      <c r="T607" t="s">
        <v>717</v>
      </c>
      <c r="U607" t="s">
        <v>717</v>
      </c>
      <c r="V607" t="s">
        <v>717</v>
      </c>
      <c r="W607">
        <v>44437</v>
      </c>
      <c r="X607" t="s">
        <v>4904</v>
      </c>
      <c r="Y607" t="s">
        <v>6</v>
      </c>
      <c r="Z607" t="s">
        <v>17</v>
      </c>
      <c r="AA607" t="s">
        <v>717</v>
      </c>
      <c r="AB607" t="s">
        <v>2509</v>
      </c>
      <c r="AC607" t="s">
        <v>118</v>
      </c>
      <c r="AD607" t="s">
        <v>717</v>
      </c>
      <c r="AE607" t="s">
        <v>4905</v>
      </c>
      <c r="AF607" t="s">
        <v>4906</v>
      </c>
      <c r="AG607" t="s">
        <v>4907</v>
      </c>
      <c r="AH607" t="s">
        <v>2615</v>
      </c>
      <c r="AI607" t="s">
        <v>2521</v>
      </c>
      <c r="AJ607" t="s">
        <v>2895</v>
      </c>
      <c r="AK607" t="s">
        <v>407</v>
      </c>
      <c r="AL607" t="s">
        <v>717</v>
      </c>
      <c r="AM607" t="s">
        <v>10</v>
      </c>
      <c r="AN607" t="s">
        <v>717</v>
      </c>
    </row>
    <row r="608" spans="1:40" hidden="1">
      <c r="A608">
        <v>606</v>
      </c>
      <c r="B608">
        <v>48</v>
      </c>
      <c r="C608" s="58">
        <v>44439</v>
      </c>
      <c r="D608" t="s">
        <v>27</v>
      </c>
      <c r="E608" t="s">
        <v>4409</v>
      </c>
      <c r="F608">
        <v>7</v>
      </c>
      <c r="G608">
        <v>14</v>
      </c>
      <c r="H608">
        <v>614</v>
      </c>
      <c r="I608">
        <v>2</v>
      </c>
      <c r="J608">
        <v>59.93</v>
      </c>
      <c r="K608" t="s">
        <v>9</v>
      </c>
      <c r="L608">
        <v>3305379.22</v>
      </c>
      <c r="M608">
        <v>0</v>
      </c>
      <c r="N608">
        <v>3305379.22</v>
      </c>
      <c r="O608">
        <v>55154.000000000007</v>
      </c>
      <c r="P608">
        <v>0</v>
      </c>
      <c r="Q608">
        <v>3305379.22</v>
      </c>
      <c r="R608">
        <v>55154.000000000007</v>
      </c>
      <c r="S608" t="s">
        <v>65</v>
      </c>
      <c r="T608" t="s">
        <v>717</v>
      </c>
      <c r="U608" t="s">
        <v>717</v>
      </c>
      <c r="V608" t="s">
        <v>717</v>
      </c>
      <c r="W608">
        <v>44438</v>
      </c>
      <c r="X608" t="s">
        <v>4908</v>
      </c>
      <c r="Y608" t="s">
        <v>6</v>
      </c>
      <c r="Z608" t="s">
        <v>17</v>
      </c>
      <c r="AA608" t="s">
        <v>717</v>
      </c>
      <c r="AB608" t="s">
        <v>2509</v>
      </c>
      <c r="AC608" t="s">
        <v>2571</v>
      </c>
      <c r="AD608" t="s">
        <v>717</v>
      </c>
      <c r="AE608" t="s">
        <v>4909</v>
      </c>
      <c r="AF608" t="s">
        <v>4910</v>
      </c>
      <c r="AG608" t="s">
        <v>717</v>
      </c>
      <c r="AH608" t="s">
        <v>2616</v>
      </c>
      <c r="AI608" t="s">
        <v>2552</v>
      </c>
      <c r="AJ608" t="s">
        <v>4911</v>
      </c>
      <c r="AK608" t="s">
        <v>77</v>
      </c>
      <c r="AL608" t="s">
        <v>16</v>
      </c>
      <c r="AM608" t="s">
        <v>10</v>
      </c>
      <c r="AN608" t="s">
        <v>717</v>
      </c>
    </row>
    <row r="609" spans="1:40" hidden="1">
      <c r="A609">
        <v>607</v>
      </c>
      <c r="B609">
        <v>1</v>
      </c>
      <c r="C609" s="58">
        <v>44441</v>
      </c>
      <c r="D609" t="s">
        <v>74</v>
      </c>
      <c r="E609" t="s">
        <v>2515</v>
      </c>
      <c r="F609">
        <v>4</v>
      </c>
      <c r="G609">
        <v>4</v>
      </c>
      <c r="H609">
        <v>24</v>
      </c>
      <c r="I609">
        <v>3</v>
      </c>
      <c r="J609">
        <v>78.099999999999994</v>
      </c>
      <c r="K609" t="s">
        <v>9</v>
      </c>
      <c r="L609">
        <v>4555500</v>
      </c>
      <c r="M609">
        <v>15000</v>
      </c>
      <c r="N609">
        <v>4570500</v>
      </c>
      <c r="O609">
        <v>58521.126760563384</v>
      </c>
      <c r="P609">
        <v>39050</v>
      </c>
      <c r="Q609">
        <v>4531450</v>
      </c>
      <c r="R609">
        <v>58021.126760563384</v>
      </c>
      <c r="S609" t="s">
        <v>65</v>
      </c>
      <c r="T609" t="s">
        <v>717</v>
      </c>
      <c r="U609" t="s">
        <v>717</v>
      </c>
      <c r="V609" t="s">
        <v>717</v>
      </c>
      <c r="W609">
        <v>44434</v>
      </c>
      <c r="X609" t="s">
        <v>4912</v>
      </c>
      <c r="Y609" t="s">
        <v>6</v>
      </c>
      <c r="Z609" t="s">
        <v>17</v>
      </c>
      <c r="AA609" t="s">
        <v>717</v>
      </c>
      <c r="AB609" t="s">
        <v>326</v>
      </c>
      <c r="AC609" t="s">
        <v>2571</v>
      </c>
      <c r="AD609" t="s">
        <v>717</v>
      </c>
      <c r="AE609" t="s">
        <v>4913</v>
      </c>
      <c r="AF609" t="s">
        <v>4914</v>
      </c>
      <c r="AG609" t="s">
        <v>4915</v>
      </c>
      <c r="AH609" t="s">
        <v>2615</v>
      </c>
      <c r="AI609" t="s">
        <v>2538</v>
      </c>
      <c r="AJ609" t="s">
        <v>2569</v>
      </c>
      <c r="AK609" t="s">
        <v>471</v>
      </c>
      <c r="AL609" t="s">
        <v>16</v>
      </c>
      <c r="AM609" t="s">
        <v>10</v>
      </c>
      <c r="AN609" t="s">
        <v>717</v>
      </c>
    </row>
    <row r="610" spans="1:40" hidden="1">
      <c r="A610">
        <v>608</v>
      </c>
      <c r="B610">
        <v>2</v>
      </c>
      <c r="C610" s="58">
        <v>44441</v>
      </c>
      <c r="D610" t="s">
        <v>121</v>
      </c>
      <c r="E610" t="s">
        <v>2506</v>
      </c>
      <c r="F610">
        <v>11</v>
      </c>
      <c r="G610">
        <v>4</v>
      </c>
      <c r="H610">
        <v>194</v>
      </c>
      <c r="I610">
        <v>0</v>
      </c>
      <c r="J610">
        <v>25.85</v>
      </c>
      <c r="K610" t="s">
        <v>25</v>
      </c>
      <c r="L610">
        <v>2230084.67</v>
      </c>
      <c r="M610">
        <v>0</v>
      </c>
      <c r="N610">
        <v>2230084.67</v>
      </c>
      <c r="O610">
        <v>86270.2</v>
      </c>
      <c r="P610">
        <v>413600</v>
      </c>
      <c r="Q610">
        <v>1816484.67</v>
      </c>
      <c r="R610">
        <v>70270.2</v>
      </c>
      <c r="S610" t="s">
        <v>65</v>
      </c>
      <c r="T610" t="s">
        <v>717</v>
      </c>
      <c r="U610" t="s">
        <v>717</v>
      </c>
      <c r="V610" t="s">
        <v>717</v>
      </c>
      <c r="W610">
        <v>44435</v>
      </c>
      <c r="X610" t="s">
        <v>4916</v>
      </c>
      <c r="Y610" t="s">
        <v>6</v>
      </c>
      <c r="Z610" t="s">
        <v>11</v>
      </c>
      <c r="AA610" t="s">
        <v>717</v>
      </c>
      <c r="AB610" t="s">
        <v>2509</v>
      </c>
      <c r="AC610" t="s">
        <v>2564</v>
      </c>
      <c r="AD610" t="s">
        <v>717</v>
      </c>
      <c r="AE610" t="s">
        <v>4917</v>
      </c>
      <c r="AF610" t="s">
        <v>4918</v>
      </c>
      <c r="AG610" t="s">
        <v>4919</v>
      </c>
      <c r="AH610" t="s">
        <v>2615</v>
      </c>
      <c r="AI610" t="s">
        <v>2552</v>
      </c>
      <c r="AJ610" t="s">
        <v>2651</v>
      </c>
      <c r="AK610" t="s">
        <v>471</v>
      </c>
      <c r="AL610" t="s">
        <v>16</v>
      </c>
      <c r="AM610" t="s">
        <v>10</v>
      </c>
      <c r="AN610" t="s">
        <v>717</v>
      </c>
    </row>
    <row r="611" spans="1:40" hidden="1">
      <c r="A611">
        <v>609</v>
      </c>
      <c r="B611">
        <v>3</v>
      </c>
      <c r="C611" s="58">
        <v>44441</v>
      </c>
      <c r="D611" t="s">
        <v>121</v>
      </c>
      <c r="E611" t="s">
        <v>2506</v>
      </c>
      <c r="F611">
        <v>7</v>
      </c>
      <c r="G611">
        <v>8</v>
      </c>
      <c r="H611">
        <v>234</v>
      </c>
      <c r="I611">
        <v>0</v>
      </c>
      <c r="J611">
        <v>24.23</v>
      </c>
      <c r="K611" t="s">
        <v>15</v>
      </c>
      <c r="L611">
        <v>1888301.08</v>
      </c>
      <c r="M611">
        <v>0</v>
      </c>
      <c r="N611">
        <v>1888301.08</v>
      </c>
      <c r="O611">
        <v>77932.359884440782</v>
      </c>
      <c r="P611">
        <v>133265</v>
      </c>
      <c r="Q611">
        <v>1755036.08</v>
      </c>
      <c r="R611">
        <v>72432.359884440782</v>
      </c>
      <c r="S611" t="s">
        <v>65</v>
      </c>
      <c r="T611" t="s">
        <v>717</v>
      </c>
      <c r="U611" t="s">
        <v>717</v>
      </c>
      <c r="V611" t="s">
        <v>717</v>
      </c>
      <c r="W611">
        <v>44437</v>
      </c>
      <c r="X611" t="s">
        <v>4920</v>
      </c>
      <c r="Y611" t="s">
        <v>6</v>
      </c>
      <c r="Z611" t="s">
        <v>11</v>
      </c>
      <c r="AA611" t="s">
        <v>717</v>
      </c>
      <c r="AB611" t="s">
        <v>2509</v>
      </c>
      <c r="AC611" t="s">
        <v>2571</v>
      </c>
      <c r="AD611" t="s">
        <v>717</v>
      </c>
      <c r="AE611" t="s">
        <v>4921</v>
      </c>
      <c r="AF611" t="s">
        <v>4922</v>
      </c>
      <c r="AG611" t="s">
        <v>4923</v>
      </c>
      <c r="AH611" t="s">
        <v>2615</v>
      </c>
      <c r="AI611" t="s">
        <v>2552</v>
      </c>
      <c r="AJ611" t="s">
        <v>2895</v>
      </c>
      <c r="AK611" t="s">
        <v>407</v>
      </c>
      <c r="AL611" t="s">
        <v>16</v>
      </c>
      <c r="AM611" t="s">
        <v>10</v>
      </c>
      <c r="AN611" t="s">
        <v>717</v>
      </c>
    </row>
    <row r="612" spans="1:40" hidden="1">
      <c r="A612">
        <v>610</v>
      </c>
      <c r="B612">
        <v>4</v>
      </c>
      <c r="C612" s="58">
        <v>44442</v>
      </c>
      <c r="D612" t="s">
        <v>27</v>
      </c>
      <c r="E612" t="s">
        <v>2506</v>
      </c>
      <c r="F612">
        <v>3</v>
      </c>
      <c r="G612">
        <v>2</v>
      </c>
      <c r="H612">
        <v>210</v>
      </c>
      <c r="I612">
        <v>0</v>
      </c>
      <c r="J612">
        <v>23.54</v>
      </c>
      <c r="K612" t="s">
        <v>9</v>
      </c>
      <c r="L612">
        <v>1409170</v>
      </c>
      <c r="M612">
        <v>15000</v>
      </c>
      <c r="N612">
        <v>1424170</v>
      </c>
      <c r="O612">
        <v>60500</v>
      </c>
      <c r="P612">
        <v>0</v>
      </c>
      <c r="Q612">
        <v>1424170</v>
      </c>
      <c r="R612">
        <v>60500</v>
      </c>
      <c r="S612" t="s">
        <v>130</v>
      </c>
      <c r="T612" t="s">
        <v>717</v>
      </c>
      <c r="U612" t="s">
        <v>717</v>
      </c>
      <c r="V612" t="s">
        <v>717</v>
      </c>
      <c r="W612">
        <v>44417</v>
      </c>
      <c r="X612" t="s">
        <v>4924</v>
      </c>
      <c r="Y612" t="s">
        <v>2611</v>
      </c>
      <c r="Z612" t="s">
        <v>11</v>
      </c>
      <c r="AA612" t="s">
        <v>717</v>
      </c>
      <c r="AB612" t="s">
        <v>2509</v>
      </c>
      <c r="AC612" t="s">
        <v>118</v>
      </c>
      <c r="AD612">
        <v>45034</v>
      </c>
      <c r="AE612" t="s">
        <v>4925</v>
      </c>
      <c r="AF612" t="s">
        <v>4926</v>
      </c>
      <c r="AG612" t="s">
        <v>4927</v>
      </c>
      <c r="AH612" t="s">
        <v>2615</v>
      </c>
      <c r="AI612" t="s">
        <v>2521</v>
      </c>
      <c r="AJ612" t="s">
        <v>2895</v>
      </c>
      <c r="AK612" t="s">
        <v>20</v>
      </c>
      <c r="AL612" t="s">
        <v>717</v>
      </c>
      <c r="AM612" t="s">
        <v>10</v>
      </c>
      <c r="AN612" t="s">
        <v>717</v>
      </c>
    </row>
    <row r="613" spans="1:40" hidden="1">
      <c r="A613">
        <v>611</v>
      </c>
      <c r="B613">
        <v>5</v>
      </c>
      <c r="C613" s="58">
        <v>44442</v>
      </c>
      <c r="D613" t="s">
        <v>27</v>
      </c>
      <c r="E613" t="s">
        <v>2506</v>
      </c>
      <c r="F613">
        <v>3</v>
      </c>
      <c r="G613">
        <v>10</v>
      </c>
      <c r="H613">
        <v>274</v>
      </c>
      <c r="I613">
        <v>0</v>
      </c>
      <c r="J613">
        <v>23.54</v>
      </c>
      <c r="K613" t="s">
        <v>9</v>
      </c>
      <c r="L613">
        <v>1424170</v>
      </c>
      <c r="M613">
        <v>0</v>
      </c>
      <c r="N613">
        <v>1424170</v>
      </c>
      <c r="O613">
        <v>60500</v>
      </c>
      <c r="P613">
        <v>0</v>
      </c>
      <c r="Q613">
        <v>1424170</v>
      </c>
      <c r="R613">
        <v>60500</v>
      </c>
      <c r="S613" t="s">
        <v>130</v>
      </c>
      <c r="T613" t="s">
        <v>717</v>
      </c>
      <c r="U613" t="s">
        <v>717</v>
      </c>
      <c r="V613" t="s">
        <v>717</v>
      </c>
      <c r="W613">
        <v>44439</v>
      </c>
      <c r="X613" t="s">
        <v>4928</v>
      </c>
      <c r="Y613" t="s">
        <v>6</v>
      </c>
      <c r="Z613" t="s">
        <v>11</v>
      </c>
      <c r="AA613" t="s">
        <v>717</v>
      </c>
      <c r="AB613" t="s">
        <v>2509</v>
      </c>
      <c r="AC613" t="s">
        <v>118</v>
      </c>
      <c r="AD613" t="s">
        <v>717</v>
      </c>
      <c r="AE613" t="s">
        <v>4929</v>
      </c>
      <c r="AF613" t="s">
        <v>4930</v>
      </c>
      <c r="AG613" t="s">
        <v>4931</v>
      </c>
      <c r="AH613" t="s">
        <v>2552</v>
      </c>
      <c r="AI613" t="s">
        <v>2877</v>
      </c>
      <c r="AJ613" t="s">
        <v>3098</v>
      </c>
      <c r="AK613" t="s">
        <v>77</v>
      </c>
      <c r="AL613" t="s">
        <v>717</v>
      </c>
      <c r="AM613" t="s">
        <v>10</v>
      </c>
      <c r="AN613" t="s">
        <v>717</v>
      </c>
    </row>
    <row r="614" spans="1:40" hidden="1">
      <c r="A614">
        <v>612</v>
      </c>
      <c r="B614">
        <v>6</v>
      </c>
      <c r="C614" s="58">
        <v>44445</v>
      </c>
      <c r="D614" t="s">
        <v>121</v>
      </c>
      <c r="E614" t="s">
        <v>2506</v>
      </c>
      <c r="F614">
        <v>3</v>
      </c>
      <c r="G614">
        <v>6</v>
      </c>
      <c r="H614">
        <v>208</v>
      </c>
      <c r="I614">
        <v>3</v>
      </c>
      <c r="J614">
        <v>86.58</v>
      </c>
      <c r="K614" t="s">
        <v>25</v>
      </c>
      <c r="L614">
        <v>5857509.29</v>
      </c>
      <c r="M614">
        <v>0</v>
      </c>
      <c r="N614">
        <v>5857509.29</v>
      </c>
      <c r="O614">
        <v>67654.299953799957</v>
      </c>
      <c r="P614">
        <v>1385280</v>
      </c>
      <c r="Q614">
        <v>4472229.29</v>
      </c>
      <c r="R614">
        <v>51654.299953799957</v>
      </c>
      <c r="S614" t="s">
        <v>65</v>
      </c>
      <c r="T614" t="s">
        <v>717</v>
      </c>
      <c r="U614" t="s">
        <v>717</v>
      </c>
      <c r="V614" t="s">
        <v>717</v>
      </c>
      <c r="W614">
        <v>44394</v>
      </c>
      <c r="X614" t="s">
        <v>4932</v>
      </c>
      <c r="Y614" t="s">
        <v>6</v>
      </c>
      <c r="Z614" t="s">
        <v>11</v>
      </c>
      <c r="AA614" t="s">
        <v>717</v>
      </c>
      <c r="AB614" t="s">
        <v>2509</v>
      </c>
      <c r="AC614" t="s">
        <v>2558</v>
      </c>
      <c r="AD614" t="s">
        <v>717</v>
      </c>
      <c r="AE614" t="s">
        <v>4933</v>
      </c>
      <c r="AF614" t="s">
        <v>4934</v>
      </c>
      <c r="AG614" t="s">
        <v>4935</v>
      </c>
      <c r="AH614" t="s">
        <v>2552</v>
      </c>
      <c r="AI614" t="s">
        <v>2547</v>
      </c>
      <c r="AJ614" t="s">
        <v>2855</v>
      </c>
      <c r="AK614" t="s">
        <v>63</v>
      </c>
      <c r="AL614" t="s">
        <v>16</v>
      </c>
      <c r="AM614" t="s">
        <v>10</v>
      </c>
      <c r="AN614" t="s">
        <v>717</v>
      </c>
    </row>
    <row r="615" spans="1:40" hidden="1">
      <c r="A615">
        <v>613</v>
      </c>
      <c r="B615">
        <v>7</v>
      </c>
      <c r="C615" s="58">
        <v>44445</v>
      </c>
      <c r="D615" t="s">
        <v>27</v>
      </c>
      <c r="E615" t="s">
        <v>4409</v>
      </c>
      <c r="F615">
        <v>4</v>
      </c>
      <c r="G615">
        <v>8</v>
      </c>
      <c r="H615">
        <v>563</v>
      </c>
      <c r="I615">
        <v>1</v>
      </c>
      <c r="J615">
        <v>40</v>
      </c>
      <c r="K615" t="s">
        <v>15</v>
      </c>
      <c r="L615">
        <v>2244000</v>
      </c>
      <c r="M615">
        <v>0</v>
      </c>
      <c r="N615">
        <v>2244000</v>
      </c>
      <c r="O615">
        <v>56100</v>
      </c>
      <c r="P615">
        <v>220000</v>
      </c>
      <c r="Q615">
        <v>2024000</v>
      </c>
      <c r="R615">
        <v>50600</v>
      </c>
      <c r="S615" t="s">
        <v>65</v>
      </c>
      <c r="T615" t="s">
        <v>717</v>
      </c>
      <c r="U615" t="s">
        <v>717</v>
      </c>
      <c r="V615" t="s">
        <v>717</v>
      </c>
      <c r="W615">
        <v>44399</v>
      </c>
      <c r="X615" t="s">
        <v>4936</v>
      </c>
      <c r="Y615" t="s">
        <v>6</v>
      </c>
      <c r="Z615" t="s">
        <v>11</v>
      </c>
      <c r="AA615" t="s">
        <v>717</v>
      </c>
      <c r="AB615" t="s">
        <v>2509</v>
      </c>
      <c r="AC615" t="s">
        <v>2571</v>
      </c>
      <c r="AD615" t="s">
        <v>717</v>
      </c>
      <c r="AE615" t="s">
        <v>4937</v>
      </c>
      <c r="AF615" t="s">
        <v>4938</v>
      </c>
      <c r="AG615" t="s">
        <v>4939</v>
      </c>
      <c r="AH615" t="s">
        <v>2615</v>
      </c>
      <c r="AI615" t="s">
        <v>3595</v>
      </c>
      <c r="AJ615" t="s">
        <v>3202</v>
      </c>
      <c r="AK615" t="s">
        <v>77</v>
      </c>
      <c r="AL615" t="s">
        <v>16</v>
      </c>
      <c r="AM615" t="s">
        <v>10</v>
      </c>
      <c r="AN615" t="s">
        <v>717</v>
      </c>
    </row>
    <row r="616" spans="1:40" hidden="1">
      <c r="A616">
        <v>614</v>
      </c>
      <c r="B616">
        <v>8</v>
      </c>
      <c r="C616" s="58">
        <v>44445</v>
      </c>
      <c r="D616" t="s">
        <v>27</v>
      </c>
      <c r="E616" t="s">
        <v>2506</v>
      </c>
      <c r="F616">
        <v>4</v>
      </c>
      <c r="G616">
        <v>9</v>
      </c>
      <c r="H616">
        <v>267</v>
      </c>
      <c r="I616">
        <v>1</v>
      </c>
      <c r="J616">
        <v>40</v>
      </c>
      <c r="K616" t="s">
        <v>9</v>
      </c>
      <c r="L616">
        <v>2252800</v>
      </c>
      <c r="M616">
        <v>0</v>
      </c>
      <c r="N616">
        <v>2252800</v>
      </c>
      <c r="O616">
        <v>56320</v>
      </c>
      <c r="P616">
        <v>0</v>
      </c>
      <c r="Q616">
        <v>2252800</v>
      </c>
      <c r="R616">
        <v>56320</v>
      </c>
      <c r="S616" t="s">
        <v>2507</v>
      </c>
      <c r="T616" t="s">
        <v>717</v>
      </c>
      <c r="U616" t="s">
        <v>717</v>
      </c>
      <c r="V616" t="s">
        <v>717</v>
      </c>
      <c r="W616">
        <v>44404</v>
      </c>
      <c r="X616" t="s">
        <v>4940</v>
      </c>
      <c r="Y616" t="s">
        <v>6</v>
      </c>
      <c r="Z616" t="s">
        <v>11</v>
      </c>
      <c r="AA616" t="s">
        <v>717</v>
      </c>
      <c r="AB616" t="s">
        <v>2509</v>
      </c>
      <c r="AC616" t="s">
        <v>118</v>
      </c>
      <c r="AD616" t="s">
        <v>717</v>
      </c>
      <c r="AE616" t="s">
        <v>4941</v>
      </c>
      <c r="AF616" t="s">
        <v>4942</v>
      </c>
      <c r="AG616" t="s">
        <v>4943</v>
      </c>
      <c r="AH616" t="s">
        <v>2616</v>
      </c>
      <c r="AI616" t="s">
        <v>2552</v>
      </c>
      <c r="AJ616" t="s">
        <v>3185</v>
      </c>
      <c r="AK616" t="s">
        <v>20</v>
      </c>
      <c r="AL616" t="s">
        <v>717</v>
      </c>
      <c r="AM616" t="s">
        <v>10</v>
      </c>
      <c r="AN616" t="s">
        <v>717</v>
      </c>
    </row>
    <row r="617" spans="1:40" hidden="1">
      <c r="A617">
        <v>615</v>
      </c>
      <c r="B617">
        <v>9</v>
      </c>
      <c r="C617" s="58">
        <v>44447</v>
      </c>
      <c r="D617" t="s">
        <v>121</v>
      </c>
      <c r="E617" t="s">
        <v>2506</v>
      </c>
      <c r="F617">
        <v>2</v>
      </c>
      <c r="G617">
        <v>7</v>
      </c>
      <c r="H617">
        <v>218</v>
      </c>
      <c r="I617">
        <v>1</v>
      </c>
      <c r="J617">
        <v>38.22</v>
      </c>
      <c r="K617" t="s">
        <v>15</v>
      </c>
      <c r="L617">
        <v>1671990</v>
      </c>
      <c r="M617">
        <v>0</v>
      </c>
      <c r="N617">
        <v>1671990</v>
      </c>
      <c r="O617">
        <v>43746.46781789638</v>
      </c>
      <c r="P617">
        <v>171990</v>
      </c>
      <c r="Q617">
        <v>1500000</v>
      </c>
      <c r="R617">
        <v>39246.46781789638</v>
      </c>
      <c r="S617" t="s">
        <v>130</v>
      </c>
      <c r="T617" t="s">
        <v>3414</v>
      </c>
      <c r="U617">
        <v>299130.06</v>
      </c>
      <c r="V617" t="s">
        <v>717</v>
      </c>
      <c r="W617">
        <v>44440</v>
      </c>
      <c r="X617" t="s">
        <v>4944</v>
      </c>
      <c r="Y617" t="s">
        <v>6</v>
      </c>
      <c r="Z617" t="s">
        <v>11</v>
      </c>
      <c r="AA617" t="s">
        <v>717</v>
      </c>
      <c r="AB617" t="s">
        <v>2509</v>
      </c>
      <c r="AC617" t="s">
        <v>118</v>
      </c>
      <c r="AD617" t="s">
        <v>717</v>
      </c>
      <c r="AE617" t="s">
        <v>256</v>
      </c>
      <c r="AF617" t="s">
        <v>4945</v>
      </c>
      <c r="AG617" t="s">
        <v>4946</v>
      </c>
      <c r="AH617" t="s">
        <v>2191</v>
      </c>
      <c r="AI617" t="s">
        <v>2802</v>
      </c>
      <c r="AJ617" t="s">
        <v>4947</v>
      </c>
      <c r="AK617" t="s">
        <v>20</v>
      </c>
      <c r="AL617" t="s">
        <v>717</v>
      </c>
      <c r="AM617" t="s">
        <v>10</v>
      </c>
      <c r="AN617" t="s">
        <v>717</v>
      </c>
    </row>
    <row r="618" spans="1:40" hidden="1">
      <c r="A618">
        <v>616</v>
      </c>
      <c r="B618">
        <v>10</v>
      </c>
      <c r="C618" s="58">
        <v>44448</v>
      </c>
      <c r="D618" t="s">
        <v>27</v>
      </c>
      <c r="E618" t="s">
        <v>4409</v>
      </c>
      <c r="F618">
        <v>5</v>
      </c>
      <c r="G618">
        <v>4</v>
      </c>
      <c r="H618">
        <v>532</v>
      </c>
      <c r="I618">
        <v>0</v>
      </c>
      <c r="J618">
        <v>23.63</v>
      </c>
      <c r="K618" t="s">
        <v>9</v>
      </c>
      <c r="L618">
        <v>1429615</v>
      </c>
      <c r="M618">
        <v>0</v>
      </c>
      <c r="N618">
        <v>1429615</v>
      </c>
      <c r="O618">
        <v>60500</v>
      </c>
      <c r="P618">
        <v>0</v>
      </c>
      <c r="Q618">
        <v>1429615</v>
      </c>
      <c r="R618">
        <v>60500</v>
      </c>
      <c r="S618" t="s">
        <v>2507</v>
      </c>
      <c r="T618" t="s">
        <v>717</v>
      </c>
      <c r="U618" t="s">
        <v>717</v>
      </c>
      <c r="V618" t="s">
        <v>717</v>
      </c>
      <c r="W618">
        <v>44440</v>
      </c>
      <c r="X618" t="s">
        <v>4948</v>
      </c>
      <c r="Y618" t="s">
        <v>6</v>
      </c>
      <c r="Z618" t="s">
        <v>11</v>
      </c>
      <c r="AA618" t="s">
        <v>717</v>
      </c>
      <c r="AB618" t="s">
        <v>2509</v>
      </c>
      <c r="AC618" t="s">
        <v>118</v>
      </c>
      <c r="AD618" t="s">
        <v>717</v>
      </c>
      <c r="AE618" t="s">
        <v>4949</v>
      </c>
      <c r="AF618" t="s">
        <v>4950</v>
      </c>
      <c r="AG618" t="s">
        <v>4951</v>
      </c>
      <c r="AH618" t="s">
        <v>2580</v>
      </c>
      <c r="AI618" t="s">
        <v>2538</v>
      </c>
      <c r="AJ618" t="s">
        <v>3921</v>
      </c>
      <c r="AK618" t="s">
        <v>73</v>
      </c>
      <c r="AL618" t="s">
        <v>717</v>
      </c>
      <c r="AM618" t="s">
        <v>10</v>
      </c>
      <c r="AN618" t="s">
        <v>717</v>
      </c>
    </row>
    <row r="619" spans="1:40" hidden="1">
      <c r="A619">
        <v>617</v>
      </c>
      <c r="B619">
        <v>11</v>
      </c>
      <c r="C619" s="58">
        <v>44448</v>
      </c>
      <c r="D619" t="s">
        <v>27</v>
      </c>
      <c r="E619" t="s">
        <v>2581</v>
      </c>
      <c r="F619">
        <v>3</v>
      </c>
      <c r="G619">
        <v>6</v>
      </c>
      <c r="H619">
        <v>426</v>
      </c>
      <c r="I619">
        <v>0</v>
      </c>
      <c r="J619">
        <v>23.54</v>
      </c>
      <c r="K619" t="s">
        <v>9</v>
      </c>
      <c r="L619">
        <v>1424170</v>
      </c>
      <c r="M619">
        <v>0</v>
      </c>
      <c r="N619">
        <v>1424170</v>
      </c>
      <c r="O619">
        <v>60500</v>
      </c>
      <c r="P619">
        <v>0</v>
      </c>
      <c r="Q619">
        <v>1424170</v>
      </c>
      <c r="R619">
        <v>60500</v>
      </c>
      <c r="S619" t="s">
        <v>130</v>
      </c>
      <c r="T619" t="s">
        <v>717</v>
      </c>
      <c r="U619" t="s">
        <v>717</v>
      </c>
      <c r="V619" t="s">
        <v>717</v>
      </c>
      <c r="W619">
        <v>44440</v>
      </c>
      <c r="X619" t="s">
        <v>4952</v>
      </c>
      <c r="Y619" t="s">
        <v>6</v>
      </c>
      <c r="Z619" t="s">
        <v>11</v>
      </c>
      <c r="AA619" t="s">
        <v>717</v>
      </c>
      <c r="AB619" t="s">
        <v>2509</v>
      </c>
      <c r="AC619" t="s">
        <v>118</v>
      </c>
      <c r="AD619" t="s">
        <v>717</v>
      </c>
      <c r="AE619" t="s">
        <v>4949</v>
      </c>
      <c r="AF619" t="s">
        <v>4950</v>
      </c>
      <c r="AG619" t="s">
        <v>4951</v>
      </c>
      <c r="AH619" t="s">
        <v>2191</v>
      </c>
      <c r="AI619" t="s">
        <v>2538</v>
      </c>
      <c r="AJ619" t="s">
        <v>2514</v>
      </c>
      <c r="AK619" t="s">
        <v>73</v>
      </c>
      <c r="AL619" t="s">
        <v>717</v>
      </c>
      <c r="AM619" t="s">
        <v>10</v>
      </c>
      <c r="AN619" t="s">
        <v>717</v>
      </c>
    </row>
    <row r="620" spans="1:40" hidden="1">
      <c r="A620">
        <v>618</v>
      </c>
      <c r="B620">
        <v>12</v>
      </c>
      <c r="C620" s="58">
        <v>44448</v>
      </c>
      <c r="D620" t="s">
        <v>27</v>
      </c>
      <c r="E620" t="s">
        <v>2506</v>
      </c>
      <c r="F620">
        <v>7</v>
      </c>
      <c r="G620">
        <v>16</v>
      </c>
      <c r="H620">
        <v>326</v>
      </c>
      <c r="I620">
        <v>2</v>
      </c>
      <c r="J620">
        <v>59.93</v>
      </c>
      <c r="K620" t="s">
        <v>15</v>
      </c>
      <c r="L620">
        <v>3619994.22</v>
      </c>
      <c r="M620">
        <v>15000</v>
      </c>
      <c r="N620">
        <v>3634994.22</v>
      </c>
      <c r="O620">
        <v>60654.000000000007</v>
      </c>
      <c r="P620">
        <v>329615</v>
      </c>
      <c r="Q620">
        <v>3305379.22</v>
      </c>
      <c r="R620">
        <v>55154.000000000007</v>
      </c>
      <c r="S620" t="s">
        <v>65</v>
      </c>
      <c r="T620" t="s">
        <v>717</v>
      </c>
      <c r="U620" t="s">
        <v>717</v>
      </c>
      <c r="V620" t="s">
        <v>4131</v>
      </c>
      <c r="W620">
        <v>44440</v>
      </c>
      <c r="X620" t="s">
        <v>4953</v>
      </c>
      <c r="Y620" t="s">
        <v>6</v>
      </c>
      <c r="Z620" t="s">
        <v>17</v>
      </c>
      <c r="AA620" t="s">
        <v>717</v>
      </c>
      <c r="AB620" t="s">
        <v>2509</v>
      </c>
      <c r="AC620" t="s">
        <v>2571</v>
      </c>
      <c r="AD620" t="s">
        <v>717</v>
      </c>
      <c r="AE620" t="s">
        <v>4954</v>
      </c>
      <c r="AF620" t="s">
        <v>4955</v>
      </c>
      <c r="AG620" t="s">
        <v>4956</v>
      </c>
      <c r="AH620" t="s">
        <v>2552</v>
      </c>
      <c r="AI620" t="s">
        <v>2877</v>
      </c>
      <c r="AJ620" t="s">
        <v>2514</v>
      </c>
      <c r="AK620" t="s">
        <v>20</v>
      </c>
      <c r="AL620" t="s">
        <v>16</v>
      </c>
      <c r="AM620" t="s">
        <v>10</v>
      </c>
      <c r="AN620" t="s">
        <v>717</v>
      </c>
    </row>
    <row r="621" spans="1:40" hidden="1">
      <c r="A621">
        <v>619</v>
      </c>
      <c r="B621">
        <v>13</v>
      </c>
      <c r="C621" s="58">
        <v>44448</v>
      </c>
      <c r="D621" t="s">
        <v>27</v>
      </c>
      <c r="E621" t="s">
        <v>2506</v>
      </c>
      <c r="F621">
        <v>2</v>
      </c>
      <c r="G621">
        <v>12</v>
      </c>
      <c r="H621">
        <v>289</v>
      </c>
      <c r="I621">
        <v>1</v>
      </c>
      <c r="J621">
        <v>37.159999999999997</v>
      </c>
      <c r="K621" t="s">
        <v>9</v>
      </c>
      <c r="L621">
        <v>2197493.7599999998</v>
      </c>
      <c r="M621">
        <v>0</v>
      </c>
      <c r="N621">
        <v>2197493.7599999998</v>
      </c>
      <c r="O621">
        <v>59136</v>
      </c>
      <c r="P621">
        <v>0</v>
      </c>
      <c r="Q621">
        <v>2197493.7599999998</v>
      </c>
      <c r="R621">
        <v>59136</v>
      </c>
      <c r="S621" t="s">
        <v>65</v>
      </c>
      <c r="T621" t="s">
        <v>717</v>
      </c>
      <c r="U621" t="s">
        <v>717</v>
      </c>
      <c r="V621" t="s">
        <v>717</v>
      </c>
      <c r="W621">
        <v>44440</v>
      </c>
      <c r="X621" t="s">
        <v>4957</v>
      </c>
      <c r="Y621" t="s">
        <v>6</v>
      </c>
      <c r="Z621" t="s">
        <v>17</v>
      </c>
      <c r="AA621" t="s">
        <v>717</v>
      </c>
      <c r="AB621" t="s">
        <v>2509</v>
      </c>
      <c r="AC621" t="s">
        <v>2571</v>
      </c>
      <c r="AD621" t="s">
        <v>717</v>
      </c>
      <c r="AE621" t="s">
        <v>4958</v>
      </c>
      <c r="AF621" t="s">
        <v>4959</v>
      </c>
      <c r="AG621" t="s">
        <v>4960</v>
      </c>
      <c r="AH621" t="s">
        <v>2191</v>
      </c>
      <c r="AI621" t="s">
        <v>2552</v>
      </c>
      <c r="AJ621" t="s">
        <v>2514</v>
      </c>
      <c r="AK621" t="s">
        <v>407</v>
      </c>
      <c r="AL621" t="s">
        <v>16</v>
      </c>
      <c r="AM621" t="s">
        <v>10</v>
      </c>
      <c r="AN621" t="s">
        <v>717</v>
      </c>
    </row>
    <row r="622" spans="1:40" hidden="1">
      <c r="A622">
        <v>620</v>
      </c>
      <c r="B622">
        <v>14</v>
      </c>
      <c r="C622" s="58">
        <v>44448</v>
      </c>
      <c r="D622" t="s">
        <v>121</v>
      </c>
      <c r="E622" t="s">
        <v>2515</v>
      </c>
      <c r="F622">
        <v>6</v>
      </c>
      <c r="G622">
        <v>5</v>
      </c>
      <c r="H622">
        <v>27</v>
      </c>
      <c r="I622">
        <v>2</v>
      </c>
      <c r="J622">
        <v>59.96</v>
      </c>
      <c r="K622" t="s">
        <v>15</v>
      </c>
      <c r="L622">
        <v>4187558.43</v>
      </c>
      <c r="M622">
        <v>0</v>
      </c>
      <c r="N622">
        <v>4187558.43</v>
      </c>
      <c r="O622">
        <v>69839.199966644432</v>
      </c>
      <c r="P622">
        <v>329780</v>
      </c>
      <c r="Q622">
        <v>3857778.43</v>
      </c>
      <c r="R622">
        <v>64339.199966644432</v>
      </c>
      <c r="S622" t="s">
        <v>65</v>
      </c>
      <c r="T622" t="s">
        <v>717</v>
      </c>
      <c r="U622" t="s">
        <v>717</v>
      </c>
      <c r="V622" t="s">
        <v>4131</v>
      </c>
      <c r="W622">
        <v>44441</v>
      </c>
      <c r="X622" t="s">
        <v>4961</v>
      </c>
      <c r="Y622" t="s">
        <v>6</v>
      </c>
      <c r="Z622" t="s">
        <v>17</v>
      </c>
      <c r="AA622" t="s">
        <v>717</v>
      </c>
      <c r="AB622" t="s">
        <v>2509</v>
      </c>
      <c r="AC622" t="s">
        <v>2571</v>
      </c>
      <c r="AD622" t="s">
        <v>717</v>
      </c>
      <c r="AE622" t="s">
        <v>4962</v>
      </c>
      <c r="AF622" t="s">
        <v>4963</v>
      </c>
      <c r="AG622" t="s">
        <v>4964</v>
      </c>
      <c r="AH622" t="s">
        <v>2615</v>
      </c>
      <c r="AI622" t="s">
        <v>2552</v>
      </c>
      <c r="AJ622" t="s">
        <v>2895</v>
      </c>
      <c r="AK622" t="s">
        <v>77</v>
      </c>
      <c r="AL622" t="s">
        <v>16</v>
      </c>
      <c r="AM622" t="s">
        <v>10</v>
      </c>
      <c r="AN622" t="s">
        <v>717</v>
      </c>
    </row>
    <row r="623" spans="1:40" hidden="1">
      <c r="A623">
        <v>621</v>
      </c>
      <c r="B623">
        <v>15</v>
      </c>
      <c r="C623" s="58">
        <v>44448</v>
      </c>
      <c r="D623" t="s">
        <v>27</v>
      </c>
      <c r="E623" t="s">
        <v>4409</v>
      </c>
      <c r="F623">
        <v>8</v>
      </c>
      <c r="G623">
        <v>9</v>
      </c>
      <c r="H623">
        <v>575</v>
      </c>
      <c r="I623">
        <v>2</v>
      </c>
      <c r="J623">
        <v>55.8</v>
      </c>
      <c r="K623" t="s">
        <v>9</v>
      </c>
      <c r="L623">
        <v>3087325.61</v>
      </c>
      <c r="M623">
        <v>0</v>
      </c>
      <c r="N623">
        <v>3087325.61</v>
      </c>
      <c r="O623">
        <v>55328.415949820781</v>
      </c>
      <c r="P623">
        <v>0</v>
      </c>
      <c r="Q623">
        <v>3087325.61</v>
      </c>
      <c r="R623">
        <v>55328.415949820781</v>
      </c>
      <c r="S623" t="s">
        <v>65</v>
      </c>
      <c r="T623" t="s">
        <v>717</v>
      </c>
      <c r="U623" t="s">
        <v>717</v>
      </c>
      <c r="V623" t="s">
        <v>4131</v>
      </c>
      <c r="W623">
        <v>44442</v>
      </c>
      <c r="X623" t="s">
        <v>4965</v>
      </c>
      <c r="Y623" t="s">
        <v>6</v>
      </c>
      <c r="Z623" t="s">
        <v>17</v>
      </c>
      <c r="AA623" t="s">
        <v>717</v>
      </c>
      <c r="AB623" t="s">
        <v>2509</v>
      </c>
      <c r="AC623" t="s">
        <v>2571</v>
      </c>
      <c r="AD623" t="s">
        <v>717</v>
      </c>
      <c r="AE623" t="s">
        <v>4966</v>
      </c>
      <c r="AF623" t="s">
        <v>4967</v>
      </c>
      <c r="AG623" t="s">
        <v>4968</v>
      </c>
      <c r="AH623" t="s">
        <v>2191</v>
      </c>
      <c r="AI623" t="s">
        <v>2656</v>
      </c>
      <c r="AJ623" t="s">
        <v>2514</v>
      </c>
      <c r="AK623" t="s">
        <v>77</v>
      </c>
      <c r="AL623" t="s">
        <v>16</v>
      </c>
      <c r="AM623" t="s">
        <v>10</v>
      </c>
      <c r="AN623" t="s">
        <v>717</v>
      </c>
    </row>
    <row r="624" spans="1:40" hidden="1">
      <c r="A624">
        <v>622</v>
      </c>
      <c r="B624">
        <v>16</v>
      </c>
      <c r="C624" s="58">
        <v>44448</v>
      </c>
      <c r="D624" t="s">
        <v>121</v>
      </c>
      <c r="E624" t="s">
        <v>2515</v>
      </c>
      <c r="F624">
        <v>2</v>
      </c>
      <c r="G624">
        <v>10</v>
      </c>
      <c r="H624">
        <v>58</v>
      </c>
      <c r="I624">
        <v>2</v>
      </c>
      <c r="J624">
        <v>58.99</v>
      </c>
      <c r="K624" t="s">
        <v>9</v>
      </c>
      <c r="L624">
        <v>4206824.34</v>
      </c>
      <c r="M624">
        <v>0</v>
      </c>
      <c r="N624">
        <v>4206824.34</v>
      </c>
      <c r="O624">
        <v>71314.194609255806</v>
      </c>
      <c r="P624">
        <v>0</v>
      </c>
      <c r="Q624">
        <v>4206824.34</v>
      </c>
      <c r="R624">
        <v>71314.194609255806</v>
      </c>
      <c r="S624" t="s">
        <v>65</v>
      </c>
      <c r="T624" t="s">
        <v>717</v>
      </c>
      <c r="U624" t="s">
        <v>717</v>
      </c>
      <c r="V624" t="s">
        <v>4131</v>
      </c>
      <c r="W624">
        <v>44445</v>
      </c>
      <c r="X624" t="s">
        <v>4969</v>
      </c>
      <c r="Y624" t="s">
        <v>6</v>
      </c>
      <c r="Z624" t="s">
        <v>17</v>
      </c>
      <c r="AA624" t="s">
        <v>717</v>
      </c>
      <c r="AB624" t="s">
        <v>2509</v>
      </c>
      <c r="AC624" t="s">
        <v>2571</v>
      </c>
      <c r="AD624" t="s">
        <v>717</v>
      </c>
      <c r="AE624" t="s">
        <v>4970</v>
      </c>
      <c r="AF624" t="s">
        <v>4971</v>
      </c>
      <c r="AG624" t="s">
        <v>4972</v>
      </c>
      <c r="AH624" t="s">
        <v>2552</v>
      </c>
      <c r="AI624" t="s">
        <v>2877</v>
      </c>
      <c r="AJ624" t="s">
        <v>3098</v>
      </c>
      <c r="AK624" t="s">
        <v>407</v>
      </c>
      <c r="AL624" t="s">
        <v>16</v>
      </c>
      <c r="AM624" t="s">
        <v>10</v>
      </c>
      <c r="AN624" t="s">
        <v>717</v>
      </c>
    </row>
    <row r="625" spans="1:40" hidden="1">
      <c r="A625">
        <v>623</v>
      </c>
      <c r="B625">
        <v>17</v>
      </c>
      <c r="C625" s="58">
        <v>44448</v>
      </c>
      <c r="D625" t="s">
        <v>27</v>
      </c>
      <c r="E625" t="s">
        <v>2581</v>
      </c>
      <c r="F625">
        <v>6</v>
      </c>
      <c r="G625">
        <v>8</v>
      </c>
      <c r="H625">
        <v>445</v>
      </c>
      <c r="I625">
        <v>1</v>
      </c>
      <c r="J625">
        <v>37.11</v>
      </c>
      <c r="K625" t="s">
        <v>9</v>
      </c>
      <c r="L625">
        <v>2103097.92</v>
      </c>
      <c r="M625">
        <v>0</v>
      </c>
      <c r="N625">
        <v>2103097.92</v>
      </c>
      <c r="O625">
        <v>56672</v>
      </c>
      <c r="P625">
        <v>0</v>
      </c>
      <c r="Q625">
        <v>2103097.92</v>
      </c>
      <c r="R625">
        <v>56672</v>
      </c>
      <c r="S625" t="s">
        <v>65</v>
      </c>
      <c r="T625" t="s">
        <v>717</v>
      </c>
      <c r="U625" t="s">
        <v>717</v>
      </c>
      <c r="V625" t="s">
        <v>717</v>
      </c>
      <c r="W625">
        <v>44447</v>
      </c>
      <c r="X625" t="s">
        <v>4973</v>
      </c>
      <c r="Y625" t="s">
        <v>2611</v>
      </c>
      <c r="Z625" t="s">
        <v>17</v>
      </c>
      <c r="AA625" t="s">
        <v>717</v>
      </c>
      <c r="AB625" t="s">
        <v>2509</v>
      </c>
      <c r="AC625" t="s">
        <v>2571</v>
      </c>
      <c r="AD625">
        <v>44643</v>
      </c>
      <c r="AE625" t="s">
        <v>4974</v>
      </c>
      <c r="AF625" t="s">
        <v>4975</v>
      </c>
      <c r="AG625" t="s">
        <v>4976</v>
      </c>
      <c r="AH625" t="s">
        <v>2616</v>
      </c>
      <c r="AI625" t="s">
        <v>2552</v>
      </c>
      <c r="AJ625" t="s">
        <v>3185</v>
      </c>
      <c r="AK625" t="s">
        <v>73</v>
      </c>
      <c r="AL625" t="s">
        <v>16</v>
      </c>
      <c r="AM625" t="s">
        <v>10</v>
      </c>
      <c r="AN625" t="s">
        <v>717</v>
      </c>
    </row>
    <row r="626" spans="1:40" hidden="1">
      <c r="A626">
        <v>624</v>
      </c>
      <c r="B626">
        <v>18</v>
      </c>
      <c r="C626" s="58">
        <v>44448</v>
      </c>
      <c r="D626" t="s">
        <v>74</v>
      </c>
      <c r="E626" t="s">
        <v>2515</v>
      </c>
      <c r="F626">
        <v>3</v>
      </c>
      <c r="G626">
        <v>2</v>
      </c>
      <c r="H626">
        <v>3</v>
      </c>
      <c r="I626">
        <v>2</v>
      </c>
      <c r="J626">
        <v>65.900000000000006</v>
      </c>
      <c r="K626" t="s">
        <v>9</v>
      </c>
      <c r="L626">
        <v>3629978.4</v>
      </c>
      <c r="M626">
        <v>0</v>
      </c>
      <c r="N626">
        <v>3629978.4</v>
      </c>
      <c r="O626">
        <v>55083.132018209399</v>
      </c>
      <c r="P626">
        <v>32950</v>
      </c>
      <c r="Q626">
        <v>3597028.4</v>
      </c>
      <c r="R626">
        <v>54583.132018209399</v>
      </c>
      <c r="S626" t="s">
        <v>65</v>
      </c>
      <c r="T626" t="s">
        <v>717</v>
      </c>
      <c r="U626" t="s">
        <v>717</v>
      </c>
      <c r="V626" t="s">
        <v>4131</v>
      </c>
      <c r="W626">
        <v>44448</v>
      </c>
      <c r="X626" t="s">
        <v>4977</v>
      </c>
      <c r="Y626" t="s">
        <v>6</v>
      </c>
      <c r="Z626" t="s">
        <v>17</v>
      </c>
      <c r="AA626" t="s">
        <v>717</v>
      </c>
      <c r="AB626" t="s">
        <v>326</v>
      </c>
      <c r="AC626" t="s">
        <v>2571</v>
      </c>
      <c r="AD626" t="s">
        <v>717</v>
      </c>
      <c r="AE626" t="s">
        <v>4978</v>
      </c>
      <c r="AF626" t="s">
        <v>4979</v>
      </c>
      <c r="AG626" t="s">
        <v>717</v>
      </c>
      <c r="AH626" t="s">
        <v>2615</v>
      </c>
      <c r="AI626" t="s">
        <v>2552</v>
      </c>
      <c r="AJ626" t="s">
        <v>2895</v>
      </c>
      <c r="AK626" t="s">
        <v>77</v>
      </c>
      <c r="AL626" t="s">
        <v>16</v>
      </c>
      <c r="AM626" t="s">
        <v>10</v>
      </c>
      <c r="AN626" t="s">
        <v>717</v>
      </c>
    </row>
    <row r="627" spans="1:40" hidden="1">
      <c r="A627">
        <v>625</v>
      </c>
      <c r="B627">
        <v>19</v>
      </c>
      <c r="C627" s="58">
        <v>44449</v>
      </c>
      <c r="D627" t="s">
        <v>121</v>
      </c>
      <c r="E627" t="s">
        <v>2515</v>
      </c>
      <c r="F627">
        <v>4</v>
      </c>
      <c r="G627">
        <v>4</v>
      </c>
      <c r="H627">
        <v>18</v>
      </c>
      <c r="I627">
        <v>1</v>
      </c>
      <c r="J627">
        <v>36.86</v>
      </c>
      <c r="K627" t="s">
        <v>25</v>
      </c>
      <c r="L627">
        <v>3267654.88</v>
      </c>
      <c r="M627">
        <v>0</v>
      </c>
      <c r="N627">
        <v>3267654.88</v>
      </c>
      <c r="O627">
        <v>88650.430819316331</v>
      </c>
      <c r="P627">
        <v>589760</v>
      </c>
      <c r="Q627">
        <v>2677894.88</v>
      </c>
      <c r="R627">
        <v>72650.430819316331</v>
      </c>
      <c r="S627" t="s">
        <v>65</v>
      </c>
      <c r="T627" t="s">
        <v>717</v>
      </c>
      <c r="U627" t="s">
        <v>717</v>
      </c>
      <c r="V627" t="s">
        <v>4131</v>
      </c>
      <c r="W627">
        <v>44441</v>
      </c>
      <c r="X627" t="s">
        <v>4980</v>
      </c>
      <c r="Y627" t="s">
        <v>6</v>
      </c>
      <c r="Z627" t="s">
        <v>17</v>
      </c>
      <c r="AA627" t="s">
        <v>717</v>
      </c>
      <c r="AB627" t="s">
        <v>2509</v>
      </c>
      <c r="AC627" t="s">
        <v>2571</v>
      </c>
      <c r="AD627" t="s">
        <v>717</v>
      </c>
      <c r="AE627" t="s">
        <v>4981</v>
      </c>
      <c r="AF627" t="s">
        <v>4982</v>
      </c>
      <c r="AG627" t="s">
        <v>4983</v>
      </c>
      <c r="AH627" t="s">
        <v>2191</v>
      </c>
      <c r="AI627" t="s">
        <v>2552</v>
      </c>
      <c r="AJ627" t="s">
        <v>2514</v>
      </c>
      <c r="AK627" t="s">
        <v>77</v>
      </c>
      <c r="AL627" t="s">
        <v>16</v>
      </c>
      <c r="AM627" t="s">
        <v>10</v>
      </c>
      <c r="AN627" t="s">
        <v>717</v>
      </c>
    </row>
    <row r="628" spans="1:40" hidden="1">
      <c r="A628">
        <v>626</v>
      </c>
      <c r="B628">
        <v>20</v>
      </c>
      <c r="C628" s="58">
        <v>44449</v>
      </c>
      <c r="D628" t="s">
        <v>27</v>
      </c>
      <c r="E628" t="s">
        <v>2506</v>
      </c>
      <c r="F628">
        <v>3</v>
      </c>
      <c r="G628">
        <v>17</v>
      </c>
      <c r="H628">
        <v>330</v>
      </c>
      <c r="I628">
        <v>0</v>
      </c>
      <c r="J628">
        <v>23.54</v>
      </c>
      <c r="K628" t="s">
        <v>15</v>
      </c>
      <c r="L628">
        <v>1653331.9</v>
      </c>
      <c r="M628">
        <v>0</v>
      </c>
      <c r="N628">
        <v>1653331.9</v>
      </c>
      <c r="O628">
        <v>70235</v>
      </c>
      <c r="P628">
        <v>129470</v>
      </c>
      <c r="Q628">
        <v>1523861.9</v>
      </c>
      <c r="R628">
        <v>64735</v>
      </c>
      <c r="S628" t="s">
        <v>65</v>
      </c>
      <c r="T628" t="s">
        <v>717</v>
      </c>
      <c r="U628" t="s">
        <v>717</v>
      </c>
      <c r="V628" t="s">
        <v>717</v>
      </c>
      <c r="W628">
        <v>44448</v>
      </c>
      <c r="X628" t="s">
        <v>4984</v>
      </c>
      <c r="Y628" t="s">
        <v>6</v>
      </c>
      <c r="Z628" t="s">
        <v>17</v>
      </c>
      <c r="AA628" t="s">
        <v>717</v>
      </c>
      <c r="AB628" t="s">
        <v>2509</v>
      </c>
      <c r="AC628" t="s">
        <v>2571</v>
      </c>
      <c r="AD628" t="s">
        <v>717</v>
      </c>
      <c r="AE628" t="s">
        <v>4985</v>
      </c>
      <c r="AF628" t="s">
        <v>4986</v>
      </c>
      <c r="AG628" t="s">
        <v>4987</v>
      </c>
      <c r="AH628" t="s">
        <v>2615</v>
      </c>
      <c r="AI628" t="s">
        <v>2688</v>
      </c>
      <c r="AJ628" t="s">
        <v>3289</v>
      </c>
      <c r="AK628" t="s">
        <v>63</v>
      </c>
      <c r="AL628" t="s">
        <v>16</v>
      </c>
      <c r="AM628" t="s">
        <v>10</v>
      </c>
      <c r="AN628" t="s">
        <v>717</v>
      </c>
    </row>
    <row r="629" spans="1:40" hidden="1">
      <c r="A629">
        <v>627</v>
      </c>
      <c r="B629">
        <v>21</v>
      </c>
      <c r="C629" s="58">
        <v>44452</v>
      </c>
      <c r="D629" t="s">
        <v>27</v>
      </c>
      <c r="E629" t="s">
        <v>4409</v>
      </c>
      <c r="F629">
        <v>7</v>
      </c>
      <c r="G629">
        <v>9</v>
      </c>
      <c r="H629">
        <v>574</v>
      </c>
      <c r="I629">
        <v>2</v>
      </c>
      <c r="J629">
        <v>59.93</v>
      </c>
      <c r="K629" t="s">
        <v>9</v>
      </c>
      <c r="L629">
        <v>3276636.79</v>
      </c>
      <c r="M629">
        <v>0</v>
      </c>
      <c r="N629">
        <v>3276636.79</v>
      </c>
      <c r="O629">
        <v>54674.39996662773</v>
      </c>
      <c r="P629">
        <v>0</v>
      </c>
      <c r="Q629">
        <v>3276636.79</v>
      </c>
      <c r="R629">
        <v>54674.39996662773</v>
      </c>
      <c r="S629" t="s">
        <v>65</v>
      </c>
      <c r="T629" t="s">
        <v>717</v>
      </c>
      <c r="U629" t="s">
        <v>717</v>
      </c>
      <c r="V629" t="s">
        <v>4131</v>
      </c>
      <c r="W629">
        <v>44443</v>
      </c>
      <c r="X629" t="s">
        <v>4988</v>
      </c>
      <c r="Y629" t="s">
        <v>6</v>
      </c>
      <c r="Z629" t="s">
        <v>17</v>
      </c>
      <c r="AA629" t="s">
        <v>717</v>
      </c>
      <c r="AB629" t="s">
        <v>2509</v>
      </c>
      <c r="AC629" t="s">
        <v>2571</v>
      </c>
      <c r="AD629" t="s">
        <v>717</v>
      </c>
      <c r="AE629" t="s">
        <v>4989</v>
      </c>
      <c r="AF629" t="s">
        <v>4990</v>
      </c>
      <c r="AG629" t="s">
        <v>4991</v>
      </c>
      <c r="AH629" t="s">
        <v>2552</v>
      </c>
      <c r="AI629" t="s">
        <v>2877</v>
      </c>
      <c r="AJ629" t="s">
        <v>3098</v>
      </c>
      <c r="AK629" t="s">
        <v>20</v>
      </c>
      <c r="AL629" t="s">
        <v>16</v>
      </c>
      <c r="AM629" t="s">
        <v>10</v>
      </c>
      <c r="AN629" t="s">
        <v>717</v>
      </c>
    </row>
    <row r="630" spans="1:40" hidden="1">
      <c r="A630">
        <v>628</v>
      </c>
      <c r="B630">
        <v>22</v>
      </c>
      <c r="C630" s="58">
        <v>44452</v>
      </c>
      <c r="D630" t="s">
        <v>27</v>
      </c>
      <c r="E630" t="s">
        <v>2506</v>
      </c>
      <c r="F630">
        <v>3</v>
      </c>
      <c r="G630">
        <v>15</v>
      </c>
      <c r="H630">
        <v>314</v>
      </c>
      <c r="I630">
        <v>0</v>
      </c>
      <c r="J630">
        <v>23.54</v>
      </c>
      <c r="K630" t="s">
        <v>9</v>
      </c>
      <c r="L630">
        <v>1523861.9</v>
      </c>
      <c r="M630">
        <v>0</v>
      </c>
      <c r="N630">
        <v>1523861.9</v>
      </c>
      <c r="O630">
        <v>64735</v>
      </c>
      <c r="P630">
        <v>0</v>
      </c>
      <c r="Q630">
        <v>1523861.9</v>
      </c>
      <c r="R630">
        <v>64735</v>
      </c>
      <c r="S630" t="s">
        <v>65</v>
      </c>
      <c r="T630" t="s">
        <v>717</v>
      </c>
      <c r="U630" t="s">
        <v>717</v>
      </c>
      <c r="V630" t="s">
        <v>717</v>
      </c>
      <c r="W630">
        <v>44446</v>
      </c>
      <c r="X630" t="s">
        <v>4992</v>
      </c>
      <c r="Y630" t="s">
        <v>2611</v>
      </c>
      <c r="Z630" t="s">
        <v>17</v>
      </c>
      <c r="AA630" t="s">
        <v>717</v>
      </c>
      <c r="AB630" t="s">
        <v>2509</v>
      </c>
      <c r="AC630" t="s">
        <v>2571</v>
      </c>
      <c r="AD630">
        <v>45027</v>
      </c>
      <c r="AE630" t="s">
        <v>4993</v>
      </c>
      <c r="AF630" t="s">
        <v>4994</v>
      </c>
      <c r="AG630" t="s">
        <v>4995</v>
      </c>
      <c r="AH630" t="s">
        <v>2615</v>
      </c>
      <c r="AI630" t="s">
        <v>2847</v>
      </c>
      <c r="AJ630" t="s">
        <v>2940</v>
      </c>
      <c r="AK630" t="s">
        <v>63</v>
      </c>
      <c r="AL630" t="s">
        <v>16</v>
      </c>
      <c r="AM630" t="s">
        <v>10</v>
      </c>
      <c r="AN630" t="s">
        <v>717</v>
      </c>
    </row>
    <row r="631" spans="1:40" hidden="1">
      <c r="A631">
        <v>629</v>
      </c>
      <c r="B631">
        <v>23</v>
      </c>
      <c r="C631" s="58">
        <v>44452</v>
      </c>
      <c r="D631" t="s">
        <v>27</v>
      </c>
      <c r="E631" t="s">
        <v>4409</v>
      </c>
      <c r="F631">
        <v>2</v>
      </c>
      <c r="G631">
        <v>5</v>
      </c>
      <c r="H631">
        <v>537</v>
      </c>
      <c r="I631">
        <v>1</v>
      </c>
      <c r="J631">
        <v>37.159999999999997</v>
      </c>
      <c r="K631" t="s">
        <v>25</v>
      </c>
      <c r="L631">
        <v>2847906.73</v>
      </c>
      <c r="M631">
        <v>0</v>
      </c>
      <c r="N631">
        <v>2847906.73</v>
      </c>
      <c r="O631">
        <v>76639.040096878365</v>
      </c>
      <c r="P631">
        <v>594560</v>
      </c>
      <c r="Q631">
        <v>2253346.73</v>
      </c>
      <c r="R631">
        <v>60639.040096878365</v>
      </c>
      <c r="S631" t="s">
        <v>65</v>
      </c>
      <c r="T631" t="s">
        <v>717</v>
      </c>
      <c r="U631" t="s">
        <v>717</v>
      </c>
      <c r="V631" t="s">
        <v>717</v>
      </c>
      <c r="W631">
        <v>44447</v>
      </c>
      <c r="X631" t="s">
        <v>4996</v>
      </c>
      <c r="Y631" t="s">
        <v>6</v>
      </c>
      <c r="Z631" t="s">
        <v>17</v>
      </c>
      <c r="AA631" t="s">
        <v>717</v>
      </c>
      <c r="AB631" t="s">
        <v>2509</v>
      </c>
      <c r="AC631" t="s">
        <v>2571</v>
      </c>
      <c r="AD631" t="s">
        <v>717</v>
      </c>
      <c r="AE631" t="s">
        <v>4997</v>
      </c>
      <c r="AF631" t="s">
        <v>4998</v>
      </c>
      <c r="AG631" t="s">
        <v>4999</v>
      </c>
      <c r="AH631" t="s">
        <v>2191</v>
      </c>
      <c r="AI631" t="s">
        <v>2552</v>
      </c>
      <c r="AJ631" t="s">
        <v>2514</v>
      </c>
      <c r="AK631" t="s">
        <v>20</v>
      </c>
      <c r="AL631" t="s">
        <v>16</v>
      </c>
      <c r="AM631" t="s">
        <v>10</v>
      </c>
      <c r="AN631" t="s">
        <v>717</v>
      </c>
    </row>
    <row r="632" spans="1:40" hidden="1">
      <c r="A632">
        <v>630</v>
      </c>
      <c r="B632">
        <v>24</v>
      </c>
      <c r="C632" s="58">
        <v>44452</v>
      </c>
      <c r="D632" t="s">
        <v>27</v>
      </c>
      <c r="E632" t="s">
        <v>2506</v>
      </c>
      <c r="F632">
        <v>3</v>
      </c>
      <c r="G632">
        <v>5</v>
      </c>
      <c r="H632">
        <v>234</v>
      </c>
      <c r="I632">
        <v>0</v>
      </c>
      <c r="J632">
        <v>23.54</v>
      </c>
      <c r="K632" t="s">
        <v>15</v>
      </c>
      <c r="L632">
        <v>1653331.9</v>
      </c>
      <c r="M632">
        <v>0</v>
      </c>
      <c r="N632">
        <v>1653331.9</v>
      </c>
      <c r="O632">
        <v>70235</v>
      </c>
      <c r="P632">
        <v>129470</v>
      </c>
      <c r="Q632">
        <v>1523861.9</v>
      </c>
      <c r="R632">
        <v>64735</v>
      </c>
      <c r="S632" t="s">
        <v>65</v>
      </c>
      <c r="T632" t="s">
        <v>717</v>
      </c>
      <c r="U632" t="s">
        <v>717</v>
      </c>
      <c r="V632" t="s">
        <v>717</v>
      </c>
      <c r="W632">
        <v>44447</v>
      </c>
      <c r="X632" t="s">
        <v>5000</v>
      </c>
      <c r="Y632" t="s">
        <v>6</v>
      </c>
      <c r="Z632" t="s">
        <v>17</v>
      </c>
      <c r="AA632" t="s">
        <v>717</v>
      </c>
      <c r="AB632" t="s">
        <v>2509</v>
      </c>
      <c r="AC632" t="s">
        <v>2571</v>
      </c>
      <c r="AD632" t="s">
        <v>717</v>
      </c>
      <c r="AE632" t="s">
        <v>5001</v>
      </c>
      <c r="AF632" t="s">
        <v>5002</v>
      </c>
      <c r="AG632" t="s">
        <v>717</v>
      </c>
      <c r="AH632" t="s">
        <v>2616</v>
      </c>
      <c r="AI632" t="s">
        <v>2552</v>
      </c>
      <c r="AJ632" t="s">
        <v>2569</v>
      </c>
      <c r="AK632" t="s">
        <v>73</v>
      </c>
      <c r="AL632" t="s">
        <v>16</v>
      </c>
      <c r="AM632" t="s">
        <v>10</v>
      </c>
      <c r="AN632" t="s">
        <v>717</v>
      </c>
    </row>
    <row r="633" spans="1:40" hidden="1">
      <c r="A633">
        <v>631</v>
      </c>
      <c r="B633">
        <v>25</v>
      </c>
      <c r="C633" s="58">
        <v>44455</v>
      </c>
      <c r="D633" t="s">
        <v>27</v>
      </c>
      <c r="E633" t="s">
        <v>2506</v>
      </c>
      <c r="F633">
        <v>3</v>
      </c>
      <c r="G633">
        <v>16</v>
      </c>
      <c r="H633">
        <v>322</v>
      </c>
      <c r="I633">
        <v>0</v>
      </c>
      <c r="J633">
        <v>23.54</v>
      </c>
      <c r="K633" t="s">
        <v>9</v>
      </c>
      <c r="L633">
        <v>1493384.66</v>
      </c>
      <c r="M633">
        <v>0</v>
      </c>
      <c r="N633">
        <v>1493384.66</v>
      </c>
      <c r="O633">
        <v>63440.299915038231</v>
      </c>
      <c r="P633">
        <v>0</v>
      </c>
      <c r="Q633">
        <v>1493384.66</v>
      </c>
      <c r="R633">
        <v>63440.299915038231</v>
      </c>
      <c r="S633" t="s">
        <v>2507</v>
      </c>
      <c r="T633" t="s">
        <v>4379</v>
      </c>
      <c r="U633">
        <v>30477.238000000001</v>
      </c>
      <c r="V633" t="s">
        <v>717</v>
      </c>
      <c r="W633">
        <v>44455</v>
      </c>
      <c r="X633" t="s">
        <v>5003</v>
      </c>
      <c r="Y633" t="s">
        <v>2611</v>
      </c>
      <c r="Z633" t="s">
        <v>11</v>
      </c>
      <c r="AA633" t="s">
        <v>717</v>
      </c>
      <c r="AB633" t="s">
        <v>2509</v>
      </c>
      <c r="AC633" t="s">
        <v>118</v>
      </c>
      <c r="AE633" t="s">
        <v>5004</v>
      </c>
      <c r="AF633" t="s">
        <v>5005</v>
      </c>
      <c r="AG633" t="s">
        <v>5006</v>
      </c>
      <c r="AH633" t="s">
        <v>2615</v>
      </c>
      <c r="AI633" t="s">
        <v>2847</v>
      </c>
      <c r="AJ633" t="s">
        <v>2662</v>
      </c>
      <c r="AK633" t="s">
        <v>73</v>
      </c>
      <c r="AL633" t="s">
        <v>717</v>
      </c>
      <c r="AM633" t="s">
        <v>10</v>
      </c>
      <c r="AN633" t="s">
        <v>717</v>
      </c>
    </row>
    <row r="634" spans="1:40" hidden="1">
      <c r="A634">
        <v>632</v>
      </c>
      <c r="B634">
        <v>26</v>
      </c>
      <c r="C634" s="58">
        <v>44456</v>
      </c>
      <c r="D634" t="s">
        <v>27</v>
      </c>
      <c r="E634" t="s">
        <v>4409</v>
      </c>
      <c r="F634">
        <v>3</v>
      </c>
      <c r="G634">
        <v>5</v>
      </c>
      <c r="H634">
        <v>538</v>
      </c>
      <c r="I634">
        <v>0</v>
      </c>
      <c r="J634">
        <v>23.54</v>
      </c>
      <c r="K634" t="s">
        <v>15</v>
      </c>
      <c r="L634">
        <v>1653331.9</v>
      </c>
      <c r="M634">
        <v>0</v>
      </c>
      <c r="N634">
        <v>1653331.9</v>
      </c>
      <c r="O634">
        <v>70235</v>
      </c>
      <c r="P634">
        <v>129470</v>
      </c>
      <c r="Q634">
        <v>1523861.9</v>
      </c>
      <c r="R634">
        <v>64735</v>
      </c>
      <c r="S634" t="s">
        <v>65</v>
      </c>
      <c r="T634" t="s">
        <v>717</v>
      </c>
      <c r="U634" t="s">
        <v>717</v>
      </c>
      <c r="V634" t="s">
        <v>717</v>
      </c>
      <c r="W634">
        <v>44439</v>
      </c>
      <c r="X634" t="s">
        <v>5007</v>
      </c>
      <c r="Y634" t="s">
        <v>6</v>
      </c>
      <c r="Z634" t="s">
        <v>11</v>
      </c>
      <c r="AA634" t="s">
        <v>717</v>
      </c>
      <c r="AB634" t="s">
        <v>2509</v>
      </c>
      <c r="AC634" t="s">
        <v>2558</v>
      </c>
      <c r="AD634" t="s">
        <v>717</v>
      </c>
      <c r="AE634" t="s">
        <v>5008</v>
      </c>
      <c r="AF634" t="s">
        <v>5009</v>
      </c>
      <c r="AG634" t="s">
        <v>5010</v>
      </c>
      <c r="AH634" t="s">
        <v>2615</v>
      </c>
      <c r="AI634" t="s">
        <v>2621</v>
      </c>
      <c r="AJ634" t="s">
        <v>2569</v>
      </c>
      <c r="AK634" t="s">
        <v>73</v>
      </c>
      <c r="AL634" t="s">
        <v>16</v>
      </c>
      <c r="AM634" t="s">
        <v>10</v>
      </c>
      <c r="AN634" t="s">
        <v>717</v>
      </c>
    </row>
    <row r="635" spans="1:40" hidden="1">
      <c r="A635">
        <v>633</v>
      </c>
      <c r="B635">
        <v>27</v>
      </c>
      <c r="C635" s="58">
        <v>44456</v>
      </c>
      <c r="D635" t="s">
        <v>27</v>
      </c>
      <c r="E635" t="s">
        <v>2506</v>
      </c>
      <c r="F635">
        <v>3</v>
      </c>
      <c r="G635">
        <v>6</v>
      </c>
      <c r="H635">
        <v>242</v>
      </c>
      <c r="I635">
        <v>0</v>
      </c>
      <c r="J635">
        <v>23.54</v>
      </c>
      <c r="K635" t="s">
        <v>9</v>
      </c>
      <c r="L635">
        <v>1344435</v>
      </c>
      <c r="M635">
        <v>15000</v>
      </c>
      <c r="N635">
        <v>1359435</v>
      </c>
      <c r="O635">
        <v>57750</v>
      </c>
      <c r="P635">
        <v>0</v>
      </c>
      <c r="Q635">
        <v>1359435</v>
      </c>
      <c r="R635">
        <v>57750</v>
      </c>
      <c r="S635" t="s">
        <v>130</v>
      </c>
      <c r="T635" t="s">
        <v>717</v>
      </c>
      <c r="U635" t="s">
        <v>717</v>
      </c>
      <c r="V635" t="s">
        <v>717</v>
      </c>
      <c r="W635">
        <v>44444</v>
      </c>
      <c r="X635" t="s">
        <v>5011</v>
      </c>
      <c r="Y635" t="s">
        <v>6</v>
      </c>
      <c r="Z635" t="s">
        <v>11</v>
      </c>
      <c r="AA635" t="s">
        <v>717</v>
      </c>
      <c r="AB635" t="s">
        <v>2509</v>
      </c>
      <c r="AC635" t="s">
        <v>118</v>
      </c>
      <c r="AD635" t="s">
        <v>717</v>
      </c>
      <c r="AE635" t="s">
        <v>5012</v>
      </c>
      <c r="AF635" t="s">
        <v>5013</v>
      </c>
      <c r="AG635" t="s">
        <v>5014</v>
      </c>
      <c r="AH635" t="s">
        <v>2615</v>
      </c>
      <c r="AI635" t="s">
        <v>2552</v>
      </c>
      <c r="AJ635" t="s">
        <v>2793</v>
      </c>
      <c r="AK635" t="s">
        <v>20</v>
      </c>
      <c r="AL635" t="s">
        <v>717</v>
      </c>
      <c r="AM635" t="s">
        <v>10</v>
      </c>
      <c r="AN635" t="s">
        <v>717</v>
      </c>
    </row>
    <row r="636" spans="1:40" hidden="1">
      <c r="A636">
        <v>634</v>
      </c>
      <c r="B636">
        <v>28</v>
      </c>
      <c r="C636" s="58">
        <v>44456</v>
      </c>
      <c r="D636" t="s">
        <v>27</v>
      </c>
      <c r="E636" t="s">
        <v>2581</v>
      </c>
      <c r="F636">
        <v>6</v>
      </c>
      <c r="G636">
        <v>11</v>
      </c>
      <c r="H636">
        <v>469</v>
      </c>
      <c r="I636">
        <v>1</v>
      </c>
      <c r="J636">
        <v>37.11</v>
      </c>
      <c r="K636" t="s">
        <v>15</v>
      </c>
      <c r="L636">
        <v>2454419.77</v>
      </c>
      <c r="M636">
        <v>0</v>
      </c>
      <c r="N636">
        <v>2454419.77</v>
      </c>
      <c r="O636">
        <v>66139.039881433579</v>
      </c>
      <c r="P636">
        <v>204105</v>
      </c>
      <c r="Q636">
        <v>2250314.77</v>
      </c>
      <c r="R636">
        <v>60639.039881433579</v>
      </c>
      <c r="S636" t="s">
        <v>65</v>
      </c>
      <c r="T636" t="s">
        <v>717</v>
      </c>
      <c r="U636" t="s">
        <v>717</v>
      </c>
      <c r="V636" t="s">
        <v>717</v>
      </c>
      <c r="W636">
        <v>44453</v>
      </c>
      <c r="X636" t="s">
        <v>5015</v>
      </c>
      <c r="Y636" t="s">
        <v>6</v>
      </c>
      <c r="Z636" t="s">
        <v>17</v>
      </c>
      <c r="AA636" t="s">
        <v>717</v>
      </c>
      <c r="AB636" t="s">
        <v>2509</v>
      </c>
      <c r="AC636" t="s">
        <v>2571</v>
      </c>
      <c r="AD636" t="s">
        <v>717</v>
      </c>
      <c r="AE636" t="s">
        <v>5016</v>
      </c>
      <c r="AF636" t="s">
        <v>5017</v>
      </c>
      <c r="AG636" t="s">
        <v>5018</v>
      </c>
      <c r="AH636" t="s">
        <v>2615</v>
      </c>
      <c r="AI636" t="s">
        <v>2706</v>
      </c>
      <c r="AJ636" t="s">
        <v>2569</v>
      </c>
      <c r="AK636" t="s">
        <v>73</v>
      </c>
      <c r="AL636" t="s">
        <v>16</v>
      </c>
      <c r="AM636" t="s">
        <v>10</v>
      </c>
      <c r="AN636" t="s">
        <v>717</v>
      </c>
    </row>
    <row r="637" spans="1:40" hidden="1">
      <c r="A637">
        <v>635</v>
      </c>
      <c r="B637">
        <v>29</v>
      </c>
      <c r="C637" s="58">
        <v>44459</v>
      </c>
      <c r="D637" t="s">
        <v>27</v>
      </c>
      <c r="E637" t="s">
        <v>4409</v>
      </c>
      <c r="F637">
        <v>2</v>
      </c>
      <c r="G637">
        <v>15</v>
      </c>
      <c r="H637">
        <v>617</v>
      </c>
      <c r="I637">
        <v>1</v>
      </c>
      <c r="J637">
        <v>37.159999999999997</v>
      </c>
      <c r="K637" t="s">
        <v>9</v>
      </c>
      <c r="L637">
        <v>1864288.96</v>
      </c>
      <c r="M637">
        <v>0</v>
      </c>
      <c r="N637">
        <v>1864288.96</v>
      </c>
      <c r="O637">
        <v>50169.240043057056</v>
      </c>
      <c r="P637">
        <v>0</v>
      </c>
      <c r="Q637">
        <v>1864288.96</v>
      </c>
      <c r="R637">
        <v>50169.240043057056</v>
      </c>
      <c r="S637" t="s">
        <v>130</v>
      </c>
      <c r="T637" t="s">
        <v>2941</v>
      </c>
      <c r="U637">
        <v>207143.21759999997</v>
      </c>
      <c r="V637" t="s">
        <v>717</v>
      </c>
      <c r="W637">
        <v>44411</v>
      </c>
      <c r="X637" t="s">
        <v>5019</v>
      </c>
      <c r="Y637" t="s">
        <v>6</v>
      </c>
      <c r="Z637" t="s">
        <v>11</v>
      </c>
      <c r="AA637" t="s">
        <v>717</v>
      </c>
      <c r="AB637" t="s">
        <v>2509</v>
      </c>
      <c r="AC637" t="s">
        <v>118</v>
      </c>
      <c r="AD637" t="s">
        <v>717</v>
      </c>
      <c r="AE637" t="s">
        <v>5020</v>
      </c>
      <c r="AF637" t="s">
        <v>5021</v>
      </c>
      <c r="AG637" t="s">
        <v>5022</v>
      </c>
      <c r="AH637" t="s">
        <v>2191</v>
      </c>
      <c r="AI637" t="s">
        <v>2802</v>
      </c>
      <c r="AJ637" t="s">
        <v>2569</v>
      </c>
      <c r="AK637" t="s">
        <v>77</v>
      </c>
      <c r="AL637" t="s">
        <v>717</v>
      </c>
      <c r="AM637" t="s">
        <v>10</v>
      </c>
      <c r="AN637" t="s">
        <v>717</v>
      </c>
    </row>
    <row r="638" spans="1:40" hidden="1">
      <c r="A638">
        <v>636</v>
      </c>
      <c r="B638">
        <v>30</v>
      </c>
      <c r="C638" s="58">
        <v>44459</v>
      </c>
      <c r="D638" t="s">
        <v>121</v>
      </c>
      <c r="E638" t="s">
        <v>2515</v>
      </c>
      <c r="F638">
        <v>4</v>
      </c>
      <c r="G638">
        <v>23</v>
      </c>
      <c r="H638">
        <v>151</v>
      </c>
      <c r="I638">
        <v>1</v>
      </c>
      <c r="J638">
        <v>36.86</v>
      </c>
      <c r="K638" t="s">
        <v>9</v>
      </c>
      <c r="L638">
        <v>2284323.14</v>
      </c>
      <c r="M638">
        <v>0</v>
      </c>
      <c r="N638">
        <v>2284323.14</v>
      </c>
      <c r="O638">
        <v>61972.955507325016</v>
      </c>
      <c r="P638">
        <v>0</v>
      </c>
      <c r="Q638">
        <v>2284323.14</v>
      </c>
      <c r="R638">
        <v>61972.955507325016</v>
      </c>
      <c r="S638" t="s">
        <v>130</v>
      </c>
      <c r="T638" t="s">
        <v>2941</v>
      </c>
      <c r="U638">
        <v>120227.53</v>
      </c>
      <c r="V638" t="s">
        <v>717</v>
      </c>
      <c r="W638">
        <v>44411</v>
      </c>
      <c r="X638" t="s">
        <v>5023</v>
      </c>
      <c r="Y638" t="s">
        <v>6</v>
      </c>
      <c r="Z638" t="s">
        <v>11</v>
      </c>
      <c r="AA638" t="s">
        <v>717</v>
      </c>
      <c r="AB638" t="s">
        <v>2509</v>
      </c>
      <c r="AC638" t="s">
        <v>118</v>
      </c>
      <c r="AD638" t="s">
        <v>717</v>
      </c>
      <c r="AE638" t="s">
        <v>5020</v>
      </c>
      <c r="AF638" t="s">
        <v>5021</v>
      </c>
      <c r="AG638" t="s">
        <v>5022</v>
      </c>
      <c r="AH638" t="s">
        <v>2615</v>
      </c>
      <c r="AI638" t="s">
        <v>2802</v>
      </c>
      <c r="AJ638" t="s">
        <v>2569</v>
      </c>
      <c r="AK638" t="s">
        <v>77</v>
      </c>
      <c r="AL638" t="s">
        <v>717</v>
      </c>
      <c r="AM638" t="s">
        <v>10</v>
      </c>
      <c r="AN638" t="s">
        <v>717</v>
      </c>
    </row>
    <row r="639" spans="1:40" hidden="1">
      <c r="A639">
        <v>637</v>
      </c>
      <c r="B639">
        <v>31</v>
      </c>
      <c r="C639" s="58">
        <v>44459</v>
      </c>
      <c r="D639" t="s">
        <v>121</v>
      </c>
      <c r="E639" t="s">
        <v>2515</v>
      </c>
      <c r="F639">
        <v>1</v>
      </c>
      <c r="G639">
        <v>19</v>
      </c>
      <c r="H639">
        <v>120</v>
      </c>
      <c r="I639">
        <v>2</v>
      </c>
      <c r="J639">
        <v>59.52</v>
      </c>
      <c r="K639" t="s">
        <v>15</v>
      </c>
      <c r="L639">
        <v>4235788.29</v>
      </c>
      <c r="M639">
        <v>0</v>
      </c>
      <c r="N639">
        <v>4235788.29</v>
      </c>
      <c r="O639">
        <v>71165.797883064515</v>
      </c>
      <c r="P639">
        <v>327360</v>
      </c>
      <c r="Q639">
        <v>3908428.29</v>
      </c>
      <c r="R639">
        <v>65665.797883064515</v>
      </c>
      <c r="S639" t="s">
        <v>65</v>
      </c>
      <c r="T639" t="s">
        <v>717</v>
      </c>
      <c r="U639" t="s">
        <v>717</v>
      </c>
      <c r="V639" t="s">
        <v>717</v>
      </c>
      <c r="W639">
        <v>44444</v>
      </c>
      <c r="X639" t="s">
        <v>5024</v>
      </c>
      <c r="Y639" t="s">
        <v>6</v>
      </c>
      <c r="Z639" t="s">
        <v>17</v>
      </c>
      <c r="AA639" t="s">
        <v>717</v>
      </c>
      <c r="AB639" t="s">
        <v>2509</v>
      </c>
      <c r="AC639" t="s">
        <v>2571</v>
      </c>
      <c r="AD639" t="s">
        <v>717</v>
      </c>
      <c r="AE639" t="s">
        <v>5025</v>
      </c>
      <c r="AF639" t="s">
        <v>5026</v>
      </c>
      <c r="AG639" t="s">
        <v>5027</v>
      </c>
      <c r="AH639" t="s">
        <v>2552</v>
      </c>
      <c r="AI639" t="s">
        <v>2877</v>
      </c>
      <c r="AJ639" t="s">
        <v>3098</v>
      </c>
      <c r="AK639" t="s">
        <v>77</v>
      </c>
      <c r="AL639" t="s">
        <v>16</v>
      </c>
      <c r="AM639" t="s">
        <v>10</v>
      </c>
      <c r="AN639" t="s">
        <v>717</v>
      </c>
    </row>
    <row r="640" spans="1:40" hidden="1">
      <c r="A640">
        <v>638</v>
      </c>
      <c r="B640">
        <v>32</v>
      </c>
      <c r="C640" s="58">
        <v>44459</v>
      </c>
      <c r="D640" t="s">
        <v>121</v>
      </c>
      <c r="E640" t="s">
        <v>2515</v>
      </c>
      <c r="F640">
        <v>3</v>
      </c>
      <c r="G640">
        <v>20</v>
      </c>
      <c r="H640">
        <v>129</v>
      </c>
      <c r="I640">
        <v>3</v>
      </c>
      <c r="J640">
        <v>76.56</v>
      </c>
      <c r="K640" t="s">
        <v>15</v>
      </c>
      <c r="L640">
        <v>5113683.96</v>
      </c>
      <c r="M640">
        <v>15000</v>
      </c>
      <c r="N640">
        <v>5128683.96</v>
      </c>
      <c r="O640">
        <v>66989.079937304079</v>
      </c>
      <c r="P640">
        <v>421080</v>
      </c>
      <c r="Q640">
        <v>4707603.96</v>
      </c>
      <c r="R640">
        <v>61489.079937304072</v>
      </c>
      <c r="S640" t="s">
        <v>65</v>
      </c>
      <c r="T640" t="s">
        <v>717</v>
      </c>
      <c r="U640" t="s">
        <v>717</v>
      </c>
      <c r="V640" t="s">
        <v>4131</v>
      </c>
      <c r="W640">
        <v>44446</v>
      </c>
      <c r="X640" t="s">
        <v>5028</v>
      </c>
      <c r="Y640" t="s">
        <v>6</v>
      </c>
      <c r="Z640" t="s">
        <v>17</v>
      </c>
      <c r="AA640" t="s">
        <v>717</v>
      </c>
      <c r="AB640" t="s">
        <v>2509</v>
      </c>
      <c r="AC640" t="s">
        <v>2571</v>
      </c>
      <c r="AD640" t="s">
        <v>717</v>
      </c>
      <c r="AE640" t="s">
        <v>5029</v>
      </c>
      <c r="AF640" t="s">
        <v>5030</v>
      </c>
      <c r="AG640" t="s">
        <v>5031</v>
      </c>
      <c r="AH640" t="s">
        <v>2552</v>
      </c>
      <c r="AI640" t="s">
        <v>2877</v>
      </c>
      <c r="AJ640" t="s">
        <v>3098</v>
      </c>
      <c r="AK640" t="s">
        <v>73</v>
      </c>
      <c r="AL640" t="s">
        <v>16</v>
      </c>
      <c r="AM640" t="s">
        <v>10</v>
      </c>
      <c r="AN640" t="s">
        <v>717</v>
      </c>
    </row>
    <row r="641" spans="1:40" hidden="1">
      <c r="A641">
        <v>639</v>
      </c>
      <c r="B641">
        <v>33</v>
      </c>
      <c r="C641" s="58">
        <v>44459</v>
      </c>
      <c r="D641" t="s">
        <v>27</v>
      </c>
      <c r="E641" t="s">
        <v>2506</v>
      </c>
      <c r="F641">
        <v>3</v>
      </c>
      <c r="G641">
        <v>14</v>
      </c>
      <c r="H641">
        <v>306</v>
      </c>
      <c r="I641">
        <v>0</v>
      </c>
      <c r="J641">
        <v>23.54</v>
      </c>
      <c r="K641" t="s">
        <v>9</v>
      </c>
      <c r="L641">
        <v>1493384.66</v>
      </c>
      <c r="M641">
        <v>0</v>
      </c>
      <c r="N641">
        <v>1493384.66</v>
      </c>
      <c r="O641">
        <v>63440.299915038231</v>
      </c>
      <c r="P641">
        <v>0</v>
      </c>
      <c r="Q641">
        <v>1493384.66</v>
      </c>
      <c r="R641">
        <v>63440.299915038231</v>
      </c>
      <c r="S641" t="s">
        <v>130</v>
      </c>
      <c r="T641" t="s">
        <v>2664</v>
      </c>
      <c r="U641">
        <v>30477.238000000001</v>
      </c>
      <c r="V641" t="s">
        <v>717</v>
      </c>
      <c r="W641">
        <v>44453</v>
      </c>
      <c r="X641" t="s">
        <v>5032</v>
      </c>
      <c r="Y641" t="s">
        <v>6</v>
      </c>
      <c r="Z641" t="s">
        <v>11</v>
      </c>
      <c r="AA641" t="s">
        <v>717</v>
      </c>
      <c r="AB641" t="s">
        <v>2509</v>
      </c>
      <c r="AC641" t="s">
        <v>118</v>
      </c>
      <c r="AD641" t="s">
        <v>717</v>
      </c>
      <c r="AE641" t="s">
        <v>5033</v>
      </c>
      <c r="AF641" t="s">
        <v>5034</v>
      </c>
      <c r="AG641" t="s">
        <v>5035</v>
      </c>
      <c r="AH641" t="s">
        <v>2191</v>
      </c>
      <c r="AI641" t="s">
        <v>2802</v>
      </c>
      <c r="AJ641" t="s">
        <v>2514</v>
      </c>
      <c r="AK641" t="s">
        <v>20</v>
      </c>
      <c r="AL641" t="s">
        <v>717</v>
      </c>
      <c r="AM641" t="s">
        <v>10</v>
      </c>
      <c r="AN641" t="s">
        <v>717</v>
      </c>
    </row>
    <row r="642" spans="1:40" hidden="1">
      <c r="A642">
        <v>640</v>
      </c>
      <c r="B642">
        <v>34</v>
      </c>
      <c r="C642" s="58">
        <v>44460</v>
      </c>
      <c r="D642" t="s">
        <v>27</v>
      </c>
      <c r="E642" t="s">
        <v>2506</v>
      </c>
      <c r="F642">
        <v>7</v>
      </c>
      <c r="G642">
        <v>8</v>
      </c>
      <c r="H642">
        <v>262</v>
      </c>
      <c r="I642">
        <v>2</v>
      </c>
      <c r="J642">
        <v>59.93</v>
      </c>
      <c r="K642" t="s">
        <v>15</v>
      </c>
      <c r="L642">
        <v>3677479.08</v>
      </c>
      <c r="M642">
        <v>15000</v>
      </c>
      <c r="N642">
        <v>3692479.08</v>
      </c>
      <c r="O642">
        <v>61613.200066744539</v>
      </c>
      <c r="P642">
        <v>329615</v>
      </c>
      <c r="Q642">
        <v>3362864.08</v>
      </c>
      <c r="R642">
        <v>56113.200066744539</v>
      </c>
      <c r="S642" t="s">
        <v>65</v>
      </c>
      <c r="T642" t="s">
        <v>717</v>
      </c>
      <c r="U642" t="s">
        <v>717</v>
      </c>
      <c r="V642" t="s">
        <v>4131</v>
      </c>
      <c r="W642">
        <v>44453</v>
      </c>
      <c r="X642" t="s">
        <v>5036</v>
      </c>
      <c r="Y642" t="s">
        <v>6</v>
      </c>
      <c r="Z642" t="s">
        <v>17</v>
      </c>
      <c r="AA642" t="s">
        <v>717</v>
      </c>
      <c r="AB642" t="s">
        <v>2509</v>
      </c>
      <c r="AC642" t="s">
        <v>2571</v>
      </c>
      <c r="AD642" t="s">
        <v>717</v>
      </c>
      <c r="AE642" t="s">
        <v>5037</v>
      </c>
      <c r="AF642" t="s">
        <v>5038</v>
      </c>
      <c r="AG642" t="s">
        <v>5039</v>
      </c>
      <c r="AH642" t="s">
        <v>2552</v>
      </c>
      <c r="AI642" t="s">
        <v>2547</v>
      </c>
      <c r="AJ642" t="s">
        <v>2855</v>
      </c>
      <c r="AK642" t="s">
        <v>73</v>
      </c>
      <c r="AL642" t="s">
        <v>16</v>
      </c>
      <c r="AM642" t="s">
        <v>10</v>
      </c>
      <c r="AN642" t="s">
        <v>717</v>
      </c>
    </row>
    <row r="643" spans="1:40" hidden="1">
      <c r="A643">
        <v>641</v>
      </c>
      <c r="B643">
        <v>35</v>
      </c>
      <c r="C643" s="58">
        <v>44461</v>
      </c>
      <c r="D643" t="s">
        <v>27</v>
      </c>
      <c r="E643" t="s">
        <v>2506</v>
      </c>
      <c r="F643">
        <v>3</v>
      </c>
      <c r="G643">
        <v>8</v>
      </c>
      <c r="H643">
        <v>258</v>
      </c>
      <c r="I643">
        <v>0</v>
      </c>
      <c r="J643">
        <v>23.54</v>
      </c>
      <c r="K643" t="s">
        <v>9</v>
      </c>
      <c r="L643">
        <v>1523861.9</v>
      </c>
      <c r="M643">
        <v>0</v>
      </c>
      <c r="N643">
        <v>1523861.9</v>
      </c>
      <c r="O643">
        <v>64735</v>
      </c>
      <c r="P643">
        <v>0</v>
      </c>
      <c r="Q643">
        <v>1523861.9</v>
      </c>
      <c r="R643">
        <v>64735</v>
      </c>
      <c r="S643" t="s">
        <v>130</v>
      </c>
      <c r="T643" t="s">
        <v>717</v>
      </c>
      <c r="U643" t="s">
        <v>717</v>
      </c>
      <c r="V643" t="s">
        <v>717</v>
      </c>
      <c r="W643">
        <v>44456</v>
      </c>
      <c r="X643" t="s">
        <v>5040</v>
      </c>
      <c r="Y643" t="s">
        <v>2611</v>
      </c>
      <c r="Z643" t="s">
        <v>11</v>
      </c>
      <c r="AA643" t="s">
        <v>717</v>
      </c>
      <c r="AB643" t="s">
        <v>2509</v>
      </c>
      <c r="AC643" t="s">
        <v>118</v>
      </c>
      <c r="AD643">
        <v>44963</v>
      </c>
      <c r="AE643" t="s">
        <v>5041</v>
      </c>
      <c r="AF643" t="s">
        <v>5042</v>
      </c>
      <c r="AG643" t="s">
        <v>5043</v>
      </c>
      <c r="AH643" t="s">
        <v>2580</v>
      </c>
      <c r="AI643" t="s">
        <v>2802</v>
      </c>
      <c r="AJ643" t="s">
        <v>3921</v>
      </c>
      <c r="AK643" t="s">
        <v>20</v>
      </c>
      <c r="AL643" t="s">
        <v>717</v>
      </c>
      <c r="AM643" t="s">
        <v>10</v>
      </c>
      <c r="AN643" t="s">
        <v>717</v>
      </c>
    </row>
    <row r="644" spans="1:40" hidden="1">
      <c r="A644">
        <v>642</v>
      </c>
      <c r="B644">
        <v>36</v>
      </c>
      <c r="C644" s="58">
        <v>44462</v>
      </c>
      <c r="D644" t="s">
        <v>121</v>
      </c>
      <c r="E644" t="s">
        <v>2515</v>
      </c>
      <c r="F644">
        <v>7</v>
      </c>
      <c r="G644">
        <v>13</v>
      </c>
      <c r="H644">
        <v>84</v>
      </c>
      <c r="I644">
        <v>2</v>
      </c>
      <c r="J644">
        <v>58.17</v>
      </c>
      <c r="K644" t="s">
        <v>9</v>
      </c>
      <c r="L644">
        <v>3919247.01</v>
      </c>
      <c r="M644">
        <v>15000</v>
      </c>
      <c r="N644">
        <v>3934247.01</v>
      </c>
      <c r="O644">
        <v>67633.608561113972</v>
      </c>
      <c r="P644">
        <v>0</v>
      </c>
      <c r="Q644">
        <v>3934247.01</v>
      </c>
      <c r="R644">
        <v>67633.608561113972</v>
      </c>
      <c r="S644" t="s">
        <v>65</v>
      </c>
      <c r="T644" t="s">
        <v>717</v>
      </c>
      <c r="U644" t="s">
        <v>717</v>
      </c>
      <c r="V644" t="s">
        <v>4131</v>
      </c>
      <c r="W644">
        <v>44454</v>
      </c>
      <c r="X644" t="s">
        <v>5044</v>
      </c>
      <c r="Y644" t="s">
        <v>6</v>
      </c>
      <c r="Z644" t="s">
        <v>17</v>
      </c>
      <c r="AA644" t="s">
        <v>717</v>
      </c>
      <c r="AB644" t="s">
        <v>2509</v>
      </c>
      <c r="AC644" t="s">
        <v>2571</v>
      </c>
      <c r="AD644" t="s">
        <v>717</v>
      </c>
      <c r="AE644" t="s">
        <v>5045</v>
      </c>
      <c r="AF644" t="s">
        <v>5046</v>
      </c>
      <c r="AG644" t="s">
        <v>5047</v>
      </c>
      <c r="AH644" t="s">
        <v>2615</v>
      </c>
      <c r="AI644" t="s">
        <v>2552</v>
      </c>
      <c r="AJ644" t="s">
        <v>2569</v>
      </c>
      <c r="AK644" t="s">
        <v>407</v>
      </c>
      <c r="AL644" t="s">
        <v>16</v>
      </c>
      <c r="AM644" t="s">
        <v>10</v>
      </c>
      <c r="AN644" t="s">
        <v>717</v>
      </c>
    </row>
    <row r="645" spans="1:40" hidden="1">
      <c r="A645">
        <v>643</v>
      </c>
      <c r="B645">
        <v>37</v>
      </c>
      <c r="C645" s="58">
        <v>44463</v>
      </c>
      <c r="D645" t="s">
        <v>27</v>
      </c>
      <c r="E645" t="s">
        <v>2506</v>
      </c>
      <c r="F645">
        <v>7</v>
      </c>
      <c r="G645">
        <v>13</v>
      </c>
      <c r="H645">
        <v>302</v>
      </c>
      <c r="I645">
        <v>2</v>
      </c>
      <c r="J645">
        <v>59.93</v>
      </c>
      <c r="K645" t="s">
        <v>9</v>
      </c>
      <c r="L645">
        <v>3541834.47</v>
      </c>
      <c r="M645">
        <v>0</v>
      </c>
      <c r="N645">
        <v>3541834.47</v>
      </c>
      <c r="O645">
        <v>59099.523944602042</v>
      </c>
      <c r="P645">
        <v>0</v>
      </c>
      <c r="Q645">
        <v>3541834.47</v>
      </c>
      <c r="R645">
        <v>59099.523944602042</v>
      </c>
      <c r="S645" t="s">
        <v>65</v>
      </c>
      <c r="T645" t="s">
        <v>717</v>
      </c>
      <c r="U645" t="s">
        <v>717</v>
      </c>
      <c r="V645" t="s">
        <v>4131</v>
      </c>
      <c r="W645">
        <v>44459</v>
      </c>
      <c r="X645" t="s">
        <v>5048</v>
      </c>
      <c r="Y645" t="s">
        <v>6</v>
      </c>
      <c r="Z645" t="s">
        <v>17</v>
      </c>
      <c r="AA645" t="s">
        <v>717</v>
      </c>
      <c r="AB645" t="s">
        <v>2509</v>
      </c>
      <c r="AC645" t="s">
        <v>2571</v>
      </c>
      <c r="AD645" t="s">
        <v>717</v>
      </c>
      <c r="AE645" t="s">
        <v>5049</v>
      </c>
      <c r="AF645" t="s">
        <v>5050</v>
      </c>
      <c r="AG645" t="s">
        <v>5051</v>
      </c>
      <c r="AH645" t="s">
        <v>2615</v>
      </c>
      <c r="AI645" t="s">
        <v>2552</v>
      </c>
      <c r="AJ645" t="s">
        <v>2895</v>
      </c>
      <c r="AK645" t="s">
        <v>63</v>
      </c>
      <c r="AL645" t="s">
        <v>16</v>
      </c>
      <c r="AM645" t="s">
        <v>10</v>
      </c>
      <c r="AN645" t="s">
        <v>717</v>
      </c>
    </row>
    <row r="646" spans="1:40" hidden="1">
      <c r="A646">
        <v>644</v>
      </c>
      <c r="B646">
        <v>38</v>
      </c>
      <c r="C646" s="58">
        <v>44463</v>
      </c>
      <c r="D646" t="s">
        <v>27</v>
      </c>
      <c r="E646" t="s">
        <v>2506</v>
      </c>
      <c r="F646">
        <v>4</v>
      </c>
      <c r="G646">
        <v>12</v>
      </c>
      <c r="H646">
        <v>291</v>
      </c>
      <c r="I646">
        <v>1</v>
      </c>
      <c r="J646">
        <v>40</v>
      </c>
      <c r="K646" t="s">
        <v>9</v>
      </c>
      <c r="L646">
        <v>2508136</v>
      </c>
      <c r="M646">
        <v>15000</v>
      </c>
      <c r="N646">
        <v>2523136</v>
      </c>
      <c r="O646">
        <v>63078.400000000001</v>
      </c>
      <c r="P646">
        <v>0</v>
      </c>
      <c r="Q646">
        <v>2523136</v>
      </c>
      <c r="R646">
        <v>63078.400000000001</v>
      </c>
      <c r="S646" t="s">
        <v>65</v>
      </c>
      <c r="T646" t="s">
        <v>717</v>
      </c>
      <c r="U646" t="s">
        <v>717</v>
      </c>
      <c r="V646" t="s">
        <v>717</v>
      </c>
      <c r="W646">
        <v>44460</v>
      </c>
      <c r="X646" t="s">
        <v>5052</v>
      </c>
      <c r="Y646" t="s">
        <v>6</v>
      </c>
      <c r="Z646" t="s">
        <v>17</v>
      </c>
      <c r="AA646" t="s">
        <v>717</v>
      </c>
      <c r="AB646" t="s">
        <v>2509</v>
      </c>
      <c r="AC646" t="s">
        <v>2564</v>
      </c>
      <c r="AD646" t="s">
        <v>717</v>
      </c>
      <c r="AE646" t="s">
        <v>5053</v>
      </c>
      <c r="AF646" t="s">
        <v>5054</v>
      </c>
      <c r="AG646" t="s">
        <v>5055</v>
      </c>
      <c r="AH646" t="s">
        <v>65</v>
      </c>
      <c r="AI646" t="s">
        <v>5056</v>
      </c>
      <c r="AJ646" t="s">
        <v>3202</v>
      </c>
      <c r="AK646" t="s">
        <v>73</v>
      </c>
      <c r="AL646" t="s">
        <v>16</v>
      </c>
      <c r="AM646" t="s">
        <v>10</v>
      </c>
      <c r="AN646" t="s">
        <v>717</v>
      </c>
    </row>
    <row r="647" spans="1:40" hidden="1">
      <c r="A647">
        <v>645</v>
      </c>
      <c r="B647">
        <v>39</v>
      </c>
      <c r="C647" s="58">
        <v>44463</v>
      </c>
      <c r="D647" t="s">
        <v>27</v>
      </c>
      <c r="E647" t="s">
        <v>2506</v>
      </c>
      <c r="F647">
        <v>5</v>
      </c>
      <c r="G647">
        <v>16</v>
      </c>
      <c r="H647">
        <v>324</v>
      </c>
      <c r="I647">
        <v>0</v>
      </c>
      <c r="J647">
        <v>23.63</v>
      </c>
      <c r="K647" t="s">
        <v>15</v>
      </c>
      <c r="L647">
        <v>1659653.05</v>
      </c>
      <c r="M647">
        <v>0</v>
      </c>
      <c r="N647">
        <v>1659653.05</v>
      </c>
      <c r="O647">
        <v>70235</v>
      </c>
      <c r="P647">
        <v>129965</v>
      </c>
      <c r="Q647">
        <v>1529688.05</v>
      </c>
      <c r="R647">
        <v>64735.000000000007</v>
      </c>
      <c r="S647" t="s">
        <v>65</v>
      </c>
      <c r="T647" t="s">
        <v>717</v>
      </c>
      <c r="U647" t="s">
        <v>717</v>
      </c>
      <c r="V647" t="s">
        <v>717</v>
      </c>
      <c r="W647">
        <v>44460</v>
      </c>
      <c r="X647" t="s">
        <v>5057</v>
      </c>
      <c r="Y647" t="s">
        <v>6</v>
      </c>
      <c r="Z647" t="s">
        <v>17</v>
      </c>
      <c r="AA647" t="s">
        <v>717</v>
      </c>
      <c r="AB647" t="s">
        <v>2509</v>
      </c>
      <c r="AC647" t="s">
        <v>2571</v>
      </c>
      <c r="AD647" t="s">
        <v>717</v>
      </c>
      <c r="AE647" t="s">
        <v>5058</v>
      </c>
      <c r="AF647" t="s">
        <v>5059</v>
      </c>
      <c r="AG647" t="s">
        <v>5060</v>
      </c>
      <c r="AH647" t="s">
        <v>2191</v>
      </c>
      <c r="AI647" t="s">
        <v>2552</v>
      </c>
      <c r="AJ647" t="s">
        <v>2514</v>
      </c>
      <c r="AK647" t="s">
        <v>20</v>
      </c>
      <c r="AL647" t="s">
        <v>16</v>
      </c>
      <c r="AM647" t="s">
        <v>10</v>
      </c>
      <c r="AN647" t="s">
        <v>717</v>
      </c>
    </row>
    <row r="648" spans="1:40" hidden="1">
      <c r="A648">
        <v>646</v>
      </c>
      <c r="B648">
        <v>40</v>
      </c>
      <c r="C648" s="58">
        <v>44463</v>
      </c>
      <c r="D648" t="s">
        <v>27</v>
      </c>
      <c r="E648" t="s">
        <v>2581</v>
      </c>
      <c r="F648">
        <v>4</v>
      </c>
      <c r="G648">
        <v>2</v>
      </c>
      <c r="H648">
        <v>395</v>
      </c>
      <c r="I648">
        <v>1</v>
      </c>
      <c r="J648">
        <v>40</v>
      </c>
      <c r="K648" t="s">
        <v>15</v>
      </c>
      <c r="L648">
        <v>2751020.8</v>
      </c>
      <c r="M648">
        <v>0</v>
      </c>
      <c r="N648">
        <v>2751020.8</v>
      </c>
      <c r="O648">
        <v>68775.51999999999</v>
      </c>
      <c r="P648">
        <v>220000</v>
      </c>
      <c r="Q648">
        <v>2531020.7999999998</v>
      </c>
      <c r="R648">
        <v>63275.519999999997</v>
      </c>
      <c r="S648" t="s">
        <v>65</v>
      </c>
      <c r="T648" t="s">
        <v>717</v>
      </c>
      <c r="U648" t="s">
        <v>717</v>
      </c>
      <c r="V648" t="s">
        <v>717</v>
      </c>
      <c r="W648">
        <v>44461</v>
      </c>
      <c r="X648" t="s">
        <v>5061</v>
      </c>
      <c r="Y648" t="s">
        <v>6</v>
      </c>
      <c r="Z648" t="s">
        <v>17</v>
      </c>
      <c r="AA648" t="s">
        <v>717</v>
      </c>
      <c r="AB648" t="s">
        <v>2509</v>
      </c>
      <c r="AC648" t="s">
        <v>2571</v>
      </c>
      <c r="AD648" t="s">
        <v>717</v>
      </c>
      <c r="AE648" t="s">
        <v>5062</v>
      </c>
      <c r="AF648" t="s">
        <v>5063</v>
      </c>
      <c r="AG648" t="s">
        <v>5064</v>
      </c>
      <c r="AH648" t="s">
        <v>2191</v>
      </c>
      <c r="AI648" t="s">
        <v>2552</v>
      </c>
      <c r="AJ648" t="s">
        <v>2514</v>
      </c>
      <c r="AK648" t="s">
        <v>20</v>
      </c>
      <c r="AL648" t="s">
        <v>16</v>
      </c>
      <c r="AM648" t="s">
        <v>10</v>
      </c>
      <c r="AN648" t="s">
        <v>717</v>
      </c>
    </row>
    <row r="649" spans="1:40" hidden="1">
      <c r="A649">
        <v>647</v>
      </c>
      <c r="B649">
        <v>41</v>
      </c>
      <c r="C649" s="58">
        <v>44466</v>
      </c>
      <c r="D649" t="s">
        <v>121</v>
      </c>
      <c r="E649" t="s">
        <v>2506</v>
      </c>
      <c r="F649">
        <v>7</v>
      </c>
      <c r="G649">
        <v>6</v>
      </c>
      <c r="H649">
        <v>212</v>
      </c>
      <c r="I649">
        <v>0</v>
      </c>
      <c r="J649">
        <v>24.23</v>
      </c>
      <c r="K649" t="s">
        <v>15</v>
      </c>
      <c r="L649">
        <v>1800538.39</v>
      </c>
      <c r="M649">
        <v>15000</v>
      </c>
      <c r="N649">
        <v>1815538.39</v>
      </c>
      <c r="O649">
        <v>74929.359884440768</v>
      </c>
      <c r="P649">
        <v>133265</v>
      </c>
      <c r="Q649">
        <v>1682273.39</v>
      </c>
      <c r="R649">
        <v>69429.359884440768</v>
      </c>
      <c r="S649" t="s">
        <v>2507</v>
      </c>
      <c r="T649" t="s">
        <v>717</v>
      </c>
      <c r="U649" t="s">
        <v>717</v>
      </c>
      <c r="V649" t="s">
        <v>717</v>
      </c>
      <c r="W649">
        <v>44435</v>
      </c>
      <c r="X649" t="s">
        <v>5065</v>
      </c>
      <c r="Y649" t="s">
        <v>6</v>
      </c>
      <c r="Z649" t="s">
        <v>11</v>
      </c>
      <c r="AA649" t="s">
        <v>717</v>
      </c>
      <c r="AB649" t="s">
        <v>2509</v>
      </c>
      <c r="AC649" t="s">
        <v>118</v>
      </c>
      <c r="AD649" t="s">
        <v>717</v>
      </c>
      <c r="AE649" t="s">
        <v>5066</v>
      </c>
      <c r="AF649" t="s">
        <v>5067</v>
      </c>
      <c r="AG649" t="s">
        <v>5068</v>
      </c>
      <c r="AH649" t="s">
        <v>2191</v>
      </c>
      <c r="AI649" t="s">
        <v>2552</v>
      </c>
      <c r="AJ649" t="s">
        <v>2514</v>
      </c>
      <c r="AK649" t="s">
        <v>63</v>
      </c>
      <c r="AL649" t="s">
        <v>717</v>
      </c>
      <c r="AM649" t="s">
        <v>10</v>
      </c>
      <c r="AN649" t="s">
        <v>717</v>
      </c>
    </row>
    <row r="650" spans="1:40" hidden="1">
      <c r="A650">
        <v>648</v>
      </c>
      <c r="B650">
        <v>42</v>
      </c>
      <c r="C650" s="58">
        <v>44466</v>
      </c>
      <c r="D650" t="s">
        <v>27</v>
      </c>
      <c r="E650" t="s">
        <v>4409</v>
      </c>
      <c r="F650">
        <v>7</v>
      </c>
      <c r="G650">
        <v>13</v>
      </c>
      <c r="H650">
        <v>606</v>
      </c>
      <c r="I650">
        <v>2</v>
      </c>
      <c r="J650">
        <v>59.93</v>
      </c>
      <c r="K650" t="s">
        <v>25</v>
      </c>
      <c r="L650">
        <v>4449881.37</v>
      </c>
      <c r="M650">
        <v>15000</v>
      </c>
      <c r="N650">
        <v>4464881.37</v>
      </c>
      <c r="O650">
        <v>74501.6080427165</v>
      </c>
      <c r="P650">
        <v>958880</v>
      </c>
      <c r="Q650">
        <v>3506001.37</v>
      </c>
      <c r="R650">
        <v>58501.608042716507</v>
      </c>
      <c r="S650" t="s">
        <v>65</v>
      </c>
      <c r="T650" t="s">
        <v>717</v>
      </c>
      <c r="U650" t="s">
        <v>717</v>
      </c>
      <c r="V650" t="s">
        <v>4131</v>
      </c>
      <c r="W650">
        <v>44459</v>
      </c>
      <c r="X650" t="s">
        <v>5069</v>
      </c>
      <c r="Y650" t="s">
        <v>6</v>
      </c>
      <c r="Z650" t="s">
        <v>17</v>
      </c>
      <c r="AA650" t="s">
        <v>717</v>
      </c>
      <c r="AB650" t="s">
        <v>2509</v>
      </c>
      <c r="AC650" t="s">
        <v>2571</v>
      </c>
      <c r="AD650" t="s">
        <v>717</v>
      </c>
      <c r="AE650" t="s">
        <v>5070</v>
      </c>
      <c r="AF650" t="s">
        <v>5071</v>
      </c>
      <c r="AG650" t="s">
        <v>5072</v>
      </c>
      <c r="AH650" t="s">
        <v>2615</v>
      </c>
      <c r="AI650" t="s">
        <v>2552</v>
      </c>
      <c r="AJ650" t="s">
        <v>2662</v>
      </c>
      <c r="AK650" t="s">
        <v>73</v>
      </c>
      <c r="AL650" t="s">
        <v>16</v>
      </c>
      <c r="AM650" t="s">
        <v>10</v>
      </c>
      <c r="AN650" t="s">
        <v>717</v>
      </c>
    </row>
    <row r="651" spans="1:40" hidden="1">
      <c r="A651">
        <v>649</v>
      </c>
      <c r="B651">
        <v>43</v>
      </c>
      <c r="C651" s="58">
        <v>44467</v>
      </c>
      <c r="D651" t="s">
        <v>27</v>
      </c>
      <c r="E651" t="s">
        <v>2506</v>
      </c>
      <c r="F651">
        <v>3</v>
      </c>
      <c r="G651">
        <v>13</v>
      </c>
      <c r="H651">
        <v>298</v>
      </c>
      <c r="I651">
        <v>0</v>
      </c>
      <c r="J651">
        <v>23.54</v>
      </c>
      <c r="K651" t="s">
        <v>15</v>
      </c>
      <c r="L651">
        <v>1653331.9</v>
      </c>
      <c r="M651">
        <v>0</v>
      </c>
      <c r="N651">
        <v>1653331.9</v>
      </c>
      <c r="O651">
        <v>70235</v>
      </c>
      <c r="P651">
        <v>129470</v>
      </c>
      <c r="Q651">
        <v>1523861.9</v>
      </c>
      <c r="R651">
        <v>64735</v>
      </c>
      <c r="S651" t="s">
        <v>2507</v>
      </c>
      <c r="T651" t="s">
        <v>717</v>
      </c>
      <c r="U651" t="s">
        <v>717</v>
      </c>
      <c r="V651" t="s">
        <v>717</v>
      </c>
      <c r="W651">
        <v>44462</v>
      </c>
      <c r="X651" t="s">
        <v>5073</v>
      </c>
      <c r="Y651" t="s">
        <v>6</v>
      </c>
      <c r="Z651" t="s">
        <v>17</v>
      </c>
      <c r="AA651" t="s">
        <v>717</v>
      </c>
      <c r="AB651" t="s">
        <v>2509</v>
      </c>
      <c r="AC651" t="s">
        <v>118</v>
      </c>
      <c r="AD651" t="s">
        <v>717</v>
      </c>
      <c r="AE651" t="s">
        <v>5074</v>
      </c>
      <c r="AF651" t="s">
        <v>5075</v>
      </c>
      <c r="AG651" t="s">
        <v>5076</v>
      </c>
      <c r="AH651" t="s">
        <v>2191</v>
      </c>
      <c r="AI651" t="s">
        <v>2552</v>
      </c>
      <c r="AJ651" t="s">
        <v>2514</v>
      </c>
      <c r="AK651" t="s">
        <v>407</v>
      </c>
      <c r="AL651" t="s">
        <v>717</v>
      </c>
      <c r="AM651" t="s">
        <v>10</v>
      </c>
      <c r="AN651" t="s">
        <v>717</v>
      </c>
    </row>
    <row r="652" spans="1:40" hidden="1">
      <c r="A652">
        <v>650</v>
      </c>
      <c r="B652">
        <v>44</v>
      </c>
      <c r="C652" s="58">
        <v>44467</v>
      </c>
      <c r="D652" t="s">
        <v>27</v>
      </c>
      <c r="E652" t="s">
        <v>4409</v>
      </c>
      <c r="F652">
        <v>2</v>
      </c>
      <c r="G652">
        <v>11</v>
      </c>
      <c r="H652">
        <v>585</v>
      </c>
      <c r="I652">
        <v>1</v>
      </c>
      <c r="J652">
        <v>37.159999999999997</v>
      </c>
      <c r="K652" t="s">
        <v>15</v>
      </c>
      <c r="L652">
        <v>2457726.73</v>
      </c>
      <c r="M652">
        <v>0</v>
      </c>
      <c r="N652">
        <v>2457726.73</v>
      </c>
      <c r="O652">
        <v>66139.040096878365</v>
      </c>
      <c r="P652">
        <v>204380</v>
      </c>
      <c r="Q652">
        <v>2253346.73</v>
      </c>
      <c r="R652">
        <v>60639.040096878365</v>
      </c>
      <c r="S652" t="s">
        <v>2507</v>
      </c>
      <c r="T652" t="s">
        <v>717</v>
      </c>
      <c r="U652" t="s">
        <v>717</v>
      </c>
      <c r="V652" t="s">
        <v>717</v>
      </c>
      <c r="W652">
        <v>44463</v>
      </c>
      <c r="X652" t="s">
        <v>5077</v>
      </c>
      <c r="Y652" t="s">
        <v>6</v>
      </c>
      <c r="Z652" t="s">
        <v>11</v>
      </c>
      <c r="AA652" t="s">
        <v>717</v>
      </c>
      <c r="AB652" t="s">
        <v>2509</v>
      </c>
      <c r="AC652" t="s">
        <v>118</v>
      </c>
      <c r="AD652" t="s">
        <v>717</v>
      </c>
      <c r="AE652" t="s">
        <v>2777</v>
      </c>
      <c r="AF652" t="s">
        <v>2778</v>
      </c>
      <c r="AG652" t="s">
        <v>2779</v>
      </c>
      <c r="AH652" t="s">
        <v>2191</v>
      </c>
      <c r="AI652" t="s">
        <v>2600</v>
      </c>
      <c r="AJ652" t="s">
        <v>2514</v>
      </c>
      <c r="AK652" t="s">
        <v>77</v>
      </c>
      <c r="AL652" t="s">
        <v>717</v>
      </c>
      <c r="AM652" t="s">
        <v>10</v>
      </c>
      <c r="AN652" t="s">
        <v>717</v>
      </c>
    </row>
    <row r="653" spans="1:40" hidden="1">
      <c r="A653">
        <v>651</v>
      </c>
      <c r="B653">
        <v>45</v>
      </c>
      <c r="C653" s="58">
        <v>44467</v>
      </c>
      <c r="D653" t="s">
        <v>27</v>
      </c>
      <c r="E653" t="s">
        <v>4409</v>
      </c>
      <c r="F653">
        <v>6</v>
      </c>
      <c r="G653">
        <v>13</v>
      </c>
      <c r="H653">
        <v>605</v>
      </c>
      <c r="I653">
        <v>1</v>
      </c>
      <c r="J653">
        <v>37.11</v>
      </c>
      <c r="K653" t="s">
        <v>15</v>
      </c>
      <c r="L653">
        <v>2454419.77</v>
      </c>
      <c r="M653">
        <v>0</v>
      </c>
      <c r="N653">
        <v>2454419.77</v>
      </c>
      <c r="O653">
        <v>66139.039881433579</v>
      </c>
      <c r="P653">
        <v>204105</v>
      </c>
      <c r="Q653">
        <v>2250314.77</v>
      </c>
      <c r="R653">
        <v>60639.039881433579</v>
      </c>
      <c r="S653" t="s">
        <v>2507</v>
      </c>
      <c r="T653" t="s">
        <v>717</v>
      </c>
      <c r="U653" t="s">
        <v>717</v>
      </c>
      <c r="V653" t="s">
        <v>717</v>
      </c>
      <c r="W653">
        <v>44463</v>
      </c>
      <c r="X653" t="s">
        <v>5078</v>
      </c>
      <c r="Y653" t="s">
        <v>6</v>
      </c>
      <c r="Z653" t="s">
        <v>11</v>
      </c>
      <c r="AA653" t="s">
        <v>717</v>
      </c>
      <c r="AB653" t="s">
        <v>2509</v>
      </c>
      <c r="AC653" t="s">
        <v>118</v>
      </c>
      <c r="AD653" t="s">
        <v>717</v>
      </c>
      <c r="AE653" t="s">
        <v>2777</v>
      </c>
      <c r="AF653" t="s">
        <v>2778</v>
      </c>
      <c r="AG653" t="s">
        <v>2779</v>
      </c>
      <c r="AH653" t="s">
        <v>2580</v>
      </c>
      <c r="AI653" t="s">
        <v>2600</v>
      </c>
      <c r="AJ653" t="s">
        <v>2940</v>
      </c>
      <c r="AK653" t="s">
        <v>77</v>
      </c>
      <c r="AL653" t="s">
        <v>717</v>
      </c>
      <c r="AM653" t="s">
        <v>10</v>
      </c>
      <c r="AN653" t="s">
        <v>717</v>
      </c>
    </row>
    <row r="654" spans="1:40" hidden="1">
      <c r="A654">
        <v>652</v>
      </c>
      <c r="B654">
        <v>46</v>
      </c>
      <c r="C654" s="58">
        <v>44468</v>
      </c>
      <c r="D654" t="s">
        <v>27</v>
      </c>
      <c r="E654" t="s">
        <v>5079</v>
      </c>
      <c r="F654">
        <v>6</v>
      </c>
      <c r="G654">
        <v>13</v>
      </c>
      <c r="H654">
        <v>736</v>
      </c>
      <c r="I654">
        <v>2</v>
      </c>
      <c r="J654">
        <v>61.95</v>
      </c>
      <c r="K654" t="s">
        <v>15</v>
      </c>
      <c r="L654">
        <v>3901317.6</v>
      </c>
      <c r="M654">
        <v>0</v>
      </c>
      <c r="N654">
        <v>3901317.6</v>
      </c>
      <c r="O654">
        <v>62975.263922518163</v>
      </c>
      <c r="P654">
        <v>340725</v>
      </c>
      <c r="Q654">
        <v>3560592.6</v>
      </c>
      <c r="R654">
        <v>57475.263922518163</v>
      </c>
      <c r="S654" t="s">
        <v>130</v>
      </c>
      <c r="T654" t="s">
        <v>717</v>
      </c>
      <c r="U654" t="s">
        <v>717</v>
      </c>
      <c r="V654" t="s">
        <v>717</v>
      </c>
      <c r="W654">
        <v>44465</v>
      </c>
      <c r="X654" t="s">
        <v>5080</v>
      </c>
      <c r="Y654" t="s">
        <v>6</v>
      </c>
      <c r="Z654" t="s">
        <v>17</v>
      </c>
      <c r="AA654" t="s">
        <v>717</v>
      </c>
      <c r="AB654" t="s">
        <v>2509</v>
      </c>
      <c r="AC654" t="s">
        <v>118</v>
      </c>
      <c r="AD654" t="s">
        <v>717</v>
      </c>
      <c r="AE654" t="s">
        <v>5081</v>
      </c>
      <c r="AF654" t="s">
        <v>5082</v>
      </c>
      <c r="AG654" t="s">
        <v>5083</v>
      </c>
      <c r="AH654" t="s">
        <v>2191</v>
      </c>
      <c r="AI654" t="s">
        <v>2552</v>
      </c>
      <c r="AJ654" t="s">
        <v>2855</v>
      </c>
      <c r="AK654" t="s">
        <v>20</v>
      </c>
      <c r="AL654" t="s">
        <v>717</v>
      </c>
      <c r="AM654" t="s">
        <v>10</v>
      </c>
      <c r="AN654" t="s">
        <v>717</v>
      </c>
    </row>
    <row r="655" spans="1:40" hidden="1">
      <c r="A655">
        <v>653</v>
      </c>
      <c r="B655">
        <v>47</v>
      </c>
      <c r="C655" s="58">
        <v>44468</v>
      </c>
      <c r="D655" t="s">
        <v>121</v>
      </c>
      <c r="E655" t="s">
        <v>2506</v>
      </c>
      <c r="F655">
        <v>6</v>
      </c>
      <c r="G655">
        <v>15</v>
      </c>
      <c r="H655">
        <v>310</v>
      </c>
      <c r="I655">
        <v>2</v>
      </c>
      <c r="J655">
        <v>60.24</v>
      </c>
      <c r="K655" t="s">
        <v>15</v>
      </c>
      <c r="L655">
        <v>4155614.91</v>
      </c>
      <c r="M655">
        <v>0</v>
      </c>
      <c r="N655">
        <v>4155614.91</v>
      </c>
      <c r="O655">
        <v>68984.311254980086</v>
      </c>
      <c r="P655">
        <v>331320</v>
      </c>
      <c r="Q655">
        <v>3824294.91</v>
      </c>
      <c r="R655">
        <v>63484.311254980079</v>
      </c>
      <c r="S655" t="s">
        <v>65</v>
      </c>
      <c r="T655" t="s">
        <v>717</v>
      </c>
      <c r="U655" t="s">
        <v>717</v>
      </c>
      <c r="V655" t="s">
        <v>4131</v>
      </c>
      <c r="W655">
        <v>44465</v>
      </c>
      <c r="X655" t="s">
        <v>5084</v>
      </c>
      <c r="Y655" t="s">
        <v>6</v>
      </c>
      <c r="Z655" t="s">
        <v>17</v>
      </c>
      <c r="AA655" t="s">
        <v>717</v>
      </c>
      <c r="AB655" t="s">
        <v>2509</v>
      </c>
      <c r="AC655" t="s">
        <v>2571</v>
      </c>
      <c r="AD655" t="s">
        <v>717</v>
      </c>
      <c r="AE655" t="s">
        <v>5085</v>
      </c>
      <c r="AF655" t="s">
        <v>5086</v>
      </c>
      <c r="AG655" t="s">
        <v>5087</v>
      </c>
      <c r="AH655" t="s">
        <v>2191</v>
      </c>
      <c r="AI655" t="s">
        <v>2872</v>
      </c>
      <c r="AJ655" t="s">
        <v>2514</v>
      </c>
      <c r="AK655" t="s">
        <v>20</v>
      </c>
      <c r="AL655" t="s">
        <v>16</v>
      </c>
      <c r="AM655" t="s">
        <v>10</v>
      </c>
      <c r="AN655" t="s">
        <v>717</v>
      </c>
    </row>
    <row r="656" spans="1:40" hidden="1">
      <c r="A656">
        <v>654</v>
      </c>
      <c r="B656">
        <v>48</v>
      </c>
      <c r="C656" s="58">
        <v>44468</v>
      </c>
      <c r="D656" t="s">
        <v>27</v>
      </c>
      <c r="E656" t="s">
        <v>2581</v>
      </c>
      <c r="F656">
        <v>4</v>
      </c>
      <c r="G656">
        <v>10</v>
      </c>
      <c r="H656">
        <v>459</v>
      </c>
      <c r="I656">
        <v>1</v>
      </c>
      <c r="J656">
        <v>40</v>
      </c>
      <c r="K656" t="s">
        <v>15</v>
      </c>
      <c r="L656">
        <v>2919755.52</v>
      </c>
      <c r="M656">
        <v>0</v>
      </c>
      <c r="N656">
        <v>2919755.52</v>
      </c>
      <c r="O656">
        <v>72993.888000000006</v>
      </c>
      <c r="P656">
        <v>220000</v>
      </c>
      <c r="Q656">
        <v>2699755.52</v>
      </c>
      <c r="R656">
        <v>67493.888000000006</v>
      </c>
      <c r="S656" t="s">
        <v>130</v>
      </c>
      <c r="T656" t="s">
        <v>717</v>
      </c>
      <c r="U656" t="s">
        <v>717</v>
      </c>
      <c r="V656" t="s">
        <v>717</v>
      </c>
      <c r="W656">
        <v>44466</v>
      </c>
      <c r="X656" t="s">
        <v>5088</v>
      </c>
      <c r="Y656" t="s">
        <v>6</v>
      </c>
      <c r="Z656" t="s">
        <v>17</v>
      </c>
      <c r="AA656" t="s">
        <v>717</v>
      </c>
      <c r="AB656" t="s">
        <v>2509</v>
      </c>
      <c r="AC656" t="s">
        <v>118</v>
      </c>
      <c r="AD656" t="s">
        <v>717</v>
      </c>
      <c r="AE656" t="s">
        <v>5089</v>
      </c>
      <c r="AF656" t="s">
        <v>5090</v>
      </c>
      <c r="AG656" t="s">
        <v>5091</v>
      </c>
      <c r="AH656" t="s">
        <v>2615</v>
      </c>
      <c r="AI656" t="s">
        <v>2552</v>
      </c>
      <c r="AJ656" t="s">
        <v>2514</v>
      </c>
      <c r="AK656" t="s">
        <v>63</v>
      </c>
      <c r="AL656" t="s">
        <v>717</v>
      </c>
      <c r="AM656" t="s">
        <v>10</v>
      </c>
      <c r="AN656" t="s">
        <v>717</v>
      </c>
    </row>
    <row r="657" spans="1:40" hidden="1">
      <c r="A657">
        <v>655</v>
      </c>
      <c r="B657">
        <v>49</v>
      </c>
      <c r="C657" s="58">
        <v>44469</v>
      </c>
      <c r="D657" t="s">
        <v>74</v>
      </c>
      <c r="E657" t="s">
        <v>2506</v>
      </c>
      <c r="F657">
        <v>1</v>
      </c>
      <c r="G657">
        <v>9</v>
      </c>
      <c r="H657">
        <v>200</v>
      </c>
      <c r="I657">
        <v>3</v>
      </c>
      <c r="J657">
        <v>87.6</v>
      </c>
      <c r="K657" t="s">
        <v>9</v>
      </c>
      <c r="L657">
        <v>4619252</v>
      </c>
      <c r="M657">
        <v>25000</v>
      </c>
      <c r="N657">
        <v>4644252</v>
      </c>
      <c r="O657">
        <v>53016.57534246576</v>
      </c>
      <c r="P657">
        <v>43800</v>
      </c>
      <c r="Q657">
        <v>4600452</v>
      </c>
      <c r="R657">
        <v>52516.57534246576</v>
      </c>
      <c r="S657" t="s">
        <v>65</v>
      </c>
      <c r="T657" t="s">
        <v>717</v>
      </c>
      <c r="U657" t="s">
        <v>717</v>
      </c>
      <c r="V657" t="s">
        <v>717</v>
      </c>
      <c r="W657">
        <v>44409</v>
      </c>
      <c r="X657" t="s">
        <v>5092</v>
      </c>
      <c r="Y657" t="s">
        <v>6</v>
      </c>
      <c r="Z657" t="s">
        <v>11</v>
      </c>
      <c r="AA657" t="s">
        <v>717</v>
      </c>
      <c r="AB657" t="s">
        <v>326</v>
      </c>
      <c r="AC657" t="s">
        <v>2564</v>
      </c>
      <c r="AD657" t="s">
        <v>717</v>
      </c>
      <c r="AE657" t="s">
        <v>5093</v>
      </c>
      <c r="AF657" t="s">
        <v>5094</v>
      </c>
      <c r="AG657" t="s">
        <v>5095</v>
      </c>
      <c r="AH657" t="s">
        <v>2615</v>
      </c>
      <c r="AI657" t="s">
        <v>2847</v>
      </c>
      <c r="AJ657" t="s">
        <v>2940</v>
      </c>
      <c r="AK657" t="s">
        <v>63</v>
      </c>
      <c r="AL657" t="s">
        <v>16</v>
      </c>
      <c r="AM657" t="s">
        <v>10</v>
      </c>
      <c r="AN657" t="s">
        <v>717</v>
      </c>
    </row>
    <row r="658" spans="1:40" hidden="1">
      <c r="A658">
        <v>656</v>
      </c>
      <c r="B658">
        <v>50</v>
      </c>
      <c r="C658" s="58">
        <v>44469</v>
      </c>
      <c r="D658" t="s">
        <v>74</v>
      </c>
      <c r="E658" t="s">
        <v>2506</v>
      </c>
      <c r="F658">
        <v>1</v>
      </c>
      <c r="G658">
        <v>3</v>
      </c>
      <c r="H658">
        <v>158</v>
      </c>
      <c r="I658">
        <v>3</v>
      </c>
      <c r="J658">
        <v>87.8</v>
      </c>
      <c r="K658" t="s">
        <v>9</v>
      </c>
      <c r="L658">
        <v>4593265.72</v>
      </c>
      <c r="M658">
        <v>15000</v>
      </c>
      <c r="N658">
        <v>4608265.72</v>
      </c>
      <c r="O658">
        <v>52485.942141230065</v>
      </c>
      <c r="P658">
        <v>43900</v>
      </c>
      <c r="Q658">
        <v>4564365.72</v>
      </c>
      <c r="R658">
        <v>51985.942141230065</v>
      </c>
      <c r="S658" t="s">
        <v>2507</v>
      </c>
      <c r="T658" t="s">
        <v>2941</v>
      </c>
      <c r="U658">
        <v>46082.48</v>
      </c>
      <c r="V658" t="s">
        <v>717</v>
      </c>
      <c r="W658">
        <v>44456</v>
      </c>
      <c r="X658" t="s">
        <v>5096</v>
      </c>
      <c r="Y658" t="s">
        <v>6</v>
      </c>
      <c r="Z658" t="s">
        <v>11</v>
      </c>
      <c r="AA658" t="s">
        <v>717</v>
      </c>
      <c r="AB658" t="s">
        <v>326</v>
      </c>
      <c r="AC658" t="s">
        <v>118</v>
      </c>
      <c r="AD658" t="s">
        <v>717</v>
      </c>
      <c r="AE658" t="s">
        <v>5097</v>
      </c>
      <c r="AF658" t="s">
        <v>5098</v>
      </c>
      <c r="AG658" t="s">
        <v>5099</v>
      </c>
      <c r="AH658" t="s">
        <v>2191</v>
      </c>
      <c r="AI658" t="s">
        <v>2538</v>
      </c>
      <c r="AJ658" t="s">
        <v>2514</v>
      </c>
      <c r="AK658" t="s">
        <v>63</v>
      </c>
      <c r="AL658" t="s">
        <v>717</v>
      </c>
      <c r="AM658" t="s">
        <v>10</v>
      </c>
      <c r="AN658" t="s">
        <v>717</v>
      </c>
    </row>
    <row r="659" spans="1:40" hidden="1">
      <c r="A659">
        <v>657</v>
      </c>
      <c r="B659">
        <v>51</v>
      </c>
      <c r="C659" s="58">
        <v>44469</v>
      </c>
      <c r="D659" t="s">
        <v>27</v>
      </c>
      <c r="E659" t="s">
        <v>4409</v>
      </c>
      <c r="F659">
        <v>3</v>
      </c>
      <c r="G659">
        <v>11</v>
      </c>
      <c r="H659">
        <v>586</v>
      </c>
      <c r="I659">
        <v>0</v>
      </c>
      <c r="J659">
        <v>23.54</v>
      </c>
      <c r="K659" t="s">
        <v>9</v>
      </c>
      <c r="L659">
        <v>1523861.9</v>
      </c>
      <c r="M659">
        <v>0</v>
      </c>
      <c r="N659">
        <v>1523861.9</v>
      </c>
      <c r="O659">
        <v>64735</v>
      </c>
      <c r="P659">
        <v>0</v>
      </c>
      <c r="Q659">
        <v>1523861.9</v>
      </c>
      <c r="R659">
        <v>64735</v>
      </c>
      <c r="S659" t="s">
        <v>65</v>
      </c>
      <c r="T659" t="s">
        <v>717</v>
      </c>
      <c r="U659" t="s">
        <v>717</v>
      </c>
      <c r="V659" t="s">
        <v>717</v>
      </c>
      <c r="W659">
        <v>44461</v>
      </c>
      <c r="X659" t="s">
        <v>5100</v>
      </c>
      <c r="Y659" t="s">
        <v>6</v>
      </c>
      <c r="Z659" t="s">
        <v>17</v>
      </c>
      <c r="AA659" t="s">
        <v>717</v>
      </c>
      <c r="AB659" t="s">
        <v>2509</v>
      </c>
      <c r="AC659" t="s">
        <v>2571</v>
      </c>
      <c r="AD659" t="s">
        <v>717</v>
      </c>
      <c r="AE659" t="s">
        <v>5101</v>
      </c>
      <c r="AF659" t="s">
        <v>5102</v>
      </c>
      <c r="AG659" t="s">
        <v>5103</v>
      </c>
      <c r="AH659" t="s">
        <v>2615</v>
      </c>
      <c r="AI659" t="s">
        <v>3120</v>
      </c>
      <c r="AJ659" t="s">
        <v>2514</v>
      </c>
      <c r="AK659" t="s">
        <v>77</v>
      </c>
      <c r="AL659" t="s">
        <v>16</v>
      </c>
      <c r="AM659" t="s">
        <v>10</v>
      </c>
      <c r="AN659" t="s">
        <v>717</v>
      </c>
    </row>
    <row r="660" spans="1:40" hidden="1">
      <c r="A660">
        <v>658</v>
      </c>
      <c r="B660">
        <v>52</v>
      </c>
      <c r="C660" s="58">
        <v>44469</v>
      </c>
      <c r="D660" t="s">
        <v>27</v>
      </c>
      <c r="E660" t="s">
        <v>4409</v>
      </c>
      <c r="F660">
        <v>7</v>
      </c>
      <c r="G660">
        <v>11</v>
      </c>
      <c r="H660">
        <v>590</v>
      </c>
      <c r="I660">
        <v>2</v>
      </c>
      <c r="J660">
        <v>59.93</v>
      </c>
      <c r="K660" t="s">
        <v>9</v>
      </c>
      <c r="L660">
        <v>3536755.77</v>
      </c>
      <c r="M660">
        <v>0</v>
      </c>
      <c r="N660">
        <v>3536755.77</v>
      </c>
      <c r="O660">
        <v>59014.780076756215</v>
      </c>
      <c r="P660">
        <v>0</v>
      </c>
      <c r="Q660">
        <v>3536755.77</v>
      </c>
      <c r="R660">
        <v>59014.780076756215</v>
      </c>
      <c r="S660" t="s">
        <v>65</v>
      </c>
      <c r="T660" t="s">
        <v>717</v>
      </c>
      <c r="U660" t="s">
        <v>717</v>
      </c>
      <c r="V660" t="s">
        <v>717</v>
      </c>
      <c r="W660">
        <v>44464</v>
      </c>
      <c r="X660" t="s">
        <v>5104</v>
      </c>
      <c r="Y660" t="s">
        <v>6</v>
      </c>
      <c r="Z660" t="s">
        <v>11</v>
      </c>
      <c r="AA660" t="s">
        <v>717</v>
      </c>
      <c r="AB660" t="s">
        <v>2509</v>
      </c>
      <c r="AC660" t="s">
        <v>5105</v>
      </c>
      <c r="AD660" t="s">
        <v>717</v>
      </c>
      <c r="AE660" t="s">
        <v>5106</v>
      </c>
      <c r="AF660" t="s">
        <v>5107</v>
      </c>
      <c r="AG660" t="s">
        <v>5108</v>
      </c>
      <c r="AH660" t="s">
        <v>2552</v>
      </c>
      <c r="AI660" t="s">
        <v>2547</v>
      </c>
      <c r="AJ660" t="s">
        <v>2855</v>
      </c>
      <c r="AK660" t="s">
        <v>77</v>
      </c>
      <c r="AL660" t="s">
        <v>575</v>
      </c>
      <c r="AM660" t="s">
        <v>10</v>
      </c>
      <c r="AN660" t="s">
        <v>717</v>
      </c>
    </row>
    <row r="661" spans="1:40" hidden="1">
      <c r="A661">
        <v>659</v>
      </c>
      <c r="B661">
        <v>53</v>
      </c>
      <c r="C661" s="58">
        <v>44469</v>
      </c>
      <c r="D661" t="s">
        <v>27</v>
      </c>
      <c r="E661" t="s">
        <v>2506</v>
      </c>
      <c r="F661">
        <v>2</v>
      </c>
      <c r="G661">
        <v>18</v>
      </c>
      <c r="H661">
        <v>337</v>
      </c>
      <c r="I661">
        <v>1</v>
      </c>
      <c r="J661">
        <v>37.159999999999997</v>
      </c>
      <c r="K661" t="s">
        <v>15</v>
      </c>
      <c r="L661">
        <v>2555698.3199999998</v>
      </c>
      <c r="M661">
        <v>0</v>
      </c>
      <c r="N661">
        <v>2555698.3199999998</v>
      </c>
      <c r="O661">
        <v>68775.519913885902</v>
      </c>
      <c r="P661">
        <v>204380</v>
      </c>
      <c r="Q661">
        <v>2351318.3199999998</v>
      </c>
      <c r="R661">
        <v>63275.519913885902</v>
      </c>
      <c r="S661" t="s">
        <v>2507</v>
      </c>
      <c r="T661" t="s">
        <v>717</v>
      </c>
      <c r="U661" t="s">
        <v>717</v>
      </c>
      <c r="V661" t="s">
        <v>717</v>
      </c>
      <c r="W661">
        <v>44466</v>
      </c>
      <c r="X661" t="s">
        <v>5109</v>
      </c>
      <c r="Y661" t="s">
        <v>6</v>
      </c>
      <c r="Z661" t="s">
        <v>11</v>
      </c>
      <c r="AA661" t="s">
        <v>717</v>
      </c>
      <c r="AB661" t="s">
        <v>2509</v>
      </c>
      <c r="AC661" t="s">
        <v>118</v>
      </c>
      <c r="AD661" t="s">
        <v>717</v>
      </c>
      <c r="AE661" t="s">
        <v>5110</v>
      </c>
      <c r="AF661" t="s">
        <v>5111</v>
      </c>
      <c r="AG661" t="s">
        <v>5112</v>
      </c>
      <c r="AH661" t="s">
        <v>2191</v>
      </c>
      <c r="AI661" t="s">
        <v>2552</v>
      </c>
      <c r="AJ661" t="s">
        <v>2514</v>
      </c>
      <c r="AK661" t="s">
        <v>63</v>
      </c>
      <c r="AL661" t="s">
        <v>717</v>
      </c>
      <c r="AM661" t="s">
        <v>10</v>
      </c>
      <c r="AN661" t="s">
        <v>717</v>
      </c>
    </row>
    <row r="662" spans="1:40" hidden="1">
      <c r="A662">
        <v>660</v>
      </c>
      <c r="B662">
        <v>54</v>
      </c>
      <c r="C662" s="58">
        <v>44469</v>
      </c>
      <c r="D662" t="s">
        <v>27</v>
      </c>
      <c r="E662" t="s">
        <v>2506</v>
      </c>
      <c r="F662">
        <v>8</v>
      </c>
      <c r="G662">
        <v>11</v>
      </c>
      <c r="H662">
        <v>287</v>
      </c>
      <c r="I662">
        <v>2</v>
      </c>
      <c r="J662">
        <v>55.8</v>
      </c>
      <c r="K662" t="s">
        <v>15</v>
      </c>
      <c r="L662">
        <v>3456749.74</v>
      </c>
      <c r="M662">
        <v>0</v>
      </c>
      <c r="N662">
        <v>3456749.74</v>
      </c>
      <c r="O662">
        <v>61948.920071684595</v>
      </c>
      <c r="P662">
        <v>306900</v>
      </c>
      <c r="Q662">
        <v>3149849.74</v>
      </c>
      <c r="R662">
        <v>56448.920071684595</v>
      </c>
      <c r="S662" t="s">
        <v>65</v>
      </c>
      <c r="T662" t="s">
        <v>717</v>
      </c>
      <c r="U662" t="s">
        <v>717</v>
      </c>
      <c r="V662" t="s">
        <v>4131</v>
      </c>
      <c r="W662">
        <v>44466</v>
      </c>
      <c r="X662" t="s">
        <v>5113</v>
      </c>
      <c r="Y662" t="s">
        <v>6</v>
      </c>
      <c r="Z662" t="s">
        <v>11</v>
      </c>
      <c r="AA662" t="s">
        <v>717</v>
      </c>
      <c r="AB662" t="s">
        <v>2509</v>
      </c>
      <c r="AC662" t="s">
        <v>2571</v>
      </c>
      <c r="AD662" t="s">
        <v>717</v>
      </c>
      <c r="AE662" t="s">
        <v>5114</v>
      </c>
      <c r="AF662" t="s">
        <v>5115</v>
      </c>
      <c r="AG662" t="s">
        <v>5116</v>
      </c>
      <c r="AH662" t="s">
        <v>2191</v>
      </c>
      <c r="AI662" t="s">
        <v>2552</v>
      </c>
      <c r="AJ662" t="s">
        <v>2514</v>
      </c>
      <c r="AK662" t="s">
        <v>73</v>
      </c>
      <c r="AL662" t="s">
        <v>16</v>
      </c>
      <c r="AM662" t="s">
        <v>10</v>
      </c>
      <c r="AN662" t="s">
        <v>717</v>
      </c>
    </row>
    <row r="663" spans="1:40" hidden="1">
      <c r="A663">
        <v>661</v>
      </c>
      <c r="B663">
        <v>55</v>
      </c>
      <c r="C663" s="58">
        <v>44469</v>
      </c>
      <c r="D663" t="s">
        <v>27</v>
      </c>
      <c r="E663" t="s">
        <v>4409</v>
      </c>
      <c r="F663">
        <v>2</v>
      </c>
      <c r="G663">
        <v>13</v>
      </c>
      <c r="H663">
        <v>601</v>
      </c>
      <c r="I663">
        <v>1</v>
      </c>
      <c r="J663">
        <v>37.159999999999997</v>
      </c>
      <c r="K663" t="s">
        <v>9</v>
      </c>
      <c r="L663">
        <v>2237431.1</v>
      </c>
      <c r="M663">
        <v>15000</v>
      </c>
      <c r="N663">
        <v>2252431.1</v>
      </c>
      <c r="O663">
        <v>60614.399892357382</v>
      </c>
      <c r="P663">
        <v>0</v>
      </c>
      <c r="Q663">
        <v>2252431.1</v>
      </c>
      <c r="R663">
        <v>60614.399892357382</v>
      </c>
      <c r="S663" t="s">
        <v>65</v>
      </c>
      <c r="T663" t="s">
        <v>717</v>
      </c>
      <c r="U663" t="s">
        <v>717</v>
      </c>
      <c r="V663" t="s">
        <v>717</v>
      </c>
      <c r="W663">
        <v>44467</v>
      </c>
      <c r="X663" t="s">
        <v>5117</v>
      </c>
      <c r="Y663" t="s">
        <v>6</v>
      </c>
      <c r="Z663" t="s">
        <v>17</v>
      </c>
      <c r="AA663" t="s">
        <v>717</v>
      </c>
      <c r="AB663" t="s">
        <v>2509</v>
      </c>
      <c r="AC663" t="s">
        <v>2571</v>
      </c>
      <c r="AD663" t="s">
        <v>717</v>
      </c>
      <c r="AE663" t="s">
        <v>5118</v>
      </c>
      <c r="AF663" t="s">
        <v>5119</v>
      </c>
      <c r="AG663" t="s">
        <v>5120</v>
      </c>
      <c r="AH663" t="s">
        <v>2191</v>
      </c>
      <c r="AI663" t="s">
        <v>2552</v>
      </c>
      <c r="AJ663" t="s">
        <v>2514</v>
      </c>
      <c r="AK663" t="s">
        <v>407</v>
      </c>
      <c r="AL663" t="s">
        <v>16</v>
      </c>
      <c r="AM663" t="s">
        <v>10</v>
      </c>
      <c r="AN663" t="s">
        <v>717</v>
      </c>
    </row>
    <row r="664" spans="1:40" hidden="1">
      <c r="A664">
        <v>662</v>
      </c>
      <c r="B664">
        <v>56</v>
      </c>
      <c r="C664" s="58">
        <v>44469</v>
      </c>
      <c r="D664" t="s">
        <v>27</v>
      </c>
      <c r="E664" t="s">
        <v>2506</v>
      </c>
      <c r="F664">
        <v>8</v>
      </c>
      <c r="G664">
        <v>12</v>
      </c>
      <c r="H664">
        <v>295</v>
      </c>
      <c r="I664">
        <v>2</v>
      </c>
      <c r="J664">
        <v>55.8</v>
      </c>
      <c r="K664" t="s">
        <v>9</v>
      </c>
      <c r="L664">
        <v>3149849.74</v>
      </c>
      <c r="M664">
        <v>0</v>
      </c>
      <c r="N664">
        <v>3149849.74</v>
      </c>
      <c r="O664">
        <v>56448.920071684595</v>
      </c>
      <c r="P664">
        <v>0</v>
      </c>
      <c r="Q664">
        <v>3149849.74</v>
      </c>
      <c r="R664">
        <v>56448.920071684595</v>
      </c>
      <c r="S664" t="s">
        <v>65</v>
      </c>
      <c r="T664" t="s">
        <v>717</v>
      </c>
      <c r="U664" t="s">
        <v>717</v>
      </c>
      <c r="V664" t="s">
        <v>4131</v>
      </c>
      <c r="W664">
        <v>44467</v>
      </c>
      <c r="X664" t="s">
        <v>5121</v>
      </c>
      <c r="Y664" t="s">
        <v>6</v>
      </c>
      <c r="Z664" t="s">
        <v>17</v>
      </c>
      <c r="AA664" t="s">
        <v>717</v>
      </c>
      <c r="AB664" t="s">
        <v>2509</v>
      </c>
      <c r="AC664" t="s">
        <v>2571</v>
      </c>
      <c r="AD664" t="s">
        <v>717</v>
      </c>
      <c r="AE664" t="s">
        <v>5122</v>
      </c>
      <c r="AF664" t="s">
        <v>5123</v>
      </c>
      <c r="AG664" t="s">
        <v>717</v>
      </c>
      <c r="AH664" t="s">
        <v>2191</v>
      </c>
      <c r="AI664" t="s">
        <v>2706</v>
      </c>
      <c r="AJ664" t="s">
        <v>2514</v>
      </c>
      <c r="AK664" t="s">
        <v>471</v>
      </c>
      <c r="AL664" t="s">
        <v>575</v>
      </c>
      <c r="AM664" t="s">
        <v>10</v>
      </c>
      <c r="AN664" t="s">
        <v>717</v>
      </c>
    </row>
    <row r="665" spans="1:40" hidden="1">
      <c r="A665">
        <v>663</v>
      </c>
      <c r="B665">
        <v>57</v>
      </c>
      <c r="C665" s="58">
        <v>44469</v>
      </c>
      <c r="D665" t="s">
        <v>27</v>
      </c>
      <c r="E665" t="s">
        <v>2506</v>
      </c>
      <c r="F665">
        <v>7</v>
      </c>
      <c r="G665">
        <v>19</v>
      </c>
      <c r="H665">
        <v>350</v>
      </c>
      <c r="I665">
        <v>2</v>
      </c>
      <c r="J665">
        <v>59.93</v>
      </c>
      <c r="K665" t="s">
        <v>15</v>
      </c>
      <c r="L665">
        <v>4046190.37</v>
      </c>
      <c r="M665">
        <v>0</v>
      </c>
      <c r="N665">
        <v>4046190.37</v>
      </c>
      <c r="O665">
        <v>67515.273986317377</v>
      </c>
      <c r="P665">
        <v>329615</v>
      </c>
      <c r="Q665">
        <v>3716575.37</v>
      </c>
      <c r="R665">
        <v>62015.27398631737</v>
      </c>
      <c r="S665" t="s">
        <v>65</v>
      </c>
      <c r="T665" t="s">
        <v>717</v>
      </c>
      <c r="U665" t="s">
        <v>717</v>
      </c>
      <c r="V665" t="s">
        <v>4131</v>
      </c>
      <c r="W665">
        <v>44468</v>
      </c>
      <c r="X665" t="s">
        <v>5124</v>
      </c>
      <c r="Y665" t="s">
        <v>6</v>
      </c>
      <c r="Z665" t="s">
        <v>11</v>
      </c>
      <c r="AA665" t="s">
        <v>717</v>
      </c>
      <c r="AB665" t="s">
        <v>2509</v>
      </c>
      <c r="AC665" t="s">
        <v>2571</v>
      </c>
      <c r="AD665" t="s">
        <v>717</v>
      </c>
      <c r="AE665" t="s">
        <v>5125</v>
      </c>
      <c r="AF665" t="s">
        <v>5126</v>
      </c>
      <c r="AG665" t="s">
        <v>5127</v>
      </c>
      <c r="AH665" t="s">
        <v>2615</v>
      </c>
      <c r="AI665" t="s">
        <v>2552</v>
      </c>
      <c r="AJ665" t="s">
        <v>2895</v>
      </c>
      <c r="AK665" t="s">
        <v>20</v>
      </c>
      <c r="AL665" t="s">
        <v>16</v>
      </c>
      <c r="AM665" t="s">
        <v>10</v>
      </c>
      <c r="AN665" t="s">
        <v>717</v>
      </c>
    </row>
    <row r="666" spans="1:40" hidden="1">
      <c r="A666">
        <v>664</v>
      </c>
      <c r="B666">
        <v>58</v>
      </c>
      <c r="C666" s="58">
        <v>44469</v>
      </c>
      <c r="D666" t="s">
        <v>121</v>
      </c>
      <c r="E666" t="s">
        <v>2506</v>
      </c>
      <c r="F666">
        <v>6</v>
      </c>
      <c r="G666">
        <v>13</v>
      </c>
      <c r="H666">
        <v>288</v>
      </c>
      <c r="I666">
        <v>2</v>
      </c>
      <c r="J666">
        <v>60.24</v>
      </c>
      <c r="K666" t="s">
        <v>9</v>
      </c>
      <c r="L666">
        <v>3824294.91</v>
      </c>
      <c r="M666">
        <v>0</v>
      </c>
      <c r="N666">
        <v>3824294.91</v>
      </c>
      <c r="O666">
        <v>63484.311254980079</v>
      </c>
      <c r="P666">
        <v>0</v>
      </c>
      <c r="Q666">
        <v>3824294.91</v>
      </c>
      <c r="R666">
        <v>63484.311254980079</v>
      </c>
      <c r="S666" t="s">
        <v>65</v>
      </c>
      <c r="T666" t="s">
        <v>717</v>
      </c>
      <c r="U666" t="s">
        <v>717</v>
      </c>
      <c r="V666" t="s">
        <v>4131</v>
      </c>
      <c r="W666">
        <v>44468</v>
      </c>
      <c r="X666" t="s">
        <v>5128</v>
      </c>
      <c r="Y666" t="s">
        <v>6</v>
      </c>
      <c r="Z666" t="s">
        <v>17</v>
      </c>
      <c r="AA666" t="s">
        <v>717</v>
      </c>
      <c r="AB666" t="s">
        <v>2509</v>
      </c>
      <c r="AC666" t="s">
        <v>2571</v>
      </c>
      <c r="AD666" t="s">
        <v>717</v>
      </c>
      <c r="AE666" t="s">
        <v>5129</v>
      </c>
      <c r="AF666" t="s">
        <v>5130</v>
      </c>
      <c r="AG666" t="s">
        <v>5131</v>
      </c>
      <c r="AH666" t="s">
        <v>2615</v>
      </c>
      <c r="AI666" t="s">
        <v>2538</v>
      </c>
      <c r="AJ666" t="s">
        <v>2662</v>
      </c>
      <c r="AK666" t="s">
        <v>20</v>
      </c>
      <c r="AL666" t="s">
        <v>16</v>
      </c>
      <c r="AM666" t="s">
        <v>10</v>
      </c>
      <c r="AN666" t="s">
        <v>717</v>
      </c>
    </row>
    <row r="667" spans="1:40" hidden="1">
      <c r="A667">
        <v>665</v>
      </c>
      <c r="B667">
        <v>1</v>
      </c>
      <c r="C667" s="58">
        <v>44473</v>
      </c>
      <c r="D667" t="s">
        <v>27</v>
      </c>
      <c r="E667" t="s">
        <v>2506</v>
      </c>
      <c r="F667">
        <v>8</v>
      </c>
      <c r="G667">
        <v>5</v>
      </c>
      <c r="H667">
        <v>239</v>
      </c>
      <c r="I667">
        <v>2</v>
      </c>
      <c r="J667">
        <v>55.8</v>
      </c>
      <c r="K667" t="s">
        <v>15</v>
      </c>
      <c r="L667">
        <v>3456749.74</v>
      </c>
      <c r="M667">
        <v>0</v>
      </c>
      <c r="N667">
        <v>3456749.74</v>
      </c>
      <c r="O667">
        <v>61948.920071684595</v>
      </c>
      <c r="P667">
        <v>306900</v>
      </c>
      <c r="Q667">
        <v>3149849.74</v>
      </c>
      <c r="R667">
        <v>56448.920071684595</v>
      </c>
      <c r="S667" t="s">
        <v>130</v>
      </c>
      <c r="T667" t="s">
        <v>717</v>
      </c>
      <c r="U667" t="s">
        <v>717</v>
      </c>
      <c r="V667" t="s">
        <v>717</v>
      </c>
      <c r="W667">
        <v>44467</v>
      </c>
      <c r="X667" t="s">
        <v>5132</v>
      </c>
      <c r="Y667" t="s">
        <v>6</v>
      </c>
      <c r="Z667" t="s">
        <v>17</v>
      </c>
      <c r="AA667" t="s">
        <v>717</v>
      </c>
      <c r="AB667" t="s">
        <v>2509</v>
      </c>
      <c r="AC667" t="s">
        <v>118</v>
      </c>
      <c r="AD667" t="s">
        <v>717</v>
      </c>
      <c r="AE667" t="s">
        <v>5133</v>
      </c>
      <c r="AF667" t="s">
        <v>5134</v>
      </c>
      <c r="AG667" t="s">
        <v>5135</v>
      </c>
      <c r="AH667" t="s">
        <v>2552</v>
      </c>
      <c r="AI667" t="s">
        <v>2877</v>
      </c>
      <c r="AJ667" t="s">
        <v>3098</v>
      </c>
      <c r="AK667" t="s">
        <v>407</v>
      </c>
      <c r="AL667" t="s">
        <v>717</v>
      </c>
      <c r="AM667" t="s">
        <v>10</v>
      </c>
      <c r="AN667" t="s">
        <v>717</v>
      </c>
    </row>
    <row r="668" spans="1:40" hidden="1">
      <c r="A668">
        <v>666</v>
      </c>
      <c r="B668">
        <v>2</v>
      </c>
      <c r="C668" s="58">
        <v>44473</v>
      </c>
      <c r="D668" t="s">
        <v>27</v>
      </c>
      <c r="E668" t="s">
        <v>2506</v>
      </c>
      <c r="F668">
        <v>5</v>
      </c>
      <c r="G668">
        <v>7</v>
      </c>
      <c r="H668">
        <v>252</v>
      </c>
      <c r="I668">
        <v>0</v>
      </c>
      <c r="J668">
        <v>23.63</v>
      </c>
      <c r="K668" t="s">
        <v>15</v>
      </c>
      <c r="L668">
        <v>1659653.05</v>
      </c>
      <c r="M668">
        <v>0</v>
      </c>
      <c r="N668">
        <v>1659653.05</v>
      </c>
      <c r="O668">
        <v>70235</v>
      </c>
      <c r="P668">
        <v>129965</v>
      </c>
      <c r="Q668">
        <v>1529688.05</v>
      </c>
      <c r="R668">
        <v>64735.000000000007</v>
      </c>
      <c r="S668" t="s">
        <v>130</v>
      </c>
      <c r="T668" t="s">
        <v>717</v>
      </c>
      <c r="U668" t="s">
        <v>717</v>
      </c>
      <c r="V668" t="s">
        <v>717</v>
      </c>
      <c r="W668">
        <v>44469</v>
      </c>
      <c r="X668" t="s">
        <v>5136</v>
      </c>
      <c r="Y668" t="s">
        <v>6</v>
      </c>
      <c r="Z668" t="s">
        <v>11</v>
      </c>
      <c r="AA668" t="s">
        <v>717</v>
      </c>
      <c r="AB668" t="s">
        <v>2509</v>
      </c>
      <c r="AC668" t="s">
        <v>118</v>
      </c>
      <c r="AD668" t="s">
        <v>717</v>
      </c>
      <c r="AE668" t="s">
        <v>5137</v>
      </c>
      <c r="AF668" t="s">
        <v>2818</v>
      </c>
      <c r="AG668" t="s">
        <v>2819</v>
      </c>
      <c r="AH668" t="s">
        <v>2191</v>
      </c>
      <c r="AI668" t="s">
        <v>2600</v>
      </c>
      <c r="AJ668" t="s">
        <v>3921</v>
      </c>
      <c r="AK668" t="s">
        <v>77</v>
      </c>
      <c r="AL668" t="s">
        <v>717</v>
      </c>
      <c r="AM668" t="s">
        <v>10</v>
      </c>
      <c r="AN668" t="s">
        <v>717</v>
      </c>
    </row>
    <row r="669" spans="1:40" hidden="1">
      <c r="A669">
        <v>667</v>
      </c>
      <c r="B669">
        <v>3</v>
      </c>
      <c r="C669" s="58">
        <v>44474</v>
      </c>
      <c r="D669" t="s">
        <v>121</v>
      </c>
      <c r="E669" t="s">
        <v>2515</v>
      </c>
      <c r="F669">
        <v>3</v>
      </c>
      <c r="G669">
        <v>22</v>
      </c>
      <c r="H669">
        <v>143</v>
      </c>
      <c r="I669">
        <v>3</v>
      </c>
      <c r="J669">
        <v>76.56</v>
      </c>
      <c r="K669" t="s">
        <v>9</v>
      </c>
      <c r="L669">
        <v>5037136.24</v>
      </c>
      <c r="M669">
        <v>0</v>
      </c>
      <c r="N669">
        <v>5037136.24</v>
      </c>
      <c r="O669">
        <v>65793.315569487982</v>
      </c>
      <c r="P669">
        <v>0</v>
      </c>
      <c r="Q669">
        <v>5037136.24</v>
      </c>
      <c r="R669">
        <v>65793.315569487982</v>
      </c>
      <c r="S669" t="s">
        <v>65</v>
      </c>
      <c r="T669" t="s">
        <v>717</v>
      </c>
      <c r="U669" t="s">
        <v>717</v>
      </c>
      <c r="V669" t="s">
        <v>717</v>
      </c>
      <c r="W669">
        <v>44469</v>
      </c>
      <c r="X669" t="s">
        <v>5138</v>
      </c>
      <c r="Y669" t="s">
        <v>6</v>
      </c>
      <c r="Z669" t="s">
        <v>17</v>
      </c>
      <c r="AA669" t="s">
        <v>717</v>
      </c>
      <c r="AB669" t="s">
        <v>2509</v>
      </c>
      <c r="AC669" t="s">
        <v>2571</v>
      </c>
      <c r="AD669" t="s">
        <v>717</v>
      </c>
      <c r="AE669" t="s">
        <v>5139</v>
      </c>
      <c r="AF669" t="s">
        <v>5140</v>
      </c>
      <c r="AG669" t="s">
        <v>5141</v>
      </c>
      <c r="AH669" t="s">
        <v>2191</v>
      </c>
      <c r="AI669" t="s">
        <v>2538</v>
      </c>
      <c r="AJ669" t="s">
        <v>2514</v>
      </c>
      <c r="AK669" t="s">
        <v>77</v>
      </c>
      <c r="AL669" t="s">
        <v>16</v>
      </c>
      <c r="AM669" t="s">
        <v>10</v>
      </c>
      <c r="AN669" t="s">
        <v>717</v>
      </c>
    </row>
    <row r="670" spans="1:40" hidden="1">
      <c r="A670">
        <v>668</v>
      </c>
      <c r="B670">
        <v>4</v>
      </c>
      <c r="C670" s="58">
        <v>44475</v>
      </c>
      <c r="D670" t="s">
        <v>27</v>
      </c>
      <c r="E670" t="s">
        <v>2506</v>
      </c>
      <c r="F670">
        <v>8</v>
      </c>
      <c r="G670">
        <v>18</v>
      </c>
      <c r="H670">
        <v>343</v>
      </c>
      <c r="I670">
        <v>2</v>
      </c>
      <c r="J670">
        <v>55.8</v>
      </c>
      <c r="K670" t="s">
        <v>9</v>
      </c>
      <c r="L670">
        <v>3134849.74</v>
      </c>
      <c r="M670">
        <v>15000</v>
      </c>
      <c r="N670">
        <v>3149849.74</v>
      </c>
      <c r="O670">
        <v>56448.920071684595</v>
      </c>
      <c r="P670">
        <v>0</v>
      </c>
      <c r="Q670">
        <v>3149849.74</v>
      </c>
      <c r="R670">
        <v>56448.920071684595</v>
      </c>
      <c r="S670" t="s">
        <v>65</v>
      </c>
      <c r="T670" t="s">
        <v>717</v>
      </c>
      <c r="U670" t="s">
        <v>717</v>
      </c>
      <c r="V670" t="s">
        <v>4131</v>
      </c>
      <c r="W670">
        <v>44449</v>
      </c>
      <c r="X670" t="s">
        <v>5142</v>
      </c>
      <c r="Y670" t="s">
        <v>6</v>
      </c>
      <c r="Z670" t="s">
        <v>17</v>
      </c>
      <c r="AA670" t="s">
        <v>717</v>
      </c>
      <c r="AB670" t="s">
        <v>2509</v>
      </c>
      <c r="AC670" t="s">
        <v>2571</v>
      </c>
      <c r="AD670" t="s">
        <v>717</v>
      </c>
      <c r="AE670" t="s">
        <v>5143</v>
      </c>
      <c r="AF670" t="s">
        <v>5144</v>
      </c>
      <c r="AG670" t="s">
        <v>717</v>
      </c>
      <c r="AH670" t="s">
        <v>2615</v>
      </c>
      <c r="AI670" t="s">
        <v>2706</v>
      </c>
      <c r="AJ670" t="s">
        <v>2895</v>
      </c>
      <c r="AK670" t="s">
        <v>407</v>
      </c>
      <c r="AL670" t="s">
        <v>16</v>
      </c>
      <c r="AM670" t="s">
        <v>10</v>
      </c>
      <c r="AN670" t="s">
        <v>717</v>
      </c>
    </row>
    <row r="671" spans="1:40" hidden="1">
      <c r="A671">
        <v>669</v>
      </c>
      <c r="B671">
        <v>5</v>
      </c>
      <c r="C671" s="58">
        <v>44477</v>
      </c>
      <c r="D671" t="s">
        <v>27</v>
      </c>
      <c r="E671" t="s">
        <v>2506</v>
      </c>
      <c r="F671">
        <v>3</v>
      </c>
      <c r="G671">
        <v>18</v>
      </c>
      <c r="H671">
        <v>338</v>
      </c>
      <c r="I671">
        <v>0</v>
      </c>
      <c r="J671">
        <v>23.54</v>
      </c>
      <c r="K671" t="s">
        <v>9</v>
      </c>
      <c r="L671">
        <v>1409170</v>
      </c>
      <c r="M671">
        <v>15000</v>
      </c>
      <c r="N671">
        <v>1424170</v>
      </c>
      <c r="O671">
        <v>60500</v>
      </c>
      <c r="P671">
        <v>0</v>
      </c>
      <c r="Q671">
        <v>1424170</v>
      </c>
      <c r="R671">
        <v>60500</v>
      </c>
      <c r="S671" t="s">
        <v>130</v>
      </c>
      <c r="T671" t="s">
        <v>717</v>
      </c>
      <c r="U671" t="s">
        <v>717</v>
      </c>
      <c r="V671" t="s">
        <v>717</v>
      </c>
      <c r="W671">
        <v>44468</v>
      </c>
      <c r="X671" t="s">
        <v>5145</v>
      </c>
      <c r="Y671" t="s">
        <v>2611</v>
      </c>
      <c r="Z671" t="s">
        <v>11</v>
      </c>
      <c r="AA671" t="s">
        <v>717</v>
      </c>
      <c r="AB671" t="s">
        <v>2509</v>
      </c>
      <c r="AC671" t="s">
        <v>118</v>
      </c>
      <c r="AD671">
        <v>44854</v>
      </c>
      <c r="AE671" t="s">
        <v>5146</v>
      </c>
      <c r="AF671" t="s">
        <v>5147</v>
      </c>
      <c r="AG671" t="s">
        <v>5148</v>
      </c>
      <c r="AH671" t="s">
        <v>2615</v>
      </c>
      <c r="AI671" t="s">
        <v>2600</v>
      </c>
      <c r="AJ671" t="s">
        <v>3921</v>
      </c>
      <c r="AK671" t="s">
        <v>77</v>
      </c>
      <c r="AL671" t="s">
        <v>717</v>
      </c>
      <c r="AM671" t="s">
        <v>10</v>
      </c>
      <c r="AN671" t="s">
        <v>717</v>
      </c>
    </row>
    <row r="672" spans="1:40" hidden="1">
      <c r="A672">
        <v>670</v>
      </c>
      <c r="B672">
        <v>6</v>
      </c>
      <c r="C672" s="58">
        <v>44477</v>
      </c>
      <c r="D672" t="s">
        <v>27</v>
      </c>
      <c r="E672" t="s">
        <v>2581</v>
      </c>
      <c r="F672">
        <v>3</v>
      </c>
      <c r="G672">
        <v>14</v>
      </c>
      <c r="H672">
        <v>490</v>
      </c>
      <c r="I672">
        <v>0</v>
      </c>
      <c r="J672">
        <v>23.54</v>
      </c>
      <c r="K672" t="s">
        <v>9</v>
      </c>
      <c r="L672">
        <v>1508861.9</v>
      </c>
      <c r="M672">
        <v>15000</v>
      </c>
      <c r="N672">
        <v>1523861.9</v>
      </c>
      <c r="O672">
        <v>64735</v>
      </c>
      <c r="P672">
        <v>0</v>
      </c>
      <c r="Q672">
        <v>1523861.9</v>
      </c>
      <c r="R672">
        <v>64735</v>
      </c>
      <c r="S672" t="s">
        <v>2507</v>
      </c>
      <c r="T672" t="s">
        <v>717</v>
      </c>
      <c r="U672" t="s">
        <v>717</v>
      </c>
      <c r="V672" t="s">
        <v>717</v>
      </c>
      <c r="W672">
        <v>44471</v>
      </c>
      <c r="X672" t="s">
        <v>5149</v>
      </c>
      <c r="Y672" t="s">
        <v>6</v>
      </c>
      <c r="Z672" t="s">
        <v>11</v>
      </c>
      <c r="AA672" t="s">
        <v>717</v>
      </c>
      <c r="AB672" t="s">
        <v>2509</v>
      </c>
      <c r="AC672" t="s">
        <v>118</v>
      </c>
      <c r="AD672" t="s">
        <v>717</v>
      </c>
      <c r="AE672" t="s">
        <v>5150</v>
      </c>
      <c r="AF672" t="s">
        <v>5151</v>
      </c>
      <c r="AG672" t="s">
        <v>5152</v>
      </c>
      <c r="AH672" t="s">
        <v>2615</v>
      </c>
      <c r="AI672" t="s">
        <v>2847</v>
      </c>
      <c r="AJ672" t="s">
        <v>2940</v>
      </c>
      <c r="AK672" t="s">
        <v>63</v>
      </c>
      <c r="AL672" t="s">
        <v>717</v>
      </c>
      <c r="AM672" t="s">
        <v>10</v>
      </c>
      <c r="AN672" t="s">
        <v>717</v>
      </c>
    </row>
    <row r="673" spans="1:40" hidden="1">
      <c r="A673">
        <v>671</v>
      </c>
      <c r="B673">
        <v>7</v>
      </c>
      <c r="C673" s="58">
        <v>44480</v>
      </c>
      <c r="D673" t="s">
        <v>27</v>
      </c>
      <c r="E673" t="s">
        <v>4409</v>
      </c>
      <c r="F673">
        <v>5</v>
      </c>
      <c r="G673">
        <v>14</v>
      </c>
      <c r="H673">
        <v>612</v>
      </c>
      <c r="I673">
        <v>0</v>
      </c>
      <c r="J673">
        <v>23.63</v>
      </c>
      <c r="K673" t="s">
        <v>9</v>
      </c>
      <c r="L673">
        <v>1529688.05</v>
      </c>
      <c r="M673">
        <v>0</v>
      </c>
      <c r="N673">
        <v>1529688.05</v>
      </c>
      <c r="O673">
        <v>64735.000000000007</v>
      </c>
      <c r="P673">
        <v>0</v>
      </c>
      <c r="Q673">
        <v>1529688.05</v>
      </c>
      <c r="R673">
        <v>64735.000000000007</v>
      </c>
      <c r="S673" t="s">
        <v>65</v>
      </c>
      <c r="T673" t="s">
        <v>717</v>
      </c>
      <c r="U673" t="s">
        <v>717</v>
      </c>
      <c r="V673" t="s">
        <v>717</v>
      </c>
      <c r="W673">
        <v>44477</v>
      </c>
      <c r="X673" t="s">
        <v>5153</v>
      </c>
      <c r="Y673" t="s">
        <v>6</v>
      </c>
      <c r="Z673" t="s">
        <v>17</v>
      </c>
      <c r="AA673" t="s">
        <v>717</v>
      </c>
      <c r="AB673" t="s">
        <v>2509</v>
      </c>
      <c r="AC673" t="s">
        <v>2571</v>
      </c>
      <c r="AD673" t="s">
        <v>717</v>
      </c>
      <c r="AE673" t="s">
        <v>3209</v>
      </c>
      <c r="AF673" t="s">
        <v>3210</v>
      </c>
      <c r="AG673" t="s">
        <v>3211</v>
      </c>
      <c r="AH673" t="s">
        <v>2615</v>
      </c>
      <c r="AI673" t="s">
        <v>2600</v>
      </c>
      <c r="AJ673" t="s">
        <v>3921</v>
      </c>
      <c r="AK673" t="s">
        <v>77</v>
      </c>
      <c r="AL673" t="s">
        <v>575</v>
      </c>
      <c r="AM673" t="s">
        <v>10</v>
      </c>
      <c r="AN673" t="s">
        <v>717</v>
      </c>
    </row>
    <row r="674" spans="1:40" hidden="1">
      <c r="A674">
        <v>672</v>
      </c>
      <c r="B674">
        <v>8</v>
      </c>
      <c r="C674" s="58">
        <v>44480</v>
      </c>
      <c r="D674" t="s">
        <v>27</v>
      </c>
      <c r="E674" t="s">
        <v>4409</v>
      </c>
      <c r="F674">
        <v>1</v>
      </c>
      <c r="G674">
        <v>7</v>
      </c>
      <c r="H674">
        <v>552</v>
      </c>
      <c r="I674">
        <v>3</v>
      </c>
      <c r="J674">
        <v>82.27</v>
      </c>
      <c r="K674" t="s">
        <v>9</v>
      </c>
      <c r="L674">
        <v>4350458.66</v>
      </c>
      <c r="M674">
        <v>0</v>
      </c>
      <c r="N674">
        <v>4350458.66</v>
      </c>
      <c r="O674">
        <v>52880.255986386292</v>
      </c>
      <c r="P674">
        <v>0</v>
      </c>
      <c r="Q674">
        <v>4350458.66</v>
      </c>
      <c r="R674">
        <v>52880.255986386292</v>
      </c>
      <c r="S674" t="s">
        <v>2507</v>
      </c>
      <c r="T674" t="s">
        <v>717</v>
      </c>
      <c r="U674" t="s">
        <v>717</v>
      </c>
      <c r="V674" t="s">
        <v>717</v>
      </c>
      <c r="W674">
        <v>44478</v>
      </c>
      <c r="X674" t="s">
        <v>5154</v>
      </c>
      <c r="Y674" t="s">
        <v>6</v>
      </c>
      <c r="Z674" t="s">
        <v>17</v>
      </c>
      <c r="AA674" t="s">
        <v>717</v>
      </c>
      <c r="AB674" t="s">
        <v>2509</v>
      </c>
      <c r="AC674" t="s">
        <v>118</v>
      </c>
      <c r="AD674" t="s">
        <v>717</v>
      </c>
      <c r="AE674" t="s">
        <v>5155</v>
      </c>
      <c r="AF674" t="s">
        <v>5156</v>
      </c>
      <c r="AG674" t="s">
        <v>5157</v>
      </c>
      <c r="AH674" t="s">
        <v>2191</v>
      </c>
      <c r="AI674" t="s">
        <v>2538</v>
      </c>
      <c r="AJ674" t="s">
        <v>2514</v>
      </c>
      <c r="AK674" t="s">
        <v>407</v>
      </c>
      <c r="AL674" t="s">
        <v>717</v>
      </c>
      <c r="AM674" t="s">
        <v>10</v>
      </c>
      <c r="AN674" t="s">
        <v>717</v>
      </c>
    </row>
    <row r="675" spans="1:40" hidden="1">
      <c r="A675">
        <v>673</v>
      </c>
      <c r="B675">
        <v>9</v>
      </c>
      <c r="C675" s="58">
        <v>44481</v>
      </c>
      <c r="D675" t="s">
        <v>121</v>
      </c>
      <c r="E675" t="s">
        <v>2515</v>
      </c>
      <c r="F675">
        <v>5</v>
      </c>
      <c r="G675">
        <v>3</v>
      </c>
      <c r="H675">
        <v>12</v>
      </c>
      <c r="I675">
        <v>1</v>
      </c>
      <c r="J675">
        <v>36.42</v>
      </c>
      <c r="K675" t="s">
        <v>15</v>
      </c>
      <c r="L675">
        <v>2549558.37</v>
      </c>
      <c r="M675">
        <v>15000</v>
      </c>
      <c r="N675">
        <v>2564558.37</v>
      </c>
      <c r="O675">
        <v>70416.210049423389</v>
      </c>
      <c r="P675">
        <v>200310</v>
      </c>
      <c r="Q675">
        <v>2364248.37</v>
      </c>
      <c r="R675">
        <v>64916.210049423389</v>
      </c>
      <c r="S675" t="s">
        <v>2507</v>
      </c>
      <c r="T675" t="s">
        <v>717</v>
      </c>
      <c r="U675" t="s">
        <v>717</v>
      </c>
      <c r="V675" t="s">
        <v>717</v>
      </c>
      <c r="W675">
        <v>44475</v>
      </c>
      <c r="X675" t="s">
        <v>5158</v>
      </c>
      <c r="Y675" t="s">
        <v>6</v>
      </c>
      <c r="Z675" t="s">
        <v>17</v>
      </c>
      <c r="AA675" t="s">
        <v>717</v>
      </c>
      <c r="AB675" t="s">
        <v>2509</v>
      </c>
      <c r="AC675" t="s">
        <v>118</v>
      </c>
      <c r="AD675" t="s">
        <v>717</v>
      </c>
      <c r="AE675" t="s">
        <v>5159</v>
      </c>
      <c r="AF675" t="s">
        <v>5160</v>
      </c>
      <c r="AG675" t="s">
        <v>5161</v>
      </c>
      <c r="AH675" t="s">
        <v>2615</v>
      </c>
      <c r="AI675" t="s">
        <v>2538</v>
      </c>
      <c r="AJ675" t="s">
        <v>2569</v>
      </c>
      <c r="AK675" t="s">
        <v>73</v>
      </c>
      <c r="AL675" t="s">
        <v>717</v>
      </c>
      <c r="AM675" t="s">
        <v>10</v>
      </c>
      <c r="AN675" t="s">
        <v>717</v>
      </c>
    </row>
    <row r="676" spans="1:40" hidden="1">
      <c r="A676">
        <v>674</v>
      </c>
      <c r="B676">
        <v>10</v>
      </c>
      <c r="C676" s="58">
        <v>44481</v>
      </c>
      <c r="D676" t="s">
        <v>27</v>
      </c>
      <c r="E676" t="s">
        <v>2506</v>
      </c>
      <c r="F676">
        <v>8</v>
      </c>
      <c r="G676">
        <v>14</v>
      </c>
      <c r="H676">
        <v>311</v>
      </c>
      <c r="I676">
        <v>2</v>
      </c>
      <c r="J676">
        <v>55.8</v>
      </c>
      <c r="K676" t="s">
        <v>9</v>
      </c>
      <c r="L676">
        <v>3134849.74</v>
      </c>
      <c r="M676">
        <v>15000</v>
      </c>
      <c r="N676">
        <v>3149849.74</v>
      </c>
      <c r="O676">
        <v>56448.920071684595</v>
      </c>
      <c r="P676">
        <v>0</v>
      </c>
      <c r="Q676">
        <v>3149849.74</v>
      </c>
      <c r="R676">
        <v>56448.920071684595</v>
      </c>
      <c r="S676" t="s">
        <v>65</v>
      </c>
      <c r="T676" t="s">
        <v>717</v>
      </c>
      <c r="U676" t="s">
        <v>717</v>
      </c>
      <c r="V676" t="s">
        <v>717</v>
      </c>
      <c r="W676">
        <v>44475</v>
      </c>
      <c r="X676" t="s">
        <v>5162</v>
      </c>
      <c r="Y676" t="s">
        <v>6</v>
      </c>
      <c r="Z676" t="s">
        <v>11</v>
      </c>
      <c r="AA676" t="s">
        <v>717</v>
      </c>
      <c r="AB676" t="s">
        <v>2509</v>
      </c>
      <c r="AC676" t="s">
        <v>2576</v>
      </c>
      <c r="AD676" t="s">
        <v>717</v>
      </c>
      <c r="AE676" t="s">
        <v>5163</v>
      </c>
      <c r="AF676" t="s">
        <v>5164</v>
      </c>
      <c r="AG676" t="s">
        <v>5165</v>
      </c>
      <c r="AH676" t="s">
        <v>2615</v>
      </c>
      <c r="AI676" t="s">
        <v>3120</v>
      </c>
      <c r="AJ676" t="s">
        <v>3202</v>
      </c>
      <c r="AK676" t="s">
        <v>63</v>
      </c>
      <c r="AL676" t="s">
        <v>16</v>
      </c>
      <c r="AM676" t="s">
        <v>10</v>
      </c>
      <c r="AN676" t="s">
        <v>717</v>
      </c>
    </row>
    <row r="677" spans="1:40" hidden="1">
      <c r="A677">
        <v>675</v>
      </c>
      <c r="B677">
        <v>11</v>
      </c>
      <c r="C677" s="58">
        <v>44482</v>
      </c>
      <c r="D677" t="s">
        <v>27</v>
      </c>
      <c r="E677" t="s">
        <v>4409</v>
      </c>
      <c r="F677">
        <v>6</v>
      </c>
      <c r="G677">
        <v>6</v>
      </c>
      <c r="H677">
        <v>549</v>
      </c>
      <c r="I677">
        <v>1</v>
      </c>
      <c r="J677">
        <v>37.11</v>
      </c>
      <c r="K677" t="s">
        <v>9</v>
      </c>
      <c r="L677">
        <v>2250314.77</v>
      </c>
      <c r="M677">
        <v>0</v>
      </c>
      <c r="N677">
        <v>2250314.77</v>
      </c>
      <c r="O677">
        <v>60639.039881433579</v>
      </c>
      <c r="P677">
        <v>0</v>
      </c>
      <c r="Q677">
        <v>2250314.77</v>
      </c>
      <c r="R677">
        <v>60639.039881433579</v>
      </c>
      <c r="S677" t="s">
        <v>65</v>
      </c>
      <c r="T677" t="s">
        <v>717</v>
      </c>
      <c r="U677" t="s">
        <v>717</v>
      </c>
      <c r="V677" t="s">
        <v>717</v>
      </c>
      <c r="W677">
        <v>44476</v>
      </c>
      <c r="X677" t="s">
        <v>5166</v>
      </c>
      <c r="Y677" t="s">
        <v>6</v>
      </c>
      <c r="Z677" t="s">
        <v>17</v>
      </c>
      <c r="AA677" t="s">
        <v>717</v>
      </c>
      <c r="AB677" t="s">
        <v>2509</v>
      </c>
      <c r="AC677" t="s">
        <v>2571</v>
      </c>
      <c r="AD677" t="s">
        <v>717</v>
      </c>
      <c r="AE677" t="s">
        <v>5167</v>
      </c>
      <c r="AF677" t="s">
        <v>5168</v>
      </c>
      <c r="AG677" t="s">
        <v>5169</v>
      </c>
      <c r="AH677" t="s">
        <v>2191</v>
      </c>
      <c r="AI677" t="s">
        <v>2538</v>
      </c>
      <c r="AJ677" t="s">
        <v>2514</v>
      </c>
      <c r="AK677" t="s">
        <v>471</v>
      </c>
      <c r="AL677" t="s">
        <v>575</v>
      </c>
      <c r="AM677" t="s">
        <v>10</v>
      </c>
      <c r="AN677" t="s">
        <v>717</v>
      </c>
    </row>
    <row r="678" spans="1:40" hidden="1">
      <c r="A678">
        <v>676</v>
      </c>
      <c r="B678">
        <v>12</v>
      </c>
      <c r="C678" s="58">
        <v>44482</v>
      </c>
      <c r="D678" t="s">
        <v>27</v>
      </c>
      <c r="E678" t="s">
        <v>2581</v>
      </c>
      <c r="F678">
        <v>7</v>
      </c>
      <c r="G678">
        <v>11</v>
      </c>
      <c r="H678">
        <v>470</v>
      </c>
      <c r="I678">
        <v>2</v>
      </c>
      <c r="J678">
        <v>59.93</v>
      </c>
      <c r="K678" t="s">
        <v>25</v>
      </c>
      <c r="L678">
        <v>4563492.95</v>
      </c>
      <c r="M678">
        <v>0</v>
      </c>
      <c r="N678">
        <v>4563492.95</v>
      </c>
      <c r="O678">
        <v>76147.054063073607</v>
      </c>
      <c r="P678">
        <v>958880</v>
      </c>
      <c r="Q678">
        <v>3604612.95</v>
      </c>
      <c r="R678">
        <v>60147.054063073592</v>
      </c>
      <c r="S678" t="s">
        <v>65</v>
      </c>
      <c r="T678" t="s">
        <v>717</v>
      </c>
      <c r="U678" t="s">
        <v>717</v>
      </c>
      <c r="V678" t="s">
        <v>4131</v>
      </c>
      <c r="W678">
        <v>44478</v>
      </c>
      <c r="X678" t="s">
        <v>5170</v>
      </c>
      <c r="Y678" t="s">
        <v>6</v>
      </c>
      <c r="Z678" t="s">
        <v>17</v>
      </c>
      <c r="AA678" t="s">
        <v>717</v>
      </c>
      <c r="AB678" t="s">
        <v>2509</v>
      </c>
      <c r="AC678" t="s">
        <v>2571</v>
      </c>
      <c r="AD678" t="s">
        <v>717</v>
      </c>
      <c r="AE678" t="s">
        <v>5171</v>
      </c>
      <c r="AF678" t="s">
        <v>5172</v>
      </c>
      <c r="AG678" t="s">
        <v>5173</v>
      </c>
      <c r="AH678" t="s">
        <v>2616</v>
      </c>
      <c r="AI678" t="s">
        <v>2552</v>
      </c>
      <c r="AJ678" t="s">
        <v>2569</v>
      </c>
      <c r="AK678" t="s">
        <v>20</v>
      </c>
      <c r="AL678" t="s">
        <v>575</v>
      </c>
      <c r="AM678" t="s">
        <v>10</v>
      </c>
      <c r="AN678" t="s">
        <v>717</v>
      </c>
    </row>
    <row r="679" spans="1:40" hidden="1">
      <c r="A679">
        <v>677</v>
      </c>
      <c r="B679">
        <v>13</v>
      </c>
      <c r="C679" s="58">
        <v>44482</v>
      </c>
      <c r="D679" t="s">
        <v>27</v>
      </c>
      <c r="E679" t="s">
        <v>2506</v>
      </c>
      <c r="F679">
        <v>8</v>
      </c>
      <c r="G679">
        <v>4</v>
      </c>
      <c r="H679">
        <v>231</v>
      </c>
      <c r="I679">
        <v>2</v>
      </c>
      <c r="J679">
        <v>55.8</v>
      </c>
      <c r="K679" t="s">
        <v>15</v>
      </c>
      <c r="L679">
        <v>3456749.74</v>
      </c>
      <c r="M679">
        <v>0</v>
      </c>
      <c r="N679">
        <v>3456749.74</v>
      </c>
      <c r="O679">
        <v>61948.920071684595</v>
      </c>
      <c r="P679">
        <v>306900</v>
      </c>
      <c r="Q679">
        <v>3149849.74</v>
      </c>
      <c r="R679">
        <v>56448.920071684595</v>
      </c>
      <c r="S679" t="s">
        <v>65</v>
      </c>
      <c r="T679" t="s">
        <v>717</v>
      </c>
      <c r="U679" t="s">
        <v>717</v>
      </c>
      <c r="V679" t="s">
        <v>4131</v>
      </c>
      <c r="W679">
        <v>44480</v>
      </c>
      <c r="X679" t="s">
        <v>5174</v>
      </c>
      <c r="Y679" t="s">
        <v>2611</v>
      </c>
      <c r="Z679" t="s">
        <v>17</v>
      </c>
      <c r="AA679" t="s">
        <v>717</v>
      </c>
      <c r="AB679" t="s">
        <v>2509</v>
      </c>
      <c r="AC679" t="s">
        <v>2571</v>
      </c>
      <c r="AD679">
        <v>45007</v>
      </c>
      <c r="AE679" t="s">
        <v>5175</v>
      </c>
      <c r="AF679" t="s">
        <v>5176</v>
      </c>
      <c r="AG679" t="s">
        <v>5177</v>
      </c>
      <c r="AH679" t="s">
        <v>2191</v>
      </c>
      <c r="AI679" t="s">
        <v>2552</v>
      </c>
      <c r="AJ679" t="s">
        <v>2514</v>
      </c>
      <c r="AK679" t="s">
        <v>73</v>
      </c>
      <c r="AL679" t="s">
        <v>575</v>
      </c>
      <c r="AM679" t="s">
        <v>10</v>
      </c>
      <c r="AN679" t="s">
        <v>717</v>
      </c>
    </row>
    <row r="680" spans="1:40" hidden="1">
      <c r="A680">
        <v>678</v>
      </c>
      <c r="B680">
        <v>14</v>
      </c>
      <c r="C680" s="58">
        <v>44483</v>
      </c>
      <c r="D680" t="s">
        <v>27</v>
      </c>
      <c r="E680" t="s">
        <v>2581</v>
      </c>
      <c r="F680">
        <v>8</v>
      </c>
      <c r="G680">
        <v>13</v>
      </c>
      <c r="H680">
        <v>487</v>
      </c>
      <c r="I680">
        <v>2</v>
      </c>
      <c r="J680">
        <v>55.8</v>
      </c>
      <c r="K680" t="s">
        <v>15</v>
      </c>
      <c r="L680">
        <v>3685829.72</v>
      </c>
      <c r="M680">
        <v>0</v>
      </c>
      <c r="N680">
        <v>3685829.72</v>
      </c>
      <c r="O680">
        <v>66054.296057347674</v>
      </c>
      <c r="P680">
        <v>306900</v>
      </c>
      <c r="Q680">
        <v>3378929.72</v>
      </c>
      <c r="R680">
        <v>60554.296057347674</v>
      </c>
      <c r="S680" t="s">
        <v>65</v>
      </c>
      <c r="T680" t="s">
        <v>717</v>
      </c>
      <c r="U680" t="s">
        <v>717</v>
      </c>
      <c r="V680" t="s">
        <v>4131</v>
      </c>
      <c r="W680">
        <v>44480</v>
      </c>
      <c r="X680" t="s">
        <v>5178</v>
      </c>
      <c r="Y680" t="s">
        <v>6</v>
      </c>
      <c r="Z680" t="s">
        <v>17</v>
      </c>
      <c r="AA680" t="s">
        <v>717</v>
      </c>
      <c r="AB680" t="s">
        <v>2509</v>
      </c>
      <c r="AC680" t="s">
        <v>2571</v>
      </c>
      <c r="AD680" t="s">
        <v>717</v>
      </c>
      <c r="AE680" t="s">
        <v>5179</v>
      </c>
      <c r="AF680" t="s">
        <v>5180</v>
      </c>
      <c r="AG680" t="s">
        <v>5181</v>
      </c>
      <c r="AH680" t="s">
        <v>2615</v>
      </c>
      <c r="AI680" t="s">
        <v>2552</v>
      </c>
      <c r="AJ680" t="s">
        <v>2662</v>
      </c>
      <c r="AK680" t="s">
        <v>73</v>
      </c>
      <c r="AL680" t="s">
        <v>575</v>
      </c>
      <c r="AM680" t="s">
        <v>10</v>
      </c>
      <c r="AN680" t="s">
        <v>717</v>
      </c>
    </row>
    <row r="681" spans="1:40" hidden="1">
      <c r="A681">
        <v>679</v>
      </c>
      <c r="B681">
        <v>15</v>
      </c>
      <c r="C681" s="58">
        <v>44484</v>
      </c>
      <c r="D681" t="s">
        <v>27</v>
      </c>
      <c r="E681" t="s">
        <v>4409</v>
      </c>
      <c r="F681">
        <v>5</v>
      </c>
      <c r="G681">
        <v>7</v>
      </c>
      <c r="H681">
        <v>556</v>
      </c>
      <c r="I681">
        <v>0</v>
      </c>
      <c r="J681">
        <v>23.63</v>
      </c>
      <c r="K681" t="s">
        <v>9</v>
      </c>
      <c r="L681">
        <v>1514688.05</v>
      </c>
      <c r="M681">
        <v>15000</v>
      </c>
      <c r="N681">
        <v>1529688.05</v>
      </c>
      <c r="O681">
        <v>64735.000000000007</v>
      </c>
      <c r="P681">
        <v>0</v>
      </c>
      <c r="Q681">
        <v>1529688.05</v>
      </c>
      <c r="R681">
        <v>64735.000000000007</v>
      </c>
      <c r="S681" t="s">
        <v>2507</v>
      </c>
      <c r="T681" t="s">
        <v>717</v>
      </c>
      <c r="U681" t="s">
        <v>717</v>
      </c>
      <c r="V681" t="s">
        <v>717</v>
      </c>
      <c r="W681">
        <v>44467</v>
      </c>
      <c r="X681" t="s">
        <v>5182</v>
      </c>
      <c r="Y681" t="s">
        <v>6</v>
      </c>
      <c r="Z681" t="s">
        <v>17</v>
      </c>
      <c r="AA681" t="s">
        <v>717</v>
      </c>
      <c r="AB681" t="s">
        <v>2509</v>
      </c>
      <c r="AC681" t="s">
        <v>118</v>
      </c>
      <c r="AD681" t="s">
        <v>717</v>
      </c>
      <c r="AE681" t="s">
        <v>5183</v>
      </c>
      <c r="AF681" t="s">
        <v>5184</v>
      </c>
      <c r="AG681" t="s">
        <v>717</v>
      </c>
      <c r="AH681" t="s">
        <v>2191</v>
      </c>
      <c r="AI681" t="s">
        <v>3115</v>
      </c>
      <c r="AJ681" t="s">
        <v>3098</v>
      </c>
      <c r="AK681" t="s">
        <v>471</v>
      </c>
      <c r="AL681" t="s">
        <v>717</v>
      </c>
      <c r="AM681" t="s">
        <v>10</v>
      </c>
      <c r="AN681" t="s">
        <v>717</v>
      </c>
    </row>
    <row r="682" spans="1:40" hidden="1">
      <c r="A682">
        <v>680</v>
      </c>
      <c r="B682">
        <v>16</v>
      </c>
      <c r="C682" s="58">
        <v>44484</v>
      </c>
      <c r="D682" t="s">
        <v>27</v>
      </c>
      <c r="E682" t="s">
        <v>4409</v>
      </c>
      <c r="F682">
        <v>6</v>
      </c>
      <c r="G682">
        <v>14</v>
      </c>
      <c r="H682">
        <v>613</v>
      </c>
      <c r="I682">
        <v>1</v>
      </c>
      <c r="J682">
        <v>37.11</v>
      </c>
      <c r="K682" t="s">
        <v>9</v>
      </c>
      <c r="L682">
        <v>2250314.77</v>
      </c>
      <c r="M682">
        <v>0</v>
      </c>
      <c r="N682">
        <v>2250314.77</v>
      </c>
      <c r="O682">
        <v>60639.039881433579</v>
      </c>
      <c r="P682">
        <v>0</v>
      </c>
      <c r="Q682">
        <v>2250314.77</v>
      </c>
      <c r="R682">
        <v>60639.039881433579</v>
      </c>
      <c r="S682" t="s">
        <v>130</v>
      </c>
      <c r="T682" t="s">
        <v>717</v>
      </c>
      <c r="U682" t="s">
        <v>717</v>
      </c>
      <c r="V682" t="s">
        <v>717</v>
      </c>
      <c r="W682">
        <v>44477</v>
      </c>
      <c r="X682" t="s">
        <v>5185</v>
      </c>
      <c r="Y682" t="s">
        <v>6</v>
      </c>
      <c r="Z682" t="s">
        <v>11</v>
      </c>
      <c r="AA682" t="s">
        <v>717</v>
      </c>
      <c r="AB682" t="s">
        <v>2509</v>
      </c>
      <c r="AC682" t="s">
        <v>118</v>
      </c>
      <c r="AD682" t="s">
        <v>717</v>
      </c>
      <c r="AE682" t="s">
        <v>5186</v>
      </c>
      <c r="AF682" t="s">
        <v>5187</v>
      </c>
      <c r="AG682" t="s">
        <v>5188</v>
      </c>
      <c r="AH682" t="s">
        <v>2191</v>
      </c>
      <c r="AI682" t="s">
        <v>2538</v>
      </c>
      <c r="AJ682" t="s">
        <v>2514</v>
      </c>
      <c r="AK682" t="s">
        <v>471</v>
      </c>
      <c r="AL682" t="s">
        <v>717</v>
      </c>
      <c r="AM682" t="s">
        <v>10</v>
      </c>
      <c r="AN682" t="s">
        <v>717</v>
      </c>
    </row>
    <row r="683" spans="1:40" hidden="1">
      <c r="A683">
        <v>681</v>
      </c>
      <c r="B683">
        <v>17</v>
      </c>
      <c r="C683" s="58">
        <v>44484</v>
      </c>
      <c r="D683" t="s">
        <v>121</v>
      </c>
      <c r="E683" t="s">
        <v>2515</v>
      </c>
      <c r="F683">
        <v>1</v>
      </c>
      <c r="G683">
        <v>7</v>
      </c>
      <c r="H683">
        <v>36</v>
      </c>
      <c r="I683">
        <v>2</v>
      </c>
      <c r="J683">
        <v>59.52</v>
      </c>
      <c r="K683" t="s">
        <v>9</v>
      </c>
      <c r="L683">
        <v>4182029.95</v>
      </c>
      <c r="M683">
        <v>0</v>
      </c>
      <c r="N683">
        <v>4182029.95</v>
      </c>
      <c r="O683">
        <v>70262.599966397844</v>
      </c>
      <c r="P683">
        <v>0</v>
      </c>
      <c r="Q683">
        <v>4182029.95</v>
      </c>
      <c r="R683">
        <v>70262.599966397844</v>
      </c>
      <c r="S683" t="s">
        <v>65</v>
      </c>
      <c r="T683" t="s">
        <v>717</v>
      </c>
      <c r="U683" t="s">
        <v>717</v>
      </c>
      <c r="V683" t="s">
        <v>717</v>
      </c>
      <c r="W683">
        <v>44478</v>
      </c>
      <c r="X683" t="s">
        <v>5189</v>
      </c>
      <c r="Y683" t="s">
        <v>2611</v>
      </c>
      <c r="Z683" t="s">
        <v>17</v>
      </c>
      <c r="AA683" t="s">
        <v>717</v>
      </c>
      <c r="AB683" t="s">
        <v>2509</v>
      </c>
      <c r="AC683" t="s">
        <v>2571</v>
      </c>
      <c r="AD683">
        <v>44678</v>
      </c>
      <c r="AE683" t="s">
        <v>5190</v>
      </c>
      <c r="AF683" t="s">
        <v>5191</v>
      </c>
      <c r="AG683" t="s">
        <v>5192</v>
      </c>
      <c r="AH683" t="s">
        <v>2552</v>
      </c>
      <c r="AI683" t="s">
        <v>2877</v>
      </c>
      <c r="AJ683" t="s">
        <v>3098</v>
      </c>
      <c r="AK683" t="s">
        <v>20</v>
      </c>
      <c r="AL683" t="s">
        <v>575</v>
      </c>
      <c r="AM683" t="s">
        <v>10</v>
      </c>
      <c r="AN683" t="s">
        <v>717</v>
      </c>
    </row>
    <row r="684" spans="1:40" hidden="1">
      <c r="A684">
        <v>682</v>
      </c>
      <c r="B684">
        <v>18</v>
      </c>
      <c r="C684" s="58">
        <v>44484</v>
      </c>
      <c r="D684" t="s">
        <v>27</v>
      </c>
      <c r="E684" t="s">
        <v>2581</v>
      </c>
      <c r="F684">
        <v>3</v>
      </c>
      <c r="G684">
        <v>9</v>
      </c>
      <c r="H684">
        <v>450</v>
      </c>
      <c r="I684">
        <v>0</v>
      </c>
      <c r="J684">
        <v>23.54</v>
      </c>
      <c r="K684" t="s">
        <v>9</v>
      </c>
      <c r="L684">
        <v>1523861.9</v>
      </c>
      <c r="M684">
        <v>0</v>
      </c>
      <c r="N684">
        <v>1523861.9</v>
      </c>
      <c r="O684">
        <v>64735</v>
      </c>
      <c r="P684">
        <v>0</v>
      </c>
      <c r="Q684">
        <v>1523861.9</v>
      </c>
      <c r="R684">
        <v>64735</v>
      </c>
      <c r="S684" t="s">
        <v>65</v>
      </c>
      <c r="T684" t="s">
        <v>717</v>
      </c>
      <c r="U684" t="s">
        <v>717</v>
      </c>
      <c r="V684" t="s">
        <v>717</v>
      </c>
      <c r="W684">
        <v>44480</v>
      </c>
      <c r="X684" t="s">
        <v>5193</v>
      </c>
      <c r="Y684" t="s">
        <v>6</v>
      </c>
      <c r="Z684" t="s">
        <v>17</v>
      </c>
      <c r="AA684" t="s">
        <v>717</v>
      </c>
      <c r="AB684" t="s">
        <v>2509</v>
      </c>
      <c r="AC684" t="s">
        <v>2571</v>
      </c>
      <c r="AD684" t="s">
        <v>717</v>
      </c>
      <c r="AE684" t="s">
        <v>5194</v>
      </c>
      <c r="AF684" t="s">
        <v>5195</v>
      </c>
      <c r="AG684" t="s">
        <v>5196</v>
      </c>
      <c r="AH684" t="s">
        <v>2615</v>
      </c>
      <c r="AI684" t="s">
        <v>2552</v>
      </c>
      <c r="AJ684" t="s">
        <v>2569</v>
      </c>
      <c r="AK684" t="s">
        <v>73</v>
      </c>
      <c r="AL684" t="s">
        <v>575</v>
      </c>
      <c r="AM684" t="s">
        <v>10</v>
      </c>
      <c r="AN684" t="s">
        <v>717</v>
      </c>
    </row>
    <row r="685" spans="1:40" hidden="1">
      <c r="A685">
        <v>683</v>
      </c>
      <c r="B685">
        <v>19</v>
      </c>
      <c r="C685" s="58">
        <v>44487</v>
      </c>
      <c r="D685" t="s">
        <v>27</v>
      </c>
      <c r="E685" t="s">
        <v>2506</v>
      </c>
      <c r="F685">
        <v>6</v>
      </c>
      <c r="G685">
        <v>7</v>
      </c>
      <c r="H685">
        <v>253</v>
      </c>
      <c r="I685">
        <v>1</v>
      </c>
      <c r="J685">
        <v>37.11</v>
      </c>
      <c r="K685" t="s">
        <v>15</v>
      </c>
      <c r="L685">
        <v>2552259.5499999998</v>
      </c>
      <c r="M685">
        <v>0</v>
      </c>
      <c r="N685">
        <v>2552259.5499999998</v>
      </c>
      <c r="O685">
        <v>68775.52007545135</v>
      </c>
      <c r="P685">
        <v>204105</v>
      </c>
      <c r="Q685">
        <v>2348154.5499999998</v>
      </c>
      <c r="R685">
        <v>63275.520075451357</v>
      </c>
      <c r="S685" t="s">
        <v>65</v>
      </c>
      <c r="T685" t="s">
        <v>717</v>
      </c>
      <c r="U685" t="s">
        <v>717</v>
      </c>
      <c r="V685" t="s">
        <v>717</v>
      </c>
      <c r="W685">
        <v>44481</v>
      </c>
      <c r="X685" t="s">
        <v>5197</v>
      </c>
      <c r="Y685" t="s">
        <v>6</v>
      </c>
      <c r="Z685" t="s">
        <v>17</v>
      </c>
      <c r="AA685" t="s">
        <v>717</v>
      </c>
      <c r="AB685" t="s">
        <v>2509</v>
      </c>
      <c r="AC685" t="s">
        <v>2571</v>
      </c>
      <c r="AD685" t="s">
        <v>717</v>
      </c>
      <c r="AE685" t="s">
        <v>5198</v>
      </c>
      <c r="AF685" t="s">
        <v>5199</v>
      </c>
      <c r="AG685" t="s">
        <v>717</v>
      </c>
      <c r="AH685" t="s">
        <v>2615</v>
      </c>
      <c r="AI685" t="s">
        <v>2552</v>
      </c>
      <c r="AJ685" t="s">
        <v>2793</v>
      </c>
      <c r="AK685" t="s">
        <v>20</v>
      </c>
      <c r="AL685" t="s">
        <v>575</v>
      </c>
      <c r="AM685" t="s">
        <v>10</v>
      </c>
      <c r="AN685" t="s">
        <v>717</v>
      </c>
    </row>
    <row r="686" spans="1:40" hidden="1">
      <c r="A686">
        <v>684</v>
      </c>
      <c r="B686">
        <v>20</v>
      </c>
      <c r="C686" s="58">
        <v>44487</v>
      </c>
      <c r="D686" t="s">
        <v>27</v>
      </c>
      <c r="E686" t="s">
        <v>4409</v>
      </c>
      <c r="F686">
        <v>8</v>
      </c>
      <c r="G686">
        <v>5</v>
      </c>
      <c r="H686">
        <v>543</v>
      </c>
      <c r="I686">
        <v>2</v>
      </c>
      <c r="J686">
        <v>55.8</v>
      </c>
      <c r="K686" t="s">
        <v>9</v>
      </c>
      <c r="L686">
        <v>3087325.61</v>
      </c>
      <c r="M686">
        <v>0</v>
      </c>
      <c r="N686">
        <v>3087325.61</v>
      </c>
      <c r="O686">
        <v>55328.415949820781</v>
      </c>
      <c r="P686">
        <v>0</v>
      </c>
      <c r="Q686">
        <v>3087325.61</v>
      </c>
      <c r="R686">
        <v>55328.415949820781</v>
      </c>
      <c r="S686" t="s">
        <v>65</v>
      </c>
      <c r="T686" t="s">
        <v>717</v>
      </c>
      <c r="U686" t="s">
        <v>717</v>
      </c>
      <c r="V686" t="s">
        <v>4131</v>
      </c>
      <c r="W686">
        <v>44482</v>
      </c>
      <c r="X686" t="s">
        <v>5200</v>
      </c>
      <c r="Y686" t="s">
        <v>6</v>
      </c>
      <c r="Z686" t="s">
        <v>17</v>
      </c>
      <c r="AA686" t="s">
        <v>717</v>
      </c>
      <c r="AB686" t="s">
        <v>2509</v>
      </c>
      <c r="AC686" t="s">
        <v>2571</v>
      </c>
      <c r="AD686" t="s">
        <v>717</v>
      </c>
      <c r="AE686" t="s">
        <v>5201</v>
      </c>
      <c r="AF686" t="s">
        <v>5202</v>
      </c>
      <c r="AG686" t="s">
        <v>5203</v>
      </c>
      <c r="AH686" t="s">
        <v>2615</v>
      </c>
      <c r="AI686" t="s">
        <v>2706</v>
      </c>
      <c r="AJ686" t="s">
        <v>2569</v>
      </c>
      <c r="AK686" t="s">
        <v>471</v>
      </c>
      <c r="AL686" t="s">
        <v>575</v>
      </c>
      <c r="AM686" t="s">
        <v>10</v>
      </c>
      <c r="AN686" t="s">
        <v>717</v>
      </c>
    </row>
    <row r="687" spans="1:40" hidden="1">
      <c r="A687">
        <v>685</v>
      </c>
      <c r="B687">
        <v>21</v>
      </c>
      <c r="C687" s="58">
        <v>44487</v>
      </c>
      <c r="D687" t="s">
        <v>27</v>
      </c>
      <c r="E687" t="s">
        <v>2581</v>
      </c>
      <c r="F687">
        <v>5</v>
      </c>
      <c r="G687">
        <v>5</v>
      </c>
      <c r="H687">
        <v>420</v>
      </c>
      <c r="I687">
        <v>0</v>
      </c>
      <c r="J687">
        <v>23.63</v>
      </c>
      <c r="K687" t="s">
        <v>9</v>
      </c>
      <c r="L687">
        <v>1606172.45</v>
      </c>
      <c r="M687">
        <v>0</v>
      </c>
      <c r="N687">
        <v>1606172.45</v>
      </c>
      <c r="O687">
        <v>67971.749894202279</v>
      </c>
      <c r="P687">
        <v>0</v>
      </c>
      <c r="Q687">
        <v>1606172.45</v>
      </c>
      <c r="R687">
        <v>67971.749894202279</v>
      </c>
      <c r="S687" t="s">
        <v>65</v>
      </c>
      <c r="T687" t="s">
        <v>717</v>
      </c>
      <c r="U687" t="s">
        <v>717</v>
      </c>
      <c r="V687" t="s">
        <v>717</v>
      </c>
      <c r="W687">
        <v>44483</v>
      </c>
      <c r="X687" t="s">
        <v>5204</v>
      </c>
      <c r="Y687" t="s">
        <v>6</v>
      </c>
      <c r="Z687" t="s">
        <v>17</v>
      </c>
      <c r="AA687" t="s">
        <v>717</v>
      </c>
      <c r="AB687" t="s">
        <v>2509</v>
      </c>
      <c r="AC687" t="s">
        <v>2571</v>
      </c>
      <c r="AD687" t="s">
        <v>717</v>
      </c>
      <c r="AE687" t="s">
        <v>5205</v>
      </c>
      <c r="AF687" t="s">
        <v>5156</v>
      </c>
      <c r="AG687" t="s">
        <v>5206</v>
      </c>
      <c r="AH687" t="s">
        <v>2191</v>
      </c>
      <c r="AI687" t="s">
        <v>2538</v>
      </c>
      <c r="AJ687" t="s">
        <v>3921</v>
      </c>
      <c r="AK687" t="s">
        <v>407</v>
      </c>
      <c r="AL687" t="s">
        <v>575</v>
      </c>
      <c r="AM687" t="s">
        <v>10</v>
      </c>
      <c r="AN687" t="s">
        <v>717</v>
      </c>
    </row>
    <row r="688" spans="1:40" hidden="1">
      <c r="A688">
        <v>686</v>
      </c>
      <c r="B688">
        <v>22</v>
      </c>
      <c r="C688" s="58">
        <v>44487</v>
      </c>
      <c r="D688" t="s">
        <v>27</v>
      </c>
      <c r="E688" t="s">
        <v>2581</v>
      </c>
      <c r="F688">
        <v>2</v>
      </c>
      <c r="G688">
        <v>12</v>
      </c>
      <c r="H688">
        <v>473</v>
      </c>
      <c r="I688">
        <v>1</v>
      </c>
      <c r="J688">
        <v>37.159999999999997</v>
      </c>
      <c r="K688" t="s">
        <v>15</v>
      </c>
      <c r="L688">
        <v>2626237.87</v>
      </c>
      <c r="M688">
        <v>0</v>
      </c>
      <c r="N688">
        <v>2626237.87</v>
      </c>
      <c r="O688">
        <v>70673.785522066741</v>
      </c>
      <c r="P688">
        <v>204380</v>
      </c>
      <c r="Q688">
        <v>2421857.87</v>
      </c>
      <c r="R688">
        <v>65173.785522066755</v>
      </c>
      <c r="S688" t="s">
        <v>65</v>
      </c>
      <c r="T688" t="s">
        <v>717</v>
      </c>
      <c r="U688" t="s">
        <v>717</v>
      </c>
      <c r="V688" t="s">
        <v>717</v>
      </c>
      <c r="W688">
        <v>44483</v>
      </c>
      <c r="X688" t="s">
        <v>5207</v>
      </c>
      <c r="Y688" t="s">
        <v>6</v>
      </c>
      <c r="Z688" t="s">
        <v>17</v>
      </c>
      <c r="AA688" t="s">
        <v>717</v>
      </c>
      <c r="AB688" t="s">
        <v>2509</v>
      </c>
      <c r="AC688" t="s">
        <v>2571</v>
      </c>
      <c r="AD688" t="s">
        <v>717</v>
      </c>
      <c r="AE688" t="s">
        <v>5208</v>
      </c>
      <c r="AF688" t="s">
        <v>5209</v>
      </c>
      <c r="AG688" t="s">
        <v>5210</v>
      </c>
      <c r="AH688" t="s">
        <v>2552</v>
      </c>
      <c r="AI688" t="s">
        <v>2877</v>
      </c>
      <c r="AJ688" t="s">
        <v>3098</v>
      </c>
      <c r="AK688" t="s">
        <v>63</v>
      </c>
      <c r="AL688" t="s">
        <v>575</v>
      </c>
      <c r="AM688" t="s">
        <v>10</v>
      </c>
      <c r="AN688" t="s">
        <v>717</v>
      </c>
    </row>
    <row r="689" spans="1:40" hidden="1">
      <c r="A689">
        <v>687</v>
      </c>
      <c r="B689">
        <v>23</v>
      </c>
      <c r="C689" s="58">
        <v>44487</v>
      </c>
      <c r="D689" t="s">
        <v>121</v>
      </c>
      <c r="E689" t="s">
        <v>2506</v>
      </c>
      <c r="F689">
        <v>8</v>
      </c>
      <c r="G689">
        <v>4</v>
      </c>
      <c r="H689">
        <v>191</v>
      </c>
      <c r="I689">
        <v>2</v>
      </c>
      <c r="J689">
        <v>56.93</v>
      </c>
      <c r="K689" t="s">
        <v>15</v>
      </c>
      <c r="L689">
        <v>4042791.52</v>
      </c>
      <c r="M689">
        <v>15000</v>
      </c>
      <c r="N689">
        <v>4057791.52</v>
      </c>
      <c r="O689">
        <v>71276.857895661335</v>
      </c>
      <c r="P689">
        <v>313115</v>
      </c>
      <c r="Q689">
        <v>3744676.52</v>
      </c>
      <c r="R689">
        <v>65776.857895661335</v>
      </c>
      <c r="S689" t="s">
        <v>65</v>
      </c>
      <c r="T689" t="s">
        <v>717</v>
      </c>
      <c r="U689" t="s">
        <v>717</v>
      </c>
      <c r="V689" t="s">
        <v>4131</v>
      </c>
      <c r="W689">
        <v>44484</v>
      </c>
      <c r="X689" t="s">
        <v>5211</v>
      </c>
      <c r="Y689" t="s">
        <v>6</v>
      </c>
      <c r="Z689" t="s">
        <v>17</v>
      </c>
      <c r="AA689" t="s">
        <v>717</v>
      </c>
      <c r="AB689" t="s">
        <v>2509</v>
      </c>
      <c r="AC689" t="s">
        <v>2571</v>
      </c>
      <c r="AD689" t="s">
        <v>717</v>
      </c>
      <c r="AE689" t="s">
        <v>5212</v>
      </c>
      <c r="AF689" t="s">
        <v>5213</v>
      </c>
      <c r="AG689" t="s">
        <v>5214</v>
      </c>
      <c r="AH689" t="s">
        <v>2191</v>
      </c>
      <c r="AI689" t="s">
        <v>2538</v>
      </c>
      <c r="AJ689" t="s">
        <v>2514</v>
      </c>
      <c r="AK689" t="s">
        <v>77</v>
      </c>
      <c r="AL689" t="s">
        <v>16</v>
      </c>
      <c r="AM689" t="s">
        <v>10</v>
      </c>
      <c r="AN689" t="s">
        <v>717</v>
      </c>
    </row>
    <row r="690" spans="1:40" hidden="1">
      <c r="A690">
        <v>688</v>
      </c>
      <c r="B690">
        <v>24</v>
      </c>
      <c r="C690" s="58">
        <v>44487</v>
      </c>
      <c r="D690" t="s">
        <v>27</v>
      </c>
      <c r="E690" t="s">
        <v>2581</v>
      </c>
      <c r="F690">
        <v>2</v>
      </c>
      <c r="G690">
        <v>11</v>
      </c>
      <c r="H690">
        <v>465</v>
      </c>
      <c r="I690">
        <v>1</v>
      </c>
      <c r="J690">
        <v>37.159999999999997</v>
      </c>
      <c r="K690" t="s">
        <v>15</v>
      </c>
      <c r="L690">
        <v>2673264.2400000002</v>
      </c>
      <c r="M690">
        <v>0</v>
      </c>
      <c r="N690">
        <v>2673264.2400000002</v>
      </c>
      <c r="O690">
        <v>71939.296017222834</v>
      </c>
      <c r="P690">
        <v>204380</v>
      </c>
      <c r="Q690">
        <v>2468884.2400000002</v>
      </c>
      <c r="R690">
        <v>66439.296017222834</v>
      </c>
      <c r="S690" t="s">
        <v>65</v>
      </c>
      <c r="T690" t="s">
        <v>717</v>
      </c>
      <c r="U690" t="s">
        <v>717</v>
      </c>
      <c r="V690" t="s">
        <v>717</v>
      </c>
      <c r="W690">
        <v>44484</v>
      </c>
      <c r="X690" t="s">
        <v>5215</v>
      </c>
      <c r="Y690" t="s">
        <v>6</v>
      </c>
      <c r="Z690" t="s">
        <v>17</v>
      </c>
      <c r="AA690" t="s">
        <v>717</v>
      </c>
      <c r="AB690" t="s">
        <v>2509</v>
      </c>
      <c r="AC690" t="s">
        <v>2571</v>
      </c>
      <c r="AD690" t="s">
        <v>717</v>
      </c>
      <c r="AE690" t="s">
        <v>5216</v>
      </c>
      <c r="AF690" t="s">
        <v>5217</v>
      </c>
      <c r="AG690" t="s">
        <v>5218</v>
      </c>
      <c r="AH690" t="s">
        <v>2615</v>
      </c>
      <c r="AI690" t="s">
        <v>2552</v>
      </c>
      <c r="AJ690" t="s">
        <v>2895</v>
      </c>
      <c r="AK690" t="s">
        <v>77</v>
      </c>
      <c r="AL690" t="s">
        <v>575</v>
      </c>
      <c r="AM690" t="s">
        <v>10</v>
      </c>
      <c r="AN690" t="s">
        <v>717</v>
      </c>
    </row>
    <row r="691" spans="1:40" hidden="1">
      <c r="A691">
        <v>689</v>
      </c>
      <c r="B691">
        <v>25</v>
      </c>
      <c r="C691" s="58">
        <v>44488</v>
      </c>
      <c r="D691" t="s">
        <v>121</v>
      </c>
      <c r="E691" t="s">
        <v>2515</v>
      </c>
      <c r="F691">
        <v>4</v>
      </c>
      <c r="G691">
        <v>17</v>
      </c>
      <c r="H691">
        <v>109</v>
      </c>
      <c r="I691">
        <v>1</v>
      </c>
      <c r="J691">
        <v>36.86</v>
      </c>
      <c r="K691" t="s">
        <v>15</v>
      </c>
      <c r="L691">
        <v>2680435.5</v>
      </c>
      <c r="M691">
        <v>25000</v>
      </c>
      <c r="N691">
        <v>2705435.5</v>
      </c>
      <c r="O691">
        <v>73397.599023331524</v>
      </c>
      <c r="P691">
        <v>202730</v>
      </c>
      <c r="Q691">
        <v>2502705.5</v>
      </c>
      <c r="R691">
        <v>67897.599023331524</v>
      </c>
      <c r="S691" t="s">
        <v>65</v>
      </c>
      <c r="T691" t="s">
        <v>717</v>
      </c>
      <c r="U691" t="s">
        <v>717</v>
      </c>
      <c r="V691" t="s">
        <v>717</v>
      </c>
      <c r="W691">
        <v>44425</v>
      </c>
      <c r="X691" t="s">
        <v>5219</v>
      </c>
      <c r="Y691" t="s">
        <v>6</v>
      </c>
      <c r="Z691" t="s">
        <v>11</v>
      </c>
      <c r="AA691" t="s">
        <v>717</v>
      </c>
      <c r="AB691" t="s">
        <v>2509</v>
      </c>
      <c r="AC691" t="s">
        <v>2558</v>
      </c>
      <c r="AD691" t="s">
        <v>717</v>
      </c>
      <c r="AE691" t="s">
        <v>5220</v>
      </c>
      <c r="AF691" t="s">
        <v>5221</v>
      </c>
      <c r="AG691" t="s">
        <v>5222</v>
      </c>
      <c r="AH691" t="s">
        <v>2552</v>
      </c>
      <c r="AI691" t="s">
        <v>2547</v>
      </c>
      <c r="AJ691" t="s">
        <v>2855</v>
      </c>
      <c r="AK691" t="s">
        <v>20</v>
      </c>
      <c r="AL691" t="s">
        <v>16</v>
      </c>
      <c r="AM691" t="s">
        <v>10</v>
      </c>
      <c r="AN691" t="s">
        <v>717</v>
      </c>
    </row>
    <row r="692" spans="1:40" hidden="1">
      <c r="A692">
        <v>690</v>
      </c>
      <c r="B692">
        <v>26</v>
      </c>
      <c r="C692" s="58">
        <v>44488</v>
      </c>
      <c r="D692" t="s">
        <v>27</v>
      </c>
      <c r="E692" t="s">
        <v>2506</v>
      </c>
      <c r="F692">
        <v>7</v>
      </c>
      <c r="G692">
        <v>9</v>
      </c>
      <c r="H692">
        <v>270</v>
      </c>
      <c r="I692">
        <v>2</v>
      </c>
      <c r="J692">
        <v>59.93</v>
      </c>
      <c r="K692" t="s">
        <v>9</v>
      </c>
      <c r="L692">
        <v>3598264.56</v>
      </c>
      <c r="M692">
        <v>0</v>
      </c>
      <c r="N692">
        <v>3598264.56</v>
      </c>
      <c r="O692">
        <v>60041.123977974305</v>
      </c>
      <c r="P692">
        <v>0</v>
      </c>
      <c r="Q692">
        <v>3598264.56</v>
      </c>
      <c r="R692">
        <v>60041.123977974305</v>
      </c>
      <c r="S692" t="s">
        <v>2507</v>
      </c>
      <c r="T692" t="s">
        <v>717</v>
      </c>
      <c r="U692" t="s">
        <v>717</v>
      </c>
      <c r="V692" t="s">
        <v>717</v>
      </c>
      <c r="W692">
        <v>44473</v>
      </c>
      <c r="X692" t="s">
        <v>5223</v>
      </c>
      <c r="Y692" t="s">
        <v>6</v>
      </c>
      <c r="Z692" t="s">
        <v>11</v>
      </c>
      <c r="AA692" t="s">
        <v>717</v>
      </c>
      <c r="AB692" t="s">
        <v>2509</v>
      </c>
      <c r="AC692" t="s">
        <v>118</v>
      </c>
      <c r="AD692" t="s">
        <v>717</v>
      </c>
      <c r="AE692" t="s">
        <v>5224</v>
      </c>
      <c r="AF692" t="s">
        <v>5225</v>
      </c>
      <c r="AG692" t="s">
        <v>5226</v>
      </c>
      <c r="AH692" t="s">
        <v>2615</v>
      </c>
      <c r="AI692" t="s">
        <v>2552</v>
      </c>
      <c r="AJ692" t="s">
        <v>2662</v>
      </c>
      <c r="AK692" t="s">
        <v>20</v>
      </c>
      <c r="AL692" t="s">
        <v>717</v>
      </c>
      <c r="AM692" t="s">
        <v>10</v>
      </c>
      <c r="AN692" t="s">
        <v>717</v>
      </c>
    </row>
    <row r="693" spans="1:40" hidden="1">
      <c r="A693">
        <v>691</v>
      </c>
      <c r="B693">
        <v>27</v>
      </c>
      <c r="C693" s="58">
        <v>44488</v>
      </c>
      <c r="D693" t="s">
        <v>27</v>
      </c>
      <c r="E693" t="s">
        <v>2581</v>
      </c>
      <c r="F693">
        <v>3</v>
      </c>
      <c r="G693">
        <v>3</v>
      </c>
      <c r="H693">
        <v>402</v>
      </c>
      <c r="I693">
        <v>0</v>
      </c>
      <c r="J693">
        <v>23.54</v>
      </c>
      <c r="K693" t="s">
        <v>9</v>
      </c>
      <c r="L693">
        <v>1523861.9</v>
      </c>
      <c r="M693">
        <v>0</v>
      </c>
      <c r="N693">
        <v>1523861.9</v>
      </c>
      <c r="O693">
        <v>64735</v>
      </c>
      <c r="P693">
        <v>0</v>
      </c>
      <c r="Q693">
        <v>1523861.9</v>
      </c>
      <c r="R693">
        <v>64735</v>
      </c>
      <c r="S693" t="s">
        <v>2507</v>
      </c>
      <c r="T693" t="s">
        <v>717</v>
      </c>
      <c r="U693" t="s">
        <v>717</v>
      </c>
      <c r="V693" t="s">
        <v>717</v>
      </c>
      <c r="W693">
        <v>44481</v>
      </c>
      <c r="X693" t="s">
        <v>5227</v>
      </c>
      <c r="Y693" t="s">
        <v>6</v>
      </c>
      <c r="Z693" t="s">
        <v>11</v>
      </c>
      <c r="AA693" t="s">
        <v>717</v>
      </c>
      <c r="AB693" t="s">
        <v>2509</v>
      </c>
      <c r="AC693" t="s">
        <v>118</v>
      </c>
      <c r="AD693" t="s">
        <v>717</v>
      </c>
      <c r="AE693" t="s">
        <v>5228</v>
      </c>
      <c r="AF693" t="s">
        <v>5229</v>
      </c>
      <c r="AG693" t="s">
        <v>5230</v>
      </c>
      <c r="AH693" t="s">
        <v>2615</v>
      </c>
      <c r="AI693" t="s">
        <v>2538</v>
      </c>
      <c r="AJ693" t="s">
        <v>2895</v>
      </c>
      <c r="AK693" t="s">
        <v>471</v>
      </c>
      <c r="AL693" t="s">
        <v>717</v>
      </c>
      <c r="AM693" t="s">
        <v>10</v>
      </c>
      <c r="AN693" t="s">
        <v>717</v>
      </c>
    </row>
    <row r="694" spans="1:40" hidden="1">
      <c r="A694">
        <v>692</v>
      </c>
      <c r="B694">
        <v>28</v>
      </c>
      <c r="C694" s="58">
        <v>44488</v>
      </c>
      <c r="D694" t="s">
        <v>27</v>
      </c>
      <c r="E694" t="s">
        <v>4409</v>
      </c>
      <c r="F694">
        <v>4</v>
      </c>
      <c r="G694">
        <v>5</v>
      </c>
      <c r="H694">
        <v>539</v>
      </c>
      <c r="I694">
        <v>1</v>
      </c>
      <c r="J694">
        <v>40</v>
      </c>
      <c r="K694" t="s">
        <v>15</v>
      </c>
      <c r="L694">
        <v>2621305.98</v>
      </c>
      <c r="M694">
        <v>0</v>
      </c>
      <c r="N694">
        <v>2621305.98</v>
      </c>
      <c r="O694">
        <v>65532.6495</v>
      </c>
      <c r="P694">
        <v>220000</v>
      </c>
      <c r="Q694">
        <v>2401305.98</v>
      </c>
      <c r="R694">
        <v>60032.6495</v>
      </c>
      <c r="S694" t="s">
        <v>65</v>
      </c>
      <c r="T694" t="s">
        <v>2941</v>
      </c>
      <c r="U694">
        <v>24255.62</v>
      </c>
      <c r="V694" t="s">
        <v>717</v>
      </c>
      <c r="W694">
        <v>44481</v>
      </c>
      <c r="X694" t="s">
        <v>5231</v>
      </c>
      <c r="Y694" t="s">
        <v>6</v>
      </c>
      <c r="Z694" t="s">
        <v>17</v>
      </c>
      <c r="AA694" t="s">
        <v>717</v>
      </c>
      <c r="AB694" t="s">
        <v>2509</v>
      </c>
      <c r="AC694" t="s">
        <v>2564</v>
      </c>
      <c r="AD694" t="s">
        <v>717</v>
      </c>
      <c r="AE694" t="s">
        <v>5232</v>
      </c>
      <c r="AF694" t="s">
        <v>5233</v>
      </c>
      <c r="AG694" t="s">
        <v>5234</v>
      </c>
      <c r="AH694" t="s">
        <v>2580</v>
      </c>
      <c r="AI694" t="s">
        <v>2552</v>
      </c>
      <c r="AJ694" t="s">
        <v>3921</v>
      </c>
      <c r="AK694" t="s">
        <v>20</v>
      </c>
      <c r="AL694" t="s">
        <v>575</v>
      </c>
      <c r="AM694" t="s">
        <v>10</v>
      </c>
      <c r="AN694" t="s">
        <v>717</v>
      </c>
    </row>
    <row r="695" spans="1:40" hidden="1">
      <c r="A695">
        <v>693</v>
      </c>
      <c r="B695">
        <v>29</v>
      </c>
      <c r="C695" s="58">
        <v>44488</v>
      </c>
      <c r="D695" t="s">
        <v>27</v>
      </c>
      <c r="E695" t="s">
        <v>2581</v>
      </c>
      <c r="F695">
        <v>5</v>
      </c>
      <c r="G695">
        <v>14</v>
      </c>
      <c r="H695">
        <v>492</v>
      </c>
      <c r="I695">
        <v>0</v>
      </c>
      <c r="J695">
        <v>23.63</v>
      </c>
      <c r="K695" t="s">
        <v>15</v>
      </c>
      <c r="L695">
        <v>1659653.05</v>
      </c>
      <c r="M695">
        <v>0</v>
      </c>
      <c r="N695">
        <v>1659653.05</v>
      </c>
      <c r="O695">
        <v>70235</v>
      </c>
      <c r="P695">
        <v>129965</v>
      </c>
      <c r="Q695">
        <v>1529688.05</v>
      </c>
      <c r="R695">
        <v>64735.000000000007</v>
      </c>
      <c r="S695" t="s">
        <v>130</v>
      </c>
      <c r="T695" t="s">
        <v>717</v>
      </c>
      <c r="U695" t="s">
        <v>717</v>
      </c>
      <c r="V695" t="s">
        <v>717</v>
      </c>
      <c r="W695">
        <v>44482</v>
      </c>
      <c r="X695" t="s">
        <v>5235</v>
      </c>
      <c r="Y695" t="s">
        <v>2611</v>
      </c>
      <c r="Z695" t="s">
        <v>11</v>
      </c>
      <c r="AA695" t="s">
        <v>717</v>
      </c>
      <c r="AB695" t="s">
        <v>2509</v>
      </c>
      <c r="AC695" t="s">
        <v>118</v>
      </c>
      <c r="AD695">
        <v>45023</v>
      </c>
      <c r="AE695" t="s">
        <v>5236</v>
      </c>
      <c r="AF695" t="s">
        <v>5237</v>
      </c>
      <c r="AG695" t="s">
        <v>5238</v>
      </c>
      <c r="AH695" t="s">
        <v>2552</v>
      </c>
      <c r="AI695" t="s">
        <v>2547</v>
      </c>
      <c r="AJ695" t="s">
        <v>2855</v>
      </c>
      <c r="AK695" t="s">
        <v>63</v>
      </c>
      <c r="AL695" t="s">
        <v>717</v>
      </c>
      <c r="AM695" t="s">
        <v>10</v>
      </c>
      <c r="AN695" t="s">
        <v>717</v>
      </c>
    </row>
    <row r="696" spans="1:40" hidden="1">
      <c r="A696">
        <v>694</v>
      </c>
      <c r="B696">
        <v>30</v>
      </c>
      <c r="C696" s="58">
        <v>44488</v>
      </c>
      <c r="D696" t="s">
        <v>27</v>
      </c>
      <c r="E696" t="s">
        <v>4409</v>
      </c>
      <c r="F696">
        <v>5</v>
      </c>
      <c r="G696">
        <v>10</v>
      </c>
      <c r="H696">
        <v>580</v>
      </c>
      <c r="I696">
        <v>0</v>
      </c>
      <c r="J696">
        <v>23.63</v>
      </c>
      <c r="K696" t="s">
        <v>9</v>
      </c>
      <c r="L696">
        <v>1529688.05</v>
      </c>
      <c r="M696">
        <v>0</v>
      </c>
      <c r="N696">
        <v>1529688.05</v>
      </c>
      <c r="O696">
        <v>64735.000000000007</v>
      </c>
      <c r="P696">
        <v>0</v>
      </c>
      <c r="Q696">
        <v>1529688.05</v>
      </c>
      <c r="R696">
        <v>64735.000000000007</v>
      </c>
      <c r="S696" t="s">
        <v>2507</v>
      </c>
      <c r="T696" t="s">
        <v>717</v>
      </c>
      <c r="U696" t="s">
        <v>717</v>
      </c>
      <c r="V696" t="s">
        <v>717</v>
      </c>
      <c r="W696">
        <v>44482</v>
      </c>
      <c r="X696" t="s">
        <v>5239</v>
      </c>
      <c r="Y696" t="s">
        <v>6</v>
      </c>
      <c r="Z696" t="s">
        <v>17</v>
      </c>
      <c r="AA696" t="s">
        <v>717</v>
      </c>
      <c r="AB696" t="s">
        <v>2509</v>
      </c>
      <c r="AC696" t="s">
        <v>118</v>
      </c>
      <c r="AD696" t="s">
        <v>717</v>
      </c>
      <c r="AE696" t="s">
        <v>2804</v>
      </c>
      <c r="AF696" t="s">
        <v>2805</v>
      </c>
      <c r="AG696" t="s">
        <v>2806</v>
      </c>
      <c r="AH696" t="s">
        <v>2615</v>
      </c>
      <c r="AI696" t="s">
        <v>2600</v>
      </c>
      <c r="AJ696" t="s">
        <v>3921</v>
      </c>
      <c r="AK696" t="s">
        <v>20</v>
      </c>
      <c r="AL696" t="s">
        <v>717</v>
      </c>
      <c r="AM696" t="s">
        <v>10</v>
      </c>
      <c r="AN696" t="s">
        <v>717</v>
      </c>
    </row>
    <row r="697" spans="1:40" hidden="1">
      <c r="A697">
        <v>695</v>
      </c>
      <c r="B697">
        <v>31</v>
      </c>
      <c r="C697" s="58">
        <v>44488</v>
      </c>
      <c r="D697" t="s">
        <v>27</v>
      </c>
      <c r="E697" t="s">
        <v>2581</v>
      </c>
      <c r="F697">
        <v>3</v>
      </c>
      <c r="G697">
        <v>12</v>
      </c>
      <c r="H697">
        <v>474</v>
      </c>
      <c r="I697">
        <v>0</v>
      </c>
      <c r="J697">
        <v>23.54</v>
      </c>
      <c r="K697" t="s">
        <v>9</v>
      </c>
      <c r="L697">
        <v>1569577.76</v>
      </c>
      <c r="M697">
        <v>0</v>
      </c>
      <c r="N697">
        <v>1569577.76</v>
      </c>
      <c r="O697">
        <v>66677.05012744265</v>
      </c>
      <c r="P697">
        <v>0</v>
      </c>
      <c r="Q697">
        <v>1569577.76</v>
      </c>
      <c r="R697">
        <v>66677.05012744265</v>
      </c>
      <c r="S697" t="s">
        <v>65</v>
      </c>
      <c r="T697" t="s">
        <v>717</v>
      </c>
      <c r="U697" t="s">
        <v>717</v>
      </c>
      <c r="V697" t="s">
        <v>717</v>
      </c>
      <c r="W697">
        <v>44484</v>
      </c>
      <c r="X697" t="s">
        <v>5240</v>
      </c>
      <c r="Y697" t="s">
        <v>6</v>
      </c>
      <c r="Z697" t="s">
        <v>17</v>
      </c>
      <c r="AA697" t="s">
        <v>717</v>
      </c>
      <c r="AB697" t="s">
        <v>2509</v>
      </c>
      <c r="AC697" t="s">
        <v>2571</v>
      </c>
      <c r="AD697" t="s">
        <v>717</v>
      </c>
      <c r="AE697" t="s">
        <v>5241</v>
      </c>
      <c r="AF697" t="s">
        <v>5242</v>
      </c>
      <c r="AG697" t="s">
        <v>5243</v>
      </c>
      <c r="AH697" t="s">
        <v>2191</v>
      </c>
      <c r="AI697" t="s">
        <v>2706</v>
      </c>
      <c r="AJ697" t="s">
        <v>2895</v>
      </c>
      <c r="AK697" t="s">
        <v>77</v>
      </c>
      <c r="AL697" t="s">
        <v>16</v>
      </c>
      <c r="AM697" t="s">
        <v>10</v>
      </c>
      <c r="AN697" t="s">
        <v>717</v>
      </c>
    </row>
    <row r="698" spans="1:40" hidden="1">
      <c r="A698">
        <v>696</v>
      </c>
      <c r="B698">
        <v>32</v>
      </c>
      <c r="C698" s="58">
        <v>44489</v>
      </c>
      <c r="D698" t="s">
        <v>27</v>
      </c>
      <c r="E698" t="s">
        <v>2581</v>
      </c>
      <c r="F698">
        <v>5</v>
      </c>
      <c r="G698">
        <v>11</v>
      </c>
      <c r="H698">
        <v>468</v>
      </c>
      <c r="I698">
        <v>0</v>
      </c>
      <c r="J698">
        <v>23.63</v>
      </c>
      <c r="K698" t="s">
        <v>9</v>
      </c>
      <c r="L698">
        <v>1606172.45</v>
      </c>
      <c r="M698">
        <v>0</v>
      </c>
      <c r="N698">
        <v>1606172.45</v>
      </c>
      <c r="O698">
        <v>67971.749894202279</v>
      </c>
      <c r="P698">
        <v>0</v>
      </c>
      <c r="Q698">
        <v>1606172.45</v>
      </c>
      <c r="R698">
        <v>67971.749894202279</v>
      </c>
      <c r="S698" t="s">
        <v>2507</v>
      </c>
      <c r="T698" t="s">
        <v>717</v>
      </c>
      <c r="U698" t="s">
        <v>717</v>
      </c>
      <c r="V698" t="s">
        <v>717</v>
      </c>
      <c r="W698">
        <v>44487</v>
      </c>
      <c r="X698" t="s">
        <v>5244</v>
      </c>
      <c r="Y698" t="s">
        <v>6</v>
      </c>
      <c r="Z698" t="s">
        <v>11</v>
      </c>
      <c r="AA698" t="s">
        <v>717</v>
      </c>
      <c r="AB698" t="s">
        <v>2509</v>
      </c>
      <c r="AC698" t="s">
        <v>118</v>
      </c>
      <c r="AD698" t="s">
        <v>717</v>
      </c>
      <c r="AE698" t="s">
        <v>5245</v>
      </c>
      <c r="AF698" t="s">
        <v>5246</v>
      </c>
      <c r="AG698" t="s">
        <v>5247</v>
      </c>
      <c r="AH698" t="s">
        <v>2616</v>
      </c>
      <c r="AI698" t="s">
        <v>2552</v>
      </c>
      <c r="AJ698" t="s">
        <v>2651</v>
      </c>
      <c r="AK698" t="s">
        <v>77</v>
      </c>
      <c r="AL698" t="s">
        <v>717</v>
      </c>
      <c r="AM698" t="s">
        <v>10</v>
      </c>
      <c r="AN698" t="s">
        <v>717</v>
      </c>
    </row>
    <row r="699" spans="1:40" hidden="1">
      <c r="A699">
        <v>697</v>
      </c>
      <c r="B699">
        <v>33</v>
      </c>
      <c r="C699" s="58">
        <v>44490</v>
      </c>
      <c r="D699" t="s">
        <v>121</v>
      </c>
      <c r="E699" t="s">
        <v>2506</v>
      </c>
      <c r="F699">
        <v>4</v>
      </c>
      <c r="G699">
        <v>13</v>
      </c>
      <c r="H699">
        <v>286</v>
      </c>
      <c r="I699">
        <v>1</v>
      </c>
      <c r="J699">
        <v>37.89</v>
      </c>
      <c r="K699" t="s">
        <v>15</v>
      </c>
      <c r="L699">
        <v>3026651.68</v>
      </c>
      <c r="M699">
        <v>0</v>
      </c>
      <c r="N699">
        <v>3026651.68</v>
      </c>
      <c r="O699">
        <v>79879.95988387437</v>
      </c>
      <c r="P699">
        <v>208395</v>
      </c>
      <c r="Q699">
        <v>2818256.68</v>
      </c>
      <c r="R699">
        <v>74379.95988387437</v>
      </c>
      <c r="S699" t="s">
        <v>65</v>
      </c>
      <c r="T699" t="s">
        <v>717</v>
      </c>
      <c r="U699" t="s">
        <v>717</v>
      </c>
      <c r="V699" t="s">
        <v>717</v>
      </c>
      <c r="W699">
        <v>44474</v>
      </c>
      <c r="X699" t="s">
        <v>5248</v>
      </c>
      <c r="Y699" t="s">
        <v>6</v>
      </c>
      <c r="Z699" t="s">
        <v>17</v>
      </c>
      <c r="AA699" t="s">
        <v>717</v>
      </c>
      <c r="AB699" t="s">
        <v>2509</v>
      </c>
      <c r="AC699" t="s">
        <v>2571</v>
      </c>
      <c r="AD699" t="s">
        <v>717</v>
      </c>
      <c r="AE699" t="s">
        <v>5249</v>
      </c>
      <c r="AF699" t="s">
        <v>5250</v>
      </c>
      <c r="AG699" t="s">
        <v>5251</v>
      </c>
      <c r="AH699" t="s">
        <v>2191</v>
      </c>
      <c r="AI699" t="s">
        <v>2621</v>
      </c>
      <c r="AJ699" t="s">
        <v>2514</v>
      </c>
      <c r="AK699" t="s">
        <v>20</v>
      </c>
      <c r="AL699" t="s">
        <v>575</v>
      </c>
      <c r="AM699" t="s">
        <v>10</v>
      </c>
      <c r="AN699" t="s">
        <v>717</v>
      </c>
    </row>
    <row r="700" spans="1:40" hidden="1">
      <c r="A700">
        <v>698</v>
      </c>
      <c r="B700">
        <v>34</v>
      </c>
      <c r="C700" s="58">
        <v>44491</v>
      </c>
      <c r="D700" t="s">
        <v>121</v>
      </c>
      <c r="E700" t="s">
        <v>2515</v>
      </c>
      <c r="F700">
        <v>5</v>
      </c>
      <c r="G700">
        <v>14</v>
      </c>
      <c r="H700">
        <v>89</v>
      </c>
      <c r="I700">
        <v>1</v>
      </c>
      <c r="J700">
        <v>36.42</v>
      </c>
      <c r="K700" t="s">
        <v>9</v>
      </c>
      <c r="L700">
        <v>2645928.66</v>
      </c>
      <c r="M700">
        <v>0</v>
      </c>
      <c r="N700">
        <v>2645928.66</v>
      </c>
      <c r="O700">
        <v>72650.429983525537</v>
      </c>
      <c r="P700">
        <v>0</v>
      </c>
      <c r="Q700">
        <v>2645928.66</v>
      </c>
      <c r="R700">
        <v>72650.429983525537</v>
      </c>
      <c r="S700" t="s">
        <v>65</v>
      </c>
      <c r="T700" t="s">
        <v>717</v>
      </c>
      <c r="U700" t="s">
        <v>717</v>
      </c>
      <c r="V700" t="s">
        <v>717</v>
      </c>
      <c r="W700">
        <v>44481</v>
      </c>
      <c r="X700" t="s">
        <v>5252</v>
      </c>
      <c r="Y700" t="s">
        <v>6</v>
      </c>
      <c r="Z700" t="s">
        <v>17</v>
      </c>
      <c r="AA700" t="s">
        <v>717</v>
      </c>
      <c r="AB700" t="s">
        <v>2509</v>
      </c>
      <c r="AC700" t="s">
        <v>2571</v>
      </c>
      <c r="AD700" t="s">
        <v>717</v>
      </c>
      <c r="AE700" t="s">
        <v>5253</v>
      </c>
      <c r="AF700" t="s">
        <v>5254</v>
      </c>
      <c r="AG700" t="s">
        <v>5255</v>
      </c>
      <c r="AH700" t="s">
        <v>2552</v>
      </c>
      <c r="AI700" t="s">
        <v>2547</v>
      </c>
      <c r="AJ700" t="s">
        <v>2855</v>
      </c>
      <c r="AK700" t="s">
        <v>471</v>
      </c>
      <c r="AL700" t="s">
        <v>575</v>
      </c>
      <c r="AM700" t="s">
        <v>10</v>
      </c>
      <c r="AN700" t="s">
        <v>717</v>
      </c>
    </row>
    <row r="701" spans="1:40" hidden="1">
      <c r="A701">
        <v>699</v>
      </c>
      <c r="B701">
        <v>35</v>
      </c>
      <c r="C701" s="58">
        <v>44491</v>
      </c>
      <c r="D701" t="s">
        <v>121</v>
      </c>
      <c r="E701" t="s">
        <v>2506</v>
      </c>
      <c r="F701">
        <v>3</v>
      </c>
      <c r="G701">
        <v>9</v>
      </c>
      <c r="H701">
        <v>241</v>
      </c>
      <c r="I701">
        <v>3</v>
      </c>
      <c r="J701">
        <v>86.58</v>
      </c>
      <c r="K701" t="s">
        <v>9</v>
      </c>
      <c r="L701">
        <v>5727342.4100000001</v>
      </c>
      <c r="M701">
        <v>15000</v>
      </c>
      <c r="N701">
        <v>5742342.4100000001</v>
      </c>
      <c r="O701">
        <v>66324.121159621165</v>
      </c>
      <c r="P701">
        <v>0</v>
      </c>
      <c r="Q701">
        <v>5742342.4100000001</v>
      </c>
      <c r="R701">
        <v>66324.121159621165</v>
      </c>
      <c r="S701" t="s">
        <v>65</v>
      </c>
      <c r="T701" t="s">
        <v>717</v>
      </c>
      <c r="U701" t="s">
        <v>717</v>
      </c>
      <c r="V701" t="s">
        <v>4131</v>
      </c>
      <c r="W701">
        <v>44486</v>
      </c>
      <c r="X701" t="s">
        <v>5256</v>
      </c>
      <c r="Y701" t="s">
        <v>6</v>
      </c>
      <c r="Z701" t="s">
        <v>17</v>
      </c>
      <c r="AA701" t="s">
        <v>717</v>
      </c>
      <c r="AB701" t="s">
        <v>2509</v>
      </c>
      <c r="AC701" t="s">
        <v>2571</v>
      </c>
      <c r="AD701" t="s">
        <v>717</v>
      </c>
      <c r="AE701" t="s">
        <v>5257</v>
      </c>
      <c r="AF701" t="s">
        <v>5258</v>
      </c>
      <c r="AG701" t="s">
        <v>5259</v>
      </c>
      <c r="AH701" t="s">
        <v>2615</v>
      </c>
      <c r="AI701" t="s">
        <v>2552</v>
      </c>
      <c r="AJ701" t="s">
        <v>5260</v>
      </c>
      <c r="AK701" t="s">
        <v>20</v>
      </c>
      <c r="AL701" t="s">
        <v>16</v>
      </c>
      <c r="AM701" t="s">
        <v>10</v>
      </c>
      <c r="AN701" t="s">
        <v>717</v>
      </c>
    </row>
    <row r="702" spans="1:40" hidden="1">
      <c r="A702">
        <v>700</v>
      </c>
      <c r="B702">
        <v>36</v>
      </c>
      <c r="C702" s="58">
        <v>44494</v>
      </c>
      <c r="D702" t="s">
        <v>121</v>
      </c>
      <c r="E702" t="s">
        <v>2506</v>
      </c>
      <c r="F702">
        <v>9</v>
      </c>
      <c r="G702">
        <v>15</v>
      </c>
      <c r="H702">
        <v>313</v>
      </c>
      <c r="I702">
        <v>2</v>
      </c>
      <c r="J702">
        <v>60.3</v>
      </c>
      <c r="K702" t="s">
        <v>15</v>
      </c>
      <c r="L702">
        <v>4394956.5999999996</v>
      </c>
      <c r="M702">
        <v>15000</v>
      </c>
      <c r="N702">
        <v>4409956.5999999996</v>
      </c>
      <c r="O702">
        <v>73133.60862354892</v>
      </c>
      <c r="P702">
        <v>331650</v>
      </c>
      <c r="Q702">
        <v>4078306.6</v>
      </c>
      <c r="R702">
        <v>67633.60862354892</v>
      </c>
      <c r="S702" t="s">
        <v>2507</v>
      </c>
      <c r="T702" t="s">
        <v>717</v>
      </c>
      <c r="U702" t="s">
        <v>717</v>
      </c>
      <c r="V702" t="s">
        <v>717</v>
      </c>
      <c r="W702">
        <v>44487</v>
      </c>
      <c r="X702" t="s">
        <v>5261</v>
      </c>
      <c r="Y702" t="s">
        <v>6</v>
      </c>
      <c r="Z702" t="s">
        <v>11</v>
      </c>
      <c r="AA702" t="s">
        <v>717</v>
      </c>
      <c r="AB702" t="s">
        <v>2509</v>
      </c>
      <c r="AC702" t="s">
        <v>118</v>
      </c>
      <c r="AD702" t="s">
        <v>717</v>
      </c>
      <c r="AE702" t="s">
        <v>5262</v>
      </c>
      <c r="AF702" t="s">
        <v>5263</v>
      </c>
      <c r="AG702" t="s">
        <v>5264</v>
      </c>
      <c r="AH702" t="s">
        <v>2615</v>
      </c>
      <c r="AI702" t="s">
        <v>2747</v>
      </c>
      <c r="AJ702" t="s">
        <v>2895</v>
      </c>
      <c r="AK702" t="s">
        <v>471</v>
      </c>
      <c r="AL702" t="s">
        <v>717</v>
      </c>
      <c r="AM702" t="s">
        <v>10</v>
      </c>
      <c r="AN702" t="s">
        <v>717</v>
      </c>
    </row>
    <row r="703" spans="1:40" hidden="1">
      <c r="A703">
        <v>701</v>
      </c>
      <c r="B703">
        <v>37</v>
      </c>
      <c r="C703" s="58">
        <v>44494</v>
      </c>
      <c r="D703" t="s">
        <v>121</v>
      </c>
      <c r="E703" t="s">
        <v>2515</v>
      </c>
      <c r="F703">
        <v>6</v>
      </c>
      <c r="G703">
        <v>22</v>
      </c>
      <c r="H703">
        <v>146</v>
      </c>
      <c r="I703">
        <v>2</v>
      </c>
      <c r="J703">
        <v>59.96</v>
      </c>
      <c r="K703" t="s">
        <v>9</v>
      </c>
      <c r="L703">
        <v>4381548.22</v>
      </c>
      <c r="M703">
        <v>0</v>
      </c>
      <c r="N703">
        <v>4381548.22</v>
      </c>
      <c r="O703">
        <v>73074.520013342219</v>
      </c>
      <c r="P703">
        <v>0</v>
      </c>
      <c r="Q703">
        <v>4381548.22</v>
      </c>
      <c r="R703">
        <v>73074.520013342219</v>
      </c>
      <c r="S703" t="s">
        <v>65</v>
      </c>
      <c r="T703" t="s">
        <v>717</v>
      </c>
      <c r="U703" t="s">
        <v>717</v>
      </c>
      <c r="V703" t="s">
        <v>4131</v>
      </c>
      <c r="W703">
        <v>44490</v>
      </c>
      <c r="X703" t="s">
        <v>5265</v>
      </c>
      <c r="Y703" t="s">
        <v>6</v>
      </c>
      <c r="Z703" t="s">
        <v>17</v>
      </c>
      <c r="AA703" t="s">
        <v>717</v>
      </c>
      <c r="AB703" t="s">
        <v>2509</v>
      </c>
      <c r="AC703" t="s">
        <v>2571</v>
      </c>
      <c r="AD703" t="s">
        <v>717</v>
      </c>
      <c r="AE703" t="s">
        <v>5266</v>
      </c>
      <c r="AF703" t="s">
        <v>5267</v>
      </c>
      <c r="AG703" t="s">
        <v>5268</v>
      </c>
      <c r="AH703" t="s">
        <v>2552</v>
      </c>
      <c r="AI703" t="s">
        <v>2877</v>
      </c>
      <c r="AJ703" t="s">
        <v>3098</v>
      </c>
      <c r="AK703" t="s">
        <v>77</v>
      </c>
      <c r="AL703" t="s">
        <v>16</v>
      </c>
      <c r="AM703" t="s">
        <v>10</v>
      </c>
      <c r="AN703" t="s">
        <v>717</v>
      </c>
    </row>
    <row r="704" spans="1:40" hidden="1">
      <c r="A704">
        <v>702</v>
      </c>
      <c r="B704">
        <v>38</v>
      </c>
      <c r="C704" s="58">
        <v>44494</v>
      </c>
      <c r="D704" t="s">
        <v>27</v>
      </c>
      <c r="E704" t="s">
        <v>4409</v>
      </c>
      <c r="F704">
        <v>3</v>
      </c>
      <c r="G704">
        <v>2</v>
      </c>
      <c r="H704">
        <v>514</v>
      </c>
      <c r="I704">
        <v>0</v>
      </c>
      <c r="J704">
        <v>23.54</v>
      </c>
      <c r="K704" t="s">
        <v>15</v>
      </c>
      <c r="L704">
        <v>1729524.99</v>
      </c>
      <c r="M704">
        <v>0</v>
      </c>
      <c r="N704">
        <v>1729524.99</v>
      </c>
      <c r="O704">
        <v>73471.749787595589</v>
      </c>
      <c r="P704">
        <v>129470</v>
      </c>
      <c r="Q704">
        <v>1600054.99</v>
      </c>
      <c r="R704">
        <v>67971.749787595589</v>
      </c>
      <c r="S704" t="s">
        <v>2507</v>
      </c>
      <c r="T704" t="s">
        <v>717</v>
      </c>
      <c r="U704" t="s">
        <v>717</v>
      </c>
      <c r="V704" t="s">
        <v>717</v>
      </c>
      <c r="W704">
        <v>44492</v>
      </c>
      <c r="X704" t="s">
        <v>5269</v>
      </c>
      <c r="Y704" t="s">
        <v>6</v>
      </c>
      <c r="Z704" t="s">
        <v>17</v>
      </c>
      <c r="AA704" t="s">
        <v>717</v>
      </c>
      <c r="AB704" t="s">
        <v>2509</v>
      </c>
      <c r="AC704" t="s">
        <v>118</v>
      </c>
      <c r="AD704" t="s">
        <v>717</v>
      </c>
      <c r="AE704" t="s">
        <v>5270</v>
      </c>
      <c r="AF704" t="s">
        <v>5271</v>
      </c>
      <c r="AG704" t="s">
        <v>5272</v>
      </c>
      <c r="AH704" t="s">
        <v>2580</v>
      </c>
      <c r="AI704" t="s">
        <v>2552</v>
      </c>
      <c r="AJ704" t="s">
        <v>3921</v>
      </c>
      <c r="AK704" t="s">
        <v>73</v>
      </c>
      <c r="AL704" t="s">
        <v>717</v>
      </c>
      <c r="AM704" t="s">
        <v>10</v>
      </c>
      <c r="AN704" t="s">
        <v>717</v>
      </c>
    </row>
    <row r="705" spans="1:40" hidden="1">
      <c r="A705">
        <v>703</v>
      </c>
      <c r="B705">
        <v>39</v>
      </c>
      <c r="C705" s="58">
        <v>44495</v>
      </c>
      <c r="D705" t="s">
        <v>121</v>
      </c>
      <c r="E705" t="s">
        <v>2506</v>
      </c>
      <c r="F705">
        <v>8</v>
      </c>
      <c r="G705">
        <v>10</v>
      </c>
      <c r="H705">
        <v>257</v>
      </c>
      <c r="I705">
        <v>2</v>
      </c>
      <c r="J705">
        <v>56.93</v>
      </c>
      <c r="K705" t="s">
        <v>15</v>
      </c>
      <c r="L705">
        <v>4027791.52</v>
      </c>
      <c r="M705">
        <v>0</v>
      </c>
      <c r="N705">
        <v>4027791.52</v>
      </c>
      <c r="O705">
        <v>70749.894958721241</v>
      </c>
      <c r="P705">
        <v>313115</v>
      </c>
      <c r="Q705">
        <v>3714676.52</v>
      </c>
      <c r="R705">
        <v>65249.894958721234</v>
      </c>
      <c r="S705" t="s">
        <v>65</v>
      </c>
      <c r="T705" t="s">
        <v>717</v>
      </c>
      <c r="U705" t="s">
        <v>717</v>
      </c>
      <c r="V705" t="s">
        <v>4131</v>
      </c>
      <c r="W705">
        <v>44491</v>
      </c>
      <c r="X705" t="s">
        <v>5273</v>
      </c>
      <c r="Y705" t="s">
        <v>6</v>
      </c>
      <c r="Z705" t="s">
        <v>17</v>
      </c>
      <c r="AA705" t="s">
        <v>717</v>
      </c>
      <c r="AB705" t="s">
        <v>2509</v>
      </c>
      <c r="AC705" t="s">
        <v>2571</v>
      </c>
      <c r="AD705" t="s">
        <v>717</v>
      </c>
      <c r="AE705" t="s">
        <v>5274</v>
      </c>
      <c r="AF705" t="s">
        <v>5275</v>
      </c>
      <c r="AG705" t="s">
        <v>5276</v>
      </c>
      <c r="AH705" t="s">
        <v>2191</v>
      </c>
      <c r="AI705" t="s">
        <v>2538</v>
      </c>
      <c r="AJ705" t="s">
        <v>2514</v>
      </c>
      <c r="AK705" t="s">
        <v>20</v>
      </c>
      <c r="AL705" t="s">
        <v>16</v>
      </c>
      <c r="AM705" t="s">
        <v>10</v>
      </c>
      <c r="AN705" t="s">
        <v>717</v>
      </c>
    </row>
    <row r="706" spans="1:40" hidden="1">
      <c r="A706">
        <v>704</v>
      </c>
      <c r="B706">
        <v>40</v>
      </c>
      <c r="C706" s="58">
        <v>44497</v>
      </c>
      <c r="D706" t="s">
        <v>74</v>
      </c>
      <c r="E706" t="s">
        <v>2506</v>
      </c>
      <c r="F706">
        <v>6</v>
      </c>
      <c r="G706">
        <v>22</v>
      </c>
      <c r="H706">
        <v>296</v>
      </c>
      <c r="I706">
        <v>2</v>
      </c>
      <c r="J706">
        <v>61</v>
      </c>
      <c r="K706" t="s">
        <v>15</v>
      </c>
      <c r="L706">
        <v>3792207.5</v>
      </c>
      <c r="M706">
        <v>60000</v>
      </c>
      <c r="N706">
        <v>3852207.5</v>
      </c>
      <c r="O706">
        <v>63150.942622950817</v>
      </c>
      <c r="P706">
        <v>335500</v>
      </c>
      <c r="Q706">
        <v>3516707.5</v>
      </c>
      <c r="R706">
        <v>57650.942622950817</v>
      </c>
      <c r="S706" t="s">
        <v>65</v>
      </c>
      <c r="T706" t="s">
        <v>717</v>
      </c>
      <c r="U706" t="s">
        <v>717</v>
      </c>
      <c r="V706" t="s">
        <v>717</v>
      </c>
      <c r="W706">
        <v>44385</v>
      </c>
      <c r="X706" t="s">
        <v>5277</v>
      </c>
      <c r="Y706" t="s">
        <v>6</v>
      </c>
      <c r="Z706" t="s">
        <v>11</v>
      </c>
      <c r="AA706" t="s">
        <v>717</v>
      </c>
      <c r="AB706" t="s">
        <v>326</v>
      </c>
      <c r="AC706" t="s">
        <v>2576</v>
      </c>
      <c r="AD706" t="s">
        <v>717</v>
      </c>
      <c r="AE706" t="s">
        <v>5278</v>
      </c>
      <c r="AF706" t="s">
        <v>5279</v>
      </c>
      <c r="AG706" t="s">
        <v>5280</v>
      </c>
      <c r="AH706" t="s">
        <v>2615</v>
      </c>
      <c r="AI706" t="s">
        <v>2552</v>
      </c>
      <c r="AJ706" t="s">
        <v>2793</v>
      </c>
      <c r="AK706" t="s">
        <v>63</v>
      </c>
      <c r="AL706" t="s">
        <v>16</v>
      </c>
      <c r="AM706" t="s">
        <v>10</v>
      </c>
      <c r="AN706" t="s">
        <v>717</v>
      </c>
    </row>
    <row r="707" spans="1:40" hidden="1">
      <c r="A707">
        <v>705</v>
      </c>
      <c r="B707">
        <v>41</v>
      </c>
      <c r="C707" s="58">
        <v>44498</v>
      </c>
      <c r="D707" t="s">
        <v>27</v>
      </c>
      <c r="E707" t="s">
        <v>2506</v>
      </c>
      <c r="F707">
        <v>8</v>
      </c>
      <c r="G707">
        <v>8</v>
      </c>
      <c r="H707">
        <v>263</v>
      </c>
      <c r="I707">
        <v>2</v>
      </c>
      <c r="J707">
        <v>55.8</v>
      </c>
      <c r="K707" t="s">
        <v>25</v>
      </c>
      <c r="L707">
        <v>3836584.8</v>
      </c>
      <c r="M707">
        <v>0</v>
      </c>
      <c r="N707">
        <v>3836584.8</v>
      </c>
      <c r="O707">
        <v>68756</v>
      </c>
      <c r="P707">
        <v>892800</v>
      </c>
      <c r="Q707">
        <v>2943784.8</v>
      </c>
      <c r="R707">
        <v>52756</v>
      </c>
      <c r="S707" t="s">
        <v>65</v>
      </c>
      <c r="T707" t="s">
        <v>717</v>
      </c>
      <c r="U707" t="s">
        <v>717</v>
      </c>
      <c r="V707" t="s">
        <v>717</v>
      </c>
      <c r="W707">
        <v>44442</v>
      </c>
      <c r="X707" t="s">
        <v>5281</v>
      </c>
      <c r="Y707" t="s">
        <v>6</v>
      </c>
      <c r="Z707" t="s">
        <v>11</v>
      </c>
      <c r="AA707" t="s">
        <v>717</v>
      </c>
      <c r="AB707" t="s">
        <v>2509</v>
      </c>
      <c r="AC707" t="s">
        <v>2558</v>
      </c>
      <c r="AD707" t="s">
        <v>717</v>
      </c>
      <c r="AE707" t="s">
        <v>701</v>
      </c>
      <c r="AF707" t="s">
        <v>5282</v>
      </c>
      <c r="AG707" t="s">
        <v>5283</v>
      </c>
      <c r="AH707" t="s">
        <v>2615</v>
      </c>
      <c r="AI707" t="s">
        <v>2552</v>
      </c>
      <c r="AJ707" t="s">
        <v>4799</v>
      </c>
      <c r="AK707" t="s">
        <v>77</v>
      </c>
      <c r="AL707" t="s">
        <v>16</v>
      </c>
      <c r="AM707" t="s">
        <v>10</v>
      </c>
      <c r="AN707" t="s">
        <v>717</v>
      </c>
    </row>
    <row r="708" spans="1:40" hidden="1">
      <c r="A708">
        <v>706</v>
      </c>
      <c r="B708">
        <v>42</v>
      </c>
      <c r="C708" s="58">
        <v>44498</v>
      </c>
      <c r="D708" t="s">
        <v>121</v>
      </c>
      <c r="E708" t="s">
        <v>2506</v>
      </c>
      <c r="F708">
        <v>9</v>
      </c>
      <c r="G708">
        <v>4</v>
      </c>
      <c r="H708">
        <v>192</v>
      </c>
      <c r="I708">
        <v>2</v>
      </c>
      <c r="J708">
        <v>60.3</v>
      </c>
      <c r="K708" t="s">
        <v>15</v>
      </c>
      <c r="L708">
        <v>4517305.8</v>
      </c>
      <c r="M708">
        <v>15000</v>
      </c>
      <c r="N708">
        <v>4532305.8</v>
      </c>
      <c r="O708">
        <v>75162.616915422885</v>
      </c>
      <c r="P708">
        <v>331650</v>
      </c>
      <c r="Q708">
        <v>4200655.8</v>
      </c>
      <c r="R708">
        <v>69662.616915422885</v>
      </c>
      <c r="S708" t="s">
        <v>65</v>
      </c>
      <c r="T708" t="s">
        <v>717</v>
      </c>
      <c r="U708" t="s">
        <v>717</v>
      </c>
      <c r="V708" t="s">
        <v>4131</v>
      </c>
      <c r="W708">
        <v>44491</v>
      </c>
      <c r="X708" t="s">
        <v>5284</v>
      </c>
      <c r="Y708" t="s">
        <v>6</v>
      </c>
      <c r="Z708" t="s">
        <v>17</v>
      </c>
      <c r="AA708" t="s">
        <v>717</v>
      </c>
      <c r="AB708" t="s">
        <v>2509</v>
      </c>
      <c r="AC708" t="s">
        <v>2571</v>
      </c>
      <c r="AD708" t="s">
        <v>717</v>
      </c>
      <c r="AE708" t="s">
        <v>5285</v>
      </c>
      <c r="AF708" t="s">
        <v>5286</v>
      </c>
      <c r="AG708" t="s">
        <v>5287</v>
      </c>
      <c r="AH708" t="s">
        <v>2191</v>
      </c>
      <c r="AI708" t="s">
        <v>2552</v>
      </c>
      <c r="AJ708" t="s">
        <v>2514</v>
      </c>
      <c r="AK708" t="s">
        <v>471</v>
      </c>
      <c r="AL708" t="s">
        <v>575</v>
      </c>
      <c r="AM708" t="s">
        <v>10</v>
      </c>
      <c r="AN708" t="s">
        <v>717</v>
      </c>
    </row>
    <row r="709" spans="1:40" hidden="1">
      <c r="A709">
        <v>707</v>
      </c>
      <c r="B709">
        <v>43</v>
      </c>
      <c r="C709" s="58">
        <v>44498</v>
      </c>
      <c r="D709" t="s">
        <v>27</v>
      </c>
      <c r="E709" t="s">
        <v>4409</v>
      </c>
      <c r="F709">
        <v>6</v>
      </c>
      <c r="G709">
        <v>5</v>
      </c>
      <c r="H709">
        <v>541</v>
      </c>
      <c r="I709">
        <v>1</v>
      </c>
      <c r="J709">
        <v>37.11</v>
      </c>
      <c r="K709" t="s">
        <v>15</v>
      </c>
      <c r="L709">
        <v>2566935.5099999998</v>
      </c>
      <c r="M709">
        <v>0</v>
      </c>
      <c r="N709">
        <v>2566935.5099999998</v>
      </c>
      <c r="O709">
        <v>69170.991915925624</v>
      </c>
      <c r="P709">
        <v>204105</v>
      </c>
      <c r="Q709">
        <v>2362830.5099999998</v>
      </c>
      <c r="R709">
        <v>63670.991915925624</v>
      </c>
      <c r="S709" t="s">
        <v>65</v>
      </c>
      <c r="T709" t="s">
        <v>717</v>
      </c>
      <c r="U709" t="s">
        <v>717</v>
      </c>
      <c r="V709" t="s">
        <v>717</v>
      </c>
      <c r="W709">
        <v>44492</v>
      </c>
      <c r="X709" t="s">
        <v>5288</v>
      </c>
      <c r="Y709" t="s">
        <v>6</v>
      </c>
      <c r="Z709" t="s">
        <v>17</v>
      </c>
      <c r="AA709" t="s">
        <v>717</v>
      </c>
      <c r="AB709" t="s">
        <v>2509</v>
      </c>
      <c r="AC709" t="s">
        <v>2571</v>
      </c>
      <c r="AD709" t="s">
        <v>717</v>
      </c>
      <c r="AE709" t="s">
        <v>5289</v>
      </c>
      <c r="AF709" t="s">
        <v>5290</v>
      </c>
      <c r="AG709" t="s">
        <v>5291</v>
      </c>
      <c r="AH709" t="s">
        <v>2552</v>
      </c>
      <c r="AI709" t="s">
        <v>2877</v>
      </c>
      <c r="AJ709" t="s">
        <v>3098</v>
      </c>
      <c r="AK709" t="s">
        <v>471</v>
      </c>
      <c r="AL709" t="s">
        <v>16</v>
      </c>
      <c r="AM709" t="s">
        <v>10</v>
      </c>
      <c r="AN709" t="s">
        <v>717</v>
      </c>
    </row>
    <row r="710" spans="1:40" hidden="1">
      <c r="A710">
        <v>708</v>
      </c>
      <c r="B710">
        <v>44</v>
      </c>
      <c r="C710" s="58">
        <v>44498</v>
      </c>
      <c r="D710" t="s">
        <v>27</v>
      </c>
      <c r="E710" t="s">
        <v>4409</v>
      </c>
      <c r="F710">
        <v>1</v>
      </c>
      <c r="G710">
        <v>15</v>
      </c>
      <c r="H710">
        <v>616</v>
      </c>
      <c r="I710">
        <v>3</v>
      </c>
      <c r="J710">
        <v>82.27</v>
      </c>
      <c r="K710" t="s">
        <v>9</v>
      </c>
      <c r="L710">
        <v>4350458.66</v>
      </c>
      <c r="M710">
        <v>0</v>
      </c>
      <c r="N710">
        <v>4350458.66</v>
      </c>
      <c r="O710">
        <v>52880.255986386292</v>
      </c>
      <c r="P710">
        <v>0</v>
      </c>
      <c r="Q710">
        <v>4350458.66</v>
      </c>
      <c r="R710">
        <v>52880.255986386292</v>
      </c>
      <c r="S710" t="s">
        <v>65</v>
      </c>
      <c r="T710" t="s">
        <v>717</v>
      </c>
      <c r="U710" t="s">
        <v>717</v>
      </c>
      <c r="V710" t="s">
        <v>4131</v>
      </c>
      <c r="W710">
        <v>44495</v>
      </c>
      <c r="X710" t="s">
        <v>5292</v>
      </c>
      <c r="Y710" t="s">
        <v>6</v>
      </c>
      <c r="Z710" t="s">
        <v>17</v>
      </c>
      <c r="AA710" t="s">
        <v>717</v>
      </c>
      <c r="AB710" t="s">
        <v>2509</v>
      </c>
      <c r="AC710" t="s">
        <v>2571</v>
      </c>
      <c r="AD710" t="s">
        <v>717</v>
      </c>
      <c r="AE710" t="s">
        <v>5293</v>
      </c>
      <c r="AF710" t="s">
        <v>5294</v>
      </c>
      <c r="AG710" t="s">
        <v>5295</v>
      </c>
      <c r="AH710" t="s">
        <v>2552</v>
      </c>
      <c r="AI710" t="s">
        <v>2552</v>
      </c>
      <c r="AJ710" t="s">
        <v>3298</v>
      </c>
      <c r="AK710" t="s">
        <v>77</v>
      </c>
      <c r="AL710" t="s">
        <v>16</v>
      </c>
      <c r="AM710" t="s">
        <v>10</v>
      </c>
      <c r="AN710" t="s">
        <v>717</v>
      </c>
    </row>
    <row r="711" spans="1:40" hidden="1">
      <c r="A711">
        <v>709</v>
      </c>
      <c r="B711">
        <v>45</v>
      </c>
      <c r="C711" s="58">
        <v>44498</v>
      </c>
      <c r="D711" t="s">
        <v>121</v>
      </c>
      <c r="E711" t="s">
        <v>2515</v>
      </c>
      <c r="F711">
        <v>2</v>
      </c>
      <c r="G711">
        <v>15</v>
      </c>
      <c r="H711">
        <v>93</v>
      </c>
      <c r="I711">
        <v>2</v>
      </c>
      <c r="J711">
        <v>58.99</v>
      </c>
      <c r="K711" t="s">
        <v>15</v>
      </c>
      <c r="L711">
        <v>4657474.07</v>
      </c>
      <c r="M711">
        <v>0</v>
      </c>
      <c r="N711">
        <v>4657474.07</v>
      </c>
      <c r="O711">
        <v>78953.620444143075</v>
      </c>
      <c r="P711">
        <v>324445</v>
      </c>
      <c r="Q711">
        <v>4333029.07</v>
      </c>
      <c r="R711">
        <v>73453.620444143075</v>
      </c>
      <c r="S711" t="s">
        <v>2507</v>
      </c>
      <c r="T711" t="s">
        <v>717</v>
      </c>
      <c r="U711" t="s">
        <v>717</v>
      </c>
      <c r="V711" t="s">
        <v>717</v>
      </c>
      <c r="W711">
        <v>44498</v>
      </c>
      <c r="X711" t="s">
        <v>5296</v>
      </c>
      <c r="Y711" t="s">
        <v>6</v>
      </c>
      <c r="Z711" t="s">
        <v>11</v>
      </c>
      <c r="AA711" t="s">
        <v>717</v>
      </c>
      <c r="AB711" t="s">
        <v>2509</v>
      </c>
      <c r="AC711" t="s">
        <v>118</v>
      </c>
      <c r="AD711" t="s">
        <v>717</v>
      </c>
      <c r="AE711" t="s">
        <v>711</v>
      </c>
      <c r="AF711" t="s">
        <v>5297</v>
      </c>
      <c r="AG711" t="s">
        <v>5298</v>
      </c>
      <c r="AH711" t="s">
        <v>2191</v>
      </c>
      <c r="AI711" t="s">
        <v>2538</v>
      </c>
      <c r="AJ711" t="s">
        <v>2514</v>
      </c>
      <c r="AK711" t="s">
        <v>73</v>
      </c>
      <c r="AL711" t="s">
        <v>717</v>
      </c>
      <c r="AM711" t="s">
        <v>10</v>
      </c>
      <c r="AN711" t="s">
        <v>717</v>
      </c>
    </row>
    <row r="712" spans="1:40" hidden="1">
      <c r="A712">
        <v>710</v>
      </c>
      <c r="B712">
        <v>46</v>
      </c>
      <c r="C712" s="58">
        <v>44498</v>
      </c>
      <c r="D712" t="s">
        <v>27</v>
      </c>
      <c r="E712" t="s">
        <v>4409</v>
      </c>
      <c r="F712">
        <v>5</v>
      </c>
      <c r="G712">
        <v>2</v>
      </c>
      <c r="I712">
        <v>0</v>
      </c>
      <c r="J712">
        <v>23.63</v>
      </c>
      <c r="K712" t="s">
        <v>25</v>
      </c>
      <c r="L712">
        <v>1984252.45</v>
      </c>
      <c r="M712">
        <v>0</v>
      </c>
      <c r="N712">
        <v>1984252.45</v>
      </c>
      <c r="O712">
        <v>83971.749894202294</v>
      </c>
      <c r="P712">
        <v>378080</v>
      </c>
      <c r="Q712">
        <v>1606172.45</v>
      </c>
      <c r="R712">
        <v>67971.749894202279</v>
      </c>
      <c r="S712" t="s">
        <v>65</v>
      </c>
      <c r="T712" t="s">
        <v>717</v>
      </c>
      <c r="U712" t="s">
        <v>717</v>
      </c>
      <c r="V712" t="s">
        <v>717</v>
      </c>
      <c r="W712">
        <v>44493</v>
      </c>
      <c r="X712" t="s">
        <v>5299</v>
      </c>
      <c r="Y712" t="s">
        <v>2517</v>
      </c>
      <c r="Z712" t="s">
        <v>17</v>
      </c>
      <c r="AA712" t="s">
        <v>717</v>
      </c>
      <c r="AB712" t="s">
        <v>2509</v>
      </c>
      <c r="AC712" t="s">
        <v>2571</v>
      </c>
      <c r="AD712">
        <v>44561</v>
      </c>
      <c r="AE712" t="s">
        <v>5300</v>
      </c>
      <c r="AF712" t="s">
        <v>5301</v>
      </c>
      <c r="AG712" t="s">
        <v>5302</v>
      </c>
      <c r="AH712" t="s">
        <v>2615</v>
      </c>
      <c r="AI712" t="s">
        <v>2552</v>
      </c>
      <c r="AJ712" t="s">
        <v>2522</v>
      </c>
      <c r="AK712" t="s">
        <v>73</v>
      </c>
      <c r="AL712" t="s">
        <v>575</v>
      </c>
      <c r="AM712" t="s">
        <v>10</v>
      </c>
      <c r="AN712" t="s">
        <v>717</v>
      </c>
    </row>
    <row r="713" spans="1:40" hidden="1">
      <c r="A713">
        <v>711</v>
      </c>
      <c r="B713">
        <v>1</v>
      </c>
      <c r="C713" s="58">
        <v>44507</v>
      </c>
      <c r="D713" t="s">
        <v>121</v>
      </c>
      <c r="E713" t="s">
        <v>2515</v>
      </c>
      <c r="F713">
        <v>5</v>
      </c>
      <c r="G713">
        <v>16</v>
      </c>
      <c r="H713">
        <v>103</v>
      </c>
      <c r="I713">
        <v>1</v>
      </c>
      <c r="J713">
        <v>36.42</v>
      </c>
      <c r="K713" t="s">
        <v>9</v>
      </c>
      <c r="L713">
        <v>2725306.56</v>
      </c>
      <c r="M713">
        <v>0</v>
      </c>
      <c r="N713">
        <v>2725306.56</v>
      </c>
      <c r="O713">
        <v>74829.943986820421</v>
      </c>
      <c r="P713">
        <v>0</v>
      </c>
      <c r="Q713">
        <v>2725306.56</v>
      </c>
      <c r="R713">
        <v>74829.943986820421</v>
      </c>
      <c r="S713" t="s">
        <v>130</v>
      </c>
      <c r="T713" t="s">
        <v>717</v>
      </c>
      <c r="U713" t="s">
        <v>717</v>
      </c>
      <c r="V713" t="s">
        <v>717</v>
      </c>
      <c r="W713">
        <v>44491</v>
      </c>
      <c r="X713" t="s">
        <v>5303</v>
      </c>
      <c r="Y713" t="s">
        <v>6</v>
      </c>
      <c r="Z713" t="s">
        <v>17</v>
      </c>
      <c r="AA713" t="s">
        <v>717</v>
      </c>
      <c r="AB713" t="s">
        <v>2509</v>
      </c>
      <c r="AC713" t="s">
        <v>118</v>
      </c>
      <c r="AD713" t="s">
        <v>717</v>
      </c>
      <c r="AE713" t="s">
        <v>5304</v>
      </c>
      <c r="AF713" t="s">
        <v>5305</v>
      </c>
      <c r="AG713" t="s">
        <v>5306</v>
      </c>
      <c r="AH713" t="s">
        <v>2615</v>
      </c>
      <c r="AI713" t="s">
        <v>2706</v>
      </c>
      <c r="AJ713" t="s">
        <v>2569</v>
      </c>
      <c r="AK713" t="s">
        <v>20</v>
      </c>
      <c r="AL713" t="s">
        <v>717</v>
      </c>
      <c r="AM713" t="s">
        <v>10</v>
      </c>
      <c r="AN713" t="s">
        <v>717</v>
      </c>
    </row>
    <row r="714" spans="1:40" hidden="1">
      <c r="A714">
        <v>712</v>
      </c>
      <c r="B714">
        <v>2</v>
      </c>
      <c r="C714" s="58">
        <v>44507</v>
      </c>
      <c r="D714" t="s">
        <v>27</v>
      </c>
      <c r="E714" t="s">
        <v>4409</v>
      </c>
      <c r="F714">
        <v>8</v>
      </c>
      <c r="G714">
        <v>14</v>
      </c>
      <c r="H714">
        <v>615</v>
      </c>
      <c r="I714">
        <v>2</v>
      </c>
      <c r="J714">
        <v>55.8</v>
      </c>
      <c r="K714" t="s">
        <v>9</v>
      </c>
      <c r="L714">
        <v>3179945.38</v>
      </c>
      <c r="M714">
        <v>0</v>
      </c>
      <c r="N714">
        <v>3179945.38</v>
      </c>
      <c r="O714">
        <v>56988.268458781356</v>
      </c>
      <c r="P714">
        <v>0</v>
      </c>
      <c r="Q714">
        <v>3179945.38</v>
      </c>
      <c r="R714">
        <v>56988.268458781356</v>
      </c>
      <c r="S714" t="s">
        <v>65</v>
      </c>
      <c r="T714" t="s">
        <v>717</v>
      </c>
      <c r="U714" t="s">
        <v>717</v>
      </c>
      <c r="V714" t="s">
        <v>4131</v>
      </c>
      <c r="W714">
        <v>44495</v>
      </c>
      <c r="X714" t="s">
        <v>5307</v>
      </c>
      <c r="Y714" t="s">
        <v>6</v>
      </c>
      <c r="Z714" t="s">
        <v>17</v>
      </c>
      <c r="AA714" t="s">
        <v>717</v>
      </c>
      <c r="AB714" t="s">
        <v>2509</v>
      </c>
      <c r="AC714" t="s">
        <v>2571</v>
      </c>
      <c r="AD714" t="s">
        <v>717</v>
      </c>
      <c r="AE714" t="s">
        <v>5308</v>
      </c>
      <c r="AF714" t="s">
        <v>5309</v>
      </c>
      <c r="AG714" t="s">
        <v>5310</v>
      </c>
      <c r="AH714" t="s">
        <v>2616</v>
      </c>
      <c r="AI714" t="s">
        <v>2552</v>
      </c>
      <c r="AJ714" t="s">
        <v>2895</v>
      </c>
      <c r="AK714" t="s">
        <v>20</v>
      </c>
      <c r="AL714" t="s">
        <v>16</v>
      </c>
      <c r="AM714" t="s">
        <v>10</v>
      </c>
      <c r="AN714" t="s">
        <v>717</v>
      </c>
    </row>
    <row r="715" spans="1:40" hidden="1">
      <c r="A715">
        <v>713</v>
      </c>
      <c r="B715">
        <v>3</v>
      </c>
      <c r="C715" s="58">
        <v>44507</v>
      </c>
      <c r="D715" t="s">
        <v>27</v>
      </c>
      <c r="E715" t="s">
        <v>2581</v>
      </c>
      <c r="F715">
        <v>3</v>
      </c>
      <c r="G715">
        <v>5</v>
      </c>
      <c r="H715">
        <v>418</v>
      </c>
      <c r="I715">
        <v>0</v>
      </c>
      <c r="J715">
        <v>23.54</v>
      </c>
      <c r="K715" t="s">
        <v>9</v>
      </c>
      <c r="L715">
        <v>1508861.9</v>
      </c>
      <c r="M715">
        <v>15000</v>
      </c>
      <c r="N715">
        <v>1523861.9</v>
      </c>
      <c r="O715">
        <v>64735</v>
      </c>
      <c r="P715">
        <v>0</v>
      </c>
      <c r="Q715">
        <v>1523861.9</v>
      </c>
      <c r="R715">
        <v>64735</v>
      </c>
      <c r="S715" t="s">
        <v>2507</v>
      </c>
      <c r="T715" t="s">
        <v>717</v>
      </c>
      <c r="U715" t="s">
        <v>717</v>
      </c>
      <c r="V715" t="s">
        <v>717</v>
      </c>
      <c r="W715">
        <v>44498</v>
      </c>
      <c r="X715" t="s">
        <v>5311</v>
      </c>
      <c r="Y715" t="s">
        <v>2611</v>
      </c>
      <c r="Z715" t="s">
        <v>17</v>
      </c>
      <c r="AA715" t="s">
        <v>717</v>
      </c>
      <c r="AB715" t="s">
        <v>2509</v>
      </c>
      <c r="AC715" t="s">
        <v>118</v>
      </c>
      <c r="AD715">
        <v>44965</v>
      </c>
      <c r="AE715" t="s">
        <v>5312</v>
      </c>
      <c r="AF715" t="s">
        <v>5313</v>
      </c>
      <c r="AG715" t="s">
        <v>5314</v>
      </c>
      <c r="AH715" t="s">
        <v>2191</v>
      </c>
      <c r="AI715" t="s">
        <v>2538</v>
      </c>
      <c r="AJ715" t="s">
        <v>2514</v>
      </c>
      <c r="AK715" t="s">
        <v>73</v>
      </c>
      <c r="AL715" t="s">
        <v>717</v>
      </c>
      <c r="AM715" t="s">
        <v>10</v>
      </c>
      <c r="AN715" t="s">
        <v>717</v>
      </c>
    </row>
    <row r="716" spans="1:40" hidden="1">
      <c r="A716">
        <v>714</v>
      </c>
      <c r="B716">
        <v>4</v>
      </c>
      <c r="C716" s="58">
        <v>44507</v>
      </c>
      <c r="D716" t="s">
        <v>27</v>
      </c>
      <c r="E716" t="s">
        <v>2581</v>
      </c>
      <c r="F716">
        <v>3</v>
      </c>
      <c r="G716">
        <v>7</v>
      </c>
      <c r="H716">
        <v>434</v>
      </c>
      <c r="I716">
        <v>0</v>
      </c>
      <c r="J716">
        <v>23.54</v>
      </c>
      <c r="K716" t="s">
        <v>9</v>
      </c>
      <c r="L716">
        <v>1508861.9</v>
      </c>
      <c r="M716">
        <v>15000</v>
      </c>
      <c r="N716">
        <v>1523861.9</v>
      </c>
      <c r="O716">
        <v>64735</v>
      </c>
      <c r="P716">
        <v>0</v>
      </c>
      <c r="Q716">
        <v>1523861.9</v>
      </c>
      <c r="R716">
        <v>64735</v>
      </c>
      <c r="S716" t="s">
        <v>2507</v>
      </c>
      <c r="T716" t="s">
        <v>717</v>
      </c>
      <c r="U716" t="s">
        <v>717</v>
      </c>
      <c r="V716" t="s">
        <v>717</v>
      </c>
      <c r="W716">
        <v>44498</v>
      </c>
      <c r="X716" t="s">
        <v>5315</v>
      </c>
      <c r="Y716" t="s">
        <v>6</v>
      </c>
      <c r="Z716" t="s">
        <v>17</v>
      </c>
      <c r="AA716" t="s">
        <v>717</v>
      </c>
      <c r="AB716" t="s">
        <v>2509</v>
      </c>
      <c r="AC716" t="s">
        <v>118</v>
      </c>
      <c r="AD716" t="s">
        <v>717</v>
      </c>
      <c r="AE716" t="s">
        <v>5316</v>
      </c>
      <c r="AF716" t="s">
        <v>5317</v>
      </c>
      <c r="AG716" t="s">
        <v>5318</v>
      </c>
      <c r="AH716" t="s">
        <v>2580</v>
      </c>
      <c r="AI716" t="s">
        <v>2538</v>
      </c>
      <c r="AJ716" t="s">
        <v>2514</v>
      </c>
      <c r="AK716" t="s">
        <v>73</v>
      </c>
      <c r="AL716" t="s">
        <v>717</v>
      </c>
      <c r="AM716" t="s">
        <v>10</v>
      </c>
      <c r="AN716" t="s">
        <v>717</v>
      </c>
    </row>
    <row r="717" spans="1:40" hidden="1">
      <c r="A717">
        <v>715</v>
      </c>
      <c r="B717">
        <v>5</v>
      </c>
      <c r="C717" s="58">
        <v>44507</v>
      </c>
      <c r="D717" t="s">
        <v>121</v>
      </c>
      <c r="E717" t="s">
        <v>2515</v>
      </c>
      <c r="F717">
        <v>4</v>
      </c>
      <c r="G717">
        <v>11</v>
      </c>
      <c r="H717">
        <v>67</v>
      </c>
      <c r="I717">
        <v>1</v>
      </c>
      <c r="J717">
        <v>36.86</v>
      </c>
      <c r="K717" t="s">
        <v>9</v>
      </c>
      <c r="L717">
        <v>2758231.73</v>
      </c>
      <c r="M717">
        <v>0</v>
      </c>
      <c r="N717">
        <v>2758231.73</v>
      </c>
      <c r="O717">
        <v>74829.943841562679</v>
      </c>
      <c r="P717">
        <v>0</v>
      </c>
      <c r="Q717">
        <v>2758231.73</v>
      </c>
      <c r="R717">
        <v>74829.943841562679</v>
      </c>
      <c r="S717" t="s">
        <v>130</v>
      </c>
      <c r="T717" t="s">
        <v>717</v>
      </c>
      <c r="U717" t="s">
        <v>717</v>
      </c>
      <c r="V717" t="s">
        <v>717</v>
      </c>
      <c r="W717">
        <v>44502</v>
      </c>
      <c r="X717" t="s">
        <v>5319</v>
      </c>
      <c r="Y717" t="s">
        <v>6</v>
      </c>
      <c r="Z717" t="s">
        <v>17</v>
      </c>
      <c r="AA717" t="s">
        <v>717</v>
      </c>
      <c r="AB717" t="s">
        <v>2509</v>
      </c>
      <c r="AC717" t="s">
        <v>118</v>
      </c>
      <c r="AD717" t="s">
        <v>717</v>
      </c>
      <c r="AE717" t="s">
        <v>5320</v>
      </c>
      <c r="AF717" t="s">
        <v>5321</v>
      </c>
      <c r="AG717" t="s">
        <v>5322</v>
      </c>
      <c r="AH717" t="s">
        <v>2615</v>
      </c>
      <c r="AI717" t="s">
        <v>2552</v>
      </c>
      <c r="AJ717" t="s">
        <v>2662</v>
      </c>
      <c r="AK717" t="s">
        <v>77</v>
      </c>
      <c r="AL717" t="s">
        <v>717</v>
      </c>
      <c r="AM717" t="s">
        <v>10</v>
      </c>
      <c r="AN717" t="s">
        <v>717</v>
      </c>
    </row>
    <row r="718" spans="1:40" hidden="1">
      <c r="A718">
        <v>716</v>
      </c>
      <c r="B718">
        <v>6</v>
      </c>
      <c r="C718" s="58">
        <v>44508</v>
      </c>
      <c r="D718" t="s">
        <v>27</v>
      </c>
      <c r="E718" t="s">
        <v>4409</v>
      </c>
      <c r="F718">
        <v>3</v>
      </c>
      <c r="G718">
        <v>12</v>
      </c>
      <c r="H718">
        <v>594</v>
      </c>
      <c r="I718">
        <v>0</v>
      </c>
      <c r="J718">
        <v>23.54</v>
      </c>
      <c r="K718" t="s">
        <v>9</v>
      </c>
      <c r="L718">
        <v>1702458.51</v>
      </c>
      <c r="M718">
        <v>0</v>
      </c>
      <c r="N718">
        <v>1702458.51</v>
      </c>
      <c r="O718">
        <v>72321.941801189474</v>
      </c>
      <c r="P718">
        <v>0</v>
      </c>
      <c r="Q718">
        <v>1702458.51</v>
      </c>
      <c r="R718">
        <v>72321.941801189474</v>
      </c>
      <c r="S718" t="s">
        <v>65</v>
      </c>
      <c r="T718" t="s">
        <v>717</v>
      </c>
      <c r="U718" t="s">
        <v>717</v>
      </c>
      <c r="V718" t="s">
        <v>717</v>
      </c>
      <c r="W718">
        <v>44499</v>
      </c>
      <c r="X718" t="s">
        <v>5323</v>
      </c>
      <c r="Y718" t="s">
        <v>6</v>
      </c>
      <c r="Z718" t="s">
        <v>17</v>
      </c>
      <c r="AA718" t="s">
        <v>717</v>
      </c>
      <c r="AB718" t="s">
        <v>2509</v>
      </c>
      <c r="AC718" t="s">
        <v>2571</v>
      </c>
      <c r="AD718" t="s">
        <v>717</v>
      </c>
      <c r="AE718" t="s">
        <v>5324</v>
      </c>
      <c r="AF718" t="s">
        <v>5325</v>
      </c>
      <c r="AG718" t="s">
        <v>5326</v>
      </c>
      <c r="AH718" t="s">
        <v>2615</v>
      </c>
      <c r="AI718" t="s">
        <v>2538</v>
      </c>
      <c r="AJ718" t="s">
        <v>2940</v>
      </c>
      <c r="AK718" t="s">
        <v>77</v>
      </c>
      <c r="AL718" t="s">
        <v>575</v>
      </c>
      <c r="AM718" t="s">
        <v>10</v>
      </c>
      <c r="AN718" t="s">
        <v>717</v>
      </c>
    </row>
    <row r="719" spans="1:40" hidden="1">
      <c r="A719">
        <v>717</v>
      </c>
      <c r="B719">
        <v>7</v>
      </c>
      <c r="C719" s="58">
        <v>44508</v>
      </c>
      <c r="D719" t="s">
        <v>121</v>
      </c>
      <c r="E719" t="s">
        <v>2515</v>
      </c>
      <c r="F719">
        <v>5</v>
      </c>
      <c r="G719">
        <v>10</v>
      </c>
      <c r="H719">
        <v>61</v>
      </c>
      <c r="I719">
        <v>1</v>
      </c>
      <c r="J719">
        <v>36.42</v>
      </c>
      <c r="K719" t="s">
        <v>9</v>
      </c>
      <c r="L719">
        <v>2725306.56</v>
      </c>
      <c r="M719">
        <v>0</v>
      </c>
      <c r="N719">
        <v>2725306.56</v>
      </c>
      <c r="O719">
        <v>74829.943986820421</v>
      </c>
      <c r="P719">
        <v>0</v>
      </c>
      <c r="Q719">
        <v>2725306.56</v>
      </c>
      <c r="R719">
        <v>74829.943986820421</v>
      </c>
      <c r="S719" t="s">
        <v>65</v>
      </c>
      <c r="T719" t="s">
        <v>717</v>
      </c>
      <c r="U719" t="s">
        <v>717</v>
      </c>
      <c r="V719" t="s">
        <v>717</v>
      </c>
      <c r="W719">
        <v>44501</v>
      </c>
      <c r="X719" t="s">
        <v>5327</v>
      </c>
      <c r="Y719" t="s">
        <v>6</v>
      </c>
      <c r="Z719" t="s">
        <v>17</v>
      </c>
      <c r="AA719" t="s">
        <v>717</v>
      </c>
      <c r="AB719" t="s">
        <v>2509</v>
      </c>
      <c r="AC719" t="s">
        <v>2571</v>
      </c>
      <c r="AD719" t="s">
        <v>717</v>
      </c>
      <c r="AE719" t="s">
        <v>5328</v>
      </c>
      <c r="AF719" t="s">
        <v>5329</v>
      </c>
      <c r="AG719" t="s">
        <v>5330</v>
      </c>
      <c r="AH719" t="s">
        <v>2191</v>
      </c>
      <c r="AI719" t="s">
        <v>2552</v>
      </c>
      <c r="AJ719" t="s">
        <v>2514</v>
      </c>
      <c r="AK719" t="s">
        <v>73</v>
      </c>
      <c r="AL719" t="s">
        <v>575</v>
      </c>
      <c r="AM719" t="s">
        <v>10</v>
      </c>
      <c r="AN719" t="s">
        <v>717</v>
      </c>
    </row>
    <row r="720" spans="1:40" hidden="1">
      <c r="A720">
        <v>718</v>
      </c>
      <c r="B720">
        <v>8</v>
      </c>
      <c r="C720" s="58">
        <v>44508</v>
      </c>
      <c r="D720" t="s">
        <v>121</v>
      </c>
      <c r="E720" t="s">
        <v>2506</v>
      </c>
      <c r="F720">
        <v>11</v>
      </c>
      <c r="G720">
        <v>6</v>
      </c>
      <c r="H720">
        <v>216</v>
      </c>
      <c r="I720">
        <v>0</v>
      </c>
      <c r="J720">
        <v>25.85</v>
      </c>
      <c r="K720" t="s">
        <v>25</v>
      </c>
      <c r="L720">
        <v>2431802.89</v>
      </c>
      <c r="M720">
        <v>0</v>
      </c>
      <c r="N720">
        <v>2431802.89</v>
      </c>
      <c r="O720">
        <v>94073.612765957441</v>
      </c>
      <c r="P720">
        <v>413600</v>
      </c>
      <c r="Q720">
        <v>2018202.89</v>
      </c>
      <c r="R720">
        <v>78073.612765957441</v>
      </c>
      <c r="S720" t="s">
        <v>65</v>
      </c>
      <c r="T720" t="s">
        <v>717</v>
      </c>
      <c r="U720" t="s">
        <v>717</v>
      </c>
      <c r="V720" t="s">
        <v>717</v>
      </c>
      <c r="W720">
        <v>44504</v>
      </c>
      <c r="X720" t="s">
        <v>5331</v>
      </c>
      <c r="Y720" t="s">
        <v>6</v>
      </c>
      <c r="Z720" t="s">
        <v>17</v>
      </c>
      <c r="AA720" t="s">
        <v>717</v>
      </c>
      <c r="AB720" t="s">
        <v>2509</v>
      </c>
      <c r="AC720" t="s">
        <v>2571</v>
      </c>
      <c r="AD720" t="s">
        <v>717</v>
      </c>
      <c r="AE720" t="s">
        <v>5332</v>
      </c>
      <c r="AF720" t="s">
        <v>5333</v>
      </c>
      <c r="AG720" t="s">
        <v>5334</v>
      </c>
      <c r="AH720" t="s">
        <v>2615</v>
      </c>
      <c r="AI720" t="s">
        <v>2706</v>
      </c>
      <c r="AJ720" t="s">
        <v>2895</v>
      </c>
      <c r="AK720" t="s">
        <v>73</v>
      </c>
      <c r="AL720" t="s">
        <v>16</v>
      </c>
      <c r="AM720" t="s">
        <v>10</v>
      </c>
      <c r="AN720" t="s">
        <v>717</v>
      </c>
    </row>
    <row r="721" spans="1:40" hidden="1">
      <c r="A721">
        <v>719</v>
      </c>
      <c r="B721">
        <v>9</v>
      </c>
      <c r="C721" s="58">
        <v>44509</v>
      </c>
      <c r="D721" t="s">
        <v>74</v>
      </c>
      <c r="E721" t="s">
        <v>2515</v>
      </c>
      <c r="F721">
        <v>4</v>
      </c>
      <c r="G721">
        <v>6</v>
      </c>
      <c r="H721">
        <v>44</v>
      </c>
      <c r="I721">
        <v>3</v>
      </c>
      <c r="J721">
        <v>77.8</v>
      </c>
      <c r="K721" t="s">
        <v>9</v>
      </c>
      <c r="L721">
        <v>4553880</v>
      </c>
      <c r="M721">
        <v>0</v>
      </c>
      <c r="N721">
        <v>4553880</v>
      </c>
      <c r="O721">
        <v>58533.161953727511</v>
      </c>
      <c r="P721">
        <v>38900</v>
      </c>
      <c r="Q721">
        <v>4514980</v>
      </c>
      <c r="R721">
        <v>58033.161953727511</v>
      </c>
      <c r="S721" t="s">
        <v>65</v>
      </c>
      <c r="T721" t="s">
        <v>717</v>
      </c>
      <c r="U721" t="s">
        <v>717</v>
      </c>
      <c r="V721" t="s">
        <v>717</v>
      </c>
      <c r="W721">
        <v>44474</v>
      </c>
      <c r="X721" t="s">
        <v>5335</v>
      </c>
      <c r="Y721" t="s">
        <v>6</v>
      </c>
      <c r="Z721" t="s">
        <v>11</v>
      </c>
      <c r="AA721" t="s">
        <v>717</v>
      </c>
      <c r="AB721" t="s">
        <v>326</v>
      </c>
      <c r="AC721" t="s">
        <v>4900</v>
      </c>
      <c r="AD721" t="s">
        <v>717</v>
      </c>
      <c r="AE721" t="s">
        <v>723</v>
      </c>
      <c r="AF721" t="s">
        <v>5336</v>
      </c>
      <c r="AG721" t="s">
        <v>717</v>
      </c>
      <c r="AH721" t="s">
        <v>2552</v>
      </c>
      <c r="AI721" t="s">
        <v>2547</v>
      </c>
      <c r="AJ721" t="s">
        <v>2855</v>
      </c>
      <c r="AK721" t="s">
        <v>77</v>
      </c>
      <c r="AL721" t="s">
        <v>16</v>
      </c>
      <c r="AM721" t="s">
        <v>10</v>
      </c>
      <c r="AN721" t="s">
        <v>717</v>
      </c>
    </row>
    <row r="722" spans="1:40" hidden="1">
      <c r="A722">
        <v>720</v>
      </c>
      <c r="B722">
        <v>10</v>
      </c>
      <c r="C722" s="58">
        <v>44509</v>
      </c>
      <c r="D722" t="s">
        <v>121</v>
      </c>
      <c r="E722" t="s">
        <v>2506</v>
      </c>
      <c r="F722">
        <v>4</v>
      </c>
      <c r="G722">
        <v>3</v>
      </c>
      <c r="H722">
        <v>176</v>
      </c>
      <c r="I722">
        <v>1</v>
      </c>
      <c r="J722">
        <v>37.89</v>
      </c>
      <c r="K722" t="s">
        <v>15</v>
      </c>
      <c r="L722">
        <v>3111199.46</v>
      </c>
      <c r="M722">
        <v>0</v>
      </c>
      <c r="N722">
        <v>3111199.46</v>
      </c>
      <c r="O722">
        <v>82111.360781208758</v>
      </c>
      <c r="P722">
        <v>208395</v>
      </c>
      <c r="Q722">
        <v>2902804.46</v>
      </c>
      <c r="R722">
        <v>76611.360781208758</v>
      </c>
      <c r="S722" t="s">
        <v>65</v>
      </c>
      <c r="T722" t="s">
        <v>717</v>
      </c>
      <c r="U722" t="s">
        <v>717</v>
      </c>
      <c r="V722" t="s">
        <v>717</v>
      </c>
      <c r="W722">
        <v>44501</v>
      </c>
      <c r="X722" t="s">
        <v>5337</v>
      </c>
      <c r="Y722" t="s">
        <v>6</v>
      </c>
      <c r="Z722" t="s">
        <v>17</v>
      </c>
      <c r="AA722" t="s">
        <v>717</v>
      </c>
      <c r="AB722" t="s">
        <v>2509</v>
      </c>
      <c r="AC722" t="s">
        <v>2571</v>
      </c>
      <c r="AD722" t="s">
        <v>717</v>
      </c>
      <c r="AE722" t="s">
        <v>5338</v>
      </c>
      <c r="AF722" t="s">
        <v>5339</v>
      </c>
      <c r="AG722" t="s">
        <v>5340</v>
      </c>
      <c r="AH722" t="s">
        <v>2552</v>
      </c>
      <c r="AI722" t="s">
        <v>2547</v>
      </c>
      <c r="AJ722" t="s">
        <v>2855</v>
      </c>
      <c r="AK722" t="s">
        <v>77</v>
      </c>
      <c r="AL722" t="s">
        <v>16</v>
      </c>
      <c r="AM722" t="s">
        <v>10</v>
      </c>
      <c r="AN722" t="s">
        <v>717</v>
      </c>
    </row>
    <row r="723" spans="1:40" hidden="1">
      <c r="A723">
        <v>721</v>
      </c>
      <c r="B723">
        <v>11</v>
      </c>
      <c r="C723" s="58">
        <v>44509</v>
      </c>
      <c r="D723" t="s">
        <v>27</v>
      </c>
      <c r="E723" t="s">
        <v>4409</v>
      </c>
      <c r="F723">
        <v>8</v>
      </c>
      <c r="G723">
        <v>13</v>
      </c>
      <c r="H723">
        <v>607</v>
      </c>
      <c r="I723">
        <v>2</v>
      </c>
      <c r="J723">
        <v>55.8</v>
      </c>
      <c r="K723" t="s">
        <v>9</v>
      </c>
      <c r="L723">
        <v>3179945.38</v>
      </c>
      <c r="M723">
        <v>0</v>
      </c>
      <c r="N723">
        <v>3179945.38</v>
      </c>
      <c r="O723">
        <v>56988.268458781356</v>
      </c>
      <c r="P723">
        <v>0</v>
      </c>
      <c r="Q723">
        <v>3179945.38</v>
      </c>
      <c r="R723">
        <v>56988.268458781356</v>
      </c>
      <c r="S723" t="s">
        <v>65</v>
      </c>
      <c r="T723" t="s">
        <v>717</v>
      </c>
      <c r="U723" t="s">
        <v>717</v>
      </c>
      <c r="V723" t="s">
        <v>4131</v>
      </c>
      <c r="W723">
        <v>44506</v>
      </c>
      <c r="X723" t="s">
        <v>5341</v>
      </c>
      <c r="Y723" t="s">
        <v>6</v>
      </c>
      <c r="Z723" t="s">
        <v>17</v>
      </c>
      <c r="AA723" t="s">
        <v>717</v>
      </c>
      <c r="AB723" t="s">
        <v>2509</v>
      </c>
      <c r="AC723" t="s">
        <v>2571</v>
      </c>
      <c r="AD723" t="s">
        <v>717</v>
      </c>
      <c r="AE723" t="s">
        <v>5342</v>
      </c>
      <c r="AF723" t="s">
        <v>5343</v>
      </c>
      <c r="AG723" t="s">
        <v>5344</v>
      </c>
      <c r="AH723" t="s">
        <v>2616</v>
      </c>
      <c r="AI723" t="s">
        <v>2552</v>
      </c>
      <c r="AJ723" t="s">
        <v>3185</v>
      </c>
      <c r="AK723" t="s">
        <v>73</v>
      </c>
      <c r="AL723" t="s">
        <v>575</v>
      </c>
      <c r="AM723" t="s">
        <v>10</v>
      </c>
      <c r="AN723" t="s">
        <v>717</v>
      </c>
    </row>
    <row r="724" spans="1:40" hidden="1">
      <c r="A724">
        <v>722</v>
      </c>
      <c r="B724">
        <v>12</v>
      </c>
      <c r="C724" s="58">
        <v>44509</v>
      </c>
      <c r="D724" t="s">
        <v>27</v>
      </c>
      <c r="E724" t="s">
        <v>2506</v>
      </c>
      <c r="F724">
        <v>6</v>
      </c>
      <c r="G724">
        <v>4</v>
      </c>
      <c r="H724">
        <v>229</v>
      </c>
      <c r="I724">
        <v>1</v>
      </c>
      <c r="J724">
        <v>37.11</v>
      </c>
      <c r="K724" t="s">
        <v>15</v>
      </c>
      <c r="L724">
        <v>2669667.27</v>
      </c>
      <c r="M724">
        <v>0</v>
      </c>
      <c r="N724">
        <v>2669667.27</v>
      </c>
      <c r="O724">
        <v>71939.295877122073</v>
      </c>
      <c r="P724">
        <v>204105</v>
      </c>
      <c r="Q724">
        <v>2465562.27</v>
      </c>
      <c r="R724">
        <v>66439.295877122073</v>
      </c>
      <c r="S724" t="s">
        <v>2507</v>
      </c>
      <c r="T724" t="s">
        <v>717</v>
      </c>
      <c r="U724" t="s">
        <v>717</v>
      </c>
      <c r="V724" t="s">
        <v>717</v>
      </c>
      <c r="W724">
        <v>44507</v>
      </c>
      <c r="X724" t="s">
        <v>5345</v>
      </c>
      <c r="Y724" t="s">
        <v>6</v>
      </c>
      <c r="Z724" t="s">
        <v>17</v>
      </c>
      <c r="AA724" t="s">
        <v>717</v>
      </c>
      <c r="AB724" t="s">
        <v>2509</v>
      </c>
      <c r="AC724" t="s">
        <v>118</v>
      </c>
      <c r="AD724" t="s">
        <v>717</v>
      </c>
      <c r="AE724" t="s">
        <v>5346</v>
      </c>
      <c r="AF724" t="s">
        <v>5347</v>
      </c>
      <c r="AG724" t="s">
        <v>5348</v>
      </c>
      <c r="AH724" t="s">
        <v>2615</v>
      </c>
      <c r="AI724" t="s">
        <v>2552</v>
      </c>
      <c r="AJ724" t="s">
        <v>2895</v>
      </c>
      <c r="AK724" t="s">
        <v>73</v>
      </c>
      <c r="AL724" t="s">
        <v>717</v>
      </c>
      <c r="AM724" t="s">
        <v>10</v>
      </c>
      <c r="AN724" t="s">
        <v>717</v>
      </c>
    </row>
    <row r="725" spans="1:40" hidden="1">
      <c r="A725">
        <v>723</v>
      </c>
      <c r="B725">
        <v>13</v>
      </c>
      <c r="C725" s="58">
        <v>44509</v>
      </c>
      <c r="D725" t="s">
        <v>27</v>
      </c>
      <c r="E725" t="s">
        <v>2506</v>
      </c>
      <c r="F725">
        <v>2</v>
      </c>
      <c r="G725">
        <v>4</v>
      </c>
      <c r="H725">
        <v>225</v>
      </c>
      <c r="I725">
        <v>1</v>
      </c>
      <c r="J725">
        <v>37.159999999999997</v>
      </c>
      <c r="K725" t="s">
        <v>15</v>
      </c>
      <c r="L725">
        <v>2673264.2400000002</v>
      </c>
      <c r="M725">
        <v>0</v>
      </c>
      <c r="N725">
        <v>2673264.2400000002</v>
      </c>
      <c r="O725">
        <v>71939.296017222834</v>
      </c>
      <c r="P725">
        <v>204380</v>
      </c>
      <c r="Q725">
        <v>2468884.2400000002</v>
      </c>
      <c r="R725">
        <v>66439.296017222834</v>
      </c>
      <c r="S725" t="s">
        <v>65</v>
      </c>
      <c r="T725" t="s">
        <v>717</v>
      </c>
      <c r="U725" t="s">
        <v>717</v>
      </c>
      <c r="V725" t="s">
        <v>717</v>
      </c>
      <c r="W725">
        <v>44507</v>
      </c>
      <c r="X725" t="s">
        <v>5349</v>
      </c>
      <c r="Y725" t="s">
        <v>6</v>
      </c>
      <c r="Z725" t="s">
        <v>17</v>
      </c>
      <c r="AA725" t="s">
        <v>717</v>
      </c>
      <c r="AB725" t="s">
        <v>2509</v>
      </c>
      <c r="AC725" t="s">
        <v>2571</v>
      </c>
      <c r="AD725" t="s">
        <v>717</v>
      </c>
      <c r="AE725" t="s">
        <v>5350</v>
      </c>
      <c r="AF725" t="s">
        <v>5351</v>
      </c>
      <c r="AG725" t="s">
        <v>5348</v>
      </c>
      <c r="AH725" t="s">
        <v>2580</v>
      </c>
      <c r="AI725" t="s">
        <v>2552</v>
      </c>
      <c r="AJ725" t="s">
        <v>3921</v>
      </c>
      <c r="AK725" t="s">
        <v>73</v>
      </c>
      <c r="AL725" t="s">
        <v>16</v>
      </c>
      <c r="AM725" t="s">
        <v>10</v>
      </c>
      <c r="AN725" t="s">
        <v>717</v>
      </c>
    </row>
    <row r="726" spans="1:40" hidden="1">
      <c r="A726">
        <v>724</v>
      </c>
      <c r="B726">
        <v>14</v>
      </c>
      <c r="C726" s="58">
        <v>44510</v>
      </c>
      <c r="D726" t="s">
        <v>27</v>
      </c>
      <c r="E726" t="s">
        <v>2581</v>
      </c>
      <c r="F726">
        <v>8</v>
      </c>
      <c r="G726">
        <v>9</v>
      </c>
      <c r="H726">
        <v>455</v>
      </c>
      <c r="I726">
        <v>2</v>
      </c>
      <c r="J726">
        <v>55.8</v>
      </c>
      <c r="K726" t="s">
        <v>9</v>
      </c>
      <c r="L726">
        <v>3480297.61</v>
      </c>
      <c r="M726">
        <v>0</v>
      </c>
      <c r="N726">
        <v>3480297.61</v>
      </c>
      <c r="O726">
        <v>62370.924910394264</v>
      </c>
      <c r="P726">
        <v>0</v>
      </c>
      <c r="Q726">
        <v>3480297.61</v>
      </c>
      <c r="R726">
        <v>62370.924910394264</v>
      </c>
      <c r="S726" t="s">
        <v>65</v>
      </c>
      <c r="T726" t="s">
        <v>717</v>
      </c>
      <c r="U726" t="s">
        <v>717</v>
      </c>
      <c r="V726" t="s">
        <v>717</v>
      </c>
      <c r="W726">
        <v>44504</v>
      </c>
      <c r="X726" t="s">
        <v>5352</v>
      </c>
      <c r="Y726" t="s">
        <v>6</v>
      </c>
      <c r="Z726" t="s">
        <v>11</v>
      </c>
      <c r="AA726" t="s">
        <v>717</v>
      </c>
      <c r="AB726" t="s">
        <v>2509</v>
      </c>
      <c r="AC726" t="s">
        <v>2558</v>
      </c>
      <c r="AD726" t="s">
        <v>717</v>
      </c>
      <c r="AE726" t="s">
        <v>5353</v>
      </c>
      <c r="AF726" t="s">
        <v>5354</v>
      </c>
      <c r="AG726" t="s">
        <v>5355</v>
      </c>
      <c r="AH726" t="s">
        <v>2191</v>
      </c>
      <c r="AI726" t="s">
        <v>2538</v>
      </c>
      <c r="AJ726" t="s">
        <v>2514</v>
      </c>
      <c r="AK726" t="s">
        <v>73</v>
      </c>
      <c r="AL726" t="s">
        <v>575</v>
      </c>
      <c r="AM726" t="s">
        <v>10</v>
      </c>
      <c r="AN726" t="s">
        <v>717</v>
      </c>
    </row>
    <row r="727" spans="1:40" hidden="1">
      <c r="A727">
        <v>725</v>
      </c>
      <c r="B727">
        <v>15</v>
      </c>
      <c r="C727" s="58">
        <v>44511</v>
      </c>
      <c r="D727" t="s">
        <v>27</v>
      </c>
      <c r="E727" t="s">
        <v>2581</v>
      </c>
      <c r="F727">
        <v>5</v>
      </c>
      <c r="G727">
        <v>2</v>
      </c>
      <c r="H727">
        <v>396</v>
      </c>
      <c r="I727">
        <v>0</v>
      </c>
      <c r="J727">
        <v>23.63</v>
      </c>
      <c r="K727" t="s">
        <v>9</v>
      </c>
      <c r="L727">
        <v>1606172.45</v>
      </c>
      <c r="M727">
        <v>0</v>
      </c>
      <c r="N727">
        <v>1606172.45</v>
      </c>
      <c r="O727">
        <v>67971.749894202279</v>
      </c>
      <c r="P727">
        <v>0</v>
      </c>
      <c r="Q727">
        <v>1606172.45</v>
      </c>
      <c r="R727">
        <v>67971.749894202279</v>
      </c>
      <c r="S727" t="s">
        <v>2507</v>
      </c>
      <c r="T727" t="s">
        <v>717</v>
      </c>
      <c r="U727" t="s">
        <v>717</v>
      </c>
      <c r="V727" t="s">
        <v>717</v>
      </c>
      <c r="W727">
        <v>44505</v>
      </c>
      <c r="X727" t="s">
        <v>5356</v>
      </c>
      <c r="Y727" t="s">
        <v>6</v>
      </c>
      <c r="Z727" t="s">
        <v>11</v>
      </c>
      <c r="AA727" t="s">
        <v>717</v>
      </c>
      <c r="AB727" t="s">
        <v>2509</v>
      </c>
      <c r="AC727" t="s">
        <v>118</v>
      </c>
      <c r="AD727" t="s">
        <v>717</v>
      </c>
      <c r="AE727" t="s">
        <v>5357</v>
      </c>
      <c r="AF727" t="s">
        <v>5358</v>
      </c>
      <c r="AG727" t="s">
        <v>5359</v>
      </c>
      <c r="AH727" t="s">
        <v>2615</v>
      </c>
      <c r="AI727" t="s">
        <v>2847</v>
      </c>
      <c r="AJ727" t="s">
        <v>2662</v>
      </c>
      <c r="AK727" t="s">
        <v>471</v>
      </c>
      <c r="AL727" t="s">
        <v>717</v>
      </c>
      <c r="AM727" t="s">
        <v>10</v>
      </c>
      <c r="AN727" t="s">
        <v>717</v>
      </c>
    </row>
    <row r="728" spans="1:40" hidden="1">
      <c r="A728">
        <v>726</v>
      </c>
      <c r="B728">
        <v>16</v>
      </c>
      <c r="C728" s="58">
        <v>44511</v>
      </c>
      <c r="D728" t="s">
        <v>27</v>
      </c>
      <c r="E728" t="s">
        <v>2581</v>
      </c>
      <c r="F728">
        <v>3</v>
      </c>
      <c r="G728">
        <v>2</v>
      </c>
      <c r="H728">
        <v>394</v>
      </c>
      <c r="I728">
        <v>0</v>
      </c>
      <c r="J728">
        <v>23.54</v>
      </c>
      <c r="K728" t="s">
        <v>9</v>
      </c>
      <c r="L728">
        <v>1600055</v>
      </c>
      <c r="M728">
        <v>0</v>
      </c>
      <c r="N728">
        <v>1600055</v>
      </c>
      <c r="O728">
        <v>67971.750212404426</v>
      </c>
      <c r="P728">
        <v>0</v>
      </c>
      <c r="Q728">
        <v>1600055</v>
      </c>
      <c r="R728">
        <v>67971.750212404426</v>
      </c>
      <c r="S728" t="s">
        <v>2507</v>
      </c>
      <c r="T728" t="s">
        <v>717</v>
      </c>
      <c r="U728" t="s">
        <v>717</v>
      </c>
      <c r="V728" t="s">
        <v>717</v>
      </c>
      <c r="W728">
        <v>44505</v>
      </c>
      <c r="X728" t="s">
        <v>5360</v>
      </c>
      <c r="Y728" t="s">
        <v>6</v>
      </c>
      <c r="Z728" t="s">
        <v>11</v>
      </c>
      <c r="AA728" t="s">
        <v>717</v>
      </c>
      <c r="AB728" t="s">
        <v>2509</v>
      </c>
      <c r="AC728" t="s">
        <v>118</v>
      </c>
      <c r="AD728" t="s">
        <v>717</v>
      </c>
      <c r="AE728" t="s">
        <v>5361</v>
      </c>
      <c r="AF728" t="s">
        <v>5358</v>
      </c>
      <c r="AG728" t="s">
        <v>5359</v>
      </c>
      <c r="AH728" t="s">
        <v>2580</v>
      </c>
      <c r="AI728" t="s">
        <v>2847</v>
      </c>
      <c r="AJ728" t="s">
        <v>3921</v>
      </c>
      <c r="AK728" t="s">
        <v>471</v>
      </c>
      <c r="AL728" t="s">
        <v>717</v>
      </c>
      <c r="AM728" t="s">
        <v>10</v>
      </c>
      <c r="AN728" t="s">
        <v>717</v>
      </c>
    </row>
    <row r="729" spans="1:40" hidden="1">
      <c r="A729">
        <v>727</v>
      </c>
      <c r="B729">
        <v>17</v>
      </c>
      <c r="C729" s="58">
        <v>44511</v>
      </c>
      <c r="D729" t="s">
        <v>27</v>
      </c>
      <c r="E729" t="s">
        <v>4409</v>
      </c>
      <c r="F729">
        <v>7</v>
      </c>
      <c r="G729">
        <v>15</v>
      </c>
      <c r="H729">
        <v>622</v>
      </c>
      <c r="I729">
        <v>2</v>
      </c>
      <c r="J729">
        <v>59.93</v>
      </c>
      <c r="K729" t="s">
        <v>9</v>
      </c>
      <c r="L729">
        <v>3770676.71</v>
      </c>
      <c r="M729">
        <v>0</v>
      </c>
      <c r="N729">
        <v>3770676.71</v>
      </c>
      <c r="O729">
        <v>62918.016185549808</v>
      </c>
      <c r="P729">
        <v>0</v>
      </c>
      <c r="Q729">
        <v>3770676.71</v>
      </c>
      <c r="R729">
        <v>62918.016185549808</v>
      </c>
      <c r="S729" t="s">
        <v>65</v>
      </c>
      <c r="T729" t="s">
        <v>717</v>
      </c>
      <c r="U729" t="s">
        <v>717</v>
      </c>
      <c r="V729" t="s">
        <v>4131</v>
      </c>
      <c r="W729">
        <v>44509</v>
      </c>
      <c r="X729" t="s">
        <v>5362</v>
      </c>
      <c r="Y729" t="s">
        <v>6</v>
      </c>
      <c r="Z729" t="s">
        <v>17</v>
      </c>
      <c r="AA729" t="s">
        <v>717</v>
      </c>
      <c r="AB729" t="s">
        <v>2509</v>
      </c>
      <c r="AC729" t="s">
        <v>2571</v>
      </c>
      <c r="AD729" t="s">
        <v>717</v>
      </c>
      <c r="AE729" t="s">
        <v>5363</v>
      </c>
      <c r="AF729" t="s">
        <v>5364</v>
      </c>
      <c r="AG729" t="s">
        <v>5365</v>
      </c>
      <c r="AH729" t="s">
        <v>2615</v>
      </c>
      <c r="AI729" t="s">
        <v>2552</v>
      </c>
      <c r="AJ729" t="s">
        <v>2662</v>
      </c>
      <c r="AK729" t="s">
        <v>73</v>
      </c>
      <c r="AL729" t="s">
        <v>16</v>
      </c>
      <c r="AM729" t="s">
        <v>10</v>
      </c>
      <c r="AN729" t="s">
        <v>717</v>
      </c>
    </row>
    <row r="730" spans="1:40" hidden="1">
      <c r="A730">
        <v>728</v>
      </c>
      <c r="B730">
        <v>18</v>
      </c>
      <c r="C730" s="58">
        <v>44515</v>
      </c>
      <c r="D730" t="s">
        <v>27</v>
      </c>
      <c r="E730" t="s">
        <v>5079</v>
      </c>
      <c r="F730">
        <v>2</v>
      </c>
      <c r="G730">
        <v>19</v>
      </c>
      <c r="H730">
        <v>784</v>
      </c>
      <c r="I730">
        <v>4</v>
      </c>
      <c r="J730">
        <v>100.26</v>
      </c>
      <c r="K730" t="s">
        <v>9</v>
      </c>
      <c r="L730">
        <v>5871311.9199999999</v>
      </c>
      <c r="M730">
        <v>15000</v>
      </c>
      <c r="N730">
        <v>5886311.9199999999</v>
      </c>
      <c r="O730">
        <v>58710.471972870531</v>
      </c>
      <c r="P730">
        <v>0</v>
      </c>
      <c r="Q730">
        <v>5886311.9199999999</v>
      </c>
      <c r="R730">
        <v>58710.471972870531</v>
      </c>
      <c r="S730" t="s">
        <v>65</v>
      </c>
      <c r="T730" t="s">
        <v>717</v>
      </c>
      <c r="U730" t="s">
        <v>717</v>
      </c>
      <c r="V730" t="s">
        <v>4131</v>
      </c>
      <c r="W730">
        <v>44509</v>
      </c>
      <c r="X730" t="s">
        <v>5366</v>
      </c>
      <c r="Y730" t="s">
        <v>6</v>
      </c>
      <c r="Z730" t="s">
        <v>17</v>
      </c>
      <c r="AA730" t="s">
        <v>717</v>
      </c>
      <c r="AB730" t="s">
        <v>2509</v>
      </c>
      <c r="AC730" t="s">
        <v>2571</v>
      </c>
      <c r="AD730" t="s">
        <v>717</v>
      </c>
      <c r="AE730" t="s">
        <v>5367</v>
      </c>
      <c r="AF730" t="s">
        <v>5368</v>
      </c>
      <c r="AG730" t="s">
        <v>5369</v>
      </c>
      <c r="AH730" t="s">
        <v>2615</v>
      </c>
      <c r="AI730" t="s">
        <v>2621</v>
      </c>
      <c r="AJ730" t="s">
        <v>2940</v>
      </c>
      <c r="AK730" t="s">
        <v>73</v>
      </c>
      <c r="AL730" t="s">
        <v>575</v>
      </c>
      <c r="AM730" t="s">
        <v>10</v>
      </c>
      <c r="AN730" t="s">
        <v>717</v>
      </c>
    </row>
    <row r="731" spans="1:40" hidden="1">
      <c r="A731">
        <v>729</v>
      </c>
      <c r="B731">
        <v>19</v>
      </c>
      <c r="C731" s="58">
        <v>44516</v>
      </c>
      <c r="D731" t="s">
        <v>27</v>
      </c>
      <c r="E731" t="s">
        <v>4409</v>
      </c>
      <c r="F731">
        <v>3</v>
      </c>
      <c r="G731">
        <v>15</v>
      </c>
      <c r="H731">
        <v>618</v>
      </c>
      <c r="I731">
        <v>0</v>
      </c>
      <c r="J731">
        <v>23.54</v>
      </c>
      <c r="K731" t="s">
        <v>15</v>
      </c>
      <c r="L731">
        <v>1816928.51</v>
      </c>
      <c r="M731">
        <v>15000</v>
      </c>
      <c r="N731">
        <v>1831928.51</v>
      </c>
      <c r="O731">
        <v>77821.941801189474</v>
      </c>
      <c r="P731">
        <v>129470</v>
      </c>
      <c r="Q731">
        <v>1702458.51</v>
      </c>
      <c r="R731">
        <v>72321.941801189474</v>
      </c>
      <c r="S731" t="s">
        <v>65</v>
      </c>
      <c r="T731" t="s">
        <v>717</v>
      </c>
      <c r="U731" t="s">
        <v>717</v>
      </c>
      <c r="V731" t="s">
        <v>717</v>
      </c>
      <c r="W731">
        <v>44505</v>
      </c>
      <c r="X731" t="s">
        <v>5370</v>
      </c>
      <c r="Y731" t="s">
        <v>6</v>
      </c>
      <c r="Z731" t="s">
        <v>17</v>
      </c>
      <c r="AA731" t="s">
        <v>717</v>
      </c>
      <c r="AB731" t="s">
        <v>2509</v>
      </c>
      <c r="AC731" t="s">
        <v>2571</v>
      </c>
      <c r="AD731" t="s">
        <v>717</v>
      </c>
      <c r="AE731" t="s">
        <v>5371</v>
      </c>
      <c r="AF731" t="s">
        <v>5372</v>
      </c>
      <c r="AG731" t="s">
        <v>5373</v>
      </c>
      <c r="AH731" t="s">
        <v>2615</v>
      </c>
      <c r="AI731" t="s">
        <v>2847</v>
      </c>
      <c r="AJ731" t="s">
        <v>2940</v>
      </c>
      <c r="AK731" t="s">
        <v>471</v>
      </c>
      <c r="AL731" t="s">
        <v>575</v>
      </c>
      <c r="AM731" t="s">
        <v>10</v>
      </c>
      <c r="AN731" t="s">
        <v>717</v>
      </c>
    </row>
    <row r="732" spans="1:40" hidden="1">
      <c r="A732">
        <v>730</v>
      </c>
      <c r="B732">
        <v>20</v>
      </c>
      <c r="C732" s="58">
        <v>44516</v>
      </c>
      <c r="D732" t="s">
        <v>27</v>
      </c>
      <c r="E732" t="s">
        <v>2581</v>
      </c>
      <c r="F732">
        <v>8</v>
      </c>
      <c r="G732">
        <v>6</v>
      </c>
      <c r="H732">
        <v>431</v>
      </c>
      <c r="I732">
        <v>2</v>
      </c>
      <c r="J732">
        <v>55.8</v>
      </c>
      <c r="K732" t="s">
        <v>9</v>
      </c>
      <c r="L732">
        <v>3683918.44</v>
      </c>
      <c r="M732">
        <v>0</v>
      </c>
      <c r="N732">
        <v>3683918.44</v>
      </c>
      <c r="O732">
        <v>66020.043727598575</v>
      </c>
      <c r="P732">
        <v>0</v>
      </c>
      <c r="Q732">
        <v>3683918.44</v>
      </c>
      <c r="R732">
        <v>66020.043727598575</v>
      </c>
      <c r="S732" t="s">
        <v>65</v>
      </c>
      <c r="T732" t="s">
        <v>2941</v>
      </c>
      <c r="U732">
        <v>40000</v>
      </c>
      <c r="V732" t="s">
        <v>717</v>
      </c>
      <c r="W732">
        <v>44511</v>
      </c>
      <c r="X732" t="s">
        <v>5374</v>
      </c>
      <c r="Y732" t="s">
        <v>6</v>
      </c>
      <c r="Z732" t="s">
        <v>11</v>
      </c>
      <c r="AA732" t="s">
        <v>717</v>
      </c>
      <c r="AB732" t="s">
        <v>2509</v>
      </c>
      <c r="AC732" t="s">
        <v>2576</v>
      </c>
      <c r="AD732" t="s">
        <v>717</v>
      </c>
      <c r="AE732" t="s">
        <v>5375</v>
      </c>
      <c r="AF732" t="s">
        <v>5376</v>
      </c>
      <c r="AG732" t="s">
        <v>5377</v>
      </c>
      <c r="AH732" t="s">
        <v>2616</v>
      </c>
      <c r="AI732" t="s">
        <v>2552</v>
      </c>
      <c r="AJ732" t="s">
        <v>3185</v>
      </c>
      <c r="AK732" t="s">
        <v>73</v>
      </c>
      <c r="AL732" t="s">
        <v>575</v>
      </c>
      <c r="AM732" t="s">
        <v>10</v>
      </c>
      <c r="AN732" t="s">
        <v>717</v>
      </c>
    </row>
    <row r="733" spans="1:40" hidden="1">
      <c r="A733">
        <v>731</v>
      </c>
      <c r="B733">
        <v>21</v>
      </c>
      <c r="C733" s="58">
        <v>44517</v>
      </c>
      <c r="D733" t="s">
        <v>27</v>
      </c>
      <c r="E733" t="s">
        <v>4409</v>
      </c>
      <c r="F733">
        <v>8</v>
      </c>
      <c r="G733">
        <v>6</v>
      </c>
      <c r="H733">
        <v>551</v>
      </c>
      <c r="I733">
        <v>2</v>
      </c>
      <c r="J733">
        <v>55.8</v>
      </c>
      <c r="K733" t="s">
        <v>9</v>
      </c>
      <c r="L733">
        <v>3300465.31</v>
      </c>
      <c r="M733">
        <v>0</v>
      </c>
      <c r="N733">
        <v>3300465.31</v>
      </c>
      <c r="O733">
        <v>59148.123835125451</v>
      </c>
      <c r="P733">
        <v>0</v>
      </c>
      <c r="Q733">
        <v>3300465.31</v>
      </c>
      <c r="R733">
        <v>59148.123835125451</v>
      </c>
      <c r="S733" t="s">
        <v>65</v>
      </c>
      <c r="T733" t="s">
        <v>2941</v>
      </c>
      <c r="U733">
        <v>102076.25</v>
      </c>
      <c r="V733" t="s">
        <v>4131</v>
      </c>
      <c r="W733">
        <v>44509</v>
      </c>
      <c r="X733" t="s">
        <v>5378</v>
      </c>
      <c r="Y733" t="s">
        <v>6</v>
      </c>
      <c r="Z733" t="s">
        <v>17</v>
      </c>
      <c r="AA733" t="s">
        <v>717</v>
      </c>
      <c r="AB733" t="s">
        <v>2509</v>
      </c>
      <c r="AC733" t="s">
        <v>2571</v>
      </c>
      <c r="AD733" t="s">
        <v>717</v>
      </c>
      <c r="AE733" t="s">
        <v>5379</v>
      </c>
      <c r="AF733" t="s">
        <v>5380</v>
      </c>
      <c r="AG733" t="s">
        <v>5381</v>
      </c>
      <c r="AH733" t="s">
        <v>2191</v>
      </c>
      <c r="AI733" t="s">
        <v>2552</v>
      </c>
      <c r="AJ733" t="s">
        <v>2514</v>
      </c>
      <c r="AK733" t="s">
        <v>77</v>
      </c>
      <c r="AL733" t="s">
        <v>16</v>
      </c>
      <c r="AM733" t="s">
        <v>10</v>
      </c>
      <c r="AN733" t="s">
        <v>717</v>
      </c>
    </row>
    <row r="734" spans="1:40" hidden="1">
      <c r="A734">
        <v>732</v>
      </c>
      <c r="B734">
        <v>22</v>
      </c>
      <c r="C734" s="58">
        <v>44517</v>
      </c>
      <c r="D734" t="s">
        <v>121</v>
      </c>
      <c r="E734" t="s">
        <v>2515</v>
      </c>
      <c r="F734">
        <v>4</v>
      </c>
      <c r="G734">
        <v>2</v>
      </c>
      <c r="H734">
        <v>4</v>
      </c>
      <c r="I734">
        <v>1</v>
      </c>
      <c r="J734">
        <v>36.86</v>
      </c>
      <c r="K734" t="s">
        <v>25</v>
      </c>
      <c r="L734">
        <v>3347991.73</v>
      </c>
      <c r="M734">
        <v>0</v>
      </c>
      <c r="N734">
        <v>3347991.73</v>
      </c>
      <c r="O734">
        <v>90829.943841562679</v>
      </c>
      <c r="P734">
        <v>589760</v>
      </c>
      <c r="Q734">
        <v>2758231.73</v>
      </c>
      <c r="R734">
        <v>74829.943841562679</v>
      </c>
      <c r="S734" t="s">
        <v>65</v>
      </c>
      <c r="T734" t="s">
        <v>717</v>
      </c>
      <c r="U734" t="s">
        <v>717</v>
      </c>
      <c r="V734" t="s">
        <v>717</v>
      </c>
      <c r="W734">
        <v>44513</v>
      </c>
      <c r="X734" t="s">
        <v>5382</v>
      </c>
      <c r="Y734" t="s">
        <v>6</v>
      </c>
      <c r="Z734" t="s">
        <v>17</v>
      </c>
      <c r="AA734" t="s">
        <v>717</v>
      </c>
      <c r="AB734" t="s">
        <v>2509</v>
      </c>
      <c r="AC734" t="s">
        <v>2571</v>
      </c>
      <c r="AD734" t="s">
        <v>717</v>
      </c>
      <c r="AE734" t="s">
        <v>5383</v>
      </c>
      <c r="AF734" t="s">
        <v>5384</v>
      </c>
      <c r="AG734" t="s">
        <v>5385</v>
      </c>
      <c r="AH734" t="s">
        <v>2615</v>
      </c>
      <c r="AI734" t="s">
        <v>2706</v>
      </c>
      <c r="AJ734" t="s">
        <v>2793</v>
      </c>
      <c r="AK734" t="s">
        <v>471</v>
      </c>
      <c r="AL734" t="s">
        <v>575</v>
      </c>
      <c r="AM734" t="s">
        <v>10</v>
      </c>
      <c r="AN734" t="s">
        <v>717</v>
      </c>
    </row>
    <row r="735" spans="1:40" hidden="1">
      <c r="A735">
        <v>733</v>
      </c>
      <c r="B735">
        <v>23</v>
      </c>
      <c r="C735" s="58">
        <v>44518</v>
      </c>
      <c r="D735" t="s">
        <v>27</v>
      </c>
      <c r="E735" t="s">
        <v>4409</v>
      </c>
      <c r="F735">
        <v>1</v>
      </c>
      <c r="G735">
        <v>14</v>
      </c>
      <c r="H735">
        <v>608</v>
      </c>
      <c r="I735">
        <v>3</v>
      </c>
      <c r="J735">
        <v>82.27</v>
      </c>
      <c r="K735" t="s">
        <v>9</v>
      </c>
      <c r="L735">
        <v>4514990.7699999996</v>
      </c>
      <c r="M735">
        <v>0</v>
      </c>
      <c r="N735">
        <v>4514990.7699999996</v>
      </c>
      <c r="O735">
        <v>54880.160082654671</v>
      </c>
      <c r="P735">
        <v>0</v>
      </c>
      <c r="Q735">
        <v>4514990.7699999996</v>
      </c>
      <c r="R735">
        <v>54880.160082654671</v>
      </c>
      <c r="S735" t="s">
        <v>65</v>
      </c>
      <c r="T735" t="s">
        <v>5386</v>
      </c>
      <c r="U735">
        <v>140000</v>
      </c>
      <c r="V735" t="s">
        <v>4131</v>
      </c>
      <c r="W735">
        <v>44515</v>
      </c>
      <c r="X735" t="s">
        <v>5387</v>
      </c>
      <c r="Y735" t="s">
        <v>6</v>
      </c>
      <c r="Z735" t="s">
        <v>17</v>
      </c>
      <c r="AA735" t="s">
        <v>717</v>
      </c>
      <c r="AB735" t="s">
        <v>2509</v>
      </c>
      <c r="AC735" t="s">
        <v>2571</v>
      </c>
      <c r="AD735" t="s">
        <v>717</v>
      </c>
      <c r="AE735" t="s">
        <v>5388</v>
      </c>
      <c r="AF735" t="s">
        <v>5389</v>
      </c>
      <c r="AG735" t="s">
        <v>5390</v>
      </c>
      <c r="AH735" t="s">
        <v>2615</v>
      </c>
      <c r="AI735" t="s">
        <v>2538</v>
      </c>
      <c r="AJ735" t="s">
        <v>2895</v>
      </c>
      <c r="AK735" t="s">
        <v>77</v>
      </c>
      <c r="AL735" t="s">
        <v>16</v>
      </c>
      <c r="AM735" t="s">
        <v>10</v>
      </c>
      <c r="AN735" t="s">
        <v>717</v>
      </c>
    </row>
    <row r="736" spans="1:40" hidden="1">
      <c r="A736">
        <v>734</v>
      </c>
      <c r="B736">
        <v>24</v>
      </c>
      <c r="C736" s="58">
        <v>44518</v>
      </c>
      <c r="D736" t="s">
        <v>27</v>
      </c>
      <c r="E736" t="s">
        <v>2506</v>
      </c>
      <c r="F736">
        <v>7</v>
      </c>
      <c r="G736">
        <v>18</v>
      </c>
      <c r="H736">
        <v>342</v>
      </c>
      <c r="I736">
        <v>2</v>
      </c>
      <c r="J736">
        <v>59.93</v>
      </c>
      <c r="K736" t="s">
        <v>9</v>
      </c>
      <c r="L736">
        <v>3950647.37</v>
      </c>
      <c r="M736">
        <v>15000</v>
      </c>
      <c r="N736">
        <v>3965647.37</v>
      </c>
      <c r="O736">
        <v>66171.322709828135</v>
      </c>
      <c r="P736">
        <v>0</v>
      </c>
      <c r="Q736">
        <v>3965647.37</v>
      </c>
      <c r="R736">
        <v>66171.322709828135</v>
      </c>
      <c r="S736" t="s">
        <v>65</v>
      </c>
      <c r="T736" t="s">
        <v>717</v>
      </c>
      <c r="U736" t="s">
        <v>717</v>
      </c>
      <c r="V736" t="s">
        <v>4131</v>
      </c>
      <c r="W736">
        <v>44517</v>
      </c>
      <c r="X736" t="s">
        <v>5391</v>
      </c>
      <c r="Y736" t="s">
        <v>6</v>
      </c>
      <c r="Z736" t="s">
        <v>17</v>
      </c>
      <c r="AA736" t="s">
        <v>717</v>
      </c>
      <c r="AB736" t="s">
        <v>2509</v>
      </c>
      <c r="AC736" t="s">
        <v>2571</v>
      </c>
      <c r="AD736" t="s">
        <v>717</v>
      </c>
      <c r="AE736" t="s">
        <v>5392</v>
      </c>
      <c r="AF736" t="s">
        <v>5393</v>
      </c>
      <c r="AG736" t="s">
        <v>5394</v>
      </c>
      <c r="AH736" t="s">
        <v>2615</v>
      </c>
      <c r="AI736" t="s">
        <v>2552</v>
      </c>
      <c r="AJ736" t="s">
        <v>2651</v>
      </c>
      <c r="AK736" t="s">
        <v>73</v>
      </c>
      <c r="AL736" t="s">
        <v>575</v>
      </c>
      <c r="AM736" t="s">
        <v>10</v>
      </c>
      <c r="AN736" t="s">
        <v>717</v>
      </c>
    </row>
    <row r="737" spans="1:40" hidden="1">
      <c r="A737">
        <v>735</v>
      </c>
      <c r="B737">
        <v>25</v>
      </c>
      <c r="C737" s="58">
        <v>44519</v>
      </c>
      <c r="D737" t="s">
        <v>121</v>
      </c>
      <c r="E737" t="s">
        <v>2515</v>
      </c>
      <c r="F737">
        <v>7</v>
      </c>
      <c r="G737">
        <v>11</v>
      </c>
      <c r="H737">
        <v>70</v>
      </c>
      <c r="I737">
        <v>2</v>
      </c>
      <c r="J737">
        <v>58.17</v>
      </c>
      <c r="K737" t="s">
        <v>15</v>
      </c>
      <c r="L737">
        <v>4357209.42</v>
      </c>
      <c r="M737">
        <v>15000</v>
      </c>
      <c r="N737">
        <v>4372209.42</v>
      </c>
      <c r="O737">
        <v>75162.616812790089</v>
      </c>
      <c r="P737">
        <v>319935</v>
      </c>
      <c r="Q737">
        <v>4052274.42</v>
      </c>
      <c r="R737">
        <v>69662.616812790089</v>
      </c>
      <c r="S737" t="s">
        <v>2507</v>
      </c>
      <c r="T737" t="s">
        <v>717</v>
      </c>
      <c r="U737" t="s">
        <v>717</v>
      </c>
      <c r="V737" t="s">
        <v>717</v>
      </c>
      <c r="W737">
        <v>44511</v>
      </c>
      <c r="X737" t="s">
        <v>5395</v>
      </c>
      <c r="Y737" t="s">
        <v>6</v>
      </c>
      <c r="Z737" t="s">
        <v>17</v>
      </c>
      <c r="AA737" t="s">
        <v>717</v>
      </c>
      <c r="AB737" t="s">
        <v>2509</v>
      </c>
      <c r="AC737" t="s">
        <v>118</v>
      </c>
      <c r="AD737" t="s">
        <v>717</v>
      </c>
      <c r="AE737" t="s">
        <v>5396</v>
      </c>
      <c r="AF737" t="s">
        <v>5397</v>
      </c>
      <c r="AG737" t="s">
        <v>5398</v>
      </c>
      <c r="AH737" t="s">
        <v>2615</v>
      </c>
      <c r="AI737" t="s">
        <v>2552</v>
      </c>
      <c r="AJ737" t="s">
        <v>2895</v>
      </c>
      <c r="AK737" t="s">
        <v>73</v>
      </c>
      <c r="AL737" t="s">
        <v>717</v>
      </c>
      <c r="AM737" t="s">
        <v>10</v>
      </c>
      <c r="AN737" t="s">
        <v>717</v>
      </c>
    </row>
    <row r="738" spans="1:40" hidden="1">
      <c r="A738">
        <v>736</v>
      </c>
      <c r="B738">
        <v>26</v>
      </c>
      <c r="C738" s="58">
        <v>44519</v>
      </c>
      <c r="D738" t="s">
        <v>27</v>
      </c>
      <c r="E738" t="s">
        <v>2581</v>
      </c>
      <c r="F738">
        <v>2</v>
      </c>
      <c r="G738">
        <v>13</v>
      </c>
      <c r="H738">
        <v>481</v>
      </c>
      <c r="I738">
        <v>1</v>
      </c>
      <c r="J738">
        <v>37.159999999999997</v>
      </c>
      <c r="K738" t="s">
        <v>9</v>
      </c>
      <c r="L738">
        <v>2453884.2400000002</v>
      </c>
      <c r="M738">
        <v>15000</v>
      </c>
      <c r="N738">
        <v>2468884.2400000002</v>
      </c>
      <c r="O738">
        <v>66439.296017222834</v>
      </c>
      <c r="P738">
        <v>0</v>
      </c>
      <c r="Q738">
        <v>2468884.2400000002</v>
      </c>
      <c r="R738">
        <v>66439.296017222834</v>
      </c>
      <c r="S738" t="s">
        <v>65</v>
      </c>
      <c r="T738" t="s">
        <v>717</v>
      </c>
      <c r="U738" t="s">
        <v>717</v>
      </c>
      <c r="V738" t="s">
        <v>717</v>
      </c>
      <c r="W738">
        <v>44511</v>
      </c>
      <c r="X738" t="s">
        <v>5399</v>
      </c>
      <c r="Y738" t="s">
        <v>6</v>
      </c>
      <c r="Z738" t="s">
        <v>17</v>
      </c>
      <c r="AA738" t="s">
        <v>717</v>
      </c>
      <c r="AB738" t="s">
        <v>2509</v>
      </c>
      <c r="AC738" t="s">
        <v>2571</v>
      </c>
      <c r="AD738" t="s">
        <v>717</v>
      </c>
      <c r="AE738" t="s">
        <v>5400</v>
      </c>
      <c r="AF738" t="s">
        <v>5401</v>
      </c>
      <c r="AG738" t="s">
        <v>5402</v>
      </c>
      <c r="AH738" t="s">
        <v>2191</v>
      </c>
      <c r="AI738" t="s">
        <v>2621</v>
      </c>
      <c r="AJ738" t="s">
        <v>2514</v>
      </c>
      <c r="AK738" t="s">
        <v>20</v>
      </c>
      <c r="AL738" t="s">
        <v>16</v>
      </c>
      <c r="AM738" t="s">
        <v>10</v>
      </c>
      <c r="AN738" t="s">
        <v>717</v>
      </c>
    </row>
    <row r="739" spans="1:40" hidden="1">
      <c r="A739">
        <v>737</v>
      </c>
      <c r="B739">
        <v>27</v>
      </c>
      <c r="C739" s="58">
        <v>44519</v>
      </c>
      <c r="D739" t="s">
        <v>121</v>
      </c>
      <c r="E739" t="s">
        <v>2506</v>
      </c>
      <c r="F739">
        <v>11</v>
      </c>
      <c r="G739">
        <v>14</v>
      </c>
      <c r="H739">
        <v>304</v>
      </c>
      <c r="I739">
        <v>0</v>
      </c>
      <c r="J739">
        <v>25.85</v>
      </c>
      <c r="K739" t="s">
        <v>15</v>
      </c>
      <c r="L739">
        <v>2215620.89</v>
      </c>
      <c r="M739">
        <v>0</v>
      </c>
      <c r="N739">
        <v>2215620.89</v>
      </c>
      <c r="O739">
        <v>85710.672727272729</v>
      </c>
      <c r="P739">
        <v>142175</v>
      </c>
      <c r="Q739">
        <v>2073445.89</v>
      </c>
      <c r="R739">
        <v>80210.672727272729</v>
      </c>
      <c r="S739" t="s">
        <v>65</v>
      </c>
      <c r="T739" t="s">
        <v>717</v>
      </c>
      <c r="U739" t="s">
        <v>717</v>
      </c>
      <c r="V739" t="s">
        <v>717</v>
      </c>
      <c r="W739">
        <v>44512</v>
      </c>
      <c r="X739" t="s">
        <v>5403</v>
      </c>
      <c r="Y739" t="s">
        <v>6</v>
      </c>
      <c r="Z739" t="s">
        <v>17</v>
      </c>
      <c r="AA739" t="s">
        <v>717</v>
      </c>
      <c r="AB739" t="s">
        <v>2509</v>
      </c>
      <c r="AC739" t="s">
        <v>2571</v>
      </c>
      <c r="AD739" t="s">
        <v>717</v>
      </c>
      <c r="AE739" t="s">
        <v>5404</v>
      </c>
      <c r="AF739" t="s">
        <v>5405</v>
      </c>
      <c r="AG739" t="s">
        <v>5406</v>
      </c>
      <c r="AH739" t="s">
        <v>2615</v>
      </c>
      <c r="AI739" t="s">
        <v>2552</v>
      </c>
      <c r="AJ739" t="s">
        <v>2662</v>
      </c>
      <c r="AK739" t="s">
        <v>73</v>
      </c>
      <c r="AL739" t="s">
        <v>575</v>
      </c>
      <c r="AM739" t="s">
        <v>10</v>
      </c>
      <c r="AN739" t="s">
        <v>717</v>
      </c>
    </row>
    <row r="740" spans="1:40" hidden="1">
      <c r="A740">
        <v>738</v>
      </c>
      <c r="B740">
        <v>28</v>
      </c>
      <c r="C740" s="58">
        <v>44519</v>
      </c>
      <c r="D740" t="s">
        <v>121</v>
      </c>
      <c r="E740" t="s">
        <v>2515</v>
      </c>
      <c r="F740">
        <v>7</v>
      </c>
      <c r="G740">
        <v>9</v>
      </c>
      <c r="H740">
        <v>56</v>
      </c>
      <c r="I740">
        <v>2</v>
      </c>
      <c r="J740">
        <v>58.17</v>
      </c>
      <c r="K740" t="s">
        <v>9</v>
      </c>
      <c r="L740">
        <v>3996042.99</v>
      </c>
      <c r="M740">
        <v>0</v>
      </c>
      <c r="N740">
        <v>3996042.99</v>
      </c>
      <c r="O740">
        <v>68695.942753996904</v>
      </c>
      <c r="P740">
        <v>0</v>
      </c>
      <c r="Q740">
        <v>3996042.99</v>
      </c>
      <c r="R740">
        <v>68695.942753996904</v>
      </c>
      <c r="S740" t="s">
        <v>65</v>
      </c>
      <c r="T740" t="s">
        <v>717</v>
      </c>
      <c r="U740" t="s">
        <v>717</v>
      </c>
      <c r="V740" t="s">
        <v>4131</v>
      </c>
      <c r="W740">
        <v>44515</v>
      </c>
      <c r="X740" t="s">
        <v>5407</v>
      </c>
      <c r="Y740" t="s">
        <v>6</v>
      </c>
      <c r="Z740" t="s">
        <v>17</v>
      </c>
      <c r="AA740" t="s">
        <v>717</v>
      </c>
      <c r="AB740" t="s">
        <v>2509</v>
      </c>
      <c r="AC740" t="s">
        <v>2571</v>
      </c>
      <c r="AD740" t="s">
        <v>717</v>
      </c>
      <c r="AE740" t="s">
        <v>5408</v>
      </c>
      <c r="AF740" t="s">
        <v>5409</v>
      </c>
      <c r="AG740" t="s">
        <v>5410</v>
      </c>
      <c r="AH740" t="s">
        <v>2615</v>
      </c>
      <c r="AI740" t="s">
        <v>2538</v>
      </c>
      <c r="AJ740" t="s">
        <v>2651</v>
      </c>
      <c r="AK740" t="s">
        <v>20</v>
      </c>
      <c r="AL740" t="s">
        <v>16</v>
      </c>
      <c r="AM740" t="s">
        <v>10</v>
      </c>
      <c r="AN740" t="s">
        <v>717</v>
      </c>
    </row>
    <row r="741" spans="1:40" hidden="1">
      <c r="A741">
        <v>739</v>
      </c>
      <c r="B741">
        <v>29</v>
      </c>
      <c r="C741" s="58">
        <v>44519</v>
      </c>
      <c r="D741" t="s">
        <v>27</v>
      </c>
      <c r="E741" t="s">
        <v>2506</v>
      </c>
      <c r="F741">
        <v>5</v>
      </c>
      <c r="G741">
        <v>18</v>
      </c>
      <c r="H741">
        <v>340</v>
      </c>
      <c r="I741">
        <v>0</v>
      </c>
      <c r="J741">
        <v>23.63</v>
      </c>
      <c r="K741" t="s">
        <v>9</v>
      </c>
      <c r="L741">
        <v>1828595.21</v>
      </c>
      <c r="M741">
        <v>0</v>
      </c>
      <c r="N741">
        <v>1828595.21</v>
      </c>
      <c r="O741">
        <v>77384.477782479895</v>
      </c>
      <c r="P741">
        <v>0</v>
      </c>
      <c r="Q741">
        <v>1828595.21</v>
      </c>
      <c r="R741">
        <v>77384.477782479895</v>
      </c>
      <c r="S741" t="s">
        <v>65</v>
      </c>
      <c r="T741" t="s">
        <v>717</v>
      </c>
      <c r="U741" t="s">
        <v>717</v>
      </c>
      <c r="V741" t="s">
        <v>4131</v>
      </c>
      <c r="W741">
        <v>44516</v>
      </c>
      <c r="X741" t="s">
        <v>5411</v>
      </c>
      <c r="Y741" t="s">
        <v>6</v>
      </c>
      <c r="Z741" t="s">
        <v>17</v>
      </c>
      <c r="AA741" t="s">
        <v>717</v>
      </c>
      <c r="AB741" t="s">
        <v>2509</v>
      </c>
      <c r="AC741" t="s">
        <v>2571</v>
      </c>
      <c r="AD741" t="s">
        <v>717</v>
      </c>
      <c r="AE741" t="s">
        <v>5412</v>
      </c>
      <c r="AF741" t="s">
        <v>5413</v>
      </c>
      <c r="AG741" t="s">
        <v>5414</v>
      </c>
      <c r="AH741" t="s">
        <v>2615</v>
      </c>
      <c r="AI741" t="s">
        <v>3115</v>
      </c>
      <c r="AJ741" t="s">
        <v>2569</v>
      </c>
      <c r="AK741" t="s">
        <v>77</v>
      </c>
      <c r="AL741" t="s">
        <v>16</v>
      </c>
      <c r="AM741" t="s">
        <v>10</v>
      </c>
      <c r="AN741" t="s">
        <v>717</v>
      </c>
    </row>
    <row r="742" spans="1:40" hidden="1">
      <c r="A742">
        <v>740</v>
      </c>
      <c r="B742">
        <v>30</v>
      </c>
      <c r="C742" s="58">
        <v>44522</v>
      </c>
      <c r="D742" t="s">
        <v>27</v>
      </c>
      <c r="E742" t="s">
        <v>2581</v>
      </c>
      <c r="F742">
        <v>8</v>
      </c>
      <c r="G742">
        <v>11</v>
      </c>
      <c r="H742">
        <v>471</v>
      </c>
      <c r="I742">
        <v>2</v>
      </c>
      <c r="J742">
        <v>55.8</v>
      </c>
      <c r="K742" t="s">
        <v>9</v>
      </c>
      <c r="L742">
        <v>3229345.23</v>
      </c>
      <c r="M742">
        <v>15000</v>
      </c>
      <c r="N742">
        <v>3244345.23</v>
      </c>
      <c r="O742">
        <v>58142.387634408602</v>
      </c>
      <c r="P742">
        <v>0</v>
      </c>
      <c r="Q742">
        <v>3244345.23</v>
      </c>
      <c r="R742">
        <v>58142.387634408602</v>
      </c>
      <c r="S742" t="s">
        <v>65</v>
      </c>
      <c r="T742" t="s">
        <v>717</v>
      </c>
      <c r="U742" t="s">
        <v>717</v>
      </c>
      <c r="V742" t="s">
        <v>4131</v>
      </c>
      <c r="W742">
        <v>44510</v>
      </c>
      <c r="X742" t="s">
        <v>5415</v>
      </c>
      <c r="Y742" t="s">
        <v>6</v>
      </c>
      <c r="Z742" t="s">
        <v>17</v>
      </c>
      <c r="AA742" t="s">
        <v>717</v>
      </c>
      <c r="AB742" t="s">
        <v>2509</v>
      </c>
      <c r="AC742" t="s">
        <v>2571</v>
      </c>
      <c r="AD742" t="s">
        <v>717</v>
      </c>
      <c r="AE742" t="s">
        <v>5416</v>
      </c>
      <c r="AF742" t="s">
        <v>5417</v>
      </c>
      <c r="AG742" t="s">
        <v>5418</v>
      </c>
      <c r="AH742" t="s">
        <v>2552</v>
      </c>
      <c r="AI742" t="s">
        <v>2877</v>
      </c>
      <c r="AJ742" t="s">
        <v>3098</v>
      </c>
      <c r="AK742" t="s">
        <v>471</v>
      </c>
      <c r="AL742" t="s">
        <v>575</v>
      </c>
      <c r="AM742" t="s">
        <v>10</v>
      </c>
      <c r="AN742" t="s">
        <v>717</v>
      </c>
    </row>
    <row r="743" spans="1:40" hidden="1">
      <c r="A743">
        <v>741</v>
      </c>
      <c r="B743">
        <v>31</v>
      </c>
      <c r="C743" s="58">
        <v>44523</v>
      </c>
      <c r="D743" t="s">
        <v>121</v>
      </c>
      <c r="E743" t="s">
        <v>2515</v>
      </c>
      <c r="F743">
        <v>4</v>
      </c>
      <c r="G743">
        <v>16</v>
      </c>
      <c r="H743">
        <v>102</v>
      </c>
      <c r="I743">
        <v>1</v>
      </c>
      <c r="J743">
        <v>36.86</v>
      </c>
      <c r="K743" t="s">
        <v>15</v>
      </c>
      <c r="L743">
        <v>2960961.73</v>
      </c>
      <c r="M743">
        <v>0</v>
      </c>
      <c r="N743">
        <v>2960961.73</v>
      </c>
      <c r="O743">
        <v>80329.943841562679</v>
      </c>
      <c r="P743">
        <v>202730</v>
      </c>
      <c r="Q743">
        <v>2758231.73</v>
      </c>
      <c r="R743">
        <v>74829.943841562679</v>
      </c>
      <c r="S743" t="s">
        <v>65</v>
      </c>
      <c r="T743" t="s">
        <v>717</v>
      </c>
      <c r="U743" t="s">
        <v>717</v>
      </c>
      <c r="V743" t="s">
        <v>717</v>
      </c>
      <c r="W743">
        <v>44514</v>
      </c>
      <c r="X743" t="s">
        <v>5419</v>
      </c>
      <c r="Y743" t="s">
        <v>6</v>
      </c>
      <c r="Z743" t="s">
        <v>11</v>
      </c>
      <c r="AA743" t="s">
        <v>717</v>
      </c>
      <c r="AB743" t="s">
        <v>2509</v>
      </c>
      <c r="AC743" t="s">
        <v>2558</v>
      </c>
      <c r="AD743" t="s">
        <v>717</v>
      </c>
      <c r="AE743" t="s">
        <v>5420</v>
      </c>
      <c r="AF743" t="s">
        <v>5421</v>
      </c>
      <c r="AG743" t="s">
        <v>5422</v>
      </c>
      <c r="AH743" t="s">
        <v>2615</v>
      </c>
      <c r="AI743" t="s">
        <v>2824</v>
      </c>
      <c r="AJ743" t="s">
        <v>2569</v>
      </c>
      <c r="AK743" t="s">
        <v>73</v>
      </c>
      <c r="AL743" t="s">
        <v>16</v>
      </c>
      <c r="AM743" t="s">
        <v>10</v>
      </c>
      <c r="AN743" t="s">
        <v>717</v>
      </c>
    </row>
    <row r="744" spans="1:40" hidden="1">
      <c r="A744">
        <v>742</v>
      </c>
      <c r="B744">
        <v>32</v>
      </c>
      <c r="C744" s="58">
        <v>44523</v>
      </c>
      <c r="D744" t="s">
        <v>27</v>
      </c>
      <c r="E744" t="s">
        <v>4409</v>
      </c>
      <c r="F744">
        <v>5</v>
      </c>
      <c r="G744">
        <v>16</v>
      </c>
      <c r="H744">
        <v>628</v>
      </c>
      <c r="I744">
        <v>0</v>
      </c>
      <c r="J744">
        <v>23.63</v>
      </c>
      <c r="K744" t="s">
        <v>9</v>
      </c>
      <c r="L744">
        <v>1718604.52</v>
      </c>
      <c r="M744">
        <v>0</v>
      </c>
      <c r="N744">
        <v>1718604.52</v>
      </c>
      <c r="O744">
        <v>72729.772323317826</v>
      </c>
      <c r="P744">
        <v>0</v>
      </c>
      <c r="Q744">
        <v>1718604.52</v>
      </c>
      <c r="R744">
        <v>72729.772323317826</v>
      </c>
      <c r="S744" t="s">
        <v>130</v>
      </c>
      <c r="T744" t="s">
        <v>717</v>
      </c>
      <c r="U744" t="s">
        <v>717</v>
      </c>
      <c r="V744" t="s">
        <v>717</v>
      </c>
      <c r="W744">
        <v>44516</v>
      </c>
      <c r="X744" t="s">
        <v>5423</v>
      </c>
      <c r="Y744" t="s">
        <v>6</v>
      </c>
      <c r="Z744" t="s">
        <v>11</v>
      </c>
      <c r="AA744" t="s">
        <v>717</v>
      </c>
      <c r="AB744" t="s">
        <v>2509</v>
      </c>
      <c r="AC744" t="s">
        <v>118</v>
      </c>
      <c r="AD744" t="s">
        <v>717</v>
      </c>
      <c r="AE744" t="s">
        <v>5424</v>
      </c>
      <c r="AF744" t="s">
        <v>5425</v>
      </c>
      <c r="AG744" t="s">
        <v>5426</v>
      </c>
      <c r="AH744" t="s">
        <v>2191</v>
      </c>
      <c r="AI744" t="s">
        <v>2552</v>
      </c>
      <c r="AJ744" t="s">
        <v>2514</v>
      </c>
      <c r="AK744" t="s">
        <v>77</v>
      </c>
      <c r="AL744" t="s">
        <v>717</v>
      </c>
      <c r="AM744" t="s">
        <v>10</v>
      </c>
      <c r="AN744" t="s">
        <v>717</v>
      </c>
    </row>
    <row r="745" spans="1:40" hidden="1">
      <c r="A745">
        <v>743</v>
      </c>
      <c r="B745">
        <v>33</v>
      </c>
      <c r="C745" s="58">
        <v>44523</v>
      </c>
      <c r="D745" t="s">
        <v>121</v>
      </c>
      <c r="E745" t="s">
        <v>2506</v>
      </c>
      <c r="F745">
        <v>7</v>
      </c>
      <c r="G745">
        <v>5</v>
      </c>
      <c r="H745">
        <v>201</v>
      </c>
      <c r="I745">
        <v>0</v>
      </c>
      <c r="J745">
        <v>24.23</v>
      </c>
      <c r="K745" t="s">
        <v>25</v>
      </c>
      <c r="L745">
        <v>2264167.2000000002</v>
      </c>
      <c r="M745">
        <v>0</v>
      </c>
      <c r="N745">
        <v>2264167.2000000002</v>
      </c>
      <c r="O745">
        <v>93444.787453569967</v>
      </c>
      <c r="P745">
        <v>387680</v>
      </c>
      <c r="Q745">
        <v>1876487.2</v>
      </c>
      <c r="R745">
        <v>77444.787453569967</v>
      </c>
      <c r="S745" t="s">
        <v>65</v>
      </c>
      <c r="T745" t="s">
        <v>717</v>
      </c>
      <c r="U745" t="s">
        <v>717</v>
      </c>
      <c r="V745" t="s">
        <v>717</v>
      </c>
      <c r="W745">
        <v>44509</v>
      </c>
      <c r="X745" t="s">
        <v>5427</v>
      </c>
      <c r="Y745" t="s">
        <v>6</v>
      </c>
      <c r="Z745" t="s">
        <v>17</v>
      </c>
      <c r="AA745" t="s">
        <v>717</v>
      </c>
      <c r="AB745" t="s">
        <v>2509</v>
      </c>
      <c r="AC745" t="s">
        <v>2571</v>
      </c>
      <c r="AD745" t="s">
        <v>717</v>
      </c>
      <c r="AE745" t="s">
        <v>5428</v>
      </c>
      <c r="AF745" t="s">
        <v>5429</v>
      </c>
      <c r="AG745" t="s">
        <v>5430</v>
      </c>
      <c r="AH745" t="s">
        <v>2615</v>
      </c>
      <c r="AI745" t="s">
        <v>2552</v>
      </c>
      <c r="AJ745" t="s">
        <v>2895</v>
      </c>
      <c r="AK745" t="s">
        <v>77</v>
      </c>
      <c r="AL745" t="s">
        <v>16</v>
      </c>
      <c r="AM745" t="s">
        <v>10</v>
      </c>
      <c r="AN745" t="s">
        <v>717</v>
      </c>
    </row>
    <row r="746" spans="1:40" hidden="1">
      <c r="A746">
        <v>744</v>
      </c>
      <c r="B746">
        <v>34</v>
      </c>
      <c r="C746" s="58">
        <v>44523</v>
      </c>
      <c r="D746" t="s">
        <v>27</v>
      </c>
      <c r="E746" t="s">
        <v>4409</v>
      </c>
      <c r="F746">
        <v>6</v>
      </c>
      <c r="G746">
        <v>15</v>
      </c>
      <c r="H746">
        <v>621</v>
      </c>
      <c r="I746">
        <v>1</v>
      </c>
      <c r="J746">
        <v>37.11</v>
      </c>
      <c r="K746" t="s">
        <v>9</v>
      </c>
      <c r="L746">
        <v>2528228.65</v>
      </c>
      <c r="M746">
        <v>0</v>
      </c>
      <c r="N746">
        <v>2528228.65</v>
      </c>
      <c r="O746">
        <v>68127.961465912158</v>
      </c>
      <c r="P746">
        <v>0</v>
      </c>
      <c r="Q746">
        <v>2528228.65</v>
      </c>
      <c r="R746">
        <v>68127.961465912158</v>
      </c>
      <c r="S746" t="s">
        <v>130</v>
      </c>
      <c r="T746" t="s">
        <v>717</v>
      </c>
      <c r="U746" t="s">
        <v>717</v>
      </c>
      <c r="V746" t="s">
        <v>717</v>
      </c>
      <c r="W746">
        <v>44516</v>
      </c>
      <c r="X746" t="s">
        <v>5431</v>
      </c>
      <c r="Y746" t="s">
        <v>6</v>
      </c>
      <c r="Z746" t="s">
        <v>11</v>
      </c>
      <c r="AA746" t="s">
        <v>717</v>
      </c>
      <c r="AB746" t="s">
        <v>2509</v>
      </c>
      <c r="AC746" t="s">
        <v>118</v>
      </c>
      <c r="AD746" t="s">
        <v>717</v>
      </c>
      <c r="AE746" t="s">
        <v>5424</v>
      </c>
      <c r="AF746" t="s">
        <v>5425</v>
      </c>
      <c r="AG746" t="s">
        <v>5426</v>
      </c>
      <c r="AH746" t="s">
        <v>2580</v>
      </c>
      <c r="AI746" t="s">
        <v>2552</v>
      </c>
      <c r="AJ746" t="s">
        <v>3921</v>
      </c>
      <c r="AK746" t="s">
        <v>77</v>
      </c>
      <c r="AL746" t="s">
        <v>717</v>
      </c>
      <c r="AM746" t="s">
        <v>10</v>
      </c>
      <c r="AN746" t="s">
        <v>717</v>
      </c>
    </row>
    <row r="747" spans="1:40" hidden="1">
      <c r="A747">
        <v>745</v>
      </c>
      <c r="B747">
        <v>35</v>
      </c>
      <c r="C747" s="58">
        <v>44524</v>
      </c>
      <c r="D747" t="s">
        <v>121</v>
      </c>
      <c r="E747" t="s">
        <v>2515</v>
      </c>
      <c r="F747">
        <v>4</v>
      </c>
      <c r="G747">
        <v>8</v>
      </c>
      <c r="H747">
        <v>46</v>
      </c>
      <c r="I747">
        <v>1</v>
      </c>
      <c r="J747">
        <v>36.86</v>
      </c>
      <c r="K747" t="s">
        <v>15</v>
      </c>
      <c r="L747">
        <v>2960961.73</v>
      </c>
      <c r="M747">
        <v>0</v>
      </c>
      <c r="N747">
        <v>2960961.73</v>
      </c>
      <c r="O747">
        <v>80329.943841562679</v>
      </c>
      <c r="P747">
        <v>202730</v>
      </c>
      <c r="Q747">
        <v>2758231.73</v>
      </c>
      <c r="R747">
        <v>74829.943841562679</v>
      </c>
      <c r="S747" t="s">
        <v>65</v>
      </c>
      <c r="T747" t="s">
        <v>717</v>
      </c>
      <c r="U747" t="s">
        <v>717</v>
      </c>
      <c r="V747" t="s">
        <v>717</v>
      </c>
      <c r="W747">
        <v>44517</v>
      </c>
      <c r="X747" t="s">
        <v>5432</v>
      </c>
      <c r="Y747" t="s">
        <v>6</v>
      </c>
      <c r="Z747" t="s">
        <v>17</v>
      </c>
      <c r="AA747" t="s">
        <v>717</v>
      </c>
      <c r="AB747" t="s">
        <v>2509</v>
      </c>
      <c r="AC747" t="s">
        <v>2571</v>
      </c>
      <c r="AD747" t="s">
        <v>717</v>
      </c>
      <c r="AE747" t="s">
        <v>5433</v>
      </c>
      <c r="AF747" t="s">
        <v>5434</v>
      </c>
      <c r="AG747" t="s">
        <v>5435</v>
      </c>
      <c r="AH747" t="s">
        <v>2615</v>
      </c>
      <c r="AI747" t="s">
        <v>2824</v>
      </c>
      <c r="AJ747" t="s">
        <v>2895</v>
      </c>
      <c r="AK747" t="s">
        <v>77</v>
      </c>
      <c r="AL747" t="s">
        <v>16</v>
      </c>
      <c r="AM747" t="s">
        <v>10</v>
      </c>
      <c r="AN747" t="s">
        <v>717</v>
      </c>
    </row>
    <row r="748" spans="1:40" hidden="1">
      <c r="A748">
        <v>746</v>
      </c>
      <c r="B748">
        <v>36</v>
      </c>
      <c r="C748" s="58">
        <v>44525</v>
      </c>
      <c r="D748" t="s">
        <v>74</v>
      </c>
      <c r="E748" t="s">
        <v>2506</v>
      </c>
      <c r="F748">
        <v>5</v>
      </c>
      <c r="G748">
        <v>11</v>
      </c>
      <c r="H748">
        <v>218</v>
      </c>
      <c r="I748">
        <v>3</v>
      </c>
      <c r="J748">
        <v>75.099999999999994</v>
      </c>
      <c r="K748" t="s">
        <v>25</v>
      </c>
      <c r="L748">
        <v>5488368.5999999996</v>
      </c>
      <c r="M748">
        <v>0</v>
      </c>
      <c r="N748">
        <v>5488368.5999999996</v>
      </c>
      <c r="O748">
        <v>73080.806924101198</v>
      </c>
      <c r="P748">
        <v>1126500</v>
      </c>
      <c r="Q748">
        <v>4361868.5999999996</v>
      </c>
      <c r="R748">
        <v>58080.806924101198</v>
      </c>
      <c r="S748" t="s">
        <v>65</v>
      </c>
      <c r="T748" t="s">
        <v>717</v>
      </c>
      <c r="U748" t="s">
        <v>717</v>
      </c>
      <c r="V748" t="s">
        <v>717</v>
      </c>
      <c r="W748">
        <v>44514</v>
      </c>
      <c r="X748" t="s">
        <v>3343</v>
      </c>
      <c r="Y748" t="s">
        <v>6</v>
      </c>
      <c r="Z748" t="s">
        <v>11</v>
      </c>
      <c r="AA748" t="s">
        <v>717</v>
      </c>
      <c r="AB748" t="s">
        <v>326</v>
      </c>
      <c r="AC748" t="s">
        <v>2558</v>
      </c>
      <c r="AD748" t="s">
        <v>717</v>
      </c>
      <c r="AE748" t="s">
        <v>5436</v>
      </c>
      <c r="AF748" t="s">
        <v>5437</v>
      </c>
      <c r="AG748" t="s">
        <v>5438</v>
      </c>
      <c r="AH748" t="s">
        <v>2615</v>
      </c>
      <c r="AI748" t="s">
        <v>2824</v>
      </c>
      <c r="AJ748" t="s">
        <v>2569</v>
      </c>
      <c r="AK748" t="s">
        <v>73</v>
      </c>
      <c r="AL748" t="s">
        <v>16</v>
      </c>
      <c r="AM748" t="s">
        <v>10</v>
      </c>
      <c r="AN748" t="s">
        <v>717</v>
      </c>
    </row>
    <row r="749" spans="1:40" hidden="1">
      <c r="A749">
        <v>747</v>
      </c>
      <c r="B749">
        <v>37</v>
      </c>
      <c r="C749" s="58">
        <v>44525</v>
      </c>
      <c r="D749" t="s">
        <v>121</v>
      </c>
      <c r="E749" t="s">
        <v>2506</v>
      </c>
      <c r="F749">
        <v>2</v>
      </c>
      <c r="G749">
        <v>8</v>
      </c>
      <c r="H749">
        <v>229</v>
      </c>
      <c r="I749">
        <v>1</v>
      </c>
      <c r="J749">
        <v>38.22</v>
      </c>
      <c r="K749" t="s">
        <v>15</v>
      </c>
      <c r="L749">
        <v>3287640.46</v>
      </c>
      <c r="M749">
        <v>15000</v>
      </c>
      <c r="N749">
        <v>3302640.46</v>
      </c>
      <c r="O749">
        <v>86411.315018315014</v>
      </c>
      <c r="P749">
        <v>210210</v>
      </c>
      <c r="Q749">
        <v>3092430.46</v>
      </c>
      <c r="R749">
        <v>80911.315018315014</v>
      </c>
      <c r="S749" t="s">
        <v>65</v>
      </c>
      <c r="T749" t="s">
        <v>717</v>
      </c>
      <c r="U749" t="s">
        <v>717</v>
      </c>
      <c r="V749" t="s">
        <v>717</v>
      </c>
      <c r="W749">
        <v>44516</v>
      </c>
      <c r="X749" t="s">
        <v>5439</v>
      </c>
      <c r="Y749" t="s">
        <v>6</v>
      </c>
      <c r="Z749" t="s">
        <v>17</v>
      </c>
      <c r="AA749" t="s">
        <v>717</v>
      </c>
      <c r="AB749" t="s">
        <v>2509</v>
      </c>
      <c r="AC749" t="s">
        <v>2571</v>
      </c>
      <c r="AD749" t="s">
        <v>717</v>
      </c>
      <c r="AE749" t="s">
        <v>5440</v>
      </c>
      <c r="AF749" t="s">
        <v>5441</v>
      </c>
      <c r="AG749" t="s">
        <v>5442</v>
      </c>
      <c r="AH749" t="s">
        <v>2615</v>
      </c>
      <c r="AI749" t="s">
        <v>2538</v>
      </c>
      <c r="AJ749" t="s">
        <v>4799</v>
      </c>
      <c r="AK749" t="s">
        <v>20</v>
      </c>
      <c r="AL749" t="s">
        <v>575</v>
      </c>
      <c r="AM749" t="s">
        <v>10</v>
      </c>
      <c r="AN749" t="s">
        <v>717</v>
      </c>
    </row>
    <row r="750" spans="1:40" hidden="1">
      <c r="A750">
        <v>748</v>
      </c>
      <c r="B750">
        <v>38</v>
      </c>
      <c r="C750" s="58">
        <v>44525</v>
      </c>
      <c r="D750" t="s">
        <v>27</v>
      </c>
      <c r="E750" t="s">
        <v>2515</v>
      </c>
      <c r="F750">
        <v>7</v>
      </c>
      <c r="G750">
        <v>3</v>
      </c>
      <c r="H750">
        <v>16</v>
      </c>
      <c r="I750">
        <v>2</v>
      </c>
      <c r="J750">
        <v>60.06</v>
      </c>
      <c r="K750" t="s">
        <v>15</v>
      </c>
      <c r="L750">
        <v>3709299.67</v>
      </c>
      <c r="M750">
        <v>0</v>
      </c>
      <c r="N750">
        <v>3709299.67</v>
      </c>
      <c r="O750">
        <v>61759.901265401262</v>
      </c>
      <c r="P750">
        <v>330330</v>
      </c>
      <c r="Q750">
        <v>3378969.67</v>
      </c>
      <c r="R750">
        <v>56259.901265401262</v>
      </c>
      <c r="S750" t="s">
        <v>2507</v>
      </c>
      <c r="T750" t="s">
        <v>5443</v>
      </c>
      <c r="U750">
        <v>330330</v>
      </c>
      <c r="V750" t="s">
        <v>717</v>
      </c>
      <c r="W750">
        <v>44524</v>
      </c>
      <c r="X750" t="s">
        <v>5444</v>
      </c>
      <c r="Y750" t="s">
        <v>6</v>
      </c>
      <c r="Z750" t="s">
        <v>11</v>
      </c>
      <c r="AA750" t="s">
        <v>717</v>
      </c>
      <c r="AB750" t="s">
        <v>2509</v>
      </c>
      <c r="AC750" t="s">
        <v>118</v>
      </c>
      <c r="AD750" t="s">
        <v>717</v>
      </c>
      <c r="AE750" t="s">
        <v>5445</v>
      </c>
      <c r="AF750" t="s">
        <v>5446</v>
      </c>
      <c r="AG750" t="s">
        <v>5447</v>
      </c>
      <c r="AH750" t="s">
        <v>2191</v>
      </c>
      <c r="AI750" t="s">
        <v>2538</v>
      </c>
      <c r="AJ750" t="s">
        <v>2514</v>
      </c>
      <c r="AK750" t="s">
        <v>407</v>
      </c>
      <c r="AL750" t="s">
        <v>717</v>
      </c>
      <c r="AM750" t="s">
        <v>10</v>
      </c>
      <c r="AN750" t="s">
        <v>717</v>
      </c>
    </row>
    <row r="751" spans="1:40" hidden="1">
      <c r="A751">
        <v>749</v>
      </c>
      <c r="B751">
        <v>39</v>
      </c>
      <c r="C751" s="58">
        <v>44526</v>
      </c>
      <c r="D751" t="s">
        <v>27</v>
      </c>
      <c r="E751" t="s">
        <v>4409</v>
      </c>
      <c r="F751">
        <v>5</v>
      </c>
      <c r="G751">
        <v>6</v>
      </c>
      <c r="H751">
        <v>548</v>
      </c>
      <c r="I751">
        <v>0</v>
      </c>
      <c r="J751">
        <v>23.63</v>
      </c>
      <c r="K751" t="s">
        <v>15</v>
      </c>
      <c r="L751">
        <v>1848569.52</v>
      </c>
      <c r="M751">
        <v>0</v>
      </c>
      <c r="N751">
        <v>1848569.52</v>
      </c>
      <c r="O751">
        <v>78229.772323317826</v>
      </c>
      <c r="P751">
        <v>129965</v>
      </c>
      <c r="Q751">
        <v>1718604.52</v>
      </c>
      <c r="R751">
        <v>72729.772323317826</v>
      </c>
      <c r="S751" t="s">
        <v>130</v>
      </c>
      <c r="T751" t="s">
        <v>717</v>
      </c>
      <c r="U751" t="s">
        <v>717</v>
      </c>
      <c r="V751" t="s">
        <v>717</v>
      </c>
      <c r="W751">
        <v>44519</v>
      </c>
      <c r="X751" t="s">
        <v>5448</v>
      </c>
      <c r="Y751" t="s">
        <v>6</v>
      </c>
      <c r="Z751" t="s">
        <v>17</v>
      </c>
      <c r="AA751" t="s">
        <v>717</v>
      </c>
      <c r="AB751" t="s">
        <v>2509</v>
      </c>
      <c r="AC751" t="s">
        <v>118</v>
      </c>
      <c r="AD751" t="s">
        <v>717</v>
      </c>
      <c r="AE751" t="s">
        <v>5449</v>
      </c>
      <c r="AF751" t="s">
        <v>5450</v>
      </c>
      <c r="AG751" t="s">
        <v>5451</v>
      </c>
      <c r="AH751" t="s">
        <v>2191</v>
      </c>
      <c r="AI751" t="s">
        <v>2538</v>
      </c>
      <c r="AJ751" t="s">
        <v>2569</v>
      </c>
      <c r="AK751" t="s">
        <v>77</v>
      </c>
      <c r="AL751" t="s">
        <v>717</v>
      </c>
      <c r="AM751" t="s">
        <v>10</v>
      </c>
      <c r="AN751" t="s">
        <v>717</v>
      </c>
    </row>
    <row r="752" spans="1:40" hidden="1">
      <c r="A752">
        <v>750</v>
      </c>
      <c r="B752">
        <v>40</v>
      </c>
      <c r="C752" s="58">
        <v>44529</v>
      </c>
      <c r="D752" t="s">
        <v>27</v>
      </c>
      <c r="E752" t="s">
        <v>5079</v>
      </c>
      <c r="F752">
        <v>3</v>
      </c>
      <c r="G752">
        <v>5</v>
      </c>
      <c r="H752">
        <v>661</v>
      </c>
      <c r="I752">
        <v>2</v>
      </c>
      <c r="J752">
        <v>56.33</v>
      </c>
      <c r="K752" t="s">
        <v>9</v>
      </c>
      <c r="L752">
        <v>3679643.04</v>
      </c>
      <c r="M752">
        <v>0</v>
      </c>
      <c r="N752">
        <v>3679643.04</v>
      </c>
      <c r="O752">
        <v>65322.972483578909</v>
      </c>
      <c r="P752">
        <v>0</v>
      </c>
      <c r="Q752">
        <v>3679643.04</v>
      </c>
      <c r="R752">
        <v>65322.972483578909</v>
      </c>
      <c r="S752" t="s">
        <v>65</v>
      </c>
      <c r="T752" t="s">
        <v>717</v>
      </c>
      <c r="U752" t="s">
        <v>717</v>
      </c>
      <c r="V752" t="s">
        <v>4131</v>
      </c>
      <c r="W752">
        <v>44523</v>
      </c>
      <c r="X752" t="s">
        <v>5452</v>
      </c>
      <c r="Y752" t="s">
        <v>6</v>
      </c>
      <c r="Z752" t="s">
        <v>17</v>
      </c>
      <c r="AA752" t="s">
        <v>717</v>
      </c>
      <c r="AB752" t="s">
        <v>2509</v>
      </c>
      <c r="AC752" t="s">
        <v>2571</v>
      </c>
      <c r="AD752" t="s">
        <v>717</v>
      </c>
      <c r="AE752" t="s">
        <v>5453</v>
      </c>
      <c r="AF752" t="s">
        <v>5454</v>
      </c>
      <c r="AG752" t="s">
        <v>5455</v>
      </c>
      <c r="AH752" t="s">
        <v>2615</v>
      </c>
      <c r="AI752" t="s">
        <v>2521</v>
      </c>
      <c r="AJ752" t="s">
        <v>2569</v>
      </c>
      <c r="AK752" t="s">
        <v>20</v>
      </c>
      <c r="AL752" t="s">
        <v>16</v>
      </c>
      <c r="AM752" t="s">
        <v>10</v>
      </c>
      <c r="AN752" t="s">
        <v>717</v>
      </c>
    </row>
    <row r="753" spans="1:40" hidden="1">
      <c r="A753">
        <v>751</v>
      </c>
      <c r="B753">
        <v>41</v>
      </c>
      <c r="C753" s="58">
        <v>44529</v>
      </c>
      <c r="D753" t="s">
        <v>27</v>
      </c>
      <c r="E753" t="s">
        <v>5456</v>
      </c>
      <c r="F753">
        <v>6</v>
      </c>
      <c r="G753">
        <v>5</v>
      </c>
      <c r="H753">
        <v>863</v>
      </c>
      <c r="I753">
        <v>2</v>
      </c>
      <c r="J753">
        <v>54.28</v>
      </c>
      <c r="K753" t="s">
        <v>9</v>
      </c>
      <c r="L753">
        <v>3352327.44</v>
      </c>
      <c r="M753">
        <v>0</v>
      </c>
      <c r="N753">
        <v>3352327.44</v>
      </c>
      <c r="O753">
        <v>61759.901252763448</v>
      </c>
      <c r="P753">
        <v>0</v>
      </c>
      <c r="Q753">
        <v>3352327.44</v>
      </c>
      <c r="R753">
        <v>61759.901252763448</v>
      </c>
      <c r="S753" t="s">
        <v>65</v>
      </c>
      <c r="T753" t="s">
        <v>717</v>
      </c>
      <c r="U753" t="s">
        <v>717</v>
      </c>
      <c r="V753" t="s">
        <v>717</v>
      </c>
      <c r="W753">
        <v>44523</v>
      </c>
      <c r="X753" t="s">
        <v>5457</v>
      </c>
      <c r="Y753" t="s">
        <v>6</v>
      </c>
      <c r="Z753" t="s">
        <v>17</v>
      </c>
      <c r="AA753" t="s">
        <v>717</v>
      </c>
      <c r="AB753" t="s">
        <v>2509</v>
      </c>
      <c r="AC753" t="s">
        <v>2571</v>
      </c>
      <c r="AD753" t="s">
        <v>717</v>
      </c>
      <c r="AE753" t="s">
        <v>5458</v>
      </c>
      <c r="AF753" t="s">
        <v>5459</v>
      </c>
      <c r="AG753" t="s">
        <v>5460</v>
      </c>
      <c r="AH753" t="s">
        <v>2615</v>
      </c>
      <c r="AI753" t="s">
        <v>2706</v>
      </c>
      <c r="AJ753" t="s">
        <v>2895</v>
      </c>
      <c r="AK753" t="s">
        <v>20</v>
      </c>
      <c r="AL753" t="s">
        <v>575</v>
      </c>
      <c r="AM753" t="s">
        <v>10</v>
      </c>
      <c r="AN753" t="s">
        <v>717</v>
      </c>
    </row>
    <row r="754" spans="1:40" hidden="1">
      <c r="A754">
        <v>752</v>
      </c>
      <c r="B754">
        <v>42</v>
      </c>
      <c r="C754" s="58">
        <v>44529</v>
      </c>
      <c r="D754" t="s">
        <v>27</v>
      </c>
      <c r="E754" t="s">
        <v>2515</v>
      </c>
      <c r="F754">
        <v>6</v>
      </c>
      <c r="G754">
        <v>7</v>
      </c>
      <c r="H754">
        <v>51</v>
      </c>
      <c r="I754">
        <v>2</v>
      </c>
      <c r="J754">
        <v>54.67</v>
      </c>
      <c r="K754" t="s">
        <v>15</v>
      </c>
      <c r="L754">
        <v>3871891.9</v>
      </c>
      <c r="M754">
        <v>0</v>
      </c>
      <c r="N754">
        <v>3871891.9</v>
      </c>
      <c r="O754">
        <v>70822.972379732935</v>
      </c>
      <c r="P754">
        <v>300685</v>
      </c>
      <c r="Q754">
        <v>3571206.9</v>
      </c>
      <c r="R754">
        <v>65322.972379732942</v>
      </c>
      <c r="S754" t="s">
        <v>65</v>
      </c>
      <c r="T754" t="s">
        <v>717</v>
      </c>
      <c r="U754" t="s">
        <v>717</v>
      </c>
      <c r="V754" t="s">
        <v>4131</v>
      </c>
      <c r="W754">
        <v>44523</v>
      </c>
      <c r="X754" t="s">
        <v>5461</v>
      </c>
      <c r="Y754" t="s">
        <v>6</v>
      </c>
      <c r="Z754" t="s">
        <v>17</v>
      </c>
      <c r="AA754" t="s">
        <v>717</v>
      </c>
      <c r="AB754" t="s">
        <v>2509</v>
      </c>
      <c r="AC754" t="s">
        <v>2571</v>
      </c>
      <c r="AD754" t="s">
        <v>717</v>
      </c>
      <c r="AE754" t="s">
        <v>5462</v>
      </c>
      <c r="AF754" t="s">
        <v>5463</v>
      </c>
      <c r="AG754" t="s">
        <v>5464</v>
      </c>
      <c r="AH754" t="s">
        <v>2191</v>
      </c>
      <c r="AI754" t="s">
        <v>2621</v>
      </c>
      <c r="AJ754" t="s">
        <v>2569</v>
      </c>
      <c r="AK754" t="s">
        <v>73</v>
      </c>
      <c r="AL754" t="s">
        <v>575</v>
      </c>
      <c r="AM754" t="s">
        <v>10</v>
      </c>
      <c r="AN754" t="s">
        <v>717</v>
      </c>
    </row>
    <row r="755" spans="1:40" hidden="1">
      <c r="A755">
        <v>753</v>
      </c>
      <c r="B755">
        <v>43</v>
      </c>
      <c r="C755" s="58">
        <v>44529</v>
      </c>
      <c r="D755" t="s">
        <v>27</v>
      </c>
      <c r="E755" t="s">
        <v>5456</v>
      </c>
      <c r="F755">
        <v>5</v>
      </c>
      <c r="G755">
        <v>9</v>
      </c>
      <c r="H755">
        <v>898</v>
      </c>
      <c r="I755">
        <v>1</v>
      </c>
      <c r="J755">
        <v>37.270000000000003</v>
      </c>
      <c r="K755" t="s">
        <v>9</v>
      </c>
      <c r="L755">
        <v>2539129.12</v>
      </c>
      <c r="M755">
        <v>0</v>
      </c>
      <c r="N755">
        <v>2539129.12</v>
      </c>
      <c r="O755">
        <v>68127.961363026567</v>
      </c>
      <c r="P755">
        <v>0</v>
      </c>
      <c r="Q755">
        <v>2539129.12</v>
      </c>
      <c r="R755">
        <v>68127.961363026567</v>
      </c>
      <c r="S755" t="s">
        <v>65</v>
      </c>
      <c r="T755" t="s">
        <v>717</v>
      </c>
      <c r="U755" t="s">
        <v>717</v>
      </c>
      <c r="V755" t="s">
        <v>717</v>
      </c>
      <c r="W755">
        <v>44524</v>
      </c>
      <c r="X755" t="s">
        <v>5465</v>
      </c>
      <c r="Y755" t="s">
        <v>6</v>
      </c>
      <c r="Z755" t="s">
        <v>17</v>
      </c>
      <c r="AA755" t="s">
        <v>717</v>
      </c>
      <c r="AB755" t="s">
        <v>2509</v>
      </c>
      <c r="AC755" t="s">
        <v>2571</v>
      </c>
      <c r="AD755" t="s">
        <v>717</v>
      </c>
      <c r="AE755" t="s">
        <v>3467</v>
      </c>
      <c r="AF755" t="s">
        <v>3468</v>
      </c>
      <c r="AG755" t="s">
        <v>3469</v>
      </c>
      <c r="AH755" t="s">
        <v>2580</v>
      </c>
      <c r="AI755" t="s">
        <v>2600</v>
      </c>
      <c r="AJ755" t="s">
        <v>3921</v>
      </c>
      <c r="AK755" t="s">
        <v>20</v>
      </c>
      <c r="AL755" t="s">
        <v>16</v>
      </c>
      <c r="AM755" t="s">
        <v>10</v>
      </c>
      <c r="AN755" t="s">
        <v>717</v>
      </c>
    </row>
    <row r="756" spans="1:40" hidden="1">
      <c r="A756">
        <v>754</v>
      </c>
      <c r="B756">
        <v>44</v>
      </c>
      <c r="C756" s="58">
        <v>44529</v>
      </c>
      <c r="D756" t="s">
        <v>121</v>
      </c>
      <c r="E756" t="s">
        <v>2506</v>
      </c>
      <c r="F756">
        <v>7</v>
      </c>
      <c r="G756">
        <v>2</v>
      </c>
      <c r="H756">
        <v>168</v>
      </c>
      <c r="I756">
        <v>0</v>
      </c>
      <c r="J756">
        <v>24.23</v>
      </c>
      <c r="K756" t="s">
        <v>25</v>
      </c>
      <c r="L756">
        <v>2264167.2000000002</v>
      </c>
      <c r="M756">
        <v>0</v>
      </c>
      <c r="N756">
        <v>2264167.2000000002</v>
      </c>
      <c r="O756">
        <v>93444.787453569967</v>
      </c>
      <c r="P756">
        <v>387680</v>
      </c>
      <c r="Q756">
        <v>1876487.2</v>
      </c>
      <c r="R756">
        <v>77444.787453569967</v>
      </c>
      <c r="S756" t="s">
        <v>65</v>
      </c>
      <c r="T756" t="s">
        <v>717</v>
      </c>
      <c r="U756" t="s">
        <v>717</v>
      </c>
      <c r="V756" t="s">
        <v>717</v>
      </c>
      <c r="W756">
        <v>44516</v>
      </c>
      <c r="X756" t="s">
        <v>5466</v>
      </c>
      <c r="Y756" t="s">
        <v>6</v>
      </c>
      <c r="Z756" t="s">
        <v>11</v>
      </c>
      <c r="AA756" t="s">
        <v>717</v>
      </c>
      <c r="AB756" t="s">
        <v>2509</v>
      </c>
      <c r="AC756" t="s">
        <v>5105</v>
      </c>
      <c r="AD756" t="s">
        <v>717</v>
      </c>
      <c r="AE756" t="s">
        <v>5467</v>
      </c>
      <c r="AF756" t="s">
        <v>5468</v>
      </c>
      <c r="AG756" t="s">
        <v>717</v>
      </c>
      <c r="AH756" t="s">
        <v>2552</v>
      </c>
      <c r="AI756" t="s">
        <v>2547</v>
      </c>
      <c r="AJ756" t="s">
        <v>2855</v>
      </c>
      <c r="AK756" t="s">
        <v>471</v>
      </c>
      <c r="AL756" t="s">
        <v>16</v>
      </c>
      <c r="AM756" t="s">
        <v>10</v>
      </c>
      <c r="AN756" t="s">
        <v>717</v>
      </c>
    </row>
    <row r="757" spans="1:40" hidden="1">
      <c r="A757">
        <v>755</v>
      </c>
      <c r="B757">
        <v>45</v>
      </c>
      <c r="C757" s="58">
        <v>44529</v>
      </c>
      <c r="D757" t="s">
        <v>121</v>
      </c>
      <c r="E757" t="s">
        <v>2515</v>
      </c>
      <c r="F757">
        <v>5</v>
      </c>
      <c r="G757">
        <v>19</v>
      </c>
      <c r="H757">
        <v>124</v>
      </c>
      <c r="I757">
        <v>1</v>
      </c>
      <c r="J757">
        <v>36.42</v>
      </c>
      <c r="K757" t="s">
        <v>9</v>
      </c>
      <c r="L757">
        <v>2725306.56</v>
      </c>
      <c r="M757">
        <v>0</v>
      </c>
      <c r="N757">
        <v>2725306.56</v>
      </c>
      <c r="O757">
        <v>74829.943986820421</v>
      </c>
      <c r="P757">
        <v>0</v>
      </c>
      <c r="Q757">
        <v>2725306.56</v>
      </c>
      <c r="R757">
        <v>74829.943986820421</v>
      </c>
      <c r="S757" t="s">
        <v>2507</v>
      </c>
      <c r="T757" t="s">
        <v>717</v>
      </c>
      <c r="U757" t="s">
        <v>717</v>
      </c>
      <c r="V757" t="s">
        <v>717</v>
      </c>
      <c r="W757">
        <v>44525</v>
      </c>
      <c r="X757" t="s">
        <v>5469</v>
      </c>
      <c r="Y757" t="s">
        <v>6</v>
      </c>
      <c r="Z757" t="s">
        <v>17</v>
      </c>
      <c r="AA757" t="s">
        <v>717</v>
      </c>
      <c r="AB757" t="s">
        <v>2509</v>
      </c>
      <c r="AC757" t="s">
        <v>118</v>
      </c>
      <c r="AD757" t="s">
        <v>717</v>
      </c>
      <c r="AE757" t="s">
        <v>5470</v>
      </c>
      <c r="AF757" t="s">
        <v>5471</v>
      </c>
      <c r="AG757" t="s">
        <v>5472</v>
      </c>
      <c r="AH757" t="s">
        <v>2615</v>
      </c>
      <c r="AI757" t="s">
        <v>2688</v>
      </c>
      <c r="AJ757" t="s">
        <v>3289</v>
      </c>
      <c r="AK757" t="s">
        <v>407</v>
      </c>
      <c r="AL757" t="s">
        <v>717</v>
      </c>
      <c r="AM757" t="s">
        <v>10</v>
      </c>
      <c r="AN757" t="s">
        <v>717</v>
      </c>
    </row>
    <row r="758" spans="1:40" hidden="1">
      <c r="A758">
        <v>756</v>
      </c>
      <c r="B758">
        <v>46</v>
      </c>
      <c r="C758" s="58">
        <v>44530</v>
      </c>
      <c r="D758" t="s">
        <v>27</v>
      </c>
      <c r="E758" t="s">
        <v>5456</v>
      </c>
      <c r="F758">
        <v>8</v>
      </c>
      <c r="G758">
        <v>2</v>
      </c>
      <c r="H758">
        <v>838</v>
      </c>
      <c r="I758">
        <v>0</v>
      </c>
      <c r="J758">
        <v>23.09</v>
      </c>
      <c r="K758" t="s">
        <v>9</v>
      </c>
      <c r="L758">
        <v>1679330.45</v>
      </c>
      <c r="M758">
        <v>0</v>
      </c>
      <c r="N758">
        <v>1679330.45</v>
      </c>
      <c r="O758">
        <v>72729.772628843653</v>
      </c>
      <c r="P758">
        <v>0</v>
      </c>
      <c r="Q758">
        <v>1679330.45</v>
      </c>
      <c r="R758">
        <v>72729.772628843653</v>
      </c>
      <c r="S758" t="s">
        <v>65</v>
      </c>
      <c r="T758" t="s">
        <v>717</v>
      </c>
      <c r="U758" t="s">
        <v>717</v>
      </c>
      <c r="V758" t="s">
        <v>717</v>
      </c>
      <c r="W758">
        <v>44525</v>
      </c>
      <c r="X758" t="s">
        <v>5473</v>
      </c>
      <c r="Y758" t="s">
        <v>6</v>
      </c>
      <c r="Z758" t="s">
        <v>17</v>
      </c>
      <c r="AA758" t="s">
        <v>717</v>
      </c>
      <c r="AB758" t="s">
        <v>2509</v>
      </c>
      <c r="AC758" t="s">
        <v>2571</v>
      </c>
      <c r="AD758" t="s">
        <v>717</v>
      </c>
      <c r="AE758" t="s">
        <v>5474</v>
      </c>
      <c r="AF758" t="s">
        <v>5475</v>
      </c>
      <c r="AG758" t="s">
        <v>5476</v>
      </c>
      <c r="AH758" t="s">
        <v>2615</v>
      </c>
      <c r="AI758" t="s">
        <v>2621</v>
      </c>
      <c r="AJ758" t="s">
        <v>2793</v>
      </c>
      <c r="AK758" t="s">
        <v>73</v>
      </c>
      <c r="AL758" t="s">
        <v>16</v>
      </c>
      <c r="AM758" t="s">
        <v>10</v>
      </c>
      <c r="AN758" t="s">
        <v>717</v>
      </c>
    </row>
    <row r="759" spans="1:40" hidden="1">
      <c r="A759">
        <v>757</v>
      </c>
      <c r="B759">
        <v>47</v>
      </c>
      <c r="C759" s="58">
        <v>44530</v>
      </c>
      <c r="D759" t="s">
        <v>121</v>
      </c>
      <c r="E759" t="s">
        <v>2515</v>
      </c>
      <c r="F759">
        <v>5</v>
      </c>
      <c r="G759">
        <v>21</v>
      </c>
      <c r="H759">
        <v>138</v>
      </c>
      <c r="I759">
        <v>1</v>
      </c>
      <c r="J759">
        <v>36.42</v>
      </c>
      <c r="K759" t="s">
        <v>15</v>
      </c>
      <c r="L759">
        <v>2812340.26</v>
      </c>
      <c r="M759">
        <v>0</v>
      </c>
      <c r="N759">
        <v>2812340.26</v>
      </c>
      <c r="O759">
        <v>77219.666666666657</v>
      </c>
      <c r="P759">
        <v>200310</v>
      </c>
      <c r="Q759">
        <v>2612030.2599999998</v>
      </c>
      <c r="R759">
        <v>71719.666666666657</v>
      </c>
      <c r="S759" t="s">
        <v>2507</v>
      </c>
      <c r="T759" t="s">
        <v>2941</v>
      </c>
      <c r="U759">
        <v>26384.15</v>
      </c>
      <c r="V759" t="s">
        <v>717</v>
      </c>
      <c r="W759">
        <v>44526</v>
      </c>
      <c r="X759" t="s">
        <v>5477</v>
      </c>
      <c r="Y759" t="s">
        <v>6</v>
      </c>
      <c r="Z759" t="s">
        <v>11</v>
      </c>
      <c r="AA759" t="s">
        <v>717</v>
      </c>
      <c r="AB759" t="s">
        <v>2509</v>
      </c>
      <c r="AC759" t="s">
        <v>118</v>
      </c>
      <c r="AD759" t="s">
        <v>717</v>
      </c>
      <c r="AE759" t="s">
        <v>5478</v>
      </c>
      <c r="AF759" t="s">
        <v>5479</v>
      </c>
      <c r="AG759" t="s">
        <v>5480</v>
      </c>
      <c r="AH759" t="s">
        <v>2615</v>
      </c>
      <c r="AI759" t="s">
        <v>2538</v>
      </c>
      <c r="AJ759" t="s">
        <v>2895</v>
      </c>
      <c r="AK759" t="s">
        <v>73</v>
      </c>
      <c r="AL759" t="s">
        <v>717</v>
      </c>
      <c r="AM759" t="s">
        <v>10</v>
      </c>
      <c r="AN759" t="s">
        <v>717</v>
      </c>
    </row>
    <row r="760" spans="1:40" hidden="1">
      <c r="A760">
        <v>758</v>
      </c>
      <c r="B760">
        <v>48</v>
      </c>
      <c r="C760" s="58">
        <v>44530</v>
      </c>
      <c r="D760" t="s">
        <v>27</v>
      </c>
      <c r="E760" t="s">
        <v>5079</v>
      </c>
      <c r="F760">
        <v>4</v>
      </c>
      <c r="G760">
        <v>13</v>
      </c>
      <c r="H760">
        <v>734</v>
      </c>
      <c r="I760">
        <v>0</v>
      </c>
      <c r="J760">
        <v>24.39</v>
      </c>
      <c r="K760" t="s">
        <v>9</v>
      </c>
      <c r="L760">
        <v>1631968.82</v>
      </c>
      <c r="M760">
        <v>0</v>
      </c>
      <c r="N760">
        <v>1631968.82</v>
      </c>
      <c r="O760">
        <v>66911.390733907334</v>
      </c>
      <c r="P760">
        <v>0</v>
      </c>
      <c r="Q760">
        <v>1631968.82</v>
      </c>
      <c r="R760">
        <v>66911.390733907334</v>
      </c>
      <c r="S760" t="s">
        <v>2507</v>
      </c>
      <c r="T760" t="s">
        <v>2941</v>
      </c>
      <c r="U760">
        <v>141910.32999999999</v>
      </c>
      <c r="V760" t="s">
        <v>717</v>
      </c>
      <c r="W760">
        <v>44529</v>
      </c>
      <c r="X760" t="s">
        <v>5481</v>
      </c>
      <c r="Y760" t="s">
        <v>6</v>
      </c>
      <c r="Z760" t="s">
        <v>17</v>
      </c>
      <c r="AA760" t="s">
        <v>717</v>
      </c>
      <c r="AB760" t="s">
        <v>2509</v>
      </c>
      <c r="AC760" t="s">
        <v>118</v>
      </c>
      <c r="AD760" t="s">
        <v>717</v>
      </c>
      <c r="AE760" t="s">
        <v>5482</v>
      </c>
      <c r="AF760" t="s">
        <v>5483</v>
      </c>
      <c r="AG760" t="s">
        <v>5484</v>
      </c>
      <c r="AH760" t="s">
        <v>2580</v>
      </c>
      <c r="AI760" t="s">
        <v>3115</v>
      </c>
      <c r="AJ760" t="s">
        <v>3921</v>
      </c>
      <c r="AK760" t="s">
        <v>73</v>
      </c>
      <c r="AL760" t="s">
        <v>717</v>
      </c>
      <c r="AM760" t="s">
        <v>10</v>
      </c>
      <c r="AN760" t="s">
        <v>717</v>
      </c>
    </row>
    <row r="761" spans="1:40" hidden="1">
      <c r="A761">
        <v>759</v>
      </c>
      <c r="B761">
        <v>49</v>
      </c>
      <c r="C761" s="58">
        <v>44530</v>
      </c>
      <c r="D761" t="s">
        <v>27</v>
      </c>
      <c r="E761" t="s">
        <v>5456</v>
      </c>
      <c r="F761">
        <v>6</v>
      </c>
      <c r="G761">
        <v>8</v>
      </c>
      <c r="H761">
        <v>890</v>
      </c>
      <c r="I761">
        <v>2</v>
      </c>
      <c r="J761">
        <v>54.28</v>
      </c>
      <c r="K761" t="s">
        <v>9</v>
      </c>
      <c r="L761">
        <v>3084141.24</v>
      </c>
      <c r="M761">
        <v>0</v>
      </c>
      <c r="N761">
        <v>3084141.24</v>
      </c>
      <c r="O761">
        <v>56819.109064112017</v>
      </c>
      <c r="P761">
        <v>0</v>
      </c>
      <c r="Q761">
        <v>3084141.24</v>
      </c>
      <c r="R761">
        <v>56819.109064112017</v>
      </c>
      <c r="S761" t="s">
        <v>2507</v>
      </c>
      <c r="T761" t="s">
        <v>2941</v>
      </c>
      <c r="U761">
        <v>268186.19478260871</v>
      </c>
      <c r="V761" t="s">
        <v>717</v>
      </c>
      <c r="W761">
        <v>44529</v>
      </c>
      <c r="X761" t="s">
        <v>5485</v>
      </c>
      <c r="Y761" t="s">
        <v>6</v>
      </c>
      <c r="Z761" t="s">
        <v>17</v>
      </c>
      <c r="AA761" t="s">
        <v>717</v>
      </c>
      <c r="AB761" t="s">
        <v>2509</v>
      </c>
      <c r="AC761" t="s">
        <v>118</v>
      </c>
      <c r="AD761" t="s">
        <v>717</v>
      </c>
      <c r="AE761" t="s">
        <v>5482</v>
      </c>
      <c r="AF761" t="s">
        <v>5483</v>
      </c>
      <c r="AG761" t="s">
        <v>5484</v>
      </c>
      <c r="AH761" t="s">
        <v>2191</v>
      </c>
      <c r="AI761" t="s">
        <v>3115</v>
      </c>
      <c r="AJ761" t="s">
        <v>2514</v>
      </c>
      <c r="AK761" t="s">
        <v>73</v>
      </c>
      <c r="AL761" t="s">
        <v>717</v>
      </c>
      <c r="AM761" t="s">
        <v>10</v>
      </c>
      <c r="AN761" t="s">
        <v>717</v>
      </c>
    </row>
    <row r="762" spans="1:40" hidden="1">
      <c r="A762">
        <v>760</v>
      </c>
      <c r="B762">
        <v>50</v>
      </c>
      <c r="C762" s="58">
        <v>44530</v>
      </c>
      <c r="D762" t="s">
        <v>121</v>
      </c>
      <c r="E762" t="s">
        <v>2515</v>
      </c>
      <c r="F762">
        <v>5</v>
      </c>
      <c r="G762">
        <v>5</v>
      </c>
      <c r="H762">
        <v>26</v>
      </c>
      <c r="I762">
        <v>1</v>
      </c>
      <c r="J762">
        <v>36.42</v>
      </c>
      <c r="K762" t="s">
        <v>15</v>
      </c>
      <c r="L762">
        <v>2925616.56</v>
      </c>
      <c r="M762">
        <v>0</v>
      </c>
      <c r="N762">
        <v>2925616.56</v>
      </c>
      <c r="O762">
        <v>80329.943986820421</v>
      </c>
      <c r="P762">
        <v>200310</v>
      </c>
      <c r="Q762">
        <v>2725306.56</v>
      </c>
      <c r="R762">
        <v>74829.943986820421</v>
      </c>
      <c r="S762" t="s">
        <v>2507</v>
      </c>
      <c r="T762" t="s">
        <v>717</v>
      </c>
      <c r="U762" t="s">
        <v>717</v>
      </c>
      <c r="V762" t="s">
        <v>717</v>
      </c>
      <c r="W762">
        <v>44524</v>
      </c>
      <c r="X762" t="s">
        <v>5486</v>
      </c>
      <c r="Y762" t="s">
        <v>6</v>
      </c>
      <c r="Z762" t="s">
        <v>17</v>
      </c>
      <c r="AA762" t="s">
        <v>717</v>
      </c>
      <c r="AB762" t="s">
        <v>2509</v>
      </c>
      <c r="AC762" t="s">
        <v>118</v>
      </c>
      <c r="AD762" t="s">
        <v>717</v>
      </c>
      <c r="AE762" t="s">
        <v>5487</v>
      </c>
      <c r="AF762" t="s">
        <v>5488</v>
      </c>
      <c r="AG762" t="s">
        <v>5489</v>
      </c>
      <c r="AH762" t="s">
        <v>2191</v>
      </c>
      <c r="AI762" t="s">
        <v>2552</v>
      </c>
      <c r="AJ762" t="s">
        <v>2514</v>
      </c>
      <c r="AK762" t="s">
        <v>77</v>
      </c>
      <c r="AL762" t="s">
        <v>717</v>
      </c>
      <c r="AM762" t="s">
        <v>10</v>
      </c>
      <c r="AN762" t="s">
        <v>717</v>
      </c>
    </row>
    <row r="763" spans="1:40" hidden="1">
      <c r="A763">
        <v>761</v>
      </c>
      <c r="B763">
        <v>51</v>
      </c>
      <c r="C763" s="58">
        <v>44530</v>
      </c>
      <c r="D763" t="s">
        <v>121</v>
      </c>
      <c r="E763" t="s">
        <v>2506</v>
      </c>
      <c r="F763">
        <v>7</v>
      </c>
      <c r="G763">
        <v>15</v>
      </c>
      <c r="H763">
        <v>311</v>
      </c>
      <c r="I763">
        <v>0</v>
      </c>
      <c r="J763">
        <v>24.23</v>
      </c>
      <c r="K763" t="s">
        <v>15</v>
      </c>
      <c r="L763">
        <v>2076769.6</v>
      </c>
      <c r="M763">
        <v>0</v>
      </c>
      <c r="N763">
        <v>2076769.6</v>
      </c>
      <c r="O763">
        <v>85710.672719768889</v>
      </c>
      <c r="P763">
        <v>133265</v>
      </c>
      <c r="Q763">
        <v>1943504.6</v>
      </c>
      <c r="R763">
        <v>80210.672719768889</v>
      </c>
      <c r="S763" t="s">
        <v>65</v>
      </c>
      <c r="T763" t="s">
        <v>717</v>
      </c>
      <c r="U763" t="s">
        <v>717</v>
      </c>
      <c r="V763" t="s">
        <v>717</v>
      </c>
      <c r="W763">
        <v>44524</v>
      </c>
      <c r="X763" t="s">
        <v>5490</v>
      </c>
      <c r="Y763" t="s">
        <v>6</v>
      </c>
      <c r="Z763" t="s">
        <v>17</v>
      </c>
      <c r="AA763" t="s">
        <v>717</v>
      </c>
      <c r="AB763" t="s">
        <v>2509</v>
      </c>
      <c r="AC763" t="s">
        <v>2564</v>
      </c>
      <c r="AD763" t="s">
        <v>717</v>
      </c>
      <c r="AE763" t="s">
        <v>5491</v>
      </c>
      <c r="AF763" t="s">
        <v>5492</v>
      </c>
      <c r="AG763" t="s">
        <v>5493</v>
      </c>
      <c r="AH763" t="s">
        <v>2615</v>
      </c>
      <c r="AI763" t="s">
        <v>2673</v>
      </c>
      <c r="AJ763" t="s">
        <v>2651</v>
      </c>
      <c r="AK763" t="s">
        <v>77</v>
      </c>
      <c r="AL763" t="s">
        <v>16</v>
      </c>
      <c r="AM763" t="s">
        <v>10</v>
      </c>
      <c r="AN763" t="s">
        <v>717</v>
      </c>
    </row>
    <row r="764" spans="1:40" hidden="1">
      <c r="A764">
        <v>762</v>
      </c>
      <c r="B764">
        <v>52</v>
      </c>
      <c r="C764" s="58">
        <v>44530</v>
      </c>
      <c r="D764" t="s">
        <v>27</v>
      </c>
      <c r="E764" t="s">
        <v>4409</v>
      </c>
      <c r="F764">
        <v>1</v>
      </c>
      <c r="G764">
        <v>6</v>
      </c>
      <c r="H764">
        <v>544</v>
      </c>
      <c r="I764">
        <v>3</v>
      </c>
      <c r="J764">
        <v>82.27</v>
      </c>
      <c r="K764" t="s">
        <v>25</v>
      </c>
      <c r="L764">
        <v>5831310.7699999996</v>
      </c>
      <c r="M764">
        <v>0</v>
      </c>
      <c r="N764">
        <v>5831310.7699999996</v>
      </c>
      <c r="O764">
        <v>70880.160082654678</v>
      </c>
      <c r="P764">
        <v>1316320</v>
      </c>
      <c r="Q764">
        <v>4514990.7699999996</v>
      </c>
      <c r="R764">
        <v>54880.160082654671</v>
      </c>
      <c r="S764" t="s">
        <v>65</v>
      </c>
      <c r="T764" t="s">
        <v>5386</v>
      </c>
      <c r="U764">
        <v>140000</v>
      </c>
      <c r="V764" t="s">
        <v>717</v>
      </c>
      <c r="W764">
        <v>44525</v>
      </c>
      <c r="X764" t="s">
        <v>5494</v>
      </c>
      <c r="Y764" t="s">
        <v>6</v>
      </c>
      <c r="Z764" t="s">
        <v>17</v>
      </c>
      <c r="AA764" t="s">
        <v>717</v>
      </c>
      <c r="AB764" t="s">
        <v>2509</v>
      </c>
      <c r="AC764" t="s">
        <v>2571</v>
      </c>
      <c r="AD764" t="s">
        <v>717</v>
      </c>
      <c r="AE764" t="s">
        <v>5495</v>
      </c>
      <c r="AF764" t="s">
        <v>5496</v>
      </c>
      <c r="AG764" t="s">
        <v>5497</v>
      </c>
      <c r="AH764" t="s">
        <v>2615</v>
      </c>
      <c r="AI764" t="s">
        <v>2521</v>
      </c>
      <c r="AJ764" t="s">
        <v>2569</v>
      </c>
      <c r="AK764" t="s">
        <v>471</v>
      </c>
      <c r="AL764" t="s">
        <v>575</v>
      </c>
      <c r="AM764" t="s">
        <v>10</v>
      </c>
      <c r="AN764" t="s">
        <v>717</v>
      </c>
    </row>
    <row r="765" spans="1:40" hidden="1">
      <c r="A765">
        <v>763</v>
      </c>
      <c r="B765">
        <v>53</v>
      </c>
      <c r="C765" s="58">
        <v>44530</v>
      </c>
      <c r="D765" t="s">
        <v>27</v>
      </c>
      <c r="E765" t="s">
        <v>5079</v>
      </c>
      <c r="F765">
        <v>4</v>
      </c>
      <c r="G765">
        <v>11</v>
      </c>
      <c r="H765">
        <v>716</v>
      </c>
      <c r="I765">
        <v>0</v>
      </c>
      <c r="J765">
        <v>24.39</v>
      </c>
      <c r="K765" t="s">
        <v>15</v>
      </c>
      <c r="L765">
        <v>1908024.15</v>
      </c>
      <c r="M765">
        <v>0</v>
      </c>
      <c r="N765">
        <v>1908024.15</v>
      </c>
      <c r="O765">
        <v>78229.772447724477</v>
      </c>
      <c r="P765">
        <v>134145</v>
      </c>
      <c r="Q765">
        <v>1773879.15</v>
      </c>
      <c r="R765">
        <v>72729.772447724477</v>
      </c>
      <c r="S765" t="s">
        <v>65</v>
      </c>
      <c r="T765" t="s">
        <v>717</v>
      </c>
      <c r="U765" t="s">
        <v>717</v>
      </c>
      <c r="V765" t="s">
        <v>717</v>
      </c>
      <c r="W765">
        <v>44526</v>
      </c>
      <c r="X765" t="s">
        <v>5498</v>
      </c>
      <c r="Y765" t="s">
        <v>6</v>
      </c>
      <c r="Z765" t="s">
        <v>17</v>
      </c>
      <c r="AA765" t="s">
        <v>717</v>
      </c>
      <c r="AB765" t="s">
        <v>2509</v>
      </c>
      <c r="AC765" t="s">
        <v>2571</v>
      </c>
      <c r="AD765" t="s">
        <v>717</v>
      </c>
      <c r="AE765" t="s">
        <v>5499</v>
      </c>
      <c r="AF765" t="s">
        <v>5500</v>
      </c>
      <c r="AG765" t="s">
        <v>5501</v>
      </c>
      <c r="AH765" t="s">
        <v>2615</v>
      </c>
      <c r="AI765" t="s">
        <v>2688</v>
      </c>
      <c r="AJ765" t="s">
        <v>3289</v>
      </c>
      <c r="AK765" t="s">
        <v>77</v>
      </c>
      <c r="AL765" t="s">
        <v>575</v>
      </c>
      <c r="AM765" t="s">
        <v>10</v>
      </c>
      <c r="AN765" t="s">
        <v>717</v>
      </c>
    </row>
    <row r="766" spans="1:40" hidden="1">
      <c r="A766">
        <v>764</v>
      </c>
      <c r="B766">
        <v>54</v>
      </c>
      <c r="C766" s="58">
        <v>44530</v>
      </c>
      <c r="D766" t="s">
        <v>27</v>
      </c>
      <c r="E766" t="s">
        <v>4409</v>
      </c>
      <c r="F766">
        <v>6</v>
      </c>
      <c r="G766">
        <v>11</v>
      </c>
      <c r="H766">
        <v>589</v>
      </c>
      <c r="I766">
        <v>1</v>
      </c>
      <c r="J766">
        <v>37.11</v>
      </c>
      <c r="K766" t="s">
        <v>9</v>
      </c>
      <c r="L766">
        <v>2528228.65</v>
      </c>
      <c r="M766">
        <v>0</v>
      </c>
      <c r="N766">
        <v>2528228.65</v>
      </c>
      <c r="O766">
        <v>68127.961465912158</v>
      </c>
      <c r="P766">
        <v>0</v>
      </c>
      <c r="Q766">
        <v>2528228.65</v>
      </c>
      <c r="R766">
        <v>68127.961465912158</v>
      </c>
      <c r="S766" t="s">
        <v>130</v>
      </c>
      <c r="T766" t="s">
        <v>717</v>
      </c>
      <c r="U766" t="s">
        <v>717</v>
      </c>
      <c r="V766" t="s">
        <v>717</v>
      </c>
      <c r="W766">
        <v>44528</v>
      </c>
      <c r="X766" t="s">
        <v>5502</v>
      </c>
      <c r="Y766" t="s">
        <v>6</v>
      </c>
      <c r="Z766" t="s">
        <v>17</v>
      </c>
      <c r="AA766" t="s">
        <v>717</v>
      </c>
      <c r="AB766" t="s">
        <v>2509</v>
      </c>
      <c r="AC766" t="s">
        <v>118</v>
      </c>
      <c r="AD766" t="s">
        <v>717</v>
      </c>
      <c r="AE766" t="s">
        <v>5320</v>
      </c>
      <c r="AF766" t="s">
        <v>5321</v>
      </c>
      <c r="AG766" t="s">
        <v>5322</v>
      </c>
      <c r="AH766" t="s">
        <v>2580</v>
      </c>
      <c r="AI766" t="s">
        <v>2600</v>
      </c>
      <c r="AJ766" t="s">
        <v>3921</v>
      </c>
      <c r="AK766" t="s">
        <v>77</v>
      </c>
      <c r="AL766" t="s">
        <v>717</v>
      </c>
      <c r="AM766" t="s">
        <v>10</v>
      </c>
      <c r="AN766" t="s">
        <v>717</v>
      </c>
    </row>
    <row r="767" spans="1:40" hidden="1">
      <c r="A767">
        <v>765</v>
      </c>
      <c r="B767">
        <v>1</v>
      </c>
      <c r="C767" s="58">
        <v>44533</v>
      </c>
      <c r="D767" t="s">
        <v>27</v>
      </c>
      <c r="E767" t="s">
        <v>2581</v>
      </c>
      <c r="F767">
        <v>6</v>
      </c>
      <c r="G767">
        <v>14</v>
      </c>
      <c r="H767">
        <v>493</v>
      </c>
      <c r="I767">
        <v>1</v>
      </c>
      <c r="J767">
        <v>37.11</v>
      </c>
      <c r="K767" t="s">
        <v>15</v>
      </c>
      <c r="L767">
        <v>2732333.6</v>
      </c>
      <c r="M767">
        <v>0</v>
      </c>
      <c r="N767">
        <v>2732333.6</v>
      </c>
      <c r="O767">
        <v>73627.960118566421</v>
      </c>
      <c r="P767">
        <v>204105</v>
      </c>
      <c r="Q767">
        <v>2528228.6</v>
      </c>
      <c r="R767">
        <v>68127.960118566421</v>
      </c>
      <c r="S767" t="s">
        <v>65</v>
      </c>
      <c r="T767" t="s">
        <v>717</v>
      </c>
      <c r="U767" t="s">
        <v>717</v>
      </c>
      <c r="V767" t="s">
        <v>717</v>
      </c>
      <c r="W767">
        <v>44531</v>
      </c>
      <c r="X767" t="s">
        <v>5503</v>
      </c>
      <c r="Y767" t="s">
        <v>6</v>
      </c>
      <c r="Z767" t="s">
        <v>17</v>
      </c>
      <c r="AA767" t="s">
        <v>717</v>
      </c>
      <c r="AB767" t="s">
        <v>2509</v>
      </c>
      <c r="AC767" t="s">
        <v>2571</v>
      </c>
      <c r="AD767" t="s">
        <v>717</v>
      </c>
      <c r="AE767" t="s">
        <v>5504</v>
      </c>
      <c r="AF767" t="s">
        <v>5505</v>
      </c>
      <c r="AG767" t="s">
        <v>5506</v>
      </c>
      <c r="AH767" t="s">
        <v>2191</v>
      </c>
      <c r="AI767" t="s">
        <v>2552</v>
      </c>
      <c r="AJ767" t="s">
        <v>2514</v>
      </c>
      <c r="AK767" t="s">
        <v>20</v>
      </c>
      <c r="AL767" t="s">
        <v>575</v>
      </c>
      <c r="AM767" t="s">
        <v>10</v>
      </c>
      <c r="AN767" t="s">
        <v>717</v>
      </c>
    </row>
    <row r="768" spans="1:40" hidden="1">
      <c r="A768">
        <v>766</v>
      </c>
      <c r="B768">
        <v>2</v>
      </c>
      <c r="C768" s="58">
        <v>44537</v>
      </c>
      <c r="D768" t="s">
        <v>121</v>
      </c>
      <c r="E768" t="s">
        <v>2515</v>
      </c>
      <c r="F768">
        <v>2</v>
      </c>
      <c r="G768">
        <v>18</v>
      </c>
      <c r="H768">
        <v>114</v>
      </c>
      <c r="I768">
        <v>2</v>
      </c>
      <c r="J768">
        <v>58.99</v>
      </c>
      <c r="K768" t="s">
        <v>15</v>
      </c>
      <c r="L768">
        <v>4657474.07</v>
      </c>
      <c r="M768">
        <v>0</v>
      </c>
      <c r="N768">
        <v>4657474.07</v>
      </c>
      <c r="O768">
        <v>78953.620444143075</v>
      </c>
      <c r="P768">
        <v>324445</v>
      </c>
      <c r="Q768">
        <v>4333029.07</v>
      </c>
      <c r="R768">
        <v>73453.620444143075</v>
      </c>
      <c r="S768" t="s">
        <v>65</v>
      </c>
      <c r="T768" t="s">
        <v>717</v>
      </c>
      <c r="U768" t="s">
        <v>717</v>
      </c>
      <c r="V768" t="s">
        <v>717</v>
      </c>
      <c r="W768">
        <v>44529</v>
      </c>
      <c r="X768" t="s">
        <v>5507</v>
      </c>
      <c r="Y768" t="s">
        <v>6</v>
      </c>
      <c r="Z768" t="s">
        <v>17</v>
      </c>
      <c r="AA768" t="s">
        <v>717</v>
      </c>
      <c r="AB768" t="s">
        <v>2509</v>
      </c>
      <c r="AC768" t="s">
        <v>2564</v>
      </c>
      <c r="AD768" t="s">
        <v>717</v>
      </c>
      <c r="AE768" t="s">
        <v>5508</v>
      </c>
      <c r="AF768" t="s">
        <v>5509</v>
      </c>
      <c r="AG768" t="s">
        <v>5510</v>
      </c>
      <c r="AH768" t="s">
        <v>2552</v>
      </c>
      <c r="AI768" t="s">
        <v>2547</v>
      </c>
      <c r="AJ768" t="s">
        <v>2855</v>
      </c>
      <c r="AK768" t="s">
        <v>471</v>
      </c>
      <c r="AL768" t="s">
        <v>16</v>
      </c>
      <c r="AM768" t="s">
        <v>10</v>
      </c>
      <c r="AN768" t="s">
        <v>717</v>
      </c>
    </row>
    <row r="769" spans="1:40" hidden="1">
      <c r="A769">
        <v>767</v>
      </c>
      <c r="B769">
        <v>3</v>
      </c>
      <c r="C769" s="58">
        <v>44537</v>
      </c>
      <c r="D769" t="s">
        <v>27</v>
      </c>
      <c r="E769" t="s">
        <v>2515</v>
      </c>
      <c r="F769">
        <v>6</v>
      </c>
      <c r="G769">
        <v>13</v>
      </c>
      <c r="H769">
        <v>105</v>
      </c>
      <c r="I769">
        <v>2</v>
      </c>
      <c r="J769">
        <v>54.67</v>
      </c>
      <c r="K769" t="s">
        <v>15</v>
      </c>
      <c r="L769">
        <v>3571206.9</v>
      </c>
      <c r="M769">
        <v>0</v>
      </c>
      <c r="N769">
        <v>3571206.9</v>
      </c>
      <c r="O769">
        <v>65322.972379732942</v>
      </c>
      <c r="P769">
        <v>300685</v>
      </c>
      <c r="Q769">
        <v>3270521.9</v>
      </c>
      <c r="R769">
        <v>59822.972379732942</v>
      </c>
      <c r="S769" t="s">
        <v>65</v>
      </c>
      <c r="T769" t="s">
        <v>5443</v>
      </c>
      <c r="U769">
        <v>300685</v>
      </c>
      <c r="V769" t="s">
        <v>717</v>
      </c>
      <c r="W769">
        <v>44533</v>
      </c>
      <c r="X769" t="s">
        <v>5511</v>
      </c>
      <c r="Y769" t="s">
        <v>2611</v>
      </c>
      <c r="Z769" t="s">
        <v>17</v>
      </c>
      <c r="AA769" t="s">
        <v>717</v>
      </c>
      <c r="AB769" t="s">
        <v>2509</v>
      </c>
      <c r="AC769" t="s">
        <v>2571</v>
      </c>
      <c r="AD769">
        <v>45049</v>
      </c>
      <c r="AE769" t="s">
        <v>5512</v>
      </c>
      <c r="AF769" t="s">
        <v>5513</v>
      </c>
      <c r="AG769" t="s">
        <v>5514</v>
      </c>
      <c r="AH769" t="s">
        <v>2615</v>
      </c>
      <c r="AI769" t="s">
        <v>2697</v>
      </c>
      <c r="AJ769" t="s">
        <v>2569</v>
      </c>
      <c r="AK769" t="s">
        <v>77</v>
      </c>
      <c r="AL769" t="s">
        <v>575</v>
      </c>
      <c r="AM769" t="s">
        <v>10</v>
      </c>
      <c r="AN769" t="s">
        <v>717</v>
      </c>
    </row>
    <row r="770" spans="1:40" hidden="1">
      <c r="A770">
        <v>768</v>
      </c>
      <c r="B770">
        <v>4</v>
      </c>
      <c r="C770" s="58">
        <v>44538</v>
      </c>
      <c r="D770" t="s">
        <v>27</v>
      </c>
      <c r="E770" t="s">
        <v>5079</v>
      </c>
      <c r="F770">
        <v>4</v>
      </c>
      <c r="G770">
        <v>10</v>
      </c>
      <c r="H770">
        <v>707</v>
      </c>
      <c r="I770">
        <v>0</v>
      </c>
      <c r="J770">
        <v>24.39</v>
      </c>
      <c r="K770" t="s">
        <v>9</v>
      </c>
      <c r="L770">
        <v>1887407.47</v>
      </c>
      <c r="M770">
        <v>0</v>
      </c>
      <c r="N770">
        <v>1887407.47</v>
      </c>
      <c r="O770">
        <v>77384.480114801147</v>
      </c>
      <c r="P770">
        <v>0</v>
      </c>
      <c r="Q770">
        <v>1887407.47</v>
      </c>
      <c r="R770">
        <v>77384.480114801147</v>
      </c>
      <c r="S770" t="s">
        <v>65</v>
      </c>
      <c r="T770" t="s">
        <v>717</v>
      </c>
      <c r="U770" t="s">
        <v>717</v>
      </c>
      <c r="V770" t="s">
        <v>717</v>
      </c>
      <c r="W770">
        <v>44534</v>
      </c>
      <c r="X770" t="s">
        <v>5515</v>
      </c>
      <c r="Y770" t="s">
        <v>6</v>
      </c>
      <c r="Z770" t="s">
        <v>17</v>
      </c>
      <c r="AA770" t="s">
        <v>717</v>
      </c>
      <c r="AB770" t="s">
        <v>2509</v>
      </c>
      <c r="AC770" t="s">
        <v>2571</v>
      </c>
      <c r="AD770" t="s">
        <v>717</v>
      </c>
      <c r="AE770" t="s">
        <v>5516</v>
      </c>
      <c r="AF770" t="s">
        <v>5517</v>
      </c>
      <c r="AG770" t="s">
        <v>5518</v>
      </c>
      <c r="AH770" t="s">
        <v>2615</v>
      </c>
      <c r="AI770" t="s">
        <v>2538</v>
      </c>
      <c r="AJ770" t="s">
        <v>2895</v>
      </c>
      <c r="AK770" t="s">
        <v>73</v>
      </c>
      <c r="AL770" t="s">
        <v>16</v>
      </c>
      <c r="AM770" t="s">
        <v>10</v>
      </c>
      <c r="AN770" t="s">
        <v>717</v>
      </c>
    </row>
    <row r="771" spans="1:40" hidden="1">
      <c r="A771">
        <v>769</v>
      </c>
      <c r="B771">
        <v>5</v>
      </c>
      <c r="C771" s="58">
        <v>44538</v>
      </c>
      <c r="D771" t="s">
        <v>27</v>
      </c>
      <c r="E771" t="s">
        <v>5079</v>
      </c>
      <c r="F771">
        <v>3</v>
      </c>
      <c r="G771">
        <v>13</v>
      </c>
      <c r="H771">
        <v>733</v>
      </c>
      <c r="I771">
        <v>2</v>
      </c>
      <c r="J771">
        <v>56.33</v>
      </c>
      <c r="K771" t="s">
        <v>9</v>
      </c>
      <c r="L771">
        <v>3846899.54</v>
      </c>
      <c r="M771">
        <v>0</v>
      </c>
      <c r="N771">
        <v>3846899.54</v>
      </c>
      <c r="O771">
        <v>68292.198473282449</v>
      </c>
      <c r="P771">
        <v>0</v>
      </c>
      <c r="Q771">
        <v>3846899.54</v>
      </c>
      <c r="R771">
        <v>68292.198473282449</v>
      </c>
      <c r="S771" t="s">
        <v>65</v>
      </c>
      <c r="T771" t="s">
        <v>717</v>
      </c>
      <c r="U771" t="s">
        <v>717</v>
      </c>
      <c r="V771" t="s">
        <v>4131</v>
      </c>
      <c r="W771">
        <v>44535</v>
      </c>
      <c r="X771" t="s">
        <v>5519</v>
      </c>
      <c r="Y771" t="s">
        <v>6</v>
      </c>
      <c r="Z771" t="s">
        <v>17</v>
      </c>
      <c r="AA771" t="s">
        <v>717</v>
      </c>
      <c r="AB771" t="s">
        <v>2509</v>
      </c>
      <c r="AC771" t="s">
        <v>2571</v>
      </c>
      <c r="AD771" t="s">
        <v>717</v>
      </c>
      <c r="AE771" t="s">
        <v>5520</v>
      </c>
      <c r="AF771" t="s">
        <v>5521</v>
      </c>
      <c r="AG771" t="s">
        <v>5522</v>
      </c>
      <c r="AH771" t="s">
        <v>2580</v>
      </c>
      <c r="AI771" t="s">
        <v>2538</v>
      </c>
      <c r="AJ771" t="s">
        <v>3921</v>
      </c>
      <c r="AK771" t="s">
        <v>73</v>
      </c>
      <c r="AL771" t="s">
        <v>16</v>
      </c>
      <c r="AM771" t="s">
        <v>10</v>
      </c>
      <c r="AN771" t="s">
        <v>717</v>
      </c>
    </row>
    <row r="772" spans="1:40" hidden="1">
      <c r="A772">
        <v>770</v>
      </c>
      <c r="B772">
        <v>6</v>
      </c>
      <c r="C772" s="58">
        <v>44538</v>
      </c>
      <c r="D772" t="s">
        <v>27</v>
      </c>
      <c r="E772" t="s">
        <v>2506</v>
      </c>
      <c r="F772">
        <v>3</v>
      </c>
      <c r="G772">
        <v>7</v>
      </c>
      <c r="H772">
        <v>250</v>
      </c>
      <c r="I772">
        <v>0</v>
      </c>
      <c r="J772">
        <v>23.54</v>
      </c>
      <c r="K772" t="s">
        <v>9</v>
      </c>
      <c r="L772">
        <v>1712058.84</v>
      </c>
      <c r="M772">
        <v>0</v>
      </c>
      <c r="N772">
        <v>1712058.84</v>
      </c>
      <c r="O772">
        <v>72729.772302463898</v>
      </c>
      <c r="P772">
        <v>0</v>
      </c>
      <c r="Q772">
        <v>1712058.84</v>
      </c>
      <c r="R772">
        <v>72729.772302463898</v>
      </c>
      <c r="S772" t="s">
        <v>65</v>
      </c>
      <c r="T772" t="s">
        <v>717</v>
      </c>
      <c r="U772" t="s">
        <v>717</v>
      </c>
      <c r="V772" t="s">
        <v>717</v>
      </c>
      <c r="W772">
        <v>44536</v>
      </c>
      <c r="X772" t="s">
        <v>5523</v>
      </c>
      <c r="Y772" t="s">
        <v>6</v>
      </c>
      <c r="Z772" t="s">
        <v>17</v>
      </c>
      <c r="AA772" t="s">
        <v>717</v>
      </c>
      <c r="AB772" t="s">
        <v>2509</v>
      </c>
      <c r="AC772" t="s">
        <v>2571</v>
      </c>
      <c r="AD772" t="s">
        <v>717</v>
      </c>
      <c r="AE772" t="s">
        <v>5428</v>
      </c>
      <c r="AF772" t="s">
        <v>5429</v>
      </c>
      <c r="AG772" t="s">
        <v>5430</v>
      </c>
      <c r="AH772" t="s">
        <v>2580</v>
      </c>
      <c r="AI772" t="s">
        <v>2600</v>
      </c>
      <c r="AJ772" t="s">
        <v>3921</v>
      </c>
      <c r="AK772" t="s">
        <v>77</v>
      </c>
      <c r="AL772" t="s">
        <v>16</v>
      </c>
      <c r="AM772" t="s">
        <v>10</v>
      </c>
      <c r="AN772" t="s">
        <v>717</v>
      </c>
    </row>
    <row r="773" spans="1:40" hidden="1">
      <c r="A773">
        <v>771</v>
      </c>
      <c r="B773">
        <v>7</v>
      </c>
      <c r="C773" s="58">
        <v>44540</v>
      </c>
      <c r="D773" t="s">
        <v>27</v>
      </c>
      <c r="E773" t="s">
        <v>2515</v>
      </c>
      <c r="F773">
        <v>5</v>
      </c>
      <c r="G773">
        <v>8</v>
      </c>
      <c r="H773">
        <v>59</v>
      </c>
      <c r="I773">
        <v>0</v>
      </c>
      <c r="J773">
        <v>24.47</v>
      </c>
      <c r="K773" t="s">
        <v>15</v>
      </c>
      <c r="L773">
        <v>2070895.92</v>
      </c>
      <c r="M773">
        <v>0</v>
      </c>
      <c r="N773">
        <v>2070895.92</v>
      </c>
      <c r="O773">
        <v>84629.992644053942</v>
      </c>
      <c r="P773">
        <v>134585</v>
      </c>
      <c r="Q773">
        <v>1936310.92</v>
      </c>
      <c r="R773">
        <v>79129.992644053942</v>
      </c>
      <c r="S773" t="s">
        <v>65</v>
      </c>
      <c r="T773" t="s">
        <v>717</v>
      </c>
      <c r="U773" t="s">
        <v>717</v>
      </c>
      <c r="V773" t="s">
        <v>717</v>
      </c>
      <c r="W773">
        <v>44535</v>
      </c>
      <c r="X773" t="s">
        <v>5524</v>
      </c>
      <c r="Y773" t="s">
        <v>6</v>
      </c>
      <c r="Z773" t="s">
        <v>17</v>
      </c>
      <c r="AA773" t="s">
        <v>717</v>
      </c>
      <c r="AB773" t="s">
        <v>2509</v>
      </c>
      <c r="AC773" t="s">
        <v>2564</v>
      </c>
      <c r="AD773" t="s">
        <v>717</v>
      </c>
      <c r="AE773" t="s">
        <v>5525</v>
      </c>
      <c r="AF773" t="s">
        <v>5526</v>
      </c>
      <c r="AG773" t="s">
        <v>5527</v>
      </c>
      <c r="AH773" t="s">
        <v>2615</v>
      </c>
      <c r="AI773" t="s">
        <v>4762</v>
      </c>
      <c r="AJ773" t="s">
        <v>2662</v>
      </c>
      <c r="AK773" t="s">
        <v>73</v>
      </c>
      <c r="AL773" t="s">
        <v>575</v>
      </c>
      <c r="AM773" t="s">
        <v>10</v>
      </c>
      <c r="AN773" t="s">
        <v>717</v>
      </c>
    </row>
    <row r="774" spans="1:40" hidden="1">
      <c r="A774">
        <v>772</v>
      </c>
      <c r="B774">
        <v>8</v>
      </c>
      <c r="C774" s="58">
        <v>44540</v>
      </c>
      <c r="D774" t="s">
        <v>121</v>
      </c>
      <c r="E774" t="s">
        <v>2506</v>
      </c>
      <c r="F774">
        <v>6</v>
      </c>
      <c r="G774">
        <v>8</v>
      </c>
      <c r="H774">
        <v>233</v>
      </c>
      <c r="I774">
        <v>2</v>
      </c>
      <c r="J774">
        <v>60.24</v>
      </c>
      <c r="K774" t="s">
        <v>9</v>
      </c>
      <c r="L774">
        <v>3939023.76</v>
      </c>
      <c r="M774">
        <v>0</v>
      </c>
      <c r="N774">
        <v>3939023.76</v>
      </c>
      <c r="O774">
        <v>65388.840637450194</v>
      </c>
      <c r="P774">
        <v>0</v>
      </c>
      <c r="Q774">
        <v>3939023.76</v>
      </c>
      <c r="R774">
        <v>65388.840637450194</v>
      </c>
      <c r="S774" t="s">
        <v>65</v>
      </c>
      <c r="T774" t="s">
        <v>717</v>
      </c>
      <c r="U774" t="s">
        <v>717</v>
      </c>
      <c r="V774" t="s">
        <v>4131</v>
      </c>
      <c r="W774">
        <v>44537</v>
      </c>
      <c r="X774" t="s">
        <v>5528</v>
      </c>
      <c r="Y774" t="s">
        <v>6</v>
      </c>
      <c r="Z774" t="s">
        <v>17</v>
      </c>
      <c r="AA774" t="s">
        <v>717</v>
      </c>
      <c r="AB774" t="s">
        <v>2509</v>
      </c>
      <c r="AC774" t="s">
        <v>2571</v>
      </c>
      <c r="AD774" t="s">
        <v>717</v>
      </c>
      <c r="AE774" t="s">
        <v>5529</v>
      </c>
      <c r="AF774" t="s">
        <v>717</v>
      </c>
      <c r="AG774" t="s">
        <v>4403</v>
      </c>
      <c r="AH774" t="s">
        <v>2191</v>
      </c>
      <c r="AI774" t="s">
        <v>2600</v>
      </c>
      <c r="AJ774" t="s">
        <v>3202</v>
      </c>
      <c r="AK774" t="s">
        <v>73</v>
      </c>
      <c r="AL774" t="s">
        <v>16</v>
      </c>
      <c r="AM774" t="s">
        <v>10</v>
      </c>
      <c r="AN774" t="s">
        <v>717</v>
      </c>
    </row>
    <row r="775" spans="1:40" hidden="1">
      <c r="A775">
        <v>773</v>
      </c>
      <c r="B775">
        <v>9</v>
      </c>
      <c r="C775" s="58">
        <v>44540</v>
      </c>
      <c r="D775" t="s">
        <v>27</v>
      </c>
      <c r="E775" t="s">
        <v>5079</v>
      </c>
      <c r="F775">
        <v>4</v>
      </c>
      <c r="G775">
        <v>16</v>
      </c>
      <c r="H775">
        <v>761</v>
      </c>
      <c r="I775">
        <v>0</v>
      </c>
      <c r="J775">
        <v>24.39</v>
      </c>
      <c r="K775" t="s">
        <v>25</v>
      </c>
      <c r="L775">
        <v>2164119.15</v>
      </c>
      <c r="M775">
        <v>0</v>
      </c>
      <c r="N775">
        <v>2164119.15</v>
      </c>
      <c r="O775">
        <v>88729.772447724477</v>
      </c>
      <c r="P775">
        <v>390240</v>
      </c>
      <c r="Q775">
        <v>1773879.15</v>
      </c>
      <c r="R775">
        <v>72729.772447724477</v>
      </c>
      <c r="S775" t="s">
        <v>130</v>
      </c>
      <c r="T775" t="s">
        <v>717</v>
      </c>
      <c r="U775" t="s">
        <v>717</v>
      </c>
      <c r="V775" t="s">
        <v>717</v>
      </c>
      <c r="W775">
        <v>44538</v>
      </c>
      <c r="X775" t="s">
        <v>5530</v>
      </c>
      <c r="Y775" t="s">
        <v>6</v>
      </c>
      <c r="Z775" t="s">
        <v>17</v>
      </c>
      <c r="AA775" t="s">
        <v>717</v>
      </c>
      <c r="AB775" t="s">
        <v>2509</v>
      </c>
      <c r="AC775" t="s">
        <v>118</v>
      </c>
      <c r="AD775" t="s">
        <v>717</v>
      </c>
      <c r="AE775" t="s">
        <v>5531</v>
      </c>
      <c r="AF775" t="s">
        <v>5532</v>
      </c>
      <c r="AG775" t="s">
        <v>5533</v>
      </c>
      <c r="AH775" t="s">
        <v>2191</v>
      </c>
      <c r="AI775" t="s">
        <v>2621</v>
      </c>
      <c r="AJ775" t="s">
        <v>2514</v>
      </c>
      <c r="AK775" t="s">
        <v>73</v>
      </c>
      <c r="AL775" t="s">
        <v>717</v>
      </c>
      <c r="AM775" t="s">
        <v>10</v>
      </c>
      <c r="AN775" t="s">
        <v>717</v>
      </c>
    </row>
    <row r="776" spans="1:40" hidden="1">
      <c r="A776">
        <v>774</v>
      </c>
      <c r="B776">
        <v>10</v>
      </c>
      <c r="C776" s="58">
        <v>44540</v>
      </c>
      <c r="D776" t="s">
        <v>27</v>
      </c>
      <c r="E776" t="s">
        <v>5079</v>
      </c>
      <c r="F776">
        <v>5</v>
      </c>
      <c r="G776">
        <v>11</v>
      </c>
      <c r="H776">
        <v>717</v>
      </c>
      <c r="I776">
        <v>1</v>
      </c>
      <c r="J776">
        <v>38.96</v>
      </c>
      <c r="K776" t="s">
        <v>15</v>
      </c>
      <c r="L776">
        <v>2983948.22</v>
      </c>
      <c r="M776">
        <v>0</v>
      </c>
      <c r="N776">
        <v>2983948.22</v>
      </c>
      <c r="O776">
        <v>76590.046714579061</v>
      </c>
      <c r="P776">
        <v>214280</v>
      </c>
      <c r="Q776">
        <v>2769668.22</v>
      </c>
      <c r="R776">
        <v>71090.046714579061</v>
      </c>
      <c r="S776" t="s">
        <v>65</v>
      </c>
      <c r="T776" t="s">
        <v>717</v>
      </c>
      <c r="U776" t="s">
        <v>717</v>
      </c>
      <c r="V776" t="s">
        <v>4131</v>
      </c>
      <c r="W776">
        <v>44538</v>
      </c>
      <c r="X776" t="s">
        <v>5534</v>
      </c>
      <c r="Y776" t="s">
        <v>6</v>
      </c>
      <c r="Z776" t="s">
        <v>17</v>
      </c>
      <c r="AA776" t="s">
        <v>717</v>
      </c>
      <c r="AB776" t="s">
        <v>2509</v>
      </c>
      <c r="AC776" t="s">
        <v>2571</v>
      </c>
      <c r="AD776" t="s">
        <v>717</v>
      </c>
      <c r="AE776" t="s">
        <v>5535</v>
      </c>
      <c r="AF776" t="s">
        <v>5536</v>
      </c>
      <c r="AG776" t="s">
        <v>5537</v>
      </c>
      <c r="AH776" t="s">
        <v>65</v>
      </c>
      <c r="AI776" t="s">
        <v>5056</v>
      </c>
      <c r="AJ776" t="s">
        <v>3202</v>
      </c>
      <c r="AK776" t="s">
        <v>20</v>
      </c>
      <c r="AL776" t="s">
        <v>16</v>
      </c>
      <c r="AM776" t="s">
        <v>10</v>
      </c>
      <c r="AN776" t="s">
        <v>717</v>
      </c>
    </row>
    <row r="777" spans="1:40" hidden="1">
      <c r="A777">
        <v>775</v>
      </c>
      <c r="B777">
        <v>11</v>
      </c>
      <c r="C777" s="58">
        <v>44540</v>
      </c>
      <c r="D777" t="s">
        <v>121</v>
      </c>
      <c r="E777" t="s">
        <v>2515</v>
      </c>
      <c r="F777">
        <v>4</v>
      </c>
      <c r="G777">
        <v>14</v>
      </c>
      <c r="H777">
        <v>88</v>
      </c>
      <c r="I777">
        <v>1</v>
      </c>
      <c r="J777">
        <v>36.86</v>
      </c>
      <c r="K777" t="s">
        <v>15</v>
      </c>
      <c r="L777">
        <v>2960961.73</v>
      </c>
      <c r="M777">
        <v>0</v>
      </c>
      <c r="N777">
        <v>2960961.73</v>
      </c>
      <c r="O777">
        <v>80329.943841562679</v>
      </c>
      <c r="P777">
        <v>202730</v>
      </c>
      <c r="Q777">
        <v>2758231.73</v>
      </c>
      <c r="R777">
        <v>74829.943841562679</v>
      </c>
      <c r="S777" t="s">
        <v>65</v>
      </c>
      <c r="T777" t="s">
        <v>717</v>
      </c>
      <c r="U777" t="s">
        <v>717</v>
      </c>
      <c r="V777" t="s">
        <v>717</v>
      </c>
      <c r="W777">
        <v>44533</v>
      </c>
      <c r="X777" t="s">
        <v>5538</v>
      </c>
      <c r="Y777" t="s">
        <v>6</v>
      </c>
      <c r="Z777" t="s">
        <v>17</v>
      </c>
      <c r="AA777" t="s">
        <v>717</v>
      </c>
      <c r="AB777" t="s">
        <v>2509</v>
      </c>
      <c r="AC777" t="s">
        <v>2564</v>
      </c>
      <c r="AD777" t="s">
        <v>717</v>
      </c>
      <c r="AE777" t="s">
        <v>5539</v>
      </c>
      <c r="AF777" t="s">
        <v>5540</v>
      </c>
      <c r="AG777" t="s">
        <v>5541</v>
      </c>
      <c r="AH777" t="s">
        <v>2191</v>
      </c>
      <c r="AI777" t="s">
        <v>2538</v>
      </c>
      <c r="AJ777" t="s">
        <v>2514</v>
      </c>
      <c r="AK777" t="s">
        <v>77</v>
      </c>
      <c r="AL777" t="s">
        <v>16</v>
      </c>
      <c r="AM777" t="s">
        <v>10</v>
      </c>
      <c r="AN777" t="s">
        <v>717</v>
      </c>
    </row>
    <row r="778" spans="1:40" hidden="1">
      <c r="A778">
        <v>776</v>
      </c>
      <c r="B778">
        <v>12</v>
      </c>
      <c r="C778" s="58">
        <v>44544</v>
      </c>
      <c r="D778" t="s">
        <v>27</v>
      </c>
      <c r="E778" t="s">
        <v>2506</v>
      </c>
      <c r="F778">
        <v>8</v>
      </c>
      <c r="G778">
        <v>15</v>
      </c>
      <c r="H778">
        <v>319</v>
      </c>
      <c r="I778">
        <v>2</v>
      </c>
      <c r="J778">
        <v>55.8</v>
      </c>
      <c r="K778" t="s">
        <v>9</v>
      </c>
      <c r="L778">
        <v>3645021.86</v>
      </c>
      <c r="M778">
        <v>0</v>
      </c>
      <c r="N778">
        <v>3645021.86</v>
      </c>
      <c r="O778">
        <v>65322.97240143369</v>
      </c>
      <c r="P778">
        <v>0</v>
      </c>
      <c r="Q778">
        <v>3645021.86</v>
      </c>
      <c r="R778">
        <v>65322.97240143369</v>
      </c>
      <c r="S778" t="s">
        <v>2507</v>
      </c>
      <c r="T778" t="s">
        <v>717</v>
      </c>
      <c r="U778" t="s">
        <v>717</v>
      </c>
      <c r="V778" t="s">
        <v>717</v>
      </c>
      <c r="W778">
        <v>44532</v>
      </c>
      <c r="X778" t="s">
        <v>5542</v>
      </c>
      <c r="Y778" t="s">
        <v>6</v>
      </c>
      <c r="Z778" t="s">
        <v>11</v>
      </c>
      <c r="AA778" t="s">
        <v>717</v>
      </c>
      <c r="AB778" t="s">
        <v>2509</v>
      </c>
      <c r="AC778" t="s">
        <v>118</v>
      </c>
      <c r="AD778" t="s">
        <v>717</v>
      </c>
      <c r="AE778" t="s">
        <v>5543</v>
      </c>
      <c r="AF778" t="s">
        <v>5544</v>
      </c>
      <c r="AG778" t="s">
        <v>5545</v>
      </c>
      <c r="AH778" t="s">
        <v>2552</v>
      </c>
      <c r="AI778" t="s">
        <v>2877</v>
      </c>
      <c r="AJ778" t="s">
        <v>3098</v>
      </c>
      <c r="AK778" t="s">
        <v>63</v>
      </c>
      <c r="AL778" t="s">
        <v>717</v>
      </c>
      <c r="AM778" t="s">
        <v>10</v>
      </c>
      <c r="AN778" t="s">
        <v>717</v>
      </c>
    </row>
    <row r="779" spans="1:40" hidden="1">
      <c r="A779">
        <v>777</v>
      </c>
      <c r="B779">
        <v>13</v>
      </c>
      <c r="C779" s="58">
        <v>44544</v>
      </c>
      <c r="D779" t="s">
        <v>121</v>
      </c>
      <c r="E779" t="s">
        <v>2515</v>
      </c>
      <c r="F779">
        <v>5</v>
      </c>
      <c r="G779">
        <v>8</v>
      </c>
      <c r="H779">
        <v>47</v>
      </c>
      <c r="I779">
        <v>1</v>
      </c>
      <c r="J779">
        <v>36.42</v>
      </c>
      <c r="K779" t="s">
        <v>15</v>
      </c>
      <c r="L779">
        <v>2925616.56</v>
      </c>
      <c r="M779">
        <v>0</v>
      </c>
      <c r="N779">
        <v>2925616.56</v>
      </c>
      <c r="O779">
        <v>80329.943986820421</v>
      </c>
      <c r="P779">
        <v>200310</v>
      </c>
      <c r="Q779">
        <v>2725306.56</v>
      </c>
      <c r="R779">
        <v>74829.943986820421</v>
      </c>
      <c r="S779" t="s">
        <v>65</v>
      </c>
      <c r="T779" t="s">
        <v>717</v>
      </c>
      <c r="U779" t="s">
        <v>717</v>
      </c>
      <c r="V779" t="s">
        <v>4131</v>
      </c>
      <c r="W779">
        <v>44534</v>
      </c>
      <c r="X779" t="s">
        <v>5546</v>
      </c>
      <c r="Y779" t="s">
        <v>6</v>
      </c>
      <c r="Z779" t="s">
        <v>17</v>
      </c>
      <c r="AA779" t="s">
        <v>717</v>
      </c>
      <c r="AB779" t="s">
        <v>2509</v>
      </c>
      <c r="AC779" t="s">
        <v>2571</v>
      </c>
      <c r="AD779" t="s">
        <v>717</v>
      </c>
      <c r="AE779" t="s">
        <v>5547</v>
      </c>
      <c r="AF779" t="s">
        <v>5548</v>
      </c>
      <c r="AG779" t="s">
        <v>5549</v>
      </c>
      <c r="AH779" t="s">
        <v>2615</v>
      </c>
      <c r="AI779" t="s">
        <v>2552</v>
      </c>
      <c r="AJ779" t="s">
        <v>3202</v>
      </c>
      <c r="AK779" t="s">
        <v>20</v>
      </c>
      <c r="AL779" t="s">
        <v>16</v>
      </c>
      <c r="AM779" t="s">
        <v>10</v>
      </c>
      <c r="AN779" t="s">
        <v>717</v>
      </c>
    </row>
    <row r="780" spans="1:40" hidden="1">
      <c r="A780">
        <v>778</v>
      </c>
      <c r="B780">
        <v>14</v>
      </c>
      <c r="C780" s="58">
        <v>44544</v>
      </c>
      <c r="D780" t="s">
        <v>27</v>
      </c>
      <c r="E780" t="s">
        <v>5456</v>
      </c>
      <c r="F780">
        <v>6</v>
      </c>
      <c r="G780">
        <v>9</v>
      </c>
      <c r="H780">
        <v>899</v>
      </c>
      <c r="I780">
        <v>2</v>
      </c>
      <c r="J780">
        <v>54.28</v>
      </c>
      <c r="K780" t="s">
        <v>15</v>
      </c>
      <c r="L780">
        <v>3610198.78</v>
      </c>
      <c r="M780">
        <v>0</v>
      </c>
      <c r="N780">
        <v>3610198.78</v>
      </c>
      <c r="O780">
        <v>66510.662859248332</v>
      </c>
      <c r="P780">
        <v>298540</v>
      </c>
      <c r="Q780">
        <v>3311658.78</v>
      </c>
      <c r="R780">
        <v>61010.662859248339</v>
      </c>
      <c r="S780" t="s">
        <v>65</v>
      </c>
      <c r="T780" t="s">
        <v>5443</v>
      </c>
      <c r="U780">
        <v>298540</v>
      </c>
      <c r="V780" t="s">
        <v>4131</v>
      </c>
      <c r="W780">
        <v>44542</v>
      </c>
      <c r="X780" t="s">
        <v>5550</v>
      </c>
      <c r="Y780" t="s">
        <v>6</v>
      </c>
      <c r="Z780" t="s">
        <v>17</v>
      </c>
      <c r="AA780" t="s">
        <v>717</v>
      </c>
      <c r="AB780" t="s">
        <v>2509</v>
      </c>
      <c r="AC780" t="s">
        <v>2571</v>
      </c>
      <c r="AD780" t="s">
        <v>717</v>
      </c>
      <c r="AE780" t="s">
        <v>3467</v>
      </c>
      <c r="AF780" t="s">
        <v>3468</v>
      </c>
      <c r="AG780" t="s">
        <v>3469</v>
      </c>
      <c r="AH780" t="s">
        <v>2580</v>
      </c>
      <c r="AI780" t="s">
        <v>2600</v>
      </c>
      <c r="AJ780" t="s">
        <v>3921</v>
      </c>
      <c r="AK780" t="s">
        <v>20</v>
      </c>
      <c r="AL780" t="s">
        <v>16</v>
      </c>
      <c r="AM780" t="s">
        <v>10</v>
      </c>
      <c r="AN780" t="s">
        <v>717</v>
      </c>
    </row>
    <row r="781" spans="1:40" hidden="1">
      <c r="A781">
        <v>779</v>
      </c>
      <c r="B781">
        <v>15</v>
      </c>
      <c r="C781" s="58">
        <v>44544</v>
      </c>
      <c r="D781" t="s">
        <v>27</v>
      </c>
      <c r="E781" t="s">
        <v>2515</v>
      </c>
      <c r="F781">
        <v>6</v>
      </c>
      <c r="G781">
        <v>4</v>
      </c>
      <c r="H781">
        <v>24</v>
      </c>
      <c r="I781">
        <v>2</v>
      </c>
      <c r="J781">
        <v>54.67</v>
      </c>
      <c r="K781" t="s">
        <v>15</v>
      </c>
      <c r="L781">
        <v>3571206.77</v>
      </c>
      <c r="M781">
        <v>0</v>
      </c>
      <c r="N781">
        <v>3571206.77</v>
      </c>
      <c r="O781">
        <v>65322.970001829155</v>
      </c>
      <c r="P781">
        <v>300685</v>
      </c>
      <c r="Q781">
        <v>3270521.77</v>
      </c>
      <c r="R781">
        <v>59822.970001829155</v>
      </c>
      <c r="S781" t="s">
        <v>65</v>
      </c>
      <c r="T781" t="s">
        <v>5443</v>
      </c>
      <c r="U781">
        <v>300685</v>
      </c>
      <c r="V781" t="s">
        <v>4131</v>
      </c>
      <c r="W781">
        <v>44538</v>
      </c>
      <c r="X781" t="s">
        <v>5551</v>
      </c>
      <c r="Y781" t="s">
        <v>2611</v>
      </c>
      <c r="Z781" t="s">
        <v>17</v>
      </c>
      <c r="AA781" t="s">
        <v>717</v>
      </c>
      <c r="AB781" t="s">
        <v>2509</v>
      </c>
      <c r="AC781" t="s">
        <v>2571</v>
      </c>
      <c r="AD781">
        <v>45037</v>
      </c>
      <c r="AE781" t="s">
        <v>5552</v>
      </c>
      <c r="AF781" t="s">
        <v>3348</v>
      </c>
      <c r="AG781" t="s">
        <v>5553</v>
      </c>
      <c r="AH781" t="s">
        <v>2615</v>
      </c>
      <c r="AI781" t="s">
        <v>2697</v>
      </c>
      <c r="AJ781" t="s">
        <v>2940</v>
      </c>
      <c r="AK781" t="s">
        <v>77</v>
      </c>
      <c r="AL781" t="s">
        <v>575</v>
      </c>
      <c r="AM781" t="s">
        <v>10</v>
      </c>
      <c r="AN781" t="s">
        <v>717</v>
      </c>
    </row>
    <row r="782" spans="1:40" hidden="1">
      <c r="A782">
        <v>780</v>
      </c>
      <c r="B782">
        <v>16</v>
      </c>
      <c r="C782" s="58">
        <v>44545</v>
      </c>
      <c r="D782" t="s">
        <v>27</v>
      </c>
      <c r="E782" t="s">
        <v>2581</v>
      </c>
      <c r="F782">
        <v>4</v>
      </c>
      <c r="G782">
        <v>8</v>
      </c>
      <c r="H782">
        <v>443</v>
      </c>
      <c r="I782">
        <v>1</v>
      </c>
      <c r="J782">
        <v>40</v>
      </c>
      <c r="K782" t="s">
        <v>15</v>
      </c>
      <c r="L782">
        <v>3063601.87</v>
      </c>
      <c r="M782">
        <v>0</v>
      </c>
      <c r="N782">
        <v>3063601.87</v>
      </c>
      <c r="O782">
        <v>76590.046750000023</v>
      </c>
      <c r="P782">
        <v>220000</v>
      </c>
      <c r="Q782">
        <v>2843601.87</v>
      </c>
      <c r="R782">
        <v>71090.046750000009</v>
      </c>
      <c r="S782" t="s">
        <v>65</v>
      </c>
      <c r="T782" t="s">
        <v>717</v>
      </c>
      <c r="U782" t="s">
        <v>717</v>
      </c>
      <c r="V782" t="s">
        <v>717</v>
      </c>
      <c r="W782">
        <v>44543</v>
      </c>
      <c r="X782" t="s">
        <v>5554</v>
      </c>
      <c r="Y782" t="s">
        <v>6</v>
      </c>
      <c r="Z782" t="s">
        <v>17</v>
      </c>
      <c r="AA782" t="s">
        <v>717</v>
      </c>
      <c r="AB782" t="s">
        <v>2509</v>
      </c>
      <c r="AC782" t="s">
        <v>2571</v>
      </c>
      <c r="AD782" t="s">
        <v>717</v>
      </c>
      <c r="AE782" t="s">
        <v>5555</v>
      </c>
      <c r="AF782" t="s">
        <v>5556</v>
      </c>
      <c r="AG782" t="s">
        <v>5557</v>
      </c>
      <c r="AH782" t="s">
        <v>2615</v>
      </c>
      <c r="AI782" t="s">
        <v>3120</v>
      </c>
      <c r="AJ782" t="s">
        <v>3202</v>
      </c>
      <c r="AK782" t="s">
        <v>73</v>
      </c>
      <c r="AL782" t="s">
        <v>16</v>
      </c>
      <c r="AM782" t="s">
        <v>10</v>
      </c>
      <c r="AN782" t="s">
        <v>717</v>
      </c>
    </row>
    <row r="783" spans="1:40" hidden="1">
      <c r="A783">
        <v>781</v>
      </c>
      <c r="B783">
        <v>17</v>
      </c>
      <c r="C783" s="58">
        <v>44545</v>
      </c>
      <c r="D783" t="s">
        <v>27</v>
      </c>
      <c r="E783" t="s">
        <v>2515</v>
      </c>
      <c r="F783">
        <v>3</v>
      </c>
      <c r="G783">
        <v>13</v>
      </c>
      <c r="H783">
        <v>102</v>
      </c>
      <c r="I783">
        <v>1</v>
      </c>
      <c r="J783">
        <v>41.06</v>
      </c>
      <c r="K783" t="s">
        <v>25</v>
      </c>
      <c r="L783">
        <v>3454294.1</v>
      </c>
      <c r="M783">
        <v>0</v>
      </c>
      <c r="N783">
        <v>3454294.1</v>
      </c>
      <c r="O783">
        <v>84127.961519727221</v>
      </c>
      <c r="P783">
        <v>656960</v>
      </c>
      <c r="Q783">
        <v>2797334.1</v>
      </c>
      <c r="R783">
        <v>68127.961519727221</v>
      </c>
      <c r="S783" t="s">
        <v>65</v>
      </c>
      <c r="T783" t="s">
        <v>717</v>
      </c>
      <c r="U783" t="s">
        <v>717</v>
      </c>
      <c r="V783" t="s">
        <v>717</v>
      </c>
      <c r="W783">
        <v>44544</v>
      </c>
      <c r="X783" t="s">
        <v>5558</v>
      </c>
      <c r="Y783" t="s">
        <v>6</v>
      </c>
      <c r="Z783" t="s">
        <v>17</v>
      </c>
      <c r="AA783" t="s">
        <v>717</v>
      </c>
      <c r="AB783" t="s">
        <v>2509</v>
      </c>
      <c r="AC783" t="s">
        <v>2571</v>
      </c>
      <c r="AD783" t="s">
        <v>717</v>
      </c>
      <c r="AE783" t="s">
        <v>5559</v>
      </c>
      <c r="AF783" t="s">
        <v>5560</v>
      </c>
      <c r="AG783" t="s">
        <v>5561</v>
      </c>
      <c r="AH783" t="s">
        <v>2615</v>
      </c>
      <c r="AI783" t="s">
        <v>2552</v>
      </c>
      <c r="AJ783" t="s">
        <v>2651</v>
      </c>
      <c r="AK783" t="s">
        <v>63</v>
      </c>
      <c r="AL783" t="s">
        <v>16</v>
      </c>
      <c r="AM783" t="s">
        <v>10</v>
      </c>
      <c r="AN783" t="s">
        <v>717</v>
      </c>
    </row>
    <row r="784" spans="1:40" hidden="1">
      <c r="A784">
        <v>782</v>
      </c>
      <c r="B784">
        <v>18</v>
      </c>
      <c r="C784" s="58">
        <v>44545</v>
      </c>
      <c r="D784" t="s">
        <v>27</v>
      </c>
      <c r="E784" t="s">
        <v>2581</v>
      </c>
      <c r="F784">
        <v>2</v>
      </c>
      <c r="G784">
        <v>6</v>
      </c>
      <c r="H784">
        <v>425</v>
      </c>
      <c r="I784">
        <v>1</v>
      </c>
      <c r="J784">
        <v>37.159999999999997</v>
      </c>
      <c r="K784" t="s">
        <v>9</v>
      </c>
      <c r="L784">
        <v>2641706.2599999998</v>
      </c>
      <c r="M784">
        <v>0</v>
      </c>
      <c r="N784">
        <v>2641706.2599999998</v>
      </c>
      <c r="O784">
        <v>71090.050053821309</v>
      </c>
      <c r="P784">
        <v>0</v>
      </c>
      <c r="Q784">
        <v>2641706.2599999998</v>
      </c>
      <c r="R784">
        <v>71090.050053821309</v>
      </c>
      <c r="S784" t="s">
        <v>65</v>
      </c>
      <c r="T784" t="s">
        <v>717</v>
      </c>
      <c r="U784" t="s">
        <v>717</v>
      </c>
      <c r="V784" t="s">
        <v>717</v>
      </c>
      <c r="W784">
        <v>44535</v>
      </c>
      <c r="X784" t="s">
        <v>5562</v>
      </c>
      <c r="Y784" t="s">
        <v>6</v>
      </c>
      <c r="Z784" t="s">
        <v>17</v>
      </c>
      <c r="AA784" t="s">
        <v>717</v>
      </c>
      <c r="AB784" t="s">
        <v>2509</v>
      </c>
      <c r="AC784" t="s">
        <v>2571</v>
      </c>
      <c r="AD784" t="s">
        <v>717</v>
      </c>
      <c r="AE784" t="s">
        <v>5563</v>
      </c>
      <c r="AF784" t="s">
        <v>5564</v>
      </c>
      <c r="AG784" t="s">
        <v>717</v>
      </c>
      <c r="AH784" t="s">
        <v>2615</v>
      </c>
      <c r="AI784" t="s">
        <v>2552</v>
      </c>
      <c r="AJ784" t="s">
        <v>2895</v>
      </c>
      <c r="AK784" t="s">
        <v>471</v>
      </c>
      <c r="AL784" t="s">
        <v>575</v>
      </c>
      <c r="AM784" t="s">
        <v>10</v>
      </c>
      <c r="AN784" t="s">
        <v>717</v>
      </c>
    </row>
    <row r="785" spans="1:40" hidden="1">
      <c r="A785">
        <v>783</v>
      </c>
      <c r="B785">
        <v>19</v>
      </c>
      <c r="C785" s="58">
        <v>44546</v>
      </c>
      <c r="D785" t="s">
        <v>121</v>
      </c>
      <c r="E785" t="s">
        <v>2506</v>
      </c>
      <c r="F785">
        <v>6</v>
      </c>
      <c r="G785">
        <v>4</v>
      </c>
      <c r="H785">
        <v>189</v>
      </c>
      <c r="I785">
        <v>2</v>
      </c>
      <c r="J785">
        <v>60.24</v>
      </c>
      <c r="K785" t="s">
        <v>9</v>
      </c>
      <c r="L785">
        <v>3066691.19</v>
      </c>
      <c r="M785">
        <v>0</v>
      </c>
      <c r="N785">
        <v>3066691.19</v>
      </c>
      <c r="O785">
        <v>50907.888280212479</v>
      </c>
      <c r="P785">
        <v>0</v>
      </c>
      <c r="Q785">
        <v>3066691.19</v>
      </c>
      <c r="R785">
        <v>50907.888280212479</v>
      </c>
      <c r="S785" t="s">
        <v>2507</v>
      </c>
      <c r="T785" t="s">
        <v>717</v>
      </c>
      <c r="U785" t="s">
        <v>717</v>
      </c>
      <c r="V785" t="s">
        <v>717</v>
      </c>
      <c r="W785">
        <v>44498</v>
      </c>
      <c r="X785" t="s">
        <v>5565</v>
      </c>
      <c r="Y785" t="s">
        <v>6</v>
      </c>
      <c r="Z785" t="s">
        <v>11</v>
      </c>
      <c r="AA785" t="s">
        <v>717</v>
      </c>
      <c r="AB785" t="s">
        <v>2509</v>
      </c>
      <c r="AC785" t="s">
        <v>118</v>
      </c>
      <c r="AD785" t="s">
        <v>717</v>
      </c>
      <c r="AE785" t="s">
        <v>5566</v>
      </c>
      <c r="AF785" t="s">
        <v>5567</v>
      </c>
      <c r="AG785" t="s">
        <v>5568</v>
      </c>
      <c r="AH785" t="s">
        <v>2191</v>
      </c>
      <c r="AI785" t="s">
        <v>2538</v>
      </c>
      <c r="AJ785" t="s">
        <v>2514</v>
      </c>
      <c r="AK785" t="s">
        <v>63</v>
      </c>
      <c r="AL785" t="s">
        <v>717</v>
      </c>
      <c r="AM785" t="s">
        <v>10</v>
      </c>
      <c r="AN785" t="s">
        <v>1970</v>
      </c>
    </row>
    <row r="786" spans="1:40" hidden="1">
      <c r="A786">
        <v>784</v>
      </c>
      <c r="B786">
        <v>20</v>
      </c>
      <c r="C786" s="58">
        <v>44546</v>
      </c>
      <c r="D786" t="s">
        <v>27</v>
      </c>
      <c r="E786" t="s">
        <v>5079</v>
      </c>
      <c r="F786">
        <v>6</v>
      </c>
      <c r="G786">
        <v>6</v>
      </c>
      <c r="H786">
        <v>673</v>
      </c>
      <c r="I786">
        <v>2</v>
      </c>
      <c r="J786">
        <v>61.95</v>
      </c>
      <c r="K786" t="s">
        <v>15</v>
      </c>
      <c r="L786">
        <v>4193912.78</v>
      </c>
      <c r="M786">
        <v>0</v>
      </c>
      <c r="N786">
        <v>4193912.78</v>
      </c>
      <c r="O786">
        <v>67698.349959644867</v>
      </c>
      <c r="P786">
        <v>340725</v>
      </c>
      <c r="Q786">
        <v>3853187.78</v>
      </c>
      <c r="R786">
        <v>62198.349959644867</v>
      </c>
      <c r="S786" t="s">
        <v>2507</v>
      </c>
      <c r="T786" t="s">
        <v>5443</v>
      </c>
      <c r="U786">
        <v>340725</v>
      </c>
      <c r="V786" t="s">
        <v>717</v>
      </c>
      <c r="W786">
        <v>44532</v>
      </c>
      <c r="X786" t="s">
        <v>5569</v>
      </c>
      <c r="Y786" t="s">
        <v>6</v>
      </c>
      <c r="Z786" t="s">
        <v>11</v>
      </c>
      <c r="AA786" t="s">
        <v>717</v>
      </c>
      <c r="AB786" t="s">
        <v>2509</v>
      </c>
      <c r="AC786" t="s">
        <v>118</v>
      </c>
      <c r="AD786" t="s">
        <v>717</v>
      </c>
      <c r="AE786" t="s">
        <v>5570</v>
      </c>
      <c r="AF786" t="s">
        <v>5571</v>
      </c>
      <c r="AG786" t="s">
        <v>5572</v>
      </c>
      <c r="AH786" t="s">
        <v>2552</v>
      </c>
      <c r="AI786" t="s">
        <v>2621</v>
      </c>
      <c r="AJ786" t="s">
        <v>2569</v>
      </c>
      <c r="AK786" t="s">
        <v>63</v>
      </c>
      <c r="AL786" t="s">
        <v>717</v>
      </c>
      <c r="AM786" t="s">
        <v>10</v>
      </c>
      <c r="AN786" t="s">
        <v>717</v>
      </c>
    </row>
    <row r="787" spans="1:40" hidden="1">
      <c r="A787">
        <v>785</v>
      </c>
      <c r="B787">
        <v>21</v>
      </c>
      <c r="C787" s="58">
        <v>44546</v>
      </c>
      <c r="D787" t="s">
        <v>27</v>
      </c>
      <c r="E787" t="s">
        <v>5079</v>
      </c>
      <c r="F787">
        <v>4</v>
      </c>
      <c r="G787">
        <v>5</v>
      </c>
      <c r="H787">
        <v>662</v>
      </c>
      <c r="I787">
        <v>0</v>
      </c>
      <c r="J787">
        <v>24.39</v>
      </c>
      <c r="K787" t="s">
        <v>15</v>
      </c>
      <c r="L787">
        <v>1908024.09</v>
      </c>
      <c r="M787">
        <v>0</v>
      </c>
      <c r="N787">
        <v>1908024.09</v>
      </c>
      <c r="O787">
        <v>78229.769987699881</v>
      </c>
      <c r="P787">
        <v>134145</v>
      </c>
      <c r="Q787">
        <v>1773879.09</v>
      </c>
      <c r="R787">
        <v>72729.769987699881</v>
      </c>
      <c r="S787" t="s">
        <v>2507</v>
      </c>
      <c r="T787" t="s">
        <v>717</v>
      </c>
      <c r="U787" t="s">
        <v>717</v>
      </c>
      <c r="V787" t="s">
        <v>717</v>
      </c>
      <c r="W787">
        <v>44540</v>
      </c>
      <c r="X787" t="s">
        <v>5573</v>
      </c>
      <c r="Y787" t="s">
        <v>6</v>
      </c>
      <c r="Z787" t="s">
        <v>11</v>
      </c>
      <c r="AA787" t="s">
        <v>717</v>
      </c>
      <c r="AB787" t="s">
        <v>2509</v>
      </c>
      <c r="AC787" t="s">
        <v>118</v>
      </c>
      <c r="AD787" t="s">
        <v>717</v>
      </c>
      <c r="AE787" t="s">
        <v>5574</v>
      </c>
      <c r="AF787" t="s">
        <v>5575</v>
      </c>
      <c r="AG787" t="s">
        <v>5576</v>
      </c>
      <c r="AH787" t="s">
        <v>2615</v>
      </c>
      <c r="AI787" t="s">
        <v>2538</v>
      </c>
      <c r="AJ787" t="s">
        <v>2895</v>
      </c>
      <c r="AK787" t="s">
        <v>63</v>
      </c>
      <c r="AL787" t="s">
        <v>717</v>
      </c>
      <c r="AM787" t="s">
        <v>10</v>
      </c>
      <c r="AN787" t="s">
        <v>717</v>
      </c>
    </row>
    <row r="788" spans="1:40" hidden="1">
      <c r="A788">
        <v>786</v>
      </c>
      <c r="B788">
        <v>22</v>
      </c>
      <c r="C788" s="58">
        <v>44546</v>
      </c>
      <c r="D788" t="s">
        <v>27</v>
      </c>
      <c r="E788" t="s">
        <v>2515</v>
      </c>
      <c r="F788">
        <v>3</v>
      </c>
      <c r="G788">
        <v>4</v>
      </c>
      <c r="H788">
        <v>21</v>
      </c>
      <c r="I788">
        <v>1</v>
      </c>
      <c r="J788">
        <v>41.06</v>
      </c>
      <c r="K788" t="s">
        <v>9</v>
      </c>
      <c r="L788">
        <v>2797334.1</v>
      </c>
      <c r="M788">
        <v>0</v>
      </c>
      <c r="N788">
        <v>2797334.1</v>
      </c>
      <c r="O788">
        <v>68127.961519727221</v>
      </c>
      <c r="P788">
        <v>0</v>
      </c>
      <c r="Q788">
        <v>2797334.1</v>
      </c>
      <c r="R788">
        <v>68127.961519727221</v>
      </c>
      <c r="S788" t="s">
        <v>130</v>
      </c>
      <c r="T788" t="s">
        <v>717</v>
      </c>
      <c r="U788" t="s">
        <v>717</v>
      </c>
      <c r="V788" t="s">
        <v>717</v>
      </c>
      <c r="W788">
        <v>44543</v>
      </c>
      <c r="X788" t="s">
        <v>5577</v>
      </c>
      <c r="Y788" t="s">
        <v>6</v>
      </c>
      <c r="Z788" t="s">
        <v>11</v>
      </c>
      <c r="AA788" t="s">
        <v>717</v>
      </c>
      <c r="AB788" t="s">
        <v>2509</v>
      </c>
      <c r="AC788" t="s">
        <v>118</v>
      </c>
      <c r="AD788" t="s">
        <v>717</v>
      </c>
      <c r="AE788" t="s">
        <v>5578</v>
      </c>
      <c r="AF788" t="s">
        <v>717</v>
      </c>
      <c r="AG788" t="s">
        <v>5579</v>
      </c>
      <c r="AH788" t="s">
        <v>2552</v>
      </c>
      <c r="AI788" t="s">
        <v>2547</v>
      </c>
      <c r="AJ788" t="s">
        <v>2855</v>
      </c>
      <c r="AK788" t="s">
        <v>73</v>
      </c>
      <c r="AL788" t="s">
        <v>717</v>
      </c>
      <c r="AM788" t="s">
        <v>10</v>
      </c>
      <c r="AN788" t="s">
        <v>717</v>
      </c>
    </row>
    <row r="789" spans="1:40" hidden="1">
      <c r="A789">
        <v>787</v>
      </c>
      <c r="B789">
        <v>23</v>
      </c>
      <c r="C789" s="58">
        <v>44546</v>
      </c>
      <c r="D789" t="s">
        <v>27</v>
      </c>
      <c r="E789" t="s">
        <v>5079</v>
      </c>
      <c r="F789">
        <v>3</v>
      </c>
      <c r="G789">
        <v>2</v>
      </c>
      <c r="H789">
        <v>634</v>
      </c>
      <c r="I789">
        <v>2</v>
      </c>
      <c r="J789">
        <v>56.33</v>
      </c>
      <c r="K789" t="s">
        <v>9</v>
      </c>
      <c r="L789">
        <v>3679642.9</v>
      </c>
      <c r="M789">
        <v>0</v>
      </c>
      <c r="N789">
        <v>3679642.9</v>
      </c>
      <c r="O789">
        <v>65322.969998224755</v>
      </c>
      <c r="P789">
        <v>0</v>
      </c>
      <c r="Q789">
        <v>3679642.9</v>
      </c>
      <c r="R789">
        <v>65322.969998224755</v>
      </c>
      <c r="S789" t="s">
        <v>65</v>
      </c>
      <c r="T789" t="s">
        <v>717</v>
      </c>
      <c r="U789" t="s">
        <v>717</v>
      </c>
      <c r="V789" t="s">
        <v>4131</v>
      </c>
      <c r="W789">
        <v>44536</v>
      </c>
      <c r="X789" t="s">
        <v>5580</v>
      </c>
      <c r="Y789" t="s">
        <v>6</v>
      </c>
      <c r="Z789" t="s">
        <v>17</v>
      </c>
      <c r="AA789" t="s">
        <v>717</v>
      </c>
      <c r="AB789" t="s">
        <v>2509</v>
      </c>
      <c r="AC789" t="s">
        <v>2571</v>
      </c>
      <c r="AD789" t="s">
        <v>717</v>
      </c>
      <c r="AE789" t="s">
        <v>5581</v>
      </c>
      <c r="AF789" t="s">
        <v>5582</v>
      </c>
      <c r="AG789" t="s">
        <v>5583</v>
      </c>
      <c r="AH789" t="s">
        <v>2615</v>
      </c>
      <c r="AI789" t="s">
        <v>3556</v>
      </c>
      <c r="AJ789" t="s">
        <v>2651</v>
      </c>
      <c r="AK789" t="s">
        <v>471</v>
      </c>
      <c r="AL789" t="s">
        <v>16</v>
      </c>
      <c r="AM789" t="s">
        <v>10</v>
      </c>
      <c r="AN789" t="s">
        <v>717</v>
      </c>
    </row>
    <row r="790" spans="1:40" hidden="1">
      <c r="A790">
        <v>788</v>
      </c>
      <c r="B790">
        <v>24</v>
      </c>
      <c r="C790" s="58">
        <v>44547</v>
      </c>
      <c r="D790" t="s">
        <v>121</v>
      </c>
      <c r="E790" t="s">
        <v>2515</v>
      </c>
      <c r="F790">
        <v>5</v>
      </c>
      <c r="G790">
        <v>9</v>
      </c>
      <c r="H790">
        <v>54</v>
      </c>
      <c r="I790">
        <v>1</v>
      </c>
      <c r="J790">
        <v>36.42</v>
      </c>
      <c r="K790" t="s">
        <v>15</v>
      </c>
      <c r="L790">
        <v>2403633.4</v>
      </c>
      <c r="M790">
        <v>0</v>
      </c>
      <c r="N790">
        <v>2403633.4</v>
      </c>
      <c r="O790">
        <v>65997.622185612301</v>
      </c>
      <c r="P790">
        <v>200310</v>
      </c>
      <c r="Q790">
        <v>2203323.4</v>
      </c>
      <c r="R790">
        <v>60497.622185612294</v>
      </c>
      <c r="S790" t="s">
        <v>65</v>
      </c>
      <c r="T790" t="s">
        <v>3414</v>
      </c>
      <c r="U790">
        <v>280133.99</v>
      </c>
      <c r="V790" t="s">
        <v>4131</v>
      </c>
      <c r="W790">
        <v>44539</v>
      </c>
      <c r="X790" t="s">
        <v>5584</v>
      </c>
      <c r="Y790" t="s">
        <v>6</v>
      </c>
      <c r="Z790" t="s">
        <v>17</v>
      </c>
      <c r="AA790" t="s">
        <v>717</v>
      </c>
      <c r="AB790" t="s">
        <v>2509</v>
      </c>
      <c r="AC790" t="s">
        <v>2571</v>
      </c>
      <c r="AD790" t="s">
        <v>717</v>
      </c>
      <c r="AE790" t="s">
        <v>5585</v>
      </c>
      <c r="AF790" t="s">
        <v>5586</v>
      </c>
      <c r="AG790" t="s">
        <v>5587</v>
      </c>
      <c r="AH790" t="s">
        <v>3775</v>
      </c>
      <c r="AI790" t="s">
        <v>3115</v>
      </c>
      <c r="AJ790" t="s">
        <v>4947</v>
      </c>
      <c r="AK790" t="s">
        <v>77</v>
      </c>
      <c r="AL790" t="s">
        <v>16</v>
      </c>
      <c r="AM790" t="s">
        <v>10</v>
      </c>
      <c r="AN790" t="s">
        <v>717</v>
      </c>
    </row>
    <row r="791" spans="1:40" hidden="1">
      <c r="A791">
        <v>789</v>
      </c>
      <c r="B791">
        <v>25</v>
      </c>
      <c r="C791" s="58">
        <v>44550</v>
      </c>
      <c r="D791" t="s">
        <v>27</v>
      </c>
      <c r="E791" t="s">
        <v>4409</v>
      </c>
      <c r="F791">
        <v>7</v>
      </c>
      <c r="G791">
        <v>6</v>
      </c>
      <c r="H791">
        <v>550</v>
      </c>
      <c r="I791">
        <v>2</v>
      </c>
      <c r="J791">
        <v>59.93</v>
      </c>
      <c r="K791" t="s">
        <v>15</v>
      </c>
      <c r="L791">
        <v>4288825.54</v>
      </c>
      <c r="M791">
        <v>0</v>
      </c>
      <c r="N791">
        <v>4288825.54</v>
      </c>
      <c r="O791">
        <v>71563.91690305357</v>
      </c>
      <c r="P791">
        <v>329615</v>
      </c>
      <c r="Q791">
        <v>3959210.54</v>
      </c>
      <c r="R791">
        <v>66063.91690305357</v>
      </c>
      <c r="S791" t="s">
        <v>65</v>
      </c>
      <c r="T791" t="s">
        <v>717</v>
      </c>
      <c r="U791" t="s">
        <v>717</v>
      </c>
      <c r="V791" t="s">
        <v>4131</v>
      </c>
      <c r="W791">
        <v>44543</v>
      </c>
      <c r="X791" t="s">
        <v>5588</v>
      </c>
      <c r="Y791" t="s">
        <v>6</v>
      </c>
      <c r="Z791" t="s">
        <v>17</v>
      </c>
      <c r="AA791" t="s">
        <v>717</v>
      </c>
      <c r="AB791" t="s">
        <v>2509</v>
      </c>
      <c r="AC791" t="s">
        <v>2571</v>
      </c>
      <c r="AD791" t="s">
        <v>717</v>
      </c>
      <c r="AE791" t="s">
        <v>5589</v>
      </c>
      <c r="AF791" t="s">
        <v>5590</v>
      </c>
      <c r="AG791" t="s">
        <v>5591</v>
      </c>
      <c r="AH791" t="s">
        <v>2615</v>
      </c>
      <c r="AI791" t="s">
        <v>2552</v>
      </c>
      <c r="AJ791" t="s">
        <v>3298</v>
      </c>
      <c r="AK791" t="s">
        <v>63</v>
      </c>
      <c r="AL791" t="s">
        <v>16</v>
      </c>
      <c r="AM791" t="s">
        <v>10</v>
      </c>
      <c r="AN791" t="s">
        <v>717</v>
      </c>
    </row>
    <row r="792" spans="1:40" hidden="1">
      <c r="A792">
        <v>790</v>
      </c>
      <c r="B792">
        <v>26</v>
      </c>
      <c r="C792" s="58">
        <v>44550</v>
      </c>
      <c r="D792" t="s">
        <v>27</v>
      </c>
      <c r="E792" t="s">
        <v>2515</v>
      </c>
      <c r="F792">
        <v>1</v>
      </c>
      <c r="G792">
        <v>17</v>
      </c>
      <c r="H792">
        <v>136</v>
      </c>
      <c r="I792">
        <v>3</v>
      </c>
      <c r="J792">
        <v>82.71</v>
      </c>
      <c r="K792" t="s">
        <v>15</v>
      </c>
      <c r="L792">
        <v>4912981.4400000004</v>
      </c>
      <c r="M792">
        <v>0</v>
      </c>
      <c r="N792">
        <v>4912981.4400000004</v>
      </c>
      <c r="O792">
        <v>59400.089952847309</v>
      </c>
      <c r="P792">
        <v>454905</v>
      </c>
      <c r="Q792">
        <v>4458076.4400000004</v>
      </c>
      <c r="R792">
        <v>53900.089952847309</v>
      </c>
      <c r="S792" t="s">
        <v>65</v>
      </c>
      <c r="T792" t="s">
        <v>5443</v>
      </c>
      <c r="U792">
        <v>454905</v>
      </c>
      <c r="V792" t="s">
        <v>4131</v>
      </c>
      <c r="W792">
        <v>44544</v>
      </c>
      <c r="X792" t="s">
        <v>5592</v>
      </c>
      <c r="Y792" t="s">
        <v>6</v>
      </c>
      <c r="Z792" t="s">
        <v>17</v>
      </c>
      <c r="AA792" t="s">
        <v>717</v>
      </c>
      <c r="AB792" t="s">
        <v>2509</v>
      </c>
      <c r="AC792" t="s">
        <v>2571</v>
      </c>
      <c r="AD792" t="s">
        <v>717</v>
      </c>
      <c r="AE792" t="s">
        <v>5593</v>
      </c>
      <c r="AF792" t="s">
        <v>5594</v>
      </c>
      <c r="AG792" t="s">
        <v>5595</v>
      </c>
      <c r="AH792" t="s">
        <v>2552</v>
      </c>
      <c r="AI792" t="s">
        <v>2877</v>
      </c>
      <c r="AJ792" t="s">
        <v>2855</v>
      </c>
      <c r="AK792" t="s">
        <v>73</v>
      </c>
      <c r="AL792" t="s">
        <v>16</v>
      </c>
      <c r="AM792" t="s">
        <v>10</v>
      </c>
      <c r="AN792" t="s">
        <v>717</v>
      </c>
    </row>
    <row r="793" spans="1:40" hidden="1">
      <c r="A793">
        <v>791</v>
      </c>
      <c r="B793">
        <v>27</v>
      </c>
      <c r="C793" s="58">
        <v>44550</v>
      </c>
      <c r="D793" t="s">
        <v>121</v>
      </c>
      <c r="E793" t="s">
        <v>2515</v>
      </c>
      <c r="F793">
        <v>5</v>
      </c>
      <c r="G793">
        <v>22</v>
      </c>
      <c r="H793">
        <v>145</v>
      </c>
      <c r="I793">
        <v>1</v>
      </c>
      <c r="J793">
        <v>36.42</v>
      </c>
      <c r="K793" t="s">
        <v>15</v>
      </c>
      <c r="L793">
        <v>3065573.57</v>
      </c>
      <c r="M793">
        <v>15000</v>
      </c>
      <c r="N793">
        <v>3080573.57</v>
      </c>
      <c r="O793">
        <v>84584.66694124107</v>
      </c>
      <c r="P793">
        <v>200310</v>
      </c>
      <c r="Q793">
        <v>2880263.57</v>
      </c>
      <c r="R793">
        <v>79084.66694124107</v>
      </c>
      <c r="S793" t="s">
        <v>65</v>
      </c>
      <c r="T793" t="s">
        <v>717</v>
      </c>
      <c r="U793" t="s">
        <v>717</v>
      </c>
      <c r="V793" t="s">
        <v>717</v>
      </c>
      <c r="W793">
        <v>44546</v>
      </c>
      <c r="X793" t="s">
        <v>5596</v>
      </c>
      <c r="Y793" t="s">
        <v>6</v>
      </c>
      <c r="Z793" t="s">
        <v>17</v>
      </c>
      <c r="AA793" t="s">
        <v>717</v>
      </c>
      <c r="AB793" t="s">
        <v>2509</v>
      </c>
      <c r="AC793" t="s">
        <v>2571</v>
      </c>
      <c r="AD793" t="s">
        <v>717</v>
      </c>
      <c r="AE793" t="s">
        <v>5597</v>
      </c>
      <c r="AF793" t="s">
        <v>5598</v>
      </c>
      <c r="AG793" t="s">
        <v>5599</v>
      </c>
      <c r="AH793" t="s">
        <v>2191</v>
      </c>
      <c r="AI793" t="s">
        <v>2552</v>
      </c>
      <c r="AJ793" t="s">
        <v>2514</v>
      </c>
      <c r="AK793" t="s">
        <v>63</v>
      </c>
      <c r="AL793" t="s">
        <v>16</v>
      </c>
      <c r="AM793" t="s">
        <v>10</v>
      </c>
      <c r="AN793" t="s">
        <v>717</v>
      </c>
    </row>
    <row r="794" spans="1:40" hidden="1">
      <c r="A794">
        <v>792</v>
      </c>
      <c r="B794">
        <v>28</v>
      </c>
      <c r="C794" s="58">
        <v>44550</v>
      </c>
      <c r="D794" t="s">
        <v>27</v>
      </c>
      <c r="E794" t="s">
        <v>5079</v>
      </c>
      <c r="F794">
        <v>6</v>
      </c>
      <c r="G794">
        <v>3</v>
      </c>
      <c r="H794">
        <v>646</v>
      </c>
      <c r="I794">
        <v>2</v>
      </c>
      <c r="J794">
        <v>61.95</v>
      </c>
      <c r="K794" t="s">
        <v>15</v>
      </c>
      <c r="L794">
        <v>4534637.99</v>
      </c>
      <c r="M794">
        <v>0</v>
      </c>
      <c r="N794">
        <v>4534637.99</v>
      </c>
      <c r="O794">
        <v>73198.353349475379</v>
      </c>
      <c r="P794">
        <v>340725</v>
      </c>
      <c r="Q794">
        <v>4193912.99</v>
      </c>
      <c r="R794">
        <v>67698.353349475379</v>
      </c>
      <c r="S794" t="s">
        <v>65</v>
      </c>
      <c r="T794" t="s">
        <v>717</v>
      </c>
      <c r="U794" t="s">
        <v>717</v>
      </c>
      <c r="V794" t="s">
        <v>4131</v>
      </c>
      <c r="W794">
        <v>44549</v>
      </c>
      <c r="X794" t="s">
        <v>5600</v>
      </c>
      <c r="Y794" t="s">
        <v>6</v>
      </c>
      <c r="Z794" t="s">
        <v>17</v>
      </c>
      <c r="AA794" t="s">
        <v>717</v>
      </c>
      <c r="AB794" t="s">
        <v>2509</v>
      </c>
      <c r="AC794" t="s">
        <v>2571</v>
      </c>
      <c r="AD794" t="s">
        <v>717</v>
      </c>
      <c r="AE794" t="s">
        <v>5601</v>
      </c>
      <c r="AF794" t="s">
        <v>5602</v>
      </c>
      <c r="AG794" t="s">
        <v>5603</v>
      </c>
      <c r="AH794" t="s">
        <v>2552</v>
      </c>
      <c r="AI794" t="s">
        <v>2547</v>
      </c>
      <c r="AJ794" t="s">
        <v>2855</v>
      </c>
      <c r="AK794" t="s">
        <v>20</v>
      </c>
      <c r="AL794" t="s">
        <v>575</v>
      </c>
      <c r="AM794" t="s">
        <v>10</v>
      </c>
      <c r="AN794" t="s">
        <v>717</v>
      </c>
    </row>
    <row r="795" spans="1:40" hidden="1">
      <c r="A795">
        <v>793</v>
      </c>
      <c r="B795">
        <v>29</v>
      </c>
      <c r="C795" s="58">
        <v>44551</v>
      </c>
      <c r="D795" t="s">
        <v>27</v>
      </c>
      <c r="E795" t="s">
        <v>5456</v>
      </c>
      <c r="F795">
        <v>9</v>
      </c>
      <c r="G795">
        <v>7</v>
      </c>
      <c r="H795">
        <v>884</v>
      </c>
      <c r="I795">
        <v>0</v>
      </c>
      <c r="J795">
        <v>23.09</v>
      </c>
      <c r="K795" t="s">
        <v>15</v>
      </c>
      <c r="L795">
        <v>1913802.64</v>
      </c>
      <c r="M795">
        <v>0</v>
      </c>
      <c r="N795">
        <v>1913802.64</v>
      </c>
      <c r="O795">
        <v>82884.479861411863</v>
      </c>
      <c r="P795">
        <v>126995</v>
      </c>
      <c r="Q795">
        <v>1786807.64</v>
      </c>
      <c r="R795">
        <v>77384.479861411863</v>
      </c>
      <c r="S795" t="s">
        <v>2507</v>
      </c>
      <c r="T795" t="s">
        <v>717</v>
      </c>
      <c r="U795" t="s">
        <v>717</v>
      </c>
      <c r="V795" t="s">
        <v>717</v>
      </c>
      <c r="W795">
        <v>44546</v>
      </c>
      <c r="X795" t="s">
        <v>5604</v>
      </c>
      <c r="Y795" t="s">
        <v>6</v>
      </c>
      <c r="Z795" t="s">
        <v>17</v>
      </c>
      <c r="AA795" t="s">
        <v>717</v>
      </c>
      <c r="AB795" t="s">
        <v>2509</v>
      </c>
      <c r="AC795" t="s">
        <v>118</v>
      </c>
      <c r="AD795" t="s">
        <v>717</v>
      </c>
      <c r="AE795" t="s">
        <v>806</v>
      </c>
      <c r="AF795" t="s">
        <v>5605</v>
      </c>
      <c r="AG795" t="s">
        <v>5606</v>
      </c>
      <c r="AH795" t="s">
        <v>2615</v>
      </c>
      <c r="AI795" t="s">
        <v>2552</v>
      </c>
      <c r="AJ795" t="s">
        <v>2895</v>
      </c>
      <c r="AK795" t="s">
        <v>20</v>
      </c>
      <c r="AL795" t="s">
        <v>717</v>
      </c>
      <c r="AM795" t="s">
        <v>10</v>
      </c>
      <c r="AN795" t="s">
        <v>717</v>
      </c>
    </row>
    <row r="796" spans="1:40" hidden="1">
      <c r="A796">
        <v>794</v>
      </c>
      <c r="B796">
        <v>30</v>
      </c>
      <c r="C796" s="58">
        <v>44551</v>
      </c>
      <c r="D796" t="s">
        <v>27</v>
      </c>
      <c r="E796" t="s">
        <v>5456</v>
      </c>
      <c r="F796">
        <v>6</v>
      </c>
      <c r="G796">
        <v>2</v>
      </c>
      <c r="H796">
        <v>836</v>
      </c>
      <c r="I796">
        <v>2</v>
      </c>
      <c r="J796">
        <v>54.28</v>
      </c>
      <c r="K796" t="s">
        <v>9</v>
      </c>
      <c r="L796">
        <v>3337327.44</v>
      </c>
      <c r="M796">
        <v>15000</v>
      </c>
      <c r="N796">
        <v>3352327.44</v>
      </c>
      <c r="O796">
        <v>61759.901252763448</v>
      </c>
      <c r="P796">
        <v>0</v>
      </c>
      <c r="Q796">
        <v>3352327.44</v>
      </c>
      <c r="R796">
        <v>61759.901252763448</v>
      </c>
      <c r="S796" t="s">
        <v>2507</v>
      </c>
      <c r="T796" t="s">
        <v>717</v>
      </c>
      <c r="U796" t="s">
        <v>717</v>
      </c>
      <c r="V796" t="s">
        <v>717</v>
      </c>
      <c r="W796">
        <v>44546</v>
      </c>
      <c r="X796" t="s">
        <v>5607</v>
      </c>
      <c r="Y796" t="s">
        <v>6</v>
      </c>
      <c r="Z796" t="s">
        <v>11</v>
      </c>
      <c r="AA796" t="s">
        <v>717</v>
      </c>
      <c r="AB796" t="s">
        <v>2509</v>
      </c>
      <c r="AC796" t="s">
        <v>118</v>
      </c>
      <c r="AD796" t="s">
        <v>717</v>
      </c>
      <c r="AE796" t="s">
        <v>4776</v>
      </c>
      <c r="AF796" t="s">
        <v>5608</v>
      </c>
      <c r="AG796" t="s">
        <v>4778</v>
      </c>
      <c r="AH796" t="s">
        <v>2191</v>
      </c>
      <c r="AI796" t="s">
        <v>2600</v>
      </c>
      <c r="AJ796" t="s">
        <v>3921</v>
      </c>
      <c r="AK796" t="s">
        <v>20</v>
      </c>
      <c r="AL796" t="s">
        <v>717</v>
      </c>
      <c r="AM796" t="s">
        <v>10</v>
      </c>
      <c r="AN796" t="s">
        <v>717</v>
      </c>
    </row>
    <row r="797" spans="1:40" hidden="1">
      <c r="A797">
        <v>795</v>
      </c>
      <c r="B797">
        <v>31</v>
      </c>
      <c r="C797" s="58">
        <v>44551</v>
      </c>
      <c r="D797" t="s">
        <v>27</v>
      </c>
      <c r="E797" t="s">
        <v>5079</v>
      </c>
      <c r="F797">
        <v>3</v>
      </c>
      <c r="G797">
        <v>10</v>
      </c>
      <c r="H797">
        <v>706</v>
      </c>
      <c r="I797">
        <v>2</v>
      </c>
      <c r="J797">
        <v>56.33</v>
      </c>
      <c r="K797" t="s">
        <v>15</v>
      </c>
      <c r="L797">
        <v>3947253.21</v>
      </c>
      <c r="M797">
        <v>0</v>
      </c>
      <c r="N797">
        <v>3947253.21</v>
      </c>
      <c r="O797">
        <v>70073.729984022721</v>
      </c>
      <c r="P797">
        <v>309815</v>
      </c>
      <c r="Q797">
        <v>3637438.21</v>
      </c>
      <c r="R797">
        <v>64573.729984022728</v>
      </c>
      <c r="S797" t="s">
        <v>65</v>
      </c>
      <c r="T797" t="s">
        <v>5443</v>
      </c>
      <c r="U797">
        <v>309815</v>
      </c>
      <c r="V797" t="s">
        <v>4131</v>
      </c>
      <c r="W797">
        <v>44546</v>
      </c>
      <c r="X797" t="s">
        <v>5609</v>
      </c>
      <c r="Y797" t="s">
        <v>6</v>
      </c>
      <c r="Z797" t="s">
        <v>17</v>
      </c>
      <c r="AA797" t="s">
        <v>717</v>
      </c>
      <c r="AB797" t="s">
        <v>2509</v>
      </c>
      <c r="AC797" t="s">
        <v>2571</v>
      </c>
      <c r="AD797" t="s">
        <v>717</v>
      </c>
      <c r="AE797" t="s">
        <v>5610</v>
      </c>
      <c r="AF797" t="s">
        <v>5611</v>
      </c>
      <c r="AG797" t="s">
        <v>5612</v>
      </c>
      <c r="AH797" t="s">
        <v>2552</v>
      </c>
      <c r="AI797" t="s">
        <v>2552</v>
      </c>
      <c r="AJ797" t="s">
        <v>2662</v>
      </c>
      <c r="AK797" t="s">
        <v>20</v>
      </c>
      <c r="AL797" t="s">
        <v>575</v>
      </c>
      <c r="AM797" t="s">
        <v>10</v>
      </c>
      <c r="AN797" t="s">
        <v>717</v>
      </c>
    </row>
    <row r="798" spans="1:40" hidden="1">
      <c r="A798">
        <v>796</v>
      </c>
      <c r="B798">
        <v>32</v>
      </c>
      <c r="C798" s="58">
        <v>44553</v>
      </c>
      <c r="D798" t="s">
        <v>121</v>
      </c>
      <c r="E798" t="s">
        <v>2506</v>
      </c>
      <c r="F798">
        <v>5</v>
      </c>
      <c r="G798">
        <v>3</v>
      </c>
      <c r="H798">
        <v>177</v>
      </c>
      <c r="I798">
        <v>2</v>
      </c>
      <c r="J798">
        <v>60.19</v>
      </c>
      <c r="K798" t="s">
        <v>9</v>
      </c>
      <c r="L798">
        <v>3935754.31</v>
      </c>
      <c r="M798">
        <v>0</v>
      </c>
      <c r="N798">
        <v>3935754.31</v>
      </c>
      <c r="O798">
        <v>65388.840505067288</v>
      </c>
      <c r="P798">
        <v>0</v>
      </c>
      <c r="Q798">
        <v>3935754.31</v>
      </c>
      <c r="R798">
        <v>65388.840505067288</v>
      </c>
      <c r="S798" t="s">
        <v>65</v>
      </c>
      <c r="T798" t="s">
        <v>717</v>
      </c>
      <c r="U798" t="s">
        <v>717</v>
      </c>
      <c r="V798" t="s">
        <v>4131</v>
      </c>
      <c r="W798">
        <v>44540</v>
      </c>
      <c r="X798" t="s">
        <v>5613</v>
      </c>
      <c r="Y798" t="s">
        <v>6</v>
      </c>
      <c r="Z798" t="s">
        <v>17</v>
      </c>
      <c r="AA798" t="s">
        <v>717</v>
      </c>
      <c r="AB798" t="s">
        <v>2509</v>
      </c>
      <c r="AC798" t="s">
        <v>2571</v>
      </c>
      <c r="AD798" t="s">
        <v>717</v>
      </c>
      <c r="AE798" t="s">
        <v>5614</v>
      </c>
      <c r="AF798" t="s">
        <v>5615</v>
      </c>
      <c r="AG798" t="s">
        <v>5099</v>
      </c>
      <c r="AH798" t="s">
        <v>2615</v>
      </c>
      <c r="AI798" t="s">
        <v>2600</v>
      </c>
      <c r="AJ798" t="s">
        <v>4799</v>
      </c>
      <c r="AK798" t="s">
        <v>63</v>
      </c>
      <c r="AL798" t="s">
        <v>16</v>
      </c>
      <c r="AM798" t="s">
        <v>10</v>
      </c>
      <c r="AN798" t="s">
        <v>717</v>
      </c>
    </row>
    <row r="799" spans="1:40" hidden="1">
      <c r="A799">
        <v>797</v>
      </c>
      <c r="B799">
        <v>33</v>
      </c>
      <c r="C799" s="58">
        <v>44553</v>
      </c>
      <c r="D799" t="s">
        <v>27</v>
      </c>
      <c r="E799" t="s">
        <v>2506</v>
      </c>
      <c r="F799">
        <v>4</v>
      </c>
      <c r="G799">
        <v>18</v>
      </c>
      <c r="H799">
        <v>339</v>
      </c>
      <c r="I799">
        <v>1</v>
      </c>
      <c r="J799">
        <v>40</v>
      </c>
      <c r="K799" t="s">
        <v>15</v>
      </c>
      <c r="L799">
        <v>3253175.33</v>
      </c>
      <c r="M799">
        <v>0</v>
      </c>
      <c r="N799">
        <v>3253175.33</v>
      </c>
      <c r="O799">
        <v>81329.383249999999</v>
      </c>
      <c r="P799">
        <v>220000</v>
      </c>
      <c r="Q799">
        <v>3033175.33</v>
      </c>
      <c r="R799">
        <v>75829.383249999999</v>
      </c>
      <c r="S799" t="s">
        <v>130</v>
      </c>
      <c r="T799" t="s">
        <v>717</v>
      </c>
      <c r="U799" t="s">
        <v>717</v>
      </c>
      <c r="V799" t="s">
        <v>717</v>
      </c>
      <c r="W799">
        <v>44549</v>
      </c>
      <c r="X799" t="s">
        <v>5616</v>
      </c>
      <c r="Y799" t="s">
        <v>6</v>
      </c>
      <c r="Z799" t="s">
        <v>17</v>
      </c>
      <c r="AA799" t="s">
        <v>5617</v>
      </c>
      <c r="AB799" t="s">
        <v>2509</v>
      </c>
      <c r="AC799" t="s">
        <v>118</v>
      </c>
      <c r="AD799" t="s">
        <v>717</v>
      </c>
      <c r="AE799" t="s">
        <v>5618</v>
      </c>
      <c r="AF799" t="s">
        <v>5619</v>
      </c>
      <c r="AG799" t="s">
        <v>5620</v>
      </c>
      <c r="AH799" t="s">
        <v>2191</v>
      </c>
      <c r="AI799" t="s">
        <v>2552</v>
      </c>
      <c r="AJ799" t="s">
        <v>2514</v>
      </c>
      <c r="AK799" t="s">
        <v>77</v>
      </c>
      <c r="AL799" t="s">
        <v>717</v>
      </c>
      <c r="AM799" t="s">
        <v>10</v>
      </c>
      <c r="AN799" t="s">
        <v>717</v>
      </c>
    </row>
    <row r="800" spans="1:40" hidden="1">
      <c r="A800">
        <v>798</v>
      </c>
      <c r="B800">
        <v>34</v>
      </c>
      <c r="C800" s="58">
        <v>44553</v>
      </c>
      <c r="D800" t="s">
        <v>121</v>
      </c>
      <c r="E800" t="s">
        <v>2515</v>
      </c>
      <c r="F800">
        <v>1</v>
      </c>
      <c r="G800">
        <v>9</v>
      </c>
      <c r="H800">
        <v>50</v>
      </c>
      <c r="I800">
        <v>2</v>
      </c>
      <c r="J800">
        <v>59.52</v>
      </c>
      <c r="K800" t="s">
        <v>15</v>
      </c>
      <c r="L800">
        <v>4735504.7</v>
      </c>
      <c r="M800">
        <v>0</v>
      </c>
      <c r="N800">
        <v>4735504.7</v>
      </c>
      <c r="O800">
        <v>79561.570900537627</v>
      </c>
      <c r="P800">
        <v>327360</v>
      </c>
      <c r="Q800">
        <v>4408144.7</v>
      </c>
      <c r="R800">
        <v>74061.570900537627</v>
      </c>
      <c r="S800" t="s">
        <v>65</v>
      </c>
      <c r="T800" t="s">
        <v>717</v>
      </c>
      <c r="U800" t="s">
        <v>717</v>
      </c>
      <c r="V800" t="s">
        <v>717</v>
      </c>
      <c r="W800">
        <v>44549</v>
      </c>
      <c r="X800" t="s">
        <v>5621</v>
      </c>
      <c r="Y800" t="s">
        <v>6</v>
      </c>
      <c r="Z800" t="s">
        <v>17</v>
      </c>
      <c r="AA800" t="s">
        <v>717</v>
      </c>
      <c r="AB800" t="s">
        <v>2509</v>
      </c>
      <c r="AC800" t="s">
        <v>2558</v>
      </c>
      <c r="AD800" t="s">
        <v>717</v>
      </c>
      <c r="AE800" t="s">
        <v>5622</v>
      </c>
      <c r="AF800" t="s">
        <v>5623</v>
      </c>
      <c r="AG800" t="s">
        <v>5624</v>
      </c>
      <c r="AH800" t="s">
        <v>2615</v>
      </c>
      <c r="AI800" t="s">
        <v>2621</v>
      </c>
      <c r="AJ800" t="s">
        <v>2895</v>
      </c>
      <c r="AK800" t="s">
        <v>77</v>
      </c>
      <c r="AL800" t="s">
        <v>16</v>
      </c>
      <c r="AM800" t="s">
        <v>10</v>
      </c>
      <c r="AN800" t="s">
        <v>717</v>
      </c>
    </row>
    <row r="801" spans="1:40" hidden="1">
      <c r="A801">
        <v>799</v>
      </c>
      <c r="B801">
        <v>35</v>
      </c>
      <c r="C801" s="58">
        <v>44553</v>
      </c>
      <c r="D801" t="s">
        <v>27</v>
      </c>
      <c r="E801" t="s">
        <v>2506</v>
      </c>
      <c r="F801">
        <v>2</v>
      </c>
      <c r="G801">
        <v>3</v>
      </c>
      <c r="H801">
        <v>217</v>
      </c>
      <c r="I801">
        <v>1</v>
      </c>
      <c r="J801">
        <v>37.159999999999997</v>
      </c>
      <c r="K801" t="s">
        <v>25</v>
      </c>
      <c r="L801">
        <v>3236266.26</v>
      </c>
      <c r="M801">
        <v>0</v>
      </c>
      <c r="N801">
        <v>3236266.26</v>
      </c>
      <c r="O801">
        <v>87090.050053821309</v>
      </c>
      <c r="P801">
        <v>594560</v>
      </c>
      <c r="Q801">
        <v>2641706.2599999998</v>
      </c>
      <c r="R801">
        <v>71090.050053821309</v>
      </c>
      <c r="S801" t="s">
        <v>65</v>
      </c>
      <c r="T801" t="s">
        <v>717</v>
      </c>
      <c r="U801" t="s">
        <v>717</v>
      </c>
      <c r="V801" t="s">
        <v>717</v>
      </c>
      <c r="W801">
        <v>44551</v>
      </c>
      <c r="X801" t="s">
        <v>5625</v>
      </c>
      <c r="Y801" t="s">
        <v>6</v>
      </c>
      <c r="Z801" t="s">
        <v>17</v>
      </c>
      <c r="AA801" t="s">
        <v>717</v>
      </c>
      <c r="AB801" t="s">
        <v>2509</v>
      </c>
      <c r="AC801" t="s">
        <v>2571</v>
      </c>
      <c r="AD801" t="s">
        <v>717</v>
      </c>
      <c r="AE801" t="s">
        <v>5626</v>
      </c>
      <c r="AF801" t="s">
        <v>5627</v>
      </c>
      <c r="AG801" t="s">
        <v>5628</v>
      </c>
      <c r="AH801" t="s">
        <v>2615</v>
      </c>
      <c r="AI801" t="s">
        <v>2552</v>
      </c>
      <c r="AJ801" t="s">
        <v>2895</v>
      </c>
      <c r="AK801" t="s">
        <v>63</v>
      </c>
      <c r="AL801" t="s">
        <v>16</v>
      </c>
      <c r="AM801" t="s">
        <v>10</v>
      </c>
      <c r="AN801" t="s">
        <v>717</v>
      </c>
    </row>
    <row r="802" spans="1:40" hidden="1">
      <c r="A802">
        <v>800</v>
      </c>
      <c r="B802">
        <v>36</v>
      </c>
      <c r="C802" s="58">
        <v>44553</v>
      </c>
      <c r="D802" t="s">
        <v>27</v>
      </c>
      <c r="E802" t="s">
        <v>2506</v>
      </c>
      <c r="F802">
        <v>2</v>
      </c>
      <c r="G802">
        <v>17</v>
      </c>
      <c r="H802">
        <v>329</v>
      </c>
      <c r="I802">
        <v>1</v>
      </c>
      <c r="J802">
        <v>37.159999999999997</v>
      </c>
      <c r="K802" t="s">
        <v>15</v>
      </c>
      <c r="L802">
        <v>2846086.26</v>
      </c>
      <c r="M802">
        <v>0</v>
      </c>
      <c r="N802">
        <v>2846086.26</v>
      </c>
      <c r="O802">
        <v>76590.050053821309</v>
      </c>
      <c r="P802">
        <v>204380</v>
      </c>
      <c r="Q802">
        <v>2641706.2599999998</v>
      </c>
      <c r="R802">
        <v>71090.050053821309</v>
      </c>
      <c r="S802" t="s">
        <v>2507</v>
      </c>
      <c r="T802" t="s">
        <v>717</v>
      </c>
      <c r="U802" t="s">
        <v>717</v>
      </c>
      <c r="V802" t="s">
        <v>717</v>
      </c>
      <c r="W802">
        <v>44551</v>
      </c>
      <c r="X802" t="s">
        <v>5629</v>
      </c>
      <c r="Y802" t="s">
        <v>6</v>
      </c>
      <c r="Z802" t="s">
        <v>17</v>
      </c>
      <c r="AA802" t="s">
        <v>717</v>
      </c>
      <c r="AB802" t="s">
        <v>2509</v>
      </c>
      <c r="AC802" t="s">
        <v>118</v>
      </c>
      <c r="AD802" t="s">
        <v>717</v>
      </c>
      <c r="AE802" t="s">
        <v>5630</v>
      </c>
      <c r="AF802" t="s">
        <v>5631</v>
      </c>
      <c r="AG802" t="s">
        <v>5632</v>
      </c>
      <c r="AH802" t="s">
        <v>2615</v>
      </c>
      <c r="AI802" t="s">
        <v>2552</v>
      </c>
      <c r="AJ802" t="s">
        <v>2662</v>
      </c>
      <c r="AK802" t="s">
        <v>73</v>
      </c>
      <c r="AL802" t="s">
        <v>717</v>
      </c>
      <c r="AM802" t="s">
        <v>10</v>
      </c>
      <c r="AN802" t="s">
        <v>717</v>
      </c>
    </row>
    <row r="803" spans="1:40" hidden="1">
      <c r="A803">
        <v>801</v>
      </c>
      <c r="B803">
        <v>37</v>
      </c>
      <c r="C803" s="58">
        <v>44554</v>
      </c>
      <c r="D803" t="s">
        <v>27</v>
      </c>
      <c r="E803" t="s">
        <v>5079</v>
      </c>
      <c r="F803">
        <v>4</v>
      </c>
      <c r="G803">
        <v>6</v>
      </c>
      <c r="H803">
        <v>671</v>
      </c>
      <c r="I803">
        <v>0</v>
      </c>
      <c r="J803">
        <v>24.39</v>
      </c>
      <c r="K803" t="s">
        <v>9</v>
      </c>
      <c r="L803">
        <v>1887407.47</v>
      </c>
      <c r="M803">
        <v>0</v>
      </c>
      <c r="N803">
        <v>1887407.47</v>
      </c>
      <c r="O803">
        <v>77384.480114801147</v>
      </c>
      <c r="P803">
        <v>0</v>
      </c>
      <c r="Q803">
        <v>1887407.47</v>
      </c>
      <c r="R803">
        <v>77384.480114801147</v>
      </c>
      <c r="S803" t="s">
        <v>65</v>
      </c>
      <c r="T803" t="s">
        <v>717</v>
      </c>
      <c r="U803" t="s">
        <v>717</v>
      </c>
      <c r="V803" t="s">
        <v>717</v>
      </c>
      <c r="W803">
        <v>44540</v>
      </c>
      <c r="X803" t="s">
        <v>5633</v>
      </c>
      <c r="Y803" t="s">
        <v>6</v>
      </c>
      <c r="Z803" t="s">
        <v>17</v>
      </c>
      <c r="AA803" t="s">
        <v>5617</v>
      </c>
      <c r="AB803" t="s">
        <v>2509</v>
      </c>
      <c r="AC803" t="s">
        <v>4900</v>
      </c>
      <c r="AD803" t="s">
        <v>717</v>
      </c>
      <c r="AE803" t="s">
        <v>3447</v>
      </c>
      <c r="AF803" t="s">
        <v>3448</v>
      </c>
      <c r="AG803" t="s">
        <v>3449</v>
      </c>
      <c r="AH803" t="s">
        <v>2615</v>
      </c>
      <c r="AI803" t="s">
        <v>2538</v>
      </c>
      <c r="AJ803" t="s">
        <v>3921</v>
      </c>
      <c r="AK803" t="s">
        <v>63</v>
      </c>
      <c r="AL803" t="s">
        <v>16</v>
      </c>
      <c r="AM803" t="s">
        <v>10</v>
      </c>
      <c r="AN803" t="s">
        <v>717</v>
      </c>
    </row>
    <row r="804" spans="1:40" hidden="1">
      <c r="A804">
        <v>802</v>
      </c>
      <c r="B804">
        <v>38</v>
      </c>
      <c r="C804" s="58">
        <v>44554</v>
      </c>
      <c r="D804" t="s">
        <v>27</v>
      </c>
      <c r="E804" t="s">
        <v>5456</v>
      </c>
      <c r="F804">
        <v>5</v>
      </c>
      <c r="G804">
        <v>6</v>
      </c>
      <c r="H804">
        <v>871</v>
      </c>
      <c r="I804">
        <v>1</v>
      </c>
      <c r="J804">
        <v>37.270000000000003</v>
      </c>
      <c r="K804" t="s">
        <v>9</v>
      </c>
      <c r="L804">
        <v>2666085.6</v>
      </c>
      <c r="M804">
        <v>0</v>
      </c>
      <c r="N804">
        <v>2666085.6</v>
      </c>
      <c r="O804">
        <v>71534.36007512745</v>
      </c>
      <c r="P804">
        <v>0</v>
      </c>
      <c r="Q804">
        <v>2666085.6</v>
      </c>
      <c r="R804">
        <v>71534.36007512745</v>
      </c>
      <c r="S804" t="s">
        <v>65</v>
      </c>
      <c r="T804" t="s">
        <v>717</v>
      </c>
      <c r="U804" t="s">
        <v>717</v>
      </c>
      <c r="V804" t="s">
        <v>717</v>
      </c>
      <c r="W804">
        <v>44540</v>
      </c>
      <c r="X804" t="s">
        <v>5634</v>
      </c>
      <c r="Y804" t="s">
        <v>6</v>
      </c>
      <c r="Z804" t="s">
        <v>17</v>
      </c>
      <c r="AA804" t="s">
        <v>5617</v>
      </c>
      <c r="AB804" t="s">
        <v>2509</v>
      </c>
      <c r="AC804" t="s">
        <v>4900</v>
      </c>
      <c r="AD804" t="s">
        <v>717</v>
      </c>
      <c r="AE804" t="s">
        <v>3447</v>
      </c>
      <c r="AF804" t="s">
        <v>3448</v>
      </c>
      <c r="AG804" t="s">
        <v>3449</v>
      </c>
      <c r="AH804" t="s">
        <v>2580</v>
      </c>
      <c r="AI804" t="s">
        <v>2538</v>
      </c>
      <c r="AJ804" t="s">
        <v>3921</v>
      </c>
      <c r="AK804" t="s">
        <v>63</v>
      </c>
      <c r="AL804" t="s">
        <v>16</v>
      </c>
      <c r="AM804" t="s">
        <v>10</v>
      </c>
      <c r="AN804" t="s">
        <v>717</v>
      </c>
    </row>
    <row r="805" spans="1:40" hidden="1">
      <c r="A805">
        <v>803</v>
      </c>
      <c r="B805">
        <v>39</v>
      </c>
      <c r="C805" s="58">
        <v>44554</v>
      </c>
      <c r="D805" t="s">
        <v>27</v>
      </c>
      <c r="E805" t="s">
        <v>5456</v>
      </c>
      <c r="F805">
        <v>5</v>
      </c>
      <c r="G805">
        <v>10</v>
      </c>
      <c r="H805">
        <v>907</v>
      </c>
      <c r="I805">
        <v>1</v>
      </c>
      <c r="J805">
        <v>37.270000000000003</v>
      </c>
      <c r="K805" t="s">
        <v>15</v>
      </c>
      <c r="L805">
        <v>2871070.58</v>
      </c>
      <c r="M805">
        <v>0</v>
      </c>
      <c r="N805">
        <v>2871070.58</v>
      </c>
      <c r="O805">
        <v>77034.359538502817</v>
      </c>
      <c r="P805">
        <v>204985</v>
      </c>
      <c r="Q805">
        <v>2666085.58</v>
      </c>
      <c r="R805">
        <v>71534.359538502817</v>
      </c>
      <c r="S805" t="s">
        <v>65</v>
      </c>
      <c r="T805" t="s">
        <v>717</v>
      </c>
      <c r="U805" t="s">
        <v>717</v>
      </c>
      <c r="V805" t="s">
        <v>717</v>
      </c>
      <c r="W805">
        <v>44540</v>
      </c>
      <c r="X805" t="s">
        <v>5635</v>
      </c>
      <c r="Y805" t="s">
        <v>6</v>
      </c>
      <c r="Z805" t="s">
        <v>17</v>
      </c>
      <c r="AA805" t="s">
        <v>5617</v>
      </c>
      <c r="AB805" t="s">
        <v>2509</v>
      </c>
      <c r="AC805" t="s">
        <v>4900</v>
      </c>
      <c r="AD805" t="s">
        <v>717</v>
      </c>
      <c r="AE805" t="s">
        <v>3447</v>
      </c>
      <c r="AF805" t="s">
        <v>3448</v>
      </c>
      <c r="AG805" t="s">
        <v>3449</v>
      </c>
      <c r="AH805" t="s">
        <v>2580</v>
      </c>
      <c r="AI805" t="s">
        <v>2538</v>
      </c>
      <c r="AJ805" t="s">
        <v>3921</v>
      </c>
      <c r="AK805" t="s">
        <v>63</v>
      </c>
      <c r="AL805" t="s">
        <v>16</v>
      </c>
      <c r="AM805" t="s">
        <v>10</v>
      </c>
      <c r="AN805" t="s">
        <v>717</v>
      </c>
    </row>
    <row r="806" spans="1:40" hidden="1">
      <c r="A806">
        <v>804</v>
      </c>
      <c r="B806">
        <v>40</v>
      </c>
      <c r="C806" s="58">
        <v>44554</v>
      </c>
      <c r="D806" t="s">
        <v>27</v>
      </c>
      <c r="E806" t="s">
        <v>5456</v>
      </c>
      <c r="F806">
        <v>6</v>
      </c>
      <c r="G806">
        <v>10</v>
      </c>
      <c r="H806">
        <v>908</v>
      </c>
      <c r="I806">
        <v>2</v>
      </c>
      <c r="J806">
        <v>54.28</v>
      </c>
      <c r="K806" t="s">
        <v>15</v>
      </c>
      <c r="L806">
        <v>3610198.78</v>
      </c>
      <c r="M806">
        <v>0</v>
      </c>
      <c r="N806">
        <v>3610198.78</v>
      </c>
      <c r="O806">
        <v>66510.662859248332</v>
      </c>
      <c r="P806">
        <v>298540</v>
      </c>
      <c r="Q806">
        <v>3311658.78</v>
      </c>
      <c r="R806">
        <v>61010.662859248339</v>
      </c>
      <c r="S806" t="s">
        <v>65</v>
      </c>
      <c r="T806" t="s">
        <v>5443</v>
      </c>
      <c r="U806">
        <v>298540</v>
      </c>
      <c r="V806" t="s">
        <v>4131</v>
      </c>
      <c r="W806">
        <v>44547</v>
      </c>
      <c r="X806" t="s">
        <v>5636</v>
      </c>
      <c r="Y806" t="s">
        <v>6</v>
      </c>
      <c r="Z806" t="s">
        <v>17</v>
      </c>
      <c r="AA806" t="s">
        <v>717</v>
      </c>
      <c r="AB806" t="s">
        <v>2509</v>
      </c>
      <c r="AC806" t="s">
        <v>2571</v>
      </c>
      <c r="AD806" t="s">
        <v>717</v>
      </c>
      <c r="AE806" t="s">
        <v>3447</v>
      </c>
      <c r="AF806" t="s">
        <v>3448</v>
      </c>
      <c r="AG806" t="s">
        <v>3449</v>
      </c>
      <c r="AH806" t="s">
        <v>2580</v>
      </c>
      <c r="AI806" t="s">
        <v>2600</v>
      </c>
      <c r="AJ806" t="s">
        <v>3921</v>
      </c>
      <c r="AK806" t="s">
        <v>63</v>
      </c>
      <c r="AL806" t="s">
        <v>16</v>
      </c>
      <c r="AM806" t="s">
        <v>10</v>
      </c>
      <c r="AN806" t="s">
        <v>717</v>
      </c>
    </row>
    <row r="807" spans="1:40" hidden="1">
      <c r="A807">
        <v>805</v>
      </c>
      <c r="B807">
        <v>41</v>
      </c>
      <c r="C807" s="58">
        <v>44554</v>
      </c>
      <c r="D807" t="s">
        <v>121</v>
      </c>
      <c r="E807" t="s">
        <v>2515</v>
      </c>
      <c r="F807">
        <v>2</v>
      </c>
      <c r="G807">
        <v>6</v>
      </c>
      <c r="H807">
        <v>30</v>
      </c>
      <c r="I807">
        <v>2</v>
      </c>
      <c r="J807">
        <v>58.99</v>
      </c>
      <c r="K807" t="s">
        <v>15</v>
      </c>
      <c r="L807">
        <v>4552383.9800000004</v>
      </c>
      <c r="M807">
        <v>0</v>
      </c>
      <c r="N807">
        <v>4552383.9800000004</v>
      </c>
      <c r="O807">
        <v>77172.130530598413</v>
      </c>
      <c r="P807">
        <v>324445</v>
      </c>
      <c r="Q807">
        <v>4227938.9800000004</v>
      </c>
      <c r="R807">
        <v>71672.130530598413</v>
      </c>
      <c r="S807" t="s">
        <v>65</v>
      </c>
      <c r="T807" t="s">
        <v>717</v>
      </c>
      <c r="U807" t="s">
        <v>717</v>
      </c>
      <c r="V807" t="s">
        <v>717</v>
      </c>
      <c r="W807">
        <v>44547</v>
      </c>
      <c r="X807" t="s">
        <v>5637</v>
      </c>
      <c r="Y807" t="s">
        <v>6</v>
      </c>
      <c r="Z807" t="s">
        <v>17</v>
      </c>
      <c r="AA807" t="s">
        <v>5617</v>
      </c>
      <c r="AB807" t="s">
        <v>2509</v>
      </c>
      <c r="AC807" t="s">
        <v>2558</v>
      </c>
      <c r="AD807" t="s">
        <v>717</v>
      </c>
      <c r="AE807" t="s">
        <v>5638</v>
      </c>
      <c r="AF807" t="s">
        <v>5639</v>
      </c>
      <c r="AG807" t="s">
        <v>5640</v>
      </c>
      <c r="AH807" t="s">
        <v>2191</v>
      </c>
      <c r="AI807" t="s">
        <v>2552</v>
      </c>
      <c r="AJ807" t="s">
        <v>2514</v>
      </c>
      <c r="AK807" t="s">
        <v>20</v>
      </c>
      <c r="AL807" t="s">
        <v>16</v>
      </c>
      <c r="AM807" t="s">
        <v>10</v>
      </c>
      <c r="AN807" t="s">
        <v>717</v>
      </c>
    </row>
    <row r="808" spans="1:40" hidden="1">
      <c r="A808">
        <v>806</v>
      </c>
      <c r="B808">
        <v>42</v>
      </c>
      <c r="C808" s="58">
        <v>44554</v>
      </c>
      <c r="D808" t="s">
        <v>27</v>
      </c>
      <c r="E808" t="s">
        <v>4409</v>
      </c>
      <c r="F808">
        <v>8</v>
      </c>
      <c r="G808">
        <v>15</v>
      </c>
      <c r="H808">
        <v>623</v>
      </c>
      <c r="I808">
        <v>2</v>
      </c>
      <c r="J808">
        <v>55.8</v>
      </c>
      <c r="K808" t="s">
        <v>15</v>
      </c>
      <c r="L808">
        <v>3879568.66</v>
      </c>
      <c r="M808">
        <v>0</v>
      </c>
      <c r="N808">
        <v>3879568.66</v>
      </c>
      <c r="O808">
        <v>69526.320071684589</v>
      </c>
      <c r="P808">
        <v>306900</v>
      </c>
      <c r="Q808">
        <v>3572668.66</v>
      </c>
      <c r="R808">
        <v>64026.320071684597</v>
      </c>
      <c r="S808" t="s">
        <v>65</v>
      </c>
      <c r="T808" t="s">
        <v>717</v>
      </c>
      <c r="U808" t="s">
        <v>717</v>
      </c>
      <c r="V808" t="s">
        <v>4131</v>
      </c>
      <c r="W808">
        <v>44551</v>
      </c>
      <c r="X808" t="s">
        <v>5641</v>
      </c>
      <c r="Y808" t="s">
        <v>6</v>
      </c>
      <c r="Z808" t="s">
        <v>17</v>
      </c>
      <c r="AA808" t="s">
        <v>717</v>
      </c>
      <c r="AB808" t="s">
        <v>2509</v>
      </c>
      <c r="AC808" t="s">
        <v>2571</v>
      </c>
      <c r="AD808" t="s">
        <v>717</v>
      </c>
      <c r="AE808" t="s">
        <v>5642</v>
      </c>
      <c r="AF808" t="s">
        <v>5643</v>
      </c>
      <c r="AG808" t="s">
        <v>5644</v>
      </c>
      <c r="AH808" t="s">
        <v>2615</v>
      </c>
      <c r="AI808" t="s">
        <v>2552</v>
      </c>
      <c r="AJ808" t="s">
        <v>2569</v>
      </c>
      <c r="AK808" t="s">
        <v>63</v>
      </c>
      <c r="AL808" t="s">
        <v>16</v>
      </c>
      <c r="AM808" t="s">
        <v>10</v>
      </c>
      <c r="AN808" t="s">
        <v>717</v>
      </c>
    </row>
    <row r="809" spans="1:40" hidden="1">
      <c r="A809">
        <v>807</v>
      </c>
      <c r="B809">
        <v>43</v>
      </c>
      <c r="C809" s="58">
        <v>44554</v>
      </c>
      <c r="D809" t="s">
        <v>27</v>
      </c>
      <c r="E809" t="s">
        <v>5079</v>
      </c>
      <c r="F809">
        <v>3</v>
      </c>
      <c r="G809">
        <v>14</v>
      </c>
      <c r="H809">
        <v>742</v>
      </c>
      <c r="I809">
        <v>2</v>
      </c>
      <c r="J809">
        <v>56.33</v>
      </c>
      <c r="K809" t="s">
        <v>15</v>
      </c>
      <c r="L809">
        <v>4654636.9000000004</v>
      </c>
      <c r="M809">
        <v>0</v>
      </c>
      <c r="N809">
        <v>4654636.9000000004</v>
      </c>
      <c r="O809">
        <v>82631.579975146466</v>
      </c>
      <c r="P809">
        <v>309815</v>
      </c>
      <c r="Q809">
        <v>4344821.9000000004</v>
      </c>
      <c r="R809">
        <v>77131.579975146466</v>
      </c>
      <c r="S809" t="s">
        <v>65</v>
      </c>
      <c r="T809" t="s">
        <v>717</v>
      </c>
      <c r="U809" t="s">
        <v>717</v>
      </c>
      <c r="V809" t="s">
        <v>4131</v>
      </c>
      <c r="W809">
        <v>44551</v>
      </c>
      <c r="X809" t="s">
        <v>5645</v>
      </c>
      <c r="Y809" t="s">
        <v>6</v>
      </c>
      <c r="Z809" t="s">
        <v>17</v>
      </c>
      <c r="AA809" t="s">
        <v>717</v>
      </c>
      <c r="AB809" t="s">
        <v>2509</v>
      </c>
      <c r="AC809" t="s">
        <v>2571</v>
      </c>
      <c r="AD809" t="s">
        <v>717</v>
      </c>
      <c r="AE809" t="s">
        <v>5646</v>
      </c>
      <c r="AF809" t="s">
        <v>5647</v>
      </c>
      <c r="AG809" t="s">
        <v>5648</v>
      </c>
      <c r="AH809" t="s">
        <v>2191</v>
      </c>
      <c r="AI809" t="s">
        <v>2538</v>
      </c>
      <c r="AJ809" t="s">
        <v>2514</v>
      </c>
      <c r="AK809" t="s">
        <v>77</v>
      </c>
      <c r="AL809" t="s">
        <v>575</v>
      </c>
      <c r="AM809" t="s">
        <v>10</v>
      </c>
      <c r="AN809" t="s">
        <v>717</v>
      </c>
    </row>
    <row r="810" spans="1:40" hidden="1">
      <c r="A810">
        <v>808</v>
      </c>
      <c r="B810">
        <v>44</v>
      </c>
      <c r="C810" s="58">
        <v>44554</v>
      </c>
      <c r="D810" t="s">
        <v>121</v>
      </c>
      <c r="E810" t="s">
        <v>2506</v>
      </c>
      <c r="F810">
        <v>2</v>
      </c>
      <c r="G810">
        <v>6</v>
      </c>
      <c r="H810">
        <v>207</v>
      </c>
      <c r="I810">
        <v>1</v>
      </c>
      <c r="J810">
        <v>38.22</v>
      </c>
      <c r="K810" t="s">
        <v>15</v>
      </c>
      <c r="L810">
        <v>3457261.99</v>
      </c>
      <c r="M810">
        <v>0</v>
      </c>
      <c r="N810">
        <v>3457261.99</v>
      </c>
      <c r="O810">
        <v>90456.880952380961</v>
      </c>
      <c r="P810">
        <v>210210</v>
      </c>
      <c r="Q810">
        <v>3247051.99</v>
      </c>
      <c r="R810">
        <v>84956.880952380961</v>
      </c>
      <c r="S810" t="s">
        <v>65</v>
      </c>
      <c r="T810" t="s">
        <v>717</v>
      </c>
      <c r="U810" t="s">
        <v>717</v>
      </c>
      <c r="V810" t="s">
        <v>717</v>
      </c>
      <c r="W810">
        <v>44554</v>
      </c>
      <c r="X810" t="s">
        <v>5649</v>
      </c>
      <c r="Y810" t="s">
        <v>6</v>
      </c>
      <c r="Z810" t="s">
        <v>17</v>
      </c>
      <c r="AA810" t="s">
        <v>717</v>
      </c>
      <c r="AB810" t="s">
        <v>2509</v>
      </c>
      <c r="AC810" t="s">
        <v>2571</v>
      </c>
      <c r="AD810" t="s">
        <v>717</v>
      </c>
      <c r="AE810" t="s">
        <v>5650</v>
      </c>
      <c r="AF810" t="s">
        <v>5651</v>
      </c>
      <c r="AG810" t="s">
        <v>5652</v>
      </c>
      <c r="AH810" t="s">
        <v>2191</v>
      </c>
      <c r="AI810" t="s">
        <v>5653</v>
      </c>
      <c r="AJ810" t="s">
        <v>31</v>
      </c>
      <c r="AK810" t="s">
        <v>20</v>
      </c>
      <c r="AL810" t="s">
        <v>16</v>
      </c>
      <c r="AM810" t="s">
        <v>5654</v>
      </c>
      <c r="AN810" t="s">
        <v>717</v>
      </c>
    </row>
    <row r="811" spans="1:40" hidden="1">
      <c r="A811">
        <v>809</v>
      </c>
      <c r="B811">
        <v>45</v>
      </c>
      <c r="C811" s="58">
        <v>44554</v>
      </c>
      <c r="D811" t="s">
        <v>121</v>
      </c>
      <c r="E811" t="s">
        <v>2506</v>
      </c>
      <c r="F811">
        <v>1</v>
      </c>
      <c r="G811">
        <v>3</v>
      </c>
      <c r="H811">
        <v>173</v>
      </c>
      <c r="I811">
        <v>1</v>
      </c>
      <c r="J811">
        <v>38.83</v>
      </c>
      <c r="K811" t="s">
        <v>15</v>
      </c>
      <c r="L811">
        <v>3400981.23</v>
      </c>
      <c r="M811">
        <v>0</v>
      </c>
      <c r="N811">
        <v>3400981.23</v>
      </c>
      <c r="O811">
        <v>87586.433942827716</v>
      </c>
      <c r="P811">
        <v>213565</v>
      </c>
      <c r="Q811">
        <v>3187416.23</v>
      </c>
      <c r="R811">
        <v>82086.433942827716</v>
      </c>
      <c r="S811" t="s">
        <v>65</v>
      </c>
      <c r="T811" t="s">
        <v>717</v>
      </c>
      <c r="U811" t="s">
        <v>717</v>
      </c>
      <c r="V811" t="s">
        <v>717</v>
      </c>
      <c r="W811">
        <v>44554</v>
      </c>
      <c r="X811" t="s">
        <v>5655</v>
      </c>
      <c r="Y811" t="s">
        <v>6</v>
      </c>
      <c r="Z811" t="s">
        <v>17</v>
      </c>
      <c r="AA811" t="s">
        <v>717</v>
      </c>
      <c r="AB811" t="s">
        <v>2509</v>
      </c>
      <c r="AC811" t="s">
        <v>2571</v>
      </c>
      <c r="AD811" t="s">
        <v>717</v>
      </c>
      <c r="AE811" t="s">
        <v>5610</v>
      </c>
      <c r="AF811" t="s">
        <v>5611</v>
      </c>
      <c r="AG811" t="s">
        <v>5612</v>
      </c>
      <c r="AH811" t="s">
        <v>2580</v>
      </c>
      <c r="AI811" t="s">
        <v>2552</v>
      </c>
      <c r="AJ811" t="s">
        <v>3921</v>
      </c>
      <c r="AK811" t="s">
        <v>20</v>
      </c>
      <c r="AL811" t="s">
        <v>575</v>
      </c>
      <c r="AM811" t="s">
        <v>10</v>
      </c>
      <c r="AN811" t="s">
        <v>717</v>
      </c>
    </row>
    <row r="812" spans="1:40" hidden="1">
      <c r="A812">
        <v>810</v>
      </c>
      <c r="B812">
        <v>46</v>
      </c>
      <c r="C812" s="58">
        <v>44554</v>
      </c>
      <c r="D812" t="s">
        <v>121</v>
      </c>
      <c r="E812" t="s">
        <v>2506</v>
      </c>
      <c r="F812">
        <v>2</v>
      </c>
      <c r="G812">
        <v>2</v>
      </c>
      <c r="H812">
        <v>163</v>
      </c>
      <c r="I812">
        <v>1</v>
      </c>
      <c r="J812">
        <v>38.22</v>
      </c>
      <c r="K812" t="s">
        <v>25</v>
      </c>
      <c r="L812">
        <v>3748863.5</v>
      </c>
      <c r="M812">
        <v>0</v>
      </c>
      <c r="N812">
        <v>3748863.5</v>
      </c>
      <c r="O812">
        <v>98086.433804290951</v>
      </c>
      <c r="P812">
        <v>611520</v>
      </c>
      <c r="Q812">
        <v>3137343.5</v>
      </c>
      <c r="R812">
        <v>82086.433804290951</v>
      </c>
      <c r="S812" t="s">
        <v>2507</v>
      </c>
      <c r="T812" t="s">
        <v>717</v>
      </c>
      <c r="U812" t="s">
        <v>717</v>
      </c>
      <c r="V812" t="s">
        <v>717</v>
      </c>
      <c r="W812">
        <v>44545</v>
      </c>
      <c r="X812" t="s">
        <v>5656</v>
      </c>
      <c r="Y812" t="s">
        <v>6</v>
      </c>
      <c r="Z812" t="s">
        <v>11</v>
      </c>
      <c r="AA812" t="s">
        <v>717</v>
      </c>
      <c r="AB812" t="s">
        <v>2509</v>
      </c>
      <c r="AC812" t="s">
        <v>118</v>
      </c>
      <c r="AD812" t="s">
        <v>717</v>
      </c>
      <c r="AE812" t="s">
        <v>5657</v>
      </c>
      <c r="AF812" t="s">
        <v>5658</v>
      </c>
      <c r="AG812" t="s">
        <v>5659</v>
      </c>
      <c r="AH812" t="s">
        <v>2552</v>
      </c>
      <c r="AI812" t="s">
        <v>2547</v>
      </c>
      <c r="AJ812" t="s">
        <v>2855</v>
      </c>
      <c r="AK812" t="s">
        <v>471</v>
      </c>
      <c r="AL812" t="s">
        <v>717</v>
      </c>
      <c r="AM812" t="s">
        <v>10</v>
      </c>
      <c r="AN812" t="s">
        <v>717</v>
      </c>
    </row>
    <row r="813" spans="1:40" hidden="1">
      <c r="A813">
        <v>811</v>
      </c>
      <c r="B813">
        <v>47</v>
      </c>
      <c r="C813" s="58">
        <v>44557</v>
      </c>
      <c r="D813" t="s">
        <v>27</v>
      </c>
      <c r="E813" t="s">
        <v>2581</v>
      </c>
      <c r="F813">
        <v>6</v>
      </c>
      <c r="G813">
        <v>2</v>
      </c>
      <c r="H813">
        <v>397</v>
      </c>
      <c r="I813">
        <v>1</v>
      </c>
      <c r="J813">
        <v>37.11</v>
      </c>
      <c r="K813" t="s">
        <v>15</v>
      </c>
      <c r="L813">
        <v>2732333.6</v>
      </c>
      <c r="M813">
        <v>0</v>
      </c>
      <c r="N813">
        <v>2732333.6</v>
      </c>
      <c r="O813">
        <v>73627.960118566421</v>
      </c>
      <c r="P813">
        <v>204105</v>
      </c>
      <c r="Q813">
        <v>2528228.6</v>
      </c>
      <c r="R813">
        <v>68127.960118566421</v>
      </c>
      <c r="S813" t="s">
        <v>65</v>
      </c>
      <c r="T813" t="s">
        <v>717</v>
      </c>
      <c r="U813" t="s">
        <v>717</v>
      </c>
      <c r="V813" t="s">
        <v>717</v>
      </c>
      <c r="W813">
        <v>44553</v>
      </c>
      <c r="X813" t="s">
        <v>5660</v>
      </c>
      <c r="Y813" t="s">
        <v>6</v>
      </c>
      <c r="Z813" t="s">
        <v>17</v>
      </c>
      <c r="AA813" t="s">
        <v>717</v>
      </c>
      <c r="AB813" t="s">
        <v>2509</v>
      </c>
      <c r="AC813" t="s">
        <v>2571</v>
      </c>
      <c r="AD813" t="s">
        <v>717</v>
      </c>
      <c r="AE813" t="s">
        <v>5661</v>
      </c>
      <c r="AF813" t="s">
        <v>5662</v>
      </c>
      <c r="AG813" t="s">
        <v>5663</v>
      </c>
      <c r="AH813" t="s">
        <v>2615</v>
      </c>
      <c r="AI813" t="s">
        <v>2552</v>
      </c>
      <c r="AJ813" t="s">
        <v>2651</v>
      </c>
      <c r="AK813" t="s">
        <v>20</v>
      </c>
      <c r="AL813" t="s">
        <v>575</v>
      </c>
      <c r="AM813" t="s">
        <v>10</v>
      </c>
      <c r="AN813" t="s">
        <v>717</v>
      </c>
    </row>
    <row r="814" spans="1:40" hidden="1">
      <c r="A814">
        <v>812</v>
      </c>
      <c r="B814">
        <v>48</v>
      </c>
      <c r="C814" s="58">
        <v>44557</v>
      </c>
      <c r="D814" t="s">
        <v>121</v>
      </c>
      <c r="E814" t="s">
        <v>2515</v>
      </c>
      <c r="F814">
        <v>5</v>
      </c>
      <c r="G814">
        <v>17</v>
      </c>
      <c r="H814">
        <v>110</v>
      </c>
      <c r="I814">
        <v>1</v>
      </c>
      <c r="J814">
        <v>36.42</v>
      </c>
      <c r="K814" t="s">
        <v>9</v>
      </c>
      <c r="L814">
        <v>2861571.88</v>
      </c>
      <c r="M814">
        <v>0</v>
      </c>
      <c r="N814">
        <v>2861571.88</v>
      </c>
      <c r="O814">
        <v>78571.440966501919</v>
      </c>
      <c r="P814">
        <v>0</v>
      </c>
      <c r="Q814">
        <v>2861571.88</v>
      </c>
      <c r="R814">
        <v>78571.440966501919</v>
      </c>
      <c r="S814" t="s">
        <v>65</v>
      </c>
      <c r="T814" t="s">
        <v>717</v>
      </c>
      <c r="U814" t="s">
        <v>717</v>
      </c>
      <c r="V814" t="s">
        <v>4131</v>
      </c>
      <c r="W814">
        <v>44557</v>
      </c>
      <c r="X814" t="s">
        <v>5664</v>
      </c>
      <c r="Y814" t="s">
        <v>6</v>
      </c>
      <c r="Z814" t="s">
        <v>17</v>
      </c>
      <c r="AA814" t="s">
        <v>717</v>
      </c>
      <c r="AB814" t="s">
        <v>2509</v>
      </c>
      <c r="AC814" t="s">
        <v>2571</v>
      </c>
      <c r="AD814" t="s">
        <v>717</v>
      </c>
      <c r="AE814" t="s">
        <v>5665</v>
      </c>
      <c r="AF814" t="s">
        <v>5666</v>
      </c>
      <c r="AG814" t="s">
        <v>5667</v>
      </c>
      <c r="AH814" t="s">
        <v>2552</v>
      </c>
      <c r="AI814" t="s">
        <v>2877</v>
      </c>
      <c r="AJ814" t="s">
        <v>3098</v>
      </c>
      <c r="AK814" t="s">
        <v>20</v>
      </c>
      <c r="AL814" t="s">
        <v>16</v>
      </c>
      <c r="AM814" t="s">
        <v>10</v>
      </c>
      <c r="AN814" t="s">
        <v>717</v>
      </c>
    </row>
    <row r="815" spans="1:40" hidden="1">
      <c r="A815">
        <v>813</v>
      </c>
      <c r="B815">
        <v>49</v>
      </c>
      <c r="C815" s="58">
        <v>44558</v>
      </c>
      <c r="D815" t="s">
        <v>121</v>
      </c>
      <c r="E815" t="s">
        <v>2506</v>
      </c>
      <c r="F815">
        <v>4</v>
      </c>
      <c r="G815">
        <v>9</v>
      </c>
      <c r="H815">
        <v>242</v>
      </c>
      <c r="I815">
        <v>1</v>
      </c>
      <c r="J815">
        <v>37.89</v>
      </c>
      <c r="K815" t="s">
        <v>15</v>
      </c>
      <c r="L815">
        <v>3256339.68</v>
      </c>
      <c r="M815">
        <v>0</v>
      </c>
      <c r="N815">
        <v>3256339.68</v>
      </c>
      <c r="O815">
        <v>85941.928741092634</v>
      </c>
      <c r="P815">
        <v>208395</v>
      </c>
      <c r="Q815">
        <v>3047944.68</v>
      </c>
      <c r="R815">
        <v>80441.928741092634</v>
      </c>
      <c r="S815" t="s">
        <v>65</v>
      </c>
      <c r="T815" t="s">
        <v>717</v>
      </c>
      <c r="U815" t="s">
        <v>717</v>
      </c>
      <c r="V815" t="s">
        <v>717</v>
      </c>
      <c r="W815">
        <v>44553</v>
      </c>
      <c r="X815" t="s">
        <v>5668</v>
      </c>
      <c r="Y815" t="s">
        <v>6</v>
      </c>
      <c r="Z815" t="s">
        <v>17</v>
      </c>
      <c r="AA815" t="s">
        <v>717</v>
      </c>
      <c r="AB815" t="s">
        <v>2509</v>
      </c>
      <c r="AC815" t="s">
        <v>2571</v>
      </c>
      <c r="AD815" t="s">
        <v>717</v>
      </c>
      <c r="AE815" t="s">
        <v>5669</v>
      </c>
      <c r="AF815" t="s">
        <v>5670</v>
      </c>
      <c r="AG815" t="s">
        <v>5671</v>
      </c>
      <c r="AH815" t="s">
        <v>2616</v>
      </c>
      <c r="AI815" t="s">
        <v>2552</v>
      </c>
      <c r="AJ815" t="s">
        <v>3185</v>
      </c>
      <c r="AK815" t="s">
        <v>20</v>
      </c>
      <c r="AL815" t="s">
        <v>16</v>
      </c>
      <c r="AM815" t="s">
        <v>10</v>
      </c>
      <c r="AN815" t="s">
        <v>717</v>
      </c>
    </row>
    <row r="816" spans="1:40" hidden="1">
      <c r="A816">
        <v>814</v>
      </c>
      <c r="B816">
        <v>50</v>
      </c>
      <c r="C816" s="58">
        <v>44558</v>
      </c>
      <c r="D816" t="s">
        <v>27</v>
      </c>
      <c r="E816" t="s">
        <v>2506</v>
      </c>
      <c r="F816">
        <v>5</v>
      </c>
      <c r="G816">
        <v>17</v>
      </c>
      <c r="H816">
        <v>332</v>
      </c>
      <c r="I816">
        <v>0</v>
      </c>
      <c r="J816">
        <v>23.63</v>
      </c>
      <c r="K816" t="s">
        <v>25</v>
      </c>
      <c r="L816">
        <v>2206675.2599999998</v>
      </c>
      <c r="M816">
        <v>0</v>
      </c>
      <c r="N816">
        <v>2206675.2599999998</v>
      </c>
      <c r="O816">
        <v>93384.479898434191</v>
      </c>
      <c r="P816">
        <v>378080</v>
      </c>
      <c r="Q816">
        <v>1828595.26</v>
      </c>
      <c r="R816">
        <v>77384.479898434191</v>
      </c>
      <c r="S816" t="s">
        <v>65</v>
      </c>
      <c r="T816" t="s">
        <v>717</v>
      </c>
      <c r="U816" t="s">
        <v>717</v>
      </c>
      <c r="V816" t="s">
        <v>717</v>
      </c>
      <c r="W816">
        <v>44553</v>
      </c>
      <c r="X816" t="s">
        <v>5672</v>
      </c>
      <c r="Y816" t="s">
        <v>6</v>
      </c>
      <c r="Z816" t="s">
        <v>17</v>
      </c>
      <c r="AA816" t="s">
        <v>717</v>
      </c>
      <c r="AB816" t="s">
        <v>2509</v>
      </c>
      <c r="AC816" t="s">
        <v>2571</v>
      </c>
      <c r="AD816" t="s">
        <v>717</v>
      </c>
      <c r="AE816" t="s">
        <v>5673</v>
      </c>
      <c r="AF816" t="s">
        <v>5674</v>
      </c>
      <c r="AG816" t="s">
        <v>5675</v>
      </c>
      <c r="AH816" t="s">
        <v>2615</v>
      </c>
      <c r="AI816" t="s">
        <v>2552</v>
      </c>
      <c r="AJ816" t="s">
        <v>2569</v>
      </c>
      <c r="AK816" t="s">
        <v>63</v>
      </c>
      <c r="AL816" t="s">
        <v>16</v>
      </c>
      <c r="AM816" t="s">
        <v>10</v>
      </c>
      <c r="AN816" t="s">
        <v>717</v>
      </c>
    </row>
    <row r="817" spans="1:40" hidden="1">
      <c r="A817">
        <v>815</v>
      </c>
      <c r="B817">
        <v>51</v>
      </c>
      <c r="C817" s="58">
        <v>44558</v>
      </c>
      <c r="D817" t="s">
        <v>27</v>
      </c>
      <c r="E817" t="s">
        <v>2515</v>
      </c>
      <c r="F817">
        <v>8</v>
      </c>
      <c r="G817">
        <v>4</v>
      </c>
      <c r="H817">
        <v>26</v>
      </c>
      <c r="I817">
        <v>1</v>
      </c>
      <c r="J817">
        <v>37.69</v>
      </c>
      <c r="K817" t="s">
        <v>9</v>
      </c>
      <c r="L817">
        <v>2664383.86</v>
      </c>
      <c r="M817">
        <v>15000</v>
      </c>
      <c r="N817">
        <v>2679383.86</v>
      </c>
      <c r="O817">
        <v>71090.046696736536</v>
      </c>
      <c r="P817">
        <v>0</v>
      </c>
      <c r="Q817">
        <v>2679383.86</v>
      </c>
      <c r="R817">
        <v>71090.046696736536</v>
      </c>
      <c r="S817" t="s">
        <v>130</v>
      </c>
      <c r="T817" t="s">
        <v>717</v>
      </c>
      <c r="U817" t="s">
        <v>717</v>
      </c>
      <c r="V817" t="s">
        <v>717</v>
      </c>
      <c r="W817">
        <v>44553</v>
      </c>
      <c r="X817" t="s">
        <v>5676</v>
      </c>
      <c r="Y817" t="s">
        <v>6</v>
      </c>
      <c r="Z817" t="s">
        <v>17</v>
      </c>
      <c r="AA817" t="s">
        <v>5617</v>
      </c>
      <c r="AB817" t="s">
        <v>2509</v>
      </c>
      <c r="AC817" t="s">
        <v>118</v>
      </c>
      <c r="AD817" t="s">
        <v>717</v>
      </c>
      <c r="AE817" t="s">
        <v>2883</v>
      </c>
      <c r="AF817" t="s">
        <v>2884</v>
      </c>
      <c r="AG817" t="s">
        <v>2885</v>
      </c>
      <c r="AH817" t="s">
        <v>2615</v>
      </c>
      <c r="AI817" t="s">
        <v>2600</v>
      </c>
      <c r="AJ817" t="s">
        <v>3921</v>
      </c>
      <c r="AK817" t="s">
        <v>63</v>
      </c>
      <c r="AL817" t="s">
        <v>717</v>
      </c>
      <c r="AM817" t="s">
        <v>10</v>
      </c>
      <c r="AN817" t="s">
        <v>717</v>
      </c>
    </row>
    <row r="818" spans="1:40" hidden="1">
      <c r="A818">
        <v>816</v>
      </c>
      <c r="B818">
        <v>52</v>
      </c>
      <c r="C818" s="58">
        <v>44558</v>
      </c>
      <c r="D818" t="s">
        <v>121</v>
      </c>
      <c r="E818" t="s">
        <v>2506</v>
      </c>
      <c r="F818">
        <v>7</v>
      </c>
      <c r="G818">
        <v>12</v>
      </c>
      <c r="H818">
        <v>278</v>
      </c>
      <c r="I818">
        <v>0</v>
      </c>
      <c r="J818">
        <v>24.23</v>
      </c>
      <c r="K818" t="s">
        <v>25</v>
      </c>
      <c r="L818">
        <v>2513211.69</v>
      </c>
      <c r="M818">
        <v>0</v>
      </c>
      <c r="N818">
        <v>2513211.69</v>
      </c>
      <c r="O818">
        <v>103723.14032191498</v>
      </c>
      <c r="P818">
        <v>387680</v>
      </c>
      <c r="Q818">
        <v>2125531.69</v>
      </c>
      <c r="R818">
        <v>87723.14032191498</v>
      </c>
      <c r="S818" t="s">
        <v>65</v>
      </c>
      <c r="T818" t="s">
        <v>717</v>
      </c>
      <c r="U818" t="s">
        <v>717</v>
      </c>
      <c r="V818" t="s">
        <v>717</v>
      </c>
      <c r="W818">
        <v>44554</v>
      </c>
      <c r="X818" t="s">
        <v>5677</v>
      </c>
      <c r="Y818" t="s">
        <v>6</v>
      </c>
      <c r="Z818" t="s">
        <v>17</v>
      </c>
      <c r="AA818" t="s">
        <v>717</v>
      </c>
      <c r="AB818" t="s">
        <v>2509</v>
      </c>
      <c r="AC818" t="s">
        <v>2571</v>
      </c>
      <c r="AD818" t="s">
        <v>717</v>
      </c>
      <c r="AE818" t="s">
        <v>5678</v>
      </c>
      <c r="AF818" t="s">
        <v>5492</v>
      </c>
      <c r="AG818" t="s">
        <v>5679</v>
      </c>
      <c r="AH818" t="s">
        <v>2615</v>
      </c>
      <c r="AI818" t="s">
        <v>2600</v>
      </c>
      <c r="AJ818" t="s">
        <v>3921</v>
      </c>
      <c r="AK818" t="s">
        <v>77</v>
      </c>
      <c r="AL818" t="s">
        <v>16</v>
      </c>
      <c r="AM818" t="s">
        <v>10</v>
      </c>
      <c r="AN818" t="s">
        <v>717</v>
      </c>
    </row>
    <row r="819" spans="1:40" hidden="1">
      <c r="A819">
        <v>817</v>
      </c>
      <c r="B819">
        <v>53</v>
      </c>
      <c r="C819" s="58">
        <v>44558</v>
      </c>
      <c r="D819" t="s">
        <v>27</v>
      </c>
      <c r="E819" t="s">
        <v>2506</v>
      </c>
      <c r="F819">
        <v>4</v>
      </c>
      <c r="G819">
        <v>13</v>
      </c>
      <c r="H819">
        <v>299</v>
      </c>
      <c r="I819">
        <v>1</v>
      </c>
      <c r="J819">
        <v>40</v>
      </c>
      <c r="K819" t="s">
        <v>15</v>
      </c>
      <c r="L819">
        <v>3063602</v>
      </c>
      <c r="M819">
        <v>0</v>
      </c>
      <c r="N819">
        <v>3063602</v>
      </c>
      <c r="O819">
        <v>76590.05</v>
      </c>
      <c r="P819">
        <v>220000</v>
      </c>
      <c r="Q819">
        <v>2843602</v>
      </c>
      <c r="R819">
        <v>71090.05</v>
      </c>
      <c r="S819" t="s">
        <v>65</v>
      </c>
      <c r="T819" t="s">
        <v>717</v>
      </c>
      <c r="U819" t="s">
        <v>717</v>
      </c>
      <c r="V819" t="s">
        <v>717</v>
      </c>
      <c r="W819">
        <v>44554</v>
      </c>
      <c r="X819" t="s">
        <v>5680</v>
      </c>
      <c r="Y819" t="s">
        <v>6</v>
      </c>
      <c r="Z819" t="s">
        <v>17</v>
      </c>
      <c r="AA819" t="s">
        <v>717</v>
      </c>
      <c r="AB819" t="s">
        <v>2509</v>
      </c>
      <c r="AC819" t="s">
        <v>2571</v>
      </c>
      <c r="AD819" t="s">
        <v>717</v>
      </c>
      <c r="AE819" t="s">
        <v>5681</v>
      </c>
      <c r="AF819" t="s">
        <v>5682</v>
      </c>
      <c r="AG819" t="s">
        <v>717</v>
      </c>
      <c r="AH819" t="s">
        <v>2552</v>
      </c>
      <c r="AI819" t="s">
        <v>2547</v>
      </c>
      <c r="AJ819" t="s">
        <v>2855</v>
      </c>
      <c r="AK819" t="s">
        <v>471</v>
      </c>
      <c r="AL819" t="s">
        <v>16</v>
      </c>
      <c r="AM819" t="s">
        <v>10</v>
      </c>
      <c r="AN819" t="s">
        <v>717</v>
      </c>
    </row>
    <row r="820" spans="1:40" hidden="1">
      <c r="A820">
        <v>818</v>
      </c>
      <c r="B820">
        <v>54</v>
      </c>
      <c r="C820" s="58">
        <v>44559</v>
      </c>
      <c r="D820" t="s">
        <v>27</v>
      </c>
      <c r="E820" t="s">
        <v>2515</v>
      </c>
      <c r="F820">
        <v>9</v>
      </c>
      <c r="G820">
        <v>11</v>
      </c>
      <c r="H820">
        <v>90</v>
      </c>
      <c r="I820">
        <v>1</v>
      </c>
      <c r="J820">
        <v>37.94</v>
      </c>
      <c r="K820" t="s">
        <v>9</v>
      </c>
      <c r="L820">
        <v>2569774.86</v>
      </c>
      <c r="M820">
        <v>15000</v>
      </c>
      <c r="N820">
        <v>2584774.86</v>
      </c>
      <c r="O820">
        <v>68127.96151818661</v>
      </c>
      <c r="P820">
        <v>0</v>
      </c>
      <c r="Q820">
        <v>2584774.86</v>
      </c>
      <c r="R820">
        <v>68127.96151818661</v>
      </c>
      <c r="S820" t="s">
        <v>2507</v>
      </c>
      <c r="T820" t="s">
        <v>717</v>
      </c>
      <c r="U820" t="s">
        <v>717</v>
      </c>
      <c r="V820" t="s">
        <v>717</v>
      </c>
      <c r="W820">
        <v>44546</v>
      </c>
      <c r="X820" t="s">
        <v>5683</v>
      </c>
      <c r="Y820" t="s">
        <v>6</v>
      </c>
      <c r="Z820" t="s">
        <v>11</v>
      </c>
      <c r="AA820" t="s">
        <v>5617</v>
      </c>
      <c r="AB820" t="s">
        <v>2509</v>
      </c>
      <c r="AC820" t="s">
        <v>118</v>
      </c>
      <c r="AD820" t="s">
        <v>717</v>
      </c>
      <c r="AE820" t="s">
        <v>5684</v>
      </c>
      <c r="AF820" t="s">
        <v>5685</v>
      </c>
      <c r="AG820" t="s">
        <v>5686</v>
      </c>
      <c r="AH820" t="s">
        <v>2615</v>
      </c>
      <c r="AI820" t="s">
        <v>2847</v>
      </c>
      <c r="AJ820" t="s">
        <v>2940</v>
      </c>
      <c r="AK820" t="s">
        <v>63</v>
      </c>
      <c r="AL820" t="s">
        <v>717</v>
      </c>
      <c r="AM820" t="s">
        <v>10</v>
      </c>
      <c r="AN820" t="s">
        <v>717</v>
      </c>
    </row>
    <row r="821" spans="1:40" hidden="1">
      <c r="A821">
        <v>819</v>
      </c>
      <c r="B821">
        <v>55</v>
      </c>
      <c r="C821" s="58">
        <v>44559</v>
      </c>
      <c r="D821" t="s">
        <v>27</v>
      </c>
      <c r="E821" t="s">
        <v>2506</v>
      </c>
      <c r="F821">
        <v>2</v>
      </c>
      <c r="G821">
        <v>16</v>
      </c>
      <c r="H821">
        <v>321</v>
      </c>
      <c r="I821">
        <v>1</v>
      </c>
      <c r="J821">
        <v>37.159999999999997</v>
      </c>
      <c r="K821" t="s">
        <v>9</v>
      </c>
      <c r="L821">
        <v>2641706.2599999998</v>
      </c>
      <c r="M821">
        <v>0</v>
      </c>
      <c r="N821">
        <v>2641706.2599999998</v>
      </c>
      <c r="O821">
        <v>71090.050053821309</v>
      </c>
      <c r="P821">
        <v>0</v>
      </c>
      <c r="Q821">
        <v>2641706.2599999998</v>
      </c>
      <c r="R821">
        <v>71090.050053821309</v>
      </c>
      <c r="S821" t="s">
        <v>65</v>
      </c>
      <c r="T821" t="s">
        <v>717</v>
      </c>
      <c r="U821" t="s">
        <v>717</v>
      </c>
      <c r="V821" t="s">
        <v>717</v>
      </c>
      <c r="W821">
        <v>44551</v>
      </c>
      <c r="X821" t="s">
        <v>5687</v>
      </c>
      <c r="Y821" t="s">
        <v>6</v>
      </c>
      <c r="Z821" t="s">
        <v>11</v>
      </c>
      <c r="AA821" t="s">
        <v>717</v>
      </c>
      <c r="AB821" t="s">
        <v>2509</v>
      </c>
      <c r="AC821" t="s">
        <v>2564</v>
      </c>
      <c r="AD821" t="s">
        <v>717</v>
      </c>
      <c r="AE821" t="s">
        <v>5688</v>
      </c>
      <c r="AF821" t="s">
        <v>5689</v>
      </c>
      <c r="AG821" t="s">
        <v>717</v>
      </c>
      <c r="AH821" t="s">
        <v>2615</v>
      </c>
      <c r="AI821" t="s">
        <v>2847</v>
      </c>
      <c r="AJ821" t="s">
        <v>2940</v>
      </c>
      <c r="AK821" t="s">
        <v>77</v>
      </c>
      <c r="AL821" t="s">
        <v>16</v>
      </c>
      <c r="AM821" t="s">
        <v>10</v>
      </c>
      <c r="AN821" t="s">
        <v>717</v>
      </c>
    </row>
    <row r="822" spans="1:40" hidden="1">
      <c r="A822">
        <v>820</v>
      </c>
      <c r="B822">
        <v>56</v>
      </c>
      <c r="C822" s="58">
        <v>44559</v>
      </c>
      <c r="D822" t="s">
        <v>27</v>
      </c>
      <c r="E822" t="s">
        <v>2515</v>
      </c>
      <c r="F822">
        <v>5</v>
      </c>
      <c r="G822">
        <v>7</v>
      </c>
      <c r="H822">
        <v>50</v>
      </c>
      <c r="I822">
        <v>0</v>
      </c>
      <c r="J822">
        <v>24.47</v>
      </c>
      <c r="K822" t="s">
        <v>25</v>
      </c>
      <c r="L822">
        <v>2213930.35</v>
      </c>
      <c r="M822">
        <v>0</v>
      </c>
      <c r="N822">
        <v>2213930.35</v>
      </c>
      <c r="O822">
        <v>90475.290151205569</v>
      </c>
      <c r="P822">
        <v>391520</v>
      </c>
      <c r="Q822">
        <v>1822410.35</v>
      </c>
      <c r="R822">
        <v>74475.290151205569</v>
      </c>
      <c r="S822" t="s">
        <v>65</v>
      </c>
      <c r="T822" t="s">
        <v>717</v>
      </c>
      <c r="U822" t="s">
        <v>717</v>
      </c>
      <c r="V822" t="s">
        <v>717</v>
      </c>
      <c r="W822">
        <v>44553</v>
      </c>
      <c r="X822" t="s">
        <v>5690</v>
      </c>
      <c r="Y822" t="s">
        <v>6</v>
      </c>
      <c r="Z822" t="s">
        <v>17</v>
      </c>
      <c r="AA822" t="s">
        <v>717</v>
      </c>
      <c r="AB822" t="s">
        <v>2509</v>
      </c>
      <c r="AC822" t="s">
        <v>2571</v>
      </c>
      <c r="AD822" t="s">
        <v>717</v>
      </c>
      <c r="AE822" t="s">
        <v>5691</v>
      </c>
      <c r="AF822" t="s">
        <v>5692</v>
      </c>
      <c r="AG822" t="s">
        <v>5693</v>
      </c>
      <c r="AH822" t="s">
        <v>2615</v>
      </c>
      <c r="AI822" t="s">
        <v>2552</v>
      </c>
      <c r="AJ822" t="s">
        <v>2895</v>
      </c>
      <c r="AK822" t="s">
        <v>20</v>
      </c>
      <c r="AL822" t="s">
        <v>16</v>
      </c>
      <c r="AM822" t="s">
        <v>10</v>
      </c>
      <c r="AN822" t="s">
        <v>717</v>
      </c>
    </row>
    <row r="823" spans="1:40" hidden="1">
      <c r="A823">
        <v>821</v>
      </c>
      <c r="B823">
        <v>57</v>
      </c>
      <c r="C823" s="58">
        <v>44559</v>
      </c>
      <c r="D823" t="s">
        <v>27</v>
      </c>
      <c r="E823" t="s">
        <v>2515</v>
      </c>
      <c r="F823">
        <v>8</v>
      </c>
      <c r="G823">
        <v>8</v>
      </c>
      <c r="H823">
        <v>62</v>
      </c>
      <c r="I823">
        <v>1</v>
      </c>
      <c r="J823">
        <v>37.69</v>
      </c>
      <c r="K823" t="s">
        <v>25</v>
      </c>
      <c r="L823">
        <v>3282423.98</v>
      </c>
      <c r="M823">
        <v>0</v>
      </c>
      <c r="N823">
        <v>3282423.98</v>
      </c>
      <c r="O823">
        <v>87090.049880604944</v>
      </c>
      <c r="P823">
        <v>603040</v>
      </c>
      <c r="Q823">
        <v>2679383.98</v>
      </c>
      <c r="R823">
        <v>71090.049880604944</v>
      </c>
      <c r="S823" t="s">
        <v>65</v>
      </c>
      <c r="T823" t="s">
        <v>717</v>
      </c>
      <c r="U823" t="s">
        <v>717</v>
      </c>
      <c r="V823" t="s">
        <v>4131</v>
      </c>
      <c r="W823">
        <v>44557</v>
      </c>
      <c r="X823" t="s">
        <v>5694</v>
      </c>
      <c r="Y823" t="s">
        <v>6</v>
      </c>
      <c r="Z823" t="s">
        <v>17</v>
      </c>
      <c r="AA823" t="s">
        <v>717</v>
      </c>
      <c r="AB823" t="s">
        <v>2509</v>
      </c>
      <c r="AC823" t="s">
        <v>2571</v>
      </c>
      <c r="AD823" t="s">
        <v>717</v>
      </c>
      <c r="AE823" t="s">
        <v>5695</v>
      </c>
      <c r="AF823" t="s">
        <v>5696</v>
      </c>
      <c r="AG823" t="s">
        <v>5697</v>
      </c>
      <c r="AH823" t="s">
        <v>2191</v>
      </c>
      <c r="AI823" t="s">
        <v>2552</v>
      </c>
      <c r="AJ823" t="s">
        <v>2514</v>
      </c>
      <c r="AK823" t="s">
        <v>20</v>
      </c>
      <c r="AL823" t="s">
        <v>16</v>
      </c>
      <c r="AM823" t="s">
        <v>10</v>
      </c>
      <c r="AN823" t="s">
        <v>717</v>
      </c>
    </row>
    <row r="824" spans="1:40" hidden="1">
      <c r="A824">
        <v>822</v>
      </c>
      <c r="B824">
        <v>58</v>
      </c>
      <c r="C824" s="58">
        <v>44559</v>
      </c>
      <c r="D824" t="s">
        <v>27</v>
      </c>
      <c r="E824" t="s">
        <v>2515</v>
      </c>
      <c r="F824">
        <v>4</v>
      </c>
      <c r="G824">
        <v>7</v>
      </c>
      <c r="H824">
        <v>49</v>
      </c>
      <c r="I824">
        <v>0</v>
      </c>
      <c r="J824">
        <v>24.39</v>
      </c>
      <c r="K824" t="s">
        <v>9</v>
      </c>
      <c r="L824">
        <v>1816452.32</v>
      </c>
      <c r="M824">
        <v>0</v>
      </c>
      <c r="N824">
        <v>1816452.32</v>
      </c>
      <c r="O824">
        <v>74475.289872898735</v>
      </c>
      <c r="P824">
        <v>0</v>
      </c>
      <c r="Q824">
        <v>1816452.32</v>
      </c>
      <c r="R824">
        <v>74475.289872898735</v>
      </c>
      <c r="S824" t="s">
        <v>65</v>
      </c>
      <c r="T824" t="s">
        <v>717</v>
      </c>
      <c r="U824" t="s">
        <v>717</v>
      </c>
      <c r="V824" t="s">
        <v>717</v>
      </c>
      <c r="W824">
        <v>44557</v>
      </c>
      <c r="X824" t="s">
        <v>5698</v>
      </c>
      <c r="Y824" t="s">
        <v>6</v>
      </c>
      <c r="Z824" t="s">
        <v>17</v>
      </c>
      <c r="AA824" t="s">
        <v>717</v>
      </c>
      <c r="AB824" t="s">
        <v>2509</v>
      </c>
      <c r="AC824" t="s">
        <v>2571</v>
      </c>
      <c r="AD824" t="s">
        <v>717</v>
      </c>
      <c r="AE824" t="s">
        <v>5699</v>
      </c>
      <c r="AF824" t="s">
        <v>5700</v>
      </c>
      <c r="AG824" t="s">
        <v>5701</v>
      </c>
      <c r="AH824" t="s">
        <v>2191</v>
      </c>
      <c r="AI824" t="s">
        <v>2552</v>
      </c>
      <c r="AJ824" t="s">
        <v>2514</v>
      </c>
      <c r="AK824" t="s">
        <v>20</v>
      </c>
      <c r="AL824" t="s">
        <v>575</v>
      </c>
      <c r="AM824" t="s">
        <v>10</v>
      </c>
      <c r="AN824" t="s">
        <v>717</v>
      </c>
    </row>
    <row r="825" spans="1:40" hidden="1">
      <c r="A825">
        <v>823</v>
      </c>
      <c r="B825">
        <v>59</v>
      </c>
      <c r="C825" s="58">
        <v>44559</v>
      </c>
      <c r="D825" t="s">
        <v>27</v>
      </c>
      <c r="E825" t="s">
        <v>2515</v>
      </c>
      <c r="F825">
        <v>4</v>
      </c>
      <c r="G825">
        <v>2</v>
      </c>
      <c r="H825">
        <v>4</v>
      </c>
      <c r="I825">
        <v>0</v>
      </c>
      <c r="J825">
        <v>24.39</v>
      </c>
      <c r="K825" t="s">
        <v>15</v>
      </c>
      <c r="L825">
        <v>2064125.46</v>
      </c>
      <c r="M825">
        <v>0</v>
      </c>
      <c r="N825">
        <v>2064125.46</v>
      </c>
      <c r="O825">
        <v>84629.990159901601</v>
      </c>
      <c r="P825">
        <v>134145</v>
      </c>
      <c r="Q825">
        <v>1929980.46</v>
      </c>
      <c r="R825">
        <v>79129.990159901601</v>
      </c>
      <c r="S825" t="s">
        <v>65</v>
      </c>
      <c r="T825" t="s">
        <v>717</v>
      </c>
      <c r="U825" t="s">
        <v>717</v>
      </c>
      <c r="V825" t="s">
        <v>717</v>
      </c>
      <c r="W825">
        <v>44558</v>
      </c>
      <c r="X825" t="s">
        <v>5702</v>
      </c>
      <c r="Y825" t="s">
        <v>6</v>
      </c>
      <c r="Z825" t="s">
        <v>17</v>
      </c>
      <c r="AA825" t="s">
        <v>717</v>
      </c>
      <c r="AB825" t="s">
        <v>2509</v>
      </c>
      <c r="AC825" t="s">
        <v>2571</v>
      </c>
      <c r="AD825" t="s">
        <v>717</v>
      </c>
      <c r="AE825" t="s">
        <v>5703</v>
      </c>
      <c r="AF825" t="s">
        <v>5704</v>
      </c>
      <c r="AG825" t="s">
        <v>5705</v>
      </c>
      <c r="AH825" t="s">
        <v>2615</v>
      </c>
      <c r="AI825" t="s">
        <v>2673</v>
      </c>
      <c r="AJ825" t="s">
        <v>2895</v>
      </c>
      <c r="AK825" t="s">
        <v>63</v>
      </c>
      <c r="AL825" t="s">
        <v>16</v>
      </c>
      <c r="AM825" t="s">
        <v>10</v>
      </c>
      <c r="AN825" t="s">
        <v>717</v>
      </c>
    </row>
    <row r="826" spans="1:40" hidden="1">
      <c r="A826">
        <v>824</v>
      </c>
      <c r="B826">
        <v>60</v>
      </c>
      <c r="C826" s="58">
        <v>44559</v>
      </c>
      <c r="D826" t="s">
        <v>27</v>
      </c>
      <c r="E826" t="s">
        <v>5456</v>
      </c>
      <c r="F826">
        <v>9</v>
      </c>
      <c r="G826">
        <v>3</v>
      </c>
      <c r="H826">
        <v>848</v>
      </c>
      <c r="I826">
        <v>0</v>
      </c>
      <c r="J826">
        <v>23.09</v>
      </c>
      <c r="K826" t="s">
        <v>9</v>
      </c>
      <c r="L826">
        <v>1786807.64</v>
      </c>
      <c r="M826">
        <v>0</v>
      </c>
      <c r="N826">
        <v>1786807.64</v>
      </c>
      <c r="O826">
        <v>77384.479861411863</v>
      </c>
      <c r="P826">
        <v>0</v>
      </c>
      <c r="Q826">
        <v>1786807.64</v>
      </c>
      <c r="R826">
        <v>77384.479861411863</v>
      </c>
      <c r="S826" t="s">
        <v>65</v>
      </c>
      <c r="T826" t="s">
        <v>717</v>
      </c>
      <c r="U826" t="s">
        <v>717</v>
      </c>
      <c r="V826" t="s">
        <v>717</v>
      </c>
      <c r="W826">
        <v>44552</v>
      </c>
      <c r="X826" t="s">
        <v>5706</v>
      </c>
      <c r="Y826" t="s">
        <v>6</v>
      </c>
      <c r="Z826" t="s">
        <v>17</v>
      </c>
      <c r="AA826" t="s">
        <v>5617</v>
      </c>
      <c r="AB826" t="s">
        <v>2509</v>
      </c>
      <c r="AC826" t="s">
        <v>2564</v>
      </c>
      <c r="AD826" t="s">
        <v>717</v>
      </c>
      <c r="AE826" t="s">
        <v>5707</v>
      </c>
      <c r="AF826" t="s">
        <v>5708</v>
      </c>
      <c r="AG826" t="s">
        <v>717</v>
      </c>
      <c r="AH826" t="s">
        <v>2615</v>
      </c>
      <c r="AI826" t="s">
        <v>2621</v>
      </c>
      <c r="AJ826" t="s">
        <v>2569</v>
      </c>
      <c r="AK826" t="s">
        <v>471</v>
      </c>
      <c r="AL826" t="s">
        <v>575</v>
      </c>
      <c r="AM826" t="s">
        <v>10</v>
      </c>
      <c r="AN826" t="s">
        <v>717</v>
      </c>
    </row>
    <row r="827" spans="1:40" hidden="1">
      <c r="A827">
        <v>825</v>
      </c>
      <c r="B827">
        <v>61</v>
      </c>
      <c r="C827" s="58">
        <v>44560</v>
      </c>
      <c r="D827" t="s">
        <v>27</v>
      </c>
      <c r="E827" t="s">
        <v>2515</v>
      </c>
      <c r="F827">
        <v>9</v>
      </c>
      <c r="G827">
        <v>4</v>
      </c>
      <c r="H827">
        <v>27</v>
      </c>
      <c r="I827">
        <v>1</v>
      </c>
      <c r="J827">
        <v>37.94</v>
      </c>
      <c r="K827" t="s">
        <v>9</v>
      </c>
      <c r="L827">
        <v>2584774.7999999998</v>
      </c>
      <c r="M827">
        <v>0</v>
      </c>
      <c r="N827">
        <v>2584774.7999999998</v>
      </c>
      <c r="O827">
        <v>68127.95993674222</v>
      </c>
      <c r="P827">
        <v>0</v>
      </c>
      <c r="Q827">
        <v>2584774.7999999998</v>
      </c>
      <c r="R827">
        <v>68127.95993674222</v>
      </c>
      <c r="S827" t="s">
        <v>130</v>
      </c>
      <c r="T827" t="s">
        <v>717</v>
      </c>
      <c r="U827" t="s">
        <v>717</v>
      </c>
      <c r="V827" t="s">
        <v>717</v>
      </c>
      <c r="W827">
        <v>44557</v>
      </c>
      <c r="X827" t="s">
        <v>5709</v>
      </c>
      <c r="Y827" t="s">
        <v>6</v>
      </c>
      <c r="Z827" t="s">
        <v>17</v>
      </c>
      <c r="AA827" t="s">
        <v>717</v>
      </c>
      <c r="AB827" t="s">
        <v>2509</v>
      </c>
      <c r="AC827" t="s">
        <v>118</v>
      </c>
      <c r="AD827" t="s">
        <v>717</v>
      </c>
      <c r="AE827" t="s">
        <v>5710</v>
      </c>
      <c r="AF827" t="s">
        <v>5711</v>
      </c>
      <c r="AG827" t="s">
        <v>5712</v>
      </c>
      <c r="AH827" t="s">
        <v>2615</v>
      </c>
      <c r="AI827" t="s">
        <v>2552</v>
      </c>
      <c r="AJ827" t="s">
        <v>2651</v>
      </c>
      <c r="AK827" t="s">
        <v>77</v>
      </c>
      <c r="AL827" t="s">
        <v>717</v>
      </c>
      <c r="AM827" t="s">
        <v>10</v>
      </c>
      <c r="AN827" t="s">
        <v>717</v>
      </c>
    </row>
    <row r="828" spans="1:40" hidden="1">
      <c r="A828">
        <v>826</v>
      </c>
      <c r="B828">
        <v>62</v>
      </c>
      <c r="C828" s="58">
        <v>44560</v>
      </c>
      <c r="D828" t="s">
        <v>27</v>
      </c>
      <c r="E828" t="s">
        <v>5079</v>
      </c>
      <c r="F828">
        <v>3</v>
      </c>
      <c r="G828">
        <v>9</v>
      </c>
      <c r="H828">
        <v>697</v>
      </c>
      <c r="I828">
        <v>2</v>
      </c>
      <c r="J828">
        <v>56.33</v>
      </c>
      <c r="K828" t="s">
        <v>9</v>
      </c>
      <c r="L828">
        <v>4144616.07</v>
      </c>
      <c r="M828">
        <v>0</v>
      </c>
      <c r="N828">
        <v>4144616.07</v>
      </c>
      <c r="O828">
        <v>73577.420024853534</v>
      </c>
      <c r="P828">
        <v>0</v>
      </c>
      <c r="Q828">
        <v>4144616.07</v>
      </c>
      <c r="R828">
        <v>73577.420024853534</v>
      </c>
      <c r="S828" t="s">
        <v>65</v>
      </c>
      <c r="T828" t="s">
        <v>717</v>
      </c>
      <c r="U828" t="s">
        <v>717</v>
      </c>
      <c r="V828" t="s">
        <v>717</v>
      </c>
      <c r="W828">
        <v>44560</v>
      </c>
      <c r="X828" t="s">
        <v>5713</v>
      </c>
      <c r="Y828" t="s">
        <v>6</v>
      </c>
      <c r="Z828" t="s">
        <v>17</v>
      </c>
      <c r="AA828" t="s">
        <v>717</v>
      </c>
      <c r="AB828" t="s">
        <v>2509</v>
      </c>
      <c r="AC828" t="s">
        <v>2571</v>
      </c>
      <c r="AD828" t="s">
        <v>717</v>
      </c>
      <c r="AE828" t="s">
        <v>5714</v>
      </c>
      <c r="AF828" t="s">
        <v>5715</v>
      </c>
      <c r="AG828" t="s">
        <v>5716</v>
      </c>
      <c r="AH828" t="s">
        <v>2552</v>
      </c>
      <c r="AI828" t="s">
        <v>2552</v>
      </c>
      <c r="AJ828" t="s">
        <v>2940</v>
      </c>
      <c r="AK828" t="s">
        <v>73</v>
      </c>
      <c r="AL828" t="s">
        <v>16</v>
      </c>
      <c r="AM828" t="s">
        <v>10</v>
      </c>
      <c r="AN828" t="s">
        <v>717</v>
      </c>
    </row>
    <row r="829" spans="1:40" hidden="1">
      <c r="A829">
        <v>827</v>
      </c>
      <c r="B829">
        <v>63</v>
      </c>
      <c r="C829" s="58">
        <v>44561</v>
      </c>
      <c r="D829" t="s">
        <v>27</v>
      </c>
      <c r="E829" t="s">
        <v>4409</v>
      </c>
      <c r="F829">
        <v>3</v>
      </c>
      <c r="G829">
        <v>4</v>
      </c>
      <c r="H829">
        <v>530</v>
      </c>
      <c r="I829">
        <v>0</v>
      </c>
      <c r="J829">
        <v>23.54</v>
      </c>
      <c r="K829" t="s">
        <v>25</v>
      </c>
      <c r="L829">
        <v>2064098.51</v>
      </c>
      <c r="M829">
        <v>15000</v>
      </c>
      <c r="N829">
        <v>2079098.51</v>
      </c>
      <c r="O829">
        <v>88321.941801189474</v>
      </c>
      <c r="P829">
        <v>376640</v>
      </c>
      <c r="Q829">
        <v>1702458.51</v>
      </c>
      <c r="R829">
        <v>72321.941801189474</v>
      </c>
      <c r="S829" t="s">
        <v>65</v>
      </c>
      <c r="T829" t="s">
        <v>717</v>
      </c>
      <c r="U829" t="s">
        <v>717</v>
      </c>
      <c r="V829" t="s">
        <v>717</v>
      </c>
      <c r="W829">
        <v>44510</v>
      </c>
      <c r="X829" t="s">
        <v>5299</v>
      </c>
      <c r="Y829" t="s">
        <v>6</v>
      </c>
      <c r="Z829" t="s">
        <v>17</v>
      </c>
      <c r="AA829" t="s">
        <v>717</v>
      </c>
      <c r="AB829" t="s">
        <v>2509</v>
      </c>
      <c r="AC829" t="s">
        <v>2571</v>
      </c>
      <c r="AD829" t="s">
        <v>717</v>
      </c>
      <c r="AE829" t="s">
        <v>5300</v>
      </c>
      <c r="AF829" t="s">
        <v>5301</v>
      </c>
      <c r="AG829" t="s">
        <v>5295</v>
      </c>
      <c r="AH829" t="s">
        <v>2580</v>
      </c>
      <c r="AI829" t="s">
        <v>2600</v>
      </c>
      <c r="AJ829" t="s">
        <v>3289</v>
      </c>
      <c r="AK829" t="s">
        <v>73</v>
      </c>
      <c r="AL829" t="s">
        <v>575</v>
      </c>
      <c r="AM829" t="s">
        <v>10</v>
      </c>
      <c r="AN829" t="s">
        <v>717</v>
      </c>
    </row>
    <row r="830" spans="1:40" hidden="1">
      <c r="A830">
        <v>828</v>
      </c>
      <c r="B830">
        <v>1</v>
      </c>
      <c r="C830" s="58">
        <v>44573</v>
      </c>
      <c r="D830" t="s">
        <v>121</v>
      </c>
      <c r="E830" t="s">
        <v>2515</v>
      </c>
      <c r="F830">
        <v>5</v>
      </c>
      <c r="G830">
        <v>20</v>
      </c>
      <c r="H830">
        <v>131</v>
      </c>
      <c r="I830">
        <v>1</v>
      </c>
      <c r="J830">
        <v>36.42</v>
      </c>
      <c r="K830" t="s">
        <v>15</v>
      </c>
      <c r="L830">
        <v>3224586.75</v>
      </c>
      <c r="M830">
        <v>0</v>
      </c>
      <c r="N830">
        <v>3224586.75</v>
      </c>
      <c r="O830">
        <v>88538.90032948929</v>
      </c>
      <c r="P830">
        <v>200310</v>
      </c>
      <c r="Q830">
        <v>3024276.75</v>
      </c>
      <c r="R830">
        <v>83038.90032948929</v>
      </c>
      <c r="S830" t="s">
        <v>65</v>
      </c>
      <c r="T830" t="s">
        <v>717</v>
      </c>
      <c r="U830" t="s">
        <v>717</v>
      </c>
      <c r="V830" t="s">
        <v>717</v>
      </c>
      <c r="W830">
        <v>44559</v>
      </c>
      <c r="X830" t="s">
        <v>5717</v>
      </c>
      <c r="Y830" t="s">
        <v>6</v>
      </c>
      <c r="Z830" t="s">
        <v>17</v>
      </c>
      <c r="AA830" t="s">
        <v>717</v>
      </c>
      <c r="AB830" t="s">
        <v>2509</v>
      </c>
      <c r="AC830" t="s">
        <v>2564</v>
      </c>
      <c r="AD830" t="s">
        <v>717</v>
      </c>
      <c r="AE830" t="s">
        <v>5718</v>
      </c>
      <c r="AF830" t="s">
        <v>5719</v>
      </c>
      <c r="AG830" t="s">
        <v>5720</v>
      </c>
      <c r="AH830" t="s">
        <v>2615</v>
      </c>
      <c r="AI830" t="s">
        <v>2552</v>
      </c>
      <c r="AJ830" t="s">
        <v>2514</v>
      </c>
      <c r="AK830" t="s">
        <v>73</v>
      </c>
      <c r="AL830" t="s">
        <v>16</v>
      </c>
      <c r="AM830" t="s">
        <v>10</v>
      </c>
      <c r="AN830" t="s">
        <v>717</v>
      </c>
    </row>
    <row r="831" spans="1:40" hidden="1">
      <c r="A831">
        <v>829</v>
      </c>
      <c r="B831">
        <v>2</v>
      </c>
      <c r="C831" s="58">
        <v>44573</v>
      </c>
      <c r="D831" t="s">
        <v>27</v>
      </c>
      <c r="E831" t="s">
        <v>4409</v>
      </c>
      <c r="F831">
        <v>3</v>
      </c>
      <c r="G831">
        <v>7</v>
      </c>
      <c r="H831">
        <v>554</v>
      </c>
      <c r="I831">
        <v>0</v>
      </c>
      <c r="J831">
        <v>23.54</v>
      </c>
      <c r="K831" t="s">
        <v>15</v>
      </c>
      <c r="L831">
        <v>1951100.66</v>
      </c>
      <c r="M831">
        <v>0</v>
      </c>
      <c r="N831">
        <v>1951100.66</v>
      </c>
      <c r="O831">
        <v>82884.480033984713</v>
      </c>
      <c r="P831">
        <v>129470</v>
      </c>
      <c r="Q831">
        <v>1821630.66</v>
      </c>
      <c r="R831">
        <v>77384.480033984713</v>
      </c>
      <c r="S831" t="s">
        <v>2507</v>
      </c>
      <c r="T831" t="s">
        <v>717</v>
      </c>
      <c r="U831" t="s">
        <v>717</v>
      </c>
      <c r="V831" t="s">
        <v>717</v>
      </c>
      <c r="W831">
        <v>44569</v>
      </c>
      <c r="X831" t="s">
        <v>5721</v>
      </c>
      <c r="Y831" t="s">
        <v>6</v>
      </c>
      <c r="Z831" t="s">
        <v>11</v>
      </c>
      <c r="AA831" t="s">
        <v>717</v>
      </c>
      <c r="AB831" t="s">
        <v>2509</v>
      </c>
      <c r="AC831" t="s">
        <v>118</v>
      </c>
      <c r="AD831" t="s">
        <v>717</v>
      </c>
      <c r="AE831" t="s">
        <v>5722</v>
      </c>
      <c r="AF831" t="s">
        <v>5723</v>
      </c>
      <c r="AG831" t="s">
        <v>5724</v>
      </c>
      <c r="AH831" t="s">
        <v>2191</v>
      </c>
      <c r="AI831" t="s">
        <v>2538</v>
      </c>
      <c r="AJ831" t="s">
        <v>3330</v>
      </c>
      <c r="AK831" t="s">
        <v>73</v>
      </c>
      <c r="AL831" t="s">
        <v>717</v>
      </c>
      <c r="AM831" t="s">
        <v>10</v>
      </c>
      <c r="AN831" t="s">
        <v>717</v>
      </c>
    </row>
    <row r="832" spans="1:40" hidden="1">
      <c r="A832">
        <v>830</v>
      </c>
      <c r="B832">
        <v>3</v>
      </c>
      <c r="C832" s="58">
        <v>44573</v>
      </c>
      <c r="D832" t="s">
        <v>27</v>
      </c>
      <c r="E832" t="s">
        <v>4409</v>
      </c>
      <c r="F832">
        <v>1</v>
      </c>
      <c r="G832">
        <v>9</v>
      </c>
      <c r="H832">
        <v>568</v>
      </c>
      <c r="I832">
        <v>3</v>
      </c>
      <c r="J832">
        <v>82.27</v>
      </c>
      <c r="K832" t="s">
        <v>9</v>
      </c>
      <c r="L832">
        <v>4654990.4400000004</v>
      </c>
      <c r="M832">
        <v>0</v>
      </c>
      <c r="N832">
        <v>4654990.4400000004</v>
      </c>
      <c r="O832">
        <v>56581.869940440025</v>
      </c>
      <c r="P832">
        <v>0</v>
      </c>
      <c r="Q832">
        <v>4654990.4400000004</v>
      </c>
      <c r="R832">
        <v>56581.869940440025</v>
      </c>
      <c r="S832" t="s">
        <v>65</v>
      </c>
      <c r="T832" t="s">
        <v>717</v>
      </c>
      <c r="U832" t="s">
        <v>717</v>
      </c>
      <c r="V832" t="s">
        <v>4131</v>
      </c>
      <c r="W832">
        <v>44570</v>
      </c>
      <c r="X832" t="s">
        <v>5725</v>
      </c>
      <c r="Y832" t="s">
        <v>6</v>
      </c>
      <c r="Z832" t="s">
        <v>17</v>
      </c>
      <c r="AA832" t="s">
        <v>717</v>
      </c>
      <c r="AB832" t="s">
        <v>2509</v>
      </c>
      <c r="AC832" t="s">
        <v>2571</v>
      </c>
      <c r="AD832" t="s">
        <v>717</v>
      </c>
      <c r="AE832" t="s">
        <v>5726</v>
      </c>
      <c r="AF832" t="s">
        <v>5727</v>
      </c>
      <c r="AG832" t="s">
        <v>5728</v>
      </c>
      <c r="AH832" t="s">
        <v>2616</v>
      </c>
      <c r="AI832" t="s">
        <v>2552</v>
      </c>
      <c r="AJ832" t="s">
        <v>3921</v>
      </c>
      <c r="AK832" t="s">
        <v>73</v>
      </c>
      <c r="AL832" t="s">
        <v>16</v>
      </c>
      <c r="AM832" t="s">
        <v>10</v>
      </c>
      <c r="AN832" t="s">
        <v>717</v>
      </c>
    </row>
    <row r="833" spans="1:40" hidden="1">
      <c r="A833">
        <v>831</v>
      </c>
      <c r="B833">
        <v>4</v>
      </c>
      <c r="C833" s="58">
        <v>44573</v>
      </c>
      <c r="D833" t="s">
        <v>121</v>
      </c>
      <c r="E833" t="s">
        <v>2515</v>
      </c>
      <c r="F833">
        <v>7</v>
      </c>
      <c r="G833">
        <v>18</v>
      </c>
      <c r="H833">
        <v>119</v>
      </c>
      <c r="I833">
        <v>2</v>
      </c>
      <c r="J833">
        <v>58.17</v>
      </c>
      <c r="K833" t="s">
        <v>15</v>
      </c>
      <c r="L833">
        <v>4467632.55</v>
      </c>
      <c r="M833">
        <v>0</v>
      </c>
      <c r="N833">
        <v>4467632.55</v>
      </c>
      <c r="O833">
        <v>76803.035069623511</v>
      </c>
      <c r="P833">
        <v>0</v>
      </c>
      <c r="Q833">
        <v>4467632.55</v>
      </c>
      <c r="R833">
        <v>76803.035069623511</v>
      </c>
      <c r="S833" t="s">
        <v>65</v>
      </c>
      <c r="T833" t="s">
        <v>5443</v>
      </c>
      <c r="U833">
        <v>319935</v>
      </c>
      <c r="V833" t="s">
        <v>4131</v>
      </c>
      <c r="W833">
        <v>44570</v>
      </c>
      <c r="X833" t="s">
        <v>5729</v>
      </c>
      <c r="Y833" t="s">
        <v>6</v>
      </c>
      <c r="Z833" t="s">
        <v>17</v>
      </c>
      <c r="AA833" t="s">
        <v>717</v>
      </c>
      <c r="AB833" t="s">
        <v>2509</v>
      </c>
      <c r="AC833" t="s">
        <v>2571</v>
      </c>
      <c r="AD833" t="s">
        <v>717</v>
      </c>
      <c r="AE833" t="s">
        <v>5730</v>
      </c>
      <c r="AF833" t="s">
        <v>5731</v>
      </c>
      <c r="AG833" t="s">
        <v>5732</v>
      </c>
      <c r="AH833" t="s">
        <v>2615</v>
      </c>
      <c r="AI833" t="s">
        <v>2552</v>
      </c>
      <c r="AJ833" t="s">
        <v>2895</v>
      </c>
      <c r="AK833" t="s">
        <v>471</v>
      </c>
      <c r="AL833" t="s">
        <v>16</v>
      </c>
      <c r="AM833" t="s">
        <v>10</v>
      </c>
      <c r="AN833" t="s">
        <v>717</v>
      </c>
    </row>
    <row r="834" spans="1:40" hidden="1">
      <c r="A834">
        <v>832</v>
      </c>
      <c r="B834">
        <v>5</v>
      </c>
      <c r="C834" s="58">
        <v>44573</v>
      </c>
      <c r="D834" t="s">
        <v>121</v>
      </c>
      <c r="E834" t="s">
        <v>2515</v>
      </c>
      <c r="F834">
        <v>5</v>
      </c>
      <c r="G834">
        <v>15</v>
      </c>
      <c r="H834">
        <v>96</v>
      </c>
      <c r="I834">
        <v>1</v>
      </c>
      <c r="J834">
        <v>36.42</v>
      </c>
      <c r="K834" t="s">
        <v>15</v>
      </c>
      <c r="L834">
        <v>2861571.88</v>
      </c>
      <c r="M834">
        <v>0</v>
      </c>
      <c r="N834">
        <v>2861571.88</v>
      </c>
      <c r="O834">
        <v>78571.440966501919</v>
      </c>
      <c r="P834">
        <v>0</v>
      </c>
      <c r="Q834">
        <v>2861571.88</v>
      </c>
      <c r="R834">
        <v>78571.440966501919</v>
      </c>
      <c r="S834" t="s">
        <v>65</v>
      </c>
      <c r="T834" t="s">
        <v>5443</v>
      </c>
      <c r="U834">
        <v>200310</v>
      </c>
      <c r="V834" t="s">
        <v>717</v>
      </c>
      <c r="W834">
        <v>44571</v>
      </c>
      <c r="X834" t="s">
        <v>5733</v>
      </c>
      <c r="Y834" t="s">
        <v>6</v>
      </c>
      <c r="Z834" t="s">
        <v>17</v>
      </c>
      <c r="AA834" t="s">
        <v>717</v>
      </c>
      <c r="AB834" t="s">
        <v>2509</v>
      </c>
      <c r="AC834" t="s">
        <v>2571</v>
      </c>
      <c r="AD834" t="s">
        <v>717</v>
      </c>
      <c r="AE834" t="s">
        <v>5734</v>
      </c>
      <c r="AF834" t="s">
        <v>5731</v>
      </c>
      <c r="AG834" t="s">
        <v>5732</v>
      </c>
      <c r="AH834" t="s">
        <v>2580</v>
      </c>
      <c r="AI834" t="s">
        <v>2552</v>
      </c>
      <c r="AJ834" t="s">
        <v>3185</v>
      </c>
      <c r="AK834" t="s">
        <v>471</v>
      </c>
      <c r="AL834" t="s">
        <v>16</v>
      </c>
      <c r="AM834" t="s">
        <v>10</v>
      </c>
      <c r="AN834" t="s">
        <v>717</v>
      </c>
    </row>
    <row r="835" spans="1:40" hidden="1">
      <c r="A835">
        <v>833</v>
      </c>
      <c r="B835">
        <v>6</v>
      </c>
      <c r="C835" s="58">
        <v>44574</v>
      </c>
      <c r="D835" t="s">
        <v>121</v>
      </c>
      <c r="E835" t="s">
        <v>2515</v>
      </c>
      <c r="F835">
        <v>3</v>
      </c>
      <c r="G835">
        <v>15</v>
      </c>
      <c r="H835">
        <v>94</v>
      </c>
      <c r="I835">
        <v>3</v>
      </c>
      <c r="J835">
        <v>76.56</v>
      </c>
      <c r="K835" t="s">
        <v>15</v>
      </c>
      <c r="L835">
        <v>5447662.8499999996</v>
      </c>
      <c r="M835">
        <v>0</v>
      </c>
      <c r="N835">
        <v>5447662.8499999996</v>
      </c>
      <c r="O835">
        <v>71155.470872518286</v>
      </c>
      <c r="P835">
        <v>0</v>
      </c>
      <c r="Q835">
        <v>5447662.8499999996</v>
      </c>
      <c r="R835">
        <v>71155.470872518286</v>
      </c>
      <c r="S835" t="s">
        <v>65</v>
      </c>
      <c r="T835" t="s">
        <v>5443</v>
      </c>
      <c r="U835">
        <v>421080</v>
      </c>
      <c r="V835" t="s">
        <v>4131</v>
      </c>
      <c r="W835">
        <v>44571</v>
      </c>
      <c r="X835" t="s">
        <v>5735</v>
      </c>
      <c r="Y835" t="s">
        <v>6</v>
      </c>
      <c r="Z835" t="s">
        <v>17</v>
      </c>
      <c r="AA835" t="s">
        <v>717</v>
      </c>
      <c r="AB835" t="s">
        <v>2509</v>
      </c>
      <c r="AC835" t="s">
        <v>2571</v>
      </c>
      <c r="AD835" t="s">
        <v>717</v>
      </c>
      <c r="AE835" t="s">
        <v>5736</v>
      </c>
      <c r="AF835" t="s">
        <v>5737</v>
      </c>
      <c r="AG835" t="s">
        <v>5738</v>
      </c>
      <c r="AH835" t="s">
        <v>2191</v>
      </c>
      <c r="AI835" t="s">
        <v>2538</v>
      </c>
      <c r="AJ835" t="s">
        <v>2662</v>
      </c>
      <c r="AK835" t="s">
        <v>20</v>
      </c>
      <c r="AL835" t="s">
        <v>575</v>
      </c>
      <c r="AM835" t="s">
        <v>10</v>
      </c>
      <c r="AN835" t="s">
        <v>717</v>
      </c>
    </row>
    <row r="836" spans="1:40" hidden="1">
      <c r="A836">
        <v>834</v>
      </c>
      <c r="B836">
        <v>7</v>
      </c>
      <c r="C836" s="58">
        <v>44574</v>
      </c>
      <c r="D836" t="s">
        <v>121</v>
      </c>
      <c r="E836" t="s">
        <v>2506</v>
      </c>
      <c r="F836">
        <v>5</v>
      </c>
      <c r="G836">
        <v>15</v>
      </c>
      <c r="H836">
        <v>309</v>
      </c>
      <c r="I836">
        <v>2</v>
      </c>
      <c r="J836">
        <v>60.19</v>
      </c>
      <c r="K836" t="s">
        <v>25</v>
      </c>
      <c r="L836">
        <v>5175825.5599999996</v>
      </c>
      <c r="M836">
        <v>0</v>
      </c>
      <c r="N836">
        <v>5175825.5599999996</v>
      </c>
      <c r="O836">
        <v>85991.45306529323</v>
      </c>
      <c r="P836">
        <v>963040</v>
      </c>
      <c r="Q836">
        <v>4212785.5599999996</v>
      </c>
      <c r="R836">
        <v>69991.45306529323</v>
      </c>
      <c r="S836" t="s">
        <v>65</v>
      </c>
      <c r="T836" t="s">
        <v>717</v>
      </c>
      <c r="U836" t="s">
        <v>717</v>
      </c>
      <c r="V836" t="s">
        <v>4131</v>
      </c>
      <c r="W836">
        <v>44571</v>
      </c>
      <c r="X836" t="s">
        <v>5739</v>
      </c>
      <c r="Y836" t="s">
        <v>6</v>
      </c>
      <c r="Z836" t="s">
        <v>17</v>
      </c>
      <c r="AA836" t="s">
        <v>717</v>
      </c>
      <c r="AB836" t="s">
        <v>2509</v>
      </c>
      <c r="AC836" t="s">
        <v>2571</v>
      </c>
      <c r="AD836" t="s">
        <v>717</v>
      </c>
      <c r="AE836" t="s">
        <v>5740</v>
      </c>
      <c r="AF836" t="s">
        <v>5741</v>
      </c>
      <c r="AG836" t="s">
        <v>5742</v>
      </c>
      <c r="AH836" t="s">
        <v>2615</v>
      </c>
      <c r="AI836" t="s">
        <v>2552</v>
      </c>
      <c r="AJ836" t="s">
        <v>2662</v>
      </c>
      <c r="AK836" t="s">
        <v>471</v>
      </c>
      <c r="AL836" t="s">
        <v>575</v>
      </c>
      <c r="AM836" t="s">
        <v>10</v>
      </c>
      <c r="AN836" t="s">
        <v>717</v>
      </c>
    </row>
    <row r="837" spans="1:40" hidden="1">
      <c r="A837">
        <v>835</v>
      </c>
      <c r="B837">
        <v>8</v>
      </c>
      <c r="C837" s="58">
        <v>44575</v>
      </c>
      <c r="D837" t="s">
        <v>27</v>
      </c>
      <c r="E837" t="s">
        <v>5456</v>
      </c>
      <c r="F837">
        <v>6</v>
      </c>
      <c r="G837">
        <v>3</v>
      </c>
      <c r="H837">
        <v>845</v>
      </c>
      <c r="I837">
        <v>2</v>
      </c>
      <c r="J837">
        <v>54.28</v>
      </c>
      <c r="K837" t="s">
        <v>9</v>
      </c>
      <c r="L837">
        <v>3610198.78</v>
      </c>
      <c r="M837">
        <v>0</v>
      </c>
      <c r="N837">
        <v>3610198.78</v>
      </c>
      <c r="O837">
        <v>66510.662859248332</v>
      </c>
      <c r="P837">
        <v>0</v>
      </c>
      <c r="Q837">
        <v>3610198.78</v>
      </c>
      <c r="R837">
        <v>66510.662859248332</v>
      </c>
      <c r="S837" t="s">
        <v>65</v>
      </c>
      <c r="T837" t="s">
        <v>717</v>
      </c>
      <c r="U837" t="s">
        <v>717</v>
      </c>
      <c r="V837" t="s">
        <v>4131</v>
      </c>
      <c r="W837">
        <v>44571</v>
      </c>
      <c r="X837" t="s">
        <v>5743</v>
      </c>
      <c r="Y837" t="s">
        <v>6</v>
      </c>
      <c r="Z837" t="s">
        <v>17</v>
      </c>
      <c r="AA837" t="s">
        <v>717</v>
      </c>
      <c r="AB837" t="s">
        <v>2509</v>
      </c>
      <c r="AC837" t="s">
        <v>2571</v>
      </c>
      <c r="AD837" t="s">
        <v>717</v>
      </c>
      <c r="AE837" t="s">
        <v>5744</v>
      </c>
      <c r="AF837" t="s">
        <v>5745</v>
      </c>
      <c r="AG837" t="s">
        <v>5746</v>
      </c>
      <c r="AH837" t="s">
        <v>2552</v>
      </c>
      <c r="AI837" t="s">
        <v>2877</v>
      </c>
      <c r="AJ837" t="s">
        <v>3098</v>
      </c>
      <c r="AK837" t="s">
        <v>471</v>
      </c>
      <c r="AL837" t="s">
        <v>575</v>
      </c>
      <c r="AM837" t="s">
        <v>10</v>
      </c>
      <c r="AN837" t="s">
        <v>717</v>
      </c>
    </row>
    <row r="838" spans="1:40" hidden="1">
      <c r="A838">
        <v>836</v>
      </c>
      <c r="B838">
        <v>9</v>
      </c>
      <c r="C838" s="58">
        <v>44575</v>
      </c>
      <c r="D838" t="s">
        <v>121</v>
      </c>
      <c r="E838" t="s">
        <v>2515</v>
      </c>
      <c r="F838">
        <v>5</v>
      </c>
      <c r="G838">
        <v>23</v>
      </c>
      <c r="H838">
        <v>152</v>
      </c>
      <c r="I838">
        <v>1</v>
      </c>
      <c r="J838">
        <v>36.42</v>
      </c>
      <c r="K838" t="s">
        <v>25</v>
      </c>
      <c r="L838">
        <v>3606996.75</v>
      </c>
      <c r="M838">
        <v>0</v>
      </c>
      <c r="N838">
        <v>3606996.75</v>
      </c>
      <c r="O838">
        <v>99038.900329489275</v>
      </c>
      <c r="P838">
        <v>582720</v>
      </c>
      <c r="Q838">
        <v>3024276.75</v>
      </c>
      <c r="R838">
        <v>83038.90032948929</v>
      </c>
      <c r="S838" t="s">
        <v>65</v>
      </c>
      <c r="T838" t="s">
        <v>717</v>
      </c>
      <c r="U838" t="s">
        <v>717</v>
      </c>
      <c r="V838" t="s">
        <v>717</v>
      </c>
      <c r="W838">
        <v>44572</v>
      </c>
      <c r="X838" t="s">
        <v>5747</v>
      </c>
      <c r="Y838" t="s">
        <v>6</v>
      </c>
      <c r="Z838" t="s">
        <v>17</v>
      </c>
      <c r="AA838" t="s">
        <v>717</v>
      </c>
      <c r="AB838" t="s">
        <v>2509</v>
      </c>
      <c r="AC838" t="s">
        <v>2571</v>
      </c>
      <c r="AD838" t="s">
        <v>717</v>
      </c>
      <c r="AE838" t="s">
        <v>5748</v>
      </c>
      <c r="AF838" t="s">
        <v>5749</v>
      </c>
      <c r="AG838" t="s">
        <v>5750</v>
      </c>
      <c r="AH838" t="s">
        <v>2615</v>
      </c>
      <c r="AI838" t="s">
        <v>2688</v>
      </c>
      <c r="AJ838" t="s">
        <v>3289</v>
      </c>
      <c r="AK838" t="s">
        <v>471</v>
      </c>
      <c r="AL838" t="s">
        <v>575</v>
      </c>
      <c r="AM838" t="s">
        <v>10</v>
      </c>
      <c r="AN838" t="s">
        <v>717</v>
      </c>
    </row>
    <row r="839" spans="1:40" hidden="1">
      <c r="A839">
        <v>837</v>
      </c>
      <c r="B839">
        <v>10</v>
      </c>
      <c r="C839" s="58">
        <v>44578</v>
      </c>
      <c r="D839" t="s">
        <v>27</v>
      </c>
      <c r="E839" t="s">
        <v>2506</v>
      </c>
      <c r="F839">
        <v>5</v>
      </c>
      <c r="G839">
        <v>9</v>
      </c>
      <c r="H839">
        <v>268</v>
      </c>
      <c r="I839">
        <v>0</v>
      </c>
      <c r="J839">
        <v>23.63</v>
      </c>
      <c r="K839" t="s">
        <v>25</v>
      </c>
      <c r="L839">
        <v>2176675.2599999998</v>
      </c>
      <c r="M839">
        <v>30000</v>
      </c>
      <c r="N839">
        <v>2206675.2599999998</v>
      </c>
      <c r="O839">
        <v>93384.479898434191</v>
      </c>
      <c r="P839">
        <v>378080</v>
      </c>
      <c r="Q839">
        <v>1828595.26</v>
      </c>
      <c r="R839">
        <v>77384.479898434191</v>
      </c>
      <c r="S839" t="s">
        <v>65</v>
      </c>
      <c r="T839" t="s">
        <v>717</v>
      </c>
      <c r="U839" t="s">
        <v>717</v>
      </c>
      <c r="V839" t="s">
        <v>717</v>
      </c>
      <c r="W839">
        <v>44574</v>
      </c>
      <c r="X839" t="s">
        <v>5751</v>
      </c>
      <c r="Y839" t="s">
        <v>6</v>
      </c>
      <c r="Z839" t="s">
        <v>17</v>
      </c>
      <c r="AA839" t="s">
        <v>717</v>
      </c>
      <c r="AB839" t="s">
        <v>2509</v>
      </c>
      <c r="AC839" t="s">
        <v>2571</v>
      </c>
      <c r="AD839" t="s">
        <v>717</v>
      </c>
      <c r="AE839" t="s">
        <v>5752</v>
      </c>
      <c r="AF839" t="s">
        <v>5753</v>
      </c>
      <c r="AG839" t="s">
        <v>5754</v>
      </c>
      <c r="AH839" t="s">
        <v>2615</v>
      </c>
      <c r="AI839" t="s">
        <v>2552</v>
      </c>
      <c r="AJ839" t="s">
        <v>2895</v>
      </c>
      <c r="AK839" t="s">
        <v>63</v>
      </c>
      <c r="AL839" t="s">
        <v>16</v>
      </c>
      <c r="AM839" t="s">
        <v>10</v>
      </c>
      <c r="AN839" t="s">
        <v>717</v>
      </c>
    </row>
    <row r="840" spans="1:40" hidden="1">
      <c r="A840">
        <v>838</v>
      </c>
      <c r="B840">
        <v>11</v>
      </c>
      <c r="C840" s="58">
        <v>44579</v>
      </c>
      <c r="D840" t="s">
        <v>27</v>
      </c>
      <c r="E840" t="s">
        <v>4409</v>
      </c>
      <c r="F840">
        <v>1</v>
      </c>
      <c r="G840">
        <v>4</v>
      </c>
      <c r="H840">
        <v>528</v>
      </c>
      <c r="I840">
        <v>3</v>
      </c>
      <c r="J840">
        <v>82.27</v>
      </c>
      <c r="K840" t="s">
        <v>15</v>
      </c>
      <c r="L840">
        <v>4654990.4400000004</v>
      </c>
      <c r="M840">
        <v>0</v>
      </c>
      <c r="N840">
        <v>4654990.4400000004</v>
      </c>
      <c r="O840">
        <v>56581.869940440025</v>
      </c>
      <c r="P840">
        <v>452485</v>
      </c>
      <c r="Q840">
        <v>4202505.4400000004</v>
      </c>
      <c r="R840">
        <v>51081.869940440025</v>
      </c>
      <c r="S840" t="s">
        <v>65</v>
      </c>
      <c r="T840" t="s">
        <v>5443</v>
      </c>
      <c r="U840">
        <v>452485</v>
      </c>
      <c r="V840" t="s">
        <v>4131</v>
      </c>
      <c r="W840">
        <v>44574</v>
      </c>
      <c r="X840" t="s">
        <v>5755</v>
      </c>
      <c r="Y840" t="s">
        <v>6</v>
      </c>
      <c r="Z840" t="s">
        <v>17</v>
      </c>
      <c r="AA840" t="s">
        <v>717</v>
      </c>
      <c r="AB840" t="s">
        <v>2509</v>
      </c>
      <c r="AC840" t="s">
        <v>2571</v>
      </c>
      <c r="AD840" t="s">
        <v>717</v>
      </c>
      <c r="AE840" t="s">
        <v>5756</v>
      </c>
      <c r="AF840" t="s">
        <v>5757</v>
      </c>
      <c r="AG840" t="s">
        <v>717</v>
      </c>
      <c r="AH840" t="s">
        <v>2615</v>
      </c>
      <c r="AI840" t="s">
        <v>2552</v>
      </c>
      <c r="AJ840" t="s">
        <v>2895</v>
      </c>
      <c r="AK840" t="s">
        <v>20</v>
      </c>
      <c r="AL840" t="s">
        <v>16</v>
      </c>
      <c r="AM840" t="s">
        <v>10</v>
      </c>
      <c r="AN840" t="s">
        <v>717</v>
      </c>
    </row>
    <row r="841" spans="1:40" hidden="1">
      <c r="A841">
        <v>839</v>
      </c>
      <c r="B841">
        <v>12</v>
      </c>
      <c r="C841" s="58">
        <v>44581</v>
      </c>
      <c r="D841" t="s">
        <v>27</v>
      </c>
      <c r="E841" t="s">
        <v>2515</v>
      </c>
      <c r="F841">
        <v>1</v>
      </c>
      <c r="G841">
        <v>12</v>
      </c>
      <c r="H841">
        <v>91</v>
      </c>
      <c r="I841">
        <v>3</v>
      </c>
      <c r="J841">
        <v>82.71</v>
      </c>
      <c r="K841" t="s">
        <v>15</v>
      </c>
      <c r="L841">
        <v>4912981.4400000004</v>
      </c>
      <c r="M841">
        <v>0</v>
      </c>
      <c r="N841">
        <v>4912981.4400000004</v>
      </c>
      <c r="O841">
        <v>59400.089952847309</v>
      </c>
      <c r="P841">
        <v>454905</v>
      </c>
      <c r="Q841">
        <v>4458076.4400000004</v>
      </c>
      <c r="R841">
        <v>53900.089952847309</v>
      </c>
      <c r="S841" t="s">
        <v>65</v>
      </c>
      <c r="T841" t="s">
        <v>5443</v>
      </c>
      <c r="U841">
        <v>454905</v>
      </c>
      <c r="V841" t="s">
        <v>4131</v>
      </c>
      <c r="W841">
        <v>44578</v>
      </c>
      <c r="X841" t="s">
        <v>5758</v>
      </c>
      <c r="Y841" t="s">
        <v>6</v>
      </c>
      <c r="Z841" t="s">
        <v>17</v>
      </c>
      <c r="AA841" t="s">
        <v>717</v>
      </c>
      <c r="AB841" t="s">
        <v>2509</v>
      </c>
      <c r="AC841" t="s">
        <v>2571</v>
      </c>
      <c r="AD841" t="s">
        <v>717</v>
      </c>
      <c r="AE841" t="s">
        <v>5759</v>
      </c>
      <c r="AF841" t="s">
        <v>5760</v>
      </c>
      <c r="AG841" t="s">
        <v>5761</v>
      </c>
      <c r="AH841" t="s">
        <v>2191</v>
      </c>
      <c r="AI841" t="s">
        <v>5653</v>
      </c>
      <c r="AJ841" t="s">
        <v>2662</v>
      </c>
      <c r="AK841" t="s">
        <v>73</v>
      </c>
      <c r="AL841" t="s">
        <v>16</v>
      </c>
      <c r="AM841" t="s">
        <v>5654</v>
      </c>
      <c r="AN841" t="s">
        <v>717</v>
      </c>
    </row>
    <row r="842" spans="1:40" hidden="1">
      <c r="A842">
        <v>840</v>
      </c>
      <c r="B842">
        <v>13</v>
      </c>
      <c r="C842" s="58">
        <v>44582</v>
      </c>
      <c r="D842" t="s">
        <v>27</v>
      </c>
      <c r="E842" t="s">
        <v>2515</v>
      </c>
      <c r="F842">
        <v>2</v>
      </c>
      <c r="G842">
        <v>4</v>
      </c>
      <c r="H842">
        <v>20</v>
      </c>
      <c r="I842">
        <v>1</v>
      </c>
      <c r="J842">
        <v>37.94</v>
      </c>
      <c r="K842" t="s">
        <v>15</v>
      </c>
      <c r="L842">
        <v>2851883.37</v>
      </c>
      <c r="M842">
        <v>0</v>
      </c>
      <c r="N842">
        <v>2851883.37</v>
      </c>
      <c r="O842">
        <v>75168.249077490778</v>
      </c>
      <c r="P842">
        <v>208670</v>
      </c>
      <c r="Q842">
        <v>2643213.37</v>
      </c>
      <c r="R842">
        <v>69668.249077490778</v>
      </c>
      <c r="S842" t="s">
        <v>65</v>
      </c>
      <c r="T842" t="s">
        <v>2941</v>
      </c>
      <c r="U842">
        <v>53943.13</v>
      </c>
      <c r="V842" t="s">
        <v>717</v>
      </c>
      <c r="W842">
        <v>44570</v>
      </c>
      <c r="X842" t="s">
        <v>5762</v>
      </c>
      <c r="Y842" t="s">
        <v>6</v>
      </c>
      <c r="Z842" t="s">
        <v>17</v>
      </c>
      <c r="AA842" t="s">
        <v>717</v>
      </c>
      <c r="AB842" t="s">
        <v>2509</v>
      </c>
      <c r="AC842" t="s">
        <v>2571</v>
      </c>
      <c r="AD842" t="s">
        <v>717</v>
      </c>
      <c r="AE842" t="s">
        <v>2964</v>
      </c>
      <c r="AF842" t="s">
        <v>2965</v>
      </c>
      <c r="AG842" t="s">
        <v>2594</v>
      </c>
      <c r="AH842" t="s">
        <v>2191</v>
      </c>
      <c r="AI842" t="s">
        <v>2600</v>
      </c>
      <c r="AJ842" t="s">
        <v>3921</v>
      </c>
      <c r="AK842" t="s">
        <v>20</v>
      </c>
      <c r="AL842" t="s">
        <v>16</v>
      </c>
      <c r="AM842" t="s">
        <v>10</v>
      </c>
      <c r="AN842" t="s">
        <v>717</v>
      </c>
    </row>
    <row r="843" spans="1:40" hidden="1">
      <c r="A843">
        <v>841</v>
      </c>
      <c r="B843">
        <v>14</v>
      </c>
      <c r="C843" s="58">
        <v>44582</v>
      </c>
      <c r="D843" t="s">
        <v>27</v>
      </c>
      <c r="E843" t="s">
        <v>2506</v>
      </c>
      <c r="F843">
        <v>5</v>
      </c>
      <c r="G843">
        <v>15</v>
      </c>
      <c r="H843">
        <v>316</v>
      </c>
      <c r="I843">
        <v>0</v>
      </c>
      <c r="J843">
        <v>23.63</v>
      </c>
      <c r="K843" t="s">
        <v>15</v>
      </c>
      <c r="L843">
        <v>1958560.26</v>
      </c>
      <c r="M843">
        <v>0</v>
      </c>
      <c r="N843">
        <v>1958560.26</v>
      </c>
      <c r="O843">
        <v>82884.479898434191</v>
      </c>
      <c r="P843">
        <v>129965</v>
      </c>
      <c r="Q843">
        <v>1828595.26</v>
      </c>
      <c r="R843">
        <v>77384.479898434191</v>
      </c>
      <c r="S843" t="s">
        <v>65</v>
      </c>
      <c r="T843" t="s">
        <v>717</v>
      </c>
      <c r="U843" t="s">
        <v>717</v>
      </c>
      <c r="V843" t="s">
        <v>717</v>
      </c>
      <c r="W843">
        <v>44579</v>
      </c>
      <c r="X843" t="s">
        <v>5763</v>
      </c>
      <c r="Y843" t="s">
        <v>6</v>
      </c>
      <c r="Z843" t="s">
        <v>17</v>
      </c>
      <c r="AA843" t="s">
        <v>717</v>
      </c>
      <c r="AB843" t="s">
        <v>2509</v>
      </c>
      <c r="AC843" t="s">
        <v>2571</v>
      </c>
      <c r="AD843" t="s">
        <v>717</v>
      </c>
      <c r="AE843" t="s">
        <v>5764</v>
      </c>
      <c r="AF843" t="s">
        <v>5765</v>
      </c>
      <c r="AG843" t="s">
        <v>5766</v>
      </c>
      <c r="AH843" t="s">
        <v>2552</v>
      </c>
      <c r="AI843" t="s">
        <v>2552</v>
      </c>
      <c r="AJ843" t="s">
        <v>3304</v>
      </c>
      <c r="AK843" t="s">
        <v>63</v>
      </c>
      <c r="AL843" t="s">
        <v>16</v>
      </c>
      <c r="AM843" t="s">
        <v>10</v>
      </c>
      <c r="AN843" t="s">
        <v>717</v>
      </c>
    </row>
    <row r="844" spans="1:40" hidden="1">
      <c r="A844">
        <v>842</v>
      </c>
      <c r="B844">
        <v>15</v>
      </c>
      <c r="C844" s="58">
        <v>44582</v>
      </c>
      <c r="D844" t="s">
        <v>27</v>
      </c>
      <c r="E844" t="s">
        <v>5456</v>
      </c>
      <c r="F844">
        <v>6</v>
      </c>
      <c r="G844">
        <v>7</v>
      </c>
      <c r="H844">
        <v>881</v>
      </c>
      <c r="I844">
        <v>2</v>
      </c>
      <c r="J844">
        <v>54.28</v>
      </c>
      <c r="K844" t="s">
        <v>9</v>
      </c>
      <c r="L844">
        <v>3610198.78</v>
      </c>
      <c r="M844">
        <v>0</v>
      </c>
      <c r="N844">
        <v>3610198.78</v>
      </c>
      <c r="O844">
        <v>66510.662859248332</v>
      </c>
      <c r="P844">
        <v>0</v>
      </c>
      <c r="Q844">
        <v>3610198.78</v>
      </c>
      <c r="R844">
        <v>66510.662859248332</v>
      </c>
      <c r="S844" t="s">
        <v>65</v>
      </c>
      <c r="T844" t="s">
        <v>717</v>
      </c>
      <c r="U844" t="s">
        <v>717</v>
      </c>
      <c r="V844" t="s">
        <v>4131</v>
      </c>
      <c r="W844">
        <v>44583</v>
      </c>
      <c r="X844" t="s">
        <v>5767</v>
      </c>
      <c r="Y844" t="s">
        <v>6</v>
      </c>
      <c r="Z844" t="s">
        <v>17</v>
      </c>
      <c r="AA844" t="s">
        <v>717</v>
      </c>
      <c r="AB844" t="s">
        <v>2509</v>
      </c>
      <c r="AC844" t="s">
        <v>2571</v>
      </c>
      <c r="AD844" t="s">
        <v>717</v>
      </c>
      <c r="AE844" t="s">
        <v>3447</v>
      </c>
      <c r="AF844" t="s">
        <v>3448</v>
      </c>
      <c r="AG844" t="s">
        <v>3449</v>
      </c>
      <c r="AH844" t="s">
        <v>2580</v>
      </c>
      <c r="AI844" t="s">
        <v>2600</v>
      </c>
      <c r="AJ844" t="s">
        <v>3921</v>
      </c>
      <c r="AK844" t="s">
        <v>63</v>
      </c>
      <c r="AL844" t="s">
        <v>16</v>
      </c>
      <c r="AM844" t="s">
        <v>10</v>
      </c>
      <c r="AN844" t="s">
        <v>717</v>
      </c>
    </row>
    <row r="845" spans="1:40" hidden="1">
      <c r="A845">
        <v>843</v>
      </c>
      <c r="B845">
        <v>16</v>
      </c>
      <c r="C845" s="58">
        <v>44585</v>
      </c>
      <c r="D845" t="s">
        <v>27</v>
      </c>
      <c r="E845" t="s">
        <v>2515</v>
      </c>
      <c r="F845">
        <v>9</v>
      </c>
      <c r="G845">
        <v>12</v>
      </c>
      <c r="H845">
        <v>99</v>
      </c>
      <c r="I845">
        <v>1</v>
      </c>
      <c r="J845">
        <v>37.94</v>
      </c>
      <c r="K845" t="s">
        <v>15</v>
      </c>
      <c r="L845">
        <v>2917963.65</v>
      </c>
      <c r="M845">
        <v>0</v>
      </c>
      <c r="N845">
        <v>2917963.65</v>
      </c>
      <c r="O845">
        <v>76909.953874538754</v>
      </c>
      <c r="P845">
        <v>208670</v>
      </c>
      <c r="Q845">
        <v>2709293.65</v>
      </c>
      <c r="R845">
        <v>71409.953874538754</v>
      </c>
      <c r="S845" t="s">
        <v>65</v>
      </c>
      <c r="T845" t="s">
        <v>5768</v>
      </c>
      <c r="U845">
        <v>55291.71</v>
      </c>
      <c r="V845" t="s">
        <v>717</v>
      </c>
      <c r="W845">
        <v>44581</v>
      </c>
      <c r="X845" t="s">
        <v>5769</v>
      </c>
      <c r="Y845" t="s">
        <v>6</v>
      </c>
      <c r="Z845" t="s">
        <v>17</v>
      </c>
      <c r="AA845" t="s">
        <v>717</v>
      </c>
      <c r="AB845" t="s">
        <v>2509</v>
      </c>
      <c r="AC845" t="s">
        <v>2571</v>
      </c>
      <c r="AD845" t="s">
        <v>717</v>
      </c>
      <c r="AE845" t="s">
        <v>5770</v>
      </c>
      <c r="AF845" t="s">
        <v>5771</v>
      </c>
      <c r="AG845" t="s">
        <v>5772</v>
      </c>
      <c r="AH845" t="s">
        <v>2615</v>
      </c>
      <c r="AI845" t="s">
        <v>2552</v>
      </c>
      <c r="AJ845" t="s">
        <v>3289</v>
      </c>
      <c r="AK845" t="s">
        <v>20</v>
      </c>
      <c r="AL845" t="s">
        <v>575</v>
      </c>
      <c r="AM845" t="s">
        <v>10</v>
      </c>
      <c r="AN845" t="s">
        <v>717</v>
      </c>
    </row>
    <row r="846" spans="1:40" hidden="1">
      <c r="A846">
        <v>844</v>
      </c>
      <c r="B846">
        <v>17</v>
      </c>
      <c r="C846" s="58">
        <v>44585</v>
      </c>
      <c r="D846" t="s">
        <v>27</v>
      </c>
      <c r="E846" t="s">
        <v>2506</v>
      </c>
      <c r="F846">
        <v>5</v>
      </c>
      <c r="G846">
        <v>14</v>
      </c>
      <c r="H846">
        <v>308</v>
      </c>
      <c r="I846">
        <v>0</v>
      </c>
      <c r="J846">
        <v>23.63</v>
      </c>
      <c r="K846" t="s">
        <v>9</v>
      </c>
      <c r="L846">
        <v>1828595.26</v>
      </c>
      <c r="M846">
        <v>0</v>
      </c>
      <c r="N846">
        <v>1828595.26</v>
      </c>
      <c r="O846">
        <v>77384.479898434191</v>
      </c>
      <c r="P846">
        <v>0</v>
      </c>
      <c r="Q846">
        <v>1828595.26</v>
      </c>
      <c r="R846">
        <v>77384.479898434191</v>
      </c>
      <c r="S846" t="s">
        <v>2507</v>
      </c>
      <c r="T846" t="s">
        <v>717</v>
      </c>
      <c r="U846" t="s">
        <v>717</v>
      </c>
      <c r="V846" t="s">
        <v>717</v>
      </c>
      <c r="W846">
        <v>44582</v>
      </c>
      <c r="X846" t="s">
        <v>5773</v>
      </c>
      <c r="Y846" t="s">
        <v>6</v>
      </c>
      <c r="Z846" t="s">
        <v>11</v>
      </c>
      <c r="AA846" t="s">
        <v>717</v>
      </c>
      <c r="AB846" t="s">
        <v>2509</v>
      </c>
      <c r="AC846" t="s">
        <v>118</v>
      </c>
      <c r="AD846" t="s">
        <v>717</v>
      </c>
      <c r="AE846" t="s">
        <v>5774</v>
      </c>
      <c r="AF846" t="s">
        <v>717</v>
      </c>
      <c r="AG846" t="s">
        <v>5775</v>
      </c>
      <c r="AH846" t="s">
        <v>2615</v>
      </c>
      <c r="AI846" t="s">
        <v>2552</v>
      </c>
      <c r="AJ846" t="s">
        <v>2662</v>
      </c>
      <c r="AK846" t="s">
        <v>63</v>
      </c>
      <c r="AL846" t="s">
        <v>717</v>
      </c>
      <c r="AM846" t="s">
        <v>10</v>
      </c>
      <c r="AN846" t="s">
        <v>717</v>
      </c>
    </row>
    <row r="847" spans="1:40" hidden="1">
      <c r="A847">
        <v>845</v>
      </c>
      <c r="B847">
        <v>18</v>
      </c>
      <c r="C847" s="58">
        <v>44585</v>
      </c>
      <c r="D847" t="s">
        <v>27</v>
      </c>
      <c r="E847" t="s">
        <v>4409</v>
      </c>
      <c r="F847">
        <v>1</v>
      </c>
      <c r="G847">
        <v>3</v>
      </c>
      <c r="H847">
        <v>520</v>
      </c>
      <c r="I847">
        <v>3</v>
      </c>
      <c r="J847">
        <v>82.27</v>
      </c>
      <c r="K847" t="s">
        <v>15</v>
      </c>
      <c r="L847">
        <v>5107475.4400000004</v>
      </c>
      <c r="M847">
        <v>0</v>
      </c>
      <c r="N847">
        <v>5107475.4400000004</v>
      </c>
      <c r="O847">
        <v>62081.869940440025</v>
      </c>
      <c r="P847">
        <v>452485</v>
      </c>
      <c r="Q847">
        <v>4654990.4400000004</v>
      </c>
      <c r="R847">
        <v>56581.869940440025</v>
      </c>
      <c r="S847" t="s">
        <v>65</v>
      </c>
      <c r="T847" t="s">
        <v>717</v>
      </c>
      <c r="U847" t="s">
        <v>717</v>
      </c>
      <c r="V847" t="s">
        <v>4131</v>
      </c>
      <c r="W847">
        <v>44576</v>
      </c>
      <c r="X847" t="s">
        <v>5776</v>
      </c>
      <c r="Y847" t="s">
        <v>6</v>
      </c>
      <c r="Z847" t="s">
        <v>17</v>
      </c>
      <c r="AA847" t="s">
        <v>717</v>
      </c>
      <c r="AB847" t="s">
        <v>2509</v>
      </c>
      <c r="AC847" t="s">
        <v>2571</v>
      </c>
      <c r="AD847" t="s">
        <v>717</v>
      </c>
      <c r="AE847" t="s">
        <v>5777</v>
      </c>
      <c r="AF847" t="s">
        <v>5778</v>
      </c>
      <c r="AG847" t="s">
        <v>5779</v>
      </c>
      <c r="AH847" t="s">
        <v>2552</v>
      </c>
      <c r="AI847" t="s">
        <v>2877</v>
      </c>
      <c r="AJ847" t="s">
        <v>3098</v>
      </c>
      <c r="AK847" t="s">
        <v>471</v>
      </c>
      <c r="AL847" t="s">
        <v>16</v>
      </c>
      <c r="AM847" t="s">
        <v>10</v>
      </c>
      <c r="AN847" t="s">
        <v>717</v>
      </c>
    </row>
    <row r="848" spans="1:40" hidden="1">
      <c r="A848">
        <v>846</v>
      </c>
      <c r="B848">
        <v>19</v>
      </c>
      <c r="C848" s="58">
        <v>44586</v>
      </c>
      <c r="D848" t="s">
        <v>121</v>
      </c>
      <c r="E848" t="s">
        <v>2506</v>
      </c>
      <c r="F848">
        <v>9</v>
      </c>
      <c r="G848">
        <v>12</v>
      </c>
      <c r="H848">
        <v>280</v>
      </c>
      <c r="I848">
        <v>2</v>
      </c>
      <c r="J848">
        <v>60.3</v>
      </c>
      <c r="K848" t="s">
        <v>15</v>
      </c>
      <c r="L848">
        <v>4653546.29</v>
      </c>
      <c r="M848">
        <v>0</v>
      </c>
      <c r="N848">
        <v>4653546.29</v>
      </c>
      <c r="O848">
        <v>77173.23864013268</v>
      </c>
      <c r="P848">
        <v>331650</v>
      </c>
      <c r="Q848">
        <v>4321896.29</v>
      </c>
      <c r="R848">
        <v>71673.23864013268</v>
      </c>
      <c r="S848" t="s">
        <v>65</v>
      </c>
      <c r="T848" t="s">
        <v>717</v>
      </c>
      <c r="U848" t="s">
        <v>717</v>
      </c>
      <c r="V848" t="s">
        <v>4131</v>
      </c>
      <c r="W848">
        <v>44581</v>
      </c>
      <c r="X848" t="s">
        <v>5780</v>
      </c>
      <c r="Y848" t="s">
        <v>6</v>
      </c>
      <c r="Z848" t="s">
        <v>17</v>
      </c>
      <c r="AA848" t="s">
        <v>717</v>
      </c>
      <c r="AB848" t="s">
        <v>2509</v>
      </c>
      <c r="AC848" t="s">
        <v>2571</v>
      </c>
      <c r="AD848" t="s">
        <v>717</v>
      </c>
      <c r="AE848" t="s">
        <v>5781</v>
      </c>
      <c r="AF848" t="s">
        <v>5782</v>
      </c>
      <c r="AG848" t="s">
        <v>5783</v>
      </c>
      <c r="AH848" t="s">
        <v>2615</v>
      </c>
      <c r="AI848" t="s">
        <v>5784</v>
      </c>
      <c r="AJ848" t="s">
        <v>5785</v>
      </c>
      <c r="AK848" t="s">
        <v>77</v>
      </c>
      <c r="AL848" t="s">
        <v>16</v>
      </c>
      <c r="AM848" t="s">
        <v>10</v>
      </c>
      <c r="AN848" t="s">
        <v>717</v>
      </c>
    </row>
    <row r="849" spans="1:40" hidden="1">
      <c r="A849">
        <v>847</v>
      </c>
      <c r="B849">
        <v>20</v>
      </c>
      <c r="C849" s="58">
        <v>44586</v>
      </c>
      <c r="D849" t="s">
        <v>27</v>
      </c>
      <c r="E849" t="s">
        <v>2506</v>
      </c>
      <c r="F849">
        <v>5</v>
      </c>
      <c r="G849">
        <v>6</v>
      </c>
      <c r="H849">
        <v>244</v>
      </c>
      <c r="I849">
        <v>0</v>
      </c>
      <c r="J849">
        <v>23.63</v>
      </c>
      <c r="K849" t="s">
        <v>9</v>
      </c>
      <c r="L849">
        <v>1828595.26</v>
      </c>
      <c r="M849">
        <v>0</v>
      </c>
      <c r="N849">
        <v>1828595.26</v>
      </c>
      <c r="O849">
        <v>77384.479898434191</v>
      </c>
      <c r="P849">
        <v>0</v>
      </c>
      <c r="Q849">
        <v>1828595.26</v>
      </c>
      <c r="R849">
        <v>77384.479898434191</v>
      </c>
      <c r="S849" t="s">
        <v>65</v>
      </c>
      <c r="T849" t="s">
        <v>717</v>
      </c>
      <c r="U849" t="s">
        <v>717</v>
      </c>
      <c r="V849" t="s">
        <v>717</v>
      </c>
      <c r="W849">
        <v>44582</v>
      </c>
      <c r="X849" t="s">
        <v>5786</v>
      </c>
      <c r="Y849" t="s">
        <v>6</v>
      </c>
      <c r="Z849" t="s">
        <v>17</v>
      </c>
      <c r="AA849" t="s">
        <v>717</v>
      </c>
      <c r="AB849" t="s">
        <v>2509</v>
      </c>
      <c r="AC849" t="s">
        <v>2564</v>
      </c>
      <c r="AD849" t="s">
        <v>717</v>
      </c>
      <c r="AE849" t="s">
        <v>5787</v>
      </c>
      <c r="AF849" t="s">
        <v>5788</v>
      </c>
      <c r="AG849" t="s">
        <v>5789</v>
      </c>
      <c r="AH849" t="s">
        <v>2191</v>
      </c>
      <c r="AI849" t="s">
        <v>5653</v>
      </c>
      <c r="AJ849" t="s">
        <v>2895</v>
      </c>
      <c r="AK849" t="s">
        <v>29</v>
      </c>
      <c r="AL849" t="s">
        <v>575</v>
      </c>
      <c r="AM849" t="s">
        <v>5654</v>
      </c>
      <c r="AN849" t="s">
        <v>717</v>
      </c>
    </row>
    <row r="850" spans="1:40" hidden="1">
      <c r="A850">
        <v>848</v>
      </c>
      <c r="B850">
        <v>21</v>
      </c>
      <c r="C850" s="58">
        <v>44586</v>
      </c>
      <c r="D850" t="s">
        <v>121</v>
      </c>
      <c r="E850" t="s">
        <v>2515</v>
      </c>
      <c r="F850">
        <v>4</v>
      </c>
      <c r="G850">
        <v>21</v>
      </c>
      <c r="H850">
        <v>137</v>
      </c>
      <c r="I850">
        <v>1</v>
      </c>
      <c r="J850">
        <v>36.86</v>
      </c>
      <c r="K850" t="s">
        <v>9</v>
      </c>
      <c r="L850">
        <v>2800418.94</v>
      </c>
      <c r="M850">
        <v>0</v>
      </c>
      <c r="N850">
        <v>2800418.94</v>
      </c>
      <c r="O850">
        <v>75974.469343461751</v>
      </c>
      <c r="P850">
        <v>0</v>
      </c>
      <c r="Q850">
        <v>2800418.94</v>
      </c>
      <c r="R850">
        <v>75974.469343461751</v>
      </c>
      <c r="S850" t="s">
        <v>65</v>
      </c>
      <c r="T850" t="s">
        <v>717</v>
      </c>
      <c r="U850" t="s">
        <v>717</v>
      </c>
      <c r="V850" t="s">
        <v>717</v>
      </c>
      <c r="W850">
        <v>44584</v>
      </c>
      <c r="X850" t="s">
        <v>5790</v>
      </c>
      <c r="Y850" t="s">
        <v>6</v>
      </c>
      <c r="Z850" t="s">
        <v>17</v>
      </c>
      <c r="AA850" t="s">
        <v>717</v>
      </c>
      <c r="AB850" t="s">
        <v>2509</v>
      </c>
      <c r="AC850" t="s">
        <v>2571</v>
      </c>
      <c r="AD850" t="s">
        <v>717</v>
      </c>
      <c r="AE850" t="s">
        <v>5791</v>
      </c>
      <c r="AF850" t="s">
        <v>5792</v>
      </c>
      <c r="AG850" t="s">
        <v>5793</v>
      </c>
      <c r="AH850" t="s">
        <v>2615</v>
      </c>
      <c r="AI850" t="s">
        <v>2552</v>
      </c>
      <c r="AJ850" t="s">
        <v>2522</v>
      </c>
      <c r="AK850" t="s">
        <v>20</v>
      </c>
      <c r="AL850" t="s">
        <v>575</v>
      </c>
      <c r="AM850" t="s">
        <v>10</v>
      </c>
      <c r="AN850" t="s">
        <v>717</v>
      </c>
    </row>
    <row r="851" spans="1:40" hidden="1">
      <c r="A851">
        <v>849</v>
      </c>
      <c r="B851">
        <v>22</v>
      </c>
      <c r="C851" s="58">
        <v>44586</v>
      </c>
      <c r="D851" t="s">
        <v>27</v>
      </c>
      <c r="E851" t="s">
        <v>2506</v>
      </c>
      <c r="F851">
        <v>6</v>
      </c>
      <c r="G851">
        <v>16</v>
      </c>
      <c r="H851">
        <v>325</v>
      </c>
      <c r="I851">
        <v>1</v>
      </c>
      <c r="J851">
        <v>37.11</v>
      </c>
      <c r="K851" t="s">
        <v>9</v>
      </c>
      <c r="L851">
        <v>2638151.7599999998</v>
      </c>
      <c r="M851">
        <v>0</v>
      </c>
      <c r="N851">
        <v>2638151.7599999998</v>
      </c>
      <c r="O851">
        <v>71090.050121261113</v>
      </c>
      <c r="P851">
        <v>0</v>
      </c>
      <c r="Q851">
        <v>2638151.7599999998</v>
      </c>
      <c r="R851">
        <v>71090.050121261113</v>
      </c>
      <c r="S851" t="s">
        <v>65</v>
      </c>
      <c r="T851" t="s">
        <v>717</v>
      </c>
      <c r="U851" t="s">
        <v>717</v>
      </c>
      <c r="V851" t="s">
        <v>717</v>
      </c>
      <c r="W851">
        <v>44585</v>
      </c>
      <c r="X851" t="s">
        <v>5794</v>
      </c>
      <c r="Y851" t="s">
        <v>6</v>
      </c>
      <c r="Z851" t="s">
        <v>17</v>
      </c>
      <c r="AA851" t="s">
        <v>717</v>
      </c>
      <c r="AB851" t="s">
        <v>2509</v>
      </c>
      <c r="AC851" t="s">
        <v>2564</v>
      </c>
      <c r="AD851" t="s">
        <v>717</v>
      </c>
      <c r="AE851" t="s">
        <v>5795</v>
      </c>
      <c r="AF851" t="s">
        <v>5796</v>
      </c>
      <c r="AG851" t="s">
        <v>5797</v>
      </c>
      <c r="AH851" t="s">
        <v>2191</v>
      </c>
      <c r="AI851" t="s">
        <v>5653</v>
      </c>
      <c r="AJ851" t="s">
        <v>3098</v>
      </c>
      <c r="AK851" t="s">
        <v>29</v>
      </c>
      <c r="AL851" t="s">
        <v>575</v>
      </c>
      <c r="AM851" t="s">
        <v>5654</v>
      </c>
      <c r="AN851" t="s">
        <v>717</v>
      </c>
    </row>
    <row r="852" spans="1:40" hidden="1">
      <c r="A852">
        <v>850</v>
      </c>
      <c r="B852">
        <v>23</v>
      </c>
      <c r="C852" s="58">
        <v>44586</v>
      </c>
      <c r="D852" t="s">
        <v>27</v>
      </c>
      <c r="E852" t="s">
        <v>5456</v>
      </c>
      <c r="F852">
        <v>6</v>
      </c>
      <c r="G852">
        <v>4</v>
      </c>
      <c r="H852">
        <v>854</v>
      </c>
      <c r="I852">
        <v>2</v>
      </c>
      <c r="J852">
        <v>54.28</v>
      </c>
      <c r="K852" t="s">
        <v>15</v>
      </c>
      <c r="L852">
        <v>3893738.78</v>
      </c>
      <c r="M852">
        <v>15000</v>
      </c>
      <c r="N852">
        <v>3908738.78</v>
      </c>
      <c r="O852">
        <v>72010.662859248332</v>
      </c>
      <c r="P852">
        <v>298540</v>
      </c>
      <c r="Q852">
        <v>3610198.78</v>
      </c>
      <c r="R852">
        <v>66510.662859248332</v>
      </c>
      <c r="S852" t="s">
        <v>2507</v>
      </c>
      <c r="T852" t="s">
        <v>717</v>
      </c>
      <c r="U852" t="s">
        <v>717</v>
      </c>
      <c r="V852" t="s">
        <v>717</v>
      </c>
      <c r="W852">
        <v>44570</v>
      </c>
      <c r="X852" t="s">
        <v>5798</v>
      </c>
      <c r="Y852" t="s">
        <v>6</v>
      </c>
      <c r="Z852" t="s">
        <v>11</v>
      </c>
      <c r="AA852" t="s">
        <v>717</v>
      </c>
      <c r="AB852" t="s">
        <v>2509</v>
      </c>
      <c r="AC852" t="s">
        <v>118</v>
      </c>
      <c r="AD852" t="s">
        <v>717</v>
      </c>
      <c r="AE852" t="s">
        <v>5799</v>
      </c>
      <c r="AF852" t="s">
        <v>5800</v>
      </c>
      <c r="AG852" t="s">
        <v>717</v>
      </c>
      <c r="AH852" t="s">
        <v>2552</v>
      </c>
      <c r="AI852" t="s">
        <v>2877</v>
      </c>
      <c r="AJ852" t="s">
        <v>3298</v>
      </c>
      <c r="AK852" t="s">
        <v>471</v>
      </c>
      <c r="AL852" t="s">
        <v>717</v>
      </c>
      <c r="AM852" t="s">
        <v>10</v>
      </c>
      <c r="AN852" t="s">
        <v>717</v>
      </c>
    </row>
    <row r="853" spans="1:40" hidden="1">
      <c r="A853">
        <v>851</v>
      </c>
      <c r="B853">
        <v>24</v>
      </c>
      <c r="C853" s="58">
        <v>44587</v>
      </c>
      <c r="D853" t="s">
        <v>27</v>
      </c>
      <c r="E853" t="s">
        <v>2506</v>
      </c>
      <c r="F853">
        <v>5</v>
      </c>
      <c r="G853">
        <v>8</v>
      </c>
      <c r="H853">
        <v>260</v>
      </c>
      <c r="I853">
        <v>0</v>
      </c>
      <c r="J853">
        <v>23.63</v>
      </c>
      <c r="K853" t="s">
        <v>15</v>
      </c>
      <c r="L853">
        <v>1958560.26</v>
      </c>
      <c r="M853">
        <v>0</v>
      </c>
      <c r="N853">
        <v>1958560.26</v>
      </c>
      <c r="O853">
        <v>82884.479898434191</v>
      </c>
      <c r="P853">
        <v>129965</v>
      </c>
      <c r="Q853">
        <v>1828595.26</v>
      </c>
      <c r="R853">
        <v>77384.479898434191</v>
      </c>
      <c r="S853" t="s">
        <v>65</v>
      </c>
      <c r="T853" t="s">
        <v>717</v>
      </c>
      <c r="U853" t="s">
        <v>717</v>
      </c>
      <c r="V853" t="s">
        <v>717</v>
      </c>
      <c r="W853">
        <v>44581</v>
      </c>
      <c r="X853" t="s">
        <v>5801</v>
      </c>
      <c r="Y853" t="s">
        <v>6</v>
      </c>
      <c r="Z853" t="s">
        <v>17</v>
      </c>
      <c r="AA853" t="s">
        <v>717</v>
      </c>
      <c r="AB853" t="s">
        <v>2509</v>
      </c>
      <c r="AC853" t="s">
        <v>2571</v>
      </c>
      <c r="AD853" t="s">
        <v>717</v>
      </c>
      <c r="AE853" t="s">
        <v>5802</v>
      </c>
      <c r="AF853" t="s">
        <v>5803</v>
      </c>
      <c r="AG853" t="s">
        <v>5804</v>
      </c>
      <c r="AH853" t="s">
        <v>2191</v>
      </c>
      <c r="AI853" t="s">
        <v>2552</v>
      </c>
      <c r="AJ853" t="s">
        <v>2895</v>
      </c>
      <c r="AK853" t="s">
        <v>20</v>
      </c>
      <c r="AL853" t="s">
        <v>575</v>
      </c>
      <c r="AM853" t="s">
        <v>10</v>
      </c>
      <c r="AN853" t="s">
        <v>717</v>
      </c>
    </row>
    <row r="854" spans="1:40" hidden="1">
      <c r="A854">
        <v>852</v>
      </c>
      <c r="B854">
        <v>25</v>
      </c>
      <c r="C854" s="58">
        <v>44587</v>
      </c>
      <c r="D854" t="s">
        <v>27</v>
      </c>
      <c r="E854" t="s">
        <v>2515</v>
      </c>
      <c r="F854">
        <v>9</v>
      </c>
      <c r="G854">
        <v>3</v>
      </c>
      <c r="H854">
        <v>18</v>
      </c>
      <c r="I854">
        <v>1</v>
      </c>
      <c r="J854">
        <v>37.94</v>
      </c>
      <c r="K854" t="s">
        <v>15</v>
      </c>
      <c r="L854">
        <v>2793444.8</v>
      </c>
      <c r="M854">
        <v>0</v>
      </c>
      <c r="N854">
        <v>2793444.8</v>
      </c>
      <c r="O854">
        <v>73627.95993674222</v>
      </c>
      <c r="P854">
        <v>208670</v>
      </c>
      <c r="Q854">
        <v>2584774.7999999998</v>
      </c>
      <c r="R854">
        <v>68127.95993674222</v>
      </c>
      <c r="S854" t="s">
        <v>65</v>
      </c>
      <c r="T854" t="s">
        <v>717</v>
      </c>
      <c r="U854" t="s">
        <v>717</v>
      </c>
      <c r="V854" t="s">
        <v>717</v>
      </c>
      <c r="W854">
        <v>44587</v>
      </c>
      <c r="X854" t="s">
        <v>5805</v>
      </c>
      <c r="Y854" t="s">
        <v>6</v>
      </c>
      <c r="Z854" t="s">
        <v>17</v>
      </c>
      <c r="AA854" t="s">
        <v>717</v>
      </c>
      <c r="AB854" t="s">
        <v>2509</v>
      </c>
      <c r="AC854" t="s">
        <v>2571</v>
      </c>
      <c r="AD854" t="s">
        <v>717</v>
      </c>
      <c r="AE854" t="s">
        <v>5806</v>
      </c>
      <c r="AF854" t="s">
        <v>5807</v>
      </c>
      <c r="AG854" t="s">
        <v>5808</v>
      </c>
      <c r="AH854" t="s">
        <v>2615</v>
      </c>
      <c r="AI854" t="s">
        <v>3595</v>
      </c>
      <c r="AJ854" t="s">
        <v>2514</v>
      </c>
      <c r="AK854" t="s">
        <v>471</v>
      </c>
      <c r="AL854" t="s">
        <v>575</v>
      </c>
      <c r="AM854" t="s">
        <v>10</v>
      </c>
      <c r="AN854" t="s">
        <v>717</v>
      </c>
    </row>
    <row r="855" spans="1:40" hidden="1">
      <c r="A855">
        <v>853</v>
      </c>
      <c r="B855">
        <v>26</v>
      </c>
      <c r="C855" s="58">
        <v>44588</v>
      </c>
      <c r="D855" t="s">
        <v>27</v>
      </c>
      <c r="E855" t="s">
        <v>5079</v>
      </c>
      <c r="F855">
        <v>3</v>
      </c>
      <c r="G855">
        <v>4</v>
      </c>
      <c r="H855">
        <v>652</v>
      </c>
      <c r="I855">
        <v>2</v>
      </c>
      <c r="J855">
        <v>56.33</v>
      </c>
      <c r="K855" t="s">
        <v>9</v>
      </c>
      <c r="L855">
        <v>4129616.07</v>
      </c>
      <c r="M855">
        <v>15000</v>
      </c>
      <c r="N855">
        <v>4144616.07</v>
      </c>
      <c r="O855">
        <v>73577.420024853534</v>
      </c>
      <c r="P855">
        <v>0</v>
      </c>
      <c r="Q855">
        <v>4144616.07</v>
      </c>
      <c r="R855">
        <v>73577.420024853534</v>
      </c>
      <c r="S855" t="s">
        <v>2507</v>
      </c>
      <c r="T855" t="s">
        <v>717</v>
      </c>
      <c r="U855" t="s">
        <v>717</v>
      </c>
      <c r="V855" t="s">
        <v>717</v>
      </c>
      <c r="W855">
        <v>44575</v>
      </c>
      <c r="X855" t="s">
        <v>5809</v>
      </c>
      <c r="Y855" t="s">
        <v>6</v>
      </c>
      <c r="Z855" t="s">
        <v>11</v>
      </c>
      <c r="AA855" t="s">
        <v>717</v>
      </c>
      <c r="AB855" t="s">
        <v>2509</v>
      </c>
      <c r="AC855" t="s">
        <v>118</v>
      </c>
      <c r="AD855" t="s">
        <v>717</v>
      </c>
      <c r="AE855" t="s">
        <v>832</v>
      </c>
      <c r="AF855" t="s">
        <v>5810</v>
      </c>
      <c r="AG855" t="s">
        <v>5811</v>
      </c>
      <c r="AH855" t="s">
        <v>2615</v>
      </c>
      <c r="AI855" t="s">
        <v>2552</v>
      </c>
      <c r="AJ855" t="s">
        <v>2569</v>
      </c>
      <c r="AK855" t="s">
        <v>73</v>
      </c>
      <c r="AL855" t="s">
        <v>717</v>
      </c>
      <c r="AM855" t="s">
        <v>10</v>
      </c>
      <c r="AN855" t="s">
        <v>717</v>
      </c>
    </row>
    <row r="856" spans="1:40" hidden="1">
      <c r="A856">
        <v>854</v>
      </c>
      <c r="B856">
        <v>27</v>
      </c>
      <c r="C856" s="58">
        <v>44588</v>
      </c>
      <c r="D856" t="s">
        <v>121</v>
      </c>
      <c r="E856" t="s">
        <v>2515</v>
      </c>
      <c r="F856">
        <v>4</v>
      </c>
      <c r="G856">
        <v>10</v>
      </c>
      <c r="H856">
        <v>60</v>
      </c>
      <c r="I856">
        <v>1</v>
      </c>
      <c r="J856">
        <v>36.86</v>
      </c>
      <c r="K856" t="s">
        <v>15</v>
      </c>
      <c r="L856">
        <v>3098873.32</v>
      </c>
      <c r="M856">
        <v>0</v>
      </c>
      <c r="N856">
        <v>3098873.32</v>
      </c>
      <c r="O856">
        <v>84071.441128594684</v>
      </c>
      <c r="P856">
        <v>202730</v>
      </c>
      <c r="Q856">
        <v>2896143.32</v>
      </c>
      <c r="R856">
        <v>78571.441128594684</v>
      </c>
      <c r="S856" t="s">
        <v>65</v>
      </c>
      <c r="T856" t="s">
        <v>717</v>
      </c>
      <c r="U856" t="s">
        <v>717</v>
      </c>
      <c r="V856" t="s">
        <v>717</v>
      </c>
      <c r="W856">
        <v>44585</v>
      </c>
      <c r="X856" t="s">
        <v>5812</v>
      </c>
      <c r="Y856" t="s">
        <v>6</v>
      </c>
      <c r="Z856" t="s">
        <v>17</v>
      </c>
      <c r="AA856" t="s">
        <v>717</v>
      </c>
      <c r="AB856" t="s">
        <v>2509</v>
      </c>
      <c r="AC856" t="s">
        <v>2571</v>
      </c>
      <c r="AD856" t="s">
        <v>717</v>
      </c>
      <c r="AE856" t="s">
        <v>5813</v>
      </c>
      <c r="AF856" t="s">
        <v>5814</v>
      </c>
      <c r="AG856" t="s">
        <v>5815</v>
      </c>
      <c r="AH856" t="s">
        <v>2552</v>
      </c>
      <c r="AI856" t="s">
        <v>2547</v>
      </c>
      <c r="AJ856" t="s">
        <v>2855</v>
      </c>
      <c r="AK856" t="s">
        <v>77</v>
      </c>
      <c r="AL856" t="s">
        <v>16</v>
      </c>
      <c r="AM856" t="s">
        <v>10</v>
      </c>
      <c r="AN856" t="s">
        <v>717</v>
      </c>
    </row>
    <row r="857" spans="1:40" hidden="1">
      <c r="A857">
        <v>855</v>
      </c>
      <c r="B857">
        <v>28</v>
      </c>
      <c r="C857" s="58">
        <v>44589</v>
      </c>
      <c r="D857" t="s">
        <v>27</v>
      </c>
      <c r="E857" t="s">
        <v>5079</v>
      </c>
      <c r="F857">
        <v>4</v>
      </c>
      <c r="G857">
        <v>3</v>
      </c>
      <c r="H857">
        <v>644</v>
      </c>
      <c r="I857">
        <v>0</v>
      </c>
      <c r="J857">
        <v>24.39</v>
      </c>
      <c r="K857" t="s">
        <v>9</v>
      </c>
      <c r="L857">
        <v>1887407.47</v>
      </c>
      <c r="M857">
        <v>0</v>
      </c>
      <c r="N857">
        <v>1887407.47</v>
      </c>
      <c r="O857">
        <v>77384.480114801147</v>
      </c>
      <c r="P857">
        <v>0</v>
      </c>
      <c r="Q857">
        <v>1887407.47</v>
      </c>
      <c r="R857">
        <v>77384.480114801147</v>
      </c>
      <c r="S857" t="s">
        <v>65</v>
      </c>
      <c r="T857" t="s">
        <v>717</v>
      </c>
      <c r="U857" t="s">
        <v>717</v>
      </c>
      <c r="V857" t="s">
        <v>717</v>
      </c>
      <c r="W857">
        <v>44584</v>
      </c>
      <c r="X857" t="s">
        <v>5816</v>
      </c>
      <c r="Y857" t="s">
        <v>6</v>
      </c>
      <c r="Z857" t="s">
        <v>17</v>
      </c>
      <c r="AA857" t="s">
        <v>717</v>
      </c>
      <c r="AB857" t="s">
        <v>2509</v>
      </c>
      <c r="AC857" t="s">
        <v>2571</v>
      </c>
      <c r="AD857" t="s">
        <v>717</v>
      </c>
      <c r="AE857" t="s">
        <v>5817</v>
      </c>
      <c r="AF857" t="s">
        <v>5818</v>
      </c>
      <c r="AG857" t="s">
        <v>5819</v>
      </c>
      <c r="AH857" t="s">
        <v>2615</v>
      </c>
      <c r="AI857" t="s">
        <v>2552</v>
      </c>
      <c r="AJ857" t="s">
        <v>3098</v>
      </c>
      <c r="AK857" t="s">
        <v>20</v>
      </c>
      <c r="AL857" t="s">
        <v>575</v>
      </c>
      <c r="AM857" t="s">
        <v>10</v>
      </c>
      <c r="AN857" t="s">
        <v>717</v>
      </c>
    </row>
    <row r="858" spans="1:40" hidden="1">
      <c r="A858">
        <v>856</v>
      </c>
      <c r="B858">
        <v>29</v>
      </c>
      <c r="C858" s="58">
        <v>44589</v>
      </c>
      <c r="D858" t="s">
        <v>121</v>
      </c>
      <c r="E858" t="s">
        <v>2506</v>
      </c>
      <c r="F858">
        <v>4</v>
      </c>
      <c r="G858">
        <v>5</v>
      </c>
      <c r="H858">
        <v>198</v>
      </c>
      <c r="I858">
        <v>1</v>
      </c>
      <c r="J858">
        <v>37.89</v>
      </c>
      <c r="K858" t="s">
        <v>25</v>
      </c>
      <c r="L858">
        <v>3654184.68</v>
      </c>
      <c r="M858">
        <v>0</v>
      </c>
      <c r="N858">
        <v>3654184.68</v>
      </c>
      <c r="O858">
        <v>96441.928741092634</v>
      </c>
      <c r="P858">
        <v>606240</v>
      </c>
      <c r="Q858">
        <v>3047944.68</v>
      </c>
      <c r="R858">
        <v>80441.928741092634</v>
      </c>
      <c r="S858" t="s">
        <v>65</v>
      </c>
      <c r="T858" t="s">
        <v>717</v>
      </c>
      <c r="U858" t="s">
        <v>717</v>
      </c>
      <c r="V858" t="s">
        <v>717</v>
      </c>
      <c r="W858">
        <v>44585</v>
      </c>
      <c r="X858" t="s">
        <v>5820</v>
      </c>
      <c r="Y858" t="s">
        <v>6</v>
      </c>
      <c r="Z858" t="s">
        <v>17</v>
      </c>
      <c r="AA858" t="s">
        <v>717</v>
      </c>
      <c r="AB858" t="s">
        <v>2509</v>
      </c>
      <c r="AC858" t="s">
        <v>2571</v>
      </c>
      <c r="AD858" t="s">
        <v>717</v>
      </c>
      <c r="AE858" t="s">
        <v>5821</v>
      </c>
      <c r="AF858" t="s">
        <v>5822</v>
      </c>
      <c r="AG858" t="s">
        <v>5823</v>
      </c>
      <c r="AH858" t="s">
        <v>2552</v>
      </c>
      <c r="AI858" t="s">
        <v>2877</v>
      </c>
      <c r="AJ858" t="s">
        <v>2855</v>
      </c>
      <c r="AK858" t="s">
        <v>73</v>
      </c>
      <c r="AL858" t="s">
        <v>575</v>
      </c>
      <c r="AM858" t="s">
        <v>10</v>
      </c>
      <c r="AN858" t="s">
        <v>717</v>
      </c>
    </row>
    <row r="859" spans="1:40" hidden="1">
      <c r="A859">
        <v>857</v>
      </c>
      <c r="B859">
        <v>30</v>
      </c>
      <c r="C859" s="58">
        <v>44589</v>
      </c>
      <c r="D859" t="s">
        <v>27</v>
      </c>
      <c r="E859" t="s">
        <v>2506</v>
      </c>
      <c r="F859">
        <v>2</v>
      </c>
      <c r="G859">
        <v>9</v>
      </c>
      <c r="H859">
        <v>265</v>
      </c>
      <c r="I859">
        <v>1</v>
      </c>
      <c r="J859">
        <v>37.159999999999997</v>
      </c>
      <c r="K859" t="s">
        <v>15</v>
      </c>
      <c r="L859">
        <v>2846086.26</v>
      </c>
      <c r="M859">
        <v>0</v>
      </c>
      <c r="N859">
        <v>2846086.26</v>
      </c>
      <c r="O859">
        <v>76590.050053821309</v>
      </c>
      <c r="P859">
        <v>204380</v>
      </c>
      <c r="Q859">
        <v>2641706.2599999998</v>
      </c>
      <c r="R859">
        <v>71090.050053821309</v>
      </c>
      <c r="S859" t="s">
        <v>130</v>
      </c>
      <c r="T859" t="s">
        <v>717</v>
      </c>
      <c r="U859" t="s">
        <v>717</v>
      </c>
      <c r="V859" t="s">
        <v>717</v>
      </c>
      <c r="W859">
        <v>44585</v>
      </c>
      <c r="X859" t="s">
        <v>5824</v>
      </c>
      <c r="Y859" t="s">
        <v>6</v>
      </c>
      <c r="Z859" t="s">
        <v>11</v>
      </c>
      <c r="AA859" t="s">
        <v>717</v>
      </c>
      <c r="AB859" t="s">
        <v>2509</v>
      </c>
      <c r="AC859" t="s">
        <v>118</v>
      </c>
      <c r="AD859" t="s">
        <v>717</v>
      </c>
      <c r="AE859" t="s">
        <v>5825</v>
      </c>
      <c r="AF859" t="s">
        <v>5826</v>
      </c>
      <c r="AG859" t="s">
        <v>5827</v>
      </c>
      <c r="AH859" t="s">
        <v>2615</v>
      </c>
      <c r="AI859" t="s">
        <v>2552</v>
      </c>
      <c r="AJ859" t="s">
        <v>2522</v>
      </c>
      <c r="AK859" t="s">
        <v>20</v>
      </c>
      <c r="AL859" t="s">
        <v>717</v>
      </c>
      <c r="AM859" t="s">
        <v>10</v>
      </c>
      <c r="AN859" t="s">
        <v>717</v>
      </c>
    </row>
    <row r="860" spans="1:40" hidden="1">
      <c r="A860">
        <v>858</v>
      </c>
      <c r="B860">
        <v>31</v>
      </c>
      <c r="C860" s="58">
        <v>44589</v>
      </c>
      <c r="D860" t="s">
        <v>27</v>
      </c>
      <c r="E860" t="s">
        <v>2515</v>
      </c>
      <c r="F860">
        <v>1</v>
      </c>
      <c r="G860">
        <v>19</v>
      </c>
      <c r="H860">
        <v>154</v>
      </c>
      <c r="I860">
        <v>3</v>
      </c>
      <c r="J860">
        <v>82.71</v>
      </c>
      <c r="K860" t="s">
        <v>9</v>
      </c>
      <c r="L860">
        <v>5123657.87</v>
      </c>
      <c r="M860">
        <v>0</v>
      </c>
      <c r="N860">
        <v>5123657.87</v>
      </c>
      <c r="O860">
        <v>61947.259944384001</v>
      </c>
      <c r="P860">
        <v>0</v>
      </c>
      <c r="Q860">
        <v>5123657.87</v>
      </c>
      <c r="R860">
        <v>61947.259944384001</v>
      </c>
      <c r="S860" t="s">
        <v>65</v>
      </c>
      <c r="T860" t="s">
        <v>717</v>
      </c>
      <c r="U860" t="s">
        <v>717</v>
      </c>
      <c r="V860" t="s">
        <v>4131</v>
      </c>
      <c r="W860">
        <v>44586</v>
      </c>
      <c r="X860" t="s">
        <v>5828</v>
      </c>
      <c r="Y860" t="s">
        <v>6</v>
      </c>
      <c r="Z860" t="s">
        <v>17</v>
      </c>
      <c r="AA860" t="s">
        <v>717</v>
      </c>
      <c r="AB860" t="s">
        <v>2509</v>
      </c>
      <c r="AC860" t="s">
        <v>2571</v>
      </c>
      <c r="AD860" t="s">
        <v>717</v>
      </c>
      <c r="AE860" t="s">
        <v>5829</v>
      </c>
      <c r="AF860" t="s">
        <v>5830</v>
      </c>
      <c r="AG860" t="s">
        <v>5831</v>
      </c>
      <c r="AH860" t="s">
        <v>2615</v>
      </c>
      <c r="AI860" t="s">
        <v>2552</v>
      </c>
      <c r="AJ860" t="s">
        <v>2569</v>
      </c>
      <c r="AK860" t="s">
        <v>63</v>
      </c>
      <c r="AL860" t="s">
        <v>16</v>
      </c>
      <c r="AM860" t="s">
        <v>10</v>
      </c>
      <c r="AN860" t="s">
        <v>717</v>
      </c>
    </row>
    <row r="861" spans="1:40" hidden="1">
      <c r="A861">
        <v>859</v>
      </c>
      <c r="B861">
        <v>32</v>
      </c>
      <c r="C861" s="58">
        <v>44589</v>
      </c>
      <c r="D861" t="s">
        <v>27</v>
      </c>
      <c r="E861" t="s">
        <v>2581</v>
      </c>
      <c r="F861">
        <v>5</v>
      </c>
      <c r="G861">
        <v>12</v>
      </c>
      <c r="H861">
        <v>476</v>
      </c>
      <c r="I861">
        <v>0</v>
      </c>
      <c r="J861">
        <v>23.63</v>
      </c>
      <c r="K861" t="s">
        <v>9</v>
      </c>
      <c r="L861">
        <v>1828595.26</v>
      </c>
      <c r="M861">
        <v>0</v>
      </c>
      <c r="N861">
        <v>1828595.26</v>
      </c>
      <c r="O861">
        <v>77384.479898434191</v>
      </c>
      <c r="P861">
        <v>0</v>
      </c>
      <c r="Q861">
        <v>1828595.26</v>
      </c>
      <c r="R861">
        <v>77384.479898434191</v>
      </c>
      <c r="S861" t="s">
        <v>65</v>
      </c>
      <c r="T861" t="s">
        <v>717</v>
      </c>
      <c r="U861" t="s">
        <v>717</v>
      </c>
      <c r="V861" t="s">
        <v>717</v>
      </c>
      <c r="W861">
        <v>44586</v>
      </c>
      <c r="X861" t="s">
        <v>5832</v>
      </c>
      <c r="Y861" t="s">
        <v>6</v>
      </c>
      <c r="Z861" t="s">
        <v>17</v>
      </c>
      <c r="AA861" t="s">
        <v>5617</v>
      </c>
      <c r="AB861" t="s">
        <v>2509</v>
      </c>
      <c r="AC861" t="s">
        <v>2558</v>
      </c>
      <c r="AD861" t="s">
        <v>717</v>
      </c>
      <c r="AE861" t="s">
        <v>5833</v>
      </c>
      <c r="AF861" t="s">
        <v>5834</v>
      </c>
      <c r="AG861" t="s">
        <v>5835</v>
      </c>
      <c r="AH861" t="s">
        <v>2191</v>
      </c>
      <c r="AI861" t="s">
        <v>5653</v>
      </c>
      <c r="AJ861" t="s">
        <v>2895</v>
      </c>
      <c r="AK861" t="s">
        <v>29</v>
      </c>
      <c r="AL861" t="s">
        <v>575</v>
      </c>
      <c r="AM861" t="s">
        <v>5654</v>
      </c>
      <c r="AN861" t="s">
        <v>717</v>
      </c>
    </row>
    <row r="862" spans="1:40" hidden="1">
      <c r="A862">
        <v>860</v>
      </c>
      <c r="B862">
        <v>33</v>
      </c>
      <c r="C862" s="58">
        <v>44589</v>
      </c>
      <c r="D862" t="s">
        <v>27</v>
      </c>
      <c r="E862" t="s">
        <v>2515</v>
      </c>
      <c r="F862">
        <v>4</v>
      </c>
      <c r="G862">
        <v>4</v>
      </c>
      <c r="H862">
        <v>22</v>
      </c>
      <c r="I862">
        <v>0</v>
      </c>
      <c r="J862">
        <v>24.39</v>
      </c>
      <c r="K862" t="s">
        <v>25</v>
      </c>
      <c r="L862">
        <v>2206692.3199999998</v>
      </c>
      <c r="M862">
        <v>0</v>
      </c>
      <c r="N862">
        <v>2206692.3199999998</v>
      </c>
      <c r="O862">
        <v>90475.28987289872</v>
      </c>
      <c r="P862">
        <v>390240</v>
      </c>
      <c r="Q862">
        <v>1816452.32</v>
      </c>
      <c r="R862">
        <v>74475.28987289872</v>
      </c>
      <c r="S862" t="s">
        <v>2507</v>
      </c>
      <c r="T862" t="s">
        <v>717</v>
      </c>
      <c r="U862" t="s">
        <v>717</v>
      </c>
      <c r="V862" t="s">
        <v>717</v>
      </c>
      <c r="W862">
        <v>44586</v>
      </c>
      <c r="X862" t="s">
        <v>5836</v>
      </c>
      <c r="Y862" t="s">
        <v>6</v>
      </c>
      <c r="Z862" t="s">
        <v>11</v>
      </c>
      <c r="AA862" t="s">
        <v>717</v>
      </c>
      <c r="AB862" t="s">
        <v>2509</v>
      </c>
      <c r="AC862" t="s">
        <v>118</v>
      </c>
      <c r="AD862" t="s">
        <v>717</v>
      </c>
      <c r="AE862" t="s">
        <v>5837</v>
      </c>
      <c r="AF862" t="s">
        <v>5838</v>
      </c>
      <c r="AG862" t="s">
        <v>5839</v>
      </c>
      <c r="AH862" t="s">
        <v>2191</v>
      </c>
      <c r="AI862" t="s">
        <v>2538</v>
      </c>
      <c r="AJ862" t="s">
        <v>5785</v>
      </c>
      <c r="AK862" t="s">
        <v>73</v>
      </c>
      <c r="AL862" t="s">
        <v>717</v>
      </c>
      <c r="AM862" t="s">
        <v>10</v>
      </c>
      <c r="AN862" t="s">
        <v>717</v>
      </c>
    </row>
    <row r="863" spans="1:40" hidden="1">
      <c r="A863">
        <v>861</v>
      </c>
      <c r="B863">
        <v>34</v>
      </c>
      <c r="C863" s="58">
        <v>44589</v>
      </c>
      <c r="D863" t="s">
        <v>121</v>
      </c>
      <c r="E863" t="s">
        <v>2506</v>
      </c>
      <c r="F863">
        <v>8</v>
      </c>
      <c r="G863">
        <v>11</v>
      </c>
      <c r="H863">
        <v>268</v>
      </c>
      <c r="I863">
        <v>2</v>
      </c>
      <c r="J863">
        <v>56.93</v>
      </c>
      <c r="K863" t="s">
        <v>9</v>
      </c>
      <c r="L863">
        <v>4210512.32</v>
      </c>
      <c r="M863">
        <v>0</v>
      </c>
      <c r="N863">
        <v>4210512.32</v>
      </c>
      <c r="O863">
        <v>73959.464605656074</v>
      </c>
      <c r="P863">
        <v>0</v>
      </c>
      <c r="Q863">
        <v>4210512.32</v>
      </c>
      <c r="R863">
        <v>73959.464605656074</v>
      </c>
      <c r="S863" t="s">
        <v>65</v>
      </c>
      <c r="T863" t="s">
        <v>717</v>
      </c>
      <c r="U863" t="s">
        <v>717</v>
      </c>
      <c r="V863" t="s">
        <v>4131</v>
      </c>
      <c r="W863">
        <v>44586</v>
      </c>
      <c r="X863" t="s">
        <v>5840</v>
      </c>
      <c r="Y863" t="s">
        <v>6</v>
      </c>
      <c r="Z863" t="s">
        <v>17</v>
      </c>
      <c r="AA863" t="s">
        <v>717</v>
      </c>
      <c r="AB863" t="s">
        <v>2509</v>
      </c>
      <c r="AC863" t="s">
        <v>2571</v>
      </c>
      <c r="AD863" t="s">
        <v>717</v>
      </c>
      <c r="AE863" t="s">
        <v>5841</v>
      </c>
      <c r="AF863" t="s">
        <v>5842</v>
      </c>
      <c r="AG863" t="s">
        <v>5843</v>
      </c>
      <c r="AH863" t="s">
        <v>2615</v>
      </c>
      <c r="AI863" t="s">
        <v>2847</v>
      </c>
      <c r="AJ863" t="s">
        <v>2662</v>
      </c>
      <c r="AK863" t="s">
        <v>63</v>
      </c>
      <c r="AL863" t="s">
        <v>575</v>
      </c>
      <c r="AM863" t="s">
        <v>10</v>
      </c>
      <c r="AN863" t="s">
        <v>717</v>
      </c>
    </row>
    <row r="864" spans="1:40" hidden="1">
      <c r="A864">
        <v>862</v>
      </c>
      <c r="B864">
        <v>35</v>
      </c>
      <c r="C864" s="58">
        <v>44589</v>
      </c>
      <c r="D864" t="s">
        <v>121</v>
      </c>
      <c r="E864" t="s">
        <v>2515</v>
      </c>
      <c r="F864">
        <v>3</v>
      </c>
      <c r="G864">
        <v>8</v>
      </c>
      <c r="H864">
        <v>45</v>
      </c>
      <c r="I864">
        <v>3</v>
      </c>
      <c r="J864">
        <v>76.56</v>
      </c>
      <c r="K864" t="s">
        <v>15</v>
      </c>
      <c r="L864">
        <v>5447662.8499999996</v>
      </c>
      <c r="M864">
        <v>0</v>
      </c>
      <c r="N864">
        <v>5447662.8499999996</v>
      </c>
      <c r="O864">
        <v>71155.470872518286</v>
      </c>
      <c r="P864">
        <v>0</v>
      </c>
      <c r="Q864">
        <v>5447662.8499999996</v>
      </c>
      <c r="R864">
        <v>71155.470872518286</v>
      </c>
      <c r="S864" t="s">
        <v>65</v>
      </c>
      <c r="T864" t="s">
        <v>5443</v>
      </c>
      <c r="U864">
        <v>421080</v>
      </c>
      <c r="V864" t="s">
        <v>717</v>
      </c>
      <c r="W864">
        <v>44587</v>
      </c>
      <c r="X864" t="s">
        <v>5844</v>
      </c>
      <c r="Y864" t="s">
        <v>6</v>
      </c>
      <c r="Z864" t="s">
        <v>11</v>
      </c>
      <c r="AA864" t="s">
        <v>717</v>
      </c>
      <c r="AB864" t="s">
        <v>2509</v>
      </c>
      <c r="AC864" t="s">
        <v>2558</v>
      </c>
      <c r="AD864" t="s">
        <v>717</v>
      </c>
      <c r="AE864" t="s">
        <v>5845</v>
      </c>
      <c r="AF864" t="s">
        <v>5846</v>
      </c>
      <c r="AG864" t="s">
        <v>5847</v>
      </c>
      <c r="AH864" t="s">
        <v>2615</v>
      </c>
      <c r="AI864" t="s">
        <v>2847</v>
      </c>
      <c r="AJ864" t="s">
        <v>2569</v>
      </c>
      <c r="AK864" t="s">
        <v>73</v>
      </c>
      <c r="AL864" t="s">
        <v>16</v>
      </c>
      <c r="AM864" t="s">
        <v>10</v>
      </c>
      <c r="AN864" t="s">
        <v>717</v>
      </c>
    </row>
    <row r="865" spans="1:40" hidden="1">
      <c r="A865">
        <v>863</v>
      </c>
      <c r="B865">
        <v>36</v>
      </c>
      <c r="C865" s="58">
        <v>44589</v>
      </c>
      <c r="D865" t="s">
        <v>27</v>
      </c>
      <c r="E865" t="s">
        <v>2506</v>
      </c>
      <c r="F865">
        <v>2</v>
      </c>
      <c r="G865">
        <v>14</v>
      </c>
      <c r="H865">
        <v>305</v>
      </c>
      <c r="I865">
        <v>1</v>
      </c>
      <c r="J865">
        <v>37.159999999999997</v>
      </c>
      <c r="K865" t="s">
        <v>9</v>
      </c>
      <c r="L865">
        <v>2641706.2599999998</v>
      </c>
      <c r="M865">
        <v>0</v>
      </c>
      <c r="N865">
        <v>2641706.2599999998</v>
      </c>
      <c r="O865">
        <v>71090.050053821309</v>
      </c>
      <c r="P865">
        <v>0</v>
      </c>
      <c r="Q865">
        <v>2641706.2599999998</v>
      </c>
      <c r="R865">
        <v>71090.050053821309</v>
      </c>
      <c r="S865" t="s">
        <v>2507</v>
      </c>
      <c r="T865" t="s">
        <v>717</v>
      </c>
      <c r="U865" t="s">
        <v>717</v>
      </c>
      <c r="V865" t="s">
        <v>717</v>
      </c>
      <c r="W865">
        <v>44587</v>
      </c>
      <c r="X865" t="s">
        <v>5848</v>
      </c>
      <c r="Y865" t="s">
        <v>6</v>
      </c>
      <c r="Z865" t="s">
        <v>17</v>
      </c>
      <c r="AA865" t="s">
        <v>717</v>
      </c>
      <c r="AB865" t="s">
        <v>2509</v>
      </c>
      <c r="AC865" t="s">
        <v>118</v>
      </c>
      <c r="AD865" t="s">
        <v>717</v>
      </c>
      <c r="AE865" t="s">
        <v>5849</v>
      </c>
      <c r="AF865" t="s">
        <v>5850</v>
      </c>
      <c r="AG865" t="s">
        <v>5851</v>
      </c>
      <c r="AH865" t="s">
        <v>2191</v>
      </c>
      <c r="AI865" t="s">
        <v>5653</v>
      </c>
      <c r="AJ865" t="s">
        <v>31</v>
      </c>
      <c r="AK865" t="s">
        <v>29</v>
      </c>
      <c r="AL865" t="s">
        <v>717</v>
      </c>
      <c r="AM865" t="s">
        <v>5654</v>
      </c>
      <c r="AN865" t="s">
        <v>717</v>
      </c>
    </row>
    <row r="866" spans="1:40" hidden="1">
      <c r="A866">
        <v>864</v>
      </c>
      <c r="B866">
        <v>37</v>
      </c>
      <c r="C866" s="58">
        <v>44589</v>
      </c>
      <c r="D866" t="s">
        <v>27</v>
      </c>
      <c r="E866" t="s">
        <v>2581</v>
      </c>
      <c r="F866">
        <v>2</v>
      </c>
      <c r="G866">
        <v>9</v>
      </c>
      <c r="H866">
        <v>449</v>
      </c>
      <c r="I866">
        <v>1</v>
      </c>
      <c r="J866">
        <v>37.159999999999997</v>
      </c>
      <c r="K866" t="s">
        <v>15</v>
      </c>
      <c r="L866">
        <v>2831086.26</v>
      </c>
      <c r="M866">
        <v>15000</v>
      </c>
      <c r="N866">
        <v>2846086.26</v>
      </c>
      <c r="O866">
        <v>76590.050053821309</v>
      </c>
      <c r="P866">
        <v>204380</v>
      </c>
      <c r="Q866">
        <v>2641706.2599999998</v>
      </c>
      <c r="R866">
        <v>71090.050053821309</v>
      </c>
      <c r="S866" t="s">
        <v>2507</v>
      </c>
      <c r="T866" t="s">
        <v>717</v>
      </c>
      <c r="U866" t="s">
        <v>717</v>
      </c>
      <c r="V866" t="s">
        <v>717</v>
      </c>
      <c r="W866">
        <v>44588</v>
      </c>
      <c r="X866" t="s">
        <v>5852</v>
      </c>
      <c r="Y866" t="s">
        <v>6</v>
      </c>
      <c r="Z866" t="s">
        <v>11</v>
      </c>
      <c r="AA866" t="s">
        <v>717</v>
      </c>
      <c r="AB866" t="s">
        <v>2509</v>
      </c>
      <c r="AC866" t="s">
        <v>118</v>
      </c>
      <c r="AD866" t="s">
        <v>717</v>
      </c>
      <c r="AE866" t="s">
        <v>5853</v>
      </c>
      <c r="AF866" t="s">
        <v>5854</v>
      </c>
      <c r="AG866" t="s">
        <v>5855</v>
      </c>
      <c r="AH866" t="s">
        <v>2615</v>
      </c>
      <c r="AI866" t="s">
        <v>2552</v>
      </c>
      <c r="AJ866" t="s">
        <v>2569</v>
      </c>
      <c r="AK866" t="s">
        <v>63</v>
      </c>
      <c r="AL866" t="s">
        <v>717</v>
      </c>
      <c r="AM866" t="s">
        <v>10</v>
      </c>
      <c r="AN866" t="s">
        <v>717</v>
      </c>
    </row>
    <row r="867" spans="1:40" hidden="1">
      <c r="A867">
        <v>865</v>
      </c>
      <c r="B867">
        <v>38</v>
      </c>
      <c r="C867" s="58">
        <v>44589</v>
      </c>
      <c r="D867" t="s">
        <v>27</v>
      </c>
      <c r="E867" t="s">
        <v>2581</v>
      </c>
      <c r="F867">
        <v>5</v>
      </c>
      <c r="G867">
        <v>9</v>
      </c>
      <c r="H867">
        <v>452</v>
      </c>
      <c r="I867">
        <v>0</v>
      </c>
      <c r="J867">
        <v>23.63</v>
      </c>
      <c r="K867" t="s">
        <v>9</v>
      </c>
      <c r="L867">
        <v>1828595.26</v>
      </c>
      <c r="M867">
        <v>0</v>
      </c>
      <c r="N867">
        <v>1828595.26</v>
      </c>
      <c r="O867">
        <v>77384.479898434191</v>
      </c>
      <c r="P867">
        <v>0</v>
      </c>
      <c r="Q867">
        <v>1828595.26</v>
      </c>
      <c r="R867">
        <v>77384.479898434191</v>
      </c>
      <c r="S867" t="s">
        <v>65</v>
      </c>
      <c r="T867" t="s">
        <v>717</v>
      </c>
      <c r="U867" t="s">
        <v>717</v>
      </c>
      <c r="V867" t="s">
        <v>717</v>
      </c>
      <c r="W867">
        <v>44589</v>
      </c>
      <c r="X867" t="s">
        <v>5856</v>
      </c>
      <c r="Y867" t="s">
        <v>6</v>
      </c>
      <c r="Z867" t="s">
        <v>17</v>
      </c>
      <c r="AA867" t="s">
        <v>717</v>
      </c>
      <c r="AB867" t="s">
        <v>2509</v>
      </c>
      <c r="AC867" t="s">
        <v>2571</v>
      </c>
      <c r="AD867" t="s">
        <v>717</v>
      </c>
      <c r="AE867" t="s">
        <v>5857</v>
      </c>
      <c r="AF867" t="s">
        <v>5858</v>
      </c>
      <c r="AG867" t="s">
        <v>5859</v>
      </c>
      <c r="AH867" t="s">
        <v>2191</v>
      </c>
      <c r="AI867" t="s">
        <v>5653</v>
      </c>
      <c r="AJ867" t="s">
        <v>2940</v>
      </c>
      <c r="AK867" t="s">
        <v>29</v>
      </c>
      <c r="AL867" t="s">
        <v>575</v>
      </c>
      <c r="AM867" t="s">
        <v>5654</v>
      </c>
      <c r="AN867" t="s">
        <v>717</v>
      </c>
    </row>
    <row r="868" spans="1:40" hidden="1">
      <c r="A868">
        <v>866</v>
      </c>
      <c r="B868">
        <v>39</v>
      </c>
      <c r="C868" s="58">
        <v>44589</v>
      </c>
      <c r="D868" t="s">
        <v>27</v>
      </c>
      <c r="E868" t="s">
        <v>4409</v>
      </c>
      <c r="F868">
        <v>8</v>
      </c>
      <c r="G868">
        <v>16</v>
      </c>
      <c r="H868">
        <v>631</v>
      </c>
      <c r="I868">
        <v>2</v>
      </c>
      <c r="J868">
        <v>55.8</v>
      </c>
      <c r="K868" t="s">
        <v>15</v>
      </c>
      <c r="L868">
        <v>3879568.66</v>
      </c>
      <c r="M868">
        <v>0</v>
      </c>
      <c r="N868">
        <v>3879568.66</v>
      </c>
      <c r="O868">
        <v>69526.320071684589</v>
      </c>
      <c r="P868">
        <v>306900</v>
      </c>
      <c r="Q868">
        <v>3572668.66</v>
      </c>
      <c r="R868">
        <v>64026.320071684597</v>
      </c>
      <c r="S868" t="s">
        <v>65</v>
      </c>
      <c r="T868" t="s">
        <v>717</v>
      </c>
      <c r="U868" t="s">
        <v>717</v>
      </c>
      <c r="V868" t="s">
        <v>4131</v>
      </c>
      <c r="W868">
        <v>44582</v>
      </c>
      <c r="X868" t="s">
        <v>5860</v>
      </c>
      <c r="Y868" t="s">
        <v>6</v>
      </c>
      <c r="Z868" t="s">
        <v>17</v>
      </c>
      <c r="AA868" t="s">
        <v>717</v>
      </c>
      <c r="AB868" t="s">
        <v>2509</v>
      </c>
      <c r="AC868" t="s">
        <v>2571</v>
      </c>
      <c r="AD868" t="s">
        <v>717</v>
      </c>
      <c r="AE868" t="s">
        <v>5861</v>
      </c>
      <c r="AF868" t="s">
        <v>5862</v>
      </c>
      <c r="AG868" t="s">
        <v>717</v>
      </c>
      <c r="AH868" t="s">
        <v>2552</v>
      </c>
      <c r="AI868" t="s">
        <v>2547</v>
      </c>
      <c r="AJ868" t="s">
        <v>2514</v>
      </c>
      <c r="AK868" t="s">
        <v>471</v>
      </c>
      <c r="AL868" t="s">
        <v>16</v>
      </c>
      <c r="AM868" t="s">
        <v>10</v>
      </c>
      <c r="AN868" t="s">
        <v>717</v>
      </c>
    </row>
    <row r="869" spans="1:40" hidden="1">
      <c r="A869">
        <v>867</v>
      </c>
      <c r="B869">
        <v>40</v>
      </c>
      <c r="C869" s="58">
        <v>44590</v>
      </c>
      <c r="D869" t="s">
        <v>27</v>
      </c>
      <c r="E869" t="s">
        <v>2515</v>
      </c>
      <c r="F869">
        <v>9</v>
      </c>
      <c r="G869">
        <v>8</v>
      </c>
      <c r="H869">
        <v>63</v>
      </c>
      <c r="I869">
        <v>1</v>
      </c>
      <c r="J869">
        <v>37.94</v>
      </c>
      <c r="K869" t="s">
        <v>9</v>
      </c>
      <c r="L869">
        <v>2569774.86</v>
      </c>
      <c r="M869">
        <v>15000</v>
      </c>
      <c r="N869">
        <v>2584774.86</v>
      </c>
      <c r="O869">
        <v>68127.96151818661</v>
      </c>
      <c r="P869">
        <v>0</v>
      </c>
      <c r="Q869">
        <v>2584774.86</v>
      </c>
      <c r="R869">
        <v>68127.96151818661</v>
      </c>
      <c r="S869" t="s">
        <v>2507</v>
      </c>
      <c r="T869" t="s">
        <v>717</v>
      </c>
      <c r="U869" t="s">
        <v>717</v>
      </c>
      <c r="V869" t="s">
        <v>717</v>
      </c>
      <c r="W869">
        <v>44586</v>
      </c>
      <c r="X869" t="s">
        <v>5863</v>
      </c>
      <c r="Y869" t="s">
        <v>6</v>
      </c>
      <c r="Z869" t="s">
        <v>11</v>
      </c>
      <c r="AA869" t="s">
        <v>717</v>
      </c>
      <c r="AB869" t="s">
        <v>2509</v>
      </c>
      <c r="AC869" t="s">
        <v>118</v>
      </c>
      <c r="AD869" t="s">
        <v>717</v>
      </c>
      <c r="AE869" t="s">
        <v>5630</v>
      </c>
      <c r="AF869" t="s">
        <v>5864</v>
      </c>
      <c r="AG869" t="s">
        <v>5632</v>
      </c>
      <c r="AH869" t="s">
        <v>2615</v>
      </c>
      <c r="AI869" t="s">
        <v>2600</v>
      </c>
      <c r="AJ869" t="s">
        <v>3921</v>
      </c>
      <c r="AK869" t="s">
        <v>63</v>
      </c>
      <c r="AL869" t="s">
        <v>717</v>
      </c>
      <c r="AM869" t="s">
        <v>10</v>
      </c>
      <c r="AN869" t="s">
        <v>717</v>
      </c>
    </row>
    <row r="870" spans="1:40" hidden="1">
      <c r="A870">
        <v>868</v>
      </c>
      <c r="B870">
        <v>41</v>
      </c>
      <c r="C870" s="58">
        <v>44592</v>
      </c>
      <c r="D870" t="s">
        <v>27</v>
      </c>
      <c r="E870" t="s">
        <v>2581</v>
      </c>
      <c r="F870">
        <v>5</v>
      </c>
      <c r="G870">
        <v>10</v>
      </c>
      <c r="H870">
        <v>460</v>
      </c>
      <c r="I870">
        <v>0</v>
      </c>
      <c r="J870">
        <v>23.63</v>
      </c>
      <c r="K870" t="s">
        <v>9</v>
      </c>
      <c r="L870">
        <v>1828595.26</v>
      </c>
      <c r="M870">
        <v>0</v>
      </c>
      <c r="N870">
        <v>1828595.26</v>
      </c>
      <c r="O870">
        <v>77384.479898434191</v>
      </c>
      <c r="P870">
        <v>0</v>
      </c>
      <c r="Q870">
        <v>1828595.26</v>
      </c>
      <c r="R870">
        <v>77384.479898434191</v>
      </c>
      <c r="S870" t="s">
        <v>65</v>
      </c>
      <c r="T870" t="s">
        <v>717</v>
      </c>
      <c r="U870" t="s">
        <v>717</v>
      </c>
      <c r="V870" t="s">
        <v>717</v>
      </c>
      <c r="W870">
        <v>44582</v>
      </c>
      <c r="X870" t="s">
        <v>5865</v>
      </c>
      <c r="Y870" t="s">
        <v>6</v>
      </c>
      <c r="Z870" t="s">
        <v>17</v>
      </c>
      <c r="AA870" t="s">
        <v>717</v>
      </c>
      <c r="AB870" t="s">
        <v>2509</v>
      </c>
      <c r="AC870" t="s">
        <v>2571</v>
      </c>
      <c r="AD870" t="s">
        <v>717</v>
      </c>
      <c r="AE870" t="s">
        <v>5866</v>
      </c>
      <c r="AF870" t="s">
        <v>5867</v>
      </c>
      <c r="AG870" t="s">
        <v>5868</v>
      </c>
      <c r="AH870" t="s">
        <v>2191</v>
      </c>
      <c r="AI870" t="s">
        <v>5653</v>
      </c>
      <c r="AJ870" t="s">
        <v>2514</v>
      </c>
      <c r="AK870" t="s">
        <v>29</v>
      </c>
      <c r="AL870" t="s">
        <v>575</v>
      </c>
      <c r="AM870" t="s">
        <v>5654</v>
      </c>
      <c r="AN870" t="s">
        <v>717</v>
      </c>
    </row>
    <row r="871" spans="1:40" hidden="1">
      <c r="A871">
        <v>869</v>
      </c>
      <c r="B871">
        <v>42</v>
      </c>
      <c r="C871" s="58">
        <v>44592</v>
      </c>
      <c r="D871" t="s">
        <v>27</v>
      </c>
      <c r="E871" t="s">
        <v>2515</v>
      </c>
      <c r="F871">
        <v>3</v>
      </c>
      <c r="G871">
        <v>12</v>
      </c>
      <c r="H871">
        <v>93</v>
      </c>
      <c r="I871">
        <v>1</v>
      </c>
      <c r="J871">
        <v>41.06</v>
      </c>
      <c r="K871" t="s">
        <v>9</v>
      </c>
      <c r="L871">
        <v>2962012.02</v>
      </c>
      <c r="M871">
        <v>0</v>
      </c>
      <c r="N871">
        <v>2962012.02</v>
      </c>
      <c r="O871">
        <v>72138.626887481732</v>
      </c>
      <c r="P871">
        <v>0</v>
      </c>
      <c r="Q871">
        <v>2962012.02</v>
      </c>
      <c r="R871">
        <v>72138.626887481732</v>
      </c>
      <c r="S871" t="s">
        <v>130</v>
      </c>
      <c r="T871" t="s">
        <v>2941</v>
      </c>
      <c r="U871">
        <v>29919.31</v>
      </c>
      <c r="V871" t="s">
        <v>717</v>
      </c>
      <c r="W871">
        <v>44588</v>
      </c>
      <c r="X871" t="s">
        <v>5869</v>
      </c>
      <c r="Y871" t="s">
        <v>6</v>
      </c>
      <c r="Z871" t="s">
        <v>17</v>
      </c>
      <c r="AA871" t="s">
        <v>717</v>
      </c>
      <c r="AB871" t="s">
        <v>2509</v>
      </c>
      <c r="AC871" t="s">
        <v>118</v>
      </c>
      <c r="AD871" t="s">
        <v>717</v>
      </c>
      <c r="AE871" t="s">
        <v>5870</v>
      </c>
      <c r="AF871" t="s">
        <v>5871</v>
      </c>
      <c r="AG871" t="s">
        <v>5872</v>
      </c>
      <c r="AH871" t="s">
        <v>2615</v>
      </c>
      <c r="AI871" t="s">
        <v>2552</v>
      </c>
      <c r="AJ871" t="s">
        <v>2569</v>
      </c>
      <c r="AK871" t="s">
        <v>20</v>
      </c>
      <c r="AL871" t="s">
        <v>717</v>
      </c>
      <c r="AM871" t="s">
        <v>10</v>
      </c>
      <c r="AN871" t="s">
        <v>717</v>
      </c>
    </row>
    <row r="872" spans="1:40" hidden="1">
      <c r="A872">
        <v>870</v>
      </c>
      <c r="B872">
        <v>43</v>
      </c>
      <c r="C872" s="58">
        <v>44592</v>
      </c>
      <c r="D872" t="s">
        <v>121</v>
      </c>
      <c r="E872" t="s">
        <v>2515</v>
      </c>
      <c r="F872">
        <v>5</v>
      </c>
      <c r="G872">
        <v>11</v>
      </c>
      <c r="H872">
        <v>68</v>
      </c>
      <c r="I872">
        <v>1</v>
      </c>
      <c r="J872">
        <v>36.42</v>
      </c>
      <c r="K872" t="s">
        <v>15</v>
      </c>
      <c r="L872">
        <v>2861571.88</v>
      </c>
      <c r="M872">
        <v>0</v>
      </c>
      <c r="N872">
        <v>2861571.88</v>
      </c>
      <c r="O872">
        <v>78571.440966501919</v>
      </c>
      <c r="P872">
        <v>0</v>
      </c>
      <c r="Q872">
        <v>2861571.88</v>
      </c>
      <c r="R872">
        <v>78571.440966501919</v>
      </c>
      <c r="S872" t="s">
        <v>65</v>
      </c>
      <c r="T872" t="s">
        <v>5443</v>
      </c>
      <c r="U872">
        <v>200310</v>
      </c>
      <c r="V872" t="s">
        <v>717</v>
      </c>
      <c r="W872">
        <v>44588</v>
      </c>
      <c r="X872" t="s">
        <v>5873</v>
      </c>
      <c r="Y872" t="s">
        <v>6</v>
      </c>
      <c r="Z872" t="s">
        <v>17</v>
      </c>
      <c r="AA872" t="s">
        <v>717</v>
      </c>
      <c r="AB872" t="s">
        <v>2509</v>
      </c>
      <c r="AC872" t="s">
        <v>2571</v>
      </c>
      <c r="AD872" t="s">
        <v>717</v>
      </c>
      <c r="AE872" t="s">
        <v>5874</v>
      </c>
      <c r="AF872" t="s">
        <v>5875</v>
      </c>
      <c r="AG872" t="s">
        <v>5876</v>
      </c>
      <c r="AH872" t="s">
        <v>2615</v>
      </c>
      <c r="AI872" t="s">
        <v>2877</v>
      </c>
      <c r="AJ872" t="s">
        <v>3098</v>
      </c>
      <c r="AK872" t="s">
        <v>73</v>
      </c>
      <c r="AL872" t="s">
        <v>16</v>
      </c>
      <c r="AM872" t="s">
        <v>10</v>
      </c>
      <c r="AN872" t="s">
        <v>717</v>
      </c>
    </row>
    <row r="873" spans="1:40" hidden="1">
      <c r="A873">
        <v>871</v>
      </c>
      <c r="B873">
        <v>44</v>
      </c>
      <c r="C873" s="58">
        <v>44592</v>
      </c>
      <c r="D873" t="s">
        <v>121</v>
      </c>
      <c r="E873" t="s">
        <v>2515</v>
      </c>
      <c r="F873">
        <v>4</v>
      </c>
      <c r="G873">
        <v>18</v>
      </c>
      <c r="H873">
        <v>116</v>
      </c>
      <c r="I873">
        <v>1</v>
      </c>
      <c r="J873">
        <v>36.86</v>
      </c>
      <c r="K873" t="s">
        <v>9</v>
      </c>
      <c r="L873">
        <v>2896143.32</v>
      </c>
      <c r="M873">
        <v>0</v>
      </c>
      <c r="N873">
        <v>2896143.32</v>
      </c>
      <c r="O873">
        <v>78571.441128594684</v>
      </c>
      <c r="P873">
        <v>0</v>
      </c>
      <c r="Q873">
        <v>2896143.32</v>
      </c>
      <c r="R873">
        <v>78571.441128594684</v>
      </c>
      <c r="S873" t="s">
        <v>65</v>
      </c>
      <c r="T873" t="s">
        <v>717</v>
      </c>
      <c r="U873" t="s">
        <v>717</v>
      </c>
      <c r="V873" t="s">
        <v>717</v>
      </c>
      <c r="W873">
        <v>44588</v>
      </c>
      <c r="X873" t="s">
        <v>5877</v>
      </c>
      <c r="Y873" t="s">
        <v>6</v>
      </c>
      <c r="Z873" t="s">
        <v>17</v>
      </c>
      <c r="AA873" t="s">
        <v>717</v>
      </c>
      <c r="AB873" t="s">
        <v>2509</v>
      </c>
      <c r="AC873" t="s">
        <v>2571</v>
      </c>
      <c r="AD873" t="s">
        <v>717</v>
      </c>
      <c r="AE873" t="s">
        <v>5878</v>
      </c>
      <c r="AF873" t="s">
        <v>5879</v>
      </c>
      <c r="AG873" t="s">
        <v>5880</v>
      </c>
      <c r="AH873" t="s">
        <v>2191</v>
      </c>
      <c r="AI873" t="s">
        <v>2552</v>
      </c>
      <c r="AJ873" t="s">
        <v>2514</v>
      </c>
      <c r="AK873" t="s">
        <v>63</v>
      </c>
      <c r="AL873" t="s">
        <v>16</v>
      </c>
      <c r="AM873" t="s">
        <v>10</v>
      </c>
      <c r="AN873" t="s">
        <v>717</v>
      </c>
    </row>
    <row r="874" spans="1:40" hidden="1">
      <c r="A874">
        <v>872</v>
      </c>
      <c r="B874">
        <v>45</v>
      </c>
      <c r="C874" s="58">
        <v>44592</v>
      </c>
      <c r="D874" t="s">
        <v>121</v>
      </c>
      <c r="E874" t="s">
        <v>2515</v>
      </c>
      <c r="F874">
        <v>4</v>
      </c>
      <c r="G874">
        <v>24</v>
      </c>
      <c r="H874">
        <v>158</v>
      </c>
      <c r="I874">
        <v>1</v>
      </c>
      <c r="J874">
        <v>36.86</v>
      </c>
      <c r="K874" t="s">
        <v>15</v>
      </c>
      <c r="L874">
        <v>3263543.87</v>
      </c>
      <c r="M874">
        <v>0</v>
      </c>
      <c r="N874">
        <v>3263543.87</v>
      </c>
      <c r="O874">
        <v>88538.90043407488</v>
      </c>
      <c r="P874">
        <v>202730</v>
      </c>
      <c r="Q874">
        <v>3060813.87</v>
      </c>
      <c r="R874">
        <v>83038.90043407488</v>
      </c>
      <c r="S874" t="s">
        <v>65</v>
      </c>
      <c r="T874" t="s">
        <v>717</v>
      </c>
      <c r="U874" t="s">
        <v>717</v>
      </c>
      <c r="V874" t="s">
        <v>4131</v>
      </c>
      <c r="W874">
        <v>44588</v>
      </c>
      <c r="X874" t="s">
        <v>5881</v>
      </c>
      <c r="Y874" t="s">
        <v>6</v>
      </c>
      <c r="Z874" t="s">
        <v>17</v>
      </c>
      <c r="AA874" t="s">
        <v>717</v>
      </c>
      <c r="AB874" t="s">
        <v>2509</v>
      </c>
      <c r="AC874" t="s">
        <v>2571</v>
      </c>
      <c r="AD874" t="s">
        <v>717</v>
      </c>
      <c r="AE874" t="s">
        <v>5882</v>
      </c>
      <c r="AF874" t="s">
        <v>5883</v>
      </c>
      <c r="AG874" t="s">
        <v>5884</v>
      </c>
      <c r="AH874" t="s">
        <v>2615</v>
      </c>
      <c r="AI874" t="s">
        <v>2847</v>
      </c>
      <c r="AJ874" t="s">
        <v>2514</v>
      </c>
      <c r="AK874" t="s">
        <v>77</v>
      </c>
      <c r="AL874" t="s">
        <v>16</v>
      </c>
      <c r="AM874" t="s">
        <v>10</v>
      </c>
      <c r="AN874" t="s">
        <v>717</v>
      </c>
    </row>
    <row r="875" spans="1:40" hidden="1">
      <c r="A875">
        <v>873</v>
      </c>
      <c r="B875">
        <v>46</v>
      </c>
      <c r="C875" s="58">
        <v>44592</v>
      </c>
      <c r="D875" t="s">
        <v>27</v>
      </c>
      <c r="E875" t="s">
        <v>2581</v>
      </c>
      <c r="F875">
        <v>5</v>
      </c>
      <c r="G875">
        <v>6</v>
      </c>
      <c r="H875">
        <v>428</v>
      </c>
      <c r="I875">
        <v>0</v>
      </c>
      <c r="J875">
        <v>23.63</v>
      </c>
      <c r="K875" t="s">
        <v>9</v>
      </c>
      <c r="L875">
        <v>1828595.26</v>
      </c>
      <c r="M875">
        <v>0</v>
      </c>
      <c r="N875">
        <v>1828595.26</v>
      </c>
      <c r="O875">
        <v>77384.479898434191</v>
      </c>
      <c r="P875">
        <v>0</v>
      </c>
      <c r="Q875">
        <v>1828595.26</v>
      </c>
      <c r="R875">
        <v>77384.479898434191</v>
      </c>
      <c r="S875" t="s">
        <v>2507</v>
      </c>
      <c r="T875" t="s">
        <v>717</v>
      </c>
      <c r="U875" t="s">
        <v>717</v>
      </c>
      <c r="V875" t="s">
        <v>717</v>
      </c>
      <c r="W875">
        <v>44589</v>
      </c>
      <c r="X875" t="s">
        <v>5885</v>
      </c>
      <c r="Y875" t="s">
        <v>6</v>
      </c>
      <c r="Z875" t="s">
        <v>11</v>
      </c>
      <c r="AA875" t="s">
        <v>717</v>
      </c>
      <c r="AB875" t="s">
        <v>2509</v>
      </c>
      <c r="AC875" t="s">
        <v>118</v>
      </c>
      <c r="AD875" t="s">
        <v>717</v>
      </c>
      <c r="AE875" t="s">
        <v>5886</v>
      </c>
      <c r="AF875" t="s">
        <v>5887</v>
      </c>
      <c r="AG875" t="s">
        <v>5888</v>
      </c>
      <c r="AH875" t="s">
        <v>2191</v>
      </c>
      <c r="AI875" t="s">
        <v>5653</v>
      </c>
      <c r="AJ875" t="s">
        <v>31</v>
      </c>
      <c r="AK875" t="s">
        <v>29</v>
      </c>
      <c r="AL875" t="s">
        <v>717</v>
      </c>
      <c r="AM875" t="s">
        <v>5654</v>
      </c>
      <c r="AN875" t="s">
        <v>717</v>
      </c>
    </row>
    <row r="876" spans="1:40" hidden="1">
      <c r="A876">
        <v>874</v>
      </c>
      <c r="B876">
        <v>47</v>
      </c>
      <c r="C876" s="58">
        <v>44592</v>
      </c>
      <c r="D876" t="s">
        <v>27</v>
      </c>
      <c r="E876" t="s">
        <v>5456</v>
      </c>
      <c r="F876">
        <v>7</v>
      </c>
      <c r="G876">
        <v>5</v>
      </c>
      <c r="H876">
        <v>864</v>
      </c>
      <c r="I876">
        <v>2</v>
      </c>
      <c r="J876">
        <v>62.69</v>
      </c>
      <c r="K876" t="s">
        <v>9</v>
      </c>
      <c r="L876">
        <v>4122646.1</v>
      </c>
      <c r="M876">
        <v>0</v>
      </c>
      <c r="N876">
        <v>4122646.1</v>
      </c>
      <c r="O876">
        <v>65762.419843675234</v>
      </c>
      <c r="P876">
        <v>0</v>
      </c>
      <c r="Q876">
        <v>4122646.1</v>
      </c>
      <c r="R876">
        <v>65762.419843675234</v>
      </c>
      <c r="S876" t="s">
        <v>65</v>
      </c>
      <c r="T876" t="s">
        <v>2941</v>
      </c>
      <c r="U876">
        <v>84135.63</v>
      </c>
      <c r="V876" t="s">
        <v>4131</v>
      </c>
      <c r="W876">
        <v>44589</v>
      </c>
      <c r="X876" t="s">
        <v>5889</v>
      </c>
      <c r="Y876" t="s">
        <v>6</v>
      </c>
      <c r="Z876" t="s">
        <v>17</v>
      </c>
      <c r="AA876" t="s">
        <v>717</v>
      </c>
      <c r="AB876" t="s">
        <v>2509</v>
      </c>
      <c r="AC876" t="s">
        <v>2571</v>
      </c>
      <c r="AD876" t="s">
        <v>717</v>
      </c>
      <c r="AE876" t="s">
        <v>5890</v>
      </c>
      <c r="AF876" t="s">
        <v>5891</v>
      </c>
      <c r="AG876" t="s">
        <v>5892</v>
      </c>
      <c r="AH876" t="s">
        <v>2191</v>
      </c>
      <c r="AI876" t="s">
        <v>2706</v>
      </c>
      <c r="AJ876" t="s">
        <v>5785</v>
      </c>
      <c r="AK876" t="s">
        <v>20</v>
      </c>
      <c r="AL876" t="s">
        <v>16</v>
      </c>
      <c r="AM876" t="s">
        <v>10</v>
      </c>
      <c r="AN876" t="s">
        <v>717</v>
      </c>
    </row>
    <row r="877" spans="1:40" hidden="1">
      <c r="A877">
        <v>875</v>
      </c>
      <c r="B877">
        <v>48</v>
      </c>
      <c r="C877" s="58">
        <v>44592</v>
      </c>
      <c r="D877" t="s">
        <v>121</v>
      </c>
      <c r="E877" t="s">
        <v>2515</v>
      </c>
      <c r="F877">
        <v>6</v>
      </c>
      <c r="G877">
        <v>8</v>
      </c>
      <c r="H877">
        <v>48</v>
      </c>
      <c r="I877">
        <v>2</v>
      </c>
      <c r="J877">
        <v>59.96</v>
      </c>
      <c r="K877" t="s">
        <v>15</v>
      </c>
      <c r="L877">
        <v>4704735.68</v>
      </c>
      <c r="M877">
        <v>0</v>
      </c>
      <c r="N877">
        <v>4704735.68</v>
      </c>
      <c r="O877">
        <v>78464.571047364909</v>
      </c>
      <c r="P877">
        <v>329780</v>
      </c>
      <c r="Q877">
        <v>4374955.68</v>
      </c>
      <c r="R877">
        <v>72964.571047364909</v>
      </c>
      <c r="S877" t="s">
        <v>65</v>
      </c>
      <c r="T877" t="s">
        <v>2941</v>
      </c>
      <c r="U877">
        <v>89284.809800000003</v>
      </c>
      <c r="V877" t="s">
        <v>4131</v>
      </c>
      <c r="W877">
        <v>44589</v>
      </c>
      <c r="X877" t="s">
        <v>5893</v>
      </c>
      <c r="Y877" t="s">
        <v>6</v>
      </c>
      <c r="Z877" t="s">
        <v>17</v>
      </c>
      <c r="AA877" t="s">
        <v>717</v>
      </c>
      <c r="AB877" t="s">
        <v>2509</v>
      </c>
      <c r="AC877" t="s">
        <v>2571</v>
      </c>
      <c r="AD877" t="s">
        <v>717</v>
      </c>
      <c r="AE877" t="s">
        <v>5894</v>
      </c>
      <c r="AF877" t="s">
        <v>5895</v>
      </c>
      <c r="AG877" t="s">
        <v>5896</v>
      </c>
      <c r="AH877" t="s">
        <v>2191</v>
      </c>
      <c r="AI877" t="s">
        <v>2706</v>
      </c>
      <c r="AJ877" t="s">
        <v>2662</v>
      </c>
      <c r="AK877" t="s">
        <v>20</v>
      </c>
      <c r="AL877" t="s">
        <v>16</v>
      </c>
      <c r="AM877" t="s">
        <v>10</v>
      </c>
      <c r="AN877" t="s">
        <v>717</v>
      </c>
    </row>
    <row r="878" spans="1:40" hidden="1">
      <c r="A878">
        <v>876</v>
      </c>
      <c r="B878">
        <v>49</v>
      </c>
      <c r="C878" s="58">
        <v>44592</v>
      </c>
      <c r="D878" t="s">
        <v>27</v>
      </c>
      <c r="E878" t="s">
        <v>2506</v>
      </c>
      <c r="F878">
        <v>2</v>
      </c>
      <c r="G878">
        <v>10</v>
      </c>
      <c r="H878">
        <v>273</v>
      </c>
      <c r="I878">
        <v>1</v>
      </c>
      <c r="J878">
        <v>37.159999999999997</v>
      </c>
      <c r="K878" t="s">
        <v>9</v>
      </c>
      <c r="L878">
        <v>2641706.2599999998</v>
      </c>
      <c r="M878">
        <v>0</v>
      </c>
      <c r="N878">
        <v>2641706.2599999998</v>
      </c>
      <c r="O878">
        <v>71090.050053821309</v>
      </c>
      <c r="P878">
        <v>0</v>
      </c>
      <c r="Q878">
        <v>2641706.2599999998</v>
      </c>
      <c r="R878">
        <v>71090.050053821309</v>
      </c>
      <c r="S878" t="s">
        <v>2507</v>
      </c>
      <c r="T878" t="s">
        <v>717</v>
      </c>
      <c r="U878" t="s">
        <v>717</v>
      </c>
      <c r="V878" t="s">
        <v>717</v>
      </c>
      <c r="W878">
        <v>44592</v>
      </c>
      <c r="X878" t="s">
        <v>5897</v>
      </c>
      <c r="Y878" t="s">
        <v>6</v>
      </c>
      <c r="Z878" t="s">
        <v>11</v>
      </c>
      <c r="AA878" t="s">
        <v>717</v>
      </c>
      <c r="AB878" t="s">
        <v>2509</v>
      </c>
      <c r="AC878" t="s">
        <v>118</v>
      </c>
      <c r="AD878" t="s">
        <v>717</v>
      </c>
      <c r="AE878" t="s">
        <v>5898</v>
      </c>
      <c r="AF878" t="s">
        <v>5899</v>
      </c>
      <c r="AG878" t="s">
        <v>5900</v>
      </c>
      <c r="AH878" t="s">
        <v>2191</v>
      </c>
      <c r="AI878" t="s">
        <v>5653</v>
      </c>
      <c r="AJ878" t="s">
        <v>31</v>
      </c>
      <c r="AK878" t="s">
        <v>63</v>
      </c>
      <c r="AL878" t="s">
        <v>717</v>
      </c>
      <c r="AM878" t="s">
        <v>5654</v>
      </c>
      <c r="AN878" t="s">
        <v>717</v>
      </c>
    </row>
    <row r="879" spans="1:40" hidden="1">
      <c r="A879">
        <v>877</v>
      </c>
      <c r="B879">
        <v>50</v>
      </c>
      <c r="C879" s="58">
        <v>44592</v>
      </c>
      <c r="D879" t="s">
        <v>121</v>
      </c>
      <c r="E879" t="s">
        <v>2515</v>
      </c>
      <c r="F879">
        <v>6</v>
      </c>
      <c r="G879">
        <v>14</v>
      </c>
      <c r="H879">
        <v>90</v>
      </c>
      <c r="I879">
        <v>2</v>
      </c>
      <c r="J879">
        <v>59.96</v>
      </c>
      <c r="K879" t="s">
        <v>15</v>
      </c>
      <c r="L879">
        <v>4464240.49</v>
      </c>
      <c r="M879">
        <v>0</v>
      </c>
      <c r="N879">
        <v>4464240.49</v>
      </c>
      <c r="O879">
        <v>74453.643929286191</v>
      </c>
      <c r="P879">
        <v>0</v>
      </c>
      <c r="Q879">
        <v>4464240.49</v>
      </c>
      <c r="R879">
        <v>74453.643929286191</v>
      </c>
      <c r="S879" t="s">
        <v>65</v>
      </c>
      <c r="T879" t="s">
        <v>5443</v>
      </c>
      <c r="U879">
        <v>329780</v>
      </c>
      <c r="V879" t="s">
        <v>4131</v>
      </c>
      <c r="W879">
        <v>44588</v>
      </c>
      <c r="X879" t="s">
        <v>5901</v>
      </c>
      <c r="Y879" t="s">
        <v>6</v>
      </c>
      <c r="Z879" t="s">
        <v>17</v>
      </c>
      <c r="AA879" t="s">
        <v>717</v>
      </c>
      <c r="AB879" t="s">
        <v>2509</v>
      </c>
      <c r="AC879" t="s">
        <v>2571</v>
      </c>
      <c r="AD879" t="s">
        <v>717</v>
      </c>
      <c r="AE879" t="s">
        <v>5902</v>
      </c>
      <c r="AF879" t="s">
        <v>5903</v>
      </c>
      <c r="AG879" t="s">
        <v>5904</v>
      </c>
      <c r="AH879" t="s">
        <v>2552</v>
      </c>
      <c r="AI879" t="s">
        <v>2877</v>
      </c>
      <c r="AJ879" t="s">
        <v>2895</v>
      </c>
      <c r="AK879" t="s">
        <v>471</v>
      </c>
      <c r="AL879" t="s">
        <v>16</v>
      </c>
      <c r="AM879" t="s">
        <v>10</v>
      </c>
      <c r="AN879" t="s">
        <v>717</v>
      </c>
    </row>
    <row r="880" spans="1:40" hidden="1">
      <c r="A880">
        <v>878</v>
      </c>
      <c r="B880">
        <v>1</v>
      </c>
      <c r="C880" s="58">
        <v>44593</v>
      </c>
      <c r="D880" t="s">
        <v>121</v>
      </c>
      <c r="E880" t="s">
        <v>2506</v>
      </c>
      <c r="F880">
        <v>10</v>
      </c>
      <c r="G880">
        <v>5</v>
      </c>
      <c r="H880">
        <v>204</v>
      </c>
      <c r="I880">
        <v>0</v>
      </c>
      <c r="J880">
        <v>25.91</v>
      </c>
      <c r="K880" t="s">
        <v>15</v>
      </c>
      <c r="L880">
        <v>2396913.86</v>
      </c>
      <c r="M880">
        <v>0</v>
      </c>
      <c r="N880">
        <v>2396913.86</v>
      </c>
      <c r="O880">
        <v>92509.218834426851</v>
      </c>
      <c r="P880">
        <v>142505</v>
      </c>
      <c r="Q880">
        <v>2254408.86</v>
      </c>
      <c r="R880">
        <v>87009.218834426851</v>
      </c>
      <c r="S880" t="s">
        <v>65</v>
      </c>
      <c r="T880" t="s">
        <v>717</v>
      </c>
      <c r="U880" t="s">
        <v>717</v>
      </c>
      <c r="V880" t="s">
        <v>4131</v>
      </c>
      <c r="W880">
        <v>44590</v>
      </c>
      <c r="X880" t="s">
        <v>5905</v>
      </c>
      <c r="Y880" t="s">
        <v>6</v>
      </c>
      <c r="Z880" t="s">
        <v>17</v>
      </c>
      <c r="AA880" t="s">
        <v>717</v>
      </c>
      <c r="AB880" t="s">
        <v>2509</v>
      </c>
      <c r="AC880" t="s">
        <v>2571</v>
      </c>
      <c r="AD880" t="s">
        <v>717</v>
      </c>
      <c r="AE880" t="s">
        <v>5906</v>
      </c>
      <c r="AF880" t="s">
        <v>5907</v>
      </c>
      <c r="AG880" t="s">
        <v>5908</v>
      </c>
      <c r="AH880" t="s">
        <v>2552</v>
      </c>
      <c r="AI880" t="s">
        <v>2547</v>
      </c>
      <c r="AJ880" t="s">
        <v>2855</v>
      </c>
      <c r="AK880" t="s">
        <v>73</v>
      </c>
      <c r="AL880" t="s">
        <v>575</v>
      </c>
      <c r="AM880" t="s">
        <v>10</v>
      </c>
      <c r="AN880" t="s">
        <v>717</v>
      </c>
    </row>
    <row r="881" spans="1:40" hidden="1">
      <c r="A881">
        <v>879</v>
      </c>
      <c r="B881">
        <v>2</v>
      </c>
      <c r="C881" s="58">
        <v>44594</v>
      </c>
      <c r="D881" t="s">
        <v>121</v>
      </c>
      <c r="E881" t="s">
        <v>2506</v>
      </c>
      <c r="F881">
        <v>2</v>
      </c>
      <c r="G881">
        <v>12</v>
      </c>
      <c r="H881">
        <v>273</v>
      </c>
      <c r="I881">
        <v>1</v>
      </c>
      <c r="J881">
        <v>38.22</v>
      </c>
      <c r="K881" t="s">
        <v>15</v>
      </c>
      <c r="L881">
        <v>3457261.99</v>
      </c>
      <c r="M881">
        <v>0</v>
      </c>
      <c r="N881">
        <v>3457261.99</v>
      </c>
      <c r="O881">
        <v>90456.880952380961</v>
      </c>
      <c r="P881">
        <v>210210</v>
      </c>
      <c r="Q881">
        <v>3247051.99</v>
      </c>
      <c r="R881">
        <v>84956.880952380961</v>
      </c>
      <c r="S881" t="s">
        <v>65</v>
      </c>
      <c r="T881" t="s">
        <v>717</v>
      </c>
      <c r="U881" t="s">
        <v>717</v>
      </c>
      <c r="V881" t="s">
        <v>717</v>
      </c>
      <c r="W881">
        <v>44589</v>
      </c>
      <c r="X881" t="s">
        <v>5909</v>
      </c>
      <c r="Y881" t="s">
        <v>6</v>
      </c>
      <c r="Z881" t="s">
        <v>11</v>
      </c>
      <c r="AA881" t="s">
        <v>717</v>
      </c>
      <c r="AB881" t="s">
        <v>2509</v>
      </c>
      <c r="AC881" t="s">
        <v>2558</v>
      </c>
      <c r="AD881" t="s">
        <v>717</v>
      </c>
      <c r="AE881" t="s">
        <v>5910</v>
      </c>
      <c r="AF881" t="s">
        <v>5911</v>
      </c>
      <c r="AG881" t="s">
        <v>5912</v>
      </c>
      <c r="AH881" t="s">
        <v>2616</v>
      </c>
      <c r="AI881" t="s">
        <v>2552</v>
      </c>
      <c r="AJ881" t="s">
        <v>3185</v>
      </c>
      <c r="AK881" t="s">
        <v>471</v>
      </c>
      <c r="AL881" t="s">
        <v>16</v>
      </c>
      <c r="AM881" t="s">
        <v>10</v>
      </c>
      <c r="AN881" t="s">
        <v>717</v>
      </c>
    </row>
    <row r="882" spans="1:40" hidden="1">
      <c r="A882">
        <v>880</v>
      </c>
      <c r="B882">
        <v>3</v>
      </c>
      <c r="C882" s="58">
        <v>44595</v>
      </c>
      <c r="D882" t="s">
        <v>121</v>
      </c>
      <c r="E882" t="s">
        <v>2515</v>
      </c>
      <c r="F882">
        <v>2</v>
      </c>
      <c r="G882">
        <v>11</v>
      </c>
      <c r="H882">
        <v>65</v>
      </c>
      <c r="I882">
        <v>2</v>
      </c>
      <c r="J882">
        <v>58.99</v>
      </c>
      <c r="K882" t="s">
        <v>15</v>
      </c>
      <c r="L882">
        <v>4549680.5199999996</v>
      </c>
      <c r="M882">
        <v>0</v>
      </c>
      <c r="N882">
        <v>4549680.5199999996</v>
      </c>
      <c r="O882">
        <v>77126.301407018123</v>
      </c>
      <c r="P882">
        <v>0</v>
      </c>
      <c r="Q882">
        <v>4549680.5199999996</v>
      </c>
      <c r="R882">
        <v>77126.301407018123</v>
      </c>
      <c r="S882" t="s">
        <v>65</v>
      </c>
      <c r="T882" t="s">
        <v>5443</v>
      </c>
      <c r="U882">
        <v>324445</v>
      </c>
      <c r="V882" t="s">
        <v>4131</v>
      </c>
      <c r="W882">
        <v>44592</v>
      </c>
      <c r="X882" t="s">
        <v>5913</v>
      </c>
      <c r="Y882" t="s">
        <v>6</v>
      </c>
      <c r="Z882" t="s">
        <v>17</v>
      </c>
      <c r="AA882" t="s">
        <v>717</v>
      </c>
      <c r="AB882" t="s">
        <v>2509</v>
      </c>
      <c r="AC882" t="s">
        <v>2571</v>
      </c>
      <c r="AD882" t="s">
        <v>717</v>
      </c>
      <c r="AE882" t="s">
        <v>5914</v>
      </c>
      <c r="AF882" t="s">
        <v>5915</v>
      </c>
      <c r="AG882" t="s">
        <v>5916</v>
      </c>
      <c r="AH882" t="s">
        <v>2191</v>
      </c>
      <c r="AI882" t="s">
        <v>2538</v>
      </c>
      <c r="AJ882" t="s">
        <v>2514</v>
      </c>
      <c r="AK882" t="s">
        <v>73</v>
      </c>
      <c r="AL882" t="s">
        <v>16</v>
      </c>
      <c r="AM882" t="s">
        <v>10</v>
      </c>
      <c r="AN882" t="s">
        <v>717</v>
      </c>
    </row>
    <row r="883" spans="1:40" hidden="1">
      <c r="A883">
        <v>881</v>
      </c>
      <c r="B883">
        <v>4</v>
      </c>
      <c r="C883" s="58">
        <v>44595</v>
      </c>
      <c r="D883" t="s">
        <v>27</v>
      </c>
      <c r="E883" t="s">
        <v>4409</v>
      </c>
      <c r="F883">
        <v>5</v>
      </c>
      <c r="G883">
        <v>2</v>
      </c>
      <c r="H883">
        <v>516</v>
      </c>
      <c r="I883">
        <v>0</v>
      </c>
      <c r="J883">
        <v>23.63</v>
      </c>
      <c r="K883" t="s">
        <v>25</v>
      </c>
      <c r="L883">
        <v>2096684.52</v>
      </c>
      <c r="M883">
        <v>0</v>
      </c>
      <c r="N883">
        <v>2096684.52</v>
      </c>
      <c r="O883">
        <v>88729.772323317826</v>
      </c>
      <c r="P883">
        <v>378080</v>
      </c>
      <c r="Q883">
        <v>1718604.52</v>
      </c>
      <c r="R883">
        <v>72729.772323317826</v>
      </c>
      <c r="S883" t="s">
        <v>65</v>
      </c>
      <c r="T883" t="s">
        <v>717</v>
      </c>
      <c r="U883" t="s">
        <v>717</v>
      </c>
      <c r="V883" t="s">
        <v>717</v>
      </c>
      <c r="W883">
        <v>44592</v>
      </c>
      <c r="X883" t="s">
        <v>5917</v>
      </c>
      <c r="Y883" t="s">
        <v>6</v>
      </c>
      <c r="Z883" t="s">
        <v>17</v>
      </c>
      <c r="AA883" t="s">
        <v>717</v>
      </c>
      <c r="AB883" t="s">
        <v>2509</v>
      </c>
      <c r="AC883" t="s">
        <v>2571</v>
      </c>
      <c r="AD883" t="s">
        <v>717</v>
      </c>
      <c r="AE883" t="s">
        <v>5918</v>
      </c>
      <c r="AF883" t="s">
        <v>5919</v>
      </c>
      <c r="AG883" t="s">
        <v>5920</v>
      </c>
      <c r="AH883" t="s">
        <v>2615</v>
      </c>
      <c r="AI883" t="s">
        <v>2673</v>
      </c>
      <c r="AJ883" t="s">
        <v>2569</v>
      </c>
      <c r="AK883" t="s">
        <v>73</v>
      </c>
      <c r="AL883" t="s">
        <v>16</v>
      </c>
      <c r="AM883" t="s">
        <v>10</v>
      </c>
      <c r="AN883" t="s">
        <v>717</v>
      </c>
    </row>
    <row r="884" spans="1:40" hidden="1">
      <c r="A884">
        <v>882</v>
      </c>
      <c r="B884">
        <v>5</v>
      </c>
      <c r="C884" s="58">
        <v>44595</v>
      </c>
      <c r="D884" t="s">
        <v>27</v>
      </c>
      <c r="E884" t="s">
        <v>2515</v>
      </c>
      <c r="F884">
        <v>2</v>
      </c>
      <c r="G884">
        <v>13</v>
      </c>
      <c r="H884">
        <v>101</v>
      </c>
      <c r="I884">
        <v>1</v>
      </c>
      <c r="J884">
        <v>37.94</v>
      </c>
      <c r="K884" t="s">
        <v>9</v>
      </c>
      <c r="L884">
        <v>2697156.5</v>
      </c>
      <c r="M884">
        <v>0</v>
      </c>
      <c r="N884">
        <v>2697156.5</v>
      </c>
      <c r="O884">
        <v>71090.050079072229</v>
      </c>
      <c r="P884">
        <v>0</v>
      </c>
      <c r="Q884">
        <v>2697156.5</v>
      </c>
      <c r="R884">
        <v>71090.050079072229</v>
      </c>
      <c r="S884" t="s">
        <v>65</v>
      </c>
      <c r="T884" t="s">
        <v>717</v>
      </c>
      <c r="U884" t="s">
        <v>717</v>
      </c>
      <c r="V884" t="s">
        <v>717</v>
      </c>
      <c r="W884">
        <v>44592</v>
      </c>
      <c r="X884" t="s">
        <v>5921</v>
      </c>
      <c r="Y884" t="s">
        <v>6</v>
      </c>
      <c r="Z884" t="s">
        <v>17</v>
      </c>
      <c r="AA884" t="s">
        <v>717</v>
      </c>
      <c r="AB884" t="s">
        <v>2509</v>
      </c>
      <c r="AC884" t="s">
        <v>2571</v>
      </c>
      <c r="AD884" t="s">
        <v>717</v>
      </c>
      <c r="AE884" t="s">
        <v>5922</v>
      </c>
      <c r="AF884" t="s">
        <v>5923</v>
      </c>
      <c r="AG884" t="s">
        <v>5924</v>
      </c>
      <c r="AH884" t="s">
        <v>2191</v>
      </c>
      <c r="AI884" t="s">
        <v>5653</v>
      </c>
      <c r="AJ884" t="s">
        <v>31</v>
      </c>
      <c r="AK884" t="s">
        <v>77</v>
      </c>
      <c r="AL884" t="s">
        <v>16</v>
      </c>
      <c r="AM884" t="s">
        <v>5654</v>
      </c>
      <c r="AN884" t="s">
        <v>717</v>
      </c>
    </row>
    <row r="885" spans="1:40" hidden="1">
      <c r="A885">
        <v>883</v>
      </c>
      <c r="B885">
        <v>6</v>
      </c>
      <c r="C885" s="58">
        <v>44599</v>
      </c>
      <c r="D885" t="s">
        <v>27</v>
      </c>
      <c r="E885" t="s">
        <v>4409</v>
      </c>
      <c r="F885">
        <v>3</v>
      </c>
      <c r="G885">
        <v>13</v>
      </c>
      <c r="H885">
        <v>602</v>
      </c>
      <c r="I885">
        <v>0</v>
      </c>
      <c r="J885">
        <v>23.54</v>
      </c>
      <c r="K885" t="s">
        <v>25</v>
      </c>
      <c r="L885">
        <v>2198270.66</v>
      </c>
      <c r="M885">
        <v>0</v>
      </c>
      <c r="N885">
        <v>2198270.66</v>
      </c>
      <c r="O885">
        <v>93384.480033984713</v>
      </c>
      <c r="P885">
        <v>376640</v>
      </c>
      <c r="Q885">
        <v>1821630.66</v>
      </c>
      <c r="R885">
        <v>77384.480033984713</v>
      </c>
      <c r="S885" t="s">
        <v>65</v>
      </c>
      <c r="T885" t="s">
        <v>717</v>
      </c>
      <c r="U885" t="s">
        <v>717</v>
      </c>
      <c r="V885" t="s">
        <v>717</v>
      </c>
      <c r="W885">
        <v>44587</v>
      </c>
      <c r="X885" t="s">
        <v>5925</v>
      </c>
      <c r="Y885" t="s">
        <v>6</v>
      </c>
      <c r="Z885" t="s">
        <v>11</v>
      </c>
      <c r="AA885" t="s">
        <v>717</v>
      </c>
      <c r="AB885" t="s">
        <v>2509</v>
      </c>
      <c r="AC885" t="s">
        <v>2558</v>
      </c>
      <c r="AD885" t="s">
        <v>717</v>
      </c>
      <c r="AE885" t="s">
        <v>5926</v>
      </c>
      <c r="AF885" t="s">
        <v>5927</v>
      </c>
      <c r="AG885" t="s">
        <v>5928</v>
      </c>
      <c r="AH885" t="s">
        <v>2552</v>
      </c>
      <c r="AI885" t="s">
        <v>2877</v>
      </c>
      <c r="AJ885" t="s">
        <v>3098</v>
      </c>
      <c r="AK885" t="s">
        <v>77</v>
      </c>
      <c r="AL885" t="s">
        <v>16</v>
      </c>
      <c r="AM885" t="s">
        <v>10</v>
      </c>
      <c r="AN885" t="s">
        <v>717</v>
      </c>
    </row>
    <row r="886" spans="1:40" hidden="1">
      <c r="A886">
        <v>884</v>
      </c>
      <c r="B886">
        <v>7</v>
      </c>
      <c r="C886" s="58">
        <v>44599</v>
      </c>
      <c r="D886" t="s">
        <v>27</v>
      </c>
      <c r="E886" t="s">
        <v>2515</v>
      </c>
      <c r="F886">
        <v>1</v>
      </c>
      <c r="G886">
        <v>13</v>
      </c>
      <c r="H886">
        <v>100</v>
      </c>
      <c r="I886">
        <v>3</v>
      </c>
      <c r="J886">
        <v>82.71</v>
      </c>
      <c r="K886" t="s">
        <v>15</v>
      </c>
      <c r="L886">
        <v>4912981.4400000004</v>
      </c>
      <c r="M886">
        <v>0</v>
      </c>
      <c r="N886">
        <v>4912981.4400000004</v>
      </c>
      <c r="O886">
        <v>59400.089952847309</v>
      </c>
      <c r="P886">
        <v>454905</v>
      </c>
      <c r="Q886">
        <v>4458076.4400000004</v>
      </c>
      <c r="R886">
        <v>53900.089952847309</v>
      </c>
      <c r="S886" t="s">
        <v>65</v>
      </c>
      <c r="T886" t="s">
        <v>5443</v>
      </c>
      <c r="U886">
        <v>454905</v>
      </c>
      <c r="V886" t="s">
        <v>4131</v>
      </c>
      <c r="W886">
        <v>44593</v>
      </c>
      <c r="X886" t="s">
        <v>5929</v>
      </c>
      <c r="Y886" t="s">
        <v>6</v>
      </c>
      <c r="Z886" t="s">
        <v>17</v>
      </c>
      <c r="AA886" t="s">
        <v>717</v>
      </c>
      <c r="AB886" t="s">
        <v>2509</v>
      </c>
      <c r="AC886" t="s">
        <v>2571</v>
      </c>
      <c r="AD886" t="s">
        <v>717</v>
      </c>
      <c r="AE886" t="s">
        <v>5930</v>
      </c>
      <c r="AF886" t="s">
        <v>5931</v>
      </c>
      <c r="AG886" t="s">
        <v>5932</v>
      </c>
      <c r="AH886" t="s">
        <v>2552</v>
      </c>
      <c r="AI886" t="s">
        <v>2547</v>
      </c>
      <c r="AJ886" t="s">
        <v>2855</v>
      </c>
      <c r="AK886" t="s">
        <v>73</v>
      </c>
      <c r="AL886" t="s">
        <v>575</v>
      </c>
      <c r="AM886" t="s">
        <v>10</v>
      </c>
      <c r="AN886" t="s">
        <v>717</v>
      </c>
    </row>
    <row r="887" spans="1:40" hidden="1">
      <c r="A887">
        <v>885</v>
      </c>
      <c r="B887">
        <v>8</v>
      </c>
      <c r="C887" s="58">
        <v>44599</v>
      </c>
      <c r="D887" t="s">
        <v>27</v>
      </c>
      <c r="E887" t="s">
        <v>2506</v>
      </c>
      <c r="F887">
        <v>2</v>
      </c>
      <c r="G887">
        <v>13</v>
      </c>
      <c r="H887">
        <v>297</v>
      </c>
      <c r="I887">
        <v>1</v>
      </c>
      <c r="J887">
        <v>37.159999999999997</v>
      </c>
      <c r="K887" t="s">
        <v>25</v>
      </c>
      <c r="L887">
        <v>3236266.26</v>
      </c>
      <c r="M887">
        <v>0</v>
      </c>
      <c r="N887">
        <v>3236266.26</v>
      </c>
      <c r="O887">
        <v>87090.050053821309</v>
      </c>
      <c r="P887">
        <v>594560</v>
      </c>
      <c r="Q887">
        <v>2641706.2599999998</v>
      </c>
      <c r="R887">
        <v>71090.050053821309</v>
      </c>
      <c r="S887" t="s">
        <v>65</v>
      </c>
      <c r="T887" t="s">
        <v>717</v>
      </c>
      <c r="U887" t="s">
        <v>717</v>
      </c>
      <c r="V887" t="s">
        <v>717</v>
      </c>
      <c r="W887">
        <v>44595</v>
      </c>
      <c r="X887" t="s">
        <v>5933</v>
      </c>
      <c r="Y887" t="s">
        <v>6</v>
      </c>
      <c r="Z887" t="s">
        <v>17</v>
      </c>
      <c r="AA887" t="s">
        <v>5617</v>
      </c>
      <c r="AB887" t="s">
        <v>2509</v>
      </c>
      <c r="AC887" t="s">
        <v>2564</v>
      </c>
      <c r="AD887" t="s">
        <v>717</v>
      </c>
      <c r="AE887" t="s">
        <v>5934</v>
      </c>
      <c r="AF887" t="s">
        <v>5935</v>
      </c>
      <c r="AG887" t="s">
        <v>5936</v>
      </c>
      <c r="AH887" t="s">
        <v>2552</v>
      </c>
      <c r="AI887" t="s">
        <v>2877</v>
      </c>
      <c r="AJ887" t="s">
        <v>3098</v>
      </c>
      <c r="AK887" t="s">
        <v>63</v>
      </c>
      <c r="AL887" t="s">
        <v>575</v>
      </c>
      <c r="AM887" t="s">
        <v>10</v>
      </c>
      <c r="AN887" t="s">
        <v>717</v>
      </c>
    </row>
    <row r="888" spans="1:40" hidden="1">
      <c r="A888">
        <v>886</v>
      </c>
      <c r="B888">
        <v>9</v>
      </c>
      <c r="C888" s="58">
        <v>44599</v>
      </c>
      <c r="D888" t="s">
        <v>27</v>
      </c>
      <c r="E888" t="s">
        <v>2515</v>
      </c>
      <c r="F888">
        <v>4</v>
      </c>
      <c r="G888">
        <v>9</v>
      </c>
      <c r="H888">
        <v>67</v>
      </c>
      <c r="I888">
        <v>0</v>
      </c>
      <c r="J888">
        <v>24.39</v>
      </c>
      <c r="K888" t="s">
        <v>9</v>
      </c>
      <c r="L888">
        <v>2007179.68</v>
      </c>
      <c r="M888">
        <v>0</v>
      </c>
      <c r="N888">
        <v>2007179.68</v>
      </c>
      <c r="O888">
        <v>82295.189831898315</v>
      </c>
      <c r="P888">
        <v>0</v>
      </c>
      <c r="Q888">
        <v>2007179.68</v>
      </c>
      <c r="R888">
        <v>82295.189831898315</v>
      </c>
      <c r="S888" t="s">
        <v>65</v>
      </c>
      <c r="T888" t="s">
        <v>717</v>
      </c>
      <c r="U888" t="s">
        <v>717</v>
      </c>
      <c r="V888" t="s">
        <v>717</v>
      </c>
      <c r="W888">
        <v>44596</v>
      </c>
      <c r="X888" t="s">
        <v>5937</v>
      </c>
      <c r="Y888" t="s">
        <v>6</v>
      </c>
      <c r="Z888" t="s">
        <v>17</v>
      </c>
      <c r="AA888" t="s">
        <v>717</v>
      </c>
      <c r="AB888" t="s">
        <v>2509</v>
      </c>
      <c r="AC888" t="s">
        <v>2571</v>
      </c>
      <c r="AD888" t="s">
        <v>717</v>
      </c>
      <c r="AE888" t="s">
        <v>5938</v>
      </c>
      <c r="AF888" t="s">
        <v>5939</v>
      </c>
      <c r="AG888" t="s">
        <v>5940</v>
      </c>
      <c r="AH888" t="s">
        <v>65</v>
      </c>
      <c r="AI888" t="s">
        <v>5056</v>
      </c>
      <c r="AJ888" t="s">
        <v>2895</v>
      </c>
      <c r="AK888" t="s">
        <v>77</v>
      </c>
      <c r="AL888" t="s">
        <v>16</v>
      </c>
      <c r="AM888" t="s">
        <v>10</v>
      </c>
      <c r="AN888" t="s">
        <v>717</v>
      </c>
    </row>
    <row r="889" spans="1:40" hidden="1">
      <c r="A889">
        <v>887</v>
      </c>
      <c r="B889">
        <v>10</v>
      </c>
      <c r="C889" s="58">
        <v>44600</v>
      </c>
      <c r="D889" t="s">
        <v>27</v>
      </c>
      <c r="E889" t="s">
        <v>4409</v>
      </c>
      <c r="F889">
        <v>2</v>
      </c>
      <c r="G889">
        <v>9</v>
      </c>
      <c r="H889">
        <v>569</v>
      </c>
      <c r="I889">
        <v>1</v>
      </c>
      <c r="J889">
        <v>37.159999999999997</v>
      </c>
      <c r="K889" t="s">
        <v>9</v>
      </c>
      <c r="L889">
        <v>2707748.87</v>
      </c>
      <c r="M889">
        <v>0</v>
      </c>
      <c r="N889">
        <v>2707748.87</v>
      </c>
      <c r="O889">
        <v>72867.300053821324</v>
      </c>
      <c r="P889">
        <v>0</v>
      </c>
      <c r="Q889">
        <v>2707748.87</v>
      </c>
      <c r="R889">
        <v>72867.300053821324</v>
      </c>
      <c r="S889" t="s">
        <v>65</v>
      </c>
      <c r="T889" t="s">
        <v>717</v>
      </c>
      <c r="U889" t="s">
        <v>717</v>
      </c>
      <c r="V889" t="s">
        <v>717</v>
      </c>
      <c r="W889">
        <v>44587</v>
      </c>
      <c r="X889" t="s">
        <v>5941</v>
      </c>
      <c r="Y889" t="s">
        <v>6</v>
      </c>
      <c r="Z889" t="s">
        <v>11</v>
      </c>
      <c r="AA889" t="s">
        <v>717</v>
      </c>
      <c r="AB889" t="s">
        <v>2509</v>
      </c>
      <c r="AC889" t="s">
        <v>2558</v>
      </c>
      <c r="AD889" t="s">
        <v>717</v>
      </c>
      <c r="AE889" t="s">
        <v>3447</v>
      </c>
      <c r="AF889" t="s">
        <v>3448</v>
      </c>
      <c r="AG889" t="s">
        <v>3449</v>
      </c>
      <c r="AH889" t="s">
        <v>2580</v>
      </c>
      <c r="AI889" t="s">
        <v>2600</v>
      </c>
      <c r="AJ889" t="s">
        <v>3921</v>
      </c>
      <c r="AK889" t="s">
        <v>63</v>
      </c>
      <c r="AL889" t="s">
        <v>16</v>
      </c>
      <c r="AM889" t="s">
        <v>10</v>
      </c>
      <c r="AN889" t="s">
        <v>717</v>
      </c>
    </row>
    <row r="890" spans="1:40" hidden="1">
      <c r="A890">
        <v>888</v>
      </c>
      <c r="B890">
        <v>11</v>
      </c>
      <c r="C890" s="58">
        <v>44600</v>
      </c>
      <c r="D890" t="s">
        <v>27</v>
      </c>
      <c r="E890" t="s">
        <v>5079</v>
      </c>
      <c r="F890">
        <v>4</v>
      </c>
      <c r="G890">
        <v>14</v>
      </c>
      <c r="H890">
        <v>743</v>
      </c>
      <c r="I890">
        <v>0</v>
      </c>
      <c r="J890">
        <v>24.39</v>
      </c>
      <c r="K890" t="s">
        <v>9</v>
      </c>
      <c r="L890">
        <v>1887407.47</v>
      </c>
      <c r="M890">
        <v>0</v>
      </c>
      <c r="N890">
        <v>1887407.47</v>
      </c>
      <c r="O890">
        <v>77384.480114801147</v>
      </c>
      <c r="P890">
        <v>0</v>
      </c>
      <c r="Q890">
        <v>1887407.47</v>
      </c>
      <c r="R890">
        <v>77384.480114801147</v>
      </c>
      <c r="S890" t="s">
        <v>65</v>
      </c>
      <c r="T890" t="s">
        <v>717</v>
      </c>
      <c r="U890" t="s">
        <v>717</v>
      </c>
      <c r="V890" t="s">
        <v>717</v>
      </c>
      <c r="W890">
        <v>44587</v>
      </c>
      <c r="X890" t="s">
        <v>5942</v>
      </c>
      <c r="Y890" t="s">
        <v>6</v>
      </c>
      <c r="Z890" t="s">
        <v>11</v>
      </c>
      <c r="AA890" t="s">
        <v>717</v>
      </c>
      <c r="AB890" t="s">
        <v>2509</v>
      </c>
      <c r="AC890" t="s">
        <v>2558</v>
      </c>
      <c r="AD890" t="s">
        <v>717</v>
      </c>
      <c r="AE890" t="s">
        <v>3447</v>
      </c>
      <c r="AF890" t="s">
        <v>3448</v>
      </c>
      <c r="AG890" t="s">
        <v>3449</v>
      </c>
      <c r="AH890" t="s">
        <v>2580</v>
      </c>
      <c r="AI890" t="s">
        <v>2600</v>
      </c>
      <c r="AJ890" t="s">
        <v>3921</v>
      </c>
      <c r="AK890" t="s">
        <v>63</v>
      </c>
      <c r="AL890" t="s">
        <v>16</v>
      </c>
      <c r="AM890" t="s">
        <v>10</v>
      </c>
      <c r="AN890" t="s">
        <v>717</v>
      </c>
    </row>
    <row r="891" spans="1:40" hidden="1">
      <c r="A891">
        <v>889</v>
      </c>
      <c r="B891">
        <v>12</v>
      </c>
      <c r="C891" s="58">
        <v>44600</v>
      </c>
      <c r="D891" t="s">
        <v>27</v>
      </c>
      <c r="E891" t="s">
        <v>2581</v>
      </c>
      <c r="F891">
        <v>2</v>
      </c>
      <c r="G891">
        <v>10</v>
      </c>
      <c r="I891">
        <v>1</v>
      </c>
      <c r="J891">
        <v>37.159999999999997</v>
      </c>
      <c r="K891" t="s">
        <v>9</v>
      </c>
      <c r="L891">
        <v>2747374.43</v>
      </c>
      <c r="M891">
        <v>0</v>
      </c>
      <c r="N891">
        <v>2747374.43</v>
      </c>
      <c r="O891">
        <v>73933.649892357382</v>
      </c>
      <c r="P891">
        <v>0</v>
      </c>
      <c r="Q891">
        <v>2747374.43</v>
      </c>
      <c r="R891">
        <v>73933.649892357382</v>
      </c>
      <c r="S891" t="s">
        <v>130</v>
      </c>
      <c r="T891" t="s">
        <v>717</v>
      </c>
      <c r="U891" t="s">
        <v>717</v>
      </c>
      <c r="V891" t="s">
        <v>717</v>
      </c>
      <c r="W891">
        <v>44595</v>
      </c>
      <c r="X891" t="s">
        <v>5943</v>
      </c>
      <c r="Y891" t="s">
        <v>2517</v>
      </c>
      <c r="Z891" t="s">
        <v>11</v>
      </c>
      <c r="AA891" t="s">
        <v>717</v>
      </c>
      <c r="AB891" t="s">
        <v>2509</v>
      </c>
      <c r="AC891" t="s">
        <v>118</v>
      </c>
      <c r="AD891">
        <v>44799</v>
      </c>
      <c r="AE891" t="s">
        <v>5944</v>
      </c>
      <c r="AF891" t="s">
        <v>5945</v>
      </c>
      <c r="AG891" t="s">
        <v>5946</v>
      </c>
      <c r="AH891" t="s">
        <v>2615</v>
      </c>
      <c r="AI891" t="s">
        <v>2600</v>
      </c>
      <c r="AJ891" t="s">
        <v>3921</v>
      </c>
      <c r="AK891" t="s">
        <v>73</v>
      </c>
      <c r="AL891" t="s">
        <v>717</v>
      </c>
      <c r="AM891" t="s">
        <v>10</v>
      </c>
      <c r="AN891" t="s">
        <v>717</v>
      </c>
    </row>
    <row r="892" spans="1:40" hidden="1">
      <c r="A892">
        <v>890</v>
      </c>
      <c r="B892">
        <v>13</v>
      </c>
      <c r="C892" s="58">
        <v>44600</v>
      </c>
      <c r="D892" t="s">
        <v>27</v>
      </c>
      <c r="E892" t="s">
        <v>2581</v>
      </c>
      <c r="F892">
        <v>5</v>
      </c>
      <c r="G892">
        <v>13</v>
      </c>
      <c r="H892">
        <v>484</v>
      </c>
      <c r="I892">
        <v>0</v>
      </c>
      <c r="J892">
        <v>23.63</v>
      </c>
      <c r="K892" t="s">
        <v>9</v>
      </c>
      <c r="L892">
        <v>1828595.26</v>
      </c>
      <c r="M892">
        <v>0</v>
      </c>
      <c r="N892">
        <v>1828595.26</v>
      </c>
      <c r="O892">
        <v>77384.479898434191</v>
      </c>
      <c r="P892">
        <v>0</v>
      </c>
      <c r="Q892">
        <v>1828595.26</v>
      </c>
      <c r="R892">
        <v>77384.479898434191</v>
      </c>
      <c r="S892" t="s">
        <v>65</v>
      </c>
      <c r="T892" t="s">
        <v>717</v>
      </c>
      <c r="U892" t="s">
        <v>717</v>
      </c>
      <c r="V892" t="s">
        <v>717</v>
      </c>
      <c r="W892">
        <v>44595</v>
      </c>
      <c r="X892" t="s">
        <v>5947</v>
      </c>
      <c r="Y892" t="s">
        <v>6</v>
      </c>
      <c r="Z892" t="s">
        <v>17</v>
      </c>
      <c r="AA892" t="s">
        <v>717</v>
      </c>
      <c r="AB892" t="s">
        <v>2509</v>
      </c>
      <c r="AC892" t="s">
        <v>2571</v>
      </c>
      <c r="AD892" t="s">
        <v>717</v>
      </c>
      <c r="AE892" t="s">
        <v>5948</v>
      </c>
      <c r="AF892" t="s">
        <v>5949</v>
      </c>
      <c r="AG892" t="s">
        <v>5950</v>
      </c>
      <c r="AH892" t="s">
        <v>65</v>
      </c>
      <c r="AI892" t="s">
        <v>5056</v>
      </c>
      <c r="AJ892" t="s">
        <v>3202</v>
      </c>
      <c r="AK892" t="s">
        <v>20</v>
      </c>
      <c r="AL892" t="s">
        <v>16</v>
      </c>
      <c r="AM892" t="s">
        <v>10</v>
      </c>
      <c r="AN892" t="s">
        <v>717</v>
      </c>
    </row>
    <row r="893" spans="1:40" hidden="1">
      <c r="A893">
        <v>891</v>
      </c>
      <c r="B893">
        <v>14</v>
      </c>
      <c r="C893" s="58">
        <v>44600</v>
      </c>
      <c r="D893" t="s">
        <v>27</v>
      </c>
      <c r="E893" t="s">
        <v>5079</v>
      </c>
      <c r="F893">
        <v>7</v>
      </c>
      <c r="G893">
        <v>3</v>
      </c>
      <c r="H893">
        <v>647</v>
      </c>
      <c r="I893">
        <v>1</v>
      </c>
      <c r="J893">
        <v>38.909999999999997</v>
      </c>
      <c r="K893" t="s">
        <v>15</v>
      </c>
      <c r="L893">
        <v>3221176.37</v>
      </c>
      <c r="M893">
        <v>0</v>
      </c>
      <c r="N893">
        <v>3221176.37</v>
      </c>
      <c r="O893">
        <v>82785.30891801593</v>
      </c>
      <c r="P893">
        <v>214005</v>
      </c>
      <c r="Q893">
        <v>3007171.37</v>
      </c>
      <c r="R893">
        <v>77285.30891801593</v>
      </c>
      <c r="S893" t="s">
        <v>130</v>
      </c>
      <c r="T893" t="s">
        <v>2664</v>
      </c>
      <c r="U893">
        <v>61370.84</v>
      </c>
      <c r="V893" t="s">
        <v>717</v>
      </c>
      <c r="W893">
        <v>44595</v>
      </c>
      <c r="X893" t="s">
        <v>5951</v>
      </c>
      <c r="Y893" t="s">
        <v>6</v>
      </c>
      <c r="Z893" t="s">
        <v>17</v>
      </c>
      <c r="AA893" t="s">
        <v>717</v>
      </c>
      <c r="AB893" t="s">
        <v>2509</v>
      </c>
      <c r="AC893" t="s">
        <v>118</v>
      </c>
      <c r="AD893" t="s">
        <v>717</v>
      </c>
      <c r="AE893" t="s">
        <v>5952</v>
      </c>
      <c r="AF893" t="s">
        <v>5953</v>
      </c>
      <c r="AG893" t="s">
        <v>5954</v>
      </c>
      <c r="AH893" t="s">
        <v>2615</v>
      </c>
      <c r="AI893" t="s">
        <v>2621</v>
      </c>
      <c r="AJ893" t="s">
        <v>2569</v>
      </c>
      <c r="AK893" t="s">
        <v>20</v>
      </c>
      <c r="AL893" t="s">
        <v>717</v>
      </c>
      <c r="AM893" t="s">
        <v>10</v>
      </c>
      <c r="AN893" t="s">
        <v>717</v>
      </c>
    </row>
    <row r="894" spans="1:40" hidden="1">
      <c r="A894">
        <v>892</v>
      </c>
      <c r="B894">
        <v>15</v>
      </c>
      <c r="C894" s="58">
        <v>44600</v>
      </c>
      <c r="D894" t="s">
        <v>27</v>
      </c>
      <c r="E894" t="s">
        <v>5079</v>
      </c>
      <c r="F894">
        <v>4</v>
      </c>
      <c r="G894">
        <v>9</v>
      </c>
      <c r="H894">
        <v>698</v>
      </c>
      <c r="I894">
        <v>0</v>
      </c>
      <c r="J894">
        <v>24.39</v>
      </c>
      <c r="K894" t="s">
        <v>9</v>
      </c>
      <c r="L894">
        <v>1887407.47</v>
      </c>
      <c r="M894">
        <v>0</v>
      </c>
      <c r="N894">
        <v>1887407.47</v>
      </c>
      <c r="O894">
        <v>77384.480114801147</v>
      </c>
      <c r="P894">
        <v>0</v>
      </c>
      <c r="Q894">
        <v>1887407.47</v>
      </c>
      <c r="R894">
        <v>77384.480114801147</v>
      </c>
      <c r="S894" t="s">
        <v>65</v>
      </c>
      <c r="T894" t="s">
        <v>717</v>
      </c>
      <c r="U894" t="s">
        <v>717</v>
      </c>
      <c r="V894" t="s">
        <v>717</v>
      </c>
      <c r="W894">
        <v>44594</v>
      </c>
      <c r="X894" t="s">
        <v>5955</v>
      </c>
      <c r="Y894" t="s">
        <v>6</v>
      </c>
      <c r="Z894" t="s">
        <v>17</v>
      </c>
      <c r="AA894" t="s">
        <v>717</v>
      </c>
      <c r="AB894" t="s">
        <v>2509</v>
      </c>
      <c r="AC894" t="s">
        <v>2571</v>
      </c>
      <c r="AD894" t="s">
        <v>717</v>
      </c>
      <c r="AE894" t="s">
        <v>5956</v>
      </c>
      <c r="AF894" t="s">
        <v>5957</v>
      </c>
      <c r="AG894" t="s">
        <v>5958</v>
      </c>
      <c r="AH894" t="s">
        <v>2615</v>
      </c>
      <c r="AI894" t="s">
        <v>2552</v>
      </c>
      <c r="AJ894" t="s">
        <v>2569</v>
      </c>
      <c r="AK894" t="s">
        <v>77</v>
      </c>
      <c r="AL894" t="s">
        <v>575</v>
      </c>
      <c r="AM894" t="s">
        <v>10</v>
      </c>
      <c r="AN894" t="s">
        <v>717</v>
      </c>
    </row>
    <row r="895" spans="1:40" hidden="1">
      <c r="A895">
        <v>893</v>
      </c>
      <c r="B895">
        <v>16</v>
      </c>
      <c r="C895" s="58">
        <v>44600</v>
      </c>
      <c r="D895" t="s">
        <v>27</v>
      </c>
      <c r="E895" t="s">
        <v>2515</v>
      </c>
      <c r="F895">
        <v>6</v>
      </c>
      <c r="G895">
        <v>15</v>
      </c>
      <c r="H895">
        <v>123</v>
      </c>
      <c r="I895">
        <v>2</v>
      </c>
      <c r="J895">
        <v>54.67</v>
      </c>
      <c r="K895" t="s">
        <v>15</v>
      </c>
      <c r="L895">
        <v>4284853.0999999996</v>
      </c>
      <c r="M895">
        <v>0</v>
      </c>
      <c r="N895">
        <v>4284853.0999999996</v>
      </c>
      <c r="O895">
        <v>78376.680080482882</v>
      </c>
      <c r="P895">
        <v>300685</v>
      </c>
      <c r="Q895">
        <v>3984168.1</v>
      </c>
      <c r="R895">
        <v>72876.680080482882</v>
      </c>
      <c r="S895" t="s">
        <v>65</v>
      </c>
      <c r="T895" t="s">
        <v>717</v>
      </c>
      <c r="U895" t="s">
        <v>717</v>
      </c>
      <c r="V895" t="s">
        <v>4131</v>
      </c>
      <c r="W895">
        <v>44597</v>
      </c>
      <c r="X895" t="s">
        <v>5959</v>
      </c>
      <c r="Y895" t="s">
        <v>6</v>
      </c>
      <c r="Z895" t="s">
        <v>17</v>
      </c>
      <c r="AA895" t="s">
        <v>717</v>
      </c>
      <c r="AB895" t="s">
        <v>2509</v>
      </c>
      <c r="AC895" t="s">
        <v>2571</v>
      </c>
      <c r="AD895" t="s">
        <v>717</v>
      </c>
      <c r="AE895" t="s">
        <v>5960</v>
      </c>
      <c r="AF895" t="s">
        <v>5961</v>
      </c>
      <c r="AG895" t="s">
        <v>5962</v>
      </c>
      <c r="AH895" t="s">
        <v>2191</v>
      </c>
      <c r="AI895" t="s">
        <v>5653</v>
      </c>
      <c r="AJ895" t="s">
        <v>31</v>
      </c>
      <c r="AK895" t="s">
        <v>471</v>
      </c>
      <c r="AL895" t="s">
        <v>16</v>
      </c>
      <c r="AM895" t="s">
        <v>5654</v>
      </c>
      <c r="AN895" t="s">
        <v>717</v>
      </c>
    </row>
    <row r="896" spans="1:40" hidden="1">
      <c r="A896">
        <v>894</v>
      </c>
      <c r="B896">
        <v>17</v>
      </c>
      <c r="C896" s="58">
        <v>44601</v>
      </c>
      <c r="D896" t="s">
        <v>27</v>
      </c>
      <c r="E896" t="s">
        <v>2506</v>
      </c>
      <c r="F896">
        <v>6</v>
      </c>
      <c r="G896">
        <v>13</v>
      </c>
      <c r="H896">
        <v>301</v>
      </c>
      <c r="I896">
        <v>1</v>
      </c>
      <c r="J896">
        <v>37.11</v>
      </c>
      <c r="K896" t="s">
        <v>9</v>
      </c>
      <c r="L896">
        <v>2585388.7200000002</v>
      </c>
      <c r="M896">
        <v>0</v>
      </c>
      <c r="N896">
        <v>2585388.7200000002</v>
      </c>
      <c r="O896">
        <v>69668.248989490705</v>
      </c>
      <c r="P896">
        <v>0</v>
      </c>
      <c r="Q896">
        <v>2585388.7200000002</v>
      </c>
      <c r="R896">
        <v>69668.248989490705</v>
      </c>
      <c r="S896" t="s">
        <v>65</v>
      </c>
      <c r="T896" t="s">
        <v>2664</v>
      </c>
      <c r="U896">
        <v>52763.035102040507</v>
      </c>
      <c r="V896" t="s">
        <v>717</v>
      </c>
      <c r="W896">
        <v>44593</v>
      </c>
      <c r="X896" t="s">
        <v>5963</v>
      </c>
      <c r="Y896" t="s">
        <v>6</v>
      </c>
      <c r="Z896" t="s">
        <v>17</v>
      </c>
      <c r="AA896" t="s">
        <v>717</v>
      </c>
      <c r="AB896" t="s">
        <v>2509</v>
      </c>
      <c r="AC896" t="s">
        <v>2571</v>
      </c>
      <c r="AD896" t="s">
        <v>717</v>
      </c>
      <c r="AE896" t="s">
        <v>5964</v>
      </c>
      <c r="AF896" t="s">
        <v>5965</v>
      </c>
      <c r="AG896" t="s">
        <v>5966</v>
      </c>
      <c r="AH896" t="s">
        <v>2615</v>
      </c>
      <c r="AI896" t="s">
        <v>2552</v>
      </c>
      <c r="AJ896" t="s">
        <v>2662</v>
      </c>
      <c r="AK896" t="s">
        <v>73</v>
      </c>
      <c r="AL896" t="s">
        <v>16</v>
      </c>
      <c r="AM896" t="s">
        <v>10</v>
      </c>
      <c r="AN896" t="s">
        <v>717</v>
      </c>
    </row>
    <row r="897" spans="1:40" hidden="1">
      <c r="A897">
        <v>895</v>
      </c>
      <c r="B897">
        <v>18</v>
      </c>
      <c r="C897" s="58">
        <v>44601</v>
      </c>
      <c r="D897" t="s">
        <v>27</v>
      </c>
      <c r="E897" t="s">
        <v>2515</v>
      </c>
      <c r="F897">
        <v>3</v>
      </c>
      <c r="G897">
        <v>8</v>
      </c>
      <c r="H897">
        <v>57</v>
      </c>
      <c r="I897">
        <v>1</v>
      </c>
      <c r="J897">
        <v>41.06</v>
      </c>
      <c r="K897" t="s">
        <v>15</v>
      </c>
      <c r="L897">
        <v>3157922.71</v>
      </c>
      <c r="M897">
        <v>0</v>
      </c>
      <c r="N897">
        <v>3157922.71</v>
      </c>
      <c r="O897">
        <v>76909.953969800292</v>
      </c>
      <c r="P897">
        <v>225830</v>
      </c>
      <c r="Q897">
        <v>2932092.71</v>
      </c>
      <c r="R897">
        <v>71409.953969800292</v>
      </c>
      <c r="S897" t="s">
        <v>130</v>
      </c>
      <c r="T897" t="s">
        <v>2664</v>
      </c>
      <c r="U897">
        <v>59838.63</v>
      </c>
      <c r="V897" t="s">
        <v>717</v>
      </c>
      <c r="W897">
        <v>44597</v>
      </c>
      <c r="X897" t="s">
        <v>5967</v>
      </c>
      <c r="Y897" t="s">
        <v>6</v>
      </c>
      <c r="Z897" t="s">
        <v>17</v>
      </c>
      <c r="AA897" t="s">
        <v>717</v>
      </c>
      <c r="AB897" t="s">
        <v>2509</v>
      </c>
      <c r="AC897" t="s">
        <v>118</v>
      </c>
      <c r="AD897" t="s">
        <v>717</v>
      </c>
      <c r="AE897" t="s">
        <v>5968</v>
      </c>
      <c r="AF897" t="s">
        <v>5969</v>
      </c>
      <c r="AG897" t="s">
        <v>5970</v>
      </c>
      <c r="AH897" t="s">
        <v>2191</v>
      </c>
      <c r="AI897" t="s">
        <v>2552</v>
      </c>
      <c r="AJ897" t="s">
        <v>2514</v>
      </c>
      <c r="AK897" t="s">
        <v>20</v>
      </c>
      <c r="AL897" t="s">
        <v>717</v>
      </c>
      <c r="AM897" t="s">
        <v>10</v>
      </c>
      <c r="AN897" t="s">
        <v>717</v>
      </c>
    </row>
    <row r="898" spans="1:40" hidden="1">
      <c r="A898">
        <v>896</v>
      </c>
      <c r="B898">
        <v>19</v>
      </c>
      <c r="C898" s="58">
        <v>44601</v>
      </c>
      <c r="D898" t="s">
        <v>27</v>
      </c>
      <c r="E898" t="s">
        <v>4409</v>
      </c>
      <c r="F898">
        <v>1</v>
      </c>
      <c r="G898">
        <v>10</v>
      </c>
      <c r="H898">
        <v>576</v>
      </c>
      <c r="I898">
        <v>3</v>
      </c>
      <c r="J898">
        <v>82.27</v>
      </c>
      <c r="K898" t="s">
        <v>15</v>
      </c>
      <c r="L898">
        <v>4515340.7300000004</v>
      </c>
      <c r="M898">
        <v>0</v>
      </c>
      <c r="N898">
        <v>4515340.7300000004</v>
      </c>
      <c r="O898">
        <v>54884.413881123139</v>
      </c>
      <c r="P898">
        <v>452485</v>
      </c>
      <c r="Q898">
        <v>4062855.73</v>
      </c>
      <c r="R898">
        <v>49384.413881123139</v>
      </c>
      <c r="S898" t="s">
        <v>65</v>
      </c>
      <c r="T898" t="s">
        <v>5971</v>
      </c>
      <c r="U898">
        <v>592134.71</v>
      </c>
      <c r="V898" t="s">
        <v>717</v>
      </c>
      <c r="W898">
        <v>44585</v>
      </c>
      <c r="X898" t="s">
        <v>5972</v>
      </c>
      <c r="Y898" t="s">
        <v>6</v>
      </c>
      <c r="Z898" t="s">
        <v>17</v>
      </c>
      <c r="AA898" t="s">
        <v>717</v>
      </c>
      <c r="AB898" t="s">
        <v>2509</v>
      </c>
      <c r="AC898" t="s">
        <v>2571</v>
      </c>
      <c r="AD898" t="s">
        <v>717</v>
      </c>
      <c r="AE898" t="s">
        <v>5973</v>
      </c>
      <c r="AF898" t="s">
        <v>5974</v>
      </c>
      <c r="AG898" t="s">
        <v>5975</v>
      </c>
      <c r="AH898" t="s">
        <v>2191</v>
      </c>
      <c r="AI898" t="s">
        <v>2802</v>
      </c>
      <c r="AJ898" t="s">
        <v>2514</v>
      </c>
      <c r="AK898" t="s">
        <v>77</v>
      </c>
      <c r="AL898" t="s">
        <v>575</v>
      </c>
      <c r="AM898" t="s">
        <v>10</v>
      </c>
      <c r="AN898" t="s">
        <v>717</v>
      </c>
    </row>
    <row r="899" spans="1:40" hidden="1">
      <c r="A899">
        <v>897</v>
      </c>
      <c r="B899">
        <v>20</v>
      </c>
      <c r="C899" s="58">
        <v>44602</v>
      </c>
      <c r="D899" t="s">
        <v>27</v>
      </c>
      <c r="E899" t="s">
        <v>2506</v>
      </c>
      <c r="F899">
        <v>5</v>
      </c>
      <c r="G899">
        <v>23</v>
      </c>
      <c r="H899">
        <v>380</v>
      </c>
      <c r="I899">
        <v>0</v>
      </c>
      <c r="J899">
        <v>23.63</v>
      </c>
      <c r="K899" t="s">
        <v>25</v>
      </c>
      <c r="L899">
        <v>2393559.5</v>
      </c>
      <c r="M899">
        <v>0</v>
      </c>
      <c r="N899">
        <v>2393559.5</v>
      </c>
      <c r="O899">
        <v>101293.25010579772</v>
      </c>
      <c r="P899">
        <v>378080</v>
      </c>
      <c r="Q899">
        <v>2015479.5</v>
      </c>
      <c r="R899">
        <v>85293.250105797735</v>
      </c>
      <c r="S899" t="s">
        <v>65</v>
      </c>
      <c r="T899" t="s">
        <v>717</v>
      </c>
      <c r="U899" t="s">
        <v>717</v>
      </c>
      <c r="V899" t="s">
        <v>717</v>
      </c>
      <c r="W899">
        <v>44594</v>
      </c>
      <c r="X899" t="s">
        <v>5976</v>
      </c>
      <c r="Y899" t="s">
        <v>6</v>
      </c>
      <c r="Z899" t="s">
        <v>17</v>
      </c>
      <c r="AA899" t="s">
        <v>717</v>
      </c>
      <c r="AB899" t="s">
        <v>2509</v>
      </c>
      <c r="AC899" t="s">
        <v>2571</v>
      </c>
      <c r="AD899" t="s">
        <v>717</v>
      </c>
      <c r="AE899" t="s">
        <v>5977</v>
      </c>
      <c r="AF899" t="s">
        <v>5978</v>
      </c>
      <c r="AG899" t="s">
        <v>5979</v>
      </c>
      <c r="AH899" t="s">
        <v>2615</v>
      </c>
      <c r="AI899" t="s">
        <v>2552</v>
      </c>
      <c r="AJ899" t="s">
        <v>2895</v>
      </c>
      <c r="AK899" t="s">
        <v>73</v>
      </c>
      <c r="AL899" t="s">
        <v>16</v>
      </c>
      <c r="AM899" t="s">
        <v>10</v>
      </c>
      <c r="AN899" t="s">
        <v>717</v>
      </c>
    </row>
    <row r="900" spans="1:40" hidden="1">
      <c r="A900">
        <v>898</v>
      </c>
      <c r="B900">
        <v>21</v>
      </c>
      <c r="C900" s="58">
        <v>44603</v>
      </c>
      <c r="D900" t="s">
        <v>27</v>
      </c>
      <c r="E900" t="s">
        <v>2506</v>
      </c>
      <c r="F900">
        <v>5</v>
      </c>
      <c r="G900">
        <v>12</v>
      </c>
      <c r="H900">
        <v>292</v>
      </c>
      <c r="I900">
        <v>0</v>
      </c>
      <c r="J900">
        <v>23.63</v>
      </c>
      <c r="K900" t="s">
        <v>9</v>
      </c>
      <c r="L900">
        <v>1813595.26</v>
      </c>
      <c r="M900">
        <v>15000</v>
      </c>
      <c r="N900">
        <v>1828595.26</v>
      </c>
      <c r="O900">
        <v>77384.479898434191</v>
      </c>
      <c r="P900">
        <v>0</v>
      </c>
      <c r="Q900">
        <v>1828595.26</v>
      </c>
      <c r="R900">
        <v>77384.479898434191</v>
      </c>
      <c r="S900" t="s">
        <v>130</v>
      </c>
      <c r="T900" t="s">
        <v>717</v>
      </c>
      <c r="U900" t="s">
        <v>717</v>
      </c>
      <c r="V900" t="s">
        <v>717</v>
      </c>
      <c r="W900">
        <v>44601</v>
      </c>
      <c r="X900" t="s">
        <v>5980</v>
      </c>
      <c r="Y900" t="s">
        <v>6</v>
      </c>
      <c r="Z900" t="s">
        <v>11</v>
      </c>
      <c r="AA900" t="s">
        <v>717</v>
      </c>
      <c r="AB900" t="s">
        <v>2509</v>
      </c>
      <c r="AC900" t="s">
        <v>118</v>
      </c>
      <c r="AD900" t="s">
        <v>717</v>
      </c>
      <c r="AE900" t="s">
        <v>5981</v>
      </c>
      <c r="AF900" t="s">
        <v>5982</v>
      </c>
      <c r="AG900" t="s">
        <v>5983</v>
      </c>
      <c r="AH900" t="s">
        <v>2616</v>
      </c>
      <c r="AI900" t="s">
        <v>2552</v>
      </c>
      <c r="AJ900" t="s">
        <v>2895</v>
      </c>
      <c r="AK900" t="s">
        <v>73</v>
      </c>
      <c r="AL900" t="s">
        <v>717</v>
      </c>
      <c r="AM900" t="s">
        <v>10</v>
      </c>
      <c r="AN900" t="s">
        <v>717</v>
      </c>
    </row>
    <row r="901" spans="1:40" hidden="1">
      <c r="A901">
        <v>899</v>
      </c>
      <c r="B901">
        <v>22</v>
      </c>
      <c r="C901" s="58">
        <v>44603</v>
      </c>
      <c r="D901" t="s">
        <v>27</v>
      </c>
      <c r="E901" t="s">
        <v>2506</v>
      </c>
      <c r="F901">
        <v>2</v>
      </c>
      <c r="G901">
        <v>15</v>
      </c>
      <c r="H901">
        <v>313</v>
      </c>
      <c r="I901">
        <v>1</v>
      </c>
      <c r="J901">
        <v>37.159999999999997</v>
      </c>
      <c r="K901" t="s">
        <v>9</v>
      </c>
      <c r="L901">
        <v>2626706.2599999998</v>
      </c>
      <c r="M901">
        <v>15000</v>
      </c>
      <c r="N901">
        <v>2641706.2599999998</v>
      </c>
      <c r="O901">
        <v>71090.050053821309</v>
      </c>
      <c r="P901">
        <v>0</v>
      </c>
      <c r="Q901">
        <v>2641706.2599999998</v>
      </c>
      <c r="R901">
        <v>71090.050053821309</v>
      </c>
      <c r="S901" t="s">
        <v>65</v>
      </c>
      <c r="T901" t="s">
        <v>717</v>
      </c>
      <c r="U901" t="s">
        <v>717</v>
      </c>
      <c r="V901" t="s">
        <v>717</v>
      </c>
      <c r="W901">
        <v>44582</v>
      </c>
      <c r="X901" t="s">
        <v>5984</v>
      </c>
      <c r="Y901" t="s">
        <v>6</v>
      </c>
      <c r="Z901" t="s">
        <v>17</v>
      </c>
      <c r="AA901" t="s">
        <v>717</v>
      </c>
      <c r="AB901" t="s">
        <v>2509</v>
      </c>
      <c r="AC901" t="s">
        <v>2564</v>
      </c>
      <c r="AD901" t="s">
        <v>717</v>
      </c>
      <c r="AE901" t="s">
        <v>5985</v>
      </c>
      <c r="AF901" t="s">
        <v>5986</v>
      </c>
      <c r="AG901" t="s">
        <v>5987</v>
      </c>
      <c r="AH901" t="s">
        <v>2615</v>
      </c>
      <c r="AI901" t="s">
        <v>2552</v>
      </c>
      <c r="AJ901" t="s">
        <v>2940</v>
      </c>
      <c r="AK901" t="s">
        <v>471</v>
      </c>
      <c r="AL901" t="s">
        <v>575</v>
      </c>
      <c r="AM901" t="s">
        <v>10</v>
      </c>
      <c r="AN901" t="s">
        <v>717</v>
      </c>
    </row>
    <row r="902" spans="1:40" hidden="1">
      <c r="A902">
        <v>900</v>
      </c>
      <c r="B902">
        <v>23</v>
      </c>
      <c r="C902" s="58">
        <v>44606</v>
      </c>
      <c r="D902" t="s">
        <v>27</v>
      </c>
      <c r="E902" t="s">
        <v>4409</v>
      </c>
      <c r="F902">
        <v>5</v>
      </c>
      <c r="G902">
        <v>11</v>
      </c>
      <c r="H902">
        <v>588</v>
      </c>
      <c r="I902">
        <v>0</v>
      </c>
      <c r="J902">
        <v>23.63</v>
      </c>
      <c r="K902" t="s">
        <v>25</v>
      </c>
      <c r="L902">
        <v>2216986.92</v>
      </c>
      <c r="M902">
        <v>0</v>
      </c>
      <c r="N902">
        <v>2216986.92</v>
      </c>
      <c r="O902">
        <v>93820.859923825643</v>
      </c>
      <c r="P902">
        <v>378080</v>
      </c>
      <c r="Q902">
        <v>1838906.92</v>
      </c>
      <c r="R902">
        <v>77820.859923825643</v>
      </c>
      <c r="S902" t="s">
        <v>65</v>
      </c>
      <c r="T902" t="s">
        <v>717</v>
      </c>
      <c r="U902" t="s">
        <v>717</v>
      </c>
      <c r="V902" t="s">
        <v>717</v>
      </c>
      <c r="W902">
        <v>44598</v>
      </c>
      <c r="X902" t="s">
        <v>5988</v>
      </c>
      <c r="Y902" t="s">
        <v>6</v>
      </c>
      <c r="Z902" t="s">
        <v>17</v>
      </c>
      <c r="AA902" t="s">
        <v>717</v>
      </c>
      <c r="AB902" t="s">
        <v>2509</v>
      </c>
      <c r="AC902" t="s">
        <v>2571</v>
      </c>
      <c r="AD902" t="s">
        <v>717</v>
      </c>
      <c r="AE902" t="s">
        <v>5989</v>
      </c>
      <c r="AF902" t="s">
        <v>5990</v>
      </c>
      <c r="AG902" t="s">
        <v>5991</v>
      </c>
      <c r="AH902" t="s">
        <v>2615</v>
      </c>
      <c r="AI902" t="s">
        <v>2552</v>
      </c>
      <c r="AJ902" t="s">
        <v>2895</v>
      </c>
      <c r="AK902" t="s">
        <v>73</v>
      </c>
      <c r="AL902" t="s">
        <v>16</v>
      </c>
      <c r="AM902" t="s">
        <v>10</v>
      </c>
      <c r="AN902" t="s">
        <v>717</v>
      </c>
    </row>
    <row r="903" spans="1:40" hidden="1">
      <c r="A903">
        <v>901</v>
      </c>
      <c r="B903">
        <v>24</v>
      </c>
      <c r="C903" s="58">
        <v>44606</v>
      </c>
      <c r="D903" t="s">
        <v>27</v>
      </c>
      <c r="E903" t="s">
        <v>2581</v>
      </c>
      <c r="F903">
        <v>3</v>
      </c>
      <c r="G903">
        <v>4</v>
      </c>
      <c r="H903">
        <v>410</v>
      </c>
      <c r="I903">
        <v>0</v>
      </c>
      <c r="J903">
        <v>23.54</v>
      </c>
      <c r="K903" t="s">
        <v>9</v>
      </c>
      <c r="L903">
        <v>1831903.04</v>
      </c>
      <c r="M903">
        <v>0</v>
      </c>
      <c r="N903">
        <v>1831903.04</v>
      </c>
      <c r="O903">
        <v>77820.859813084113</v>
      </c>
      <c r="P903">
        <v>0</v>
      </c>
      <c r="Q903">
        <v>1831903.04</v>
      </c>
      <c r="R903">
        <v>77820.859813084113</v>
      </c>
      <c r="S903" t="s">
        <v>130</v>
      </c>
      <c r="T903" t="s">
        <v>717</v>
      </c>
      <c r="U903" t="s">
        <v>717</v>
      </c>
      <c r="V903" t="s">
        <v>717</v>
      </c>
      <c r="W903">
        <v>44601</v>
      </c>
      <c r="X903" t="s">
        <v>5992</v>
      </c>
      <c r="Y903" t="s">
        <v>6</v>
      </c>
      <c r="Z903" t="s">
        <v>11</v>
      </c>
      <c r="AA903" t="s">
        <v>717</v>
      </c>
      <c r="AB903" t="s">
        <v>2509</v>
      </c>
      <c r="AC903" t="s">
        <v>118</v>
      </c>
      <c r="AD903" t="s">
        <v>717</v>
      </c>
      <c r="AE903" t="s">
        <v>5993</v>
      </c>
      <c r="AF903" t="s">
        <v>5994</v>
      </c>
      <c r="AG903" t="s">
        <v>5995</v>
      </c>
      <c r="AH903" t="s">
        <v>2616</v>
      </c>
      <c r="AI903" t="s">
        <v>2552</v>
      </c>
      <c r="AJ903" t="s">
        <v>3185</v>
      </c>
      <c r="AK903" t="s">
        <v>73</v>
      </c>
      <c r="AL903" t="s">
        <v>717</v>
      </c>
      <c r="AM903" t="s">
        <v>10</v>
      </c>
      <c r="AN903" t="s">
        <v>717</v>
      </c>
    </row>
    <row r="904" spans="1:40" hidden="1">
      <c r="A904">
        <v>902</v>
      </c>
      <c r="B904">
        <v>25</v>
      </c>
      <c r="C904" s="58">
        <v>44606</v>
      </c>
      <c r="D904" t="s">
        <v>121</v>
      </c>
      <c r="E904" t="s">
        <v>2506</v>
      </c>
      <c r="F904">
        <v>7</v>
      </c>
      <c r="G904">
        <v>14</v>
      </c>
      <c r="H904">
        <v>300</v>
      </c>
      <c r="I904">
        <v>0</v>
      </c>
      <c r="J904">
        <v>24.23</v>
      </c>
      <c r="K904" t="s">
        <v>25</v>
      </c>
      <c r="L904">
        <v>2680383.9</v>
      </c>
      <c r="M904">
        <v>0</v>
      </c>
      <c r="N904">
        <v>2680383.9</v>
      </c>
      <c r="O904">
        <v>110622.52992158481</v>
      </c>
      <c r="P904">
        <v>387680</v>
      </c>
      <c r="Q904">
        <v>2292703.9</v>
      </c>
      <c r="R904">
        <v>94622.529921584806</v>
      </c>
      <c r="S904" t="s">
        <v>65</v>
      </c>
      <c r="T904" t="s">
        <v>717</v>
      </c>
      <c r="U904" t="s">
        <v>717</v>
      </c>
      <c r="V904" t="s">
        <v>717</v>
      </c>
      <c r="W904">
        <v>44601</v>
      </c>
      <c r="X904" t="s">
        <v>5996</v>
      </c>
      <c r="Y904" t="s">
        <v>6</v>
      </c>
      <c r="Z904" t="s">
        <v>17</v>
      </c>
      <c r="AA904" t="s">
        <v>717</v>
      </c>
      <c r="AB904" t="s">
        <v>2509</v>
      </c>
      <c r="AC904" t="s">
        <v>2571</v>
      </c>
      <c r="AD904" t="s">
        <v>717</v>
      </c>
      <c r="AE904" t="s">
        <v>5918</v>
      </c>
      <c r="AF904" t="s">
        <v>5919</v>
      </c>
      <c r="AG904" t="s">
        <v>5920</v>
      </c>
      <c r="AH904" t="s">
        <v>3775</v>
      </c>
      <c r="AI904" t="s">
        <v>2600</v>
      </c>
      <c r="AJ904" t="s">
        <v>3921</v>
      </c>
      <c r="AK904" t="s">
        <v>73</v>
      </c>
      <c r="AL904" t="s">
        <v>16</v>
      </c>
      <c r="AM904" t="s">
        <v>10</v>
      </c>
      <c r="AN904" t="s">
        <v>717</v>
      </c>
    </row>
    <row r="905" spans="1:40" hidden="1">
      <c r="A905">
        <v>903</v>
      </c>
      <c r="B905">
        <v>26</v>
      </c>
      <c r="C905" s="58">
        <v>44606</v>
      </c>
      <c r="D905" t="s">
        <v>27</v>
      </c>
      <c r="E905" t="s">
        <v>2506</v>
      </c>
      <c r="F905">
        <v>2</v>
      </c>
      <c r="G905">
        <v>6</v>
      </c>
      <c r="H905">
        <v>241</v>
      </c>
      <c r="I905">
        <v>1</v>
      </c>
      <c r="J905">
        <v>37.159999999999997</v>
      </c>
      <c r="K905" t="s">
        <v>9</v>
      </c>
      <c r="L905">
        <v>2747374.43</v>
      </c>
      <c r="M905">
        <v>0</v>
      </c>
      <c r="N905">
        <v>2747374.43</v>
      </c>
      <c r="O905">
        <v>73933.649892357382</v>
      </c>
      <c r="P905">
        <v>0</v>
      </c>
      <c r="Q905">
        <v>2747374.43</v>
      </c>
      <c r="R905">
        <v>73933.649892357382</v>
      </c>
      <c r="S905" t="s">
        <v>2507</v>
      </c>
      <c r="T905" t="s">
        <v>717</v>
      </c>
      <c r="U905" t="s">
        <v>717</v>
      </c>
      <c r="V905" t="s">
        <v>717</v>
      </c>
      <c r="W905">
        <v>44602</v>
      </c>
      <c r="X905" t="s">
        <v>5997</v>
      </c>
      <c r="Y905" t="s">
        <v>6</v>
      </c>
      <c r="Z905" t="s">
        <v>11</v>
      </c>
      <c r="AA905" t="s">
        <v>717</v>
      </c>
      <c r="AB905" t="s">
        <v>2509</v>
      </c>
      <c r="AC905" t="s">
        <v>118</v>
      </c>
      <c r="AD905" t="s">
        <v>717</v>
      </c>
      <c r="AE905" t="s">
        <v>5998</v>
      </c>
      <c r="AF905" t="s">
        <v>5999</v>
      </c>
      <c r="AG905" t="s">
        <v>6000</v>
      </c>
      <c r="AH905" t="s">
        <v>2191</v>
      </c>
      <c r="AI905" t="s">
        <v>5653</v>
      </c>
      <c r="AJ905" t="s">
        <v>31</v>
      </c>
      <c r="AK905" t="s">
        <v>29</v>
      </c>
      <c r="AL905" t="s">
        <v>717</v>
      </c>
      <c r="AM905" t="s">
        <v>5654</v>
      </c>
      <c r="AN905" t="s">
        <v>717</v>
      </c>
    </row>
    <row r="906" spans="1:40" hidden="1">
      <c r="A906">
        <v>904</v>
      </c>
      <c r="B906">
        <v>27</v>
      </c>
      <c r="C906" s="58">
        <v>44606</v>
      </c>
      <c r="D906" t="s">
        <v>121</v>
      </c>
      <c r="E906" t="s">
        <v>2506</v>
      </c>
      <c r="F906">
        <v>4</v>
      </c>
      <c r="G906">
        <v>11</v>
      </c>
      <c r="H906">
        <v>264</v>
      </c>
      <c r="I906">
        <v>1</v>
      </c>
      <c r="J906">
        <v>37.89</v>
      </c>
      <c r="K906" t="s">
        <v>15</v>
      </c>
      <c r="L906">
        <v>3408737.1</v>
      </c>
      <c r="M906">
        <v>0</v>
      </c>
      <c r="N906">
        <v>3408737.1</v>
      </c>
      <c r="O906">
        <v>89964.030087094201</v>
      </c>
      <c r="P906">
        <v>208395</v>
      </c>
      <c r="Q906">
        <v>3200342.1</v>
      </c>
      <c r="R906">
        <v>84464.030087094201</v>
      </c>
      <c r="S906" t="s">
        <v>65</v>
      </c>
      <c r="T906" t="s">
        <v>717</v>
      </c>
      <c r="U906" t="s">
        <v>717</v>
      </c>
      <c r="V906" t="s">
        <v>717</v>
      </c>
      <c r="W906">
        <v>44603</v>
      </c>
      <c r="X906" t="s">
        <v>6001</v>
      </c>
      <c r="Y906" t="s">
        <v>6</v>
      </c>
      <c r="Z906" t="s">
        <v>17</v>
      </c>
      <c r="AA906" t="s">
        <v>717</v>
      </c>
      <c r="AB906" t="s">
        <v>2509</v>
      </c>
      <c r="AC906" t="s">
        <v>2571</v>
      </c>
      <c r="AD906" t="s">
        <v>717</v>
      </c>
      <c r="AE906" t="s">
        <v>6002</v>
      </c>
      <c r="AF906" t="s">
        <v>6003</v>
      </c>
      <c r="AG906" t="s">
        <v>6004</v>
      </c>
      <c r="AH906" t="s">
        <v>2615</v>
      </c>
      <c r="AI906" t="s">
        <v>2552</v>
      </c>
      <c r="AJ906" t="s">
        <v>2569</v>
      </c>
      <c r="AK906" t="s">
        <v>73</v>
      </c>
      <c r="AL906" t="s">
        <v>16</v>
      </c>
      <c r="AM906" t="s">
        <v>10</v>
      </c>
      <c r="AN906" t="s">
        <v>717</v>
      </c>
    </row>
    <row r="907" spans="1:40" hidden="1">
      <c r="A907">
        <v>905</v>
      </c>
      <c r="B907">
        <v>28</v>
      </c>
      <c r="C907" s="58">
        <v>44606</v>
      </c>
      <c r="D907" t="s">
        <v>27</v>
      </c>
      <c r="E907" t="s">
        <v>2515</v>
      </c>
      <c r="F907">
        <v>9</v>
      </c>
      <c r="G907">
        <v>10</v>
      </c>
      <c r="H907">
        <v>81</v>
      </c>
      <c r="I907">
        <v>1</v>
      </c>
      <c r="J907">
        <v>37.94</v>
      </c>
      <c r="K907" t="s">
        <v>9</v>
      </c>
      <c r="L907">
        <v>2634402.54</v>
      </c>
      <c r="M907">
        <v>0</v>
      </c>
      <c r="N907">
        <v>2634402.54</v>
      </c>
      <c r="O907">
        <v>69436.018450184507</v>
      </c>
      <c r="P907">
        <v>0</v>
      </c>
      <c r="Q907">
        <v>2634402.54</v>
      </c>
      <c r="R907">
        <v>69436.018450184507</v>
      </c>
      <c r="S907" t="s">
        <v>65</v>
      </c>
      <c r="T907" t="s">
        <v>2664</v>
      </c>
      <c r="U907">
        <v>53763.32</v>
      </c>
      <c r="V907" t="s">
        <v>717</v>
      </c>
      <c r="W907">
        <v>44605</v>
      </c>
      <c r="X907" t="s">
        <v>6005</v>
      </c>
      <c r="Y907" t="s">
        <v>6</v>
      </c>
      <c r="Z907" t="s">
        <v>17</v>
      </c>
      <c r="AA907" t="s">
        <v>717</v>
      </c>
      <c r="AB907" t="s">
        <v>2509</v>
      </c>
      <c r="AC907" t="s">
        <v>2571</v>
      </c>
      <c r="AD907" t="s">
        <v>717</v>
      </c>
      <c r="AE907" t="s">
        <v>6006</v>
      </c>
      <c r="AF907" t="s">
        <v>6007</v>
      </c>
      <c r="AG907" t="s">
        <v>6008</v>
      </c>
      <c r="AH907" t="s">
        <v>65</v>
      </c>
      <c r="AI907" t="s">
        <v>5056</v>
      </c>
      <c r="AJ907" t="s">
        <v>3202</v>
      </c>
      <c r="AK907" t="s">
        <v>73</v>
      </c>
      <c r="AL907" t="s">
        <v>575</v>
      </c>
      <c r="AM907" t="s">
        <v>10</v>
      </c>
      <c r="AN907" t="s">
        <v>717</v>
      </c>
    </row>
    <row r="908" spans="1:40" hidden="1">
      <c r="A908">
        <v>906</v>
      </c>
      <c r="B908">
        <v>29</v>
      </c>
      <c r="C908" s="58">
        <v>44607</v>
      </c>
      <c r="D908" t="s">
        <v>27</v>
      </c>
      <c r="E908" t="s">
        <v>2515</v>
      </c>
      <c r="F908">
        <v>5</v>
      </c>
      <c r="G908">
        <v>10</v>
      </c>
      <c r="H908">
        <v>77</v>
      </c>
      <c r="I908">
        <v>0</v>
      </c>
      <c r="J908">
        <v>24.47</v>
      </c>
      <c r="K908" t="s">
        <v>9</v>
      </c>
      <c r="L908">
        <v>1895306.72</v>
      </c>
      <c r="M908">
        <v>0</v>
      </c>
      <c r="N908">
        <v>1895306.72</v>
      </c>
      <c r="O908">
        <v>77454.299959133641</v>
      </c>
      <c r="P908">
        <v>0</v>
      </c>
      <c r="Q908">
        <v>1895306.72</v>
      </c>
      <c r="R908">
        <v>77454.299959133641</v>
      </c>
      <c r="S908" t="s">
        <v>65</v>
      </c>
      <c r="T908" t="s">
        <v>717</v>
      </c>
      <c r="U908" t="s">
        <v>717</v>
      </c>
      <c r="V908" t="s">
        <v>717</v>
      </c>
      <c r="W908">
        <v>44600</v>
      </c>
      <c r="X908" t="s">
        <v>6009</v>
      </c>
      <c r="Y908" t="s">
        <v>6</v>
      </c>
      <c r="Z908" t="s">
        <v>17</v>
      </c>
      <c r="AA908" t="s">
        <v>717</v>
      </c>
      <c r="AB908" t="s">
        <v>2509</v>
      </c>
      <c r="AC908" t="s">
        <v>2571</v>
      </c>
      <c r="AD908" t="s">
        <v>717</v>
      </c>
      <c r="AE908" t="s">
        <v>6010</v>
      </c>
      <c r="AF908" t="s">
        <v>6011</v>
      </c>
      <c r="AG908" t="s">
        <v>6012</v>
      </c>
      <c r="AH908" t="s">
        <v>2615</v>
      </c>
      <c r="AI908" t="s">
        <v>2552</v>
      </c>
      <c r="AJ908" t="s">
        <v>2895</v>
      </c>
      <c r="AK908" t="s">
        <v>20</v>
      </c>
      <c r="AL908" t="s">
        <v>575</v>
      </c>
      <c r="AM908" t="s">
        <v>10</v>
      </c>
      <c r="AN908" t="s">
        <v>717</v>
      </c>
    </row>
    <row r="909" spans="1:40" hidden="1">
      <c r="A909">
        <v>907</v>
      </c>
      <c r="B909">
        <v>30</v>
      </c>
      <c r="C909" s="58">
        <v>44607</v>
      </c>
      <c r="D909" t="s">
        <v>27</v>
      </c>
      <c r="E909" t="s">
        <v>2506</v>
      </c>
      <c r="F909">
        <v>5</v>
      </c>
      <c r="G909">
        <v>5</v>
      </c>
      <c r="H909">
        <v>236</v>
      </c>
      <c r="I909">
        <v>0</v>
      </c>
      <c r="J909">
        <v>23.63</v>
      </c>
      <c r="K909" t="s">
        <v>15</v>
      </c>
      <c r="L909">
        <v>2031704.09</v>
      </c>
      <c r="M909">
        <v>0</v>
      </c>
      <c r="N909">
        <v>2031704.09</v>
      </c>
      <c r="O909">
        <v>85979.859923825657</v>
      </c>
      <c r="P909">
        <v>129965</v>
      </c>
      <c r="Q909">
        <v>1901739.09</v>
      </c>
      <c r="R909">
        <v>80479.859923825657</v>
      </c>
      <c r="S909" t="s">
        <v>2507</v>
      </c>
      <c r="T909" t="s">
        <v>717</v>
      </c>
      <c r="U909" t="s">
        <v>717</v>
      </c>
      <c r="V909" t="s">
        <v>717</v>
      </c>
      <c r="W909">
        <v>44603</v>
      </c>
      <c r="X909" t="s">
        <v>6013</v>
      </c>
      <c r="Y909" t="s">
        <v>6</v>
      </c>
      <c r="Z909" t="s">
        <v>17</v>
      </c>
      <c r="AA909" t="s">
        <v>717</v>
      </c>
      <c r="AB909" t="s">
        <v>2509</v>
      </c>
      <c r="AC909" t="s">
        <v>118</v>
      </c>
      <c r="AD909" t="s">
        <v>717</v>
      </c>
      <c r="AE909" t="s">
        <v>6014</v>
      </c>
      <c r="AF909" t="s">
        <v>6015</v>
      </c>
      <c r="AG909" t="s">
        <v>6016</v>
      </c>
      <c r="AH909" t="s">
        <v>2616</v>
      </c>
      <c r="AI909" t="s">
        <v>2552</v>
      </c>
      <c r="AJ909" t="s">
        <v>2895</v>
      </c>
      <c r="AK909" t="s">
        <v>20</v>
      </c>
      <c r="AL909" t="s">
        <v>717</v>
      </c>
      <c r="AM909" t="s">
        <v>10</v>
      </c>
      <c r="AN909" t="s">
        <v>717</v>
      </c>
    </row>
    <row r="910" spans="1:40" hidden="1">
      <c r="A910">
        <v>908</v>
      </c>
      <c r="B910">
        <v>31</v>
      </c>
      <c r="C910" s="58">
        <v>44607</v>
      </c>
      <c r="D910" t="s">
        <v>27</v>
      </c>
      <c r="E910" t="s">
        <v>2581</v>
      </c>
      <c r="F910">
        <v>5</v>
      </c>
      <c r="G910">
        <v>7</v>
      </c>
      <c r="H910">
        <v>436</v>
      </c>
      <c r="I910">
        <v>0</v>
      </c>
      <c r="J910">
        <v>23.63</v>
      </c>
      <c r="K910" t="s">
        <v>15</v>
      </c>
      <c r="L910">
        <v>1958560.26</v>
      </c>
      <c r="M910">
        <v>0</v>
      </c>
      <c r="N910">
        <v>1958560.26</v>
      </c>
      <c r="O910">
        <v>82884.479898434191</v>
      </c>
      <c r="P910">
        <v>129965</v>
      </c>
      <c r="Q910">
        <v>1828595.26</v>
      </c>
      <c r="R910">
        <v>77384.479898434191</v>
      </c>
      <c r="S910" t="s">
        <v>65</v>
      </c>
      <c r="T910" t="s">
        <v>717</v>
      </c>
      <c r="U910" t="s">
        <v>717</v>
      </c>
      <c r="V910" t="s">
        <v>717</v>
      </c>
      <c r="W910">
        <v>44604</v>
      </c>
      <c r="X910" t="s">
        <v>6017</v>
      </c>
      <c r="Y910" t="s">
        <v>6</v>
      </c>
      <c r="Z910" t="s">
        <v>17</v>
      </c>
      <c r="AA910" t="s">
        <v>717</v>
      </c>
      <c r="AB910" t="s">
        <v>2509</v>
      </c>
      <c r="AC910" t="s">
        <v>2564</v>
      </c>
      <c r="AD910" t="s">
        <v>717</v>
      </c>
      <c r="AE910" t="s">
        <v>6018</v>
      </c>
      <c r="AF910" t="s">
        <v>6019</v>
      </c>
      <c r="AG910" t="s">
        <v>6020</v>
      </c>
      <c r="AH910" t="s">
        <v>2552</v>
      </c>
      <c r="AI910" t="s">
        <v>2547</v>
      </c>
      <c r="AJ910" t="s">
        <v>2855</v>
      </c>
      <c r="AK910" t="s">
        <v>20</v>
      </c>
      <c r="AL910" t="s">
        <v>16</v>
      </c>
      <c r="AM910" t="s">
        <v>10</v>
      </c>
      <c r="AN910" t="s">
        <v>717</v>
      </c>
    </row>
    <row r="911" spans="1:40" hidden="1">
      <c r="A911">
        <v>909</v>
      </c>
      <c r="B911">
        <v>32</v>
      </c>
      <c r="C911" s="58">
        <v>44607</v>
      </c>
      <c r="D911" t="s">
        <v>121</v>
      </c>
      <c r="E911" t="s">
        <v>2515</v>
      </c>
      <c r="F911">
        <v>3</v>
      </c>
      <c r="G911">
        <v>11</v>
      </c>
      <c r="H911">
        <v>66</v>
      </c>
      <c r="I911">
        <v>3</v>
      </c>
      <c r="J911">
        <v>76.56</v>
      </c>
      <c r="K911" t="s">
        <v>15</v>
      </c>
      <c r="L911">
        <v>5447662.8499999996</v>
      </c>
      <c r="M911">
        <v>0</v>
      </c>
      <c r="N911">
        <v>5447662.8499999996</v>
      </c>
      <c r="O911">
        <v>71155.470872518286</v>
      </c>
      <c r="P911">
        <v>0</v>
      </c>
      <c r="Q911">
        <v>5447662.8499999996</v>
      </c>
      <c r="R911">
        <v>71155.470872518286</v>
      </c>
      <c r="S911" t="s">
        <v>65</v>
      </c>
      <c r="T911" t="s">
        <v>5443</v>
      </c>
      <c r="U911">
        <v>421080</v>
      </c>
      <c r="V911" t="s">
        <v>717</v>
      </c>
      <c r="W911">
        <v>44594</v>
      </c>
      <c r="X911" t="s">
        <v>6021</v>
      </c>
      <c r="Y911" t="s">
        <v>6</v>
      </c>
      <c r="Z911" t="s">
        <v>17</v>
      </c>
      <c r="AA911" t="s">
        <v>717</v>
      </c>
      <c r="AB911" t="s">
        <v>2509</v>
      </c>
      <c r="AC911" t="s">
        <v>2571</v>
      </c>
      <c r="AD911" t="s">
        <v>717</v>
      </c>
      <c r="AE911" t="s">
        <v>6022</v>
      </c>
      <c r="AF911" t="s">
        <v>6023</v>
      </c>
      <c r="AG911" t="s">
        <v>6024</v>
      </c>
      <c r="AH911" t="s">
        <v>2615</v>
      </c>
      <c r="AI911" t="s">
        <v>2847</v>
      </c>
      <c r="AJ911" t="s">
        <v>2940</v>
      </c>
      <c r="AK911" t="s">
        <v>77</v>
      </c>
      <c r="AL911" t="s">
        <v>16</v>
      </c>
      <c r="AM911" t="s">
        <v>10</v>
      </c>
      <c r="AN911" t="s">
        <v>717</v>
      </c>
    </row>
    <row r="912" spans="1:40" hidden="1">
      <c r="A912">
        <v>910</v>
      </c>
      <c r="B912">
        <v>33</v>
      </c>
      <c r="C912" s="58">
        <v>44607</v>
      </c>
      <c r="D912" t="s">
        <v>27</v>
      </c>
      <c r="E912" t="s">
        <v>2515</v>
      </c>
      <c r="F912">
        <v>6</v>
      </c>
      <c r="G912">
        <v>12</v>
      </c>
      <c r="H912">
        <v>96</v>
      </c>
      <c r="I912">
        <v>2</v>
      </c>
      <c r="J912">
        <v>54.67</v>
      </c>
      <c r="K912" t="s">
        <v>9</v>
      </c>
      <c r="L912">
        <v>3904484.74</v>
      </c>
      <c r="M912">
        <v>0</v>
      </c>
      <c r="N912">
        <v>3904484.74</v>
      </c>
      <c r="O912">
        <v>71419.146515456378</v>
      </c>
      <c r="P912">
        <v>0</v>
      </c>
      <c r="Q912">
        <v>3904484.74</v>
      </c>
      <c r="R912">
        <v>71419.146515456378</v>
      </c>
      <c r="S912" t="s">
        <v>65</v>
      </c>
      <c r="T912" t="s">
        <v>2664</v>
      </c>
      <c r="U912">
        <v>79683.360000000001</v>
      </c>
      <c r="V912" t="s">
        <v>717</v>
      </c>
      <c r="W912">
        <v>44599</v>
      </c>
      <c r="X912" t="s">
        <v>6025</v>
      </c>
      <c r="Y912" t="s">
        <v>6</v>
      </c>
      <c r="Z912" t="s">
        <v>17</v>
      </c>
      <c r="AA912" t="s">
        <v>717</v>
      </c>
      <c r="AB912" t="s">
        <v>2509</v>
      </c>
      <c r="AC912" t="s">
        <v>2571</v>
      </c>
      <c r="AD912" t="s">
        <v>717</v>
      </c>
      <c r="AE912" t="s">
        <v>6026</v>
      </c>
      <c r="AF912" t="s">
        <v>6027</v>
      </c>
      <c r="AG912" t="s">
        <v>6028</v>
      </c>
      <c r="AH912" t="s">
        <v>2580</v>
      </c>
      <c r="AI912" t="s">
        <v>2600</v>
      </c>
      <c r="AJ912" t="s">
        <v>3921</v>
      </c>
      <c r="AK912" t="s">
        <v>77</v>
      </c>
      <c r="AL912" t="s">
        <v>16</v>
      </c>
      <c r="AM912" t="s">
        <v>10</v>
      </c>
      <c r="AN912" t="s">
        <v>717</v>
      </c>
    </row>
    <row r="913" spans="1:40" hidden="1">
      <c r="A913">
        <v>911</v>
      </c>
      <c r="B913">
        <v>34</v>
      </c>
      <c r="C913" s="58">
        <v>44607</v>
      </c>
      <c r="D913" t="s">
        <v>27</v>
      </c>
      <c r="E913" t="s">
        <v>2515</v>
      </c>
      <c r="F913">
        <v>5</v>
      </c>
      <c r="G913">
        <v>2</v>
      </c>
      <c r="H913">
        <v>7</v>
      </c>
      <c r="I913">
        <v>2</v>
      </c>
      <c r="J913">
        <v>60.06</v>
      </c>
      <c r="K913" t="s">
        <v>9</v>
      </c>
      <c r="L913">
        <v>3694299.59</v>
      </c>
      <c r="M913">
        <v>15000</v>
      </c>
      <c r="N913">
        <v>3709299.59</v>
      </c>
      <c r="O913">
        <v>61759.899933399931</v>
      </c>
      <c r="P913">
        <v>0</v>
      </c>
      <c r="Q913">
        <v>3709299.59</v>
      </c>
      <c r="R913">
        <v>61759.899933399931</v>
      </c>
      <c r="S913" t="s">
        <v>65</v>
      </c>
      <c r="T913" t="s">
        <v>717</v>
      </c>
      <c r="U913" t="s">
        <v>717</v>
      </c>
      <c r="V913" t="s">
        <v>717</v>
      </c>
      <c r="W913">
        <v>44606</v>
      </c>
      <c r="X913" t="s">
        <v>6029</v>
      </c>
      <c r="Y913" t="s">
        <v>6</v>
      </c>
      <c r="Z913" t="s">
        <v>17</v>
      </c>
      <c r="AA913" t="s">
        <v>717</v>
      </c>
      <c r="AB913" t="s">
        <v>2509</v>
      </c>
      <c r="AC913" t="s">
        <v>2571</v>
      </c>
      <c r="AD913" t="s">
        <v>717</v>
      </c>
      <c r="AE913" t="s">
        <v>6030</v>
      </c>
      <c r="AF913" t="s">
        <v>6031</v>
      </c>
      <c r="AG913" t="s">
        <v>6032</v>
      </c>
      <c r="AH913" t="s">
        <v>2552</v>
      </c>
      <c r="AI913" t="s">
        <v>2877</v>
      </c>
      <c r="AJ913" t="s">
        <v>3098</v>
      </c>
      <c r="AK913" t="s">
        <v>77</v>
      </c>
      <c r="AL913" t="s">
        <v>16</v>
      </c>
      <c r="AM913" t="s">
        <v>10</v>
      </c>
      <c r="AN913" t="s">
        <v>717</v>
      </c>
    </row>
    <row r="914" spans="1:40" hidden="1">
      <c r="A914">
        <v>912</v>
      </c>
      <c r="B914">
        <v>35</v>
      </c>
      <c r="C914" s="58">
        <v>44608</v>
      </c>
      <c r="D914" t="s">
        <v>27</v>
      </c>
      <c r="E914" t="s">
        <v>2515</v>
      </c>
      <c r="F914">
        <v>5</v>
      </c>
      <c r="G914">
        <v>3</v>
      </c>
      <c r="H914">
        <v>14</v>
      </c>
      <c r="I914">
        <v>0</v>
      </c>
      <c r="J914">
        <v>24.47</v>
      </c>
      <c r="K914" t="s">
        <v>15</v>
      </c>
      <c r="L914">
        <v>2148348.2999999998</v>
      </c>
      <c r="M914">
        <v>0</v>
      </c>
      <c r="N914">
        <v>2148348.2999999998</v>
      </c>
      <c r="O914">
        <v>87795.190028606448</v>
      </c>
      <c r="P914">
        <v>134585</v>
      </c>
      <c r="Q914">
        <v>2013763.3</v>
      </c>
      <c r="R914">
        <v>82295.190028606448</v>
      </c>
      <c r="S914" t="s">
        <v>65</v>
      </c>
      <c r="T914" t="s">
        <v>717</v>
      </c>
      <c r="U914" t="s">
        <v>717</v>
      </c>
      <c r="V914" t="s">
        <v>717</v>
      </c>
      <c r="W914">
        <v>44598</v>
      </c>
      <c r="X914" t="s">
        <v>6033</v>
      </c>
      <c r="Y914" t="s">
        <v>6</v>
      </c>
      <c r="Z914" t="s">
        <v>17</v>
      </c>
      <c r="AA914" t="s">
        <v>717</v>
      </c>
      <c r="AB914" t="s">
        <v>2509</v>
      </c>
      <c r="AC914" t="s">
        <v>2571</v>
      </c>
      <c r="AD914" t="s">
        <v>717</v>
      </c>
      <c r="AE914" t="s">
        <v>6034</v>
      </c>
      <c r="AF914" t="s">
        <v>6035</v>
      </c>
      <c r="AG914" t="s">
        <v>6036</v>
      </c>
      <c r="AH914" t="s">
        <v>2615</v>
      </c>
      <c r="AI914" t="s">
        <v>2552</v>
      </c>
      <c r="AJ914" t="s">
        <v>2895</v>
      </c>
      <c r="AK914" t="s">
        <v>63</v>
      </c>
      <c r="AL914" t="s">
        <v>16</v>
      </c>
      <c r="AM914" t="s">
        <v>10</v>
      </c>
      <c r="AN914" t="s">
        <v>717</v>
      </c>
    </row>
    <row r="915" spans="1:40" hidden="1">
      <c r="A915">
        <v>913</v>
      </c>
      <c r="B915">
        <v>36</v>
      </c>
      <c r="C915" s="58">
        <v>44609</v>
      </c>
      <c r="D915" t="s">
        <v>121</v>
      </c>
      <c r="E915" t="s">
        <v>2515</v>
      </c>
      <c r="F915">
        <v>4</v>
      </c>
      <c r="G915">
        <v>7</v>
      </c>
      <c r="H915">
        <v>39</v>
      </c>
      <c r="I915">
        <v>1</v>
      </c>
      <c r="J915">
        <v>36.86</v>
      </c>
      <c r="K915" t="s">
        <v>15</v>
      </c>
      <c r="L915">
        <v>3243680.37</v>
      </c>
      <c r="M915">
        <v>0</v>
      </c>
      <c r="N915">
        <v>3243680.37</v>
      </c>
      <c r="O915">
        <v>88000.010037981556</v>
      </c>
      <c r="P915">
        <v>202730</v>
      </c>
      <c r="Q915">
        <v>3040950.37</v>
      </c>
      <c r="R915">
        <v>82500.010037981556</v>
      </c>
      <c r="S915" t="s">
        <v>65</v>
      </c>
      <c r="T915" t="s">
        <v>717</v>
      </c>
      <c r="U915" t="s">
        <v>717</v>
      </c>
      <c r="V915" t="s">
        <v>717</v>
      </c>
      <c r="W915">
        <v>44601</v>
      </c>
      <c r="X915" t="s">
        <v>6037</v>
      </c>
      <c r="Y915" t="s">
        <v>6</v>
      </c>
      <c r="Z915" t="s">
        <v>17</v>
      </c>
      <c r="AA915" t="s">
        <v>717</v>
      </c>
      <c r="AB915" t="s">
        <v>2509</v>
      </c>
      <c r="AC915" t="s">
        <v>2571</v>
      </c>
      <c r="AD915" t="s">
        <v>717</v>
      </c>
      <c r="AE915" t="s">
        <v>6038</v>
      </c>
      <c r="AF915" t="s">
        <v>6039</v>
      </c>
      <c r="AG915" t="s">
        <v>6040</v>
      </c>
      <c r="AH915" t="s">
        <v>2615</v>
      </c>
      <c r="AI915" t="s">
        <v>2552</v>
      </c>
      <c r="AJ915" t="s">
        <v>2651</v>
      </c>
      <c r="AK915" t="s">
        <v>77</v>
      </c>
      <c r="AL915" t="s">
        <v>16</v>
      </c>
      <c r="AM915" t="s">
        <v>10</v>
      </c>
      <c r="AN915" t="s">
        <v>717</v>
      </c>
    </row>
    <row r="916" spans="1:40" hidden="1">
      <c r="A916">
        <v>914</v>
      </c>
      <c r="B916">
        <v>37</v>
      </c>
      <c r="C916" s="58">
        <v>44609</v>
      </c>
      <c r="D916" t="s">
        <v>27</v>
      </c>
      <c r="E916" t="s">
        <v>2506</v>
      </c>
      <c r="F916">
        <v>4</v>
      </c>
      <c r="G916">
        <v>4</v>
      </c>
      <c r="H916">
        <v>227</v>
      </c>
      <c r="I916">
        <v>1</v>
      </c>
      <c r="J916">
        <v>40</v>
      </c>
      <c r="K916" t="s">
        <v>15</v>
      </c>
      <c r="L916">
        <v>3118199.08</v>
      </c>
      <c r="M916">
        <v>0</v>
      </c>
      <c r="N916">
        <v>3118199.08</v>
      </c>
      <c r="O916">
        <v>77954.976999999999</v>
      </c>
      <c r="P916">
        <v>220000</v>
      </c>
      <c r="Q916">
        <v>2898199.08</v>
      </c>
      <c r="R916">
        <v>72454.976999999999</v>
      </c>
      <c r="S916" t="s">
        <v>2507</v>
      </c>
      <c r="T916" t="s">
        <v>2664</v>
      </c>
      <c r="U916">
        <v>59146.92</v>
      </c>
      <c r="V916" t="s">
        <v>717</v>
      </c>
      <c r="W916">
        <v>44606</v>
      </c>
      <c r="X916" t="s">
        <v>6041</v>
      </c>
      <c r="Y916" t="s">
        <v>6</v>
      </c>
      <c r="Z916" t="s">
        <v>17</v>
      </c>
      <c r="AA916" t="s">
        <v>717</v>
      </c>
      <c r="AB916" t="s">
        <v>2509</v>
      </c>
      <c r="AC916" t="s">
        <v>118</v>
      </c>
      <c r="AD916" t="s">
        <v>717</v>
      </c>
      <c r="AE916" t="s">
        <v>6042</v>
      </c>
      <c r="AF916" t="s">
        <v>6043</v>
      </c>
      <c r="AG916" t="s">
        <v>6044</v>
      </c>
      <c r="AH916" t="s">
        <v>2191</v>
      </c>
      <c r="AI916" t="s">
        <v>2538</v>
      </c>
      <c r="AJ916" t="s">
        <v>2514</v>
      </c>
      <c r="AK916" t="s">
        <v>73</v>
      </c>
      <c r="AL916" t="s">
        <v>717</v>
      </c>
      <c r="AM916" t="s">
        <v>10</v>
      </c>
      <c r="AN916" t="s">
        <v>717</v>
      </c>
    </row>
    <row r="917" spans="1:40" hidden="1">
      <c r="A917">
        <v>915</v>
      </c>
      <c r="B917">
        <v>38</v>
      </c>
      <c r="C917" s="58">
        <v>44609</v>
      </c>
      <c r="D917" t="s">
        <v>27</v>
      </c>
      <c r="E917" t="s">
        <v>4409</v>
      </c>
      <c r="F917">
        <v>6</v>
      </c>
      <c r="G917">
        <v>12</v>
      </c>
      <c r="H917">
        <v>597</v>
      </c>
      <c r="I917">
        <v>1</v>
      </c>
      <c r="J917">
        <v>37.11</v>
      </c>
      <c r="K917" t="s">
        <v>15</v>
      </c>
      <c r="L917">
        <v>2780875.84</v>
      </c>
      <c r="M917">
        <v>0</v>
      </c>
      <c r="N917">
        <v>2780875.84</v>
      </c>
      <c r="O917">
        <v>74936.023713284827</v>
      </c>
      <c r="P917">
        <v>204105</v>
      </c>
      <c r="Q917">
        <v>2576770.84</v>
      </c>
      <c r="R917">
        <v>69436.023713284827</v>
      </c>
      <c r="S917" t="s">
        <v>65</v>
      </c>
      <c r="T917" t="s">
        <v>2664</v>
      </c>
      <c r="U917">
        <v>52587.16</v>
      </c>
      <c r="V917" t="s">
        <v>717</v>
      </c>
      <c r="W917">
        <v>44608</v>
      </c>
      <c r="X917" t="s">
        <v>6045</v>
      </c>
      <c r="Y917" t="s">
        <v>6</v>
      </c>
      <c r="Z917" t="s">
        <v>11</v>
      </c>
      <c r="AA917" t="s">
        <v>717</v>
      </c>
      <c r="AB917" t="s">
        <v>2509</v>
      </c>
      <c r="AC917" t="s">
        <v>3300</v>
      </c>
      <c r="AD917" t="s">
        <v>717</v>
      </c>
      <c r="AE917" t="s">
        <v>6030</v>
      </c>
      <c r="AF917" t="s">
        <v>6031</v>
      </c>
      <c r="AG917" t="s">
        <v>6032</v>
      </c>
      <c r="AH917" t="s">
        <v>2580</v>
      </c>
      <c r="AI917" t="s">
        <v>2877</v>
      </c>
      <c r="AJ917" t="s">
        <v>3921</v>
      </c>
      <c r="AK917" t="s">
        <v>77</v>
      </c>
      <c r="AL917" t="s">
        <v>16</v>
      </c>
      <c r="AM917" t="s">
        <v>10</v>
      </c>
      <c r="AN917" t="s">
        <v>717</v>
      </c>
    </row>
    <row r="918" spans="1:40" hidden="1">
      <c r="A918">
        <v>916</v>
      </c>
      <c r="B918">
        <v>39</v>
      </c>
      <c r="C918" s="58">
        <v>44610</v>
      </c>
      <c r="D918" t="s">
        <v>27</v>
      </c>
      <c r="E918" t="s">
        <v>2506</v>
      </c>
      <c r="F918">
        <v>5</v>
      </c>
      <c r="G918">
        <v>20</v>
      </c>
      <c r="H918">
        <v>356</v>
      </c>
      <c r="I918">
        <v>0</v>
      </c>
      <c r="J918">
        <v>23.63</v>
      </c>
      <c r="K918" t="s">
        <v>9</v>
      </c>
      <c r="L918">
        <v>2015479.5</v>
      </c>
      <c r="M918">
        <v>0</v>
      </c>
      <c r="N918">
        <v>2015479.5</v>
      </c>
      <c r="O918">
        <v>85293.250105797735</v>
      </c>
      <c r="P918">
        <v>0</v>
      </c>
      <c r="Q918">
        <v>2015479.5</v>
      </c>
      <c r="R918">
        <v>85293.250105797735</v>
      </c>
      <c r="S918" t="s">
        <v>2507</v>
      </c>
      <c r="T918" t="s">
        <v>717</v>
      </c>
      <c r="U918" t="s">
        <v>717</v>
      </c>
      <c r="V918" t="s">
        <v>717</v>
      </c>
      <c r="W918">
        <v>44608</v>
      </c>
      <c r="X918" t="s">
        <v>6046</v>
      </c>
      <c r="Y918" t="s">
        <v>6</v>
      </c>
      <c r="Z918" t="s">
        <v>11</v>
      </c>
      <c r="AA918" t="s">
        <v>717</v>
      </c>
      <c r="AB918" t="s">
        <v>2509</v>
      </c>
      <c r="AC918" t="s">
        <v>118</v>
      </c>
      <c r="AD918" t="s">
        <v>717</v>
      </c>
      <c r="AE918" t="s">
        <v>6047</v>
      </c>
      <c r="AF918" t="s">
        <v>6048</v>
      </c>
      <c r="AG918" t="s">
        <v>6049</v>
      </c>
      <c r="AH918" t="s">
        <v>2191</v>
      </c>
      <c r="AI918" t="s">
        <v>2552</v>
      </c>
      <c r="AJ918" t="s">
        <v>2514</v>
      </c>
      <c r="AK918" t="s">
        <v>63</v>
      </c>
      <c r="AL918" t="s">
        <v>717</v>
      </c>
      <c r="AM918" t="s">
        <v>10</v>
      </c>
      <c r="AN918" t="s">
        <v>717</v>
      </c>
    </row>
    <row r="919" spans="1:40" hidden="1">
      <c r="A919">
        <v>917</v>
      </c>
      <c r="B919">
        <v>40</v>
      </c>
      <c r="C919" s="58">
        <v>44610</v>
      </c>
      <c r="D919" t="s">
        <v>27</v>
      </c>
      <c r="E919" t="s">
        <v>5079</v>
      </c>
      <c r="F919">
        <v>5</v>
      </c>
      <c r="G919">
        <v>10</v>
      </c>
      <c r="H919">
        <v>708</v>
      </c>
      <c r="I919">
        <v>1</v>
      </c>
      <c r="J919">
        <v>38.96</v>
      </c>
      <c r="K919" t="s">
        <v>15</v>
      </c>
      <c r="L919">
        <v>3286765.34</v>
      </c>
      <c r="M919">
        <v>0</v>
      </c>
      <c r="N919">
        <v>3286765.34</v>
      </c>
      <c r="O919">
        <v>84362.560061601631</v>
      </c>
      <c r="P919">
        <v>214280</v>
      </c>
      <c r="Q919">
        <v>3072485.34</v>
      </c>
      <c r="R919">
        <v>78862.560061601631</v>
      </c>
      <c r="S919" t="s">
        <v>65</v>
      </c>
      <c r="T919" t="s">
        <v>717</v>
      </c>
      <c r="U919" t="s">
        <v>717</v>
      </c>
      <c r="V919" t="s">
        <v>717</v>
      </c>
      <c r="W919">
        <v>44602</v>
      </c>
      <c r="X919" t="s">
        <v>6050</v>
      </c>
      <c r="Y919" t="s">
        <v>6</v>
      </c>
      <c r="Z919" t="s">
        <v>17</v>
      </c>
      <c r="AA919" t="s">
        <v>717</v>
      </c>
      <c r="AB919" t="s">
        <v>2509</v>
      </c>
      <c r="AC919" t="s">
        <v>2571</v>
      </c>
      <c r="AD919" t="s">
        <v>717</v>
      </c>
      <c r="AE919" t="s">
        <v>6051</v>
      </c>
      <c r="AF919" t="s">
        <v>6052</v>
      </c>
      <c r="AG919" t="s">
        <v>6053</v>
      </c>
      <c r="AH919" t="s">
        <v>2615</v>
      </c>
      <c r="AI919" t="s">
        <v>2552</v>
      </c>
      <c r="AJ919" t="s">
        <v>6054</v>
      </c>
      <c r="AK919" t="s">
        <v>471</v>
      </c>
      <c r="AL919" t="s">
        <v>16</v>
      </c>
      <c r="AM919" t="s">
        <v>10</v>
      </c>
      <c r="AN919" t="s">
        <v>717</v>
      </c>
    </row>
    <row r="920" spans="1:40" hidden="1">
      <c r="A920">
        <v>918</v>
      </c>
      <c r="B920">
        <v>41</v>
      </c>
      <c r="C920" s="58">
        <v>44611</v>
      </c>
      <c r="D920" t="s">
        <v>27</v>
      </c>
      <c r="E920" t="s">
        <v>2515</v>
      </c>
      <c r="F920">
        <v>1</v>
      </c>
      <c r="G920">
        <v>9</v>
      </c>
      <c r="H920">
        <v>64</v>
      </c>
      <c r="I920">
        <v>3</v>
      </c>
      <c r="J920">
        <v>82.71</v>
      </c>
      <c r="K920" t="s">
        <v>15</v>
      </c>
      <c r="L920">
        <v>4897981.4400000004</v>
      </c>
      <c r="M920">
        <v>15000</v>
      </c>
      <c r="N920">
        <v>4912981.4400000004</v>
      </c>
      <c r="O920">
        <v>59400.089952847309</v>
      </c>
      <c r="P920">
        <v>454905</v>
      </c>
      <c r="Q920">
        <v>4458076.4400000004</v>
      </c>
      <c r="R920">
        <v>53900.089952847309</v>
      </c>
      <c r="S920" t="s">
        <v>130</v>
      </c>
      <c r="T920" t="s">
        <v>5443</v>
      </c>
      <c r="U920">
        <v>454905</v>
      </c>
      <c r="V920" t="s">
        <v>717</v>
      </c>
      <c r="W920">
        <v>44595</v>
      </c>
      <c r="X920" t="s">
        <v>6055</v>
      </c>
      <c r="Y920" t="s">
        <v>6</v>
      </c>
      <c r="Z920" t="s">
        <v>11</v>
      </c>
      <c r="AA920" t="s">
        <v>717</v>
      </c>
      <c r="AB920" t="s">
        <v>2509</v>
      </c>
      <c r="AC920" t="s">
        <v>118</v>
      </c>
      <c r="AD920" t="s">
        <v>717</v>
      </c>
      <c r="AE920" t="s">
        <v>6056</v>
      </c>
      <c r="AF920" t="s">
        <v>6057</v>
      </c>
      <c r="AG920" t="s">
        <v>6058</v>
      </c>
      <c r="AH920" t="s">
        <v>2615</v>
      </c>
      <c r="AI920" t="s">
        <v>2552</v>
      </c>
      <c r="AJ920" t="s">
        <v>2651</v>
      </c>
      <c r="AK920" t="s">
        <v>63</v>
      </c>
      <c r="AL920" t="s">
        <v>717</v>
      </c>
      <c r="AM920" t="s">
        <v>10</v>
      </c>
      <c r="AN920" t="s">
        <v>717</v>
      </c>
    </row>
    <row r="921" spans="1:40" hidden="1">
      <c r="A921">
        <v>919</v>
      </c>
      <c r="B921">
        <v>42</v>
      </c>
      <c r="C921" s="58">
        <v>44611</v>
      </c>
      <c r="D921" t="s">
        <v>121</v>
      </c>
      <c r="E921" t="s">
        <v>2506</v>
      </c>
      <c r="F921">
        <v>9</v>
      </c>
      <c r="G921">
        <v>10</v>
      </c>
      <c r="H921">
        <v>258</v>
      </c>
      <c r="I921">
        <v>2</v>
      </c>
      <c r="J921">
        <v>60.3</v>
      </c>
      <c r="K921" t="s">
        <v>15</v>
      </c>
      <c r="L921">
        <v>5097178.4800000004</v>
      </c>
      <c r="M921">
        <v>0</v>
      </c>
      <c r="N921">
        <v>5097178.4800000004</v>
      </c>
      <c r="O921">
        <v>84530.323051409636</v>
      </c>
      <c r="P921">
        <v>331650</v>
      </c>
      <c r="Q921">
        <v>4765528.4800000004</v>
      </c>
      <c r="R921">
        <v>79030.323051409636</v>
      </c>
      <c r="S921" t="s">
        <v>65</v>
      </c>
      <c r="T921" t="s">
        <v>2664</v>
      </c>
      <c r="U921">
        <v>97255.686466608196</v>
      </c>
      <c r="V921" t="s">
        <v>717</v>
      </c>
      <c r="W921">
        <v>44609</v>
      </c>
      <c r="X921" t="s">
        <v>6059</v>
      </c>
      <c r="Y921" t="s">
        <v>6</v>
      </c>
      <c r="Z921" t="s">
        <v>17</v>
      </c>
      <c r="AA921" t="s">
        <v>717</v>
      </c>
      <c r="AB921" t="s">
        <v>2509</v>
      </c>
      <c r="AC921" t="s">
        <v>2571</v>
      </c>
      <c r="AD921" t="s">
        <v>717</v>
      </c>
      <c r="AE921" t="s">
        <v>6060</v>
      </c>
      <c r="AF921" t="s">
        <v>6061</v>
      </c>
      <c r="AG921" t="s">
        <v>6062</v>
      </c>
      <c r="AH921" t="s">
        <v>2615</v>
      </c>
      <c r="AI921" t="s">
        <v>3595</v>
      </c>
      <c r="AJ921" t="s">
        <v>2895</v>
      </c>
      <c r="AK921" t="s">
        <v>73</v>
      </c>
      <c r="AL921" t="s">
        <v>575</v>
      </c>
      <c r="AM921" t="s">
        <v>10</v>
      </c>
      <c r="AN921" t="s">
        <v>717</v>
      </c>
    </row>
    <row r="922" spans="1:40" hidden="1">
      <c r="A922">
        <v>920</v>
      </c>
      <c r="B922">
        <v>43</v>
      </c>
      <c r="C922" s="58">
        <v>44613</v>
      </c>
      <c r="D922" t="s">
        <v>27</v>
      </c>
      <c r="E922" t="s">
        <v>4409</v>
      </c>
      <c r="F922">
        <v>1</v>
      </c>
      <c r="G922">
        <v>2</v>
      </c>
      <c r="H922">
        <v>512</v>
      </c>
      <c r="I922">
        <v>3</v>
      </c>
      <c r="J922">
        <v>82.27</v>
      </c>
      <c r="K922" t="s">
        <v>9</v>
      </c>
      <c r="L922">
        <v>4744366.68</v>
      </c>
      <c r="M922">
        <v>0</v>
      </c>
      <c r="N922">
        <v>4744366.68</v>
      </c>
      <c r="O922">
        <v>57668.246991612978</v>
      </c>
      <c r="P922">
        <v>0</v>
      </c>
      <c r="Q922">
        <v>4744366.68</v>
      </c>
      <c r="R922">
        <v>57668.246991612978</v>
      </c>
      <c r="S922" t="s">
        <v>65</v>
      </c>
      <c r="T922" t="s">
        <v>2664</v>
      </c>
      <c r="U922">
        <v>96823.81</v>
      </c>
      <c r="V922" t="s">
        <v>717</v>
      </c>
      <c r="W922">
        <v>44609</v>
      </c>
      <c r="X922" t="s">
        <v>6063</v>
      </c>
      <c r="Y922" t="s">
        <v>6</v>
      </c>
      <c r="Z922" t="s">
        <v>17</v>
      </c>
      <c r="AA922" t="s">
        <v>717</v>
      </c>
      <c r="AB922" t="s">
        <v>2509</v>
      </c>
      <c r="AC922" t="s">
        <v>2571</v>
      </c>
      <c r="AD922" t="s">
        <v>717</v>
      </c>
      <c r="AE922" t="s">
        <v>6064</v>
      </c>
      <c r="AF922" t="s">
        <v>6065</v>
      </c>
      <c r="AG922" t="s">
        <v>6066</v>
      </c>
      <c r="AH922" t="s">
        <v>2615</v>
      </c>
      <c r="AI922" t="s">
        <v>2621</v>
      </c>
      <c r="AJ922" t="s">
        <v>2651</v>
      </c>
      <c r="AK922" t="s">
        <v>63</v>
      </c>
      <c r="AL922" t="s">
        <v>16</v>
      </c>
      <c r="AM922" t="s">
        <v>10</v>
      </c>
      <c r="AN922" t="s">
        <v>717</v>
      </c>
    </row>
    <row r="923" spans="1:40" hidden="1">
      <c r="A923">
        <v>921</v>
      </c>
      <c r="B923">
        <v>44</v>
      </c>
      <c r="C923" s="58">
        <v>44613</v>
      </c>
      <c r="D923" t="s">
        <v>27</v>
      </c>
      <c r="E923" t="s">
        <v>5079</v>
      </c>
      <c r="F923">
        <v>3</v>
      </c>
      <c r="G923">
        <v>7</v>
      </c>
      <c r="H923">
        <v>679</v>
      </c>
      <c r="I923">
        <v>2</v>
      </c>
      <c r="J923">
        <v>56.33</v>
      </c>
      <c r="K923" t="s">
        <v>9</v>
      </c>
      <c r="L923">
        <v>4346044.4400000004</v>
      </c>
      <c r="M923">
        <v>0</v>
      </c>
      <c r="N923">
        <v>4346044.4400000004</v>
      </c>
      <c r="O923">
        <v>77153.283152849297</v>
      </c>
      <c r="P923">
        <v>0</v>
      </c>
      <c r="Q923">
        <v>4346044.4400000004</v>
      </c>
      <c r="R923">
        <v>77153.283152849297</v>
      </c>
      <c r="S923" t="s">
        <v>65</v>
      </c>
      <c r="T923" t="s">
        <v>2664</v>
      </c>
      <c r="U923">
        <v>88694.78</v>
      </c>
      <c r="V923" t="s">
        <v>717</v>
      </c>
      <c r="W923">
        <v>44610</v>
      </c>
      <c r="X923" t="s">
        <v>6067</v>
      </c>
      <c r="Y923" t="s">
        <v>6</v>
      </c>
      <c r="Z923" t="s">
        <v>17</v>
      </c>
      <c r="AA923" t="s">
        <v>717</v>
      </c>
      <c r="AB923" t="s">
        <v>2509</v>
      </c>
      <c r="AC923" t="s">
        <v>2571</v>
      </c>
      <c r="AD923" t="s">
        <v>717</v>
      </c>
      <c r="AE923" t="s">
        <v>6068</v>
      </c>
      <c r="AF923" t="s">
        <v>6069</v>
      </c>
      <c r="AG923" t="s">
        <v>6070</v>
      </c>
      <c r="AH923" t="s">
        <v>2191</v>
      </c>
      <c r="AI923" t="s">
        <v>2538</v>
      </c>
      <c r="AJ923" t="s">
        <v>2514</v>
      </c>
      <c r="AK923" t="s">
        <v>73</v>
      </c>
      <c r="AL923" t="s">
        <v>16</v>
      </c>
      <c r="AM923" t="s">
        <v>10</v>
      </c>
      <c r="AN923" t="s">
        <v>717</v>
      </c>
    </row>
    <row r="924" spans="1:40" hidden="1">
      <c r="A924">
        <v>922</v>
      </c>
      <c r="B924">
        <v>45</v>
      </c>
      <c r="C924" s="58">
        <v>44613</v>
      </c>
      <c r="D924" t="s">
        <v>121</v>
      </c>
      <c r="E924" t="s">
        <v>2515</v>
      </c>
      <c r="F924">
        <v>2</v>
      </c>
      <c r="G924">
        <v>22</v>
      </c>
      <c r="H924">
        <v>142</v>
      </c>
      <c r="I924">
        <v>2</v>
      </c>
      <c r="J924">
        <v>58.99</v>
      </c>
      <c r="K924" t="s">
        <v>9</v>
      </c>
      <c r="L924">
        <v>4819691.22</v>
      </c>
      <c r="M924">
        <v>0</v>
      </c>
      <c r="N924">
        <v>4819691.22</v>
      </c>
      <c r="O924">
        <v>81703.529750805217</v>
      </c>
      <c r="P924">
        <v>0</v>
      </c>
      <c r="Q924">
        <v>4819691.22</v>
      </c>
      <c r="R924">
        <v>81703.529750805217</v>
      </c>
      <c r="S924" t="s">
        <v>65</v>
      </c>
      <c r="T924" t="s">
        <v>2664</v>
      </c>
      <c r="U924">
        <v>98361.05</v>
      </c>
      <c r="V924" t="s">
        <v>717</v>
      </c>
      <c r="W924">
        <v>44612</v>
      </c>
      <c r="X924" t="s">
        <v>6071</v>
      </c>
      <c r="Y924" t="s">
        <v>6</v>
      </c>
      <c r="Z924" t="s">
        <v>17</v>
      </c>
      <c r="AA924" t="s">
        <v>717</v>
      </c>
      <c r="AB924" t="s">
        <v>2509</v>
      </c>
      <c r="AC924" t="s">
        <v>2571</v>
      </c>
      <c r="AD924" t="s">
        <v>717</v>
      </c>
      <c r="AE924" t="s">
        <v>6072</v>
      </c>
      <c r="AF924" t="s">
        <v>6073</v>
      </c>
      <c r="AG924" t="s">
        <v>6074</v>
      </c>
      <c r="AH924" t="s">
        <v>2616</v>
      </c>
      <c r="AI924" t="s">
        <v>2552</v>
      </c>
      <c r="AJ924" t="s">
        <v>3185</v>
      </c>
      <c r="AK924" t="s">
        <v>63</v>
      </c>
      <c r="AL924" t="s">
        <v>575</v>
      </c>
      <c r="AM924" t="s">
        <v>10</v>
      </c>
      <c r="AN924" t="s">
        <v>717</v>
      </c>
    </row>
    <row r="925" spans="1:40" hidden="1">
      <c r="A925">
        <v>923</v>
      </c>
      <c r="B925">
        <v>46</v>
      </c>
      <c r="C925" s="58">
        <v>44614</v>
      </c>
      <c r="D925" t="s">
        <v>27</v>
      </c>
      <c r="E925" t="s">
        <v>4409</v>
      </c>
      <c r="F925">
        <v>3</v>
      </c>
      <c r="G925">
        <v>6</v>
      </c>
      <c r="H925">
        <v>546</v>
      </c>
      <c r="I925">
        <v>0</v>
      </c>
      <c r="J925">
        <v>23.54</v>
      </c>
      <c r="K925" t="s">
        <v>9</v>
      </c>
      <c r="L925">
        <v>1934144.72</v>
      </c>
      <c r="M925">
        <v>15000</v>
      </c>
      <c r="N925">
        <v>1949144.72</v>
      </c>
      <c r="O925">
        <v>82801.389974511476</v>
      </c>
      <c r="P925">
        <v>0</v>
      </c>
      <c r="Q925">
        <v>1949144.72</v>
      </c>
      <c r="R925">
        <v>82801.389974511476</v>
      </c>
      <c r="S925" t="s">
        <v>2507</v>
      </c>
      <c r="T925" t="s">
        <v>717</v>
      </c>
      <c r="U925" t="s">
        <v>717</v>
      </c>
      <c r="V925" t="s">
        <v>717</v>
      </c>
      <c r="W925">
        <v>44612</v>
      </c>
      <c r="X925" t="s">
        <v>6075</v>
      </c>
      <c r="Y925" t="s">
        <v>6</v>
      </c>
      <c r="Z925" t="s">
        <v>11</v>
      </c>
      <c r="AA925" t="s">
        <v>717</v>
      </c>
      <c r="AB925" t="s">
        <v>2509</v>
      </c>
      <c r="AC925" t="s">
        <v>118</v>
      </c>
      <c r="AD925" t="s">
        <v>717</v>
      </c>
      <c r="AE925" t="s">
        <v>6076</v>
      </c>
      <c r="AF925" t="s">
        <v>5858</v>
      </c>
      <c r="AG925" t="s">
        <v>5859</v>
      </c>
      <c r="AH925" t="s">
        <v>2615</v>
      </c>
      <c r="AI925" t="s">
        <v>5653</v>
      </c>
      <c r="AJ925" t="s">
        <v>31</v>
      </c>
      <c r="AK925" t="s">
        <v>77</v>
      </c>
      <c r="AL925" t="s">
        <v>717</v>
      </c>
      <c r="AM925" t="s">
        <v>5654</v>
      </c>
      <c r="AN925" t="s">
        <v>717</v>
      </c>
    </row>
    <row r="926" spans="1:40" hidden="1">
      <c r="A926">
        <v>924</v>
      </c>
      <c r="B926">
        <v>47</v>
      </c>
      <c r="C926" s="58">
        <v>44616</v>
      </c>
      <c r="D926" t="s">
        <v>27</v>
      </c>
      <c r="E926" t="s">
        <v>4409</v>
      </c>
      <c r="F926">
        <v>2</v>
      </c>
      <c r="G926">
        <v>14</v>
      </c>
      <c r="H926">
        <v>609</v>
      </c>
      <c r="I926">
        <v>1</v>
      </c>
      <c r="J926">
        <v>37.159999999999997</v>
      </c>
      <c r="K926" t="s">
        <v>9</v>
      </c>
      <c r="L926">
        <v>2580242.44</v>
      </c>
      <c r="M926">
        <v>0</v>
      </c>
      <c r="N926">
        <v>2580242.44</v>
      </c>
      <c r="O926">
        <v>69436.018299246512</v>
      </c>
      <c r="P926">
        <v>0</v>
      </c>
      <c r="Q926">
        <v>2580242.44</v>
      </c>
      <c r="R926">
        <v>69436.018299246512</v>
      </c>
      <c r="S926" t="s">
        <v>65</v>
      </c>
      <c r="T926" t="s">
        <v>2664</v>
      </c>
      <c r="U926">
        <v>52658.01</v>
      </c>
      <c r="V926" t="s">
        <v>717</v>
      </c>
      <c r="W926">
        <v>44607</v>
      </c>
      <c r="X926" t="s">
        <v>6077</v>
      </c>
      <c r="Y926" t="s">
        <v>6</v>
      </c>
      <c r="Z926" t="s">
        <v>17</v>
      </c>
      <c r="AA926" t="s">
        <v>717</v>
      </c>
      <c r="AB926" t="s">
        <v>2509</v>
      </c>
      <c r="AC926" t="s">
        <v>2571</v>
      </c>
      <c r="AD926" t="s">
        <v>717</v>
      </c>
      <c r="AE926" t="s">
        <v>6078</v>
      </c>
      <c r="AF926" t="s">
        <v>6079</v>
      </c>
      <c r="AG926" t="s">
        <v>6080</v>
      </c>
      <c r="AH926" t="s">
        <v>2616</v>
      </c>
      <c r="AI926" t="s">
        <v>2552</v>
      </c>
      <c r="AJ926" t="s">
        <v>2895</v>
      </c>
      <c r="AK926" t="s">
        <v>73</v>
      </c>
      <c r="AL926" t="s">
        <v>16</v>
      </c>
      <c r="AM926" t="s">
        <v>10</v>
      </c>
      <c r="AN926" t="s">
        <v>717</v>
      </c>
    </row>
    <row r="927" spans="1:40" hidden="1">
      <c r="A927">
        <v>925</v>
      </c>
      <c r="B927">
        <v>48</v>
      </c>
      <c r="C927" s="58">
        <v>44616</v>
      </c>
      <c r="D927" t="s">
        <v>27</v>
      </c>
      <c r="E927" t="s">
        <v>4409</v>
      </c>
      <c r="F927">
        <v>6</v>
      </c>
      <c r="G927">
        <v>16</v>
      </c>
      <c r="H927">
        <v>629</v>
      </c>
      <c r="I927">
        <v>1</v>
      </c>
      <c r="J927">
        <v>37.11</v>
      </c>
      <c r="K927" t="s">
        <v>15</v>
      </c>
      <c r="L927">
        <v>2780875.64</v>
      </c>
      <c r="M927">
        <v>0</v>
      </c>
      <c r="N927">
        <v>2780875.64</v>
      </c>
      <c r="O927">
        <v>74936.018323901924</v>
      </c>
      <c r="P927">
        <v>204105</v>
      </c>
      <c r="Q927">
        <v>2576770.64</v>
      </c>
      <c r="R927">
        <v>69436.018323901924</v>
      </c>
      <c r="S927" t="s">
        <v>65</v>
      </c>
      <c r="T927" t="s">
        <v>2664</v>
      </c>
      <c r="U927">
        <v>52587.16</v>
      </c>
      <c r="V927" t="s">
        <v>717</v>
      </c>
      <c r="W927">
        <v>44609</v>
      </c>
      <c r="X927" t="s">
        <v>6081</v>
      </c>
      <c r="Y927" t="s">
        <v>6</v>
      </c>
      <c r="Z927" t="s">
        <v>17</v>
      </c>
      <c r="AA927" t="s">
        <v>717</v>
      </c>
      <c r="AB927" t="s">
        <v>2509</v>
      </c>
      <c r="AC927" t="s">
        <v>2571</v>
      </c>
      <c r="AD927" t="s">
        <v>717</v>
      </c>
      <c r="AE927" t="s">
        <v>6082</v>
      </c>
      <c r="AF927" t="s">
        <v>6083</v>
      </c>
      <c r="AG927" t="s">
        <v>6084</v>
      </c>
      <c r="AH927" t="s">
        <v>2552</v>
      </c>
      <c r="AI927" t="s">
        <v>2877</v>
      </c>
      <c r="AJ927" t="s">
        <v>3098</v>
      </c>
      <c r="AK927" t="s">
        <v>20</v>
      </c>
      <c r="AL927" t="s">
        <v>575</v>
      </c>
      <c r="AM927" t="s">
        <v>10</v>
      </c>
      <c r="AN927" t="s">
        <v>717</v>
      </c>
    </row>
    <row r="928" spans="1:40" hidden="1">
      <c r="A928">
        <v>926</v>
      </c>
      <c r="B928">
        <v>49</v>
      </c>
      <c r="C928" s="58">
        <v>44616</v>
      </c>
      <c r="D928" t="s">
        <v>121</v>
      </c>
      <c r="E928" t="s">
        <v>2506</v>
      </c>
      <c r="F928">
        <v>1</v>
      </c>
      <c r="G928">
        <v>10</v>
      </c>
      <c r="H928">
        <v>250</v>
      </c>
      <c r="I928">
        <v>1</v>
      </c>
      <c r="J928">
        <v>38.83</v>
      </c>
      <c r="K928" t="s">
        <v>15</v>
      </c>
      <c r="L928">
        <v>3677384.28</v>
      </c>
      <c r="M928">
        <v>0</v>
      </c>
      <c r="N928">
        <v>3677384.28</v>
      </c>
      <c r="O928">
        <v>94704.720061807879</v>
      </c>
      <c r="P928">
        <v>213565</v>
      </c>
      <c r="Q928">
        <v>3463819.28</v>
      </c>
      <c r="R928">
        <v>89204.720061807879</v>
      </c>
      <c r="S928" t="s">
        <v>65</v>
      </c>
      <c r="T928" t="s">
        <v>717</v>
      </c>
      <c r="U928" t="s">
        <v>717</v>
      </c>
      <c r="V928" t="s">
        <v>717</v>
      </c>
      <c r="W928">
        <v>44611</v>
      </c>
      <c r="X928" t="s">
        <v>6085</v>
      </c>
      <c r="Y928" t="s">
        <v>6</v>
      </c>
      <c r="Z928" t="s">
        <v>17</v>
      </c>
      <c r="AA928" t="s">
        <v>717</v>
      </c>
      <c r="AB928" t="s">
        <v>2509</v>
      </c>
      <c r="AC928" t="s">
        <v>2571</v>
      </c>
      <c r="AD928" t="s">
        <v>717</v>
      </c>
      <c r="AE928" t="s">
        <v>6086</v>
      </c>
      <c r="AF928" t="s">
        <v>6087</v>
      </c>
      <c r="AG928" t="s">
        <v>6088</v>
      </c>
      <c r="AH928" t="s">
        <v>2615</v>
      </c>
      <c r="AI928" t="s">
        <v>2824</v>
      </c>
      <c r="AJ928" t="s">
        <v>2569</v>
      </c>
      <c r="AK928" t="s">
        <v>77</v>
      </c>
      <c r="AL928" t="s">
        <v>16</v>
      </c>
      <c r="AM928" t="s">
        <v>10</v>
      </c>
      <c r="AN928" t="s">
        <v>717</v>
      </c>
    </row>
    <row r="929" spans="1:40" hidden="1">
      <c r="A929">
        <v>927</v>
      </c>
      <c r="B929">
        <v>50</v>
      </c>
      <c r="C929" s="58">
        <v>44616</v>
      </c>
      <c r="D929" t="s">
        <v>121</v>
      </c>
      <c r="E929" t="s">
        <v>2506</v>
      </c>
      <c r="F929">
        <v>11</v>
      </c>
      <c r="G929">
        <v>15</v>
      </c>
      <c r="H929">
        <v>315</v>
      </c>
      <c r="I929">
        <v>0</v>
      </c>
      <c r="J929">
        <v>25.85</v>
      </c>
      <c r="K929" t="s">
        <v>25</v>
      </c>
      <c r="L929">
        <v>2859592.4</v>
      </c>
      <c r="M929">
        <v>0</v>
      </c>
      <c r="N929">
        <v>2859592.4</v>
      </c>
      <c r="O929">
        <v>110622.52998065764</v>
      </c>
      <c r="P929">
        <v>413600</v>
      </c>
      <c r="Q929">
        <v>2445992.4</v>
      </c>
      <c r="R929">
        <v>94622.529980657637</v>
      </c>
      <c r="S929" t="s">
        <v>65</v>
      </c>
      <c r="T929" t="s">
        <v>717</v>
      </c>
      <c r="U929" t="s">
        <v>717</v>
      </c>
      <c r="V929" t="s">
        <v>717</v>
      </c>
      <c r="W929">
        <v>44614</v>
      </c>
      <c r="X929" t="s">
        <v>6089</v>
      </c>
      <c r="Y929" t="s">
        <v>6</v>
      </c>
      <c r="Z929" t="s">
        <v>11</v>
      </c>
      <c r="AA929" t="s">
        <v>717</v>
      </c>
      <c r="AB929" t="s">
        <v>2509</v>
      </c>
      <c r="AC929" t="s">
        <v>3300</v>
      </c>
      <c r="AD929" t="s">
        <v>717</v>
      </c>
      <c r="AE929" t="s">
        <v>6090</v>
      </c>
      <c r="AF929" t="s">
        <v>6091</v>
      </c>
      <c r="AG929" t="s">
        <v>6092</v>
      </c>
      <c r="AH929" t="s">
        <v>2615</v>
      </c>
      <c r="AI929" t="s">
        <v>2552</v>
      </c>
      <c r="AJ929" t="s">
        <v>2662</v>
      </c>
      <c r="AK929" t="s">
        <v>77</v>
      </c>
      <c r="AL929" t="s">
        <v>575</v>
      </c>
      <c r="AM929" t="s">
        <v>10</v>
      </c>
      <c r="AN929" t="s">
        <v>717</v>
      </c>
    </row>
    <row r="930" spans="1:40" hidden="1">
      <c r="A930">
        <v>928</v>
      </c>
      <c r="B930">
        <v>51</v>
      </c>
      <c r="C930" s="58">
        <v>44617</v>
      </c>
      <c r="D930" t="s">
        <v>27</v>
      </c>
      <c r="E930" t="s">
        <v>5079</v>
      </c>
      <c r="F930">
        <v>3</v>
      </c>
      <c r="G930">
        <v>8</v>
      </c>
      <c r="H930">
        <v>688</v>
      </c>
      <c r="I930">
        <v>2</v>
      </c>
      <c r="J930">
        <v>56.33</v>
      </c>
      <c r="K930" t="s">
        <v>9</v>
      </c>
      <c r="L930">
        <v>4051397.4</v>
      </c>
      <c r="M930">
        <v>0</v>
      </c>
      <c r="N930">
        <v>4051397.4</v>
      </c>
      <c r="O930">
        <v>71922.552813775968</v>
      </c>
      <c r="P930">
        <v>0</v>
      </c>
      <c r="Q930">
        <v>4051397.4</v>
      </c>
      <c r="R930">
        <v>71922.552813775968</v>
      </c>
      <c r="S930" t="s">
        <v>65</v>
      </c>
      <c r="T930" t="s">
        <v>2664</v>
      </c>
      <c r="U930">
        <v>82681.58</v>
      </c>
      <c r="V930" t="s">
        <v>717</v>
      </c>
      <c r="W930">
        <v>44607</v>
      </c>
      <c r="X930" t="s">
        <v>6093</v>
      </c>
      <c r="Y930" t="s">
        <v>6</v>
      </c>
      <c r="Z930" t="s">
        <v>17</v>
      </c>
      <c r="AA930" t="s">
        <v>717</v>
      </c>
      <c r="AB930" t="s">
        <v>2509</v>
      </c>
      <c r="AC930" t="s">
        <v>2571</v>
      </c>
      <c r="AD930" t="s">
        <v>717</v>
      </c>
      <c r="AE930" t="s">
        <v>6094</v>
      </c>
      <c r="AF930" t="s">
        <v>6095</v>
      </c>
      <c r="AG930" t="s">
        <v>6096</v>
      </c>
      <c r="AH930" t="s">
        <v>2552</v>
      </c>
      <c r="AI930" t="s">
        <v>2877</v>
      </c>
      <c r="AJ930" t="s">
        <v>3098</v>
      </c>
      <c r="AK930" t="s">
        <v>73</v>
      </c>
      <c r="AL930" t="s">
        <v>575</v>
      </c>
      <c r="AM930" t="s">
        <v>10</v>
      </c>
      <c r="AN930" t="s">
        <v>717</v>
      </c>
    </row>
    <row r="931" spans="1:40" hidden="1">
      <c r="A931">
        <v>929</v>
      </c>
      <c r="B931">
        <v>52</v>
      </c>
      <c r="C931" s="58">
        <v>44617</v>
      </c>
      <c r="D931" t="s">
        <v>27</v>
      </c>
      <c r="E931" t="s">
        <v>2515</v>
      </c>
      <c r="F931">
        <v>6</v>
      </c>
      <c r="G931">
        <v>6</v>
      </c>
      <c r="H931">
        <v>42</v>
      </c>
      <c r="I931">
        <v>2</v>
      </c>
      <c r="J931">
        <v>54.67</v>
      </c>
      <c r="K931" t="s">
        <v>9</v>
      </c>
      <c r="L931">
        <v>3984168.1</v>
      </c>
      <c r="M931">
        <v>0</v>
      </c>
      <c r="N931">
        <v>3984168.1</v>
      </c>
      <c r="O931">
        <v>72876.680080482896</v>
      </c>
      <c r="P931">
        <v>0</v>
      </c>
      <c r="Q931">
        <v>3984168.1</v>
      </c>
      <c r="R931">
        <v>72876.680080482896</v>
      </c>
      <c r="S931" t="s">
        <v>65</v>
      </c>
      <c r="T931" t="s">
        <v>717</v>
      </c>
      <c r="U931" t="s">
        <v>717</v>
      </c>
      <c r="V931" t="s">
        <v>717</v>
      </c>
      <c r="W931">
        <v>44610</v>
      </c>
      <c r="X931" t="s">
        <v>6097</v>
      </c>
      <c r="Y931" t="s">
        <v>6</v>
      </c>
      <c r="Z931" t="s">
        <v>17</v>
      </c>
      <c r="AA931" t="s">
        <v>717</v>
      </c>
      <c r="AB931" t="s">
        <v>2509</v>
      </c>
      <c r="AC931" t="s">
        <v>2571</v>
      </c>
      <c r="AD931" t="s">
        <v>717</v>
      </c>
      <c r="AE931" t="s">
        <v>932</v>
      </c>
      <c r="AF931" t="s">
        <v>6098</v>
      </c>
      <c r="AG931" t="s">
        <v>6099</v>
      </c>
      <c r="AH931" t="s">
        <v>6100</v>
      </c>
      <c r="AI931" t="s">
        <v>5653</v>
      </c>
      <c r="AJ931" t="s">
        <v>31</v>
      </c>
      <c r="AK931" t="s">
        <v>20</v>
      </c>
      <c r="AL931" t="s">
        <v>575</v>
      </c>
      <c r="AM931" t="s">
        <v>5654</v>
      </c>
      <c r="AN931" t="s">
        <v>717</v>
      </c>
    </row>
    <row r="932" spans="1:40" hidden="1">
      <c r="A932">
        <v>930</v>
      </c>
      <c r="B932">
        <v>53</v>
      </c>
      <c r="C932" s="58">
        <v>44617</v>
      </c>
      <c r="D932" t="s">
        <v>27</v>
      </c>
      <c r="E932" t="s">
        <v>2515</v>
      </c>
      <c r="F932">
        <v>9</v>
      </c>
      <c r="G932">
        <v>9</v>
      </c>
      <c r="H932">
        <v>72</v>
      </c>
      <c r="I932">
        <v>1</v>
      </c>
      <c r="J932">
        <v>37.94</v>
      </c>
      <c r="K932" t="s">
        <v>15</v>
      </c>
      <c r="L932">
        <v>2843072.54</v>
      </c>
      <c r="M932">
        <v>0</v>
      </c>
      <c r="N932">
        <v>2843072.54</v>
      </c>
      <c r="O932">
        <v>74936.018450184507</v>
      </c>
      <c r="P932">
        <v>208670</v>
      </c>
      <c r="Q932">
        <v>2634402.54</v>
      </c>
      <c r="R932">
        <v>69436.018450184507</v>
      </c>
      <c r="S932" t="s">
        <v>2507</v>
      </c>
      <c r="T932" t="s">
        <v>2664</v>
      </c>
      <c r="U932">
        <v>53763.32</v>
      </c>
      <c r="V932" t="s">
        <v>717</v>
      </c>
      <c r="W932">
        <v>44615</v>
      </c>
      <c r="X932" t="s">
        <v>6101</v>
      </c>
      <c r="Y932" t="s">
        <v>6</v>
      </c>
      <c r="Z932" t="s">
        <v>11</v>
      </c>
      <c r="AA932" t="s">
        <v>717</v>
      </c>
      <c r="AB932" t="s">
        <v>2509</v>
      </c>
      <c r="AC932" t="s">
        <v>118</v>
      </c>
      <c r="AD932" t="s">
        <v>717</v>
      </c>
      <c r="AE932" t="s">
        <v>6102</v>
      </c>
      <c r="AF932" t="s">
        <v>6103</v>
      </c>
      <c r="AG932" t="s">
        <v>6104</v>
      </c>
      <c r="AH932" t="s">
        <v>2615</v>
      </c>
      <c r="AI932" t="s">
        <v>2552</v>
      </c>
      <c r="AJ932" t="s">
        <v>2651</v>
      </c>
      <c r="AK932" t="s">
        <v>77</v>
      </c>
      <c r="AL932" t="s">
        <v>717</v>
      </c>
      <c r="AM932" t="s">
        <v>10</v>
      </c>
      <c r="AN932" t="s">
        <v>717</v>
      </c>
    </row>
    <row r="933" spans="1:40" hidden="1">
      <c r="A933">
        <v>931</v>
      </c>
      <c r="B933">
        <v>54</v>
      </c>
      <c r="C933" s="58">
        <v>44617</v>
      </c>
      <c r="D933" t="s">
        <v>27</v>
      </c>
      <c r="E933" t="s">
        <v>2515</v>
      </c>
      <c r="F933">
        <v>9</v>
      </c>
      <c r="G933">
        <v>13</v>
      </c>
      <c r="H933">
        <v>108</v>
      </c>
      <c r="I933">
        <v>1</v>
      </c>
      <c r="J933">
        <v>37.94</v>
      </c>
      <c r="K933" t="s">
        <v>9</v>
      </c>
      <c r="L933">
        <v>2634402.54</v>
      </c>
      <c r="M933">
        <v>0</v>
      </c>
      <c r="N933">
        <v>2634402.54</v>
      </c>
      <c r="O933">
        <v>69436.018450184507</v>
      </c>
      <c r="P933">
        <v>0</v>
      </c>
      <c r="Q933">
        <v>2634402.54</v>
      </c>
      <c r="R933">
        <v>69436.018450184507</v>
      </c>
      <c r="S933" t="s">
        <v>65</v>
      </c>
      <c r="T933" t="s">
        <v>2664</v>
      </c>
      <c r="U933">
        <v>53763.32</v>
      </c>
      <c r="V933" t="s">
        <v>717</v>
      </c>
      <c r="W933">
        <v>44608</v>
      </c>
      <c r="X933" t="s">
        <v>6105</v>
      </c>
      <c r="Y933" t="s">
        <v>6</v>
      </c>
      <c r="Z933" t="s">
        <v>17</v>
      </c>
      <c r="AA933" t="s">
        <v>5617</v>
      </c>
      <c r="AB933" t="s">
        <v>2509</v>
      </c>
      <c r="AC933" t="s">
        <v>2564</v>
      </c>
      <c r="AD933" t="s">
        <v>717</v>
      </c>
      <c r="AE933" t="s">
        <v>5470</v>
      </c>
      <c r="AF933" t="s">
        <v>5471</v>
      </c>
      <c r="AG933" t="s">
        <v>5472</v>
      </c>
      <c r="AH933" t="s">
        <v>2552</v>
      </c>
      <c r="AI933" t="s">
        <v>2600</v>
      </c>
      <c r="AJ933" t="s">
        <v>3921</v>
      </c>
      <c r="AK933" t="s">
        <v>77</v>
      </c>
      <c r="AL933" t="s">
        <v>575</v>
      </c>
      <c r="AM933" t="s">
        <v>10</v>
      </c>
      <c r="AN933" t="s">
        <v>717</v>
      </c>
    </row>
    <row r="934" spans="1:40" hidden="1">
      <c r="A934">
        <v>932</v>
      </c>
      <c r="B934">
        <v>55</v>
      </c>
      <c r="C934" s="58">
        <v>44620</v>
      </c>
      <c r="D934" t="s">
        <v>27</v>
      </c>
      <c r="E934" t="s">
        <v>2506</v>
      </c>
      <c r="F934">
        <v>8</v>
      </c>
      <c r="G934">
        <v>10</v>
      </c>
      <c r="H934">
        <v>279</v>
      </c>
      <c r="I934">
        <v>2</v>
      </c>
      <c r="J934">
        <v>55.8</v>
      </c>
      <c r="K934" t="s">
        <v>9</v>
      </c>
      <c r="L934">
        <v>3900173.36</v>
      </c>
      <c r="M934">
        <v>0</v>
      </c>
      <c r="N934">
        <v>3900173.36</v>
      </c>
      <c r="O934">
        <v>69895.579928315419</v>
      </c>
      <c r="P934">
        <v>0</v>
      </c>
      <c r="Q934">
        <v>3900173.36</v>
      </c>
      <c r="R934">
        <v>69895.579928315419</v>
      </c>
      <c r="S934" t="s">
        <v>65</v>
      </c>
      <c r="T934" t="s">
        <v>717</v>
      </c>
      <c r="U934" t="s">
        <v>717</v>
      </c>
      <c r="V934" t="s">
        <v>717</v>
      </c>
      <c r="W934">
        <v>44606</v>
      </c>
      <c r="X934" t="s">
        <v>6106</v>
      </c>
      <c r="Y934" t="s">
        <v>6</v>
      </c>
      <c r="Z934" t="s">
        <v>17</v>
      </c>
      <c r="AA934" t="s">
        <v>717</v>
      </c>
      <c r="AB934" t="s">
        <v>2509</v>
      </c>
      <c r="AC934" t="s">
        <v>2571</v>
      </c>
      <c r="AD934" t="s">
        <v>717</v>
      </c>
      <c r="AE934" t="s">
        <v>6107</v>
      </c>
      <c r="AF934" t="s">
        <v>6108</v>
      </c>
      <c r="AG934" t="s">
        <v>6109</v>
      </c>
      <c r="AH934" t="s">
        <v>2191</v>
      </c>
      <c r="AI934" t="s">
        <v>2834</v>
      </c>
      <c r="AJ934" t="s">
        <v>6110</v>
      </c>
      <c r="AK934" t="s">
        <v>20</v>
      </c>
      <c r="AL934" t="s">
        <v>16</v>
      </c>
      <c r="AM934" t="s">
        <v>10</v>
      </c>
      <c r="AN934" t="s">
        <v>717</v>
      </c>
    </row>
    <row r="935" spans="1:40" hidden="1">
      <c r="A935">
        <v>933</v>
      </c>
      <c r="B935">
        <v>56</v>
      </c>
      <c r="C935" s="58">
        <v>44620</v>
      </c>
      <c r="D935" t="s">
        <v>27</v>
      </c>
      <c r="E935" t="s">
        <v>5456</v>
      </c>
      <c r="F935">
        <v>6</v>
      </c>
      <c r="G935">
        <v>6</v>
      </c>
      <c r="H935">
        <v>872</v>
      </c>
      <c r="I935">
        <v>2</v>
      </c>
      <c r="J935">
        <v>54.28</v>
      </c>
      <c r="K935" t="s">
        <v>9</v>
      </c>
      <c r="L935">
        <v>3537994.8</v>
      </c>
      <c r="M935">
        <v>0</v>
      </c>
      <c r="N935">
        <v>3537994.8</v>
      </c>
      <c r="O935">
        <v>65180.449521002207</v>
      </c>
      <c r="P935">
        <v>0</v>
      </c>
      <c r="Q935">
        <v>3537994.8</v>
      </c>
      <c r="R935">
        <v>65180.449521002207</v>
      </c>
      <c r="S935" t="s">
        <v>65</v>
      </c>
      <c r="T935" t="s">
        <v>2664</v>
      </c>
      <c r="U935">
        <v>72203.98</v>
      </c>
      <c r="V935" t="s">
        <v>717</v>
      </c>
      <c r="W935">
        <v>44607</v>
      </c>
      <c r="X935" t="s">
        <v>6111</v>
      </c>
      <c r="Y935" t="s">
        <v>6</v>
      </c>
      <c r="Z935" t="s">
        <v>17</v>
      </c>
      <c r="AA935" t="s">
        <v>717</v>
      </c>
      <c r="AB935" t="s">
        <v>2509</v>
      </c>
      <c r="AC935" t="s">
        <v>2571</v>
      </c>
      <c r="AD935" t="s">
        <v>717</v>
      </c>
      <c r="AE935" t="s">
        <v>3447</v>
      </c>
      <c r="AF935" t="s">
        <v>3448</v>
      </c>
      <c r="AG935" t="s">
        <v>3449</v>
      </c>
      <c r="AH935" t="s">
        <v>2580</v>
      </c>
      <c r="AI935" t="s">
        <v>2600</v>
      </c>
      <c r="AJ935" t="s">
        <v>3921</v>
      </c>
      <c r="AK935" t="s">
        <v>63</v>
      </c>
      <c r="AL935" t="s">
        <v>16</v>
      </c>
      <c r="AM935" t="s">
        <v>10</v>
      </c>
      <c r="AN935" t="s">
        <v>717</v>
      </c>
    </row>
    <row r="936" spans="1:40" hidden="1">
      <c r="A936">
        <v>934</v>
      </c>
      <c r="B936">
        <v>57</v>
      </c>
      <c r="C936" s="58">
        <v>44620</v>
      </c>
      <c r="D936" t="s">
        <v>27</v>
      </c>
      <c r="E936" t="s">
        <v>5079</v>
      </c>
      <c r="F936">
        <v>6</v>
      </c>
      <c r="G936">
        <v>18</v>
      </c>
      <c r="H936">
        <v>780</v>
      </c>
      <c r="I936">
        <v>1</v>
      </c>
      <c r="J936">
        <v>38.909999999999997</v>
      </c>
      <c r="K936" t="s">
        <v>9</v>
      </c>
      <c r="L936">
        <v>3007171.37</v>
      </c>
      <c r="M936">
        <v>0</v>
      </c>
      <c r="N936">
        <v>3007171.37</v>
      </c>
      <c r="O936">
        <v>77285.30891801593</v>
      </c>
      <c r="P936">
        <v>0</v>
      </c>
      <c r="Q936">
        <v>3007171.37</v>
      </c>
      <c r="R936">
        <v>77285.30891801593</v>
      </c>
      <c r="S936" t="s">
        <v>65</v>
      </c>
      <c r="T936" t="s">
        <v>2664</v>
      </c>
      <c r="U936">
        <v>61370.84</v>
      </c>
      <c r="V936" t="s">
        <v>717</v>
      </c>
      <c r="W936">
        <v>44617</v>
      </c>
      <c r="X936" t="s">
        <v>6112</v>
      </c>
      <c r="Y936" t="s">
        <v>6</v>
      </c>
      <c r="Z936" t="s">
        <v>17</v>
      </c>
      <c r="AA936" t="s">
        <v>717</v>
      </c>
      <c r="AB936" t="s">
        <v>2509</v>
      </c>
      <c r="AC936" t="s">
        <v>2571</v>
      </c>
      <c r="AD936" t="s">
        <v>717</v>
      </c>
      <c r="AE936" t="s">
        <v>6113</v>
      </c>
      <c r="AF936" t="s">
        <v>6114</v>
      </c>
      <c r="AG936" t="s">
        <v>6115</v>
      </c>
      <c r="AH936" t="s">
        <v>2615</v>
      </c>
      <c r="AI936" t="s">
        <v>2552</v>
      </c>
      <c r="AJ936" t="s">
        <v>2895</v>
      </c>
      <c r="AK936" t="s">
        <v>63</v>
      </c>
      <c r="AL936" t="s">
        <v>575</v>
      </c>
      <c r="AM936" t="s">
        <v>10</v>
      </c>
      <c r="AN936" t="s">
        <v>717</v>
      </c>
    </row>
    <row r="937" spans="1:40" hidden="1">
      <c r="A937">
        <v>935</v>
      </c>
      <c r="B937">
        <v>58</v>
      </c>
      <c r="C937" s="58">
        <v>44620</v>
      </c>
      <c r="D937" t="s">
        <v>27</v>
      </c>
      <c r="E937" t="s">
        <v>5456</v>
      </c>
      <c r="F937">
        <v>3</v>
      </c>
      <c r="G937">
        <v>4</v>
      </c>
      <c r="H937">
        <v>851</v>
      </c>
      <c r="I937">
        <v>1</v>
      </c>
      <c r="J937">
        <v>37.31</v>
      </c>
      <c r="K937" t="s">
        <v>25</v>
      </c>
      <c r="L937">
        <v>3352837.53</v>
      </c>
      <c r="M937">
        <v>15000</v>
      </c>
      <c r="N937">
        <v>3367837.53</v>
      </c>
      <c r="O937">
        <v>90266.350308228342</v>
      </c>
      <c r="P937">
        <v>596960</v>
      </c>
      <c r="Q937">
        <v>2770877.53</v>
      </c>
      <c r="R937">
        <v>74266.350308228342</v>
      </c>
      <c r="S937" t="s">
        <v>130</v>
      </c>
      <c r="T937" t="s">
        <v>2664</v>
      </c>
      <c r="U937">
        <v>56548.52</v>
      </c>
      <c r="V937" t="s">
        <v>717</v>
      </c>
      <c r="W937">
        <v>44601</v>
      </c>
      <c r="X937" t="s">
        <v>6116</v>
      </c>
      <c r="Y937" t="s">
        <v>6</v>
      </c>
      <c r="Z937" t="s">
        <v>11</v>
      </c>
      <c r="AA937" t="s">
        <v>717</v>
      </c>
      <c r="AB937" t="s">
        <v>2509</v>
      </c>
      <c r="AC937" t="s">
        <v>118</v>
      </c>
      <c r="AD937" t="s">
        <v>717</v>
      </c>
      <c r="AE937" t="s">
        <v>6117</v>
      </c>
      <c r="AF937" t="s">
        <v>6118</v>
      </c>
      <c r="AG937" t="s">
        <v>6119</v>
      </c>
      <c r="AH937" t="s">
        <v>2615</v>
      </c>
      <c r="AI937" t="s">
        <v>2847</v>
      </c>
      <c r="AJ937" t="s">
        <v>2662</v>
      </c>
      <c r="AK937" t="s">
        <v>471</v>
      </c>
      <c r="AL937" t="s">
        <v>717</v>
      </c>
      <c r="AM937" t="s">
        <v>10</v>
      </c>
      <c r="AN937" t="s">
        <v>717</v>
      </c>
    </row>
    <row r="938" spans="1:40" hidden="1">
      <c r="A938">
        <v>936</v>
      </c>
      <c r="B938">
        <v>59</v>
      </c>
      <c r="C938" s="58">
        <v>44620</v>
      </c>
      <c r="D938" t="s">
        <v>27</v>
      </c>
      <c r="E938" t="s">
        <v>5079</v>
      </c>
      <c r="F938">
        <v>6</v>
      </c>
      <c r="G938">
        <v>16</v>
      </c>
      <c r="H938">
        <v>763</v>
      </c>
      <c r="I938">
        <v>2</v>
      </c>
      <c r="J938">
        <v>61.95</v>
      </c>
      <c r="K938" t="s">
        <v>9</v>
      </c>
      <c r="L938">
        <v>4199446.05</v>
      </c>
      <c r="M938">
        <v>0</v>
      </c>
      <c r="N938">
        <v>4199446.05</v>
      </c>
      <c r="O938">
        <v>67787.668280871658</v>
      </c>
      <c r="P938">
        <v>0</v>
      </c>
      <c r="Q938">
        <v>4199446.05</v>
      </c>
      <c r="R938">
        <v>67787.668280871658</v>
      </c>
      <c r="S938" t="s">
        <v>65</v>
      </c>
      <c r="T938" t="s">
        <v>2664</v>
      </c>
      <c r="U938">
        <v>85702.98</v>
      </c>
      <c r="V938" t="s">
        <v>717</v>
      </c>
      <c r="W938">
        <v>44616</v>
      </c>
      <c r="X938" t="s">
        <v>6120</v>
      </c>
      <c r="Y938" t="s">
        <v>6</v>
      </c>
      <c r="Z938" t="s">
        <v>17</v>
      </c>
      <c r="AA938" t="s">
        <v>717</v>
      </c>
      <c r="AB938" t="s">
        <v>2509</v>
      </c>
      <c r="AC938" t="s">
        <v>2571</v>
      </c>
      <c r="AD938" t="s">
        <v>717</v>
      </c>
      <c r="AE938" t="s">
        <v>6121</v>
      </c>
      <c r="AF938" t="s">
        <v>6122</v>
      </c>
      <c r="AG938" t="s">
        <v>6123</v>
      </c>
      <c r="AH938" t="s">
        <v>2615</v>
      </c>
      <c r="AI938" t="s">
        <v>2621</v>
      </c>
      <c r="AJ938" t="s">
        <v>2569</v>
      </c>
      <c r="AK938" t="s">
        <v>77</v>
      </c>
      <c r="AL938" t="s">
        <v>16</v>
      </c>
      <c r="AM938" t="s">
        <v>10</v>
      </c>
      <c r="AN938" t="s">
        <v>717</v>
      </c>
    </row>
    <row r="939" spans="1:40" hidden="1">
      <c r="A939">
        <v>937</v>
      </c>
      <c r="B939">
        <v>60</v>
      </c>
      <c r="C939" s="58">
        <v>44620</v>
      </c>
      <c r="D939" t="s">
        <v>27</v>
      </c>
      <c r="E939" t="s">
        <v>2515</v>
      </c>
      <c r="F939">
        <v>6</v>
      </c>
      <c r="G939">
        <v>3</v>
      </c>
      <c r="H939">
        <v>15</v>
      </c>
      <c r="I939">
        <v>2</v>
      </c>
      <c r="J939">
        <v>54.67</v>
      </c>
      <c r="K939" t="s">
        <v>9</v>
      </c>
      <c r="L939">
        <v>3904484.74</v>
      </c>
      <c r="M939">
        <v>0</v>
      </c>
      <c r="N939">
        <v>3904484.74</v>
      </c>
      <c r="O939">
        <v>71419.146515456378</v>
      </c>
      <c r="P939">
        <v>0</v>
      </c>
      <c r="Q939">
        <v>3904484.74</v>
      </c>
      <c r="R939">
        <v>71419.146515456378</v>
      </c>
      <c r="S939" t="s">
        <v>65</v>
      </c>
      <c r="T939" t="s">
        <v>2664</v>
      </c>
      <c r="U939">
        <v>79683.360000000001</v>
      </c>
      <c r="V939" t="s">
        <v>717</v>
      </c>
      <c r="W939">
        <v>44616</v>
      </c>
      <c r="X939" t="s">
        <v>6124</v>
      </c>
      <c r="Y939" t="s">
        <v>6</v>
      </c>
      <c r="Z939" t="s">
        <v>17</v>
      </c>
      <c r="AA939" t="s">
        <v>717</v>
      </c>
      <c r="AB939" t="s">
        <v>2509</v>
      </c>
      <c r="AC939" t="s">
        <v>2571</v>
      </c>
      <c r="AD939" t="s">
        <v>717</v>
      </c>
      <c r="AE939" t="s">
        <v>6125</v>
      </c>
      <c r="AF939" t="s">
        <v>6126</v>
      </c>
      <c r="AG939" t="s">
        <v>6127</v>
      </c>
      <c r="AH939" t="s">
        <v>2552</v>
      </c>
      <c r="AI939" t="s">
        <v>2547</v>
      </c>
      <c r="AJ939" t="s">
        <v>2855</v>
      </c>
      <c r="AK939" t="s">
        <v>471</v>
      </c>
      <c r="AL939" t="s">
        <v>16</v>
      </c>
      <c r="AM939" t="s">
        <v>10</v>
      </c>
      <c r="AN939" t="s">
        <v>717</v>
      </c>
    </row>
    <row r="940" spans="1:40" hidden="1">
      <c r="A940">
        <v>938</v>
      </c>
      <c r="B940">
        <v>61</v>
      </c>
      <c r="C940" s="58">
        <v>44620</v>
      </c>
      <c r="D940" t="s">
        <v>27</v>
      </c>
      <c r="E940" t="s">
        <v>2515</v>
      </c>
      <c r="F940">
        <v>6</v>
      </c>
      <c r="G940">
        <v>8</v>
      </c>
      <c r="H940">
        <v>60</v>
      </c>
      <c r="I940">
        <v>2</v>
      </c>
      <c r="J940">
        <v>54.67</v>
      </c>
      <c r="K940" t="s">
        <v>15</v>
      </c>
      <c r="L940">
        <v>4205169.74</v>
      </c>
      <c r="M940">
        <v>0</v>
      </c>
      <c r="N940">
        <v>4205169.74</v>
      </c>
      <c r="O940">
        <v>76919.146515456378</v>
      </c>
      <c r="P940">
        <v>300685</v>
      </c>
      <c r="Q940">
        <v>3904484.74</v>
      </c>
      <c r="R940">
        <v>71419.146515456378</v>
      </c>
      <c r="S940" t="s">
        <v>65</v>
      </c>
      <c r="T940" t="s">
        <v>2664</v>
      </c>
      <c r="U940">
        <v>79683.360000000001</v>
      </c>
      <c r="V940" t="s">
        <v>717</v>
      </c>
      <c r="W940">
        <v>44616</v>
      </c>
      <c r="X940" t="s">
        <v>6128</v>
      </c>
      <c r="Y940" t="s">
        <v>6</v>
      </c>
      <c r="Z940" t="s">
        <v>17</v>
      </c>
      <c r="AA940" t="s">
        <v>717</v>
      </c>
      <c r="AB940" t="s">
        <v>2509</v>
      </c>
      <c r="AC940" t="s">
        <v>2571</v>
      </c>
      <c r="AD940" t="s">
        <v>717</v>
      </c>
      <c r="AE940" t="s">
        <v>6129</v>
      </c>
      <c r="AF940" t="s">
        <v>6130</v>
      </c>
      <c r="AG940" t="s">
        <v>6131</v>
      </c>
      <c r="AH940" t="s">
        <v>2552</v>
      </c>
      <c r="AI940" t="s">
        <v>2547</v>
      </c>
      <c r="AJ940" t="s">
        <v>2855</v>
      </c>
      <c r="AK940" t="s">
        <v>77</v>
      </c>
      <c r="AL940" t="s">
        <v>16</v>
      </c>
      <c r="AM940" t="s">
        <v>10</v>
      </c>
      <c r="AN940" t="s">
        <v>717</v>
      </c>
    </row>
    <row r="941" spans="1:40" hidden="1">
      <c r="A941">
        <v>939</v>
      </c>
      <c r="B941">
        <v>1</v>
      </c>
      <c r="C941" s="58">
        <v>44621</v>
      </c>
      <c r="D941" t="s">
        <v>27</v>
      </c>
      <c r="E941" t="s">
        <v>4409</v>
      </c>
      <c r="F941">
        <v>4</v>
      </c>
      <c r="G941">
        <v>15</v>
      </c>
      <c r="H941">
        <v>619</v>
      </c>
      <c r="I941">
        <v>1</v>
      </c>
      <c r="J941">
        <v>40</v>
      </c>
      <c r="K941" t="s">
        <v>15</v>
      </c>
      <c r="L941">
        <v>3054123.2</v>
      </c>
      <c r="M941">
        <v>0</v>
      </c>
      <c r="N941">
        <v>3054123.2</v>
      </c>
      <c r="O941">
        <v>76353.08</v>
      </c>
      <c r="P941">
        <v>220000</v>
      </c>
      <c r="Q941">
        <v>2834123.2</v>
      </c>
      <c r="R941">
        <v>70853.08</v>
      </c>
      <c r="S941" t="s">
        <v>130</v>
      </c>
      <c r="T941" t="s">
        <v>717</v>
      </c>
      <c r="U941" t="s">
        <v>717</v>
      </c>
      <c r="V941" t="s">
        <v>717</v>
      </c>
      <c r="W941">
        <v>44617</v>
      </c>
      <c r="X941" t="s">
        <v>6132</v>
      </c>
      <c r="Y941" t="s">
        <v>6</v>
      </c>
      <c r="Z941" t="s">
        <v>11</v>
      </c>
      <c r="AA941" t="s">
        <v>717</v>
      </c>
      <c r="AB941" t="s">
        <v>2509</v>
      </c>
      <c r="AC941" t="s">
        <v>118</v>
      </c>
      <c r="AD941" t="s">
        <v>717</v>
      </c>
      <c r="AE941" t="s">
        <v>6133</v>
      </c>
      <c r="AF941" t="s">
        <v>6134</v>
      </c>
      <c r="AG941" t="s">
        <v>6135</v>
      </c>
      <c r="AH941" t="s">
        <v>2615</v>
      </c>
      <c r="AI941" t="s">
        <v>2552</v>
      </c>
      <c r="AJ941" t="s">
        <v>2662</v>
      </c>
      <c r="AK941" t="s">
        <v>73</v>
      </c>
      <c r="AL941" t="s">
        <v>717</v>
      </c>
      <c r="AM941" t="s">
        <v>10</v>
      </c>
      <c r="AN941" t="s">
        <v>717</v>
      </c>
    </row>
    <row r="942" spans="1:40" hidden="1">
      <c r="A942">
        <v>940</v>
      </c>
      <c r="B942">
        <v>2</v>
      </c>
      <c r="C942" s="58">
        <v>44621</v>
      </c>
      <c r="D942" t="s">
        <v>27</v>
      </c>
      <c r="E942" t="s">
        <v>4409</v>
      </c>
      <c r="F942">
        <v>3</v>
      </c>
      <c r="G942">
        <v>16</v>
      </c>
      <c r="H942">
        <v>626</v>
      </c>
      <c r="I942">
        <v>0</v>
      </c>
      <c r="J942">
        <v>23.54</v>
      </c>
      <c r="K942" t="s">
        <v>15</v>
      </c>
      <c r="L942">
        <v>2176071.9700000002</v>
      </c>
      <c r="M942">
        <v>0</v>
      </c>
      <c r="N942">
        <v>2176071.9700000002</v>
      </c>
      <c r="O942">
        <v>92441.460067969427</v>
      </c>
      <c r="P942">
        <v>129470</v>
      </c>
      <c r="Q942">
        <v>2046601.97</v>
      </c>
      <c r="R942">
        <v>86941.460067969427</v>
      </c>
      <c r="S942" t="s">
        <v>65</v>
      </c>
      <c r="T942" t="s">
        <v>717</v>
      </c>
      <c r="U942" t="s">
        <v>717</v>
      </c>
      <c r="V942" t="s">
        <v>717</v>
      </c>
      <c r="W942">
        <v>44620</v>
      </c>
      <c r="X942" t="s">
        <v>6136</v>
      </c>
      <c r="Y942" t="s">
        <v>6</v>
      </c>
      <c r="Z942" t="s">
        <v>17</v>
      </c>
      <c r="AA942" t="s">
        <v>717</v>
      </c>
      <c r="AB942" t="s">
        <v>2509</v>
      </c>
      <c r="AC942" t="s">
        <v>2571</v>
      </c>
      <c r="AD942" t="s">
        <v>717</v>
      </c>
      <c r="AE942" t="s">
        <v>6137</v>
      </c>
      <c r="AF942" t="s">
        <v>6138</v>
      </c>
      <c r="AG942" t="s">
        <v>6139</v>
      </c>
      <c r="AH942" t="s">
        <v>2191</v>
      </c>
      <c r="AI942" t="s">
        <v>5653</v>
      </c>
      <c r="AJ942" t="s">
        <v>31</v>
      </c>
      <c r="AK942" t="s">
        <v>63</v>
      </c>
      <c r="AL942" t="s">
        <v>575</v>
      </c>
      <c r="AM942" t="s">
        <v>5654</v>
      </c>
      <c r="AN942" t="s">
        <v>717</v>
      </c>
    </row>
    <row r="943" spans="1:40" hidden="1">
      <c r="A943">
        <v>941</v>
      </c>
      <c r="B943">
        <v>3</v>
      </c>
      <c r="C943" s="58">
        <v>44622</v>
      </c>
      <c r="D943" t="s">
        <v>27</v>
      </c>
      <c r="E943" t="s">
        <v>2515</v>
      </c>
      <c r="F943">
        <v>8</v>
      </c>
      <c r="G943">
        <v>16</v>
      </c>
      <c r="H943">
        <v>134</v>
      </c>
      <c r="I943">
        <v>1</v>
      </c>
      <c r="J943">
        <v>37.69</v>
      </c>
      <c r="K943" t="s">
        <v>15</v>
      </c>
      <c r="L943">
        <v>2938123.08</v>
      </c>
      <c r="M943">
        <v>0</v>
      </c>
      <c r="N943">
        <v>2938123.08</v>
      </c>
      <c r="O943">
        <v>77954.97691695411</v>
      </c>
      <c r="P943">
        <v>207295</v>
      </c>
      <c r="Q943">
        <v>2730828.08</v>
      </c>
      <c r="R943">
        <v>72454.97691695411</v>
      </c>
      <c r="S943" t="s">
        <v>65</v>
      </c>
      <c r="T943" t="s">
        <v>2664</v>
      </c>
      <c r="U943">
        <v>55731.19</v>
      </c>
      <c r="V943" t="s">
        <v>717</v>
      </c>
      <c r="W943">
        <v>44617</v>
      </c>
      <c r="X943" t="s">
        <v>6140</v>
      </c>
      <c r="Y943" t="s">
        <v>6</v>
      </c>
      <c r="Z943" t="s">
        <v>17</v>
      </c>
      <c r="AA943" t="s">
        <v>717</v>
      </c>
      <c r="AB943" t="s">
        <v>2509</v>
      </c>
      <c r="AC943" t="s">
        <v>2571</v>
      </c>
      <c r="AD943" t="s">
        <v>717</v>
      </c>
      <c r="AE943" t="s">
        <v>6141</v>
      </c>
      <c r="AF943" t="s">
        <v>6142</v>
      </c>
      <c r="AG943" t="s">
        <v>6143</v>
      </c>
      <c r="AH943" t="s">
        <v>2552</v>
      </c>
      <c r="AI943" t="s">
        <v>2552</v>
      </c>
      <c r="AJ943" t="s">
        <v>2662</v>
      </c>
      <c r="AK943" t="s">
        <v>63</v>
      </c>
      <c r="AL943" t="s">
        <v>16</v>
      </c>
      <c r="AM943" t="s">
        <v>10</v>
      </c>
      <c r="AN943" t="s">
        <v>717</v>
      </c>
    </row>
    <row r="944" spans="1:40" hidden="1">
      <c r="A944">
        <v>942</v>
      </c>
      <c r="B944">
        <v>4</v>
      </c>
      <c r="C944" s="58">
        <v>44622</v>
      </c>
      <c r="D944" t="s">
        <v>121</v>
      </c>
      <c r="E944" t="s">
        <v>2506</v>
      </c>
      <c r="F944">
        <v>2</v>
      </c>
      <c r="G944">
        <v>5</v>
      </c>
      <c r="H944">
        <v>196</v>
      </c>
      <c r="I944">
        <v>1</v>
      </c>
      <c r="J944">
        <v>38.22</v>
      </c>
      <c r="K944" t="s">
        <v>25</v>
      </c>
      <c r="L944">
        <v>4191394.77</v>
      </c>
      <c r="M944">
        <v>0</v>
      </c>
      <c r="N944">
        <v>4191394.77</v>
      </c>
      <c r="O944">
        <v>109664.95996860282</v>
      </c>
      <c r="P944">
        <v>611520</v>
      </c>
      <c r="Q944">
        <v>3579874.77</v>
      </c>
      <c r="R944">
        <v>93664.959968602823</v>
      </c>
      <c r="S944" t="s">
        <v>130</v>
      </c>
      <c r="T944" t="s">
        <v>717</v>
      </c>
      <c r="U944" t="s">
        <v>717</v>
      </c>
      <c r="V944" t="s">
        <v>717</v>
      </c>
      <c r="W944">
        <v>44621</v>
      </c>
      <c r="X944" t="s">
        <v>6144</v>
      </c>
      <c r="Y944" t="s">
        <v>6</v>
      </c>
      <c r="Z944" t="s">
        <v>17</v>
      </c>
      <c r="AA944" t="s">
        <v>717</v>
      </c>
      <c r="AB944" t="s">
        <v>2509</v>
      </c>
      <c r="AC944" t="s">
        <v>118</v>
      </c>
      <c r="AD944" t="s">
        <v>717</v>
      </c>
      <c r="AE944" t="s">
        <v>6145</v>
      </c>
      <c r="AF944" t="s">
        <v>6146</v>
      </c>
      <c r="AG944" t="s">
        <v>6147</v>
      </c>
      <c r="AH944" t="s">
        <v>2552</v>
      </c>
      <c r="AI944" t="s">
        <v>2552</v>
      </c>
      <c r="AJ944" t="s">
        <v>3185</v>
      </c>
      <c r="AK944" t="s">
        <v>63</v>
      </c>
      <c r="AL944" t="s">
        <v>717</v>
      </c>
      <c r="AM944" t="s">
        <v>10</v>
      </c>
      <c r="AN944" t="s">
        <v>717</v>
      </c>
    </row>
    <row r="945" spans="1:40" hidden="1">
      <c r="A945">
        <v>943</v>
      </c>
      <c r="B945">
        <v>5</v>
      </c>
      <c r="C945" s="58">
        <v>44623</v>
      </c>
      <c r="D945" t="s">
        <v>27</v>
      </c>
      <c r="E945" t="s">
        <v>2581</v>
      </c>
      <c r="F945">
        <v>6</v>
      </c>
      <c r="G945">
        <v>16</v>
      </c>
      <c r="H945">
        <v>509</v>
      </c>
      <c r="I945">
        <v>1</v>
      </c>
      <c r="J945">
        <v>37.11</v>
      </c>
      <c r="K945" t="s">
        <v>15</v>
      </c>
      <c r="L945">
        <v>3016374.65</v>
      </c>
      <c r="M945">
        <v>0</v>
      </c>
      <c r="N945">
        <v>3016374.65</v>
      </c>
      <c r="O945">
        <v>81281.990029641602</v>
      </c>
      <c r="P945">
        <v>204105</v>
      </c>
      <c r="Q945">
        <v>2812269.65</v>
      </c>
      <c r="R945">
        <v>75781.990029641602</v>
      </c>
      <c r="S945" t="s">
        <v>130</v>
      </c>
      <c r="T945" t="s">
        <v>717</v>
      </c>
      <c r="U945" t="s">
        <v>717</v>
      </c>
      <c r="V945" t="s">
        <v>717</v>
      </c>
      <c r="W945">
        <v>44621</v>
      </c>
      <c r="X945" t="s">
        <v>6148</v>
      </c>
      <c r="Y945" t="s">
        <v>6</v>
      </c>
      <c r="Z945" t="s">
        <v>11</v>
      </c>
      <c r="AA945" t="s">
        <v>717</v>
      </c>
      <c r="AB945" t="s">
        <v>2509</v>
      </c>
      <c r="AC945" t="s">
        <v>118</v>
      </c>
      <c r="AD945" t="s">
        <v>717</v>
      </c>
      <c r="AE945" t="s">
        <v>6149</v>
      </c>
      <c r="AF945" t="s">
        <v>6150</v>
      </c>
      <c r="AG945" t="s">
        <v>6151</v>
      </c>
      <c r="AH945" t="s">
        <v>2580</v>
      </c>
      <c r="AI945" t="s">
        <v>5653</v>
      </c>
      <c r="AJ945" t="s">
        <v>3921</v>
      </c>
      <c r="AK945" t="s">
        <v>20</v>
      </c>
      <c r="AL945" t="s">
        <v>717</v>
      </c>
      <c r="AM945" t="s">
        <v>5654</v>
      </c>
      <c r="AN945" t="s">
        <v>717</v>
      </c>
    </row>
    <row r="946" spans="1:40" hidden="1">
      <c r="A946">
        <v>944</v>
      </c>
      <c r="B946">
        <v>6</v>
      </c>
      <c r="C946" s="58">
        <v>44623</v>
      </c>
      <c r="D946" t="s">
        <v>27</v>
      </c>
      <c r="E946" t="s">
        <v>2581</v>
      </c>
      <c r="F946">
        <v>6</v>
      </c>
      <c r="G946">
        <v>15</v>
      </c>
      <c r="H946">
        <v>501</v>
      </c>
      <c r="I946">
        <v>1</v>
      </c>
      <c r="J946">
        <v>37.11</v>
      </c>
      <c r="K946" t="s">
        <v>9</v>
      </c>
      <c r="L946">
        <v>2812269.65</v>
      </c>
      <c r="M946">
        <v>0</v>
      </c>
      <c r="N946">
        <v>2812269.65</v>
      </c>
      <c r="O946">
        <v>75781.990029641602</v>
      </c>
      <c r="P946">
        <v>0</v>
      </c>
      <c r="Q946">
        <v>2812269.65</v>
      </c>
      <c r="R946">
        <v>75781.990029641602</v>
      </c>
      <c r="S946" t="s">
        <v>130</v>
      </c>
      <c r="T946" t="s">
        <v>717</v>
      </c>
      <c r="U946" t="s">
        <v>717</v>
      </c>
      <c r="V946" t="s">
        <v>717</v>
      </c>
      <c r="W946">
        <v>44621</v>
      </c>
      <c r="X946" t="s">
        <v>6152</v>
      </c>
      <c r="Y946" t="s">
        <v>6</v>
      </c>
      <c r="Z946" t="s">
        <v>11</v>
      </c>
      <c r="AA946" t="s">
        <v>717</v>
      </c>
      <c r="AB946" t="s">
        <v>2509</v>
      </c>
      <c r="AC946" t="s">
        <v>118</v>
      </c>
      <c r="AD946" t="s">
        <v>717</v>
      </c>
      <c r="AE946" t="s">
        <v>6149</v>
      </c>
      <c r="AF946" t="s">
        <v>6150</v>
      </c>
      <c r="AG946" t="s">
        <v>6151</v>
      </c>
      <c r="AH946" t="s">
        <v>2191</v>
      </c>
      <c r="AI946" t="s">
        <v>5653</v>
      </c>
      <c r="AJ946" t="s">
        <v>31</v>
      </c>
      <c r="AK946" t="s">
        <v>20</v>
      </c>
      <c r="AL946" t="s">
        <v>717</v>
      </c>
      <c r="AM946" t="s">
        <v>5654</v>
      </c>
      <c r="AN946" t="s">
        <v>717</v>
      </c>
    </row>
    <row r="947" spans="1:40" hidden="1">
      <c r="A947">
        <v>945</v>
      </c>
      <c r="B947">
        <v>7</v>
      </c>
      <c r="C947" s="58">
        <v>44623</v>
      </c>
      <c r="D947" t="s">
        <v>27</v>
      </c>
      <c r="E947" t="s">
        <v>4409</v>
      </c>
      <c r="F947">
        <v>1</v>
      </c>
      <c r="G947">
        <v>16</v>
      </c>
      <c r="H947">
        <v>624</v>
      </c>
      <c r="I947">
        <v>3</v>
      </c>
      <c r="J947">
        <v>82.27</v>
      </c>
      <c r="K947" t="s">
        <v>9</v>
      </c>
      <c r="L947">
        <v>4639990.4400000004</v>
      </c>
      <c r="M947">
        <v>15000</v>
      </c>
      <c r="N947">
        <v>4654990.4400000004</v>
      </c>
      <c r="O947">
        <v>56581.869940440025</v>
      </c>
      <c r="P947">
        <v>0</v>
      </c>
      <c r="Q947">
        <v>4654990.4400000004</v>
      </c>
      <c r="R947">
        <v>56581.869940440025</v>
      </c>
      <c r="S947" t="s">
        <v>65</v>
      </c>
      <c r="T947" t="s">
        <v>717</v>
      </c>
      <c r="U947" t="s">
        <v>717</v>
      </c>
      <c r="V947" t="s">
        <v>717</v>
      </c>
      <c r="W947">
        <v>44591</v>
      </c>
      <c r="X947" t="s">
        <v>6153</v>
      </c>
      <c r="Y947" t="s">
        <v>6</v>
      </c>
      <c r="Z947" t="s">
        <v>17</v>
      </c>
      <c r="AA947" t="s">
        <v>5617</v>
      </c>
      <c r="AB947" t="s">
        <v>2509</v>
      </c>
      <c r="AC947" t="s">
        <v>2558</v>
      </c>
      <c r="AD947" t="s">
        <v>717</v>
      </c>
      <c r="AE947" t="s">
        <v>6154</v>
      </c>
      <c r="AF947" t="s">
        <v>6155</v>
      </c>
      <c r="AG947" t="s">
        <v>6156</v>
      </c>
      <c r="AH947" t="s">
        <v>2616</v>
      </c>
      <c r="AI947" t="s">
        <v>2552</v>
      </c>
      <c r="AJ947" t="s">
        <v>2895</v>
      </c>
      <c r="AK947" t="s">
        <v>77</v>
      </c>
      <c r="AL947" t="s">
        <v>16</v>
      </c>
      <c r="AM947" t="s">
        <v>10</v>
      </c>
      <c r="AN947" t="s">
        <v>717</v>
      </c>
    </row>
    <row r="948" spans="1:40" hidden="1">
      <c r="A948">
        <v>946</v>
      </c>
      <c r="B948">
        <v>8</v>
      </c>
      <c r="C948" s="58">
        <v>44623</v>
      </c>
      <c r="D948" t="s">
        <v>27</v>
      </c>
      <c r="E948" t="s">
        <v>2515</v>
      </c>
      <c r="F948">
        <v>8</v>
      </c>
      <c r="G948">
        <v>13</v>
      </c>
      <c r="H948">
        <v>107</v>
      </c>
      <c r="I948">
        <v>1</v>
      </c>
      <c r="J948">
        <v>37.69</v>
      </c>
      <c r="K948" t="s">
        <v>9</v>
      </c>
      <c r="L948">
        <v>2664383.98</v>
      </c>
      <c r="M948">
        <v>15000</v>
      </c>
      <c r="N948">
        <v>2679383.98</v>
      </c>
      <c r="O948">
        <v>71090.049880604944</v>
      </c>
      <c r="P948">
        <v>0</v>
      </c>
      <c r="Q948">
        <v>2679383.98</v>
      </c>
      <c r="R948">
        <v>71090.049880604944</v>
      </c>
      <c r="S948" t="s">
        <v>130</v>
      </c>
      <c r="T948" t="s">
        <v>717</v>
      </c>
      <c r="U948" t="s">
        <v>717</v>
      </c>
      <c r="V948" t="s">
        <v>717</v>
      </c>
      <c r="W948">
        <v>44592</v>
      </c>
      <c r="X948" t="s">
        <v>6157</v>
      </c>
      <c r="Y948" t="s">
        <v>6</v>
      </c>
      <c r="Z948" t="s">
        <v>11</v>
      </c>
      <c r="AA948" t="s">
        <v>717</v>
      </c>
      <c r="AB948" t="s">
        <v>2509</v>
      </c>
      <c r="AC948" t="s">
        <v>118</v>
      </c>
      <c r="AD948" t="s">
        <v>717</v>
      </c>
      <c r="AE948" t="s">
        <v>6158</v>
      </c>
      <c r="AF948" t="s">
        <v>6159</v>
      </c>
      <c r="AG948" t="s">
        <v>6160</v>
      </c>
      <c r="AH948" t="s">
        <v>2552</v>
      </c>
      <c r="AI948" t="s">
        <v>2877</v>
      </c>
      <c r="AJ948" t="s">
        <v>3098</v>
      </c>
      <c r="AK948" t="s">
        <v>77</v>
      </c>
      <c r="AL948" t="s">
        <v>717</v>
      </c>
      <c r="AM948" t="s">
        <v>10</v>
      </c>
      <c r="AN948" t="s">
        <v>717</v>
      </c>
    </row>
    <row r="949" spans="1:40" hidden="1">
      <c r="A949">
        <v>947</v>
      </c>
      <c r="B949">
        <v>9</v>
      </c>
      <c r="C949" s="58">
        <v>44623</v>
      </c>
      <c r="D949" t="s">
        <v>27</v>
      </c>
      <c r="E949" t="s">
        <v>4409</v>
      </c>
      <c r="F949">
        <v>2</v>
      </c>
      <c r="G949">
        <v>6</v>
      </c>
      <c r="H949">
        <v>545</v>
      </c>
      <c r="I949">
        <v>1</v>
      </c>
      <c r="J949">
        <v>37.159999999999997</v>
      </c>
      <c r="K949" t="s">
        <v>9</v>
      </c>
      <c r="L949">
        <v>2816058.75</v>
      </c>
      <c r="M949">
        <v>0</v>
      </c>
      <c r="N949">
        <v>2816058.75</v>
      </c>
      <c r="O949">
        <v>75781.990043057056</v>
      </c>
      <c r="P949">
        <v>0</v>
      </c>
      <c r="Q949">
        <v>2816058.75</v>
      </c>
      <c r="R949">
        <v>75781.990043057056</v>
      </c>
      <c r="S949" t="s">
        <v>65</v>
      </c>
      <c r="T949" t="s">
        <v>717</v>
      </c>
      <c r="U949" t="s">
        <v>717</v>
      </c>
      <c r="V949" t="s">
        <v>717</v>
      </c>
      <c r="W949">
        <v>44622</v>
      </c>
      <c r="X949" t="s">
        <v>6161</v>
      </c>
      <c r="Y949" t="s">
        <v>6</v>
      </c>
      <c r="Z949" t="s">
        <v>17</v>
      </c>
      <c r="AA949" t="s">
        <v>5617</v>
      </c>
      <c r="AB949" t="s">
        <v>2509</v>
      </c>
      <c r="AC949" t="s">
        <v>2564</v>
      </c>
      <c r="AD949" t="s">
        <v>717</v>
      </c>
      <c r="AE949" t="s">
        <v>6162</v>
      </c>
      <c r="AF949" t="s">
        <v>6163</v>
      </c>
      <c r="AG949" t="s">
        <v>6164</v>
      </c>
      <c r="AH949" t="s">
        <v>2191</v>
      </c>
      <c r="AI949" t="s">
        <v>5653</v>
      </c>
      <c r="AJ949" t="s">
        <v>31</v>
      </c>
      <c r="AK949" t="s">
        <v>471</v>
      </c>
      <c r="AL949" t="s">
        <v>16</v>
      </c>
      <c r="AM949" t="s">
        <v>5654</v>
      </c>
      <c r="AN949" t="s">
        <v>717</v>
      </c>
    </row>
    <row r="950" spans="1:40" hidden="1">
      <c r="A950">
        <v>948</v>
      </c>
      <c r="B950">
        <v>10</v>
      </c>
      <c r="C950" s="58">
        <v>44623</v>
      </c>
      <c r="D950" t="s">
        <v>121</v>
      </c>
      <c r="E950" t="s">
        <v>2506</v>
      </c>
      <c r="F950">
        <v>1</v>
      </c>
      <c r="G950">
        <v>13</v>
      </c>
      <c r="H950">
        <v>283</v>
      </c>
      <c r="I950">
        <v>1</v>
      </c>
      <c r="J950">
        <v>38.83</v>
      </c>
      <c r="K950" t="s">
        <v>15</v>
      </c>
      <c r="L950">
        <v>3850575.4</v>
      </c>
      <c r="M950">
        <v>0</v>
      </c>
      <c r="N950">
        <v>3850575.4</v>
      </c>
      <c r="O950">
        <v>99164.960082410515</v>
      </c>
      <c r="P950">
        <v>213565</v>
      </c>
      <c r="Q950">
        <v>3637010.4</v>
      </c>
      <c r="R950">
        <v>93664.960082410515</v>
      </c>
      <c r="S950" t="s">
        <v>65</v>
      </c>
      <c r="T950" t="s">
        <v>717</v>
      </c>
      <c r="U950" t="s">
        <v>717</v>
      </c>
      <c r="V950" t="s">
        <v>717</v>
      </c>
      <c r="W950">
        <v>44623</v>
      </c>
      <c r="X950" t="s">
        <v>6165</v>
      </c>
      <c r="Y950" t="s">
        <v>6</v>
      </c>
      <c r="Z950" t="s">
        <v>17</v>
      </c>
      <c r="AA950" t="s">
        <v>717</v>
      </c>
      <c r="AB950" t="s">
        <v>2509</v>
      </c>
      <c r="AC950" t="s">
        <v>2571</v>
      </c>
      <c r="AD950" t="s">
        <v>717</v>
      </c>
      <c r="AE950" t="s">
        <v>6166</v>
      </c>
      <c r="AF950" t="s">
        <v>6167</v>
      </c>
      <c r="AG950" t="s">
        <v>6168</v>
      </c>
      <c r="AH950" t="s">
        <v>2191</v>
      </c>
      <c r="AI950" t="s">
        <v>5056</v>
      </c>
      <c r="AJ950" t="s">
        <v>6169</v>
      </c>
      <c r="AK950" t="s">
        <v>471</v>
      </c>
      <c r="AL950" t="s">
        <v>575</v>
      </c>
      <c r="AM950" t="s">
        <v>10</v>
      </c>
      <c r="AN950" t="s">
        <v>717</v>
      </c>
    </row>
    <row r="951" spans="1:40" hidden="1">
      <c r="A951">
        <v>949</v>
      </c>
      <c r="B951">
        <v>11</v>
      </c>
      <c r="C951" s="58">
        <v>44624</v>
      </c>
      <c r="D951" t="s">
        <v>27</v>
      </c>
      <c r="E951" t="s">
        <v>2515</v>
      </c>
      <c r="F951">
        <v>8</v>
      </c>
      <c r="G951">
        <v>10</v>
      </c>
      <c r="H951">
        <v>80</v>
      </c>
      <c r="I951">
        <v>1</v>
      </c>
      <c r="J951">
        <v>37.69</v>
      </c>
      <c r="K951" t="s">
        <v>9</v>
      </c>
      <c r="L951">
        <v>2730828.08</v>
      </c>
      <c r="M951">
        <v>0</v>
      </c>
      <c r="N951">
        <v>2730828.08</v>
      </c>
      <c r="O951">
        <v>72454.97691695411</v>
      </c>
      <c r="P951">
        <v>0</v>
      </c>
      <c r="Q951">
        <v>2730828.08</v>
      </c>
      <c r="R951">
        <v>72454.97691695411</v>
      </c>
      <c r="S951" t="s">
        <v>65</v>
      </c>
      <c r="T951" t="s">
        <v>2941</v>
      </c>
      <c r="U951">
        <v>55731.185369999999</v>
      </c>
      <c r="V951" t="s">
        <v>717</v>
      </c>
      <c r="W951">
        <v>44614</v>
      </c>
      <c r="X951" t="s">
        <v>6170</v>
      </c>
      <c r="Y951" t="s">
        <v>6</v>
      </c>
      <c r="Z951" t="s">
        <v>17</v>
      </c>
      <c r="AA951" t="s">
        <v>717</v>
      </c>
      <c r="AB951" t="s">
        <v>2509</v>
      </c>
      <c r="AC951" t="s">
        <v>2571</v>
      </c>
      <c r="AD951" t="s">
        <v>717</v>
      </c>
      <c r="AE951" t="s">
        <v>6171</v>
      </c>
      <c r="AF951" t="s">
        <v>6172</v>
      </c>
      <c r="AG951" t="s">
        <v>6173</v>
      </c>
      <c r="AH951" t="s">
        <v>2615</v>
      </c>
      <c r="AI951" t="s">
        <v>2552</v>
      </c>
      <c r="AJ951" t="s">
        <v>2895</v>
      </c>
      <c r="AK951" t="s">
        <v>20</v>
      </c>
      <c r="AL951" t="s">
        <v>16</v>
      </c>
      <c r="AM951" t="s">
        <v>10</v>
      </c>
      <c r="AN951" t="s">
        <v>717</v>
      </c>
    </row>
    <row r="952" spans="1:40" hidden="1">
      <c r="A952">
        <v>950</v>
      </c>
      <c r="B952">
        <v>12</v>
      </c>
      <c r="C952" s="58">
        <v>44624</v>
      </c>
      <c r="D952" t="s">
        <v>27</v>
      </c>
      <c r="E952" t="s">
        <v>2515</v>
      </c>
      <c r="F952">
        <v>8</v>
      </c>
      <c r="G952">
        <v>9</v>
      </c>
      <c r="H952">
        <v>71</v>
      </c>
      <c r="I952">
        <v>1</v>
      </c>
      <c r="J952">
        <v>37.69</v>
      </c>
      <c r="K952" t="s">
        <v>15</v>
      </c>
      <c r="L952">
        <v>2993854.27</v>
      </c>
      <c r="M952">
        <v>0</v>
      </c>
      <c r="N952">
        <v>2993854.27</v>
      </c>
      <c r="O952">
        <v>79433.650039798362</v>
      </c>
      <c r="P952">
        <v>207295</v>
      </c>
      <c r="Q952">
        <v>2786559.27</v>
      </c>
      <c r="R952">
        <v>73933.650039798362</v>
      </c>
      <c r="S952" t="s">
        <v>65</v>
      </c>
      <c r="T952" t="s">
        <v>717</v>
      </c>
      <c r="U952" t="s">
        <v>717</v>
      </c>
      <c r="V952" t="s">
        <v>717</v>
      </c>
      <c r="W952">
        <v>44621</v>
      </c>
      <c r="X952" t="s">
        <v>6174</v>
      </c>
      <c r="Y952" t="s">
        <v>6</v>
      </c>
      <c r="Z952" t="s">
        <v>17</v>
      </c>
      <c r="AA952" t="s">
        <v>717</v>
      </c>
      <c r="AB952" t="s">
        <v>2509</v>
      </c>
      <c r="AC952" t="s">
        <v>2571</v>
      </c>
      <c r="AD952" t="s">
        <v>717</v>
      </c>
      <c r="AE952" t="s">
        <v>6175</v>
      </c>
      <c r="AF952" t="s">
        <v>6176</v>
      </c>
      <c r="AG952" t="s">
        <v>6177</v>
      </c>
      <c r="AH952" t="s">
        <v>2191</v>
      </c>
      <c r="AI952" t="s">
        <v>5653</v>
      </c>
      <c r="AJ952" t="s">
        <v>31</v>
      </c>
      <c r="AK952" t="s">
        <v>471</v>
      </c>
      <c r="AL952" t="s">
        <v>16</v>
      </c>
      <c r="AM952" t="s">
        <v>5654</v>
      </c>
      <c r="AN952" t="s">
        <v>717</v>
      </c>
    </row>
    <row r="953" spans="1:40" hidden="1">
      <c r="A953">
        <v>951</v>
      </c>
      <c r="B953">
        <v>13</v>
      </c>
      <c r="C953" s="58">
        <v>44624</v>
      </c>
      <c r="D953" t="s">
        <v>27</v>
      </c>
      <c r="E953" t="s">
        <v>2515</v>
      </c>
      <c r="F953">
        <v>2</v>
      </c>
      <c r="G953">
        <v>12</v>
      </c>
      <c r="H953">
        <v>92</v>
      </c>
      <c r="I953">
        <v>1</v>
      </c>
      <c r="J953">
        <v>37.94</v>
      </c>
      <c r="K953" t="s">
        <v>9</v>
      </c>
      <c r="L953">
        <v>2815042.53</v>
      </c>
      <c r="M953">
        <v>0</v>
      </c>
      <c r="N953">
        <v>2815042.53</v>
      </c>
      <c r="O953">
        <v>74197.220084343702</v>
      </c>
      <c r="P953">
        <v>0</v>
      </c>
      <c r="Q953">
        <v>2815042.53</v>
      </c>
      <c r="R953">
        <v>74197.220084343702</v>
      </c>
      <c r="S953" t="s">
        <v>130</v>
      </c>
      <c r="T953" t="s">
        <v>717</v>
      </c>
      <c r="U953" t="s">
        <v>717</v>
      </c>
      <c r="V953" t="s">
        <v>717</v>
      </c>
      <c r="W953">
        <v>44621</v>
      </c>
      <c r="X953" t="s">
        <v>6178</v>
      </c>
      <c r="Y953" t="s">
        <v>6</v>
      </c>
      <c r="Z953" t="s">
        <v>17</v>
      </c>
      <c r="AA953" t="s">
        <v>717</v>
      </c>
      <c r="AB953" t="s">
        <v>2509</v>
      </c>
      <c r="AC953" t="s">
        <v>118</v>
      </c>
      <c r="AD953" t="s">
        <v>717</v>
      </c>
      <c r="AE953" t="s">
        <v>6179</v>
      </c>
      <c r="AF953" t="s">
        <v>6180</v>
      </c>
      <c r="AG953" t="s">
        <v>6181</v>
      </c>
      <c r="AH953" t="s">
        <v>2615</v>
      </c>
      <c r="AI953" t="s">
        <v>2747</v>
      </c>
      <c r="AJ953" t="s">
        <v>2651</v>
      </c>
      <c r="AK953" t="s">
        <v>20</v>
      </c>
      <c r="AL953" t="s">
        <v>717</v>
      </c>
      <c r="AM953" t="s">
        <v>10</v>
      </c>
      <c r="AN953" t="s">
        <v>717</v>
      </c>
    </row>
    <row r="954" spans="1:40" hidden="1">
      <c r="A954">
        <v>952</v>
      </c>
      <c r="B954">
        <v>14</v>
      </c>
      <c r="C954" s="58">
        <v>44624</v>
      </c>
      <c r="D954" t="s">
        <v>27</v>
      </c>
      <c r="E954" t="s">
        <v>2506</v>
      </c>
      <c r="F954">
        <v>2</v>
      </c>
      <c r="G954">
        <v>8</v>
      </c>
      <c r="H954">
        <v>257</v>
      </c>
      <c r="I954">
        <v>1</v>
      </c>
      <c r="J954">
        <v>37.159999999999997</v>
      </c>
      <c r="K954" t="s">
        <v>15</v>
      </c>
      <c r="L954">
        <v>3099915.81</v>
      </c>
      <c r="M954">
        <v>0</v>
      </c>
      <c r="N954">
        <v>3099915.81</v>
      </c>
      <c r="O954">
        <v>83420.769913885902</v>
      </c>
      <c r="P954">
        <v>260120</v>
      </c>
      <c r="Q954">
        <v>2839795.81</v>
      </c>
      <c r="R954">
        <v>76420.769913885902</v>
      </c>
      <c r="S954" t="s">
        <v>65</v>
      </c>
      <c r="T954" t="s">
        <v>717</v>
      </c>
      <c r="U954" t="s">
        <v>717</v>
      </c>
      <c r="V954" t="s">
        <v>717</v>
      </c>
      <c r="W954">
        <v>44622</v>
      </c>
      <c r="X954" t="s">
        <v>6182</v>
      </c>
      <c r="Y954" t="s">
        <v>6</v>
      </c>
      <c r="Z954" t="s">
        <v>17</v>
      </c>
      <c r="AA954" t="s">
        <v>5617</v>
      </c>
      <c r="AB954" t="s">
        <v>2509</v>
      </c>
      <c r="AC954" t="s">
        <v>2564</v>
      </c>
      <c r="AD954" t="s">
        <v>717</v>
      </c>
      <c r="AE954" t="s">
        <v>6183</v>
      </c>
      <c r="AF954" t="s">
        <v>6184</v>
      </c>
      <c r="AG954" t="s">
        <v>6185</v>
      </c>
      <c r="AH954" t="s">
        <v>2191</v>
      </c>
      <c r="AI954" t="s">
        <v>5653</v>
      </c>
      <c r="AJ954" t="s">
        <v>31</v>
      </c>
      <c r="AK954" t="s">
        <v>29</v>
      </c>
      <c r="AL954" t="s">
        <v>16</v>
      </c>
      <c r="AM954" t="s">
        <v>5654</v>
      </c>
      <c r="AN954" t="s">
        <v>717</v>
      </c>
    </row>
    <row r="955" spans="1:40" hidden="1">
      <c r="A955">
        <v>953</v>
      </c>
      <c r="B955">
        <v>15</v>
      </c>
      <c r="C955" s="58">
        <v>44624</v>
      </c>
      <c r="D955" t="s">
        <v>27</v>
      </c>
      <c r="E955" t="s">
        <v>2515</v>
      </c>
      <c r="F955">
        <v>2</v>
      </c>
      <c r="G955">
        <v>17</v>
      </c>
      <c r="H955">
        <v>137</v>
      </c>
      <c r="I955">
        <v>1</v>
      </c>
      <c r="J955">
        <v>37.94</v>
      </c>
      <c r="K955" t="s">
        <v>15</v>
      </c>
      <c r="L955">
        <v>3164773.83</v>
      </c>
      <c r="M955">
        <v>0</v>
      </c>
      <c r="N955">
        <v>3164773.83</v>
      </c>
      <c r="O955">
        <v>83415.230100158151</v>
      </c>
      <c r="P955">
        <v>265580</v>
      </c>
      <c r="Q955">
        <v>2899193.83</v>
      </c>
      <c r="R955">
        <v>76415.230100158151</v>
      </c>
      <c r="S955" t="s">
        <v>65</v>
      </c>
      <c r="T955" t="s">
        <v>717</v>
      </c>
      <c r="U955" t="s">
        <v>717</v>
      </c>
      <c r="V955" t="s">
        <v>717</v>
      </c>
      <c r="W955">
        <v>44623</v>
      </c>
      <c r="X955" t="s">
        <v>6186</v>
      </c>
      <c r="Y955" t="s">
        <v>6</v>
      </c>
      <c r="Z955" t="s">
        <v>17</v>
      </c>
      <c r="AA955" t="s">
        <v>717</v>
      </c>
      <c r="AB955" t="s">
        <v>2509</v>
      </c>
      <c r="AC955" t="s">
        <v>2564</v>
      </c>
      <c r="AD955" t="s">
        <v>717</v>
      </c>
      <c r="AE955" t="s">
        <v>6187</v>
      </c>
      <c r="AF955" t="s">
        <v>6188</v>
      </c>
      <c r="AG955" t="s">
        <v>6189</v>
      </c>
      <c r="AH955" t="s">
        <v>2552</v>
      </c>
      <c r="AI955" t="s">
        <v>2877</v>
      </c>
      <c r="AJ955" t="s">
        <v>3098</v>
      </c>
      <c r="AK955" t="s">
        <v>20</v>
      </c>
      <c r="AL955" t="s">
        <v>575</v>
      </c>
      <c r="AM955" t="s">
        <v>10</v>
      </c>
      <c r="AN955" t="s">
        <v>717</v>
      </c>
    </row>
    <row r="956" spans="1:40" hidden="1">
      <c r="A956">
        <v>954</v>
      </c>
      <c r="B956">
        <v>16</v>
      </c>
      <c r="C956" s="58">
        <v>44624</v>
      </c>
      <c r="D956" t="s">
        <v>27</v>
      </c>
      <c r="E956" t="s">
        <v>2506</v>
      </c>
      <c r="F956">
        <v>7</v>
      </c>
      <c r="G956">
        <v>4</v>
      </c>
      <c r="H956">
        <v>230</v>
      </c>
      <c r="I956">
        <v>2</v>
      </c>
      <c r="J956">
        <v>59.93</v>
      </c>
      <c r="K956" t="s">
        <v>15</v>
      </c>
      <c r="L956">
        <v>4592188.99</v>
      </c>
      <c r="M956">
        <v>0</v>
      </c>
      <c r="N956">
        <v>4592188.99</v>
      </c>
      <c r="O956">
        <v>76625.880026697821</v>
      </c>
      <c r="P956">
        <v>329615</v>
      </c>
      <c r="Q956">
        <v>4262573.99</v>
      </c>
      <c r="R956">
        <v>71125.880026697821</v>
      </c>
      <c r="S956" t="s">
        <v>65</v>
      </c>
      <c r="T956" t="s">
        <v>717</v>
      </c>
      <c r="U956" t="s">
        <v>717</v>
      </c>
      <c r="V956" t="s">
        <v>717</v>
      </c>
      <c r="W956">
        <v>44622</v>
      </c>
      <c r="X956" t="s">
        <v>6190</v>
      </c>
      <c r="Y956" t="s">
        <v>6</v>
      </c>
      <c r="Z956" t="s">
        <v>17</v>
      </c>
      <c r="AA956" t="s">
        <v>717</v>
      </c>
      <c r="AB956" t="s">
        <v>2509</v>
      </c>
      <c r="AC956" t="s">
        <v>2571</v>
      </c>
      <c r="AD956" t="s">
        <v>717</v>
      </c>
      <c r="AE956" t="s">
        <v>6191</v>
      </c>
      <c r="AF956" t="s">
        <v>6192</v>
      </c>
      <c r="AG956" t="s">
        <v>6193</v>
      </c>
      <c r="AH956" t="s">
        <v>2552</v>
      </c>
      <c r="AI956" t="s">
        <v>2547</v>
      </c>
      <c r="AJ956" t="s">
        <v>2855</v>
      </c>
      <c r="AK956" t="s">
        <v>73</v>
      </c>
      <c r="AL956" t="s">
        <v>16</v>
      </c>
      <c r="AM956" t="s">
        <v>10</v>
      </c>
      <c r="AN956" t="s">
        <v>717</v>
      </c>
    </row>
    <row r="957" spans="1:40" hidden="1">
      <c r="A957">
        <v>955</v>
      </c>
      <c r="B957">
        <v>17</v>
      </c>
      <c r="C957" s="58">
        <v>44625</v>
      </c>
      <c r="D957" t="s">
        <v>27</v>
      </c>
      <c r="E957" t="s">
        <v>5079</v>
      </c>
      <c r="F957">
        <v>4</v>
      </c>
      <c r="G957">
        <v>8</v>
      </c>
      <c r="H957">
        <v>689</v>
      </c>
      <c r="I957">
        <v>0</v>
      </c>
      <c r="J957">
        <v>24.39</v>
      </c>
      <c r="K957" t="s">
        <v>25</v>
      </c>
      <c r="L957">
        <v>2250329.7599999998</v>
      </c>
      <c r="M957">
        <v>0</v>
      </c>
      <c r="N957">
        <v>2250329.7599999998</v>
      </c>
      <c r="O957">
        <v>92264.442804428036</v>
      </c>
      <c r="P957">
        <v>390240</v>
      </c>
      <c r="Q957">
        <v>1860089.76</v>
      </c>
      <c r="R957">
        <v>76264.442804428036</v>
      </c>
      <c r="S957" t="s">
        <v>130</v>
      </c>
      <c r="T957" t="s">
        <v>2941</v>
      </c>
      <c r="U957">
        <v>37961.019999999997</v>
      </c>
      <c r="V957" t="s">
        <v>717</v>
      </c>
      <c r="W957">
        <v>44621</v>
      </c>
      <c r="X957" t="s">
        <v>6194</v>
      </c>
      <c r="Y957" t="s">
        <v>6</v>
      </c>
      <c r="Z957" t="s">
        <v>17</v>
      </c>
      <c r="AA957" t="s">
        <v>717</v>
      </c>
      <c r="AB957" t="s">
        <v>2509</v>
      </c>
      <c r="AC957" t="s">
        <v>118</v>
      </c>
      <c r="AD957" t="s">
        <v>717</v>
      </c>
      <c r="AE957" t="s">
        <v>6195</v>
      </c>
      <c r="AF957" t="s">
        <v>6196</v>
      </c>
      <c r="AG957" t="s">
        <v>6197</v>
      </c>
      <c r="AH957" t="s">
        <v>2191</v>
      </c>
      <c r="AI957" t="s">
        <v>2802</v>
      </c>
      <c r="AJ957" t="s">
        <v>2514</v>
      </c>
      <c r="AK957" t="s">
        <v>63</v>
      </c>
      <c r="AL957" t="s">
        <v>717</v>
      </c>
      <c r="AM957" t="s">
        <v>10</v>
      </c>
      <c r="AN957" t="s">
        <v>717</v>
      </c>
    </row>
    <row r="958" spans="1:40" hidden="1">
      <c r="A958">
        <v>956</v>
      </c>
      <c r="B958">
        <v>18</v>
      </c>
      <c r="C958" s="58">
        <v>44625</v>
      </c>
      <c r="D958" t="s">
        <v>27</v>
      </c>
      <c r="E958" t="s">
        <v>2515</v>
      </c>
      <c r="F958">
        <v>8</v>
      </c>
      <c r="G958">
        <v>7</v>
      </c>
      <c r="H958">
        <v>53</v>
      </c>
      <c r="I958">
        <v>1</v>
      </c>
      <c r="J958">
        <v>37.69</v>
      </c>
      <c r="K958" t="s">
        <v>9</v>
      </c>
      <c r="L958">
        <v>2786559.27</v>
      </c>
      <c r="M958">
        <v>0</v>
      </c>
      <c r="N958">
        <v>2786559.27</v>
      </c>
      <c r="O958">
        <v>73933.650039798362</v>
      </c>
      <c r="P958">
        <v>0</v>
      </c>
      <c r="Q958">
        <v>2786559.27</v>
      </c>
      <c r="R958">
        <v>73933.650039798362</v>
      </c>
      <c r="S958" t="s">
        <v>65</v>
      </c>
      <c r="T958" t="s">
        <v>717</v>
      </c>
      <c r="U958" t="s">
        <v>717</v>
      </c>
      <c r="V958" t="s">
        <v>717</v>
      </c>
      <c r="W958">
        <v>44621</v>
      </c>
      <c r="X958" t="s">
        <v>6198</v>
      </c>
      <c r="Y958" t="s">
        <v>6</v>
      </c>
      <c r="Z958" t="s">
        <v>17</v>
      </c>
      <c r="AA958" t="s">
        <v>717</v>
      </c>
      <c r="AB958" t="s">
        <v>2509</v>
      </c>
      <c r="AC958" t="s">
        <v>2571</v>
      </c>
      <c r="AD958" t="s">
        <v>717</v>
      </c>
      <c r="AE958" t="s">
        <v>6199</v>
      </c>
      <c r="AF958" t="s">
        <v>6200</v>
      </c>
      <c r="AG958" t="s">
        <v>6201</v>
      </c>
      <c r="AH958" t="s">
        <v>2615</v>
      </c>
      <c r="AI958" t="s">
        <v>3813</v>
      </c>
      <c r="AJ958" t="s">
        <v>2895</v>
      </c>
      <c r="AK958" t="s">
        <v>20</v>
      </c>
      <c r="AL958" t="s">
        <v>16</v>
      </c>
      <c r="AM958" t="s">
        <v>10</v>
      </c>
      <c r="AN958" t="s">
        <v>717</v>
      </c>
    </row>
    <row r="959" spans="1:40" hidden="1">
      <c r="A959">
        <v>957</v>
      </c>
      <c r="B959">
        <v>19</v>
      </c>
      <c r="C959" s="58">
        <v>44625</v>
      </c>
      <c r="D959" t="s">
        <v>27</v>
      </c>
      <c r="E959" t="s">
        <v>2581</v>
      </c>
      <c r="F959">
        <v>2</v>
      </c>
      <c r="G959">
        <v>4</v>
      </c>
      <c r="H959">
        <v>409</v>
      </c>
      <c r="I959">
        <v>1</v>
      </c>
      <c r="J959">
        <v>37.159999999999997</v>
      </c>
      <c r="K959" t="s">
        <v>15</v>
      </c>
      <c r="L959">
        <v>3099915.81</v>
      </c>
      <c r="M959">
        <v>0</v>
      </c>
      <c r="N959">
        <v>3099915.81</v>
      </c>
      <c r="O959">
        <v>83420.769913885902</v>
      </c>
      <c r="P959">
        <v>260120</v>
      </c>
      <c r="Q959">
        <v>2839795.81</v>
      </c>
      <c r="R959">
        <v>76420.769913885902</v>
      </c>
      <c r="S959" t="s">
        <v>130</v>
      </c>
      <c r="T959" t="s">
        <v>717</v>
      </c>
      <c r="U959" t="s">
        <v>717</v>
      </c>
      <c r="V959" t="s">
        <v>717</v>
      </c>
      <c r="W959">
        <v>44623</v>
      </c>
      <c r="X959" t="s">
        <v>6202</v>
      </c>
      <c r="Y959" t="s">
        <v>6</v>
      </c>
      <c r="Z959" t="s">
        <v>11</v>
      </c>
      <c r="AA959" t="s">
        <v>717</v>
      </c>
      <c r="AB959" t="s">
        <v>2509</v>
      </c>
      <c r="AC959" t="s">
        <v>118</v>
      </c>
      <c r="AD959" t="s">
        <v>717</v>
      </c>
      <c r="AE959" t="s">
        <v>6203</v>
      </c>
      <c r="AF959" t="s">
        <v>6204</v>
      </c>
      <c r="AG959" t="s">
        <v>6205</v>
      </c>
      <c r="AH959" t="s">
        <v>2615</v>
      </c>
      <c r="AI959" t="s">
        <v>2847</v>
      </c>
      <c r="AJ959" t="s">
        <v>2940</v>
      </c>
      <c r="AK959" t="s">
        <v>471</v>
      </c>
      <c r="AL959" t="s">
        <v>717</v>
      </c>
      <c r="AM959" t="s">
        <v>10</v>
      </c>
      <c r="AN959" t="s">
        <v>717</v>
      </c>
    </row>
    <row r="960" spans="1:40" hidden="1">
      <c r="A960">
        <v>958</v>
      </c>
      <c r="B960">
        <v>20</v>
      </c>
      <c r="C960" s="58">
        <v>44627</v>
      </c>
      <c r="D960" t="s">
        <v>27</v>
      </c>
      <c r="E960" t="s">
        <v>2581</v>
      </c>
      <c r="F960">
        <v>6</v>
      </c>
      <c r="G960">
        <v>12</v>
      </c>
      <c r="H960">
        <v>477</v>
      </c>
      <c r="I960">
        <v>1</v>
      </c>
      <c r="J960">
        <v>37.11</v>
      </c>
      <c r="K960" t="s">
        <v>15</v>
      </c>
      <c r="L960">
        <v>3166407.78</v>
      </c>
      <c r="M960">
        <v>0</v>
      </c>
      <c r="N960">
        <v>3166407.78</v>
      </c>
      <c r="O960">
        <v>85324.919967663693</v>
      </c>
      <c r="P960">
        <v>259770</v>
      </c>
      <c r="Q960">
        <v>2906637.78</v>
      </c>
      <c r="R960">
        <v>78324.919967663693</v>
      </c>
      <c r="S960" t="s">
        <v>65</v>
      </c>
      <c r="T960" t="s">
        <v>717</v>
      </c>
      <c r="U960" t="s">
        <v>717</v>
      </c>
      <c r="V960" t="s">
        <v>717</v>
      </c>
      <c r="W960">
        <v>44624</v>
      </c>
      <c r="X960" t="s">
        <v>6206</v>
      </c>
      <c r="Y960" t="s">
        <v>6</v>
      </c>
      <c r="Z960" t="s">
        <v>17</v>
      </c>
      <c r="AA960" t="s">
        <v>717</v>
      </c>
      <c r="AB960" t="s">
        <v>2509</v>
      </c>
      <c r="AC960" t="s">
        <v>2571</v>
      </c>
      <c r="AD960" t="s">
        <v>717</v>
      </c>
      <c r="AE960" t="s">
        <v>6207</v>
      </c>
      <c r="AF960" t="s">
        <v>6208</v>
      </c>
      <c r="AG960" t="s">
        <v>6209</v>
      </c>
      <c r="AH960" t="s">
        <v>65</v>
      </c>
      <c r="AI960" t="s">
        <v>3813</v>
      </c>
      <c r="AJ960" t="s">
        <v>6210</v>
      </c>
      <c r="AK960" t="s">
        <v>471</v>
      </c>
      <c r="AL960" t="s">
        <v>16</v>
      </c>
      <c r="AM960" t="s">
        <v>10</v>
      </c>
      <c r="AN960" t="s">
        <v>717</v>
      </c>
    </row>
    <row r="961" spans="1:40" hidden="1">
      <c r="A961">
        <v>959</v>
      </c>
      <c r="B961">
        <v>21</v>
      </c>
      <c r="C961" s="58">
        <v>44629</v>
      </c>
      <c r="D961" t="s">
        <v>27</v>
      </c>
      <c r="E961" t="s">
        <v>2515</v>
      </c>
      <c r="F961">
        <v>9</v>
      </c>
      <c r="G961">
        <v>6</v>
      </c>
      <c r="H961">
        <v>45</v>
      </c>
      <c r="I961">
        <v>1</v>
      </c>
      <c r="J961">
        <v>37.94</v>
      </c>
      <c r="K961" t="s">
        <v>15</v>
      </c>
      <c r="L961">
        <v>2896835.86</v>
      </c>
      <c r="M961">
        <v>0</v>
      </c>
      <c r="N961">
        <v>2896835.86</v>
      </c>
      <c r="O961">
        <v>76353.080126515546</v>
      </c>
      <c r="P961">
        <v>208670</v>
      </c>
      <c r="Q961">
        <v>2688165.86</v>
      </c>
      <c r="R961">
        <v>70853.080126515546</v>
      </c>
      <c r="S961" t="s">
        <v>130</v>
      </c>
      <c r="T961" t="s">
        <v>717</v>
      </c>
      <c r="U961" t="s">
        <v>717</v>
      </c>
      <c r="V961" t="s">
        <v>717</v>
      </c>
      <c r="W961">
        <v>44618</v>
      </c>
      <c r="X961" t="s">
        <v>6211</v>
      </c>
      <c r="Y961" t="s">
        <v>6</v>
      </c>
      <c r="Z961" t="s">
        <v>11</v>
      </c>
      <c r="AA961" t="s">
        <v>717</v>
      </c>
      <c r="AB961" t="s">
        <v>2509</v>
      </c>
      <c r="AC961" t="s">
        <v>118</v>
      </c>
      <c r="AD961" t="s">
        <v>717</v>
      </c>
      <c r="AE961" t="s">
        <v>6212</v>
      </c>
      <c r="AF961" t="s">
        <v>6213</v>
      </c>
      <c r="AG961" t="s">
        <v>6214</v>
      </c>
      <c r="AH961" t="s">
        <v>2615</v>
      </c>
      <c r="AI961" t="s">
        <v>2697</v>
      </c>
      <c r="AJ961" t="s">
        <v>2651</v>
      </c>
      <c r="AK961" t="s">
        <v>20</v>
      </c>
      <c r="AL961" t="s">
        <v>717</v>
      </c>
      <c r="AM961" t="s">
        <v>10</v>
      </c>
      <c r="AN961" t="s">
        <v>717</v>
      </c>
    </row>
    <row r="962" spans="1:40" hidden="1">
      <c r="A962">
        <v>960</v>
      </c>
      <c r="B962">
        <v>22</v>
      </c>
      <c r="C962" s="58">
        <v>44629</v>
      </c>
      <c r="D962" t="s">
        <v>27</v>
      </c>
      <c r="E962" t="s">
        <v>5079</v>
      </c>
      <c r="F962">
        <v>5</v>
      </c>
      <c r="G962">
        <v>5</v>
      </c>
      <c r="H962">
        <v>663</v>
      </c>
      <c r="I962">
        <v>1</v>
      </c>
      <c r="J962">
        <v>38.96</v>
      </c>
      <c r="K962" t="s">
        <v>9</v>
      </c>
      <c r="L962">
        <v>2865455</v>
      </c>
      <c r="M962">
        <v>15000</v>
      </c>
      <c r="N962">
        <v>2880455</v>
      </c>
      <c r="O962">
        <v>73933.649897330615</v>
      </c>
      <c r="P962">
        <v>0</v>
      </c>
      <c r="Q962">
        <v>2880455</v>
      </c>
      <c r="R962">
        <v>73933.649897330615</v>
      </c>
      <c r="S962" t="s">
        <v>65</v>
      </c>
      <c r="T962" t="s">
        <v>717</v>
      </c>
      <c r="U962" t="s">
        <v>717</v>
      </c>
      <c r="V962" t="s">
        <v>717</v>
      </c>
      <c r="W962">
        <v>44622</v>
      </c>
      <c r="X962" t="s">
        <v>6215</v>
      </c>
      <c r="Y962" t="s">
        <v>6</v>
      </c>
      <c r="Z962" t="s">
        <v>17</v>
      </c>
      <c r="AA962" t="s">
        <v>717</v>
      </c>
      <c r="AB962" t="s">
        <v>2509</v>
      </c>
      <c r="AC962" t="s">
        <v>2571</v>
      </c>
      <c r="AD962" t="s">
        <v>717</v>
      </c>
      <c r="AE962" t="s">
        <v>6216</v>
      </c>
      <c r="AF962" t="s">
        <v>6217</v>
      </c>
      <c r="AG962" t="s">
        <v>6218</v>
      </c>
      <c r="AH962" t="s">
        <v>2615</v>
      </c>
      <c r="AI962" t="s">
        <v>2552</v>
      </c>
      <c r="AJ962" t="s">
        <v>2940</v>
      </c>
      <c r="AK962" t="s">
        <v>73</v>
      </c>
      <c r="AL962" t="s">
        <v>16</v>
      </c>
      <c r="AM962" t="s">
        <v>10</v>
      </c>
      <c r="AN962" t="s">
        <v>717</v>
      </c>
    </row>
    <row r="963" spans="1:40" hidden="1">
      <c r="A963">
        <v>961</v>
      </c>
      <c r="B963">
        <v>23</v>
      </c>
      <c r="C963" s="58">
        <v>44629</v>
      </c>
      <c r="D963" t="s">
        <v>27</v>
      </c>
      <c r="E963" t="s">
        <v>4409</v>
      </c>
      <c r="F963">
        <v>7</v>
      </c>
      <c r="G963">
        <v>16</v>
      </c>
      <c r="H963">
        <v>630</v>
      </c>
      <c r="I963">
        <v>2</v>
      </c>
      <c r="J963">
        <v>59.93</v>
      </c>
      <c r="K963" t="s">
        <v>15</v>
      </c>
      <c r="L963">
        <v>4447193.75</v>
      </c>
      <c r="M963">
        <v>0</v>
      </c>
      <c r="N963">
        <v>4447193.75</v>
      </c>
      <c r="O963">
        <v>74206.47004838979</v>
      </c>
      <c r="P963">
        <v>329615</v>
      </c>
      <c r="Q963">
        <v>4117578.75</v>
      </c>
      <c r="R963">
        <v>68706.47004838979</v>
      </c>
      <c r="S963" t="s">
        <v>65</v>
      </c>
      <c r="T963" t="s">
        <v>717</v>
      </c>
      <c r="U963" t="s">
        <v>717</v>
      </c>
      <c r="V963" t="s">
        <v>717</v>
      </c>
      <c r="W963">
        <v>44624</v>
      </c>
      <c r="X963" t="s">
        <v>6219</v>
      </c>
      <c r="Y963" t="s">
        <v>6</v>
      </c>
      <c r="Z963" t="s">
        <v>17</v>
      </c>
      <c r="AA963" t="s">
        <v>717</v>
      </c>
      <c r="AB963" t="s">
        <v>2509</v>
      </c>
      <c r="AC963" t="s">
        <v>2571</v>
      </c>
      <c r="AD963" t="s">
        <v>717</v>
      </c>
      <c r="AE963" t="s">
        <v>6220</v>
      </c>
      <c r="AF963" t="s">
        <v>6221</v>
      </c>
      <c r="AG963" t="s">
        <v>6222</v>
      </c>
      <c r="AH963" t="s">
        <v>2191</v>
      </c>
      <c r="AI963" t="s">
        <v>2621</v>
      </c>
      <c r="AJ963" t="s">
        <v>2514</v>
      </c>
      <c r="AK963" t="s">
        <v>471</v>
      </c>
      <c r="AL963" t="s">
        <v>575</v>
      </c>
      <c r="AM963" t="s">
        <v>10</v>
      </c>
      <c r="AN963" t="s">
        <v>717</v>
      </c>
    </row>
    <row r="964" spans="1:40" hidden="1">
      <c r="A964">
        <v>962</v>
      </c>
      <c r="B964">
        <v>24</v>
      </c>
      <c r="C964" s="58">
        <v>44630</v>
      </c>
      <c r="D964" t="s">
        <v>27</v>
      </c>
      <c r="E964" t="s">
        <v>2581</v>
      </c>
      <c r="F964">
        <v>7</v>
      </c>
      <c r="G964">
        <v>8</v>
      </c>
      <c r="H964">
        <v>446</v>
      </c>
      <c r="I964">
        <v>2</v>
      </c>
      <c r="J964">
        <v>59.93</v>
      </c>
      <c r="K964" t="s">
        <v>15</v>
      </c>
      <c r="L964">
        <v>4667742.1399999997</v>
      </c>
      <c r="M964">
        <v>0</v>
      </c>
      <c r="N964">
        <v>4667742.1399999997</v>
      </c>
      <c r="O964">
        <v>77886.569998331383</v>
      </c>
      <c r="P964">
        <v>329615</v>
      </c>
      <c r="Q964">
        <v>4338127.1399999997</v>
      </c>
      <c r="R964">
        <v>72386.569998331383</v>
      </c>
      <c r="S964" t="s">
        <v>65</v>
      </c>
      <c r="T964" t="s">
        <v>717</v>
      </c>
      <c r="U964" t="s">
        <v>717</v>
      </c>
      <c r="V964" t="s">
        <v>717</v>
      </c>
      <c r="W964">
        <v>44622</v>
      </c>
      <c r="X964" t="s">
        <v>6223</v>
      </c>
      <c r="Y964" t="s">
        <v>6</v>
      </c>
      <c r="Z964" t="s">
        <v>17</v>
      </c>
      <c r="AA964" t="s">
        <v>717</v>
      </c>
      <c r="AB964" t="s">
        <v>2509</v>
      </c>
      <c r="AC964" t="s">
        <v>2571</v>
      </c>
      <c r="AD964" t="s">
        <v>717</v>
      </c>
      <c r="AE964" t="s">
        <v>6224</v>
      </c>
      <c r="AF964" t="s">
        <v>6225</v>
      </c>
      <c r="AG964" t="s">
        <v>6226</v>
      </c>
      <c r="AH964" t="s">
        <v>2615</v>
      </c>
      <c r="AI964" t="s">
        <v>2688</v>
      </c>
      <c r="AJ964" t="s">
        <v>2569</v>
      </c>
      <c r="AK964" t="s">
        <v>63</v>
      </c>
      <c r="AL964" t="s">
        <v>575</v>
      </c>
      <c r="AM964" t="s">
        <v>10</v>
      </c>
      <c r="AN964" t="s">
        <v>717</v>
      </c>
    </row>
    <row r="965" spans="1:40" hidden="1">
      <c r="A965">
        <v>963</v>
      </c>
      <c r="B965">
        <v>25</v>
      </c>
      <c r="C965" s="58">
        <v>44630</v>
      </c>
      <c r="D965" t="s">
        <v>27</v>
      </c>
      <c r="E965" t="s">
        <v>2515</v>
      </c>
      <c r="F965">
        <v>5</v>
      </c>
      <c r="G965">
        <v>15</v>
      </c>
      <c r="H965">
        <v>122</v>
      </c>
      <c r="I965">
        <v>0</v>
      </c>
      <c r="J965">
        <v>24.47</v>
      </c>
      <c r="K965" t="s">
        <v>9</v>
      </c>
      <c r="L965">
        <v>1998763.3</v>
      </c>
      <c r="M965">
        <v>15000</v>
      </c>
      <c r="N965">
        <v>2013763.3</v>
      </c>
      <c r="O965">
        <v>82295.190028606463</v>
      </c>
      <c r="P965">
        <v>0</v>
      </c>
      <c r="Q965">
        <v>2013763.3</v>
      </c>
      <c r="R965">
        <v>82295.190028606463</v>
      </c>
      <c r="S965" t="s">
        <v>65</v>
      </c>
      <c r="T965" t="s">
        <v>717</v>
      </c>
      <c r="U965" t="s">
        <v>717</v>
      </c>
      <c r="V965" t="s">
        <v>717</v>
      </c>
      <c r="W965">
        <v>44624</v>
      </c>
      <c r="X965" t="s">
        <v>6227</v>
      </c>
      <c r="Y965" t="s">
        <v>6</v>
      </c>
      <c r="Z965" t="s">
        <v>11</v>
      </c>
      <c r="AA965" t="s">
        <v>717</v>
      </c>
      <c r="AB965" t="s">
        <v>2509</v>
      </c>
      <c r="AC965" t="s">
        <v>2571</v>
      </c>
      <c r="AD965" t="s">
        <v>717</v>
      </c>
      <c r="AE965" t="s">
        <v>6228</v>
      </c>
      <c r="AF965" t="s">
        <v>6229</v>
      </c>
      <c r="AG965" t="s">
        <v>6230</v>
      </c>
      <c r="AH965" t="s">
        <v>2615</v>
      </c>
      <c r="AI965" t="s">
        <v>2847</v>
      </c>
      <c r="AJ965" t="s">
        <v>2940</v>
      </c>
      <c r="AK965" t="s">
        <v>73</v>
      </c>
      <c r="AL965" t="s">
        <v>575</v>
      </c>
      <c r="AM965" t="s">
        <v>10</v>
      </c>
      <c r="AN965" t="s">
        <v>717</v>
      </c>
    </row>
    <row r="966" spans="1:40" hidden="1">
      <c r="A966">
        <v>964</v>
      </c>
      <c r="B966">
        <v>26</v>
      </c>
      <c r="C966" s="58">
        <v>44630</v>
      </c>
      <c r="D966" t="s">
        <v>27</v>
      </c>
      <c r="E966" t="s">
        <v>2581</v>
      </c>
      <c r="F966">
        <v>8</v>
      </c>
      <c r="G966">
        <v>4</v>
      </c>
      <c r="H966">
        <v>415</v>
      </c>
      <c r="I966">
        <v>2</v>
      </c>
      <c r="J966">
        <v>55.8</v>
      </c>
      <c r="K966" t="s">
        <v>25</v>
      </c>
      <c r="L966">
        <v>5651304.0300000003</v>
      </c>
      <c r="M966">
        <v>0</v>
      </c>
      <c r="N966">
        <v>5651304.0300000003</v>
      </c>
      <c r="O966">
        <v>101277.85</v>
      </c>
      <c r="P966">
        <v>1116000</v>
      </c>
      <c r="Q966">
        <v>4535304.03</v>
      </c>
      <c r="R966">
        <v>81277.850000000006</v>
      </c>
      <c r="S966" t="s">
        <v>65</v>
      </c>
      <c r="T966" t="s">
        <v>717</v>
      </c>
      <c r="U966" t="s">
        <v>717</v>
      </c>
      <c r="V966" t="s">
        <v>717</v>
      </c>
      <c r="W966">
        <v>44625</v>
      </c>
      <c r="X966" t="s">
        <v>6231</v>
      </c>
      <c r="Y966" t="s">
        <v>6</v>
      </c>
      <c r="Z966" t="s">
        <v>17</v>
      </c>
      <c r="AA966" t="s">
        <v>717</v>
      </c>
      <c r="AB966" t="s">
        <v>2509</v>
      </c>
      <c r="AC966" t="s">
        <v>2571</v>
      </c>
      <c r="AD966" t="s">
        <v>717</v>
      </c>
      <c r="AE966" t="s">
        <v>6232</v>
      </c>
      <c r="AF966" t="s">
        <v>6233</v>
      </c>
      <c r="AG966" t="s">
        <v>6234</v>
      </c>
      <c r="AH966" t="s">
        <v>2615</v>
      </c>
      <c r="AI966" t="s">
        <v>2552</v>
      </c>
      <c r="AJ966" t="s">
        <v>2651</v>
      </c>
      <c r="AK966" t="s">
        <v>63</v>
      </c>
      <c r="AL966" t="s">
        <v>16</v>
      </c>
      <c r="AM966" t="s">
        <v>10</v>
      </c>
      <c r="AN966" t="s">
        <v>717</v>
      </c>
    </row>
    <row r="967" spans="1:40" hidden="1">
      <c r="A967">
        <v>965</v>
      </c>
      <c r="B967">
        <v>27</v>
      </c>
      <c r="C967" s="58">
        <v>44630</v>
      </c>
      <c r="D967" t="s">
        <v>27</v>
      </c>
      <c r="E967" t="s">
        <v>2581</v>
      </c>
      <c r="F967">
        <v>2</v>
      </c>
      <c r="G967">
        <v>8</v>
      </c>
      <c r="H967">
        <v>441</v>
      </c>
      <c r="I967">
        <v>1</v>
      </c>
      <c r="J967">
        <v>37.159999999999997</v>
      </c>
      <c r="K967" t="s">
        <v>25</v>
      </c>
      <c r="L967">
        <v>3490574.43</v>
      </c>
      <c r="M967">
        <v>0</v>
      </c>
      <c r="N967">
        <v>3490574.43</v>
      </c>
      <c r="O967">
        <v>93933.649892357382</v>
      </c>
      <c r="P967">
        <v>743200</v>
      </c>
      <c r="Q967">
        <v>2747374.43</v>
      </c>
      <c r="R967">
        <v>73933.649892357382</v>
      </c>
      <c r="S967" t="s">
        <v>65</v>
      </c>
      <c r="T967" t="s">
        <v>717</v>
      </c>
      <c r="U967" t="s">
        <v>717</v>
      </c>
      <c r="V967" t="s">
        <v>717</v>
      </c>
      <c r="W967">
        <v>44625</v>
      </c>
      <c r="X967" t="s">
        <v>6235</v>
      </c>
      <c r="Y967" t="s">
        <v>6</v>
      </c>
      <c r="Z967" t="s">
        <v>17</v>
      </c>
      <c r="AA967" t="s">
        <v>717</v>
      </c>
      <c r="AB967" t="s">
        <v>2509</v>
      </c>
      <c r="AC967" t="s">
        <v>2571</v>
      </c>
      <c r="AD967" t="s">
        <v>717</v>
      </c>
      <c r="AE967" t="s">
        <v>6236</v>
      </c>
      <c r="AF967" t="s">
        <v>6237</v>
      </c>
      <c r="AG967" t="s">
        <v>6238</v>
      </c>
      <c r="AH967" t="s">
        <v>2552</v>
      </c>
      <c r="AI967" t="s">
        <v>2547</v>
      </c>
      <c r="AJ967" t="s">
        <v>2855</v>
      </c>
      <c r="AK967" t="s">
        <v>20</v>
      </c>
      <c r="AL967" t="s">
        <v>16</v>
      </c>
      <c r="AM967" t="s">
        <v>10</v>
      </c>
      <c r="AN967" t="s">
        <v>717</v>
      </c>
    </row>
    <row r="968" spans="1:40" hidden="1">
      <c r="A968">
        <v>966</v>
      </c>
      <c r="B968">
        <v>28</v>
      </c>
      <c r="C968" s="58">
        <v>44630</v>
      </c>
      <c r="D968" t="s">
        <v>27</v>
      </c>
      <c r="E968" t="s">
        <v>5456</v>
      </c>
      <c r="F968">
        <v>3</v>
      </c>
      <c r="G968">
        <v>2</v>
      </c>
      <c r="H968">
        <v>833</v>
      </c>
      <c r="I968">
        <v>1</v>
      </c>
      <c r="J968">
        <v>37.31</v>
      </c>
      <c r="K968" t="s">
        <v>9</v>
      </c>
      <c r="L968">
        <v>3006117.44</v>
      </c>
      <c r="M968">
        <v>0</v>
      </c>
      <c r="N968">
        <v>3006117.44</v>
      </c>
      <c r="O968">
        <v>80571.359957116045</v>
      </c>
      <c r="P968">
        <v>0</v>
      </c>
      <c r="Q968">
        <v>3006117.44</v>
      </c>
      <c r="R968">
        <v>80571.359957116045</v>
      </c>
      <c r="S968" t="s">
        <v>65</v>
      </c>
      <c r="T968" t="s">
        <v>717</v>
      </c>
      <c r="U968" t="s">
        <v>717</v>
      </c>
      <c r="V968" t="s">
        <v>717</v>
      </c>
      <c r="W968">
        <v>44625</v>
      </c>
      <c r="X968" t="s">
        <v>6239</v>
      </c>
      <c r="Y968" t="s">
        <v>6</v>
      </c>
      <c r="Z968" t="s">
        <v>17</v>
      </c>
      <c r="AA968" t="s">
        <v>717</v>
      </c>
      <c r="AB968" t="s">
        <v>2509</v>
      </c>
      <c r="AC968" t="s">
        <v>2571</v>
      </c>
      <c r="AD968" t="s">
        <v>717</v>
      </c>
      <c r="AE968" t="s">
        <v>6240</v>
      </c>
      <c r="AF968" t="s">
        <v>6241</v>
      </c>
      <c r="AG968" t="s">
        <v>6242</v>
      </c>
      <c r="AH968" t="s">
        <v>2615</v>
      </c>
      <c r="AI968" t="s">
        <v>2847</v>
      </c>
      <c r="AJ968" t="s">
        <v>2793</v>
      </c>
      <c r="AK968" t="s">
        <v>20</v>
      </c>
      <c r="AL968" t="s">
        <v>16</v>
      </c>
      <c r="AM968" t="s">
        <v>10</v>
      </c>
      <c r="AN968" t="s">
        <v>717</v>
      </c>
    </row>
    <row r="969" spans="1:40" hidden="1">
      <c r="A969">
        <v>967</v>
      </c>
      <c r="B969">
        <v>29</v>
      </c>
      <c r="C969" s="58">
        <v>44630</v>
      </c>
      <c r="D969" t="s">
        <v>121</v>
      </c>
      <c r="E969" t="s">
        <v>2515</v>
      </c>
      <c r="F969">
        <v>6</v>
      </c>
      <c r="G969">
        <v>15</v>
      </c>
      <c r="H969">
        <v>97</v>
      </c>
      <c r="I969">
        <v>2</v>
      </c>
      <c r="J969">
        <v>59.96</v>
      </c>
      <c r="K969" t="s">
        <v>9</v>
      </c>
      <c r="L969">
        <v>5167916.42</v>
      </c>
      <c r="M969">
        <v>0</v>
      </c>
      <c r="N969">
        <v>5167916.42</v>
      </c>
      <c r="O969">
        <v>86189.399933288863</v>
      </c>
      <c r="P969">
        <v>0</v>
      </c>
      <c r="Q969">
        <v>5167916.42</v>
      </c>
      <c r="R969">
        <v>86189.399933288863</v>
      </c>
      <c r="S969" t="s">
        <v>2507</v>
      </c>
      <c r="T969" t="s">
        <v>717</v>
      </c>
      <c r="U969" t="s">
        <v>717</v>
      </c>
      <c r="V969" t="s">
        <v>717</v>
      </c>
      <c r="W969">
        <v>44630</v>
      </c>
      <c r="X969" t="s">
        <v>6243</v>
      </c>
      <c r="Y969" t="s">
        <v>6</v>
      </c>
      <c r="Z969" t="s">
        <v>17</v>
      </c>
      <c r="AA969" t="s">
        <v>717</v>
      </c>
      <c r="AB969" t="s">
        <v>2509</v>
      </c>
      <c r="AC969" t="s">
        <v>118</v>
      </c>
      <c r="AD969" t="s">
        <v>717</v>
      </c>
      <c r="AE969" t="s">
        <v>6244</v>
      </c>
      <c r="AF969" t="s">
        <v>6245</v>
      </c>
      <c r="AG969" t="s">
        <v>6246</v>
      </c>
      <c r="AH969" t="s">
        <v>2615</v>
      </c>
      <c r="AI969" t="s">
        <v>2552</v>
      </c>
      <c r="AJ969" t="s">
        <v>3289</v>
      </c>
      <c r="AK969" t="s">
        <v>73</v>
      </c>
      <c r="AL969" t="s">
        <v>717</v>
      </c>
      <c r="AM969" t="s">
        <v>10</v>
      </c>
      <c r="AN969" t="s">
        <v>717</v>
      </c>
    </row>
    <row r="970" spans="1:40" hidden="1">
      <c r="A970">
        <v>968</v>
      </c>
      <c r="B970">
        <v>30</v>
      </c>
      <c r="C970" s="58">
        <v>44630</v>
      </c>
      <c r="D970" t="s">
        <v>27</v>
      </c>
      <c r="E970" t="s">
        <v>2515</v>
      </c>
      <c r="F970">
        <v>9</v>
      </c>
      <c r="G970">
        <v>5</v>
      </c>
      <c r="H970">
        <v>36</v>
      </c>
      <c r="I970">
        <v>1</v>
      </c>
      <c r="J970">
        <v>37.94</v>
      </c>
      <c r="K970" t="s">
        <v>9</v>
      </c>
      <c r="L970">
        <v>2688165.86</v>
      </c>
      <c r="M970">
        <v>0</v>
      </c>
      <c r="N970">
        <v>2688165.86</v>
      </c>
      <c r="O970">
        <v>70853.080126515546</v>
      </c>
      <c r="P970">
        <v>0</v>
      </c>
      <c r="Q970">
        <v>2688165.86</v>
      </c>
      <c r="R970">
        <v>70853.080126515546</v>
      </c>
      <c r="S970" t="s">
        <v>130</v>
      </c>
      <c r="T970" t="s">
        <v>717</v>
      </c>
      <c r="U970" t="s">
        <v>717</v>
      </c>
      <c r="V970" t="s">
        <v>717</v>
      </c>
      <c r="W970">
        <v>44623</v>
      </c>
      <c r="X970" t="s">
        <v>6247</v>
      </c>
      <c r="Y970" t="s">
        <v>6</v>
      </c>
      <c r="Z970" t="s">
        <v>11</v>
      </c>
      <c r="AA970" t="s">
        <v>717</v>
      </c>
      <c r="AB970" t="s">
        <v>2509</v>
      </c>
      <c r="AC970" t="s">
        <v>118</v>
      </c>
      <c r="AD970" t="s">
        <v>717</v>
      </c>
      <c r="AE970" t="s">
        <v>6248</v>
      </c>
      <c r="AF970" t="s">
        <v>2667</v>
      </c>
      <c r="AG970" t="s">
        <v>6249</v>
      </c>
      <c r="AH970" t="s">
        <v>2615</v>
      </c>
      <c r="AI970" t="s">
        <v>2600</v>
      </c>
      <c r="AJ970" t="s">
        <v>3921</v>
      </c>
      <c r="AK970" t="s">
        <v>77</v>
      </c>
      <c r="AL970" t="s">
        <v>717</v>
      </c>
      <c r="AM970" t="s">
        <v>10</v>
      </c>
      <c r="AN970" t="s">
        <v>717</v>
      </c>
    </row>
    <row r="971" spans="1:40" hidden="1">
      <c r="A971">
        <v>969</v>
      </c>
      <c r="B971">
        <v>31</v>
      </c>
      <c r="C971" s="58">
        <v>44630</v>
      </c>
      <c r="D971" t="s">
        <v>27</v>
      </c>
      <c r="E971" t="s">
        <v>2515</v>
      </c>
      <c r="F971">
        <v>4</v>
      </c>
      <c r="G971">
        <v>10</v>
      </c>
      <c r="H971">
        <v>76</v>
      </c>
      <c r="I971">
        <v>0</v>
      </c>
      <c r="J971">
        <v>24.39</v>
      </c>
      <c r="K971" t="s">
        <v>9</v>
      </c>
      <c r="L971">
        <v>2040783.98</v>
      </c>
      <c r="M971">
        <v>0</v>
      </c>
      <c r="N971">
        <v>2040783.98</v>
      </c>
      <c r="O971">
        <v>83672.979909799091</v>
      </c>
      <c r="P971">
        <v>0</v>
      </c>
      <c r="Q971">
        <v>2040783.98</v>
      </c>
      <c r="R971">
        <v>83672.979909799091</v>
      </c>
      <c r="S971" t="s">
        <v>65</v>
      </c>
      <c r="T971" t="s">
        <v>717</v>
      </c>
      <c r="U971" t="s">
        <v>717</v>
      </c>
      <c r="V971" t="s">
        <v>717</v>
      </c>
      <c r="W971">
        <v>44623</v>
      </c>
      <c r="X971" t="s">
        <v>6250</v>
      </c>
      <c r="Y971" t="s">
        <v>2611</v>
      </c>
      <c r="Z971" t="s">
        <v>17</v>
      </c>
      <c r="AA971" t="s">
        <v>717</v>
      </c>
      <c r="AB971" t="s">
        <v>2509</v>
      </c>
      <c r="AC971" t="s">
        <v>2564</v>
      </c>
      <c r="AD971">
        <v>45009</v>
      </c>
      <c r="AE971" t="s">
        <v>6251</v>
      </c>
      <c r="AF971" t="s">
        <v>6252</v>
      </c>
      <c r="AG971" t="s">
        <v>6253</v>
      </c>
      <c r="AH971" t="s">
        <v>2615</v>
      </c>
      <c r="AI971" t="s">
        <v>2697</v>
      </c>
      <c r="AJ971" t="s">
        <v>2662</v>
      </c>
      <c r="AK971" t="s">
        <v>77</v>
      </c>
      <c r="AL971" t="s">
        <v>575</v>
      </c>
      <c r="AM971" t="s">
        <v>10</v>
      </c>
      <c r="AN971" t="s">
        <v>717</v>
      </c>
    </row>
    <row r="972" spans="1:40" hidden="1">
      <c r="A972">
        <v>970</v>
      </c>
      <c r="B972">
        <v>32</v>
      </c>
      <c r="C972" s="58">
        <v>44630</v>
      </c>
      <c r="D972" t="s">
        <v>27</v>
      </c>
      <c r="E972" t="s">
        <v>4409</v>
      </c>
      <c r="F972">
        <v>7</v>
      </c>
      <c r="G972">
        <v>10</v>
      </c>
      <c r="H972">
        <v>582</v>
      </c>
      <c r="I972">
        <v>2</v>
      </c>
      <c r="J972">
        <v>59.93</v>
      </c>
      <c r="K972" t="s">
        <v>9</v>
      </c>
      <c r="L972">
        <v>4102578.75</v>
      </c>
      <c r="M972">
        <v>15000</v>
      </c>
      <c r="N972">
        <v>4117578.75</v>
      </c>
      <c r="O972">
        <v>68706.47004838979</v>
      </c>
      <c r="P972">
        <v>0</v>
      </c>
      <c r="Q972">
        <v>4117578.75</v>
      </c>
      <c r="R972">
        <v>68706.47004838979</v>
      </c>
      <c r="S972" t="s">
        <v>65</v>
      </c>
      <c r="T972" t="s">
        <v>717</v>
      </c>
      <c r="U972" t="s">
        <v>717</v>
      </c>
      <c r="V972" t="s">
        <v>717</v>
      </c>
      <c r="W972">
        <v>44626</v>
      </c>
      <c r="X972" t="s">
        <v>6254</v>
      </c>
      <c r="Y972" t="s">
        <v>6</v>
      </c>
      <c r="Z972" t="s">
        <v>17</v>
      </c>
      <c r="AA972" t="s">
        <v>717</v>
      </c>
      <c r="AB972" t="s">
        <v>2509</v>
      </c>
      <c r="AC972" t="s">
        <v>2571</v>
      </c>
      <c r="AD972" t="s">
        <v>717</v>
      </c>
      <c r="AE972" t="s">
        <v>6255</v>
      </c>
      <c r="AF972" t="s">
        <v>6256</v>
      </c>
      <c r="AG972" t="s">
        <v>6257</v>
      </c>
      <c r="AH972" t="s">
        <v>2191</v>
      </c>
      <c r="AI972" t="s">
        <v>2552</v>
      </c>
      <c r="AJ972" t="s">
        <v>2514</v>
      </c>
      <c r="AK972" t="s">
        <v>77</v>
      </c>
      <c r="AL972" t="s">
        <v>16</v>
      </c>
      <c r="AM972" t="s">
        <v>10</v>
      </c>
      <c r="AN972" t="s">
        <v>717</v>
      </c>
    </row>
    <row r="973" spans="1:40" hidden="1">
      <c r="A973">
        <v>971</v>
      </c>
      <c r="B973">
        <v>33</v>
      </c>
      <c r="C973" s="58">
        <v>44631</v>
      </c>
      <c r="D973" t="s">
        <v>27</v>
      </c>
      <c r="E973" t="s">
        <v>2506</v>
      </c>
      <c r="F973">
        <v>5</v>
      </c>
      <c r="G973">
        <v>21</v>
      </c>
      <c r="H973">
        <v>364</v>
      </c>
      <c r="I973">
        <v>0</v>
      </c>
      <c r="J973">
        <v>23.63</v>
      </c>
      <c r="K973" t="s">
        <v>15</v>
      </c>
      <c r="L973">
        <v>2231218.41</v>
      </c>
      <c r="M973">
        <v>15000</v>
      </c>
      <c r="N973">
        <v>2246218.41</v>
      </c>
      <c r="O973">
        <v>95057.909860347034</v>
      </c>
      <c r="P973">
        <v>129965</v>
      </c>
      <c r="Q973">
        <v>2116253.41</v>
      </c>
      <c r="R973">
        <v>89557.909860347034</v>
      </c>
      <c r="S973" t="s">
        <v>130</v>
      </c>
      <c r="T973" t="s">
        <v>717</v>
      </c>
      <c r="U973" t="s">
        <v>717</v>
      </c>
      <c r="V973" t="s">
        <v>717</v>
      </c>
      <c r="W973">
        <v>44616</v>
      </c>
      <c r="X973" t="s">
        <v>6258</v>
      </c>
      <c r="Y973" t="s">
        <v>6</v>
      </c>
      <c r="Z973" t="s">
        <v>17</v>
      </c>
      <c r="AA973" t="s">
        <v>5617</v>
      </c>
      <c r="AB973" t="s">
        <v>2509</v>
      </c>
      <c r="AC973" t="s">
        <v>118</v>
      </c>
      <c r="AD973" t="s">
        <v>717</v>
      </c>
      <c r="AE973" t="s">
        <v>6259</v>
      </c>
      <c r="AF973" t="s">
        <v>6260</v>
      </c>
      <c r="AG973" t="s">
        <v>6261</v>
      </c>
      <c r="AH973" t="s">
        <v>2615</v>
      </c>
      <c r="AI973" t="s">
        <v>2552</v>
      </c>
      <c r="AJ973" t="s">
        <v>2895</v>
      </c>
      <c r="AK973" t="s">
        <v>471</v>
      </c>
      <c r="AL973" t="s">
        <v>717</v>
      </c>
      <c r="AM973" t="s">
        <v>10</v>
      </c>
      <c r="AN973" t="s">
        <v>717</v>
      </c>
    </row>
    <row r="974" spans="1:40" hidden="1">
      <c r="A974">
        <v>972</v>
      </c>
      <c r="B974">
        <v>34</v>
      </c>
      <c r="C974" s="58">
        <v>44631</v>
      </c>
      <c r="D974" t="s">
        <v>27</v>
      </c>
      <c r="E974" t="s">
        <v>2515</v>
      </c>
      <c r="F974">
        <v>1</v>
      </c>
      <c r="G974">
        <v>5</v>
      </c>
      <c r="H974">
        <v>28</v>
      </c>
      <c r="I974">
        <v>3</v>
      </c>
      <c r="J974">
        <v>82.71</v>
      </c>
      <c r="K974" t="s">
        <v>9</v>
      </c>
      <c r="L974">
        <v>5119500.4000000004</v>
      </c>
      <c r="M974">
        <v>0</v>
      </c>
      <c r="N974">
        <v>5119500.4000000004</v>
      </c>
      <c r="O974">
        <v>61896.994317494871</v>
      </c>
      <c r="P974">
        <v>0</v>
      </c>
      <c r="Q974">
        <v>5119500.4000000004</v>
      </c>
      <c r="R974">
        <v>61896.994317494871</v>
      </c>
      <c r="S974" t="s">
        <v>65</v>
      </c>
      <c r="T974" t="s">
        <v>717</v>
      </c>
      <c r="U974" t="s">
        <v>717</v>
      </c>
      <c r="V974" t="s">
        <v>717</v>
      </c>
      <c r="W974">
        <v>44622</v>
      </c>
      <c r="X974" t="s">
        <v>6262</v>
      </c>
      <c r="Y974" t="s">
        <v>6</v>
      </c>
      <c r="Z974" t="s">
        <v>17</v>
      </c>
      <c r="AA974" t="s">
        <v>717</v>
      </c>
      <c r="AB974" t="s">
        <v>2509</v>
      </c>
      <c r="AC974" t="s">
        <v>2571</v>
      </c>
      <c r="AD974" t="s">
        <v>717</v>
      </c>
      <c r="AE974" t="s">
        <v>6263</v>
      </c>
      <c r="AF974" t="s">
        <v>6264</v>
      </c>
      <c r="AG974" t="s">
        <v>6265</v>
      </c>
      <c r="AH974" t="s">
        <v>2552</v>
      </c>
      <c r="AI974" t="s">
        <v>2877</v>
      </c>
      <c r="AJ974" t="s">
        <v>2657</v>
      </c>
      <c r="AK974" t="s">
        <v>20</v>
      </c>
      <c r="AL974" t="s">
        <v>16</v>
      </c>
      <c r="AM974" t="s">
        <v>10</v>
      </c>
      <c r="AN974" t="s">
        <v>717</v>
      </c>
    </row>
    <row r="975" spans="1:40" hidden="1">
      <c r="A975">
        <v>973</v>
      </c>
      <c r="B975">
        <v>35</v>
      </c>
      <c r="C975" s="58">
        <v>44631</v>
      </c>
      <c r="D975" t="s">
        <v>27</v>
      </c>
      <c r="E975" t="s">
        <v>5079</v>
      </c>
      <c r="F975">
        <v>5</v>
      </c>
      <c r="G975">
        <v>22</v>
      </c>
      <c r="H975">
        <v>811</v>
      </c>
      <c r="I975">
        <v>2</v>
      </c>
      <c r="J975">
        <v>61.96</v>
      </c>
      <c r="K975" t="s">
        <v>9</v>
      </c>
      <c r="L975">
        <v>5129090.3099999996</v>
      </c>
      <c r="M975">
        <v>0</v>
      </c>
      <c r="N975">
        <v>5129090.3099999996</v>
      </c>
      <c r="O975">
        <v>82780.669948353767</v>
      </c>
      <c r="P975">
        <v>0</v>
      </c>
      <c r="Q975">
        <v>5129090.3099999996</v>
      </c>
      <c r="R975">
        <v>82780.669948353767</v>
      </c>
      <c r="S975" t="s">
        <v>65</v>
      </c>
      <c r="T975" t="s">
        <v>717</v>
      </c>
      <c r="U975" t="s">
        <v>717</v>
      </c>
      <c r="V975" t="s">
        <v>717</v>
      </c>
      <c r="W975">
        <v>44627</v>
      </c>
      <c r="X975" t="s">
        <v>6266</v>
      </c>
      <c r="Y975" t="s">
        <v>6</v>
      </c>
      <c r="Z975" t="s">
        <v>17</v>
      </c>
      <c r="AA975" t="s">
        <v>717</v>
      </c>
      <c r="AB975" t="s">
        <v>2509</v>
      </c>
      <c r="AC975" t="s">
        <v>2571</v>
      </c>
      <c r="AD975" t="s">
        <v>717</v>
      </c>
      <c r="AE975" t="s">
        <v>6267</v>
      </c>
      <c r="AF975" t="s">
        <v>6268</v>
      </c>
      <c r="AG975" t="s">
        <v>6269</v>
      </c>
      <c r="AH975" t="s">
        <v>2615</v>
      </c>
      <c r="AI975" t="s">
        <v>2552</v>
      </c>
      <c r="AJ975" t="s">
        <v>2895</v>
      </c>
      <c r="AK975" t="s">
        <v>77</v>
      </c>
      <c r="AL975" t="s">
        <v>16</v>
      </c>
      <c r="AM975" t="s">
        <v>10</v>
      </c>
      <c r="AN975" t="s">
        <v>717</v>
      </c>
    </row>
    <row r="976" spans="1:40" hidden="1">
      <c r="A976">
        <v>974</v>
      </c>
      <c r="B976">
        <v>36</v>
      </c>
      <c r="C976" s="58">
        <v>44631</v>
      </c>
      <c r="D976" t="s">
        <v>27</v>
      </c>
      <c r="E976" t="s">
        <v>2581</v>
      </c>
      <c r="F976">
        <v>2</v>
      </c>
      <c r="G976">
        <v>7</v>
      </c>
      <c r="H976">
        <v>433</v>
      </c>
      <c r="I976">
        <v>1</v>
      </c>
      <c r="J976">
        <v>37.159999999999997</v>
      </c>
      <c r="K976" t="s">
        <v>15</v>
      </c>
      <c r="L976">
        <v>2951754.43</v>
      </c>
      <c r="M976">
        <v>0</v>
      </c>
      <c r="N976">
        <v>2951754.43</v>
      </c>
      <c r="O976">
        <v>79433.649892357382</v>
      </c>
      <c r="P976">
        <v>204380</v>
      </c>
      <c r="Q976">
        <v>2747374.43</v>
      </c>
      <c r="R976">
        <v>73933.649892357382</v>
      </c>
      <c r="S976" t="s">
        <v>65</v>
      </c>
      <c r="T976" t="s">
        <v>717</v>
      </c>
      <c r="U976" t="s">
        <v>717</v>
      </c>
      <c r="V976" t="s">
        <v>717</v>
      </c>
      <c r="W976">
        <v>44628</v>
      </c>
      <c r="X976" t="s">
        <v>6270</v>
      </c>
      <c r="Y976" t="s">
        <v>6</v>
      </c>
      <c r="Z976" t="s">
        <v>17</v>
      </c>
      <c r="AA976" t="s">
        <v>5617</v>
      </c>
      <c r="AB976" t="s">
        <v>2509</v>
      </c>
      <c r="AC976" t="s">
        <v>2564</v>
      </c>
      <c r="AD976" t="s">
        <v>717</v>
      </c>
      <c r="AE976" t="s">
        <v>6271</v>
      </c>
      <c r="AF976" t="s">
        <v>6272</v>
      </c>
      <c r="AG976" t="s">
        <v>6273</v>
      </c>
      <c r="AH976" t="s">
        <v>2552</v>
      </c>
      <c r="AI976" t="s">
        <v>2547</v>
      </c>
      <c r="AJ976" t="s">
        <v>2855</v>
      </c>
      <c r="AK976" t="s">
        <v>20</v>
      </c>
      <c r="AL976" t="s">
        <v>575</v>
      </c>
      <c r="AM976" t="s">
        <v>10</v>
      </c>
      <c r="AN976" t="s">
        <v>717</v>
      </c>
    </row>
    <row r="977" spans="1:40" hidden="1">
      <c r="A977">
        <v>975</v>
      </c>
      <c r="B977">
        <v>37</v>
      </c>
      <c r="C977" s="58">
        <v>44632</v>
      </c>
      <c r="D977" t="s">
        <v>27</v>
      </c>
      <c r="E977" t="s">
        <v>2515</v>
      </c>
      <c r="F977">
        <v>8</v>
      </c>
      <c r="G977">
        <v>5</v>
      </c>
      <c r="H977">
        <v>35</v>
      </c>
      <c r="I977">
        <v>1</v>
      </c>
      <c r="J977">
        <v>37.69</v>
      </c>
      <c r="K977" t="s">
        <v>9</v>
      </c>
      <c r="L977">
        <v>2786559.27</v>
      </c>
      <c r="M977">
        <v>0</v>
      </c>
      <c r="N977">
        <v>2786559.27</v>
      </c>
      <c r="O977">
        <v>73933.650039798362</v>
      </c>
      <c r="P977">
        <v>0</v>
      </c>
      <c r="Q977">
        <v>2786559.27</v>
      </c>
      <c r="R977">
        <v>73933.650039798362</v>
      </c>
      <c r="S977" t="s">
        <v>130</v>
      </c>
      <c r="T977" t="s">
        <v>717</v>
      </c>
      <c r="U977" t="s">
        <v>717</v>
      </c>
      <c r="V977" t="s">
        <v>717</v>
      </c>
      <c r="W977">
        <v>44629</v>
      </c>
      <c r="X977" t="s">
        <v>6274</v>
      </c>
      <c r="Y977" t="s">
        <v>6</v>
      </c>
      <c r="Z977" t="s">
        <v>17</v>
      </c>
      <c r="AA977" t="s">
        <v>717</v>
      </c>
      <c r="AB977" t="s">
        <v>2509</v>
      </c>
      <c r="AC977" t="s">
        <v>118</v>
      </c>
      <c r="AD977" t="s">
        <v>717</v>
      </c>
      <c r="AE977" t="s">
        <v>6275</v>
      </c>
      <c r="AF977" t="s">
        <v>6276</v>
      </c>
      <c r="AG977" t="s">
        <v>6277</v>
      </c>
      <c r="AH977" t="s">
        <v>2615</v>
      </c>
      <c r="AI977" t="s">
        <v>2521</v>
      </c>
      <c r="AJ977" t="s">
        <v>2895</v>
      </c>
      <c r="AK977" t="s">
        <v>20</v>
      </c>
      <c r="AL977" t="s">
        <v>717</v>
      </c>
      <c r="AM977" t="s">
        <v>10</v>
      </c>
      <c r="AN977" t="s">
        <v>717</v>
      </c>
    </row>
    <row r="978" spans="1:40" hidden="1">
      <c r="A978">
        <v>976</v>
      </c>
      <c r="B978">
        <v>38</v>
      </c>
      <c r="C978" s="58">
        <v>44632</v>
      </c>
      <c r="D978" t="s">
        <v>121</v>
      </c>
      <c r="E978" t="s">
        <v>2515</v>
      </c>
      <c r="F978">
        <v>4</v>
      </c>
      <c r="G978">
        <v>22</v>
      </c>
      <c r="H978">
        <v>144</v>
      </c>
      <c r="I978">
        <v>1</v>
      </c>
      <c r="J978">
        <v>36.86</v>
      </c>
      <c r="K978" t="s">
        <v>9</v>
      </c>
      <c r="L978">
        <v>3543274.76</v>
      </c>
      <c r="M978">
        <v>0</v>
      </c>
      <c r="N978">
        <v>3543274.76</v>
      </c>
      <c r="O978">
        <v>96127.909929462825</v>
      </c>
      <c r="P978">
        <v>0</v>
      </c>
      <c r="Q978">
        <v>3543274.76</v>
      </c>
      <c r="R978">
        <v>96127.909929462825</v>
      </c>
      <c r="S978" t="s">
        <v>65</v>
      </c>
      <c r="T978" t="s">
        <v>717</v>
      </c>
      <c r="U978" t="s">
        <v>717</v>
      </c>
      <c r="V978" t="s">
        <v>717</v>
      </c>
      <c r="W978">
        <v>44631</v>
      </c>
      <c r="X978" t="s">
        <v>6278</v>
      </c>
      <c r="Y978" t="s">
        <v>6</v>
      </c>
      <c r="Z978" t="s">
        <v>17</v>
      </c>
      <c r="AA978" t="s">
        <v>717</v>
      </c>
      <c r="AB978" t="s">
        <v>2509</v>
      </c>
      <c r="AC978" t="s">
        <v>2571</v>
      </c>
      <c r="AD978" t="s">
        <v>717</v>
      </c>
      <c r="AE978" t="s">
        <v>6279</v>
      </c>
      <c r="AF978" t="s">
        <v>6280</v>
      </c>
      <c r="AG978" t="s">
        <v>6281</v>
      </c>
      <c r="AH978" t="s">
        <v>2615</v>
      </c>
      <c r="AI978" t="s">
        <v>2552</v>
      </c>
      <c r="AJ978" t="s">
        <v>2895</v>
      </c>
      <c r="AK978" t="s">
        <v>77</v>
      </c>
      <c r="AL978" t="s">
        <v>575</v>
      </c>
      <c r="AM978" t="s">
        <v>10</v>
      </c>
      <c r="AN978" t="s">
        <v>717</v>
      </c>
    </row>
    <row r="979" spans="1:40" hidden="1">
      <c r="A979">
        <v>977</v>
      </c>
      <c r="B979">
        <v>39</v>
      </c>
      <c r="C979" s="58">
        <v>44634</v>
      </c>
      <c r="D979" t="s">
        <v>27</v>
      </c>
      <c r="E979" t="s">
        <v>4409</v>
      </c>
      <c r="F979">
        <v>2</v>
      </c>
      <c r="G979">
        <v>2</v>
      </c>
      <c r="H979">
        <v>513</v>
      </c>
      <c r="I979">
        <v>1</v>
      </c>
      <c r="J979">
        <v>37.159999999999997</v>
      </c>
      <c r="K979" t="s">
        <v>15</v>
      </c>
      <c r="L979">
        <v>2820851.45</v>
      </c>
      <c r="M979">
        <v>0</v>
      </c>
      <c r="N979">
        <v>2820851.45</v>
      </c>
      <c r="O979">
        <v>75910.964747039834</v>
      </c>
      <c r="P979">
        <v>204380</v>
      </c>
      <c r="Q979">
        <v>2616471.4500000002</v>
      </c>
      <c r="R979">
        <v>70410.964747039834</v>
      </c>
      <c r="S979" t="s">
        <v>65</v>
      </c>
      <c r="T979" t="s">
        <v>2941</v>
      </c>
      <c r="U979">
        <v>26429</v>
      </c>
      <c r="V979" t="s">
        <v>717</v>
      </c>
      <c r="W979">
        <v>44629</v>
      </c>
      <c r="X979" t="s">
        <v>6282</v>
      </c>
      <c r="Y979" t="s">
        <v>6</v>
      </c>
      <c r="Z979" t="s">
        <v>17</v>
      </c>
      <c r="AA979" t="s">
        <v>5617</v>
      </c>
      <c r="AB979" t="s">
        <v>2509</v>
      </c>
      <c r="AC979" t="s">
        <v>2564</v>
      </c>
      <c r="AD979" t="s">
        <v>717</v>
      </c>
      <c r="AE979" t="s">
        <v>6283</v>
      </c>
      <c r="AF979" t="s">
        <v>6284</v>
      </c>
      <c r="AG979" t="s">
        <v>6285</v>
      </c>
      <c r="AH979" t="s">
        <v>2191</v>
      </c>
      <c r="AI979" t="s">
        <v>2706</v>
      </c>
      <c r="AJ979" t="s">
        <v>3921</v>
      </c>
      <c r="AK979" t="s">
        <v>20</v>
      </c>
      <c r="AL979" t="s">
        <v>16</v>
      </c>
      <c r="AM979" t="s">
        <v>10</v>
      </c>
      <c r="AN979" t="s">
        <v>717</v>
      </c>
    </row>
    <row r="980" spans="1:40" hidden="1">
      <c r="A980">
        <v>978</v>
      </c>
      <c r="B980">
        <v>40</v>
      </c>
      <c r="C980" s="58">
        <v>44634</v>
      </c>
      <c r="D980" t="s">
        <v>27</v>
      </c>
      <c r="E980" t="s">
        <v>2581</v>
      </c>
      <c r="F980">
        <v>5</v>
      </c>
      <c r="G980">
        <v>3</v>
      </c>
      <c r="H980">
        <v>404</v>
      </c>
      <c r="I980">
        <v>0</v>
      </c>
      <c r="J980">
        <v>23.63</v>
      </c>
      <c r="K980" t="s">
        <v>9</v>
      </c>
      <c r="L980">
        <v>1886739.09</v>
      </c>
      <c r="M980">
        <v>15000</v>
      </c>
      <c r="N980">
        <v>1901739.09</v>
      </c>
      <c r="O980">
        <v>80479.859923825657</v>
      </c>
      <c r="P980">
        <v>0</v>
      </c>
      <c r="Q980">
        <v>1901739.09</v>
      </c>
      <c r="R980">
        <v>80479.859923825657</v>
      </c>
      <c r="S980" t="s">
        <v>2507</v>
      </c>
      <c r="T980" t="s">
        <v>717</v>
      </c>
      <c r="U980" t="s">
        <v>717</v>
      </c>
      <c r="V980" t="s">
        <v>717</v>
      </c>
      <c r="W980">
        <v>44631</v>
      </c>
      <c r="X980" t="s">
        <v>6286</v>
      </c>
      <c r="Y980" t="s">
        <v>6</v>
      </c>
      <c r="Z980" t="s">
        <v>11</v>
      </c>
      <c r="AA980" t="s">
        <v>717</v>
      </c>
      <c r="AB980" t="s">
        <v>2509</v>
      </c>
      <c r="AC980" t="s">
        <v>118</v>
      </c>
      <c r="AD980" t="s">
        <v>717</v>
      </c>
      <c r="AE980" t="s">
        <v>5998</v>
      </c>
      <c r="AF980" t="s">
        <v>5999</v>
      </c>
      <c r="AG980" t="s">
        <v>6000</v>
      </c>
      <c r="AH980" t="s">
        <v>2580</v>
      </c>
      <c r="AI980" t="s">
        <v>5653</v>
      </c>
      <c r="AJ980" t="s">
        <v>3921</v>
      </c>
      <c r="AK980" t="s">
        <v>29</v>
      </c>
      <c r="AL980" t="s">
        <v>717</v>
      </c>
      <c r="AM980" t="s">
        <v>5654</v>
      </c>
      <c r="AN980" t="s">
        <v>717</v>
      </c>
    </row>
    <row r="981" spans="1:40" hidden="1">
      <c r="A981">
        <v>979</v>
      </c>
      <c r="B981">
        <v>41</v>
      </c>
      <c r="C981" s="58">
        <v>44634</v>
      </c>
      <c r="D981" t="s">
        <v>27</v>
      </c>
      <c r="E981" t="s">
        <v>2506</v>
      </c>
      <c r="F981">
        <v>5</v>
      </c>
      <c r="G981">
        <v>3</v>
      </c>
      <c r="H981">
        <v>220</v>
      </c>
      <c r="I981">
        <v>0</v>
      </c>
      <c r="J981">
        <v>23.63</v>
      </c>
      <c r="K981" t="s">
        <v>9</v>
      </c>
      <c r="L981">
        <v>1886739.09</v>
      </c>
      <c r="M981">
        <v>15000</v>
      </c>
      <c r="N981">
        <v>1901739.09</v>
      </c>
      <c r="O981">
        <v>80479.859923825657</v>
      </c>
      <c r="P981">
        <v>0</v>
      </c>
      <c r="Q981">
        <v>1901739.09</v>
      </c>
      <c r="R981">
        <v>80479.859923825657</v>
      </c>
      <c r="S981" t="s">
        <v>2507</v>
      </c>
      <c r="T981" t="s">
        <v>717</v>
      </c>
      <c r="U981" t="s">
        <v>717</v>
      </c>
      <c r="V981" t="s">
        <v>717</v>
      </c>
      <c r="W981">
        <v>44631</v>
      </c>
      <c r="X981" t="s">
        <v>6287</v>
      </c>
      <c r="Y981" t="s">
        <v>6</v>
      </c>
      <c r="Z981" t="s">
        <v>11</v>
      </c>
      <c r="AA981" t="s">
        <v>717</v>
      </c>
      <c r="AB981" t="s">
        <v>2509</v>
      </c>
      <c r="AC981" t="s">
        <v>118</v>
      </c>
      <c r="AD981" t="s">
        <v>717</v>
      </c>
      <c r="AE981" t="s">
        <v>5998</v>
      </c>
      <c r="AF981" t="s">
        <v>5999</v>
      </c>
      <c r="AG981" t="s">
        <v>6000</v>
      </c>
      <c r="AH981" t="s">
        <v>2580</v>
      </c>
      <c r="AI981" t="s">
        <v>5653</v>
      </c>
      <c r="AJ981" t="s">
        <v>3921</v>
      </c>
      <c r="AK981" t="s">
        <v>29</v>
      </c>
      <c r="AL981" t="s">
        <v>717</v>
      </c>
      <c r="AM981" t="s">
        <v>5654</v>
      </c>
      <c r="AN981" t="s">
        <v>717</v>
      </c>
    </row>
    <row r="982" spans="1:40" hidden="1">
      <c r="A982">
        <v>980</v>
      </c>
      <c r="B982">
        <v>42</v>
      </c>
      <c r="C982" s="58">
        <v>44634</v>
      </c>
      <c r="D982" t="s">
        <v>121</v>
      </c>
      <c r="E982" t="s">
        <v>2506</v>
      </c>
      <c r="F982">
        <v>2</v>
      </c>
      <c r="G982">
        <v>10</v>
      </c>
      <c r="H982">
        <v>251</v>
      </c>
      <c r="I982">
        <v>1</v>
      </c>
      <c r="J982">
        <v>38.22</v>
      </c>
      <c r="K982" t="s">
        <v>15</v>
      </c>
      <c r="L982">
        <v>3969078.59</v>
      </c>
      <c r="M982">
        <v>0</v>
      </c>
      <c r="N982">
        <v>3969078.59</v>
      </c>
      <c r="O982">
        <v>103848.21009942438</v>
      </c>
      <c r="P982">
        <v>210210</v>
      </c>
      <c r="Q982">
        <v>3758868.59</v>
      </c>
      <c r="R982">
        <v>98348.210099424381</v>
      </c>
      <c r="S982" t="s">
        <v>65</v>
      </c>
      <c r="T982" t="s">
        <v>717</v>
      </c>
      <c r="U982" t="s">
        <v>717</v>
      </c>
      <c r="V982" t="s">
        <v>717</v>
      </c>
      <c r="W982">
        <v>44632</v>
      </c>
      <c r="X982" t="s">
        <v>6288</v>
      </c>
      <c r="Y982" t="s">
        <v>6</v>
      </c>
      <c r="Z982" t="s">
        <v>17</v>
      </c>
      <c r="AA982" t="s">
        <v>717</v>
      </c>
      <c r="AB982" t="s">
        <v>2509</v>
      </c>
      <c r="AC982" t="s">
        <v>2571</v>
      </c>
      <c r="AD982" t="s">
        <v>717</v>
      </c>
      <c r="AE982" t="s">
        <v>6289</v>
      </c>
      <c r="AF982" t="s">
        <v>6290</v>
      </c>
      <c r="AG982" t="s">
        <v>6291</v>
      </c>
      <c r="AH982" t="s">
        <v>2552</v>
      </c>
      <c r="AI982" t="s">
        <v>2552</v>
      </c>
      <c r="AJ982" t="s">
        <v>2895</v>
      </c>
      <c r="AK982" t="s">
        <v>20</v>
      </c>
      <c r="AL982" t="s">
        <v>575</v>
      </c>
      <c r="AM982" t="s">
        <v>10</v>
      </c>
      <c r="AN982" t="s">
        <v>717</v>
      </c>
    </row>
    <row r="983" spans="1:40" hidden="1">
      <c r="A983">
        <v>981</v>
      </c>
      <c r="B983">
        <v>43</v>
      </c>
      <c r="C983" s="58">
        <v>44634</v>
      </c>
      <c r="D983" t="s">
        <v>121</v>
      </c>
      <c r="E983" t="s">
        <v>2506</v>
      </c>
      <c r="F983">
        <v>4</v>
      </c>
      <c r="G983">
        <v>15</v>
      </c>
      <c r="H983">
        <v>308</v>
      </c>
      <c r="I983">
        <v>1</v>
      </c>
      <c r="J983">
        <v>37.89</v>
      </c>
      <c r="K983" t="s">
        <v>15</v>
      </c>
      <c r="L983">
        <v>3859242.76</v>
      </c>
      <c r="M983">
        <v>0</v>
      </c>
      <c r="N983">
        <v>3859242.76</v>
      </c>
      <c r="O983">
        <v>101853.86012140404</v>
      </c>
      <c r="P983">
        <v>208395</v>
      </c>
      <c r="Q983">
        <v>3650847.76</v>
      </c>
      <c r="R983">
        <v>96353.860121404054</v>
      </c>
      <c r="S983" t="s">
        <v>65</v>
      </c>
      <c r="T983" t="s">
        <v>717</v>
      </c>
      <c r="U983" t="s">
        <v>717</v>
      </c>
      <c r="V983" t="s">
        <v>717</v>
      </c>
      <c r="W983">
        <v>44631</v>
      </c>
      <c r="X983" t="s">
        <v>6292</v>
      </c>
      <c r="Y983" t="s">
        <v>6</v>
      </c>
      <c r="Z983" t="s">
        <v>17</v>
      </c>
      <c r="AA983" t="s">
        <v>717</v>
      </c>
      <c r="AB983" t="s">
        <v>2509</v>
      </c>
      <c r="AC983" t="s">
        <v>2571</v>
      </c>
      <c r="AD983" t="s">
        <v>717</v>
      </c>
      <c r="AE983" t="s">
        <v>6293</v>
      </c>
      <c r="AF983" t="s">
        <v>6294</v>
      </c>
      <c r="AG983" t="s">
        <v>6295</v>
      </c>
      <c r="AH983" t="s">
        <v>2615</v>
      </c>
      <c r="AI983" t="s">
        <v>2552</v>
      </c>
      <c r="AJ983" t="s">
        <v>2895</v>
      </c>
      <c r="AK983" t="s">
        <v>77</v>
      </c>
      <c r="AL983" t="s">
        <v>575</v>
      </c>
      <c r="AM983" t="s">
        <v>10</v>
      </c>
      <c r="AN983" t="s">
        <v>717</v>
      </c>
    </row>
    <row r="984" spans="1:40" hidden="1">
      <c r="A984">
        <v>982</v>
      </c>
      <c r="B984">
        <v>44</v>
      </c>
      <c r="C984" s="58">
        <v>44634</v>
      </c>
      <c r="D984" t="s">
        <v>27</v>
      </c>
      <c r="E984" t="s">
        <v>2515</v>
      </c>
      <c r="F984">
        <v>8</v>
      </c>
      <c r="G984">
        <v>12</v>
      </c>
      <c r="H984">
        <v>98</v>
      </c>
      <c r="I984">
        <v>1</v>
      </c>
      <c r="J984">
        <v>37.69</v>
      </c>
      <c r="K984" t="s">
        <v>9</v>
      </c>
      <c r="L984">
        <v>3378649.95</v>
      </c>
      <c r="M984">
        <v>0</v>
      </c>
      <c r="N984">
        <v>3378649.95</v>
      </c>
      <c r="O984">
        <v>89643.140090209621</v>
      </c>
      <c r="P984">
        <v>0</v>
      </c>
      <c r="Q984">
        <v>3378649.95</v>
      </c>
      <c r="R984">
        <v>89643.140090209621</v>
      </c>
      <c r="S984" t="s">
        <v>65</v>
      </c>
      <c r="T984" t="s">
        <v>717</v>
      </c>
      <c r="U984" t="s">
        <v>717</v>
      </c>
      <c r="V984" t="s">
        <v>717</v>
      </c>
      <c r="W984">
        <v>44632</v>
      </c>
      <c r="X984" t="s">
        <v>6296</v>
      </c>
      <c r="Y984" t="s">
        <v>6</v>
      </c>
      <c r="Z984" t="s">
        <v>17</v>
      </c>
      <c r="AA984" t="s">
        <v>717</v>
      </c>
      <c r="AB984" t="s">
        <v>2509</v>
      </c>
      <c r="AC984" t="s">
        <v>2571</v>
      </c>
      <c r="AD984" t="s">
        <v>717</v>
      </c>
      <c r="AE984" t="s">
        <v>6158</v>
      </c>
      <c r="AF984" t="s">
        <v>6159</v>
      </c>
      <c r="AG984" t="s">
        <v>6160</v>
      </c>
      <c r="AH984" t="s">
        <v>2580</v>
      </c>
      <c r="AI984" t="s">
        <v>2600</v>
      </c>
      <c r="AJ984" t="s">
        <v>3921</v>
      </c>
      <c r="AK984" t="s">
        <v>77</v>
      </c>
      <c r="AL984" t="s">
        <v>575</v>
      </c>
      <c r="AM984" t="s">
        <v>10</v>
      </c>
      <c r="AN984" t="s">
        <v>717</v>
      </c>
    </row>
    <row r="985" spans="1:40" hidden="1">
      <c r="A985">
        <v>983</v>
      </c>
      <c r="B985">
        <v>45</v>
      </c>
      <c r="C985" s="58">
        <v>44635</v>
      </c>
      <c r="D985" t="s">
        <v>27</v>
      </c>
      <c r="E985" t="s">
        <v>2581</v>
      </c>
      <c r="F985">
        <v>2</v>
      </c>
      <c r="G985">
        <v>3</v>
      </c>
      <c r="H985">
        <v>401</v>
      </c>
      <c r="I985">
        <v>1</v>
      </c>
      <c r="J985">
        <v>37.159999999999997</v>
      </c>
      <c r="K985" t="s">
        <v>15</v>
      </c>
      <c r="L985">
        <v>3383895.13</v>
      </c>
      <c r="M985">
        <v>0</v>
      </c>
      <c r="N985">
        <v>3383895.13</v>
      </c>
      <c r="O985">
        <v>91062.839881593114</v>
      </c>
      <c r="P985">
        <v>260120</v>
      </c>
      <c r="Q985">
        <v>3123775.13</v>
      </c>
      <c r="R985">
        <v>84062.839881593114</v>
      </c>
      <c r="S985" t="s">
        <v>65</v>
      </c>
      <c r="T985" t="s">
        <v>717</v>
      </c>
      <c r="U985" t="s">
        <v>717</v>
      </c>
      <c r="V985" t="s">
        <v>717</v>
      </c>
      <c r="W985">
        <v>44629</v>
      </c>
      <c r="X985" t="s">
        <v>6297</v>
      </c>
      <c r="Y985" t="s">
        <v>6</v>
      </c>
      <c r="Z985" t="s">
        <v>17</v>
      </c>
      <c r="AA985" t="s">
        <v>717</v>
      </c>
      <c r="AB985" t="s">
        <v>2509</v>
      </c>
      <c r="AC985" t="s">
        <v>2571</v>
      </c>
      <c r="AD985" t="s">
        <v>717</v>
      </c>
      <c r="AE985" t="s">
        <v>6298</v>
      </c>
      <c r="AF985" t="s">
        <v>6299</v>
      </c>
      <c r="AG985" t="s">
        <v>6300</v>
      </c>
      <c r="AH985" t="s">
        <v>2615</v>
      </c>
      <c r="AI985" t="s">
        <v>3595</v>
      </c>
      <c r="AJ985" t="s">
        <v>2793</v>
      </c>
      <c r="AK985" t="s">
        <v>471</v>
      </c>
      <c r="AL985" t="s">
        <v>575</v>
      </c>
      <c r="AM985" t="s">
        <v>10</v>
      </c>
      <c r="AN985" t="s">
        <v>717</v>
      </c>
    </row>
    <row r="986" spans="1:40" hidden="1">
      <c r="A986">
        <v>984</v>
      </c>
      <c r="B986">
        <v>46</v>
      </c>
      <c r="C986" s="58">
        <v>44636</v>
      </c>
      <c r="D986" t="s">
        <v>27</v>
      </c>
      <c r="E986" t="s">
        <v>4409</v>
      </c>
      <c r="F986">
        <v>4</v>
      </c>
      <c r="G986">
        <v>9</v>
      </c>
      <c r="H986">
        <v>571</v>
      </c>
      <c r="I986">
        <v>1</v>
      </c>
      <c r="J986">
        <v>40</v>
      </c>
      <c r="K986" t="s">
        <v>9</v>
      </c>
      <c r="L986">
        <v>2777440.74</v>
      </c>
      <c r="M986">
        <v>0</v>
      </c>
      <c r="N986">
        <v>2777440.74</v>
      </c>
      <c r="O986">
        <v>69436.018500000006</v>
      </c>
      <c r="P986">
        <v>0</v>
      </c>
      <c r="Q986">
        <v>2777440.74</v>
      </c>
      <c r="R986">
        <v>69436.018500000006</v>
      </c>
      <c r="S986" t="s">
        <v>65</v>
      </c>
      <c r="T986" t="s">
        <v>3414</v>
      </c>
      <c r="U986">
        <v>56682.46</v>
      </c>
      <c r="V986" t="s">
        <v>717</v>
      </c>
      <c r="W986">
        <v>44625</v>
      </c>
      <c r="X986" t="s">
        <v>6301</v>
      </c>
      <c r="Y986" t="s">
        <v>2611</v>
      </c>
      <c r="Z986" t="s">
        <v>17</v>
      </c>
      <c r="AA986" t="s">
        <v>717</v>
      </c>
      <c r="AB986" t="s">
        <v>2509</v>
      </c>
      <c r="AC986" t="s">
        <v>2571</v>
      </c>
      <c r="AD986">
        <v>44656</v>
      </c>
      <c r="AE986" t="s">
        <v>6302</v>
      </c>
      <c r="AF986" t="s">
        <v>6303</v>
      </c>
      <c r="AG986" t="s">
        <v>2806</v>
      </c>
      <c r="AH986" t="s">
        <v>2552</v>
      </c>
      <c r="AI986" t="s">
        <v>2802</v>
      </c>
      <c r="AJ986" t="s">
        <v>3921</v>
      </c>
      <c r="AK986" t="s">
        <v>20</v>
      </c>
      <c r="AL986" t="s">
        <v>16</v>
      </c>
      <c r="AM986" t="s">
        <v>10</v>
      </c>
      <c r="AN986" t="s">
        <v>717</v>
      </c>
    </row>
    <row r="987" spans="1:40" hidden="1">
      <c r="A987">
        <v>985</v>
      </c>
      <c r="B987">
        <v>47</v>
      </c>
      <c r="C987" s="58">
        <v>44636</v>
      </c>
      <c r="D987" t="s">
        <v>27</v>
      </c>
      <c r="E987" t="s">
        <v>4409</v>
      </c>
      <c r="F987">
        <v>2</v>
      </c>
      <c r="G987">
        <v>12</v>
      </c>
      <c r="H987">
        <v>593</v>
      </c>
      <c r="I987">
        <v>1</v>
      </c>
      <c r="J987">
        <v>37.159999999999997</v>
      </c>
      <c r="K987" t="s">
        <v>9</v>
      </c>
      <c r="L987">
        <v>3201594.49</v>
      </c>
      <c r="M987">
        <v>0</v>
      </c>
      <c r="N987">
        <v>3201594.49</v>
      </c>
      <c r="O987">
        <v>86157.009956942959</v>
      </c>
      <c r="P987">
        <v>0</v>
      </c>
      <c r="Q987">
        <v>3201594.49</v>
      </c>
      <c r="R987">
        <v>86157.009956942959</v>
      </c>
      <c r="S987" t="s">
        <v>65</v>
      </c>
      <c r="T987" t="s">
        <v>717</v>
      </c>
      <c r="U987" t="s">
        <v>717</v>
      </c>
      <c r="V987" t="s">
        <v>4131</v>
      </c>
      <c r="W987">
        <v>44631</v>
      </c>
      <c r="X987" t="s">
        <v>6304</v>
      </c>
      <c r="Y987" t="s">
        <v>6</v>
      </c>
      <c r="Z987" t="s">
        <v>17</v>
      </c>
      <c r="AA987" t="s">
        <v>717</v>
      </c>
      <c r="AB987" t="s">
        <v>2509</v>
      </c>
      <c r="AC987" t="s">
        <v>2571</v>
      </c>
      <c r="AD987" t="s">
        <v>717</v>
      </c>
      <c r="AE987" t="s">
        <v>6305</v>
      </c>
      <c r="AF987" t="s">
        <v>6306</v>
      </c>
      <c r="AG987" t="s">
        <v>6307</v>
      </c>
      <c r="AH987" t="s">
        <v>2615</v>
      </c>
      <c r="AI987" t="s">
        <v>2621</v>
      </c>
      <c r="AJ987" t="s">
        <v>2793</v>
      </c>
      <c r="AK987" t="s">
        <v>73</v>
      </c>
      <c r="AL987" t="s">
        <v>16</v>
      </c>
      <c r="AM987" t="s">
        <v>10</v>
      </c>
      <c r="AN987" t="s">
        <v>717</v>
      </c>
    </row>
    <row r="988" spans="1:40" hidden="1">
      <c r="A988">
        <v>986</v>
      </c>
      <c r="B988">
        <v>48</v>
      </c>
      <c r="C988" s="58">
        <v>44636</v>
      </c>
      <c r="D988" t="s">
        <v>27</v>
      </c>
      <c r="E988" t="s">
        <v>2515</v>
      </c>
      <c r="F988">
        <v>6</v>
      </c>
      <c r="G988">
        <v>14</v>
      </c>
      <c r="H988">
        <v>114</v>
      </c>
      <c r="I988">
        <v>2</v>
      </c>
      <c r="J988">
        <v>54.67</v>
      </c>
      <c r="K988" t="s">
        <v>9</v>
      </c>
      <c r="L988">
        <v>4319377.75</v>
      </c>
      <c r="M988">
        <v>0</v>
      </c>
      <c r="N988">
        <v>4319377.75</v>
      </c>
      <c r="O988">
        <v>79008.190049387238</v>
      </c>
      <c r="P988">
        <v>0</v>
      </c>
      <c r="Q988">
        <v>4319377.75</v>
      </c>
      <c r="R988">
        <v>79008.190049387238</v>
      </c>
      <c r="S988" t="s">
        <v>65</v>
      </c>
      <c r="T988" t="s">
        <v>717</v>
      </c>
      <c r="U988" t="s">
        <v>717</v>
      </c>
      <c r="V988" t="s">
        <v>717</v>
      </c>
      <c r="W988">
        <v>44635</v>
      </c>
      <c r="X988" t="s">
        <v>6308</v>
      </c>
      <c r="Y988" t="s">
        <v>6</v>
      </c>
      <c r="Z988" t="s">
        <v>17</v>
      </c>
      <c r="AA988" t="s">
        <v>717</v>
      </c>
      <c r="AB988" t="s">
        <v>2509</v>
      </c>
      <c r="AC988" t="s">
        <v>2571</v>
      </c>
      <c r="AD988" t="s">
        <v>717</v>
      </c>
      <c r="AE988" t="s">
        <v>6309</v>
      </c>
      <c r="AF988" t="s">
        <v>6310</v>
      </c>
      <c r="AG988" t="s">
        <v>6311</v>
      </c>
      <c r="AH988" t="s">
        <v>2580</v>
      </c>
      <c r="AI988" t="s">
        <v>5653</v>
      </c>
      <c r="AJ988" t="s">
        <v>31</v>
      </c>
      <c r="AK988" t="s">
        <v>471</v>
      </c>
      <c r="AL988" t="s">
        <v>16</v>
      </c>
      <c r="AM988" t="s">
        <v>5654</v>
      </c>
      <c r="AN988" t="s">
        <v>717</v>
      </c>
    </row>
    <row r="989" spans="1:40" hidden="1">
      <c r="A989">
        <v>987</v>
      </c>
      <c r="B989">
        <v>49</v>
      </c>
      <c r="C989" s="58">
        <v>44637</v>
      </c>
      <c r="D989" t="s">
        <v>27</v>
      </c>
      <c r="E989" t="s">
        <v>2581</v>
      </c>
      <c r="F989">
        <v>4</v>
      </c>
      <c r="G989">
        <v>11</v>
      </c>
      <c r="H989">
        <v>467</v>
      </c>
      <c r="I989">
        <v>1</v>
      </c>
      <c r="J989">
        <v>40</v>
      </c>
      <c r="K989" t="s">
        <v>9</v>
      </c>
      <c r="L989">
        <v>3025505.88</v>
      </c>
      <c r="M989">
        <v>0</v>
      </c>
      <c r="N989">
        <v>3025505.88</v>
      </c>
      <c r="O989">
        <v>75637.646999999997</v>
      </c>
      <c r="P989">
        <v>0</v>
      </c>
      <c r="Q989">
        <v>3025505.88</v>
      </c>
      <c r="R989">
        <v>75637.646999999997</v>
      </c>
      <c r="S989" t="s">
        <v>65</v>
      </c>
      <c r="T989" t="s">
        <v>3414</v>
      </c>
      <c r="U989">
        <v>336167.32</v>
      </c>
      <c r="V989" t="s">
        <v>6312</v>
      </c>
      <c r="W989">
        <v>44633</v>
      </c>
      <c r="X989" t="s">
        <v>6313</v>
      </c>
      <c r="Y989" t="s">
        <v>6</v>
      </c>
      <c r="Z989" t="s">
        <v>17</v>
      </c>
      <c r="AA989" t="s">
        <v>717</v>
      </c>
      <c r="AB989" t="s">
        <v>2509</v>
      </c>
      <c r="AC989" t="s">
        <v>2571</v>
      </c>
      <c r="AD989" t="s">
        <v>717</v>
      </c>
      <c r="AE989" t="s">
        <v>6314</v>
      </c>
      <c r="AF989" t="s">
        <v>6315</v>
      </c>
      <c r="AG989" t="s">
        <v>6316</v>
      </c>
      <c r="AH989" t="s">
        <v>2191</v>
      </c>
      <c r="AI989" t="s">
        <v>2802</v>
      </c>
      <c r="AJ989" t="s">
        <v>2514</v>
      </c>
      <c r="AK989" t="s">
        <v>73</v>
      </c>
      <c r="AL989" t="s">
        <v>575</v>
      </c>
      <c r="AM989" t="s">
        <v>10</v>
      </c>
      <c r="AN989" t="s">
        <v>717</v>
      </c>
    </row>
    <row r="990" spans="1:40" hidden="1">
      <c r="A990">
        <v>988</v>
      </c>
      <c r="B990">
        <v>50</v>
      </c>
      <c r="C990" s="58">
        <v>44637</v>
      </c>
      <c r="D990" t="s">
        <v>27</v>
      </c>
      <c r="E990" t="s">
        <v>2581</v>
      </c>
      <c r="F990">
        <v>6</v>
      </c>
      <c r="G990">
        <v>9</v>
      </c>
      <c r="H990">
        <v>453</v>
      </c>
      <c r="I990">
        <v>1</v>
      </c>
      <c r="J990">
        <v>37.11</v>
      </c>
      <c r="K990" t="s">
        <v>9</v>
      </c>
      <c r="L990">
        <v>3197301.49</v>
      </c>
      <c r="M990">
        <v>0</v>
      </c>
      <c r="N990">
        <v>3197301.49</v>
      </c>
      <c r="O990">
        <v>86157.410132039891</v>
      </c>
      <c r="P990">
        <v>0</v>
      </c>
      <c r="Q990">
        <v>3197301.49</v>
      </c>
      <c r="R990">
        <v>86157.410132039891</v>
      </c>
      <c r="S990" t="s">
        <v>65</v>
      </c>
      <c r="T990" t="s">
        <v>717</v>
      </c>
      <c r="U990" t="s">
        <v>717</v>
      </c>
      <c r="V990" t="s">
        <v>4131</v>
      </c>
      <c r="W990">
        <v>44634</v>
      </c>
      <c r="X990" t="s">
        <v>6317</v>
      </c>
      <c r="Y990" t="s">
        <v>6</v>
      </c>
      <c r="Z990" t="s">
        <v>17</v>
      </c>
      <c r="AA990" t="s">
        <v>717</v>
      </c>
      <c r="AB990" t="s">
        <v>2509</v>
      </c>
      <c r="AC990" t="s">
        <v>2571</v>
      </c>
      <c r="AD990" t="s">
        <v>717</v>
      </c>
      <c r="AE990" t="s">
        <v>6318</v>
      </c>
      <c r="AF990" t="s">
        <v>6319</v>
      </c>
      <c r="AG990" t="s">
        <v>6320</v>
      </c>
      <c r="AH990" t="s">
        <v>2615</v>
      </c>
      <c r="AI990" t="s">
        <v>2688</v>
      </c>
      <c r="AJ990" t="s">
        <v>3289</v>
      </c>
      <c r="AK990" t="s">
        <v>73</v>
      </c>
      <c r="AL990" t="s">
        <v>16</v>
      </c>
      <c r="AM990" t="s">
        <v>10</v>
      </c>
      <c r="AN990" t="s">
        <v>717</v>
      </c>
    </row>
    <row r="991" spans="1:40" hidden="1">
      <c r="A991">
        <v>989</v>
      </c>
      <c r="B991">
        <v>51</v>
      </c>
      <c r="C991" s="58">
        <v>44637</v>
      </c>
      <c r="D991" t="s">
        <v>27</v>
      </c>
      <c r="E991" t="s">
        <v>2515</v>
      </c>
      <c r="F991">
        <v>6</v>
      </c>
      <c r="G991">
        <v>9</v>
      </c>
      <c r="H991">
        <v>69</v>
      </c>
      <c r="I991">
        <v>2</v>
      </c>
      <c r="J991">
        <v>54.67</v>
      </c>
      <c r="K991" t="s">
        <v>15</v>
      </c>
      <c r="L991">
        <v>4702067.75</v>
      </c>
      <c r="M991">
        <v>0</v>
      </c>
      <c r="N991">
        <v>4702067.75</v>
      </c>
      <c r="O991">
        <v>86008.190049387238</v>
      </c>
      <c r="P991">
        <v>382690</v>
      </c>
      <c r="Q991">
        <v>4319377.75</v>
      </c>
      <c r="R991">
        <v>79008.190049387238</v>
      </c>
      <c r="S991" t="s">
        <v>2507</v>
      </c>
      <c r="T991" t="s">
        <v>717</v>
      </c>
      <c r="U991" t="s">
        <v>717</v>
      </c>
      <c r="V991" t="s">
        <v>717</v>
      </c>
      <c r="W991">
        <v>44634</v>
      </c>
      <c r="X991" t="s">
        <v>6321</v>
      </c>
      <c r="Y991" t="s">
        <v>6</v>
      </c>
      <c r="Z991" t="s">
        <v>11</v>
      </c>
      <c r="AA991" t="s">
        <v>717</v>
      </c>
      <c r="AB991" t="s">
        <v>2509</v>
      </c>
      <c r="AC991" t="s">
        <v>118</v>
      </c>
      <c r="AD991" t="s">
        <v>717</v>
      </c>
      <c r="AE991" t="s">
        <v>6322</v>
      </c>
      <c r="AF991" t="s">
        <v>6323</v>
      </c>
      <c r="AG991" t="s">
        <v>6324</v>
      </c>
      <c r="AH991" t="s">
        <v>2615</v>
      </c>
      <c r="AI991" t="s">
        <v>2834</v>
      </c>
      <c r="AJ991" t="s">
        <v>4799</v>
      </c>
      <c r="AK991" t="s">
        <v>63</v>
      </c>
      <c r="AL991" t="s">
        <v>717</v>
      </c>
      <c r="AM991" t="s">
        <v>10</v>
      </c>
      <c r="AN991" t="s">
        <v>717</v>
      </c>
    </row>
    <row r="992" spans="1:40" hidden="1">
      <c r="A992">
        <v>990</v>
      </c>
      <c r="B992">
        <v>52</v>
      </c>
      <c r="C992" s="58">
        <v>44637</v>
      </c>
      <c r="D992" t="s">
        <v>27</v>
      </c>
      <c r="E992" t="s">
        <v>2506</v>
      </c>
      <c r="F992">
        <v>4</v>
      </c>
      <c r="G992">
        <v>15</v>
      </c>
      <c r="H992">
        <v>315</v>
      </c>
      <c r="I992">
        <v>1</v>
      </c>
      <c r="J992">
        <v>40</v>
      </c>
      <c r="K992" t="s">
        <v>9</v>
      </c>
      <c r="L992">
        <v>3585051.2</v>
      </c>
      <c r="M992">
        <v>0</v>
      </c>
      <c r="N992">
        <v>3585051.2</v>
      </c>
      <c r="O992">
        <v>89626.28</v>
      </c>
      <c r="P992">
        <v>0</v>
      </c>
      <c r="Q992">
        <v>3585051.2</v>
      </c>
      <c r="R992">
        <v>89626.28</v>
      </c>
      <c r="S992" t="s">
        <v>65</v>
      </c>
      <c r="T992" t="s">
        <v>717</v>
      </c>
      <c r="U992" t="s">
        <v>717</v>
      </c>
      <c r="V992" t="s">
        <v>4131</v>
      </c>
      <c r="W992">
        <v>44635</v>
      </c>
      <c r="X992" t="s">
        <v>6325</v>
      </c>
      <c r="Y992" t="s">
        <v>6</v>
      </c>
      <c r="Z992" t="s">
        <v>17</v>
      </c>
      <c r="AA992" t="s">
        <v>717</v>
      </c>
      <c r="AB992" t="s">
        <v>2509</v>
      </c>
      <c r="AC992" t="s">
        <v>2571</v>
      </c>
      <c r="AD992" t="s">
        <v>717</v>
      </c>
      <c r="AE992" t="s">
        <v>6326</v>
      </c>
      <c r="AF992" t="s">
        <v>6327</v>
      </c>
      <c r="AG992" t="s">
        <v>6328</v>
      </c>
      <c r="AH992" t="s">
        <v>2191</v>
      </c>
      <c r="AI992" t="s">
        <v>2538</v>
      </c>
      <c r="AJ992" t="s">
        <v>2514</v>
      </c>
      <c r="AK992" t="s">
        <v>73</v>
      </c>
      <c r="AL992" t="s">
        <v>575</v>
      </c>
      <c r="AM992" t="s">
        <v>10</v>
      </c>
      <c r="AN992" t="s">
        <v>717</v>
      </c>
    </row>
    <row r="993" spans="1:40" hidden="1">
      <c r="A993">
        <v>991</v>
      </c>
      <c r="B993">
        <v>53</v>
      </c>
      <c r="C993" s="58">
        <v>44637</v>
      </c>
      <c r="D993" t="s">
        <v>27</v>
      </c>
      <c r="E993" t="s">
        <v>2581</v>
      </c>
      <c r="F993">
        <v>4</v>
      </c>
      <c r="G993">
        <v>5</v>
      </c>
      <c r="H993">
        <v>419</v>
      </c>
      <c r="I993">
        <v>1</v>
      </c>
      <c r="J993">
        <v>40</v>
      </c>
      <c r="K993" t="s">
        <v>9</v>
      </c>
      <c r="L993">
        <v>3193589.54</v>
      </c>
      <c r="M993">
        <v>0</v>
      </c>
      <c r="N993">
        <v>3193589.54</v>
      </c>
      <c r="O993">
        <v>79839.738500000007</v>
      </c>
      <c r="P993">
        <v>0</v>
      </c>
      <c r="Q993">
        <v>3193589.54</v>
      </c>
      <c r="R993">
        <v>79839.738500000007</v>
      </c>
      <c r="S993" t="s">
        <v>65</v>
      </c>
      <c r="T993" t="s">
        <v>3414</v>
      </c>
      <c r="U993">
        <v>168083.66</v>
      </c>
      <c r="V993" t="s">
        <v>717</v>
      </c>
      <c r="W993">
        <v>44632</v>
      </c>
      <c r="X993" t="s">
        <v>6329</v>
      </c>
      <c r="Y993" t="s">
        <v>6</v>
      </c>
      <c r="Z993" t="s">
        <v>17</v>
      </c>
      <c r="AA993" t="s">
        <v>717</v>
      </c>
      <c r="AB993" t="s">
        <v>2509</v>
      </c>
      <c r="AC993" t="s">
        <v>2571</v>
      </c>
      <c r="AD993" t="s">
        <v>717</v>
      </c>
      <c r="AE993" t="s">
        <v>6330</v>
      </c>
      <c r="AF993" t="s">
        <v>6331</v>
      </c>
      <c r="AG993" t="s">
        <v>6332</v>
      </c>
      <c r="AH993" t="s">
        <v>2191</v>
      </c>
      <c r="AI993" t="s">
        <v>2802</v>
      </c>
      <c r="AJ993" t="s">
        <v>2514</v>
      </c>
      <c r="AK993" t="s">
        <v>77</v>
      </c>
      <c r="AL993" t="s">
        <v>575</v>
      </c>
      <c r="AM993" t="s">
        <v>10</v>
      </c>
      <c r="AN993" t="s">
        <v>717</v>
      </c>
    </row>
    <row r="994" spans="1:40" hidden="1">
      <c r="A994">
        <v>992</v>
      </c>
      <c r="B994">
        <v>54</v>
      </c>
      <c r="C994" s="58">
        <v>44638</v>
      </c>
      <c r="D994" t="s">
        <v>27</v>
      </c>
      <c r="E994" t="s">
        <v>2515</v>
      </c>
      <c r="F994">
        <v>1</v>
      </c>
      <c r="G994">
        <v>14</v>
      </c>
      <c r="H994">
        <v>109</v>
      </c>
      <c r="I994">
        <v>3</v>
      </c>
      <c r="J994">
        <v>82.71</v>
      </c>
      <c r="K994" t="s">
        <v>9</v>
      </c>
      <c r="L994">
        <v>5536424.6100000003</v>
      </c>
      <c r="M994">
        <v>0</v>
      </c>
      <c r="N994">
        <v>5536424.6100000003</v>
      </c>
      <c r="O994">
        <v>66937.78998911861</v>
      </c>
      <c r="P994">
        <v>0</v>
      </c>
      <c r="Q994">
        <v>5536424.6100000003</v>
      </c>
      <c r="R994">
        <v>66937.78998911861</v>
      </c>
      <c r="S994" t="s">
        <v>65</v>
      </c>
      <c r="T994" t="s">
        <v>717</v>
      </c>
      <c r="U994" t="s">
        <v>717</v>
      </c>
      <c r="V994" t="s">
        <v>4131</v>
      </c>
      <c r="W994">
        <v>44636</v>
      </c>
      <c r="X994" t="s">
        <v>6333</v>
      </c>
      <c r="Y994" t="s">
        <v>6</v>
      </c>
      <c r="Z994" t="s">
        <v>11</v>
      </c>
      <c r="AA994" t="s">
        <v>717</v>
      </c>
      <c r="AB994" t="s">
        <v>2509</v>
      </c>
      <c r="AC994" t="s">
        <v>3300</v>
      </c>
      <c r="AD994" t="s">
        <v>717</v>
      </c>
      <c r="AE994" t="s">
        <v>6334</v>
      </c>
      <c r="AF994" t="s">
        <v>6335</v>
      </c>
      <c r="AG994" t="s">
        <v>6336</v>
      </c>
      <c r="AH994" t="s">
        <v>2191</v>
      </c>
      <c r="AI994" t="s">
        <v>5653</v>
      </c>
      <c r="AJ994" t="s">
        <v>31</v>
      </c>
      <c r="AK994" t="s">
        <v>63</v>
      </c>
      <c r="AL994" t="s">
        <v>16</v>
      </c>
      <c r="AM994" t="s">
        <v>5654</v>
      </c>
      <c r="AN994" t="s">
        <v>717</v>
      </c>
    </row>
    <row r="995" spans="1:40" hidden="1">
      <c r="A995">
        <v>993</v>
      </c>
      <c r="B995">
        <v>55</v>
      </c>
      <c r="C995" s="58">
        <v>44638</v>
      </c>
      <c r="D995" t="s">
        <v>27</v>
      </c>
      <c r="E995" t="s">
        <v>5079</v>
      </c>
      <c r="F995">
        <v>4</v>
      </c>
      <c r="G995">
        <v>20</v>
      </c>
      <c r="H995">
        <v>794</v>
      </c>
      <c r="I995">
        <v>1</v>
      </c>
      <c r="J995">
        <v>38.92</v>
      </c>
      <c r="K995" t="s">
        <v>15</v>
      </c>
      <c r="L995">
        <v>4115415.59</v>
      </c>
      <c r="M995">
        <v>0</v>
      </c>
      <c r="N995">
        <v>4115415.59</v>
      </c>
      <c r="O995">
        <v>105740.38001027748</v>
      </c>
      <c r="P995">
        <v>272440</v>
      </c>
      <c r="Q995">
        <v>3842975.59</v>
      </c>
      <c r="R995">
        <v>98740.380010277484</v>
      </c>
      <c r="S995" t="s">
        <v>65</v>
      </c>
      <c r="T995" t="s">
        <v>717</v>
      </c>
      <c r="U995" t="s">
        <v>717</v>
      </c>
      <c r="V995" t="s">
        <v>4131</v>
      </c>
      <c r="W995">
        <v>44637</v>
      </c>
      <c r="X995" t="s">
        <v>6337</v>
      </c>
      <c r="Y995" t="s">
        <v>6</v>
      </c>
      <c r="Z995" t="s">
        <v>17</v>
      </c>
      <c r="AA995" t="s">
        <v>717</v>
      </c>
      <c r="AB995" t="s">
        <v>2509</v>
      </c>
      <c r="AC995" t="s">
        <v>2564</v>
      </c>
      <c r="AD995" t="s">
        <v>717</v>
      </c>
      <c r="AE995" t="s">
        <v>6338</v>
      </c>
      <c r="AF995" t="s">
        <v>6339</v>
      </c>
      <c r="AG995" t="s">
        <v>6340</v>
      </c>
      <c r="AH995" t="s">
        <v>2191</v>
      </c>
      <c r="AI995" t="s">
        <v>2552</v>
      </c>
      <c r="AJ995" t="s">
        <v>2514</v>
      </c>
      <c r="AK995" t="s">
        <v>77</v>
      </c>
      <c r="AL995" t="s">
        <v>575</v>
      </c>
      <c r="AM995" t="s">
        <v>10</v>
      </c>
      <c r="AN995" t="s">
        <v>717</v>
      </c>
    </row>
    <row r="996" spans="1:40" hidden="1">
      <c r="A996">
        <v>994</v>
      </c>
      <c r="B996">
        <v>56</v>
      </c>
      <c r="C996" s="58">
        <v>44638</v>
      </c>
      <c r="D996" t="s">
        <v>121</v>
      </c>
      <c r="E996" t="s">
        <v>2515</v>
      </c>
      <c r="F996">
        <v>5</v>
      </c>
      <c r="G996">
        <v>24</v>
      </c>
      <c r="H996">
        <v>159</v>
      </c>
      <c r="I996">
        <v>1</v>
      </c>
      <c r="J996">
        <v>36.42</v>
      </c>
      <c r="K996" t="s">
        <v>9</v>
      </c>
      <c r="L996">
        <v>3500978.48</v>
      </c>
      <c r="M996">
        <v>0</v>
      </c>
      <c r="N996">
        <v>3500978.48</v>
      </c>
      <c r="O996">
        <v>96127.909939593621</v>
      </c>
      <c r="P996">
        <v>0</v>
      </c>
      <c r="Q996">
        <v>3500978.48</v>
      </c>
      <c r="R996">
        <v>96127.909939593621</v>
      </c>
      <c r="S996" t="s">
        <v>2507</v>
      </c>
      <c r="T996" t="s">
        <v>717</v>
      </c>
      <c r="U996" t="s">
        <v>717</v>
      </c>
      <c r="V996" t="s">
        <v>717</v>
      </c>
      <c r="W996">
        <v>44637</v>
      </c>
      <c r="X996" t="s">
        <v>6341</v>
      </c>
      <c r="Y996" t="s">
        <v>6</v>
      </c>
      <c r="Z996" t="s">
        <v>17</v>
      </c>
      <c r="AA996" t="s">
        <v>717</v>
      </c>
      <c r="AB996" t="s">
        <v>2509</v>
      </c>
      <c r="AC996" t="s">
        <v>118</v>
      </c>
      <c r="AD996" t="s">
        <v>717</v>
      </c>
      <c r="AE996" t="s">
        <v>6342</v>
      </c>
      <c r="AF996" t="s">
        <v>6343</v>
      </c>
      <c r="AG996" t="s">
        <v>6344</v>
      </c>
      <c r="AH996" t="s">
        <v>2191</v>
      </c>
      <c r="AI996" t="s">
        <v>5653</v>
      </c>
      <c r="AJ996" t="s">
        <v>31</v>
      </c>
      <c r="AK996" t="s">
        <v>471</v>
      </c>
      <c r="AL996" t="s">
        <v>717</v>
      </c>
      <c r="AM996" t="s">
        <v>5654</v>
      </c>
      <c r="AN996" t="s">
        <v>717</v>
      </c>
    </row>
    <row r="997" spans="1:40" hidden="1">
      <c r="A997">
        <v>995</v>
      </c>
      <c r="B997">
        <v>57</v>
      </c>
      <c r="C997" s="58">
        <v>44639</v>
      </c>
      <c r="D997" t="s">
        <v>27</v>
      </c>
      <c r="E997" t="s">
        <v>2515</v>
      </c>
      <c r="F997">
        <v>5</v>
      </c>
      <c r="G997">
        <v>13</v>
      </c>
      <c r="H997">
        <v>104</v>
      </c>
      <c r="I997">
        <v>0</v>
      </c>
      <c r="J997">
        <v>24.47</v>
      </c>
      <c r="K997" t="s">
        <v>15</v>
      </c>
      <c r="L997">
        <v>2253487.08</v>
      </c>
      <c r="M997">
        <v>0</v>
      </c>
      <c r="N997">
        <v>2253487.08</v>
      </c>
      <c r="O997">
        <v>92091.829995913373</v>
      </c>
      <c r="P997">
        <v>134585</v>
      </c>
      <c r="Q997">
        <v>2118902.08</v>
      </c>
      <c r="R997">
        <v>86591.829995913373</v>
      </c>
      <c r="S997" t="s">
        <v>65</v>
      </c>
      <c r="T997" t="s">
        <v>717</v>
      </c>
      <c r="U997" t="s">
        <v>717</v>
      </c>
      <c r="V997" t="s">
        <v>717</v>
      </c>
      <c r="W997">
        <v>44641</v>
      </c>
      <c r="X997" t="s">
        <v>6345</v>
      </c>
      <c r="Y997" t="s">
        <v>6</v>
      </c>
      <c r="Z997" t="s">
        <v>11</v>
      </c>
      <c r="AA997" t="s">
        <v>717</v>
      </c>
      <c r="AB997" t="s">
        <v>2509</v>
      </c>
      <c r="AC997" t="s">
        <v>2558</v>
      </c>
      <c r="AD997" t="s">
        <v>717</v>
      </c>
      <c r="AE997" t="s">
        <v>6346</v>
      </c>
      <c r="AF997" t="s">
        <v>6347</v>
      </c>
      <c r="AG997" t="s">
        <v>6348</v>
      </c>
      <c r="AH997" t="s">
        <v>2615</v>
      </c>
      <c r="AI997" t="s">
        <v>2847</v>
      </c>
      <c r="AJ997" t="s">
        <v>2940</v>
      </c>
      <c r="AK997" t="s">
        <v>63</v>
      </c>
      <c r="AL997" t="s">
        <v>575</v>
      </c>
      <c r="AM997" t="s">
        <v>10</v>
      </c>
      <c r="AN997" t="s">
        <v>717</v>
      </c>
    </row>
    <row r="998" spans="1:40" hidden="1">
      <c r="A998">
        <v>996</v>
      </c>
      <c r="B998">
        <v>58</v>
      </c>
      <c r="C998" s="58">
        <v>44641</v>
      </c>
      <c r="D998" t="s">
        <v>27</v>
      </c>
      <c r="E998" t="s">
        <v>2515</v>
      </c>
      <c r="F998">
        <v>6</v>
      </c>
      <c r="G998">
        <v>11</v>
      </c>
      <c r="H998">
        <v>87</v>
      </c>
      <c r="I998">
        <v>2</v>
      </c>
      <c r="J998">
        <v>54.67</v>
      </c>
      <c r="K998" t="s">
        <v>9</v>
      </c>
      <c r="L998">
        <v>4319377.75</v>
      </c>
      <c r="M998">
        <v>0</v>
      </c>
      <c r="N998">
        <v>4319377.75</v>
      </c>
      <c r="O998">
        <v>79008.190049387238</v>
      </c>
      <c r="P998">
        <v>0</v>
      </c>
      <c r="Q998">
        <v>4319377.75</v>
      </c>
      <c r="R998">
        <v>79008.190049387238</v>
      </c>
      <c r="S998" t="s">
        <v>65</v>
      </c>
      <c r="T998" t="s">
        <v>717</v>
      </c>
      <c r="U998" t="s">
        <v>717</v>
      </c>
      <c r="V998" t="s">
        <v>4131</v>
      </c>
      <c r="W998">
        <v>44635</v>
      </c>
      <c r="X998" t="s">
        <v>6349</v>
      </c>
      <c r="Y998" t="s">
        <v>6</v>
      </c>
      <c r="Z998" t="s">
        <v>17</v>
      </c>
      <c r="AA998" t="s">
        <v>717</v>
      </c>
      <c r="AB998" t="s">
        <v>2509</v>
      </c>
      <c r="AC998" t="s">
        <v>2571</v>
      </c>
      <c r="AD998" t="s">
        <v>717</v>
      </c>
      <c r="AE998" t="s">
        <v>6350</v>
      </c>
      <c r="AF998" t="s">
        <v>6351</v>
      </c>
      <c r="AG998" t="s">
        <v>6352</v>
      </c>
      <c r="AH998" t="s">
        <v>2191</v>
      </c>
      <c r="AI998" t="s">
        <v>2538</v>
      </c>
      <c r="AJ998" t="s">
        <v>2940</v>
      </c>
      <c r="AK998" t="s">
        <v>77</v>
      </c>
      <c r="AL998" t="s">
        <v>16</v>
      </c>
      <c r="AM998" t="s">
        <v>10</v>
      </c>
      <c r="AN998" t="s">
        <v>717</v>
      </c>
    </row>
    <row r="999" spans="1:40" hidden="1">
      <c r="A999">
        <v>997</v>
      </c>
      <c r="B999">
        <v>59</v>
      </c>
      <c r="C999" s="58">
        <v>44641</v>
      </c>
      <c r="D999" t="s">
        <v>27</v>
      </c>
      <c r="E999" t="s">
        <v>2515</v>
      </c>
      <c r="F999">
        <v>2</v>
      </c>
      <c r="G999">
        <v>16</v>
      </c>
      <c r="H999">
        <v>128</v>
      </c>
      <c r="I999">
        <v>1</v>
      </c>
      <c r="J999">
        <v>37.94</v>
      </c>
      <c r="K999" t="s">
        <v>15</v>
      </c>
      <c r="L999">
        <v>3454693.47</v>
      </c>
      <c r="M999">
        <v>0</v>
      </c>
      <c r="N999">
        <v>3454693.47</v>
      </c>
      <c r="O999">
        <v>91056.759884027444</v>
      </c>
      <c r="P999">
        <v>265580</v>
      </c>
      <c r="Q999">
        <v>3189113.47</v>
      </c>
      <c r="R999">
        <v>84056.759884027415</v>
      </c>
      <c r="S999" t="s">
        <v>65</v>
      </c>
      <c r="T999" t="s">
        <v>717</v>
      </c>
      <c r="U999" t="s">
        <v>717</v>
      </c>
      <c r="V999" t="s">
        <v>4131</v>
      </c>
      <c r="W999">
        <v>44635</v>
      </c>
      <c r="X999" t="s">
        <v>6353</v>
      </c>
      <c r="Y999" t="s">
        <v>6</v>
      </c>
      <c r="Z999" t="s">
        <v>17</v>
      </c>
      <c r="AA999" t="s">
        <v>717</v>
      </c>
      <c r="AB999" t="s">
        <v>2509</v>
      </c>
      <c r="AC999" t="s">
        <v>2571</v>
      </c>
      <c r="AD999" t="s">
        <v>717</v>
      </c>
      <c r="AE999" t="s">
        <v>6354</v>
      </c>
      <c r="AF999" t="s">
        <v>6355</v>
      </c>
      <c r="AG999" t="s">
        <v>6356</v>
      </c>
      <c r="AH999" t="s">
        <v>65</v>
      </c>
      <c r="AI999" t="s">
        <v>5056</v>
      </c>
      <c r="AJ999" t="s">
        <v>6169</v>
      </c>
      <c r="AK999" t="s">
        <v>77</v>
      </c>
      <c r="AL999" t="s">
        <v>575</v>
      </c>
      <c r="AM999" t="s">
        <v>10</v>
      </c>
      <c r="AN999" t="s">
        <v>717</v>
      </c>
    </row>
    <row r="1000" spans="1:40" hidden="1">
      <c r="A1000">
        <v>998</v>
      </c>
      <c r="B1000">
        <v>60</v>
      </c>
      <c r="C1000" s="58">
        <v>44641</v>
      </c>
      <c r="D1000" t="s">
        <v>27</v>
      </c>
      <c r="E1000" t="s">
        <v>2506</v>
      </c>
      <c r="F1000">
        <v>4</v>
      </c>
      <c r="G1000">
        <v>10</v>
      </c>
      <c r="H1000">
        <v>275</v>
      </c>
      <c r="I1000">
        <v>1</v>
      </c>
      <c r="J1000">
        <v>40</v>
      </c>
      <c r="K1000" t="s">
        <v>9</v>
      </c>
      <c r="L1000">
        <v>3421673.2</v>
      </c>
      <c r="M1000">
        <v>0</v>
      </c>
      <c r="N1000">
        <v>3421673.2</v>
      </c>
      <c r="O1000">
        <v>85541.83</v>
      </c>
      <c r="P1000">
        <v>0</v>
      </c>
      <c r="Q1000">
        <v>3421673.2</v>
      </c>
      <c r="R1000">
        <v>85541.83</v>
      </c>
      <c r="S1000" t="s">
        <v>130</v>
      </c>
      <c r="T1000" t="s">
        <v>717</v>
      </c>
      <c r="U1000" t="s">
        <v>717</v>
      </c>
      <c r="V1000" t="s">
        <v>717</v>
      </c>
      <c r="W1000">
        <v>44638</v>
      </c>
      <c r="X1000" t="s">
        <v>6357</v>
      </c>
      <c r="Y1000" t="s">
        <v>6</v>
      </c>
      <c r="Z1000" t="s">
        <v>11</v>
      </c>
      <c r="AA1000" t="s">
        <v>717</v>
      </c>
      <c r="AB1000" t="s">
        <v>2509</v>
      </c>
      <c r="AC1000" t="s">
        <v>118</v>
      </c>
      <c r="AD1000" t="s">
        <v>717</v>
      </c>
      <c r="AE1000" t="s">
        <v>6358</v>
      </c>
      <c r="AF1000" t="s">
        <v>6359</v>
      </c>
      <c r="AG1000" t="s">
        <v>6360</v>
      </c>
      <c r="AH1000" t="s">
        <v>2615</v>
      </c>
      <c r="AI1000" t="s">
        <v>2697</v>
      </c>
      <c r="AJ1000" t="s">
        <v>2569</v>
      </c>
      <c r="AK1000" t="s">
        <v>471</v>
      </c>
      <c r="AL1000" t="s">
        <v>717</v>
      </c>
      <c r="AM1000" t="s">
        <v>10</v>
      </c>
      <c r="AN1000" t="s">
        <v>717</v>
      </c>
    </row>
    <row r="1001" spans="1:40" hidden="1">
      <c r="A1001">
        <v>999</v>
      </c>
      <c r="B1001">
        <v>61</v>
      </c>
      <c r="C1001" s="58">
        <v>44642</v>
      </c>
      <c r="D1001" t="s">
        <v>27</v>
      </c>
      <c r="E1001" t="s">
        <v>2515</v>
      </c>
      <c r="F1001">
        <v>7</v>
      </c>
      <c r="G1001">
        <v>4</v>
      </c>
      <c r="H1001">
        <v>25</v>
      </c>
      <c r="I1001">
        <v>2</v>
      </c>
      <c r="J1001">
        <v>60.06</v>
      </c>
      <c r="K1001" t="s">
        <v>9</v>
      </c>
      <c r="L1001">
        <v>4503500.5999999996</v>
      </c>
      <c r="M1001">
        <v>0</v>
      </c>
      <c r="N1001">
        <v>4503500.5999999996</v>
      </c>
      <c r="O1001">
        <v>74983.359973359969</v>
      </c>
      <c r="P1001">
        <v>0</v>
      </c>
      <c r="Q1001">
        <v>4503500.5999999996</v>
      </c>
      <c r="R1001">
        <v>74983.359973359969</v>
      </c>
      <c r="S1001" t="s">
        <v>65</v>
      </c>
      <c r="T1001" t="s">
        <v>717</v>
      </c>
      <c r="U1001" t="s">
        <v>717</v>
      </c>
      <c r="V1001" t="s">
        <v>6312</v>
      </c>
      <c r="W1001">
        <v>44635</v>
      </c>
      <c r="X1001" t="s">
        <v>6361</v>
      </c>
      <c r="Y1001" t="s">
        <v>6</v>
      </c>
      <c r="Z1001" t="s">
        <v>17</v>
      </c>
      <c r="AA1001" t="s">
        <v>717</v>
      </c>
      <c r="AB1001" t="s">
        <v>2509</v>
      </c>
      <c r="AC1001" t="s">
        <v>2571</v>
      </c>
      <c r="AD1001" t="s">
        <v>717</v>
      </c>
      <c r="AE1001" t="s">
        <v>6362</v>
      </c>
      <c r="AF1001" t="s">
        <v>6363</v>
      </c>
      <c r="AG1001" t="s">
        <v>6364</v>
      </c>
      <c r="AH1001" t="s">
        <v>2191</v>
      </c>
      <c r="AI1001" t="s">
        <v>2538</v>
      </c>
      <c r="AJ1001" t="s">
        <v>2514</v>
      </c>
      <c r="AK1001" t="s">
        <v>77</v>
      </c>
      <c r="AL1001" t="s">
        <v>16</v>
      </c>
      <c r="AM1001" t="s">
        <v>10</v>
      </c>
      <c r="AN1001" t="s">
        <v>717</v>
      </c>
    </row>
    <row r="1002" spans="1:40" hidden="1">
      <c r="A1002">
        <v>1000</v>
      </c>
      <c r="B1002">
        <v>62</v>
      </c>
      <c r="C1002" s="58">
        <v>44642</v>
      </c>
      <c r="D1002" t="s">
        <v>27</v>
      </c>
      <c r="E1002" t="s">
        <v>2506</v>
      </c>
      <c r="F1002">
        <v>2</v>
      </c>
      <c r="G1002">
        <v>7</v>
      </c>
      <c r="H1002">
        <v>249</v>
      </c>
      <c r="I1002">
        <v>1</v>
      </c>
      <c r="J1002">
        <v>37.159999999999997</v>
      </c>
      <c r="K1002" t="s">
        <v>15</v>
      </c>
      <c r="L1002">
        <v>3383895.13</v>
      </c>
      <c r="M1002">
        <v>0</v>
      </c>
      <c r="N1002">
        <v>3383895.13</v>
      </c>
      <c r="O1002">
        <v>91062.839881593114</v>
      </c>
      <c r="P1002">
        <v>260120.00000000047</v>
      </c>
      <c r="Q1002">
        <v>3123775.1299999994</v>
      </c>
      <c r="R1002">
        <v>84062.8398815931</v>
      </c>
      <c r="S1002" t="s">
        <v>65</v>
      </c>
      <c r="T1002" t="s">
        <v>717</v>
      </c>
      <c r="U1002" t="s">
        <v>717</v>
      </c>
      <c r="V1002" t="s">
        <v>4131</v>
      </c>
      <c r="W1002">
        <v>44635</v>
      </c>
      <c r="X1002" t="s">
        <v>6365</v>
      </c>
      <c r="Y1002" t="s">
        <v>6</v>
      </c>
      <c r="Z1002" t="s">
        <v>17</v>
      </c>
      <c r="AA1002" t="s">
        <v>717</v>
      </c>
      <c r="AB1002" t="s">
        <v>2509</v>
      </c>
      <c r="AC1002" t="s">
        <v>2571</v>
      </c>
      <c r="AD1002" t="s">
        <v>717</v>
      </c>
      <c r="AE1002" t="s">
        <v>6366</v>
      </c>
      <c r="AF1002" t="s">
        <v>6367</v>
      </c>
      <c r="AG1002" t="s">
        <v>6368</v>
      </c>
      <c r="AH1002" t="s">
        <v>2552</v>
      </c>
      <c r="AI1002" t="s">
        <v>2877</v>
      </c>
      <c r="AJ1002" t="s">
        <v>3098</v>
      </c>
      <c r="AK1002" t="s">
        <v>20</v>
      </c>
      <c r="AL1002" t="s">
        <v>16</v>
      </c>
      <c r="AM1002" t="s">
        <v>10</v>
      </c>
      <c r="AN1002" t="s">
        <v>717</v>
      </c>
    </row>
    <row r="1003" spans="1:40" hidden="1">
      <c r="A1003">
        <v>1001</v>
      </c>
      <c r="B1003">
        <v>63</v>
      </c>
      <c r="C1003" s="58">
        <v>44642</v>
      </c>
      <c r="D1003" t="s">
        <v>27</v>
      </c>
      <c r="E1003" t="s">
        <v>2581</v>
      </c>
      <c r="F1003">
        <v>4</v>
      </c>
      <c r="G1003">
        <v>14</v>
      </c>
      <c r="H1003">
        <v>491</v>
      </c>
      <c r="I1003">
        <v>1</v>
      </c>
      <c r="J1003">
        <v>40</v>
      </c>
      <c r="K1003" t="s">
        <v>9</v>
      </c>
      <c r="L1003">
        <v>3641673.2</v>
      </c>
      <c r="M1003">
        <v>0</v>
      </c>
      <c r="N1003">
        <v>3641673.2</v>
      </c>
      <c r="O1003">
        <v>91041.83</v>
      </c>
      <c r="P1003">
        <v>0</v>
      </c>
      <c r="Q1003">
        <v>3641673.2</v>
      </c>
      <c r="R1003">
        <v>91041.83</v>
      </c>
      <c r="S1003" t="s">
        <v>130</v>
      </c>
      <c r="T1003" t="s">
        <v>717</v>
      </c>
      <c r="U1003" t="s">
        <v>717</v>
      </c>
      <c r="V1003" t="s">
        <v>717</v>
      </c>
      <c r="W1003">
        <v>44641</v>
      </c>
      <c r="X1003" t="s">
        <v>6369</v>
      </c>
      <c r="Y1003" t="s">
        <v>6</v>
      </c>
      <c r="Z1003" t="s">
        <v>11</v>
      </c>
      <c r="AA1003" t="s">
        <v>717</v>
      </c>
      <c r="AB1003" t="s">
        <v>2509</v>
      </c>
      <c r="AC1003" t="s">
        <v>118</v>
      </c>
      <c r="AD1003" t="s">
        <v>717</v>
      </c>
      <c r="AE1003" t="s">
        <v>6370</v>
      </c>
      <c r="AF1003" t="s">
        <v>6371</v>
      </c>
      <c r="AG1003" t="s">
        <v>6372</v>
      </c>
      <c r="AH1003" t="s">
        <v>2191</v>
      </c>
      <c r="AI1003" t="s">
        <v>2552</v>
      </c>
      <c r="AJ1003" t="s">
        <v>2793</v>
      </c>
      <c r="AK1003" t="s">
        <v>63</v>
      </c>
      <c r="AL1003" t="s">
        <v>717</v>
      </c>
      <c r="AM1003" t="s">
        <v>10</v>
      </c>
      <c r="AN1003" t="s">
        <v>717</v>
      </c>
    </row>
    <row r="1004" spans="1:40" hidden="1">
      <c r="A1004">
        <v>1002</v>
      </c>
      <c r="B1004">
        <v>64</v>
      </c>
      <c r="C1004" s="58">
        <v>44643</v>
      </c>
      <c r="D1004" t="s">
        <v>27</v>
      </c>
      <c r="E1004" t="s">
        <v>2506</v>
      </c>
      <c r="F1004">
        <v>4</v>
      </c>
      <c r="G1004">
        <v>7</v>
      </c>
      <c r="H1004">
        <v>251</v>
      </c>
      <c r="I1004">
        <v>1</v>
      </c>
      <c r="J1004">
        <v>40</v>
      </c>
      <c r="K1004" t="s">
        <v>15</v>
      </c>
      <c r="L1004">
        <v>3641673.2</v>
      </c>
      <c r="M1004">
        <v>0</v>
      </c>
      <c r="N1004">
        <v>3641673.2</v>
      </c>
      <c r="O1004">
        <v>91041.83</v>
      </c>
      <c r="P1004">
        <v>280000</v>
      </c>
      <c r="Q1004">
        <v>3361673.2</v>
      </c>
      <c r="R1004">
        <v>84041.83</v>
      </c>
      <c r="S1004" t="s">
        <v>65</v>
      </c>
      <c r="T1004" t="s">
        <v>717</v>
      </c>
      <c r="U1004" t="s">
        <v>717</v>
      </c>
      <c r="V1004" t="s">
        <v>4131</v>
      </c>
      <c r="W1004">
        <v>44638</v>
      </c>
      <c r="X1004" t="s">
        <v>6373</v>
      </c>
      <c r="Y1004" t="s">
        <v>6</v>
      </c>
      <c r="Z1004" t="s">
        <v>17</v>
      </c>
      <c r="AA1004" t="s">
        <v>717</v>
      </c>
      <c r="AB1004" t="s">
        <v>2509</v>
      </c>
      <c r="AC1004" t="s">
        <v>2571</v>
      </c>
      <c r="AD1004" t="s">
        <v>717</v>
      </c>
      <c r="AE1004" t="s">
        <v>6374</v>
      </c>
      <c r="AF1004" t="s">
        <v>6375</v>
      </c>
      <c r="AG1004" t="s">
        <v>6376</v>
      </c>
      <c r="AH1004" t="s">
        <v>2552</v>
      </c>
      <c r="AI1004" t="s">
        <v>2877</v>
      </c>
      <c r="AJ1004" t="s">
        <v>3098</v>
      </c>
      <c r="AK1004" t="s">
        <v>73</v>
      </c>
      <c r="AL1004" t="s">
        <v>16</v>
      </c>
      <c r="AM1004" t="s">
        <v>10</v>
      </c>
      <c r="AN1004" t="s">
        <v>717</v>
      </c>
    </row>
    <row r="1005" spans="1:40" hidden="1">
      <c r="A1005">
        <v>1003</v>
      </c>
      <c r="B1005">
        <v>65</v>
      </c>
      <c r="C1005" s="58">
        <v>44644</v>
      </c>
      <c r="D1005" t="s">
        <v>27</v>
      </c>
      <c r="E1005" t="s">
        <v>2581</v>
      </c>
      <c r="F1005">
        <v>6</v>
      </c>
      <c r="G1005">
        <v>3</v>
      </c>
      <c r="H1005">
        <v>405</v>
      </c>
      <c r="I1005">
        <v>1</v>
      </c>
      <c r="J1005">
        <v>37.11</v>
      </c>
      <c r="K1005" t="s">
        <v>9</v>
      </c>
      <c r="L1005">
        <v>3197301.49</v>
      </c>
      <c r="M1005">
        <v>0</v>
      </c>
      <c r="N1005">
        <v>3197301.49</v>
      </c>
      <c r="O1005">
        <v>86157.410132039891</v>
      </c>
      <c r="P1005">
        <v>0</v>
      </c>
      <c r="Q1005">
        <v>3197301.49</v>
      </c>
      <c r="R1005">
        <v>86157.410132039891</v>
      </c>
      <c r="S1005" t="s">
        <v>65</v>
      </c>
      <c r="T1005" t="s">
        <v>717</v>
      </c>
      <c r="U1005" t="s">
        <v>717</v>
      </c>
      <c r="V1005" t="s">
        <v>4131</v>
      </c>
      <c r="W1005">
        <v>44635</v>
      </c>
      <c r="X1005" t="s">
        <v>6377</v>
      </c>
      <c r="Y1005" t="s">
        <v>6</v>
      </c>
      <c r="Z1005" t="s">
        <v>17</v>
      </c>
      <c r="AA1005" t="s">
        <v>717</v>
      </c>
      <c r="AB1005" t="s">
        <v>2509</v>
      </c>
      <c r="AC1005" t="s">
        <v>2571</v>
      </c>
      <c r="AD1005" t="s">
        <v>717</v>
      </c>
      <c r="AE1005" t="s">
        <v>6378</v>
      </c>
      <c r="AF1005" t="s">
        <v>6379</v>
      </c>
      <c r="AG1005" t="s">
        <v>6380</v>
      </c>
      <c r="AH1005" t="s">
        <v>2191</v>
      </c>
      <c r="AI1005" t="s">
        <v>5653</v>
      </c>
      <c r="AJ1005" t="s">
        <v>31</v>
      </c>
      <c r="AK1005" t="s">
        <v>29</v>
      </c>
      <c r="AL1005" t="s">
        <v>575</v>
      </c>
      <c r="AM1005" t="s">
        <v>5654</v>
      </c>
      <c r="AN1005" t="s">
        <v>717</v>
      </c>
    </row>
    <row r="1006" spans="1:40" hidden="1">
      <c r="A1006">
        <v>1004</v>
      </c>
      <c r="B1006">
        <v>66</v>
      </c>
      <c r="C1006" s="58">
        <v>44644</v>
      </c>
      <c r="D1006" t="s">
        <v>121</v>
      </c>
      <c r="E1006" t="s">
        <v>2506</v>
      </c>
      <c r="F1006">
        <v>1</v>
      </c>
      <c r="G1006">
        <v>15</v>
      </c>
      <c r="H1006">
        <v>305</v>
      </c>
      <c r="I1006">
        <v>1</v>
      </c>
      <c r="J1006">
        <v>38.83</v>
      </c>
      <c r="K1006" t="s">
        <v>15</v>
      </c>
      <c r="L1006">
        <v>4084037.28</v>
      </c>
      <c r="M1006">
        <v>0</v>
      </c>
      <c r="N1006">
        <v>4084037.28</v>
      </c>
      <c r="O1006">
        <v>105177.37007468451</v>
      </c>
      <c r="P1006">
        <v>213565</v>
      </c>
      <c r="Q1006">
        <v>3870472.28</v>
      </c>
      <c r="R1006">
        <v>99677.370074684528</v>
      </c>
      <c r="S1006" t="s">
        <v>65</v>
      </c>
      <c r="T1006" t="s">
        <v>717</v>
      </c>
      <c r="U1006" t="s">
        <v>717</v>
      </c>
      <c r="V1006" t="s">
        <v>4131</v>
      </c>
      <c r="W1006">
        <v>44638</v>
      </c>
      <c r="X1006" t="s">
        <v>6381</v>
      </c>
      <c r="Y1006" t="s">
        <v>6</v>
      </c>
      <c r="Z1006" t="s">
        <v>17</v>
      </c>
      <c r="AA1006" t="s">
        <v>717</v>
      </c>
      <c r="AB1006" t="s">
        <v>2509</v>
      </c>
      <c r="AC1006" t="s">
        <v>2571</v>
      </c>
      <c r="AD1006" t="s">
        <v>717</v>
      </c>
      <c r="AE1006" t="s">
        <v>6382</v>
      </c>
      <c r="AF1006" t="s">
        <v>6383</v>
      </c>
      <c r="AG1006" t="s">
        <v>6384</v>
      </c>
      <c r="AH1006" t="s">
        <v>2615</v>
      </c>
      <c r="AI1006" t="s">
        <v>2552</v>
      </c>
      <c r="AJ1006" t="s">
        <v>2895</v>
      </c>
      <c r="AK1006" t="s">
        <v>20</v>
      </c>
      <c r="AL1006" t="s">
        <v>16</v>
      </c>
      <c r="AM1006" t="s">
        <v>10</v>
      </c>
      <c r="AN1006" t="s">
        <v>717</v>
      </c>
    </row>
    <row r="1007" spans="1:40" hidden="1">
      <c r="A1007">
        <v>1005</v>
      </c>
      <c r="B1007">
        <v>67</v>
      </c>
      <c r="C1007" s="58">
        <v>44644</v>
      </c>
      <c r="D1007" t="s">
        <v>121</v>
      </c>
      <c r="E1007" t="s">
        <v>2506</v>
      </c>
      <c r="F1007">
        <v>9</v>
      </c>
      <c r="G1007">
        <v>7</v>
      </c>
      <c r="H1007">
        <v>225</v>
      </c>
      <c r="I1007">
        <v>2</v>
      </c>
      <c r="J1007">
        <v>60.3</v>
      </c>
      <c r="K1007" t="s">
        <v>25</v>
      </c>
      <c r="L1007">
        <v>6748119.3300000001</v>
      </c>
      <c r="M1007">
        <v>0</v>
      </c>
      <c r="N1007">
        <v>6748119.3300000001</v>
      </c>
      <c r="O1007">
        <v>111909.10995024876</v>
      </c>
      <c r="P1007">
        <v>964800</v>
      </c>
      <c r="Q1007">
        <v>5783319.3300000001</v>
      </c>
      <c r="R1007">
        <v>95909.109950248763</v>
      </c>
      <c r="S1007" t="s">
        <v>65</v>
      </c>
      <c r="T1007" t="s">
        <v>717</v>
      </c>
      <c r="U1007" t="s">
        <v>717</v>
      </c>
      <c r="V1007" t="s">
        <v>6312</v>
      </c>
      <c r="W1007">
        <v>44643</v>
      </c>
      <c r="X1007" t="s">
        <v>6385</v>
      </c>
      <c r="Y1007" t="s">
        <v>6</v>
      </c>
      <c r="Z1007" t="s">
        <v>17</v>
      </c>
      <c r="AA1007" t="s">
        <v>717</v>
      </c>
      <c r="AB1007" t="s">
        <v>2509</v>
      </c>
      <c r="AC1007" t="s">
        <v>2571</v>
      </c>
      <c r="AD1007" t="s">
        <v>717</v>
      </c>
      <c r="AE1007" t="s">
        <v>6386</v>
      </c>
      <c r="AF1007" t="s">
        <v>6387</v>
      </c>
      <c r="AG1007" t="s">
        <v>6388</v>
      </c>
      <c r="AH1007" t="s">
        <v>2191</v>
      </c>
      <c r="AI1007" t="s">
        <v>2673</v>
      </c>
      <c r="AJ1007" t="s">
        <v>2514</v>
      </c>
      <c r="AK1007" t="s">
        <v>77</v>
      </c>
      <c r="AL1007" t="s">
        <v>16</v>
      </c>
      <c r="AM1007" t="s">
        <v>10</v>
      </c>
      <c r="AN1007" t="s">
        <v>717</v>
      </c>
    </row>
    <row r="1008" spans="1:40" hidden="1">
      <c r="A1008">
        <v>1006</v>
      </c>
      <c r="B1008">
        <v>68</v>
      </c>
      <c r="C1008" s="58">
        <v>44645</v>
      </c>
      <c r="D1008" t="s">
        <v>27</v>
      </c>
      <c r="E1008" t="s">
        <v>2515</v>
      </c>
      <c r="F1008">
        <v>2</v>
      </c>
      <c r="G1008">
        <v>9</v>
      </c>
      <c r="H1008">
        <v>65</v>
      </c>
      <c r="I1008">
        <v>1</v>
      </c>
      <c r="J1008">
        <v>37.94</v>
      </c>
      <c r="K1008" t="s">
        <v>9</v>
      </c>
      <c r="L1008">
        <v>3189113.47</v>
      </c>
      <c r="M1008">
        <v>0</v>
      </c>
      <c r="N1008">
        <v>3189113.47</v>
      </c>
      <c r="O1008">
        <v>84056.759884027415</v>
      </c>
      <c r="P1008">
        <v>0</v>
      </c>
      <c r="Q1008">
        <v>3189113.47</v>
      </c>
      <c r="R1008">
        <v>84056.759884027415</v>
      </c>
      <c r="S1008" t="s">
        <v>65</v>
      </c>
      <c r="T1008" t="s">
        <v>717</v>
      </c>
      <c r="U1008" t="s">
        <v>717</v>
      </c>
      <c r="V1008" t="s">
        <v>4131</v>
      </c>
      <c r="W1008">
        <v>44637</v>
      </c>
      <c r="X1008" t="s">
        <v>6389</v>
      </c>
      <c r="Y1008" t="s">
        <v>6</v>
      </c>
      <c r="Z1008" t="s">
        <v>17</v>
      </c>
      <c r="AA1008" t="s">
        <v>5617</v>
      </c>
      <c r="AB1008" t="s">
        <v>2509</v>
      </c>
      <c r="AC1008" t="s">
        <v>2564</v>
      </c>
      <c r="AD1008" t="s">
        <v>717</v>
      </c>
      <c r="AE1008" t="s">
        <v>6390</v>
      </c>
      <c r="AF1008" t="s">
        <v>6391</v>
      </c>
      <c r="AG1008" t="s">
        <v>6392</v>
      </c>
      <c r="AH1008" t="s">
        <v>2191</v>
      </c>
      <c r="AI1008" t="s">
        <v>5653</v>
      </c>
      <c r="AJ1008" t="s">
        <v>31</v>
      </c>
      <c r="AK1008" t="s">
        <v>63</v>
      </c>
      <c r="AL1008" t="s">
        <v>575</v>
      </c>
      <c r="AM1008" t="s">
        <v>5654</v>
      </c>
      <c r="AN1008" t="s">
        <v>717</v>
      </c>
    </row>
    <row r="1009" spans="1:40" hidden="1">
      <c r="A1009">
        <v>1007</v>
      </c>
      <c r="B1009">
        <v>69</v>
      </c>
      <c r="C1009" s="58">
        <v>44645</v>
      </c>
      <c r="D1009" t="s">
        <v>121</v>
      </c>
      <c r="E1009" t="s">
        <v>2515</v>
      </c>
      <c r="F1009">
        <v>2</v>
      </c>
      <c r="G1009">
        <v>16</v>
      </c>
      <c r="H1009">
        <v>100</v>
      </c>
      <c r="I1009">
        <v>2</v>
      </c>
      <c r="J1009">
        <v>58.99</v>
      </c>
      <c r="K1009" t="s">
        <v>15</v>
      </c>
      <c r="L1009">
        <v>4967365.8899999997</v>
      </c>
      <c r="M1009">
        <v>15000</v>
      </c>
      <c r="N1009">
        <v>4982365.8899999997</v>
      </c>
      <c r="O1009">
        <v>84461.19494829631</v>
      </c>
      <c r="P1009">
        <v>324445.00000000093</v>
      </c>
      <c r="Q1009">
        <v>4657920.8899999987</v>
      </c>
      <c r="R1009">
        <v>78961.194948296281</v>
      </c>
      <c r="S1009" t="s">
        <v>65</v>
      </c>
      <c r="T1009" t="s">
        <v>717</v>
      </c>
      <c r="U1009" t="s">
        <v>717</v>
      </c>
      <c r="V1009" t="s">
        <v>6312</v>
      </c>
      <c r="W1009">
        <v>44638</v>
      </c>
      <c r="X1009" t="s">
        <v>6393</v>
      </c>
      <c r="Y1009" t="s">
        <v>6</v>
      </c>
      <c r="Z1009" t="s">
        <v>17</v>
      </c>
      <c r="AA1009" t="s">
        <v>717</v>
      </c>
      <c r="AB1009" t="s">
        <v>2509</v>
      </c>
      <c r="AC1009" t="s">
        <v>2571</v>
      </c>
      <c r="AD1009" t="s">
        <v>717</v>
      </c>
      <c r="AE1009" t="s">
        <v>6394</v>
      </c>
      <c r="AF1009" t="s">
        <v>6395</v>
      </c>
      <c r="AG1009" t="s">
        <v>6396</v>
      </c>
      <c r="AH1009" t="s">
        <v>2615</v>
      </c>
      <c r="AI1009" t="s">
        <v>2552</v>
      </c>
      <c r="AJ1009" t="s">
        <v>2651</v>
      </c>
      <c r="AK1009" t="s">
        <v>73</v>
      </c>
      <c r="AL1009" t="s">
        <v>575</v>
      </c>
      <c r="AM1009" t="s">
        <v>10</v>
      </c>
      <c r="AN1009" t="s">
        <v>6397</v>
      </c>
    </row>
    <row r="1010" spans="1:40" hidden="1">
      <c r="A1010">
        <v>1008</v>
      </c>
      <c r="B1010">
        <v>70</v>
      </c>
      <c r="C1010" s="58">
        <v>44645</v>
      </c>
      <c r="D1010" t="s">
        <v>121</v>
      </c>
      <c r="E1010" t="s">
        <v>2506</v>
      </c>
      <c r="F1010">
        <v>1</v>
      </c>
      <c r="G1010">
        <v>11</v>
      </c>
      <c r="H1010">
        <v>261</v>
      </c>
      <c r="I1010">
        <v>1</v>
      </c>
      <c r="J1010">
        <v>38.83</v>
      </c>
      <c r="K1010" t="s">
        <v>15</v>
      </c>
      <c r="L1010">
        <v>4032425.99</v>
      </c>
      <c r="M1010">
        <v>0</v>
      </c>
      <c r="N1010">
        <v>4032425.99</v>
      </c>
      <c r="O1010">
        <v>103848.20988926088</v>
      </c>
      <c r="P1010">
        <v>213565</v>
      </c>
      <c r="Q1010">
        <v>3818860.99</v>
      </c>
      <c r="R1010">
        <v>98348.209889260892</v>
      </c>
      <c r="S1010" t="s">
        <v>65</v>
      </c>
      <c r="T1010" t="s">
        <v>717</v>
      </c>
      <c r="U1010" t="s">
        <v>717</v>
      </c>
      <c r="V1010" t="s">
        <v>6312</v>
      </c>
      <c r="W1010">
        <v>44644</v>
      </c>
      <c r="X1010" t="s">
        <v>6398</v>
      </c>
      <c r="Y1010" t="s">
        <v>6</v>
      </c>
      <c r="Z1010" t="s">
        <v>17</v>
      </c>
      <c r="AA1010" t="s">
        <v>717</v>
      </c>
      <c r="AB1010" t="s">
        <v>2509</v>
      </c>
      <c r="AC1010" t="s">
        <v>2571</v>
      </c>
      <c r="AD1010" t="s">
        <v>717</v>
      </c>
      <c r="AE1010" t="s">
        <v>6399</v>
      </c>
      <c r="AF1010" t="s">
        <v>6400</v>
      </c>
      <c r="AG1010" t="s">
        <v>6401</v>
      </c>
      <c r="AH1010" t="s">
        <v>2191</v>
      </c>
      <c r="AI1010" t="s">
        <v>2538</v>
      </c>
      <c r="AJ1010" t="s">
        <v>2514</v>
      </c>
      <c r="AK1010" t="s">
        <v>77</v>
      </c>
      <c r="AL1010" t="s">
        <v>16</v>
      </c>
      <c r="AM1010" t="s">
        <v>10</v>
      </c>
      <c r="AN1010" t="s">
        <v>717</v>
      </c>
    </row>
    <row r="1011" spans="1:40" hidden="1">
      <c r="A1011">
        <v>1009</v>
      </c>
      <c r="B1011">
        <v>71</v>
      </c>
      <c r="C1011" s="58">
        <v>44648</v>
      </c>
      <c r="D1011" t="s">
        <v>27</v>
      </c>
      <c r="E1011" t="s">
        <v>2515</v>
      </c>
      <c r="F1011">
        <v>3</v>
      </c>
      <c r="G1011">
        <v>14</v>
      </c>
      <c r="H1011">
        <v>111</v>
      </c>
      <c r="I1011">
        <v>1</v>
      </c>
      <c r="J1011">
        <v>41.06</v>
      </c>
      <c r="K1011" t="s">
        <v>9</v>
      </c>
      <c r="L1011">
        <v>3536452.46</v>
      </c>
      <c r="M1011">
        <v>0</v>
      </c>
      <c r="N1011">
        <v>3536452.46</v>
      </c>
      <c r="O1011">
        <v>86128.895762299071</v>
      </c>
      <c r="P1011">
        <v>0</v>
      </c>
      <c r="Q1011">
        <v>3536452.46</v>
      </c>
      <c r="R1011">
        <v>86128.895762299071</v>
      </c>
      <c r="S1011" t="s">
        <v>65</v>
      </c>
      <c r="T1011" t="s">
        <v>717</v>
      </c>
      <c r="U1011" t="s">
        <v>717</v>
      </c>
      <c r="V1011" t="s">
        <v>4131</v>
      </c>
      <c r="W1011">
        <v>44636</v>
      </c>
      <c r="X1011" t="s">
        <v>6402</v>
      </c>
      <c r="Y1011" t="s">
        <v>6</v>
      </c>
      <c r="Z1011" t="s">
        <v>17</v>
      </c>
      <c r="AA1011" t="s">
        <v>717</v>
      </c>
      <c r="AB1011" t="s">
        <v>2509</v>
      </c>
      <c r="AC1011" t="s">
        <v>2571</v>
      </c>
      <c r="AD1011" t="s">
        <v>717</v>
      </c>
      <c r="AE1011" t="s">
        <v>6403</v>
      </c>
      <c r="AF1011" t="s">
        <v>6404</v>
      </c>
      <c r="AG1011" t="s">
        <v>6405</v>
      </c>
      <c r="AH1011" t="s">
        <v>2191</v>
      </c>
      <c r="AI1011" t="s">
        <v>2706</v>
      </c>
      <c r="AJ1011" t="s">
        <v>2514</v>
      </c>
      <c r="AK1011" t="s">
        <v>77</v>
      </c>
      <c r="AL1011" t="s">
        <v>575</v>
      </c>
      <c r="AM1011" t="s">
        <v>10</v>
      </c>
      <c r="AN1011" t="s">
        <v>717</v>
      </c>
    </row>
    <row r="1012" spans="1:40" hidden="1">
      <c r="A1012">
        <v>1010</v>
      </c>
      <c r="B1012">
        <v>72</v>
      </c>
      <c r="C1012" s="58">
        <v>44648</v>
      </c>
      <c r="D1012" t="s">
        <v>27</v>
      </c>
      <c r="E1012" t="s">
        <v>5079</v>
      </c>
      <c r="F1012">
        <v>2</v>
      </c>
      <c r="G1012">
        <v>17</v>
      </c>
      <c r="H1012">
        <v>768</v>
      </c>
      <c r="I1012">
        <v>4</v>
      </c>
      <c r="J1012">
        <v>100.26</v>
      </c>
      <c r="K1012" t="s">
        <v>9</v>
      </c>
      <c r="L1012">
        <v>6345064.3200000003</v>
      </c>
      <c r="M1012">
        <v>0</v>
      </c>
      <c r="N1012">
        <v>6345064.3200000003</v>
      </c>
      <c r="O1012">
        <v>63286.099341711553</v>
      </c>
      <c r="P1012">
        <v>0</v>
      </c>
      <c r="Q1012">
        <v>6345064.3200000003</v>
      </c>
      <c r="R1012">
        <v>63286.099341711553</v>
      </c>
      <c r="S1012" t="s">
        <v>65</v>
      </c>
      <c r="T1012" t="s">
        <v>6406</v>
      </c>
      <c r="U1012">
        <v>264377.63930400001</v>
      </c>
      <c r="V1012" t="s">
        <v>6312</v>
      </c>
      <c r="W1012">
        <v>44639</v>
      </c>
      <c r="X1012" t="s">
        <v>6407</v>
      </c>
      <c r="Y1012" t="s">
        <v>6</v>
      </c>
      <c r="Z1012" t="s">
        <v>17</v>
      </c>
      <c r="AA1012" t="s">
        <v>717</v>
      </c>
      <c r="AB1012" t="s">
        <v>2509</v>
      </c>
      <c r="AC1012" t="s">
        <v>2571</v>
      </c>
      <c r="AD1012" t="s">
        <v>717</v>
      </c>
      <c r="AE1012" t="s">
        <v>6408</v>
      </c>
      <c r="AF1012" t="s">
        <v>6409</v>
      </c>
      <c r="AG1012" t="s">
        <v>6410</v>
      </c>
      <c r="AH1012" t="s">
        <v>2191</v>
      </c>
      <c r="AI1012" t="s">
        <v>2552</v>
      </c>
      <c r="AJ1012" t="s">
        <v>2514</v>
      </c>
      <c r="AK1012" t="s">
        <v>77</v>
      </c>
      <c r="AL1012" t="s">
        <v>16</v>
      </c>
      <c r="AM1012" t="s">
        <v>10</v>
      </c>
      <c r="AN1012" t="s">
        <v>717</v>
      </c>
    </row>
    <row r="1013" spans="1:40" hidden="1">
      <c r="A1013">
        <v>1011</v>
      </c>
      <c r="B1013">
        <v>73</v>
      </c>
      <c r="C1013" s="58">
        <v>44649</v>
      </c>
      <c r="D1013" t="s">
        <v>27</v>
      </c>
      <c r="E1013" t="s">
        <v>2506</v>
      </c>
      <c r="F1013">
        <v>3</v>
      </c>
      <c r="G1013">
        <v>9</v>
      </c>
      <c r="I1013">
        <v>0</v>
      </c>
      <c r="J1013">
        <v>23.54</v>
      </c>
      <c r="K1013" t="s">
        <v>9</v>
      </c>
      <c r="L1013">
        <v>2441999.11</v>
      </c>
      <c r="M1013">
        <v>0</v>
      </c>
      <c r="N1013">
        <v>2441999.11</v>
      </c>
      <c r="O1013">
        <v>103738.27994902294</v>
      </c>
      <c r="P1013">
        <v>0</v>
      </c>
      <c r="Q1013">
        <v>2441999.11</v>
      </c>
      <c r="R1013">
        <v>103738.27994902294</v>
      </c>
      <c r="S1013" t="s">
        <v>65</v>
      </c>
      <c r="T1013" t="s">
        <v>717</v>
      </c>
      <c r="U1013" t="s">
        <v>717</v>
      </c>
      <c r="V1013" t="s">
        <v>4131</v>
      </c>
      <c r="W1013">
        <v>44638</v>
      </c>
      <c r="X1013" t="s">
        <v>6411</v>
      </c>
      <c r="Y1013" t="s">
        <v>2517</v>
      </c>
      <c r="Z1013" t="s">
        <v>17</v>
      </c>
      <c r="AA1013" t="s">
        <v>717</v>
      </c>
      <c r="AB1013" t="s">
        <v>2509</v>
      </c>
      <c r="AC1013" t="s">
        <v>2571</v>
      </c>
      <c r="AD1013">
        <v>44775</v>
      </c>
      <c r="AE1013" t="s">
        <v>6412</v>
      </c>
      <c r="AF1013" t="s">
        <v>6413</v>
      </c>
      <c r="AG1013" t="s">
        <v>6414</v>
      </c>
      <c r="AH1013" t="s">
        <v>2191</v>
      </c>
      <c r="AI1013" t="s">
        <v>3115</v>
      </c>
      <c r="AJ1013" t="s">
        <v>2514</v>
      </c>
      <c r="AK1013" t="s">
        <v>29</v>
      </c>
      <c r="AL1013" t="s">
        <v>575</v>
      </c>
      <c r="AM1013" t="s">
        <v>10</v>
      </c>
      <c r="AN1013" t="s">
        <v>717</v>
      </c>
    </row>
    <row r="1014" spans="1:40" hidden="1">
      <c r="A1014">
        <v>1012</v>
      </c>
      <c r="B1014">
        <v>74</v>
      </c>
      <c r="C1014" s="58">
        <v>44649</v>
      </c>
      <c r="D1014" t="s">
        <v>121</v>
      </c>
      <c r="E1014" t="s">
        <v>2506</v>
      </c>
      <c r="F1014">
        <v>10</v>
      </c>
      <c r="G1014">
        <v>15</v>
      </c>
      <c r="H1014">
        <v>314</v>
      </c>
      <c r="I1014">
        <v>0</v>
      </c>
      <c r="J1014">
        <v>25.91</v>
      </c>
      <c r="K1014" t="s">
        <v>15</v>
      </c>
      <c r="L1014">
        <v>2975020.66</v>
      </c>
      <c r="M1014">
        <v>0</v>
      </c>
      <c r="N1014">
        <v>2975020.66</v>
      </c>
      <c r="O1014">
        <v>114821.32998842146</v>
      </c>
      <c r="P1014">
        <v>142505.00000001211</v>
      </c>
      <c r="Q1014">
        <v>2832515.659999988</v>
      </c>
      <c r="R1014">
        <v>109321.329988421</v>
      </c>
      <c r="S1014" t="s">
        <v>65</v>
      </c>
      <c r="T1014" t="s">
        <v>717</v>
      </c>
      <c r="U1014" t="s">
        <v>717</v>
      </c>
      <c r="V1014" t="s">
        <v>4131</v>
      </c>
      <c r="W1014">
        <v>44649</v>
      </c>
      <c r="X1014" t="s">
        <v>6415</v>
      </c>
      <c r="Y1014" t="s">
        <v>6</v>
      </c>
      <c r="Z1014" t="s">
        <v>17</v>
      </c>
      <c r="AA1014" t="s">
        <v>5617</v>
      </c>
      <c r="AB1014" t="s">
        <v>2509</v>
      </c>
      <c r="AC1014" t="s">
        <v>3300</v>
      </c>
      <c r="AD1014" t="s">
        <v>717</v>
      </c>
      <c r="AE1014" t="s">
        <v>6416</v>
      </c>
      <c r="AF1014" t="s">
        <v>6417</v>
      </c>
      <c r="AG1014" t="s">
        <v>6418</v>
      </c>
      <c r="AH1014" t="s">
        <v>2552</v>
      </c>
      <c r="AI1014" t="s">
        <v>2547</v>
      </c>
      <c r="AJ1014" t="s">
        <v>2855</v>
      </c>
      <c r="AK1014" t="s">
        <v>471</v>
      </c>
      <c r="AL1014" t="s">
        <v>16</v>
      </c>
      <c r="AM1014" t="s">
        <v>10</v>
      </c>
      <c r="AN1014" t="s">
        <v>717</v>
      </c>
    </row>
    <row r="1015" spans="1:40" hidden="1">
      <c r="A1015">
        <v>1013</v>
      </c>
      <c r="B1015">
        <v>75</v>
      </c>
      <c r="C1015" s="58">
        <v>44650</v>
      </c>
      <c r="D1015" t="s">
        <v>27</v>
      </c>
      <c r="E1015" t="s">
        <v>2515</v>
      </c>
      <c r="F1015">
        <v>6</v>
      </c>
      <c r="G1015">
        <v>5</v>
      </c>
      <c r="H1015">
        <v>33</v>
      </c>
      <c r="I1015">
        <v>2</v>
      </c>
      <c r="J1015">
        <v>54.67</v>
      </c>
      <c r="K1015" t="s">
        <v>9</v>
      </c>
      <c r="L1015">
        <v>3889484.73</v>
      </c>
      <c r="M1015">
        <v>15000</v>
      </c>
      <c r="N1015">
        <v>3904484.73</v>
      </c>
      <c r="O1015">
        <v>71419.146332540695</v>
      </c>
      <c r="P1015">
        <v>0</v>
      </c>
      <c r="Q1015">
        <v>3904484.73</v>
      </c>
      <c r="R1015">
        <v>71419.146332540695</v>
      </c>
      <c r="S1015" t="s">
        <v>65</v>
      </c>
      <c r="T1015" t="s">
        <v>2664</v>
      </c>
      <c r="U1015">
        <v>79683.361911999993</v>
      </c>
      <c r="V1015" t="s">
        <v>6312</v>
      </c>
      <c r="W1015">
        <v>44616</v>
      </c>
      <c r="X1015" t="s">
        <v>6419</v>
      </c>
      <c r="Y1015" t="s">
        <v>6</v>
      </c>
      <c r="Z1015" t="s">
        <v>17</v>
      </c>
      <c r="AA1015" t="s">
        <v>717</v>
      </c>
      <c r="AB1015" t="s">
        <v>2509</v>
      </c>
      <c r="AC1015" t="s">
        <v>2571</v>
      </c>
      <c r="AD1015" t="s">
        <v>717</v>
      </c>
      <c r="AE1015" t="s">
        <v>6420</v>
      </c>
      <c r="AF1015" t="s">
        <v>6421</v>
      </c>
      <c r="AG1015" t="s">
        <v>6422</v>
      </c>
      <c r="AH1015" t="s">
        <v>2191</v>
      </c>
      <c r="AI1015" t="s">
        <v>2538</v>
      </c>
      <c r="AJ1015" t="s">
        <v>2514</v>
      </c>
      <c r="AK1015" t="s">
        <v>73</v>
      </c>
      <c r="AL1015" t="s">
        <v>16</v>
      </c>
      <c r="AM1015" t="s">
        <v>10</v>
      </c>
      <c r="AN1015" t="s">
        <v>717</v>
      </c>
    </row>
    <row r="1016" spans="1:40" hidden="1">
      <c r="A1016">
        <v>1014</v>
      </c>
      <c r="B1016">
        <v>76</v>
      </c>
      <c r="C1016" s="58">
        <v>44650</v>
      </c>
      <c r="D1016" t="s">
        <v>27</v>
      </c>
      <c r="E1016" t="s">
        <v>5079</v>
      </c>
      <c r="F1016">
        <v>6</v>
      </c>
      <c r="G1016">
        <v>23</v>
      </c>
      <c r="H1016">
        <v>820</v>
      </c>
      <c r="I1016">
        <v>1</v>
      </c>
      <c r="J1016">
        <v>38.909999999999997</v>
      </c>
      <c r="K1016" t="s">
        <v>9</v>
      </c>
      <c r="L1016">
        <v>4100314.4</v>
      </c>
      <c r="M1016">
        <v>0</v>
      </c>
      <c r="N1016">
        <v>4100314.4</v>
      </c>
      <c r="O1016">
        <v>105379.45001285015</v>
      </c>
      <c r="P1016">
        <v>0</v>
      </c>
      <c r="Q1016">
        <v>4100314.4</v>
      </c>
      <c r="R1016">
        <v>105379.45001285015</v>
      </c>
      <c r="S1016" t="s">
        <v>65</v>
      </c>
      <c r="T1016" t="s">
        <v>717</v>
      </c>
      <c r="U1016" t="s">
        <v>717</v>
      </c>
      <c r="V1016" t="s">
        <v>4131</v>
      </c>
      <c r="W1016">
        <v>44648</v>
      </c>
      <c r="X1016" t="s">
        <v>6423</v>
      </c>
      <c r="Y1016" t="s">
        <v>6</v>
      </c>
      <c r="Z1016" t="s">
        <v>11</v>
      </c>
      <c r="AA1016" t="s">
        <v>717</v>
      </c>
      <c r="AB1016" t="s">
        <v>2509</v>
      </c>
      <c r="AC1016" t="s">
        <v>2558</v>
      </c>
      <c r="AD1016" t="s">
        <v>717</v>
      </c>
      <c r="AE1016" t="s">
        <v>6424</v>
      </c>
      <c r="AF1016" t="s">
        <v>6425</v>
      </c>
      <c r="AG1016" t="s">
        <v>6426</v>
      </c>
      <c r="AH1016" t="s">
        <v>2191</v>
      </c>
      <c r="AI1016" t="s">
        <v>5653</v>
      </c>
      <c r="AJ1016" t="s">
        <v>31</v>
      </c>
      <c r="AK1016" t="s">
        <v>63</v>
      </c>
      <c r="AL1016" t="s">
        <v>16</v>
      </c>
      <c r="AM1016" t="s">
        <v>5654</v>
      </c>
      <c r="AN1016" t="s">
        <v>717</v>
      </c>
    </row>
    <row r="1017" spans="1:40" hidden="1">
      <c r="A1017">
        <v>1015</v>
      </c>
      <c r="B1017">
        <v>77</v>
      </c>
      <c r="C1017" s="58">
        <v>44650</v>
      </c>
      <c r="D1017" t="s">
        <v>27</v>
      </c>
      <c r="E1017" t="s">
        <v>5079</v>
      </c>
      <c r="F1017">
        <v>2</v>
      </c>
      <c r="G1017">
        <v>13</v>
      </c>
      <c r="H1017">
        <v>732</v>
      </c>
      <c r="I1017">
        <v>1</v>
      </c>
      <c r="J1017">
        <v>40.75</v>
      </c>
      <c r="K1017" t="s">
        <v>15</v>
      </c>
      <c r="L1017">
        <v>3994997.97</v>
      </c>
      <c r="M1017">
        <v>0</v>
      </c>
      <c r="N1017">
        <v>3994997.97</v>
      </c>
      <c r="O1017">
        <v>98036.760000000009</v>
      </c>
      <c r="P1017">
        <v>285250.00000000047</v>
      </c>
      <c r="Q1017">
        <v>3709747.97</v>
      </c>
      <c r="R1017">
        <v>91036.76</v>
      </c>
      <c r="S1017" t="s">
        <v>65</v>
      </c>
      <c r="T1017" t="s">
        <v>717</v>
      </c>
      <c r="U1017" t="s">
        <v>717</v>
      </c>
      <c r="V1017" t="s">
        <v>4131</v>
      </c>
      <c r="W1017">
        <v>44649</v>
      </c>
      <c r="X1017" t="s">
        <v>6427</v>
      </c>
      <c r="Y1017" t="s">
        <v>6</v>
      </c>
      <c r="Z1017" t="s">
        <v>17</v>
      </c>
      <c r="AA1017" t="s">
        <v>717</v>
      </c>
      <c r="AB1017" t="s">
        <v>2509</v>
      </c>
      <c r="AC1017" t="s">
        <v>2571</v>
      </c>
      <c r="AD1017" t="s">
        <v>717</v>
      </c>
      <c r="AE1017" t="s">
        <v>6428</v>
      </c>
      <c r="AF1017" t="s">
        <v>6429</v>
      </c>
      <c r="AG1017" t="s">
        <v>6430</v>
      </c>
      <c r="AH1017" t="s">
        <v>2615</v>
      </c>
      <c r="AI1017" t="s">
        <v>2552</v>
      </c>
      <c r="AJ1017" t="s">
        <v>2569</v>
      </c>
      <c r="AK1017" t="s">
        <v>73</v>
      </c>
      <c r="AL1017" t="s">
        <v>16</v>
      </c>
      <c r="AM1017" t="s">
        <v>10</v>
      </c>
      <c r="AN1017" t="s">
        <v>717</v>
      </c>
    </row>
    <row r="1018" spans="1:40" hidden="1">
      <c r="A1018">
        <v>1016</v>
      </c>
      <c r="B1018">
        <v>78</v>
      </c>
      <c r="C1018" s="58">
        <v>44651</v>
      </c>
      <c r="D1018" t="s">
        <v>27</v>
      </c>
      <c r="E1018" t="s">
        <v>5079</v>
      </c>
      <c r="F1018">
        <v>7</v>
      </c>
      <c r="G1018">
        <v>10</v>
      </c>
      <c r="H1018">
        <v>710</v>
      </c>
      <c r="I1018">
        <v>1</v>
      </c>
      <c r="J1018">
        <v>38.909999999999997</v>
      </c>
      <c r="K1018" t="s">
        <v>9</v>
      </c>
      <c r="L1018">
        <v>3760028.55</v>
      </c>
      <c r="M1018">
        <v>0</v>
      </c>
      <c r="N1018">
        <v>3760028.55</v>
      </c>
      <c r="O1018">
        <v>96633.989976869707</v>
      </c>
      <c r="P1018">
        <v>0</v>
      </c>
      <c r="Q1018">
        <v>3760028.55</v>
      </c>
      <c r="R1018">
        <v>96633.989976869707</v>
      </c>
      <c r="S1018" t="s">
        <v>65</v>
      </c>
      <c r="T1018" t="s">
        <v>717</v>
      </c>
      <c r="U1018" t="s">
        <v>717</v>
      </c>
      <c r="V1018" t="s">
        <v>4131</v>
      </c>
      <c r="W1018">
        <v>44648</v>
      </c>
      <c r="X1018" t="s">
        <v>6431</v>
      </c>
      <c r="Y1018" t="s">
        <v>6</v>
      </c>
      <c r="Z1018" t="s">
        <v>17</v>
      </c>
      <c r="AA1018" t="s">
        <v>717</v>
      </c>
      <c r="AB1018" t="s">
        <v>2509</v>
      </c>
      <c r="AC1018" t="s">
        <v>2571</v>
      </c>
      <c r="AD1018" t="s">
        <v>717</v>
      </c>
      <c r="AE1018" t="s">
        <v>6432</v>
      </c>
      <c r="AF1018" t="s">
        <v>6433</v>
      </c>
      <c r="AG1018" t="s">
        <v>6434</v>
      </c>
      <c r="AH1018" t="s">
        <v>2191</v>
      </c>
      <c r="AI1018" t="s">
        <v>2538</v>
      </c>
      <c r="AJ1018" t="s">
        <v>2514</v>
      </c>
      <c r="AK1018" t="s">
        <v>77</v>
      </c>
      <c r="AL1018" t="s">
        <v>16</v>
      </c>
      <c r="AM1018" t="s">
        <v>10</v>
      </c>
      <c r="AN1018" t="s">
        <v>717</v>
      </c>
    </row>
    <row r="1019" spans="1:40" hidden="1">
      <c r="A1019">
        <v>1017</v>
      </c>
      <c r="B1019">
        <v>79</v>
      </c>
      <c r="C1019" s="58">
        <v>44651</v>
      </c>
      <c r="D1019" t="s">
        <v>121</v>
      </c>
      <c r="E1019" t="s">
        <v>2515</v>
      </c>
      <c r="F1019">
        <v>6</v>
      </c>
      <c r="G1019">
        <v>24</v>
      </c>
      <c r="H1019">
        <v>160</v>
      </c>
      <c r="I1019">
        <v>2</v>
      </c>
      <c r="J1019">
        <v>59.96</v>
      </c>
      <c r="K1019" t="s">
        <v>25</v>
      </c>
      <c r="L1019">
        <v>6808293.1100000003</v>
      </c>
      <c r="M1019">
        <v>0</v>
      </c>
      <c r="N1019">
        <v>6808293.1100000003</v>
      </c>
      <c r="O1019">
        <v>113547.25</v>
      </c>
      <c r="P1019">
        <v>959360</v>
      </c>
      <c r="Q1019">
        <v>5848933.1100000003</v>
      </c>
      <c r="R1019">
        <v>97547.25</v>
      </c>
      <c r="S1019" t="s">
        <v>65</v>
      </c>
      <c r="T1019" t="s">
        <v>717</v>
      </c>
      <c r="U1019" t="s">
        <v>717</v>
      </c>
      <c r="V1019" t="s">
        <v>6312</v>
      </c>
      <c r="W1019">
        <v>44650</v>
      </c>
      <c r="X1019" t="s">
        <v>6435</v>
      </c>
      <c r="Y1019" t="s">
        <v>6</v>
      </c>
      <c r="Z1019" t="s">
        <v>17</v>
      </c>
      <c r="AA1019" t="s">
        <v>717</v>
      </c>
      <c r="AB1019" t="s">
        <v>2509</v>
      </c>
      <c r="AC1019" t="s">
        <v>2571</v>
      </c>
      <c r="AD1019" t="s">
        <v>717</v>
      </c>
      <c r="AE1019" t="s">
        <v>6436</v>
      </c>
      <c r="AF1019" t="s">
        <v>6437</v>
      </c>
      <c r="AG1019" t="s">
        <v>6438</v>
      </c>
      <c r="AH1019" t="s">
        <v>2191</v>
      </c>
      <c r="AI1019" t="s">
        <v>5653</v>
      </c>
      <c r="AJ1019" t="s">
        <v>31</v>
      </c>
      <c r="AK1019" t="s">
        <v>77</v>
      </c>
      <c r="AL1019" t="s">
        <v>16</v>
      </c>
      <c r="AM1019" t="s">
        <v>5654</v>
      </c>
      <c r="AN1019" t="s">
        <v>717</v>
      </c>
    </row>
    <row r="1020" spans="1:40" hidden="1">
      <c r="A1020">
        <v>1018</v>
      </c>
      <c r="B1020">
        <v>1</v>
      </c>
      <c r="C1020" s="58">
        <v>44657</v>
      </c>
      <c r="D1020" t="s">
        <v>27</v>
      </c>
      <c r="E1020" t="s">
        <v>2515</v>
      </c>
      <c r="F1020">
        <v>2</v>
      </c>
      <c r="G1020">
        <v>8</v>
      </c>
      <c r="H1020">
        <v>56</v>
      </c>
      <c r="I1020">
        <v>1</v>
      </c>
      <c r="J1020">
        <v>37.94</v>
      </c>
      <c r="K1020" t="s">
        <v>15</v>
      </c>
      <c r="L1020">
        <v>3720273.47</v>
      </c>
      <c r="M1020">
        <v>0</v>
      </c>
      <c r="N1020">
        <v>3720273.47</v>
      </c>
      <c r="O1020">
        <v>98056.759884027444</v>
      </c>
      <c r="P1020">
        <v>265580</v>
      </c>
      <c r="Q1020">
        <v>3454693.47</v>
      </c>
      <c r="R1020">
        <v>91056.759884027444</v>
      </c>
      <c r="S1020" t="s">
        <v>65</v>
      </c>
      <c r="T1020" t="s">
        <v>717</v>
      </c>
      <c r="U1020" t="s">
        <v>717</v>
      </c>
      <c r="V1020" t="s">
        <v>4131</v>
      </c>
      <c r="W1020">
        <v>44654</v>
      </c>
      <c r="X1020" t="s">
        <v>6439</v>
      </c>
      <c r="Y1020" t="s">
        <v>6</v>
      </c>
      <c r="Z1020" t="s">
        <v>17</v>
      </c>
      <c r="AA1020" t="s">
        <v>717</v>
      </c>
      <c r="AB1020" t="s">
        <v>2509</v>
      </c>
      <c r="AC1020" t="s">
        <v>2571</v>
      </c>
      <c r="AD1020" t="s">
        <v>717</v>
      </c>
      <c r="AE1020" t="s">
        <v>6440</v>
      </c>
      <c r="AF1020" t="s">
        <v>6441</v>
      </c>
      <c r="AG1020" t="s">
        <v>6442</v>
      </c>
      <c r="AH1020" t="s">
        <v>2615</v>
      </c>
      <c r="AI1020" t="s">
        <v>2552</v>
      </c>
      <c r="AJ1020" t="s">
        <v>2662</v>
      </c>
      <c r="AK1020" t="s">
        <v>77</v>
      </c>
      <c r="AL1020" t="s">
        <v>16</v>
      </c>
      <c r="AM1020" t="s">
        <v>10</v>
      </c>
      <c r="AN1020" t="s">
        <v>717</v>
      </c>
    </row>
    <row r="1021" spans="1:40" hidden="1">
      <c r="A1021">
        <v>1019</v>
      </c>
      <c r="B1021">
        <v>2</v>
      </c>
      <c r="C1021" s="58">
        <v>44662</v>
      </c>
      <c r="D1021" t="s">
        <v>27</v>
      </c>
      <c r="E1021" t="s">
        <v>2515</v>
      </c>
      <c r="F1021">
        <v>3</v>
      </c>
      <c r="G1021">
        <v>17</v>
      </c>
      <c r="H1021">
        <v>138</v>
      </c>
      <c r="I1021">
        <v>1</v>
      </c>
      <c r="J1021">
        <v>41.06</v>
      </c>
      <c r="K1021" t="s">
        <v>15</v>
      </c>
      <c r="L1021">
        <v>4111292.63</v>
      </c>
      <c r="M1021">
        <v>0</v>
      </c>
      <c r="N1021">
        <v>4111292.63</v>
      </c>
      <c r="O1021">
        <v>100128.8999025816</v>
      </c>
      <c r="P1021">
        <v>287419.99999999907</v>
      </c>
      <c r="Q1021">
        <v>3823872.6300000008</v>
      </c>
      <c r="R1021">
        <v>93128.899902581601</v>
      </c>
      <c r="S1021" t="s">
        <v>65</v>
      </c>
      <c r="T1021" t="s">
        <v>717</v>
      </c>
      <c r="U1021" t="s">
        <v>717</v>
      </c>
      <c r="V1021" t="s">
        <v>6312</v>
      </c>
      <c r="W1021">
        <v>44658</v>
      </c>
      <c r="X1021" t="s">
        <v>6443</v>
      </c>
      <c r="Y1021" t="s">
        <v>6</v>
      </c>
      <c r="Z1021" t="s">
        <v>17</v>
      </c>
      <c r="AA1021" t="s">
        <v>717</v>
      </c>
      <c r="AB1021" t="s">
        <v>2509</v>
      </c>
      <c r="AC1021" t="s">
        <v>2571</v>
      </c>
      <c r="AD1021" t="s">
        <v>717</v>
      </c>
      <c r="AE1021" t="s">
        <v>6444</v>
      </c>
      <c r="AF1021" t="s">
        <v>6445</v>
      </c>
      <c r="AG1021" t="s">
        <v>6446</v>
      </c>
      <c r="AH1021" t="s">
        <v>2191</v>
      </c>
      <c r="AI1021" t="s">
        <v>2538</v>
      </c>
      <c r="AJ1021" t="s">
        <v>2514</v>
      </c>
      <c r="AK1021" t="s">
        <v>77</v>
      </c>
      <c r="AL1021" t="s">
        <v>16</v>
      </c>
      <c r="AM1021" t="s">
        <v>10</v>
      </c>
      <c r="AN1021" t="s">
        <v>717</v>
      </c>
    </row>
    <row r="1022" spans="1:40" hidden="1">
      <c r="A1022">
        <v>1020</v>
      </c>
      <c r="B1022">
        <v>3</v>
      </c>
      <c r="C1022" s="58">
        <v>44677</v>
      </c>
      <c r="D1022" t="s">
        <v>27</v>
      </c>
      <c r="E1022" t="s">
        <v>2515</v>
      </c>
      <c r="F1022">
        <v>6</v>
      </c>
      <c r="G1022">
        <v>10</v>
      </c>
      <c r="H1022">
        <v>78</v>
      </c>
      <c r="I1022">
        <v>2</v>
      </c>
      <c r="J1022">
        <v>54.67</v>
      </c>
      <c r="K1022" t="s">
        <v>9</v>
      </c>
      <c r="L1022">
        <v>4109940.79</v>
      </c>
      <c r="M1022">
        <v>0</v>
      </c>
      <c r="N1022">
        <v>4109940.79</v>
      </c>
      <c r="O1022">
        <v>75177.259740259746</v>
      </c>
      <c r="P1022">
        <v>0</v>
      </c>
      <c r="Q1022">
        <v>4109940.79</v>
      </c>
      <c r="R1022">
        <v>75177.259740259746</v>
      </c>
      <c r="S1022" t="s">
        <v>65</v>
      </c>
      <c r="T1022" t="s">
        <v>6447</v>
      </c>
      <c r="U1022">
        <v>300000</v>
      </c>
      <c r="V1022" t="s">
        <v>6312</v>
      </c>
      <c r="W1022">
        <v>44670</v>
      </c>
      <c r="X1022" t="s">
        <v>6448</v>
      </c>
      <c r="Y1022" t="s">
        <v>6</v>
      </c>
      <c r="Z1022" t="s">
        <v>17</v>
      </c>
      <c r="AA1022" t="s">
        <v>717</v>
      </c>
      <c r="AB1022" t="s">
        <v>2509</v>
      </c>
      <c r="AC1022" t="s">
        <v>2576</v>
      </c>
      <c r="AD1022" t="s">
        <v>717</v>
      </c>
      <c r="AE1022" t="s">
        <v>6449</v>
      </c>
      <c r="AF1022" t="s">
        <v>6450</v>
      </c>
      <c r="AG1022" t="s">
        <v>6451</v>
      </c>
      <c r="AH1022" t="s">
        <v>2615</v>
      </c>
      <c r="AI1022" t="s">
        <v>2552</v>
      </c>
      <c r="AJ1022" t="s">
        <v>2569</v>
      </c>
      <c r="AK1022" t="s">
        <v>63</v>
      </c>
      <c r="AL1022" t="s">
        <v>575</v>
      </c>
      <c r="AM1022" t="s">
        <v>10</v>
      </c>
      <c r="AN1022" t="s">
        <v>717</v>
      </c>
    </row>
    <row r="1023" spans="1:40" hidden="1">
      <c r="A1023">
        <v>1021</v>
      </c>
      <c r="B1023">
        <v>4</v>
      </c>
      <c r="C1023" s="58">
        <v>44678</v>
      </c>
      <c r="D1023" t="s">
        <v>27</v>
      </c>
      <c r="E1023" t="s">
        <v>2506</v>
      </c>
      <c r="F1023">
        <v>7</v>
      </c>
      <c r="G1023">
        <v>10</v>
      </c>
      <c r="H1023">
        <v>278</v>
      </c>
      <c r="I1023">
        <v>2</v>
      </c>
      <c r="J1023">
        <v>59.93</v>
      </c>
      <c r="K1023" t="s">
        <v>15</v>
      </c>
      <c r="L1023">
        <v>5159493.55</v>
      </c>
      <c r="M1023">
        <v>0</v>
      </c>
      <c r="N1023">
        <v>5159493.55</v>
      </c>
      <c r="O1023">
        <v>86091.99983313866</v>
      </c>
      <c r="P1023">
        <v>419509.99999999721</v>
      </c>
      <c r="Q1023">
        <v>4739983.5500000026</v>
      </c>
      <c r="R1023">
        <v>79091.999833138703</v>
      </c>
      <c r="S1023" t="s">
        <v>2507</v>
      </c>
      <c r="T1023" t="s">
        <v>6447</v>
      </c>
      <c r="U1023">
        <v>300000</v>
      </c>
      <c r="V1023" t="s">
        <v>717</v>
      </c>
      <c r="W1023">
        <v>44671</v>
      </c>
      <c r="X1023" t="s">
        <v>6452</v>
      </c>
      <c r="Y1023" t="s">
        <v>6</v>
      </c>
      <c r="Z1023" t="s">
        <v>11</v>
      </c>
      <c r="AA1023" t="s">
        <v>717</v>
      </c>
      <c r="AB1023" t="s">
        <v>2509</v>
      </c>
      <c r="AC1023" t="s">
        <v>118</v>
      </c>
      <c r="AD1023" t="s">
        <v>717</v>
      </c>
      <c r="AE1023" t="s">
        <v>6453</v>
      </c>
      <c r="AF1023" t="s">
        <v>6454</v>
      </c>
      <c r="AG1023" t="s">
        <v>6455</v>
      </c>
      <c r="AH1023" t="s">
        <v>2615</v>
      </c>
      <c r="AI1023" t="s">
        <v>2847</v>
      </c>
      <c r="AJ1023" t="s">
        <v>2940</v>
      </c>
      <c r="AK1023" t="s">
        <v>73</v>
      </c>
      <c r="AL1023" t="s">
        <v>717</v>
      </c>
      <c r="AM1023" t="s">
        <v>10</v>
      </c>
      <c r="AN1023" t="s">
        <v>717</v>
      </c>
    </row>
    <row r="1024" spans="1:40" hidden="1">
      <c r="A1024">
        <v>1022</v>
      </c>
      <c r="B1024">
        <v>5</v>
      </c>
      <c r="C1024" s="58">
        <v>44680</v>
      </c>
      <c r="D1024" t="s">
        <v>27</v>
      </c>
      <c r="E1024" t="s">
        <v>2506</v>
      </c>
      <c r="F1024">
        <v>4</v>
      </c>
      <c r="G1024">
        <v>5</v>
      </c>
      <c r="H1024">
        <v>235</v>
      </c>
      <c r="I1024">
        <v>1</v>
      </c>
      <c r="J1024">
        <v>40</v>
      </c>
      <c r="K1024" t="s">
        <v>15</v>
      </c>
      <c r="L1024">
        <v>3995051.2</v>
      </c>
      <c r="M1024">
        <v>0</v>
      </c>
      <c r="N1024">
        <v>3995051.2</v>
      </c>
      <c r="O1024">
        <v>99876.28</v>
      </c>
      <c r="P1024">
        <v>280000</v>
      </c>
      <c r="Q1024">
        <v>3715051.2</v>
      </c>
      <c r="R1024">
        <v>92876.28</v>
      </c>
      <c r="S1024" t="s">
        <v>130</v>
      </c>
      <c r="T1024" t="s">
        <v>6447</v>
      </c>
      <c r="U1024">
        <v>150000</v>
      </c>
      <c r="V1024" t="s">
        <v>717</v>
      </c>
      <c r="W1024">
        <v>44678</v>
      </c>
      <c r="X1024" t="s">
        <v>6456</v>
      </c>
      <c r="Y1024" t="s">
        <v>6</v>
      </c>
      <c r="Z1024" t="s">
        <v>11</v>
      </c>
      <c r="AA1024" t="s">
        <v>717</v>
      </c>
      <c r="AB1024" t="s">
        <v>2509</v>
      </c>
      <c r="AC1024" t="s">
        <v>118</v>
      </c>
      <c r="AD1024" t="s">
        <v>717</v>
      </c>
      <c r="AE1024" t="s">
        <v>6457</v>
      </c>
      <c r="AF1024" t="s">
        <v>6458</v>
      </c>
      <c r="AG1024" t="s">
        <v>6459</v>
      </c>
      <c r="AH1024" t="s">
        <v>2191</v>
      </c>
      <c r="AI1024" t="s">
        <v>5653</v>
      </c>
      <c r="AJ1024" t="s">
        <v>31</v>
      </c>
      <c r="AK1024" t="s">
        <v>73</v>
      </c>
      <c r="AL1024" t="s">
        <v>717</v>
      </c>
      <c r="AM1024" t="s">
        <v>5654</v>
      </c>
      <c r="AN1024" t="s">
        <v>717</v>
      </c>
    </row>
    <row r="1025" spans="1:40" hidden="1">
      <c r="A1025">
        <v>1023</v>
      </c>
      <c r="B1025">
        <v>6</v>
      </c>
      <c r="C1025" s="58">
        <v>44680</v>
      </c>
      <c r="D1025" t="s">
        <v>27</v>
      </c>
      <c r="E1025" t="s">
        <v>2506</v>
      </c>
      <c r="F1025">
        <v>7</v>
      </c>
      <c r="G1025">
        <v>3</v>
      </c>
      <c r="H1025">
        <v>222</v>
      </c>
      <c r="I1025">
        <v>2</v>
      </c>
      <c r="J1025">
        <v>59.93</v>
      </c>
      <c r="K1025" t="s">
        <v>9</v>
      </c>
      <c r="L1025">
        <v>4813431.96</v>
      </c>
      <c r="M1025">
        <v>0</v>
      </c>
      <c r="N1025">
        <v>4813431.96</v>
      </c>
      <c r="O1025">
        <v>80317.569831470042</v>
      </c>
      <c r="P1025">
        <v>0</v>
      </c>
      <c r="Q1025">
        <v>4813431.96</v>
      </c>
      <c r="R1025">
        <v>80317.569831470042</v>
      </c>
      <c r="S1025" t="s">
        <v>65</v>
      </c>
      <c r="T1025" t="s">
        <v>6447</v>
      </c>
      <c r="U1025">
        <v>300000</v>
      </c>
      <c r="V1025" t="s">
        <v>6312</v>
      </c>
      <c r="W1025">
        <v>44680</v>
      </c>
      <c r="X1025" t="s">
        <v>6460</v>
      </c>
      <c r="Y1025" t="s">
        <v>6</v>
      </c>
      <c r="Z1025" t="s">
        <v>17</v>
      </c>
      <c r="AA1025" t="s">
        <v>717</v>
      </c>
      <c r="AB1025" t="s">
        <v>2509</v>
      </c>
      <c r="AC1025" t="s">
        <v>2571</v>
      </c>
      <c r="AD1025" t="s">
        <v>717</v>
      </c>
      <c r="AE1025" t="s">
        <v>6461</v>
      </c>
      <c r="AF1025" t="s">
        <v>6462</v>
      </c>
      <c r="AG1025" t="s">
        <v>6463</v>
      </c>
      <c r="AH1025" t="s">
        <v>65</v>
      </c>
      <c r="AI1025" t="s">
        <v>5056</v>
      </c>
      <c r="AJ1025" t="s">
        <v>6169</v>
      </c>
      <c r="AK1025" t="s">
        <v>73</v>
      </c>
      <c r="AL1025" t="s">
        <v>575</v>
      </c>
      <c r="AM1025" t="s">
        <v>10</v>
      </c>
      <c r="AN1025" t="s">
        <v>717</v>
      </c>
    </row>
    <row r="1026" spans="1:40" hidden="1">
      <c r="A1026">
        <v>1024</v>
      </c>
      <c r="B1026">
        <v>1</v>
      </c>
      <c r="C1026" s="58">
        <v>44692</v>
      </c>
      <c r="D1026" t="s">
        <v>27</v>
      </c>
      <c r="E1026" t="s">
        <v>4409</v>
      </c>
      <c r="F1026">
        <v>1</v>
      </c>
      <c r="G1026">
        <v>5</v>
      </c>
      <c r="H1026">
        <v>536</v>
      </c>
      <c r="I1026">
        <v>3</v>
      </c>
      <c r="J1026">
        <v>82.27</v>
      </c>
      <c r="K1026" t="s">
        <v>9</v>
      </c>
      <c r="L1026">
        <v>5272137.66</v>
      </c>
      <c r="M1026">
        <v>0</v>
      </c>
      <c r="N1026">
        <v>5272137.66</v>
      </c>
      <c r="O1026">
        <v>64083.355536647628</v>
      </c>
      <c r="P1026">
        <v>0</v>
      </c>
      <c r="Q1026">
        <v>5272137.66</v>
      </c>
      <c r="R1026">
        <v>64083.355536647628</v>
      </c>
      <c r="S1026" t="s">
        <v>65</v>
      </c>
      <c r="T1026" t="s">
        <v>6447</v>
      </c>
      <c r="U1026">
        <v>550000</v>
      </c>
      <c r="V1026" t="s">
        <v>6312</v>
      </c>
      <c r="W1026">
        <v>44683</v>
      </c>
      <c r="X1026" t="s">
        <v>6464</v>
      </c>
      <c r="Y1026" t="s">
        <v>6</v>
      </c>
      <c r="Z1026" t="s">
        <v>17</v>
      </c>
      <c r="AA1026" t="s">
        <v>717</v>
      </c>
      <c r="AB1026" t="s">
        <v>2509</v>
      </c>
      <c r="AC1026" t="s">
        <v>2571</v>
      </c>
      <c r="AD1026" t="s">
        <v>717</v>
      </c>
      <c r="AE1026" t="s">
        <v>1032</v>
      </c>
      <c r="AF1026" t="s">
        <v>6465</v>
      </c>
      <c r="AG1026" t="s">
        <v>6466</v>
      </c>
      <c r="AH1026" t="s">
        <v>2615</v>
      </c>
      <c r="AI1026" t="s">
        <v>2538</v>
      </c>
      <c r="AJ1026" t="s">
        <v>2662</v>
      </c>
      <c r="AK1026" t="s">
        <v>73</v>
      </c>
      <c r="AL1026" t="s">
        <v>16</v>
      </c>
      <c r="AM1026" t="s">
        <v>10</v>
      </c>
      <c r="AN1026" t="s">
        <v>717</v>
      </c>
    </row>
    <row r="1027" spans="1:40" hidden="1">
      <c r="A1027">
        <v>1025</v>
      </c>
      <c r="B1027">
        <v>1</v>
      </c>
      <c r="C1027" s="58">
        <v>44718</v>
      </c>
      <c r="D1027" t="s">
        <v>27</v>
      </c>
      <c r="E1027" t="s">
        <v>2506</v>
      </c>
      <c r="F1027">
        <v>5</v>
      </c>
      <c r="G1027">
        <v>22</v>
      </c>
      <c r="H1027">
        <v>372</v>
      </c>
      <c r="I1027">
        <v>0</v>
      </c>
      <c r="J1027">
        <v>23.63</v>
      </c>
      <c r="K1027" t="s">
        <v>9</v>
      </c>
      <c r="L1027">
        <v>2205480.7000000002</v>
      </c>
      <c r="M1027">
        <v>0</v>
      </c>
      <c r="N1027">
        <v>2205480.7000000002</v>
      </c>
      <c r="O1027">
        <v>93333.927211172253</v>
      </c>
      <c r="P1027">
        <v>0</v>
      </c>
      <c r="Q1027">
        <v>2205480.7000000002</v>
      </c>
      <c r="R1027">
        <v>93333.927211172253</v>
      </c>
      <c r="S1027" t="s">
        <v>65</v>
      </c>
      <c r="T1027" t="s">
        <v>717</v>
      </c>
      <c r="U1027" t="s">
        <v>717</v>
      </c>
      <c r="V1027" t="s">
        <v>6312</v>
      </c>
      <c r="W1027">
        <v>44715</v>
      </c>
      <c r="X1027" t="s">
        <v>6467</v>
      </c>
      <c r="Y1027" t="s">
        <v>6</v>
      </c>
      <c r="Z1027" t="s">
        <v>17</v>
      </c>
      <c r="AA1027" t="s">
        <v>717</v>
      </c>
      <c r="AB1027" t="s">
        <v>2509</v>
      </c>
      <c r="AC1027" t="s">
        <v>2571</v>
      </c>
      <c r="AD1027" t="s">
        <v>717</v>
      </c>
      <c r="AE1027" t="s">
        <v>6468</v>
      </c>
      <c r="AF1027" t="s">
        <v>6469</v>
      </c>
      <c r="AG1027" t="s">
        <v>6470</v>
      </c>
      <c r="AH1027" t="s">
        <v>2191</v>
      </c>
      <c r="AI1027" t="s">
        <v>2538</v>
      </c>
      <c r="AJ1027" t="s">
        <v>2514</v>
      </c>
      <c r="AK1027" t="s">
        <v>73</v>
      </c>
      <c r="AL1027" t="s">
        <v>16</v>
      </c>
      <c r="AM1027" t="s">
        <v>10</v>
      </c>
      <c r="AN1027" t="s">
        <v>717</v>
      </c>
    </row>
    <row r="1028" spans="1:40" hidden="1">
      <c r="A1028">
        <v>1026</v>
      </c>
      <c r="B1028">
        <v>2</v>
      </c>
      <c r="C1028" s="58">
        <v>44720</v>
      </c>
      <c r="D1028" t="s">
        <v>27</v>
      </c>
      <c r="E1028" t="s">
        <v>5079</v>
      </c>
      <c r="F1028">
        <v>6</v>
      </c>
      <c r="G1028">
        <v>8</v>
      </c>
      <c r="H1028">
        <v>691</v>
      </c>
      <c r="I1028">
        <v>2</v>
      </c>
      <c r="J1028">
        <v>61.95</v>
      </c>
      <c r="K1028" t="s">
        <v>9</v>
      </c>
      <c r="L1028">
        <v>4361295.49</v>
      </c>
      <c r="M1028">
        <v>0</v>
      </c>
      <c r="N1028">
        <v>4361295.49</v>
      </c>
      <c r="O1028">
        <v>70400.250040355124</v>
      </c>
      <c r="P1028">
        <v>0</v>
      </c>
      <c r="Q1028">
        <v>4361295.49</v>
      </c>
      <c r="R1028">
        <v>70400.250040355124</v>
      </c>
      <c r="S1028" t="s">
        <v>65</v>
      </c>
      <c r="T1028" t="s">
        <v>717</v>
      </c>
      <c r="U1028" t="s">
        <v>717</v>
      </c>
      <c r="V1028" t="s">
        <v>6312</v>
      </c>
      <c r="W1028">
        <v>44718</v>
      </c>
      <c r="X1028" t="s">
        <v>6471</v>
      </c>
      <c r="Y1028" t="s">
        <v>6</v>
      </c>
      <c r="Z1028" t="s">
        <v>11</v>
      </c>
      <c r="AA1028" t="s">
        <v>717</v>
      </c>
      <c r="AB1028" t="s">
        <v>2509</v>
      </c>
      <c r="AC1028" t="s">
        <v>2564</v>
      </c>
      <c r="AD1028" t="s">
        <v>717</v>
      </c>
      <c r="AE1028" t="s">
        <v>6472</v>
      </c>
      <c r="AF1028" t="s">
        <v>6473</v>
      </c>
      <c r="AG1028" t="s">
        <v>6474</v>
      </c>
      <c r="AH1028" t="s">
        <v>2191</v>
      </c>
      <c r="AI1028" t="s">
        <v>2538</v>
      </c>
      <c r="AJ1028" t="s">
        <v>2514</v>
      </c>
      <c r="AK1028" t="s">
        <v>73</v>
      </c>
      <c r="AL1028" t="s">
        <v>16</v>
      </c>
      <c r="AM1028" t="s">
        <v>10</v>
      </c>
      <c r="AN1028" t="s">
        <v>717</v>
      </c>
    </row>
    <row r="1029" spans="1:40" hidden="1">
      <c r="A1029">
        <v>1027</v>
      </c>
      <c r="B1029">
        <v>3</v>
      </c>
      <c r="C1029" s="58">
        <v>44722</v>
      </c>
      <c r="D1029" t="s">
        <v>121</v>
      </c>
      <c r="E1029" t="s">
        <v>2515</v>
      </c>
      <c r="F1029">
        <v>3</v>
      </c>
      <c r="G1029">
        <v>2</v>
      </c>
      <c r="H1029">
        <v>3</v>
      </c>
      <c r="I1029">
        <v>3</v>
      </c>
      <c r="J1029">
        <v>78.7</v>
      </c>
      <c r="K1029" t="s">
        <v>9</v>
      </c>
      <c r="L1029">
        <v>7033525.4500000002</v>
      </c>
      <c r="M1029">
        <v>0</v>
      </c>
      <c r="N1029">
        <v>7033525.4500000002</v>
      </c>
      <c r="O1029">
        <v>89371.352604828455</v>
      </c>
      <c r="P1029">
        <v>0</v>
      </c>
      <c r="Q1029">
        <v>7033525.4500000002</v>
      </c>
      <c r="R1029">
        <v>89371.352604828455</v>
      </c>
      <c r="S1029" t="s">
        <v>2507</v>
      </c>
      <c r="T1029" t="s">
        <v>717</v>
      </c>
      <c r="U1029" t="s">
        <v>717</v>
      </c>
      <c r="V1029" t="s">
        <v>717</v>
      </c>
      <c r="W1029">
        <v>44714</v>
      </c>
      <c r="X1029" t="s">
        <v>6475</v>
      </c>
      <c r="Y1029" t="s">
        <v>6</v>
      </c>
      <c r="Z1029" t="s">
        <v>11</v>
      </c>
      <c r="AA1029" t="s">
        <v>717</v>
      </c>
      <c r="AB1029" t="s">
        <v>326</v>
      </c>
      <c r="AC1029" t="s">
        <v>717</v>
      </c>
      <c r="AD1029" t="s">
        <v>717</v>
      </c>
      <c r="AE1029" t="s">
        <v>6476</v>
      </c>
      <c r="AF1029" t="s">
        <v>6477</v>
      </c>
      <c r="AG1029" t="s">
        <v>6478</v>
      </c>
      <c r="AH1029" t="s">
        <v>2191</v>
      </c>
      <c r="AI1029" t="s">
        <v>2802</v>
      </c>
      <c r="AJ1029" t="s">
        <v>5785</v>
      </c>
      <c r="AK1029" t="s">
        <v>29</v>
      </c>
      <c r="AL1029" t="s">
        <v>717</v>
      </c>
      <c r="AM1029" t="s">
        <v>10</v>
      </c>
      <c r="AN1029" t="s">
        <v>717</v>
      </c>
    </row>
    <row r="1030" spans="1:40" hidden="1">
      <c r="A1030">
        <v>1028</v>
      </c>
      <c r="B1030">
        <v>4</v>
      </c>
      <c r="C1030" s="58">
        <v>44722</v>
      </c>
      <c r="D1030" t="s">
        <v>121</v>
      </c>
      <c r="E1030" t="s">
        <v>2506</v>
      </c>
      <c r="F1030">
        <v>3</v>
      </c>
      <c r="G1030">
        <v>2</v>
      </c>
      <c r="H1030">
        <v>164</v>
      </c>
      <c r="I1030">
        <v>3</v>
      </c>
      <c r="J1030">
        <v>88.8</v>
      </c>
      <c r="K1030" t="s">
        <v>9</v>
      </c>
      <c r="L1030">
        <v>7995188.6600000001</v>
      </c>
      <c r="M1030">
        <v>0</v>
      </c>
      <c r="N1030">
        <v>7995188.6600000001</v>
      </c>
      <c r="O1030">
        <v>90035.90833333334</v>
      </c>
      <c r="P1030">
        <v>0</v>
      </c>
      <c r="Q1030">
        <v>7995188.6600000001</v>
      </c>
      <c r="R1030">
        <v>90035.90833333334</v>
      </c>
      <c r="S1030" t="s">
        <v>2507</v>
      </c>
      <c r="T1030" t="s">
        <v>717</v>
      </c>
      <c r="U1030" t="s">
        <v>717</v>
      </c>
      <c r="V1030" t="s">
        <v>717</v>
      </c>
      <c r="W1030">
        <v>44714</v>
      </c>
      <c r="X1030" t="s">
        <v>6479</v>
      </c>
      <c r="Y1030" t="s">
        <v>6</v>
      </c>
      <c r="Z1030" t="s">
        <v>11</v>
      </c>
      <c r="AA1030" t="s">
        <v>717</v>
      </c>
      <c r="AB1030" t="s">
        <v>326</v>
      </c>
      <c r="AC1030" t="s">
        <v>717</v>
      </c>
      <c r="AD1030" t="s">
        <v>717</v>
      </c>
      <c r="AE1030" t="s">
        <v>6476</v>
      </c>
      <c r="AF1030" t="s">
        <v>6477</v>
      </c>
      <c r="AG1030" t="s">
        <v>6478</v>
      </c>
      <c r="AH1030" t="s">
        <v>2580</v>
      </c>
      <c r="AI1030" t="s">
        <v>2802</v>
      </c>
      <c r="AJ1030" t="s">
        <v>5785</v>
      </c>
      <c r="AK1030" t="s">
        <v>29</v>
      </c>
      <c r="AL1030" t="s">
        <v>717</v>
      </c>
      <c r="AM1030" t="s">
        <v>10</v>
      </c>
      <c r="AN1030" t="s">
        <v>717</v>
      </c>
    </row>
    <row r="1031" spans="1:40" hidden="1">
      <c r="A1031">
        <v>1029</v>
      </c>
      <c r="B1031">
        <v>5</v>
      </c>
      <c r="C1031" s="58">
        <v>44722</v>
      </c>
      <c r="D1031" t="s">
        <v>27</v>
      </c>
      <c r="E1031" t="s">
        <v>2515</v>
      </c>
      <c r="F1031">
        <v>1</v>
      </c>
      <c r="G1031">
        <v>8</v>
      </c>
      <c r="H1031">
        <v>55</v>
      </c>
      <c r="I1031">
        <v>3</v>
      </c>
      <c r="J1031">
        <v>82.71</v>
      </c>
      <c r="K1031" t="s">
        <v>15</v>
      </c>
      <c r="L1031">
        <v>5894364.54</v>
      </c>
      <c r="M1031">
        <v>0</v>
      </c>
      <c r="N1031">
        <v>5894364.54</v>
      </c>
      <c r="O1031">
        <v>71265.439970982959</v>
      </c>
      <c r="P1031">
        <v>578970</v>
      </c>
      <c r="Q1031">
        <v>5315394.54</v>
      </c>
      <c r="R1031">
        <v>64265.439970982959</v>
      </c>
      <c r="S1031" t="s">
        <v>65</v>
      </c>
      <c r="T1031" t="s">
        <v>5443</v>
      </c>
      <c r="U1031">
        <v>578970</v>
      </c>
      <c r="V1031" t="s">
        <v>6312</v>
      </c>
      <c r="W1031">
        <v>44714</v>
      </c>
      <c r="X1031" t="s">
        <v>6480</v>
      </c>
      <c r="Y1031" t="s">
        <v>6</v>
      </c>
      <c r="Z1031" t="s">
        <v>17</v>
      </c>
      <c r="AA1031" t="s">
        <v>717</v>
      </c>
      <c r="AB1031" t="s">
        <v>2509</v>
      </c>
      <c r="AC1031" t="s">
        <v>2571</v>
      </c>
      <c r="AD1031" t="s">
        <v>717</v>
      </c>
      <c r="AE1031" t="s">
        <v>6481</v>
      </c>
      <c r="AF1031" t="s">
        <v>6482</v>
      </c>
      <c r="AG1031" t="s">
        <v>6483</v>
      </c>
      <c r="AH1031" t="s">
        <v>2191</v>
      </c>
      <c r="AI1031" t="s">
        <v>2538</v>
      </c>
      <c r="AJ1031" t="s">
        <v>2514</v>
      </c>
      <c r="AK1031" t="s">
        <v>63</v>
      </c>
      <c r="AL1031" t="s">
        <v>16</v>
      </c>
      <c r="AM1031" t="s">
        <v>10</v>
      </c>
      <c r="AN1031" t="s">
        <v>717</v>
      </c>
    </row>
    <row r="1032" spans="1:40" hidden="1">
      <c r="A1032">
        <v>1030</v>
      </c>
      <c r="B1032">
        <v>6</v>
      </c>
      <c r="C1032" s="58">
        <v>44722</v>
      </c>
      <c r="D1032" t="s">
        <v>121</v>
      </c>
      <c r="E1032" t="s">
        <v>2515</v>
      </c>
      <c r="F1032">
        <v>3</v>
      </c>
      <c r="G1032">
        <v>24</v>
      </c>
      <c r="H1032">
        <v>157</v>
      </c>
      <c r="I1032">
        <v>3</v>
      </c>
      <c r="J1032">
        <v>78.900000000000006</v>
      </c>
      <c r="K1032" t="s">
        <v>9</v>
      </c>
      <c r="L1032">
        <v>7051399.29</v>
      </c>
      <c r="M1032">
        <v>0</v>
      </c>
      <c r="N1032">
        <v>7051399.29</v>
      </c>
      <c r="O1032">
        <v>89371.347148288973</v>
      </c>
      <c r="P1032">
        <v>0</v>
      </c>
      <c r="Q1032">
        <v>7051399.29</v>
      </c>
      <c r="R1032">
        <v>89371.347148288973</v>
      </c>
      <c r="S1032" t="s">
        <v>2507</v>
      </c>
      <c r="T1032" t="s">
        <v>717</v>
      </c>
      <c r="U1032" t="s">
        <v>717</v>
      </c>
      <c r="V1032" t="s">
        <v>717</v>
      </c>
      <c r="W1032">
        <v>44722</v>
      </c>
      <c r="X1032" t="s">
        <v>6484</v>
      </c>
      <c r="Y1032" t="s">
        <v>6</v>
      </c>
      <c r="Z1032" t="s">
        <v>11</v>
      </c>
      <c r="AA1032" t="s">
        <v>717</v>
      </c>
      <c r="AB1032" t="s">
        <v>326</v>
      </c>
      <c r="AC1032" t="s">
        <v>717</v>
      </c>
      <c r="AD1032" t="s">
        <v>717</v>
      </c>
      <c r="AE1032" t="s">
        <v>6476</v>
      </c>
      <c r="AF1032" t="s">
        <v>6477</v>
      </c>
      <c r="AG1032" t="s">
        <v>6478</v>
      </c>
      <c r="AH1032" t="s">
        <v>2580</v>
      </c>
      <c r="AI1032" t="s">
        <v>2802</v>
      </c>
      <c r="AJ1032" t="s">
        <v>5785</v>
      </c>
      <c r="AK1032" t="s">
        <v>29</v>
      </c>
      <c r="AL1032" t="s">
        <v>717</v>
      </c>
      <c r="AM1032" t="s">
        <v>10</v>
      </c>
      <c r="AN1032" t="s">
        <v>717</v>
      </c>
    </row>
    <row r="1033" spans="1:40" hidden="1">
      <c r="A1033">
        <v>1031</v>
      </c>
      <c r="B1033">
        <v>7</v>
      </c>
      <c r="C1033" s="58">
        <v>44722</v>
      </c>
      <c r="D1033" t="s">
        <v>121</v>
      </c>
      <c r="E1033" t="s">
        <v>2515</v>
      </c>
      <c r="F1033">
        <v>7</v>
      </c>
      <c r="G1033">
        <v>24</v>
      </c>
      <c r="H1033">
        <v>161</v>
      </c>
      <c r="I1033">
        <v>2</v>
      </c>
      <c r="J1033">
        <v>59.6</v>
      </c>
      <c r="K1033" t="s">
        <v>9</v>
      </c>
      <c r="L1033">
        <v>5880965.0800000001</v>
      </c>
      <c r="M1033">
        <v>0</v>
      </c>
      <c r="N1033">
        <v>5880965.0800000001</v>
      </c>
      <c r="O1033">
        <v>98673.910738255028</v>
      </c>
      <c r="P1033">
        <v>0</v>
      </c>
      <c r="Q1033">
        <v>5880965.0800000001</v>
      </c>
      <c r="R1033">
        <v>98673.910738255028</v>
      </c>
      <c r="S1033" t="s">
        <v>2507</v>
      </c>
      <c r="T1033" t="s">
        <v>717</v>
      </c>
      <c r="U1033" t="s">
        <v>717</v>
      </c>
      <c r="V1033" t="s">
        <v>717</v>
      </c>
      <c r="W1033">
        <v>44722</v>
      </c>
      <c r="X1033" t="s">
        <v>6485</v>
      </c>
      <c r="Y1033" t="s">
        <v>6</v>
      </c>
      <c r="Z1033" t="s">
        <v>11</v>
      </c>
      <c r="AA1033" t="s">
        <v>717</v>
      </c>
      <c r="AB1033" t="s">
        <v>326</v>
      </c>
      <c r="AC1033" t="s">
        <v>717</v>
      </c>
      <c r="AD1033" t="s">
        <v>717</v>
      </c>
      <c r="AE1033" t="s">
        <v>6476</v>
      </c>
      <c r="AF1033" t="s">
        <v>6477</v>
      </c>
      <c r="AG1033" t="s">
        <v>6478</v>
      </c>
      <c r="AH1033" t="s">
        <v>2580</v>
      </c>
      <c r="AI1033" t="s">
        <v>2802</v>
      </c>
      <c r="AJ1033" t="s">
        <v>5785</v>
      </c>
      <c r="AK1033" t="s">
        <v>29</v>
      </c>
      <c r="AL1033" t="s">
        <v>717</v>
      </c>
      <c r="AM1033" t="s">
        <v>10</v>
      </c>
      <c r="AN1033" t="s">
        <v>717</v>
      </c>
    </row>
    <row r="1034" spans="1:40" hidden="1">
      <c r="A1034">
        <v>1032</v>
      </c>
      <c r="B1034">
        <v>8</v>
      </c>
      <c r="C1034" s="58">
        <v>44722</v>
      </c>
      <c r="D1034" t="s">
        <v>121</v>
      </c>
      <c r="E1034" t="s">
        <v>2506</v>
      </c>
      <c r="F1034">
        <v>9</v>
      </c>
      <c r="G1034">
        <v>2</v>
      </c>
      <c r="H1034">
        <v>170</v>
      </c>
      <c r="I1034">
        <v>2</v>
      </c>
      <c r="J1034">
        <v>61.5</v>
      </c>
      <c r="K1034" t="s">
        <v>9</v>
      </c>
      <c r="L1034">
        <v>5898409.7999999998</v>
      </c>
      <c r="M1034">
        <v>0</v>
      </c>
      <c r="N1034">
        <v>5898409.7999999998</v>
      </c>
      <c r="O1034">
        <v>95909.102439024384</v>
      </c>
      <c r="P1034">
        <v>0</v>
      </c>
      <c r="Q1034">
        <v>5898409.7999999998</v>
      </c>
      <c r="R1034">
        <v>95909.102439024384</v>
      </c>
      <c r="S1034" t="s">
        <v>2507</v>
      </c>
      <c r="T1034" t="s">
        <v>717</v>
      </c>
      <c r="U1034" t="s">
        <v>717</v>
      </c>
      <c r="V1034" t="s">
        <v>717</v>
      </c>
      <c r="W1034">
        <v>44722</v>
      </c>
      <c r="X1034" t="s">
        <v>6486</v>
      </c>
      <c r="Y1034" t="s">
        <v>6</v>
      </c>
      <c r="Z1034" t="s">
        <v>11</v>
      </c>
      <c r="AA1034" t="s">
        <v>717</v>
      </c>
      <c r="AB1034" t="s">
        <v>326</v>
      </c>
      <c r="AC1034" t="s">
        <v>717</v>
      </c>
      <c r="AD1034" t="s">
        <v>717</v>
      </c>
      <c r="AE1034" t="s">
        <v>6476</v>
      </c>
      <c r="AF1034" t="s">
        <v>6477</v>
      </c>
      <c r="AG1034" t="s">
        <v>6478</v>
      </c>
      <c r="AH1034" t="s">
        <v>2580</v>
      </c>
      <c r="AI1034" t="s">
        <v>2802</v>
      </c>
      <c r="AJ1034" t="s">
        <v>5785</v>
      </c>
      <c r="AK1034" t="s">
        <v>29</v>
      </c>
      <c r="AL1034" t="s">
        <v>717</v>
      </c>
      <c r="AM1034" t="s">
        <v>10</v>
      </c>
      <c r="AN1034" t="s">
        <v>717</v>
      </c>
    </row>
    <row r="1035" spans="1:40" hidden="1">
      <c r="A1035">
        <v>1033</v>
      </c>
      <c r="B1035">
        <v>9</v>
      </c>
      <c r="C1035" s="58">
        <v>44722</v>
      </c>
      <c r="D1035" t="s">
        <v>121</v>
      </c>
      <c r="E1035" t="s">
        <v>2506</v>
      </c>
      <c r="F1035">
        <v>1</v>
      </c>
      <c r="G1035">
        <v>5</v>
      </c>
      <c r="H1035">
        <v>195</v>
      </c>
      <c r="I1035">
        <v>1</v>
      </c>
      <c r="J1035">
        <v>39.9</v>
      </c>
      <c r="K1035" t="s">
        <v>15</v>
      </c>
      <c r="L1035">
        <v>4190656.09</v>
      </c>
      <c r="M1035">
        <v>0</v>
      </c>
      <c r="N1035">
        <v>4190656.09</v>
      </c>
      <c r="O1035">
        <v>105028.9746867168</v>
      </c>
      <c r="P1035">
        <v>213565</v>
      </c>
      <c r="Q1035">
        <v>3977091.09</v>
      </c>
      <c r="R1035">
        <v>99676.468421052647</v>
      </c>
      <c r="S1035" t="s">
        <v>2507</v>
      </c>
      <c r="T1035" t="s">
        <v>717</v>
      </c>
      <c r="U1035" t="s">
        <v>717</v>
      </c>
      <c r="V1035" t="s">
        <v>717</v>
      </c>
      <c r="W1035">
        <v>44722</v>
      </c>
      <c r="X1035" t="s">
        <v>6487</v>
      </c>
      <c r="Y1035" t="s">
        <v>6</v>
      </c>
      <c r="Z1035" t="s">
        <v>11</v>
      </c>
      <c r="AA1035" t="s">
        <v>717</v>
      </c>
      <c r="AB1035" t="s">
        <v>326</v>
      </c>
      <c r="AC1035" t="s">
        <v>717</v>
      </c>
      <c r="AD1035" t="s">
        <v>717</v>
      </c>
      <c r="AE1035" t="s">
        <v>6476</v>
      </c>
      <c r="AF1035" t="s">
        <v>6477</v>
      </c>
      <c r="AG1035" t="s">
        <v>6478</v>
      </c>
      <c r="AH1035" t="s">
        <v>2580</v>
      </c>
      <c r="AI1035" t="s">
        <v>2802</v>
      </c>
      <c r="AJ1035" t="s">
        <v>5785</v>
      </c>
      <c r="AK1035" t="s">
        <v>29</v>
      </c>
      <c r="AL1035" t="s">
        <v>717</v>
      </c>
      <c r="AM1035" t="s">
        <v>10</v>
      </c>
      <c r="AN1035" t="s">
        <v>717</v>
      </c>
    </row>
    <row r="1036" spans="1:40" hidden="1">
      <c r="A1036">
        <v>1034</v>
      </c>
      <c r="B1036">
        <v>10</v>
      </c>
      <c r="C1036" s="58">
        <v>44729</v>
      </c>
      <c r="D1036" t="s">
        <v>27</v>
      </c>
      <c r="E1036" t="s">
        <v>5079</v>
      </c>
      <c r="F1036">
        <v>7</v>
      </c>
      <c r="G1036">
        <v>7</v>
      </c>
      <c r="H1036">
        <v>683</v>
      </c>
      <c r="I1036">
        <v>1</v>
      </c>
      <c r="J1036">
        <v>38.909999999999997</v>
      </c>
      <c r="K1036" t="s">
        <v>25</v>
      </c>
      <c r="L1036">
        <v>4220937.21</v>
      </c>
      <c r="M1036">
        <v>0</v>
      </c>
      <c r="N1036">
        <v>4220937.21</v>
      </c>
      <c r="O1036">
        <v>108479.49653045493</v>
      </c>
      <c r="P1036">
        <v>778200</v>
      </c>
      <c r="Q1036">
        <v>3442737.21</v>
      </c>
      <c r="R1036">
        <v>88479.496530454897</v>
      </c>
      <c r="S1036" t="s">
        <v>65</v>
      </c>
      <c r="T1036" t="s">
        <v>2941</v>
      </c>
      <c r="U1036">
        <v>100000</v>
      </c>
      <c r="V1036" t="s">
        <v>6488</v>
      </c>
      <c r="W1036">
        <v>44724</v>
      </c>
      <c r="X1036" t="s">
        <v>6489</v>
      </c>
      <c r="Y1036" t="s">
        <v>6</v>
      </c>
      <c r="Z1036" t="s">
        <v>17</v>
      </c>
      <c r="AA1036" t="s">
        <v>717</v>
      </c>
      <c r="AB1036" t="s">
        <v>2509</v>
      </c>
      <c r="AC1036" t="s">
        <v>2571</v>
      </c>
      <c r="AD1036" t="s">
        <v>717</v>
      </c>
      <c r="AE1036" t="s">
        <v>6490</v>
      </c>
      <c r="AF1036" t="s">
        <v>6491</v>
      </c>
      <c r="AG1036" t="s">
        <v>6492</v>
      </c>
      <c r="AH1036" t="s">
        <v>65</v>
      </c>
      <c r="AI1036" t="s">
        <v>5056</v>
      </c>
      <c r="AJ1036" t="s">
        <v>6169</v>
      </c>
      <c r="AK1036" t="s">
        <v>63</v>
      </c>
      <c r="AL1036" t="s">
        <v>16</v>
      </c>
      <c r="AM1036" t="s">
        <v>10</v>
      </c>
      <c r="AN1036" t="s">
        <v>717</v>
      </c>
    </row>
    <row r="1037" spans="1:40" hidden="1">
      <c r="A1037">
        <v>1035</v>
      </c>
      <c r="B1037">
        <v>11</v>
      </c>
      <c r="C1037" s="58">
        <v>44729</v>
      </c>
      <c r="D1037" t="s">
        <v>27</v>
      </c>
      <c r="E1037" t="s">
        <v>4409</v>
      </c>
      <c r="F1037">
        <v>2</v>
      </c>
      <c r="G1037">
        <v>7</v>
      </c>
      <c r="H1037">
        <v>553</v>
      </c>
      <c r="I1037">
        <v>1</v>
      </c>
      <c r="J1037">
        <v>37.159999999999997</v>
      </c>
      <c r="K1037" t="s">
        <v>9</v>
      </c>
      <c r="L1037">
        <v>3296714.49</v>
      </c>
      <c r="M1037">
        <v>15000</v>
      </c>
      <c r="N1037">
        <v>3311714.49</v>
      </c>
      <c r="O1037">
        <v>89120.41146393973</v>
      </c>
      <c r="P1037">
        <v>0</v>
      </c>
      <c r="Q1037">
        <v>3311714.49</v>
      </c>
      <c r="R1037">
        <v>89120.41146393973</v>
      </c>
      <c r="S1037" t="s">
        <v>65</v>
      </c>
      <c r="T1037" t="s">
        <v>2941</v>
      </c>
      <c r="U1037">
        <v>150000</v>
      </c>
      <c r="V1037" t="s">
        <v>4131</v>
      </c>
      <c r="W1037">
        <v>44726</v>
      </c>
      <c r="X1037" t="s">
        <v>6493</v>
      </c>
      <c r="Y1037" t="s">
        <v>6</v>
      </c>
      <c r="Z1037" t="s">
        <v>17</v>
      </c>
      <c r="AA1037" t="s">
        <v>717</v>
      </c>
      <c r="AB1037" t="s">
        <v>2509</v>
      </c>
      <c r="AC1037" t="s">
        <v>2571</v>
      </c>
      <c r="AD1037" t="s">
        <v>717</v>
      </c>
      <c r="AE1037" t="s">
        <v>4958</v>
      </c>
      <c r="AF1037" t="s">
        <v>4959</v>
      </c>
      <c r="AG1037" t="s">
        <v>4960</v>
      </c>
      <c r="AH1037" t="s">
        <v>2191</v>
      </c>
      <c r="AI1037" t="s">
        <v>2600</v>
      </c>
      <c r="AJ1037" t="s">
        <v>2651</v>
      </c>
      <c r="AK1037" t="s">
        <v>73</v>
      </c>
      <c r="AL1037" t="s">
        <v>16</v>
      </c>
      <c r="AM1037" t="s">
        <v>10</v>
      </c>
      <c r="AN1037" t="s">
        <v>717</v>
      </c>
    </row>
    <row r="1038" spans="1:40" hidden="1">
      <c r="A1038">
        <v>1036</v>
      </c>
      <c r="B1038">
        <v>12</v>
      </c>
      <c r="C1038" s="58">
        <v>44736</v>
      </c>
      <c r="D1038" t="s">
        <v>27</v>
      </c>
      <c r="E1038" t="s">
        <v>5079</v>
      </c>
      <c r="F1038">
        <v>3</v>
      </c>
      <c r="G1038">
        <v>6</v>
      </c>
      <c r="H1038">
        <v>670</v>
      </c>
      <c r="I1038">
        <v>2</v>
      </c>
      <c r="J1038">
        <v>56.33</v>
      </c>
      <c r="K1038" t="s">
        <v>9</v>
      </c>
      <c r="L1038">
        <v>4400981.01</v>
      </c>
      <c r="M1038">
        <v>0</v>
      </c>
      <c r="N1038">
        <v>4400981.01</v>
      </c>
      <c r="O1038">
        <v>78128.546245339952</v>
      </c>
      <c r="P1038">
        <v>0</v>
      </c>
      <c r="Q1038">
        <v>4400981.01</v>
      </c>
      <c r="R1038">
        <v>78128.546245339952</v>
      </c>
      <c r="S1038" t="s">
        <v>65</v>
      </c>
      <c r="T1038" t="s">
        <v>717</v>
      </c>
      <c r="U1038" t="s">
        <v>717</v>
      </c>
      <c r="V1038" t="s">
        <v>4131</v>
      </c>
      <c r="W1038">
        <v>44731</v>
      </c>
      <c r="X1038" t="s">
        <v>6494</v>
      </c>
      <c r="Y1038" t="s">
        <v>6</v>
      </c>
      <c r="Z1038" t="s">
        <v>17</v>
      </c>
      <c r="AA1038" t="s">
        <v>717</v>
      </c>
      <c r="AB1038" t="s">
        <v>2509</v>
      </c>
      <c r="AC1038" t="s">
        <v>2571</v>
      </c>
      <c r="AD1038" t="s">
        <v>717</v>
      </c>
      <c r="AE1038" t="s">
        <v>6495</v>
      </c>
      <c r="AF1038" t="s">
        <v>6496</v>
      </c>
      <c r="AG1038" t="s">
        <v>6497</v>
      </c>
      <c r="AH1038" t="s">
        <v>2615</v>
      </c>
      <c r="AI1038" t="s">
        <v>2673</v>
      </c>
      <c r="AJ1038" t="s">
        <v>2569</v>
      </c>
      <c r="AK1038" t="s">
        <v>73</v>
      </c>
      <c r="AL1038" t="s">
        <v>16</v>
      </c>
      <c r="AM1038" t="s">
        <v>10</v>
      </c>
      <c r="AN1038" t="s">
        <v>717</v>
      </c>
    </row>
    <row r="1039" spans="1:40" hidden="1">
      <c r="A1039">
        <v>1037</v>
      </c>
      <c r="B1039">
        <v>13</v>
      </c>
      <c r="C1039" s="58">
        <v>44739</v>
      </c>
      <c r="D1039" t="s">
        <v>27</v>
      </c>
      <c r="E1039" t="s">
        <v>2581</v>
      </c>
      <c r="F1039">
        <v>3</v>
      </c>
      <c r="G1039">
        <v>16</v>
      </c>
      <c r="H1039">
        <v>506</v>
      </c>
      <c r="I1039">
        <v>0</v>
      </c>
      <c r="J1039">
        <v>23.54</v>
      </c>
      <c r="K1039" t="s">
        <v>9</v>
      </c>
      <c r="L1039">
        <v>2060699.24</v>
      </c>
      <c r="M1039">
        <v>15000</v>
      </c>
      <c r="N1039">
        <v>2075699.24</v>
      </c>
      <c r="O1039">
        <v>88177.537807986402</v>
      </c>
      <c r="P1039">
        <v>0</v>
      </c>
      <c r="Q1039">
        <v>2075699.24</v>
      </c>
      <c r="R1039">
        <v>88177.537807986402</v>
      </c>
      <c r="S1039" t="s">
        <v>65</v>
      </c>
      <c r="T1039" t="s">
        <v>717</v>
      </c>
      <c r="U1039" t="s">
        <v>717</v>
      </c>
      <c r="V1039" t="s">
        <v>4131</v>
      </c>
      <c r="W1039">
        <v>44722</v>
      </c>
      <c r="X1039" t="s">
        <v>6498</v>
      </c>
      <c r="Y1039" t="s">
        <v>6</v>
      </c>
      <c r="Z1039" t="s">
        <v>17</v>
      </c>
      <c r="AA1039" t="s">
        <v>717</v>
      </c>
      <c r="AB1039" t="s">
        <v>2509</v>
      </c>
      <c r="AC1039" t="s">
        <v>2571</v>
      </c>
      <c r="AD1039" t="s">
        <v>717</v>
      </c>
      <c r="AE1039" t="s">
        <v>5324</v>
      </c>
      <c r="AF1039" t="s">
        <v>5325</v>
      </c>
      <c r="AG1039" t="s">
        <v>5326</v>
      </c>
      <c r="AH1039" t="s">
        <v>2615</v>
      </c>
      <c r="AI1039" t="s">
        <v>2600</v>
      </c>
      <c r="AJ1039" t="s">
        <v>3921</v>
      </c>
      <c r="AK1039" t="s">
        <v>77</v>
      </c>
      <c r="AL1039" t="s">
        <v>16</v>
      </c>
      <c r="AM1039" t="s">
        <v>10</v>
      </c>
      <c r="AN1039" t="s">
        <v>717</v>
      </c>
    </row>
    <row r="1040" spans="1:40" hidden="1">
      <c r="A1040">
        <v>1038</v>
      </c>
      <c r="B1040">
        <v>14</v>
      </c>
      <c r="C1040" s="58">
        <v>44739</v>
      </c>
      <c r="D1040" t="s">
        <v>27</v>
      </c>
      <c r="E1040" t="s">
        <v>2515</v>
      </c>
      <c r="F1040">
        <v>6</v>
      </c>
      <c r="G1040">
        <v>19</v>
      </c>
      <c r="H1040">
        <v>159</v>
      </c>
      <c r="I1040">
        <v>2</v>
      </c>
      <c r="J1040">
        <v>54.67</v>
      </c>
      <c r="K1040" t="s">
        <v>9</v>
      </c>
      <c r="L1040">
        <v>4367417.8099999996</v>
      </c>
      <c r="M1040">
        <v>0</v>
      </c>
      <c r="N1040">
        <v>4367417.8099999996</v>
      </c>
      <c r="O1040">
        <v>79886.918053777204</v>
      </c>
      <c r="P1040">
        <v>0</v>
      </c>
      <c r="Q1040">
        <v>4367417.8099999996</v>
      </c>
      <c r="R1040">
        <v>79886.918053777204</v>
      </c>
      <c r="S1040" t="s">
        <v>65</v>
      </c>
      <c r="T1040" t="s">
        <v>2941</v>
      </c>
      <c r="U1040">
        <v>250000</v>
      </c>
      <c r="V1040" t="s">
        <v>4131</v>
      </c>
      <c r="W1040">
        <v>44735</v>
      </c>
      <c r="X1040" t="s">
        <v>6499</v>
      </c>
      <c r="Y1040" t="s">
        <v>6</v>
      </c>
      <c r="Z1040" t="s">
        <v>17</v>
      </c>
      <c r="AA1040" t="s">
        <v>717</v>
      </c>
      <c r="AB1040" t="s">
        <v>2509</v>
      </c>
      <c r="AC1040" t="s">
        <v>2571</v>
      </c>
      <c r="AD1040" t="s">
        <v>717</v>
      </c>
      <c r="AE1040" t="s">
        <v>6500</v>
      </c>
      <c r="AF1040" t="s">
        <v>6501</v>
      </c>
      <c r="AG1040" t="s">
        <v>6502</v>
      </c>
      <c r="AH1040" t="s">
        <v>2615</v>
      </c>
      <c r="AI1040" t="s">
        <v>2538</v>
      </c>
      <c r="AJ1040" t="s">
        <v>3330</v>
      </c>
      <c r="AK1040" t="s">
        <v>73</v>
      </c>
      <c r="AL1040" t="s">
        <v>16</v>
      </c>
      <c r="AM1040" t="s">
        <v>10</v>
      </c>
      <c r="AN1040" t="s">
        <v>717</v>
      </c>
    </row>
    <row r="1041" spans="1:40" hidden="1">
      <c r="A1041">
        <v>1039</v>
      </c>
      <c r="B1041">
        <v>15</v>
      </c>
      <c r="C1041" s="58">
        <v>44739</v>
      </c>
      <c r="D1041" t="s">
        <v>27</v>
      </c>
      <c r="E1041" t="s">
        <v>5079</v>
      </c>
      <c r="F1041">
        <v>5</v>
      </c>
      <c r="G1041">
        <v>21</v>
      </c>
      <c r="H1041">
        <v>803</v>
      </c>
      <c r="I1041">
        <v>2</v>
      </c>
      <c r="J1041">
        <v>61.96</v>
      </c>
      <c r="K1041" t="s">
        <v>9</v>
      </c>
      <c r="L1041">
        <v>4762810.3099999996</v>
      </c>
      <c r="M1041">
        <v>0</v>
      </c>
      <c r="N1041">
        <v>4762810.3099999996</v>
      </c>
      <c r="O1041">
        <v>76869.114105874745</v>
      </c>
      <c r="P1041">
        <v>0</v>
      </c>
      <c r="Q1041">
        <v>4762810.3099999996</v>
      </c>
      <c r="R1041">
        <v>76869.114105874745</v>
      </c>
      <c r="S1041" t="s">
        <v>65</v>
      </c>
      <c r="T1041" t="s">
        <v>717</v>
      </c>
      <c r="U1041" t="s">
        <v>717</v>
      </c>
      <c r="V1041" t="s">
        <v>4131</v>
      </c>
      <c r="W1041">
        <v>44736</v>
      </c>
      <c r="X1041" t="s">
        <v>6503</v>
      </c>
      <c r="Y1041" t="s">
        <v>6</v>
      </c>
      <c r="Z1041" t="s">
        <v>17</v>
      </c>
      <c r="AA1041" t="s">
        <v>717</v>
      </c>
      <c r="AB1041" t="s">
        <v>2509</v>
      </c>
      <c r="AC1041" t="s">
        <v>2571</v>
      </c>
      <c r="AD1041" t="s">
        <v>717</v>
      </c>
      <c r="AE1041" t="s">
        <v>6504</v>
      </c>
      <c r="AF1041" t="s">
        <v>6505</v>
      </c>
      <c r="AG1041" t="s">
        <v>6506</v>
      </c>
      <c r="AH1041" t="s">
        <v>2191</v>
      </c>
      <c r="AI1041" t="s">
        <v>2538</v>
      </c>
      <c r="AJ1041" t="s">
        <v>2514</v>
      </c>
      <c r="AK1041" t="s">
        <v>77</v>
      </c>
      <c r="AL1041" t="s">
        <v>16</v>
      </c>
      <c r="AM1041" t="s">
        <v>10</v>
      </c>
      <c r="AN1041" t="s">
        <v>717</v>
      </c>
    </row>
    <row r="1042" spans="1:40" hidden="1">
      <c r="A1042">
        <v>1040</v>
      </c>
      <c r="B1042">
        <v>16</v>
      </c>
      <c r="C1042" s="58">
        <v>44740</v>
      </c>
      <c r="D1042" t="s">
        <v>27</v>
      </c>
      <c r="E1042" t="s">
        <v>2515</v>
      </c>
      <c r="F1042">
        <v>3</v>
      </c>
      <c r="G1042">
        <v>15</v>
      </c>
      <c r="H1042">
        <v>120</v>
      </c>
      <c r="I1042">
        <v>1</v>
      </c>
      <c r="J1042">
        <v>41.06</v>
      </c>
      <c r="K1042" t="s">
        <v>9</v>
      </c>
      <c r="L1042">
        <v>3628872.63</v>
      </c>
      <c r="M1042">
        <v>15000</v>
      </c>
      <c r="N1042">
        <v>3643872.63</v>
      </c>
      <c r="O1042">
        <v>88745.071358986839</v>
      </c>
      <c r="P1042">
        <v>0</v>
      </c>
      <c r="Q1042">
        <v>3643872.63</v>
      </c>
      <c r="R1042">
        <v>88745.071358986839</v>
      </c>
      <c r="S1042" t="s">
        <v>130</v>
      </c>
      <c r="T1042" t="s">
        <v>2941</v>
      </c>
      <c r="U1042">
        <v>180000</v>
      </c>
      <c r="V1042" t="s">
        <v>717</v>
      </c>
      <c r="W1042">
        <v>44734</v>
      </c>
      <c r="X1042" t="s">
        <v>6507</v>
      </c>
      <c r="Y1042" t="s">
        <v>6</v>
      </c>
      <c r="Z1042" t="s">
        <v>11</v>
      </c>
      <c r="AA1042" t="s">
        <v>717</v>
      </c>
      <c r="AB1042" t="s">
        <v>2509</v>
      </c>
      <c r="AC1042" t="s">
        <v>717</v>
      </c>
      <c r="AD1042" t="s">
        <v>717</v>
      </c>
      <c r="AE1042" t="s">
        <v>6508</v>
      </c>
      <c r="AF1042" t="s">
        <v>6509</v>
      </c>
      <c r="AG1042" t="s">
        <v>6510</v>
      </c>
      <c r="AH1042" t="s">
        <v>2615</v>
      </c>
      <c r="AI1042" t="s">
        <v>2552</v>
      </c>
      <c r="AJ1042" t="s">
        <v>2895</v>
      </c>
      <c r="AK1042" t="s">
        <v>73</v>
      </c>
      <c r="AL1042" t="s">
        <v>717</v>
      </c>
      <c r="AM1042" t="s">
        <v>10</v>
      </c>
      <c r="AN1042" t="s">
        <v>717</v>
      </c>
    </row>
    <row r="1043" spans="1:40" hidden="1">
      <c r="A1043">
        <v>1041</v>
      </c>
      <c r="B1043">
        <v>17</v>
      </c>
      <c r="C1043" s="58">
        <v>44740</v>
      </c>
      <c r="D1043" t="s">
        <v>27</v>
      </c>
      <c r="E1043" t="s">
        <v>2515</v>
      </c>
      <c r="F1043">
        <v>9</v>
      </c>
      <c r="G1043">
        <v>2</v>
      </c>
      <c r="H1043">
        <v>9</v>
      </c>
      <c r="I1043">
        <v>1</v>
      </c>
      <c r="J1043">
        <v>37.94</v>
      </c>
      <c r="K1043" t="s">
        <v>9</v>
      </c>
      <c r="L1043">
        <v>3127271.87</v>
      </c>
      <c r="M1043">
        <v>15000</v>
      </c>
      <c r="N1043">
        <v>3142271.87</v>
      </c>
      <c r="O1043">
        <v>82822.13679493939</v>
      </c>
      <c r="P1043">
        <v>0</v>
      </c>
      <c r="Q1043">
        <v>3142271.87</v>
      </c>
      <c r="R1043">
        <v>82822.13679493939</v>
      </c>
      <c r="S1043" t="s">
        <v>130</v>
      </c>
      <c r="T1043" t="s">
        <v>2941</v>
      </c>
      <c r="U1043">
        <v>180000</v>
      </c>
      <c r="V1043" t="s">
        <v>717</v>
      </c>
      <c r="W1043">
        <v>44734</v>
      </c>
      <c r="X1043" t="s">
        <v>6511</v>
      </c>
      <c r="Y1043" t="s">
        <v>6</v>
      </c>
      <c r="Z1043" t="s">
        <v>11</v>
      </c>
      <c r="AA1043" t="s">
        <v>717</v>
      </c>
      <c r="AB1043" t="s">
        <v>2509</v>
      </c>
      <c r="AC1043" t="s">
        <v>717</v>
      </c>
      <c r="AD1043" t="s">
        <v>717</v>
      </c>
      <c r="AE1043" t="s">
        <v>6508</v>
      </c>
      <c r="AF1043" t="s">
        <v>6509</v>
      </c>
      <c r="AG1043" t="s">
        <v>6510</v>
      </c>
      <c r="AH1043" t="s">
        <v>2580</v>
      </c>
      <c r="AI1043" t="s">
        <v>2552</v>
      </c>
      <c r="AJ1043" t="s">
        <v>3921</v>
      </c>
      <c r="AK1043" t="s">
        <v>73</v>
      </c>
      <c r="AL1043" t="s">
        <v>717</v>
      </c>
      <c r="AM1043" t="s">
        <v>10</v>
      </c>
      <c r="AN1043" t="s">
        <v>717</v>
      </c>
    </row>
    <row r="1044" spans="1:40" hidden="1">
      <c r="A1044">
        <v>1042</v>
      </c>
      <c r="B1044">
        <v>18</v>
      </c>
      <c r="C1044" s="58">
        <v>44740</v>
      </c>
      <c r="D1044" t="s">
        <v>27</v>
      </c>
      <c r="E1044" t="s">
        <v>2515</v>
      </c>
      <c r="F1044">
        <v>2</v>
      </c>
      <c r="G1044">
        <v>5</v>
      </c>
      <c r="H1044">
        <v>29</v>
      </c>
      <c r="I1044">
        <v>1</v>
      </c>
      <c r="J1044">
        <v>37.94</v>
      </c>
      <c r="K1044" t="s">
        <v>15</v>
      </c>
      <c r="L1044">
        <v>3454693.47</v>
      </c>
      <c r="M1044">
        <v>0</v>
      </c>
      <c r="N1044">
        <v>3454693.47</v>
      </c>
      <c r="O1044">
        <v>91056.759884027444</v>
      </c>
      <c r="P1044">
        <v>265580</v>
      </c>
      <c r="Q1044">
        <v>3189113.47</v>
      </c>
      <c r="R1044">
        <v>84056.759884027415</v>
      </c>
      <c r="S1044" t="s">
        <v>65</v>
      </c>
      <c r="T1044" t="s">
        <v>5443</v>
      </c>
      <c r="U1044">
        <v>265580</v>
      </c>
      <c r="V1044" t="s">
        <v>4131</v>
      </c>
      <c r="W1044">
        <v>44735</v>
      </c>
      <c r="X1044" t="s">
        <v>6512</v>
      </c>
      <c r="Y1044" t="s">
        <v>6</v>
      </c>
      <c r="Z1044" t="s">
        <v>17</v>
      </c>
      <c r="AA1044" t="s">
        <v>717</v>
      </c>
      <c r="AB1044" t="s">
        <v>2509</v>
      </c>
      <c r="AC1044" t="s">
        <v>2571</v>
      </c>
      <c r="AD1044" t="s">
        <v>717</v>
      </c>
      <c r="AE1044" t="s">
        <v>6513</v>
      </c>
      <c r="AF1044" t="s">
        <v>6514</v>
      </c>
      <c r="AG1044" t="s">
        <v>6515</v>
      </c>
      <c r="AH1044" t="s">
        <v>2615</v>
      </c>
      <c r="AI1044" t="s">
        <v>2552</v>
      </c>
      <c r="AJ1044" t="s">
        <v>2569</v>
      </c>
      <c r="AK1044" t="s">
        <v>77</v>
      </c>
      <c r="AL1044" t="s">
        <v>16</v>
      </c>
      <c r="AM1044" t="s">
        <v>10</v>
      </c>
      <c r="AN1044" t="s">
        <v>717</v>
      </c>
    </row>
    <row r="1045" spans="1:40" hidden="1">
      <c r="A1045">
        <v>1043</v>
      </c>
      <c r="B1045">
        <v>19</v>
      </c>
      <c r="C1045" s="58">
        <v>44736</v>
      </c>
      <c r="D1045" t="s">
        <v>121</v>
      </c>
      <c r="E1045" t="s">
        <v>2515</v>
      </c>
      <c r="F1045">
        <v>3</v>
      </c>
      <c r="G1045">
        <v>16</v>
      </c>
      <c r="H1045">
        <v>101</v>
      </c>
      <c r="I1045">
        <v>3</v>
      </c>
      <c r="J1045">
        <v>78.7</v>
      </c>
      <c r="K1045" t="s">
        <v>9</v>
      </c>
      <c r="L1045">
        <v>7033525.25</v>
      </c>
      <c r="M1045">
        <v>0</v>
      </c>
      <c r="N1045">
        <v>7033525.25</v>
      </c>
      <c r="O1045">
        <v>89371.350063532402</v>
      </c>
      <c r="P1045">
        <v>0</v>
      </c>
      <c r="Q1045">
        <v>7033525.25</v>
      </c>
      <c r="R1045">
        <v>89371.350063532402</v>
      </c>
      <c r="S1045" t="s">
        <v>2507</v>
      </c>
      <c r="T1045" t="s">
        <v>717</v>
      </c>
      <c r="U1045" t="s">
        <v>717</v>
      </c>
      <c r="V1045" t="s">
        <v>717</v>
      </c>
      <c r="W1045">
        <v>44736</v>
      </c>
      <c r="X1045" t="s">
        <v>6516</v>
      </c>
      <c r="Y1045" t="s">
        <v>6</v>
      </c>
      <c r="Z1045" t="s">
        <v>11</v>
      </c>
      <c r="AA1045" t="s">
        <v>717</v>
      </c>
      <c r="AB1045" t="s">
        <v>326</v>
      </c>
      <c r="AC1045" t="s">
        <v>717</v>
      </c>
      <c r="AD1045" t="s">
        <v>717</v>
      </c>
      <c r="AE1045" t="s">
        <v>6517</v>
      </c>
      <c r="AF1045" t="s">
        <v>6518</v>
      </c>
      <c r="AG1045" t="s">
        <v>6519</v>
      </c>
      <c r="AH1045" t="s">
        <v>2191</v>
      </c>
      <c r="AI1045" t="s">
        <v>2538</v>
      </c>
      <c r="AJ1045" t="s">
        <v>2514</v>
      </c>
      <c r="AK1045" t="s">
        <v>1046</v>
      </c>
      <c r="AL1045" t="s">
        <v>717</v>
      </c>
      <c r="AM1045" t="s">
        <v>10</v>
      </c>
      <c r="AN1045" t="s">
        <v>717</v>
      </c>
    </row>
    <row r="1046" spans="1:40" hidden="1">
      <c r="A1046">
        <v>1044</v>
      </c>
      <c r="B1046">
        <v>20</v>
      </c>
      <c r="C1046" s="58">
        <v>44742</v>
      </c>
      <c r="D1046" t="s">
        <v>27</v>
      </c>
      <c r="E1046" t="s">
        <v>5079</v>
      </c>
      <c r="F1046">
        <v>3</v>
      </c>
      <c r="G1046">
        <v>12</v>
      </c>
      <c r="H1046">
        <v>724</v>
      </c>
      <c r="I1046">
        <v>2</v>
      </c>
      <c r="J1046">
        <v>56.33</v>
      </c>
      <c r="K1046" t="s">
        <v>9</v>
      </c>
      <c r="L1046">
        <v>4604208.38</v>
      </c>
      <c r="M1046">
        <v>0</v>
      </c>
      <c r="N1046">
        <v>4604208.38</v>
      </c>
      <c r="O1046">
        <v>81736.346174329839</v>
      </c>
      <c r="P1046">
        <v>0</v>
      </c>
      <c r="Q1046">
        <v>4604208.38</v>
      </c>
      <c r="R1046">
        <v>81736.346174329839</v>
      </c>
      <c r="S1046" t="s">
        <v>65</v>
      </c>
      <c r="T1046" t="s">
        <v>717</v>
      </c>
      <c r="U1046" t="s">
        <v>717</v>
      </c>
      <c r="V1046" t="s">
        <v>6312</v>
      </c>
      <c r="W1046">
        <v>44735</v>
      </c>
      <c r="X1046" t="s">
        <v>6520</v>
      </c>
      <c r="Y1046" t="s">
        <v>6</v>
      </c>
      <c r="Z1046" t="s">
        <v>17</v>
      </c>
      <c r="AA1046" t="s">
        <v>717</v>
      </c>
      <c r="AB1046" t="s">
        <v>2509</v>
      </c>
      <c r="AC1046" t="s">
        <v>2571</v>
      </c>
      <c r="AD1046" t="s">
        <v>717</v>
      </c>
      <c r="AE1046" t="s">
        <v>6521</v>
      </c>
      <c r="AF1046" t="s">
        <v>6522</v>
      </c>
      <c r="AG1046" t="s">
        <v>6523</v>
      </c>
      <c r="AH1046" t="s">
        <v>2615</v>
      </c>
      <c r="AI1046" t="s">
        <v>2706</v>
      </c>
      <c r="AJ1046" t="s">
        <v>3298</v>
      </c>
      <c r="AK1046" t="s">
        <v>77</v>
      </c>
      <c r="AL1046" t="s">
        <v>16</v>
      </c>
      <c r="AM1046" t="s">
        <v>10</v>
      </c>
      <c r="AN1046" t="s">
        <v>717</v>
      </c>
    </row>
    <row r="1047" spans="1:40" hidden="1">
      <c r="A1047">
        <v>1045</v>
      </c>
      <c r="B1047">
        <v>21</v>
      </c>
      <c r="C1047" s="58">
        <v>44742</v>
      </c>
      <c r="D1047" t="s">
        <v>27</v>
      </c>
      <c r="E1047" t="s">
        <v>2515</v>
      </c>
      <c r="F1047">
        <v>2</v>
      </c>
      <c r="G1047">
        <v>6</v>
      </c>
      <c r="H1047">
        <v>38</v>
      </c>
      <c r="I1047">
        <v>1</v>
      </c>
      <c r="J1047">
        <v>37.94</v>
      </c>
      <c r="K1047" t="s">
        <v>15</v>
      </c>
      <c r="L1047">
        <v>3454693.47</v>
      </c>
      <c r="M1047">
        <v>0</v>
      </c>
      <c r="N1047">
        <v>3454693.47</v>
      </c>
      <c r="O1047">
        <v>91056.759884027444</v>
      </c>
      <c r="P1047">
        <v>265580</v>
      </c>
      <c r="Q1047">
        <v>3189113.47</v>
      </c>
      <c r="R1047">
        <v>84056.759884027415</v>
      </c>
      <c r="S1047" t="s">
        <v>65</v>
      </c>
      <c r="T1047" t="s">
        <v>5443</v>
      </c>
      <c r="U1047">
        <v>265580</v>
      </c>
      <c r="V1047" t="s">
        <v>4131</v>
      </c>
      <c r="W1047">
        <v>44736</v>
      </c>
      <c r="X1047" t="s">
        <v>6524</v>
      </c>
      <c r="Y1047" t="s">
        <v>6</v>
      </c>
      <c r="Z1047" t="s">
        <v>17</v>
      </c>
      <c r="AA1047" t="s">
        <v>717</v>
      </c>
      <c r="AB1047" t="s">
        <v>2509</v>
      </c>
      <c r="AC1047" t="s">
        <v>2571</v>
      </c>
      <c r="AD1047" t="s">
        <v>717</v>
      </c>
      <c r="AE1047" t="s">
        <v>6525</v>
      </c>
      <c r="AF1047" t="s">
        <v>6526</v>
      </c>
      <c r="AG1047" t="s">
        <v>6527</v>
      </c>
      <c r="AH1047" t="s">
        <v>2552</v>
      </c>
      <c r="AI1047" t="s">
        <v>2877</v>
      </c>
      <c r="AJ1047" t="s">
        <v>3098</v>
      </c>
      <c r="AK1047" t="s">
        <v>77</v>
      </c>
      <c r="AL1047" t="s">
        <v>16</v>
      </c>
      <c r="AM1047" t="s">
        <v>10</v>
      </c>
      <c r="AN1047" t="s">
        <v>717</v>
      </c>
    </row>
    <row r="1048" spans="1:40" hidden="1">
      <c r="A1048">
        <v>1046</v>
      </c>
      <c r="B1048">
        <v>22</v>
      </c>
      <c r="C1048" s="58">
        <v>44742</v>
      </c>
      <c r="D1048" t="s">
        <v>27</v>
      </c>
      <c r="E1048" t="s">
        <v>5456</v>
      </c>
      <c r="F1048">
        <v>2</v>
      </c>
      <c r="G1048">
        <v>9</v>
      </c>
      <c r="H1048">
        <v>895</v>
      </c>
      <c r="I1048">
        <v>3</v>
      </c>
      <c r="J1048">
        <v>86.1</v>
      </c>
      <c r="K1048" t="s">
        <v>9</v>
      </c>
      <c r="L1048">
        <v>6733902.4500000002</v>
      </c>
      <c r="M1048">
        <v>0</v>
      </c>
      <c r="N1048">
        <v>6733902.4500000002</v>
      </c>
      <c r="O1048">
        <v>78210.249128919866</v>
      </c>
      <c r="P1048">
        <v>0</v>
      </c>
      <c r="Q1048">
        <v>6733902.4500000002</v>
      </c>
      <c r="R1048">
        <v>78210.249128919866</v>
      </c>
      <c r="S1048" t="s">
        <v>65</v>
      </c>
      <c r="T1048" t="s">
        <v>2941</v>
      </c>
      <c r="U1048">
        <v>500000</v>
      </c>
      <c r="V1048" t="s">
        <v>4131</v>
      </c>
      <c r="W1048">
        <v>44738</v>
      </c>
      <c r="X1048" t="s">
        <v>6528</v>
      </c>
      <c r="Y1048" t="s">
        <v>6</v>
      </c>
      <c r="Z1048" t="s">
        <v>17</v>
      </c>
      <c r="AA1048" t="s">
        <v>5617</v>
      </c>
      <c r="AB1048" t="s">
        <v>2509</v>
      </c>
      <c r="AC1048" t="s">
        <v>2564</v>
      </c>
      <c r="AD1048" t="s">
        <v>717</v>
      </c>
      <c r="AE1048" t="s">
        <v>6529</v>
      </c>
      <c r="AF1048" t="s">
        <v>6530</v>
      </c>
      <c r="AG1048" t="s">
        <v>6531</v>
      </c>
      <c r="AH1048" t="s">
        <v>2552</v>
      </c>
      <c r="AI1048" t="s">
        <v>2877</v>
      </c>
      <c r="AJ1048" t="s">
        <v>3098</v>
      </c>
      <c r="AK1048" t="s">
        <v>73</v>
      </c>
      <c r="AL1048" t="s">
        <v>16</v>
      </c>
      <c r="AM1048" t="s">
        <v>10</v>
      </c>
      <c r="AN1048" t="s">
        <v>717</v>
      </c>
    </row>
    <row r="1049" spans="1:40" hidden="1">
      <c r="A1049">
        <v>1047</v>
      </c>
      <c r="B1049">
        <v>1</v>
      </c>
      <c r="C1049" s="58">
        <v>44748</v>
      </c>
      <c r="D1049" t="s">
        <v>27</v>
      </c>
      <c r="E1049" t="s">
        <v>2506</v>
      </c>
      <c r="F1049">
        <v>3</v>
      </c>
      <c r="G1049">
        <v>24</v>
      </c>
      <c r="H1049">
        <v>386</v>
      </c>
      <c r="I1049">
        <v>0</v>
      </c>
      <c r="J1049">
        <v>23.54</v>
      </c>
      <c r="K1049" t="s">
        <v>9</v>
      </c>
      <c r="L1049">
        <v>2319229.1800000002</v>
      </c>
      <c r="M1049">
        <v>0</v>
      </c>
      <c r="N1049">
        <v>2319229.1800000002</v>
      </c>
      <c r="O1049">
        <v>98522.904842820746</v>
      </c>
      <c r="P1049">
        <v>0</v>
      </c>
      <c r="Q1049">
        <v>2319229.1800000002</v>
      </c>
      <c r="R1049">
        <v>98522.904842820746</v>
      </c>
      <c r="S1049" t="s">
        <v>130</v>
      </c>
      <c r="T1049" t="s">
        <v>717</v>
      </c>
      <c r="U1049" t="s">
        <v>717</v>
      </c>
      <c r="V1049" t="s">
        <v>717</v>
      </c>
      <c r="W1049">
        <v>44744</v>
      </c>
      <c r="X1049" t="s">
        <v>6532</v>
      </c>
      <c r="Y1049" t="s">
        <v>6</v>
      </c>
      <c r="Z1049" t="s">
        <v>11</v>
      </c>
      <c r="AA1049" t="s">
        <v>717</v>
      </c>
      <c r="AB1049" t="s">
        <v>2509</v>
      </c>
      <c r="AC1049" t="s">
        <v>717</v>
      </c>
      <c r="AD1049" t="s">
        <v>717</v>
      </c>
      <c r="AE1049" t="s">
        <v>6533</v>
      </c>
      <c r="AF1049" t="s">
        <v>6534</v>
      </c>
      <c r="AG1049" t="s">
        <v>6535</v>
      </c>
      <c r="AH1049" t="s">
        <v>2615</v>
      </c>
      <c r="AI1049" t="s">
        <v>2552</v>
      </c>
      <c r="AJ1049" t="s">
        <v>2895</v>
      </c>
      <c r="AK1049" t="s">
        <v>63</v>
      </c>
      <c r="AL1049" t="s">
        <v>717</v>
      </c>
      <c r="AM1049" t="s">
        <v>10</v>
      </c>
      <c r="AN1049" t="s">
        <v>717</v>
      </c>
    </row>
    <row r="1050" spans="1:40" hidden="1">
      <c r="A1050">
        <v>1048</v>
      </c>
      <c r="B1050">
        <v>2</v>
      </c>
      <c r="C1050" s="58">
        <v>44754</v>
      </c>
      <c r="D1050" t="s">
        <v>27</v>
      </c>
      <c r="E1050" t="s">
        <v>2515</v>
      </c>
      <c r="F1050">
        <v>5</v>
      </c>
      <c r="G1050">
        <v>22</v>
      </c>
      <c r="H1050">
        <v>185</v>
      </c>
      <c r="I1050">
        <v>0</v>
      </c>
      <c r="J1050">
        <v>24.47</v>
      </c>
      <c r="K1050" t="s">
        <v>15</v>
      </c>
      <c r="L1050">
        <v>2671362</v>
      </c>
      <c r="M1050">
        <v>0</v>
      </c>
      <c r="N1050">
        <v>2671362</v>
      </c>
      <c r="O1050">
        <v>109168.85982836128</v>
      </c>
      <c r="P1050">
        <v>171289.99999999299</v>
      </c>
      <c r="Q1050">
        <v>2500072.000000007</v>
      </c>
      <c r="R1050">
        <v>102168.85982836154</v>
      </c>
      <c r="S1050" t="s">
        <v>65</v>
      </c>
      <c r="T1050" t="s">
        <v>5443</v>
      </c>
      <c r="U1050">
        <v>171289.99999999299</v>
      </c>
      <c r="V1050" t="s">
        <v>4131</v>
      </c>
      <c r="W1050">
        <v>44749</v>
      </c>
      <c r="X1050" t="s">
        <v>6536</v>
      </c>
      <c r="Y1050" t="s">
        <v>6</v>
      </c>
      <c r="Z1050" t="s">
        <v>17</v>
      </c>
      <c r="AA1050" t="s">
        <v>717</v>
      </c>
      <c r="AB1050" t="s">
        <v>2509</v>
      </c>
      <c r="AC1050" t="s">
        <v>2571</v>
      </c>
      <c r="AD1050" t="s">
        <v>717</v>
      </c>
      <c r="AE1050" t="s">
        <v>5681</v>
      </c>
      <c r="AF1050" t="s">
        <v>5682</v>
      </c>
      <c r="AG1050" t="s">
        <v>6537</v>
      </c>
      <c r="AH1050" t="s">
        <v>2580</v>
      </c>
      <c r="AI1050" t="s">
        <v>2600</v>
      </c>
      <c r="AJ1050" t="s">
        <v>3921</v>
      </c>
      <c r="AK1050" t="s">
        <v>63</v>
      </c>
      <c r="AL1050" t="s">
        <v>16</v>
      </c>
      <c r="AM1050" t="s">
        <v>10</v>
      </c>
      <c r="AN1050" t="s">
        <v>717</v>
      </c>
    </row>
    <row r="1051" spans="1:40" hidden="1">
      <c r="A1051">
        <v>1049</v>
      </c>
      <c r="B1051">
        <v>3</v>
      </c>
      <c r="C1051" s="58">
        <v>44761</v>
      </c>
      <c r="D1051" t="s">
        <v>27</v>
      </c>
      <c r="E1051" t="s">
        <v>2515</v>
      </c>
      <c r="F1051">
        <v>1</v>
      </c>
      <c r="G1051">
        <v>11</v>
      </c>
      <c r="H1051">
        <v>82</v>
      </c>
      <c r="I1051">
        <v>3</v>
      </c>
      <c r="J1051">
        <v>82.71</v>
      </c>
      <c r="K1051" t="s">
        <v>15</v>
      </c>
      <c r="L1051">
        <v>5894364.6100000003</v>
      </c>
      <c r="M1051">
        <v>0</v>
      </c>
      <c r="N1051">
        <v>5894364.6100000003</v>
      </c>
      <c r="O1051">
        <v>71265.440817313516</v>
      </c>
      <c r="P1051">
        <v>578970</v>
      </c>
      <c r="Q1051">
        <v>5315394.6100000003</v>
      </c>
      <c r="R1051">
        <v>64265.440817313523</v>
      </c>
      <c r="S1051" t="s">
        <v>65</v>
      </c>
      <c r="T1051" t="s">
        <v>5443</v>
      </c>
      <c r="U1051">
        <v>578969.99999999895</v>
      </c>
      <c r="V1051" t="s">
        <v>717</v>
      </c>
      <c r="W1051">
        <v>44747</v>
      </c>
      <c r="X1051" t="s">
        <v>6538</v>
      </c>
      <c r="Y1051" t="s">
        <v>6</v>
      </c>
      <c r="Z1051" t="s">
        <v>11</v>
      </c>
      <c r="AA1051" t="s">
        <v>717</v>
      </c>
      <c r="AB1051" t="s">
        <v>2509</v>
      </c>
      <c r="AC1051" t="s">
        <v>2558</v>
      </c>
      <c r="AD1051" t="s">
        <v>717</v>
      </c>
      <c r="AE1051" t="s">
        <v>6539</v>
      </c>
      <c r="AF1051" t="s">
        <v>6540</v>
      </c>
      <c r="AG1051" t="s">
        <v>6541</v>
      </c>
      <c r="AH1051" t="s">
        <v>2552</v>
      </c>
      <c r="AI1051" t="s">
        <v>2877</v>
      </c>
      <c r="AJ1051" t="s">
        <v>3098</v>
      </c>
      <c r="AK1051" t="s">
        <v>77</v>
      </c>
      <c r="AL1051" t="s">
        <v>16</v>
      </c>
      <c r="AM1051" t="s">
        <v>10</v>
      </c>
      <c r="AN1051" t="s">
        <v>717</v>
      </c>
    </row>
    <row r="1052" spans="1:40" hidden="1">
      <c r="A1052">
        <v>1050</v>
      </c>
      <c r="B1052">
        <v>4</v>
      </c>
      <c r="C1052" s="58">
        <v>44761</v>
      </c>
      <c r="D1052" t="s">
        <v>27</v>
      </c>
      <c r="E1052" t="s">
        <v>2515</v>
      </c>
      <c r="F1052">
        <v>1</v>
      </c>
      <c r="G1052">
        <v>10</v>
      </c>
      <c r="H1052">
        <v>73</v>
      </c>
      <c r="I1052">
        <v>3</v>
      </c>
      <c r="J1052">
        <v>82.71</v>
      </c>
      <c r="K1052" t="s">
        <v>15</v>
      </c>
      <c r="L1052">
        <v>5879365.2199999997</v>
      </c>
      <c r="M1052">
        <v>15000</v>
      </c>
      <c r="N1052">
        <v>5894365.2199999997</v>
      </c>
      <c r="O1052">
        <v>71265.448192479744</v>
      </c>
      <c r="P1052">
        <v>578970</v>
      </c>
      <c r="Q1052">
        <v>5315395.22</v>
      </c>
      <c r="R1052">
        <v>64265.448192479751</v>
      </c>
      <c r="S1052" t="s">
        <v>65</v>
      </c>
      <c r="T1052" t="s">
        <v>5443</v>
      </c>
      <c r="U1052">
        <v>578969.99999999499</v>
      </c>
      <c r="V1052" t="s">
        <v>6488</v>
      </c>
      <c r="W1052">
        <v>44753</v>
      </c>
      <c r="X1052" t="s">
        <v>6542</v>
      </c>
      <c r="Y1052" t="s">
        <v>6</v>
      </c>
      <c r="Z1052" t="s">
        <v>17</v>
      </c>
      <c r="AA1052" t="s">
        <v>717</v>
      </c>
      <c r="AB1052" t="s">
        <v>2509</v>
      </c>
      <c r="AC1052" t="s">
        <v>2571</v>
      </c>
      <c r="AD1052" t="s">
        <v>717</v>
      </c>
      <c r="AE1052" t="s">
        <v>6543</v>
      </c>
      <c r="AF1052" t="s">
        <v>6544</v>
      </c>
      <c r="AG1052" t="s">
        <v>6545</v>
      </c>
      <c r="AH1052" t="s">
        <v>2616</v>
      </c>
      <c r="AI1052" t="s">
        <v>2552</v>
      </c>
      <c r="AJ1052" t="s">
        <v>2895</v>
      </c>
      <c r="AK1052" t="s">
        <v>73</v>
      </c>
      <c r="AL1052" t="s">
        <v>16</v>
      </c>
      <c r="AM1052" t="s">
        <v>10</v>
      </c>
      <c r="AN1052" t="s">
        <v>717</v>
      </c>
    </row>
    <row r="1053" spans="1:40" hidden="1">
      <c r="A1053">
        <v>1051</v>
      </c>
      <c r="B1053">
        <v>5</v>
      </c>
      <c r="C1053" s="58">
        <v>44762</v>
      </c>
      <c r="D1053" t="s">
        <v>27</v>
      </c>
      <c r="E1053" t="s">
        <v>2515</v>
      </c>
      <c r="F1053">
        <v>8</v>
      </c>
      <c r="G1053">
        <v>11</v>
      </c>
      <c r="H1053">
        <v>89</v>
      </c>
      <c r="I1053">
        <v>1</v>
      </c>
      <c r="J1053">
        <v>37.69</v>
      </c>
      <c r="K1053" t="s">
        <v>15</v>
      </c>
      <c r="L1053">
        <v>3432001.65</v>
      </c>
      <c r="M1053">
        <v>0</v>
      </c>
      <c r="N1053">
        <v>3432001.65</v>
      </c>
      <c r="O1053">
        <v>91058.680021225795</v>
      </c>
      <c r="P1053">
        <v>263830</v>
      </c>
      <c r="Q1053">
        <v>3168171.65</v>
      </c>
      <c r="R1053">
        <v>84058.680021225795</v>
      </c>
      <c r="S1053" t="s">
        <v>65</v>
      </c>
      <c r="T1053" t="s">
        <v>5443</v>
      </c>
      <c r="U1053">
        <v>263830</v>
      </c>
      <c r="V1053" t="s">
        <v>4131</v>
      </c>
      <c r="W1053">
        <v>44762</v>
      </c>
      <c r="X1053" t="s">
        <v>6546</v>
      </c>
      <c r="Y1053" t="s">
        <v>6</v>
      </c>
      <c r="Z1053" t="s">
        <v>17</v>
      </c>
      <c r="AA1053" t="s">
        <v>717</v>
      </c>
      <c r="AB1053" t="s">
        <v>2509</v>
      </c>
      <c r="AC1053" t="s">
        <v>2571</v>
      </c>
      <c r="AD1053" t="s">
        <v>717</v>
      </c>
      <c r="AE1053" t="s">
        <v>6547</v>
      </c>
      <c r="AF1053" t="s">
        <v>6548</v>
      </c>
      <c r="AG1053" t="s">
        <v>6549</v>
      </c>
      <c r="AH1053" t="s">
        <v>2191</v>
      </c>
      <c r="AI1053" t="s">
        <v>2706</v>
      </c>
      <c r="AJ1053" t="s">
        <v>2514</v>
      </c>
      <c r="AK1053" t="s">
        <v>77</v>
      </c>
      <c r="AL1053" t="s">
        <v>16</v>
      </c>
      <c r="AM1053" t="s">
        <v>10</v>
      </c>
      <c r="AN1053" t="s">
        <v>717</v>
      </c>
    </row>
    <row r="1054" spans="1:40" hidden="1">
      <c r="A1054">
        <v>1052</v>
      </c>
      <c r="B1054">
        <v>6</v>
      </c>
      <c r="C1054" s="58">
        <v>44763</v>
      </c>
      <c r="D1054" t="s">
        <v>27</v>
      </c>
      <c r="E1054" t="s">
        <v>5456</v>
      </c>
      <c r="F1054">
        <v>1</v>
      </c>
      <c r="G1054">
        <v>5</v>
      </c>
      <c r="H1054">
        <v>858</v>
      </c>
      <c r="I1054">
        <v>1</v>
      </c>
      <c r="J1054">
        <v>37.15</v>
      </c>
      <c r="K1054" t="s">
        <v>15</v>
      </c>
      <c r="L1054">
        <v>3382987.48</v>
      </c>
      <c r="M1054">
        <v>0</v>
      </c>
      <c r="N1054">
        <v>3382987.48</v>
      </c>
      <c r="O1054">
        <v>91062.920053835798</v>
      </c>
      <c r="P1054">
        <v>260050</v>
      </c>
      <c r="Q1054">
        <v>3122937.48</v>
      </c>
      <c r="R1054">
        <v>84062.920053835798</v>
      </c>
      <c r="S1054" t="s">
        <v>65</v>
      </c>
      <c r="T1054" t="s">
        <v>5443</v>
      </c>
      <c r="U1054">
        <v>260050</v>
      </c>
      <c r="V1054" t="s">
        <v>4131</v>
      </c>
      <c r="W1054">
        <v>44755</v>
      </c>
      <c r="X1054" t="s">
        <v>6550</v>
      </c>
      <c r="Y1054" t="s">
        <v>6</v>
      </c>
      <c r="Z1054" t="s">
        <v>17</v>
      </c>
      <c r="AA1054" t="s">
        <v>717</v>
      </c>
      <c r="AB1054" t="s">
        <v>2509</v>
      </c>
      <c r="AC1054" t="s">
        <v>2571</v>
      </c>
      <c r="AD1054" t="s">
        <v>717</v>
      </c>
      <c r="AE1054" t="s">
        <v>6551</v>
      </c>
      <c r="AF1054" t="s">
        <v>6552</v>
      </c>
      <c r="AG1054" t="s">
        <v>6553</v>
      </c>
      <c r="AH1054" t="s">
        <v>2615</v>
      </c>
      <c r="AI1054" t="s">
        <v>6554</v>
      </c>
      <c r="AJ1054" t="s">
        <v>2895</v>
      </c>
      <c r="AK1054" t="s">
        <v>1046</v>
      </c>
      <c r="AL1054" t="s">
        <v>16</v>
      </c>
      <c r="AM1054" t="s">
        <v>5654</v>
      </c>
      <c r="AN1054" t="s">
        <v>717</v>
      </c>
    </row>
    <row r="1055" spans="1:40" hidden="1">
      <c r="A1055">
        <v>1053</v>
      </c>
      <c r="B1055">
        <v>7</v>
      </c>
      <c r="C1055" s="58">
        <v>44763</v>
      </c>
      <c r="D1055" t="s">
        <v>27</v>
      </c>
      <c r="E1055" t="s">
        <v>5456</v>
      </c>
      <c r="F1055">
        <v>3</v>
      </c>
      <c r="G1055">
        <v>8</v>
      </c>
      <c r="H1055">
        <v>887</v>
      </c>
      <c r="I1055">
        <v>1</v>
      </c>
      <c r="J1055">
        <v>37.31</v>
      </c>
      <c r="K1055" t="s">
        <v>15</v>
      </c>
      <c r="L1055">
        <v>3267287.44</v>
      </c>
      <c r="M1055">
        <v>0</v>
      </c>
      <c r="N1055">
        <v>3267287.44</v>
      </c>
      <c r="O1055">
        <v>87571.359957116045</v>
      </c>
      <c r="P1055">
        <v>279825</v>
      </c>
      <c r="Q1055">
        <v>2987462.44</v>
      </c>
      <c r="R1055">
        <v>80071.359957116045</v>
      </c>
      <c r="S1055" t="s">
        <v>65</v>
      </c>
      <c r="T1055" t="s">
        <v>5443</v>
      </c>
      <c r="U1055">
        <v>279825</v>
      </c>
      <c r="V1055" t="s">
        <v>4131</v>
      </c>
      <c r="W1055">
        <v>44760</v>
      </c>
      <c r="X1055" t="s">
        <v>6555</v>
      </c>
      <c r="Y1055" t="s">
        <v>6</v>
      </c>
      <c r="Z1055" t="s">
        <v>17</v>
      </c>
      <c r="AA1055" t="s">
        <v>717</v>
      </c>
      <c r="AB1055" t="s">
        <v>2509</v>
      </c>
      <c r="AC1055" t="s">
        <v>2571</v>
      </c>
      <c r="AD1055" t="s">
        <v>717</v>
      </c>
      <c r="AE1055" t="s">
        <v>6556</v>
      </c>
      <c r="AF1055" t="s">
        <v>6557</v>
      </c>
      <c r="AG1055" t="s">
        <v>6558</v>
      </c>
      <c r="AH1055" t="s">
        <v>2191</v>
      </c>
      <c r="AI1055" t="s">
        <v>2552</v>
      </c>
      <c r="AJ1055" t="s">
        <v>2569</v>
      </c>
      <c r="AK1055" t="s">
        <v>77</v>
      </c>
      <c r="AL1055" t="s">
        <v>16</v>
      </c>
      <c r="AM1055" t="s">
        <v>10</v>
      </c>
      <c r="AN1055" t="s">
        <v>717</v>
      </c>
    </row>
    <row r="1056" spans="1:40" hidden="1">
      <c r="A1056">
        <v>1054</v>
      </c>
      <c r="B1056">
        <v>8</v>
      </c>
      <c r="C1056" s="58">
        <v>44764</v>
      </c>
      <c r="D1056" t="s">
        <v>27</v>
      </c>
      <c r="E1056" t="s">
        <v>5456</v>
      </c>
      <c r="F1056">
        <v>3</v>
      </c>
      <c r="G1056">
        <v>5</v>
      </c>
      <c r="H1056">
        <v>860</v>
      </c>
      <c r="I1056">
        <v>1</v>
      </c>
      <c r="J1056">
        <v>37.31</v>
      </c>
      <c r="K1056" t="s">
        <v>15</v>
      </c>
      <c r="L1056">
        <v>3267287.44</v>
      </c>
      <c r="M1056">
        <v>0</v>
      </c>
      <c r="N1056">
        <v>3267287.44</v>
      </c>
      <c r="O1056">
        <v>87571.359957116045</v>
      </c>
      <c r="P1056">
        <v>279825</v>
      </c>
      <c r="Q1056">
        <v>2987462.44</v>
      </c>
      <c r="R1056">
        <v>80071.359957116045</v>
      </c>
      <c r="S1056" t="s">
        <v>65</v>
      </c>
      <c r="T1056" t="s">
        <v>5443</v>
      </c>
      <c r="U1056">
        <v>279825</v>
      </c>
      <c r="V1056" t="s">
        <v>4131</v>
      </c>
      <c r="W1056">
        <v>44761</v>
      </c>
      <c r="X1056" t="s">
        <v>6559</v>
      </c>
      <c r="Y1056" t="s">
        <v>6</v>
      </c>
      <c r="Z1056" t="s">
        <v>17</v>
      </c>
      <c r="AA1056" t="s">
        <v>717</v>
      </c>
      <c r="AB1056" t="s">
        <v>2509</v>
      </c>
      <c r="AC1056" t="s">
        <v>2571</v>
      </c>
      <c r="AD1056" t="s">
        <v>717</v>
      </c>
      <c r="AE1056" t="s">
        <v>6560</v>
      </c>
      <c r="AF1056" t="s">
        <v>6561</v>
      </c>
      <c r="AG1056" t="s">
        <v>6562</v>
      </c>
      <c r="AH1056" t="s">
        <v>2191</v>
      </c>
      <c r="AI1056" t="s">
        <v>2834</v>
      </c>
      <c r="AJ1056" t="s">
        <v>6110</v>
      </c>
      <c r="AK1056" t="s">
        <v>73</v>
      </c>
      <c r="AL1056" t="s">
        <v>16</v>
      </c>
      <c r="AM1056" t="s">
        <v>10</v>
      </c>
      <c r="AN1056" t="s">
        <v>717</v>
      </c>
    </row>
    <row r="1057" spans="1:40" hidden="1">
      <c r="A1057">
        <v>1055</v>
      </c>
      <c r="B1057">
        <v>9</v>
      </c>
      <c r="C1057" s="58">
        <v>44767</v>
      </c>
      <c r="D1057" t="s">
        <v>121</v>
      </c>
      <c r="E1057" t="s">
        <v>2515</v>
      </c>
      <c r="F1057">
        <v>6</v>
      </c>
      <c r="G1057">
        <v>7</v>
      </c>
      <c r="H1057">
        <v>41</v>
      </c>
      <c r="I1057">
        <v>2</v>
      </c>
      <c r="J1057">
        <v>61.7</v>
      </c>
      <c r="K1057" t="s">
        <v>9</v>
      </c>
      <c r="L1057">
        <v>5349785.9800000004</v>
      </c>
      <c r="M1057">
        <v>0</v>
      </c>
      <c r="N1057">
        <v>5349785.9800000004</v>
      </c>
      <c r="O1057">
        <v>86706.417828200982</v>
      </c>
      <c r="P1057">
        <v>0</v>
      </c>
      <c r="Q1057">
        <v>5349785.9800000004</v>
      </c>
      <c r="R1057">
        <v>86706.417828200982</v>
      </c>
      <c r="S1057" t="s">
        <v>65</v>
      </c>
      <c r="T1057" t="s">
        <v>2941</v>
      </c>
      <c r="U1057">
        <v>400000</v>
      </c>
      <c r="V1057" t="s">
        <v>4131</v>
      </c>
      <c r="W1057">
        <v>44764</v>
      </c>
      <c r="X1057" t="s">
        <v>6563</v>
      </c>
      <c r="Y1057" t="s">
        <v>6</v>
      </c>
      <c r="Z1057" t="s">
        <v>17</v>
      </c>
      <c r="AA1057" t="s">
        <v>717</v>
      </c>
      <c r="AB1057" t="s">
        <v>326</v>
      </c>
      <c r="AC1057" t="s">
        <v>2571</v>
      </c>
      <c r="AD1057" t="s">
        <v>717</v>
      </c>
      <c r="AE1057" t="s">
        <v>6564</v>
      </c>
      <c r="AF1057" t="s">
        <v>6565</v>
      </c>
      <c r="AG1057" t="s">
        <v>6566</v>
      </c>
      <c r="AH1057" t="s">
        <v>2615</v>
      </c>
      <c r="AI1057" t="s">
        <v>2552</v>
      </c>
      <c r="AJ1057" t="s">
        <v>2895</v>
      </c>
      <c r="AK1057" t="s">
        <v>73</v>
      </c>
      <c r="AL1057" t="s">
        <v>16</v>
      </c>
      <c r="AM1057" t="s">
        <v>10</v>
      </c>
      <c r="AN1057" t="s">
        <v>717</v>
      </c>
    </row>
    <row r="1058" spans="1:40" hidden="1">
      <c r="A1058">
        <v>1056</v>
      </c>
      <c r="B1058">
        <v>10</v>
      </c>
      <c r="C1058" s="58">
        <v>44770</v>
      </c>
      <c r="D1058" t="s">
        <v>27</v>
      </c>
      <c r="E1058" t="s">
        <v>4409</v>
      </c>
      <c r="F1058">
        <v>1</v>
      </c>
      <c r="G1058">
        <v>13</v>
      </c>
      <c r="H1058">
        <v>600</v>
      </c>
      <c r="I1058">
        <v>3</v>
      </c>
      <c r="J1058">
        <v>82.27</v>
      </c>
      <c r="K1058" t="s">
        <v>9</v>
      </c>
      <c r="L1058">
        <v>5657137.6600000001</v>
      </c>
      <c r="M1058">
        <v>15000</v>
      </c>
      <c r="N1058">
        <v>5672137.6600000001</v>
      </c>
      <c r="O1058">
        <v>68945.395162270579</v>
      </c>
      <c r="P1058">
        <v>0</v>
      </c>
      <c r="Q1058">
        <v>5672137.6600000001</v>
      </c>
      <c r="R1058">
        <v>68945.395162270579</v>
      </c>
      <c r="S1058" t="s">
        <v>65</v>
      </c>
      <c r="T1058" t="s">
        <v>2941</v>
      </c>
      <c r="U1058">
        <v>150000</v>
      </c>
      <c r="V1058" t="s">
        <v>4131</v>
      </c>
      <c r="W1058">
        <v>44756</v>
      </c>
      <c r="X1058" t="s">
        <v>6567</v>
      </c>
      <c r="Y1058" t="s">
        <v>6</v>
      </c>
      <c r="Z1058" t="s">
        <v>17</v>
      </c>
      <c r="AA1058" t="s">
        <v>717</v>
      </c>
      <c r="AB1058" t="s">
        <v>2509</v>
      </c>
      <c r="AC1058" t="s">
        <v>2571</v>
      </c>
      <c r="AD1058" t="s">
        <v>717</v>
      </c>
      <c r="AE1058" t="s">
        <v>6568</v>
      </c>
      <c r="AF1058" t="s">
        <v>6569</v>
      </c>
      <c r="AG1058" t="s">
        <v>6570</v>
      </c>
      <c r="AH1058" t="s">
        <v>2552</v>
      </c>
      <c r="AI1058" t="s">
        <v>2552</v>
      </c>
      <c r="AJ1058" t="s">
        <v>2895</v>
      </c>
      <c r="AK1058" t="s">
        <v>1046</v>
      </c>
      <c r="AL1058" t="s">
        <v>16</v>
      </c>
      <c r="AM1058" t="s">
        <v>10</v>
      </c>
      <c r="AN1058" t="s">
        <v>717</v>
      </c>
    </row>
    <row r="1059" spans="1:40" hidden="1">
      <c r="A1059">
        <v>1057</v>
      </c>
      <c r="B1059">
        <v>1</v>
      </c>
      <c r="C1059" s="58">
        <v>44774</v>
      </c>
      <c r="D1059" t="s">
        <v>7</v>
      </c>
      <c r="E1059" t="s">
        <v>2515</v>
      </c>
      <c r="F1059">
        <v>7</v>
      </c>
      <c r="G1059">
        <v>15</v>
      </c>
      <c r="H1059">
        <v>111</v>
      </c>
      <c r="I1059">
        <v>0</v>
      </c>
      <c r="J1059">
        <v>21.75</v>
      </c>
      <c r="K1059" t="s">
        <v>15</v>
      </c>
      <c r="L1059">
        <v>1807425</v>
      </c>
      <c r="M1059">
        <v>0</v>
      </c>
      <c r="N1059">
        <v>1807425</v>
      </c>
      <c r="O1059">
        <v>83100</v>
      </c>
      <c r="P1059">
        <v>163125</v>
      </c>
      <c r="Q1059">
        <v>1644300</v>
      </c>
      <c r="R1059">
        <v>75600</v>
      </c>
      <c r="S1059" t="s">
        <v>130</v>
      </c>
      <c r="T1059" t="s">
        <v>717</v>
      </c>
      <c r="U1059" t="s">
        <v>717</v>
      </c>
      <c r="V1059" t="s">
        <v>717</v>
      </c>
      <c r="W1059">
        <v>44767</v>
      </c>
      <c r="X1059" t="s">
        <v>6571</v>
      </c>
      <c r="Y1059" t="s">
        <v>2611</v>
      </c>
      <c r="Z1059" t="s">
        <v>17</v>
      </c>
      <c r="AA1059" t="s">
        <v>717</v>
      </c>
      <c r="AB1059" t="s">
        <v>2509</v>
      </c>
      <c r="AC1059" t="s">
        <v>717</v>
      </c>
      <c r="AD1059">
        <v>45240</v>
      </c>
      <c r="AE1059" t="s">
        <v>2964</v>
      </c>
      <c r="AF1059" t="s">
        <v>2965</v>
      </c>
      <c r="AG1059" t="s">
        <v>6572</v>
      </c>
      <c r="AH1059" t="s">
        <v>2191</v>
      </c>
      <c r="AI1059" t="s">
        <v>2600</v>
      </c>
      <c r="AJ1059" t="s">
        <v>3921</v>
      </c>
      <c r="AK1059" t="s">
        <v>73</v>
      </c>
      <c r="AL1059" t="s">
        <v>717</v>
      </c>
      <c r="AM1059" t="s">
        <v>10</v>
      </c>
      <c r="AN1059" t="s">
        <v>6573</v>
      </c>
    </row>
    <row r="1060" spans="1:40" hidden="1">
      <c r="A1060">
        <v>1058</v>
      </c>
      <c r="B1060">
        <v>2</v>
      </c>
      <c r="C1060" s="58">
        <v>44776</v>
      </c>
      <c r="D1060" t="s">
        <v>7</v>
      </c>
      <c r="E1060" t="s">
        <v>2581</v>
      </c>
      <c r="F1060">
        <v>7</v>
      </c>
      <c r="G1060">
        <v>13</v>
      </c>
      <c r="H1060">
        <v>324</v>
      </c>
      <c r="I1060">
        <v>1</v>
      </c>
      <c r="J1060">
        <v>33.840000000000003</v>
      </c>
      <c r="K1060" t="s">
        <v>15</v>
      </c>
      <c r="L1060">
        <v>2765912.4</v>
      </c>
      <c r="M1060">
        <v>0</v>
      </c>
      <c r="N1060">
        <v>2765912.4</v>
      </c>
      <c r="O1060">
        <v>81734.999999999985</v>
      </c>
      <c r="P1060">
        <v>253799.99999999953</v>
      </c>
      <c r="Q1060">
        <v>2512112.4000000004</v>
      </c>
      <c r="R1060">
        <v>74235</v>
      </c>
      <c r="S1060" t="s">
        <v>130</v>
      </c>
      <c r="T1060" t="s">
        <v>717</v>
      </c>
      <c r="U1060" t="s">
        <v>717</v>
      </c>
      <c r="V1060" t="s">
        <v>717</v>
      </c>
      <c r="W1060">
        <v>44771</v>
      </c>
      <c r="X1060" t="s">
        <v>6574</v>
      </c>
      <c r="Y1060" t="s">
        <v>6</v>
      </c>
      <c r="Z1060" t="s">
        <v>17</v>
      </c>
      <c r="AA1060" t="s">
        <v>717</v>
      </c>
      <c r="AB1060" t="s">
        <v>2509</v>
      </c>
      <c r="AC1060" t="s">
        <v>717</v>
      </c>
      <c r="AD1060" t="s">
        <v>717</v>
      </c>
      <c r="AE1060" t="s">
        <v>6575</v>
      </c>
      <c r="AF1060" t="s">
        <v>6576</v>
      </c>
      <c r="AG1060" t="s">
        <v>6577</v>
      </c>
      <c r="AH1060" t="s">
        <v>2616</v>
      </c>
      <c r="AI1060" t="s">
        <v>2552</v>
      </c>
      <c r="AJ1060" t="s">
        <v>2662</v>
      </c>
      <c r="AK1060" t="s">
        <v>77</v>
      </c>
      <c r="AL1060" t="s">
        <v>717</v>
      </c>
      <c r="AM1060" t="s">
        <v>10</v>
      </c>
      <c r="AN1060" t="s">
        <v>717</v>
      </c>
    </row>
    <row r="1061" spans="1:40" hidden="1">
      <c r="A1061">
        <v>1059</v>
      </c>
      <c r="B1061">
        <v>3</v>
      </c>
      <c r="C1061" s="58">
        <v>44777</v>
      </c>
      <c r="D1061" t="s">
        <v>7</v>
      </c>
      <c r="E1061" t="s">
        <v>2581</v>
      </c>
      <c r="F1061">
        <v>7</v>
      </c>
      <c r="G1061">
        <v>11</v>
      </c>
      <c r="H1061">
        <v>310</v>
      </c>
      <c r="I1061">
        <v>1</v>
      </c>
      <c r="J1061">
        <v>33.840000000000003</v>
      </c>
      <c r="K1061" t="s">
        <v>9</v>
      </c>
      <c r="L1061">
        <v>2377488</v>
      </c>
      <c r="M1061">
        <v>15000</v>
      </c>
      <c r="N1061">
        <v>2392488</v>
      </c>
      <c r="O1061">
        <v>70700</v>
      </c>
      <c r="P1061">
        <v>0</v>
      </c>
      <c r="Q1061">
        <v>2392488</v>
      </c>
      <c r="R1061">
        <v>70700</v>
      </c>
      <c r="S1061" t="s">
        <v>65</v>
      </c>
      <c r="T1061" t="s">
        <v>717</v>
      </c>
      <c r="U1061" t="s">
        <v>717</v>
      </c>
      <c r="V1061" t="s">
        <v>4131</v>
      </c>
      <c r="W1061">
        <v>44774</v>
      </c>
      <c r="X1061" t="s">
        <v>6578</v>
      </c>
      <c r="Y1061" t="s">
        <v>6</v>
      </c>
      <c r="Z1061" t="s">
        <v>17</v>
      </c>
      <c r="AA1061" t="s">
        <v>717</v>
      </c>
      <c r="AB1061" t="s">
        <v>2509</v>
      </c>
      <c r="AC1061" t="s">
        <v>2571</v>
      </c>
      <c r="AD1061" t="s">
        <v>717</v>
      </c>
      <c r="AE1061" t="s">
        <v>6579</v>
      </c>
      <c r="AF1061" t="s">
        <v>6580</v>
      </c>
      <c r="AG1061" t="s">
        <v>6581</v>
      </c>
      <c r="AH1061" t="s">
        <v>2552</v>
      </c>
      <c r="AI1061" t="s">
        <v>2552</v>
      </c>
      <c r="AJ1061" t="s">
        <v>2895</v>
      </c>
      <c r="AK1061" t="s">
        <v>73</v>
      </c>
      <c r="AL1061" t="s">
        <v>16</v>
      </c>
      <c r="AM1061" t="s">
        <v>10</v>
      </c>
      <c r="AN1061" t="s">
        <v>717</v>
      </c>
    </row>
    <row r="1062" spans="1:40" hidden="1">
      <c r="A1062">
        <v>1060</v>
      </c>
      <c r="B1062">
        <v>4</v>
      </c>
      <c r="C1062" s="58">
        <v>44778</v>
      </c>
      <c r="D1062" t="s">
        <v>7</v>
      </c>
      <c r="E1062" t="s">
        <v>2506</v>
      </c>
      <c r="F1062">
        <v>6</v>
      </c>
      <c r="G1062">
        <v>3</v>
      </c>
      <c r="H1062">
        <v>134</v>
      </c>
      <c r="I1062">
        <v>1</v>
      </c>
      <c r="J1062">
        <v>36.659999999999997</v>
      </c>
      <c r="K1062" t="s">
        <v>15</v>
      </c>
      <c r="L1062">
        <v>2925468</v>
      </c>
      <c r="M1062">
        <v>0</v>
      </c>
      <c r="N1062">
        <v>2925468</v>
      </c>
      <c r="O1062">
        <v>79800.000000000015</v>
      </c>
      <c r="P1062">
        <v>256620</v>
      </c>
      <c r="Q1062">
        <v>2668848</v>
      </c>
      <c r="R1062">
        <v>72800</v>
      </c>
      <c r="S1062" t="s">
        <v>65</v>
      </c>
      <c r="T1062" t="s">
        <v>717</v>
      </c>
      <c r="U1062" t="s">
        <v>717</v>
      </c>
      <c r="V1062" t="s">
        <v>6312</v>
      </c>
      <c r="W1062">
        <v>44773</v>
      </c>
      <c r="X1062" t="s">
        <v>6582</v>
      </c>
      <c r="Y1062" t="s">
        <v>6</v>
      </c>
      <c r="Z1062" t="s">
        <v>17</v>
      </c>
      <c r="AA1062" t="s">
        <v>717</v>
      </c>
      <c r="AB1062" t="s">
        <v>2509</v>
      </c>
      <c r="AC1062" t="s">
        <v>2571</v>
      </c>
      <c r="AD1062" t="s">
        <v>717</v>
      </c>
      <c r="AE1062" t="s">
        <v>6583</v>
      </c>
      <c r="AF1062" t="s">
        <v>6584</v>
      </c>
      <c r="AG1062" t="s">
        <v>6585</v>
      </c>
      <c r="AH1062" t="s">
        <v>2580</v>
      </c>
      <c r="AI1062" t="s">
        <v>2552</v>
      </c>
      <c r="AJ1062" t="s">
        <v>3921</v>
      </c>
      <c r="AK1062" t="s">
        <v>63</v>
      </c>
      <c r="AL1062" t="s">
        <v>16</v>
      </c>
      <c r="AM1062" t="s">
        <v>10</v>
      </c>
      <c r="AN1062" t="s">
        <v>717</v>
      </c>
    </row>
    <row r="1063" spans="1:40" hidden="1">
      <c r="A1063">
        <v>1061</v>
      </c>
      <c r="B1063">
        <v>5</v>
      </c>
      <c r="C1063" s="58">
        <v>44778</v>
      </c>
      <c r="D1063" t="s">
        <v>7</v>
      </c>
      <c r="E1063" t="s">
        <v>2581</v>
      </c>
      <c r="F1063">
        <v>7</v>
      </c>
      <c r="G1063">
        <v>14</v>
      </c>
      <c r="H1063">
        <v>331</v>
      </c>
      <c r="I1063">
        <v>1</v>
      </c>
      <c r="J1063">
        <v>33.840000000000003</v>
      </c>
      <c r="K1063" t="s">
        <v>25</v>
      </c>
      <c r="L1063">
        <v>3054288</v>
      </c>
      <c r="M1063">
        <v>15000</v>
      </c>
      <c r="N1063">
        <v>3069288</v>
      </c>
      <c r="O1063">
        <v>90699.999999999985</v>
      </c>
      <c r="P1063">
        <v>676800</v>
      </c>
      <c r="Q1063">
        <v>2392488</v>
      </c>
      <c r="R1063">
        <v>70700</v>
      </c>
      <c r="S1063" t="s">
        <v>65</v>
      </c>
      <c r="T1063" t="s">
        <v>717</v>
      </c>
      <c r="U1063" t="s">
        <v>717</v>
      </c>
      <c r="V1063" t="s">
        <v>4131</v>
      </c>
      <c r="W1063">
        <v>44773</v>
      </c>
      <c r="X1063" t="s">
        <v>6586</v>
      </c>
      <c r="Y1063" t="s">
        <v>6</v>
      </c>
      <c r="Z1063" t="s">
        <v>17</v>
      </c>
      <c r="AA1063" t="s">
        <v>717</v>
      </c>
      <c r="AB1063" t="s">
        <v>2509</v>
      </c>
      <c r="AC1063" t="s">
        <v>2571</v>
      </c>
      <c r="AD1063" t="s">
        <v>717</v>
      </c>
      <c r="AE1063" t="s">
        <v>6587</v>
      </c>
      <c r="AF1063" t="s">
        <v>6588</v>
      </c>
      <c r="AG1063" t="s">
        <v>6589</v>
      </c>
      <c r="AH1063" t="s">
        <v>2615</v>
      </c>
      <c r="AI1063" t="s">
        <v>2552</v>
      </c>
      <c r="AJ1063" t="s">
        <v>3330</v>
      </c>
      <c r="AK1063" t="s">
        <v>63</v>
      </c>
      <c r="AL1063" t="s">
        <v>16</v>
      </c>
      <c r="AM1063" t="s">
        <v>10</v>
      </c>
      <c r="AN1063" t="s">
        <v>717</v>
      </c>
    </row>
    <row r="1064" spans="1:40" hidden="1">
      <c r="A1064">
        <v>1062</v>
      </c>
      <c r="B1064">
        <v>6</v>
      </c>
      <c r="C1064" s="58">
        <v>44781</v>
      </c>
      <c r="D1064" t="s">
        <v>7</v>
      </c>
      <c r="E1064" t="s">
        <v>2515</v>
      </c>
      <c r="F1064">
        <v>8</v>
      </c>
      <c r="G1064">
        <v>3</v>
      </c>
      <c r="H1064">
        <v>16</v>
      </c>
      <c r="I1064">
        <v>0</v>
      </c>
      <c r="J1064">
        <v>21.73</v>
      </c>
      <c r="K1064" t="s">
        <v>9</v>
      </c>
      <c r="L1064">
        <v>1627788</v>
      </c>
      <c r="M1064">
        <v>15000</v>
      </c>
      <c r="N1064">
        <v>1642788</v>
      </c>
      <c r="O1064">
        <v>75600</v>
      </c>
      <c r="P1064">
        <v>0</v>
      </c>
      <c r="Q1064">
        <v>1642788</v>
      </c>
      <c r="R1064">
        <v>75600</v>
      </c>
      <c r="S1064" t="s">
        <v>65</v>
      </c>
      <c r="T1064" t="s">
        <v>717</v>
      </c>
      <c r="U1064" t="s">
        <v>717</v>
      </c>
      <c r="V1064" t="s">
        <v>4131</v>
      </c>
      <c r="W1064">
        <v>44770</v>
      </c>
      <c r="X1064" t="s">
        <v>6590</v>
      </c>
      <c r="Y1064" t="s">
        <v>6</v>
      </c>
      <c r="Z1064" t="s">
        <v>17</v>
      </c>
      <c r="AA1064" t="s">
        <v>717</v>
      </c>
      <c r="AB1064" t="s">
        <v>2509</v>
      </c>
      <c r="AC1064" t="s">
        <v>2571</v>
      </c>
      <c r="AD1064" t="s">
        <v>717</v>
      </c>
      <c r="AE1064" t="s">
        <v>6591</v>
      </c>
      <c r="AF1064" t="s">
        <v>6592</v>
      </c>
      <c r="AG1064" t="s">
        <v>6593</v>
      </c>
      <c r="AH1064" t="s">
        <v>2191</v>
      </c>
      <c r="AI1064" t="s">
        <v>2706</v>
      </c>
      <c r="AJ1064" t="s">
        <v>2514</v>
      </c>
      <c r="AK1064" t="s">
        <v>77</v>
      </c>
      <c r="AL1064" t="s">
        <v>16</v>
      </c>
      <c r="AM1064" t="s">
        <v>10</v>
      </c>
      <c r="AN1064" t="s">
        <v>717</v>
      </c>
    </row>
    <row r="1065" spans="1:40" hidden="1">
      <c r="A1065">
        <v>1063</v>
      </c>
      <c r="B1065">
        <v>7</v>
      </c>
      <c r="C1065" s="58">
        <v>44781</v>
      </c>
      <c r="D1065" t="s">
        <v>27</v>
      </c>
      <c r="E1065" t="s">
        <v>5456</v>
      </c>
      <c r="F1065">
        <v>1</v>
      </c>
      <c r="G1065">
        <v>8</v>
      </c>
      <c r="H1065">
        <v>885</v>
      </c>
      <c r="I1065">
        <v>1</v>
      </c>
      <c r="J1065">
        <v>37.15</v>
      </c>
      <c r="K1065" t="s">
        <v>15</v>
      </c>
      <c r="L1065">
        <v>3367987.48</v>
      </c>
      <c r="M1065">
        <v>15000</v>
      </c>
      <c r="N1065">
        <v>3382987.48</v>
      </c>
      <c r="O1065">
        <v>91062.920053835798</v>
      </c>
      <c r="P1065">
        <v>260050</v>
      </c>
      <c r="Q1065">
        <v>3122937.48</v>
      </c>
      <c r="R1065">
        <v>84062.920053835798</v>
      </c>
      <c r="S1065" t="s">
        <v>65</v>
      </c>
      <c r="T1065" t="s">
        <v>5443</v>
      </c>
      <c r="U1065">
        <v>260050</v>
      </c>
      <c r="V1065" t="s">
        <v>4131</v>
      </c>
      <c r="W1065">
        <v>44771</v>
      </c>
      <c r="X1065" t="s">
        <v>6594</v>
      </c>
      <c r="Y1065" t="s">
        <v>6</v>
      </c>
      <c r="Z1065" t="s">
        <v>17</v>
      </c>
      <c r="AA1065" t="s">
        <v>717</v>
      </c>
      <c r="AB1065" t="s">
        <v>2509</v>
      </c>
      <c r="AC1065" t="s">
        <v>2571</v>
      </c>
      <c r="AD1065" t="s">
        <v>717</v>
      </c>
      <c r="AE1065" t="s">
        <v>6595</v>
      </c>
      <c r="AF1065" t="s">
        <v>6596</v>
      </c>
      <c r="AG1065" t="s">
        <v>6597</v>
      </c>
      <c r="AH1065" t="s">
        <v>2615</v>
      </c>
      <c r="AI1065" t="s">
        <v>2552</v>
      </c>
      <c r="AJ1065" t="s">
        <v>2895</v>
      </c>
      <c r="AK1065" t="s">
        <v>77</v>
      </c>
      <c r="AL1065" t="s">
        <v>16</v>
      </c>
      <c r="AM1065" t="s">
        <v>10</v>
      </c>
      <c r="AN1065" t="s">
        <v>717</v>
      </c>
    </row>
    <row r="1066" spans="1:40" hidden="1">
      <c r="A1066">
        <v>1064</v>
      </c>
      <c r="B1066">
        <v>8</v>
      </c>
      <c r="C1066" s="58">
        <v>44781</v>
      </c>
      <c r="D1066" t="s">
        <v>7</v>
      </c>
      <c r="E1066" t="s">
        <v>2506</v>
      </c>
      <c r="F1066">
        <v>8</v>
      </c>
      <c r="G1066">
        <v>2</v>
      </c>
      <c r="H1066">
        <v>128</v>
      </c>
      <c r="I1066">
        <v>1</v>
      </c>
      <c r="J1066">
        <v>33.79</v>
      </c>
      <c r="K1066" t="s">
        <v>15</v>
      </c>
      <c r="L1066">
        <v>2595483</v>
      </c>
      <c r="M1066">
        <v>30000</v>
      </c>
      <c r="N1066">
        <v>2625483</v>
      </c>
      <c r="O1066">
        <v>77700</v>
      </c>
      <c r="P1066">
        <v>236530</v>
      </c>
      <c r="Q1066">
        <v>2388953</v>
      </c>
      <c r="R1066">
        <v>70700</v>
      </c>
      <c r="S1066" t="s">
        <v>65</v>
      </c>
      <c r="T1066" t="s">
        <v>717</v>
      </c>
      <c r="U1066" t="s">
        <v>717</v>
      </c>
      <c r="V1066" t="s">
        <v>6312</v>
      </c>
      <c r="W1066">
        <v>44773</v>
      </c>
      <c r="X1066" t="s">
        <v>6598</v>
      </c>
      <c r="Y1066" t="s">
        <v>6</v>
      </c>
      <c r="Z1066" t="s">
        <v>17</v>
      </c>
      <c r="AA1066" t="s">
        <v>717</v>
      </c>
      <c r="AB1066" t="s">
        <v>2509</v>
      </c>
      <c r="AC1066" t="s">
        <v>2571</v>
      </c>
      <c r="AD1066" t="s">
        <v>717</v>
      </c>
      <c r="AE1066" t="s">
        <v>6583</v>
      </c>
      <c r="AF1066" t="s">
        <v>6584</v>
      </c>
      <c r="AG1066" t="s">
        <v>6585</v>
      </c>
      <c r="AH1066" t="s">
        <v>2191</v>
      </c>
      <c r="AI1066" t="s">
        <v>2552</v>
      </c>
      <c r="AJ1066" t="s">
        <v>2514</v>
      </c>
      <c r="AK1066" t="s">
        <v>63</v>
      </c>
      <c r="AL1066" t="s">
        <v>16</v>
      </c>
      <c r="AM1066" t="s">
        <v>10</v>
      </c>
      <c r="AN1066" t="s">
        <v>717</v>
      </c>
    </row>
    <row r="1067" spans="1:40" hidden="1">
      <c r="A1067">
        <v>1065</v>
      </c>
      <c r="B1067">
        <v>9</v>
      </c>
      <c r="C1067" s="58">
        <v>44783</v>
      </c>
      <c r="D1067" t="s">
        <v>7</v>
      </c>
      <c r="E1067" t="s">
        <v>2515</v>
      </c>
      <c r="F1067">
        <v>7</v>
      </c>
      <c r="G1067">
        <v>13</v>
      </c>
      <c r="H1067">
        <v>95</v>
      </c>
      <c r="I1067">
        <v>0</v>
      </c>
      <c r="J1067">
        <v>21.75</v>
      </c>
      <c r="K1067" t="s">
        <v>15</v>
      </c>
      <c r="L1067">
        <v>1792425</v>
      </c>
      <c r="M1067">
        <v>15000</v>
      </c>
      <c r="N1067">
        <v>1807425</v>
      </c>
      <c r="O1067">
        <v>83100</v>
      </c>
      <c r="P1067">
        <v>163125</v>
      </c>
      <c r="Q1067">
        <v>1644300</v>
      </c>
      <c r="R1067">
        <v>75600</v>
      </c>
      <c r="S1067" t="s">
        <v>2507</v>
      </c>
      <c r="T1067" t="s">
        <v>717</v>
      </c>
      <c r="U1067" t="s">
        <v>717</v>
      </c>
      <c r="V1067" t="s">
        <v>717</v>
      </c>
      <c r="W1067">
        <v>44773</v>
      </c>
      <c r="X1067" t="s">
        <v>6599</v>
      </c>
      <c r="Y1067" t="s">
        <v>6</v>
      </c>
      <c r="Z1067" t="s">
        <v>11</v>
      </c>
      <c r="AA1067" t="s">
        <v>717</v>
      </c>
      <c r="AB1067" t="s">
        <v>2509</v>
      </c>
      <c r="AC1067" t="s">
        <v>717</v>
      </c>
      <c r="AD1067" t="s">
        <v>717</v>
      </c>
      <c r="AE1067" t="s">
        <v>4033</v>
      </c>
      <c r="AF1067" t="s">
        <v>4034</v>
      </c>
      <c r="AG1067" t="s">
        <v>6600</v>
      </c>
      <c r="AH1067" t="s">
        <v>2191</v>
      </c>
      <c r="AI1067" t="s">
        <v>2834</v>
      </c>
      <c r="AJ1067" t="s">
        <v>6110</v>
      </c>
      <c r="AK1067" t="s">
        <v>73</v>
      </c>
      <c r="AL1067" t="s">
        <v>717</v>
      </c>
      <c r="AM1067" t="s">
        <v>10</v>
      </c>
      <c r="AN1067" t="s">
        <v>717</v>
      </c>
    </row>
    <row r="1068" spans="1:40" hidden="1">
      <c r="A1068">
        <v>1066</v>
      </c>
      <c r="B1068">
        <v>10</v>
      </c>
      <c r="C1068" s="58">
        <v>44784</v>
      </c>
      <c r="D1068" t="s">
        <v>7</v>
      </c>
      <c r="E1068" t="s">
        <v>2581</v>
      </c>
      <c r="F1068">
        <v>7</v>
      </c>
      <c r="G1068">
        <v>16</v>
      </c>
      <c r="H1068">
        <v>345</v>
      </c>
      <c r="I1068">
        <v>1</v>
      </c>
      <c r="J1068">
        <v>33.840000000000003</v>
      </c>
      <c r="K1068" t="s">
        <v>9</v>
      </c>
      <c r="L1068">
        <v>2377488</v>
      </c>
      <c r="M1068">
        <v>15000</v>
      </c>
      <c r="N1068">
        <v>2392488</v>
      </c>
      <c r="O1068">
        <v>70700</v>
      </c>
      <c r="P1068">
        <v>0</v>
      </c>
      <c r="Q1068">
        <v>2392488</v>
      </c>
      <c r="R1068">
        <v>70700</v>
      </c>
      <c r="S1068" t="s">
        <v>130</v>
      </c>
      <c r="T1068" t="s">
        <v>717</v>
      </c>
      <c r="U1068" t="s">
        <v>717</v>
      </c>
      <c r="V1068" t="s">
        <v>717</v>
      </c>
      <c r="W1068">
        <v>44773</v>
      </c>
      <c r="X1068" t="s">
        <v>6601</v>
      </c>
      <c r="Y1068" t="s">
        <v>6</v>
      </c>
      <c r="Z1068" t="s">
        <v>11</v>
      </c>
      <c r="AA1068" t="s">
        <v>717</v>
      </c>
      <c r="AB1068" t="s">
        <v>2509</v>
      </c>
      <c r="AC1068" t="s">
        <v>717</v>
      </c>
      <c r="AD1068" t="s">
        <v>717</v>
      </c>
      <c r="AE1068" t="s">
        <v>6602</v>
      </c>
      <c r="AF1068" t="s">
        <v>6603</v>
      </c>
      <c r="AG1068" t="s">
        <v>6604</v>
      </c>
      <c r="AH1068" t="s">
        <v>2615</v>
      </c>
      <c r="AI1068" t="s">
        <v>2621</v>
      </c>
      <c r="AJ1068" t="s">
        <v>2569</v>
      </c>
      <c r="AK1068" t="s">
        <v>73</v>
      </c>
      <c r="AL1068" t="s">
        <v>717</v>
      </c>
      <c r="AM1068" t="s">
        <v>10</v>
      </c>
      <c r="AN1068" t="s">
        <v>717</v>
      </c>
    </row>
    <row r="1069" spans="1:40" hidden="1">
      <c r="A1069">
        <v>1067</v>
      </c>
      <c r="B1069">
        <v>11</v>
      </c>
      <c r="C1069" s="58">
        <v>44784</v>
      </c>
      <c r="D1069" t="s">
        <v>7</v>
      </c>
      <c r="E1069" t="s">
        <v>2581</v>
      </c>
      <c r="F1069">
        <v>7</v>
      </c>
      <c r="G1069">
        <v>8</v>
      </c>
      <c r="H1069">
        <v>289</v>
      </c>
      <c r="I1069">
        <v>1</v>
      </c>
      <c r="J1069">
        <v>33.840000000000003</v>
      </c>
      <c r="K1069" t="s">
        <v>9</v>
      </c>
      <c r="L1069">
        <v>2512112.4</v>
      </c>
      <c r="M1069">
        <v>0</v>
      </c>
      <c r="N1069">
        <v>2512112.4</v>
      </c>
      <c r="O1069">
        <v>74234.999999999985</v>
      </c>
      <c r="P1069">
        <v>0</v>
      </c>
      <c r="Q1069">
        <v>2512112.4</v>
      </c>
      <c r="R1069">
        <v>74234.999999999985</v>
      </c>
      <c r="S1069" t="s">
        <v>65</v>
      </c>
      <c r="T1069" t="s">
        <v>717</v>
      </c>
      <c r="U1069" t="s">
        <v>717</v>
      </c>
      <c r="V1069" t="s">
        <v>4131</v>
      </c>
      <c r="W1069">
        <v>44779</v>
      </c>
      <c r="X1069" t="s">
        <v>6605</v>
      </c>
      <c r="Y1069" t="s">
        <v>6</v>
      </c>
      <c r="Z1069" t="s">
        <v>17</v>
      </c>
      <c r="AA1069" t="s">
        <v>717</v>
      </c>
      <c r="AB1069" t="s">
        <v>2509</v>
      </c>
      <c r="AC1069" t="s">
        <v>2571</v>
      </c>
      <c r="AD1069" t="s">
        <v>717</v>
      </c>
      <c r="AE1069" t="s">
        <v>6606</v>
      </c>
      <c r="AF1069" t="s">
        <v>6607</v>
      </c>
      <c r="AG1069" t="s">
        <v>6608</v>
      </c>
      <c r="AH1069" t="s">
        <v>2616</v>
      </c>
      <c r="AI1069" t="s">
        <v>2552</v>
      </c>
      <c r="AJ1069" t="s">
        <v>2616</v>
      </c>
      <c r="AK1069" t="s">
        <v>63</v>
      </c>
      <c r="AL1069" t="s">
        <v>16</v>
      </c>
      <c r="AM1069" t="s">
        <v>10</v>
      </c>
      <c r="AN1069" t="s">
        <v>717</v>
      </c>
    </row>
    <row r="1070" spans="1:40" hidden="1">
      <c r="A1070">
        <v>1068</v>
      </c>
      <c r="B1070">
        <v>12</v>
      </c>
      <c r="C1070" s="58">
        <v>44785</v>
      </c>
      <c r="D1070" t="s">
        <v>7</v>
      </c>
      <c r="E1070" t="s">
        <v>2506</v>
      </c>
      <c r="F1070">
        <v>3</v>
      </c>
      <c r="G1070">
        <v>6</v>
      </c>
      <c r="H1070">
        <v>155</v>
      </c>
      <c r="I1070">
        <v>1</v>
      </c>
      <c r="J1070">
        <v>35.380000000000003</v>
      </c>
      <c r="K1070" t="s">
        <v>9</v>
      </c>
      <c r="L1070">
        <v>2663442.9</v>
      </c>
      <c r="M1070">
        <v>15000</v>
      </c>
      <c r="N1070">
        <v>2678442.9</v>
      </c>
      <c r="O1070">
        <v>75704.999999999985</v>
      </c>
      <c r="P1070">
        <v>0</v>
      </c>
      <c r="Q1070">
        <v>2678442.9</v>
      </c>
      <c r="R1070">
        <v>75704.999999999985</v>
      </c>
      <c r="S1070" t="s">
        <v>130</v>
      </c>
      <c r="T1070" t="s">
        <v>717</v>
      </c>
      <c r="U1070" t="s">
        <v>717</v>
      </c>
      <c r="V1070" t="s">
        <v>717</v>
      </c>
      <c r="W1070">
        <v>44778</v>
      </c>
      <c r="X1070" t="s">
        <v>6609</v>
      </c>
      <c r="Y1070" t="s">
        <v>2611</v>
      </c>
      <c r="Z1070" t="s">
        <v>11</v>
      </c>
      <c r="AA1070" t="s">
        <v>717</v>
      </c>
      <c r="AB1070" t="s">
        <v>2509</v>
      </c>
      <c r="AC1070" t="s">
        <v>717</v>
      </c>
      <c r="AD1070">
        <v>45352</v>
      </c>
      <c r="AE1070" t="s">
        <v>6610</v>
      </c>
      <c r="AF1070" t="s">
        <v>6611</v>
      </c>
      <c r="AG1070" t="s">
        <v>6612</v>
      </c>
      <c r="AH1070" t="s">
        <v>2191</v>
      </c>
      <c r="AI1070" t="s">
        <v>5653</v>
      </c>
      <c r="AJ1070" t="s">
        <v>31</v>
      </c>
      <c r="AK1070" t="s">
        <v>73</v>
      </c>
      <c r="AL1070" t="s">
        <v>717</v>
      </c>
      <c r="AM1070" t="s">
        <v>5654</v>
      </c>
      <c r="AN1070" t="s">
        <v>717</v>
      </c>
    </row>
    <row r="1071" spans="1:40" hidden="1">
      <c r="A1071">
        <v>1069</v>
      </c>
      <c r="B1071">
        <v>13</v>
      </c>
      <c r="C1071" s="58">
        <v>44785</v>
      </c>
      <c r="D1071" t="s">
        <v>7</v>
      </c>
      <c r="E1071" t="s">
        <v>2515</v>
      </c>
      <c r="F1071">
        <v>8</v>
      </c>
      <c r="G1071">
        <v>4</v>
      </c>
      <c r="H1071">
        <v>24</v>
      </c>
      <c r="I1071">
        <v>0</v>
      </c>
      <c r="J1071">
        <v>21.73</v>
      </c>
      <c r="K1071" t="s">
        <v>15</v>
      </c>
      <c r="L1071">
        <v>1872902.4</v>
      </c>
      <c r="M1071">
        <v>15000</v>
      </c>
      <c r="N1071">
        <v>1887902.4</v>
      </c>
      <c r="O1071">
        <v>86880</v>
      </c>
      <c r="P1071">
        <v>162974.99999999977</v>
      </c>
      <c r="Q1071">
        <v>1724927.4</v>
      </c>
      <c r="R1071">
        <v>79380</v>
      </c>
      <c r="S1071" t="s">
        <v>65</v>
      </c>
      <c r="T1071" t="s">
        <v>717</v>
      </c>
      <c r="U1071" t="s">
        <v>717</v>
      </c>
      <c r="V1071" t="s">
        <v>4131</v>
      </c>
      <c r="W1071">
        <v>44781</v>
      </c>
      <c r="X1071" t="s">
        <v>6613</v>
      </c>
      <c r="Y1071" t="s">
        <v>6</v>
      </c>
      <c r="Z1071" t="s">
        <v>17</v>
      </c>
      <c r="AA1071" t="s">
        <v>717</v>
      </c>
      <c r="AB1071" t="s">
        <v>2509</v>
      </c>
      <c r="AC1071" t="s">
        <v>2571</v>
      </c>
      <c r="AD1071" t="s">
        <v>717</v>
      </c>
      <c r="AE1071" t="s">
        <v>6614</v>
      </c>
      <c r="AF1071" t="s">
        <v>6615</v>
      </c>
      <c r="AG1071" t="s">
        <v>6616</v>
      </c>
      <c r="AH1071" t="s">
        <v>2191</v>
      </c>
      <c r="AI1071" t="s">
        <v>2552</v>
      </c>
      <c r="AJ1071" t="s">
        <v>2514</v>
      </c>
      <c r="AK1071" t="s">
        <v>73</v>
      </c>
      <c r="AL1071" t="s">
        <v>16</v>
      </c>
      <c r="AM1071" t="s">
        <v>10</v>
      </c>
      <c r="AN1071" t="s">
        <v>717</v>
      </c>
    </row>
    <row r="1072" spans="1:40" hidden="1">
      <c r="A1072">
        <v>1070</v>
      </c>
      <c r="B1072">
        <v>14</v>
      </c>
      <c r="C1072" s="58">
        <v>44788</v>
      </c>
      <c r="D1072" t="s">
        <v>7</v>
      </c>
      <c r="E1072" t="s">
        <v>2506</v>
      </c>
      <c r="F1072">
        <v>1</v>
      </c>
      <c r="G1072">
        <v>4</v>
      </c>
      <c r="H1072">
        <v>137</v>
      </c>
      <c r="I1072">
        <v>0</v>
      </c>
      <c r="J1072">
        <v>28.97</v>
      </c>
      <c r="K1072" t="s">
        <v>9</v>
      </c>
      <c r="L1072">
        <v>2175132</v>
      </c>
      <c r="M1072">
        <v>15000</v>
      </c>
      <c r="N1072">
        <v>2190132</v>
      </c>
      <c r="O1072">
        <v>75600</v>
      </c>
      <c r="P1072">
        <v>0</v>
      </c>
      <c r="Q1072">
        <v>2190132</v>
      </c>
      <c r="R1072">
        <v>75600</v>
      </c>
      <c r="S1072" t="s">
        <v>130</v>
      </c>
      <c r="T1072" t="s">
        <v>717</v>
      </c>
      <c r="U1072" t="s">
        <v>717</v>
      </c>
      <c r="V1072" t="s">
        <v>717</v>
      </c>
      <c r="W1072">
        <v>44773</v>
      </c>
      <c r="X1072" t="s">
        <v>6617</v>
      </c>
      <c r="Y1072" t="s">
        <v>6</v>
      </c>
      <c r="Z1072" t="s">
        <v>11</v>
      </c>
      <c r="AA1072" t="s">
        <v>717</v>
      </c>
      <c r="AB1072" t="s">
        <v>2509</v>
      </c>
      <c r="AC1072" t="s">
        <v>717</v>
      </c>
      <c r="AD1072" t="s">
        <v>717</v>
      </c>
      <c r="AE1072" t="s">
        <v>6618</v>
      </c>
      <c r="AF1072" t="s">
        <v>6619</v>
      </c>
      <c r="AG1072" t="s">
        <v>6620</v>
      </c>
      <c r="AH1072" t="s">
        <v>2191</v>
      </c>
      <c r="AI1072" t="s">
        <v>2538</v>
      </c>
      <c r="AJ1072" t="s">
        <v>2514</v>
      </c>
      <c r="AK1072" t="s">
        <v>63</v>
      </c>
      <c r="AL1072" t="s">
        <v>717</v>
      </c>
      <c r="AM1072" t="s">
        <v>10</v>
      </c>
      <c r="AN1072" t="s">
        <v>717</v>
      </c>
    </row>
    <row r="1073" spans="1:40" hidden="1">
      <c r="A1073">
        <v>1071</v>
      </c>
      <c r="B1073">
        <v>15</v>
      </c>
      <c r="C1073" s="58">
        <v>44788</v>
      </c>
      <c r="D1073" t="s">
        <v>7</v>
      </c>
      <c r="E1073" t="s">
        <v>2581</v>
      </c>
      <c r="F1073">
        <v>7</v>
      </c>
      <c r="G1073">
        <v>5</v>
      </c>
      <c r="H1073">
        <v>268</v>
      </c>
      <c r="I1073">
        <v>1</v>
      </c>
      <c r="J1073">
        <v>33.840000000000003</v>
      </c>
      <c r="K1073" t="s">
        <v>15</v>
      </c>
      <c r="L1073">
        <v>2765912.4</v>
      </c>
      <c r="M1073">
        <v>0</v>
      </c>
      <c r="N1073">
        <v>2765912.4</v>
      </c>
      <c r="O1073">
        <v>81734.999999999985</v>
      </c>
      <c r="P1073">
        <v>253799.99999999953</v>
      </c>
      <c r="Q1073">
        <v>2512112.4000000004</v>
      </c>
      <c r="R1073">
        <v>74235</v>
      </c>
      <c r="S1073" t="s">
        <v>65</v>
      </c>
      <c r="T1073" t="s">
        <v>717</v>
      </c>
      <c r="U1073" t="s">
        <v>717</v>
      </c>
      <c r="V1073" t="s">
        <v>4131</v>
      </c>
      <c r="W1073">
        <v>44779</v>
      </c>
      <c r="X1073" t="s">
        <v>6621</v>
      </c>
      <c r="Y1073" t="s">
        <v>6</v>
      </c>
      <c r="Z1073" t="s">
        <v>17</v>
      </c>
      <c r="AA1073" t="s">
        <v>717</v>
      </c>
      <c r="AB1073" t="s">
        <v>2509</v>
      </c>
      <c r="AC1073" t="s">
        <v>2571</v>
      </c>
      <c r="AD1073" t="s">
        <v>717</v>
      </c>
      <c r="AE1073" t="s">
        <v>6622</v>
      </c>
      <c r="AF1073" t="s">
        <v>6623</v>
      </c>
      <c r="AG1073" t="s">
        <v>6624</v>
      </c>
      <c r="AH1073" t="s">
        <v>2615</v>
      </c>
      <c r="AI1073" t="s">
        <v>2706</v>
      </c>
      <c r="AJ1073" t="s">
        <v>2569</v>
      </c>
      <c r="AK1073" t="s">
        <v>63</v>
      </c>
      <c r="AL1073" t="s">
        <v>16</v>
      </c>
      <c r="AM1073" t="s">
        <v>10</v>
      </c>
      <c r="AN1073" t="s">
        <v>717</v>
      </c>
    </row>
    <row r="1074" spans="1:40" hidden="1">
      <c r="A1074">
        <v>1072</v>
      </c>
      <c r="B1074">
        <v>16</v>
      </c>
      <c r="C1074" s="58">
        <v>44788</v>
      </c>
      <c r="D1074" t="s">
        <v>7</v>
      </c>
      <c r="E1074" t="s">
        <v>2506</v>
      </c>
      <c r="F1074">
        <v>1</v>
      </c>
      <c r="G1074">
        <v>5</v>
      </c>
      <c r="H1074">
        <v>145</v>
      </c>
      <c r="I1074">
        <v>0</v>
      </c>
      <c r="J1074">
        <v>28.97</v>
      </c>
      <c r="K1074" t="s">
        <v>15</v>
      </c>
      <c r="L1074">
        <v>2516913.6</v>
      </c>
      <c r="M1074">
        <v>0</v>
      </c>
      <c r="N1074">
        <v>2516913.6</v>
      </c>
      <c r="O1074">
        <v>86880</v>
      </c>
      <c r="P1074">
        <v>217275</v>
      </c>
      <c r="Q1074">
        <v>2299638.6</v>
      </c>
      <c r="R1074">
        <v>79380</v>
      </c>
      <c r="S1074" t="s">
        <v>65</v>
      </c>
      <c r="T1074" t="s">
        <v>717</v>
      </c>
      <c r="U1074" t="s">
        <v>717</v>
      </c>
      <c r="V1074" t="s">
        <v>4131</v>
      </c>
      <c r="W1074">
        <v>44783</v>
      </c>
      <c r="X1074" t="s">
        <v>6625</v>
      </c>
      <c r="Y1074" t="s">
        <v>6</v>
      </c>
      <c r="Z1074" t="s">
        <v>17</v>
      </c>
      <c r="AA1074" t="s">
        <v>717</v>
      </c>
      <c r="AB1074" t="s">
        <v>2509</v>
      </c>
      <c r="AC1074" t="s">
        <v>2571</v>
      </c>
      <c r="AD1074" t="s">
        <v>717</v>
      </c>
      <c r="AE1074" t="s">
        <v>6626</v>
      </c>
      <c r="AF1074" t="s">
        <v>6627</v>
      </c>
      <c r="AG1074" t="s">
        <v>6628</v>
      </c>
      <c r="AH1074" t="s">
        <v>2191</v>
      </c>
      <c r="AI1074" t="s">
        <v>2538</v>
      </c>
      <c r="AJ1074" t="s">
        <v>2514</v>
      </c>
      <c r="AK1074" t="s">
        <v>63</v>
      </c>
      <c r="AL1074" t="s">
        <v>16</v>
      </c>
      <c r="AM1074" t="s">
        <v>10</v>
      </c>
      <c r="AN1074" t="s">
        <v>717</v>
      </c>
    </row>
    <row r="1075" spans="1:40" hidden="1">
      <c r="A1075">
        <v>1073</v>
      </c>
      <c r="B1075">
        <v>17</v>
      </c>
      <c r="C1075" s="58">
        <v>44789</v>
      </c>
      <c r="D1075" t="s">
        <v>7</v>
      </c>
      <c r="E1075" t="s">
        <v>2515</v>
      </c>
      <c r="F1075">
        <v>8</v>
      </c>
      <c r="G1075">
        <v>2</v>
      </c>
      <c r="H1075">
        <v>8</v>
      </c>
      <c r="I1075">
        <v>0</v>
      </c>
      <c r="J1075">
        <v>21.73</v>
      </c>
      <c r="K1075" t="s">
        <v>15</v>
      </c>
      <c r="L1075">
        <v>1887902.4</v>
      </c>
      <c r="M1075">
        <v>0</v>
      </c>
      <c r="N1075">
        <v>1887902.4</v>
      </c>
      <c r="O1075">
        <v>86880</v>
      </c>
      <c r="P1075">
        <v>162974.99999999977</v>
      </c>
      <c r="Q1075">
        <v>1724927.4</v>
      </c>
      <c r="R1075">
        <v>79380</v>
      </c>
      <c r="S1075" t="s">
        <v>65</v>
      </c>
      <c r="T1075" t="s">
        <v>717</v>
      </c>
      <c r="U1075" t="s">
        <v>717</v>
      </c>
      <c r="V1075" t="s">
        <v>4131</v>
      </c>
      <c r="W1075">
        <v>44783</v>
      </c>
      <c r="X1075" t="s">
        <v>6629</v>
      </c>
      <c r="Y1075" t="s">
        <v>6</v>
      </c>
      <c r="Z1075" t="s">
        <v>17</v>
      </c>
      <c r="AA1075" t="s">
        <v>717</v>
      </c>
      <c r="AB1075" t="s">
        <v>2509</v>
      </c>
      <c r="AC1075" t="s">
        <v>2571</v>
      </c>
      <c r="AD1075" t="s">
        <v>717</v>
      </c>
      <c r="AE1075" t="s">
        <v>5681</v>
      </c>
      <c r="AF1075" t="s">
        <v>6630</v>
      </c>
      <c r="AG1075" t="s">
        <v>6631</v>
      </c>
      <c r="AH1075" t="s">
        <v>2615</v>
      </c>
      <c r="AI1075" t="s">
        <v>2621</v>
      </c>
      <c r="AJ1075" t="s">
        <v>2569</v>
      </c>
      <c r="AK1075" t="s">
        <v>63</v>
      </c>
      <c r="AL1075" t="s">
        <v>16</v>
      </c>
      <c r="AM1075" t="s">
        <v>10</v>
      </c>
      <c r="AN1075" t="s">
        <v>717</v>
      </c>
    </row>
    <row r="1076" spans="1:40" hidden="1">
      <c r="A1076">
        <v>1074</v>
      </c>
      <c r="B1076">
        <v>18</v>
      </c>
      <c r="C1076" s="58">
        <v>44791</v>
      </c>
      <c r="D1076" t="s">
        <v>7</v>
      </c>
      <c r="E1076" t="s">
        <v>2581</v>
      </c>
      <c r="F1076">
        <v>7</v>
      </c>
      <c r="G1076">
        <v>9</v>
      </c>
      <c r="H1076">
        <v>296</v>
      </c>
      <c r="I1076">
        <v>1</v>
      </c>
      <c r="J1076">
        <v>33.840000000000003</v>
      </c>
      <c r="K1076" t="s">
        <v>9</v>
      </c>
      <c r="L1076">
        <v>2512112.4</v>
      </c>
      <c r="M1076">
        <v>0</v>
      </c>
      <c r="N1076">
        <v>2512112.4</v>
      </c>
      <c r="O1076">
        <v>74234.999999999985</v>
      </c>
      <c r="P1076">
        <v>0</v>
      </c>
      <c r="Q1076">
        <v>2512112.4</v>
      </c>
      <c r="R1076">
        <v>74234.999999999985</v>
      </c>
      <c r="S1076" t="s">
        <v>65</v>
      </c>
      <c r="T1076" t="s">
        <v>717</v>
      </c>
      <c r="U1076" t="s">
        <v>717</v>
      </c>
      <c r="V1076" t="s">
        <v>4131</v>
      </c>
      <c r="W1076">
        <v>44776</v>
      </c>
      <c r="X1076" t="s">
        <v>6632</v>
      </c>
      <c r="Y1076" t="s">
        <v>6</v>
      </c>
      <c r="Z1076" t="s">
        <v>17</v>
      </c>
      <c r="AA1076" t="s">
        <v>717</v>
      </c>
      <c r="AB1076" t="s">
        <v>2509</v>
      </c>
      <c r="AC1076" t="s">
        <v>2571</v>
      </c>
      <c r="AD1076" t="s">
        <v>717</v>
      </c>
      <c r="AE1076" t="s">
        <v>6633</v>
      </c>
      <c r="AF1076" t="s">
        <v>6634</v>
      </c>
      <c r="AG1076" t="s">
        <v>6635</v>
      </c>
      <c r="AH1076" t="s">
        <v>2616</v>
      </c>
      <c r="AI1076" t="s">
        <v>2552</v>
      </c>
      <c r="AJ1076" t="s">
        <v>2895</v>
      </c>
      <c r="AK1076" t="s">
        <v>73</v>
      </c>
      <c r="AL1076" t="s">
        <v>16</v>
      </c>
      <c r="AM1076" t="s">
        <v>10</v>
      </c>
      <c r="AN1076" t="s">
        <v>717</v>
      </c>
    </row>
    <row r="1077" spans="1:40" hidden="1">
      <c r="A1077">
        <v>1075</v>
      </c>
      <c r="B1077">
        <v>19</v>
      </c>
      <c r="C1077" s="58">
        <v>44791</v>
      </c>
      <c r="D1077" t="s">
        <v>7</v>
      </c>
      <c r="E1077" t="s">
        <v>2581</v>
      </c>
      <c r="F1077">
        <v>4</v>
      </c>
      <c r="G1077">
        <v>17</v>
      </c>
      <c r="H1077">
        <v>349</v>
      </c>
      <c r="I1077">
        <v>2</v>
      </c>
      <c r="J1077">
        <v>58.55</v>
      </c>
      <c r="K1077" t="s">
        <v>15</v>
      </c>
      <c r="L1077">
        <v>4643891.42</v>
      </c>
      <c r="M1077">
        <v>15000</v>
      </c>
      <c r="N1077">
        <v>4658891.42</v>
      </c>
      <c r="O1077">
        <v>79571.160034158835</v>
      </c>
      <c r="P1077">
        <v>439125.00000000186</v>
      </c>
      <c r="Q1077">
        <v>4219766.4199999981</v>
      </c>
      <c r="R1077">
        <v>72071.160034158806</v>
      </c>
      <c r="S1077" t="s">
        <v>130</v>
      </c>
      <c r="T1077" t="s">
        <v>717</v>
      </c>
      <c r="U1077" t="s">
        <v>717</v>
      </c>
      <c r="V1077" t="s">
        <v>717</v>
      </c>
      <c r="W1077">
        <v>44778</v>
      </c>
      <c r="X1077" t="s">
        <v>6636</v>
      </c>
      <c r="Y1077" t="s">
        <v>6</v>
      </c>
      <c r="Z1077" t="s">
        <v>17</v>
      </c>
      <c r="AA1077" t="s">
        <v>6637</v>
      </c>
      <c r="AB1077" t="s">
        <v>2509</v>
      </c>
      <c r="AC1077" t="s">
        <v>717</v>
      </c>
      <c r="AD1077" t="s">
        <v>717</v>
      </c>
      <c r="AE1077" t="s">
        <v>6638</v>
      </c>
      <c r="AF1077" t="s">
        <v>6639</v>
      </c>
      <c r="AG1077" t="s">
        <v>6640</v>
      </c>
      <c r="AH1077" t="s">
        <v>2191</v>
      </c>
      <c r="AI1077" t="s">
        <v>5653</v>
      </c>
      <c r="AJ1077" t="s">
        <v>31</v>
      </c>
      <c r="AK1077" t="s">
        <v>73</v>
      </c>
      <c r="AL1077" t="s">
        <v>717</v>
      </c>
      <c r="AM1077" t="s">
        <v>5654</v>
      </c>
      <c r="AN1077" t="s">
        <v>717</v>
      </c>
    </row>
    <row r="1078" spans="1:40" hidden="1">
      <c r="A1078">
        <v>1076</v>
      </c>
      <c r="B1078">
        <v>20</v>
      </c>
      <c r="C1078" s="58">
        <v>44781</v>
      </c>
      <c r="D1078" t="s">
        <v>121</v>
      </c>
      <c r="E1078" t="s">
        <v>2506</v>
      </c>
      <c r="F1078">
        <v>1</v>
      </c>
      <c r="G1078">
        <v>7</v>
      </c>
      <c r="H1078">
        <v>217</v>
      </c>
      <c r="I1078">
        <v>1</v>
      </c>
      <c r="J1078">
        <v>39.799999999999997</v>
      </c>
      <c r="K1078" t="s">
        <v>25</v>
      </c>
      <c r="L1078">
        <v>2918400</v>
      </c>
      <c r="M1078">
        <v>0</v>
      </c>
      <c r="N1078">
        <v>2918400</v>
      </c>
      <c r="O1078">
        <v>73326.633165829146</v>
      </c>
      <c r="P1078">
        <v>0</v>
      </c>
      <c r="Q1078">
        <v>2918400</v>
      </c>
      <c r="R1078">
        <v>73326.633165829146</v>
      </c>
      <c r="S1078" t="s">
        <v>130</v>
      </c>
      <c r="T1078" t="s">
        <v>717</v>
      </c>
      <c r="U1078" t="s">
        <v>717</v>
      </c>
      <c r="V1078" t="s">
        <v>717</v>
      </c>
      <c r="W1078">
        <v>44775</v>
      </c>
      <c r="X1078" t="s">
        <v>6641</v>
      </c>
      <c r="Y1078" t="s">
        <v>6642</v>
      </c>
      <c r="Z1078" t="s">
        <v>17</v>
      </c>
      <c r="AA1078" t="s">
        <v>717</v>
      </c>
      <c r="AB1078" t="s">
        <v>326</v>
      </c>
      <c r="AC1078" t="s">
        <v>717</v>
      </c>
      <c r="AD1078" t="s">
        <v>717</v>
      </c>
      <c r="AE1078" t="s">
        <v>6643</v>
      </c>
      <c r="AF1078" t="s">
        <v>717</v>
      </c>
      <c r="AG1078" t="s">
        <v>717</v>
      </c>
      <c r="AH1078" t="s">
        <v>717</v>
      </c>
      <c r="AI1078" t="s">
        <v>6644</v>
      </c>
      <c r="AJ1078" t="s">
        <v>6645</v>
      </c>
      <c r="AK1078" t="s">
        <v>29</v>
      </c>
      <c r="AL1078" t="s">
        <v>717</v>
      </c>
      <c r="AM1078" t="s">
        <v>10</v>
      </c>
      <c r="AN1078" t="s">
        <v>717</v>
      </c>
    </row>
    <row r="1079" spans="1:40" hidden="1">
      <c r="A1079">
        <v>1077</v>
      </c>
      <c r="B1079">
        <v>21</v>
      </c>
      <c r="C1079" s="58">
        <v>44781</v>
      </c>
      <c r="D1079" t="s">
        <v>27</v>
      </c>
      <c r="E1079" t="s">
        <v>2515</v>
      </c>
      <c r="F1079">
        <v>6</v>
      </c>
      <c r="G1079">
        <v>2</v>
      </c>
      <c r="H1079">
        <v>1</v>
      </c>
      <c r="I1079">
        <v>3</v>
      </c>
      <c r="J1079">
        <v>82.71</v>
      </c>
      <c r="K1079" t="s">
        <v>25</v>
      </c>
      <c r="L1079">
        <v>6012750</v>
      </c>
      <c r="M1079">
        <v>0</v>
      </c>
      <c r="N1079">
        <v>6012750</v>
      </c>
      <c r="O1079">
        <v>72696.771853463913</v>
      </c>
      <c r="P1079">
        <v>0</v>
      </c>
      <c r="Q1079">
        <v>6012750</v>
      </c>
      <c r="R1079">
        <v>72696.771853463913</v>
      </c>
      <c r="S1079" t="s">
        <v>130</v>
      </c>
      <c r="T1079" t="s">
        <v>717</v>
      </c>
      <c r="U1079" t="s">
        <v>717</v>
      </c>
      <c r="V1079" t="s">
        <v>717</v>
      </c>
      <c r="W1079">
        <v>44775</v>
      </c>
      <c r="X1079" t="s">
        <v>6646</v>
      </c>
      <c r="Y1079" t="s">
        <v>6642</v>
      </c>
      <c r="Z1079" t="s">
        <v>17</v>
      </c>
      <c r="AA1079" t="s">
        <v>717</v>
      </c>
      <c r="AB1079" t="s">
        <v>2509</v>
      </c>
      <c r="AC1079" t="s">
        <v>717</v>
      </c>
      <c r="AD1079" t="s">
        <v>717</v>
      </c>
      <c r="AE1079" t="s">
        <v>6643</v>
      </c>
      <c r="AF1079" t="s">
        <v>717</v>
      </c>
      <c r="AG1079" t="s">
        <v>717</v>
      </c>
      <c r="AH1079" t="s">
        <v>717</v>
      </c>
      <c r="AI1079" t="s">
        <v>6644</v>
      </c>
      <c r="AJ1079" t="s">
        <v>6645</v>
      </c>
      <c r="AK1079" t="s">
        <v>29</v>
      </c>
      <c r="AL1079" t="s">
        <v>717</v>
      </c>
      <c r="AM1079" t="s">
        <v>10</v>
      </c>
      <c r="AN1079" t="s">
        <v>717</v>
      </c>
    </row>
    <row r="1080" spans="1:40" hidden="1">
      <c r="A1080">
        <v>1078</v>
      </c>
      <c r="B1080">
        <v>22</v>
      </c>
      <c r="C1080" s="58">
        <v>44781</v>
      </c>
      <c r="D1080" t="s">
        <v>27</v>
      </c>
      <c r="E1080" t="s">
        <v>2515</v>
      </c>
      <c r="F1080">
        <v>2</v>
      </c>
      <c r="G1080">
        <v>2</v>
      </c>
      <c r="H1080">
        <v>2</v>
      </c>
      <c r="I1080">
        <v>1</v>
      </c>
      <c r="J1080">
        <v>37.94</v>
      </c>
      <c r="K1080" t="s">
        <v>25</v>
      </c>
      <c r="L1080">
        <v>2745000</v>
      </c>
      <c r="M1080">
        <v>0</v>
      </c>
      <c r="N1080">
        <v>2745000</v>
      </c>
      <c r="O1080">
        <v>72351.080653663681</v>
      </c>
      <c r="P1080">
        <v>0</v>
      </c>
      <c r="Q1080">
        <v>2745000</v>
      </c>
      <c r="R1080">
        <v>72351.080653663681</v>
      </c>
      <c r="S1080" t="s">
        <v>130</v>
      </c>
      <c r="T1080" t="s">
        <v>717</v>
      </c>
      <c r="U1080" t="s">
        <v>717</v>
      </c>
      <c r="V1080" t="s">
        <v>717</v>
      </c>
      <c r="W1080">
        <v>44775</v>
      </c>
      <c r="X1080" t="s">
        <v>6646</v>
      </c>
      <c r="Y1080" t="s">
        <v>6642</v>
      </c>
      <c r="Z1080" t="s">
        <v>17</v>
      </c>
      <c r="AA1080" t="s">
        <v>717</v>
      </c>
      <c r="AB1080" t="s">
        <v>2509</v>
      </c>
      <c r="AC1080" t="s">
        <v>717</v>
      </c>
      <c r="AD1080" t="s">
        <v>717</v>
      </c>
      <c r="AE1080" t="s">
        <v>6643</v>
      </c>
      <c r="AF1080" t="s">
        <v>717</v>
      </c>
      <c r="AG1080" t="s">
        <v>717</v>
      </c>
      <c r="AH1080" t="s">
        <v>717</v>
      </c>
      <c r="AI1080" t="s">
        <v>6644</v>
      </c>
      <c r="AJ1080" t="s">
        <v>6645</v>
      </c>
      <c r="AK1080" t="s">
        <v>29</v>
      </c>
      <c r="AL1080" t="s">
        <v>717</v>
      </c>
      <c r="AM1080" t="s">
        <v>10</v>
      </c>
      <c r="AN1080" t="s">
        <v>717</v>
      </c>
    </row>
    <row r="1081" spans="1:40" hidden="1">
      <c r="A1081">
        <v>1079</v>
      </c>
      <c r="B1081">
        <v>23</v>
      </c>
      <c r="C1081" s="58">
        <v>44781</v>
      </c>
      <c r="D1081" t="s">
        <v>27</v>
      </c>
      <c r="E1081" t="s">
        <v>2515</v>
      </c>
      <c r="F1081">
        <v>3</v>
      </c>
      <c r="G1081">
        <v>2</v>
      </c>
      <c r="H1081">
        <v>3</v>
      </c>
      <c r="I1081">
        <v>1</v>
      </c>
      <c r="J1081">
        <v>41.06</v>
      </c>
      <c r="K1081" t="s">
        <v>25</v>
      </c>
      <c r="L1081">
        <v>2993250</v>
      </c>
      <c r="M1081">
        <v>0</v>
      </c>
      <c r="N1081">
        <v>2993250</v>
      </c>
      <c r="O1081">
        <v>72899.415489527513</v>
      </c>
      <c r="P1081">
        <v>0</v>
      </c>
      <c r="Q1081">
        <v>2993250</v>
      </c>
      <c r="R1081">
        <v>72899.415489527513</v>
      </c>
      <c r="S1081" t="s">
        <v>130</v>
      </c>
      <c r="T1081" t="s">
        <v>717</v>
      </c>
      <c r="U1081" t="s">
        <v>717</v>
      </c>
      <c r="V1081" t="s">
        <v>717</v>
      </c>
      <c r="W1081">
        <v>44775</v>
      </c>
      <c r="X1081" t="s">
        <v>6646</v>
      </c>
      <c r="Y1081" t="s">
        <v>6642</v>
      </c>
      <c r="Z1081" t="s">
        <v>17</v>
      </c>
      <c r="AA1081" t="s">
        <v>717</v>
      </c>
      <c r="AB1081" t="s">
        <v>2509</v>
      </c>
      <c r="AC1081" t="s">
        <v>717</v>
      </c>
      <c r="AD1081" t="s">
        <v>717</v>
      </c>
      <c r="AE1081" t="s">
        <v>6643</v>
      </c>
      <c r="AF1081" t="s">
        <v>717</v>
      </c>
      <c r="AG1081" t="s">
        <v>717</v>
      </c>
      <c r="AH1081" t="s">
        <v>717</v>
      </c>
      <c r="AI1081" t="s">
        <v>6644</v>
      </c>
      <c r="AJ1081" t="s">
        <v>6645</v>
      </c>
      <c r="AK1081" t="s">
        <v>29</v>
      </c>
      <c r="AL1081" t="s">
        <v>717</v>
      </c>
      <c r="AM1081" t="s">
        <v>10</v>
      </c>
      <c r="AN1081" t="s">
        <v>717</v>
      </c>
    </row>
    <row r="1082" spans="1:40" hidden="1">
      <c r="A1082">
        <v>1080</v>
      </c>
      <c r="B1082">
        <v>24</v>
      </c>
      <c r="C1082" s="58">
        <v>44781</v>
      </c>
      <c r="D1082" t="s">
        <v>27</v>
      </c>
      <c r="E1082" t="s">
        <v>2515</v>
      </c>
      <c r="F1082">
        <v>8</v>
      </c>
      <c r="G1082">
        <v>2</v>
      </c>
      <c r="H1082">
        <v>6</v>
      </c>
      <c r="I1082">
        <v>2</v>
      </c>
      <c r="J1082">
        <v>54.67</v>
      </c>
      <c r="K1082" t="s">
        <v>25</v>
      </c>
      <c r="L1082">
        <v>3999750</v>
      </c>
      <c r="M1082">
        <v>0</v>
      </c>
      <c r="N1082">
        <v>3999750</v>
      </c>
      <c r="O1082">
        <v>73161.69745747211</v>
      </c>
      <c r="P1082">
        <v>0</v>
      </c>
      <c r="Q1082">
        <v>3999750</v>
      </c>
      <c r="R1082">
        <v>73161.69745747211</v>
      </c>
      <c r="S1082" t="s">
        <v>130</v>
      </c>
      <c r="T1082" t="s">
        <v>717</v>
      </c>
      <c r="U1082" t="s">
        <v>717</v>
      </c>
      <c r="V1082" t="s">
        <v>717</v>
      </c>
      <c r="W1082">
        <v>44775</v>
      </c>
      <c r="X1082" t="s">
        <v>6646</v>
      </c>
      <c r="Y1082" t="s">
        <v>6642</v>
      </c>
      <c r="Z1082" t="s">
        <v>17</v>
      </c>
      <c r="AA1082" t="s">
        <v>717</v>
      </c>
      <c r="AB1082" t="s">
        <v>2509</v>
      </c>
      <c r="AC1082" t="s">
        <v>717</v>
      </c>
      <c r="AD1082" t="s">
        <v>717</v>
      </c>
      <c r="AE1082" t="s">
        <v>6643</v>
      </c>
      <c r="AF1082" t="s">
        <v>717</v>
      </c>
      <c r="AG1082" t="s">
        <v>717</v>
      </c>
      <c r="AH1082" t="s">
        <v>717</v>
      </c>
      <c r="AI1082" t="s">
        <v>6644</v>
      </c>
      <c r="AJ1082" t="s">
        <v>6645</v>
      </c>
      <c r="AK1082" t="s">
        <v>29</v>
      </c>
      <c r="AL1082" t="s">
        <v>717</v>
      </c>
      <c r="AM1082" t="s">
        <v>10</v>
      </c>
      <c r="AN1082" t="s">
        <v>717</v>
      </c>
    </row>
    <row r="1083" spans="1:40" hidden="1">
      <c r="A1083">
        <v>1081</v>
      </c>
      <c r="B1083">
        <v>25</v>
      </c>
      <c r="C1083" s="58">
        <v>44781</v>
      </c>
      <c r="D1083" t="s">
        <v>27</v>
      </c>
      <c r="E1083" t="s">
        <v>2515</v>
      </c>
      <c r="F1083">
        <v>8</v>
      </c>
      <c r="G1083">
        <v>2</v>
      </c>
      <c r="H1083">
        <v>8</v>
      </c>
      <c r="I1083">
        <v>1</v>
      </c>
      <c r="J1083">
        <v>37.69</v>
      </c>
      <c r="K1083" t="s">
        <v>25</v>
      </c>
      <c r="L1083">
        <v>2726250</v>
      </c>
      <c r="M1083">
        <v>0</v>
      </c>
      <c r="N1083">
        <v>2726250</v>
      </c>
      <c r="O1083">
        <v>72333.510214911119</v>
      </c>
      <c r="P1083">
        <v>0</v>
      </c>
      <c r="Q1083">
        <v>2726250</v>
      </c>
      <c r="R1083">
        <v>72333.510214911119</v>
      </c>
      <c r="S1083" t="s">
        <v>130</v>
      </c>
      <c r="T1083" t="s">
        <v>717</v>
      </c>
      <c r="U1083" t="s">
        <v>717</v>
      </c>
      <c r="V1083" t="s">
        <v>717</v>
      </c>
      <c r="W1083">
        <v>44775</v>
      </c>
      <c r="X1083" t="s">
        <v>6646</v>
      </c>
      <c r="Y1083" t="s">
        <v>6642</v>
      </c>
      <c r="Z1083" t="s">
        <v>17</v>
      </c>
      <c r="AA1083" t="s">
        <v>717</v>
      </c>
      <c r="AB1083" t="s">
        <v>2509</v>
      </c>
      <c r="AC1083" t="s">
        <v>717</v>
      </c>
      <c r="AD1083" t="s">
        <v>717</v>
      </c>
      <c r="AE1083" t="s">
        <v>6643</v>
      </c>
      <c r="AF1083" t="s">
        <v>717</v>
      </c>
      <c r="AG1083" t="s">
        <v>717</v>
      </c>
      <c r="AH1083" t="s">
        <v>717</v>
      </c>
      <c r="AI1083" t="s">
        <v>6644</v>
      </c>
      <c r="AJ1083" t="s">
        <v>6645</v>
      </c>
      <c r="AK1083" t="s">
        <v>29</v>
      </c>
      <c r="AL1083" t="s">
        <v>717</v>
      </c>
      <c r="AM1083" t="s">
        <v>10</v>
      </c>
      <c r="AN1083" t="s">
        <v>717</v>
      </c>
    </row>
    <row r="1084" spans="1:40" hidden="1">
      <c r="A1084">
        <v>1082</v>
      </c>
      <c r="B1084">
        <v>26</v>
      </c>
      <c r="C1084" s="58">
        <v>44781</v>
      </c>
      <c r="D1084" t="s">
        <v>27</v>
      </c>
      <c r="E1084" t="s">
        <v>2515</v>
      </c>
      <c r="F1084">
        <v>1</v>
      </c>
      <c r="G1084">
        <v>3</v>
      </c>
      <c r="H1084">
        <v>10</v>
      </c>
      <c r="I1084">
        <v>3</v>
      </c>
      <c r="J1084">
        <v>82.71</v>
      </c>
      <c r="K1084" t="s">
        <v>25</v>
      </c>
      <c r="L1084">
        <v>6012750</v>
      </c>
      <c r="M1084">
        <v>0</v>
      </c>
      <c r="N1084">
        <v>6012750</v>
      </c>
      <c r="O1084">
        <v>72696.771853463913</v>
      </c>
      <c r="P1084">
        <v>0</v>
      </c>
      <c r="Q1084">
        <v>6012750</v>
      </c>
      <c r="R1084">
        <v>72696.771853463913</v>
      </c>
      <c r="S1084" t="s">
        <v>130</v>
      </c>
      <c r="T1084" t="s">
        <v>717</v>
      </c>
      <c r="U1084" t="s">
        <v>717</v>
      </c>
      <c r="V1084" t="s">
        <v>717</v>
      </c>
      <c r="W1084">
        <v>44775</v>
      </c>
      <c r="X1084" t="s">
        <v>6646</v>
      </c>
      <c r="Y1084" t="s">
        <v>6642</v>
      </c>
      <c r="Z1084" t="s">
        <v>17</v>
      </c>
      <c r="AA1084" t="s">
        <v>717</v>
      </c>
      <c r="AB1084" t="s">
        <v>2509</v>
      </c>
      <c r="AC1084" t="s">
        <v>717</v>
      </c>
      <c r="AD1084" t="s">
        <v>717</v>
      </c>
      <c r="AE1084" t="s">
        <v>6643</v>
      </c>
      <c r="AF1084" t="s">
        <v>717</v>
      </c>
      <c r="AG1084" t="s">
        <v>717</v>
      </c>
      <c r="AH1084" t="s">
        <v>717</v>
      </c>
      <c r="AI1084" t="s">
        <v>6644</v>
      </c>
      <c r="AJ1084" t="s">
        <v>6645</v>
      </c>
      <c r="AK1084" t="s">
        <v>29</v>
      </c>
      <c r="AL1084" t="s">
        <v>717</v>
      </c>
      <c r="AM1084" t="s">
        <v>10</v>
      </c>
      <c r="AN1084" t="s">
        <v>717</v>
      </c>
    </row>
    <row r="1085" spans="1:40" hidden="1">
      <c r="A1085">
        <v>1083</v>
      </c>
      <c r="B1085">
        <v>27</v>
      </c>
      <c r="C1085" s="58">
        <v>44781</v>
      </c>
      <c r="D1085" t="s">
        <v>27</v>
      </c>
      <c r="E1085" t="s">
        <v>2515</v>
      </c>
      <c r="F1085">
        <v>3</v>
      </c>
      <c r="G1085">
        <v>3</v>
      </c>
      <c r="H1085">
        <v>12</v>
      </c>
      <c r="I1085">
        <v>1</v>
      </c>
      <c r="J1085">
        <v>41.06</v>
      </c>
      <c r="K1085" t="s">
        <v>25</v>
      </c>
      <c r="L1085">
        <v>2993250</v>
      </c>
      <c r="M1085">
        <v>0</v>
      </c>
      <c r="N1085">
        <v>2993250</v>
      </c>
      <c r="O1085">
        <v>72899.415489527513</v>
      </c>
      <c r="P1085">
        <v>0</v>
      </c>
      <c r="Q1085">
        <v>2993250</v>
      </c>
      <c r="R1085">
        <v>72899.415489527513</v>
      </c>
      <c r="S1085" t="s">
        <v>130</v>
      </c>
      <c r="T1085" t="s">
        <v>717</v>
      </c>
      <c r="U1085" t="s">
        <v>717</v>
      </c>
      <c r="V1085" t="s">
        <v>717</v>
      </c>
      <c r="W1085">
        <v>44775</v>
      </c>
      <c r="X1085" t="s">
        <v>6646</v>
      </c>
      <c r="Y1085" t="s">
        <v>6642</v>
      </c>
      <c r="Z1085" t="s">
        <v>17</v>
      </c>
      <c r="AA1085" t="s">
        <v>717</v>
      </c>
      <c r="AB1085" t="s">
        <v>2509</v>
      </c>
      <c r="AC1085" t="s">
        <v>717</v>
      </c>
      <c r="AD1085" t="s">
        <v>717</v>
      </c>
      <c r="AE1085" t="s">
        <v>6643</v>
      </c>
      <c r="AF1085" t="s">
        <v>717</v>
      </c>
      <c r="AG1085" t="s">
        <v>717</v>
      </c>
      <c r="AH1085" t="s">
        <v>717</v>
      </c>
      <c r="AI1085" t="s">
        <v>6644</v>
      </c>
      <c r="AJ1085" t="s">
        <v>6645</v>
      </c>
      <c r="AK1085" t="s">
        <v>29</v>
      </c>
      <c r="AL1085" t="s">
        <v>717</v>
      </c>
      <c r="AM1085" t="s">
        <v>10</v>
      </c>
      <c r="AN1085" t="s">
        <v>717</v>
      </c>
    </row>
    <row r="1086" spans="1:40" hidden="1">
      <c r="A1086">
        <v>1084</v>
      </c>
      <c r="B1086">
        <v>28</v>
      </c>
      <c r="C1086" s="58">
        <v>44781</v>
      </c>
      <c r="D1086" t="s">
        <v>27</v>
      </c>
      <c r="E1086" t="s">
        <v>2515</v>
      </c>
      <c r="F1086">
        <v>1</v>
      </c>
      <c r="G1086">
        <v>3</v>
      </c>
      <c r="H1086">
        <v>17</v>
      </c>
      <c r="I1086">
        <v>1</v>
      </c>
      <c r="J1086">
        <v>37.69</v>
      </c>
      <c r="K1086" t="s">
        <v>25</v>
      </c>
      <c r="L1086">
        <v>2726250</v>
      </c>
      <c r="M1086">
        <v>0</v>
      </c>
      <c r="N1086">
        <v>2726250</v>
      </c>
      <c r="O1086">
        <v>72333.510214911119</v>
      </c>
      <c r="P1086">
        <v>0</v>
      </c>
      <c r="Q1086">
        <v>2726250</v>
      </c>
      <c r="R1086">
        <v>72333.510214911119</v>
      </c>
      <c r="S1086" t="s">
        <v>130</v>
      </c>
      <c r="T1086" t="s">
        <v>717</v>
      </c>
      <c r="U1086" t="s">
        <v>717</v>
      </c>
      <c r="V1086" t="s">
        <v>717</v>
      </c>
      <c r="W1086">
        <v>44775</v>
      </c>
      <c r="X1086" t="s">
        <v>6646</v>
      </c>
      <c r="Y1086" t="s">
        <v>6642</v>
      </c>
      <c r="Z1086" t="s">
        <v>17</v>
      </c>
      <c r="AA1086" t="s">
        <v>717</v>
      </c>
      <c r="AB1086" t="s">
        <v>2509</v>
      </c>
      <c r="AC1086" t="s">
        <v>717</v>
      </c>
      <c r="AD1086" t="s">
        <v>717</v>
      </c>
      <c r="AE1086" t="s">
        <v>6643</v>
      </c>
      <c r="AF1086" t="s">
        <v>717</v>
      </c>
      <c r="AG1086" t="s">
        <v>717</v>
      </c>
      <c r="AH1086" t="s">
        <v>717</v>
      </c>
      <c r="AI1086" t="s">
        <v>6644</v>
      </c>
      <c r="AJ1086" t="s">
        <v>6645</v>
      </c>
      <c r="AK1086" t="s">
        <v>29</v>
      </c>
      <c r="AL1086" t="s">
        <v>717</v>
      </c>
      <c r="AM1086" t="s">
        <v>10</v>
      </c>
      <c r="AN1086" t="s">
        <v>717</v>
      </c>
    </row>
    <row r="1087" spans="1:40" hidden="1">
      <c r="A1087">
        <v>1085</v>
      </c>
      <c r="B1087">
        <v>29</v>
      </c>
      <c r="C1087" s="58">
        <v>44781</v>
      </c>
      <c r="D1087" t="s">
        <v>27</v>
      </c>
      <c r="E1087" t="s">
        <v>2515</v>
      </c>
      <c r="F1087">
        <v>1</v>
      </c>
      <c r="G1087">
        <v>4</v>
      </c>
      <c r="H1087">
        <v>19</v>
      </c>
      <c r="I1087">
        <v>3</v>
      </c>
      <c r="J1087">
        <v>82.71</v>
      </c>
      <c r="K1087" t="s">
        <v>25</v>
      </c>
      <c r="L1087">
        <v>6012750</v>
      </c>
      <c r="M1087">
        <v>0</v>
      </c>
      <c r="N1087">
        <v>6012750</v>
      </c>
      <c r="O1087">
        <v>72696.771853463913</v>
      </c>
      <c r="P1087">
        <v>0</v>
      </c>
      <c r="Q1087">
        <v>6012750</v>
      </c>
      <c r="R1087">
        <v>72696.771853463913</v>
      </c>
      <c r="S1087" t="s">
        <v>130</v>
      </c>
      <c r="T1087" t="s">
        <v>717</v>
      </c>
      <c r="U1087" t="s">
        <v>717</v>
      </c>
      <c r="V1087" t="s">
        <v>717</v>
      </c>
      <c r="W1087">
        <v>44775</v>
      </c>
      <c r="X1087" t="s">
        <v>6646</v>
      </c>
      <c r="Y1087" t="s">
        <v>6642</v>
      </c>
      <c r="Z1087" t="s">
        <v>17</v>
      </c>
      <c r="AA1087" t="s">
        <v>717</v>
      </c>
      <c r="AB1087" t="s">
        <v>2509</v>
      </c>
      <c r="AC1087" t="s">
        <v>717</v>
      </c>
      <c r="AD1087" t="s">
        <v>717</v>
      </c>
      <c r="AE1087" t="s">
        <v>6643</v>
      </c>
      <c r="AF1087" t="s">
        <v>717</v>
      </c>
      <c r="AG1087" t="s">
        <v>717</v>
      </c>
      <c r="AH1087" t="s">
        <v>717</v>
      </c>
      <c r="AI1087" t="s">
        <v>6644</v>
      </c>
      <c r="AJ1087" t="s">
        <v>6645</v>
      </c>
      <c r="AK1087" t="s">
        <v>29</v>
      </c>
      <c r="AL1087" t="s">
        <v>717</v>
      </c>
      <c r="AM1087" t="s">
        <v>10</v>
      </c>
      <c r="AN1087" t="s">
        <v>717</v>
      </c>
    </row>
    <row r="1088" spans="1:40" hidden="1">
      <c r="A1088">
        <v>1086</v>
      </c>
      <c r="B1088">
        <v>30</v>
      </c>
      <c r="C1088" s="58">
        <v>44781</v>
      </c>
      <c r="D1088" t="s">
        <v>27</v>
      </c>
      <c r="E1088" t="s">
        <v>2515</v>
      </c>
      <c r="F1088">
        <v>3</v>
      </c>
      <c r="G1088">
        <v>5</v>
      </c>
      <c r="H1088">
        <v>30</v>
      </c>
      <c r="I1088">
        <v>1</v>
      </c>
      <c r="J1088">
        <v>41.06</v>
      </c>
      <c r="K1088" t="s">
        <v>25</v>
      </c>
      <c r="L1088">
        <v>2993250</v>
      </c>
      <c r="M1088">
        <v>0</v>
      </c>
      <c r="N1088">
        <v>2993250</v>
      </c>
      <c r="O1088">
        <v>72899.415489527513</v>
      </c>
      <c r="P1088">
        <v>0</v>
      </c>
      <c r="Q1088">
        <v>2993250</v>
      </c>
      <c r="R1088">
        <v>72899.415489527513</v>
      </c>
      <c r="S1088" t="s">
        <v>130</v>
      </c>
      <c r="T1088" t="s">
        <v>717</v>
      </c>
      <c r="U1088" t="s">
        <v>717</v>
      </c>
      <c r="V1088" t="s">
        <v>717</v>
      </c>
      <c r="W1088">
        <v>44775</v>
      </c>
      <c r="X1088" t="s">
        <v>6646</v>
      </c>
      <c r="Y1088" t="s">
        <v>6642</v>
      </c>
      <c r="Z1088" t="s">
        <v>17</v>
      </c>
      <c r="AA1088" t="s">
        <v>717</v>
      </c>
      <c r="AB1088" t="s">
        <v>2509</v>
      </c>
      <c r="AC1088" t="s">
        <v>717</v>
      </c>
      <c r="AD1088" t="s">
        <v>717</v>
      </c>
      <c r="AE1088" t="s">
        <v>6643</v>
      </c>
      <c r="AF1088" t="s">
        <v>717</v>
      </c>
      <c r="AG1088" t="s">
        <v>717</v>
      </c>
      <c r="AH1088" t="s">
        <v>717</v>
      </c>
      <c r="AI1088" t="s">
        <v>6644</v>
      </c>
      <c r="AJ1088" t="s">
        <v>6645</v>
      </c>
      <c r="AK1088" t="s">
        <v>29</v>
      </c>
      <c r="AL1088" t="s">
        <v>717</v>
      </c>
      <c r="AM1088" t="s">
        <v>10</v>
      </c>
      <c r="AN1088" t="s">
        <v>717</v>
      </c>
    </row>
    <row r="1089" spans="1:40" hidden="1">
      <c r="A1089">
        <v>1087</v>
      </c>
      <c r="B1089">
        <v>31</v>
      </c>
      <c r="C1089" s="58">
        <v>44781</v>
      </c>
      <c r="D1089" t="s">
        <v>27</v>
      </c>
      <c r="E1089" t="s">
        <v>2515</v>
      </c>
      <c r="F1089">
        <v>7</v>
      </c>
      <c r="G1089">
        <v>5</v>
      </c>
      <c r="H1089">
        <v>34</v>
      </c>
      <c r="I1089">
        <v>2</v>
      </c>
      <c r="J1089">
        <v>60.06</v>
      </c>
      <c r="K1089" t="s">
        <v>25</v>
      </c>
      <c r="L1089">
        <v>4313250</v>
      </c>
      <c r="M1089">
        <v>0</v>
      </c>
      <c r="N1089">
        <v>4313250</v>
      </c>
      <c r="O1089">
        <v>71815.68431568431</v>
      </c>
      <c r="P1089">
        <v>0</v>
      </c>
      <c r="Q1089">
        <v>4313250</v>
      </c>
      <c r="R1089">
        <v>71815.68431568431</v>
      </c>
      <c r="S1089" t="s">
        <v>130</v>
      </c>
      <c r="T1089" t="s">
        <v>717</v>
      </c>
      <c r="U1089" t="s">
        <v>717</v>
      </c>
      <c r="V1089" t="s">
        <v>717</v>
      </c>
      <c r="W1089">
        <v>44775</v>
      </c>
      <c r="X1089" t="s">
        <v>6646</v>
      </c>
      <c r="Y1089" t="s">
        <v>6642</v>
      </c>
      <c r="Z1089" t="s">
        <v>17</v>
      </c>
      <c r="AA1089" t="s">
        <v>717</v>
      </c>
      <c r="AB1089" t="s">
        <v>2509</v>
      </c>
      <c r="AC1089" t="s">
        <v>717</v>
      </c>
      <c r="AD1089" t="s">
        <v>717</v>
      </c>
      <c r="AE1089" t="s">
        <v>6643</v>
      </c>
      <c r="AF1089" t="s">
        <v>717</v>
      </c>
      <c r="AG1089" t="s">
        <v>717</v>
      </c>
      <c r="AH1089" t="s">
        <v>717</v>
      </c>
      <c r="AI1089" t="s">
        <v>6644</v>
      </c>
      <c r="AJ1089" t="s">
        <v>6645</v>
      </c>
      <c r="AK1089" t="s">
        <v>29</v>
      </c>
      <c r="AL1089" t="s">
        <v>717</v>
      </c>
      <c r="AM1089" t="s">
        <v>10</v>
      </c>
      <c r="AN1089" t="s">
        <v>717</v>
      </c>
    </row>
    <row r="1090" spans="1:40" hidden="1">
      <c r="A1090">
        <v>1088</v>
      </c>
      <c r="B1090">
        <v>32</v>
      </c>
      <c r="C1090" s="58">
        <v>44781</v>
      </c>
      <c r="D1090" t="s">
        <v>27</v>
      </c>
      <c r="E1090" t="s">
        <v>2515</v>
      </c>
      <c r="F1090">
        <v>1</v>
      </c>
      <c r="G1090">
        <v>6</v>
      </c>
      <c r="H1090">
        <v>37</v>
      </c>
      <c r="I1090">
        <v>3</v>
      </c>
      <c r="J1090">
        <v>82.71</v>
      </c>
      <c r="K1090" t="s">
        <v>25</v>
      </c>
      <c r="L1090">
        <v>6012750</v>
      </c>
      <c r="M1090">
        <v>0</v>
      </c>
      <c r="N1090">
        <v>6012750</v>
      </c>
      <c r="O1090">
        <v>72696.771853463913</v>
      </c>
      <c r="P1090">
        <v>0</v>
      </c>
      <c r="Q1090">
        <v>6012750</v>
      </c>
      <c r="R1090">
        <v>72696.771853463913</v>
      </c>
      <c r="S1090" t="s">
        <v>130</v>
      </c>
      <c r="T1090" t="s">
        <v>717</v>
      </c>
      <c r="U1090" t="s">
        <v>717</v>
      </c>
      <c r="V1090" t="s">
        <v>717</v>
      </c>
      <c r="W1090">
        <v>44775</v>
      </c>
      <c r="X1090" t="s">
        <v>6646</v>
      </c>
      <c r="Y1090" t="s">
        <v>6642</v>
      </c>
      <c r="Z1090" t="s">
        <v>17</v>
      </c>
      <c r="AA1090" t="s">
        <v>717</v>
      </c>
      <c r="AB1090" t="s">
        <v>2509</v>
      </c>
      <c r="AC1090" t="s">
        <v>717</v>
      </c>
      <c r="AD1090" t="s">
        <v>717</v>
      </c>
      <c r="AE1090" t="s">
        <v>6643</v>
      </c>
      <c r="AF1090" t="s">
        <v>717</v>
      </c>
      <c r="AG1090" t="s">
        <v>717</v>
      </c>
      <c r="AH1090" t="s">
        <v>717</v>
      </c>
      <c r="AI1090" t="s">
        <v>6644</v>
      </c>
      <c r="AJ1090" t="s">
        <v>6645</v>
      </c>
      <c r="AK1090" t="s">
        <v>29</v>
      </c>
      <c r="AL1090" t="s">
        <v>717</v>
      </c>
      <c r="AM1090" t="s">
        <v>10</v>
      </c>
      <c r="AN1090" t="s">
        <v>717</v>
      </c>
    </row>
    <row r="1091" spans="1:40" hidden="1">
      <c r="A1091">
        <v>1089</v>
      </c>
      <c r="B1091">
        <v>33</v>
      </c>
      <c r="C1091" s="58">
        <v>44781</v>
      </c>
      <c r="D1091" t="s">
        <v>27</v>
      </c>
      <c r="E1091" t="s">
        <v>2515</v>
      </c>
      <c r="F1091">
        <v>7</v>
      </c>
      <c r="G1091">
        <v>14</v>
      </c>
      <c r="H1091">
        <v>115</v>
      </c>
      <c r="I1091">
        <v>2</v>
      </c>
      <c r="J1091">
        <v>60.06</v>
      </c>
      <c r="K1091" t="s">
        <v>25</v>
      </c>
      <c r="L1091">
        <v>4313250</v>
      </c>
      <c r="M1091">
        <v>0</v>
      </c>
      <c r="N1091">
        <v>4313250</v>
      </c>
      <c r="O1091">
        <v>71815.68431568431</v>
      </c>
      <c r="P1091">
        <v>0</v>
      </c>
      <c r="Q1091">
        <v>4313250</v>
      </c>
      <c r="R1091">
        <v>71815.68431568431</v>
      </c>
      <c r="S1091" t="s">
        <v>130</v>
      </c>
      <c r="T1091" t="s">
        <v>717</v>
      </c>
      <c r="U1091" t="s">
        <v>717</v>
      </c>
      <c r="V1091" t="s">
        <v>717</v>
      </c>
      <c r="W1091">
        <v>44775</v>
      </c>
      <c r="X1091" t="s">
        <v>6647</v>
      </c>
      <c r="Y1091" t="s">
        <v>6642</v>
      </c>
      <c r="Z1091" t="s">
        <v>17</v>
      </c>
      <c r="AA1091" t="s">
        <v>717</v>
      </c>
      <c r="AB1091" t="s">
        <v>2509</v>
      </c>
      <c r="AC1091" t="s">
        <v>717</v>
      </c>
      <c r="AD1091" t="s">
        <v>717</v>
      </c>
      <c r="AE1091" t="s">
        <v>6643</v>
      </c>
      <c r="AF1091" t="s">
        <v>717</v>
      </c>
      <c r="AG1091" t="s">
        <v>717</v>
      </c>
      <c r="AH1091" t="s">
        <v>717</v>
      </c>
      <c r="AI1091" t="s">
        <v>6644</v>
      </c>
      <c r="AJ1091" t="s">
        <v>6645</v>
      </c>
      <c r="AK1091" t="s">
        <v>29</v>
      </c>
      <c r="AL1091" t="s">
        <v>717</v>
      </c>
      <c r="AM1091" t="s">
        <v>10</v>
      </c>
      <c r="AN1091" t="s">
        <v>717</v>
      </c>
    </row>
    <row r="1092" spans="1:40" hidden="1">
      <c r="A1092">
        <v>1090</v>
      </c>
      <c r="B1092">
        <v>34</v>
      </c>
      <c r="C1092" s="58">
        <v>44781</v>
      </c>
      <c r="D1092" t="s">
        <v>27</v>
      </c>
      <c r="E1092" t="s">
        <v>2515</v>
      </c>
      <c r="F1092">
        <v>8</v>
      </c>
      <c r="G1092">
        <v>14</v>
      </c>
      <c r="H1092">
        <v>116</v>
      </c>
      <c r="I1092">
        <v>1</v>
      </c>
      <c r="J1092">
        <v>37.69</v>
      </c>
      <c r="K1092" t="s">
        <v>25</v>
      </c>
      <c r="L1092">
        <v>2726250</v>
      </c>
      <c r="M1092">
        <v>0</v>
      </c>
      <c r="N1092">
        <v>2726250</v>
      </c>
      <c r="O1092">
        <v>72333.510214911119</v>
      </c>
      <c r="P1092">
        <v>0</v>
      </c>
      <c r="Q1092">
        <v>2726250</v>
      </c>
      <c r="R1092">
        <v>72333.510214911119</v>
      </c>
      <c r="S1092" t="s">
        <v>130</v>
      </c>
      <c r="T1092" t="s">
        <v>717</v>
      </c>
      <c r="U1092" t="s">
        <v>717</v>
      </c>
      <c r="V1092" t="s">
        <v>717</v>
      </c>
      <c r="W1092">
        <v>44775</v>
      </c>
      <c r="X1092" t="s">
        <v>6647</v>
      </c>
      <c r="Y1092" t="s">
        <v>6642</v>
      </c>
      <c r="Z1092" t="s">
        <v>17</v>
      </c>
      <c r="AA1092" t="s">
        <v>717</v>
      </c>
      <c r="AB1092" t="s">
        <v>2509</v>
      </c>
      <c r="AC1092" t="s">
        <v>717</v>
      </c>
      <c r="AD1092" t="s">
        <v>717</v>
      </c>
      <c r="AE1092" t="s">
        <v>6643</v>
      </c>
      <c r="AF1092" t="s">
        <v>717</v>
      </c>
      <c r="AG1092" t="s">
        <v>717</v>
      </c>
      <c r="AH1092" t="s">
        <v>717</v>
      </c>
      <c r="AI1092" t="s">
        <v>6644</v>
      </c>
      <c r="AJ1092" t="s">
        <v>6645</v>
      </c>
      <c r="AK1092" t="s">
        <v>29</v>
      </c>
      <c r="AL1092" t="s">
        <v>717</v>
      </c>
      <c r="AM1092" t="s">
        <v>10</v>
      </c>
      <c r="AN1092" t="s">
        <v>717</v>
      </c>
    </row>
    <row r="1093" spans="1:40" hidden="1">
      <c r="A1093">
        <v>1091</v>
      </c>
      <c r="B1093">
        <v>35</v>
      </c>
      <c r="C1093" s="58">
        <v>44781</v>
      </c>
      <c r="D1093" t="s">
        <v>27</v>
      </c>
      <c r="E1093" t="s">
        <v>2515</v>
      </c>
      <c r="F1093">
        <v>9</v>
      </c>
      <c r="G1093">
        <v>14</v>
      </c>
      <c r="H1093">
        <v>117</v>
      </c>
      <c r="I1093">
        <v>1</v>
      </c>
      <c r="J1093">
        <v>37.94</v>
      </c>
      <c r="K1093" t="s">
        <v>25</v>
      </c>
      <c r="L1093">
        <v>2745000</v>
      </c>
      <c r="M1093">
        <v>0</v>
      </c>
      <c r="N1093">
        <v>2745000</v>
      </c>
      <c r="O1093">
        <v>72351.080653663681</v>
      </c>
      <c r="P1093">
        <v>0</v>
      </c>
      <c r="Q1093">
        <v>2745000</v>
      </c>
      <c r="R1093">
        <v>72351.080653663681</v>
      </c>
      <c r="S1093" t="s">
        <v>130</v>
      </c>
      <c r="T1093" t="s">
        <v>717</v>
      </c>
      <c r="U1093" t="s">
        <v>717</v>
      </c>
      <c r="V1093" t="s">
        <v>717</v>
      </c>
      <c r="W1093">
        <v>44775</v>
      </c>
      <c r="X1093" t="s">
        <v>6647</v>
      </c>
      <c r="Y1093" t="s">
        <v>6642</v>
      </c>
      <c r="Z1093" t="s">
        <v>17</v>
      </c>
      <c r="AA1093" t="s">
        <v>717</v>
      </c>
      <c r="AB1093" t="s">
        <v>2509</v>
      </c>
      <c r="AC1093" t="s">
        <v>717</v>
      </c>
      <c r="AD1093" t="s">
        <v>717</v>
      </c>
      <c r="AE1093" t="s">
        <v>6643</v>
      </c>
      <c r="AF1093" t="s">
        <v>717</v>
      </c>
      <c r="AG1093" t="s">
        <v>717</v>
      </c>
      <c r="AH1093" t="s">
        <v>717</v>
      </c>
      <c r="AI1093" t="s">
        <v>6644</v>
      </c>
      <c r="AJ1093" t="s">
        <v>6645</v>
      </c>
      <c r="AK1093" t="s">
        <v>29</v>
      </c>
      <c r="AL1093" t="s">
        <v>717</v>
      </c>
      <c r="AM1093" t="s">
        <v>10</v>
      </c>
      <c r="AN1093" t="s">
        <v>717</v>
      </c>
    </row>
    <row r="1094" spans="1:40" hidden="1">
      <c r="A1094">
        <v>1092</v>
      </c>
      <c r="B1094">
        <v>36</v>
      </c>
      <c r="C1094" s="58">
        <v>44781</v>
      </c>
      <c r="D1094" t="s">
        <v>27</v>
      </c>
      <c r="E1094" t="s">
        <v>2515</v>
      </c>
      <c r="F1094">
        <v>1</v>
      </c>
      <c r="G1094">
        <v>15</v>
      </c>
      <c r="H1094">
        <v>118</v>
      </c>
      <c r="I1094">
        <v>3</v>
      </c>
      <c r="J1094">
        <v>82.71</v>
      </c>
      <c r="K1094" t="s">
        <v>25</v>
      </c>
      <c r="L1094">
        <v>6012750</v>
      </c>
      <c r="M1094">
        <v>0</v>
      </c>
      <c r="N1094">
        <v>6012750</v>
      </c>
      <c r="O1094">
        <v>72696.771853463913</v>
      </c>
      <c r="P1094">
        <v>0</v>
      </c>
      <c r="Q1094">
        <v>6012750</v>
      </c>
      <c r="R1094">
        <v>72696.771853463913</v>
      </c>
      <c r="S1094" t="s">
        <v>130</v>
      </c>
      <c r="T1094" t="s">
        <v>717</v>
      </c>
      <c r="U1094" t="s">
        <v>717</v>
      </c>
      <c r="V1094" t="s">
        <v>717</v>
      </c>
      <c r="W1094">
        <v>44775</v>
      </c>
      <c r="X1094" t="s">
        <v>6647</v>
      </c>
      <c r="Y1094" t="s">
        <v>6642</v>
      </c>
      <c r="Z1094" t="s">
        <v>17</v>
      </c>
      <c r="AA1094" t="s">
        <v>717</v>
      </c>
      <c r="AB1094" t="s">
        <v>2509</v>
      </c>
      <c r="AC1094" t="s">
        <v>717</v>
      </c>
      <c r="AD1094" t="s">
        <v>717</v>
      </c>
      <c r="AE1094" t="s">
        <v>6643</v>
      </c>
      <c r="AF1094" t="s">
        <v>717</v>
      </c>
      <c r="AG1094" t="s">
        <v>717</v>
      </c>
      <c r="AH1094" t="s">
        <v>717</v>
      </c>
      <c r="AI1094" t="s">
        <v>6644</v>
      </c>
      <c r="AJ1094" t="s">
        <v>6645</v>
      </c>
      <c r="AK1094" t="s">
        <v>29</v>
      </c>
      <c r="AL1094" t="s">
        <v>717</v>
      </c>
      <c r="AM1094" t="s">
        <v>10</v>
      </c>
      <c r="AN1094" t="s">
        <v>717</v>
      </c>
    </row>
    <row r="1095" spans="1:40" hidden="1">
      <c r="A1095">
        <v>1093</v>
      </c>
      <c r="B1095">
        <v>37</v>
      </c>
      <c r="C1095" s="58">
        <v>44781</v>
      </c>
      <c r="D1095" t="s">
        <v>27</v>
      </c>
      <c r="E1095" t="s">
        <v>2515</v>
      </c>
      <c r="F1095">
        <v>7</v>
      </c>
      <c r="G1095">
        <v>15</v>
      </c>
      <c r="H1095">
        <v>124</v>
      </c>
      <c r="I1095">
        <v>2</v>
      </c>
      <c r="J1095">
        <v>60.06</v>
      </c>
      <c r="K1095" t="s">
        <v>25</v>
      </c>
      <c r="L1095">
        <v>4313250</v>
      </c>
      <c r="M1095">
        <v>0</v>
      </c>
      <c r="N1095">
        <v>4313250</v>
      </c>
      <c r="O1095">
        <v>71815.68431568431</v>
      </c>
      <c r="P1095">
        <v>0</v>
      </c>
      <c r="Q1095">
        <v>4313250</v>
      </c>
      <c r="R1095">
        <v>71815.68431568431</v>
      </c>
      <c r="S1095" t="s">
        <v>130</v>
      </c>
      <c r="T1095" t="s">
        <v>717</v>
      </c>
      <c r="U1095" t="s">
        <v>717</v>
      </c>
      <c r="V1095" t="s">
        <v>717</v>
      </c>
      <c r="W1095">
        <v>44775</v>
      </c>
      <c r="X1095" t="s">
        <v>6647</v>
      </c>
      <c r="Y1095" t="s">
        <v>6642</v>
      </c>
      <c r="Z1095" t="s">
        <v>17</v>
      </c>
      <c r="AA1095" t="s">
        <v>717</v>
      </c>
      <c r="AB1095" t="s">
        <v>2509</v>
      </c>
      <c r="AC1095" t="s">
        <v>717</v>
      </c>
      <c r="AD1095" t="s">
        <v>717</v>
      </c>
      <c r="AE1095" t="s">
        <v>6643</v>
      </c>
      <c r="AF1095" t="s">
        <v>717</v>
      </c>
      <c r="AG1095" t="s">
        <v>717</v>
      </c>
      <c r="AH1095" t="s">
        <v>717</v>
      </c>
      <c r="AI1095" t="s">
        <v>6644</v>
      </c>
      <c r="AJ1095" t="s">
        <v>6645</v>
      </c>
      <c r="AK1095" t="s">
        <v>29</v>
      </c>
      <c r="AL1095" t="s">
        <v>717</v>
      </c>
      <c r="AM1095" t="s">
        <v>10</v>
      </c>
      <c r="AN1095" t="s">
        <v>717</v>
      </c>
    </row>
    <row r="1096" spans="1:40" hidden="1">
      <c r="A1096">
        <v>1094</v>
      </c>
      <c r="B1096">
        <v>38</v>
      </c>
      <c r="C1096" s="58">
        <v>44781</v>
      </c>
      <c r="D1096" t="s">
        <v>27</v>
      </c>
      <c r="E1096" t="s">
        <v>2515</v>
      </c>
      <c r="F1096">
        <v>8</v>
      </c>
      <c r="G1096">
        <v>15</v>
      </c>
      <c r="H1096">
        <v>125</v>
      </c>
      <c r="I1096">
        <v>1</v>
      </c>
      <c r="J1096">
        <v>37.69</v>
      </c>
      <c r="K1096" t="s">
        <v>25</v>
      </c>
      <c r="L1096">
        <v>2726250</v>
      </c>
      <c r="M1096">
        <v>0</v>
      </c>
      <c r="N1096">
        <v>2726250</v>
      </c>
      <c r="O1096">
        <v>72333.510214911119</v>
      </c>
      <c r="P1096">
        <v>0</v>
      </c>
      <c r="Q1096">
        <v>2726250</v>
      </c>
      <c r="R1096">
        <v>72333.510214911119</v>
      </c>
      <c r="S1096" t="s">
        <v>130</v>
      </c>
      <c r="T1096" t="s">
        <v>717</v>
      </c>
      <c r="U1096" t="s">
        <v>717</v>
      </c>
      <c r="V1096" t="s">
        <v>717</v>
      </c>
      <c r="W1096">
        <v>44775</v>
      </c>
      <c r="X1096" t="s">
        <v>6647</v>
      </c>
      <c r="Y1096" t="s">
        <v>6642</v>
      </c>
      <c r="Z1096" t="s">
        <v>17</v>
      </c>
      <c r="AA1096" t="s">
        <v>717</v>
      </c>
      <c r="AB1096" t="s">
        <v>2509</v>
      </c>
      <c r="AC1096" t="s">
        <v>717</v>
      </c>
      <c r="AD1096" t="s">
        <v>717</v>
      </c>
      <c r="AE1096" t="s">
        <v>6643</v>
      </c>
      <c r="AF1096" t="s">
        <v>717</v>
      </c>
      <c r="AG1096" t="s">
        <v>717</v>
      </c>
      <c r="AH1096" t="s">
        <v>717</v>
      </c>
      <c r="AI1096" t="s">
        <v>6644</v>
      </c>
      <c r="AJ1096" t="s">
        <v>6645</v>
      </c>
      <c r="AK1096" t="s">
        <v>29</v>
      </c>
      <c r="AL1096" t="s">
        <v>717</v>
      </c>
      <c r="AM1096" t="s">
        <v>10</v>
      </c>
      <c r="AN1096" t="s">
        <v>717</v>
      </c>
    </row>
    <row r="1097" spans="1:40" hidden="1">
      <c r="A1097">
        <v>1095</v>
      </c>
      <c r="B1097">
        <v>39</v>
      </c>
      <c r="C1097" s="58">
        <v>44781</v>
      </c>
      <c r="D1097" t="s">
        <v>27</v>
      </c>
      <c r="E1097" t="s">
        <v>2515</v>
      </c>
      <c r="F1097">
        <v>9</v>
      </c>
      <c r="G1097">
        <v>15</v>
      </c>
      <c r="H1097">
        <v>126</v>
      </c>
      <c r="I1097">
        <v>1</v>
      </c>
      <c r="J1097">
        <v>37.94</v>
      </c>
      <c r="K1097" t="s">
        <v>25</v>
      </c>
      <c r="L1097">
        <v>2745000</v>
      </c>
      <c r="M1097">
        <v>0</v>
      </c>
      <c r="N1097">
        <v>2745000</v>
      </c>
      <c r="O1097">
        <v>72351.080653663681</v>
      </c>
      <c r="P1097">
        <v>0</v>
      </c>
      <c r="Q1097">
        <v>2745000</v>
      </c>
      <c r="R1097">
        <v>72351.080653663681</v>
      </c>
      <c r="S1097" t="s">
        <v>130</v>
      </c>
      <c r="T1097" t="s">
        <v>717</v>
      </c>
      <c r="U1097" t="s">
        <v>717</v>
      </c>
      <c r="V1097" t="s">
        <v>717</v>
      </c>
      <c r="W1097">
        <v>44775</v>
      </c>
      <c r="X1097" t="s">
        <v>6647</v>
      </c>
      <c r="Y1097" t="s">
        <v>6642</v>
      </c>
      <c r="Z1097" t="s">
        <v>17</v>
      </c>
      <c r="AA1097" t="s">
        <v>717</v>
      </c>
      <c r="AB1097" t="s">
        <v>2509</v>
      </c>
      <c r="AC1097" t="s">
        <v>717</v>
      </c>
      <c r="AD1097" t="s">
        <v>717</v>
      </c>
      <c r="AE1097" t="s">
        <v>6643</v>
      </c>
      <c r="AF1097" t="s">
        <v>717</v>
      </c>
      <c r="AG1097" t="s">
        <v>717</v>
      </c>
      <c r="AH1097" t="s">
        <v>717</v>
      </c>
      <c r="AI1097" t="s">
        <v>6644</v>
      </c>
      <c r="AJ1097" t="s">
        <v>6645</v>
      </c>
      <c r="AK1097" t="s">
        <v>29</v>
      </c>
      <c r="AL1097" t="s">
        <v>717</v>
      </c>
      <c r="AM1097" t="s">
        <v>10</v>
      </c>
      <c r="AN1097" t="s">
        <v>717</v>
      </c>
    </row>
    <row r="1098" spans="1:40" hidden="1">
      <c r="A1098">
        <v>1096</v>
      </c>
      <c r="B1098">
        <v>40</v>
      </c>
      <c r="C1098" s="58">
        <v>44781</v>
      </c>
      <c r="D1098" t="s">
        <v>27</v>
      </c>
      <c r="E1098" t="s">
        <v>2515</v>
      </c>
      <c r="F1098">
        <v>1</v>
      </c>
      <c r="G1098">
        <v>16</v>
      </c>
      <c r="H1098">
        <v>127</v>
      </c>
      <c r="I1098">
        <v>3</v>
      </c>
      <c r="J1098">
        <v>82.71</v>
      </c>
      <c r="K1098" t="s">
        <v>25</v>
      </c>
      <c r="L1098">
        <v>6012750</v>
      </c>
      <c r="M1098">
        <v>0</v>
      </c>
      <c r="N1098">
        <v>6012750</v>
      </c>
      <c r="O1098">
        <v>72696.771853463913</v>
      </c>
      <c r="P1098">
        <v>0</v>
      </c>
      <c r="Q1098">
        <v>6012750</v>
      </c>
      <c r="R1098">
        <v>72696.771853463913</v>
      </c>
      <c r="S1098" t="s">
        <v>130</v>
      </c>
      <c r="T1098" t="s">
        <v>717</v>
      </c>
      <c r="U1098" t="s">
        <v>717</v>
      </c>
      <c r="V1098" t="s">
        <v>717</v>
      </c>
      <c r="W1098">
        <v>44775</v>
      </c>
      <c r="X1098" t="s">
        <v>6647</v>
      </c>
      <c r="Y1098" t="s">
        <v>6642</v>
      </c>
      <c r="Z1098" t="s">
        <v>17</v>
      </c>
      <c r="AA1098" t="s">
        <v>717</v>
      </c>
      <c r="AB1098" t="s">
        <v>2509</v>
      </c>
      <c r="AC1098" t="s">
        <v>717</v>
      </c>
      <c r="AD1098" t="s">
        <v>717</v>
      </c>
      <c r="AE1098" t="s">
        <v>6643</v>
      </c>
      <c r="AF1098" t="s">
        <v>717</v>
      </c>
      <c r="AG1098" t="s">
        <v>717</v>
      </c>
      <c r="AH1098" t="s">
        <v>717</v>
      </c>
      <c r="AI1098" t="s">
        <v>6644</v>
      </c>
      <c r="AJ1098" t="s">
        <v>6645</v>
      </c>
      <c r="AK1098" t="s">
        <v>29</v>
      </c>
      <c r="AL1098" t="s">
        <v>717</v>
      </c>
      <c r="AM1098" t="s">
        <v>10</v>
      </c>
      <c r="AN1098" t="s">
        <v>717</v>
      </c>
    </row>
    <row r="1099" spans="1:40" hidden="1">
      <c r="A1099">
        <v>1097</v>
      </c>
      <c r="B1099">
        <v>41</v>
      </c>
      <c r="C1099" s="58">
        <v>44781</v>
      </c>
      <c r="D1099" t="s">
        <v>27</v>
      </c>
      <c r="E1099" t="s">
        <v>2515</v>
      </c>
      <c r="F1099">
        <v>6</v>
      </c>
      <c r="G1099">
        <v>16</v>
      </c>
      <c r="H1099">
        <v>132</v>
      </c>
      <c r="I1099">
        <v>2</v>
      </c>
      <c r="J1099">
        <v>54.67</v>
      </c>
      <c r="K1099" t="s">
        <v>25</v>
      </c>
      <c r="L1099">
        <v>3999750</v>
      </c>
      <c r="M1099">
        <v>0</v>
      </c>
      <c r="N1099">
        <v>3999750</v>
      </c>
      <c r="O1099">
        <v>73161.69745747211</v>
      </c>
      <c r="P1099">
        <v>0</v>
      </c>
      <c r="Q1099">
        <v>3999750</v>
      </c>
      <c r="R1099">
        <v>73161.69745747211</v>
      </c>
      <c r="S1099" t="s">
        <v>130</v>
      </c>
      <c r="T1099" t="s">
        <v>717</v>
      </c>
      <c r="U1099" t="s">
        <v>717</v>
      </c>
      <c r="V1099" t="s">
        <v>717</v>
      </c>
      <c r="W1099">
        <v>44775</v>
      </c>
      <c r="X1099" t="s">
        <v>6647</v>
      </c>
      <c r="Y1099" t="s">
        <v>6642</v>
      </c>
      <c r="Z1099" t="s">
        <v>17</v>
      </c>
      <c r="AA1099" t="s">
        <v>717</v>
      </c>
      <c r="AB1099" t="s">
        <v>2509</v>
      </c>
      <c r="AC1099" t="s">
        <v>717</v>
      </c>
      <c r="AD1099" t="s">
        <v>717</v>
      </c>
      <c r="AE1099" t="s">
        <v>6643</v>
      </c>
      <c r="AF1099" t="s">
        <v>717</v>
      </c>
      <c r="AG1099" t="s">
        <v>717</v>
      </c>
      <c r="AH1099" t="s">
        <v>717</v>
      </c>
      <c r="AI1099" t="s">
        <v>6644</v>
      </c>
      <c r="AJ1099" t="s">
        <v>6645</v>
      </c>
      <c r="AK1099" t="s">
        <v>29</v>
      </c>
      <c r="AL1099" t="s">
        <v>717</v>
      </c>
      <c r="AM1099" t="s">
        <v>10</v>
      </c>
      <c r="AN1099" t="s">
        <v>717</v>
      </c>
    </row>
    <row r="1100" spans="1:40" hidden="1">
      <c r="A1100">
        <v>1098</v>
      </c>
      <c r="B1100">
        <v>42</v>
      </c>
      <c r="C1100" s="58">
        <v>44781</v>
      </c>
      <c r="D1100" t="s">
        <v>27</v>
      </c>
      <c r="E1100" t="s">
        <v>2515</v>
      </c>
      <c r="F1100">
        <v>7</v>
      </c>
      <c r="G1100">
        <v>16</v>
      </c>
      <c r="H1100">
        <v>133</v>
      </c>
      <c r="I1100">
        <v>2</v>
      </c>
      <c r="J1100">
        <v>60.06</v>
      </c>
      <c r="K1100" t="s">
        <v>25</v>
      </c>
      <c r="L1100">
        <v>4313250</v>
      </c>
      <c r="M1100">
        <v>0</v>
      </c>
      <c r="N1100">
        <v>4313250</v>
      </c>
      <c r="O1100">
        <v>71815.68431568431</v>
      </c>
      <c r="P1100">
        <v>0</v>
      </c>
      <c r="Q1100">
        <v>4313250</v>
      </c>
      <c r="R1100">
        <v>71815.68431568431</v>
      </c>
      <c r="S1100" t="s">
        <v>130</v>
      </c>
      <c r="T1100" t="s">
        <v>717</v>
      </c>
      <c r="U1100" t="s">
        <v>717</v>
      </c>
      <c r="V1100" t="s">
        <v>717</v>
      </c>
      <c r="W1100">
        <v>44775</v>
      </c>
      <c r="X1100" t="s">
        <v>6647</v>
      </c>
      <c r="Y1100" t="s">
        <v>6642</v>
      </c>
      <c r="Z1100" t="s">
        <v>17</v>
      </c>
      <c r="AA1100" t="s">
        <v>717</v>
      </c>
      <c r="AB1100" t="s">
        <v>2509</v>
      </c>
      <c r="AC1100" t="s">
        <v>717</v>
      </c>
      <c r="AD1100" t="s">
        <v>717</v>
      </c>
      <c r="AE1100" t="s">
        <v>6643</v>
      </c>
      <c r="AF1100" t="s">
        <v>717</v>
      </c>
      <c r="AG1100" t="s">
        <v>717</v>
      </c>
      <c r="AH1100" t="s">
        <v>717</v>
      </c>
      <c r="AI1100" t="s">
        <v>6644</v>
      </c>
      <c r="AJ1100" t="s">
        <v>6645</v>
      </c>
      <c r="AK1100" t="s">
        <v>29</v>
      </c>
      <c r="AL1100" t="s">
        <v>717</v>
      </c>
      <c r="AM1100" t="s">
        <v>10</v>
      </c>
      <c r="AN1100" t="s">
        <v>717</v>
      </c>
    </row>
    <row r="1101" spans="1:40" hidden="1">
      <c r="A1101">
        <v>1099</v>
      </c>
      <c r="B1101">
        <v>43</v>
      </c>
      <c r="C1101" s="58">
        <v>44781</v>
      </c>
      <c r="D1101" t="s">
        <v>27</v>
      </c>
      <c r="E1101" t="s">
        <v>2515</v>
      </c>
      <c r="F1101">
        <v>9</v>
      </c>
      <c r="G1101">
        <v>16</v>
      </c>
      <c r="H1101">
        <v>135</v>
      </c>
      <c r="I1101">
        <v>1</v>
      </c>
      <c r="J1101">
        <v>37.94</v>
      </c>
      <c r="K1101" t="s">
        <v>25</v>
      </c>
      <c r="L1101">
        <v>2745000</v>
      </c>
      <c r="M1101">
        <v>0</v>
      </c>
      <c r="N1101">
        <v>2745000</v>
      </c>
      <c r="O1101">
        <v>72351.080653663681</v>
      </c>
      <c r="P1101">
        <v>0</v>
      </c>
      <c r="Q1101">
        <v>2745000</v>
      </c>
      <c r="R1101">
        <v>72351.080653663681</v>
      </c>
      <c r="S1101" t="s">
        <v>130</v>
      </c>
      <c r="T1101" t="s">
        <v>717</v>
      </c>
      <c r="U1101" t="s">
        <v>717</v>
      </c>
      <c r="V1101" t="s">
        <v>717</v>
      </c>
      <c r="W1101">
        <v>44775</v>
      </c>
      <c r="X1101" t="s">
        <v>6647</v>
      </c>
      <c r="Y1101" t="s">
        <v>6642</v>
      </c>
      <c r="Z1101" t="s">
        <v>17</v>
      </c>
      <c r="AA1101" t="s">
        <v>717</v>
      </c>
      <c r="AB1101" t="s">
        <v>2509</v>
      </c>
      <c r="AC1101" t="s">
        <v>717</v>
      </c>
      <c r="AD1101" t="s">
        <v>717</v>
      </c>
      <c r="AE1101" t="s">
        <v>6643</v>
      </c>
      <c r="AF1101" t="s">
        <v>717</v>
      </c>
      <c r="AG1101" t="s">
        <v>717</v>
      </c>
      <c r="AH1101" t="s">
        <v>717</v>
      </c>
      <c r="AI1101" t="s">
        <v>6644</v>
      </c>
      <c r="AJ1101" t="s">
        <v>6645</v>
      </c>
      <c r="AK1101" t="s">
        <v>29</v>
      </c>
      <c r="AL1101" t="s">
        <v>717</v>
      </c>
      <c r="AM1101" t="s">
        <v>10</v>
      </c>
      <c r="AN1101" t="s">
        <v>717</v>
      </c>
    </row>
    <row r="1102" spans="1:40" hidden="1">
      <c r="A1102">
        <v>1100</v>
      </c>
      <c r="B1102">
        <v>44</v>
      </c>
      <c r="C1102" s="58">
        <v>44781</v>
      </c>
      <c r="D1102" t="s">
        <v>27</v>
      </c>
      <c r="E1102" t="s">
        <v>2515</v>
      </c>
      <c r="F1102">
        <v>6</v>
      </c>
      <c r="G1102">
        <v>17</v>
      </c>
      <c r="H1102">
        <v>141</v>
      </c>
      <c r="I1102">
        <v>2</v>
      </c>
      <c r="J1102">
        <v>54.67</v>
      </c>
      <c r="K1102" t="s">
        <v>25</v>
      </c>
      <c r="L1102">
        <v>3999750</v>
      </c>
      <c r="M1102">
        <v>0</v>
      </c>
      <c r="N1102">
        <v>3999750</v>
      </c>
      <c r="O1102">
        <v>73161.69745747211</v>
      </c>
      <c r="P1102">
        <v>0</v>
      </c>
      <c r="Q1102">
        <v>3999750</v>
      </c>
      <c r="R1102">
        <v>73161.69745747211</v>
      </c>
      <c r="S1102" t="s">
        <v>130</v>
      </c>
      <c r="T1102" t="s">
        <v>717</v>
      </c>
      <c r="U1102" t="s">
        <v>717</v>
      </c>
      <c r="V1102" t="s">
        <v>717</v>
      </c>
      <c r="W1102">
        <v>44775</v>
      </c>
      <c r="X1102" t="s">
        <v>6647</v>
      </c>
      <c r="Y1102" t="s">
        <v>6642</v>
      </c>
      <c r="Z1102" t="s">
        <v>17</v>
      </c>
      <c r="AA1102" t="s">
        <v>717</v>
      </c>
      <c r="AB1102" t="s">
        <v>2509</v>
      </c>
      <c r="AC1102" t="s">
        <v>717</v>
      </c>
      <c r="AD1102" t="s">
        <v>717</v>
      </c>
      <c r="AE1102" t="s">
        <v>6643</v>
      </c>
      <c r="AF1102" t="s">
        <v>717</v>
      </c>
      <c r="AG1102" t="s">
        <v>717</v>
      </c>
      <c r="AH1102" t="s">
        <v>717</v>
      </c>
      <c r="AI1102" t="s">
        <v>6644</v>
      </c>
      <c r="AJ1102" t="s">
        <v>6645</v>
      </c>
      <c r="AK1102" t="s">
        <v>29</v>
      </c>
      <c r="AL1102" t="s">
        <v>717</v>
      </c>
      <c r="AM1102" t="s">
        <v>10</v>
      </c>
      <c r="AN1102" t="s">
        <v>717</v>
      </c>
    </row>
    <row r="1103" spans="1:40" hidden="1">
      <c r="A1103">
        <v>1101</v>
      </c>
      <c r="B1103">
        <v>45</v>
      </c>
      <c r="C1103" s="58">
        <v>44784</v>
      </c>
      <c r="D1103" t="s">
        <v>27</v>
      </c>
      <c r="E1103" t="s">
        <v>2515</v>
      </c>
      <c r="F1103">
        <v>1</v>
      </c>
      <c r="G1103">
        <v>21</v>
      </c>
      <c r="H1103">
        <v>172</v>
      </c>
      <c r="I1103">
        <v>3</v>
      </c>
      <c r="J1103">
        <v>82.71</v>
      </c>
      <c r="K1103" t="s">
        <v>25</v>
      </c>
      <c r="L1103">
        <v>6012750</v>
      </c>
      <c r="M1103">
        <v>0</v>
      </c>
      <c r="N1103">
        <v>6012750</v>
      </c>
      <c r="O1103">
        <v>72696.771853463913</v>
      </c>
      <c r="P1103">
        <v>0</v>
      </c>
      <c r="Q1103">
        <v>6012750</v>
      </c>
      <c r="R1103">
        <v>72696.771853463913</v>
      </c>
      <c r="S1103" t="s">
        <v>130</v>
      </c>
      <c r="T1103" t="s">
        <v>717</v>
      </c>
      <c r="U1103" t="s">
        <v>717</v>
      </c>
      <c r="V1103" t="s">
        <v>717</v>
      </c>
      <c r="W1103">
        <v>44781</v>
      </c>
      <c r="X1103" t="s">
        <v>6648</v>
      </c>
      <c r="Y1103" t="s">
        <v>6642</v>
      </c>
      <c r="Z1103" t="s">
        <v>17</v>
      </c>
      <c r="AA1103" t="s">
        <v>717</v>
      </c>
      <c r="AB1103" t="s">
        <v>2509</v>
      </c>
      <c r="AC1103" t="s">
        <v>717</v>
      </c>
      <c r="AD1103" t="s">
        <v>717</v>
      </c>
      <c r="AE1103" t="s">
        <v>6643</v>
      </c>
      <c r="AF1103" t="s">
        <v>717</v>
      </c>
      <c r="AG1103" t="s">
        <v>717</v>
      </c>
      <c r="AH1103" t="s">
        <v>717</v>
      </c>
      <c r="AI1103" t="s">
        <v>6644</v>
      </c>
      <c r="AJ1103" t="s">
        <v>6645</v>
      </c>
      <c r="AK1103" t="s">
        <v>29</v>
      </c>
      <c r="AL1103" t="s">
        <v>717</v>
      </c>
      <c r="AM1103" t="s">
        <v>10</v>
      </c>
      <c r="AN1103" t="s">
        <v>717</v>
      </c>
    </row>
    <row r="1104" spans="1:40" hidden="1">
      <c r="A1104">
        <v>1102</v>
      </c>
      <c r="B1104">
        <v>46</v>
      </c>
      <c r="C1104" s="58">
        <v>44784</v>
      </c>
      <c r="D1104" t="s">
        <v>27</v>
      </c>
      <c r="E1104" t="s">
        <v>2515</v>
      </c>
      <c r="F1104">
        <v>6</v>
      </c>
      <c r="G1104">
        <v>21</v>
      </c>
      <c r="H1104">
        <v>177</v>
      </c>
      <c r="I1104">
        <v>2</v>
      </c>
      <c r="J1104">
        <v>54.67</v>
      </c>
      <c r="K1104" t="s">
        <v>25</v>
      </c>
      <c r="L1104">
        <v>3999750</v>
      </c>
      <c r="M1104">
        <v>0</v>
      </c>
      <c r="N1104">
        <v>3999750</v>
      </c>
      <c r="O1104">
        <v>73161.69745747211</v>
      </c>
      <c r="P1104">
        <v>0</v>
      </c>
      <c r="Q1104">
        <v>3999750</v>
      </c>
      <c r="R1104">
        <v>73161.69745747211</v>
      </c>
      <c r="S1104" t="s">
        <v>130</v>
      </c>
      <c r="T1104" t="s">
        <v>717</v>
      </c>
      <c r="U1104" t="s">
        <v>717</v>
      </c>
      <c r="V1104" t="s">
        <v>717</v>
      </c>
      <c r="W1104">
        <v>44781</v>
      </c>
      <c r="X1104" t="s">
        <v>6648</v>
      </c>
      <c r="Y1104" t="s">
        <v>6642</v>
      </c>
      <c r="Z1104" t="s">
        <v>17</v>
      </c>
      <c r="AA1104" t="s">
        <v>717</v>
      </c>
      <c r="AB1104" t="s">
        <v>2509</v>
      </c>
      <c r="AC1104" t="s">
        <v>717</v>
      </c>
      <c r="AD1104" t="s">
        <v>717</v>
      </c>
      <c r="AE1104" t="s">
        <v>6643</v>
      </c>
      <c r="AF1104" t="s">
        <v>717</v>
      </c>
      <c r="AG1104" t="s">
        <v>717</v>
      </c>
      <c r="AH1104" t="s">
        <v>717</v>
      </c>
      <c r="AI1104" t="s">
        <v>6644</v>
      </c>
      <c r="AJ1104" t="s">
        <v>6645</v>
      </c>
      <c r="AK1104" t="s">
        <v>29</v>
      </c>
      <c r="AL1104" t="s">
        <v>717</v>
      </c>
      <c r="AM1104" t="s">
        <v>10</v>
      </c>
      <c r="AN1104" t="s">
        <v>717</v>
      </c>
    </row>
    <row r="1105" spans="1:40" hidden="1">
      <c r="A1105">
        <v>1103</v>
      </c>
      <c r="B1105">
        <v>47</v>
      </c>
      <c r="C1105" s="58">
        <v>44784</v>
      </c>
      <c r="D1105" t="s">
        <v>27</v>
      </c>
      <c r="E1105" t="s">
        <v>2515</v>
      </c>
      <c r="F1105">
        <v>7</v>
      </c>
      <c r="G1105">
        <v>21</v>
      </c>
      <c r="H1105">
        <v>178</v>
      </c>
      <c r="I1105">
        <v>2</v>
      </c>
      <c r="J1105">
        <v>60.06</v>
      </c>
      <c r="K1105" t="s">
        <v>25</v>
      </c>
      <c r="L1105">
        <v>4313250</v>
      </c>
      <c r="M1105">
        <v>0</v>
      </c>
      <c r="N1105">
        <v>4313250</v>
      </c>
      <c r="O1105">
        <v>71815.68431568431</v>
      </c>
      <c r="P1105">
        <v>0</v>
      </c>
      <c r="Q1105">
        <v>4313250</v>
      </c>
      <c r="R1105">
        <v>71815.68431568431</v>
      </c>
      <c r="S1105" t="s">
        <v>130</v>
      </c>
      <c r="T1105" t="s">
        <v>717</v>
      </c>
      <c r="U1105" t="s">
        <v>717</v>
      </c>
      <c r="V1105" t="s">
        <v>717</v>
      </c>
      <c r="W1105">
        <v>44781</v>
      </c>
      <c r="X1105" t="s">
        <v>6648</v>
      </c>
      <c r="Y1105" t="s">
        <v>6642</v>
      </c>
      <c r="Z1105" t="s">
        <v>17</v>
      </c>
      <c r="AA1105" t="s">
        <v>717</v>
      </c>
      <c r="AB1105" t="s">
        <v>2509</v>
      </c>
      <c r="AC1105" t="s">
        <v>717</v>
      </c>
      <c r="AD1105" t="s">
        <v>717</v>
      </c>
      <c r="AE1105" t="s">
        <v>6643</v>
      </c>
      <c r="AF1105" t="s">
        <v>717</v>
      </c>
      <c r="AG1105" t="s">
        <v>717</v>
      </c>
      <c r="AH1105" t="s">
        <v>717</v>
      </c>
      <c r="AI1105" t="s">
        <v>6644</v>
      </c>
      <c r="AJ1105" t="s">
        <v>6645</v>
      </c>
      <c r="AK1105" t="s">
        <v>29</v>
      </c>
      <c r="AL1105" t="s">
        <v>717</v>
      </c>
      <c r="AM1105" t="s">
        <v>10</v>
      </c>
      <c r="AN1105" t="s">
        <v>717</v>
      </c>
    </row>
    <row r="1106" spans="1:40" hidden="1">
      <c r="A1106">
        <v>1104</v>
      </c>
      <c r="B1106">
        <v>48</v>
      </c>
      <c r="C1106" s="58">
        <v>44784</v>
      </c>
      <c r="D1106" t="s">
        <v>27</v>
      </c>
      <c r="E1106" t="s">
        <v>2515</v>
      </c>
      <c r="F1106">
        <v>9</v>
      </c>
      <c r="G1106">
        <v>21</v>
      </c>
      <c r="H1106">
        <v>180</v>
      </c>
      <c r="I1106">
        <v>1</v>
      </c>
      <c r="J1106">
        <v>37.94</v>
      </c>
      <c r="K1106" t="s">
        <v>25</v>
      </c>
      <c r="L1106">
        <v>2745000</v>
      </c>
      <c r="M1106">
        <v>0</v>
      </c>
      <c r="N1106">
        <v>2745000</v>
      </c>
      <c r="O1106">
        <v>72351.080653663681</v>
      </c>
      <c r="P1106">
        <v>0</v>
      </c>
      <c r="Q1106">
        <v>2745000</v>
      </c>
      <c r="R1106">
        <v>72351.080653663681</v>
      </c>
      <c r="S1106" t="s">
        <v>130</v>
      </c>
      <c r="T1106" t="s">
        <v>717</v>
      </c>
      <c r="U1106" t="s">
        <v>717</v>
      </c>
      <c r="V1106" t="s">
        <v>717</v>
      </c>
      <c r="W1106">
        <v>44781</v>
      </c>
      <c r="X1106" t="s">
        <v>6648</v>
      </c>
      <c r="Y1106" t="s">
        <v>6642</v>
      </c>
      <c r="Z1106" t="s">
        <v>17</v>
      </c>
      <c r="AA1106" t="s">
        <v>717</v>
      </c>
      <c r="AB1106" t="s">
        <v>2509</v>
      </c>
      <c r="AC1106" t="s">
        <v>717</v>
      </c>
      <c r="AD1106" t="s">
        <v>717</v>
      </c>
      <c r="AE1106" t="s">
        <v>6643</v>
      </c>
      <c r="AF1106" t="s">
        <v>717</v>
      </c>
      <c r="AG1106" t="s">
        <v>717</v>
      </c>
      <c r="AH1106" t="s">
        <v>717</v>
      </c>
      <c r="AI1106" t="s">
        <v>6644</v>
      </c>
      <c r="AJ1106" t="s">
        <v>6645</v>
      </c>
      <c r="AK1106" t="s">
        <v>29</v>
      </c>
      <c r="AL1106" t="s">
        <v>717</v>
      </c>
      <c r="AM1106" t="s">
        <v>10</v>
      </c>
      <c r="AN1106" t="s">
        <v>717</v>
      </c>
    </row>
    <row r="1107" spans="1:40" hidden="1">
      <c r="A1107">
        <v>1105</v>
      </c>
      <c r="B1107">
        <v>49</v>
      </c>
      <c r="C1107" s="58">
        <v>44784</v>
      </c>
      <c r="D1107" t="s">
        <v>27</v>
      </c>
      <c r="E1107" t="s">
        <v>2515</v>
      </c>
      <c r="F1107">
        <v>1</v>
      </c>
      <c r="G1107">
        <v>22</v>
      </c>
      <c r="H1107">
        <v>181</v>
      </c>
      <c r="I1107">
        <v>3</v>
      </c>
      <c r="J1107">
        <v>82.71</v>
      </c>
      <c r="K1107" t="s">
        <v>25</v>
      </c>
      <c r="L1107">
        <v>6012750</v>
      </c>
      <c r="M1107">
        <v>0</v>
      </c>
      <c r="N1107">
        <v>6012750</v>
      </c>
      <c r="O1107">
        <v>72696.771853463913</v>
      </c>
      <c r="P1107">
        <v>0</v>
      </c>
      <c r="Q1107">
        <v>6012750</v>
      </c>
      <c r="R1107">
        <v>72696.771853463913</v>
      </c>
      <c r="S1107" t="s">
        <v>130</v>
      </c>
      <c r="T1107" t="s">
        <v>717</v>
      </c>
      <c r="U1107" t="s">
        <v>717</v>
      </c>
      <c r="V1107" t="s">
        <v>717</v>
      </c>
      <c r="W1107">
        <v>44781</v>
      </c>
      <c r="X1107" t="s">
        <v>6648</v>
      </c>
      <c r="Y1107" t="s">
        <v>6642</v>
      </c>
      <c r="Z1107" t="s">
        <v>17</v>
      </c>
      <c r="AA1107" t="s">
        <v>717</v>
      </c>
      <c r="AB1107" t="s">
        <v>2509</v>
      </c>
      <c r="AC1107" t="s">
        <v>717</v>
      </c>
      <c r="AD1107" t="s">
        <v>717</v>
      </c>
      <c r="AE1107" t="s">
        <v>6643</v>
      </c>
      <c r="AF1107" t="s">
        <v>717</v>
      </c>
      <c r="AG1107" t="s">
        <v>717</v>
      </c>
      <c r="AH1107" t="s">
        <v>717</v>
      </c>
      <c r="AI1107" t="s">
        <v>6644</v>
      </c>
      <c r="AJ1107" t="s">
        <v>6645</v>
      </c>
      <c r="AK1107" t="s">
        <v>29</v>
      </c>
      <c r="AL1107" t="s">
        <v>717</v>
      </c>
      <c r="AM1107" t="s">
        <v>10</v>
      </c>
      <c r="AN1107" t="s">
        <v>717</v>
      </c>
    </row>
    <row r="1108" spans="1:40" hidden="1">
      <c r="A1108">
        <v>1106</v>
      </c>
      <c r="B1108">
        <v>50</v>
      </c>
      <c r="C1108" s="58">
        <v>44784</v>
      </c>
      <c r="D1108" t="s">
        <v>27</v>
      </c>
      <c r="E1108" t="s">
        <v>2515</v>
      </c>
      <c r="F1108">
        <v>3</v>
      </c>
      <c r="G1108">
        <v>22</v>
      </c>
      <c r="H1108">
        <v>183</v>
      </c>
      <c r="I1108">
        <v>1</v>
      </c>
      <c r="J1108">
        <v>41.06</v>
      </c>
      <c r="K1108" t="s">
        <v>25</v>
      </c>
      <c r="L1108">
        <v>2993250</v>
      </c>
      <c r="M1108">
        <v>0</v>
      </c>
      <c r="N1108">
        <v>2993250</v>
      </c>
      <c r="O1108">
        <v>72899.415489527513</v>
      </c>
      <c r="P1108">
        <v>0</v>
      </c>
      <c r="Q1108">
        <v>2993250</v>
      </c>
      <c r="R1108">
        <v>72899.415489527513</v>
      </c>
      <c r="S1108" t="s">
        <v>130</v>
      </c>
      <c r="T1108" t="s">
        <v>717</v>
      </c>
      <c r="U1108" t="s">
        <v>717</v>
      </c>
      <c r="V1108" t="s">
        <v>717</v>
      </c>
      <c r="W1108">
        <v>44781</v>
      </c>
      <c r="X1108" t="s">
        <v>6648</v>
      </c>
      <c r="Y1108" t="s">
        <v>6642</v>
      </c>
      <c r="Z1108" t="s">
        <v>17</v>
      </c>
      <c r="AA1108" t="s">
        <v>717</v>
      </c>
      <c r="AB1108" t="s">
        <v>2509</v>
      </c>
      <c r="AC1108" t="s">
        <v>717</v>
      </c>
      <c r="AD1108" t="s">
        <v>717</v>
      </c>
      <c r="AE1108" t="s">
        <v>6643</v>
      </c>
      <c r="AF1108" t="s">
        <v>717</v>
      </c>
      <c r="AG1108" t="s">
        <v>717</v>
      </c>
      <c r="AH1108" t="s">
        <v>717</v>
      </c>
      <c r="AI1108" t="s">
        <v>6644</v>
      </c>
      <c r="AJ1108" t="s">
        <v>6645</v>
      </c>
      <c r="AK1108" t="s">
        <v>29</v>
      </c>
      <c r="AL1108" t="s">
        <v>717</v>
      </c>
      <c r="AM1108" t="s">
        <v>10</v>
      </c>
      <c r="AN1108" t="s">
        <v>717</v>
      </c>
    </row>
    <row r="1109" spans="1:40" hidden="1">
      <c r="A1109">
        <v>1107</v>
      </c>
      <c r="B1109">
        <v>51</v>
      </c>
      <c r="C1109" s="58">
        <v>44784</v>
      </c>
      <c r="D1109" t="s">
        <v>27</v>
      </c>
      <c r="E1109" t="s">
        <v>2515</v>
      </c>
      <c r="F1109">
        <v>7</v>
      </c>
      <c r="G1109">
        <v>22</v>
      </c>
      <c r="H1109">
        <v>187</v>
      </c>
      <c r="I1109">
        <v>2</v>
      </c>
      <c r="J1109">
        <v>60.06</v>
      </c>
      <c r="K1109" t="s">
        <v>25</v>
      </c>
      <c r="L1109">
        <v>4313250</v>
      </c>
      <c r="M1109">
        <v>0</v>
      </c>
      <c r="N1109">
        <v>4313250</v>
      </c>
      <c r="O1109">
        <v>71815.68431568431</v>
      </c>
      <c r="P1109">
        <v>0</v>
      </c>
      <c r="Q1109">
        <v>4313250</v>
      </c>
      <c r="R1109">
        <v>71815.68431568431</v>
      </c>
      <c r="S1109" t="s">
        <v>130</v>
      </c>
      <c r="T1109" t="s">
        <v>717</v>
      </c>
      <c r="U1109" t="s">
        <v>717</v>
      </c>
      <c r="V1109" t="s">
        <v>717</v>
      </c>
      <c r="W1109">
        <v>44781</v>
      </c>
      <c r="X1109" t="s">
        <v>6648</v>
      </c>
      <c r="Y1109" t="s">
        <v>6642</v>
      </c>
      <c r="Z1109" t="s">
        <v>17</v>
      </c>
      <c r="AA1109" t="s">
        <v>717</v>
      </c>
      <c r="AB1109" t="s">
        <v>2509</v>
      </c>
      <c r="AC1109" t="s">
        <v>717</v>
      </c>
      <c r="AD1109" t="s">
        <v>717</v>
      </c>
      <c r="AE1109" t="s">
        <v>6643</v>
      </c>
      <c r="AF1109" t="s">
        <v>717</v>
      </c>
      <c r="AG1109" t="s">
        <v>717</v>
      </c>
      <c r="AH1109" t="s">
        <v>717</v>
      </c>
      <c r="AI1109" t="s">
        <v>6644</v>
      </c>
      <c r="AJ1109" t="s">
        <v>6645</v>
      </c>
      <c r="AK1109" t="s">
        <v>29</v>
      </c>
      <c r="AL1109" t="s">
        <v>717</v>
      </c>
      <c r="AM1109" t="s">
        <v>10</v>
      </c>
      <c r="AN1109" t="s">
        <v>717</v>
      </c>
    </row>
    <row r="1110" spans="1:40" hidden="1">
      <c r="A1110">
        <v>1108</v>
      </c>
      <c r="B1110">
        <v>52</v>
      </c>
      <c r="C1110" s="58">
        <v>44785</v>
      </c>
      <c r="D1110" t="s">
        <v>27</v>
      </c>
      <c r="E1110" t="s">
        <v>2515</v>
      </c>
      <c r="F1110">
        <v>9</v>
      </c>
      <c r="G1110">
        <v>22</v>
      </c>
      <c r="H1110">
        <v>189</v>
      </c>
      <c r="I1110">
        <v>1</v>
      </c>
      <c r="J1110">
        <v>37.94</v>
      </c>
      <c r="K1110" t="s">
        <v>25</v>
      </c>
      <c r="L1110">
        <v>2745000</v>
      </c>
      <c r="M1110">
        <v>0</v>
      </c>
      <c r="N1110">
        <v>2745000</v>
      </c>
      <c r="O1110">
        <v>72351.080653663681</v>
      </c>
      <c r="P1110">
        <v>0</v>
      </c>
      <c r="Q1110">
        <v>2745000</v>
      </c>
      <c r="R1110">
        <v>72351.080653663681</v>
      </c>
      <c r="S1110" t="s">
        <v>130</v>
      </c>
      <c r="T1110" t="s">
        <v>717</v>
      </c>
      <c r="U1110" t="s">
        <v>717</v>
      </c>
      <c r="V1110" t="s">
        <v>717</v>
      </c>
      <c r="W1110">
        <v>44781</v>
      </c>
      <c r="X1110" t="s">
        <v>6649</v>
      </c>
      <c r="Y1110" t="s">
        <v>6642</v>
      </c>
      <c r="Z1110" t="s">
        <v>17</v>
      </c>
      <c r="AA1110" t="s">
        <v>717</v>
      </c>
      <c r="AB1110" t="s">
        <v>2509</v>
      </c>
      <c r="AC1110" t="s">
        <v>717</v>
      </c>
      <c r="AD1110" t="s">
        <v>717</v>
      </c>
      <c r="AE1110" t="s">
        <v>6643</v>
      </c>
      <c r="AF1110" t="s">
        <v>717</v>
      </c>
      <c r="AG1110" t="s">
        <v>717</v>
      </c>
      <c r="AH1110" t="s">
        <v>717</v>
      </c>
      <c r="AI1110" t="s">
        <v>6644</v>
      </c>
      <c r="AJ1110" t="s">
        <v>6645</v>
      </c>
      <c r="AK1110" t="s">
        <v>29</v>
      </c>
      <c r="AL1110" t="s">
        <v>717</v>
      </c>
      <c r="AM1110" t="s">
        <v>10</v>
      </c>
      <c r="AN1110" t="s">
        <v>717</v>
      </c>
    </row>
    <row r="1111" spans="1:40" hidden="1">
      <c r="A1111">
        <v>1109</v>
      </c>
      <c r="B1111">
        <v>53</v>
      </c>
      <c r="C1111" s="58">
        <v>44785</v>
      </c>
      <c r="D1111" t="s">
        <v>27</v>
      </c>
      <c r="E1111" t="s">
        <v>2515</v>
      </c>
      <c r="F1111">
        <v>1</v>
      </c>
      <c r="G1111">
        <v>23</v>
      </c>
      <c r="H1111">
        <v>190</v>
      </c>
      <c r="I1111">
        <v>3</v>
      </c>
      <c r="J1111">
        <v>82.71</v>
      </c>
      <c r="K1111" t="s">
        <v>25</v>
      </c>
      <c r="L1111">
        <v>6012750</v>
      </c>
      <c r="M1111">
        <v>0</v>
      </c>
      <c r="N1111">
        <v>6012750</v>
      </c>
      <c r="O1111">
        <v>72696.771853463913</v>
      </c>
      <c r="P1111">
        <v>0</v>
      </c>
      <c r="Q1111">
        <v>6012750</v>
      </c>
      <c r="R1111">
        <v>72696.771853463913</v>
      </c>
      <c r="S1111" t="s">
        <v>130</v>
      </c>
      <c r="T1111" t="s">
        <v>717</v>
      </c>
      <c r="U1111" t="s">
        <v>717</v>
      </c>
      <c r="V1111" t="s">
        <v>717</v>
      </c>
      <c r="W1111">
        <v>44781</v>
      </c>
      <c r="X1111" t="s">
        <v>6649</v>
      </c>
      <c r="Y1111" t="s">
        <v>6642</v>
      </c>
      <c r="Z1111" t="s">
        <v>17</v>
      </c>
      <c r="AA1111" t="s">
        <v>717</v>
      </c>
      <c r="AB1111" t="s">
        <v>2509</v>
      </c>
      <c r="AC1111" t="s">
        <v>717</v>
      </c>
      <c r="AD1111" t="s">
        <v>717</v>
      </c>
      <c r="AE1111" t="s">
        <v>6643</v>
      </c>
      <c r="AF1111" t="s">
        <v>717</v>
      </c>
      <c r="AG1111" t="s">
        <v>717</v>
      </c>
      <c r="AH1111" t="s">
        <v>717</v>
      </c>
      <c r="AI1111" t="s">
        <v>6644</v>
      </c>
      <c r="AJ1111" t="s">
        <v>6645</v>
      </c>
      <c r="AK1111" t="s">
        <v>29</v>
      </c>
      <c r="AL1111" t="s">
        <v>717</v>
      </c>
      <c r="AM1111" t="s">
        <v>10</v>
      </c>
      <c r="AN1111" t="s">
        <v>717</v>
      </c>
    </row>
    <row r="1112" spans="1:40" hidden="1">
      <c r="A1112">
        <v>1110</v>
      </c>
      <c r="B1112">
        <v>54</v>
      </c>
      <c r="C1112" s="58">
        <v>44785</v>
      </c>
      <c r="D1112" t="s">
        <v>27</v>
      </c>
      <c r="E1112" t="s">
        <v>2515</v>
      </c>
      <c r="F1112">
        <v>7</v>
      </c>
      <c r="G1112">
        <v>23</v>
      </c>
      <c r="H1112">
        <v>196</v>
      </c>
      <c r="I1112">
        <v>2</v>
      </c>
      <c r="J1112">
        <v>60.06</v>
      </c>
      <c r="K1112" t="s">
        <v>25</v>
      </c>
      <c r="L1112">
        <v>4313250</v>
      </c>
      <c r="M1112">
        <v>0</v>
      </c>
      <c r="N1112">
        <v>4313250</v>
      </c>
      <c r="O1112">
        <v>71815.68431568431</v>
      </c>
      <c r="P1112">
        <v>0</v>
      </c>
      <c r="Q1112">
        <v>4313250</v>
      </c>
      <c r="R1112">
        <v>71815.68431568431</v>
      </c>
      <c r="S1112" t="s">
        <v>130</v>
      </c>
      <c r="T1112" t="s">
        <v>717</v>
      </c>
      <c r="U1112" t="s">
        <v>717</v>
      </c>
      <c r="V1112" t="s">
        <v>717</v>
      </c>
      <c r="W1112">
        <v>44781</v>
      </c>
      <c r="X1112" t="s">
        <v>6649</v>
      </c>
      <c r="Y1112" t="s">
        <v>6642</v>
      </c>
      <c r="Z1112" t="s">
        <v>17</v>
      </c>
      <c r="AA1112" t="s">
        <v>717</v>
      </c>
      <c r="AB1112" t="s">
        <v>2509</v>
      </c>
      <c r="AC1112" t="s">
        <v>717</v>
      </c>
      <c r="AD1112" t="s">
        <v>717</v>
      </c>
      <c r="AE1112" t="s">
        <v>6643</v>
      </c>
      <c r="AF1112" t="s">
        <v>717</v>
      </c>
      <c r="AG1112" t="s">
        <v>717</v>
      </c>
      <c r="AH1112" t="s">
        <v>717</v>
      </c>
      <c r="AI1112" t="s">
        <v>6644</v>
      </c>
      <c r="AJ1112" t="s">
        <v>6645</v>
      </c>
      <c r="AK1112" t="s">
        <v>29</v>
      </c>
      <c r="AL1112" t="s">
        <v>717</v>
      </c>
      <c r="AM1112" t="s">
        <v>10</v>
      </c>
      <c r="AN1112" t="s">
        <v>717</v>
      </c>
    </row>
    <row r="1113" spans="1:40" hidden="1">
      <c r="A1113">
        <v>1111</v>
      </c>
      <c r="B1113">
        <v>55</v>
      </c>
      <c r="C1113" s="58">
        <v>44785</v>
      </c>
      <c r="D1113" t="s">
        <v>27</v>
      </c>
      <c r="E1113" t="s">
        <v>2515</v>
      </c>
      <c r="F1113">
        <v>9</v>
      </c>
      <c r="G1113">
        <v>23</v>
      </c>
      <c r="H1113">
        <v>198</v>
      </c>
      <c r="I1113">
        <v>1</v>
      </c>
      <c r="J1113">
        <v>37.94</v>
      </c>
      <c r="K1113" t="s">
        <v>25</v>
      </c>
      <c r="L1113">
        <v>2745000</v>
      </c>
      <c r="M1113">
        <v>0</v>
      </c>
      <c r="N1113">
        <v>2745000</v>
      </c>
      <c r="O1113">
        <v>72351.080653663681</v>
      </c>
      <c r="P1113">
        <v>0</v>
      </c>
      <c r="Q1113">
        <v>2745000</v>
      </c>
      <c r="R1113">
        <v>72351.080653663681</v>
      </c>
      <c r="S1113" t="s">
        <v>130</v>
      </c>
      <c r="T1113" t="s">
        <v>717</v>
      </c>
      <c r="U1113" t="s">
        <v>717</v>
      </c>
      <c r="V1113" t="s">
        <v>717</v>
      </c>
      <c r="W1113">
        <v>44781</v>
      </c>
      <c r="X1113" t="s">
        <v>6649</v>
      </c>
      <c r="Y1113" t="s">
        <v>6642</v>
      </c>
      <c r="Z1113" t="s">
        <v>17</v>
      </c>
      <c r="AA1113" t="s">
        <v>717</v>
      </c>
      <c r="AB1113" t="s">
        <v>2509</v>
      </c>
      <c r="AC1113" t="s">
        <v>717</v>
      </c>
      <c r="AD1113" t="s">
        <v>717</v>
      </c>
      <c r="AE1113" t="s">
        <v>6643</v>
      </c>
      <c r="AF1113" t="s">
        <v>717</v>
      </c>
      <c r="AG1113" t="s">
        <v>717</v>
      </c>
      <c r="AH1113" t="s">
        <v>717</v>
      </c>
      <c r="AI1113" t="s">
        <v>6644</v>
      </c>
      <c r="AJ1113" t="s">
        <v>6645</v>
      </c>
      <c r="AK1113" t="s">
        <v>29</v>
      </c>
      <c r="AL1113" t="s">
        <v>717</v>
      </c>
      <c r="AM1113" t="s">
        <v>10</v>
      </c>
      <c r="AN1113" t="s">
        <v>717</v>
      </c>
    </row>
    <row r="1114" spans="1:40" hidden="1">
      <c r="A1114">
        <v>1112</v>
      </c>
      <c r="B1114">
        <v>56</v>
      </c>
      <c r="C1114" s="58">
        <v>44785</v>
      </c>
      <c r="D1114" t="s">
        <v>27</v>
      </c>
      <c r="E1114" t="s">
        <v>2515</v>
      </c>
      <c r="F1114">
        <v>2</v>
      </c>
      <c r="G1114">
        <v>24</v>
      </c>
      <c r="H1114">
        <v>200</v>
      </c>
      <c r="I1114">
        <v>1</v>
      </c>
      <c r="J1114">
        <v>37.94</v>
      </c>
      <c r="K1114" t="s">
        <v>25</v>
      </c>
      <c r="L1114">
        <v>2745000</v>
      </c>
      <c r="M1114">
        <v>0</v>
      </c>
      <c r="N1114">
        <v>2745000</v>
      </c>
      <c r="O1114">
        <v>72351.080653663681</v>
      </c>
      <c r="P1114">
        <v>0</v>
      </c>
      <c r="Q1114">
        <v>2745000</v>
      </c>
      <c r="R1114">
        <v>72351.080653663681</v>
      </c>
      <c r="S1114" t="s">
        <v>130</v>
      </c>
      <c r="T1114" t="s">
        <v>717</v>
      </c>
      <c r="U1114" t="s">
        <v>717</v>
      </c>
      <c r="V1114" t="s">
        <v>717</v>
      </c>
      <c r="W1114">
        <v>44781</v>
      </c>
      <c r="X1114" t="s">
        <v>6649</v>
      </c>
      <c r="Y1114" t="s">
        <v>6642</v>
      </c>
      <c r="Z1114" t="s">
        <v>17</v>
      </c>
      <c r="AA1114" t="s">
        <v>717</v>
      </c>
      <c r="AB1114" t="s">
        <v>2509</v>
      </c>
      <c r="AC1114" t="s">
        <v>717</v>
      </c>
      <c r="AD1114" t="s">
        <v>717</v>
      </c>
      <c r="AE1114" t="s">
        <v>6643</v>
      </c>
      <c r="AF1114" t="s">
        <v>717</v>
      </c>
      <c r="AG1114" t="s">
        <v>717</v>
      </c>
      <c r="AH1114" t="s">
        <v>717</v>
      </c>
      <c r="AI1114" t="s">
        <v>6644</v>
      </c>
      <c r="AJ1114" t="s">
        <v>6645</v>
      </c>
      <c r="AK1114" t="s">
        <v>29</v>
      </c>
      <c r="AL1114" t="s">
        <v>717</v>
      </c>
      <c r="AM1114" t="s">
        <v>10</v>
      </c>
      <c r="AN1114" t="s">
        <v>717</v>
      </c>
    </row>
    <row r="1115" spans="1:40" hidden="1">
      <c r="A1115">
        <v>1113</v>
      </c>
      <c r="B1115">
        <v>57</v>
      </c>
      <c r="C1115" s="58">
        <v>44785</v>
      </c>
      <c r="D1115" t="s">
        <v>27</v>
      </c>
      <c r="E1115" t="s">
        <v>2515</v>
      </c>
      <c r="F1115">
        <v>3</v>
      </c>
      <c r="G1115">
        <v>24</v>
      </c>
      <c r="H1115">
        <v>201</v>
      </c>
      <c r="I1115">
        <v>1</v>
      </c>
      <c r="J1115">
        <v>41.06</v>
      </c>
      <c r="K1115" t="s">
        <v>25</v>
      </c>
      <c r="L1115">
        <v>2993250</v>
      </c>
      <c r="M1115">
        <v>0</v>
      </c>
      <c r="N1115">
        <v>2993250</v>
      </c>
      <c r="O1115">
        <v>72899.415489527513</v>
      </c>
      <c r="P1115">
        <v>0</v>
      </c>
      <c r="Q1115">
        <v>2993250</v>
      </c>
      <c r="R1115">
        <v>72899.415489527513</v>
      </c>
      <c r="S1115" t="s">
        <v>130</v>
      </c>
      <c r="T1115" t="s">
        <v>717</v>
      </c>
      <c r="U1115" t="s">
        <v>717</v>
      </c>
      <c r="V1115" t="s">
        <v>717</v>
      </c>
      <c r="W1115">
        <v>44781</v>
      </c>
      <c r="X1115" t="s">
        <v>6649</v>
      </c>
      <c r="Y1115" t="s">
        <v>6642</v>
      </c>
      <c r="Z1115" t="s">
        <v>17</v>
      </c>
      <c r="AA1115" t="s">
        <v>717</v>
      </c>
      <c r="AB1115" t="s">
        <v>2509</v>
      </c>
      <c r="AC1115" t="s">
        <v>717</v>
      </c>
      <c r="AD1115" t="s">
        <v>717</v>
      </c>
      <c r="AE1115" t="s">
        <v>6643</v>
      </c>
      <c r="AF1115" t="s">
        <v>717</v>
      </c>
      <c r="AG1115" t="s">
        <v>717</v>
      </c>
      <c r="AH1115" t="s">
        <v>717</v>
      </c>
      <c r="AI1115" t="s">
        <v>6644</v>
      </c>
      <c r="AJ1115" t="s">
        <v>6645</v>
      </c>
      <c r="AK1115" t="s">
        <v>29</v>
      </c>
      <c r="AL1115" t="s">
        <v>717</v>
      </c>
      <c r="AM1115" t="s">
        <v>10</v>
      </c>
      <c r="AN1115" t="s">
        <v>717</v>
      </c>
    </row>
    <row r="1116" spans="1:40" hidden="1">
      <c r="A1116">
        <v>1114</v>
      </c>
      <c r="B1116">
        <v>58</v>
      </c>
      <c r="C1116" s="58">
        <v>44785</v>
      </c>
      <c r="D1116" t="s">
        <v>27</v>
      </c>
      <c r="E1116" t="s">
        <v>2515</v>
      </c>
      <c r="F1116">
        <v>6</v>
      </c>
      <c r="G1116">
        <v>24</v>
      </c>
      <c r="H1116">
        <v>204</v>
      </c>
      <c r="I1116">
        <v>2</v>
      </c>
      <c r="J1116">
        <v>54.67</v>
      </c>
      <c r="K1116" t="s">
        <v>25</v>
      </c>
      <c r="L1116">
        <v>3999750</v>
      </c>
      <c r="M1116">
        <v>0</v>
      </c>
      <c r="N1116">
        <v>3999750</v>
      </c>
      <c r="O1116">
        <v>73161.69745747211</v>
      </c>
      <c r="P1116">
        <v>0</v>
      </c>
      <c r="Q1116">
        <v>3999750</v>
      </c>
      <c r="R1116">
        <v>73161.69745747211</v>
      </c>
      <c r="S1116" t="s">
        <v>130</v>
      </c>
      <c r="T1116" t="s">
        <v>717</v>
      </c>
      <c r="U1116" t="s">
        <v>717</v>
      </c>
      <c r="V1116" t="s">
        <v>717</v>
      </c>
      <c r="W1116">
        <v>44781</v>
      </c>
      <c r="X1116" t="s">
        <v>6649</v>
      </c>
      <c r="Y1116" t="s">
        <v>6642</v>
      </c>
      <c r="Z1116" t="s">
        <v>17</v>
      </c>
      <c r="AA1116" t="s">
        <v>717</v>
      </c>
      <c r="AB1116" t="s">
        <v>2509</v>
      </c>
      <c r="AC1116" t="s">
        <v>717</v>
      </c>
      <c r="AD1116" t="s">
        <v>717</v>
      </c>
      <c r="AE1116" t="s">
        <v>6643</v>
      </c>
      <c r="AF1116" t="s">
        <v>717</v>
      </c>
      <c r="AG1116" t="s">
        <v>717</v>
      </c>
      <c r="AH1116" t="s">
        <v>717</v>
      </c>
      <c r="AI1116" t="s">
        <v>6644</v>
      </c>
      <c r="AJ1116" t="s">
        <v>6645</v>
      </c>
      <c r="AK1116" t="s">
        <v>29</v>
      </c>
      <c r="AL1116" t="s">
        <v>717</v>
      </c>
      <c r="AM1116" t="s">
        <v>10</v>
      </c>
      <c r="AN1116" t="s">
        <v>717</v>
      </c>
    </row>
    <row r="1117" spans="1:40" hidden="1">
      <c r="A1117">
        <v>1115</v>
      </c>
      <c r="B1117">
        <v>59</v>
      </c>
      <c r="C1117" s="58">
        <v>44785</v>
      </c>
      <c r="D1117" t="s">
        <v>27</v>
      </c>
      <c r="E1117" t="s">
        <v>2515</v>
      </c>
      <c r="F1117">
        <v>7</v>
      </c>
      <c r="G1117">
        <v>24</v>
      </c>
      <c r="H1117">
        <v>205</v>
      </c>
      <c r="I1117">
        <v>2</v>
      </c>
      <c r="J1117">
        <v>60.06</v>
      </c>
      <c r="K1117" t="s">
        <v>25</v>
      </c>
      <c r="L1117">
        <v>4313250</v>
      </c>
      <c r="M1117">
        <v>0</v>
      </c>
      <c r="N1117">
        <v>4313250</v>
      </c>
      <c r="O1117">
        <v>71815.68431568431</v>
      </c>
      <c r="P1117">
        <v>0</v>
      </c>
      <c r="Q1117">
        <v>4313250</v>
      </c>
      <c r="R1117">
        <v>71815.68431568431</v>
      </c>
      <c r="S1117" t="s">
        <v>130</v>
      </c>
      <c r="T1117" t="s">
        <v>717</v>
      </c>
      <c r="U1117" t="s">
        <v>717</v>
      </c>
      <c r="V1117" t="s">
        <v>717</v>
      </c>
      <c r="W1117">
        <v>44781</v>
      </c>
      <c r="X1117" t="s">
        <v>6649</v>
      </c>
      <c r="Y1117" t="s">
        <v>6642</v>
      </c>
      <c r="Z1117" t="s">
        <v>17</v>
      </c>
      <c r="AA1117" t="s">
        <v>717</v>
      </c>
      <c r="AB1117" t="s">
        <v>2509</v>
      </c>
      <c r="AC1117" t="s">
        <v>717</v>
      </c>
      <c r="AD1117" t="s">
        <v>717</v>
      </c>
      <c r="AE1117" t="s">
        <v>6643</v>
      </c>
      <c r="AF1117" t="s">
        <v>717</v>
      </c>
      <c r="AG1117" t="s">
        <v>717</v>
      </c>
      <c r="AH1117" t="s">
        <v>717</v>
      </c>
      <c r="AI1117" t="s">
        <v>6644</v>
      </c>
      <c r="AJ1117" t="s">
        <v>6645</v>
      </c>
      <c r="AK1117" t="s">
        <v>29</v>
      </c>
      <c r="AL1117" t="s">
        <v>717</v>
      </c>
      <c r="AM1117" t="s">
        <v>10</v>
      </c>
      <c r="AN1117" t="s">
        <v>717</v>
      </c>
    </row>
    <row r="1118" spans="1:40" hidden="1">
      <c r="A1118">
        <v>1116</v>
      </c>
      <c r="B1118">
        <v>60</v>
      </c>
      <c r="C1118" s="58">
        <v>44785</v>
      </c>
      <c r="D1118" t="s">
        <v>27</v>
      </c>
      <c r="E1118" t="s">
        <v>2515</v>
      </c>
      <c r="F1118">
        <v>8</v>
      </c>
      <c r="G1118">
        <v>24</v>
      </c>
      <c r="H1118">
        <v>206</v>
      </c>
      <c r="I1118">
        <v>1</v>
      </c>
      <c r="J1118">
        <v>37.69</v>
      </c>
      <c r="K1118" t="s">
        <v>25</v>
      </c>
      <c r="L1118">
        <v>2726250</v>
      </c>
      <c r="M1118">
        <v>0</v>
      </c>
      <c r="N1118">
        <v>2726250</v>
      </c>
      <c r="O1118">
        <v>72333.510214911119</v>
      </c>
      <c r="P1118">
        <v>0</v>
      </c>
      <c r="Q1118">
        <v>2726250</v>
      </c>
      <c r="R1118">
        <v>72333.510214911119</v>
      </c>
      <c r="S1118" t="s">
        <v>130</v>
      </c>
      <c r="T1118" t="s">
        <v>717</v>
      </c>
      <c r="U1118" t="s">
        <v>717</v>
      </c>
      <c r="V1118" t="s">
        <v>717</v>
      </c>
      <c r="W1118">
        <v>44781</v>
      </c>
      <c r="X1118" t="s">
        <v>6649</v>
      </c>
      <c r="Y1118" t="s">
        <v>6642</v>
      </c>
      <c r="Z1118" t="s">
        <v>17</v>
      </c>
      <c r="AA1118" t="s">
        <v>717</v>
      </c>
      <c r="AB1118" t="s">
        <v>2509</v>
      </c>
      <c r="AC1118" t="s">
        <v>717</v>
      </c>
      <c r="AD1118" t="s">
        <v>717</v>
      </c>
      <c r="AE1118" t="s">
        <v>6643</v>
      </c>
      <c r="AF1118" t="s">
        <v>717</v>
      </c>
      <c r="AG1118" t="s">
        <v>717</v>
      </c>
      <c r="AH1118" t="s">
        <v>717</v>
      </c>
      <c r="AI1118" t="s">
        <v>6644</v>
      </c>
      <c r="AJ1118" t="s">
        <v>6645</v>
      </c>
      <c r="AK1118" t="s">
        <v>29</v>
      </c>
      <c r="AL1118" t="s">
        <v>717</v>
      </c>
      <c r="AM1118" t="s">
        <v>10</v>
      </c>
      <c r="AN1118" t="s">
        <v>717</v>
      </c>
    </row>
    <row r="1119" spans="1:40" hidden="1">
      <c r="A1119">
        <v>1117</v>
      </c>
      <c r="B1119">
        <v>61</v>
      </c>
      <c r="C1119" s="58">
        <v>44785</v>
      </c>
      <c r="D1119" t="s">
        <v>27</v>
      </c>
      <c r="E1119" t="s">
        <v>2515</v>
      </c>
      <c r="F1119">
        <v>9</v>
      </c>
      <c r="G1119">
        <v>24</v>
      </c>
      <c r="H1119">
        <v>207</v>
      </c>
      <c r="I1119">
        <v>1</v>
      </c>
      <c r="J1119">
        <v>37.94</v>
      </c>
      <c r="K1119" t="s">
        <v>25</v>
      </c>
      <c r="L1119">
        <v>2745000</v>
      </c>
      <c r="M1119">
        <v>0</v>
      </c>
      <c r="N1119">
        <v>2745000</v>
      </c>
      <c r="O1119">
        <v>72351.080653663681</v>
      </c>
      <c r="P1119">
        <v>0</v>
      </c>
      <c r="Q1119">
        <v>2745000</v>
      </c>
      <c r="R1119">
        <v>72351.080653663681</v>
      </c>
      <c r="S1119" t="s">
        <v>130</v>
      </c>
      <c r="T1119" t="s">
        <v>717</v>
      </c>
      <c r="U1119" t="s">
        <v>717</v>
      </c>
      <c r="V1119" t="s">
        <v>717</v>
      </c>
      <c r="W1119">
        <v>44781</v>
      </c>
      <c r="X1119" t="s">
        <v>6649</v>
      </c>
      <c r="Y1119" t="s">
        <v>6642</v>
      </c>
      <c r="Z1119" t="s">
        <v>17</v>
      </c>
      <c r="AA1119" t="s">
        <v>717</v>
      </c>
      <c r="AB1119" t="s">
        <v>2509</v>
      </c>
      <c r="AC1119" t="s">
        <v>717</v>
      </c>
      <c r="AD1119" t="s">
        <v>717</v>
      </c>
      <c r="AE1119" t="s">
        <v>6643</v>
      </c>
      <c r="AF1119" t="s">
        <v>717</v>
      </c>
      <c r="AG1119" t="s">
        <v>717</v>
      </c>
      <c r="AH1119" t="s">
        <v>717</v>
      </c>
      <c r="AI1119" t="s">
        <v>6644</v>
      </c>
      <c r="AJ1119" t="s">
        <v>6645</v>
      </c>
      <c r="AK1119" t="s">
        <v>29</v>
      </c>
      <c r="AL1119" t="s">
        <v>717</v>
      </c>
      <c r="AM1119" t="s">
        <v>10</v>
      </c>
      <c r="AN1119" t="s">
        <v>717</v>
      </c>
    </row>
    <row r="1120" spans="1:40" hidden="1">
      <c r="A1120">
        <v>1118</v>
      </c>
      <c r="B1120">
        <v>62</v>
      </c>
      <c r="C1120" s="58">
        <v>44788</v>
      </c>
      <c r="D1120" t="s">
        <v>27</v>
      </c>
      <c r="E1120" t="s">
        <v>2506</v>
      </c>
      <c r="F1120">
        <v>1</v>
      </c>
      <c r="G1120">
        <v>2</v>
      </c>
      <c r="H1120">
        <v>208</v>
      </c>
      <c r="I1120">
        <v>3</v>
      </c>
      <c r="J1120">
        <v>82.76</v>
      </c>
      <c r="K1120" t="s">
        <v>25</v>
      </c>
      <c r="L1120">
        <v>6017250</v>
      </c>
      <c r="M1120">
        <v>0</v>
      </c>
      <c r="N1120">
        <v>6017250</v>
      </c>
      <c r="O1120">
        <v>72707.225712904779</v>
      </c>
      <c r="P1120">
        <v>0</v>
      </c>
      <c r="Q1120">
        <v>6017250</v>
      </c>
      <c r="R1120">
        <v>72707.225712904779</v>
      </c>
      <c r="S1120" t="s">
        <v>130</v>
      </c>
      <c r="T1120" t="s">
        <v>717</v>
      </c>
      <c r="U1120" t="s">
        <v>717</v>
      </c>
      <c r="V1120" t="s">
        <v>717</v>
      </c>
      <c r="W1120">
        <v>44781</v>
      </c>
      <c r="X1120" t="s">
        <v>6650</v>
      </c>
      <c r="Y1120" t="s">
        <v>6642</v>
      </c>
      <c r="Z1120" t="s">
        <v>17</v>
      </c>
      <c r="AA1120" t="s">
        <v>717</v>
      </c>
      <c r="AB1120" t="s">
        <v>2509</v>
      </c>
      <c r="AC1120" t="s">
        <v>717</v>
      </c>
      <c r="AD1120" t="s">
        <v>717</v>
      </c>
      <c r="AE1120" t="s">
        <v>6643</v>
      </c>
      <c r="AF1120" t="s">
        <v>717</v>
      </c>
      <c r="AG1120" t="s">
        <v>717</v>
      </c>
      <c r="AH1120" t="s">
        <v>717</v>
      </c>
      <c r="AI1120" t="s">
        <v>6644</v>
      </c>
      <c r="AJ1120" t="s">
        <v>6645</v>
      </c>
      <c r="AK1120" t="s">
        <v>29</v>
      </c>
      <c r="AL1120" t="s">
        <v>717</v>
      </c>
      <c r="AM1120" t="s">
        <v>10</v>
      </c>
      <c r="AN1120" t="s">
        <v>717</v>
      </c>
    </row>
    <row r="1121" spans="1:40" hidden="1">
      <c r="A1121">
        <v>1119</v>
      </c>
      <c r="B1121">
        <v>63</v>
      </c>
      <c r="C1121" s="58">
        <v>44788</v>
      </c>
      <c r="D1121" t="s">
        <v>27</v>
      </c>
      <c r="E1121" t="s">
        <v>2506</v>
      </c>
      <c r="F1121">
        <v>2</v>
      </c>
      <c r="G1121">
        <v>2</v>
      </c>
      <c r="H1121">
        <v>209</v>
      </c>
      <c r="I1121">
        <v>1</v>
      </c>
      <c r="J1121">
        <v>37.159999999999997</v>
      </c>
      <c r="K1121" t="s">
        <v>25</v>
      </c>
      <c r="L1121">
        <v>2688000</v>
      </c>
      <c r="M1121">
        <v>0</v>
      </c>
      <c r="N1121">
        <v>2688000</v>
      </c>
      <c r="O1121">
        <v>72335.844994617873</v>
      </c>
      <c r="P1121">
        <v>0</v>
      </c>
      <c r="Q1121">
        <v>2688000</v>
      </c>
      <c r="R1121">
        <v>72335.844994617873</v>
      </c>
      <c r="S1121" t="s">
        <v>130</v>
      </c>
      <c r="T1121" t="s">
        <v>717</v>
      </c>
      <c r="U1121" t="s">
        <v>717</v>
      </c>
      <c r="V1121" t="s">
        <v>717</v>
      </c>
      <c r="W1121">
        <v>44781</v>
      </c>
      <c r="X1121" t="s">
        <v>6650</v>
      </c>
      <c r="Y1121" t="s">
        <v>6642</v>
      </c>
      <c r="Z1121" t="s">
        <v>17</v>
      </c>
      <c r="AA1121" t="s">
        <v>717</v>
      </c>
      <c r="AB1121" t="s">
        <v>2509</v>
      </c>
      <c r="AC1121" t="s">
        <v>717</v>
      </c>
      <c r="AD1121" t="s">
        <v>717</v>
      </c>
      <c r="AE1121" t="s">
        <v>6643</v>
      </c>
      <c r="AF1121" t="s">
        <v>717</v>
      </c>
      <c r="AG1121" t="s">
        <v>717</v>
      </c>
      <c r="AH1121" t="s">
        <v>717</v>
      </c>
      <c r="AI1121" t="s">
        <v>6644</v>
      </c>
      <c r="AJ1121" t="s">
        <v>6645</v>
      </c>
      <c r="AK1121" t="s">
        <v>29</v>
      </c>
      <c r="AL1121" t="s">
        <v>717</v>
      </c>
      <c r="AM1121" t="s">
        <v>10</v>
      </c>
      <c r="AN1121" t="s">
        <v>717</v>
      </c>
    </row>
    <row r="1122" spans="1:40" hidden="1">
      <c r="A1122">
        <v>1120</v>
      </c>
      <c r="B1122">
        <v>64</v>
      </c>
      <c r="C1122" s="58">
        <v>44788</v>
      </c>
      <c r="D1122" t="s">
        <v>27</v>
      </c>
      <c r="E1122" t="s">
        <v>2506</v>
      </c>
      <c r="F1122">
        <v>4</v>
      </c>
      <c r="G1122">
        <v>2</v>
      </c>
      <c r="H1122">
        <v>211</v>
      </c>
      <c r="I1122">
        <v>1</v>
      </c>
      <c r="J1122">
        <v>40</v>
      </c>
      <c r="K1122" t="s">
        <v>25</v>
      </c>
      <c r="L1122">
        <v>2901750</v>
      </c>
      <c r="M1122">
        <v>0</v>
      </c>
      <c r="N1122">
        <v>2901750</v>
      </c>
      <c r="O1122">
        <v>72543.75</v>
      </c>
      <c r="P1122">
        <v>0</v>
      </c>
      <c r="Q1122">
        <v>2901750</v>
      </c>
      <c r="R1122">
        <v>72543.75</v>
      </c>
      <c r="S1122" t="s">
        <v>130</v>
      </c>
      <c r="T1122" t="s">
        <v>717</v>
      </c>
      <c r="U1122" t="s">
        <v>717</v>
      </c>
      <c r="V1122" t="s">
        <v>717</v>
      </c>
      <c r="W1122">
        <v>44781</v>
      </c>
      <c r="X1122" t="s">
        <v>6650</v>
      </c>
      <c r="Y1122" t="s">
        <v>6642</v>
      </c>
      <c r="Z1122" t="s">
        <v>17</v>
      </c>
      <c r="AA1122" t="s">
        <v>717</v>
      </c>
      <c r="AB1122" t="s">
        <v>2509</v>
      </c>
      <c r="AC1122" t="s">
        <v>717</v>
      </c>
      <c r="AD1122" t="s">
        <v>717</v>
      </c>
      <c r="AE1122" t="s">
        <v>6643</v>
      </c>
      <c r="AF1122" t="s">
        <v>717</v>
      </c>
      <c r="AG1122" t="s">
        <v>717</v>
      </c>
      <c r="AH1122" t="s">
        <v>717</v>
      </c>
      <c r="AI1122" t="s">
        <v>6644</v>
      </c>
      <c r="AJ1122" t="s">
        <v>6645</v>
      </c>
      <c r="AK1122" t="s">
        <v>29</v>
      </c>
      <c r="AL1122" t="s">
        <v>717</v>
      </c>
      <c r="AM1122" t="s">
        <v>10</v>
      </c>
      <c r="AN1122" t="s">
        <v>717</v>
      </c>
    </row>
    <row r="1123" spans="1:40" hidden="1">
      <c r="A1123">
        <v>1121</v>
      </c>
      <c r="B1123">
        <v>65</v>
      </c>
      <c r="C1123" s="58">
        <v>44788</v>
      </c>
      <c r="D1123" t="s">
        <v>27</v>
      </c>
      <c r="E1123" t="s">
        <v>2506</v>
      </c>
      <c r="F1123">
        <v>6</v>
      </c>
      <c r="G1123">
        <v>2</v>
      </c>
      <c r="H1123">
        <v>213</v>
      </c>
      <c r="I1123">
        <v>1</v>
      </c>
      <c r="J1123">
        <v>37.11</v>
      </c>
      <c r="K1123" t="s">
        <v>25</v>
      </c>
      <c r="L1123">
        <v>2684250</v>
      </c>
      <c r="M1123">
        <v>0</v>
      </c>
      <c r="N1123">
        <v>2684250</v>
      </c>
      <c r="O1123">
        <v>72332.255456750208</v>
      </c>
      <c r="P1123">
        <v>0</v>
      </c>
      <c r="Q1123">
        <v>2684250</v>
      </c>
      <c r="R1123">
        <v>72332.255456750208</v>
      </c>
      <c r="S1123" t="s">
        <v>130</v>
      </c>
      <c r="T1123" t="s">
        <v>717</v>
      </c>
      <c r="U1123" t="s">
        <v>717</v>
      </c>
      <c r="V1123" t="s">
        <v>717</v>
      </c>
      <c r="W1123">
        <v>44781</v>
      </c>
      <c r="X1123" t="s">
        <v>6650</v>
      </c>
      <c r="Y1123" t="s">
        <v>6642</v>
      </c>
      <c r="Z1123" t="s">
        <v>17</v>
      </c>
      <c r="AA1123" t="s">
        <v>717</v>
      </c>
      <c r="AB1123" t="s">
        <v>2509</v>
      </c>
      <c r="AC1123" t="s">
        <v>717</v>
      </c>
      <c r="AD1123" t="s">
        <v>717</v>
      </c>
      <c r="AE1123" t="s">
        <v>6643</v>
      </c>
      <c r="AF1123" t="s">
        <v>717</v>
      </c>
      <c r="AG1123" t="s">
        <v>717</v>
      </c>
      <c r="AH1123" t="s">
        <v>717</v>
      </c>
      <c r="AI1123" t="s">
        <v>6644</v>
      </c>
      <c r="AJ1123" t="s">
        <v>6645</v>
      </c>
      <c r="AK1123" t="s">
        <v>29</v>
      </c>
      <c r="AL1123" t="s">
        <v>717</v>
      </c>
      <c r="AM1123" t="s">
        <v>10</v>
      </c>
      <c r="AN1123" t="s">
        <v>717</v>
      </c>
    </row>
    <row r="1124" spans="1:40" hidden="1">
      <c r="A1124">
        <v>1122</v>
      </c>
      <c r="B1124">
        <v>66</v>
      </c>
      <c r="C1124" s="58">
        <v>44788</v>
      </c>
      <c r="D1124" t="s">
        <v>27</v>
      </c>
      <c r="E1124" t="s">
        <v>2506</v>
      </c>
      <c r="F1124">
        <v>7</v>
      </c>
      <c r="G1124">
        <v>2</v>
      </c>
      <c r="H1124">
        <v>214</v>
      </c>
      <c r="I1124">
        <v>2</v>
      </c>
      <c r="J1124">
        <v>59.93</v>
      </c>
      <c r="K1124" t="s">
        <v>25</v>
      </c>
      <c r="L1124">
        <v>4305750</v>
      </c>
      <c r="M1124">
        <v>0</v>
      </c>
      <c r="N1124">
        <v>4305750</v>
      </c>
      <c r="O1124">
        <v>71846.320707492079</v>
      </c>
      <c r="P1124">
        <v>0</v>
      </c>
      <c r="Q1124">
        <v>4305750</v>
      </c>
      <c r="R1124">
        <v>71846.320707492079</v>
      </c>
      <c r="S1124" t="s">
        <v>130</v>
      </c>
      <c r="T1124" t="s">
        <v>717</v>
      </c>
      <c r="U1124" t="s">
        <v>717</v>
      </c>
      <c r="V1124" t="s">
        <v>717</v>
      </c>
      <c r="W1124">
        <v>44781</v>
      </c>
      <c r="X1124" t="s">
        <v>6650</v>
      </c>
      <c r="Y1124" t="s">
        <v>6642</v>
      </c>
      <c r="Z1124" t="s">
        <v>17</v>
      </c>
      <c r="AA1124" t="s">
        <v>717</v>
      </c>
      <c r="AB1124" t="s">
        <v>2509</v>
      </c>
      <c r="AC1124" t="s">
        <v>717</v>
      </c>
      <c r="AD1124" t="s">
        <v>717</v>
      </c>
      <c r="AE1124" t="s">
        <v>6643</v>
      </c>
      <c r="AF1124" t="s">
        <v>717</v>
      </c>
      <c r="AG1124" t="s">
        <v>717</v>
      </c>
      <c r="AH1124" t="s">
        <v>717</v>
      </c>
      <c r="AI1124" t="s">
        <v>6644</v>
      </c>
      <c r="AJ1124" t="s">
        <v>6645</v>
      </c>
      <c r="AK1124" t="s">
        <v>29</v>
      </c>
      <c r="AL1124" t="s">
        <v>717</v>
      </c>
      <c r="AM1124" t="s">
        <v>10</v>
      </c>
      <c r="AN1124" t="s">
        <v>717</v>
      </c>
    </row>
    <row r="1125" spans="1:40" hidden="1">
      <c r="A1125">
        <v>1123</v>
      </c>
      <c r="B1125">
        <v>67</v>
      </c>
      <c r="C1125" s="58">
        <v>44788</v>
      </c>
      <c r="D1125" t="s">
        <v>27</v>
      </c>
      <c r="E1125" t="s">
        <v>2506</v>
      </c>
      <c r="F1125">
        <v>8</v>
      </c>
      <c r="G1125">
        <v>2</v>
      </c>
      <c r="H1125">
        <v>215</v>
      </c>
      <c r="I1125">
        <v>2</v>
      </c>
      <c r="J1125">
        <v>55.21</v>
      </c>
      <c r="K1125" t="s">
        <v>25</v>
      </c>
      <c r="L1125">
        <v>4014000</v>
      </c>
      <c r="M1125">
        <v>0</v>
      </c>
      <c r="N1125">
        <v>4014000</v>
      </c>
      <c r="O1125">
        <v>72704.220249954713</v>
      </c>
      <c r="P1125">
        <v>0</v>
      </c>
      <c r="Q1125">
        <v>4014000</v>
      </c>
      <c r="R1125">
        <v>72704.220249954713</v>
      </c>
      <c r="S1125" t="s">
        <v>130</v>
      </c>
      <c r="T1125" t="s">
        <v>717</v>
      </c>
      <c r="U1125" t="s">
        <v>717</v>
      </c>
      <c r="V1125" t="s">
        <v>717</v>
      </c>
      <c r="W1125">
        <v>44781</v>
      </c>
      <c r="X1125" t="s">
        <v>6650</v>
      </c>
      <c r="Y1125" t="s">
        <v>6642</v>
      </c>
      <c r="Z1125" t="s">
        <v>17</v>
      </c>
      <c r="AA1125" t="s">
        <v>717</v>
      </c>
      <c r="AB1125" t="s">
        <v>2509</v>
      </c>
      <c r="AC1125" t="s">
        <v>717</v>
      </c>
      <c r="AD1125" t="s">
        <v>717</v>
      </c>
      <c r="AE1125" t="s">
        <v>6643</v>
      </c>
      <c r="AF1125" t="s">
        <v>717</v>
      </c>
      <c r="AG1125" t="s">
        <v>717</v>
      </c>
      <c r="AH1125" t="s">
        <v>717</v>
      </c>
      <c r="AI1125" t="s">
        <v>6644</v>
      </c>
      <c r="AJ1125" t="s">
        <v>6645</v>
      </c>
      <c r="AK1125" t="s">
        <v>29</v>
      </c>
      <c r="AL1125" t="s">
        <v>717</v>
      </c>
      <c r="AM1125" t="s">
        <v>10</v>
      </c>
      <c r="AN1125" t="s">
        <v>717</v>
      </c>
    </row>
    <row r="1126" spans="1:40" hidden="1">
      <c r="A1126">
        <v>1124</v>
      </c>
      <c r="B1126">
        <v>68</v>
      </c>
      <c r="C1126" s="58">
        <v>44788</v>
      </c>
      <c r="D1126" t="s">
        <v>27</v>
      </c>
      <c r="E1126" t="s">
        <v>2506</v>
      </c>
      <c r="F1126">
        <v>1</v>
      </c>
      <c r="G1126">
        <v>3</v>
      </c>
      <c r="H1126">
        <v>216</v>
      </c>
      <c r="I1126">
        <v>3</v>
      </c>
      <c r="J1126">
        <v>82.76</v>
      </c>
      <c r="K1126" t="s">
        <v>25</v>
      </c>
      <c r="L1126">
        <v>6017250</v>
      </c>
      <c r="M1126">
        <v>0</v>
      </c>
      <c r="N1126">
        <v>6017250</v>
      </c>
      <c r="O1126">
        <v>72707.225712904779</v>
      </c>
      <c r="P1126">
        <v>0</v>
      </c>
      <c r="Q1126">
        <v>6017250</v>
      </c>
      <c r="R1126">
        <v>72707.225712904779</v>
      </c>
      <c r="S1126" t="s">
        <v>130</v>
      </c>
      <c r="T1126" t="s">
        <v>717</v>
      </c>
      <c r="U1126" t="s">
        <v>717</v>
      </c>
      <c r="V1126" t="s">
        <v>717</v>
      </c>
      <c r="W1126">
        <v>44781</v>
      </c>
      <c r="X1126" t="s">
        <v>6650</v>
      </c>
      <c r="Y1126" t="s">
        <v>6642</v>
      </c>
      <c r="Z1126" t="s">
        <v>17</v>
      </c>
      <c r="AA1126" t="s">
        <v>717</v>
      </c>
      <c r="AB1126" t="s">
        <v>2509</v>
      </c>
      <c r="AC1126" t="s">
        <v>717</v>
      </c>
      <c r="AD1126" t="s">
        <v>717</v>
      </c>
      <c r="AE1126" t="s">
        <v>6643</v>
      </c>
      <c r="AF1126" t="s">
        <v>717</v>
      </c>
      <c r="AG1126" t="s">
        <v>717</v>
      </c>
      <c r="AH1126" t="s">
        <v>717</v>
      </c>
      <c r="AI1126" t="s">
        <v>6644</v>
      </c>
      <c r="AJ1126" t="s">
        <v>6645</v>
      </c>
      <c r="AK1126" t="s">
        <v>29</v>
      </c>
      <c r="AL1126" t="s">
        <v>717</v>
      </c>
      <c r="AM1126" t="s">
        <v>10</v>
      </c>
      <c r="AN1126" t="s">
        <v>717</v>
      </c>
    </row>
    <row r="1127" spans="1:40" hidden="1">
      <c r="A1127">
        <v>1125</v>
      </c>
      <c r="B1127">
        <v>69</v>
      </c>
      <c r="C1127" s="58">
        <v>44788</v>
      </c>
      <c r="D1127" t="s">
        <v>27</v>
      </c>
      <c r="E1127" t="s">
        <v>2506</v>
      </c>
      <c r="F1127">
        <v>4</v>
      </c>
      <c r="G1127">
        <v>3</v>
      </c>
      <c r="H1127">
        <v>219</v>
      </c>
      <c r="I1127">
        <v>1</v>
      </c>
      <c r="J1127">
        <v>40</v>
      </c>
      <c r="K1127" t="s">
        <v>25</v>
      </c>
      <c r="L1127">
        <v>2901750</v>
      </c>
      <c r="M1127">
        <v>0</v>
      </c>
      <c r="N1127">
        <v>2901750</v>
      </c>
      <c r="O1127">
        <v>72543.75</v>
      </c>
      <c r="P1127">
        <v>0</v>
      </c>
      <c r="Q1127">
        <v>2901750</v>
      </c>
      <c r="R1127">
        <v>72543.75</v>
      </c>
      <c r="S1127" t="s">
        <v>130</v>
      </c>
      <c r="T1127" t="s">
        <v>717</v>
      </c>
      <c r="U1127" t="s">
        <v>717</v>
      </c>
      <c r="V1127" t="s">
        <v>717</v>
      </c>
      <c r="W1127">
        <v>44781</v>
      </c>
      <c r="X1127" t="s">
        <v>6650</v>
      </c>
      <c r="Y1127" t="s">
        <v>6642</v>
      </c>
      <c r="Z1127" t="s">
        <v>17</v>
      </c>
      <c r="AA1127" t="s">
        <v>717</v>
      </c>
      <c r="AB1127" t="s">
        <v>2509</v>
      </c>
      <c r="AC1127" t="s">
        <v>717</v>
      </c>
      <c r="AD1127" t="s">
        <v>717</v>
      </c>
      <c r="AE1127" t="s">
        <v>6643</v>
      </c>
      <c r="AF1127" t="s">
        <v>717</v>
      </c>
      <c r="AG1127" t="s">
        <v>717</v>
      </c>
      <c r="AH1127" t="s">
        <v>717</v>
      </c>
      <c r="AI1127" t="s">
        <v>6644</v>
      </c>
      <c r="AJ1127" t="s">
        <v>6645</v>
      </c>
      <c r="AK1127" t="s">
        <v>29</v>
      </c>
      <c r="AL1127" t="s">
        <v>717</v>
      </c>
      <c r="AM1127" t="s">
        <v>10</v>
      </c>
      <c r="AN1127" t="s">
        <v>717</v>
      </c>
    </row>
    <row r="1128" spans="1:40" hidden="1">
      <c r="A1128">
        <v>1126</v>
      </c>
      <c r="B1128">
        <v>70</v>
      </c>
      <c r="C1128" s="58">
        <v>44788</v>
      </c>
      <c r="D1128" t="s">
        <v>27</v>
      </c>
      <c r="E1128" t="s">
        <v>2506</v>
      </c>
      <c r="F1128">
        <v>6</v>
      </c>
      <c r="G1128">
        <v>3</v>
      </c>
      <c r="H1128">
        <v>221</v>
      </c>
      <c r="I1128">
        <v>1</v>
      </c>
      <c r="J1128">
        <v>37.11</v>
      </c>
      <c r="K1128" t="s">
        <v>25</v>
      </c>
      <c r="L1128">
        <v>2684250</v>
      </c>
      <c r="M1128">
        <v>0</v>
      </c>
      <c r="N1128">
        <v>2684250</v>
      </c>
      <c r="O1128">
        <v>72332.255456750208</v>
      </c>
      <c r="P1128">
        <v>0</v>
      </c>
      <c r="Q1128">
        <v>2684250</v>
      </c>
      <c r="R1128">
        <v>72332.255456750208</v>
      </c>
      <c r="S1128" t="s">
        <v>130</v>
      </c>
      <c r="T1128" t="s">
        <v>717</v>
      </c>
      <c r="U1128" t="s">
        <v>717</v>
      </c>
      <c r="V1128" t="s">
        <v>717</v>
      </c>
      <c r="W1128">
        <v>44781</v>
      </c>
      <c r="X1128" t="s">
        <v>6650</v>
      </c>
      <c r="Y1128" t="s">
        <v>6642</v>
      </c>
      <c r="Z1128" t="s">
        <v>17</v>
      </c>
      <c r="AA1128" t="s">
        <v>717</v>
      </c>
      <c r="AB1128" t="s">
        <v>2509</v>
      </c>
      <c r="AC1128" t="s">
        <v>717</v>
      </c>
      <c r="AD1128" t="s">
        <v>717</v>
      </c>
      <c r="AE1128" t="s">
        <v>6643</v>
      </c>
      <c r="AF1128" t="s">
        <v>717</v>
      </c>
      <c r="AG1128" t="s">
        <v>717</v>
      </c>
      <c r="AH1128" t="s">
        <v>717</v>
      </c>
      <c r="AI1128" t="s">
        <v>6644</v>
      </c>
      <c r="AJ1128" t="s">
        <v>6645</v>
      </c>
      <c r="AK1128" t="s">
        <v>29</v>
      </c>
      <c r="AL1128" t="s">
        <v>717</v>
      </c>
      <c r="AM1128" t="s">
        <v>10</v>
      </c>
      <c r="AN1128" t="s">
        <v>717</v>
      </c>
    </row>
    <row r="1129" spans="1:40" hidden="1">
      <c r="A1129">
        <v>1127</v>
      </c>
      <c r="B1129">
        <v>71</v>
      </c>
      <c r="C1129" s="58">
        <v>44788</v>
      </c>
      <c r="D1129" t="s">
        <v>27</v>
      </c>
      <c r="E1129" t="s">
        <v>2506</v>
      </c>
      <c r="F1129">
        <v>1</v>
      </c>
      <c r="G1129">
        <v>4</v>
      </c>
      <c r="H1129">
        <v>224</v>
      </c>
      <c r="I1129">
        <v>3</v>
      </c>
      <c r="J1129">
        <v>82.76</v>
      </c>
      <c r="K1129" t="s">
        <v>25</v>
      </c>
      <c r="L1129">
        <v>6017250</v>
      </c>
      <c r="M1129">
        <v>0</v>
      </c>
      <c r="N1129">
        <v>6017250</v>
      </c>
      <c r="O1129">
        <v>72707.225712904779</v>
      </c>
      <c r="P1129">
        <v>0</v>
      </c>
      <c r="Q1129">
        <v>6017250</v>
      </c>
      <c r="R1129">
        <v>72707.225712904779</v>
      </c>
      <c r="S1129" t="s">
        <v>130</v>
      </c>
      <c r="T1129" t="s">
        <v>717</v>
      </c>
      <c r="U1129" t="s">
        <v>717</v>
      </c>
      <c r="V1129" t="s">
        <v>717</v>
      </c>
      <c r="W1129">
        <v>44781</v>
      </c>
      <c r="X1129" t="s">
        <v>6650</v>
      </c>
      <c r="Y1129" t="s">
        <v>6642</v>
      </c>
      <c r="Z1129" t="s">
        <v>17</v>
      </c>
      <c r="AA1129" t="s">
        <v>717</v>
      </c>
      <c r="AB1129" t="s">
        <v>2509</v>
      </c>
      <c r="AC1129" t="s">
        <v>717</v>
      </c>
      <c r="AD1129" t="s">
        <v>717</v>
      </c>
      <c r="AE1129" t="s">
        <v>6643</v>
      </c>
      <c r="AF1129" t="s">
        <v>717</v>
      </c>
      <c r="AG1129" t="s">
        <v>717</v>
      </c>
      <c r="AH1129" t="s">
        <v>717</v>
      </c>
      <c r="AI1129" t="s">
        <v>6644</v>
      </c>
      <c r="AJ1129" t="s">
        <v>6645</v>
      </c>
      <c r="AK1129" t="s">
        <v>29</v>
      </c>
      <c r="AL1129" t="s">
        <v>717</v>
      </c>
      <c r="AM1129" t="s">
        <v>10</v>
      </c>
      <c r="AN1129" t="s">
        <v>717</v>
      </c>
    </row>
    <row r="1130" spans="1:40" hidden="1">
      <c r="A1130">
        <v>1128</v>
      </c>
      <c r="B1130">
        <v>72</v>
      </c>
      <c r="C1130" s="58">
        <v>44788</v>
      </c>
      <c r="D1130" t="s">
        <v>27</v>
      </c>
      <c r="E1130" t="s">
        <v>2506</v>
      </c>
      <c r="F1130">
        <v>1</v>
      </c>
      <c r="G1130">
        <v>5</v>
      </c>
      <c r="H1130">
        <v>232</v>
      </c>
      <c r="I1130">
        <v>3</v>
      </c>
      <c r="J1130">
        <v>82.76</v>
      </c>
      <c r="K1130" t="s">
        <v>25</v>
      </c>
      <c r="L1130">
        <v>6017250</v>
      </c>
      <c r="M1130">
        <v>0</v>
      </c>
      <c r="N1130">
        <v>6017250</v>
      </c>
      <c r="O1130">
        <v>72707.225712904779</v>
      </c>
      <c r="P1130">
        <v>0</v>
      </c>
      <c r="Q1130">
        <v>6017250</v>
      </c>
      <c r="R1130">
        <v>72707.225712904779</v>
      </c>
      <c r="S1130" t="s">
        <v>130</v>
      </c>
      <c r="T1130" t="s">
        <v>717</v>
      </c>
      <c r="U1130" t="s">
        <v>717</v>
      </c>
      <c r="V1130" t="s">
        <v>717</v>
      </c>
      <c r="W1130">
        <v>44781</v>
      </c>
      <c r="X1130" t="s">
        <v>6651</v>
      </c>
      <c r="Y1130" t="s">
        <v>6642</v>
      </c>
      <c r="Z1130" t="s">
        <v>17</v>
      </c>
      <c r="AA1130" t="s">
        <v>717</v>
      </c>
      <c r="AB1130" t="s">
        <v>2509</v>
      </c>
      <c r="AC1130" t="s">
        <v>717</v>
      </c>
      <c r="AD1130" t="s">
        <v>717</v>
      </c>
      <c r="AE1130" t="s">
        <v>6643</v>
      </c>
      <c r="AF1130" t="s">
        <v>717</v>
      </c>
      <c r="AG1130" t="s">
        <v>717</v>
      </c>
      <c r="AH1130" t="s">
        <v>717</v>
      </c>
      <c r="AI1130" t="s">
        <v>6644</v>
      </c>
      <c r="AJ1130" t="s">
        <v>6645</v>
      </c>
      <c r="AK1130" t="s">
        <v>29</v>
      </c>
      <c r="AL1130" t="s">
        <v>717</v>
      </c>
      <c r="AM1130" t="s">
        <v>10</v>
      </c>
      <c r="AN1130" t="s">
        <v>717</v>
      </c>
    </row>
    <row r="1131" spans="1:40" hidden="1">
      <c r="A1131">
        <v>1129</v>
      </c>
      <c r="B1131">
        <v>73</v>
      </c>
      <c r="C1131" s="58">
        <v>44788</v>
      </c>
      <c r="D1131" t="s">
        <v>27</v>
      </c>
      <c r="E1131" t="s">
        <v>2506</v>
      </c>
      <c r="F1131">
        <v>6</v>
      </c>
      <c r="G1131">
        <v>5</v>
      </c>
      <c r="H1131">
        <v>237</v>
      </c>
      <c r="I1131">
        <v>1</v>
      </c>
      <c r="J1131">
        <v>37.11</v>
      </c>
      <c r="K1131" t="s">
        <v>25</v>
      </c>
      <c r="L1131">
        <v>2684250</v>
      </c>
      <c r="M1131">
        <v>0</v>
      </c>
      <c r="N1131">
        <v>2684250</v>
      </c>
      <c r="O1131">
        <v>72332.255456750208</v>
      </c>
      <c r="P1131">
        <v>0</v>
      </c>
      <c r="Q1131">
        <v>2684250</v>
      </c>
      <c r="R1131">
        <v>72332.255456750208</v>
      </c>
      <c r="S1131" t="s">
        <v>130</v>
      </c>
      <c r="T1131" t="s">
        <v>717</v>
      </c>
      <c r="U1131" t="s">
        <v>717</v>
      </c>
      <c r="V1131" t="s">
        <v>717</v>
      </c>
      <c r="W1131">
        <v>44781</v>
      </c>
      <c r="X1131" t="s">
        <v>6651</v>
      </c>
      <c r="Y1131" t="s">
        <v>6642</v>
      </c>
      <c r="Z1131" t="s">
        <v>17</v>
      </c>
      <c r="AA1131" t="s">
        <v>717</v>
      </c>
      <c r="AB1131" t="s">
        <v>2509</v>
      </c>
      <c r="AC1131" t="s">
        <v>717</v>
      </c>
      <c r="AD1131" t="s">
        <v>717</v>
      </c>
      <c r="AE1131" t="s">
        <v>6643</v>
      </c>
      <c r="AF1131" t="s">
        <v>717</v>
      </c>
      <c r="AG1131" t="s">
        <v>717</v>
      </c>
      <c r="AH1131" t="s">
        <v>717</v>
      </c>
      <c r="AI1131" t="s">
        <v>6644</v>
      </c>
      <c r="AJ1131" t="s">
        <v>6645</v>
      </c>
      <c r="AK1131" t="s">
        <v>29</v>
      </c>
      <c r="AL1131" t="s">
        <v>717</v>
      </c>
      <c r="AM1131" t="s">
        <v>10</v>
      </c>
      <c r="AN1131" t="s">
        <v>717</v>
      </c>
    </row>
    <row r="1132" spans="1:40" hidden="1">
      <c r="A1132">
        <v>1130</v>
      </c>
      <c r="B1132">
        <v>74</v>
      </c>
      <c r="C1132" s="58">
        <v>44788</v>
      </c>
      <c r="D1132" t="s">
        <v>27</v>
      </c>
      <c r="E1132" t="s">
        <v>2506</v>
      </c>
      <c r="F1132">
        <v>1</v>
      </c>
      <c r="G1132">
        <v>6</v>
      </c>
      <c r="H1132">
        <v>240</v>
      </c>
      <c r="I1132">
        <v>3</v>
      </c>
      <c r="J1132">
        <v>82.76</v>
      </c>
      <c r="K1132" t="s">
        <v>25</v>
      </c>
      <c r="L1132">
        <v>6017250</v>
      </c>
      <c r="M1132">
        <v>0</v>
      </c>
      <c r="N1132">
        <v>6017250</v>
      </c>
      <c r="O1132">
        <v>72707.225712904779</v>
      </c>
      <c r="P1132">
        <v>0</v>
      </c>
      <c r="Q1132">
        <v>6017250</v>
      </c>
      <c r="R1132">
        <v>72707.225712904779</v>
      </c>
      <c r="S1132" t="s">
        <v>130</v>
      </c>
      <c r="T1132" t="s">
        <v>717</v>
      </c>
      <c r="U1132" t="s">
        <v>717</v>
      </c>
      <c r="V1132" t="s">
        <v>717</v>
      </c>
      <c r="W1132">
        <v>44781</v>
      </c>
      <c r="X1132" t="s">
        <v>6651</v>
      </c>
      <c r="Y1132" t="s">
        <v>6642</v>
      </c>
      <c r="Z1132" t="s">
        <v>17</v>
      </c>
      <c r="AA1132" t="s">
        <v>717</v>
      </c>
      <c r="AB1132" t="s">
        <v>2509</v>
      </c>
      <c r="AC1132" t="s">
        <v>717</v>
      </c>
      <c r="AD1132" t="s">
        <v>717</v>
      </c>
      <c r="AE1132" t="s">
        <v>6643</v>
      </c>
      <c r="AF1132" t="s">
        <v>717</v>
      </c>
      <c r="AG1132" t="s">
        <v>717</v>
      </c>
      <c r="AH1132" t="s">
        <v>717</v>
      </c>
      <c r="AI1132" t="s">
        <v>6644</v>
      </c>
      <c r="AJ1132" t="s">
        <v>6645</v>
      </c>
      <c r="AK1132" t="s">
        <v>29</v>
      </c>
      <c r="AL1132" t="s">
        <v>717</v>
      </c>
      <c r="AM1132" t="s">
        <v>10</v>
      </c>
      <c r="AN1132" t="s">
        <v>717</v>
      </c>
    </row>
    <row r="1133" spans="1:40" hidden="1">
      <c r="A1133">
        <v>1131</v>
      </c>
      <c r="B1133">
        <v>75</v>
      </c>
      <c r="C1133" s="58">
        <v>44788</v>
      </c>
      <c r="D1133" t="s">
        <v>27</v>
      </c>
      <c r="E1133" t="s">
        <v>2506</v>
      </c>
      <c r="F1133">
        <v>4</v>
      </c>
      <c r="G1133">
        <v>6</v>
      </c>
      <c r="H1133">
        <v>243</v>
      </c>
      <c r="I1133">
        <v>1</v>
      </c>
      <c r="J1133">
        <v>40</v>
      </c>
      <c r="K1133" t="s">
        <v>25</v>
      </c>
      <c r="L1133">
        <v>2901750</v>
      </c>
      <c r="M1133">
        <v>0</v>
      </c>
      <c r="N1133">
        <v>2901750</v>
      </c>
      <c r="O1133">
        <v>72543.75</v>
      </c>
      <c r="P1133">
        <v>0</v>
      </c>
      <c r="Q1133">
        <v>2901750</v>
      </c>
      <c r="R1133">
        <v>72543.75</v>
      </c>
      <c r="S1133" t="s">
        <v>130</v>
      </c>
      <c r="T1133" t="s">
        <v>717</v>
      </c>
      <c r="U1133" t="s">
        <v>717</v>
      </c>
      <c r="V1133" t="s">
        <v>717</v>
      </c>
      <c r="W1133">
        <v>44781</v>
      </c>
      <c r="X1133" t="s">
        <v>6651</v>
      </c>
      <c r="Y1133" t="s">
        <v>6642</v>
      </c>
      <c r="Z1133" t="s">
        <v>17</v>
      </c>
      <c r="AA1133" t="s">
        <v>717</v>
      </c>
      <c r="AB1133" t="s">
        <v>2509</v>
      </c>
      <c r="AC1133" t="s">
        <v>717</v>
      </c>
      <c r="AD1133" t="s">
        <v>717</v>
      </c>
      <c r="AE1133" t="s">
        <v>6643</v>
      </c>
      <c r="AF1133" t="s">
        <v>717</v>
      </c>
      <c r="AG1133" t="s">
        <v>717</v>
      </c>
      <c r="AH1133" t="s">
        <v>717</v>
      </c>
      <c r="AI1133" t="s">
        <v>6644</v>
      </c>
      <c r="AJ1133" t="s">
        <v>6645</v>
      </c>
      <c r="AK1133" t="s">
        <v>29</v>
      </c>
      <c r="AL1133" t="s">
        <v>717</v>
      </c>
      <c r="AM1133" t="s">
        <v>10</v>
      </c>
      <c r="AN1133" t="s">
        <v>717</v>
      </c>
    </row>
    <row r="1134" spans="1:40" hidden="1">
      <c r="A1134">
        <v>1132</v>
      </c>
      <c r="B1134">
        <v>76</v>
      </c>
      <c r="C1134" s="58">
        <v>44788</v>
      </c>
      <c r="D1134" t="s">
        <v>27</v>
      </c>
      <c r="E1134" t="s">
        <v>2506</v>
      </c>
      <c r="F1134">
        <v>6</v>
      </c>
      <c r="G1134">
        <v>6</v>
      </c>
      <c r="H1134">
        <v>245</v>
      </c>
      <c r="I1134">
        <v>1</v>
      </c>
      <c r="J1134">
        <v>37.11</v>
      </c>
      <c r="K1134" t="s">
        <v>25</v>
      </c>
      <c r="L1134">
        <v>2684250</v>
      </c>
      <c r="M1134">
        <v>0</v>
      </c>
      <c r="N1134">
        <v>2684250</v>
      </c>
      <c r="O1134">
        <v>72332.255456750208</v>
      </c>
      <c r="P1134">
        <v>0</v>
      </c>
      <c r="Q1134">
        <v>2684250</v>
      </c>
      <c r="R1134">
        <v>72332.255456750208</v>
      </c>
      <c r="S1134" t="s">
        <v>130</v>
      </c>
      <c r="T1134" t="s">
        <v>717</v>
      </c>
      <c r="U1134" t="s">
        <v>717</v>
      </c>
      <c r="V1134" t="s">
        <v>717</v>
      </c>
      <c r="W1134">
        <v>44781</v>
      </c>
      <c r="X1134" t="s">
        <v>6651</v>
      </c>
      <c r="Y1134" t="s">
        <v>6642</v>
      </c>
      <c r="Z1134" t="s">
        <v>17</v>
      </c>
      <c r="AA1134" t="s">
        <v>717</v>
      </c>
      <c r="AB1134" t="s">
        <v>2509</v>
      </c>
      <c r="AC1134" t="s">
        <v>717</v>
      </c>
      <c r="AD1134" t="s">
        <v>717</v>
      </c>
      <c r="AE1134" t="s">
        <v>6643</v>
      </c>
      <c r="AF1134" t="s">
        <v>717</v>
      </c>
      <c r="AG1134" t="s">
        <v>717</v>
      </c>
      <c r="AH1134" t="s">
        <v>717</v>
      </c>
      <c r="AI1134" t="s">
        <v>6644</v>
      </c>
      <c r="AJ1134" t="s">
        <v>6645</v>
      </c>
      <c r="AK1134" t="s">
        <v>29</v>
      </c>
      <c r="AL1134" t="s">
        <v>717</v>
      </c>
      <c r="AM1134" t="s">
        <v>10</v>
      </c>
      <c r="AN1134" t="s">
        <v>717</v>
      </c>
    </row>
    <row r="1135" spans="1:40" hidden="1">
      <c r="A1135">
        <v>1133</v>
      </c>
      <c r="B1135">
        <v>77</v>
      </c>
      <c r="C1135" s="58">
        <v>44788</v>
      </c>
      <c r="D1135" t="s">
        <v>27</v>
      </c>
      <c r="E1135" t="s">
        <v>2506</v>
      </c>
      <c r="F1135">
        <v>1</v>
      </c>
      <c r="G1135">
        <v>7</v>
      </c>
      <c r="H1135">
        <v>248</v>
      </c>
      <c r="I1135">
        <v>3</v>
      </c>
      <c r="J1135">
        <v>82.76</v>
      </c>
      <c r="K1135" t="s">
        <v>25</v>
      </c>
      <c r="L1135">
        <v>6017250</v>
      </c>
      <c r="M1135">
        <v>0</v>
      </c>
      <c r="N1135">
        <v>6017250</v>
      </c>
      <c r="O1135">
        <v>72707.225712904779</v>
      </c>
      <c r="P1135">
        <v>0</v>
      </c>
      <c r="Q1135">
        <v>6017250</v>
      </c>
      <c r="R1135">
        <v>72707.225712904779</v>
      </c>
      <c r="S1135" t="s">
        <v>130</v>
      </c>
      <c r="T1135" t="s">
        <v>717</v>
      </c>
      <c r="U1135" t="s">
        <v>717</v>
      </c>
      <c r="V1135" t="s">
        <v>717</v>
      </c>
      <c r="W1135">
        <v>44781</v>
      </c>
      <c r="X1135" t="s">
        <v>6651</v>
      </c>
      <c r="Y1135" t="s">
        <v>6642</v>
      </c>
      <c r="Z1135" t="s">
        <v>17</v>
      </c>
      <c r="AA1135" t="s">
        <v>717</v>
      </c>
      <c r="AB1135" t="s">
        <v>2509</v>
      </c>
      <c r="AC1135" t="s">
        <v>717</v>
      </c>
      <c r="AD1135" t="s">
        <v>717</v>
      </c>
      <c r="AE1135" t="s">
        <v>6643</v>
      </c>
      <c r="AF1135" t="s">
        <v>717</v>
      </c>
      <c r="AG1135" t="s">
        <v>717</v>
      </c>
      <c r="AH1135" t="s">
        <v>717</v>
      </c>
      <c r="AI1135" t="s">
        <v>6644</v>
      </c>
      <c r="AJ1135" t="s">
        <v>6645</v>
      </c>
      <c r="AK1135" t="s">
        <v>29</v>
      </c>
      <c r="AL1135" t="s">
        <v>717</v>
      </c>
      <c r="AM1135" t="s">
        <v>10</v>
      </c>
      <c r="AN1135" t="s">
        <v>717</v>
      </c>
    </row>
    <row r="1136" spans="1:40" hidden="1">
      <c r="A1136">
        <v>1134</v>
      </c>
      <c r="B1136">
        <v>78</v>
      </c>
      <c r="C1136" s="58">
        <v>44788</v>
      </c>
      <c r="D1136" t="s">
        <v>27</v>
      </c>
      <c r="E1136" t="s">
        <v>2506</v>
      </c>
      <c r="F1136">
        <v>1</v>
      </c>
      <c r="G1136">
        <v>8</v>
      </c>
      <c r="H1136">
        <v>256</v>
      </c>
      <c r="I1136">
        <v>3</v>
      </c>
      <c r="J1136">
        <v>82.76</v>
      </c>
      <c r="K1136" t="s">
        <v>25</v>
      </c>
      <c r="L1136">
        <v>6017250</v>
      </c>
      <c r="M1136">
        <v>0</v>
      </c>
      <c r="N1136">
        <v>6017250</v>
      </c>
      <c r="O1136">
        <v>72707.225712904779</v>
      </c>
      <c r="P1136">
        <v>0</v>
      </c>
      <c r="Q1136">
        <v>6017250</v>
      </c>
      <c r="R1136">
        <v>72707.225712904779</v>
      </c>
      <c r="S1136" t="s">
        <v>130</v>
      </c>
      <c r="T1136" t="s">
        <v>717</v>
      </c>
      <c r="U1136" t="s">
        <v>717</v>
      </c>
      <c r="V1136" t="s">
        <v>717</v>
      </c>
      <c r="W1136">
        <v>44781</v>
      </c>
      <c r="X1136" t="s">
        <v>6651</v>
      </c>
      <c r="Y1136" t="s">
        <v>6642</v>
      </c>
      <c r="Z1136" t="s">
        <v>17</v>
      </c>
      <c r="AA1136" t="s">
        <v>717</v>
      </c>
      <c r="AB1136" t="s">
        <v>2509</v>
      </c>
      <c r="AC1136" t="s">
        <v>717</v>
      </c>
      <c r="AD1136" t="s">
        <v>717</v>
      </c>
      <c r="AE1136" t="s">
        <v>6643</v>
      </c>
      <c r="AF1136" t="s">
        <v>717</v>
      </c>
      <c r="AG1136" t="s">
        <v>717</v>
      </c>
      <c r="AH1136" t="s">
        <v>717</v>
      </c>
      <c r="AI1136" t="s">
        <v>6644</v>
      </c>
      <c r="AJ1136" t="s">
        <v>6645</v>
      </c>
      <c r="AK1136" t="s">
        <v>29</v>
      </c>
      <c r="AL1136" t="s">
        <v>717</v>
      </c>
      <c r="AM1136" t="s">
        <v>10</v>
      </c>
      <c r="AN1136" t="s">
        <v>717</v>
      </c>
    </row>
    <row r="1137" spans="1:40" hidden="1">
      <c r="A1137">
        <v>1135</v>
      </c>
      <c r="B1137">
        <v>79</v>
      </c>
      <c r="C1137" s="58">
        <v>44788</v>
      </c>
      <c r="D1137" t="s">
        <v>27</v>
      </c>
      <c r="E1137" t="s">
        <v>2506</v>
      </c>
      <c r="F1137">
        <v>4</v>
      </c>
      <c r="G1137">
        <v>8</v>
      </c>
      <c r="H1137">
        <v>259</v>
      </c>
      <c r="I1137">
        <v>1</v>
      </c>
      <c r="J1137">
        <v>40</v>
      </c>
      <c r="K1137" t="s">
        <v>25</v>
      </c>
      <c r="L1137">
        <v>2901750</v>
      </c>
      <c r="M1137">
        <v>0</v>
      </c>
      <c r="N1137">
        <v>2901750</v>
      </c>
      <c r="O1137">
        <v>72543.75</v>
      </c>
      <c r="P1137">
        <v>0</v>
      </c>
      <c r="Q1137">
        <v>2901750</v>
      </c>
      <c r="R1137">
        <v>72543.75</v>
      </c>
      <c r="S1137" t="s">
        <v>130</v>
      </c>
      <c r="T1137" t="s">
        <v>717</v>
      </c>
      <c r="U1137" t="s">
        <v>717</v>
      </c>
      <c r="V1137" t="s">
        <v>717</v>
      </c>
      <c r="W1137">
        <v>44781</v>
      </c>
      <c r="X1137" t="s">
        <v>6651</v>
      </c>
      <c r="Y1137" t="s">
        <v>6642</v>
      </c>
      <c r="Z1137" t="s">
        <v>17</v>
      </c>
      <c r="AA1137" t="s">
        <v>717</v>
      </c>
      <c r="AB1137" t="s">
        <v>2509</v>
      </c>
      <c r="AC1137" t="s">
        <v>717</v>
      </c>
      <c r="AD1137" t="s">
        <v>717</v>
      </c>
      <c r="AE1137" t="s">
        <v>6643</v>
      </c>
      <c r="AF1137" t="s">
        <v>717</v>
      </c>
      <c r="AG1137" t="s">
        <v>717</v>
      </c>
      <c r="AH1137" t="s">
        <v>717</v>
      </c>
      <c r="AI1137" t="s">
        <v>6644</v>
      </c>
      <c r="AJ1137" t="s">
        <v>6645</v>
      </c>
      <c r="AK1137" t="s">
        <v>29</v>
      </c>
      <c r="AL1137" t="s">
        <v>717</v>
      </c>
      <c r="AM1137" t="s">
        <v>10</v>
      </c>
      <c r="AN1137" t="s">
        <v>717</v>
      </c>
    </row>
    <row r="1138" spans="1:40" hidden="1">
      <c r="A1138">
        <v>1136</v>
      </c>
      <c r="B1138">
        <v>80</v>
      </c>
      <c r="C1138" s="58">
        <v>44788</v>
      </c>
      <c r="D1138" t="s">
        <v>27</v>
      </c>
      <c r="E1138" t="s">
        <v>2506</v>
      </c>
      <c r="F1138">
        <v>6</v>
      </c>
      <c r="G1138">
        <v>8</v>
      </c>
      <c r="H1138">
        <v>261</v>
      </c>
      <c r="I1138">
        <v>1</v>
      </c>
      <c r="J1138">
        <v>37.11</v>
      </c>
      <c r="K1138" t="s">
        <v>25</v>
      </c>
      <c r="L1138">
        <v>2684250</v>
      </c>
      <c r="M1138">
        <v>0</v>
      </c>
      <c r="N1138">
        <v>2684250</v>
      </c>
      <c r="O1138">
        <v>72332.255456750208</v>
      </c>
      <c r="P1138">
        <v>0</v>
      </c>
      <c r="Q1138">
        <v>2684250</v>
      </c>
      <c r="R1138">
        <v>72332.255456750208</v>
      </c>
      <c r="S1138" t="s">
        <v>130</v>
      </c>
      <c r="T1138" t="s">
        <v>717</v>
      </c>
      <c r="U1138" t="s">
        <v>717</v>
      </c>
      <c r="V1138" t="s">
        <v>717</v>
      </c>
      <c r="W1138">
        <v>44781</v>
      </c>
      <c r="X1138" t="s">
        <v>6651</v>
      </c>
      <c r="Y1138" t="s">
        <v>6642</v>
      </c>
      <c r="Z1138" t="s">
        <v>17</v>
      </c>
      <c r="AA1138" t="s">
        <v>717</v>
      </c>
      <c r="AB1138" t="s">
        <v>2509</v>
      </c>
      <c r="AC1138" t="s">
        <v>717</v>
      </c>
      <c r="AD1138" t="s">
        <v>717</v>
      </c>
      <c r="AE1138" t="s">
        <v>6643</v>
      </c>
      <c r="AF1138" t="s">
        <v>717</v>
      </c>
      <c r="AG1138" t="s">
        <v>717</v>
      </c>
      <c r="AH1138" t="s">
        <v>717</v>
      </c>
      <c r="AI1138" t="s">
        <v>6644</v>
      </c>
      <c r="AJ1138" t="s">
        <v>6645</v>
      </c>
      <c r="AK1138" t="s">
        <v>29</v>
      </c>
      <c r="AL1138" t="s">
        <v>717</v>
      </c>
      <c r="AM1138" t="s">
        <v>10</v>
      </c>
      <c r="AN1138" t="s">
        <v>717</v>
      </c>
    </row>
    <row r="1139" spans="1:40" hidden="1">
      <c r="A1139">
        <v>1137</v>
      </c>
      <c r="B1139">
        <v>81</v>
      </c>
      <c r="C1139" s="58">
        <v>44788</v>
      </c>
      <c r="D1139" t="s">
        <v>27</v>
      </c>
      <c r="E1139" t="s">
        <v>2506</v>
      </c>
      <c r="F1139">
        <v>1</v>
      </c>
      <c r="G1139">
        <v>9</v>
      </c>
      <c r="H1139">
        <v>264</v>
      </c>
      <c r="I1139">
        <v>3</v>
      </c>
      <c r="J1139">
        <v>82.76</v>
      </c>
      <c r="K1139" t="s">
        <v>25</v>
      </c>
      <c r="L1139">
        <v>6017250</v>
      </c>
      <c r="M1139">
        <v>0</v>
      </c>
      <c r="N1139">
        <v>6017250</v>
      </c>
      <c r="O1139">
        <v>72707.225712904779</v>
      </c>
      <c r="P1139">
        <v>0</v>
      </c>
      <c r="Q1139">
        <v>6017250</v>
      </c>
      <c r="R1139">
        <v>72707.225712904779</v>
      </c>
      <c r="S1139" t="s">
        <v>130</v>
      </c>
      <c r="T1139" t="s">
        <v>717</v>
      </c>
      <c r="U1139" t="s">
        <v>717</v>
      </c>
      <c r="V1139" t="s">
        <v>717</v>
      </c>
      <c r="W1139">
        <v>44781</v>
      </c>
      <c r="X1139" t="s">
        <v>6651</v>
      </c>
      <c r="Y1139" t="s">
        <v>6642</v>
      </c>
      <c r="Z1139" t="s">
        <v>17</v>
      </c>
      <c r="AA1139" t="s">
        <v>717</v>
      </c>
      <c r="AB1139" t="s">
        <v>2509</v>
      </c>
      <c r="AC1139" t="s">
        <v>717</v>
      </c>
      <c r="AD1139" t="s">
        <v>717</v>
      </c>
      <c r="AE1139" t="s">
        <v>6643</v>
      </c>
      <c r="AF1139" t="s">
        <v>717</v>
      </c>
      <c r="AG1139" t="s">
        <v>717</v>
      </c>
      <c r="AH1139" t="s">
        <v>717</v>
      </c>
      <c r="AI1139" t="s">
        <v>6644</v>
      </c>
      <c r="AJ1139" t="s">
        <v>6645</v>
      </c>
      <c r="AK1139" t="s">
        <v>29</v>
      </c>
      <c r="AL1139" t="s">
        <v>717</v>
      </c>
      <c r="AM1139" t="s">
        <v>10</v>
      </c>
      <c r="AN1139" t="s">
        <v>717</v>
      </c>
    </row>
    <row r="1140" spans="1:40" hidden="1">
      <c r="A1140">
        <v>1138</v>
      </c>
      <c r="B1140">
        <v>82</v>
      </c>
      <c r="C1140" s="58">
        <v>44788</v>
      </c>
      <c r="D1140" t="s">
        <v>27</v>
      </c>
      <c r="E1140" t="s">
        <v>2506</v>
      </c>
      <c r="F1140">
        <v>6</v>
      </c>
      <c r="G1140">
        <v>9</v>
      </c>
      <c r="H1140">
        <v>269</v>
      </c>
      <c r="I1140">
        <v>1</v>
      </c>
      <c r="J1140">
        <v>37.11</v>
      </c>
      <c r="K1140" t="s">
        <v>25</v>
      </c>
      <c r="L1140">
        <v>2684250</v>
      </c>
      <c r="M1140">
        <v>0</v>
      </c>
      <c r="N1140">
        <v>2684250</v>
      </c>
      <c r="O1140">
        <v>72332.255456750208</v>
      </c>
      <c r="P1140">
        <v>0</v>
      </c>
      <c r="Q1140">
        <v>2684250</v>
      </c>
      <c r="R1140">
        <v>72332.255456750208</v>
      </c>
      <c r="S1140" t="s">
        <v>130</v>
      </c>
      <c r="T1140" t="s">
        <v>717</v>
      </c>
      <c r="U1140" t="s">
        <v>717</v>
      </c>
      <c r="V1140" t="s">
        <v>717</v>
      </c>
      <c r="W1140">
        <v>44781</v>
      </c>
      <c r="X1140" t="s">
        <v>6651</v>
      </c>
      <c r="Y1140" t="s">
        <v>6642</v>
      </c>
      <c r="Z1140" t="s">
        <v>17</v>
      </c>
      <c r="AA1140" t="s">
        <v>717</v>
      </c>
      <c r="AB1140" t="s">
        <v>2509</v>
      </c>
      <c r="AC1140" t="s">
        <v>717</v>
      </c>
      <c r="AD1140" t="s">
        <v>717</v>
      </c>
      <c r="AE1140" t="s">
        <v>6643</v>
      </c>
      <c r="AF1140" t="s">
        <v>717</v>
      </c>
      <c r="AG1140" t="s">
        <v>717</v>
      </c>
      <c r="AH1140" t="s">
        <v>717</v>
      </c>
      <c r="AI1140" t="s">
        <v>6644</v>
      </c>
      <c r="AJ1140" t="s">
        <v>6645</v>
      </c>
      <c r="AK1140" t="s">
        <v>29</v>
      </c>
      <c r="AL1140" t="s">
        <v>717</v>
      </c>
      <c r="AM1140" t="s">
        <v>10</v>
      </c>
      <c r="AN1140" t="s">
        <v>717</v>
      </c>
    </row>
    <row r="1141" spans="1:40" hidden="1">
      <c r="A1141">
        <v>1139</v>
      </c>
      <c r="B1141">
        <v>83</v>
      </c>
      <c r="C1141" s="58">
        <v>44788</v>
      </c>
      <c r="D1141" t="s">
        <v>27</v>
      </c>
      <c r="E1141" t="s">
        <v>2506</v>
      </c>
      <c r="F1141">
        <v>1</v>
      </c>
      <c r="G1141">
        <v>10</v>
      </c>
      <c r="H1141">
        <v>272</v>
      </c>
      <c r="I1141">
        <v>3</v>
      </c>
      <c r="J1141">
        <v>82.76</v>
      </c>
      <c r="K1141" t="s">
        <v>25</v>
      </c>
      <c r="L1141">
        <v>6017250</v>
      </c>
      <c r="M1141">
        <v>0</v>
      </c>
      <c r="N1141">
        <v>6017250</v>
      </c>
      <c r="O1141">
        <v>72707.225712904779</v>
      </c>
      <c r="P1141">
        <v>0</v>
      </c>
      <c r="Q1141">
        <v>6017250</v>
      </c>
      <c r="R1141">
        <v>72707.225712904779</v>
      </c>
      <c r="S1141" t="s">
        <v>130</v>
      </c>
      <c r="T1141" t="s">
        <v>717</v>
      </c>
      <c r="U1141" t="s">
        <v>717</v>
      </c>
      <c r="V1141" t="s">
        <v>717</v>
      </c>
      <c r="W1141">
        <v>44781</v>
      </c>
      <c r="X1141" t="s">
        <v>6652</v>
      </c>
      <c r="Y1141" t="s">
        <v>6642</v>
      </c>
      <c r="Z1141" t="s">
        <v>17</v>
      </c>
      <c r="AA1141" t="s">
        <v>717</v>
      </c>
      <c r="AB1141" t="s">
        <v>2509</v>
      </c>
      <c r="AC1141" t="s">
        <v>717</v>
      </c>
      <c r="AD1141" t="s">
        <v>717</v>
      </c>
      <c r="AE1141" t="s">
        <v>6643</v>
      </c>
      <c r="AF1141" t="s">
        <v>717</v>
      </c>
      <c r="AG1141" t="s">
        <v>717</v>
      </c>
      <c r="AH1141" t="s">
        <v>717</v>
      </c>
      <c r="AI1141" t="s">
        <v>6644</v>
      </c>
      <c r="AJ1141" t="s">
        <v>6645</v>
      </c>
      <c r="AK1141" t="s">
        <v>29</v>
      </c>
      <c r="AL1141" t="s">
        <v>717</v>
      </c>
      <c r="AM1141" t="s">
        <v>10</v>
      </c>
      <c r="AN1141" t="s">
        <v>717</v>
      </c>
    </row>
    <row r="1142" spans="1:40" hidden="1">
      <c r="A1142">
        <v>1140</v>
      </c>
      <c r="B1142">
        <v>84</v>
      </c>
      <c r="C1142" s="58">
        <v>44788</v>
      </c>
      <c r="D1142" t="s">
        <v>27</v>
      </c>
      <c r="E1142" t="s">
        <v>2506</v>
      </c>
      <c r="F1142">
        <v>1</v>
      </c>
      <c r="G1142">
        <v>11</v>
      </c>
      <c r="H1142">
        <v>280</v>
      </c>
      <c r="I1142">
        <v>3</v>
      </c>
      <c r="J1142">
        <v>82.76</v>
      </c>
      <c r="K1142" t="s">
        <v>25</v>
      </c>
      <c r="L1142">
        <v>6017250</v>
      </c>
      <c r="M1142">
        <v>0</v>
      </c>
      <c r="N1142">
        <v>6017250</v>
      </c>
      <c r="O1142">
        <v>72707.225712904779</v>
      </c>
      <c r="P1142">
        <v>0</v>
      </c>
      <c r="Q1142">
        <v>6017250</v>
      </c>
      <c r="R1142">
        <v>72707.225712904779</v>
      </c>
      <c r="S1142" t="s">
        <v>130</v>
      </c>
      <c r="T1142" t="s">
        <v>717</v>
      </c>
      <c r="U1142" t="s">
        <v>717</v>
      </c>
      <c r="V1142" t="s">
        <v>717</v>
      </c>
      <c r="W1142">
        <v>44781</v>
      </c>
      <c r="X1142" t="s">
        <v>6652</v>
      </c>
      <c r="Y1142" t="s">
        <v>6642</v>
      </c>
      <c r="Z1142" t="s">
        <v>17</v>
      </c>
      <c r="AA1142" t="s">
        <v>717</v>
      </c>
      <c r="AB1142" t="s">
        <v>2509</v>
      </c>
      <c r="AC1142" t="s">
        <v>717</v>
      </c>
      <c r="AD1142" t="s">
        <v>717</v>
      </c>
      <c r="AE1142" t="s">
        <v>6643</v>
      </c>
      <c r="AF1142" t="s">
        <v>717</v>
      </c>
      <c r="AG1142" t="s">
        <v>717</v>
      </c>
      <c r="AH1142" t="s">
        <v>717</v>
      </c>
      <c r="AI1142" t="s">
        <v>6644</v>
      </c>
      <c r="AJ1142" t="s">
        <v>6645</v>
      </c>
      <c r="AK1142" t="s">
        <v>29</v>
      </c>
      <c r="AL1142" t="s">
        <v>717</v>
      </c>
      <c r="AM1142" t="s">
        <v>10</v>
      </c>
      <c r="AN1142" t="s">
        <v>717</v>
      </c>
    </row>
    <row r="1143" spans="1:40" hidden="1">
      <c r="A1143">
        <v>1141</v>
      </c>
      <c r="B1143">
        <v>85</v>
      </c>
      <c r="C1143" s="58">
        <v>44788</v>
      </c>
      <c r="D1143" t="s">
        <v>27</v>
      </c>
      <c r="E1143" t="s">
        <v>2506</v>
      </c>
      <c r="F1143">
        <v>4</v>
      </c>
      <c r="G1143">
        <v>11</v>
      </c>
      <c r="H1143">
        <v>283</v>
      </c>
      <c r="I1143">
        <v>1</v>
      </c>
      <c r="J1143">
        <v>40</v>
      </c>
      <c r="K1143" t="s">
        <v>25</v>
      </c>
      <c r="L1143">
        <v>2901750</v>
      </c>
      <c r="M1143">
        <v>0</v>
      </c>
      <c r="N1143">
        <v>2901750</v>
      </c>
      <c r="O1143">
        <v>72543.75</v>
      </c>
      <c r="P1143">
        <v>0</v>
      </c>
      <c r="Q1143">
        <v>2901750</v>
      </c>
      <c r="R1143">
        <v>72543.75</v>
      </c>
      <c r="S1143" t="s">
        <v>130</v>
      </c>
      <c r="T1143" t="s">
        <v>717</v>
      </c>
      <c r="U1143" t="s">
        <v>717</v>
      </c>
      <c r="V1143" t="s">
        <v>717</v>
      </c>
      <c r="W1143">
        <v>44781</v>
      </c>
      <c r="X1143" t="s">
        <v>6652</v>
      </c>
      <c r="Y1143" t="s">
        <v>6642</v>
      </c>
      <c r="Z1143" t="s">
        <v>17</v>
      </c>
      <c r="AA1143" t="s">
        <v>717</v>
      </c>
      <c r="AB1143" t="s">
        <v>2509</v>
      </c>
      <c r="AC1143" t="s">
        <v>717</v>
      </c>
      <c r="AD1143" t="s">
        <v>717</v>
      </c>
      <c r="AE1143" t="s">
        <v>6643</v>
      </c>
      <c r="AF1143" t="s">
        <v>717</v>
      </c>
      <c r="AG1143" t="s">
        <v>717</v>
      </c>
      <c r="AH1143" t="s">
        <v>717</v>
      </c>
      <c r="AI1143" t="s">
        <v>6644</v>
      </c>
      <c r="AJ1143" t="s">
        <v>6645</v>
      </c>
      <c r="AK1143" t="s">
        <v>29</v>
      </c>
      <c r="AL1143" t="s">
        <v>717</v>
      </c>
      <c r="AM1143" t="s">
        <v>10</v>
      </c>
      <c r="AN1143" t="s">
        <v>717</v>
      </c>
    </row>
    <row r="1144" spans="1:40" hidden="1">
      <c r="A1144">
        <v>1142</v>
      </c>
      <c r="B1144">
        <v>86</v>
      </c>
      <c r="C1144" s="58">
        <v>44788</v>
      </c>
      <c r="D1144" t="s">
        <v>27</v>
      </c>
      <c r="E1144" t="s">
        <v>2506</v>
      </c>
      <c r="F1144">
        <v>6</v>
      </c>
      <c r="G1144">
        <v>11</v>
      </c>
      <c r="H1144">
        <v>285</v>
      </c>
      <c r="I1144">
        <v>1</v>
      </c>
      <c r="J1144">
        <v>37.11</v>
      </c>
      <c r="K1144" t="s">
        <v>25</v>
      </c>
      <c r="L1144">
        <v>2684250</v>
      </c>
      <c r="M1144">
        <v>0</v>
      </c>
      <c r="N1144">
        <v>2684250</v>
      </c>
      <c r="O1144">
        <v>72332.255456750208</v>
      </c>
      <c r="P1144">
        <v>0</v>
      </c>
      <c r="Q1144">
        <v>2684250</v>
      </c>
      <c r="R1144">
        <v>72332.255456750208</v>
      </c>
      <c r="S1144" t="s">
        <v>130</v>
      </c>
      <c r="T1144" t="s">
        <v>717</v>
      </c>
      <c r="U1144" t="s">
        <v>717</v>
      </c>
      <c r="V1144" t="s">
        <v>717</v>
      </c>
      <c r="W1144">
        <v>44781</v>
      </c>
      <c r="X1144" t="s">
        <v>6652</v>
      </c>
      <c r="Y1144" t="s">
        <v>6642</v>
      </c>
      <c r="Z1144" t="s">
        <v>17</v>
      </c>
      <c r="AA1144" t="s">
        <v>717</v>
      </c>
      <c r="AB1144" t="s">
        <v>2509</v>
      </c>
      <c r="AC1144" t="s">
        <v>717</v>
      </c>
      <c r="AD1144" t="s">
        <v>717</v>
      </c>
      <c r="AE1144" t="s">
        <v>6643</v>
      </c>
      <c r="AF1144" t="s">
        <v>717</v>
      </c>
      <c r="AG1144" t="s">
        <v>717</v>
      </c>
      <c r="AH1144" t="s">
        <v>717</v>
      </c>
      <c r="AI1144" t="s">
        <v>6644</v>
      </c>
      <c r="AJ1144" t="s">
        <v>6645</v>
      </c>
      <c r="AK1144" t="s">
        <v>29</v>
      </c>
      <c r="AL1144" t="s">
        <v>717</v>
      </c>
      <c r="AM1144" t="s">
        <v>10</v>
      </c>
      <c r="AN1144" t="s">
        <v>717</v>
      </c>
    </row>
    <row r="1145" spans="1:40" hidden="1">
      <c r="A1145">
        <v>1143</v>
      </c>
      <c r="B1145">
        <v>87</v>
      </c>
      <c r="C1145" s="58">
        <v>44788</v>
      </c>
      <c r="D1145" t="s">
        <v>27</v>
      </c>
      <c r="E1145" t="s">
        <v>2506</v>
      </c>
      <c r="F1145">
        <v>1</v>
      </c>
      <c r="G1145">
        <v>12</v>
      </c>
      <c r="H1145">
        <v>288</v>
      </c>
      <c r="I1145">
        <v>3</v>
      </c>
      <c r="J1145">
        <v>82.76</v>
      </c>
      <c r="K1145" t="s">
        <v>25</v>
      </c>
      <c r="L1145">
        <v>6017250</v>
      </c>
      <c r="M1145">
        <v>0</v>
      </c>
      <c r="N1145">
        <v>6017250</v>
      </c>
      <c r="O1145">
        <v>72707.225712904779</v>
      </c>
      <c r="P1145">
        <v>0</v>
      </c>
      <c r="Q1145">
        <v>6017250</v>
      </c>
      <c r="R1145">
        <v>72707.225712904779</v>
      </c>
      <c r="S1145" t="s">
        <v>130</v>
      </c>
      <c r="T1145" t="s">
        <v>717</v>
      </c>
      <c r="U1145" t="s">
        <v>717</v>
      </c>
      <c r="V1145" t="s">
        <v>717</v>
      </c>
      <c r="W1145">
        <v>44781</v>
      </c>
      <c r="X1145" t="s">
        <v>6652</v>
      </c>
      <c r="Y1145" t="s">
        <v>6642</v>
      </c>
      <c r="Z1145" t="s">
        <v>17</v>
      </c>
      <c r="AA1145" t="s">
        <v>717</v>
      </c>
      <c r="AB1145" t="s">
        <v>2509</v>
      </c>
      <c r="AC1145" t="s">
        <v>717</v>
      </c>
      <c r="AD1145" t="s">
        <v>717</v>
      </c>
      <c r="AE1145" t="s">
        <v>6643</v>
      </c>
      <c r="AF1145" t="s">
        <v>717</v>
      </c>
      <c r="AG1145" t="s">
        <v>717</v>
      </c>
      <c r="AH1145" t="s">
        <v>717</v>
      </c>
      <c r="AI1145" t="s">
        <v>6644</v>
      </c>
      <c r="AJ1145" t="s">
        <v>6645</v>
      </c>
      <c r="AK1145" t="s">
        <v>29</v>
      </c>
      <c r="AL1145" t="s">
        <v>717</v>
      </c>
      <c r="AM1145" t="s">
        <v>10</v>
      </c>
      <c r="AN1145" t="s">
        <v>717</v>
      </c>
    </row>
    <row r="1146" spans="1:40" hidden="1">
      <c r="A1146">
        <v>1144</v>
      </c>
      <c r="B1146">
        <v>88</v>
      </c>
      <c r="C1146" s="58">
        <v>44788</v>
      </c>
      <c r="D1146" t="s">
        <v>27</v>
      </c>
      <c r="E1146" t="s">
        <v>2506</v>
      </c>
      <c r="F1146">
        <v>1</v>
      </c>
      <c r="G1146">
        <v>13</v>
      </c>
      <c r="H1146">
        <v>296</v>
      </c>
      <c r="I1146">
        <v>3</v>
      </c>
      <c r="J1146">
        <v>82.76</v>
      </c>
      <c r="K1146" t="s">
        <v>25</v>
      </c>
      <c r="L1146">
        <v>6017250</v>
      </c>
      <c r="M1146">
        <v>0</v>
      </c>
      <c r="N1146">
        <v>6017250</v>
      </c>
      <c r="O1146">
        <v>72707.225712904779</v>
      </c>
      <c r="P1146">
        <v>0</v>
      </c>
      <c r="Q1146">
        <v>6017250</v>
      </c>
      <c r="R1146">
        <v>72707.225712904779</v>
      </c>
      <c r="S1146" t="s">
        <v>130</v>
      </c>
      <c r="T1146" t="s">
        <v>717</v>
      </c>
      <c r="U1146" t="s">
        <v>717</v>
      </c>
      <c r="V1146" t="s">
        <v>717</v>
      </c>
      <c r="W1146">
        <v>44781</v>
      </c>
      <c r="X1146" t="s">
        <v>6652</v>
      </c>
      <c r="Y1146" t="s">
        <v>6642</v>
      </c>
      <c r="Z1146" t="s">
        <v>17</v>
      </c>
      <c r="AA1146" t="s">
        <v>717</v>
      </c>
      <c r="AB1146" t="s">
        <v>2509</v>
      </c>
      <c r="AC1146" t="s">
        <v>717</v>
      </c>
      <c r="AD1146" t="s">
        <v>717</v>
      </c>
      <c r="AE1146" t="s">
        <v>6643</v>
      </c>
      <c r="AF1146" t="s">
        <v>717</v>
      </c>
      <c r="AG1146" t="s">
        <v>717</v>
      </c>
      <c r="AH1146" t="s">
        <v>717</v>
      </c>
      <c r="AI1146" t="s">
        <v>6644</v>
      </c>
      <c r="AJ1146" t="s">
        <v>6645</v>
      </c>
      <c r="AK1146" t="s">
        <v>29</v>
      </c>
      <c r="AL1146" t="s">
        <v>717</v>
      </c>
      <c r="AM1146" t="s">
        <v>10</v>
      </c>
      <c r="AN1146" t="s">
        <v>717</v>
      </c>
    </row>
    <row r="1147" spans="1:40" hidden="1">
      <c r="A1147">
        <v>1145</v>
      </c>
      <c r="B1147">
        <v>89</v>
      </c>
      <c r="C1147" s="58">
        <v>44788</v>
      </c>
      <c r="D1147" t="s">
        <v>27</v>
      </c>
      <c r="E1147" t="s">
        <v>2506</v>
      </c>
      <c r="F1147">
        <v>1</v>
      </c>
      <c r="G1147">
        <v>14</v>
      </c>
      <c r="H1147">
        <v>304</v>
      </c>
      <c r="I1147">
        <v>3</v>
      </c>
      <c r="J1147">
        <v>82.76</v>
      </c>
      <c r="K1147" t="s">
        <v>25</v>
      </c>
      <c r="L1147">
        <v>6017250</v>
      </c>
      <c r="M1147">
        <v>0</v>
      </c>
      <c r="N1147">
        <v>6017250</v>
      </c>
      <c r="O1147">
        <v>72707.225712904779</v>
      </c>
      <c r="P1147">
        <v>0</v>
      </c>
      <c r="Q1147">
        <v>6017250</v>
      </c>
      <c r="R1147">
        <v>72707.225712904779</v>
      </c>
      <c r="S1147" t="s">
        <v>130</v>
      </c>
      <c r="T1147" t="s">
        <v>717</v>
      </c>
      <c r="U1147" t="s">
        <v>717</v>
      </c>
      <c r="V1147" t="s">
        <v>717</v>
      </c>
      <c r="W1147">
        <v>44781</v>
      </c>
      <c r="X1147" t="s">
        <v>6652</v>
      </c>
      <c r="Y1147" t="s">
        <v>6642</v>
      </c>
      <c r="Z1147" t="s">
        <v>17</v>
      </c>
      <c r="AA1147" t="s">
        <v>717</v>
      </c>
      <c r="AB1147" t="s">
        <v>2509</v>
      </c>
      <c r="AC1147" t="s">
        <v>717</v>
      </c>
      <c r="AD1147" t="s">
        <v>717</v>
      </c>
      <c r="AE1147" t="s">
        <v>6643</v>
      </c>
      <c r="AF1147" t="s">
        <v>717</v>
      </c>
      <c r="AG1147" t="s">
        <v>717</v>
      </c>
      <c r="AH1147" t="s">
        <v>717</v>
      </c>
      <c r="AI1147" t="s">
        <v>6644</v>
      </c>
      <c r="AJ1147" t="s">
        <v>6645</v>
      </c>
      <c r="AK1147" t="s">
        <v>29</v>
      </c>
      <c r="AL1147" t="s">
        <v>717</v>
      </c>
      <c r="AM1147" t="s">
        <v>10</v>
      </c>
      <c r="AN1147" t="s">
        <v>717</v>
      </c>
    </row>
    <row r="1148" spans="1:40" hidden="1">
      <c r="A1148">
        <v>1146</v>
      </c>
      <c r="B1148">
        <v>90</v>
      </c>
      <c r="C1148" s="58">
        <v>44788</v>
      </c>
      <c r="D1148" t="s">
        <v>27</v>
      </c>
      <c r="E1148" t="s">
        <v>2506</v>
      </c>
      <c r="F1148">
        <v>4</v>
      </c>
      <c r="G1148">
        <v>14</v>
      </c>
      <c r="H1148">
        <v>307</v>
      </c>
      <c r="I1148">
        <v>1</v>
      </c>
      <c r="J1148">
        <v>40</v>
      </c>
      <c r="K1148" t="s">
        <v>25</v>
      </c>
      <c r="L1148">
        <v>2901750</v>
      </c>
      <c r="M1148">
        <v>0</v>
      </c>
      <c r="N1148">
        <v>2901750</v>
      </c>
      <c r="O1148">
        <v>72543.75</v>
      </c>
      <c r="P1148">
        <v>0</v>
      </c>
      <c r="Q1148">
        <v>2901750</v>
      </c>
      <c r="R1148">
        <v>72543.75</v>
      </c>
      <c r="S1148" t="s">
        <v>130</v>
      </c>
      <c r="T1148" t="s">
        <v>717</v>
      </c>
      <c r="U1148" t="s">
        <v>717</v>
      </c>
      <c r="V1148" t="s">
        <v>717</v>
      </c>
      <c r="W1148">
        <v>44781</v>
      </c>
      <c r="X1148" t="s">
        <v>6652</v>
      </c>
      <c r="Y1148" t="s">
        <v>6642</v>
      </c>
      <c r="Z1148" t="s">
        <v>17</v>
      </c>
      <c r="AA1148" t="s">
        <v>717</v>
      </c>
      <c r="AB1148" t="s">
        <v>2509</v>
      </c>
      <c r="AC1148" t="s">
        <v>717</v>
      </c>
      <c r="AD1148" t="s">
        <v>717</v>
      </c>
      <c r="AE1148" t="s">
        <v>6643</v>
      </c>
      <c r="AF1148" t="s">
        <v>717</v>
      </c>
      <c r="AG1148" t="s">
        <v>717</v>
      </c>
      <c r="AH1148" t="s">
        <v>717</v>
      </c>
      <c r="AI1148" t="s">
        <v>6644</v>
      </c>
      <c r="AJ1148" t="s">
        <v>6645</v>
      </c>
      <c r="AK1148" t="s">
        <v>29</v>
      </c>
      <c r="AL1148" t="s">
        <v>717</v>
      </c>
      <c r="AM1148" t="s">
        <v>10</v>
      </c>
      <c r="AN1148" t="s">
        <v>717</v>
      </c>
    </row>
    <row r="1149" spans="1:40" hidden="1">
      <c r="A1149">
        <v>1147</v>
      </c>
      <c r="B1149">
        <v>91</v>
      </c>
      <c r="C1149" s="58">
        <v>44788</v>
      </c>
      <c r="D1149" t="s">
        <v>27</v>
      </c>
      <c r="E1149" t="s">
        <v>2506</v>
      </c>
      <c r="F1149">
        <v>6</v>
      </c>
      <c r="G1149">
        <v>14</v>
      </c>
      <c r="H1149">
        <v>309</v>
      </c>
      <c r="I1149">
        <v>1</v>
      </c>
      <c r="J1149">
        <v>37.11</v>
      </c>
      <c r="K1149" t="s">
        <v>25</v>
      </c>
      <c r="L1149">
        <v>2684250</v>
      </c>
      <c r="M1149">
        <v>0</v>
      </c>
      <c r="N1149">
        <v>2684250</v>
      </c>
      <c r="O1149">
        <v>72332.255456750208</v>
      </c>
      <c r="P1149">
        <v>0</v>
      </c>
      <c r="Q1149">
        <v>2684250</v>
      </c>
      <c r="R1149">
        <v>72332.255456750208</v>
      </c>
      <c r="S1149" t="s">
        <v>130</v>
      </c>
      <c r="T1149" t="s">
        <v>717</v>
      </c>
      <c r="U1149" t="s">
        <v>717</v>
      </c>
      <c r="V1149" t="s">
        <v>717</v>
      </c>
      <c r="W1149">
        <v>44781</v>
      </c>
      <c r="X1149" t="s">
        <v>6652</v>
      </c>
      <c r="Y1149" t="s">
        <v>6642</v>
      </c>
      <c r="Z1149" t="s">
        <v>17</v>
      </c>
      <c r="AA1149" t="s">
        <v>717</v>
      </c>
      <c r="AB1149" t="s">
        <v>2509</v>
      </c>
      <c r="AC1149" t="s">
        <v>717</v>
      </c>
      <c r="AD1149" t="s">
        <v>717</v>
      </c>
      <c r="AE1149" t="s">
        <v>6643</v>
      </c>
      <c r="AF1149" t="s">
        <v>717</v>
      </c>
      <c r="AG1149" t="s">
        <v>717</v>
      </c>
      <c r="AH1149" t="s">
        <v>717</v>
      </c>
      <c r="AI1149" t="s">
        <v>6644</v>
      </c>
      <c r="AJ1149" t="s">
        <v>6645</v>
      </c>
      <c r="AK1149" t="s">
        <v>29</v>
      </c>
      <c r="AL1149" t="s">
        <v>717</v>
      </c>
      <c r="AM1149" t="s">
        <v>10</v>
      </c>
      <c r="AN1149" t="s">
        <v>717</v>
      </c>
    </row>
    <row r="1150" spans="1:40" hidden="1">
      <c r="A1150">
        <v>1148</v>
      </c>
      <c r="B1150">
        <v>92</v>
      </c>
      <c r="C1150" s="58">
        <v>44788</v>
      </c>
      <c r="D1150" t="s">
        <v>27</v>
      </c>
      <c r="E1150" t="s">
        <v>2506</v>
      </c>
      <c r="F1150">
        <v>7</v>
      </c>
      <c r="G1150">
        <v>14</v>
      </c>
      <c r="H1150">
        <v>310</v>
      </c>
      <c r="I1150">
        <v>2</v>
      </c>
      <c r="J1150">
        <v>59.93</v>
      </c>
      <c r="K1150" t="s">
        <v>25</v>
      </c>
      <c r="L1150">
        <v>4305750</v>
      </c>
      <c r="M1150">
        <v>0</v>
      </c>
      <c r="N1150">
        <v>4305750</v>
      </c>
      <c r="O1150">
        <v>71846.320707492079</v>
      </c>
      <c r="P1150">
        <v>0</v>
      </c>
      <c r="Q1150">
        <v>4305750</v>
      </c>
      <c r="R1150">
        <v>71846.320707492079</v>
      </c>
      <c r="S1150" t="s">
        <v>130</v>
      </c>
      <c r="T1150" t="s">
        <v>717</v>
      </c>
      <c r="U1150" t="s">
        <v>717</v>
      </c>
      <c r="V1150" t="s">
        <v>717</v>
      </c>
      <c r="W1150">
        <v>44781</v>
      </c>
      <c r="X1150" t="s">
        <v>6652</v>
      </c>
      <c r="Y1150" t="s">
        <v>6642</v>
      </c>
      <c r="Z1150" t="s">
        <v>17</v>
      </c>
      <c r="AA1150" t="s">
        <v>717</v>
      </c>
      <c r="AB1150" t="s">
        <v>2509</v>
      </c>
      <c r="AC1150" t="s">
        <v>717</v>
      </c>
      <c r="AD1150" t="s">
        <v>717</v>
      </c>
      <c r="AE1150" t="s">
        <v>6643</v>
      </c>
      <c r="AF1150" t="s">
        <v>717</v>
      </c>
      <c r="AG1150" t="s">
        <v>717</v>
      </c>
      <c r="AH1150" t="s">
        <v>717</v>
      </c>
      <c r="AI1150" t="s">
        <v>6644</v>
      </c>
      <c r="AJ1150" t="s">
        <v>6645</v>
      </c>
      <c r="AK1150" t="s">
        <v>29</v>
      </c>
      <c r="AL1150" t="s">
        <v>717</v>
      </c>
      <c r="AM1150" t="s">
        <v>10</v>
      </c>
      <c r="AN1150" t="s">
        <v>717</v>
      </c>
    </row>
    <row r="1151" spans="1:40" hidden="1">
      <c r="A1151">
        <v>1149</v>
      </c>
      <c r="B1151">
        <v>93</v>
      </c>
      <c r="C1151" s="58">
        <v>44785</v>
      </c>
      <c r="D1151" t="s">
        <v>27</v>
      </c>
      <c r="E1151" t="s">
        <v>2506</v>
      </c>
      <c r="F1151">
        <v>1</v>
      </c>
      <c r="G1151">
        <v>15</v>
      </c>
      <c r="H1151">
        <v>312</v>
      </c>
      <c r="I1151">
        <v>3</v>
      </c>
      <c r="J1151">
        <v>82.76</v>
      </c>
      <c r="K1151" t="s">
        <v>25</v>
      </c>
      <c r="L1151">
        <v>6017250</v>
      </c>
      <c r="M1151">
        <v>0</v>
      </c>
      <c r="N1151">
        <v>6017250</v>
      </c>
      <c r="O1151">
        <v>72707.225712904779</v>
      </c>
      <c r="P1151">
        <v>0</v>
      </c>
      <c r="Q1151">
        <v>6017250</v>
      </c>
      <c r="R1151">
        <v>72707.225712904779</v>
      </c>
      <c r="S1151" t="s">
        <v>130</v>
      </c>
      <c r="T1151" t="s">
        <v>717</v>
      </c>
      <c r="U1151" t="s">
        <v>717</v>
      </c>
      <c r="V1151" t="s">
        <v>717</v>
      </c>
      <c r="W1151">
        <v>44781</v>
      </c>
      <c r="X1151" t="s">
        <v>6653</v>
      </c>
      <c r="Y1151" t="s">
        <v>6642</v>
      </c>
      <c r="Z1151" t="s">
        <v>17</v>
      </c>
      <c r="AA1151" t="s">
        <v>717</v>
      </c>
      <c r="AB1151" t="s">
        <v>2509</v>
      </c>
      <c r="AC1151" t="s">
        <v>717</v>
      </c>
      <c r="AD1151" t="s">
        <v>717</v>
      </c>
      <c r="AE1151" t="s">
        <v>6643</v>
      </c>
      <c r="AF1151" t="s">
        <v>717</v>
      </c>
      <c r="AG1151" t="s">
        <v>717</v>
      </c>
      <c r="AH1151" t="s">
        <v>717</v>
      </c>
      <c r="AI1151" t="s">
        <v>6644</v>
      </c>
      <c r="AJ1151" t="s">
        <v>6645</v>
      </c>
      <c r="AK1151" t="s">
        <v>29</v>
      </c>
      <c r="AL1151" t="s">
        <v>717</v>
      </c>
      <c r="AM1151" t="s">
        <v>10</v>
      </c>
      <c r="AN1151" t="s">
        <v>717</v>
      </c>
    </row>
    <row r="1152" spans="1:40" hidden="1">
      <c r="A1152">
        <v>1150</v>
      </c>
      <c r="B1152">
        <v>94</v>
      </c>
      <c r="C1152" s="58">
        <v>44785</v>
      </c>
      <c r="D1152" t="s">
        <v>27</v>
      </c>
      <c r="E1152" t="s">
        <v>2506</v>
      </c>
      <c r="F1152">
        <v>6</v>
      </c>
      <c r="G1152">
        <v>15</v>
      </c>
      <c r="H1152">
        <v>317</v>
      </c>
      <c r="I1152">
        <v>1</v>
      </c>
      <c r="J1152">
        <v>37.11</v>
      </c>
      <c r="K1152" t="s">
        <v>25</v>
      </c>
      <c r="L1152">
        <v>2684250</v>
      </c>
      <c r="M1152">
        <v>0</v>
      </c>
      <c r="N1152">
        <v>2684250</v>
      </c>
      <c r="O1152">
        <v>72332.255456750208</v>
      </c>
      <c r="P1152">
        <v>0</v>
      </c>
      <c r="Q1152">
        <v>2684250</v>
      </c>
      <c r="R1152">
        <v>72332.255456750208</v>
      </c>
      <c r="S1152" t="s">
        <v>130</v>
      </c>
      <c r="T1152" t="s">
        <v>717</v>
      </c>
      <c r="U1152" t="s">
        <v>717</v>
      </c>
      <c r="V1152" t="s">
        <v>717</v>
      </c>
      <c r="W1152">
        <v>44781</v>
      </c>
      <c r="X1152" t="s">
        <v>6653</v>
      </c>
      <c r="Y1152" t="s">
        <v>6642</v>
      </c>
      <c r="Z1152" t="s">
        <v>17</v>
      </c>
      <c r="AA1152" t="s">
        <v>717</v>
      </c>
      <c r="AB1152" t="s">
        <v>2509</v>
      </c>
      <c r="AC1152" t="s">
        <v>717</v>
      </c>
      <c r="AD1152" t="s">
        <v>717</v>
      </c>
      <c r="AE1152" t="s">
        <v>6643</v>
      </c>
      <c r="AF1152" t="s">
        <v>717</v>
      </c>
      <c r="AG1152" t="s">
        <v>717</v>
      </c>
      <c r="AH1152" t="s">
        <v>717</v>
      </c>
      <c r="AI1152" t="s">
        <v>6644</v>
      </c>
      <c r="AJ1152" t="s">
        <v>6645</v>
      </c>
      <c r="AK1152" t="s">
        <v>29</v>
      </c>
      <c r="AL1152" t="s">
        <v>717</v>
      </c>
      <c r="AM1152" t="s">
        <v>10</v>
      </c>
      <c r="AN1152" t="s">
        <v>717</v>
      </c>
    </row>
    <row r="1153" spans="1:40" hidden="1">
      <c r="A1153">
        <v>1151</v>
      </c>
      <c r="B1153">
        <v>95</v>
      </c>
      <c r="C1153" s="58">
        <v>44785</v>
      </c>
      <c r="D1153" t="s">
        <v>27</v>
      </c>
      <c r="E1153" t="s">
        <v>2506</v>
      </c>
      <c r="F1153">
        <v>7</v>
      </c>
      <c r="G1153">
        <v>15</v>
      </c>
      <c r="H1153">
        <v>318</v>
      </c>
      <c r="I1153">
        <v>2</v>
      </c>
      <c r="J1153">
        <v>59.93</v>
      </c>
      <c r="K1153" t="s">
        <v>25</v>
      </c>
      <c r="L1153">
        <v>4305750</v>
      </c>
      <c r="M1153">
        <v>0</v>
      </c>
      <c r="N1153">
        <v>4305750</v>
      </c>
      <c r="O1153">
        <v>71846.320707492079</v>
      </c>
      <c r="P1153">
        <v>0</v>
      </c>
      <c r="Q1153">
        <v>4305750</v>
      </c>
      <c r="R1153">
        <v>71846.320707492079</v>
      </c>
      <c r="S1153" t="s">
        <v>130</v>
      </c>
      <c r="T1153" t="s">
        <v>717</v>
      </c>
      <c r="U1153" t="s">
        <v>717</v>
      </c>
      <c r="V1153" t="s">
        <v>717</v>
      </c>
      <c r="W1153">
        <v>44781</v>
      </c>
      <c r="X1153" t="s">
        <v>6653</v>
      </c>
      <c r="Y1153" t="s">
        <v>6642</v>
      </c>
      <c r="Z1153" t="s">
        <v>17</v>
      </c>
      <c r="AA1153" t="s">
        <v>717</v>
      </c>
      <c r="AB1153" t="s">
        <v>2509</v>
      </c>
      <c r="AC1153" t="s">
        <v>717</v>
      </c>
      <c r="AD1153" t="s">
        <v>717</v>
      </c>
      <c r="AE1153" t="s">
        <v>6643</v>
      </c>
      <c r="AF1153" t="s">
        <v>717</v>
      </c>
      <c r="AG1153" t="s">
        <v>717</v>
      </c>
      <c r="AH1153" t="s">
        <v>717</v>
      </c>
      <c r="AI1153" t="s">
        <v>6644</v>
      </c>
      <c r="AJ1153" t="s">
        <v>6645</v>
      </c>
      <c r="AK1153" t="s">
        <v>29</v>
      </c>
      <c r="AL1153" t="s">
        <v>717</v>
      </c>
      <c r="AM1153" t="s">
        <v>10</v>
      </c>
      <c r="AN1153" t="s">
        <v>717</v>
      </c>
    </row>
    <row r="1154" spans="1:40" hidden="1">
      <c r="A1154">
        <v>1152</v>
      </c>
      <c r="B1154">
        <v>96</v>
      </c>
      <c r="C1154" s="58">
        <v>44785</v>
      </c>
      <c r="D1154" t="s">
        <v>27</v>
      </c>
      <c r="E1154" t="s">
        <v>2506</v>
      </c>
      <c r="F1154">
        <v>1</v>
      </c>
      <c r="G1154">
        <v>16</v>
      </c>
      <c r="H1154">
        <v>320</v>
      </c>
      <c r="I1154">
        <v>3</v>
      </c>
      <c r="J1154">
        <v>82.76</v>
      </c>
      <c r="K1154" t="s">
        <v>25</v>
      </c>
      <c r="L1154">
        <v>6017250</v>
      </c>
      <c r="M1154">
        <v>0</v>
      </c>
      <c r="N1154">
        <v>6017250</v>
      </c>
      <c r="O1154">
        <v>72707.225712904779</v>
      </c>
      <c r="P1154">
        <v>0</v>
      </c>
      <c r="Q1154">
        <v>6017250</v>
      </c>
      <c r="R1154">
        <v>72707.225712904779</v>
      </c>
      <c r="S1154" t="s">
        <v>130</v>
      </c>
      <c r="T1154" t="s">
        <v>717</v>
      </c>
      <c r="U1154" t="s">
        <v>717</v>
      </c>
      <c r="V1154" t="s">
        <v>717</v>
      </c>
      <c r="W1154">
        <v>44781</v>
      </c>
      <c r="X1154" t="s">
        <v>6653</v>
      </c>
      <c r="Y1154" t="s">
        <v>6642</v>
      </c>
      <c r="Z1154" t="s">
        <v>17</v>
      </c>
      <c r="AA1154" t="s">
        <v>717</v>
      </c>
      <c r="AB1154" t="s">
        <v>2509</v>
      </c>
      <c r="AC1154" t="s">
        <v>717</v>
      </c>
      <c r="AD1154" t="s">
        <v>717</v>
      </c>
      <c r="AE1154" t="s">
        <v>6643</v>
      </c>
      <c r="AF1154" t="s">
        <v>717</v>
      </c>
      <c r="AG1154" t="s">
        <v>717</v>
      </c>
      <c r="AH1154" t="s">
        <v>717</v>
      </c>
      <c r="AI1154" t="s">
        <v>6644</v>
      </c>
      <c r="AJ1154" t="s">
        <v>6645</v>
      </c>
      <c r="AK1154" t="s">
        <v>29</v>
      </c>
      <c r="AL1154" t="s">
        <v>717</v>
      </c>
      <c r="AM1154" t="s">
        <v>10</v>
      </c>
      <c r="AN1154" t="s">
        <v>717</v>
      </c>
    </row>
    <row r="1155" spans="1:40" hidden="1">
      <c r="A1155">
        <v>1153</v>
      </c>
      <c r="B1155">
        <v>97</v>
      </c>
      <c r="C1155" s="58">
        <v>44785</v>
      </c>
      <c r="D1155" t="s">
        <v>27</v>
      </c>
      <c r="E1155" t="s">
        <v>2506</v>
      </c>
      <c r="F1155">
        <v>4</v>
      </c>
      <c r="G1155">
        <v>16</v>
      </c>
      <c r="H1155">
        <v>323</v>
      </c>
      <c r="I1155">
        <v>1</v>
      </c>
      <c r="J1155">
        <v>40</v>
      </c>
      <c r="K1155" t="s">
        <v>25</v>
      </c>
      <c r="L1155">
        <v>2901750</v>
      </c>
      <c r="M1155">
        <v>0</v>
      </c>
      <c r="N1155">
        <v>2901750</v>
      </c>
      <c r="O1155">
        <v>72543.75</v>
      </c>
      <c r="P1155">
        <v>0</v>
      </c>
      <c r="Q1155">
        <v>2901750</v>
      </c>
      <c r="R1155">
        <v>72543.75</v>
      </c>
      <c r="S1155" t="s">
        <v>130</v>
      </c>
      <c r="T1155" t="s">
        <v>717</v>
      </c>
      <c r="U1155" t="s">
        <v>717</v>
      </c>
      <c r="V1155" t="s">
        <v>717</v>
      </c>
      <c r="W1155">
        <v>44781</v>
      </c>
      <c r="X1155" t="s">
        <v>6653</v>
      </c>
      <c r="Y1155" t="s">
        <v>6642</v>
      </c>
      <c r="Z1155" t="s">
        <v>17</v>
      </c>
      <c r="AA1155" t="s">
        <v>717</v>
      </c>
      <c r="AB1155" t="s">
        <v>2509</v>
      </c>
      <c r="AC1155" t="s">
        <v>717</v>
      </c>
      <c r="AD1155" t="s">
        <v>717</v>
      </c>
      <c r="AE1155" t="s">
        <v>6643</v>
      </c>
      <c r="AF1155" t="s">
        <v>717</v>
      </c>
      <c r="AG1155" t="s">
        <v>717</v>
      </c>
      <c r="AH1155" t="s">
        <v>717</v>
      </c>
      <c r="AI1155" t="s">
        <v>6644</v>
      </c>
      <c r="AJ1155" t="s">
        <v>6645</v>
      </c>
      <c r="AK1155" t="s">
        <v>29</v>
      </c>
      <c r="AL1155" t="s">
        <v>717</v>
      </c>
      <c r="AM1155" t="s">
        <v>10</v>
      </c>
      <c r="AN1155" t="s">
        <v>717</v>
      </c>
    </row>
    <row r="1156" spans="1:40" hidden="1">
      <c r="A1156">
        <v>1154</v>
      </c>
      <c r="B1156">
        <v>98</v>
      </c>
      <c r="C1156" s="58">
        <v>44785</v>
      </c>
      <c r="D1156" t="s">
        <v>27</v>
      </c>
      <c r="E1156" t="s">
        <v>2506</v>
      </c>
      <c r="F1156">
        <v>1</v>
      </c>
      <c r="G1156">
        <v>17</v>
      </c>
      <c r="H1156">
        <v>328</v>
      </c>
      <c r="I1156">
        <v>3</v>
      </c>
      <c r="J1156">
        <v>82.76</v>
      </c>
      <c r="K1156" t="s">
        <v>25</v>
      </c>
      <c r="L1156">
        <v>6017250</v>
      </c>
      <c r="M1156">
        <v>0</v>
      </c>
      <c r="N1156">
        <v>6017250</v>
      </c>
      <c r="O1156">
        <v>72707.225712904779</v>
      </c>
      <c r="P1156">
        <v>0</v>
      </c>
      <c r="Q1156">
        <v>6017250</v>
      </c>
      <c r="R1156">
        <v>72707.225712904779</v>
      </c>
      <c r="S1156" t="s">
        <v>130</v>
      </c>
      <c r="T1156" t="s">
        <v>717</v>
      </c>
      <c r="U1156" t="s">
        <v>717</v>
      </c>
      <c r="V1156" t="s">
        <v>717</v>
      </c>
      <c r="W1156">
        <v>44781</v>
      </c>
      <c r="X1156" t="s">
        <v>6653</v>
      </c>
      <c r="Y1156" t="s">
        <v>6642</v>
      </c>
      <c r="Z1156" t="s">
        <v>17</v>
      </c>
      <c r="AA1156" t="s">
        <v>717</v>
      </c>
      <c r="AB1156" t="s">
        <v>2509</v>
      </c>
      <c r="AC1156" t="s">
        <v>717</v>
      </c>
      <c r="AD1156" t="s">
        <v>717</v>
      </c>
      <c r="AE1156" t="s">
        <v>6643</v>
      </c>
      <c r="AF1156" t="s">
        <v>717</v>
      </c>
      <c r="AG1156" t="s">
        <v>717</v>
      </c>
      <c r="AH1156" t="s">
        <v>717</v>
      </c>
      <c r="AI1156" t="s">
        <v>6644</v>
      </c>
      <c r="AJ1156" t="s">
        <v>6645</v>
      </c>
      <c r="AK1156" t="s">
        <v>29</v>
      </c>
      <c r="AL1156" t="s">
        <v>717</v>
      </c>
      <c r="AM1156" t="s">
        <v>10</v>
      </c>
      <c r="AN1156" t="s">
        <v>717</v>
      </c>
    </row>
    <row r="1157" spans="1:40" hidden="1">
      <c r="A1157">
        <v>1155</v>
      </c>
      <c r="B1157">
        <v>99</v>
      </c>
      <c r="C1157" s="58">
        <v>44785</v>
      </c>
      <c r="D1157" t="s">
        <v>27</v>
      </c>
      <c r="E1157" t="s">
        <v>2506</v>
      </c>
      <c r="F1157">
        <v>4</v>
      </c>
      <c r="G1157">
        <v>17</v>
      </c>
      <c r="H1157">
        <v>331</v>
      </c>
      <c r="I1157">
        <v>1</v>
      </c>
      <c r="J1157">
        <v>40</v>
      </c>
      <c r="K1157" t="s">
        <v>25</v>
      </c>
      <c r="L1157">
        <v>2901750</v>
      </c>
      <c r="M1157">
        <v>0</v>
      </c>
      <c r="N1157">
        <v>2901750</v>
      </c>
      <c r="O1157">
        <v>72543.75</v>
      </c>
      <c r="P1157">
        <v>0</v>
      </c>
      <c r="Q1157">
        <v>2901750</v>
      </c>
      <c r="R1157">
        <v>72543.75</v>
      </c>
      <c r="S1157" t="s">
        <v>130</v>
      </c>
      <c r="T1157" t="s">
        <v>717</v>
      </c>
      <c r="U1157" t="s">
        <v>717</v>
      </c>
      <c r="V1157" t="s">
        <v>717</v>
      </c>
      <c r="W1157">
        <v>44781</v>
      </c>
      <c r="X1157" t="s">
        <v>6653</v>
      </c>
      <c r="Y1157" t="s">
        <v>6642</v>
      </c>
      <c r="Z1157" t="s">
        <v>17</v>
      </c>
      <c r="AA1157" t="s">
        <v>717</v>
      </c>
      <c r="AB1157" t="s">
        <v>2509</v>
      </c>
      <c r="AC1157" t="s">
        <v>717</v>
      </c>
      <c r="AD1157" t="s">
        <v>717</v>
      </c>
      <c r="AE1157" t="s">
        <v>6643</v>
      </c>
      <c r="AF1157" t="s">
        <v>717</v>
      </c>
      <c r="AG1157" t="s">
        <v>717</v>
      </c>
      <c r="AH1157" t="s">
        <v>717</v>
      </c>
      <c r="AI1157" t="s">
        <v>6644</v>
      </c>
      <c r="AJ1157" t="s">
        <v>6645</v>
      </c>
      <c r="AK1157" t="s">
        <v>29</v>
      </c>
      <c r="AL1157" t="s">
        <v>717</v>
      </c>
      <c r="AM1157" t="s">
        <v>10</v>
      </c>
      <c r="AN1157" t="s">
        <v>717</v>
      </c>
    </row>
    <row r="1158" spans="1:40" hidden="1">
      <c r="A1158">
        <v>1156</v>
      </c>
      <c r="B1158">
        <v>100</v>
      </c>
      <c r="C1158" s="58">
        <v>44785</v>
      </c>
      <c r="D1158" t="s">
        <v>27</v>
      </c>
      <c r="E1158" t="s">
        <v>2506</v>
      </c>
      <c r="F1158">
        <v>6</v>
      </c>
      <c r="G1158">
        <v>17</v>
      </c>
      <c r="H1158">
        <v>333</v>
      </c>
      <c r="I1158">
        <v>1</v>
      </c>
      <c r="J1158">
        <v>37.11</v>
      </c>
      <c r="K1158" t="s">
        <v>25</v>
      </c>
      <c r="L1158">
        <v>2684250</v>
      </c>
      <c r="M1158">
        <v>0</v>
      </c>
      <c r="N1158">
        <v>2684250</v>
      </c>
      <c r="O1158">
        <v>72332.255456750208</v>
      </c>
      <c r="P1158">
        <v>0</v>
      </c>
      <c r="Q1158">
        <v>2684250</v>
      </c>
      <c r="R1158">
        <v>72332.255456750208</v>
      </c>
      <c r="S1158" t="s">
        <v>130</v>
      </c>
      <c r="T1158" t="s">
        <v>717</v>
      </c>
      <c r="U1158" t="s">
        <v>717</v>
      </c>
      <c r="V1158" t="s">
        <v>717</v>
      </c>
      <c r="W1158">
        <v>44781</v>
      </c>
      <c r="X1158" t="s">
        <v>6653</v>
      </c>
      <c r="Y1158" t="s">
        <v>6642</v>
      </c>
      <c r="Z1158" t="s">
        <v>17</v>
      </c>
      <c r="AA1158" t="s">
        <v>717</v>
      </c>
      <c r="AB1158" t="s">
        <v>2509</v>
      </c>
      <c r="AC1158" t="s">
        <v>717</v>
      </c>
      <c r="AD1158" t="s">
        <v>717</v>
      </c>
      <c r="AE1158" t="s">
        <v>6643</v>
      </c>
      <c r="AF1158" t="s">
        <v>717</v>
      </c>
      <c r="AG1158" t="s">
        <v>717</v>
      </c>
      <c r="AH1158" t="s">
        <v>717</v>
      </c>
      <c r="AI1158" t="s">
        <v>6644</v>
      </c>
      <c r="AJ1158" t="s">
        <v>6645</v>
      </c>
      <c r="AK1158" t="s">
        <v>29</v>
      </c>
      <c r="AL1158" t="s">
        <v>717</v>
      </c>
      <c r="AM1158" t="s">
        <v>10</v>
      </c>
      <c r="AN1158" t="s">
        <v>717</v>
      </c>
    </row>
    <row r="1159" spans="1:40" hidden="1">
      <c r="A1159">
        <v>1157</v>
      </c>
      <c r="B1159">
        <v>101</v>
      </c>
      <c r="C1159" s="58">
        <v>44785</v>
      </c>
      <c r="D1159" t="s">
        <v>27</v>
      </c>
      <c r="E1159" t="s">
        <v>2506</v>
      </c>
      <c r="F1159">
        <v>7</v>
      </c>
      <c r="G1159">
        <v>17</v>
      </c>
      <c r="H1159">
        <v>334</v>
      </c>
      <c r="I1159">
        <v>2</v>
      </c>
      <c r="J1159">
        <v>59.93</v>
      </c>
      <c r="K1159" t="s">
        <v>25</v>
      </c>
      <c r="L1159">
        <v>4305750</v>
      </c>
      <c r="M1159">
        <v>0</v>
      </c>
      <c r="N1159">
        <v>4305750</v>
      </c>
      <c r="O1159">
        <v>71846.320707492079</v>
      </c>
      <c r="P1159">
        <v>0</v>
      </c>
      <c r="Q1159">
        <v>4305750</v>
      </c>
      <c r="R1159">
        <v>71846.320707492079</v>
      </c>
      <c r="S1159" t="s">
        <v>130</v>
      </c>
      <c r="T1159" t="s">
        <v>717</v>
      </c>
      <c r="U1159" t="s">
        <v>717</v>
      </c>
      <c r="V1159" t="s">
        <v>717</v>
      </c>
      <c r="W1159">
        <v>44781</v>
      </c>
      <c r="X1159" t="s">
        <v>6653</v>
      </c>
      <c r="Y1159" t="s">
        <v>6642</v>
      </c>
      <c r="Z1159" t="s">
        <v>17</v>
      </c>
      <c r="AA1159" t="s">
        <v>717</v>
      </c>
      <c r="AB1159" t="s">
        <v>2509</v>
      </c>
      <c r="AC1159" t="s">
        <v>717</v>
      </c>
      <c r="AD1159" t="s">
        <v>717</v>
      </c>
      <c r="AE1159" t="s">
        <v>6643</v>
      </c>
      <c r="AF1159" t="s">
        <v>717</v>
      </c>
      <c r="AG1159" t="s">
        <v>717</v>
      </c>
      <c r="AH1159" t="s">
        <v>717</v>
      </c>
      <c r="AI1159" t="s">
        <v>6644</v>
      </c>
      <c r="AJ1159" t="s">
        <v>6645</v>
      </c>
      <c r="AK1159" t="s">
        <v>29</v>
      </c>
      <c r="AL1159" t="s">
        <v>717</v>
      </c>
      <c r="AM1159" t="s">
        <v>10</v>
      </c>
      <c r="AN1159" t="s">
        <v>717</v>
      </c>
    </row>
    <row r="1160" spans="1:40" hidden="1">
      <c r="A1160">
        <v>1158</v>
      </c>
      <c r="B1160">
        <v>102</v>
      </c>
      <c r="C1160" s="58">
        <v>44785</v>
      </c>
      <c r="D1160" t="s">
        <v>27</v>
      </c>
      <c r="E1160" t="s">
        <v>2506</v>
      </c>
      <c r="F1160">
        <v>1</v>
      </c>
      <c r="G1160">
        <v>18</v>
      </c>
      <c r="H1160">
        <v>336</v>
      </c>
      <c r="I1160">
        <v>3</v>
      </c>
      <c r="J1160">
        <v>82.76</v>
      </c>
      <c r="K1160" t="s">
        <v>25</v>
      </c>
      <c r="L1160">
        <v>6017250</v>
      </c>
      <c r="M1160">
        <v>0</v>
      </c>
      <c r="N1160">
        <v>6017250</v>
      </c>
      <c r="O1160">
        <v>72707.225712904779</v>
      </c>
      <c r="P1160">
        <v>0</v>
      </c>
      <c r="Q1160">
        <v>6017250</v>
      </c>
      <c r="R1160">
        <v>72707.225712904779</v>
      </c>
      <c r="S1160" t="s">
        <v>130</v>
      </c>
      <c r="T1160" t="s">
        <v>717</v>
      </c>
      <c r="U1160" t="s">
        <v>717</v>
      </c>
      <c r="V1160" t="s">
        <v>717</v>
      </c>
      <c r="W1160">
        <v>44781</v>
      </c>
      <c r="X1160" t="s">
        <v>6653</v>
      </c>
      <c r="Y1160" t="s">
        <v>6642</v>
      </c>
      <c r="Z1160" t="s">
        <v>17</v>
      </c>
      <c r="AA1160" t="s">
        <v>717</v>
      </c>
      <c r="AB1160" t="s">
        <v>2509</v>
      </c>
      <c r="AC1160" t="s">
        <v>717</v>
      </c>
      <c r="AD1160" t="s">
        <v>717</v>
      </c>
      <c r="AE1160" t="s">
        <v>6643</v>
      </c>
      <c r="AF1160" t="s">
        <v>717</v>
      </c>
      <c r="AG1160" t="s">
        <v>717</v>
      </c>
      <c r="AH1160" t="s">
        <v>717</v>
      </c>
      <c r="AI1160" t="s">
        <v>6644</v>
      </c>
      <c r="AJ1160" t="s">
        <v>6645</v>
      </c>
      <c r="AK1160" t="s">
        <v>29</v>
      </c>
      <c r="AL1160" t="s">
        <v>717</v>
      </c>
      <c r="AM1160" t="s">
        <v>10</v>
      </c>
      <c r="AN1160" t="s">
        <v>717</v>
      </c>
    </row>
    <row r="1161" spans="1:40" hidden="1">
      <c r="A1161">
        <v>1159</v>
      </c>
      <c r="B1161">
        <v>103</v>
      </c>
      <c r="C1161" s="58">
        <v>44785</v>
      </c>
      <c r="D1161" t="s">
        <v>27</v>
      </c>
      <c r="E1161" t="s">
        <v>2506</v>
      </c>
      <c r="F1161">
        <v>6</v>
      </c>
      <c r="G1161">
        <v>18</v>
      </c>
      <c r="H1161">
        <v>341</v>
      </c>
      <c r="I1161">
        <v>1</v>
      </c>
      <c r="J1161">
        <v>37.11</v>
      </c>
      <c r="K1161" t="s">
        <v>25</v>
      </c>
      <c r="L1161">
        <v>2684250</v>
      </c>
      <c r="M1161">
        <v>0</v>
      </c>
      <c r="N1161">
        <v>2684250</v>
      </c>
      <c r="O1161">
        <v>72332.255456750208</v>
      </c>
      <c r="P1161">
        <v>0</v>
      </c>
      <c r="Q1161">
        <v>2684250</v>
      </c>
      <c r="R1161">
        <v>72332.255456750208</v>
      </c>
      <c r="S1161" t="s">
        <v>130</v>
      </c>
      <c r="T1161" t="s">
        <v>717</v>
      </c>
      <c r="U1161" t="s">
        <v>717</v>
      </c>
      <c r="V1161" t="s">
        <v>717</v>
      </c>
      <c r="W1161">
        <v>44781</v>
      </c>
      <c r="X1161" t="s">
        <v>6653</v>
      </c>
      <c r="Y1161" t="s">
        <v>6642</v>
      </c>
      <c r="Z1161" t="s">
        <v>17</v>
      </c>
      <c r="AA1161" t="s">
        <v>717</v>
      </c>
      <c r="AB1161" t="s">
        <v>2509</v>
      </c>
      <c r="AC1161" t="s">
        <v>717</v>
      </c>
      <c r="AD1161" t="s">
        <v>717</v>
      </c>
      <c r="AE1161" t="s">
        <v>6643</v>
      </c>
      <c r="AF1161" t="s">
        <v>717</v>
      </c>
      <c r="AG1161" t="s">
        <v>717</v>
      </c>
      <c r="AH1161" t="s">
        <v>717</v>
      </c>
      <c r="AI1161" t="s">
        <v>6644</v>
      </c>
      <c r="AJ1161" t="s">
        <v>6645</v>
      </c>
      <c r="AK1161" t="s">
        <v>29</v>
      </c>
      <c r="AL1161" t="s">
        <v>717</v>
      </c>
      <c r="AM1161" t="s">
        <v>10</v>
      </c>
      <c r="AN1161" t="s">
        <v>717</v>
      </c>
    </row>
    <row r="1162" spans="1:40" hidden="1">
      <c r="A1162">
        <v>1160</v>
      </c>
      <c r="B1162">
        <v>104</v>
      </c>
      <c r="C1162" s="58">
        <v>44785</v>
      </c>
      <c r="D1162" t="s">
        <v>27</v>
      </c>
      <c r="E1162" t="s">
        <v>2506</v>
      </c>
      <c r="F1162">
        <v>1</v>
      </c>
      <c r="G1162">
        <v>19</v>
      </c>
      <c r="H1162">
        <v>344</v>
      </c>
      <c r="I1162">
        <v>3</v>
      </c>
      <c r="J1162">
        <v>82.76</v>
      </c>
      <c r="K1162" t="s">
        <v>25</v>
      </c>
      <c r="L1162">
        <v>6017250</v>
      </c>
      <c r="M1162">
        <v>0</v>
      </c>
      <c r="N1162">
        <v>6017250</v>
      </c>
      <c r="O1162">
        <v>72707.225712904779</v>
      </c>
      <c r="P1162">
        <v>0</v>
      </c>
      <c r="Q1162">
        <v>6017250</v>
      </c>
      <c r="R1162">
        <v>72707.225712904779</v>
      </c>
      <c r="S1162" t="s">
        <v>130</v>
      </c>
      <c r="T1162" t="s">
        <v>717</v>
      </c>
      <c r="U1162" t="s">
        <v>717</v>
      </c>
      <c r="V1162" t="s">
        <v>717</v>
      </c>
      <c r="W1162">
        <v>44781</v>
      </c>
      <c r="X1162" t="s">
        <v>6654</v>
      </c>
      <c r="Y1162" t="s">
        <v>6642</v>
      </c>
      <c r="Z1162" t="s">
        <v>17</v>
      </c>
      <c r="AA1162" t="s">
        <v>717</v>
      </c>
      <c r="AB1162" t="s">
        <v>2509</v>
      </c>
      <c r="AC1162" t="s">
        <v>717</v>
      </c>
      <c r="AD1162" t="s">
        <v>717</v>
      </c>
      <c r="AE1162" t="s">
        <v>6643</v>
      </c>
      <c r="AF1162" t="s">
        <v>717</v>
      </c>
      <c r="AG1162" t="s">
        <v>717</v>
      </c>
      <c r="AH1162" t="s">
        <v>717</v>
      </c>
      <c r="AI1162" t="s">
        <v>6644</v>
      </c>
      <c r="AJ1162" t="s">
        <v>6645</v>
      </c>
      <c r="AK1162" t="s">
        <v>29</v>
      </c>
      <c r="AL1162" t="s">
        <v>717</v>
      </c>
      <c r="AM1162" t="s">
        <v>10</v>
      </c>
      <c r="AN1162" t="s">
        <v>717</v>
      </c>
    </row>
    <row r="1163" spans="1:40" hidden="1">
      <c r="A1163">
        <v>1161</v>
      </c>
      <c r="B1163">
        <v>105</v>
      </c>
      <c r="C1163" s="58">
        <v>44785</v>
      </c>
      <c r="D1163" t="s">
        <v>27</v>
      </c>
      <c r="E1163" t="s">
        <v>2506</v>
      </c>
      <c r="F1163">
        <v>2</v>
      </c>
      <c r="G1163">
        <v>19</v>
      </c>
      <c r="H1163">
        <v>345</v>
      </c>
      <c r="I1163">
        <v>1</v>
      </c>
      <c r="J1163">
        <v>37.159999999999997</v>
      </c>
      <c r="K1163" t="s">
        <v>25</v>
      </c>
      <c r="L1163">
        <v>2688000</v>
      </c>
      <c r="M1163">
        <v>0</v>
      </c>
      <c r="N1163">
        <v>2688000</v>
      </c>
      <c r="O1163">
        <v>72335.844994617873</v>
      </c>
      <c r="P1163">
        <v>0</v>
      </c>
      <c r="Q1163">
        <v>2688000</v>
      </c>
      <c r="R1163">
        <v>72335.844994617873</v>
      </c>
      <c r="S1163" t="s">
        <v>130</v>
      </c>
      <c r="T1163" t="s">
        <v>717</v>
      </c>
      <c r="U1163" t="s">
        <v>717</v>
      </c>
      <c r="V1163" t="s">
        <v>717</v>
      </c>
      <c r="W1163">
        <v>44781</v>
      </c>
      <c r="X1163" t="s">
        <v>6654</v>
      </c>
      <c r="Y1163" t="s">
        <v>6642</v>
      </c>
      <c r="Z1163" t="s">
        <v>17</v>
      </c>
      <c r="AA1163" t="s">
        <v>717</v>
      </c>
      <c r="AB1163" t="s">
        <v>2509</v>
      </c>
      <c r="AC1163" t="s">
        <v>717</v>
      </c>
      <c r="AD1163" t="s">
        <v>717</v>
      </c>
      <c r="AE1163" t="s">
        <v>6643</v>
      </c>
      <c r="AF1163" t="s">
        <v>717</v>
      </c>
      <c r="AG1163" t="s">
        <v>717</v>
      </c>
      <c r="AH1163" t="s">
        <v>717</v>
      </c>
      <c r="AI1163" t="s">
        <v>6644</v>
      </c>
      <c r="AJ1163" t="s">
        <v>6645</v>
      </c>
      <c r="AK1163" t="s">
        <v>29</v>
      </c>
      <c r="AL1163" t="s">
        <v>717</v>
      </c>
      <c r="AM1163" t="s">
        <v>10</v>
      </c>
      <c r="AN1163" t="s">
        <v>717</v>
      </c>
    </row>
    <row r="1164" spans="1:40" hidden="1">
      <c r="A1164">
        <v>1162</v>
      </c>
      <c r="B1164">
        <v>106</v>
      </c>
      <c r="C1164" s="58">
        <v>44785</v>
      </c>
      <c r="D1164" t="s">
        <v>27</v>
      </c>
      <c r="E1164" t="s">
        <v>2506</v>
      </c>
      <c r="F1164">
        <v>4</v>
      </c>
      <c r="G1164">
        <v>19</v>
      </c>
      <c r="H1164">
        <v>347</v>
      </c>
      <c r="I1164">
        <v>1</v>
      </c>
      <c r="J1164">
        <v>40</v>
      </c>
      <c r="K1164" t="s">
        <v>25</v>
      </c>
      <c r="L1164">
        <v>2901750</v>
      </c>
      <c r="M1164">
        <v>0</v>
      </c>
      <c r="N1164">
        <v>2901750</v>
      </c>
      <c r="O1164">
        <v>72543.75</v>
      </c>
      <c r="P1164">
        <v>0</v>
      </c>
      <c r="Q1164">
        <v>2901750</v>
      </c>
      <c r="R1164">
        <v>72543.75</v>
      </c>
      <c r="S1164" t="s">
        <v>130</v>
      </c>
      <c r="T1164" t="s">
        <v>717</v>
      </c>
      <c r="U1164" t="s">
        <v>717</v>
      </c>
      <c r="V1164" t="s">
        <v>717</v>
      </c>
      <c r="W1164">
        <v>44781</v>
      </c>
      <c r="X1164" t="s">
        <v>6654</v>
      </c>
      <c r="Y1164" t="s">
        <v>6642</v>
      </c>
      <c r="Z1164" t="s">
        <v>17</v>
      </c>
      <c r="AA1164" t="s">
        <v>717</v>
      </c>
      <c r="AB1164" t="s">
        <v>2509</v>
      </c>
      <c r="AC1164" t="s">
        <v>717</v>
      </c>
      <c r="AD1164" t="s">
        <v>717</v>
      </c>
      <c r="AE1164" t="s">
        <v>6643</v>
      </c>
      <c r="AF1164" t="s">
        <v>717</v>
      </c>
      <c r="AG1164" t="s">
        <v>717</v>
      </c>
      <c r="AH1164" t="s">
        <v>717</v>
      </c>
      <c r="AI1164" t="s">
        <v>6644</v>
      </c>
      <c r="AJ1164" t="s">
        <v>6645</v>
      </c>
      <c r="AK1164" t="s">
        <v>29</v>
      </c>
      <c r="AL1164" t="s">
        <v>717</v>
      </c>
      <c r="AM1164" t="s">
        <v>10</v>
      </c>
      <c r="AN1164" t="s">
        <v>717</v>
      </c>
    </row>
    <row r="1165" spans="1:40" hidden="1">
      <c r="A1165">
        <v>1163</v>
      </c>
      <c r="B1165">
        <v>107</v>
      </c>
      <c r="C1165" s="58">
        <v>44785</v>
      </c>
      <c r="D1165" t="s">
        <v>27</v>
      </c>
      <c r="E1165" t="s">
        <v>2506</v>
      </c>
      <c r="F1165">
        <v>6</v>
      </c>
      <c r="G1165">
        <v>19</v>
      </c>
      <c r="H1165">
        <v>349</v>
      </c>
      <c r="I1165">
        <v>1</v>
      </c>
      <c r="J1165">
        <v>37.11</v>
      </c>
      <c r="K1165" t="s">
        <v>25</v>
      </c>
      <c r="L1165">
        <v>2684250</v>
      </c>
      <c r="M1165">
        <v>0</v>
      </c>
      <c r="N1165">
        <v>2684250</v>
      </c>
      <c r="O1165">
        <v>72332.255456750208</v>
      </c>
      <c r="P1165">
        <v>0</v>
      </c>
      <c r="Q1165">
        <v>2684250</v>
      </c>
      <c r="R1165">
        <v>72332.255456750208</v>
      </c>
      <c r="S1165" t="s">
        <v>130</v>
      </c>
      <c r="T1165" t="s">
        <v>717</v>
      </c>
      <c r="U1165" t="s">
        <v>717</v>
      </c>
      <c r="V1165" t="s">
        <v>717</v>
      </c>
      <c r="W1165">
        <v>44781</v>
      </c>
      <c r="X1165" t="s">
        <v>6654</v>
      </c>
      <c r="Y1165" t="s">
        <v>6642</v>
      </c>
      <c r="Z1165" t="s">
        <v>17</v>
      </c>
      <c r="AA1165" t="s">
        <v>717</v>
      </c>
      <c r="AB1165" t="s">
        <v>2509</v>
      </c>
      <c r="AC1165" t="s">
        <v>717</v>
      </c>
      <c r="AD1165" t="s">
        <v>717</v>
      </c>
      <c r="AE1165" t="s">
        <v>6643</v>
      </c>
      <c r="AF1165" t="s">
        <v>717</v>
      </c>
      <c r="AG1165" t="s">
        <v>717</v>
      </c>
      <c r="AH1165" t="s">
        <v>717</v>
      </c>
      <c r="AI1165" t="s">
        <v>6644</v>
      </c>
      <c r="AJ1165" t="s">
        <v>6645</v>
      </c>
      <c r="AK1165" t="s">
        <v>29</v>
      </c>
      <c r="AL1165" t="s">
        <v>717</v>
      </c>
      <c r="AM1165" t="s">
        <v>10</v>
      </c>
      <c r="AN1165" t="s">
        <v>717</v>
      </c>
    </row>
    <row r="1166" spans="1:40" hidden="1">
      <c r="A1166">
        <v>1164</v>
      </c>
      <c r="B1166">
        <v>108</v>
      </c>
      <c r="C1166" s="58">
        <v>44785</v>
      </c>
      <c r="D1166" t="s">
        <v>27</v>
      </c>
      <c r="E1166" t="s">
        <v>2506</v>
      </c>
      <c r="F1166">
        <v>8</v>
      </c>
      <c r="G1166">
        <v>19</v>
      </c>
      <c r="H1166">
        <v>351</v>
      </c>
      <c r="I1166">
        <v>2</v>
      </c>
      <c r="J1166">
        <v>55.8</v>
      </c>
      <c r="K1166" t="s">
        <v>25</v>
      </c>
      <c r="L1166">
        <v>4097250</v>
      </c>
      <c r="M1166">
        <v>0</v>
      </c>
      <c r="N1166">
        <v>4097250</v>
      </c>
      <c r="O1166">
        <v>73427.419354838727</v>
      </c>
      <c r="P1166">
        <v>0</v>
      </c>
      <c r="Q1166">
        <v>4097250</v>
      </c>
      <c r="R1166">
        <v>73427.419354838727</v>
      </c>
      <c r="S1166" t="s">
        <v>130</v>
      </c>
      <c r="T1166" t="s">
        <v>717</v>
      </c>
      <c r="U1166" t="s">
        <v>717</v>
      </c>
      <c r="V1166" t="s">
        <v>717</v>
      </c>
      <c r="W1166">
        <v>44781</v>
      </c>
      <c r="X1166" t="s">
        <v>6654</v>
      </c>
      <c r="Y1166" t="s">
        <v>6642</v>
      </c>
      <c r="Z1166" t="s">
        <v>17</v>
      </c>
      <c r="AA1166" t="s">
        <v>717</v>
      </c>
      <c r="AB1166" t="s">
        <v>2509</v>
      </c>
      <c r="AC1166" t="s">
        <v>717</v>
      </c>
      <c r="AD1166" t="s">
        <v>717</v>
      </c>
      <c r="AE1166" t="s">
        <v>6643</v>
      </c>
      <c r="AF1166" t="s">
        <v>717</v>
      </c>
      <c r="AG1166" t="s">
        <v>717</v>
      </c>
      <c r="AH1166" t="s">
        <v>717</v>
      </c>
      <c r="AI1166" t="s">
        <v>6644</v>
      </c>
      <c r="AJ1166" t="s">
        <v>6645</v>
      </c>
      <c r="AK1166" t="s">
        <v>29</v>
      </c>
      <c r="AL1166" t="s">
        <v>717</v>
      </c>
      <c r="AM1166" t="s">
        <v>10</v>
      </c>
      <c r="AN1166" t="s">
        <v>717</v>
      </c>
    </row>
    <row r="1167" spans="1:40" hidden="1">
      <c r="A1167">
        <v>1165</v>
      </c>
      <c r="B1167">
        <v>109</v>
      </c>
      <c r="C1167" s="58">
        <v>44785</v>
      </c>
      <c r="D1167" t="s">
        <v>27</v>
      </c>
      <c r="E1167" t="s">
        <v>2506</v>
      </c>
      <c r="F1167">
        <v>1</v>
      </c>
      <c r="G1167">
        <v>20</v>
      </c>
      <c r="H1167">
        <v>352</v>
      </c>
      <c r="I1167">
        <v>3</v>
      </c>
      <c r="J1167">
        <v>82.76</v>
      </c>
      <c r="K1167" t="s">
        <v>25</v>
      </c>
      <c r="L1167">
        <v>6017250</v>
      </c>
      <c r="M1167">
        <v>0</v>
      </c>
      <c r="N1167">
        <v>6017250</v>
      </c>
      <c r="O1167">
        <v>72707.225712904779</v>
      </c>
      <c r="P1167">
        <v>0</v>
      </c>
      <c r="Q1167">
        <v>6017250</v>
      </c>
      <c r="R1167">
        <v>72707.225712904779</v>
      </c>
      <c r="S1167" t="s">
        <v>130</v>
      </c>
      <c r="T1167" t="s">
        <v>717</v>
      </c>
      <c r="U1167" t="s">
        <v>717</v>
      </c>
      <c r="V1167" t="s">
        <v>717</v>
      </c>
      <c r="W1167">
        <v>44781</v>
      </c>
      <c r="X1167" t="s">
        <v>6654</v>
      </c>
      <c r="Y1167" t="s">
        <v>6642</v>
      </c>
      <c r="Z1167" t="s">
        <v>17</v>
      </c>
      <c r="AA1167" t="s">
        <v>717</v>
      </c>
      <c r="AB1167" t="s">
        <v>2509</v>
      </c>
      <c r="AC1167" t="s">
        <v>717</v>
      </c>
      <c r="AD1167" t="s">
        <v>717</v>
      </c>
      <c r="AE1167" t="s">
        <v>6643</v>
      </c>
      <c r="AF1167" t="s">
        <v>717</v>
      </c>
      <c r="AG1167" t="s">
        <v>717</v>
      </c>
      <c r="AH1167" t="s">
        <v>717</v>
      </c>
      <c r="AI1167" t="s">
        <v>6644</v>
      </c>
      <c r="AJ1167" t="s">
        <v>6645</v>
      </c>
      <c r="AK1167" t="s">
        <v>29</v>
      </c>
      <c r="AL1167" t="s">
        <v>717</v>
      </c>
      <c r="AM1167" t="s">
        <v>10</v>
      </c>
      <c r="AN1167" t="s">
        <v>717</v>
      </c>
    </row>
    <row r="1168" spans="1:40" hidden="1">
      <c r="A1168">
        <v>1166</v>
      </c>
      <c r="B1168">
        <v>110</v>
      </c>
      <c r="C1168" s="58">
        <v>44785</v>
      </c>
      <c r="D1168" t="s">
        <v>27</v>
      </c>
      <c r="E1168" t="s">
        <v>2506</v>
      </c>
      <c r="F1168">
        <v>2</v>
      </c>
      <c r="G1168">
        <v>20</v>
      </c>
      <c r="H1168">
        <v>353</v>
      </c>
      <c r="I1168">
        <v>1</v>
      </c>
      <c r="J1168">
        <v>37.159999999999997</v>
      </c>
      <c r="K1168" t="s">
        <v>25</v>
      </c>
      <c r="L1168">
        <v>2688000</v>
      </c>
      <c r="M1168">
        <v>0</v>
      </c>
      <c r="N1168">
        <v>2688000</v>
      </c>
      <c r="O1168">
        <v>72335.844994617873</v>
      </c>
      <c r="P1168">
        <v>0</v>
      </c>
      <c r="Q1168">
        <v>2688000</v>
      </c>
      <c r="R1168">
        <v>72335.844994617873</v>
      </c>
      <c r="S1168" t="s">
        <v>130</v>
      </c>
      <c r="T1168" t="s">
        <v>717</v>
      </c>
      <c r="U1168" t="s">
        <v>717</v>
      </c>
      <c r="V1168" t="s">
        <v>717</v>
      </c>
      <c r="W1168">
        <v>44781</v>
      </c>
      <c r="X1168" t="s">
        <v>6654</v>
      </c>
      <c r="Y1168" t="s">
        <v>6642</v>
      </c>
      <c r="Z1168" t="s">
        <v>17</v>
      </c>
      <c r="AA1168" t="s">
        <v>717</v>
      </c>
      <c r="AB1168" t="s">
        <v>2509</v>
      </c>
      <c r="AC1168" t="s">
        <v>717</v>
      </c>
      <c r="AD1168" t="s">
        <v>717</v>
      </c>
      <c r="AE1168" t="s">
        <v>6643</v>
      </c>
      <c r="AF1168" t="s">
        <v>717</v>
      </c>
      <c r="AG1168" t="s">
        <v>717</v>
      </c>
      <c r="AH1168" t="s">
        <v>717</v>
      </c>
      <c r="AI1168" t="s">
        <v>6644</v>
      </c>
      <c r="AJ1168" t="s">
        <v>6645</v>
      </c>
      <c r="AK1168" t="s">
        <v>29</v>
      </c>
      <c r="AL1168" t="s">
        <v>717</v>
      </c>
      <c r="AM1168" t="s">
        <v>10</v>
      </c>
      <c r="AN1168" t="s">
        <v>717</v>
      </c>
    </row>
    <row r="1169" spans="1:40" hidden="1">
      <c r="A1169">
        <v>1167</v>
      </c>
      <c r="B1169">
        <v>111</v>
      </c>
      <c r="C1169" s="58">
        <v>44785</v>
      </c>
      <c r="D1169" t="s">
        <v>27</v>
      </c>
      <c r="E1169" t="s">
        <v>2506</v>
      </c>
      <c r="F1169">
        <v>4</v>
      </c>
      <c r="G1169">
        <v>20</v>
      </c>
      <c r="H1169">
        <v>355</v>
      </c>
      <c r="I1169">
        <v>1</v>
      </c>
      <c r="J1169">
        <v>40</v>
      </c>
      <c r="K1169" t="s">
        <v>25</v>
      </c>
      <c r="L1169">
        <v>2901750</v>
      </c>
      <c r="M1169">
        <v>0</v>
      </c>
      <c r="N1169">
        <v>2901750</v>
      </c>
      <c r="O1169">
        <v>72543.75</v>
      </c>
      <c r="P1169">
        <v>0</v>
      </c>
      <c r="Q1169">
        <v>2901750</v>
      </c>
      <c r="R1169">
        <v>72543.75</v>
      </c>
      <c r="S1169" t="s">
        <v>130</v>
      </c>
      <c r="T1169" t="s">
        <v>717</v>
      </c>
      <c r="U1169" t="s">
        <v>717</v>
      </c>
      <c r="V1169" t="s">
        <v>717</v>
      </c>
      <c r="W1169">
        <v>44781</v>
      </c>
      <c r="X1169" t="s">
        <v>6654</v>
      </c>
      <c r="Y1169" t="s">
        <v>6642</v>
      </c>
      <c r="Z1169" t="s">
        <v>17</v>
      </c>
      <c r="AA1169" t="s">
        <v>717</v>
      </c>
      <c r="AB1169" t="s">
        <v>2509</v>
      </c>
      <c r="AC1169" t="s">
        <v>717</v>
      </c>
      <c r="AD1169" t="s">
        <v>717</v>
      </c>
      <c r="AE1169" t="s">
        <v>6643</v>
      </c>
      <c r="AF1169" t="s">
        <v>717</v>
      </c>
      <c r="AG1169" t="s">
        <v>717</v>
      </c>
      <c r="AH1169" t="s">
        <v>717</v>
      </c>
      <c r="AI1169" t="s">
        <v>6644</v>
      </c>
      <c r="AJ1169" t="s">
        <v>6645</v>
      </c>
      <c r="AK1169" t="s">
        <v>29</v>
      </c>
      <c r="AL1169" t="s">
        <v>717</v>
      </c>
      <c r="AM1169" t="s">
        <v>10</v>
      </c>
      <c r="AN1169" t="s">
        <v>717</v>
      </c>
    </row>
    <row r="1170" spans="1:40" hidden="1">
      <c r="A1170">
        <v>1168</v>
      </c>
      <c r="B1170">
        <v>112</v>
      </c>
      <c r="C1170" s="58">
        <v>44785</v>
      </c>
      <c r="D1170" t="s">
        <v>27</v>
      </c>
      <c r="E1170" t="s">
        <v>2506</v>
      </c>
      <c r="F1170">
        <v>6</v>
      </c>
      <c r="G1170">
        <v>20</v>
      </c>
      <c r="H1170">
        <v>357</v>
      </c>
      <c r="I1170">
        <v>1</v>
      </c>
      <c r="J1170">
        <v>37.11</v>
      </c>
      <c r="K1170" t="s">
        <v>25</v>
      </c>
      <c r="L1170">
        <v>2684250</v>
      </c>
      <c r="M1170">
        <v>0</v>
      </c>
      <c r="N1170">
        <v>2684250</v>
      </c>
      <c r="O1170">
        <v>72332.255456750208</v>
      </c>
      <c r="P1170">
        <v>0</v>
      </c>
      <c r="Q1170">
        <v>2684250</v>
      </c>
      <c r="R1170">
        <v>72332.255456750208</v>
      </c>
      <c r="S1170" t="s">
        <v>130</v>
      </c>
      <c r="T1170" t="s">
        <v>717</v>
      </c>
      <c r="U1170" t="s">
        <v>717</v>
      </c>
      <c r="V1170" t="s">
        <v>717</v>
      </c>
      <c r="W1170">
        <v>44781</v>
      </c>
      <c r="X1170" t="s">
        <v>6654</v>
      </c>
      <c r="Y1170" t="s">
        <v>6642</v>
      </c>
      <c r="Z1170" t="s">
        <v>17</v>
      </c>
      <c r="AA1170" t="s">
        <v>717</v>
      </c>
      <c r="AB1170" t="s">
        <v>2509</v>
      </c>
      <c r="AC1170" t="s">
        <v>717</v>
      </c>
      <c r="AD1170" t="s">
        <v>717</v>
      </c>
      <c r="AE1170" t="s">
        <v>6643</v>
      </c>
      <c r="AF1170" t="s">
        <v>717</v>
      </c>
      <c r="AG1170" t="s">
        <v>717</v>
      </c>
      <c r="AH1170" t="s">
        <v>717</v>
      </c>
      <c r="AI1170" t="s">
        <v>6644</v>
      </c>
      <c r="AJ1170" t="s">
        <v>6645</v>
      </c>
      <c r="AK1170" t="s">
        <v>29</v>
      </c>
      <c r="AL1170" t="s">
        <v>717</v>
      </c>
      <c r="AM1170" t="s">
        <v>10</v>
      </c>
      <c r="AN1170" t="s">
        <v>717</v>
      </c>
    </row>
    <row r="1171" spans="1:40" hidden="1">
      <c r="A1171">
        <v>1169</v>
      </c>
      <c r="B1171">
        <v>113</v>
      </c>
      <c r="C1171" s="58">
        <v>44785</v>
      </c>
      <c r="D1171" t="s">
        <v>27</v>
      </c>
      <c r="E1171" t="s">
        <v>2506</v>
      </c>
      <c r="F1171">
        <v>7</v>
      </c>
      <c r="G1171">
        <v>20</v>
      </c>
      <c r="H1171">
        <v>358</v>
      </c>
      <c r="I1171">
        <v>2</v>
      </c>
      <c r="J1171">
        <v>59.93</v>
      </c>
      <c r="K1171" t="s">
        <v>25</v>
      </c>
      <c r="L1171">
        <v>4305750</v>
      </c>
      <c r="M1171">
        <v>0</v>
      </c>
      <c r="N1171">
        <v>4305750</v>
      </c>
      <c r="O1171">
        <v>71846.320707492079</v>
      </c>
      <c r="P1171">
        <v>0</v>
      </c>
      <c r="Q1171">
        <v>4305750</v>
      </c>
      <c r="R1171">
        <v>71846.320707492079</v>
      </c>
      <c r="S1171" t="s">
        <v>130</v>
      </c>
      <c r="T1171" t="s">
        <v>717</v>
      </c>
      <c r="U1171" t="s">
        <v>717</v>
      </c>
      <c r="V1171" t="s">
        <v>717</v>
      </c>
      <c r="W1171">
        <v>44781</v>
      </c>
      <c r="X1171" t="s">
        <v>6654</v>
      </c>
      <c r="Y1171" t="s">
        <v>6642</v>
      </c>
      <c r="Z1171" t="s">
        <v>17</v>
      </c>
      <c r="AA1171" t="s">
        <v>717</v>
      </c>
      <c r="AB1171" t="s">
        <v>2509</v>
      </c>
      <c r="AC1171" t="s">
        <v>717</v>
      </c>
      <c r="AD1171" t="s">
        <v>717</v>
      </c>
      <c r="AE1171" t="s">
        <v>6643</v>
      </c>
      <c r="AF1171" t="s">
        <v>717</v>
      </c>
      <c r="AG1171" t="s">
        <v>717</v>
      </c>
      <c r="AH1171" t="s">
        <v>717</v>
      </c>
      <c r="AI1171" t="s">
        <v>6644</v>
      </c>
      <c r="AJ1171" t="s">
        <v>6645</v>
      </c>
      <c r="AK1171" t="s">
        <v>29</v>
      </c>
      <c r="AL1171" t="s">
        <v>717</v>
      </c>
      <c r="AM1171" t="s">
        <v>10</v>
      </c>
      <c r="AN1171" t="s">
        <v>717</v>
      </c>
    </row>
    <row r="1172" spans="1:40" hidden="1">
      <c r="A1172">
        <v>1170</v>
      </c>
      <c r="B1172">
        <v>114</v>
      </c>
      <c r="C1172" s="58">
        <v>44785</v>
      </c>
      <c r="D1172" t="s">
        <v>27</v>
      </c>
      <c r="E1172" t="s">
        <v>2506</v>
      </c>
      <c r="F1172">
        <v>8</v>
      </c>
      <c r="G1172">
        <v>20</v>
      </c>
      <c r="H1172">
        <v>359</v>
      </c>
      <c r="I1172">
        <v>2</v>
      </c>
      <c r="J1172">
        <v>55.8</v>
      </c>
      <c r="K1172" t="s">
        <v>25</v>
      </c>
      <c r="L1172">
        <v>4097250</v>
      </c>
      <c r="M1172">
        <v>0</v>
      </c>
      <c r="N1172">
        <v>4097250</v>
      </c>
      <c r="O1172">
        <v>73427.419354838727</v>
      </c>
      <c r="P1172">
        <v>0</v>
      </c>
      <c r="Q1172">
        <v>4097250</v>
      </c>
      <c r="R1172">
        <v>73427.419354838727</v>
      </c>
      <c r="S1172" t="s">
        <v>130</v>
      </c>
      <c r="T1172" t="s">
        <v>717</v>
      </c>
      <c r="U1172" t="s">
        <v>717</v>
      </c>
      <c r="V1172" t="s">
        <v>717</v>
      </c>
      <c r="W1172">
        <v>44781</v>
      </c>
      <c r="X1172" t="s">
        <v>6654</v>
      </c>
      <c r="Y1172" t="s">
        <v>6642</v>
      </c>
      <c r="Z1172" t="s">
        <v>17</v>
      </c>
      <c r="AA1172" t="s">
        <v>717</v>
      </c>
      <c r="AB1172" t="s">
        <v>2509</v>
      </c>
      <c r="AC1172" t="s">
        <v>717</v>
      </c>
      <c r="AD1172" t="s">
        <v>717</v>
      </c>
      <c r="AE1172" t="s">
        <v>6643</v>
      </c>
      <c r="AF1172" t="s">
        <v>717</v>
      </c>
      <c r="AG1172" t="s">
        <v>717</v>
      </c>
      <c r="AH1172" t="s">
        <v>717</v>
      </c>
      <c r="AI1172" t="s">
        <v>6644</v>
      </c>
      <c r="AJ1172" t="s">
        <v>6645</v>
      </c>
      <c r="AK1172" t="s">
        <v>29</v>
      </c>
      <c r="AL1172" t="s">
        <v>717</v>
      </c>
      <c r="AM1172" t="s">
        <v>10</v>
      </c>
      <c r="AN1172" t="s">
        <v>717</v>
      </c>
    </row>
    <row r="1173" spans="1:40" hidden="1">
      <c r="A1173">
        <v>1171</v>
      </c>
      <c r="B1173">
        <v>115</v>
      </c>
      <c r="C1173" s="58">
        <v>44785</v>
      </c>
      <c r="D1173" t="s">
        <v>27</v>
      </c>
      <c r="E1173" t="s">
        <v>2506</v>
      </c>
      <c r="F1173">
        <v>1</v>
      </c>
      <c r="G1173">
        <v>21</v>
      </c>
      <c r="H1173">
        <v>360</v>
      </c>
      <c r="I1173">
        <v>3</v>
      </c>
      <c r="J1173">
        <v>82.76</v>
      </c>
      <c r="K1173" t="s">
        <v>25</v>
      </c>
      <c r="L1173">
        <v>6017250</v>
      </c>
      <c r="M1173">
        <v>0</v>
      </c>
      <c r="N1173">
        <v>6017250</v>
      </c>
      <c r="O1173">
        <v>72707.225712904779</v>
      </c>
      <c r="P1173">
        <v>0</v>
      </c>
      <c r="Q1173">
        <v>6017250</v>
      </c>
      <c r="R1173">
        <v>72707.225712904779</v>
      </c>
      <c r="S1173" t="s">
        <v>130</v>
      </c>
      <c r="T1173" t="s">
        <v>717</v>
      </c>
      <c r="U1173" t="s">
        <v>717</v>
      </c>
      <c r="V1173" t="s">
        <v>717</v>
      </c>
      <c r="W1173">
        <v>44781</v>
      </c>
      <c r="X1173" t="s">
        <v>6655</v>
      </c>
      <c r="Y1173" t="s">
        <v>6642</v>
      </c>
      <c r="Z1173" t="s">
        <v>17</v>
      </c>
      <c r="AA1173" t="s">
        <v>717</v>
      </c>
      <c r="AB1173" t="s">
        <v>2509</v>
      </c>
      <c r="AC1173" t="s">
        <v>717</v>
      </c>
      <c r="AD1173" t="s">
        <v>717</v>
      </c>
      <c r="AE1173" t="s">
        <v>6643</v>
      </c>
      <c r="AF1173" t="s">
        <v>717</v>
      </c>
      <c r="AG1173" t="s">
        <v>717</v>
      </c>
      <c r="AH1173" t="s">
        <v>717</v>
      </c>
      <c r="AI1173" t="s">
        <v>6644</v>
      </c>
      <c r="AJ1173" t="s">
        <v>6645</v>
      </c>
      <c r="AK1173" t="s">
        <v>29</v>
      </c>
      <c r="AL1173" t="s">
        <v>717</v>
      </c>
      <c r="AM1173" t="s">
        <v>10</v>
      </c>
      <c r="AN1173" t="s">
        <v>717</v>
      </c>
    </row>
    <row r="1174" spans="1:40" hidden="1">
      <c r="A1174">
        <v>1172</v>
      </c>
      <c r="B1174">
        <v>116</v>
      </c>
      <c r="C1174" s="58">
        <v>44785</v>
      </c>
      <c r="D1174" t="s">
        <v>27</v>
      </c>
      <c r="E1174" t="s">
        <v>2506</v>
      </c>
      <c r="F1174">
        <v>2</v>
      </c>
      <c r="G1174">
        <v>21</v>
      </c>
      <c r="H1174">
        <v>361</v>
      </c>
      <c r="I1174">
        <v>1</v>
      </c>
      <c r="J1174">
        <v>37.159999999999997</v>
      </c>
      <c r="K1174" t="s">
        <v>25</v>
      </c>
      <c r="L1174">
        <v>2688000</v>
      </c>
      <c r="M1174">
        <v>0</v>
      </c>
      <c r="N1174">
        <v>2688000</v>
      </c>
      <c r="O1174">
        <v>72335.844994617873</v>
      </c>
      <c r="P1174">
        <v>0</v>
      </c>
      <c r="Q1174">
        <v>2688000</v>
      </c>
      <c r="R1174">
        <v>72335.844994617873</v>
      </c>
      <c r="S1174" t="s">
        <v>130</v>
      </c>
      <c r="T1174" t="s">
        <v>717</v>
      </c>
      <c r="U1174" t="s">
        <v>717</v>
      </c>
      <c r="V1174" t="s">
        <v>717</v>
      </c>
      <c r="W1174">
        <v>44781</v>
      </c>
      <c r="X1174" t="s">
        <v>6655</v>
      </c>
      <c r="Y1174" t="s">
        <v>6642</v>
      </c>
      <c r="Z1174" t="s">
        <v>17</v>
      </c>
      <c r="AA1174" t="s">
        <v>717</v>
      </c>
      <c r="AB1174" t="s">
        <v>2509</v>
      </c>
      <c r="AC1174" t="s">
        <v>717</v>
      </c>
      <c r="AD1174" t="s">
        <v>717</v>
      </c>
      <c r="AE1174" t="s">
        <v>6643</v>
      </c>
      <c r="AF1174" t="s">
        <v>717</v>
      </c>
      <c r="AG1174" t="s">
        <v>717</v>
      </c>
      <c r="AH1174" t="s">
        <v>717</v>
      </c>
      <c r="AI1174" t="s">
        <v>6644</v>
      </c>
      <c r="AJ1174" t="s">
        <v>6645</v>
      </c>
      <c r="AK1174" t="s">
        <v>29</v>
      </c>
      <c r="AL1174" t="s">
        <v>717</v>
      </c>
      <c r="AM1174" t="s">
        <v>10</v>
      </c>
      <c r="AN1174" t="s">
        <v>717</v>
      </c>
    </row>
    <row r="1175" spans="1:40" hidden="1">
      <c r="A1175">
        <v>1173</v>
      </c>
      <c r="B1175">
        <v>117</v>
      </c>
      <c r="C1175" s="58">
        <v>44785</v>
      </c>
      <c r="D1175" t="s">
        <v>27</v>
      </c>
      <c r="E1175" t="s">
        <v>2506</v>
      </c>
      <c r="F1175">
        <v>4</v>
      </c>
      <c r="G1175">
        <v>21</v>
      </c>
      <c r="H1175">
        <v>363</v>
      </c>
      <c r="I1175">
        <v>1</v>
      </c>
      <c r="J1175">
        <v>40</v>
      </c>
      <c r="K1175" t="s">
        <v>25</v>
      </c>
      <c r="L1175">
        <v>2901750</v>
      </c>
      <c r="M1175">
        <v>0</v>
      </c>
      <c r="N1175">
        <v>2901750</v>
      </c>
      <c r="O1175">
        <v>72543.75</v>
      </c>
      <c r="P1175">
        <v>0</v>
      </c>
      <c r="Q1175">
        <v>2901750</v>
      </c>
      <c r="R1175">
        <v>72543.75</v>
      </c>
      <c r="S1175" t="s">
        <v>130</v>
      </c>
      <c r="T1175" t="s">
        <v>717</v>
      </c>
      <c r="U1175" t="s">
        <v>717</v>
      </c>
      <c r="V1175" t="s">
        <v>717</v>
      </c>
      <c r="W1175">
        <v>44781</v>
      </c>
      <c r="X1175" t="s">
        <v>6655</v>
      </c>
      <c r="Y1175" t="s">
        <v>6642</v>
      </c>
      <c r="Z1175" t="s">
        <v>17</v>
      </c>
      <c r="AA1175" t="s">
        <v>717</v>
      </c>
      <c r="AB1175" t="s">
        <v>2509</v>
      </c>
      <c r="AC1175" t="s">
        <v>717</v>
      </c>
      <c r="AD1175" t="s">
        <v>717</v>
      </c>
      <c r="AE1175" t="s">
        <v>6643</v>
      </c>
      <c r="AF1175" t="s">
        <v>717</v>
      </c>
      <c r="AG1175" t="s">
        <v>717</v>
      </c>
      <c r="AH1175" t="s">
        <v>717</v>
      </c>
      <c r="AI1175" t="s">
        <v>6644</v>
      </c>
      <c r="AJ1175" t="s">
        <v>6645</v>
      </c>
      <c r="AK1175" t="s">
        <v>29</v>
      </c>
      <c r="AL1175" t="s">
        <v>717</v>
      </c>
      <c r="AM1175" t="s">
        <v>10</v>
      </c>
      <c r="AN1175" t="s">
        <v>717</v>
      </c>
    </row>
    <row r="1176" spans="1:40" hidden="1">
      <c r="A1176">
        <v>1174</v>
      </c>
      <c r="B1176">
        <v>118</v>
      </c>
      <c r="C1176" s="58">
        <v>44785</v>
      </c>
      <c r="D1176" t="s">
        <v>27</v>
      </c>
      <c r="E1176" t="s">
        <v>2506</v>
      </c>
      <c r="F1176">
        <v>6</v>
      </c>
      <c r="G1176">
        <v>21</v>
      </c>
      <c r="H1176">
        <v>365</v>
      </c>
      <c r="I1176">
        <v>1</v>
      </c>
      <c r="J1176">
        <v>37.11</v>
      </c>
      <c r="K1176" t="s">
        <v>25</v>
      </c>
      <c r="L1176">
        <v>2684250</v>
      </c>
      <c r="M1176">
        <v>0</v>
      </c>
      <c r="N1176">
        <v>2684250</v>
      </c>
      <c r="O1176">
        <v>72332.255456750208</v>
      </c>
      <c r="P1176">
        <v>0</v>
      </c>
      <c r="Q1176">
        <v>2684250</v>
      </c>
      <c r="R1176">
        <v>72332.255456750208</v>
      </c>
      <c r="S1176" t="s">
        <v>130</v>
      </c>
      <c r="T1176" t="s">
        <v>717</v>
      </c>
      <c r="U1176" t="s">
        <v>717</v>
      </c>
      <c r="V1176" t="s">
        <v>717</v>
      </c>
      <c r="W1176">
        <v>44781</v>
      </c>
      <c r="X1176" t="s">
        <v>6655</v>
      </c>
      <c r="Y1176" t="s">
        <v>6642</v>
      </c>
      <c r="Z1176" t="s">
        <v>17</v>
      </c>
      <c r="AA1176" t="s">
        <v>717</v>
      </c>
      <c r="AB1176" t="s">
        <v>2509</v>
      </c>
      <c r="AC1176" t="s">
        <v>717</v>
      </c>
      <c r="AD1176" t="s">
        <v>717</v>
      </c>
      <c r="AE1176" t="s">
        <v>6643</v>
      </c>
      <c r="AF1176" t="s">
        <v>717</v>
      </c>
      <c r="AG1176" t="s">
        <v>717</v>
      </c>
      <c r="AH1176" t="s">
        <v>717</v>
      </c>
      <c r="AI1176" t="s">
        <v>6644</v>
      </c>
      <c r="AJ1176" t="s">
        <v>6645</v>
      </c>
      <c r="AK1176" t="s">
        <v>29</v>
      </c>
      <c r="AL1176" t="s">
        <v>717</v>
      </c>
      <c r="AM1176" t="s">
        <v>10</v>
      </c>
      <c r="AN1176" t="s">
        <v>717</v>
      </c>
    </row>
    <row r="1177" spans="1:40" hidden="1">
      <c r="A1177">
        <v>1175</v>
      </c>
      <c r="B1177">
        <v>119</v>
      </c>
      <c r="C1177" s="58">
        <v>44785</v>
      </c>
      <c r="D1177" t="s">
        <v>27</v>
      </c>
      <c r="E1177" t="s">
        <v>2506</v>
      </c>
      <c r="F1177">
        <v>7</v>
      </c>
      <c r="G1177">
        <v>21</v>
      </c>
      <c r="H1177">
        <v>366</v>
      </c>
      <c r="I1177">
        <v>2</v>
      </c>
      <c r="J1177">
        <v>59.93</v>
      </c>
      <c r="K1177" t="s">
        <v>25</v>
      </c>
      <c r="L1177">
        <v>4305750</v>
      </c>
      <c r="M1177">
        <v>0</v>
      </c>
      <c r="N1177">
        <v>4305750</v>
      </c>
      <c r="O1177">
        <v>71846.320707492079</v>
      </c>
      <c r="P1177">
        <v>0</v>
      </c>
      <c r="Q1177">
        <v>4305750</v>
      </c>
      <c r="R1177">
        <v>71846.320707492079</v>
      </c>
      <c r="S1177" t="s">
        <v>130</v>
      </c>
      <c r="T1177" t="s">
        <v>717</v>
      </c>
      <c r="U1177" t="s">
        <v>717</v>
      </c>
      <c r="V1177" t="s">
        <v>717</v>
      </c>
      <c r="W1177">
        <v>44781</v>
      </c>
      <c r="X1177" t="s">
        <v>6655</v>
      </c>
      <c r="Y1177" t="s">
        <v>6642</v>
      </c>
      <c r="Z1177" t="s">
        <v>17</v>
      </c>
      <c r="AA1177" t="s">
        <v>717</v>
      </c>
      <c r="AB1177" t="s">
        <v>2509</v>
      </c>
      <c r="AC1177" t="s">
        <v>717</v>
      </c>
      <c r="AD1177" t="s">
        <v>717</v>
      </c>
      <c r="AE1177" t="s">
        <v>6643</v>
      </c>
      <c r="AF1177" t="s">
        <v>717</v>
      </c>
      <c r="AG1177" t="s">
        <v>717</v>
      </c>
      <c r="AH1177" t="s">
        <v>717</v>
      </c>
      <c r="AI1177" t="s">
        <v>6644</v>
      </c>
      <c r="AJ1177" t="s">
        <v>6645</v>
      </c>
      <c r="AK1177" t="s">
        <v>29</v>
      </c>
      <c r="AL1177" t="s">
        <v>717</v>
      </c>
      <c r="AM1177" t="s">
        <v>10</v>
      </c>
      <c r="AN1177" t="s">
        <v>717</v>
      </c>
    </row>
    <row r="1178" spans="1:40" hidden="1">
      <c r="A1178">
        <v>1176</v>
      </c>
      <c r="B1178">
        <v>120</v>
      </c>
      <c r="C1178" s="58">
        <v>44785</v>
      </c>
      <c r="D1178" t="s">
        <v>27</v>
      </c>
      <c r="E1178" t="s">
        <v>2506</v>
      </c>
      <c r="F1178">
        <v>8</v>
      </c>
      <c r="G1178">
        <v>21</v>
      </c>
      <c r="H1178">
        <v>367</v>
      </c>
      <c r="I1178">
        <v>2</v>
      </c>
      <c r="J1178">
        <v>55.8</v>
      </c>
      <c r="K1178" t="s">
        <v>25</v>
      </c>
      <c r="L1178">
        <v>4097250</v>
      </c>
      <c r="M1178">
        <v>0</v>
      </c>
      <c r="N1178">
        <v>4097250</v>
      </c>
      <c r="O1178">
        <v>73427.419354838727</v>
      </c>
      <c r="P1178">
        <v>0</v>
      </c>
      <c r="Q1178">
        <v>4097250</v>
      </c>
      <c r="R1178">
        <v>73427.419354838727</v>
      </c>
      <c r="S1178" t="s">
        <v>130</v>
      </c>
      <c r="T1178" t="s">
        <v>717</v>
      </c>
      <c r="U1178" t="s">
        <v>717</v>
      </c>
      <c r="V1178" t="s">
        <v>717</v>
      </c>
      <c r="W1178">
        <v>44781</v>
      </c>
      <c r="X1178" t="s">
        <v>6655</v>
      </c>
      <c r="Y1178" t="s">
        <v>6642</v>
      </c>
      <c r="Z1178" t="s">
        <v>17</v>
      </c>
      <c r="AA1178" t="s">
        <v>717</v>
      </c>
      <c r="AB1178" t="s">
        <v>2509</v>
      </c>
      <c r="AC1178" t="s">
        <v>717</v>
      </c>
      <c r="AD1178" t="s">
        <v>717</v>
      </c>
      <c r="AE1178" t="s">
        <v>6643</v>
      </c>
      <c r="AF1178" t="s">
        <v>717</v>
      </c>
      <c r="AG1178" t="s">
        <v>717</v>
      </c>
      <c r="AH1178" t="s">
        <v>717</v>
      </c>
      <c r="AI1178" t="s">
        <v>6644</v>
      </c>
      <c r="AJ1178" t="s">
        <v>6645</v>
      </c>
      <c r="AK1178" t="s">
        <v>29</v>
      </c>
      <c r="AL1178" t="s">
        <v>717</v>
      </c>
      <c r="AM1178" t="s">
        <v>10</v>
      </c>
      <c r="AN1178" t="s">
        <v>717</v>
      </c>
    </row>
    <row r="1179" spans="1:40" hidden="1">
      <c r="A1179">
        <v>1177</v>
      </c>
      <c r="B1179">
        <v>121</v>
      </c>
      <c r="C1179" s="58">
        <v>44785</v>
      </c>
      <c r="D1179" t="s">
        <v>27</v>
      </c>
      <c r="E1179" t="s">
        <v>2506</v>
      </c>
      <c r="F1179">
        <v>1</v>
      </c>
      <c r="G1179">
        <v>22</v>
      </c>
      <c r="H1179">
        <v>368</v>
      </c>
      <c r="I1179">
        <v>3</v>
      </c>
      <c r="J1179">
        <v>82.76</v>
      </c>
      <c r="K1179" t="s">
        <v>25</v>
      </c>
      <c r="L1179">
        <v>6017250</v>
      </c>
      <c r="M1179">
        <v>0</v>
      </c>
      <c r="N1179">
        <v>6017250</v>
      </c>
      <c r="O1179">
        <v>72707.225712904779</v>
      </c>
      <c r="P1179">
        <v>0</v>
      </c>
      <c r="Q1179">
        <v>6017250</v>
      </c>
      <c r="R1179">
        <v>72707.225712904779</v>
      </c>
      <c r="S1179" t="s">
        <v>130</v>
      </c>
      <c r="T1179" t="s">
        <v>717</v>
      </c>
      <c r="U1179" t="s">
        <v>717</v>
      </c>
      <c r="V1179" t="s">
        <v>717</v>
      </c>
      <c r="W1179">
        <v>44781</v>
      </c>
      <c r="X1179" t="s">
        <v>6655</v>
      </c>
      <c r="Y1179" t="s">
        <v>6642</v>
      </c>
      <c r="Z1179" t="s">
        <v>17</v>
      </c>
      <c r="AA1179" t="s">
        <v>717</v>
      </c>
      <c r="AB1179" t="s">
        <v>2509</v>
      </c>
      <c r="AC1179" t="s">
        <v>717</v>
      </c>
      <c r="AD1179" t="s">
        <v>717</v>
      </c>
      <c r="AE1179" t="s">
        <v>6643</v>
      </c>
      <c r="AF1179" t="s">
        <v>717</v>
      </c>
      <c r="AG1179" t="s">
        <v>717</v>
      </c>
      <c r="AH1179" t="s">
        <v>717</v>
      </c>
      <c r="AI1179" t="s">
        <v>6644</v>
      </c>
      <c r="AJ1179" t="s">
        <v>6645</v>
      </c>
      <c r="AK1179" t="s">
        <v>29</v>
      </c>
      <c r="AL1179" t="s">
        <v>717</v>
      </c>
      <c r="AM1179" t="s">
        <v>10</v>
      </c>
      <c r="AN1179" t="s">
        <v>717</v>
      </c>
    </row>
    <row r="1180" spans="1:40" hidden="1">
      <c r="A1180">
        <v>1178</v>
      </c>
      <c r="B1180">
        <v>122</v>
      </c>
      <c r="C1180" s="58">
        <v>44785</v>
      </c>
      <c r="D1180" t="s">
        <v>27</v>
      </c>
      <c r="E1180" t="s">
        <v>2506</v>
      </c>
      <c r="F1180">
        <v>2</v>
      </c>
      <c r="G1180">
        <v>22</v>
      </c>
      <c r="H1180">
        <v>369</v>
      </c>
      <c r="I1180">
        <v>1</v>
      </c>
      <c r="J1180">
        <v>37.159999999999997</v>
      </c>
      <c r="K1180" t="s">
        <v>25</v>
      </c>
      <c r="L1180">
        <v>2688000</v>
      </c>
      <c r="M1180">
        <v>0</v>
      </c>
      <c r="N1180">
        <v>2688000</v>
      </c>
      <c r="O1180">
        <v>72335.844994617873</v>
      </c>
      <c r="P1180">
        <v>0</v>
      </c>
      <c r="Q1180">
        <v>2688000</v>
      </c>
      <c r="R1180">
        <v>72335.844994617873</v>
      </c>
      <c r="S1180" t="s">
        <v>130</v>
      </c>
      <c r="T1180" t="s">
        <v>717</v>
      </c>
      <c r="U1180" t="s">
        <v>717</v>
      </c>
      <c r="V1180" t="s">
        <v>717</v>
      </c>
      <c r="W1180">
        <v>44781</v>
      </c>
      <c r="X1180" t="s">
        <v>6655</v>
      </c>
      <c r="Y1180" t="s">
        <v>6642</v>
      </c>
      <c r="Z1180" t="s">
        <v>17</v>
      </c>
      <c r="AA1180" t="s">
        <v>717</v>
      </c>
      <c r="AB1180" t="s">
        <v>2509</v>
      </c>
      <c r="AC1180" t="s">
        <v>717</v>
      </c>
      <c r="AD1180" t="s">
        <v>717</v>
      </c>
      <c r="AE1180" t="s">
        <v>6643</v>
      </c>
      <c r="AF1180" t="s">
        <v>717</v>
      </c>
      <c r="AG1180" t="s">
        <v>717</v>
      </c>
      <c r="AH1180" t="s">
        <v>717</v>
      </c>
      <c r="AI1180" t="s">
        <v>6644</v>
      </c>
      <c r="AJ1180" t="s">
        <v>6645</v>
      </c>
      <c r="AK1180" t="s">
        <v>29</v>
      </c>
      <c r="AL1180" t="s">
        <v>717</v>
      </c>
      <c r="AM1180" t="s">
        <v>10</v>
      </c>
      <c r="AN1180" t="s">
        <v>717</v>
      </c>
    </row>
    <row r="1181" spans="1:40" hidden="1">
      <c r="A1181">
        <v>1179</v>
      </c>
      <c r="B1181">
        <v>123</v>
      </c>
      <c r="C1181" s="58">
        <v>44785</v>
      </c>
      <c r="D1181" t="s">
        <v>27</v>
      </c>
      <c r="E1181" t="s">
        <v>2506</v>
      </c>
      <c r="F1181">
        <v>4</v>
      </c>
      <c r="G1181">
        <v>22</v>
      </c>
      <c r="H1181">
        <v>371</v>
      </c>
      <c r="I1181">
        <v>1</v>
      </c>
      <c r="J1181">
        <v>40</v>
      </c>
      <c r="K1181" t="s">
        <v>25</v>
      </c>
      <c r="L1181">
        <v>2901750</v>
      </c>
      <c r="M1181">
        <v>0</v>
      </c>
      <c r="N1181">
        <v>2901750</v>
      </c>
      <c r="O1181">
        <v>72543.75</v>
      </c>
      <c r="P1181">
        <v>0</v>
      </c>
      <c r="Q1181">
        <v>2901750</v>
      </c>
      <c r="R1181">
        <v>72543.75</v>
      </c>
      <c r="S1181" t="s">
        <v>130</v>
      </c>
      <c r="T1181" t="s">
        <v>717</v>
      </c>
      <c r="U1181" t="s">
        <v>717</v>
      </c>
      <c r="V1181" t="s">
        <v>717</v>
      </c>
      <c r="W1181">
        <v>44781</v>
      </c>
      <c r="X1181" t="s">
        <v>6655</v>
      </c>
      <c r="Y1181" t="s">
        <v>6642</v>
      </c>
      <c r="Z1181" t="s">
        <v>17</v>
      </c>
      <c r="AA1181" t="s">
        <v>717</v>
      </c>
      <c r="AB1181" t="s">
        <v>2509</v>
      </c>
      <c r="AC1181" t="s">
        <v>717</v>
      </c>
      <c r="AD1181" t="s">
        <v>717</v>
      </c>
      <c r="AE1181" t="s">
        <v>6643</v>
      </c>
      <c r="AF1181" t="s">
        <v>717</v>
      </c>
      <c r="AG1181" t="s">
        <v>717</v>
      </c>
      <c r="AH1181" t="s">
        <v>717</v>
      </c>
      <c r="AI1181" t="s">
        <v>6644</v>
      </c>
      <c r="AJ1181" t="s">
        <v>6645</v>
      </c>
      <c r="AK1181" t="s">
        <v>29</v>
      </c>
      <c r="AL1181" t="s">
        <v>717</v>
      </c>
      <c r="AM1181" t="s">
        <v>10</v>
      </c>
      <c r="AN1181" t="s">
        <v>717</v>
      </c>
    </row>
    <row r="1182" spans="1:40" hidden="1">
      <c r="A1182">
        <v>1180</v>
      </c>
      <c r="B1182">
        <v>124</v>
      </c>
      <c r="C1182" s="58">
        <v>44785</v>
      </c>
      <c r="D1182" t="s">
        <v>27</v>
      </c>
      <c r="E1182" t="s">
        <v>2506</v>
      </c>
      <c r="F1182">
        <v>6</v>
      </c>
      <c r="G1182">
        <v>22</v>
      </c>
      <c r="H1182">
        <v>373</v>
      </c>
      <c r="I1182">
        <v>1</v>
      </c>
      <c r="J1182">
        <v>37.11</v>
      </c>
      <c r="K1182" t="s">
        <v>25</v>
      </c>
      <c r="L1182">
        <v>2684250</v>
      </c>
      <c r="M1182">
        <v>0</v>
      </c>
      <c r="N1182">
        <v>2684250</v>
      </c>
      <c r="O1182">
        <v>72332.255456750208</v>
      </c>
      <c r="P1182">
        <v>0</v>
      </c>
      <c r="Q1182">
        <v>2684250</v>
      </c>
      <c r="R1182">
        <v>72332.255456750208</v>
      </c>
      <c r="S1182" t="s">
        <v>130</v>
      </c>
      <c r="T1182" t="s">
        <v>717</v>
      </c>
      <c r="U1182" t="s">
        <v>717</v>
      </c>
      <c r="V1182" t="s">
        <v>717</v>
      </c>
      <c r="W1182">
        <v>44781</v>
      </c>
      <c r="X1182" t="s">
        <v>6655</v>
      </c>
      <c r="Y1182" t="s">
        <v>6642</v>
      </c>
      <c r="Z1182" t="s">
        <v>17</v>
      </c>
      <c r="AA1182" t="s">
        <v>717</v>
      </c>
      <c r="AB1182" t="s">
        <v>2509</v>
      </c>
      <c r="AC1182" t="s">
        <v>717</v>
      </c>
      <c r="AD1182" t="s">
        <v>717</v>
      </c>
      <c r="AE1182" t="s">
        <v>6643</v>
      </c>
      <c r="AF1182" t="s">
        <v>717</v>
      </c>
      <c r="AG1182" t="s">
        <v>717</v>
      </c>
      <c r="AH1182" t="s">
        <v>717</v>
      </c>
      <c r="AI1182" t="s">
        <v>6644</v>
      </c>
      <c r="AJ1182" t="s">
        <v>6645</v>
      </c>
      <c r="AK1182" t="s">
        <v>29</v>
      </c>
      <c r="AL1182" t="s">
        <v>717</v>
      </c>
      <c r="AM1182" t="s">
        <v>10</v>
      </c>
      <c r="AN1182" t="s">
        <v>717</v>
      </c>
    </row>
    <row r="1183" spans="1:40" hidden="1">
      <c r="A1183">
        <v>1181</v>
      </c>
      <c r="B1183">
        <v>125</v>
      </c>
      <c r="C1183" s="58">
        <v>44785</v>
      </c>
      <c r="D1183" t="s">
        <v>27</v>
      </c>
      <c r="E1183" t="s">
        <v>2506</v>
      </c>
      <c r="F1183">
        <v>7</v>
      </c>
      <c r="G1183">
        <v>22</v>
      </c>
      <c r="H1183">
        <v>374</v>
      </c>
      <c r="I1183">
        <v>2</v>
      </c>
      <c r="J1183">
        <v>59.93</v>
      </c>
      <c r="K1183" t="s">
        <v>25</v>
      </c>
      <c r="L1183">
        <v>4305750</v>
      </c>
      <c r="M1183">
        <v>0</v>
      </c>
      <c r="N1183">
        <v>4305750</v>
      </c>
      <c r="O1183">
        <v>71846.320707492079</v>
      </c>
      <c r="P1183">
        <v>0</v>
      </c>
      <c r="Q1183">
        <v>4305750</v>
      </c>
      <c r="R1183">
        <v>71846.320707492079</v>
      </c>
      <c r="S1183" t="s">
        <v>130</v>
      </c>
      <c r="T1183" t="s">
        <v>717</v>
      </c>
      <c r="U1183" t="s">
        <v>717</v>
      </c>
      <c r="V1183" t="s">
        <v>717</v>
      </c>
      <c r="W1183">
        <v>44781</v>
      </c>
      <c r="X1183" t="s">
        <v>6655</v>
      </c>
      <c r="Y1183" t="s">
        <v>6642</v>
      </c>
      <c r="Z1183" t="s">
        <v>17</v>
      </c>
      <c r="AA1183" t="s">
        <v>717</v>
      </c>
      <c r="AB1183" t="s">
        <v>2509</v>
      </c>
      <c r="AC1183" t="s">
        <v>717</v>
      </c>
      <c r="AD1183" t="s">
        <v>717</v>
      </c>
      <c r="AE1183" t="s">
        <v>6643</v>
      </c>
      <c r="AF1183" t="s">
        <v>717</v>
      </c>
      <c r="AG1183" t="s">
        <v>717</v>
      </c>
      <c r="AH1183" t="s">
        <v>717</v>
      </c>
      <c r="AI1183" t="s">
        <v>6644</v>
      </c>
      <c r="AJ1183" t="s">
        <v>6645</v>
      </c>
      <c r="AK1183" t="s">
        <v>29</v>
      </c>
      <c r="AL1183" t="s">
        <v>717</v>
      </c>
      <c r="AM1183" t="s">
        <v>10</v>
      </c>
      <c r="AN1183" t="s">
        <v>717</v>
      </c>
    </row>
    <row r="1184" spans="1:40" hidden="1">
      <c r="A1184">
        <v>1182</v>
      </c>
      <c r="B1184">
        <v>126</v>
      </c>
      <c r="C1184" s="58">
        <v>44785</v>
      </c>
      <c r="D1184" t="s">
        <v>27</v>
      </c>
      <c r="E1184" t="s">
        <v>2506</v>
      </c>
      <c r="F1184">
        <v>8</v>
      </c>
      <c r="G1184">
        <v>22</v>
      </c>
      <c r="H1184">
        <v>375</v>
      </c>
      <c r="I1184">
        <v>2</v>
      </c>
      <c r="J1184">
        <v>55.8</v>
      </c>
      <c r="K1184" t="s">
        <v>25</v>
      </c>
      <c r="L1184">
        <v>4097250</v>
      </c>
      <c r="M1184">
        <v>0</v>
      </c>
      <c r="N1184">
        <v>4097250</v>
      </c>
      <c r="O1184">
        <v>73427.419354838727</v>
      </c>
      <c r="P1184">
        <v>0</v>
      </c>
      <c r="Q1184">
        <v>4097250</v>
      </c>
      <c r="R1184">
        <v>73427.419354838727</v>
      </c>
      <c r="S1184" t="s">
        <v>130</v>
      </c>
      <c r="T1184" t="s">
        <v>717</v>
      </c>
      <c r="U1184" t="s">
        <v>717</v>
      </c>
      <c r="V1184" t="s">
        <v>717</v>
      </c>
      <c r="W1184">
        <v>44781</v>
      </c>
      <c r="X1184" t="s">
        <v>6655</v>
      </c>
      <c r="Y1184" t="s">
        <v>6642</v>
      </c>
      <c r="Z1184" t="s">
        <v>17</v>
      </c>
      <c r="AA1184" t="s">
        <v>717</v>
      </c>
      <c r="AB1184" t="s">
        <v>2509</v>
      </c>
      <c r="AC1184" t="s">
        <v>717</v>
      </c>
      <c r="AD1184" t="s">
        <v>717</v>
      </c>
      <c r="AE1184" t="s">
        <v>6643</v>
      </c>
      <c r="AF1184" t="s">
        <v>717</v>
      </c>
      <c r="AG1184" t="s">
        <v>717</v>
      </c>
      <c r="AH1184" t="s">
        <v>717</v>
      </c>
      <c r="AI1184" t="s">
        <v>6644</v>
      </c>
      <c r="AJ1184" t="s">
        <v>6645</v>
      </c>
      <c r="AK1184" t="s">
        <v>29</v>
      </c>
      <c r="AL1184" t="s">
        <v>717</v>
      </c>
      <c r="AM1184" t="s">
        <v>10</v>
      </c>
      <c r="AN1184" t="s">
        <v>717</v>
      </c>
    </row>
    <row r="1185" spans="1:40" hidden="1">
      <c r="A1185">
        <v>1183</v>
      </c>
      <c r="B1185">
        <v>127</v>
      </c>
      <c r="C1185" s="58">
        <v>44785</v>
      </c>
      <c r="D1185" t="s">
        <v>27</v>
      </c>
      <c r="E1185" t="s">
        <v>2506</v>
      </c>
      <c r="F1185">
        <v>1</v>
      </c>
      <c r="G1185">
        <v>23</v>
      </c>
      <c r="H1185">
        <v>376</v>
      </c>
      <c r="I1185">
        <v>3</v>
      </c>
      <c r="J1185">
        <v>82.76</v>
      </c>
      <c r="K1185" t="s">
        <v>25</v>
      </c>
      <c r="L1185">
        <v>6017250</v>
      </c>
      <c r="M1185">
        <v>0</v>
      </c>
      <c r="N1185">
        <v>6017250</v>
      </c>
      <c r="O1185">
        <v>72707.225712904779</v>
      </c>
      <c r="P1185">
        <v>0</v>
      </c>
      <c r="Q1185">
        <v>6017250</v>
      </c>
      <c r="R1185">
        <v>72707.225712904779</v>
      </c>
      <c r="S1185" t="s">
        <v>130</v>
      </c>
      <c r="T1185" t="s">
        <v>717</v>
      </c>
      <c r="U1185" t="s">
        <v>717</v>
      </c>
      <c r="V1185" t="s">
        <v>717</v>
      </c>
      <c r="W1185">
        <v>44781</v>
      </c>
      <c r="X1185" t="s">
        <v>6656</v>
      </c>
      <c r="Y1185" t="s">
        <v>6642</v>
      </c>
      <c r="Z1185" t="s">
        <v>17</v>
      </c>
      <c r="AA1185" t="s">
        <v>717</v>
      </c>
      <c r="AB1185" t="s">
        <v>2509</v>
      </c>
      <c r="AC1185" t="s">
        <v>717</v>
      </c>
      <c r="AD1185" t="s">
        <v>717</v>
      </c>
      <c r="AE1185" t="s">
        <v>6643</v>
      </c>
      <c r="AF1185" t="s">
        <v>717</v>
      </c>
      <c r="AG1185" t="s">
        <v>717</v>
      </c>
      <c r="AH1185" t="s">
        <v>717</v>
      </c>
      <c r="AI1185" t="s">
        <v>6644</v>
      </c>
      <c r="AJ1185" t="s">
        <v>6645</v>
      </c>
      <c r="AK1185" t="s">
        <v>29</v>
      </c>
      <c r="AL1185" t="s">
        <v>717</v>
      </c>
      <c r="AM1185" t="s">
        <v>10</v>
      </c>
      <c r="AN1185" t="s">
        <v>717</v>
      </c>
    </row>
    <row r="1186" spans="1:40" hidden="1">
      <c r="A1186">
        <v>1184</v>
      </c>
      <c r="B1186">
        <v>128</v>
      </c>
      <c r="C1186" s="58">
        <v>44785</v>
      </c>
      <c r="D1186" t="s">
        <v>27</v>
      </c>
      <c r="E1186" t="s">
        <v>2506</v>
      </c>
      <c r="F1186">
        <v>2</v>
      </c>
      <c r="G1186">
        <v>23</v>
      </c>
      <c r="H1186">
        <v>377</v>
      </c>
      <c r="I1186">
        <v>1</v>
      </c>
      <c r="J1186">
        <v>37.159999999999997</v>
      </c>
      <c r="K1186" t="s">
        <v>25</v>
      </c>
      <c r="L1186">
        <v>2688000</v>
      </c>
      <c r="M1186">
        <v>0</v>
      </c>
      <c r="N1186">
        <v>2688000</v>
      </c>
      <c r="O1186">
        <v>72335.844994617873</v>
      </c>
      <c r="P1186">
        <v>0</v>
      </c>
      <c r="Q1186">
        <v>2688000</v>
      </c>
      <c r="R1186">
        <v>72335.844994617873</v>
      </c>
      <c r="S1186" t="s">
        <v>130</v>
      </c>
      <c r="T1186" t="s">
        <v>717</v>
      </c>
      <c r="U1186" t="s">
        <v>717</v>
      </c>
      <c r="V1186" t="s">
        <v>717</v>
      </c>
      <c r="W1186">
        <v>44781</v>
      </c>
      <c r="X1186" t="s">
        <v>6656</v>
      </c>
      <c r="Y1186" t="s">
        <v>6642</v>
      </c>
      <c r="Z1186" t="s">
        <v>17</v>
      </c>
      <c r="AA1186" t="s">
        <v>717</v>
      </c>
      <c r="AB1186" t="s">
        <v>2509</v>
      </c>
      <c r="AC1186" t="s">
        <v>717</v>
      </c>
      <c r="AD1186" t="s">
        <v>717</v>
      </c>
      <c r="AE1186" t="s">
        <v>6643</v>
      </c>
      <c r="AF1186" t="s">
        <v>717</v>
      </c>
      <c r="AG1186" t="s">
        <v>717</v>
      </c>
      <c r="AH1186" t="s">
        <v>717</v>
      </c>
      <c r="AI1186" t="s">
        <v>6644</v>
      </c>
      <c r="AJ1186" t="s">
        <v>6645</v>
      </c>
      <c r="AK1186" t="s">
        <v>29</v>
      </c>
      <c r="AL1186" t="s">
        <v>717</v>
      </c>
      <c r="AM1186" t="s">
        <v>10</v>
      </c>
      <c r="AN1186" t="s">
        <v>717</v>
      </c>
    </row>
    <row r="1187" spans="1:40" hidden="1">
      <c r="A1187">
        <v>1185</v>
      </c>
      <c r="B1187">
        <v>129</v>
      </c>
      <c r="C1187" s="58">
        <v>44785</v>
      </c>
      <c r="D1187" t="s">
        <v>27</v>
      </c>
      <c r="E1187" t="s">
        <v>2506</v>
      </c>
      <c r="F1187">
        <v>4</v>
      </c>
      <c r="G1187">
        <v>23</v>
      </c>
      <c r="H1187">
        <v>379</v>
      </c>
      <c r="I1187">
        <v>1</v>
      </c>
      <c r="J1187">
        <v>40</v>
      </c>
      <c r="K1187" t="s">
        <v>25</v>
      </c>
      <c r="L1187">
        <v>2901750</v>
      </c>
      <c r="M1187">
        <v>0</v>
      </c>
      <c r="N1187">
        <v>2901750</v>
      </c>
      <c r="O1187">
        <v>72543.75</v>
      </c>
      <c r="P1187">
        <v>0</v>
      </c>
      <c r="Q1187">
        <v>2901750</v>
      </c>
      <c r="R1187">
        <v>72543.75</v>
      </c>
      <c r="S1187" t="s">
        <v>130</v>
      </c>
      <c r="T1187" t="s">
        <v>717</v>
      </c>
      <c r="U1187" t="s">
        <v>717</v>
      </c>
      <c r="V1187" t="s">
        <v>717</v>
      </c>
      <c r="W1187">
        <v>44781</v>
      </c>
      <c r="X1187" t="s">
        <v>6656</v>
      </c>
      <c r="Y1187" t="s">
        <v>6642</v>
      </c>
      <c r="Z1187" t="s">
        <v>17</v>
      </c>
      <c r="AA1187" t="s">
        <v>717</v>
      </c>
      <c r="AB1187" t="s">
        <v>2509</v>
      </c>
      <c r="AC1187" t="s">
        <v>717</v>
      </c>
      <c r="AD1187" t="s">
        <v>717</v>
      </c>
      <c r="AE1187" t="s">
        <v>6643</v>
      </c>
      <c r="AF1187" t="s">
        <v>717</v>
      </c>
      <c r="AG1187" t="s">
        <v>717</v>
      </c>
      <c r="AH1187" t="s">
        <v>717</v>
      </c>
      <c r="AI1187" t="s">
        <v>6644</v>
      </c>
      <c r="AJ1187" t="s">
        <v>6645</v>
      </c>
      <c r="AK1187" t="s">
        <v>29</v>
      </c>
      <c r="AL1187" t="s">
        <v>717</v>
      </c>
      <c r="AM1187" t="s">
        <v>10</v>
      </c>
      <c r="AN1187" t="s">
        <v>717</v>
      </c>
    </row>
    <row r="1188" spans="1:40" hidden="1">
      <c r="A1188">
        <v>1186</v>
      </c>
      <c r="B1188">
        <v>130</v>
      </c>
      <c r="C1188" s="58">
        <v>44785</v>
      </c>
      <c r="D1188" t="s">
        <v>27</v>
      </c>
      <c r="E1188" t="s">
        <v>2506</v>
      </c>
      <c r="F1188">
        <v>6</v>
      </c>
      <c r="G1188">
        <v>23</v>
      </c>
      <c r="H1188">
        <v>381</v>
      </c>
      <c r="I1188">
        <v>1</v>
      </c>
      <c r="J1188">
        <v>37.11</v>
      </c>
      <c r="K1188" t="s">
        <v>25</v>
      </c>
      <c r="L1188">
        <v>2684250</v>
      </c>
      <c r="M1188">
        <v>0</v>
      </c>
      <c r="N1188">
        <v>2684250</v>
      </c>
      <c r="O1188">
        <v>72332.255456750208</v>
      </c>
      <c r="P1188">
        <v>0</v>
      </c>
      <c r="Q1188">
        <v>2684250</v>
      </c>
      <c r="R1188">
        <v>72332.255456750208</v>
      </c>
      <c r="S1188" t="s">
        <v>130</v>
      </c>
      <c r="T1188" t="s">
        <v>717</v>
      </c>
      <c r="U1188" t="s">
        <v>717</v>
      </c>
      <c r="V1188" t="s">
        <v>717</v>
      </c>
      <c r="W1188">
        <v>44781</v>
      </c>
      <c r="X1188" t="s">
        <v>6656</v>
      </c>
      <c r="Y1188" t="s">
        <v>6642</v>
      </c>
      <c r="Z1188" t="s">
        <v>17</v>
      </c>
      <c r="AA1188" t="s">
        <v>717</v>
      </c>
      <c r="AB1188" t="s">
        <v>2509</v>
      </c>
      <c r="AC1188" t="s">
        <v>717</v>
      </c>
      <c r="AD1188" t="s">
        <v>717</v>
      </c>
      <c r="AE1188" t="s">
        <v>6643</v>
      </c>
      <c r="AF1188" t="s">
        <v>717</v>
      </c>
      <c r="AG1188" t="s">
        <v>717</v>
      </c>
      <c r="AH1188" t="s">
        <v>717</v>
      </c>
      <c r="AI1188" t="s">
        <v>6644</v>
      </c>
      <c r="AJ1188" t="s">
        <v>6645</v>
      </c>
      <c r="AK1188" t="s">
        <v>29</v>
      </c>
      <c r="AL1188" t="s">
        <v>717</v>
      </c>
      <c r="AM1188" t="s">
        <v>10</v>
      </c>
      <c r="AN1188" t="s">
        <v>717</v>
      </c>
    </row>
    <row r="1189" spans="1:40" hidden="1">
      <c r="A1189">
        <v>1187</v>
      </c>
      <c r="B1189">
        <v>131</v>
      </c>
      <c r="C1189" s="58">
        <v>44785</v>
      </c>
      <c r="D1189" t="s">
        <v>27</v>
      </c>
      <c r="E1189" t="s">
        <v>2506</v>
      </c>
      <c r="F1189">
        <v>7</v>
      </c>
      <c r="G1189">
        <v>23</v>
      </c>
      <c r="H1189">
        <v>382</v>
      </c>
      <c r="I1189">
        <v>2</v>
      </c>
      <c r="J1189">
        <v>59.93</v>
      </c>
      <c r="K1189" t="s">
        <v>25</v>
      </c>
      <c r="L1189">
        <v>4305750</v>
      </c>
      <c r="M1189">
        <v>0</v>
      </c>
      <c r="N1189">
        <v>4305750</v>
      </c>
      <c r="O1189">
        <v>71846.320707492079</v>
      </c>
      <c r="P1189">
        <v>0</v>
      </c>
      <c r="Q1189">
        <v>4305750</v>
      </c>
      <c r="R1189">
        <v>71846.320707492079</v>
      </c>
      <c r="S1189" t="s">
        <v>130</v>
      </c>
      <c r="T1189" t="s">
        <v>717</v>
      </c>
      <c r="U1189" t="s">
        <v>717</v>
      </c>
      <c r="V1189" t="s">
        <v>717</v>
      </c>
      <c r="W1189">
        <v>44781</v>
      </c>
      <c r="X1189" t="s">
        <v>6656</v>
      </c>
      <c r="Y1189" t="s">
        <v>6642</v>
      </c>
      <c r="Z1189" t="s">
        <v>17</v>
      </c>
      <c r="AA1189" t="s">
        <v>717</v>
      </c>
      <c r="AB1189" t="s">
        <v>2509</v>
      </c>
      <c r="AC1189" t="s">
        <v>717</v>
      </c>
      <c r="AD1189" t="s">
        <v>717</v>
      </c>
      <c r="AE1189" t="s">
        <v>6643</v>
      </c>
      <c r="AF1189" t="s">
        <v>717</v>
      </c>
      <c r="AG1189" t="s">
        <v>717</v>
      </c>
      <c r="AH1189" t="s">
        <v>717</v>
      </c>
      <c r="AI1189" t="s">
        <v>6644</v>
      </c>
      <c r="AJ1189" t="s">
        <v>6645</v>
      </c>
      <c r="AK1189" t="s">
        <v>29</v>
      </c>
      <c r="AL1189" t="s">
        <v>717</v>
      </c>
      <c r="AM1189" t="s">
        <v>10</v>
      </c>
      <c r="AN1189" t="s">
        <v>717</v>
      </c>
    </row>
    <row r="1190" spans="1:40" hidden="1">
      <c r="A1190">
        <v>1188</v>
      </c>
      <c r="B1190">
        <v>132</v>
      </c>
      <c r="C1190" s="58">
        <v>44785</v>
      </c>
      <c r="D1190" t="s">
        <v>27</v>
      </c>
      <c r="E1190" t="s">
        <v>2506</v>
      </c>
      <c r="F1190">
        <v>8</v>
      </c>
      <c r="G1190">
        <v>23</v>
      </c>
      <c r="H1190">
        <v>383</v>
      </c>
      <c r="I1190">
        <v>2</v>
      </c>
      <c r="J1190">
        <v>55.8</v>
      </c>
      <c r="K1190" t="s">
        <v>25</v>
      </c>
      <c r="L1190">
        <v>4097250</v>
      </c>
      <c r="M1190">
        <v>0</v>
      </c>
      <c r="N1190">
        <v>4097250</v>
      </c>
      <c r="O1190">
        <v>73427.419354838727</v>
      </c>
      <c r="P1190">
        <v>0</v>
      </c>
      <c r="Q1190">
        <v>4097250</v>
      </c>
      <c r="R1190">
        <v>73427.419354838727</v>
      </c>
      <c r="S1190" t="s">
        <v>130</v>
      </c>
      <c r="T1190" t="s">
        <v>717</v>
      </c>
      <c r="U1190" t="s">
        <v>717</v>
      </c>
      <c r="V1190" t="s">
        <v>717</v>
      </c>
      <c r="W1190">
        <v>44781</v>
      </c>
      <c r="X1190" t="s">
        <v>6656</v>
      </c>
      <c r="Y1190" t="s">
        <v>6642</v>
      </c>
      <c r="Z1190" t="s">
        <v>17</v>
      </c>
      <c r="AA1190" t="s">
        <v>717</v>
      </c>
      <c r="AB1190" t="s">
        <v>2509</v>
      </c>
      <c r="AC1190" t="s">
        <v>717</v>
      </c>
      <c r="AD1190" t="s">
        <v>717</v>
      </c>
      <c r="AE1190" t="s">
        <v>6643</v>
      </c>
      <c r="AF1190" t="s">
        <v>717</v>
      </c>
      <c r="AG1190" t="s">
        <v>717</v>
      </c>
      <c r="AH1190" t="s">
        <v>717</v>
      </c>
      <c r="AI1190" t="s">
        <v>6644</v>
      </c>
      <c r="AJ1190" t="s">
        <v>6645</v>
      </c>
      <c r="AK1190" t="s">
        <v>29</v>
      </c>
      <c r="AL1190" t="s">
        <v>717</v>
      </c>
      <c r="AM1190" t="s">
        <v>10</v>
      </c>
      <c r="AN1190" t="s">
        <v>717</v>
      </c>
    </row>
    <row r="1191" spans="1:40" hidden="1">
      <c r="A1191">
        <v>1189</v>
      </c>
      <c r="B1191">
        <v>133</v>
      </c>
      <c r="C1191" s="58">
        <v>44785</v>
      </c>
      <c r="D1191" t="s">
        <v>27</v>
      </c>
      <c r="E1191" t="s">
        <v>2506</v>
      </c>
      <c r="F1191">
        <v>1</v>
      </c>
      <c r="G1191">
        <v>24</v>
      </c>
      <c r="H1191">
        <v>384</v>
      </c>
      <c r="I1191">
        <v>3</v>
      </c>
      <c r="J1191">
        <v>82.76</v>
      </c>
      <c r="K1191" t="s">
        <v>25</v>
      </c>
      <c r="L1191">
        <v>6017250</v>
      </c>
      <c r="M1191">
        <v>0</v>
      </c>
      <c r="N1191">
        <v>6017250</v>
      </c>
      <c r="O1191">
        <v>72707.225712904779</v>
      </c>
      <c r="P1191">
        <v>0</v>
      </c>
      <c r="Q1191">
        <v>6017250</v>
      </c>
      <c r="R1191">
        <v>72707.225712904779</v>
      </c>
      <c r="S1191" t="s">
        <v>130</v>
      </c>
      <c r="T1191" t="s">
        <v>717</v>
      </c>
      <c r="U1191" t="s">
        <v>717</v>
      </c>
      <c r="V1191" t="s">
        <v>717</v>
      </c>
      <c r="W1191">
        <v>44781</v>
      </c>
      <c r="X1191" t="s">
        <v>6656</v>
      </c>
      <c r="Y1191" t="s">
        <v>6642</v>
      </c>
      <c r="Z1191" t="s">
        <v>17</v>
      </c>
      <c r="AA1191" t="s">
        <v>717</v>
      </c>
      <c r="AB1191" t="s">
        <v>2509</v>
      </c>
      <c r="AC1191" t="s">
        <v>717</v>
      </c>
      <c r="AD1191" t="s">
        <v>717</v>
      </c>
      <c r="AE1191" t="s">
        <v>6643</v>
      </c>
      <c r="AF1191" t="s">
        <v>717</v>
      </c>
      <c r="AG1191" t="s">
        <v>717</v>
      </c>
      <c r="AH1191" t="s">
        <v>717</v>
      </c>
      <c r="AI1191" t="s">
        <v>6644</v>
      </c>
      <c r="AJ1191" t="s">
        <v>6645</v>
      </c>
      <c r="AK1191" t="s">
        <v>29</v>
      </c>
      <c r="AL1191" t="s">
        <v>717</v>
      </c>
      <c r="AM1191" t="s">
        <v>10</v>
      </c>
      <c r="AN1191" t="s">
        <v>717</v>
      </c>
    </row>
    <row r="1192" spans="1:40" hidden="1">
      <c r="A1192">
        <v>1190</v>
      </c>
      <c r="B1192">
        <v>134</v>
      </c>
      <c r="C1192" s="58">
        <v>44785</v>
      </c>
      <c r="D1192" t="s">
        <v>27</v>
      </c>
      <c r="E1192" t="s">
        <v>2506</v>
      </c>
      <c r="F1192">
        <v>2</v>
      </c>
      <c r="G1192">
        <v>24</v>
      </c>
      <c r="H1192">
        <v>385</v>
      </c>
      <c r="I1192">
        <v>1</v>
      </c>
      <c r="J1192">
        <v>37.159999999999997</v>
      </c>
      <c r="K1192" t="s">
        <v>25</v>
      </c>
      <c r="L1192">
        <v>2688000</v>
      </c>
      <c r="M1192">
        <v>0</v>
      </c>
      <c r="N1192">
        <v>2688000</v>
      </c>
      <c r="O1192">
        <v>72335.844994617873</v>
      </c>
      <c r="P1192">
        <v>0</v>
      </c>
      <c r="Q1192">
        <v>2688000</v>
      </c>
      <c r="R1192">
        <v>72335.844994617873</v>
      </c>
      <c r="S1192" t="s">
        <v>130</v>
      </c>
      <c r="T1192" t="s">
        <v>717</v>
      </c>
      <c r="U1192" t="s">
        <v>717</v>
      </c>
      <c r="V1192" t="s">
        <v>717</v>
      </c>
      <c r="W1192">
        <v>44781</v>
      </c>
      <c r="X1192" t="s">
        <v>6656</v>
      </c>
      <c r="Y1192" t="s">
        <v>6642</v>
      </c>
      <c r="Z1192" t="s">
        <v>17</v>
      </c>
      <c r="AA1192" t="s">
        <v>717</v>
      </c>
      <c r="AB1192" t="s">
        <v>2509</v>
      </c>
      <c r="AC1192" t="s">
        <v>717</v>
      </c>
      <c r="AD1192" t="s">
        <v>717</v>
      </c>
      <c r="AE1192" t="s">
        <v>6643</v>
      </c>
      <c r="AF1192" t="s">
        <v>717</v>
      </c>
      <c r="AG1192" t="s">
        <v>717</v>
      </c>
      <c r="AH1192" t="s">
        <v>717</v>
      </c>
      <c r="AI1192" t="s">
        <v>6644</v>
      </c>
      <c r="AJ1192" t="s">
        <v>6645</v>
      </c>
      <c r="AK1192" t="s">
        <v>29</v>
      </c>
      <c r="AL1192" t="s">
        <v>717</v>
      </c>
      <c r="AM1192" t="s">
        <v>10</v>
      </c>
      <c r="AN1192" t="s">
        <v>717</v>
      </c>
    </row>
    <row r="1193" spans="1:40" hidden="1">
      <c r="A1193">
        <v>1191</v>
      </c>
      <c r="B1193">
        <v>135</v>
      </c>
      <c r="C1193" s="58">
        <v>44785</v>
      </c>
      <c r="D1193" t="s">
        <v>27</v>
      </c>
      <c r="E1193" t="s">
        <v>2506</v>
      </c>
      <c r="F1193">
        <v>4</v>
      </c>
      <c r="G1193">
        <v>24</v>
      </c>
      <c r="H1193">
        <v>387</v>
      </c>
      <c r="I1193">
        <v>1</v>
      </c>
      <c r="J1193">
        <v>40</v>
      </c>
      <c r="K1193" t="s">
        <v>25</v>
      </c>
      <c r="L1193">
        <v>2901750</v>
      </c>
      <c r="M1193">
        <v>0</v>
      </c>
      <c r="N1193">
        <v>2901750</v>
      </c>
      <c r="O1193">
        <v>72543.75</v>
      </c>
      <c r="P1193">
        <v>0</v>
      </c>
      <c r="Q1193">
        <v>2901750</v>
      </c>
      <c r="R1193">
        <v>72543.75</v>
      </c>
      <c r="S1193" t="s">
        <v>130</v>
      </c>
      <c r="T1193" t="s">
        <v>717</v>
      </c>
      <c r="U1193" t="s">
        <v>717</v>
      </c>
      <c r="V1193" t="s">
        <v>717</v>
      </c>
      <c r="W1193">
        <v>44781</v>
      </c>
      <c r="X1193" t="s">
        <v>6656</v>
      </c>
      <c r="Y1193" t="s">
        <v>6642</v>
      </c>
      <c r="Z1193" t="s">
        <v>17</v>
      </c>
      <c r="AA1193" t="s">
        <v>717</v>
      </c>
      <c r="AB1193" t="s">
        <v>2509</v>
      </c>
      <c r="AC1193" t="s">
        <v>717</v>
      </c>
      <c r="AD1193" t="s">
        <v>717</v>
      </c>
      <c r="AE1193" t="s">
        <v>6643</v>
      </c>
      <c r="AF1193" t="s">
        <v>717</v>
      </c>
      <c r="AG1193" t="s">
        <v>717</v>
      </c>
      <c r="AH1193" t="s">
        <v>717</v>
      </c>
      <c r="AI1193" t="s">
        <v>6644</v>
      </c>
      <c r="AJ1193" t="s">
        <v>6645</v>
      </c>
      <c r="AK1193" t="s">
        <v>29</v>
      </c>
      <c r="AL1193" t="s">
        <v>717</v>
      </c>
      <c r="AM1193" t="s">
        <v>10</v>
      </c>
      <c r="AN1193" t="s">
        <v>717</v>
      </c>
    </row>
    <row r="1194" spans="1:40" hidden="1">
      <c r="A1194">
        <v>1192</v>
      </c>
      <c r="B1194">
        <v>136</v>
      </c>
      <c r="C1194" s="58">
        <v>44785</v>
      </c>
      <c r="D1194" t="s">
        <v>27</v>
      </c>
      <c r="E1194" t="s">
        <v>2506</v>
      </c>
      <c r="F1194">
        <v>6</v>
      </c>
      <c r="G1194">
        <v>24</v>
      </c>
      <c r="H1194">
        <v>389</v>
      </c>
      <c r="I1194">
        <v>1</v>
      </c>
      <c r="J1194">
        <v>37.11</v>
      </c>
      <c r="K1194" t="s">
        <v>25</v>
      </c>
      <c r="L1194">
        <v>2684250</v>
      </c>
      <c r="M1194">
        <v>0</v>
      </c>
      <c r="N1194">
        <v>2684250</v>
      </c>
      <c r="O1194">
        <v>72332.255456750208</v>
      </c>
      <c r="P1194">
        <v>0</v>
      </c>
      <c r="Q1194">
        <v>2684250</v>
      </c>
      <c r="R1194">
        <v>72332.255456750208</v>
      </c>
      <c r="S1194" t="s">
        <v>130</v>
      </c>
      <c r="T1194" t="s">
        <v>717</v>
      </c>
      <c r="U1194" t="s">
        <v>717</v>
      </c>
      <c r="V1194" t="s">
        <v>717</v>
      </c>
      <c r="W1194">
        <v>44781</v>
      </c>
      <c r="X1194" t="s">
        <v>6656</v>
      </c>
      <c r="Y1194" t="s">
        <v>6642</v>
      </c>
      <c r="Z1194" t="s">
        <v>17</v>
      </c>
      <c r="AA1194" t="s">
        <v>717</v>
      </c>
      <c r="AB1194" t="s">
        <v>2509</v>
      </c>
      <c r="AC1194" t="s">
        <v>717</v>
      </c>
      <c r="AD1194" t="s">
        <v>717</v>
      </c>
      <c r="AE1194" t="s">
        <v>6643</v>
      </c>
      <c r="AF1194" t="s">
        <v>717</v>
      </c>
      <c r="AG1194" t="s">
        <v>717</v>
      </c>
      <c r="AH1194" t="s">
        <v>717</v>
      </c>
      <c r="AI1194" t="s">
        <v>6644</v>
      </c>
      <c r="AJ1194" t="s">
        <v>6645</v>
      </c>
      <c r="AK1194" t="s">
        <v>29</v>
      </c>
      <c r="AL1194" t="s">
        <v>717</v>
      </c>
      <c r="AM1194" t="s">
        <v>10</v>
      </c>
      <c r="AN1194" t="s">
        <v>717</v>
      </c>
    </row>
    <row r="1195" spans="1:40" hidden="1">
      <c r="A1195">
        <v>1193</v>
      </c>
      <c r="B1195">
        <v>137</v>
      </c>
      <c r="C1195" s="58">
        <v>44785</v>
      </c>
      <c r="D1195" t="s">
        <v>27</v>
      </c>
      <c r="E1195" t="s">
        <v>2506</v>
      </c>
      <c r="F1195">
        <v>7</v>
      </c>
      <c r="G1195">
        <v>24</v>
      </c>
      <c r="H1195">
        <v>390</v>
      </c>
      <c r="I1195">
        <v>2</v>
      </c>
      <c r="J1195">
        <v>59.93</v>
      </c>
      <c r="K1195" t="s">
        <v>25</v>
      </c>
      <c r="L1195">
        <v>4305750</v>
      </c>
      <c r="M1195">
        <v>0</v>
      </c>
      <c r="N1195">
        <v>4305750</v>
      </c>
      <c r="O1195">
        <v>71846.320707492079</v>
      </c>
      <c r="P1195">
        <v>0</v>
      </c>
      <c r="Q1195">
        <v>4305750</v>
      </c>
      <c r="R1195">
        <v>71846.320707492079</v>
      </c>
      <c r="S1195" t="s">
        <v>130</v>
      </c>
      <c r="T1195" t="s">
        <v>717</v>
      </c>
      <c r="U1195" t="s">
        <v>717</v>
      </c>
      <c r="V1195" t="s">
        <v>717</v>
      </c>
      <c r="W1195">
        <v>44781</v>
      </c>
      <c r="X1195" t="s">
        <v>6656</v>
      </c>
      <c r="Y1195" t="s">
        <v>6642</v>
      </c>
      <c r="Z1195" t="s">
        <v>17</v>
      </c>
      <c r="AA1195" t="s">
        <v>717</v>
      </c>
      <c r="AB1195" t="s">
        <v>2509</v>
      </c>
      <c r="AC1195" t="s">
        <v>717</v>
      </c>
      <c r="AD1195" t="s">
        <v>717</v>
      </c>
      <c r="AE1195" t="s">
        <v>6643</v>
      </c>
      <c r="AF1195" t="s">
        <v>717</v>
      </c>
      <c r="AG1195" t="s">
        <v>717</v>
      </c>
      <c r="AH1195" t="s">
        <v>717</v>
      </c>
      <c r="AI1195" t="s">
        <v>6644</v>
      </c>
      <c r="AJ1195" t="s">
        <v>6645</v>
      </c>
      <c r="AK1195" t="s">
        <v>29</v>
      </c>
      <c r="AL1195" t="s">
        <v>717</v>
      </c>
      <c r="AM1195" t="s">
        <v>10</v>
      </c>
      <c r="AN1195" t="s">
        <v>717</v>
      </c>
    </row>
    <row r="1196" spans="1:40" hidden="1">
      <c r="A1196">
        <v>1194</v>
      </c>
      <c r="B1196">
        <v>138</v>
      </c>
      <c r="C1196" s="58">
        <v>44785</v>
      </c>
      <c r="D1196" t="s">
        <v>27</v>
      </c>
      <c r="E1196" t="s">
        <v>2506</v>
      </c>
      <c r="F1196">
        <v>8</v>
      </c>
      <c r="G1196">
        <v>24</v>
      </c>
      <c r="H1196">
        <v>391</v>
      </c>
      <c r="I1196">
        <v>2</v>
      </c>
      <c r="J1196">
        <v>55.8</v>
      </c>
      <c r="K1196" t="s">
        <v>25</v>
      </c>
      <c r="L1196">
        <v>4097250</v>
      </c>
      <c r="M1196">
        <v>0</v>
      </c>
      <c r="N1196">
        <v>4097250</v>
      </c>
      <c r="O1196">
        <v>73427.419354838727</v>
      </c>
      <c r="P1196">
        <v>0</v>
      </c>
      <c r="Q1196">
        <v>4097250</v>
      </c>
      <c r="R1196">
        <v>73427.419354838727</v>
      </c>
      <c r="S1196" t="s">
        <v>130</v>
      </c>
      <c r="T1196" t="s">
        <v>717</v>
      </c>
      <c r="U1196" t="s">
        <v>717</v>
      </c>
      <c r="V1196" t="s">
        <v>717</v>
      </c>
      <c r="W1196">
        <v>44781</v>
      </c>
      <c r="X1196" t="s">
        <v>6656</v>
      </c>
      <c r="Y1196" t="s">
        <v>6642</v>
      </c>
      <c r="Z1196" t="s">
        <v>17</v>
      </c>
      <c r="AA1196" t="s">
        <v>717</v>
      </c>
      <c r="AB1196" t="s">
        <v>2509</v>
      </c>
      <c r="AC1196" t="s">
        <v>717</v>
      </c>
      <c r="AD1196" t="s">
        <v>717</v>
      </c>
      <c r="AE1196" t="s">
        <v>6643</v>
      </c>
      <c r="AF1196" t="s">
        <v>717</v>
      </c>
      <c r="AG1196" t="s">
        <v>717</v>
      </c>
      <c r="AH1196" t="s">
        <v>717</v>
      </c>
      <c r="AI1196" t="s">
        <v>6644</v>
      </c>
      <c r="AJ1196" t="s">
        <v>6645</v>
      </c>
      <c r="AK1196" t="s">
        <v>29</v>
      </c>
      <c r="AL1196" t="s">
        <v>717</v>
      </c>
      <c r="AM1196" t="s">
        <v>10</v>
      </c>
      <c r="AN1196" t="s">
        <v>717</v>
      </c>
    </row>
    <row r="1197" spans="1:40" hidden="1">
      <c r="A1197">
        <v>1195</v>
      </c>
      <c r="B1197">
        <v>139</v>
      </c>
      <c r="C1197" s="58">
        <v>44785</v>
      </c>
      <c r="D1197" t="s">
        <v>27</v>
      </c>
      <c r="E1197" t="s">
        <v>2581</v>
      </c>
      <c r="F1197">
        <v>1</v>
      </c>
      <c r="G1197">
        <v>2</v>
      </c>
      <c r="H1197">
        <v>392</v>
      </c>
      <c r="I1197">
        <v>3</v>
      </c>
      <c r="J1197">
        <v>82.76</v>
      </c>
      <c r="K1197" t="s">
        <v>25</v>
      </c>
      <c r="L1197">
        <v>6017250</v>
      </c>
      <c r="M1197">
        <v>0</v>
      </c>
      <c r="N1197">
        <v>6017250</v>
      </c>
      <c r="O1197">
        <v>72707.225712904779</v>
      </c>
      <c r="P1197">
        <v>0</v>
      </c>
      <c r="Q1197">
        <v>6017250</v>
      </c>
      <c r="R1197">
        <v>72707.225712904779</v>
      </c>
      <c r="S1197" t="s">
        <v>130</v>
      </c>
      <c r="T1197" t="s">
        <v>717</v>
      </c>
      <c r="U1197" t="s">
        <v>717</v>
      </c>
      <c r="V1197" t="s">
        <v>717</v>
      </c>
      <c r="W1197">
        <v>44781</v>
      </c>
      <c r="X1197" t="s">
        <v>6657</v>
      </c>
      <c r="Y1197" t="s">
        <v>6642</v>
      </c>
      <c r="Z1197" t="s">
        <v>17</v>
      </c>
      <c r="AA1197" t="s">
        <v>717</v>
      </c>
      <c r="AB1197" t="s">
        <v>2509</v>
      </c>
      <c r="AC1197" t="s">
        <v>717</v>
      </c>
      <c r="AD1197" t="s">
        <v>717</v>
      </c>
      <c r="AE1197" t="s">
        <v>6643</v>
      </c>
      <c r="AF1197" t="s">
        <v>717</v>
      </c>
      <c r="AG1197" t="s">
        <v>717</v>
      </c>
      <c r="AH1197" t="s">
        <v>717</v>
      </c>
      <c r="AI1197" t="s">
        <v>6644</v>
      </c>
      <c r="AJ1197" t="s">
        <v>6645</v>
      </c>
      <c r="AK1197" t="s">
        <v>29</v>
      </c>
      <c r="AL1197" t="s">
        <v>717</v>
      </c>
      <c r="AM1197" t="s">
        <v>10</v>
      </c>
      <c r="AN1197" t="s">
        <v>717</v>
      </c>
    </row>
    <row r="1198" spans="1:40" hidden="1">
      <c r="A1198">
        <v>1196</v>
      </c>
      <c r="B1198">
        <v>140</v>
      </c>
      <c r="C1198" s="58">
        <v>44785</v>
      </c>
      <c r="D1198" t="s">
        <v>27</v>
      </c>
      <c r="E1198" t="s">
        <v>2581</v>
      </c>
      <c r="F1198">
        <v>2</v>
      </c>
      <c r="G1198">
        <v>2</v>
      </c>
      <c r="H1198">
        <v>393</v>
      </c>
      <c r="I1198">
        <v>1</v>
      </c>
      <c r="J1198">
        <v>37.159999999999997</v>
      </c>
      <c r="K1198" t="s">
        <v>25</v>
      </c>
      <c r="L1198">
        <v>2688000</v>
      </c>
      <c r="M1198">
        <v>0</v>
      </c>
      <c r="N1198">
        <v>2688000</v>
      </c>
      <c r="O1198">
        <v>72335.844994617873</v>
      </c>
      <c r="P1198">
        <v>0</v>
      </c>
      <c r="Q1198">
        <v>2688000</v>
      </c>
      <c r="R1198">
        <v>72335.844994617873</v>
      </c>
      <c r="S1198" t="s">
        <v>130</v>
      </c>
      <c r="T1198" t="s">
        <v>717</v>
      </c>
      <c r="U1198" t="s">
        <v>717</v>
      </c>
      <c r="V1198" t="s">
        <v>717</v>
      </c>
      <c r="W1198">
        <v>44781</v>
      </c>
      <c r="X1198" t="s">
        <v>6657</v>
      </c>
      <c r="Y1198" t="s">
        <v>6642</v>
      </c>
      <c r="Z1198" t="s">
        <v>17</v>
      </c>
      <c r="AA1198" t="s">
        <v>717</v>
      </c>
      <c r="AB1198" t="s">
        <v>2509</v>
      </c>
      <c r="AC1198" t="s">
        <v>717</v>
      </c>
      <c r="AD1198" t="s">
        <v>717</v>
      </c>
      <c r="AE1198" t="s">
        <v>6643</v>
      </c>
      <c r="AF1198" t="s">
        <v>717</v>
      </c>
      <c r="AG1198" t="s">
        <v>717</v>
      </c>
      <c r="AH1198" t="s">
        <v>717</v>
      </c>
      <c r="AI1198" t="s">
        <v>6644</v>
      </c>
      <c r="AJ1198" t="s">
        <v>6645</v>
      </c>
      <c r="AK1198" t="s">
        <v>29</v>
      </c>
      <c r="AL1198" t="s">
        <v>717</v>
      </c>
      <c r="AM1198" t="s">
        <v>10</v>
      </c>
      <c r="AN1198" t="s">
        <v>717</v>
      </c>
    </row>
    <row r="1199" spans="1:40" hidden="1">
      <c r="A1199">
        <v>1197</v>
      </c>
      <c r="B1199">
        <v>141</v>
      </c>
      <c r="C1199" s="58">
        <v>44785</v>
      </c>
      <c r="D1199" t="s">
        <v>27</v>
      </c>
      <c r="E1199" t="s">
        <v>2581</v>
      </c>
      <c r="F1199">
        <v>7</v>
      </c>
      <c r="G1199">
        <v>2</v>
      </c>
      <c r="H1199">
        <v>398</v>
      </c>
      <c r="I1199">
        <v>2</v>
      </c>
      <c r="J1199">
        <v>59.93</v>
      </c>
      <c r="K1199" t="s">
        <v>25</v>
      </c>
      <c r="L1199">
        <v>4305750</v>
      </c>
      <c r="M1199">
        <v>0</v>
      </c>
      <c r="N1199">
        <v>4305750</v>
      </c>
      <c r="O1199">
        <v>71846.320707492079</v>
      </c>
      <c r="P1199">
        <v>0</v>
      </c>
      <c r="Q1199">
        <v>4305750</v>
      </c>
      <c r="R1199">
        <v>71846.320707492079</v>
      </c>
      <c r="S1199" t="s">
        <v>130</v>
      </c>
      <c r="T1199" t="s">
        <v>717</v>
      </c>
      <c r="U1199" t="s">
        <v>717</v>
      </c>
      <c r="V1199" t="s">
        <v>717</v>
      </c>
      <c r="W1199">
        <v>44781</v>
      </c>
      <c r="X1199" t="s">
        <v>6657</v>
      </c>
      <c r="Y1199" t="s">
        <v>6642</v>
      </c>
      <c r="Z1199" t="s">
        <v>17</v>
      </c>
      <c r="AA1199" t="s">
        <v>717</v>
      </c>
      <c r="AB1199" t="s">
        <v>2509</v>
      </c>
      <c r="AC1199" t="s">
        <v>717</v>
      </c>
      <c r="AD1199" t="s">
        <v>717</v>
      </c>
      <c r="AE1199" t="s">
        <v>6643</v>
      </c>
      <c r="AF1199" t="s">
        <v>717</v>
      </c>
      <c r="AG1199" t="s">
        <v>717</v>
      </c>
      <c r="AH1199" t="s">
        <v>717</v>
      </c>
      <c r="AI1199" t="s">
        <v>6644</v>
      </c>
      <c r="AJ1199" t="s">
        <v>6645</v>
      </c>
      <c r="AK1199" t="s">
        <v>29</v>
      </c>
      <c r="AL1199" t="s">
        <v>717</v>
      </c>
      <c r="AM1199" t="s">
        <v>10</v>
      </c>
      <c r="AN1199" t="s">
        <v>717</v>
      </c>
    </row>
    <row r="1200" spans="1:40" hidden="1">
      <c r="A1200">
        <v>1198</v>
      </c>
      <c r="B1200">
        <v>142</v>
      </c>
      <c r="C1200" s="58">
        <v>44785</v>
      </c>
      <c r="D1200" t="s">
        <v>27</v>
      </c>
      <c r="E1200" t="s">
        <v>2581</v>
      </c>
      <c r="F1200">
        <v>8</v>
      </c>
      <c r="G1200">
        <v>2</v>
      </c>
      <c r="H1200">
        <v>399</v>
      </c>
      <c r="I1200">
        <v>2</v>
      </c>
      <c r="J1200">
        <v>55.21</v>
      </c>
      <c r="K1200" t="s">
        <v>25</v>
      </c>
      <c r="L1200">
        <v>4014000</v>
      </c>
      <c r="M1200">
        <v>0</v>
      </c>
      <c r="N1200">
        <v>4014000</v>
      </c>
      <c r="O1200">
        <v>72704.220249954713</v>
      </c>
      <c r="P1200">
        <v>0</v>
      </c>
      <c r="Q1200">
        <v>4014000</v>
      </c>
      <c r="R1200">
        <v>72704.220249954713</v>
      </c>
      <c r="S1200" t="s">
        <v>130</v>
      </c>
      <c r="T1200" t="s">
        <v>717</v>
      </c>
      <c r="U1200" t="s">
        <v>717</v>
      </c>
      <c r="V1200" t="s">
        <v>717</v>
      </c>
      <c r="W1200">
        <v>44781</v>
      </c>
      <c r="X1200" t="s">
        <v>6657</v>
      </c>
      <c r="Y1200" t="s">
        <v>6642</v>
      </c>
      <c r="Z1200" t="s">
        <v>17</v>
      </c>
      <c r="AA1200" t="s">
        <v>717</v>
      </c>
      <c r="AB1200" t="s">
        <v>2509</v>
      </c>
      <c r="AC1200" t="s">
        <v>717</v>
      </c>
      <c r="AD1200" t="s">
        <v>717</v>
      </c>
      <c r="AE1200" t="s">
        <v>6643</v>
      </c>
      <c r="AF1200" t="s">
        <v>717</v>
      </c>
      <c r="AG1200" t="s">
        <v>717</v>
      </c>
      <c r="AH1200" t="s">
        <v>717</v>
      </c>
      <c r="AI1200" t="s">
        <v>6644</v>
      </c>
      <c r="AJ1200" t="s">
        <v>6645</v>
      </c>
      <c r="AK1200" t="s">
        <v>29</v>
      </c>
      <c r="AL1200" t="s">
        <v>717</v>
      </c>
      <c r="AM1200" t="s">
        <v>10</v>
      </c>
      <c r="AN1200" t="s">
        <v>717</v>
      </c>
    </row>
    <row r="1201" spans="1:40" hidden="1">
      <c r="A1201">
        <v>1199</v>
      </c>
      <c r="B1201">
        <v>143</v>
      </c>
      <c r="C1201" s="58">
        <v>44785</v>
      </c>
      <c r="D1201" t="s">
        <v>27</v>
      </c>
      <c r="E1201" t="s">
        <v>2581</v>
      </c>
      <c r="F1201">
        <v>1</v>
      </c>
      <c r="G1201">
        <v>3</v>
      </c>
      <c r="H1201">
        <v>400</v>
      </c>
      <c r="I1201">
        <v>3</v>
      </c>
      <c r="J1201">
        <v>82.76</v>
      </c>
      <c r="K1201" t="s">
        <v>25</v>
      </c>
      <c r="L1201">
        <v>6017250</v>
      </c>
      <c r="M1201">
        <v>0</v>
      </c>
      <c r="N1201">
        <v>6017250</v>
      </c>
      <c r="O1201">
        <v>72707.225712904779</v>
      </c>
      <c r="P1201">
        <v>0</v>
      </c>
      <c r="Q1201">
        <v>6017250</v>
      </c>
      <c r="R1201">
        <v>72707.225712904779</v>
      </c>
      <c r="S1201" t="s">
        <v>130</v>
      </c>
      <c r="T1201" t="s">
        <v>717</v>
      </c>
      <c r="U1201" t="s">
        <v>717</v>
      </c>
      <c r="V1201" t="s">
        <v>717</v>
      </c>
      <c r="W1201">
        <v>44781</v>
      </c>
      <c r="X1201" t="s">
        <v>6657</v>
      </c>
      <c r="Y1201" t="s">
        <v>6642</v>
      </c>
      <c r="Z1201" t="s">
        <v>17</v>
      </c>
      <c r="AA1201" t="s">
        <v>717</v>
      </c>
      <c r="AB1201" t="s">
        <v>2509</v>
      </c>
      <c r="AC1201" t="s">
        <v>717</v>
      </c>
      <c r="AD1201" t="s">
        <v>717</v>
      </c>
      <c r="AE1201" t="s">
        <v>6643</v>
      </c>
      <c r="AF1201" t="s">
        <v>717</v>
      </c>
      <c r="AG1201" t="s">
        <v>717</v>
      </c>
      <c r="AH1201" t="s">
        <v>717</v>
      </c>
      <c r="AI1201" t="s">
        <v>6644</v>
      </c>
      <c r="AJ1201" t="s">
        <v>6645</v>
      </c>
      <c r="AK1201" t="s">
        <v>29</v>
      </c>
      <c r="AL1201" t="s">
        <v>717</v>
      </c>
      <c r="AM1201" t="s">
        <v>10</v>
      </c>
      <c r="AN1201" t="s">
        <v>717</v>
      </c>
    </row>
    <row r="1202" spans="1:40" hidden="1">
      <c r="A1202">
        <v>1200</v>
      </c>
      <c r="B1202">
        <v>144</v>
      </c>
      <c r="C1202" s="58">
        <v>44785</v>
      </c>
      <c r="D1202" t="s">
        <v>27</v>
      </c>
      <c r="E1202" t="s">
        <v>2581</v>
      </c>
      <c r="F1202">
        <v>4</v>
      </c>
      <c r="G1202">
        <v>3</v>
      </c>
      <c r="H1202">
        <v>403</v>
      </c>
      <c r="I1202">
        <v>1</v>
      </c>
      <c r="J1202">
        <v>40</v>
      </c>
      <c r="K1202" t="s">
        <v>25</v>
      </c>
      <c r="L1202">
        <v>2901750</v>
      </c>
      <c r="M1202">
        <v>0</v>
      </c>
      <c r="N1202">
        <v>2901750</v>
      </c>
      <c r="O1202">
        <v>72543.75</v>
      </c>
      <c r="P1202">
        <v>0</v>
      </c>
      <c r="Q1202">
        <v>2901750</v>
      </c>
      <c r="R1202">
        <v>72543.75</v>
      </c>
      <c r="S1202" t="s">
        <v>130</v>
      </c>
      <c r="T1202" t="s">
        <v>717</v>
      </c>
      <c r="U1202" t="s">
        <v>717</v>
      </c>
      <c r="V1202" t="s">
        <v>717</v>
      </c>
      <c r="W1202">
        <v>44781</v>
      </c>
      <c r="X1202" t="s">
        <v>6657</v>
      </c>
      <c r="Y1202" t="s">
        <v>6642</v>
      </c>
      <c r="Z1202" t="s">
        <v>17</v>
      </c>
      <c r="AA1202" t="s">
        <v>717</v>
      </c>
      <c r="AB1202" t="s">
        <v>2509</v>
      </c>
      <c r="AC1202" t="s">
        <v>717</v>
      </c>
      <c r="AD1202" t="s">
        <v>717</v>
      </c>
      <c r="AE1202" t="s">
        <v>6643</v>
      </c>
      <c r="AF1202" t="s">
        <v>717</v>
      </c>
      <c r="AG1202" t="s">
        <v>717</v>
      </c>
      <c r="AH1202" t="s">
        <v>717</v>
      </c>
      <c r="AI1202" t="s">
        <v>6644</v>
      </c>
      <c r="AJ1202" t="s">
        <v>6645</v>
      </c>
      <c r="AK1202" t="s">
        <v>29</v>
      </c>
      <c r="AL1202" t="s">
        <v>717</v>
      </c>
      <c r="AM1202" t="s">
        <v>10</v>
      </c>
      <c r="AN1202" t="s">
        <v>717</v>
      </c>
    </row>
    <row r="1203" spans="1:40" hidden="1">
      <c r="A1203">
        <v>1201</v>
      </c>
      <c r="B1203">
        <v>145</v>
      </c>
      <c r="C1203" s="58">
        <v>44785</v>
      </c>
      <c r="D1203" t="s">
        <v>27</v>
      </c>
      <c r="E1203" t="s">
        <v>2581</v>
      </c>
      <c r="F1203">
        <v>7</v>
      </c>
      <c r="G1203">
        <v>3</v>
      </c>
      <c r="H1203">
        <v>406</v>
      </c>
      <c r="I1203">
        <v>2</v>
      </c>
      <c r="J1203">
        <v>59.93</v>
      </c>
      <c r="K1203" t="s">
        <v>25</v>
      </c>
      <c r="L1203">
        <v>4305750</v>
      </c>
      <c r="M1203">
        <v>0</v>
      </c>
      <c r="N1203">
        <v>4305750</v>
      </c>
      <c r="O1203">
        <v>71846.320707492079</v>
      </c>
      <c r="P1203">
        <v>0</v>
      </c>
      <c r="Q1203">
        <v>4305750</v>
      </c>
      <c r="R1203">
        <v>71846.320707492079</v>
      </c>
      <c r="S1203" t="s">
        <v>130</v>
      </c>
      <c r="T1203" t="s">
        <v>717</v>
      </c>
      <c r="U1203" t="s">
        <v>717</v>
      </c>
      <c r="V1203" t="s">
        <v>717</v>
      </c>
      <c r="W1203">
        <v>44781</v>
      </c>
      <c r="X1203" t="s">
        <v>6657</v>
      </c>
      <c r="Y1203" t="s">
        <v>6642</v>
      </c>
      <c r="Z1203" t="s">
        <v>17</v>
      </c>
      <c r="AA1203" t="s">
        <v>717</v>
      </c>
      <c r="AB1203" t="s">
        <v>2509</v>
      </c>
      <c r="AC1203" t="s">
        <v>717</v>
      </c>
      <c r="AD1203" t="s">
        <v>717</v>
      </c>
      <c r="AE1203" t="s">
        <v>6643</v>
      </c>
      <c r="AF1203" t="s">
        <v>717</v>
      </c>
      <c r="AG1203" t="s">
        <v>717</v>
      </c>
      <c r="AH1203" t="s">
        <v>717</v>
      </c>
      <c r="AI1203" t="s">
        <v>6644</v>
      </c>
      <c r="AJ1203" t="s">
        <v>6645</v>
      </c>
      <c r="AK1203" t="s">
        <v>29</v>
      </c>
      <c r="AL1203" t="s">
        <v>717</v>
      </c>
      <c r="AM1203" t="s">
        <v>10</v>
      </c>
      <c r="AN1203" t="s">
        <v>717</v>
      </c>
    </row>
    <row r="1204" spans="1:40" hidden="1">
      <c r="A1204">
        <v>1202</v>
      </c>
      <c r="B1204">
        <v>146</v>
      </c>
      <c r="C1204" s="58">
        <v>44785</v>
      </c>
      <c r="D1204" t="s">
        <v>27</v>
      </c>
      <c r="E1204" t="s">
        <v>2581</v>
      </c>
      <c r="F1204">
        <v>8</v>
      </c>
      <c r="G1204">
        <v>3</v>
      </c>
      <c r="H1204">
        <v>407</v>
      </c>
      <c r="I1204">
        <v>2</v>
      </c>
      <c r="J1204">
        <v>55.8</v>
      </c>
      <c r="K1204" t="s">
        <v>25</v>
      </c>
      <c r="L1204">
        <v>4097250</v>
      </c>
      <c r="M1204">
        <v>0</v>
      </c>
      <c r="N1204">
        <v>4097250</v>
      </c>
      <c r="O1204">
        <v>73427.419354838727</v>
      </c>
      <c r="P1204">
        <v>0</v>
      </c>
      <c r="Q1204">
        <v>4097250</v>
      </c>
      <c r="R1204">
        <v>73427.419354838727</v>
      </c>
      <c r="S1204" t="s">
        <v>130</v>
      </c>
      <c r="T1204" t="s">
        <v>717</v>
      </c>
      <c r="U1204" t="s">
        <v>717</v>
      </c>
      <c r="V1204" t="s">
        <v>717</v>
      </c>
      <c r="W1204">
        <v>44781</v>
      </c>
      <c r="X1204" t="s">
        <v>6657</v>
      </c>
      <c r="Y1204" t="s">
        <v>6642</v>
      </c>
      <c r="Z1204" t="s">
        <v>17</v>
      </c>
      <c r="AA1204" t="s">
        <v>717</v>
      </c>
      <c r="AB1204" t="s">
        <v>2509</v>
      </c>
      <c r="AC1204" t="s">
        <v>717</v>
      </c>
      <c r="AD1204" t="s">
        <v>717</v>
      </c>
      <c r="AE1204" t="s">
        <v>6643</v>
      </c>
      <c r="AF1204" t="s">
        <v>717</v>
      </c>
      <c r="AG1204" t="s">
        <v>717</v>
      </c>
      <c r="AH1204" t="s">
        <v>717</v>
      </c>
      <c r="AI1204" t="s">
        <v>6644</v>
      </c>
      <c r="AJ1204" t="s">
        <v>6645</v>
      </c>
      <c r="AK1204" t="s">
        <v>29</v>
      </c>
      <c r="AL1204" t="s">
        <v>717</v>
      </c>
      <c r="AM1204" t="s">
        <v>10</v>
      </c>
      <c r="AN1204" t="s">
        <v>717</v>
      </c>
    </row>
    <row r="1205" spans="1:40" hidden="1">
      <c r="A1205">
        <v>1203</v>
      </c>
      <c r="B1205">
        <v>147</v>
      </c>
      <c r="C1205" s="58">
        <v>44785</v>
      </c>
      <c r="D1205" t="s">
        <v>27</v>
      </c>
      <c r="E1205" t="s">
        <v>2581</v>
      </c>
      <c r="F1205">
        <v>1</v>
      </c>
      <c r="G1205">
        <v>4</v>
      </c>
      <c r="H1205">
        <v>408</v>
      </c>
      <c r="I1205">
        <v>3</v>
      </c>
      <c r="J1205">
        <v>82.76</v>
      </c>
      <c r="K1205" t="s">
        <v>25</v>
      </c>
      <c r="L1205">
        <v>6017250</v>
      </c>
      <c r="M1205">
        <v>0</v>
      </c>
      <c r="N1205">
        <v>6017250</v>
      </c>
      <c r="O1205">
        <v>72707.225712904779</v>
      </c>
      <c r="P1205">
        <v>0</v>
      </c>
      <c r="Q1205">
        <v>6017250</v>
      </c>
      <c r="R1205">
        <v>72707.225712904779</v>
      </c>
      <c r="S1205" t="s">
        <v>130</v>
      </c>
      <c r="T1205" t="s">
        <v>717</v>
      </c>
      <c r="U1205" t="s">
        <v>717</v>
      </c>
      <c r="V1205" t="s">
        <v>717</v>
      </c>
      <c r="W1205">
        <v>44781</v>
      </c>
      <c r="X1205" t="s">
        <v>6657</v>
      </c>
      <c r="Y1205" t="s">
        <v>6642</v>
      </c>
      <c r="Z1205" t="s">
        <v>17</v>
      </c>
      <c r="AA1205" t="s">
        <v>717</v>
      </c>
      <c r="AB1205" t="s">
        <v>2509</v>
      </c>
      <c r="AC1205" t="s">
        <v>717</v>
      </c>
      <c r="AD1205" t="s">
        <v>717</v>
      </c>
      <c r="AE1205" t="s">
        <v>6643</v>
      </c>
      <c r="AF1205" t="s">
        <v>717</v>
      </c>
      <c r="AG1205" t="s">
        <v>717</v>
      </c>
      <c r="AH1205" t="s">
        <v>717</v>
      </c>
      <c r="AI1205" t="s">
        <v>6644</v>
      </c>
      <c r="AJ1205" t="s">
        <v>6645</v>
      </c>
      <c r="AK1205" t="s">
        <v>29</v>
      </c>
      <c r="AL1205" t="s">
        <v>717</v>
      </c>
      <c r="AM1205" t="s">
        <v>10</v>
      </c>
      <c r="AN1205" t="s">
        <v>717</v>
      </c>
    </row>
    <row r="1206" spans="1:40" hidden="1">
      <c r="A1206">
        <v>1204</v>
      </c>
      <c r="B1206">
        <v>148</v>
      </c>
      <c r="C1206" s="58">
        <v>44785</v>
      </c>
      <c r="D1206" t="s">
        <v>27</v>
      </c>
      <c r="E1206" t="s">
        <v>2581</v>
      </c>
      <c r="F1206">
        <v>4</v>
      </c>
      <c r="G1206">
        <v>4</v>
      </c>
      <c r="H1206">
        <v>411</v>
      </c>
      <c r="I1206">
        <v>1</v>
      </c>
      <c r="J1206">
        <v>40</v>
      </c>
      <c r="K1206" t="s">
        <v>25</v>
      </c>
      <c r="L1206">
        <v>2901750</v>
      </c>
      <c r="M1206">
        <v>0</v>
      </c>
      <c r="N1206">
        <v>2901750</v>
      </c>
      <c r="O1206">
        <v>72543.75</v>
      </c>
      <c r="P1206">
        <v>0</v>
      </c>
      <c r="Q1206">
        <v>2901750</v>
      </c>
      <c r="R1206">
        <v>72543.75</v>
      </c>
      <c r="S1206" t="s">
        <v>130</v>
      </c>
      <c r="T1206" t="s">
        <v>717</v>
      </c>
      <c r="U1206" t="s">
        <v>717</v>
      </c>
      <c r="V1206" t="s">
        <v>717</v>
      </c>
      <c r="W1206">
        <v>44781</v>
      </c>
      <c r="X1206" t="s">
        <v>6657</v>
      </c>
      <c r="Y1206" t="s">
        <v>6642</v>
      </c>
      <c r="Z1206" t="s">
        <v>17</v>
      </c>
      <c r="AA1206" t="s">
        <v>717</v>
      </c>
      <c r="AB1206" t="s">
        <v>2509</v>
      </c>
      <c r="AC1206" t="s">
        <v>717</v>
      </c>
      <c r="AD1206" t="s">
        <v>717</v>
      </c>
      <c r="AE1206" t="s">
        <v>6643</v>
      </c>
      <c r="AF1206" t="s">
        <v>717</v>
      </c>
      <c r="AG1206" t="s">
        <v>717</v>
      </c>
      <c r="AH1206" t="s">
        <v>717</v>
      </c>
      <c r="AI1206" t="s">
        <v>6644</v>
      </c>
      <c r="AJ1206" t="s">
        <v>6645</v>
      </c>
      <c r="AK1206" t="s">
        <v>29</v>
      </c>
      <c r="AL1206" t="s">
        <v>717</v>
      </c>
      <c r="AM1206" t="s">
        <v>10</v>
      </c>
      <c r="AN1206" t="s">
        <v>717</v>
      </c>
    </row>
    <row r="1207" spans="1:40" hidden="1">
      <c r="A1207">
        <v>1205</v>
      </c>
      <c r="B1207">
        <v>149</v>
      </c>
      <c r="C1207" s="58">
        <v>44785</v>
      </c>
      <c r="D1207" t="s">
        <v>27</v>
      </c>
      <c r="E1207" t="s">
        <v>2581</v>
      </c>
      <c r="F1207">
        <v>6</v>
      </c>
      <c r="G1207">
        <v>4</v>
      </c>
      <c r="H1207">
        <v>413</v>
      </c>
      <c r="I1207">
        <v>1</v>
      </c>
      <c r="J1207">
        <v>37.11</v>
      </c>
      <c r="K1207" t="s">
        <v>25</v>
      </c>
      <c r="L1207">
        <v>2684250</v>
      </c>
      <c r="M1207">
        <v>0</v>
      </c>
      <c r="N1207">
        <v>2684250</v>
      </c>
      <c r="O1207">
        <v>72332.255456750208</v>
      </c>
      <c r="P1207">
        <v>0</v>
      </c>
      <c r="Q1207">
        <v>2684250</v>
      </c>
      <c r="R1207">
        <v>72332.255456750208</v>
      </c>
      <c r="S1207" t="s">
        <v>130</v>
      </c>
      <c r="T1207" t="s">
        <v>717</v>
      </c>
      <c r="U1207" t="s">
        <v>717</v>
      </c>
      <c r="V1207" t="s">
        <v>717</v>
      </c>
      <c r="W1207">
        <v>44781</v>
      </c>
      <c r="X1207" t="s">
        <v>6657</v>
      </c>
      <c r="Y1207" t="s">
        <v>6642</v>
      </c>
      <c r="Z1207" t="s">
        <v>17</v>
      </c>
      <c r="AA1207" t="s">
        <v>717</v>
      </c>
      <c r="AB1207" t="s">
        <v>2509</v>
      </c>
      <c r="AC1207" t="s">
        <v>717</v>
      </c>
      <c r="AD1207" t="s">
        <v>717</v>
      </c>
      <c r="AE1207" t="s">
        <v>6643</v>
      </c>
      <c r="AF1207" t="s">
        <v>717</v>
      </c>
      <c r="AG1207" t="s">
        <v>717</v>
      </c>
      <c r="AH1207" t="s">
        <v>717</v>
      </c>
      <c r="AI1207" t="s">
        <v>6644</v>
      </c>
      <c r="AJ1207" t="s">
        <v>6645</v>
      </c>
      <c r="AK1207" t="s">
        <v>29</v>
      </c>
      <c r="AL1207" t="s">
        <v>717</v>
      </c>
      <c r="AM1207" t="s">
        <v>10</v>
      </c>
      <c r="AN1207" t="s">
        <v>717</v>
      </c>
    </row>
    <row r="1208" spans="1:40" hidden="1">
      <c r="A1208">
        <v>1206</v>
      </c>
      <c r="B1208">
        <v>150</v>
      </c>
      <c r="C1208" s="58">
        <v>44785</v>
      </c>
      <c r="D1208" t="s">
        <v>27</v>
      </c>
      <c r="E1208" t="s">
        <v>2581</v>
      </c>
      <c r="F1208">
        <v>7</v>
      </c>
      <c r="G1208">
        <v>4</v>
      </c>
      <c r="H1208">
        <v>414</v>
      </c>
      <c r="I1208">
        <v>2</v>
      </c>
      <c r="J1208">
        <v>59.93</v>
      </c>
      <c r="K1208" t="s">
        <v>25</v>
      </c>
      <c r="L1208">
        <v>4305750</v>
      </c>
      <c r="M1208">
        <v>0</v>
      </c>
      <c r="N1208">
        <v>4305750</v>
      </c>
      <c r="O1208">
        <v>71846.320707492079</v>
      </c>
      <c r="P1208">
        <v>0</v>
      </c>
      <c r="Q1208">
        <v>4305750</v>
      </c>
      <c r="R1208">
        <v>71846.320707492079</v>
      </c>
      <c r="S1208" t="s">
        <v>130</v>
      </c>
      <c r="T1208" t="s">
        <v>717</v>
      </c>
      <c r="U1208" t="s">
        <v>717</v>
      </c>
      <c r="V1208" t="s">
        <v>717</v>
      </c>
      <c r="W1208">
        <v>44781</v>
      </c>
      <c r="X1208" t="s">
        <v>6658</v>
      </c>
      <c r="Y1208" t="s">
        <v>6642</v>
      </c>
      <c r="Z1208" t="s">
        <v>17</v>
      </c>
      <c r="AA1208" t="s">
        <v>717</v>
      </c>
      <c r="AB1208" t="s">
        <v>2509</v>
      </c>
      <c r="AC1208" t="s">
        <v>717</v>
      </c>
      <c r="AD1208" t="s">
        <v>717</v>
      </c>
      <c r="AE1208" t="s">
        <v>6643</v>
      </c>
      <c r="AF1208" t="s">
        <v>717</v>
      </c>
      <c r="AG1208" t="s">
        <v>717</v>
      </c>
      <c r="AH1208" t="s">
        <v>717</v>
      </c>
      <c r="AI1208" t="s">
        <v>6644</v>
      </c>
      <c r="AJ1208" t="s">
        <v>6645</v>
      </c>
      <c r="AK1208" t="s">
        <v>29</v>
      </c>
      <c r="AL1208" t="s">
        <v>717</v>
      </c>
      <c r="AM1208" t="s">
        <v>10</v>
      </c>
      <c r="AN1208" t="s">
        <v>717</v>
      </c>
    </row>
    <row r="1209" spans="1:40" hidden="1">
      <c r="A1209">
        <v>1207</v>
      </c>
      <c r="B1209">
        <v>151</v>
      </c>
      <c r="C1209" s="58">
        <v>44785</v>
      </c>
      <c r="D1209" t="s">
        <v>27</v>
      </c>
      <c r="E1209" t="s">
        <v>2581</v>
      </c>
      <c r="F1209">
        <v>1</v>
      </c>
      <c r="G1209">
        <v>5</v>
      </c>
      <c r="H1209">
        <v>416</v>
      </c>
      <c r="I1209">
        <v>3</v>
      </c>
      <c r="J1209">
        <v>82.76</v>
      </c>
      <c r="K1209" t="s">
        <v>25</v>
      </c>
      <c r="L1209">
        <v>6017250</v>
      </c>
      <c r="M1209">
        <v>0</v>
      </c>
      <c r="N1209">
        <v>6017250</v>
      </c>
      <c r="O1209">
        <v>72707.225712904779</v>
      </c>
      <c r="P1209">
        <v>0</v>
      </c>
      <c r="Q1209">
        <v>6017250</v>
      </c>
      <c r="R1209">
        <v>72707.225712904779</v>
      </c>
      <c r="S1209" t="s">
        <v>130</v>
      </c>
      <c r="T1209" t="s">
        <v>717</v>
      </c>
      <c r="U1209" t="s">
        <v>717</v>
      </c>
      <c r="V1209" t="s">
        <v>717</v>
      </c>
      <c r="W1209">
        <v>44781</v>
      </c>
      <c r="X1209" t="s">
        <v>6658</v>
      </c>
      <c r="Y1209" t="s">
        <v>6642</v>
      </c>
      <c r="Z1209" t="s">
        <v>17</v>
      </c>
      <c r="AA1209" t="s">
        <v>717</v>
      </c>
      <c r="AB1209" t="s">
        <v>2509</v>
      </c>
      <c r="AC1209" t="s">
        <v>717</v>
      </c>
      <c r="AD1209" t="s">
        <v>717</v>
      </c>
      <c r="AE1209" t="s">
        <v>6643</v>
      </c>
      <c r="AF1209" t="s">
        <v>717</v>
      </c>
      <c r="AG1209" t="s">
        <v>717</v>
      </c>
      <c r="AH1209" t="s">
        <v>717</v>
      </c>
      <c r="AI1209" t="s">
        <v>6644</v>
      </c>
      <c r="AJ1209" t="s">
        <v>6645</v>
      </c>
      <c r="AK1209" t="s">
        <v>29</v>
      </c>
      <c r="AL1209" t="s">
        <v>717</v>
      </c>
      <c r="AM1209" t="s">
        <v>10</v>
      </c>
      <c r="AN1209" t="s">
        <v>717</v>
      </c>
    </row>
    <row r="1210" spans="1:40" hidden="1">
      <c r="A1210">
        <v>1208</v>
      </c>
      <c r="B1210">
        <v>152</v>
      </c>
      <c r="C1210" s="58">
        <v>44785</v>
      </c>
      <c r="D1210" t="s">
        <v>27</v>
      </c>
      <c r="E1210" t="s">
        <v>2581</v>
      </c>
      <c r="F1210">
        <v>7</v>
      </c>
      <c r="G1210">
        <v>5</v>
      </c>
      <c r="H1210">
        <v>422</v>
      </c>
      <c r="I1210">
        <v>2</v>
      </c>
      <c r="J1210">
        <v>59.93</v>
      </c>
      <c r="K1210" t="s">
        <v>25</v>
      </c>
      <c r="L1210">
        <v>4305750</v>
      </c>
      <c r="M1210">
        <v>0</v>
      </c>
      <c r="N1210">
        <v>4305750</v>
      </c>
      <c r="O1210">
        <v>71846.320707492079</v>
      </c>
      <c r="P1210">
        <v>0</v>
      </c>
      <c r="Q1210">
        <v>4305750</v>
      </c>
      <c r="R1210">
        <v>71846.320707492079</v>
      </c>
      <c r="S1210" t="s">
        <v>130</v>
      </c>
      <c r="T1210" t="s">
        <v>717</v>
      </c>
      <c r="U1210" t="s">
        <v>717</v>
      </c>
      <c r="V1210" t="s">
        <v>717</v>
      </c>
      <c r="W1210">
        <v>44781</v>
      </c>
      <c r="X1210" t="s">
        <v>6658</v>
      </c>
      <c r="Y1210" t="s">
        <v>6642</v>
      </c>
      <c r="Z1210" t="s">
        <v>17</v>
      </c>
      <c r="AA1210" t="s">
        <v>717</v>
      </c>
      <c r="AB1210" t="s">
        <v>2509</v>
      </c>
      <c r="AC1210" t="s">
        <v>717</v>
      </c>
      <c r="AD1210" t="s">
        <v>717</v>
      </c>
      <c r="AE1210" t="s">
        <v>6643</v>
      </c>
      <c r="AF1210" t="s">
        <v>717</v>
      </c>
      <c r="AG1210" t="s">
        <v>717</v>
      </c>
      <c r="AH1210" t="s">
        <v>717</v>
      </c>
      <c r="AI1210" t="s">
        <v>6644</v>
      </c>
      <c r="AJ1210" t="s">
        <v>6645</v>
      </c>
      <c r="AK1210" t="s">
        <v>29</v>
      </c>
      <c r="AL1210" t="s">
        <v>717</v>
      </c>
      <c r="AM1210" t="s">
        <v>10</v>
      </c>
      <c r="AN1210" t="s">
        <v>717</v>
      </c>
    </row>
    <row r="1211" spans="1:40" hidden="1">
      <c r="A1211">
        <v>1209</v>
      </c>
      <c r="B1211">
        <v>153</v>
      </c>
      <c r="C1211" s="58">
        <v>44785</v>
      </c>
      <c r="D1211" t="s">
        <v>27</v>
      </c>
      <c r="E1211" t="s">
        <v>2581</v>
      </c>
      <c r="F1211">
        <v>1</v>
      </c>
      <c r="G1211">
        <v>6</v>
      </c>
      <c r="H1211">
        <v>424</v>
      </c>
      <c r="I1211">
        <v>3</v>
      </c>
      <c r="J1211">
        <v>82.76</v>
      </c>
      <c r="K1211" t="s">
        <v>25</v>
      </c>
      <c r="L1211">
        <v>6017250</v>
      </c>
      <c r="M1211">
        <v>0</v>
      </c>
      <c r="N1211">
        <v>6017250</v>
      </c>
      <c r="O1211">
        <v>72707.225712904779</v>
      </c>
      <c r="P1211">
        <v>0</v>
      </c>
      <c r="Q1211">
        <v>6017250</v>
      </c>
      <c r="R1211">
        <v>72707.225712904779</v>
      </c>
      <c r="S1211" t="s">
        <v>130</v>
      </c>
      <c r="T1211" t="s">
        <v>717</v>
      </c>
      <c r="U1211" t="s">
        <v>717</v>
      </c>
      <c r="V1211" t="s">
        <v>717</v>
      </c>
      <c r="W1211">
        <v>44781</v>
      </c>
      <c r="X1211" t="s">
        <v>6658</v>
      </c>
      <c r="Y1211" t="s">
        <v>6642</v>
      </c>
      <c r="Z1211" t="s">
        <v>17</v>
      </c>
      <c r="AA1211" t="s">
        <v>717</v>
      </c>
      <c r="AB1211" t="s">
        <v>2509</v>
      </c>
      <c r="AC1211" t="s">
        <v>717</v>
      </c>
      <c r="AD1211" t="s">
        <v>717</v>
      </c>
      <c r="AE1211" t="s">
        <v>6643</v>
      </c>
      <c r="AF1211" t="s">
        <v>717</v>
      </c>
      <c r="AG1211" t="s">
        <v>717</v>
      </c>
      <c r="AH1211" t="s">
        <v>717</v>
      </c>
      <c r="AI1211" t="s">
        <v>6644</v>
      </c>
      <c r="AJ1211" t="s">
        <v>6645</v>
      </c>
      <c r="AK1211" t="s">
        <v>29</v>
      </c>
      <c r="AL1211" t="s">
        <v>717</v>
      </c>
      <c r="AM1211" t="s">
        <v>10</v>
      </c>
      <c r="AN1211" t="s">
        <v>717</v>
      </c>
    </row>
    <row r="1212" spans="1:40" hidden="1">
      <c r="A1212">
        <v>1210</v>
      </c>
      <c r="B1212">
        <v>154</v>
      </c>
      <c r="C1212" s="58">
        <v>44785</v>
      </c>
      <c r="D1212" t="s">
        <v>27</v>
      </c>
      <c r="E1212" t="s">
        <v>2581</v>
      </c>
      <c r="F1212">
        <v>4</v>
      </c>
      <c r="G1212">
        <v>6</v>
      </c>
      <c r="H1212">
        <v>427</v>
      </c>
      <c r="I1212">
        <v>1</v>
      </c>
      <c r="J1212">
        <v>40</v>
      </c>
      <c r="K1212" t="s">
        <v>25</v>
      </c>
      <c r="L1212">
        <v>2901750</v>
      </c>
      <c r="M1212">
        <v>0</v>
      </c>
      <c r="N1212">
        <v>2901750</v>
      </c>
      <c r="O1212">
        <v>72543.75</v>
      </c>
      <c r="P1212">
        <v>0</v>
      </c>
      <c r="Q1212">
        <v>2901750</v>
      </c>
      <c r="R1212">
        <v>72543.75</v>
      </c>
      <c r="S1212" t="s">
        <v>130</v>
      </c>
      <c r="T1212" t="s">
        <v>717</v>
      </c>
      <c r="U1212" t="s">
        <v>717</v>
      </c>
      <c r="V1212" t="s">
        <v>717</v>
      </c>
      <c r="W1212">
        <v>44781</v>
      </c>
      <c r="X1212" t="s">
        <v>6658</v>
      </c>
      <c r="Y1212" t="s">
        <v>6642</v>
      </c>
      <c r="Z1212" t="s">
        <v>17</v>
      </c>
      <c r="AA1212" t="s">
        <v>717</v>
      </c>
      <c r="AB1212" t="s">
        <v>2509</v>
      </c>
      <c r="AC1212" t="s">
        <v>717</v>
      </c>
      <c r="AD1212" t="s">
        <v>717</v>
      </c>
      <c r="AE1212" t="s">
        <v>6643</v>
      </c>
      <c r="AF1212" t="s">
        <v>717</v>
      </c>
      <c r="AG1212" t="s">
        <v>717</v>
      </c>
      <c r="AH1212" t="s">
        <v>717</v>
      </c>
      <c r="AI1212" t="s">
        <v>6644</v>
      </c>
      <c r="AJ1212" t="s">
        <v>6645</v>
      </c>
      <c r="AK1212" t="s">
        <v>29</v>
      </c>
      <c r="AL1212" t="s">
        <v>717</v>
      </c>
      <c r="AM1212" t="s">
        <v>10</v>
      </c>
      <c r="AN1212" t="s">
        <v>717</v>
      </c>
    </row>
    <row r="1213" spans="1:40" hidden="1">
      <c r="A1213">
        <v>1211</v>
      </c>
      <c r="B1213">
        <v>155</v>
      </c>
      <c r="C1213" s="58">
        <v>44785</v>
      </c>
      <c r="D1213" t="s">
        <v>27</v>
      </c>
      <c r="E1213" t="s">
        <v>2581</v>
      </c>
      <c r="F1213">
        <v>6</v>
      </c>
      <c r="G1213">
        <v>6</v>
      </c>
      <c r="H1213">
        <v>429</v>
      </c>
      <c r="I1213">
        <v>1</v>
      </c>
      <c r="J1213">
        <v>37.11</v>
      </c>
      <c r="K1213" t="s">
        <v>25</v>
      </c>
      <c r="L1213">
        <v>2684250</v>
      </c>
      <c r="M1213">
        <v>0</v>
      </c>
      <c r="N1213">
        <v>2684250</v>
      </c>
      <c r="O1213">
        <v>72332.255456750208</v>
      </c>
      <c r="P1213">
        <v>0</v>
      </c>
      <c r="Q1213">
        <v>2684250</v>
      </c>
      <c r="R1213">
        <v>72332.255456750208</v>
      </c>
      <c r="S1213" t="s">
        <v>130</v>
      </c>
      <c r="T1213" t="s">
        <v>717</v>
      </c>
      <c r="U1213" t="s">
        <v>717</v>
      </c>
      <c r="V1213" t="s">
        <v>717</v>
      </c>
      <c r="W1213">
        <v>44781</v>
      </c>
      <c r="X1213" t="s">
        <v>6658</v>
      </c>
      <c r="Y1213" t="s">
        <v>6642</v>
      </c>
      <c r="Z1213" t="s">
        <v>17</v>
      </c>
      <c r="AA1213" t="s">
        <v>717</v>
      </c>
      <c r="AB1213" t="s">
        <v>2509</v>
      </c>
      <c r="AC1213" t="s">
        <v>717</v>
      </c>
      <c r="AD1213" t="s">
        <v>717</v>
      </c>
      <c r="AE1213" t="s">
        <v>6643</v>
      </c>
      <c r="AF1213" t="s">
        <v>717</v>
      </c>
      <c r="AG1213" t="s">
        <v>717</v>
      </c>
      <c r="AH1213" t="s">
        <v>717</v>
      </c>
      <c r="AI1213" t="s">
        <v>6644</v>
      </c>
      <c r="AJ1213" t="s">
        <v>6645</v>
      </c>
      <c r="AK1213" t="s">
        <v>29</v>
      </c>
      <c r="AL1213" t="s">
        <v>717</v>
      </c>
      <c r="AM1213" t="s">
        <v>10</v>
      </c>
      <c r="AN1213" t="s">
        <v>717</v>
      </c>
    </row>
    <row r="1214" spans="1:40" hidden="1">
      <c r="A1214">
        <v>1212</v>
      </c>
      <c r="B1214">
        <v>156</v>
      </c>
      <c r="C1214" s="58">
        <v>44785</v>
      </c>
      <c r="D1214" t="s">
        <v>27</v>
      </c>
      <c r="E1214" t="s">
        <v>2581</v>
      </c>
      <c r="F1214">
        <v>7</v>
      </c>
      <c r="G1214">
        <v>6</v>
      </c>
      <c r="H1214">
        <v>430</v>
      </c>
      <c r="I1214">
        <v>2</v>
      </c>
      <c r="J1214">
        <v>59.93</v>
      </c>
      <c r="K1214" t="s">
        <v>25</v>
      </c>
      <c r="L1214">
        <v>4305750</v>
      </c>
      <c r="M1214">
        <v>0</v>
      </c>
      <c r="N1214">
        <v>4305750</v>
      </c>
      <c r="O1214">
        <v>71846.320707492079</v>
      </c>
      <c r="P1214">
        <v>0</v>
      </c>
      <c r="Q1214">
        <v>4305750</v>
      </c>
      <c r="R1214">
        <v>71846.320707492079</v>
      </c>
      <c r="S1214" t="s">
        <v>130</v>
      </c>
      <c r="T1214" t="s">
        <v>717</v>
      </c>
      <c r="U1214" t="s">
        <v>717</v>
      </c>
      <c r="V1214" t="s">
        <v>717</v>
      </c>
      <c r="W1214">
        <v>44781</v>
      </c>
      <c r="X1214" t="s">
        <v>6658</v>
      </c>
      <c r="Y1214" t="s">
        <v>6642</v>
      </c>
      <c r="Z1214" t="s">
        <v>17</v>
      </c>
      <c r="AA1214" t="s">
        <v>717</v>
      </c>
      <c r="AB1214" t="s">
        <v>2509</v>
      </c>
      <c r="AC1214" t="s">
        <v>717</v>
      </c>
      <c r="AD1214" t="s">
        <v>717</v>
      </c>
      <c r="AE1214" t="s">
        <v>6643</v>
      </c>
      <c r="AF1214" t="s">
        <v>717</v>
      </c>
      <c r="AG1214" t="s">
        <v>717</v>
      </c>
      <c r="AH1214" t="s">
        <v>717</v>
      </c>
      <c r="AI1214" t="s">
        <v>6644</v>
      </c>
      <c r="AJ1214" t="s">
        <v>6645</v>
      </c>
      <c r="AK1214" t="s">
        <v>29</v>
      </c>
      <c r="AL1214" t="s">
        <v>717</v>
      </c>
      <c r="AM1214" t="s">
        <v>10</v>
      </c>
      <c r="AN1214" t="s">
        <v>717</v>
      </c>
    </row>
    <row r="1215" spans="1:40" hidden="1">
      <c r="A1215">
        <v>1213</v>
      </c>
      <c r="B1215">
        <v>157</v>
      </c>
      <c r="C1215" s="58">
        <v>44785</v>
      </c>
      <c r="D1215" t="s">
        <v>27</v>
      </c>
      <c r="E1215" t="s">
        <v>2581</v>
      </c>
      <c r="F1215">
        <v>1</v>
      </c>
      <c r="G1215">
        <v>7</v>
      </c>
      <c r="H1215">
        <v>432</v>
      </c>
      <c r="I1215">
        <v>3</v>
      </c>
      <c r="J1215">
        <v>82.76</v>
      </c>
      <c r="K1215" t="s">
        <v>25</v>
      </c>
      <c r="L1215">
        <v>6017250</v>
      </c>
      <c r="M1215">
        <v>0</v>
      </c>
      <c r="N1215">
        <v>6017250</v>
      </c>
      <c r="O1215">
        <v>72707.225712904779</v>
      </c>
      <c r="P1215">
        <v>0</v>
      </c>
      <c r="Q1215">
        <v>6017250</v>
      </c>
      <c r="R1215">
        <v>72707.225712904779</v>
      </c>
      <c r="S1215" t="s">
        <v>130</v>
      </c>
      <c r="T1215" t="s">
        <v>717</v>
      </c>
      <c r="U1215" t="s">
        <v>717</v>
      </c>
      <c r="V1215" t="s">
        <v>717</v>
      </c>
      <c r="W1215">
        <v>44781</v>
      </c>
      <c r="X1215" t="s">
        <v>6658</v>
      </c>
      <c r="Y1215" t="s">
        <v>6642</v>
      </c>
      <c r="Z1215" t="s">
        <v>17</v>
      </c>
      <c r="AA1215" t="s">
        <v>717</v>
      </c>
      <c r="AB1215" t="s">
        <v>2509</v>
      </c>
      <c r="AC1215" t="s">
        <v>717</v>
      </c>
      <c r="AD1215" t="s">
        <v>717</v>
      </c>
      <c r="AE1215" t="s">
        <v>6643</v>
      </c>
      <c r="AF1215" t="s">
        <v>717</v>
      </c>
      <c r="AG1215" t="s">
        <v>717</v>
      </c>
      <c r="AH1215" t="s">
        <v>717</v>
      </c>
      <c r="AI1215" t="s">
        <v>6644</v>
      </c>
      <c r="AJ1215" t="s">
        <v>6645</v>
      </c>
      <c r="AK1215" t="s">
        <v>29</v>
      </c>
      <c r="AL1215" t="s">
        <v>717</v>
      </c>
      <c r="AM1215" t="s">
        <v>10</v>
      </c>
      <c r="AN1215" t="s">
        <v>717</v>
      </c>
    </row>
    <row r="1216" spans="1:40" hidden="1">
      <c r="A1216">
        <v>1214</v>
      </c>
      <c r="B1216">
        <v>158</v>
      </c>
      <c r="C1216" s="58">
        <v>44785</v>
      </c>
      <c r="D1216" t="s">
        <v>27</v>
      </c>
      <c r="E1216" t="s">
        <v>2581</v>
      </c>
      <c r="F1216">
        <v>4</v>
      </c>
      <c r="G1216">
        <v>7</v>
      </c>
      <c r="H1216">
        <v>435</v>
      </c>
      <c r="I1216">
        <v>1</v>
      </c>
      <c r="J1216">
        <v>40</v>
      </c>
      <c r="K1216" t="s">
        <v>25</v>
      </c>
      <c r="L1216">
        <v>2901750</v>
      </c>
      <c r="M1216">
        <v>0</v>
      </c>
      <c r="N1216">
        <v>2901750</v>
      </c>
      <c r="O1216">
        <v>72543.75</v>
      </c>
      <c r="P1216">
        <v>0</v>
      </c>
      <c r="Q1216">
        <v>2901750</v>
      </c>
      <c r="R1216">
        <v>72543.75</v>
      </c>
      <c r="S1216" t="s">
        <v>130</v>
      </c>
      <c r="T1216" t="s">
        <v>717</v>
      </c>
      <c r="U1216" t="s">
        <v>717</v>
      </c>
      <c r="V1216" t="s">
        <v>717</v>
      </c>
      <c r="W1216">
        <v>44781</v>
      </c>
      <c r="X1216" t="s">
        <v>6658</v>
      </c>
      <c r="Y1216" t="s">
        <v>6642</v>
      </c>
      <c r="Z1216" t="s">
        <v>17</v>
      </c>
      <c r="AA1216" t="s">
        <v>717</v>
      </c>
      <c r="AB1216" t="s">
        <v>2509</v>
      </c>
      <c r="AC1216" t="s">
        <v>717</v>
      </c>
      <c r="AD1216" t="s">
        <v>717</v>
      </c>
      <c r="AE1216" t="s">
        <v>6643</v>
      </c>
      <c r="AF1216" t="s">
        <v>717</v>
      </c>
      <c r="AG1216" t="s">
        <v>717</v>
      </c>
      <c r="AH1216" t="s">
        <v>717</v>
      </c>
      <c r="AI1216" t="s">
        <v>6644</v>
      </c>
      <c r="AJ1216" t="s">
        <v>6645</v>
      </c>
      <c r="AK1216" t="s">
        <v>29</v>
      </c>
      <c r="AL1216" t="s">
        <v>717</v>
      </c>
      <c r="AM1216" t="s">
        <v>10</v>
      </c>
      <c r="AN1216" t="s">
        <v>717</v>
      </c>
    </row>
    <row r="1217" spans="1:40" hidden="1">
      <c r="A1217">
        <v>1215</v>
      </c>
      <c r="B1217">
        <v>159</v>
      </c>
      <c r="C1217" s="58">
        <v>44785</v>
      </c>
      <c r="D1217" t="s">
        <v>27</v>
      </c>
      <c r="E1217" t="s">
        <v>2581</v>
      </c>
      <c r="F1217">
        <v>6</v>
      </c>
      <c r="G1217">
        <v>7</v>
      </c>
      <c r="H1217">
        <v>437</v>
      </c>
      <c r="I1217">
        <v>1</v>
      </c>
      <c r="J1217">
        <v>37.11</v>
      </c>
      <c r="K1217" t="s">
        <v>25</v>
      </c>
      <c r="L1217">
        <v>2684250</v>
      </c>
      <c r="M1217">
        <v>0</v>
      </c>
      <c r="N1217">
        <v>2684250</v>
      </c>
      <c r="O1217">
        <v>72332.255456750208</v>
      </c>
      <c r="P1217">
        <v>0</v>
      </c>
      <c r="Q1217">
        <v>2684250</v>
      </c>
      <c r="R1217">
        <v>72332.255456750208</v>
      </c>
      <c r="S1217" t="s">
        <v>130</v>
      </c>
      <c r="T1217" t="s">
        <v>717</v>
      </c>
      <c r="U1217" t="s">
        <v>717</v>
      </c>
      <c r="V1217" t="s">
        <v>717</v>
      </c>
      <c r="W1217">
        <v>44781</v>
      </c>
      <c r="X1217" t="s">
        <v>6658</v>
      </c>
      <c r="Y1217" t="s">
        <v>6642</v>
      </c>
      <c r="Z1217" t="s">
        <v>17</v>
      </c>
      <c r="AA1217" t="s">
        <v>717</v>
      </c>
      <c r="AB1217" t="s">
        <v>2509</v>
      </c>
      <c r="AC1217" t="s">
        <v>717</v>
      </c>
      <c r="AD1217" t="s">
        <v>717</v>
      </c>
      <c r="AE1217" t="s">
        <v>6643</v>
      </c>
      <c r="AF1217" t="s">
        <v>717</v>
      </c>
      <c r="AG1217" t="s">
        <v>717</v>
      </c>
      <c r="AH1217" t="s">
        <v>717</v>
      </c>
      <c r="AI1217" t="s">
        <v>6644</v>
      </c>
      <c r="AJ1217" t="s">
        <v>6645</v>
      </c>
      <c r="AK1217" t="s">
        <v>29</v>
      </c>
      <c r="AL1217" t="s">
        <v>717</v>
      </c>
      <c r="AM1217" t="s">
        <v>10</v>
      </c>
      <c r="AN1217" t="s">
        <v>717</v>
      </c>
    </row>
    <row r="1218" spans="1:40" hidden="1">
      <c r="A1218">
        <v>1216</v>
      </c>
      <c r="B1218">
        <v>160</v>
      </c>
      <c r="C1218" s="58">
        <v>44785</v>
      </c>
      <c r="D1218" t="s">
        <v>27</v>
      </c>
      <c r="E1218" t="s">
        <v>2581</v>
      </c>
      <c r="F1218">
        <v>7</v>
      </c>
      <c r="G1218">
        <v>7</v>
      </c>
      <c r="H1218">
        <v>438</v>
      </c>
      <c r="I1218">
        <v>2</v>
      </c>
      <c r="J1218">
        <v>59.93</v>
      </c>
      <c r="K1218" t="s">
        <v>25</v>
      </c>
      <c r="L1218">
        <v>4305750</v>
      </c>
      <c r="M1218">
        <v>0</v>
      </c>
      <c r="N1218">
        <v>4305750</v>
      </c>
      <c r="O1218">
        <v>71846.320707492079</v>
      </c>
      <c r="P1218">
        <v>0</v>
      </c>
      <c r="Q1218">
        <v>4305750</v>
      </c>
      <c r="R1218">
        <v>71846.320707492079</v>
      </c>
      <c r="S1218" t="s">
        <v>130</v>
      </c>
      <c r="T1218" t="s">
        <v>717</v>
      </c>
      <c r="U1218" t="s">
        <v>717</v>
      </c>
      <c r="V1218" t="s">
        <v>717</v>
      </c>
      <c r="W1218">
        <v>44781</v>
      </c>
      <c r="X1218" t="s">
        <v>6658</v>
      </c>
      <c r="Y1218" t="s">
        <v>6642</v>
      </c>
      <c r="Z1218" t="s">
        <v>17</v>
      </c>
      <c r="AA1218" t="s">
        <v>717</v>
      </c>
      <c r="AB1218" t="s">
        <v>2509</v>
      </c>
      <c r="AC1218" t="s">
        <v>717</v>
      </c>
      <c r="AD1218" t="s">
        <v>717</v>
      </c>
      <c r="AE1218" t="s">
        <v>6643</v>
      </c>
      <c r="AF1218" t="s">
        <v>717</v>
      </c>
      <c r="AG1218" t="s">
        <v>717</v>
      </c>
      <c r="AH1218" t="s">
        <v>717</v>
      </c>
      <c r="AI1218" t="s">
        <v>6644</v>
      </c>
      <c r="AJ1218" t="s">
        <v>6645</v>
      </c>
      <c r="AK1218" t="s">
        <v>29</v>
      </c>
      <c r="AL1218" t="s">
        <v>717</v>
      </c>
      <c r="AM1218" t="s">
        <v>10</v>
      </c>
      <c r="AN1218" t="s">
        <v>717</v>
      </c>
    </row>
    <row r="1219" spans="1:40" hidden="1">
      <c r="A1219">
        <v>1217</v>
      </c>
      <c r="B1219">
        <v>161</v>
      </c>
      <c r="C1219" s="58">
        <v>44785</v>
      </c>
      <c r="D1219" t="s">
        <v>27</v>
      </c>
      <c r="E1219" t="s">
        <v>2581</v>
      </c>
      <c r="F1219">
        <v>8</v>
      </c>
      <c r="G1219">
        <v>7</v>
      </c>
      <c r="H1219">
        <v>439</v>
      </c>
      <c r="I1219">
        <v>2</v>
      </c>
      <c r="J1219">
        <v>55.8</v>
      </c>
      <c r="K1219" t="s">
        <v>25</v>
      </c>
      <c r="L1219">
        <v>4097250</v>
      </c>
      <c r="M1219">
        <v>0</v>
      </c>
      <c r="N1219">
        <v>4097250</v>
      </c>
      <c r="O1219">
        <v>73427.419354838727</v>
      </c>
      <c r="P1219">
        <v>0</v>
      </c>
      <c r="Q1219">
        <v>4097250</v>
      </c>
      <c r="R1219">
        <v>73427.419354838727</v>
      </c>
      <c r="S1219" t="s">
        <v>130</v>
      </c>
      <c r="T1219" t="s">
        <v>717</v>
      </c>
      <c r="U1219" t="s">
        <v>717</v>
      </c>
      <c r="V1219" t="s">
        <v>717</v>
      </c>
      <c r="W1219">
        <v>44781</v>
      </c>
      <c r="X1219" t="s">
        <v>6659</v>
      </c>
      <c r="Y1219" t="s">
        <v>6642</v>
      </c>
      <c r="Z1219" t="s">
        <v>17</v>
      </c>
      <c r="AA1219" t="s">
        <v>717</v>
      </c>
      <c r="AB1219" t="s">
        <v>2509</v>
      </c>
      <c r="AC1219" t="s">
        <v>717</v>
      </c>
      <c r="AD1219" t="s">
        <v>717</v>
      </c>
      <c r="AE1219" t="s">
        <v>6643</v>
      </c>
      <c r="AF1219" t="s">
        <v>717</v>
      </c>
      <c r="AG1219" t="s">
        <v>717</v>
      </c>
      <c r="AH1219" t="s">
        <v>717</v>
      </c>
      <c r="AI1219" t="s">
        <v>6644</v>
      </c>
      <c r="AJ1219" t="s">
        <v>6645</v>
      </c>
      <c r="AK1219" t="s">
        <v>29</v>
      </c>
      <c r="AL1219" t="s">
        <v>717</v>
      </c>
      <c r="AM1219" t="s">
        <v>10</v>
      </c>
      <c r="AN1219" t="s">
        <v>717</v>
      </c>
    </row>
    <row r="1220" spans="1:40" hidden="1">
      <c r="A1220">
        <v>1218</v>
      </c>
      <c r="B1220">
        <v>162</v>
      </c>
      <c r="C1220" s="58">
        <v>44785</v>
      </c>
      <c r="D1220" t="s">
        <v>27</v>
      </c>
      <c r="E1220" t="s">
        <v>2581</v>
      </c>
      <c r="F1220">
        <v>1</v>
      </c>
      <c r="G1220">
        <v>8</v>
      </c>
      <c r="H1220">
        <v>440</v>
      </c>
      <c r="I1220">
        <v>3</v>
      </c>
      <c r="J1220">
        <v>82.76</v>
      </c>
      <c r="K1220" t="s">
        <v>25</v>
      </c>
      <c r="L1220">
        <v>6017250</v>
      </c>
      <c r="M1220">
        <v>0</v>
      </c>
      <c r="N1220">
        <v>6017250</v>
      </c>
      <c r="O1220">
        <v>72707.225712904779</v>
      </c>
      <c r="P1220">
        <v>0</v>
      </c>
      <c r="Q1220">
        <v>6017250</v>
      </c>
      <c r="R1220">
        <v>72707.225712904779</v>
      </c>
      <c r="S1220" t="s">
        <v>130</v>
      </c>
      <c r="T1220" t="s">
        <v>717</v>
      </c>
      <c r="U1220" t="s">
        <v>717</v>
      </c>
      <c r="V1220" t="s">
        <v>717</v>
      </c>
      <c r="W1220">
        <v>44781</v>
      </c>
      <c r="X1220" t="s">
        <v>6659</v>
      </c>
      <c r="Y1220" t="s">
        <v>6642</v>
      </c>
      <c r="Z1220" t="s">
        <v>17</v>
      </c>
      <c r="AA1220" t="s">
        <v>717</v>
      </c>
      <c r="AB1220" t="s">
        <v>2509</v>
      </c>
      <c r="AC1220" t="s">
        <v>717</v>
      </c>
      <c r="AD1220" t="s">
        <v>717</v>
      </c>
      <c r="AE1220" t="s">
        <v>6643</v>
      </c>
      <c r="AF1220" t="s">
        <v>717</v>
      </c>
      <c r="AG1220" t="s">
        <v>717</v>
      </c>
      <c r="AH1220" t="s">
        <v>717</v>
      </c>
      <c r="AI1220" t="s">
        <v>6644</v>
      </c>
      <c r="AJ1220" t="s">
        <v>6645</v>
      </c>
      <c r="AK1220" t="s">
        <v>29</v>
      </c>
      <c r="AL1220" t="s">
        <v>717</v>
      </c>
      <c r="AM1220" t="s">
        <v>10</v>
      </c>
      <c r="AN1220" t="s">
        <v>717</v>
      </c>
    </row>
    <row r="1221" spans="1:40" hidden="1">
      <c r="A1221">
        <v>1219</v>
      </c>
      <c r="B1221">
        <v>163</v>
      </c>
      <c r="C1221" s="58">
        <v>44785</v>
      </c>
      <c r="D1221" t="s">
        <v>27</v>
      </c>
      <c r="E1221" t="s">
        <v>2581</v>
      </c>
      <c r="F1221">
        <v>1</v>
      </c>
      <c r="G1221">
        <v>9</v>
      </c>
      <c r="H1221">
        <v>448</v>
      </c>
      <c r="I1221">
        <v>3</v>
      </c>
      <c r="J1221">
        <v>82.76</v>
      </c>
      <c r="K1221" t="s">
        <v>25</v>
      </c>
      <c r="L1221">
        <v>6017250</v>
      </c>
      <c r="M1221">
        <v>0</v>
      </c>
      <c r="N1221">
        <v>6017250</v>
      </c>
      <c r="O1221">
        <v>72707.225712904779</v>
      </c>
      <c r="P1221">
        <v>0</v>
      </c>
      <c r="Q1221">
        <v>6017250</v>
      </c>
      <c r="R1221">
        <v>72707.225712904779</v>
      </c>
      <c r="S1221" t="s">
        <v>130</v>
      </c>
      <c r="T1221" t="s">
        <v>717</v>
      </c>
      <c r="U1221" t="s">
        <v>717</v>
      </c>
      <c r="V1221" t="s">
        <v>717</v>
      </c>
      <c r="W1221">
        <v>44781</v>
      </c>
      <c r="X1221" t="s">
        <v>6659</v>
      </c>
      <c r="Y1221" t="s">
        <v>6642</v>
      </c>
      <c r="Z1221" t="s">
        <v>17</v>
      </c>
      <c r="AA1221" t="s">
        <v>717</v>
      </c>
      <c r="AB1221" t="s">
        <v>2509</v>
      </c>
      <c r="AC1221" t="s">
        <v>717</v>
      </c>
      <c r="AD1221" t="s">
        <v>717</v>
      </c>
      <c r="AE1221" t="s">
        <v>6643</v>
      </c>
      <c r="AF1221" t="s">
        <v>717</v>
      </c>
      <c r="AG1221" t="s">
        <v>717</v>
      </c>
      <c r="AH1221" t="s">
        <v>717</v>
      </c>
      <c r="AI1221" t="s">
        <v>6644</v>
      </c>
      <c r="AJ1221" t="s">
        <v>6645</v>
      </c>
      <c r="AK1221" t="s">
        <v>29</v>
      </c>
      <c r="AL1221" t="s">
        <v>717</v>
      </c>
      <c r="AM1221" t="s">
        <v>10</v>
      </c>
      <c r="AN1221" t="s">
        <v>717</v>
      </c>
    </row>
    <row r="1222" spans="1:40" hidden="1">
      <c r="A1222">
        <v>1220</v>
      </c>
      <c r="B1222">
        <v>164</v>
      </c>
      <c r="C1222" s="58">
        <v>44785</v>
      </c>
      <c r="D1222" t="s">
        <v>27</v>
      </c>
      <c r="E1222" t="s">
        <v>2581</v>
      </c>
      <c r="F1222">
        <v>4</v>
      </c>
      <c r="G1222">
        <v>9</v>
      </c>
      <c r="H1222">
        <v>451</v>
      </c>
      <c r="I1222">
        <v>1</v>
      </c>
      <c r="J1222">
        <v>40</v>
      </c>
      <c r="K1222" t="s">
        <v>25</v>
      </c>
      <c r="L1222">
        <v>2901750</v>
      </c>
      <c r="M1222">
        <v>0</v>
      </c>
      <c r="N1222">
        <v>2901750</v>
      </c>
      <c r="O1222">
        <v>72543.75</v>
      </c>
      <c r="P1222">
        <v>0</v>
      </c>
      <c r="Q1222">
        <v>2901750</v>
      </c>
      <c r="R1222">
        <v>72543.75</v>
      </c>
      <c r="S1222" t="s">
        <v>130</v>
      </c>
      <c r="T1222" t="s">
        <v>717</v>
      </c>
      <c r="U1222" t="s">
        <v>717</v>
      </c>
      <c r="V1222" t="s">
        <v>717</v>
      </c>
      <c r="W1222">
        <v>44781</v>
      </c>
      <c r="X1222" t="s">
        <v>6659</v>
      </c>
      <c r="Y1222" t="s">
        <v>6642</v>
      </c>
      <c r="Z1222" t="s">
        <v>17</v>
      </c>
      <c r="AA1222" t="s">
        <v>717</v>
      </c>
      <c r="AB1222" t="s">
        <v>2509</v>
      </c>
      <c r="AC1222" t="s">
        <v>717</v>
      </c>
      <c r="AD1222" t="s">
        <v>717</v>
      </c>
      <c r="AE1222" t="s">
        <v>6643</v>
      </c>
      <c r="AF1222" t="s">
        <v>717</v>
      </c>
      <c r="AG1222" t="s">
        <v>717</v>
      </c>
      <c r="AH1222" t="s">
        <v>717</v>
      </c>
      <c r="AI1222" t="s">
        <v>6644</v>
      </c>
      <c r="AJ1222" t="s">
        <v>6645</v>
      </c>
      <c r="AK1222" t="s">
        <v>29</v>
      </c>
      <c r="AL1222" t="s">
        <v>717</v>
      </c>
      <c r="AM1222" t="s">
        <v>10</v>
      </c>
      <c r="AN1222" t="s">
        <v>717</v>
      </c>
    </row>
    <row r="1223" spans="1:40" hidden="1">
      <c r="A1223">
        <v>1221</v>
      </c>
      <c r="B1223">
        <v>165</v>
      </c>
      <c r="C1223" s="58">
        <v>44785</v>
      </c>
      <c r="D1223" t="s">
        <v>27</v>
      </c>
      <c r="E1223" t="s">
        <v>2581</v>
      </c>
      <c r="F1223">
        <v>7</v>
      </c>
      <c r="G1223">
        <v>9</v>
      </c>
      <c r="H1223">
        <v>454</v>
      </c>
      <c r="I1223">
        <v>2</v>
      </c>
      <c r="J1223">
        <v>59.93</v>
      </c>
      <c r="K1223" t="s">
        <v>25</v>
      </c>
      <c r="L1223">
        <v>4305750</v>
      </c>
      <c r="M1223">
        <v>0</v>
      </c>
      <c r="N1223">
        <v>4305750</v>
      </c>
      <c r="O1223">
        <v>71846.320707492079</v>
      </c>
      <c r="P1223">
        <v>0</v>
      </c>
      <c r="Q1223">
        <v>4305750</v>
      </c>
      <c r="R1223">
        <v>71846.320707492079</v>
      </c>
      <c r="S1223" t="s">
        <v>130</v>
      </c>
      <c r="T1223" t="s">
        <v>717</v>
      </c>
      <c r="U1223" t="s">
        <v>717</v>
      </c>
      <c r="V1223" t="s">
        <v>717</v>
      </c>
      <c r="W1223">
        <v>44781</v>
      </c>
      <c r="X1223" t="s">
        <v>6659</v>
      </c>
      <c r="Y1223" t="s">
        <v>6642</v>
      </c>
      <c r="Z1223" t="s">
        <v>17</v>
      </c>
      <c r="AA1223" t="s">
        <v>717</v>
      </c>
      <c r="AB1223" t="s">
        <v>2509</v>
      </c>
      <c r="AC1223" t="s">
        <v>717</v>
      </c>
      <c r="AD1223" t="s">
        <v>717</v>
      </c>
      <c r="AE1223" t="s">
        <v>6643</v>
      </c>
      <c r="AF1223" t="s">
        <v>717</v>
      </c>
      <c r="AG1223" t="s">
        <v>717</v>
      </c>
      <c r="AH1223" t="s">
        <v>717</v>
      </c>
      <c r="AI1223" t="s">
        <v>6644</v>
      </c>
      <c r="AJ1223" t="s">
        <v>6645</v>
      </c>
      <c r="AK1223" t="s">
        <v>29</v>
      </c>
      <c r="AL1223" t="s">
        <v>717</v>
      </c>
      <c r="AM1223" t="s">
        <v>10</v>
      </c>
      <c r="AN1223" t="s">
        <v>717</v>
      </c>
    </row>
    <row r="1224" spans="1:40" hidden="1">
      <c r="A1224">
        <v>1222</v>
      </c>
      <c r="B1224">
        <v>166</v>
      </c>
      <c r="C1224" s="58">
        <v>44785</v>
      </c>
      <c r="D1224" t="s">
        <v>27</v>
      </c>
      <c r="E1224" t="s">
        <v>2581</v>
      </c>
      <c r="F1224">
        <v>1</v>
      </c>
      <c r="G1224">
        <v>10</v>
      </c>
      <c r="H1224">
        <v>456</v>
      </c>
      <c r="I1224">
        <v>3</v>
      </c>
      <c r="J1224">
        <v>82.76</v>
      </c>
      <c r="K1224" t="s">
        <v>25</v>
      </c>
      <c r="L1224">
        <v>6017250</v>
      </c>
      <c r="M1224">
        <v>0</v>
      </c>
      <c r="N1224">
        <v>6017250</v>
      </c>
      <c r="O1224">
        <v>72707.225712904779</v>
      </c>
      <c r="P1224">
        <v>0</v>
      </c>
      <c r="Q1224">
        <v>6017250</v>
      </c>
      <c r="R1224">
        <v>72707.225712904779</v>
      </c>
      <c r="S1224" t="s">
        <v>130</v>
      </c>
      <c r="T1224" t="s">
        <v>717</v>
      </c>
      <c r="U1224" t="s">
        <v>717</v>
      </c>
      <c r="V1224" t="s">
        <v>717</v>
      </c>
      <c r="W1224">
        <v>44781</v>
      </c>
      <c r="X1224" t="s">
        <v>6659</v>
      </c>
      <c r="Y1224" t="s">
        <v>6642</v>
      </c>
      <c r="Z1224" t="s">
        <v>17</v>
      </c>
      <c r="AA1224" t="s">
        <v>717</v>
      </c>
      <c r="AB1224" t="s">
        <v>2509</v>
      </c>
      <c r="AC1224" t="s">
        <v>717</v>
      </c>
      <c r="AD1224" t="s">
        <v>717</v>
      </c>
      <c r="AE1224" t="s">
        <v>6643</v>
      </c>
      <c r="AF1224" t="s">
        <v>717</v>
      </c>
      <c r="AG1224" t="s">
        <v>717</v>
      </c>
      <c r="AH1224" t="s">
        <v>717</v>
      </c>
      <c r="AI1224" t="s">
        <v>6644</v>
      </c>
      <c r="AJ1224" t="s">
        <v>6645</v>
      </c>
      <c r="AK1224" t="s">
        <v>29</v>
      </c>
      <c r="AL1224" t="s">
        <v>717</v>
      </c>
      <c r="AM1224" t="s">
        <v>10</v>
      </c>
      <c r="AN1224" t="s">
        <v>717</v>
      </c>
    </row>
    <row r="1225" spans="1:40" hidden="1">
      <c r="A1225">
        <v>1223</v>
      </c>
      <c r="B1225">
        <v>167</v>
      </c>
      <c r="C1225" s="58">
        <v>44785</v>
      </c>
      <c r="D1225" t="s">
        <v>27</v>
      </c>
      <c r="E1225" t="s">
        <v>2581</v>
      </c>
      <c r="F1225">
        <v>6</v>
      </c>
      <c r="G1225">
        <v>10</v>
      </c>
      <c r="H1225">
        <v>461</v>
      </c>
      <c r="I1225">
        <v>1</v>
      </c>
      <c r="J1225">
        <v>37.11</v>
      </c>
      <c r="K1225" t="s">
        <v>25</v>
      </c>
      <c r="L1225">
        <v>2684250</v>
      </c>
      <c r="M1225">
        <v>0</v>
      </c>
      <c r="N1225">
        <v>2684250</v>
      </c>
      <c r="O1225">
        <v>72332.255456750208</v>
      </c>
      <c r="P1225">
        <v>0</v>
      </c>
      <c r="Q1225">
        <v>2684250</v>
      </c>
      <c r="R1225">
        <v>72332.255456750208</v>
      </c>
      <c r="S1225" t="s">
        <v>130</v>
      </c>
      <c r="T1225" t="s">
        <v>717</v>
      </c>
      <c r="U1225" t="s">
        <v>717</v>
      </c>
      <c r="V1225" t="s">
        <v>717</v>
      </c>
      <c r="W1225">
        <v>44781</v>
      </c>
      <c r="X1225" t="s">
        <v>6659</v>
      </c>
      <c r="Y1225" t="s">
        <v>6642</v>
      </c>
      <c r="Z1225" t="s">
        <v>17</v>
      </c>
      <c r="AA1225" t="s">
        <v>717</v>
      </c>
      <c r="AB1225" t="s">
        <v>2509</v>
      </c>
      <c r="AC1225" t="s">
        <v>717</v>
      </c>
      <c r="AD1225" t="s">
        <v>717</v>
      </c>
      <c r="AE1225" t="s">
        <v>6643</v>
      </c>
      <c r="AF1225" t="s">
        <v>717</v>
      </c>
      <c r="AG1225" t="s">
        <v>717</v>
      </c>
      <c r="AH1225" t="s">
        <v>717</v>
      </c>
      <c r="AI1225" t="s">
        <v>6644</v>
      </c>
      <c r="AJ1225" t="s">
        <v>6645</v>
      </c>
      <c r="AK1225" t="s">
        <v>29</v>
      </c>
      <c r="AL1225" t="s">
        <v>717</v>
      </c>
      <c r="AM1225" t="s">
        <v>10</v>
      </c>
      <c r="AN1225" t="s">
        <v>717</v>
      </c>
    </row>
    <row r="1226" spans="1:40" hidden="1">
      <c r="A1226">
        <v>1224</v>
      </c>
      <c r="B1226">
        <v>168</v>
      </c>
      <c r="C1226" s="58">
        <v>44785</v>
      </c>
      <c r="D1226" t="s">
        <v>27</v>
      </c>
      <c r="E1226" t="s">
        <v>2581</v>
      </c>
      <c r="F1226">
        <v>7</v>
      </c>
      <c r="G1226">
        <v>10</v>
      </c>
      <c r="H1226">
        <v>462</v>
      </c>
      <c r="I1226">
        <v>2</v>
      </c>
      <c r="J1226">
        <v>59.93</v>
      </c>
      <c r="K1226" t="s">
        <v>25</v>
      </c>
      <c r="L1226">
        <v>4305750</v>
      </c>
      <c r="M1226">
        <v>0</v>
      </c>
      <c r="N1226">
        <v>4305750</v>
      </c>
      <c r="O1226">
        <v>71846.320707492079</v>
      </c>
      <c r="P1226">
        <v>0</v>
      </c>
      <c r="Q1226">
        <v>4305750</v>
      </c>
      <c r="R1226">
        <v>71846.320707492079</v>
      </c>
      <c r="S1226" t="s">
        <v>130</v>
      </c>
      <c r="T1226" t="s">
        <v>717</v>
      </c>
      <c r="U1226" t="s">
        <v>717</v>
      </c>
      <c r="V1226" t="s">
        <v>717</v>
      </c>
      <c r="W1226">
        <v>44781</v>
      </c>
      <c r="X1226" t="s">
        <v>6659</v>
      </c>
      <c r="Y1226" t="s">
        <v>6642</v>
      </c>
      <c r="Z1226" t="s">
        <v>17</v>
      </c>
      <c r="AA1226" t="s">
        <v>717</v>
      </c>
      <c r="AB1226" t="s">
        <v>2509</v>
      </c>
      <c r="AC1226" t="s">
        <v>717</v>
      </c>
      <c r="AD1226" t="s">
        <v>717</v>
      </c>
      <c r="AE1226" t="s">
        <v>6643</v>
      </c>
      <c r="AF1226" t="s">
        <v>717</v>
      </c>
      <c r="AG1226" t="s">
        <v>717</v>
      </c>
      <c r="AH1226" t="s">
        <v>717</v>
      </c>
      <c r="AI1226" t="s">
        <v>6644</v>
      </c>
      <c r="AJ1226" t="s">
        <v>6645</v>
      </c>
      <c r="AK1226" t="s">
        <v>29</v>
      </c>
      <c r="AL1226" t="s">
        <v>717</v>
      </c>
      <c r="AM1226" t="s">
        <v>10</v>
      </c>
      <c r="AN1226" t="s">
        <v>717</v>
      </c>
    </row>
    <row r="1227" spans="1:40" hidden="1">
      <c r="A1227">
        <v>1225</v>
      </c>
      <c r="B1227">
        <v>169</v>
      </c>
      <c r="C1227" s="58">
        <v>44785</v>
      </c>
      <c r="D1227" t="s">
        <v>27</v>
      </c>
      <c r="E1227" t="s">
        <v>2581</v>
      </c>
      <c r="F1227">
        <v>8</v>
      </c>
      <c r="G1227">
        <v>10</v>
      </c>
      <c r="H1227">
        <v>463</v>
      </c>
      <c r="I1227">
        <v>2</v>
      </c>
      <c r="J1227">
        <v>55.8</v>
      </c>
      <c r="K1227" t="s">
        <v>25</v>
      </c>
      <c r="L1227">
        <v>4097250</v>
      </c>
      <c r="M1227">
        <v>0</v>
      </c>
      <c r="N1227">
        <v>4097250</v>
      </c>
      <c r="O1227">
        <v>73427.419354838727</v>
      </c>
      <c r="P1227">
        <v>0</v>
      </c>
      <c r="Q1227">
        <v>4097250</v>
      </c>
      <c r="R1227">
        <v>73427.419354838727</v>
      </c>
      <c r="S1227" t="s">
        <v>130</v>
      </c>
      <c r="T1227" t="s">
        <v>717</v>
      </c>
      <c r="U1227" t="s">
        <v>717</v>
      </c>
      <c r="V1227" t="s">
        <v>717</v>
      </c>
      <c r="W1227">
        <v>44781</v>
      </c>
      <c r="X1227" t="s">
        <v>6659</v>
      </c>
      <c r="Y1227" t="s">
        <v>6642</v>
      </c>
      <c r="Z1227" t="s">
        <v>17</v>
      </c>
      <c r="AA1227" t="s">
        <v>717</v>
      </c>
      <c r="AB1227" t="s">
        <v>2509</v>
      </c>
      <c r="AC1227" t="s">
        <v>717</v>
      </c>
      <c r="AD1227" t="s">
        <v>717</v>
      </c>
      <c r="AE1227" t="s">
        <v>6643</v>
      </c>
      <c r="AF1227" t="s">
        <v>717</v>
      </c>
      <c r="AG1227" t="s">
        <v>717</v>
      </c>
      <c r="AH1227" t="s">
        <v>717</v>
      </c>
      <c r="AI1227" t="s">
        <v>6644</v>
      </c>
      <c r="AJ1227" t="s">
        <v>6645</v>
      </c>
      <c r="AK1227" t="s">
        <v>29</v>
      </c>
      <c r="AL1227" t="s">
        <v>717</v>
      </c>
      <c r="AM1227" t="s">
        <v>10</v>
      </c>
      <c r="AN1227" t="s">
        <v>717</v>
      </c>
    </row>
    <row r="1228" spans="1:40" hidden="1">
      <c r="A1228">
        <v>1226</v>
      </c>
      <c r="B1228">
        <v>170</v>
      </c>
      <c r="C1228" s="58">
        <v>44785</v>
      </c>
      <c r="D1228" t="s">
        <v>27</v>
      </c>
      <c r="E1228" t="s">
        <v>2581</v>
      </c>
      <c r="F1228">
        <v>1</v>
      </c>
      <c r="G1228">
        <v>11</v>
      </c>
      <c r="H1228">
        <v>464</v>
      </c>
      <c r="I1228">
        <v>3</v>
      </c>
      <c r="J1228">
        <v>82.76</v>
      </c>
      <c r="K1228" t="s">
        <v>25</v>
      </c>
      <c r="L1228">
        <v>6017250</v>
      </c>
      <c r="M1228">
        <v>0</v>
      </c>
      <c r="N1228">
        <v>6017250</v>
      </c>
      <c r="O1228">
        <v>72707.225712904779</v>
      </c>
      <c r="P1228">
        <v>0</v>
      </c>
      <c r="Q1228">
        <v>6017250</v>
      </c>
      <c r="R1228">
        <v>72707.225712904779</v>
      </c>
      <c r="S1228" t="s">
        <v>130</v>
      </c>
      <c r="T1228" t="s">
        <v>717</v>
      </c>
      <c r="U1228" t="s">
        <v>717</v>
      </c>
      <c r="V1228" t="s">
        <v>717</v>
      </c>
      <c r="W1228">
        <v>44781</v>
      </c>
      <c r="X1228" t="s">
        <v>6659</v>
      </c>
      <c r="Y1228" t="s">
        <v>6642</v>
      </c>
      <c r="Z1228" t="s">
        <v>17</v>
      </c>
      <c r="AA1228" t="s">
        <v>717</v>
      </c>
      <c r="AB1228" t="s">
        <v>2509</v>
      </c>
      <c r="AC1228" t="s">
        <v>717</v>
      </c>
      <c r="AD1228" t="s">
        <v>717</v>
      </c>
      <c r="AE1228" t="s">
        <v>6643</v>
      </c>
      <c r="AF1228" t="s">
        <v>717</v>
      </c>
      <c r="AG1228" t="s">
        <v>717</v>
      </c>
      <c r="AH1228" t="s">
        <v>717</v>
      </c>
      <c r="AI1228" t="s">
        <v>6644</v>
      </c>
      <c r="AJ1228" t="s">
        <v>6645</v>
      </c>
      <c r="AK1228" t="s">
        <v>29</v>
      </c>
      <c r="AL1228" t="s">
        <v>717</v>
      </c>
      <c r="AM1228" t="s">
        <v>10</v>
      </c>
      <c r="AN1228" t="s">
        <v>717</v>
      </c>
    </row>
    <row r="1229" spans="1:40" hidden="1">
      <c r="A1229">
        <v>1227</v>
      </c>
      <c r="B1229">
        <v>171</v>
      </c>
      <c r="C1229" s="58">
        <v>44785</v>
      </c>
      <c r="D1229" t="s">
        <v>27</v>
      </c>
      <c r="E1229" t="s">
        <v>2581</v>
      </c>
      <c r="F1229">
        <v>1</v>
      </c>
      <c r="G1229">
        <v>12</v>
      </c>
      <c r="H1229">
        <v>472</v>
      </c>
      <c r="I1229">
        <v>3</v>
      </c>
      <c r="J1229">
        <v>82.76</v>
      </c>
      <c r="K1229" t="s">
        <v>25</v>
      </c>
      <c r="L1229">
        <v>6017250</v>
      </c>
      <c r="M1229">
        <v>0</v>
      </c>
      <c r="N1229">
        <v>6017250</v>
      </c>
      <c r="O1229">
        <v>72707.225712904779</v>
      </c>
      <c r="P1229">
        <v>0</v>
      </c>
      <c r="Q1229">
        <v>6017250</v>
      </c>
      <c r="R1229">
        <v>72707.225712904779</v>
      </c>
      <c r="S1229" t="s">
        <v>130</v>
      </c>
      <c r="T1229" t="s">
        <v>717</v>
      </c>
      <c r="U1229" t="s">
        <v>717</v>
      </c>
      <c r="V1229" t="s">
        <v>717</v>
      </c>
      <c r="W1229">
        <v>44781</v>
      </c>
      <c r="X1229" t="s">
        <v>6660</v>
      </c>
      <c r="Y1229" t="s">
        <v>6642</v>
      </c>
      <c r="Z1229" t="s">
        <v>17</v>
      </c>
      <c r="AA1229" t="s">
        <v>717</v>
      </c>
      <c r="AB1229" t="s">
        <v>2509</v>
      </c>
      <c r="AC1229" t="s">
        <v>717</v>
      </c>
      <c r="AD1229" t="s">
        <v>717</v>
      </c>
      <c r="AE1229" t="s">
        <v>6643</v>
      </c>
      <c r="AF1229" t="s">
        <v>717</v>
      </c>
      <c r="AG1229" t="s">
        <v>717</v>
      </c>
      <c r="AH1229" t="s">
        <v>717</v>
      </c>
      <c r="AI1229" t="s">
        <v>6644</v>
      </c>
      <c r="AJ1229" t="s">
        <v>6645</v>
      </c>
      <c r="AK1229" t="s">
        <v>29</v>
      </c>
      <c r="AL1229" t="s">
        <v>717</v>
      </c>
      <c r="AM1229" t="s">
        <v>10</v>
      </c>
      <c r="AN1229" t="s">
        <v>717</v>
      </c>
    </row>
    <row r="1230" spans="1:40" hidden="1">
      <c r="A1230">
        <v>1228</v>
      </c>
      <c r="B1230">
        <v>172</v>
      </c>
      <c r="C1230" s="58">
        <v>44785</v>
      </c>
      <c r="D1230" t="s">
        <v>27</v>
      </c>
      <c r="E1230" t="s">
        <v>2581</v>
      </c>
      <c r="F1230">
        <v>4</v>
      </c>
      <c r="G1230">
        <v>12</v>
      </c>
      <c r="H1230">
        <v>475</v>
      </c>
      <c r="I1230">
        <v>1</v>
      </c>
      <c r="J1230">
        <v>40</v>
      </c>
      <c r="K1230" t="s">
        <v>25</v>
      </c>
      <c r="L1230">
        <v>2901750</v>
      </c>
      <c r="M1230">
        <v>0</v>
      </c>
      <c r="N1230">
        <v>2901750</v>
      </c>
      <c r="O1230">
        <v>72543.75</v>
      </c>
      <c r="P1230">
        <v>0</v>
      </c>
      <c r="Q1230">
        <v>2901750</v>
      </c>
      <c r="R1230">
        <v>72543.75</v>
      </c>
      <c r="S1230" t="s">
        <v>130</v>
      </c>
      <c r="T1230" t="s">
        <v>717</v>
      </c>
      <c r="U1230" t="s">
        <v>717</v>
      </c>
      <c r="V1230" t="s">
        <v>717</v>
      </c>
      <c r="W1230">
        <v>44781</v>
      </c>
      <c r="X1230" t="s">
        <v>6660</v>
      </c>
      <c r="Y1230" t="s">
        <v>6642</v>
      </c>
      <c r="Z1230" t="s">
        <v>17</v>
      </c>
      <c r="AA1230" t="s">
        <v>717</v>
      </c>
      <c r="AB1230" t="s">
        <v>2509</v>
      </c>
      <c r="AC1230" t="s">
        <v>717</v>
      </c>
      <c r="AD1230" t="s">
        <v>717</v>
      </c>
      <c r="AE1230" t="s">
        <v>6643</v>
      </c>
      <c r="AF1230" t="s">
        <v>717</v>
      </c>
      <c r="AG1230" t="s">
        <v>717</v>
      </c>
      <c r="AH1230" t="s">
        <v>717</v>
      </c>
      <c r="AI1230" t="s">
        <v>6644</v>
      </c>
      <c r="AJ1230" t="s">
        <v>6645</v>
      </c>
      <c r="AK1230" t="s">
        <v>29</v>
      </c>
      <c r="AL1230" t="s">
        <v>717</v>
      </c>
      <c r="AM1230" t="s">
        <v>10</v>
      </c>
      <c r="AN1230" t="s">
        <v>717</v>
      </c>
    </row>
    <row r="1231" spans="1:40" hidden="1">
      <c r="A1231">
        <v>1229</v>
      </c>
      <c r="B1231">
        <v>173</v>
      </c>
      <c r="C1231" s="58">
        <v>44785</v>
      </c>
      <c r="D1231" t="s">
        <v>27</v>
      </c>
      <c r="E1231" t="s">
        <v>2581</v>
      </c>
      <c r="F1231">
        <v>7</v>
      </c>
      <c r="G1231">
        <v>12</v>
      </c>
      <c r="H1231">
        <v>478</v>
      </c>
      <c r="I1231">
        <v>2</v>
      </c>
      <c r="J1231">
        <v>59.93</v>
      </c>
      <c r="K1231" t="s">
        <v>25</v>
      </c>
      <c r="L1231">
        <v>4305750</v>
      </c>
      <c r="M1231">
        <v>0</v>
      </c>
      <c r="N1231">
        <v>4305750</v>
      </c>
      <c r="O1231">
        <v>71846.320707492079</v>
      </c>
      <c r="P1231">
        <v>0</v>
      </c>
      <c r="Q1231">
        <v>4305750</v>
      </c>
      <c r="R1231">
        <v>71846.320707492079</v>
      </c>
      <c r="S1231" t="s">
        <v>130</v>
      </c>
      <c r="T1231" t="s">
        <v>717</v>
      </c>
      <c r="U1231" t="s">
        <v>717</v>
      </c>
      <c r="V1231" t="s">
        <v>717</v>
      </c>
      <c r="W1231">
        <v>44781</v>
      </c>
      <c r="X1231" t="s">
        <v>6660</v>
      </c>
      <c r="Y1231" t="s">
        <v>6642</v>
      </c>
      <c r="Z1231" t="s">
        <v>17</v>
      </c>
      <c r="AA1231" t="s">
        <v>717</v>
      </c>
      <c r="AB1231" t="s">
        <v>2509</v>
      </c>
      <c r="AC1231" t="s">
        <v>717</v>
      </c>
      <c r="AD1231" t="s">
        <v>717</v>
      </c>
      <c r="AE1231" t="s">
        <v>6643</v>
      </c>
      <c r="AF1231" t="s">
        <v>717</v>
      </c>
      <c r="AG1231" t="s">
        <v>717</v>
      </c>
      <c r="AH1231" t="s">
        <v>717</v>
      </c>
      <c r="AI1231" t="s">
        <v>6644</v>
      </c>
      <c r="AJ1231" t="s">
        <v>6645</v>
      </c>
      <c r="AK1231" t="s">
        <v>29</v>
      </c>
      <c r="AL1231" t="s">
        <v>717</v>
      </c>
      <c r="AM1231" t="s">
        <v>10</v>
      </c>
      <c r="AN1231" t="s">
        <v>717</v>
      </c>
    </row>
    <row r="1232" spans="1:40" hidden="1">
      <c r="A1232">
        <v>1230</v>
      </c>
      <c r="B1232">
        <v>174</v>
      </c>
      <c r="C1232" s="58">
        <v>44785</v>
      </c>
      <c r="D1232" t="s">
        <v>27</v>
      </c>
      <c r="E1232" t="s">
        <v>2581</v>
      </c>
      <c r="F1232">
        <v>8</v>
      </c>
      <c r="G1232">
        <v>12</v>
      </c>
      <c r="H1232">
        <v>479</v>
      </c>
      <c r="I1232">
        <v>2</v>
      </c>
      <c r="J1232">
        <v>55.8</v>
      </c>
      <c r="K1232" t="s">
        <v>25</v>
      </c>
      <c r="L1232">
        <v>4097250</v>
      </c>
      <c r="M1232">
        <v>0</v>
      </c>
      <c r="N1232">
        <v>4097250</v>
      </c>
      <c r="O1232">
        <v>73427.419354838727</v>
      </c>
      <c r="P1232">
        <v>0</v>
      </c>
      <c r="Q1232">
        <v>4097250</v>
      </c>
      <c r="R1232">
        <v>73427.419354838727</v>
      </c>
      <c r="S1232" t="s">
        <v>130</v>
      </c>
      <c r="T1232" t="s">
        <v>717</v>
      </c>
      <c r="U1232" t="s">
        <v>717</v>
      </c>
      <c r="V1232" t="s">
        <v>717</v>
      </c>
      <c r="W1232">
        <v>44781</v>
      </c>
      <c r="X1232" t="s">
        <v>6660</v>
      </c>
      <c r="Y1232" t="s">
        <v>6642</v>
      </c>
      <c r="Z1232" t="s">
        <v>17</v>
      </c>
      <c r="AA1232" t="s">
        <v>717</v>
      </c>
      <c r="AB1232" t="s">
        <v>2509</v>
      </c>
      <c r="AC1232" t="s">
        <v>717</v>
      </c>
      <c r="AD1232" t="s">
        <v>717</v>
      </c>
      <c r="AE1232" t="s">
        <v>6643</v>
      </c>
      <c r="AF1232" t="s">
        <v>717</v>
      </c>
      <c r="AG1232" t="s">
        <v>717</v>
      </c>
      <c r="AH1232" t="s">
        <v>717</v>
      </c>
      <c r="AI1232" t="s">
        <v>6644</v>
      </c>
      <c r="AJ1232" t="s">
        <v>6645</v>
      </c>
      <c r="AK1232" t="s">
        <v>29</v>
      </c>
      <c r="AL1232" t="s">
        <v>717</v>
      </c>
      <c r="AM1232" t="s">
        <v>10</v>
      </c>
      <c r="AN1232" t="s">
        <v>717</v>
      </c>
    </row>
    <row r="1233" spans="1:40" hidden="1">
      <c r="A1233">
        <v>1231</v>
      </c>
      <c r="B1233">
        <v>175</v>
      </c>
      <c r="C1233" s="58">
        <v>44785</v>
      </c>
      <c r="D1233" t="s">
        <v>27</v>
      </c>
      <c r="E1233" t="s">
        <v>2581</v>
      </c>
      <c r="F1233">
        <v>1</v>
      </c>
      <c r="G1233">
        <v>13</v>
      </c>
      <c r="H1233">
        <v>480</v>
      </c>
      <c r="I1233">
        <v>3</v>
      </c>
      <c r="J1233">
        <v>82.76</v>
      </c>
      <c r="K1233" t="s">
        <v>25</v>
      </c>
      <c r="L1233">
        <v>6017250</v>
      </c>
      <c r="M1233">
        <v>0</v>
      </c>
      <c r="N1233">
        <v>6017250</v>
      </c>
      <c r="O1233">
        <v>72707.225712904779</v>
      </c>
      <c r="P1233">
        <v>0</v>
      </c>
      <c r="Q1233">
        <v>6017250</v>
      </c>
      <c r="R1233">
        <v>72707.225712904779</v>
      </c>
      <c r="S1233" t="s">
        <v>130</v>
      </c>
      <c r="T1233" t="s">
        <v>717</v>
      </c>
      <c r="U1233" t="s">
        <v>717</v>
      </c>
      <c r="V1233" t="s">
        <v>717</v>
      </c>
      <c r="W1233">
        <v>44781</v>
      </c>
      <c r="X1233" t="s">
        <v>6660</v>
      </c>
      <c r="Y1233" t="s">
        <v>6642</v>
      </c>
      <c r="Z1233" t="s">
        <v>17</v>
      </c>
      <c r="AA1233" t="s">
        <v>717</v>
      </c>
      <c r="AB1233" t="s">
        <v>2509</v>
      </c>
      <c r="AC1233" t="s">
        <v>717</v>
      </c>
      <c r="AD1233" t="s">
        <v>717</v>
      </c>
      <c r="AE1233" t="s">
        <v>6643</v>
      </c>
      <c r="AF1233" t="s">
        <v>717</v>
      </c>
      <c r="AG1233" t="s">
        <v>717</v>
      </c>
      <c r="AH1233" t="s">
        <v>717</v>
      </c>
      <c r="AI1233" t="s">
        <v>6644</v>
      </c>
      <c r="AJ1233" t="s">
        <v>6645</v>
      </c>
      <c r="AK1233" t="s">
        <v>29</v>
      </c>
      <c r="AL1233" t="s">
        <v>717</v>
      </c>
      <c r="AM1233" t="s">
        <v>10</v>
      </c>
      <c r="AN1233" t="s">
        <v>717</v>
      </c>
    </row>
    <row r="1234" spans="1:40" hidden="1">
      <c r="A1234">
        <v>1232</v>
      </c>
      <c r="B1234">
        <v>176</v>
      </c>
      <c r="C1234" s="58">
        <v>44785</v>
      </c>
      <c r="D1234" t="s">
        <v>27</v>
      </c>
      <c r="E1234" t="s">
        <v>2581</v>
      </c>
      <c r="F1234">
        <v>4</v>
      </c>
      <c r="G1234">
        <v>13</v>
      </c>
      <c r="H1234">
        <v>483</v>
      </c>
      <c r="I1234">
        <v>1</v>
      </c>
      <c r="J1234">
        <v>40</v>
      </c>
      <c r="K1234" t="s">
        <v>25</v>
      </c>
      <c r="L1234">
        <v>2901750</v>
      </c>
      <c r="M1234">
        <v>0</v>
      </c>
      <c r="N1234">
        <v>2901750</v>
      </c>
      <c r="O1234">
        <v>72543.75</v>
      </c>
      <c r="P1234">
        <v>0</v>
      </c>
      <c r="Q1234">
        <v>2901750</v>
      </c>
      <c r="R1234">
        <v>72543.75</v>
      </c>
      <c r="S1234" t="s">
        <v>130</v>
      </c>
      <c r="T1234" t="s">
        <v>717</v>
      </c>
      <c r="U1234" t="s">
        <v>717</v>
      </c>
      <c r="V1234" t="s">
        <v>717</v>
      </c>
      <c r="W1234">
        <v>44781</v>
      </c>
      <c r="X1234" t="s">
        <v>6660</v>
      </c>
      <c r="Y1234" t="s">
        <v>6642</v>
      </c>
      <c r="Z1234" t="s">
        <v>17</v>
      </c>
      <c r="AA1234" t="s">
        <v>717</v>
      </c>
      <c r="AB1234" t="s">
        <v>2509</v>
      </c>
      <c r="AC1234" t="s">
        <v>717</v>
      </c>
      <c r="AD1234" t="s">
        <v>717</v>
      </c>
      <c r="AE1234" t="s">
        <v>6643</v>
      </c>
      <c r="AF1234" t="s">
        <v>717</v>
      </c>
      <c r="AG1234" t="s">
        <v>717</v>
      </c>
      <c r="AH1234" t="s">
        <v>717</v>
      </c>
      <c r="AI1234" t="s">
        <v>6644</v>
      </c>
      <c r="AJ1234" t="s">
        <v>6645</v>
      </c>
      <c r="AK1234" t="s">
        <v>29</v>
      </c>
      <c r="AL1234" t="s">
        <v>717</v>
      </c>
      <c r="AM1234" t="s">
        <v>10</v>
      </c>
      <c r="AN1234" t="s">
        <v>717</v>
      </c>
    </row>
    <row r="1235" spans="1:40" hidden="1">
      <c r="A1235">
        <v>1233</v>
      </c>
      <c r="B1235">
        <v>177</v>
      </c>
      <c r="C1235" s="58">
        <v>44785</v>
      </c>
      <c r="D1235" t="s">
        <v>27</v>
      </c>
      <c r="E1235" t="s">
        <v>2581</v>
      </c>
      <c r="F1235">
        <v>6</v>
      </c>
      <c r="G1235">
        <v>13</v>
      </c>
      <c r="H1235">
        <v>485</v>
      </c>
      <c r="I1235">
        <v>1</v>
      </c>
      <c r="J1235">
        <v>37.11</v>
      </c>
      <c r="K1235" t="s">
        <v>25</v>
      </c>
      <c r="L1235">
        <v>2684250</v>
      </c>
      <c r="M1235">
        <v>0</v>
      </c>
      <c r="N1235">
        <v>2684250</v>
      </c>
      <c r="O1235">
        <v>72332.255456750208</v>
      </c>
      <c r="P1235">
        <v>0</v>
      </c>
      <c r="Q1235">
        <v>2684250</v>
      </c>
      <c r="R1235">
        <v>72332.255456750208</v>
      </c>
      <c r="S1235" t="s">
        <v>130</v>
      </c>
      <c r="T1235" t="s">
        <v>717</v>
      </c>
      <c r="U1235" t="s">
        <v>717</v>
      </c>
      <c r="V1235" t="s">
        <v>717</v>
      </c>
      <c r="W1235">
        <v>44781</v>
      </c>
      <c r="X1235" t="s">
        <v>6660</v>
      </c>
      <c r="Y1235" t="s">
        <v>6642</v>
      </c>
      <c r="Z1235" t="s">
        <v>17</v>
      </c>
      <c r="AA1235" t="s">
        <v>717</v>
      </c>
      <c r="AB1235" t="s">
        <v>2509</v>
      </c>
      <c r="AC1235" t="s">
        <v>717</v>
      </c>
      <c r="AD1235" t="s">
        <v>717</v>
      </c>
      <c r="AE1235" t="s">
        <v>6643</v>
      </c>
      <c r="AF1235" t="s">
        <v>717</v>
      </c>
      <c r="AG1235" t="s">
        <v>717</v>
      </c>
      <c r="AH1235" t="s">
        <v>717</v>
      </c>
      <c r="AI1235" t="s">
        <v>6644</v>
      </c>
      <c r="AJ1235" t="s">
        <v>6645</v>
      </c>
      <c r="AK1235" t="s">
        <v>29</v>
      </c>
      <c r="AL1235" t="s">
        <v>717</v>
      </c>
      <c r="AM1235" t="s">
        <v>10</v>
      </c>
      <c r="AN1235" t="s">
        <v>717</v>
      </c>
    </row>
    <row r="1236" spans="1:40" hidden="1">
      <c r="A1236">
        <v>1234</v>
      </c>
      <c r="B1236">
        <v>178</v>
      </c>
      <c r="C1236" s="58">
        <v>44785</v>
      </c>
      <c r="D1236" t="s">
        <v>27</v>
      </c>
      <c r="E1236" t="s">
        <v>2581</v>
      </c>
      <c r="F1236">
        <v>7</v>
      </c>
      <c r="G1236">
        <v>13</v>
      </c>
      <c r="H1236">
        <v>486</v>
      </c>
      <c r="I1236">
        <v>2</v>
      </c>
      <c r="J1236">
        <v>59.93</v>
      </c>
      <c r="K1236" t="s">
        <v>25</v>
      </c>
      <c r="L1236">
        <v>4305750</v>
      </c>
      <c r="M1236">
        <v>0</v>
      </c>
      <c r="N1236">
        <v>4305750</v>
      </c>
      <c r="O1236">
        <v>71846.320707492079</v>
      </c>
      <c r="P1236">
        <v>0</v>
      </c>
      <c r="Q1236">
        <v>4305750</v>
      </c>
      <c r="R1236">
        <v>71846.320707492079</v>
      </c>
      <c r="S1236" t="s">
        <v>130</v>
      </c>
      <c r="T1236" t="s">
        <v>717</v>
      </c>
      <c r="U1236" t="s">
        <v>717</v>
      </c>
      <c r="V1236" t="s">
        <v>717</v>
      </c>
      <c r="W1236">
        <v>44781</v>
      </c>
      <c r="X1236" t="s">
        <v>6660</v>
      </c>
      <c r="Y1236" t="s">
        <v>6642</v>
      </c>
      <c r="Z1236" t="s">
        <v>17</v>
      </c>
      <c r="AA1236" t="s">
        <v>717</v>
      </c>
      <c r="AB1236" t="s">
        <v>2509</v>
      </c>
      <c r="AC1236" t="s">
        <v>717</v>
      </c>
      <c r="AD1236" t="s">
        <v>717</v>
      </c>
      <c r="AE1236" t="s">
        <v>6643</v>
      </c>
      <c r="AF1236" t="s">
        <v>717</v>
      </c>
      <c r="AG1236" t="s">
        <v>717</v>
      </c>
      <c r="AH1236" t="s">
        <v>717</v>
      </c>
      <c r="AI1236" t="s">
        <v>6644</v>
      </c>
      <c r="AJ1236" t="s">
        <v>6645</v>
      </c>
      <c r="AK1236" t="s">
        <v>29</v>
      </c>
      <c r="AL1236" t="s">
        <v>717</v>
      </c>
      <c r="AM1236" t="s">
        <v>10</v>
      </c>
      <c r="AN1236" t="s">
        <v>717</v>
      </c>
    </row>
    <row r="1237" spans="1:40" hidden="1">
      <c r="A1237">
        <v>1235</v>
      </c>
      <c r="B1237">
        <v>179</v>
      </c>
      <c r="C1237" s="58">
        <v>44785</v>
      </c>
      <c r="D1237" t="s">
        <v>27</v>
      </c>
      <c r="E1237" t="s">
        <v>2581</v>
      </c>
      <c r="F1237">
        <v>1</v>
      </c>
      <c r="G1237">
        <v>14</v>
      </c>
      <c r="H1237">
        <v>488</v>
      </c>
      <c r="I1237">
        <v>3</v>
      </c>
      <c r="J1237">
        <v>82.76</v>
      </c>
      <c r="K1237" t="s">
        <v>25</v>
      </c>
      <c r="L1237">
        <v>6017250</v>
      </c>
      <c r="M1237">
        <v>0</v>
      </c>
      <c r="N1237">
        <v>6017250</v>
      </c>
      <c r="O1237">
        <v>72707.225712904779</v>
      </c>
      <c r="P1237">
        <v>0</v>
      </c>
      <c r="Q1237">
        <v>6017250</v>
      </c>
      <c r="R1237">
        <v>72707.225712904779</v>
      </c>
      <c r="S1237" t="s">
        <v>130</v>
      </c>
      <c r="T1237" t="s">
        <v>717</v>
      </c>
      <c r="U1237" t="s">
        <v>717</v>
      </c>
      <c r="V1237" t="s">
        <v>717</v>
      </c>
      <c r="W1237">
        <v>44781</v>
      </c>
      <c r="X1237" t="s">
        <v>6660</v>
      </c>
      <c r="Y1237" t="s">
        <v>6642</v>
      </c>
      <c r="Z1237" t="s">
        <v>17</v>
      </c>
      <c r="AA1237" t="s">
        <v>717</v>
      </c>
      <c r="AB1237" t="s">
        <v>2509</v>
      </c>
      <c r="AC1237" t="s">
        <v>717</v>
      </c>
      <c r="AD1237" t="s">
        <v>717</v>
      </c>
      <c r="AE1237" t="s">
        <v>6643</v>
      </c>
      <c r="AF1237" t="s">
        <v>717</v>
      </c>
      <c r="AG1237" t="s">
        <v>717</v>
      </c>
      <c r="AH1237" t="s">
        <v>717</v>
      </c>
      <c r="AI1237" t="s">
        <v>6644</v>
      </c>
      <c r="AJ1237" t="s">
        <v>6645</v>
      </c>
      <c r="AK1237" t="s">
        <v>29</v>
      </c>
      <c r="AL1237" t="s">
        <v>717</v>
      </c>
      <c r="AM1237" t="s">
        <v>10</v>
      </c>
      <c r="AN1237" t="s">
        <v>717</v>
      </c>
    </row>
    <row r="1238" spans="1:40" hidden="1">
      <c r="A1238">
        <v>1236</v>
      </c>
      <c r="B1238">
        <v>180</v>
      </c>
      <c r="C1238" s="58">
        <v>44785</v>
      </c>
      <c r="D1238" t="s">
        <v>27</v>
      </c>
      <c r="E1238" t="s">
        <v>2581</v>
      </c>
      <c r="F1238">
        <v>2</v>
      </c>
      <c r="G1238">
        <v>14</v>
      </c>
      <c r="H1238">
        <v>489</v>
      </c>
      <c r="I1238">
        <v>1</v>
      </c>
      <c r="J1238">
        <v>37.159999999999997</v>
      </c>
      <c r="K1238" t="s">
        <v>25</v>
      </c>
      <c r="L1238">
        <v>2688000</v>
      </c>
      <c r="M1238">
        <v>0</v>
      </c>
      <c r="N1238">
        <v>2688000</v>
      </c>
      <c r="O1238">
        <v>72335.844994617873</v>
      </c>
      <c r="P1238">
        <v>0</v>
      </c>
      <c r="Q1238">
        <v>2688000</v>
      </c>
      <c r="R1238">
        <v>72335.844994617873</v>
      </c>
      <c r="S1238" t="s">
        <v>130</v>
      </c>
      <c r="T1238" t="s">
        <v>717</v>
      </c>
      <c r="U1238" t="s">
        <v>717</v>
      </c>
      <c r="V1238" t="s">
        <v>717</v>
      </c>
      <c r="W1238">
        <v>44781</v>
      </c>
      <c r="X1238" t="s">
        <v>6660</v>
      </c>
      <c r="Y1238" t="s">
        <v>6642</v>
      </c>
      <c r="Z1238" t="s">
        <v>17</v>
      </c>
      <c r="AA1238" t="s">
        <v>717</v>
      </c>
      <c r="AB1238" t="s">
        <v>2509</v>
      </c>
      <c r="AC1238" t="s">
        <v>717</v>
      </c>
      <c r="AD1238" t="s">
        <v>717</v>
      </c>
      <c r="AE1238" t="s">
        <v>6643</v>
      </c>
      <c r="AF1238" t="s">
        <v>717</v>
      </c>
      <c r="AG1238" t="s">
        <v>717</v>
      </c>
      <c r="AH1238" t="s">
        <v>717</v>
      </c>
      <c r="AI1238" t="s">
        <v>6644</v>
      </c>
      <c r="AJ1238" t="s">
        <v>6645</v>
      </c>
      <c r="AK1238" t="s">
        <v>29</v>
      </c>
      <c r="AL1238" t="s">
        <v>717</v>
      </c>
      <c r="AM1238" t="s">
        <v>10</v>
      </c>
      <c r="AN1238" t="s">
        <v>717</v>
      </c>
    </row>
    <row r="1239" spans="1:40" hidden="1">
      <c r="A1239">
        <v>1237</v>
      </c>
      <c r="B1239">
        <v>181</v>
      </c>
      <c r="C1239" s="58">
        <v>44785</v>
      </c>
      <c r="D1239" t="s">
        <v>27</v>
      </c>
      <c r="E1239" t="s">
        <v>2581</v>
      </c>
      <c r="F1239">
        <v>1</v>
      </c>
      <c r="G1239">
        <v>15</v>
      </c>
      <c r="H1239">
        <v>496</v>
      </c>
      <c r="I1239">
        <v>3</v>
      </c>
      <c r="J1239">
        <v>82.76</v>
      </c>
      <c r="K1239" t="s">
        <v>25</v>
      </c>
      <c r="L1239">
        <v>6017250</v>
      </c>
      <c r="M1239">
        <v>0</v>
      </c>
      <c r="N1239">
        <v>6017250</v>
      </c>
      <c r="O1239">
        <v>72707.225712904779</v>
      </c>
      <c r="P1239">
        <v>0</v>
      </c>
      <c r="Q1239">
        <v>6017250</v>
      </c>
      <c r="R1239">
        <v>72707.225712904779</v>
      </c>
      <c r="S1239" t="s">
        <v>130</v>
      </c>
      <c r="T1239" t="s">
        <v>717</v>
      </c>
      <c r="U1239" t="s">
        <v>717</v>
      </c>
      <c r="V1239" t="s">
        <v>717</v>
      </c>
      <c r="W1239">
        <v>44781</v>
      </c>
      <c r="X1239" t="s">
        <v>6661</v>
      </c>
      <c r="Y1239" t="s">
        <v>6642</v>
      </c>
      <c r="Z1239" t="s">
        <v>17</v>
      </c>
      <c r="AA1239" t="s">
        <v>717</v>
      </c>
      <c r="AB1239" t="s">
        <v>2509</v>
      </c>
      <c r="AC1239" t="s">
        <v>717</v>
      </c>
      <c r="AD1239" t="s">
        <v>717</v>
      </c>
      <c r="AE1239" t="s">
        <v>6643</v>
      </c>
      <c r="AF1239" t="s">
        <v>717</v>
      </c>
      <c r="AG1239" t="s">
        <v>717</v>
      </c>
      <c r="AH1239" t="s">
        <v>717</v>
      </c>
      <c r="AI1239" t="s">
        <v>6644</v>
      </c>
      <c r="AJ1239" t="s">
        <v>6645</v>
      </c>
      <c r="AK1239" t="s">
        <v>29</v>
      </c>
      <c r="AL1239" t="s">
        <v>717</v>
      </c>
      <c r="AM1239" t="s">
        <v>10</v>
      </c>
      <c r="AN1239" t="s">
        <v>717</v>
      </c>
    </row>
    <row r="1240" spans="1:40" hidden="1">
      <c r="A1240">
        <v>1238</v>
      </c>
      <c r="B1240">
        <v>182</v>
      </c>
      <c r="C1240" s="58">
        <v>44785</v>
      </c>
      <c r="D1240" t="s">
        <v>27</v>
      </c>
      <c r="E1240" t="s">
        <v>2581</v>
      </c>
      <c r="F1240">
        <v>2</v>
      </c>
      <c r="G1240">
        <v>15</v>
      </c>
      <c r="H1240">
        <v>497</v>
      </c>
      <c r="I1240">
        <v>1</v>
      </c>
      <c r="J1240">
        <v>37.159999999999997</v>
      </c>
      <c r="K1240" t="s">
        <v>25</v>
      </c>
      <c r="L1240">
        <v>2688000</v>
      </c>
      <c r="M1240">
        <v>0</v>
      </c>
      <c r="N1240">
        <v>2688000</v>
      </c>
      <c r="O1240">
        <v>72335.844994617873</v>
      </c>
      <c r="P1240">
        <v>0</v>
      </c>
      <c r="Q1240">
        <v>2688000</v>
      </c>
      <c r="R1240">
        <v>72335.844994617873</v>
      </c>
      <c r="S1240" t="s">
        <v>130</v>
      </c>
      <c r="T1240" t="s">
        <v>717</v>
      </c>
      <c r="U1240" t="s">
        <v>717</v>
      </c>
      <c r="V1240" t="s">
        <v>717</v>
      </c>
      <c r="W1240">
        <v>44781</v>
      </c>
      <c r="X1240" t="s">
        <v>6661</v>
      </c>
      <c r="Y1240" t="s">
        <v>6642</v>
      </c>
      <c r="Z1240" t="s">
        <v>17</v>
      </c>
      <c r="AA1240" t="s">
        <v>717</v>
      </c>
      <c r="AB1240" t="s">
        <v>2509</v>
      </c>
      <c r="AC1240" t="s">
        <v>717</v>
      </c>
      <c r="AD1240" t="s">
        <v>717</v>
      </c>
      <c r="AE1240" t="s">
        <v>6643</v>
      </c>
      <c r="AF1240" t="s">
        <v>717</v>
      </c>
      <c r="AG1240" t="s">
        <v>717</v>
      </c>
      <c r="AH1240" t="s">
        <v>717</v>
      </c>
      <c r="AI1240" t="s">
        <v>6644</v>
      </c>
      <c r="AJ1240" t="s">
        <v>6645</v>
      </c>
      <c r="AK1240" t="s">
        <v>29</v>
      </c>
      <c r="AL1240" t="s">
        <v>717</v>
      </c>
      <c r="AM1240" t="s">
        <v>10</v>
      </c>
      <c r="AN1240" t="s">
        <v>717</v>
      </c>
    </row>
    <row r="1241" spans="1:40" hidden="1">
      <c r="A1241">
        <v>1239</v>
      </c>
      <c r="B1241">
        <v>183</v>
      </c>
      <c r="C1241" s="58">
        <v>44785</v>
      </c>
      <c r="D1241" t="s">
        <v>27</v>
      </c>
      <c r="E1241" t="s">
        <v>2581</v>
      </c>
      <c r="F1241">
        <v>4</v>
      </c>
      <c r="G1241">
        <v>15</v>
      </c>
      <c r="H1241">
        <v>499</v>
      </c>
      <c r="I1241">
        <v>1</v>
      </c>
      <c r="J1241">
        <v>40</v>
      </c>
      <c r="K1241" t="s">
        <v>25</v>
      </c>
      <c r="L1241">
        <v>2901750</v>
      </c>
      <c r="M1241">
        <v>0</v>
      </c>
      <c r="N1241">
        <v>2901750</v>
      </c>
      <c r="O1241">
        <v>72543.75</v>
      </c>
      <c r="P1241">
        <v>0</v>
      </c>
      <c r="Q1241">
        <v>2901750</v>
      </c>
      <c r="R1241">
        <v>72543.75</v>
      </c>
      <c r="S1241" t="s">
        <v>130</v>
      </c>
      <c r="T1241" t="s">
        <v>717</v>
      </c>
      <c r="U1241" t="s">
        <v>717</v>
      </c>
      <c r="V1241" t="s">
        <v>717</v>
      </c>
      <c r="W1241">
        <v>44781</v>
      </c>
      <c r="X1241" t="s">
        <v>6661</v>
      </c>
      <c r="Y1241" t="s">
        <v>6642</v>
      </c>
      <c r="Z1241" t="s">
        <v>17</v>
      </c>
      <c r="AA1241" t="s">
        <v>717</v>
      </c>
      <c r="AB1241" t="s">
        <v>2509</v>
      </c>
      <c r="AC1241" t="s">
        <v>717</v>
      </c>
      <c r="AD1241" t="s">
        <v>717</v>
      </c>
      <c r="AE1241" t="s">
        <v>6643</v>
      </c>
      <c r="AF1241" t="s">
        <v>717</v>
      </c>
      <c r="AG1241" t="s">
        <v>717</v>
      </c>
      <c r="AH1241" t="s">
        <v>717</v>
      </c>
      <c r="AI1241" t="s">
        <v>6644</v>
      </c>
      <c r="AJ1241" t="s">
        <v>6645</v>
      </c>
      <c r="AK1241" t="s">
        <v>29</v>
      </c>
      <c r="AL1241" t="s">
        <v>717</v>
      </c>
      <c r="AM1241" t="s">
        <v>10</v>
      </c>
      <c r="AN1241" t="s">
        <v>717</v>
      </c>
    </row>
    <row r="1242" spans="1:40" hidden="1">
      <c r="A1242">
        <v>1240</v>
      </c>
      <c r="B1242">
        <v>184</v>
      </c>
      <c r="C1242" s="58">
        <v>44785</v>
      </c>
      <c r="D1242" t="s">
        <v>27</v>
      </c>
      <c r="E1242" t="s">
        <v>2581</v>
      </c>
      <c r="F1242">
        <v>7</v>
      </c>
      <c r="G1242">
        <v>15</v>
      </c>
      <c r="H1242">
        <v>502</v>
      </c>
      <c r="I1242">
        <v>2</v>
      </c>
      <c r="J1242">
        <v>59.93</v>
      </c>
      <c r="K1242" t="s">
        <v>25</v>
      </c>
      <c r="L1242">
        <v>4305750</v>
      </c>
      <c r="M1242">
        <v>0</v>
      </c>
      <c r="N1242">
        <v>4305750</v>
      </c>
      <c r="O1242">
        <v>71846.320707492079</v>
      </c>
      <c r="P1242">
        <v>0</v>
      </c>
      <c r="Q1242">
        <v>4305750</v>
      </c>
      <c r="R1242">
        <v>71846.320707492079</v>
      </c>
      <c r="S1242" t="s">
        <v>130</v>
      </c>
      <c r="T1242" t="s">
        <v>717</v>
      </c>
      <c r="U1242" t="s">
        <v>717</v>
      </c>
      <c r="V1242" t="s">
        <v>717</v>
      </c>
      <c r="W1242">
        <v>44781</v>
      </c>
      <c r="X1242" t="s">
        <v>6661</v>
      </c>
      <c r="Y1242" t="s">
        <v>6642</v>
      </c>
      <c r="Z1242" t="s">
        <v>17</v>
      </c>
      <c r="AA1242" t="s">
        <v>717</v>
      </c>
      <c r="AB1242" t="s">
        <v>2509</v>
      </c>
      <c r="AC1242" t="s">
        <v>717</v>
      </c>
      <c r="AD1242" t="s">
        <v>717</v>
      </c>
      <c r="AE1242" t="s">
        <v>6643</v>
      </c>
      <c r="AF1242" t="s">
        <v>717</v>
      </c>
      <c r="AG1242" t="s">
        <v>717</v>
      </c>
      <c r="AH1242" t="s">
        <v>717</v>
      </c>
      <c r="AI1242" t="s">
        <v>6644</v>
      </c>
      <c r="AJ1242" t="s">
        <v>6645</v>
      </c>
      <c r="AK1242" t="s">
        <v>29</v>
      </c>
      <c r="AL1242" t="s">
        <v>717</v>
      </c>
      <c r="AM1242" t="s">
        <v>10</v>
      </c>
      <c r="AN1242" t="s">
        <v>717</v>
      </c>
    </row>
    <row r="1243" spans="1:40" hidden="1">
      <c r="A1243">
        <v>1241</v>
      </c>
      <c r="B1243">
        <v>185</v>
      </c>
      <c r="C1243" s="58">
        <v>44785</v>
      </c>
      <c r="D1243" t="s">
        <v>27</v>
      </c>
      <c r="E1243" t="s">
        <v>2581</v>
      </c>
      <c r="F1243">
        <v>8</v>
      </c>
      <c r="G1243">
        <v>15</v>
      </c>
      <c r="H1243">
        <v>503</v>
      </c>
      <c r="I1243">
        <v>2</v>
      </c>
      <c r="J1243">
        <v>55.8</v>
      </c>
      <c r="K1243" t="s">
        <v>25</v>
      </c>
      <c r="L1243">
        <v>4097250</v>
      </c>
      <c r="M1243">
        <v>0</v>
      </c>
      <c r="N1243">
        <v>4097250</v>
      </c>
      <c r="O1243">
        <v>73427.419354838727</v>
      </c>
      <c r="P1243">
        <v>0</v>
      </c>
      <c r="Q1243">
        <v>4097250</v>
      </c>
      <c r="R1243">
        <v>73427.419354838727</v>
      </c>
      <c r="S1243" t="s">
        <v>130</v>
      </c>
      <c r="T1243" t="s">
        <v>717</v>
      </c>
      <c r="U1243" t="s">
        <v>717</v>
      </c>
      <c r="V1243" t="s">
        <v>717</v>
      </c>
      <c r="W1243">
        <v>44781</v>
      </c>
      <c r="X1243" t="s">
        <v>6661</v>
      </c>
      <c r="Y1243" t="s">
        <v>6642</v>
      </c>
      <c r="Z1243" t="s">
        <v>17</v>
      </c>
      <c r="AA1243" t="s">
        <v>717</v>
      </c>
      <c r="AB1243" t="s">
        <v>2509</v>
      </c>
      <c r="AC1243" t="s">
        <v>717</v>
      </c>
      <c r="AD1243" t="s">
        <v>717</v>
      </c>
      <c r="AE1243" t="s">
        <v>6643</v>
      </c>
      <c r="AF1243" t="s">
        <v>717</v>
      </c>
      <c r="AG1243" t="s">
        <v>717</v>
      </c>
      <c r="AH1243" t="s">
        <v>717</v>
      </c>
      <c r="AI1243" t="s">
        <v>6644</v>
      </c>
      <c r="AJ1243" t="s">
        <v>6645</v>
      </c>
      <c r="AK1243" t="s">
        <v>29</v>
      </c>
      <c r="AL1243" t="s">
        <v>717</v>
      </c>
      <c r="AM1243" t="s">
        <v>10</v>
      </c>
      <c r="AN1243" t="s">
        <v>717</v>
      </c>
    </row>
    <row r="1244" spans="1:40" hidden="1">
      <c r="A1244">
        <v>1242</v>
      </c>
      <c r="B1244">
        <v>186</v>
      </c>
      <c r="C1244" s="58">
        <v>44785</v>
      </c>
      <c r="D1244" t="s">
        <v>27</v>
      </c>
      <c r="E1244" t="s">
        <v>2581</v>
      </c>
      <c r="F1244">
        <v>1</v>
      </c>
      <c r="G1244">
        <v>16</v>
      </c>
      <c r="H1244">
        <v>504</v>
      </c>
      <c r="I1244">
        <v>3</v>
      </c>
      <c r="J1244">
        <v>82.76</v>
      </c>
      <c r="K1244" t="s">
        <v>25</v>
      </c>
      <c r="L1244">
        <v>6017250</v>
      </c>
      <c r="M1244">
        <v>0</v>
      </c>
      <c r="N1244">
        <v>6017250</v>
      </c>
      <c r="O1244">
        <v>72707.225712904779</v>
      </c>
      <c r="P1244">
        <v>0</v>
      </c>
      <c r="Q1244">
        <v>6017250</v>
      </c>
      <c r="R1244">
        <v>72707.225712904779</v>
      </c>
      <c r="S1244" t="s">
        <v>130</v>
      </c>
      <c r="T1244" t="s">
        <v>717</v>
      </c>
      <c r="U1244" t="s">
        <v>717</v>
      </c>
      <c r="V1244" t="s">
        <v>717</v>
      </c>
      <c r="W1244">
        <v>44781</v>
      </c>
      <c r="X1244" t="s">
        <v>6661</v>
      </c>
      <c r="Y1244" t="s">
        <v>6642</v>
      </c>
      <c r="Z1244" t="s">
        <v>17</v>
      </c>
      <c r="AA1244" t="s">
        <v>717</v>
      </c>
      <c r="AB1244" t="s">
        <v>2509</v>
      </c>
      <c r="AC1244" t="s">
        <v>717</v>
      </c>
      <c r="AD1244" t="s">
        <v>717</v>
      </c>
      <c r="AE1244" t="s">
        <v>6643</v>
      </c>
      <c r="AF1244" t="s">
        <v>717</v>
      </c>
      <c r="AG1244" t="s">
        <v>717</v>
      </c>
      <c r="AH1244" t="s">
        <v>717</v>
      </c>
      <c r="AI1244" t="s">
        <v>6644</v>
      </c>
      <c r="AJ1244" t="s">
        <v>6645</v>
      </c>
      <c r="AK1244" t="s">
        <v>29</v>
      </c>
      <c r="AL1244" t="s">
        <v>717</v>
      </c>
      <c r="AM1244" t="s">
        <v>10</v>
      </c>
      <c r="AN1244" t="s">
        <v>717</v>
      </c>
    </row>
    <row r="1245" spans="1:40" hidden="1">
      <c r="A1245">
        <v>1243</v>
      </c>
      <c r="B1245">
        <v>187</v>
      </c>
      <c r="C1245" s="58">
        <v>44785</v>
      </c>
      <c r="D1245" t="s">
        <v>27</v>
      </c>
      <c r="E1245" t="s">
        <v>2581</v>
      </c>
      <c r="F1245">
        <v>2</v>
      </c>
      <c r="G1245">
        <v>16</v>
      </c>
      <c r="H1245">
        <v>505</v>
      </c>
      <c r="I1245">
        <v>1</v>
      </c>
      <c r="J1245">
        <v>37.159999999999997</v>
      </c>
      <c r="K1245" t="s">
        <v>25</v>
      </c>
      <c r="L1245">
        <v>2688000</v>
      </c>
      <c r="M1245">
        <v>0</v>
      </c>
      <c r="N1245">
        <v>2688000</v>
      </c>
      <c r="O1245">
        <v>72335.844994617873</v>
      </c>
      <c r="P1245">
        <v>0</v>
      </c>
      <c r="Q1245">
        <v>2688000</v>
      </c>
      <c r="R1245">
        <v>72335.844994617873</v>
      </c>
      <c r="S1245" t="s">
        <v>130</v>
      </c>
      <c r="T1245" t="s">
        <v>717</v>
      </c>
      <c r="U1245" t="s">
        <v>717</v>
      </c>
      <c r="V1245" t="s">
        <v>717</v>
      </c>
      <c r="W1245">
        <v>44781</v>
      </c>
      <c r="X1245" t="s">
        <v>6661</v>
      </c>
      <c r="Y1245" t="s">
        <v>6642</v>
      </c>
      <c r="Z1245" t="s">
        <v>17</v>
      </c>
      <c r="AA1245" t="s">
        <v>717</v>
      </c>
      <c r="AB1245" t="s">
        <v>2509</v>
      </c>
      <c r="AC1245" t="s">
        <v>717</v>
      </c>
      <c r="AD1245" t="s">
        <v>717</v>
      </c>
      <c r="AE1245" t="s">
        <v>6643</v>
      </c>
      <c r="AF1245" t="s">
        <v>717</v>
      </c>
      <c r="AG1245" t="s">
        <v>717</v>
      </c>
      <c r="AH1245" t="s">
        <v>717</v>
      </c>
      <c r="AI1245" t="s">
        <v>6644</v>
      </c>
      <c r="AJ1245" t="s">
        <v>6645</v>
      </c>
      <c r="AK1245" t="s">
        <v>29</v>
      </c>
      <c r="AL1245" t="s">
        <v>717</v>
      </c>
      <c r="AM1245" t="s">
        <v>10</v>
      </c>
      <c r="AN1245" t="s">
        <v>717</v>
      </c>
    </row>
    <row r="1246" spans="1:40" hidden="1">
      <c r="A1246">
        <v>1244</v>
      </c>
      <c r="B1246">
        <v>188</v>
      </c>
      <c r="C1246" s="58">
        <v>44785</v>
      </c>
      <c r="D1246" t="s">
        <v>27</v>
      </c>
      <c r="E1246" t="s">
        <v>2581</v>
      </c>
      <c r="F1246">
        <v>4</v>
      </c>
      <c r="G1246">
        <v>16</v>
      </c>
      <c r="H1246">
        <v>507</v>
      </c>
      <c r="I1246">
        <v>1</v>
      </c>
      <c r="J1246">
        <v>40</v>
      </c>
      <c r="K1246" t="s">
        <v>25</v>
      </c>
      <c r="L1246">
        <v>2901750</v>
      </c>
      <c r="M1246">
        <v>0</v>
      </c>
      <c r="N1246">
        <v>2901750</v>
      </c>
      <c r="O1246">
        <v>72543.75</v>
      </c>
      <c r="P1246">
        <v>0</v>
      </c>
      <c r="Q1246">
        <v>2901750</v>
      </c>
      <c r="R1246">
        <v>72543.75</v>
      </c>
      <c r="S1246" t="s">
        <v>130</v>
      </c>
      <c r="T1246" t="s">
        <v>717</v>
      </c>
      <c r="U1246" t="s">
        <v>717</v>
      </c>
      <c r="V1246" t="s">
        <v>717</v>
      </c>
      <c r="W1246">
        <v>44781</v>
      </c>
      <c r="X1246" t="s">
        <v>6661</v>
      </c>
      <c r="Y1246" t="s">
        <v>6642</v>
      </c>
      <c r="Z1246" t="s">
        <v>17</v>
      </c>
      <c r="AA1246" t="s">
        <v>717</v>
      </c>
      <c r="AB1246" t="s">
        <v>2509</v>
      </c>
      <c r="AC1246" t="s">
        <v>717</v>
      </c>
      <c r="AD1246" t="s">
        <v>717</v>
      </c>
      <c r="AE1246" t="s">
        <v>6643</v>
      </c>
      <c r="AF1246" t="s">
        <v>717</v>
      </c>
      <c r="AG1246" t="s">
        <v>717</v>
      </c>
      <c r="AH1246" t="s">
        <v>717</v>
      </c>
      <c r="AI1246" t="s">
        <v>6644</v>
      </c>
      <c r="AJ1246" t="s">
        <v>6645</v>
      </c>
      <c r="AK1246" t="s">
        <v>29</v>
      </c>
      <c r="AL1246" t="s">
        <v>717</v>
      </c>
      <c r="AM1246" t="s">
        <v>10</v>
      </c>
      <c r="AN1246" t="s">
        <v>717</v>
      </c>
    </row>
    <row r="1247" spans="1:40" hidden="1">
      <c r="A1247">
        <v>1245</v>
      </c>
      <c r="B1247">
        <v>189</v>
      </c>
      <c r="C1247" s="58">
        <v>44785</v>
      </c>
      <c r="D1247" t="s">
        <v>27</v>
      </c>
      <c r="E1247" t="s">
        <v>2581</v>
      </c>
      <c r="F1247">
        <v>7</v>
      </c>
      <c r="G1247">
        <v>16</v>
      </c>
      <c r="H1247">
        <v>510</v>
      </c>
      <c r="I1247">
        <v>2</v>
      </c>
      <c r="J1247">
        <v>59.93</v>
      </c>
      <c r="K1247" t="s">
        <v>25</v>
      </c>
      <c r="L1247">
        <v>4305750</v>
      </c>
      <c r="M1247">
        <v>0</v>
      </c>
      <c r="N1247">
        <v>4305750</v>
      </c>
      <c r="O1247">
        <v>71846.320707492079</v>
      </c>
      <c r="P1247">
        <v>0</v>
      </c>
      <c r="Q1247">
        <v>4305750</v>
      </c>
      <c r="R1247">
        <v>71846.320707492079</v>
      </c>
      <c r="S1247" t="s">
        <v>130</v>
      </c>
      <c r="T1247" t="s">
        <v>717</v>
      </c>
      <c r="U1247" t="s">
        <v>717</v>
      </c>
      <c r="V1247" t="s">
        <v>717</v>
      </c>
      <c r="W1247">
        <v>44781</v>
      </c>
      <c r="X1247" t="s">
        <v>6661</v>
      </c>
      <c r="Y1247" t="s">
        <v>6642</v>
      </c>
      <c r="Z1247" t="s">
        <v>17</v>
      </c>
      <c r="AA1247" t="s">
        <v>717</v>
      </c>
      <c r="AB1247" t="s">
        <v>2509</v>
      </c>
      <c r="AC1247" t="s">
        <v>717</v>
      </c>
      <c r="AD1247" t="s">
        <v>717</v>
      </c>
      <c r="AE1247" t="s">
        <v>6643</v>
      </c>
      <c r="AF1247" t="s">
        <v>717</v>
      </c>
      <c r="AG1247" t="s">
        <v>717</v>
      </c>
      <c r="AH1247" t="s">
        <v>717</v>
      </c>
      <c r="AI1247" t="s">
        <v>6644</v>
      </c>
      <c r="AJ1247" t="s">
        <v>6645</v>
      </c>
      <c r="AK1247" t="s">
        <v>29</v>
      </c>
      <c r="AL1247" t="s">
        <v>717</v>
      </c>
      <c r="AM1247" t="s">
        <v>10</v>
      </c>
      <c r="AN1247" t="s">
        <v>717</v>
      </c>
    </row>
    <row r="1248" spans="1:40" hidden="1">
      <c r="A1248">
        <v>1246</v>
      </c>
      <c r="B1248">
        <v>190</v>
      </c>
      <c r="C1248" s="58">
        <v>44785</v>
      </c>
      <c r="D1248" t="s">
        <v>27</v>
      </c>
      <c r="E1248" t="s">
        <v>2581</v>
      </c>
      <c r="F1248">
        <v>8</v>
      </c>
      <c r="G1248">
        <v>16</v>
      </c>
      <c r="H1248">
        <v>511</v>
      </c>
      <c r="I1248">
        <v>2</v>
      </c>
      <c r="J1248">
        <v>55.8</v>
      </c>
      <c r="K1248" t="s">
        <v>25</v>
      </c>
      <c r="L1248">
        <v>4097250</v>
      </c>
      <c r="M1248">
        <v>0</v>
      </c>
      <c r="N1248">
        <v>4097250</v>
      </c>
      <c r="O1248">
        <v>73427.419354838727</v>
      </c>
      <c r="P1248">
        <v>0</v>
      </c>
      <c r="Q1248">
        <v>4097250</v>
      </c>
      <c r="R1248">
        <v>73427.419354838727</v>
      </c>
      <c r="S1248" t="s">
        <v>130</v>
      </c>
      <c r="T1248" t="s">
        <v>717</v>
      </c>
      <c r="U1248" t="s">
        <v>717</v>
      </c>
      <c r="V1248" t="s">
        <v>717</v>
      </c>
      <c r="W1248">
        <v>44781</v>
      </c>
      <c r="X1248" t="s">
        <v>6661</v>
      </c>
      <c r="Y1248" t="s">
        <v>6642</v>
      </c>
      <c r="Z1248" t="s">
        <v>17</v>
      </c>
      <c r="AA1248" t="s">
        <v>717</v>
      </c>
      <c r="AB1248" t="s">
        <v>2509</v>
      </c>
      <c r="AC1248" t="s">
        <v>717</v>
      </c>
      <c r="AD1248" t="s">
        <v>717</v>
      </c>
      <c r="AE1248" t="s">
        <v>6643</v>
      </c>
      <c r="AF1248" t="s">
        <v>717</v>
      </c>
      <c r="AG1248" t="s">
        <v>717</v>
      </c>
      <c r="AH1248" t="s">
        <v>717</v>
      </c>
      <c r="AI1248" t="s">
        <v>6644</v>
      </c>
      <c r="AJ1248" t="s">
        <v>6645</v>
      </c>
      <c r="AK1248" t="s">
        <v>29</v>
      </c>
      <c r="AL1248" t="s">
        <v>717</v>
      </c>
      <c r="AM1248" t="s">
        <v>10</v>
      </c>
      <c r="AN1248" t="s">
        <v>717</v>
      </c>
    </row>
    <row r="1249" spans="1:40" hidden="1">
      <c r="A1249">
        <v>1247</v>
      </c>
      <c r="B1249">
        <v>191</v>
      </c>
      <c r="C1249" s="58">
        <v>44785</v>
      </c>
      <c r="D1249" t="s">
        <v>27</v>
      </c>
      <c r="E1249" t="s">
        <v>4409</v>
      </c>
      <c r="F1249">
        <v>7</v>
      </c>
      <c r="G1249">
        <v>2</v>
      </c>
      <c r="H1249">
        <v>518</v>
      </c>
      <c r="I1249">
        <v>2</v>
      </c>
      <c r="J1249">
        <v>59.93</v>
      </c>
      <c r="K1249" t="s">
        <v>25</v>
      </c>
      <c r="L1249">
        <v>4305750</v>
      </c>
      <c r="M1249">
        <v>0</v>
      </c>
      <c r="N1249">
        <v>4305750</v>
      </c>
      <c r="O1249">
        <v>71846.320707492079</v>
      </c>
      <c r="P1249">
        <v>0</v>
      </c>
      <c r="Q1249">
        <v>4305750</v>
      </c>
      <c r="R1249">
        <v>71846.320707492079</v>
      </c>
      <c r="S1249" t="s">
        <v>130</v>
      </c>
      <c r="T1249" t="s">
        <v>717</v>
      </c>
      <c r="U1249" t="s">
        <v>717</v>
      </c>
      <c r="V1249" t="s">
        <v>717</v>
      </c>
      <c r="W1249">
        <v>44781</v>
      </c>
      <c r="X1249" t="s">
        <v>6662</v>
      </c>
      <c r="Y1249" t="s">
        <v>6642</v>
      </c>
      <c r="Z1249" t="s">
        <v>17</v>
      </c>
      <c r="AA1249" t="s">
        <v>717</v>
      </c>
      <c r="AB1249" t="s">
        <v>2509</v>
      </c>
      <c r="AC1249" t="s">
        <v>717</v>
      </c>
      <c r="AD1249" t="s">
        <v>717</v>
      </c>
      <c r="AE1249" t="s">
        <v>6643</v>
      </c>
      <c r="AF1249" t="s">
        <v>717</v>
      </c>
      <c r="AG1249" t="s">
        <v>717</v>
      </c>
      <c r="AH1249" t="s">
        <v>717</v>
      </c>
      <c r="AI1249" t="s">
        <v>6644</v>
      </c>
      <c r="AJ1249" t="s">
        <v>6645</v>
      </c>
      <c r="AK1249" t="s">
        <v>29</v>
      </c>
      <c r="AL1249" t="s">
        <v>717</v>
      </c>
      <c r="AM1249" t="s">
        <v>10</v>
      </c>
      <c r="AN1249" t="s">
        <v>717</v>
      </c>
    </row>
    <row r="1250" spans="1:40" hidden="1">
      <c r="A1250">
        <v>1248</v>
      </c>
      <c r="B1250">
        <v>192</v>
      </c>
      <c r="C1250" s="58">
        <v>44785</v>
      </c>
      <c r="D1250" t="s">
        <v>27</v>
      </c>
      <c r="E1250" t="s">
        <v>4409</v>
      </c>
      <c r="F1250">
        <v>8</v>
      </c>
      <c r="G1250">
        <v>2</v>
      </c>
      <c r="H1250">
        <v>519</v>
      </c>
      <c r="I1250">
        <v>2</v>
      </c>
      <c r="J1250">
        <v>55.21</v>
      </c>
      <c r="K1250" t="s">
        <v>25</v>
      </c>
      <c r="L1250">
        <v>4014000</v>
      </c>
      <c r="M1250">
        <v>0</v>
      </c>
      <c r="N1250">
        <v>4014000</v>
      </c>
      <c r="O1250">
        <v>72704.220249954713</v>
      </c>
      <c r="P1250">
        <v>0</v>
      </c>
      <c r="Q1250">
        <v>4014000</v>
      </c>
      <c r="R1250">
        <v>72704.220249954713</v>
      </c>
      <c r="S1250" t="s">
        <v>130</v>
      </c>
      <c r="T1250" t="s">
        <v>717</v>
      </c>
      <c r="U1250" t="s">
        <v>717</v>
      </c>
      <c r="V1250" t="s">
        <v>717</v>
      </c>
      <c r="W1250">
        <v>44781</v>
      </c>
      <c r="X1250" t="s">
        <v>6662</v>
      </c>
      <c r="Y1250" t="s">
        <v>6642</v>
      </c>
      <c r="Z1250" t="s">
        <v>17</v>
      </c>
      <c r="AA1250" t="s">
        <v>717</v>
      </c>
      <c r="AB1250" t="s">
        <v>2509</v>
      </c>
      <c r="AC1250" t="s">
        <v>717</v>
      </c>
      <c r="AD1250" t="s">
        <v>717</v>
      </c>
      <c r="AE1250" t="s">
        <v>6643</v>
      </c>
      <c r="AF1250" t="s">
        <v>717</v>
      </c>
      <c r="AG1250" t="s">
        <v>717</v>
      </c>
      <c r="AH1250" t="s">
        <v>717</v>
      </c>
      <c r="AI1250" t="s">
        <v>6644</v>
      </c>
      <c r="AJ1250" t="s">
        <v>6645</v>
      </c>
      <c r="AK1250" t="s">
        <v>29</v>
      </c>
      <c r="AL1250" t="s">
        <v>717</v>
      </c>
      <c r="AM1250" t="s">
        <v>10</v>
      </c>
      <c r="AN1250" t="s">
        <v>717</v>
      </c>
    </row>
    <row r="1251" spans="1:40" hidden="1">
      <c r="A1251">
        <v>1249</v>
      </c>
      <c r="B1251">
        <v>193</v>
      </c>
      <c r="C1251" s="58">
        <v>44785</v>
      </c>
      <c r="D1251" t="s">
        <v>27</v>
      </c>
      <c r="E1251" t="s">
        <v>4409</v>
      </c>
      <c r="F1251">
        <v>2</v>
      </c>
      <c r="G1251">
        <v>3</v>
      </c>
      <c r="H1251">
        <v>521</v>
      </c>
      <c r="I1251">
        <v>1</v>
      </c>
      <c r="J1251">
        <v>37.159999999999997</v>
      </c>
      <c r="K1251" t="s">
        <v>25</v>
      </c>
      <c r="L1251">
        <v>2688000</v>
      </c>
      <c r="M1251">
        <v>0</v>
      </c>
      <c r="N1251">
        <v>2688000</v>
      </c>
      <c r="O1251">
        <v>72335.844994617873</v>
      </c>
      <c r="P1251">
        <v>0</v>
      </c>
      <c r="Q1251">
        <v>2688000</v>
      </c>
      <c r="R1251">
        <v>72335.844994617873</v>
      </c>
      <c r="S1251" t="s">
        <v>130</v>
      </c>
      <c r="T1251" t="s">
        <v>717</v>
      </c>
      <c r="U1251" t="s">
        <v>717</v>
      </c>
      <c r="V1251" t="s">
        <v>717</v>
      </c>
      <c r="W1251">
        <v>44781</v>
      </c>
      <c r="X1251" t="s">
        <v>6662</v>
      </c>
      <c r="Y1251" t="s">
        <v>6642</v>
      </c>
      <c r="Z1251" t="s">
        <v>17</v>
      </c>
      <c r="AA1251" t="s">
        <v>717</v>
      </c>
      <c r="AB1251" t="s">
        <v>2509</v>
      </c>
      <c r="AC1251" t="s">
        <v>717</v>
      </c>
      <c r="AD1251" t="s">
        <v>717</v>
      </c>
      <c r="AE1251" t="s">
        <v>6643</v>
      </c>
      <c r="AF1251" t="s">
        <v>717</v>
      </c>
      <c r="AG1251" t="s">
        <v>717</v>
      </c>
      <c r="AH1251" t="s">
        <v>717</v>
      </c>
      <c r="AI1251" t="s">
        <v>6644</v>
      </c>
      <c r="AJ1251" t="s">
        <v>6645</v>
      </c>
      <c r="AK1251" t="s">
        <v>29</v>
      </c>
      <c r="AL1251" t="s">
        <v>717</v>
      </c>
      <c r="AM1251" t="s">
        <v>10</v>
      </c>
      <c r="AN1251" t="s">
        <v>717</v>
      </c>
    </row>
    <row r="1252" spans="1:40" hidden="1">
      <c r="A1252">
        <v>1250</v>
      </c>
      <c r="B1252">
        <v>194</v>
      </c>
      <c r="C1252" s="58">
        <v>44785</v>
      </c>
      <c r="D1252" t="s">
        <v>27</v>
      </c>
      <c r="E1252" t="s">
        <v>4409</v>
      </c>
      <c r="F1252">
        <v>2</v>
      </c>
      <c r="G1252">
        <v>4</v>
      </c>
      <c r="H1252">
        <v>529</v>
      </c>
      <c r="I1252">
        <v>1</v>
      </c>
      <c r="J1252">
        <v>37.159999999999997</v>
      </c>
      <c r="K1252" t="s">
        <v>25</v>
      </c>
      <c r="L1252">
        <v>2688000</v>
      </c>
      <c r="M1252">
        <v>0</v>
      </c>
      <c r="N1252">
        <v>2688000</v>
      </c>
      <c r="O1252">
        <v>72335.844994617873</v>
      </c>
      <c r="P1252">
        <v>0</v>
      </c>
      <c r="Q1252">
        <v>2688000</v>
      </c>
      <c r="R1252">
        <v>72335.844994617873</v>
      </c>
      <c r="S1252" t="s">
        <v>130</v>
      </c>
      <c r="T1252" t="s">
        <v>717</v>
      </c>
      <c r="U1252" t="s">
        <v>717</v>
      </c>
      <c r="V1252" t="s">
        <v>717</v>
      </c>
      <c r="W1252">
        <v>44781</v>
      </c>
      <c r="X1252" t="s">
        <v>6662</v>
      </c>
      <c r="Y1252" t="s">
        <v>6642</v>
      </c>
      <c r="Z1252" t="s">
        <v>17</v>
      </c>
      <c r="AA1252" t="s">
        <v>717</v>
      </c>
      <c r="AB1252" t="s">
        <v>2509</v>
      </c>
      <c r="AC1252" t="s">
        <v>717</v>
      </c>
      <c r="AD1252" t="s">
        <v>717</v>
      </c>
      <c r="AE1252" t="s">
        <v>6643</v>
      </c>
      <c r="AF1252" t="s">
        <v>717</v>
      </c>
      <c r="AG1252" t="s">
        <v>717</v>
      </c>
      <c r="AH1252" t="s">
        <v>717</v>
      </c>
      <c r="AI1252" t="s">
        <v>6644</v>
      </c>
      <c r="AJ1252" t="s">
        <v>6645</v>
      </c>
      <c r="AK1252" t="s">
        <v>29</v>
      </c>
      <c r="AL1252" t="s">
        <v>717</v>
      </c>
      <c r="AM1252" t="s">
        <v>10</v>
      </c>
      <c r="AN1252" t="s">
        <v>717</v>
      </c>
    </row>
    <row r="1253" spans="1:40" hidden="1">
      <c r="A1253">
        <v>1251</v>
      </c>
      <c r="B1253">
        <v>195</v>
      </c>
      <c r="C1253" s="58">
        <v>44785</v>
      </c>
      <c r="D1253" t="s">
        <v>27</v>
      </c>
      <c r="E1253" t="s">
        <v>4409</v>
      </c>
      <c r="F1253">
        <v>4</v>
      </c>
      <c r="G1253">
        <v>10</v>
      </c>
      <c r="H1253">
        <v>579</v>
      </c>
      <c r="I1253">
        <v>1</v>
      </c>
      <c r="J1253">
        <v>40</v>
      </c>
      <c r="K1253" t="s">
        <v>25</v>
      </c>
      <c r="L1253">
        <v>2901750</v>
      </c>
      <c r="M1253">
        <v>0</v>
      </c>
      <c r="N1253">
        <v>2901750</v>
      </c>
      <c r="O1253">
        <v>72543.75</v>
      </c>
      <c r="P1253">
        <v>0</v>
      </c>
      <c r="Q1253">
        <v>2901750</v>
      </c>
      <c r="R1253">
        <v>72543.75</v>
      </c>
      <c r="S1253" t="s">
        <v>130</v>
      </c>
      <c r="T1253" t="s">
        <v>717</v>
      </c>
      <c r="U1253" t="s">
        <v>717</v>
      </c>
      <c r="V1253" t="s">
        <v>717</v>
      </c>
      <c r="W1253">
        <v>44781</v>
      </c>
      <c r="X1253" t="s">
        <v>6662</v>
      </c>
      <c r="Y1253" t="s">
        <v>6642</v>
      </c>
      <c r="Z1253" t="s">
        <v>17</v>
      </c>
      <c r="AA1253" t="s">
        <v>717</v>
      </c>
      <c r="AB1253" t="s">
        <v>2509</v>
      </c>
      <c r="AC1253" t="s">
        <v>717</v>
      </c>
      <c r="AD1253" t="s">
        <v>717</v>
      </c>
      <c r="AE1253" t="s">
        <v>6643</v>
      </c>
      <c r="AF1253" t="s">
        <v>717</v>
      </c>
      <c r="AG1253" t="s">
        <v>717</v>
      </c>
      <c r="AH1253" t="s">
        <v>717</v>
      </c>
      <c r="AI1253" t="s">
        <v>6644</v>
      </c>
      <c r="AJ1253" t="s">
        <v>6645</v>
      </c>
      <c r="AK1253" t="s">
        <v>29</v>
      </c>
      <c r="AL1253" t="s">
        <v>717</v>
      </c>
      <c r="AM1253" t="s">
        <v>10</v>
      </c>
      <c r="AN1253" t="s">
        <v>717</v>
      </c>
    </row>
    <row r="1254" spans="1:40" hidden="1">
      <c r="A1254">
        <v>1252</v>
      </c>
      <c r="B1254">
        <v>196</v>
      </c>
      <c r="C1254" s="58">
        <v>44785</v>
      </c>
      <c r="D1254" t="s">
        <v>27</v>
      </c>
      <c r="E1254" t="s">
        <v>4409</v>
      </c>
      <c r="F1254">
        <v>4</v>
      </c>
      <c r="G1254">
        <v>11</v>
      </c>
      <c r="H1254">
        <v>587</v>
      </c>
      <c r="I1254">
        <v>1</v>
      </c>
      <c r="J1254">
        <v>40</v>
      </c>
      <c r="K1254" t="s">
        <v>25</v>
      </c>
      <c r="L1254">
        <v>2901750</v>
      </c>
      <c r="M1254">
        <v>0</v>
      </c>
      <c r="N1254">
        <v>2901750</v>
      </c>
      <c r="O1254">
        <v>72543.75</v>
      </c>
      <c r="P1254">
        <v>0</v>
      </c>
      <c r="Q1254">
        <v>2901750</v>
      </c>
      <c r="R1254">
        <v>72543.75</v>
      </c>
      <c r="S1254" t="s">
        <v>130</v>
      </c>
      <c r="T1254" t="s">
        <v>717</v>
      </c>
      <c r="U1254" t="s">
        <v>717</v>
      </c>
      <c r="V1254" t="s">
        <v>717</v>
      </c>
      <c r="W1254">
        <v>44781</v>
      </c>
      <c r="X1254" t="s">
        <v>6662</v>
      </c>
      <c r="Y1254" t="s">
        <v>6642</v>
      </c>
      <c r="Z1254" t="s">
        <v>17</v>
      </c>
      <c r="AA1254" t="s">
        <v>717</v>
      </c>
      <c r="AB1254" t="s">
        <v>2509</v>
      </c>
      <c r="AC1254" t="s">
        <v>717</v>
      </c>
      <c r="AD1254" t="s">
        <v>717</v>
      </c>
      <c r="AE1254" t="s">
        <v>6643</v>
      </c>
      <c r="AF1254" t="s">
        <v>717</v>
      </c>
      <c r="AG1254" t="s">
        <v>717</v>
      </c>
      <c r="AH1254" t="s">
        <v>717</v>
      </c>
      <c r="AI1254" t="s">
        <v>6644</v>
      </c>
      <c r="AJ1254" t="s">
        <v>6645</v>
      </c>
      <c r="AK1254" t="s">
        <v>29</v>
      </c>
      <c r="AL1254" t="s">
        <v>717</v>
      </c>
      <c r="AM1254" t="s">
        <v>10</v>
      </c>
      <c r="AN1254" t="s">
        <v>717</v>
      </c>
    </row>
    <row r="1255" spans="1:40" hidden="1">
      <c r="A1255">
        <v>1253</v>
      </c>
      <c r="B1255">
        <v>197</v>
      </c>
      <c r="C1255" s="58">
        <v>44785</v>
      </c>
      <c r="D1255" t="s">
        <v>27</v>
      </c>
      <c r="E1255" t="s">
        <v>4409</v>
      </c>
      <c r="F1255">
        <v>2</v>
      </c>
      <c r="G1255">
        <v>16</v>
      </c>
      <c r="H1255">
        <v>625</v>
      </c>
      <c r="I1255">
        <v>1</v>
      </c>
      <c r="J1255">
        <v>37.159999999999997</v>
      </c>
      <c r="K1255" t="s">
        <v>25</v>
      </c>
      <c r="L1255">
        <v>2688000</v>
      </c>
      <c r="M1255">
        <v>0</v>
      </c>
      <c r="N1255">
        <v>2688000</v>
      </c>
      <c r="O1255">
        <v>72335.844994617873</v>
      </c>
      <c r="P1255">
        <v>0</v>
      </c>
      <c r="Q1255">
        <v>2688000</v>
      </c>
      <c r="R1255">
        <v>72335.844994617873</v>
      </c>
      <c r="S1255" t="s">
        <v>130</v>
      </c>
      <c r="T1255" t="s">
        <v>717</v>
      </c>
      <c r="U1255" t="s">
        <v>717</v>
      </c>
      <c r="V1255" t="s">
        <v>717</v>
      </c>
      <c r="W1255">
        <v>44781</v>
      </c>
      <c r="X1255" t="s">
        <v>6662</v>
      </c>
      <c r="Y1255" t="s">
        <v>6642</v>
      </c>
      <c r="Z1255" t="s">
        <v>17</v>
      </c>
      <c r="AA1255" t="s">
        <v>717</v>
      </c>
      <c r="AB1255" t="s">
        <v>2509</v>
      </c>
      <c r="AC1255" t="s">
        <v>717</v>
      </c>
      <c r="AD1255" t="s">
        <v>717</v>
      </c>
      <c r="AE1255" t="s">
        <v>6643</v>
      </c>
      <c r="AF1255" t="s">
        <v>717</v>
      </c>
      <c r="AG1255" t="s">
        <v>717</v>
      </c>
      <c r="AH1255" t="s">
        <v>717</v>
      </c>
      <c r="AI1255" t="s">
        <v>6644</v>
      </c>
      <c r="AJ1255" t="s">
        <v>6645</v>
      </c>
      <c r="AK1255" t="s">
        <v>29</v>
      </c>
      <c r="AL1255" t="s">
        <v>717</v>
      </c>
      <c r="AM1255" t="s">
        <v>10</v>
      </c>
      <c r="AN1255" t="s">
        <v>717</v>
      </c>
    </row>
    <row r="1256" spans="1:40" hidden="1">
      <c r="A1256">
        <v>1254</v>
      </c>
      <c r="B1256">
        <v>198</v>
      </c>
      <c r="C1256" s="58">
        <v>44785</v>
      </c>
      <c r="D1256" t="s">
        <v>27</v>
      </c>
      <c r="E1256" t="s">
        <v>5079</v>
      </c>
      <c r="F1256">
        <v>1</v>
      </c>
      <c r="G1256">
        <v>2</v>
      </c>
      <c r="H1256">
        <v>632</v>
      </c>
      <c r="I1256">
        <v>1</v>
      </c>
      <c r="J1256">
        <v>42.52</v>
      </c>
      <c r="K1256" t="s">
        <v>25</v>
      </c>
      <c r="L1256">
        <v>3089250</v>
      </c>
      <c r="M1256">
        <v>0</v>
      </c>
      <c r="N1256">
        <v>3089250</v>
      </c>
      <c r="O1256">
        <v>72654.045155221072</v>
      </c>
      <c r="P1256">
        <v>0</v>
      </c>
      <c r="Q1256">
        <v>3089250</v>
      </c>
      <c r="R1256">
        <v>72654.045155221072</v>
      </c>
      <c r="S1256" t="s">
        <v>130</v>
      </c>
      <c r="T1256" t="s">
        <v>717</v>
      </c>
      <c r="U1256" t="s">
        <v>717</v>
      </c>
      <c r="V1256" t="s">
        <v>717</v>
      </c>
      <c r="W1256">
        <v>44781</v>
      </c>
      <c r="X1256" t="s">
        <v>6663</v>
      </c>
      <c r="Y1256" t="s">
        <v>6642</v>
      </c>
      <c r="Z1256" t="s">
        <v>17</v>
      </c>
      <c r="AA1256" t="s">
        <v>717</v>
      </c>
      <c r="AB1256" t="s">
        <v>2509</v>
      </c>
      <c r="AC1256" t="s">
        <v>717</v>
      </c>
      <c r="AD1256" t="s">
        <v>717</v>
      </c>
      <c r="AE1256" t="s">
        <v>6643</v>
      </c>
      <c r="AF1256" t="s">
        <v>717</v>
      </c>
      <c r="AG1256" t="s">
        <v>717</v>
      </c>
      <c r="AH1256" t="s">
        <v>717</v>
      </c>
      <c r="AI1256" t="s">
        <v>6644</v>
      </c>
      <c r="AJ1256" t="s">
        <v>6645</v>
      </c>
      <c r="AK1256" t="s">
        <v>29</v>
      </c>
      <c r="AL1256" t="s">
        <v>717</v>
      </c>
      <c r="AM1256" t="s">
        <v>10</v>
      </c>
      <c r="AN1256" t="s">
        <v>717</v>
      </c>
    </row>
    <row r="1257" spans="1:40" hidden="1">
      <c r="A1257">
        <v>1255</v>
      </c>
      <c r="B1257">
        <v>199</v>
      </c>
      <c r="C1257" s="58">
        <v>44785</v>
      </c>
      <c r="D1257" t="s">
        <v>27</v>
      </c>
      <c r="E1257" t="s">
        <v>5079</v>
      </c>
      <c r="F1257">
        <v>2</v>
      </c>
      <c r="G1257">
        <v>2</v>
      </c>
      <c r="H1257">
        <v>633</v>
      </c>
      <c r="I1257">
        <v>1</v>
      </c>
      <c r="J1257">
        <v>40.75</v>
      </c>
      <c r="K1257" t="s">
        <v>25</v>
      </c>
      <c r="L1257">
        <v>2958000</v>
      </c>
      <c r="M1257">
        <v>0</v>
      </c>
      <c r="N1257">
        <v>2958000</v>
      </c>
      <c r="O1257">
        <v>72588.95705521472</v>
      </c>
      <c r="P1257">
        <v>0</v>
      </c>
      <c r="Q1257">
        <v>2958000</v>
      </c>
      <c r="R1257">
        <v>72588.95705521472</v>
      </c>
      <c r="S1257" t="s">
        <v>130</v>
      </c>
      <c r="T1257" t="s">
        <v>717</v>
      </c>
      <c r="U1257" t="s">
        <v>717</v>
      </c>
      <c r="V1257" t="s">
        <v>717</v>
      </c>
      <c r="W1257">
        <v>44781</v>
      </c>
      <c r="X1257" t="s">
        <v>6663</v>
      </c>
      <c r="Y1257" t="s">
        <v>6642</v>
      </c>
      <c r="Z1257" t="s">
        <v>17</v>
      </c>
      <c r="AA1257" t="s">
        <v>717</v>
      </c>
      <c r="AB1257" t="s">
        <v>2509</v>
      </c>
      <c r="AC1257" t="s">
        <v>717</v>
      </c>
      <c r="AD1257" t="s">
        <v>717</v>
      </c>
      <c r="AE1257" t="s">
        <v>6643</v>
      </c>
      <c r="AF1257" t="s">
        <v>717</v>
      </c>
      <c r="AG1257" t="s">
        <v>717</v>
      </c>
      <c r="AH1257" t="s">
        <v>717</v>
      </c>
      <c r="AI1257" t="s">
        <v>6644</v>
      </c>
      <c r="AJ1257" t="s">
        <v>6645</v>
      </c>
      <c r="AK1257" t="s">
        <v>29</v>
      </c>
      <c r="AL1257" t="s">
        <v>717</v>
      </c>
      <c r="AM1257" t="s">
        <v>10</v>
      </c>
      <c r="AN1257" t="s">
        <v>717</v>
      </c>
    </row>
    <row r="1258" spans="1:40" hidden="1">
      <c r="A1258">
        <v>1256</v>
      </c>
      <c r="B1258">
        <v>200</v>
      </c>
      <c r="C1258" s="58">
        <v>44785</v>
      </c>
      <c r="D1258" t="s">
        <v>27</v>
      </c>
      <c r="E1258" t="s">
        <v>5079</v>
      </c>
      <c r="F1258">
        <v>5</v>
      </c>
      <c r="G1258">
        <v>2</v>
      </c>
      <c r="H1258">
        <v>636</v>
      </c>
      <c r="I1258">
        <v>1</v>
      </c>
      <c r="J1258">
        <v>38.96</v>
      </c>
      <c r="K1258" t="s">
        <v>25</v>
      </c>
      <c r="L1258">
        <v>2817750</v>
      </c>
      <c r="M1258">
        <v>0</v>
      </c>
      <c r="N1258">
        <v>2817750</v>
      </c>
      <c r="O1258">
        <v>72324.178644763859</v>
      </c>
      <c r="P1258">
        <v>0</v>
      </c>
      <c r="Q1258">
        <v>2817750</v>
      </c>
      <c r="R1258">
        <v>72324.178644763859</v>
      </c>
      <c r="S1258" t="s">
        <v>130</v>
      </c>
      <c r="T1258" t="s">
        <v>717</v>
      </c>
      <c r="U1258" t="s">
        <v>717</v>
      </c>
      <c r="V1258" t="s">
        <v>717</v>
      </c>
      <c r="W1258">
        <v>44781</v>
      </c>
      <c r="X1258" t="s">
        <v>6663</v>
      </c>
      <c r="Y1258" t="s">
        <v>6642</v>
      </c>
      <c r="Z1258" t="s">
        <v>17</v>
      </c>
      <c r="AA1258" t="s">
        <v>717</v>
      </c>
      <c r="AB1258" t="s">
        <v>2509</v>
      </c>
      <c r="AC1258" t="s">
        <v>717</v>
      </c>
      <c r="AD1258" t="s">
        <v>717</v>
      </c>
      <c r="AE1258" t="s">
        <v>6643</v>
      </c>
      <c r="AF1258" t="s">
        <v>717</v>
      </c>
      <c r="AG1258" t="s">
        <v>717</v>
      </c>
      <c r="AH1258" t="s">
        <v>717</v>
      </c>
      <c r="AI1258" t="s">
        <v>6644</v>
      </c>
      <c r="AJ1258" t="s">
        <v>6645</v>
      </c>
      <c r="AK1258" t="s">
        <v>29</v>
      </c>
      <c r="AL1258" t="s">
        <v>717</v>
      </c>
      <c r="AM1258" t="s">
        <v>10</v>
      </c>
      <c r="AN1258" t="s">
        <v>717</v>
      </c>
    </row>
    <row r="1259" spans="1:40" hidden="1">
      <c r="A1259">
        <v>1257</v>
      </c>
      <c r="B1259">
        <v>201</v>
      </c>
      <c r="C1259" s="58">
        <v>44785</v>
      </c>
      <c r="D1259" t="s">
        <v>27</v>
      </c>
      <c r="E1259" t="s">
        <v>5079</v>
      </c>
      <c r="F1259">
        <v>6</v>
      </c>
      <c r="G1259">
        <v>2</v>
      </c>
      <c r="H1259">
        <v>637</v>
      </c>
      <c r="I1259">
        <v>2</v>
      </c>
      <c r="J1259">
        <v>61.95</v>
      </c>
      <c r="K1259" t="s">
        <v>25</v>
      </c>
      <c r="L1259">
        <v>4547250</v>
      </c>
      <c r="M1259">
        <v>0</v>
      </c>
      <c r="N1259">
        <v>4547250</v>
      </c>
      <c r="O1259">
        <v>73401.937046004838</v>
      </c>
      <c r="P1259">
        <v>0</v>
      </c>
      <c r="Q1259">
        <v>4547250</v>
      </c>
      <c r="R1259">
        <v>73401.937046004838</v>
      </c>
      <c r="S1259" t="s">
        <v>130</v>
      </c>
      <c r="T1259" t="s">
        <v>717</v>
      </c>
      <c r="U1259" t="s">
        <v>717</v>
      </c>
      <c r="V1259" t="s">
        <v>717</v>
      </c>
      <c r="W1259">
        <v>44781</v>
      </c>
      <c r="X1259" t="s">
        <v>6663</v>
      </c>
      <c r="Y1259" t="s">
        <v>6642</v>
      </c>
      <c r="Z1259" t="s">
        <v>17</v>
      </c>
      <c r="AA1259" t="s">
        <v>717</v>
      </c>
      <c r="AB1259" t="s">
        <v>2509</v>
      </c>
      <c r="AC1259" t="s">
        <v>717</v>
      </c>
      <c r="AD1259" t="s">
        <v>717</v>
      </c>
      <c r="AE1259" t="s">
        <v>6643</v>
      </c>
      <c r="AF1259" t="s">
        <v>717</v>
      </c>
      <c r="AG1259" t="s">
        <v>717</v>
      </c>
      <c r="AH1259" t="s">
        <v>717</v>
      </c>
      <c r="AI1259" t="s">
        <v>6644</v>
      </c>
      <c r="AJ1259" t="s">
        <v>6645</v>
      </c>
      <c r="AK1259" t="s">
        <v>29</v>
      </c>
      <c r="AL1259" t="s">
        <v>717</v>
      </c>
      <c r="AM1259" t="s">
        <v>10</v>
      </c>
      <c r="AN1259" t="s">
        <v>717</v>
      </c>
    </row>
    <row r="1260" spans="1:40" hidden="1">
      <c r="A1260">
        <v>1258</v>
      </c>
      <c r="B1260">
        <v>202</v>
      </c>
      <c r="C1260" s="58">
        <v>44785</v>
      </c>
      <c r="D1260" t="s">
        <v>27</v>
      </c>
      <c r="E1260" t="s">
        <v>5079</v>
      </c>
      <c r="F1260">
        <v>7</v>
      </c>
      <c r="G1260">
        <v>2</v>
      </c>
      <c r="H1260">
        <v>638</v>
      </c>
      <c r="I1260">
        <v>1</v>
      </c>
      <c r="J1260">
        <v>38.909999999999997</v>
      </c>
      <c r="K1260" t="s">
        <v>25</v>
      </c>
      <c r="L1260">
        <v>2817000</v>
      </c>
      <c r="M1260">
        <v>0</v>
      </c>
      <c r="N1260">
        <v>2817000</v>
      </c>
      <c r="O1260">
        <v>72397.841171935244</v>
      </c>
      <c r="P1260">
        <v>0</v>
      </c>
      <c r="Q1260">
        <v>2817000</v>
      </c>
      <c r="R1260">
        <v>72397.841171935244</v>
      </c>
      <c r="S1260" t="s">
        <v>130</v>
      </c>
      <c r="T1260" t="s">
        <v>717</v>
      </c>
      <c r="U1260" t="s">
        <v>717</v>
      </c>
      <c r="V1260" t="s">
        <v>717</v>
      </c>
      <c r="W1260">
        <v>44781</v>
      </c>
      <c r="X1260" t="s">
        <v>6663</v>
      </c>
      <c r="Y1260" t="s">
        <v>6642</v>
      </c>
      <c r="Z1260" t="s">
        <v>17</v>
      </c>
      <c r="AA1260" t="s">
        <v>717</v>
      </c>
      <c r="AB1260" t="s">
        <v>2509</v>
      </c>
      <c r="AC1260" t="s">
        <v>717</v>
      </c>
      <c r="AD1260" t="s">
        <v>717</v>
      </c>
      <c r="AE1260" t="s">
        <v>6643</v>
      </c>
      <c r="AF1260" t="s">
        <v>717</v>
      </c>
      <c r="AG1260" t="s">
        <v>717</v>
      </c>
      <c r="AH1260" t="s">
        <v>717</v>
      </c>
      <c r="AI1260" t="s">
        <v>6644</v>
      </c>
      <c r="AJ1260" t="s">
        <v>6645</v>
      </c>
      <c r="AK1260" t="s">
        <v>29</v>
      </c>
      <c r="AL1260" t="s">
        <v>717</v>
      </c>
      <c r="AM1260" t="s">
        <v>10</v>
      </c>
      <c r="AN1260" t="s">
        <v>717</v>
      </c>
    </row>
    <row r="1261" spans="1:40" hidden="1">
      <c r="A1261">
        <v>1259</v>
      </c>
      <c r="B1261">
        <v>203</v>
      </c>
      <c r="C1261" s="58">
        <v>44785</v>
      </c>
      <c r="D1261" t="s">
        <v>27</v>
      </c>
      <c r="E1261" t="s">
        <v>5079</v>
      </c>
      <c r="F1261">
        <v>8</v>
      </c>
      <c r="G1261">
        <v>2</v>
      </c>
      <c r="H1261">
        <v>639</v>
      </c>
      <c r="I1261">
        <v>2</v>
      </c>
      <c r="J1261">
        <v>62.35</v>
      </c>
      <c r="K1261" t="s">
        <v>25</v>
      </c>
      <c r="L1261">
        <v>4481250</v>
      </c>
      <c r="M1261">
        <v>0</v>
      </c>
      <c r="N1261">
        <v>4481250</v>
      </c>
      <c r="O1261">
        <v>71872.49398556535</v>
      </c>
      <c r="P1261">
        <v>0</v>
      </c>
      <c r="Q1261">
        <v>4481250</v>
      </c>
      <c r="R1261">
        <v>71872.49398556535</v>
      </c>
      <c r="S1261" t="s">
        <v>130</v>
      </c>
      <c r="T1261" t="s">
        <v>717</v>
      </c>
      <c r="U1261" t="s">
        <v>717</v>
      </c>
      <c r="V1261" t="s">
        <v>717</v>
      </c>
      <c r="W1261">
        <v>44781</v>
      </c>
      <c r="X1261" t="s">
        <v>6663</v>
      </c>
      <c r="Y1261" t="s">
        <v>6642</v>
      </c>
      <c r="Z1261" t="s">
        <v>17</v>
      </c>
      <c r="AA1261" t="s">
        <v>717</v>
      </c>
      <c r="AB1261" t="s">
        <v>2509</v>
      </c>
      <c r="AC1261" t="s">
        <v>717</v>
      </c>
      <c r="AD1261" t="s">
        <v>717</v>
      </c>
      <c r="AE1261" t="s">
        <v>6643</v>
      </c>
      <c r="AF1261" t="s">
        <v>717</v>
      </c>
      <c r="AG1261" t="s">
        <v>717</v>
      </c>
      <c r="AH1261" t="s">
        <v>717</v>
      </c>
      <c r="AI1261" t="s">
        <v>6644</v>
      </c>
      <c r="AJ1261" t="s">
        <v>6645</v>
      </c>
      <c r="AK1261" t="s">
        <v>29</v>
      </c>
      <c r="AL1261" t="s">
        <v>717</v>
      </c>
      <c r="AM1261" t="s">
        <v>10</v>
      </c>
      <c r="AN1261" t="s">
        <v>717</v>
      </c>
    </row>
    <row r="1262" spans="1:40" hidden="1">
      <c r="A1262">
        <v>1260</v>
      </c>
      <c r="B1262">
        <v>204</v>
      </c>
      <c r="C1262" s="58">
        <v>44785</v>
      </c>
      <c r="D1262" t="s">
        <v>27</v>
      </c>
      <c r="E1262" t="s">
        <v>5079</v>
      </c>
      <c r="F1262">
        <v>9</v>
      </c>
      <c r="G1262">
        <v>2</v>
      </c>
      <c r="H1262">
        <v>640</v>
      </c>
      <c r="I1262">
        <v>1</v>
      </c>
      <c r="J1262">
        <v>42.62</v>
      </c>
      <c r="K1262" t="s">
        <v>25</v>
      </c>
      <c r="L1262">
        <v>3096750</v>
      </c>
      <c r="M1262">
        <v>0</v>
      </c>
      <c r="N1262">
        <v>3096750</v>
      </c>
      <c r="O1262">
        <v>72659.549507273579</v>
      </c>
      <c r="P1262">
        <v>0</v>
      </c>
      <c r="Q1262">
        <v>3096750</v>
      </c>
      <c r="R1262">
        <v>72659.549507273579</v>
      </c>
      <c r="S1262" t="s">
        <v>130</v>
      </c>
      <c r="T1262" t="s">
        <v>717</v>
      </c>
      <c r="U1262" t="s">
        <v>717</v>
      </c>
      <c r="V1262" t="s">
        <v>717</v>
      </c>
      <c r="W1262">
        <v>44781</v>
      </c>
      <c r="X1262" t="s">
        <v>6663</v>
      </c>
      <c r="Y1262" t="s">
        <v>6642</v>
      </c>
      <c r="Z1262" t="s">
        <v>17</v>
      </c>
      <c r="AA1262" t="s">
        <v>717</v>
      </c>
      <c r="AB1262" t="s">
        <v>2509</v>
      </c>
      <c r="AC1262" t="s">
        <v>717</v>
      </c>
      <c r="AD1262" t="s">
        <v>717</v>
      </c>
      <c r="AE1262" t="s">
        <v>6643</v>
      </c>
      <c r="AF1262" t="s">
        <v>717</v>
      </c>
      <c r="AG1262" t="s">
        <v>717</v>
      </c>
      <c r="AH1262" t="s">
        <v>717</v>
      </c>
      <c r="AI1262" t="s">
        <v>6644</v>
      </c>
      <c r="AJ1262" t="s">
        <v>6645</v>
      </c>
      <c r="AK1262" t="s">
        <v>29</v>
      </c>
      <c r="AL1262" t="s">
        <v>717</v>
      </c>
      <c r="AM1262" t="s">
        <v>10</v>
      </c>
      <c r="AN1262" t="s">
        <v>717</v>
      </c>
    </row>
    <row r="1263" spans="1:40" hidden="1">
      <c r="A1263">
        <v>1261</v>
      </c>
      <c r="B1263">
        <v>205</v>
      </c>
      <c r="C1263" s="58">
        <v>44785</v>
      </c>
      <c r="D1263" t="s">
        <v>27</v>
      </c>
      <c r="E1263" t="s">
        <v>5079</v>
      </c>
      <c r="F1263">
        <v>1</v>
      </c>
      <c r="G1263">
        <v>3</v>
      </c>
      <c r="H1263">
        <v>641</v>
      </c>
      <c r="I1263">
        <v>1</v>
      </c>
      <c r="J1263">
        <v>42.52</v>
      </c>
      <c r="K1263" t="s">
        <v>25</v>
      </c>
      <c r="L1263">
        <v>3089250</v>
      </c>
      <c r="M1263">
        <v>0</v>
      </c>
      <c r="N1263">
        <v>3089250</v>
      </c>
      <c r="O1263">
        <v>72654.045155221072</v>
      </c>
      <c r="P1263">
        <v>0</v>
      </c>
      <c r="Q1263">
        <v>3089250</v>
      </c>
      <c r="R1263">
        <v>72654.045155221072</v>
      </c>
      <c r="S1263" t="s">
        <v>130</v>
      </c>
      <c r="T1263" t="s">
        <v>717</v>
      </c>
      <c r="U1263" t="s">
        <v>717</v>
      </c>
      <c r="V1263" t="s">
        <v>717</v>
      </c>
      <c r="W1263">
        <v>44781</v>
      </c>
      <c r="X1263" t="s">
        <v>6663</v>
      </c>
      <c r="Y1263" t="s">
        <v>6642</v>
      </c>
      <c r="Z1263" t="s">
        <v>17</v>
      </c>
      <c r="AA1263" t="s">
        <v>717</v>
      </c>
      <c r="AB1263" t="s">
        <v>2509</v>
      </c>
      <c r="AC1263" t="s">
        <v>717</v>
      </c>
      <c r="AD1263" t="s">
        <v>717</v>
      </c>
      <c r="AE1263" t="s">
        <v>6643</v>
      </c>
      <c r="AF1263" t="s">
        <v>717</v>
      </c>
      <c r="AG1263" t="s">
        <v>717</v>
      </c>
      <c r="AH1263" t="s">
        <v>717</v>
      </c>
      <c r="AI1263" t="s">
        <v>6644</v>
      </c>
      <c r="AJ1263" t="s">
        <v>6645</v>
      </c>
      <c r="AK1263" t="s">
        <v>29</v>
      </c>
      <c r="AL1263" t="s">
        <v>717</v>
      </c>
      <c r="AM1263" t="s">
        <v>10</v>
      </c>
      <c r="AN1263" t="s">
        <v>717</v>
      </c>
    </row>
    <row r="1264" spans="1:40" hidden="1">
      <c r="A1264">
        <v>1262</v>
      </c>
      <c r="B1264">
        <v>206</v>
      </c>
      <c r="C1264" s="58">
        <v>44785</v>
      </c>
      <c r="D1264" t="s">
        <v>27</v>
      </c>
      <c r="E1264" t="s">
        <v>5079</v>
      </c>
      <c r="F1264">
        <v>2</v>
      </c>
      <c r="G1264">
        <v>3</v>
      </c>
      <c r="H1264">
        <v>642</v>
      </c>
      <c r="I1264">
        <v>1</v>
      </c>
      <c r="J1264">
        <v>40.75</v>
      </c>
      <c r="K1264" t="s">
        <v>25</v>
      </c>
      <c r="L1264">
        <v>2958000</v>
      </c>
      <c r="M1264">
        <v>0</v>
      </c>
      <c r="N1264">
        <v>2958000</v>
      </c>
      <c r="O1264">
        <v>72588.95705521472</v>
      </c>
      <c r="P1264">
        <v>0</v>
      </c>
      <c r="Q1264">
        <v>2958000</v>
      </c>
      <c r="R1264">
        <v>72588.95705521472</v>
      </c>
      <c r="S1264" t="s">
        <v>130</v>
      </c>
      <c r="T1264" t="s">
        <v>717</v>
      </c>
      <c r="U1264" t="s">
        <v>717</v>
      </c>
      <c r="V1264" t="s">
        <v>717</v>
      </c>
      <c r="W1264">
        <v>44781</v>
      </c>
      <c r="X1264" t="s">
        <v>6663</v>
      </c>
      <c r="Y1264" t="s">
        <v>6642</v>
      </c>
      <c r="Z1264" t="s">
        <v>17</v>
      </c>
      <c r="AA1264" t="s">
        <v>717</v>
      </c>
      <c r="AB1264" t="s">
        <v>2509</v>
      </c>
      <c r="AC1264" t="s">
        <v>717</v>
      </c>
      <c r="AD1264" t="s">
        <v>717</v>
      </c>
      <c r="AE1264" t="s">
        <v>6643</v>
      </c>
      <c r="AF1264" t="s">
        <v>717</v>
      </c>
      <c r="AG1264" t="s">
        <v>717</v>
      </c>
      <c r="AH1264" t="s">
        <v>717</v>
      </c>
      <c r="AI1264" t="s">
        <v>6644</v>
      </c>
      <c r="AJ1264" t="s">
        <v>6645</v>
      </c>
      <c r="AK1264" t="s">
        <v>29</v>
      </c>
      <c r="AL1264" t="s">
        <v>717</v>
      </c>
      <c r="AM1264" t="s">
        <v>10</v>
      </c>
      <c r="AN1264" t="s">
        <v>717</v>
      </c>
    </row>
    <row r="1265" spans="1:40" hidden="1">
      <c r="A1265">
        <v>1263</v>
      </c>
      <c r="B1265">
        <v>207</v>
      </c>
      <c r="C1265" s="58">
        <v>44785</v>
      </c>
      <c r="D1265" t="s">
        <v>27</v>
      </c>
      <c r="E1265" t="s">
        <v>5079</v>
      </c>
      <c r="F1265">
        <v>3</v>
      </c>
      <c r="G1265">
        <v>3</v>
      </c>
      <c r="H1265">
        <v>643</v>
      </c>
      <c r="I1265">
        <v>2</v>
      </c>
      <c r="J1265">
        <v>56.33</v>
      </c>
      <c r="K1265" t="s">
        <v>25</v>
      </c>
      <c r="L1265">
        <v>4128000</v>
      </c>
      <c r="M1265">
        <v>0</v>
      </c>
      <c r="N1265">
        <v>4128000</v>
      </c>
      <c r="O1265">
        <v>73282.442748091606</v>
      </c>
      <c r="P1265">
        <v>0</v>
      </c>
      <c r="Q1265">
        <v>4128000</v>
      </c>
      <c r="R1265">
        <v>73282.442748091606</v>
      </c>
      <c r="S1265" t="s">
        <v>130</v>
      </c>
      <c r="T1265" t="s">
        <v>717</v>
      </c>
      <c r="U1265" t="s">
        <v>717</v>
      </c>
      <c r="V1265" t="s">
        <v>717</v>
      </c>
      <c r="W1265">
        <v>44781</v>
      </c>
      <c r="X1265" t="s">
        <v>6663</v>
      </c>
      <c r="Y1265" t="s">
        <v>6642</v>
      </c>
      <c r="Z1265" t="s">
        <v>17</v>
      </c>
      <c r="AA1265" t="s">
        <v>717</v>
      </c>
      <c r="AB1265" t="s">
        <v>2509</v>
      </c>
      <c r="AC1265" t="s">
        <v>717</v>
      </c>
      <c r="AD1265" t="s">
        <v>717</v>
      </c>
      <c r="AE1265" t="s">
        <v>6643</v>
      </c>
      <c r="AF1265" t="s">
        <v>717</v>
      </c>
      <c r="AG1265" t="s">
        <v>717</v>
      </c>
      <c r="AH1265" t="s">
        <v>717</v>
      </c>
      <c r="AI1265" t="s">
        <v>6644</v>
      </c>
      <c r="AJ1265" t="s">
        <v>6645</v>
      </c>
      <c r="AK1265" t="s">
        <v>29</v>
      </c>
      <c r="AL1265" t="s">
        <v>717</v>
      </c>
      <c r="AM1265" t="s">
        <v>10</v>
      </c>
      <c r="AN1265" t="s">
        <v>717</v>
      </c>
    </row>
    <row r="1266" spans="1:40" hidden="1">
      <c r="A1266">
        <v>1264</v>
      </c>
      <c r="B1266">
        <v>208</v>
      </c>
      <c r="C1266" s="58">
        <v>44785</v>
      </c>
      <c r="D1266" t="s">
        <v>27</v>
      </c>
      <c r="E1266" t="s">
        <v>5079</v>
      </c>
      <c r="F1266">
        <v>5</v>
      </c>
      <c r="G1266">
        <v>3</v>
      </c>
      <c r="H1266">
        <v>645</v>
      </c>
      <c r="I1266">
        <v>1</v>
      </c>
      <c r="J1266">
        <v>38.96</v>
      </c>
      <c r="K1266" t="s">
        <v>25</v>
      </c>
      <c r="L1266">
        <v>2817750</v>
      </c>
      <c r="M1266">
        <v>0</v>
      </c>
      <c r="N1266">
        <v>2817750</v>
      </c>
      <c r="O1266">
        <v>72324.178644763859</v>
      </c>
      <c r="P1266">
        <v>0</v>
      </c>
      <c r="Q1266">
        <v>2817750</v>
      </c>
      <c r="R1266">
        <v>72324.178644763859</v>
      </c>
      <c r="S1266" t="s">
        <v>130</v>
      </c>
      <c r="T1266" t="s">
        <v>717</v>
      </c>
      <c r="U1266" t="s">
        <v>717</v>
      </c>
      <c r="V1266" t="s">
        <v>717</v>
      </c>
      <c r="W1266">
        <v>44781</v>
      </c>
      <c r="X1266" t="s">
        <v>6663</v>
      </c>
      <c r="Y1266" t="s">
        <v>6642</v>
      </c>
      <c r="Z1266" t="s">
        <v>17</v>
      </c>
      <c r="AA1266" t="s">
        <v>717</v>
      </c>
      <c r="AB1266" t="s">
        <v>2509</v>
      </c>
      <c r="AC1266" t="s">
        <v>717</v>
      </c>
      <c r="AD1266" t="s">
        <v>717</v>
      </c>
      <c r="AE1266" t="s">
        <v>6643</v>
      </c>
      <c r="AF1266" t="s">
        <v>717</v>
      </c>
      <c r="AG1266" t="s">
        <v>717</v>
      </c>
      <c r="AH1266" t="s">
        <v>717</v>
      </c>
      <c r="AI1266" t="s">
        <v>6644</v>
      </c>
      <c r="AJ1266" t="s">
        <v>6645</v>
      </c>
      <c r="AK1266" t="s">
        <v>29</v>
      </c>
      <c r="AL1266" t="s">
        <v>717</v>
      </c>
      <c r="AM1266" t="s">
        <v>10</v>
      </c>
      <c r="AN1266" t="s">
        <v>717</v>
      </c>
    </row>
    <row r="1267" spans="1:40" hidden="1">
      <c r="A1267">
        <v>1265</v>
      </c>
      <c r="B1267">
        <v>209</v>
      </c>
      <c r="C1267" s="58">
        <v>44785</v>
      </c>
      <c r="D1267" t="s">
        <v>27</v>
      </c>
      <c r="E1267" t="s">
        <v>5079</v>
      </c>
      <c r="F1267">
        <v>8</v>
      </c>
      <c r="G1267">
        <v>3</v>
      </c>
      <c r="H1267">
        <v>648</v>
      </c>
      <c r="I1267">
        <v>2</v>
      </c>
      <c r="J1267">
        <v>62.35</v>
      </c>
      <c r="K1267" t="s">
        <v>25</v>
      </c>
      <c r="L1267">
        <v>4481250</v>
      </c>
      <c r="M1267">
        <v>0</v>
      </c>
      <c r="N1267">
        <v>4481250</v>
      </c>
      <c r="O1267">
        <v>71872.49398556535</v>
      </c>
      <c r="P1267">
        <v>0</v>
      </c>
      <c r="Q1267">
        <v>4481250</v>
      </c>
      <c r="R1267">
        <v>71872.49398556535</v>
      </c>
      <c r="S1267" t="s">
        <v>130</v>
      </c>
      <c r="T1267" t="s">
        <v>717</v>
      </c>
      <c r="U1267" t="s">
        <v>717</v>
      </c>
      <c r="V1267" t="s">
        <v>717</v>
      </c>
      <c r="W1267">
        <v>44781</v>
      </c>
      <c r="X1267" t="s">
        <v>6663</v>
      </c>
      <c r="Y1267" t="s">
        <v>6642</v>
      </c>
      <c r="Z1267" t="s">
        <v>17</v>
      </c>
      <c r="AA1267" t="s">
        <v>717</v>
      </c>
      <c r="AB1267" t="s">
        <v>2509</v>
      </c>
      <c r="AC1267" t="s">
        <v>717</v>
      </c>
      <c r="AD1267" t="s">
        <v>717</v>
      </c>
      <c r="AE1267" t="s">
        <v>6643</v>
      </c>
      <c r="AF1267" t="s">
        <v>717</v>
      </c>
      <c r="AG1267" t="s">
        <v>717</v>
      </c>
      <c r="AH1267" t="s">
        <v>717</v>
      </c>
      <c r="AI1267" t="s">
        <v>6644</v>
      </c>
      <c r="AJ1267" t="s">
        <v>6645</v>
      </c>
      <c r="AK1267" t="s">
        <v>29</v>
      </c>
      <c r="AL1267" t="s">
        <v>717</v>
      </c>
      <c r="AM1267" t="s">
        <v>10</v>
      </c>
      <c r="AN1267" t="s">
        <v>717</v>
      </c>
    </row>
    <row r="1268" spans="1:40" hidden="1">
      <c r="A1268">
        <v>1266</v>
      </c>
      <c r="B1268">
        <v>210</v>
      </c>
      <c r="C1268" s="58">
        <v>44785</v>
      </c>
      <c r="D1268" t="s">
        <v>27</v>
      </c>
      <c r="E1268" t="s">
        <v>5079</v>
      </c>
      <c r="F1268">
        <v>9</v>
      </c>
      <c r="G1268">
        <v>3</v>
      </c>
      <c r="H1268">
        <v>649</v>
      </c>
      <c r="I1268">
        <v>1</v>
      </c>
      <c r="J1268">
        <v>42.62</v>
      </c>
      <c r="K1268" t="s">
        <v>25</v>
      </c>
      <c r="L1268">
        <v>3096750</v>
      </c>
      <c r="M1268">
        <v>0</v>
      </c>
      <c r="N1268">
        <v>3096750</v>
      </c>
      <c r="O1268">
        <v>72659.549507273579</v>
      </c>
      <c r="P1268">
        <v>0</v>
      </c>
      <c r="Q1268">
        <v>3096750</v>
      </c>
      <c r="R1268">
        <v>72659.549507273579</v>
      </c>
      <c r="S1268" t="s">
        <v>130</v>
      </c>
      <c r="T1268" t="s">
        <v>717</v>
      </c>
      <c r="U1268" t="s">
        <v>717</v>
      </c>
      <c r="V1268" t="s">
        <v>717</v>
      </c>
      <c r="W1268">
        <v>44781</v>
      </c>
      <c r="X1268" t="s">
        <v>6663</v>
      </c>
      <c r="Y1268" t="s">
        <v>6642</v>
      </c>
      <c r="Z1268" t="s">
        <v>17</v>
      </c>
      <c r="AA1268" t="s">
        <v>717</v>
      </c>
      <c r="AB1268" t="s">
        <v>2509</v>
      </c>
      <c r="AC1268" t="s">
        <v>717</v>
      </c>
      <c r="AD1268" t="s">
        <v>717</v>
      </c>
      <c r="AE1268" t="s">
        <v>6643</v>
      </c>
      <c r="AF1268" t="s">
        <v>717</v>
      </c>
      <c r="AG1268" t="s">
        <v>717</v>
      </c>
      <c r="AH1268" t="s">
        <v>717</v>
      </c>
      <c r="AI1268" t="s">
        <v>6644</v>
      </c>
      <c r="AJ1268" t="s">
        <v>6645</v>
      </c>
      <c r="AK1268" t="s">
        <v>29</v>
      </c>
      <c r="AL1268" t="s">
        <v>717</v>
      </c>
      <c r="AM1268" t="s">
        <v>10</v>
      </c>
      <c r="AN1268" t="s">
        <v>717</v>
      </c>
    </row>
    <row r="1269" spans="1:40" hidden="1">
      <c r="A1269">
        <v>1267</v>
      </c>
      <c r="B1269">
        <v>211</v>
      </c>
      <c r="C1269" s="58">
        <v>44785</v>
      </c>
      <c r="D1269" t="s">
        <v>27</v>
      </c>
      <c r="E1269" t="s">
        <v>5079</v>
      </c>
      <c r="F1269">
        <v>1</v>
      </c>
      <c r="G1269">
        <v>4</v>
      </c>
      <c r="H1269">
        <v>650</v>
      </c>
      <c r="I1269">
        <v>1</v>
      </c>
      <c r="J1269">
        <v>42.52</v>
      </c>
      <c r="K1269" t="s">
        <v>25</v>
      </c>
      <c r="L1269">
        <v>3089250</v>
      </c>
      <c r="M1269">
        <v>0</v>
      </c>
      <c r="N1269">
        <v>3089250</v>
      </c>
      <c r="O1269">
        <v>72654.045155221072</v>
      </c>
      <c r="P1269">
        <v>0</v>
      </c>
      <c r="Q1269">
        <v>3089250</v>
      </c>
      <c r="R1269">
        <v>72654.045155221072</v>
      </c>
      <c r="S1269" t="s">
        <v>130</v>
      </c>
      <c r="T1269" t="s">
        <v>717</v>
      </c>
      <c r="U1269" t="s">
        <v>717</v>
      </c>
      <c r="V1269" t="s">
        <v>717</v>
      </c>
      <c r="W1269">
        <v>44781</v>
      </c>
      <c r="X1269" t="s">
        <v>6663</v>
      </c>
      <c r="Y1269" t="s">
        <v>6642</v>
      </c>
      <c r="Z1269" t="s">
        <v>17</v>
      </c>
      <c r="AA1269" t="s">
        <v>717</v>
      </c>
      <c r="AB1269" t="s">
        <v>2509</v>
      </c>
      <c r="AC1269" t="s">
        <v>717</v>
      </c>
      <c r="AD1269" t="s">
        <v>717</v>
      </c>
      <c r="AE1269" t="s">
        <v>6643</v>
      </c>
      <c r="AF1269" t="s">
        <v>717</v>
      </c>
      <c r="AG1269" t="s">
        <v>717</v>
      </c>
      <c r="AH1269" t="s">
        <v>717</v>
      </c>
      <c r="AI1269" t="s">
        <v>6644</v>
      </c>
      <c r="AJ1269" t="s">
        <v>6645</v>
      </c>
      <c r="AK1269" t="s">
        <v>29</v>
      </c>
      <c r="AL1269" t="s">
        <v>717</v>
      </c>
      <c r="AM1269" t="s">
        <v>10</v>
      </c>
      <c r="AN1269" t="s">
        <v>717</v>
      </c>
    </row>
    <row r="1270" spans="1:40" hidden="1">
      <c r="A1270">
        <v>1268</v>
      </c>
      <c r="B1270">
        <v>212</v>
      </c>
      <c r="C1270" s="58">
        <v>44784</v>
      </c>
      <c r="D1270" t="s">
        <v>27</v>
      </c>
      <c r="E1270" t="s">
        <v>5079</v>
      </c>
      <c r="F1270">
        <v>5</v>
      </c>
      <c r="G1270">
        <v>4</v>
      </c>
      <c r="H1270">
        <v>654</v>
      </c>
      <c r="I1270">
        <v>1</v>
      </c>
      <c r="J1270">
        <v>38.96</v>
      </c>
      <c r="K1270" t="s">
        <v>25</v>
      </c>
      <c r="L1270">
        <v>2817750</v>
      </c>
      <c r="M1270">
        <v>0</v>
      </c>
      <c r="N1270">
        <v>2817750</v>
      </c>
      <c r="O1270">
        <v>72324.178644763859</v>
      </c>
      <c r="P1270">
        <v>0</v>
      </c>
      <c r="Q1270">
        <v>2817750</v>
      </c>
      <c r="R1270">
        <v>72324.178644763859</v>
      </c>
      <c r="S1270" t="s">
        <v>130</v>
      </c>
      <c r="T1270" t="s">
        <v>717</v>
      </c>
      <c r="U1270" t="s">
        <v>717</v>
      </c>
      <c r="V1270" t="s">
        <v>717</v>
      </c>
      <c r="W1270">
        <v>44781</v>
      </c>
      <c r="X1270" t="s">
        <v>6664</v>
      </c>
      <c r="Y1270" t="s">
        <v>6642</v>
      </c>
      <c r="Z1270" t="s">
        <v>17</v>
      </c>
      <c r="AA1270" t="s">
        <v>717</v>
      </c>
      <c r="AB1270" t="s">
        <v>2509</v>
      </c>
      <c r="AC1270" t="s">
        <v>717</v>
      </c>
      <c r="AD1270" t="s">
        <v>717</v>
      </c>
      <c r="AE1270" t="s">
        <v>6643</v>
      </c>
      <c r="AF1270" t="s">
        <v>717</v>
      </c>
      <c r="AG1270" t="s">
        <v>717</v>
      </c>
      <c r="AH1270" t="s">
        <v>717</v>
      </c>
      <c r="AI1270" t="s">
        <v>6644</v>
      </c>
      <c r="AJ1270" t="s">
        <v>6645</v>
      </c>
      <c r="AK1270" t="s">
        <v>29</v>
      </c>
      <c r="AL1270" t="s">
        <v>717</v>
      </c>
      <c r="AM1270" t="s">
        <v>10</v>
      </c>
      <c r="AN1270" t="s">
        <v>717</v>
      </c>
    </row>
    <row r="1271" spans="1:40" hidden="1">
      <c r="A1271">
        <v>1269</v>
      </c>
      <c r="B1271">
        <v>213</v>
      </c>
      <c r="C1271" s="58">
        <v>44784</v>
      </c>
      <c r="D1271" t="s">
        <v>27</v>
      </c>
      <c r="E1271" t="s">
        <v>5079</v>
      </c>
      <c r="F1271">
        <v>6</v>
      </c>
      <c r="G1271">
        <v>4</v>
      </c>
      <c r="H1271">
        <v>655</v>
      </c>
      <c r="I1271">
        <v>2</v>
      </c>
      <c r="J1271">
        <v>61.95</v>
      </c>
      <c r="K1271" t="s">
        <v>25</v>
      </c>
      <c r="L1271">
        <v>4547250</v>
      </c>
      <c r="M1271">
        <v>0</v>
      </c>
      <c r="N1271">
        <v>4547250</v>
      </c>
      <c r="O1271">
        <v>73401.937046004838</v>
      </c>
      <c r="P1271">
        <v>0</v>
      </c>
      <c r="Q1271">
        <v>4547250</v>
      </c>
      <c r="R1271">
        <v>73401.937046004838</v>
      </c>
      <c r="S1271" t="s">
        <v>130</v>
      </c>
      <c r="T1271" t="s">
        <v>717</v>
      </c>
      <c r="U1271" t="s">
        <v>717</v>
      </c>
      <c r="V1271" t="s">
        <v>717</v>
      </c>
      <c r="W1271">
        <v>44781</v>
      </c>
      <c r="X1271" t="s">
        <v>6664</v>
      </c>
      <c r="Y1271" t="s">
        <v>6642</v>
      </c>
      <c r="Z1271" t="s">
        <v>17</v>
      </c>
      <c r="AA1271" t="s">
        <v>717</v>
      </c>
      <c r="AB1271" t="s">
        <v>2509</v>
      </c>
      <c r="AC1271" t="s">
        <v>717</v>
      </c>
      <c r="AD1271" t="s">
        <v>717</v>
      </c>
      <c r="AE1271" t="s">
        <v>6643</v>
      </c>
      <c r="AF1271" t="s">
        <v>717</v>
      </c>
      <c r="AG1271" t="s">
        <v>717</v>
      </c>
      <c r="AH1271" t="s">
        <v>717</v>
      </c>
      <c r="AI1271" t="s">
        <v>6644</v>
      </c>
      <c r="AJ1271" t="s">
        <v>6645</v>
      </c>
      <c r="AK1271" t="s">
        <v>29</v>
      </c>
      <c r="AL1271" t="s">
        <v>717</v>
      </c>
      <c r="AM1271" t="s">
        <v>10</v>
      </c>
      <c r="AN1271" t="s">
        <v>717</v>
      </c>
    </row>
    <row r="1272" spans="1:40" hidden="1">
      <c r="A1272">
        <v>1270</v>
      </c>
      <c r="B1272">
        <v>214</v>
      </c>
      <c r="C1272" s="58">
        <v>44784</v>
      </c>
      <c r="D1272" t="s">
        <v>27</v>
      </c>
      <c r="E1272" t="s">
        <v>5079</v>
      </c>
      <c r="F1272">
        <v>7</v>
      </c>
      <c r="G1272">
        <v>4</v>
      </c>
      <c r="H1272">
        <v>656</v>
      </c>
      <c r="I1272">
        <v>1</v>
      </c>
      <c r="J1272">
        <v>38.909999999999997</v>
      </c>
      <c r="K1272" t="s">
        <v>25</v>
      </c>
      <c r="L1272">
        <v>2817000</v>
      </c>
      <c r="M1272">
        <v>0</v>
      </c>
      <c r="N1272">
        <v>2817000</v>
      </c>
      <c r="O1272">
        <v>72397.841171935244</v>
      </c>
      <c r="P1272">
        <v>0</v>
      </c>
      <c r="Q1272">
        <v>2817000</v>
      </c>
      <c r="R1272">
        <v>72397.841171935244</v>
      </c>
      <c r="S1272" t="s">
        <v>130</v>
      </c>
      <c r="T1272" t="s">
        <v>717</v>
      </c>
      <c r="U1272" t="s">
        <v>717</v>
      </c>
      <c r="V1272" t="s">
        <v>717</v>
      </c>
      <c r="W1272">
        <v>44781</v>
      </c>
      <c r="X1272" t="s">
        <v>6664</v>
      </c>
      <c r="Y1272" t="s">
        <v>6642</v>
      </c>
      <c r="Z1272" t="s">
        <v>17</v>
      </c>
      <c r="AA1272" t="s">
        <v>717</v>
      </c>
      <c r="AB1272" t="s">
        <v>2509</v>
      </c>
      <c r="AC1272" t="s">
        <v>717</v>
      </c>
      <c r="AD1272" t="s">
        <v>717</v>
      </c>
      <c r="AE1272" t="s">
        <v>6643</v>
      </c>
      <c r="AF1272" t="s">
        <v>717</v>
      </c>
      <c r="AG1272" t="s">
        <v>717</v>
      </c>
      <c r="AH1272" t="s">
        <v>717</v>
      </c>
      <c r="AI1272" t="s">
        <v>6644</v>
      </c>
      <c r="AJ1272" t="s">
        <v>6645</v>
      </c>
      <c r="AK1272" t="s">
        <v>29</v>
      </c>
      <c r="AL1272" t="s">
        <v>717</v>
      </c>
      <c r="AM1272" t="s">
        <v>10</v>
      </c>
      <c r="AN1272" t="s">
        <v>717</v>
      </c>
    </row>
    <row r="1273" spans="1:40" hidden="1">
      <c r="A1273">
        <v>1271</v>
      </c>
      <c r="B1273">
        <v>215</v>
      </c>
      <c r="C1273" s="58">
        <v>44784</v>
      </c>
      <c r="D1273" t="s">
        <v>27</v>
      </c>
      <c r="E1273" t="s">
        <v>5079</v>
      </c>
      <c r="F1273">
        <v>8</v>
      </c>
      <c r="G1273">
        <v>4</v>
      </c>
      <c r="H1273">
        <v>657</v>
      </c>
      <c r="I1273">
        <v>2</v>
      </c>
      <c r="J1273">
        <v>62.35</v>
      </c>
      <c r="K1273" t="s">
        <v>25</v>
      </c>
      <c r="L1273">
        <v>4481250</v>
      </c>
      <c r="M1273">
        <v>0</v>
      </c>
      <c r="N1273">
        <v>4481250</v>
      </c>
      <c r="O1273">
        <v>71872.49398556535</v>
      </c>
      <c r="P1273">
        <v>0</v>
      </c>
      <c r="Q1273">
        <v>4481250</v>
      </c>
      <c r="R1273">
        <v>71872.49398556535</v>
      </c>
      <c r="S1273" t="s">
        <v>130</v>
      </c>
      <c r="T1273" t="s">
        <v>717</v>
      </c>
      <c r="U1273" t="s">
        <v>717</v>
      </c>
      <c r="V1273" t="s">
        <v>717</v>
      </c>
      <c r="W1273">
        <v>44781</v>
      </c>
      <c r="X1273" t="s">
        <v>6664</v>
      </c>
      <c r="Y1273" t="s">
        <v>6642</v>
      </c>
      <c r="Z1273" t="s">
        <v>17</v>
      </c>
      <c r="AA1273" t="s">
        <v>717</v>
      </c>
      <c r="AB1273" t="s">
        <v>2509</v>
      </c>
      <c r="AC1273" t="s">
        <v>717</v>
      </c>
      <c r="AD1273" t="s">
        <v>717</v>
      </c>
      <c r="AE1273" t="s">
        <v>6643</v>
      </c>
      <c r="AF1273" t="s">
        <v>717</v>
      </c>
      <c r="AG1273" t="s">
        <v>717</v>
      </c>
      <c r="AH1273" t="s">
        <v>717</v>
      </c>
      <c r="AI1273" t="s">
        <v>6644</v>
      </c>
      <c r="AJ1273" t="s">
        <v>6645</v>
      </c>
      <c r="AK1273" t="s">
        <v>29</v>
      </c>
      <c r="AL1273" t="s">
        <v>717</v>
      </c>
      <c r="AM1273" t="s">
        <v>10</v>
      </c>
      <c r="AN1273" t="s">
        <v>717</v>
      </c>
    </row>
    <row r="1274" spans="1:40" hidden="1">
      <c r="A1274">
        <v>1272</v>
      </c>
      <c r="B1274">
        <v>216</v>
      </c>
      <c r="C1274" s="58">
        <v>44784</v>
      </c>
      <c r="D1274" t="s">
        <v>27</v>
      </c>
      <c r="E1274" t="s">
        <v>5079</v>
      </c>
      <c r="F1274">
        <v>9</v>
      </c>
      <c r="G1274">
        <v>4</v>
      </c>
      <c r="H1274">
        <v>658</v>
      </c>
      <c r="I1274">
        <v>1</v>
      </c>
      <c r="J1274">
        <v>42.62</v>
      </c>
      <c r="K1274" t="s">
        <v>25</v>
      </c>
      <c r="L1274">
        <v>3096750</v>
      </c>
      <c r="M1274">
        <v>0</v>
      </c>
      <c r="N1274">
        <v>3096750</v>
      </c>
      <c r="O1274">
        <v>72659.549507273579</v>
      </c>
      <c r="P1274">
        <v>0</v>
      </c>
      <c r="Q1274">
        <v>3096750</v>
      </c>
      <c r="R1274">
        <v>72659.549507273579</v>
      </c>
      <c r="S1274" t="s">
        <v>130</v>
      </c>
      <c r="T1274" t="s">
        <v>717</v>
      </c>
      <c r="U1274" t="s">
        <v>717</v>
      </c>
      <c r="V1274" t="s">
        <v>717</v>
      </c>
      <c r="W1274">
        <v>44781</v>
      </c>
      <c r="X1274" t="s">
        <v>6664</v>
      </c>
      <c r="Y1274" t="s">
        <v>6642</v>
      </c>
      <c r="Z1274" t="s">
        <v>17</v>
      </c>
      <c r="AA1274" t="s">
        <v>717</v>
      </c>
      <c r="AB1274" t="s">
        <v>2509</v>
      </c>
      <c r="AC1274" t="s">
        <v>717</v>
      </c>
      <c r="AD1274" t="s">
        <v>717</v>
      </c>
      <c r="AE1274" t="s">
        <v>6643</v>
      </c>
      <c r="AF1274" t="s">
        <v>717</v>
      </c>
      <c r="AG1274" t="s">
        <v>717</v>
      </c>
      <c r="AH1274" t="s">
        <v>717</v>
      </c>
      <c r="AI1274" t="s">
        <v>6644</v>
      </c>
      <c r="AJ1274" t="s">
        <v>6645</v>
      </c>
      <c r="AK1274" t="s">
        <v>29</v>
      </c>
      <c r="AL1274" t="s">
        <v>717</v>
      </c>
      <c r="AM1274" t="s">
        <v>10</v>
      </c>
      <c r="AN1274" t="s">
        <v>717</v>
      </c>
    </row>
    <row r="1275" spans="1:40" hidden="1">
      <c r="A1275">
        <v>1273</v>
      </c>
      <c r="B1275">
        <v>217</v>
      </c>
      <c r="C1275" s="58">
        <v>44784</v>
      </c>
      <c r="D1275" t="s">
        <v>27</v>
      </c>
      <c r="E1275" t="s">
        <v>5079</v>
      </c>
      <c r="F1275">
        <v>1</v>
      </c>
      <c r="G1275">
        <v>5</v>
      </c>
      <c r="H1275">
        <v>659</v>
      </c>
      <c r="I1275">
        <v>1</v>
      </c>
      <c r="J1275">
        <v>42.52</v>
      </c>
      <c r="K1275" t="s">
        <v>25</v>
      </c>
      <c r="L1275">
        <v>3089250</v>
      </c>
      <c r="M1275">
        <v>0</v>
      </c>
      <c r="N1275">
        <v>3089250</v>
      </c>
      <c r="O1275">
        <v>72654.045155221072</v>
      </c>
      <c r="P1275">
        <v>0</v>
      </c>
      <c r="Q1275">
        <v>3089250</v>
      </c>
      <c r="R1275">
        <v>72654.045155221072</v>
      </c>
      <c r="S1275" t="s">
        <v>130</v>
      </c>
      <c r="T1275" t="s">
        <v>717</v>
      </c>
      <c r="U1275" t="s">
        <v>717</v>
      </c>
      <c r="V1275" t="s">
        <v>717</v>
      </c>
      <c r="W1275">
        <v>44781</v>
      </c>
      <c r="X1275" t="s">
        <v>6664</v>
      </c>
      <c r="Y1275" t="s">
        <v>6642</v>
      </c>
      <c r="Z1275" t="s">
        <v>17</v>
      </c>
      <c r="AA1275" t="s">
        <v>717</v>
      </c>
      <c r="AB1275" t="s">
        <v>2509</v>
      </c>
      <c r="AC1275" t="s">
        <v>717</v>
      </c>
      <c r="AD1275" t="s">
        <v>717</v>
      </c>
      <c r="AE1275" t="s">
        <v>6643</v>
      </c>
      <c r="AF1275" t="s">
        <v>717</v>
      </c>
      <c r="AG1275" t="s">
        <v>717</v>
      </c>
      <c r="AH1275" t="s">
        <v>717</v>
      </c>
      <c r="AI1275" t="s">
        <v>6644</v>
      </c>
      <c r="AJ1275" t="s">
        <v>6645</v>
      </c>
      <c r="AK1275" t="s">
        <v>29</v>
      </c>
      <c r="AL1275" t="s">
        <v>717</v>
      </c>
      <c r="AM1275" t="s">
        <v>10</v>
      </c>
      <c r="AN1275" t="s">
        <v>717</v>
      </c>
    </row>
    <row r="1276" spans="1:40" hidden="1">
      <c r="A1276">
        <v>1274</v>
      </c>
      <c r="B1276">
        <v>218</v>
      </c>
      <c r="C1276" s="58">
        <v>44784</v>
      </c>
      <c r="D1276" t="s">
        <v>27</v>
      </c>
      <c r="E1276" t="s">
        <v>5079</v>
      </c>
      <c r="F1276">
        <v>2</v>
      </c>
      <c r="G1276">
        <v>5</v>
      </c>
      <c r="H1276">
        <v>660</v>
      </c>
      <c r="I1276">
        <v>1</v>
      </c>
      <c r="J1276">
        <v>40.75</v>
      </c>
      <c r="K1276" t="s">
        <v>25</v>
      </c>
      <c r="L1276">
        <v>2958000</v>
      </c>
      <c r="M1276">
        <v>0</v>
      </c>
      <c r="N1276">
        <v>2958000</v>
      </c>
      <c r="O1276">
        <v>72588.95705521472</v>
      </c>
      <c r="P1276">
        <v>0</v>
      </c>
      <c r="Q1276">
        <v>2958000</v>
      </c>
      <c r="R1276">
        <v>72588.95705521472</v>
      </c>
      <c r="S1276" t="s">
        <v>130</v>
      </c>
      <c r="T1276" t="s">
        <v>717</v>
      </c>
      <c r="U1276" t="s">
        <v>717</v>
      </c>
      <c r="V1276" t="s">
        <v>717</v>
      </c>
      <c r="W1276">
        <v>44781</v>
      </c>
      <c r="X1276" t="s">
        <v>6664</v>
      </c>
      <c r="Y1276" t="s">
        <v>6642</v>
      </c>
      <c r="Z1276" t="s">
        <v>17</v>
      </c>
      <c r="AA1276" t="s">
        <v>717</v>
      </c>
      <c r="AB1276" t="s">
        <v>2509</v>
      </c>
      <c r="AC1276" t="s">
        <v>717</v>
      </c>
      <c r="AD1276" t="s">
        <v>717</v>
      </c>
      <c r="AE1276" t="s">
        <v>6643</v>
      </c>
      <c r="AF1276" t="s">
        <v>717</v>
      </c>
      <c r="AG1276" t="s">
        <v>717</v>
      </c>
      <c r="AH1276" t="s">
        <v>717</v>
      </c>
      <c r="AI1276" t="s">
        <v>6644</v>
      </c>
      <c r="AJ1276" t="s">
        <v>6645</v>
      </c>
      <c r="AK1276" t="s">
        <v>29</v>
      </c>
      <c r="AL1276" t="s">
        <v>717</v>
      </c>
      <c r="AM1276" t="s">
        <v>10</v>
      </c>
      <c r="AN1276" t="s">
        <v>717</v>
      </c>
    </row>
    <row r="1277" spans="1:40" hidden="1">
      <c r="A1277">
        <v>1275</v>
      </c>
      <c r="B1277">
        <v>219</v>
      </c>
      <c r="C1277" s="58">
        <v>44784</v>
      </c>
      <c r="D1277" t="s">
        <v>27</v>
      </c>
      <c r="E1277" t="s">
        <v>5079</v>
      </c>
      <c r="F1277">
        <v>6</v>
      </c>
      <c r="G1277">
        <v>5</v>
      </c>
      <c r="H1277">
        <v>664</v>
      </c>
      <c r="I1277">
        <v>2</v>
      </c>
      <c r="J1277">
        <v>61.95</v>
      </c>
      <c r="K1277" t="s">
        <v>25</v>
      </c>
      <c r="L1277">
        <v>4547250</v>
      </c>
      <c r="M1277">
        <v>0</v>
      </c>
      <c r="N1277">
        <v>4547250</v>
      </c>
      <c r="O1277">
        <v>73401.937046004838</v>
      </c>
      <c r="P1277">
        <v>0</v>
      </c>
      <c r="Q1277">
        <v>4547250</v>
      </c>
      <c r="R1277">
        <v>73401.937046004838</v>
      </c>
      <c r="S1277" t="s">
        <v>130</v>
      </c>
      <c r="T1277" t="s">
        <v>717</v>
      </c>
      <c r="U1277" t="s">
        <v>717</v>
      </c>
      <c r="V1277" t="s">
        <v>717</v>
      </c>
      <c r="W1277">
        <v>44781</v>
      </c>
      <c r="X1277" t="s">
        <v>6664</v>
      </c>
      <c r="Y1277" t="s">
        <v>6642</v>
      </c>
      <c r="Z1277" t="s">
        <v>17</v>
      </c>
      <c r="AA1277" t="s">
        <v>717</v>
      </c>
      <c r="AB1277" t="s">
        <v>2509</v>
      </c>
      <c r="AC1277" t="s">
        <v>717</v>
      </c>
      <c r="AD1277" t="s">
        <v>717</v>
      </c>
      <c r="AE1277" t="s">
        <v>6643</v>
      </c>
      <c r="AF1277" t="s">
        <v>717</v>
      </c>
      <c r="AG1277" t="s">
        <v>717</v>
      </c>
      <c r="AH1277" t="s">
        <v>717</v>
      </c>
      <c r="AI1277" t="s">
        <v>6644</v>
      </c>
      <c r="AJ1277" t="s">
        <v>6645</v>
      </c>
      <c r="AK1277" t="s">
        <v>29</v>
      </c>
      <c r="AL1277" t="s">
        <v>717</v>
      </c>
      <c r="AM1277" t="s">
        <v>10</v>
      </c>
      <c r="AN1277" t="s">
        <v>717</v>
      </c>
    </row>
    <row r="1278" spans="1:40" hidden="1">
      <c r="A1278">
        <v>1276</v>
      </c>
      <c r="B1278">
        <v>220</v>
      </c>
      <c r="C1278" s="58">
        <v>44784</v>
      </c>
      <c r="D1278" t="s">
        <v>27</v>
      </c>
      <c r="E1278" t="s">
        <v>5079</v>
      </c>
      <c r="F1278">
        <v>8</v>
      </c>
      <c r="G1278">
        <v>5</v>
      </c>
      <c r="H1278">
        <v>666</v>
      </c>
      <c r="I1278">
        <v>2</v>
      </c>
      <c r="J1278">
        <v>62.35</v>
      </c>
      <c r="K1278" t="s">
        <v>25</v>
      </c>
      <c r="L1278">
        <v>4481250</v>
      </c>
      <c r="M1278">
        <v>0</v>
      </c>
      <c r="N1278">
        <v>4481250</v>
      </c>
      <c r="O1278">
        <v>71872.49398556535</v>
      </c>
      <c r="P1278">
        <v>0</v>
      </c>
      <c r="Q1278">
        <v>4481250</v>
      </c>
      <c r="R1278">
        <v>71872.49398556535</v>
      </c>
      <c r="S1278" t="s">
        <v>130</v>
      </c>
      <c r="T1278" t="s">
        <v>717</v>
      </c>
      <c r="U1278" t="s">
        <v>717</v>
      </c>
      <c r="V1278" t="s">
        <v>717</v>
      </c>
      <c r="W1278">
        <v>44781</v>
      </c>
      <c r="X1278" t="s">
        <v>6664</v>
      </c>
      <c r="Y1278" t="s">
        <v>6642</v>
      </c>
      <c r="Z1278" t="s">
        <v>17</v>
      </c>
      <c r="AA1278" t="s">
        <v>717</v>
      </c>
      <c r="AB1278" t="s">
        <v>2509</v>
      </c>
      <c r="AC1278" t="s">
        <v>717</v>
      </c>
      <c r="AD1278" t="s">
        <v>717</v>
      </c>
      <c r="AE1278" t="s">
        <v>6643</v>
      </c>
      <c r="AF1278" t="s">
        <v>717</v>
      </c>
      <c r="AG1278" t="s">
        <v>717</v>
      </c>
      <c r="AH1278" t="s">
        <v>717</v>
      </c>
      <c r="AI1278" t="s">
        <v>6644</v>
      </c>
      <c r="AJ1278" t="s">
        <v>6645</v>
      </c>
      <c r="AK1278" t="s">
        <v>29</v>
      </c>
      <c r="AL1278" t="s">
        <v>717</v>
      </c>
      <c r="AM1278" t="s">
        <v>10</v>
      </c>
      <c r="AN1278" t="s">
        <v>717</v>
      </c>
    </row>
    <row r="1279" spans="1:40" hidden="1">
      <c r="A1279">
        <v>1277</v>
      </c>
      <c r="B1279">
        <v>221</v>
      </c>
      <c r="C1279" s="58">
        <v>44784</v>
      </c>
      <c r="D1279" t="s">
        <v>27</v>
      </c>
      <c r="E1279" t="s">
        <v>5079</v>
      </c>
      <c r="F1279">
        <v>9</v>
      </c>
      <c r="G1279">
        <v>5</v>
      </c>
      <c r="H1279">
        <v>667</v>
      </c>
      <c r="I1279">
        <v>1</v>
      </c>
      <c r="J1279">
        <v>42.62</v>
      </c>
      <c r="K1279" t="s">
        <v>25</v>
      </c>
      <c r="L1279">
        <v>3096750</v>
      </c>
      <c r="M1279">
        <v>0</v>
      </c>
      <c r="N1279">
        <v>3096750</v>
      </c>
      <c r="O1279">
        <v>72659.549507273579</v>
      </c>
      <c r="P1279">
        <v>0</v>
      </c>
      <c r="Q1279">
        <v>3096750</v>
      </c>
      <c r="R1279">
        <v>72659.549507273579</v>
      </c>
      <c r="S1279" t="s">
        <v>130</v>
      </c>
      <c r="T1279" t="s">
        <v>717</v>
      </c>
      <c r="U1279" t="s">
        <v>717</v>
      </c>
      <c r="V1279" t="s">
        <v>717</v>
      </c>
      <c r="W1279">
        <v>44781</v>
      </c>
      <c r="X1279" t="s">
        <v>6664</v>
      </c>
      <c r="Y1279" t="s">
        <v>6642</v>
      </c>
      <c r="Z1279" t="s">
        <v>17</v>
      </c>
      <c r="AA1279" t="s">
        <v>717</v>
      </c>
      <c r="AB1279" t="s">
        <v>2509</v>
      </c>
      <c r="AC1279" t="s">
        <v>717</v>
      </c>
      <c r="AD1279" t="s">
        <v>717</v>
      </c>
      <c r="AE1279" t="s">
        <v>6643</v>
      </c>
      <c r="AF1279" t="s">
        <v>717</v>
      </c>
      <c r="AG1279" t="s">
        <v>717</v>
      </c>
      <c r="AH1279" t="s">
        <v>717</v>
      </c>
      <c r="AI1279" t="s">
        <v>6644</v>
      </c>
      <c r="AJ1279" t="s">
        <v>6645</v>
      </c>
      <c r="AK1279" t="s">
        <v>29</v>
      </c>
      <c r="AL1279" t="s">
        <v>717</v>
      </c>
      <c r="AM1279" t="s">
        <v>10</v>
      </c>
      <c r="AN1279" t="s">
        <v>717</v>
      </c>
    </row>
    <row r="1280" spans="1:40" hidden="1">
      <c r="A1280">
        <v>1278</v>
      </c>
      <c r="B1280">
        <v>222</v>
      </c>
      <c r="C1280" s="58">
        <v>44784</v>
      </c>
      <c r="D1280" t="s">
        <v>27</v>
      </c>
      <c r="E1280" t="s">
        <v>5079</v>
      </c>
      <c r="F1280">
        <v>1</v>
      </c>
      <c r="G1280">
        <v>6</v>
      </c>
      <c r="H1280">
        <v>668</v>
      </c>
      <c r="I1280">
        <v>1</v>
      </c>
      <c r="J1280">
        <v>42.52</v>
      </c>
      <c r="K1280" t="s">
        <v>25</v>
      </c>
      <c r="L1280">
        <v>3089250</v>
      </c>
      <c r="M1280">
        <v>0</v>
      </c>
      <c r="N1280">
        <v>3089250</v>
      </c>
      <c r="O1280">
        <v>72654.045155221072</v>
      </c>
      <c r="P1280">
        <v>0</v>
      </c>
      <c r="Q1280">
        <v>3089250</v>
      </c>
      <c r="R1280">
        <v>72654.045155221072</v>
      </c>
      <c r="S1280" t="s">
        <v>130</v>
      </c>
      <c r="T1280" t="s">
        <v>717</v>
      </c>
      <c r="U1280" t="s">
        <v>717</v>
      </c>
      <c r="V1280" t="s">
        <v>717</v>
      </c>
      <c r="W1280">
        <v>44781</v>
      </c>
      <c r="X1280" t="s">
        <v>6664</v>
      </c>
      <c r="Y1280" t="s">
        <v>6642</v>
      </c>
      <c r="Z1280" t="s">
        <v>17</v>
      </c>
      <c r="AA1280" t="s">
        <v>717</v>
      </c>
      <c r="AB1280" t="s">
        <v>2509</v>
      </c>
      <c r="AC1280" t="s">
        <v>717</v>
      </c>
      <c r="AD1280" t="s">
        <v>717</v>
      </c>
      <c r="AE1280" t="s">
        <v>6643</v>
      </c>
      <c r="AF1280" t="s">
        <v>717</v>
      </c>
      <c r="AG1280" t="s">
        <v>717</v>
      </c>
      <c r="AH1280" t="s">
        <v>717</v>
      </c>
      <c r="AI1280" t="s">
        <v>6644</v>
      </c>
      <c r="AJ1280" t="s">
        <v>6645</v>
      </c>
      <c r="AK1280" t="s">
        <v>29</v>
      </c>
      <c r="AL1280" t="s">
        <v>717</v>
      </c>
      <c r="AM1280" t="s">
        <v>10</v>
      </c>
      <c r="AN1280" t="s">
        <v>717</v>
      </c>
    </row>
    <row r="1281" spans="1:40" hidden="1">
      <c r="A1281">
        <v>1279</v>
      </c>
      <c r="B1281">
        <v>223</v>
      </c>
      <c r="C1281" s="58">
        <v>44784</v>
      </c>
      <c r="D1281" t="s">
        <v>27</v>
      </c>
      <c r="E1281" t="s">
        <v>5079</v>
      </c>
      <c r="F1281">
        <v>2</v>
      </c>
      <c r="G1281">
        <v>6</v>
      </c>
      <c r="H1281">
        <v>669</v>
      </c>
      <c r="I1281">
        <v>1</v>
      </c>
      <c r="J1281">
        <v>40.75</v>
      </c>
      <c r="K1281" t="s">
        <v>25</v>
      </c>
      <c r="L1281">
        <v>2958000</v>
      </c>
      <c r="M1281">
        <v>0</v>
      </c>
      <c r="N1281">
        <v>2958000</v>
      </c>
      <c r="O1281">
        <v>72588.95705521472</v>
      </c>
      <c r="P1281">
        <v>0</v>
      </c>
      <c r="Q1281">
        <v>2958000</v>
      </c>
      <c r="R1281">
        <v>72588.95705521472</v>
      </c>
      <c r="S1281" t="s">
        <v>130</v>
      </c>
      <c r="T1281" t="s">
        <v>717</v>
      </c>
      <c r="U1281" t="s">
        <v>717</v>
      </c>
      <c r="V1281" t="s">
        <v>717</v>
      </c>
      <c r="W1281">
        <v>44781</v>
      </c>
      <c r="X1281" t="s">
        <v>6664</v>
      </c>
      <c r="Y1281" t="s">
        <v>6642</v>
      </c>
      <c r="Z1281" t="s">
        <v>17</v>
      </c>
      <c r="AA1281" t="s">
        <v>717</v>
      </c>
      <c r="AB1281" t="s">
        <v>2509</v>
      </c>
      <c r="AC1281" t="s">
        <v>717</v>
      </c>
      <c r="AD1281" t="s">
        <v>717</v>
      </c>
      <c r="AE1281" t="s">
        <v>6643</v>
      </c>
      <c r="AF1281" t="s">
        <v>717</v>
      </c>
      <c r="AG1281" t="s">
        <v>717</v>
      </c>
      <c r="AH1281" t="s">
        <v>717</v>
      </c>
      <c r="AI1281" t="s">
        <v>6644</v>
      </c>
      <c r="AJ1281" t="s">
        <v>6645</v>
      </c>
      <c r="AK1281" t="s">
        <v>29</v>
      </c>
      <c r="AL1281" t="s">
        <v>717</v>
      </c>
      <c r="AM1281" t="s">
        <v>10</v>
      </c>
      <c r="AN1281" t="s">
        <v>717</v>
      </c>
    </row>
    <row r="1282" spans="1:40" hidden="1">
      <c r="A1282">
        <v>1280</v>
      </c>
      <c r="B1282">
        <v>224</v>
      </c>
      <c r="C1282" s="58">
        <v>44784</v>
      </c>
      <c r="D1282" t="s">
        <v>27</v>
      </c>
      <c r="E1282" t="s">
        <v>5079</v>
      </c>
      <c r="F1282">
        <v>8</v>
      </c>
      <c r="G1282">
        <v>6</v>
      </c>
      <c r="H1282">
        <v>675</v>
      </c>
      <c r="I1282">
        <v>2</v>
      </c>
      <c r="J1282">
        <v>62.35</v>
      </c>
      <c r="K1282" t="s">
        <v>25</v>
      </c>
      <c r="L1282">
        <v>4481250</v>
      </c>
      <c r="M1282">
        <v>0</v>
      </c>
      <c r="N1282">
        <v>4481250</v>
      </c>
      <c r="O1282">
        <v>71872.49398556535</v>
      </c>
      <c r="P1282">
        <v>0</v>
      </c>
      <c r="Q1282">
        <v>4481250</v>
      </c>
      <c r="R1282">
        <v>71872.49398556535</v>
      </c>
      <c r="S1282" t="s">
        <v>130</v>
      </c>
      <c r="T1282" t="s">
        <v>717</v>
      </c>
      <c r="U1282" t="s">
        <v>717</v>
      </c>
      <c r="V1282" t="s">
        <v>717</v>
      </c>
      <c r="W1282">
        <v>44781</v>
      </c>
      <c r="X1282" t="s">
        <v>6664</v>
      </c>
      <c r="Y1282" t="s">
        <v>6642</v>
      </c>
      <c r="Z1282" t="s">
        <v>17</v>
      </c>
      <c r="AA1282" t="s">
        <v>717</v>
      </c>
      <c r="AB1282" t="s">
        <v>2509</v>
      </c>
      <c r="AC1282" t="s">
        <v>717</v>
      </c>
      <c r="AD1282" t="s">
        <v>717</v>
      </c>
      <c r="AE1282" t="s">
        <v>6643</v>
      </c>
      <c r="AF1282" t="s">
        <v>717</v>
      </c>
      <c r="AG1282" t="s">
        <v>717</v>
      </c>
      <c r="AH1282" t="s">
        <v>717</v>
      </c>
      <c r="AI1282" t="s">
        <v>6644</v>
      </c>
      <c r="AJ1282" t="s">
        <v>6645</v>
      </c>
      <c r="AK1282" t="s">
        <v>29</v>
      </c>
      <c r="AL1282" t="s">
        <v>717</v>
      </c>
      <c r="AM1282" t="s">
        <v>10</v>
      </c>
      <c r="AN1282" t="s">
        <v>717</v>
      </c>
    </row>
    <row r="1283" spans="1:40" hidden="1">
      <c r="A1283">
        <v>1281</v>
      </c>
      <c r="B1283">
        <v>225</v>
      </c>
      <c r="C1283" s="58">
        <v>44784</v>
      </c>
      <c r="D1283" t="s">
        <v>27</v>
      </c>
      <c r="E1283" t="s">
        <v>5079</v>
      </c>
      <c r="F1283">
        <v>9</v>
      </c>
      <c r="G1283">
        <v>6</v>
      </c>
      <c r="H1283">
        <v>676</v>
      </c>
      <c r="I1283">
        <v>1</v>
      </c>
      <c r="J1283">
        <v>42.62</v>
      </c>
      <c r="K1283" t="s">
        <v>25</v>
      </c>
      <c r="L1283">
        <v>3096750</v>
      </c>
      <c r="M1283">
        <v>0</v>
      </c>
      <c r="N1283">
        <v>3096750</v>
      </c>
      <c r="O1283">
        <v>72659.549507273579</v>
      </c>
      <c r="P1283">
        <v>0</v>
      </c>
      <c r="Q1283">
        <v>3096750</v>
      </c>
      <c r="R1283">
        <v>72659.549507273579</v>
      </c>
      <c r="S1283" t="s">
        <v>130</v>
      </c>
      <c r="T1283" t="s">
        <v>717</v>
      </c>
      <c r="U1283" t="s">
        <v>717</v>
      </c>
      <c r="V1283" t="s">
        <v>717</v>
      </c>
      <c r="W1283">
        <v>44781</v>
      </c>
      <c r="X1283" t="s">
        <v>6664</v>
      </c>
      <c r="Y1283" t="s">
        <v>6642</v>
      </c>
      <c r="Z1283" t="s">
        <v>17</v>
      </c>
      <c r="AA1283" t="s">
        <v>717</v>
      </c>
      <c r="AB1283" t="s">
        <v>2509</v>
      </c>
      <c r="AC1283" t="s">
        <v>717</v>
      </c>
      <c r="AD1283" t="s">
        <v>717</v>
      </c>
      <c r="AE1283" t="s">
        <v>6643</v>
      </c>
      <c r="AF1283" t="s">
        <v>717</v>
      </c>
      <c r="AG1283" t="s">
        <v>717</v>
      </c>
      <c r="AH1283" t="s">
        <v>717</v>
      </c>
      <c r="AI1283" t="s">
        <v>6644</v>
      </c>
      <c r="AJ1283" t="s">
        <v>6645</v>
      </c>
      <c r="AK1283" t="s">
        <v>29</v>
      </c>
      <c r="AL1283" t="s">
        <v>717</v>
      </c>
      <c r="AM1283" t="s">
        <v>10</v>
      </c>
      <c r="AN1283" t="s">
        <v>717</v>
      </c>
    </row>
    <row r="1284" spans="1:40" hidden="1">
      <c r="A1284">
        <v>1282</v>
      </c>
      <c r="B1284">
        <v>226</v>
      </c>
      <c r="C1284" s="58">
        <v>44788</v>
      </c>
      <c r="D1284" t="s">
        <v>27</v>
      </c>
      <c r="E1284" t="s">
        <v>5079</v>
      </c>
      <c r="F1284">
        <v>1</v>
      </c>
      <c r="G1284">
        <v>7</v>
      </c>
      <c r="H1284">
        <v>677</v>
      </c>
      <c r="I1284">
        <v>1</v>
      </c>
      <c r="J1284">
        <v>42.52</v>
      </c>
      <c r="K1284" t="s">
        <v>25</v>
      </c>
      <c r="L1284">
        <v>3089250</v>
      </c>
      <c r="M1284">
        <v>0</v>
      </c>
      <c r="N1284">
        <v>3089250</v>
      </c>
      <c r="O1284">
        <v>72654.045155221072</v>
      </c>
      <c r="P1284">
        <v>0</v>
      </c>
      <c r="Q1284">
        <v>3089250</v>
      </c>
      <c r="R1284">
        <v>72654.045155221072</v>
      </c>
      <c r="S1284" t="s">
        <v>130</v>
      </c>
      <c r="T1284" t="s">
        <v>717</v>
      </c>
      <c r="U1284" t="s">
        <v>717</v>
      </c>
      <c r="V1284" t="s">
        <v>717</v>
      </c>
      <c r="W1284">
        <v>44781</v>
      </c>
      <c r="X1284" t="s">
        <v>6665</v>
      </c>
      <c r="Y1284" t="s">
        <v>6642</v>
      </c>
      <c r="Z1284" t="s">
        <v>17</v>
      </c>
      <c r="AA1284" t="s">
        <v>717</v>
      </c>
      <c r="AB1284" t="s">
        <v>2509</v>
      </c>
      <c r="AC1284" t="s">
        <v>717</v>
      </c>
      <c r="AD1284" t="s">
        <v>717</v>
      </c>
      <c r="AE1284" t="s">
        <v>6643</v>
      </c>
      <c r="AF1284" t="s">
        <v>717</v>
      </c>
      <c r="AG1284" t="s">
        <v>717</v>
      </c>
      <c r="AH1284" t="s">
        <v>717</v>
      </c>
      <c r="AI1284" t="s">
        <v>6644</v>
      </c>
      <c r="AJ1284" t="s">
        <v>6645</v>
      </c>
      <c r="AK1284" t="s">
        <v>29</v>
      </c>
      <c r="AL1284" t="s">
        <v>717</v>
      </c>
      <c r="AM1284" t="s">
        <v>10</v>
      </c>
      <c r="AN1284" t="s">
        <v>717</v>
      </c>
    </row>
    <row r="1285" spans="1:40" hidden="1">
      <c r="A1285">
        <v>1283</v>
      </c>
      <c r="B1285">
        <v>227</v>
      </c>
      <c r="C1285" s="58">
        <v>44788</v>
      </c>
      <c r="D1285" t="s">
        <v>27</v>
      </c>
      <c r="E1285" t="s">
        <v>5079</v>
      </c>
      <c r="F1285">
        <v>2</v>
      </c>
      <c r="G1285">
        <v>7</v>
      </c>
      <c r="H1285">
        <v>678</v>
      </c>
      <c r="I1285">
        <v>1</v>
      </c>
      <c r="J1285">
        <v>40.75</v>
      </c>
      <c r="K1285" t="s">
        <v>25</v>
      </c>
      <c r="L1285">
        <v>2958000</v>
      </c>
      <c r="M1285">
        <v>0</v>
      </c>
      <c r="N1285">
        <v>2958000</v>
      </c>
      <c r="O1285">
        <v>72588.95705521472</v>
      </c>
      <c r="P1285">
        <v>0</v>
      </c>
      <c r="Q1285">
        <v>2958000</v>
      </c>
      <c r="R1285">
        <v>72588.95705521472</v>
      </c>
      <c r="S1285" t="s">
        <v>130</v>
      </c>
      <c r="T1285" t="s">
        <v>717</v>
      </c>
      <c r="U1285" t="s">
        <v>717</v>
      </c>
      <c r="V1285" t="s">
        <v>717</v>
      </c>
      <c r="W1285">
        <v>44781</v>
      </c>
      <c r="X1285" t="s">
        <v>6665</v>
      </c>
      <c r="Y1285" t="s">
        <v>6642</v>
      </c>
      <c r="Z1285" t="s">
        <v>17</v>
      </c>
      <c r="AA1285" t="s">
        <v>717</v>
      </c>
      <c r="AB1285" t="s">
        <v>2509</v>
      </c>
      <c r="AC1285" t="s">
        <v>717</v>
      </c>
      <c r="AD1285" t="s">
        <v>717</v>
      </c>
      <c r="AE1285" t="s">
        <v>6643</v>
      </c>
      <c r="AF1285" t="s">
        <v>717</v>
      </c>
      <c r="AG1285" t="s">
        <v>717</v>
      </c>
      <c r="AH1285" t="s">
        <v>717</v>
      </c>
      <c r="AI1285" t="s">
        <v>6644</v>
      </c>
      <c r="AJ1285" t="s">
        <v>6645</v>
      </c>
      <c r="AK1285" t="s">
        <v>29</v>
      </c>
      <c r="AL1285" t="s">
        <v>717</v>
      </c>
      <c r="AM1285" t="s">
        <v>10</v>
      </c>
      <c r="AN1285" t="s">
        <v>717</v>
      </c>
    </row>
    <row r="1286" spans="1:40" hidden="1">
      <c r="A1286">
        <v>1284</v>
      </c>
      <c r="B1286">
        <v>228</v>
      </c>
      <c r="C1286" s="58">
        <v>44788</v>
      </c>
      <c r="D1286" t="s">
        <v>27</v>
      </c>
      <c r="E1286" t="s">
        <v>5079</v>
      </c>
      <c r="F1286">
        <v>5</v>
      </c>
      <c r="G1286">
        <v>7</v>
      </c>
      <c r="H1286">
        <v>681</v>
      </c>
      <c r="I1286">
        <v>1</v>
      </c>
      <c r="J1286">
        <v>38.96</v>
      </c>
      <c r="K1286" t="s">
        <v>25</v>
      </c>
      <c r="L1286">
        <v>2817750</v>
      </c>
      <c r="M1286">
        <v>0</v>
      </c>
      <c r="N1286">
        <v>2817750</v>
      </c>
      <c r="O1286">
        <v>72324.178644763859</v>
      </c>
      <c r="P1286">
        <v>0</v>
      </c>
      <c r="Q1286">
        <v>2817750</v>
      </c>
      <c r="R1286">
        <v>72324.178644763859</v>
      </c>
      <c r="S1286" t="s">
        <v>130</v>
      </c>
      <c r="T1286" t="s">
        <v>717</v>
      </c>
      <c r="U1286" t="s">
        <v>717</v>
      </c>
      <c r="V1286" t="s">
        <v>717</v>
      </c>
      <c r="W1286">
        <v>44781</v>
      </c>
      <c r="X1286" t="s">
        <v>6665</v>
      </c>
      <c r="Y1286" t="s">
        <v>6642</v>
      </c>
      <c r="Z1286" t="s">
        <v>17</v>
      </c>
      <c r="AA1286" t="s">
        <v>717</v>
      </c>
      <c r="AB1286" t="s">
        <v>2509</v>
      </c>
      <c r="AC1286" t="s">
        <v>717</v>
      </c>
      <c r="AD1286" t="s">
        <v>717</v>
      </c>
      <c r="AE1286" t="s">
        <v>6643</v>
      </c>
      <c r="AF1286" t="s">
        <v>717</v>
      </c>
      <c r="AG1286" t="s">
        <v>717</v>
      </c>
      <c r="AH1286" t="s">
        <v>717</v>
      </c>
      <c r="AI1286" t="s">
        <v>6644</v>
      </c>
      <c r="AJ1286" t="s">
        <v>6645</v>
      </c>
      <c r="AK1286" t="s">
        <v>29</v>
      </c>
      <c r="AL1286" t="s">
        <v>717</v>
      </c>
      <c r="AM1286" t="s">
        <v>10</v>
      </c>
      <c r="AN1286" t="s">
        <v>717</v>
      </c>
    </row>
    <row r="1287" spans="1:40" hidden="1">
      <c r="A1287">
        <v>1285</v>
      </c>
      <c r="B1287">
        <v>229</v>
      </c>
      <c r="C1287" s="58">
        <v>44788</v>
      </c>
      <c r="D1287" t="s">
        <v>27</v>
      </c>
      <c r="E1287" t="s">
        <v>5079</v>
      </c>
      <c r="F1287">
        <v>6</v>
      </c>
      <c r="G1287">
        <v>7</v>
      </c>
      <c r="H1287">
        <v>682</v>
      </c>
      <c r="I1287">
        <v>2</v>
      </c>
      <c r="J1287">
        <v>61.95</v>
      </c>
      <c r="K1287" t="s">
        <v>25</v>
      </c>
      <c r="L1287">
        <v>4547250</v>
      </c>
      <c r="M1287">
        <v>0</v>
      </c>
      <c r="N1287">
        <v>4547250</v>
      </c>
      <c r="O1287">
        <v>73401.937046004838</v>
      </c>
      <c r="P1287">
        <v>0</v>
      </c>
      <c r="Q1287">
        <v>4547250</v>
      </c>
      <c r="R1287">
        <v>73401.937046004838</v>
      </c>
      <c r="S1287" t="s">
        <v>130</v>
      </c>
      <c r="T1287" t="s">
        <v>717</v>
      </c>
      <c r="U1287" t="s">
        <v>717</v>
      </c>
      <c r="V1287" t="s">
        <v>717</v>
      </c>
      <c r="W1287">
        <v>44781</v>
      </c>
      <c r="X1287" t="s">
        <v>6665</v>
      </c>
      <c r="Y1287" t="s">
        <v>6642</v>
      </c>
      <c r="Z1287" t="s">
        <v>17</v>
      </c>
      <c r="AA1287" t="s">
        <v>717</v>
      </c>
      <c r="AB1287" t="s">
        <v>2509</v>
      </c>
      <c r="AC1287" t="s">
        <v>717</v>
      </c>
      <c r="AD1287" t="s">
        <v>717</v>
      </c>
      <c r="AE1287" t="s">
        <v>6643</v>
      </c>
      <c r="AF1287" t="s">
        <v>717</v>
      </c>
      <c r="AG1287" t="s">
        <v>717</v>
      </c>
      <c r="AH1287" t="s">
        <v>717</v>
      </c>
      <c r="AI1287" t="s">
        <v>6644</v>
      </c>
      <c r="AJ1287" t="s">
        <v>6645</v>
      </c>
      <c r="AK1287" t="s">
        <v>29</v>
      </c>
      <c r="AL1287" t="s">
        <v>717</v>
      </c>
      <c r="AM1287" t="s">
        <v>10</v>
      </c>
      <c r="AN1287" t="s">
        <v>717</v>
      </c>
    </row>
    <row r="1288" spans="1:40" hidden="1">
      <c r="A1288">
        <v>1286</v>
      </c>
      <c r="B1288">
        <v>230</v>
      </c>
      <c r="C1288" s="58">
        <v>44788</v>
      </c>
      <c r="D1288" t="s">
        <v>27</v>
      </c>
      <c r="E1288" t="s">
        <v>5079</v>
      </c>
      <c r="F1288">
        <v>8</v>
      </c>
      <c r="G1288">
        <v>7</v>
      </c>
      <c r="H1288">
        <v>684</v>
      </c>
      <c r="I1288">
        <v>2</v>
      </c>
      <c r="J1288">
        <v>62.35</v>
      </c>
      <c r="K1288" t="s">
        <v>25</v>
      </c>
      <c r="L1288">
        <v>4481250</v>
      </c>
      <c r="M1288">
        <v>0</v>
      </c>
      <c r="N1288">
        <v>4481250</v>
      </c>
      <c r="O1288">
        <v>71872.49398556535</v>
      </c>
      <c r="P1288">
        <v>0</v>
      </c>
      <c r="Q1288">
        <v>4481250</v>
      </c>
      <c r="R1288">
        <v>71872.49398556535</v>
      </c>
      <c r="S1288" t="s">
        <v>130</v>
      </c>
      <c r="T1288" t="s">
        <v>717</v>
      </c>
      <c r="U1288" t="s">
        <v>717</v>
      </c>
      <c r="V1288" t="s">
        <v>717</v>
      </c>
      <c r="W1288">
        <v>44781</v>
      </c>
      <c r="X1288" t="s">
        <v>6665</v>
      </c>
      <c r="Y1288" t="s">
        <v>6642</v>
      </c>
      <c r="Z1288" t="s">
        <v>17</v>
      </c>
      <c r="AA1288" t="s">
        <v>717</v>
      </c>
      <c r="AB1288" t="s">
        <v>2509</v>
      </c>
      <c r="AC1288" t="s">
        <v>717</v>
      </c>
      <c r="AD1288" t="s">
        <v>717</v>
      </c>
      <c r="AE1288" t="s">
        <v>6643</v>
      </c>
      <c r="AF1288" t="s">
        <v>717</v>
      </c>
      <c r="AG1288" t="s">
        <v>717</v>
      </c>
      <c r="AH1288" t="s">
        <v>717</v>
      </c>
      <c r="AI1288" t="s">
        <v>6644</v>
      </c>
      <c r="AJ1288" t="s">
        <v>6645</v>
      </c>
      <c r="AK1288" t="s">
        <v>29</v>
      </c>
      <c r="AL1288" t="s">
        <v>717</v>
      </c>
      <c r="AM1288" t="s">
        <v>10</v>
      </c>
      <c r="AN1288" t="s">
        <v>717</v>
      </c>
    </row>
    <row r="1289" spans="1:40" hidden="1">
      <c r="A1289">
        <v>1287</v>
      </c>
      <c r="B1289">
        <v>231</v>
      </c>
      <c r="C1289" s="58">
        <v>44788</v>
      </c>
      <c r="D1289" t="s">
        <v>27</v>
      </c>
      <c r="E1289" t="s">
        <v>5079</v>
      </c>
      <c r="F1289">
        <v>9</v>
      </c>
      <c r="G1289">
        <v>7</v>
      </c>
      <c r="H1289">
        <v>685</v>
      </c>
      <c r="I1289">
        <v>1</v>
      </c>
      <c r="J1289">
        <v>42.62</v>
      </c>
      <c r="K1289" t="s">
        <v>25</v>
      </c>
      <c r="L1289">
        <v>3096750</v>
      </c>
      <c r="M1289">
        <v>0</v>
      </c>
      <c r="N1289">
        <v>3096750</v>
      </c>
      <c r="O1289">
        <v>72659.549507273579</v>
      </c>
      <c r="P1289">
        <v>0</v>
      </c>
      <c r="Q1289">
        <v>3096750</v>
      </c>
      <c r="R1289">
        <v>72659.549507273579</v>
      </c>
      <c r="S1289" t="s">
        <v>130</v>
      </c>
      <c r="T1289" t="s">
        <v>717</v>
      </c>
      <c r="U1289" t="s">
        <v>717</v>
      </c>
      <c r="V1289" t="s">
        <v>717</v>
      </c>
      <c r="W1289">
        <v>44781</v>
      </c>
      <c r="X1289" t="s">
        <v>6665</v>
      </c>
      <c r="Y1289" t="s">
        <v>6642</v>
      </c>
      <c r="Z1289" t="s">
        <v>17</v>
      </c>
      <c r="AA1289" t="s">
        <v>717</v>
      </c>
      <c r="AB1289" t="s">
        <v>2509</v>
      </c>
      <c r="AC1289" t="s">
        <v>717</v>
      </c>
      <c r="AD1289" t="s">
        <v>717</v>
      </c>
      <c r="AE1289" t="s">
        <v>6643</v>
      </c>
      <c r="AF1289" t="s">
        <v>717</v>
      </c>
      <c r="AG1289" t="s">
        <v>717</v>
      </c>
      <c r="AH1289" t="s">
        <v>717</v>
      </c>
      <c r="AI1289" t="s">
        <v>6644</v>
      </c>
      <c r="AJ1289" t="s">
        <v>6645</v>
      </c>
      <c r="AK1289" t="s">
        <v>29</v>
      </c>
      <c r="AL1289" t="s">
        <v>717</v>
      </c>
      <c r="AM1289" t="s">
        <v>10</v>
      </c>
      <c r="AN1289" t="s">
        <v>717</v>
      </c>
    </row>
    <row r="1290" spans="1:40" hidden="1">
      <c r="A1290">
        <v>1288</v>
      </c>
      <c r="B1290">
        <v>232</v>
      </c>
      <c r="C1290" s="58">
        <v>44788</v>
      </c>
      <c r="D1290" t="s">
        <v>27</v>
      </c>
      <c r="E1290" t="s">
        <v>5079</v>
      </c>
      <c r="F1290">
        <v>1</v>
      </c>
      <c r="G1290">
        <v>8</v>
      </c>
      <c r="H1290">
        <v>686</v>
      </c>
      <c r="I1290">
        <v>1</v>
      </c>
      <c r="J1290">
        <v>42.52</v>
      </c>
      <c r="K1290" t="s">
        <v>25</v>
      </c>
      <c r="L1290">
        <v>3089250</v>
      </c>
      <c r="M1290">
        <v>0</v>
      </c>
      <c r="N1290">
        <v>3089250</v>
      </c>
      <c r="O1290">
        <v>72654.045155221072</v>
      </c>
      <c r="P1290">
        <v>0</v>
      </c>
      <c r="Q1290">
        <v>3089250</v>
      </c>
      <c r="R1290">
        <v>72654.045155221072</v>
      </c>
      <c r="S1290" t="s">
        <v>130</v>
      </c>
      <c r="T1290" t="s">
        <v>717</v>
      </c>
      <c r="U1290" t="s">
        <v>717</v>
      </c>
      <c r="V1290" t="s">
        <v>717</v>
      </c>
      <c r="W1290">
        <v>44781</v>
      </c>
      <c r="X1290" t="s">
        <v>6665</v>
      </c>
      <c r="Y1290" t="s">
        <v>6642</v>
      </c>
      <c r="Z1290" t="s">
        <v>17</v>
      </c>
      <c r="AA1290" t="s">
        <v>717</v>
      </c>
      <c r="AB1290" t="s">
        <v>2509</v>
      </c>
      <c r="AC1290" t="s">
        <v>717</v>
      </c>
      <c r="AD1290" t="s">
        <v>717</v>
      </c>
      <c r="AE1290" t="s">
        <v>6643</v>
      </c>
      <c r="AF1290" t="s">
        <v>717</v>
      </c>
      <c r="AG1290" t="s">
        <v>717</v>
      </c>
      <c r="AH1290" t="s">
        <v>717</v>
      </c>
      <c r="AI1290" t="s">
        <v>6644</v>
      </c>
      <c r="AJ1290" t="s">
        <v>6645</v>
      </c>
      <c r="AK1290" t="s">
        <v>29</v>
      </c>
      <c r="AL1290" t="s">
        <v>717</v>
      </c>
      <c r="AM1290" t="s">
        <v>10</v>
      </c>
      <c r="AN1290" t="s">
        <v>717</v>
      </c>
    </row>
    <row r="1291" spans="1:40" hidden="1">
      <c r="A1291">
        <v>1289</v>
      </c>
      <c r="B1291">
        <v>233</v>
      </c>
      <c r="C1291" s="58">
        <v>44788</v>
      </c>
      <c r="D1291" t="s">
        <v>27</v>
      </c>
      <c r="E1291" t="s">
        <v>5079</v>
      </c>
      <c r="F1291">
        <v>2</v>
      </c>
      <c r="G1291">
        <v>8</v>
      </c>
      <c r="H1291">
        <v>687</v>
      </c>
      <c r="I1291">
        <v>1</v>
      </c>
      <c r="J1291">
        <v>40.75</v>
      </c>
      <c r="K1291" t="s">
        <v>25</v>
      </c>
      <c r="L1291">
        <v>2958000</v>
      </c>
      <c r="M1291">
        <v>0</v>
      </c>
      <c r="N1291">
        <v>2958000</v>
      </c>
      <c r="O1291">
        <v>72588.95705521472</v>
      </c>
      <c r="P1291">
        <v>0</v>
      </c>
      <c r="Q1291">
        <v>2958000</v>
      </c>
      <c r="R1291">
        <v>72588.95705521472</v>
      </c>
      <c r="S1291" t="s">
        <v>130</v>
      </c>
      <c r="T1291" t="s">
        <v>717</v>
      </c>
      <c r="U1291" t="s">
        <v>717</v>
      </c>
      <c r="V1291" t="s">
        <v>717</v>
      </c>
      <c r="W1291">
        <v>44781</v>
      </c>
      <c r="X1291" t="s">
        <v>6665</v>
      </c>
      <c r="Y1291" t="s">
        <v>6642</v>
      </c>
      <c r="Z1291" t="s">
        <v>17</v>
      </c>
      <c r="AA1291" t="s">
        <v>717</v>
      </c>
      <c r="AB1291" t="s">
        <v>2509</v>
      </c>
      <c r="AC1291" t="s">
        <v>717</v>
      </c>
      <c r="AD1291" t="s">
        <v>717</v>
      </c>
      <c r="AE1291" t="s">
        <v>6643</v>
      </c>
      <c r="AF1291" t="s">
        <v>717</v>
      </c>
      <c r="AG1291" t="s">
        <v>717</v>
      </c>
      <c r="AH1291" t="s">
        <v>717</v>
      </c>
      <c r="AI1291" t="s">
        <v>6644</v>
      </c>
      <c r="AJ1291" t="s">
        <v>6645</v>
      </c>
      <c r="AK1291" t="s">
        <v>29</v>
      </c>
      <c r="AL1291" t="s">
        <v>717</v>
      </c>
      <c r="AM1291" t="s">
        <v>10</v>
      </c>
      <c r="AN1291" t="s">
        <v>717</v>
      </c>
    </row>
    <row r="1292" spans="1:40" hidden="1">
      <c r="A1292">
        <v>1290</v>
      </c>
      <c r="B1292">
        <v>234</v>
      </c>
      <c r="C1292" s="58">
        <v>44788</v>
      </c>
      <c r="D1292" t="s">
        <v>27</v>
      </c>
      <c r="E1292" t="s">
        <v>5079</v>
      </c>
      <c r="F1292">
        <v>8</v>
      </c>
      <c r="G1292">
        <v>8</v>
      </c>
      <c r="H1292">
        <v>693</v>
      </c>
      <c r="I1292">
        <v>2</v>
      </c>
      <c r="J1292">
        <v>62.35</v>
      </c>
      <c r="K1292" t="s">
        <v>25</v>
      </c>
      <c r="L1292">
        <v>4481250</v>
      </c>
      <c r="M1292">
        <v>0</v>
      </c>
      <c r="N1292">
        <v>4481250</v>
      </c>
      <c r="O1292">
        <v>71872.49398556535</v>
      </c>
      <c r="P1292">
        <v>0</v>
      </c>
      <c r="Q1292">
        <v>4481250</v>
      </c>
      <c r="R1292">
        <v>71872.49398556535</v>
      </c>
      <c r="S1292" t="s">
        <v>130</v>
      </c>
      <c r="T1292" t="s">
        <v>717</v>
      </c>
      <c r="U1292" t="s">
        <v>717</v>
      </c>
      <c r="V1292" t="s">
        <v>717</v>
      </c>
      <c r="W1292">
        <v>44781</v>
      </c>
      <c r="X1292" t="s">
        <v>6665</v>
      </c>
      <c r="Y1292" t="s">
        <v>6642</v>
      </c>
      <c r="Z1292" t="s">
        <v>17</v>
      </c>
      <c r="AA1292" t="s">
        <v>717</v>
      </c>
      <c r="AB1292" t="s">
        <v>2509</v>
      </c>
      <c r="AC1292" t="s">
        <v>717</v>
      </c>
      <c r="AD1292" t="s">
        <v>717</v>
      </c>
      <c r="AE1292" t="s">
        <v>6643</v>
      </c>
      <c r="AF1292" t="s">
        <v>717</v>
      </c>
      <c r="AG1292" t="s">
        <v>717</v>
      </c>
      <c r="AH1292" t="s">
        <v>717</v>
      </c>
      <c r="AI1292" t="s">
        <v>6644</v>
      </c>
      <c r="AJ1292" t="s">
        <v>6645</v>
      </c>
      <c r="AK1292" t="s">
        <v>29</v>
      </c>
      <c r="AL1292" t="s">
        <v>717</v>
      </c>
      <c r="AM1292" t="s">
        <v>10</v>
      </c>
      <c r="AN1292" t="s">
        <v>717</v>
      </c>
    </row>
    <row r="1293" spans="1:40" hidden="1">
      <c r="A1293">
        <v>1291</v>
      </c>
      <c r="B1293">
        <v>235</v>
      </c>
      <c r="C1293" s="58">
        <v>44788</v>
      </c>
      <c r="D1293" t="s">
        <v>27</v>
      </c>
      <c r="E1293" t="s">
        <v>5079</v>
      </c>
      <c r="F1293">
        <v>9</v>
      </c>
      <c r="G1293">
        <v>8</v>
      </c>
      <c r="H1293">
        <v>694</v>
      </c>
      <c r="I1293">
        <v>1</v>
      </c>
      <c r="J1293">
        <v>42.62</v>
      </c>
      <c r="K1293" t="s">
        <v>25</v>
      </c>
      <c r="L1293">
        <v>3096750</v>
      </c>
      <c r="M1293">
        <v>0</v>
      </c>
      <c r="N1293">
        <v>3096750</v>
      </c>
      <c r="O1293">
        <v>72659.549507273579</v>
      </c>
      <c r="P1293">
        <v>0</v>
      </c>
      <c r="Q1293">
        <v>3096750</v>
      </c>
      <c r="R1293">
        <v>72659.549507273579</v>
      </c>
      <c r="S1293" t="s">
        <v>130</v>
      </c>
      <c r="T1293" t="s">
        <v>717</v>
      </c>
      <c r="U1293" t="s">
        <v>717</v>
      </c>
      <c r="V1293" t="s">
        <v>717</v>
      </c>
      <c r="W1293">
        <v>44781</v>
      </c>
      <c r="X1293" t="s">
        <v>6665</v>
      </c>
      <c r="Y1293" t="s">
        <v>6642</v>
      </c>
      <c r="Z1293" t="s">
        <v>17</v>
      </c>
      <c r="AA1293" t="s">
        <v>717</v>
      </c>
      <c r="AB1293" t="s">
        <v>2509</v>
      </c>
      <c r="AC1293" t="s">
        <v>717</v>
      </c>
      <c r="AD1293" t="s">
        <v>717</v>
      </c>
      <c r="AE1293" t="s">
        <v>6643</v>
      </c>
      <c r="AF1293" t="s">
        <v>717</v>
      </c>
      <c r="AG1293" t="s">
        <v>717</v>
      </c>
      <c r="AH1293" t="s">
        <v>717</v>
      </c>
      <c r="AI1293" t="s">
        <v>6644</v>
      </c>
      <c r="AJ1293" t="s">
        <v>6645</v>
      </c>
      <c r="AK1293" t="s">
        <v>29</v>
      </c>
      <c r="AL1293" t="s">
        <v>717</v>
      </c>
      <c r="AM1293" t="s">
        <v>10</v>
      </c>
      <c r="AN1293" t="s">
        <v>717</v>
      </c>
    </row>
    <row r="1294" spans="1:40" hidden="1">
      <c r="A1294">
        <v>1292</v>
      </c>
      <c r="B1294">
        <v>236</v>
      </c>
      <c r="C1294" s="58">
        <v>44788</v>
      </c>
      <c r="D1294" t="s">
        <v>27</v>
      </c>
      <c r="E1294" t="s">
        <v>5079</v>
      </c>
      <c r="F1294">
        <v>1</v>
      </c>
      <c r="G1294">
        <v>9</v>
      </c>
      <c r="H1294">
        <v>695</v>
      </c>
      <c r="I1294">
        <v>1</v>
      </c>
      <c r="J1294">
        <v>42.52</v>
      </c>
      <c r="K1294" t="s">
        <v>25</v>
      </c>
      <c r="L1294">
        <v>3089250</v>
      </c>
      <c r="M1294">
        <v>0</v>
      </c>
      <c r="N1294">
        <v>3089250</v>
      </c>
      <c r="O1294">
        <v>72654.045155221072</v>
      </c>
      <c r="P1294">
        <v>0</v>
      </c>
      <c r="Q1294">
        <v>3089250</v>
      </c>
      <c r="R1294">
        <v>72654.045155221072</v>
      </c>
      <c r="S1294" t="s">
        <v>130</v>
      </c>
      <c r="T1294" t="s">
        <v>717</v>
      </c>
      <c r="U1294" t="s">
        <v>717</v>
      </c>
      <c r="V1294" t="s">
        <v>717</v>
      </c>
      <c r="W1294">
        <v>44781</v>
      </c>
      <c r="X1294" t="s">
        <v>6665</v>
      </c>
      <c r="Y1294" t="s">
        <v>6642</v>
      </c>
      <c r="Z1294" t="s">
        <v>17</v>
      </c>
      <c r="AA1294" t="s">
        <v>717</v>
      </c>
      <c r="AB1294" t="s">
        <v>2509</v>
      </c>
      <c r="AC1294" t="s">
        <v>717</v>
      </c>
      <c r="AD1294" t="s">
        <v>717</v>
      </c>
      <c r="AE1294" t="s">
        <v>6643</v>
      </c>
      <c r="AF1294" t="s">
        <v>717</v>
      </c>
      <c r="AG1294" t="s">
        <v>717</v>
      </c>
      <c r="AH1294" t="s">
        <v>717</v>
      </c>
      <c r="AI1294" t="s">
        <v>6644</v>
      </c>
      <c r="AJ1294" t="s">
        <v>6645</v>
      </c>
      <c r="AK1294" t="s">
        <v>29</v>
      </c>
      <c r="AL1294" t="s">
        <v>717</v>
      </c>
      <c r="AM1294" t="s">
        <v>10</v>
      </c>
      <c r="AN1294" t="s">
        <v>717</v>
      </c>
    </row>
    <row r="1295" spans="1:40" hidden="1">
      <c r="A1295">
        <v>1293</v>
      </c>
      <c r="B1295">
        <v>237</v>
      </c>
      <c r="C1295" s="58">
        <v>44788</v>
      </c>
      <c r="D1295" t="s">
        <v>27</v>
      </c>
      <c r="E1295" t="s">
        <v>5079</v>
      </c>
      <c r="F1295">
        <v>2</v>
      </c>
      <c r="G1295">
        <v>9</v>
      </c>
      <c r="H1295">
        <v>696</v>
      </c>
      <c r="I1295">
        <v>1</v>
      </c>
      <c r="J1295">
        <v>40.75</v>
      </c>
      <c r="K1295" t="s">
        <v>25</v>
      </c>
      <c r="L1295">
        <v>2958000</v>
      </c>
      <c r="M1295">
        <v>0</v>
      </c>
      <c r="N1295">
        <v>2958000</v>
      </c>
      <c r="O1295">
        <v>72588.95705521472</v>
      </c>
      <c r="P1295">
        <v>0</v>
      </c>
      <c r="Q1295">
        <v>2958000</v>
      </c>
      <c r="R1295">
        <v>72588.95705521472</v>
      </c>
      <c r="S1295" t="s">
        <v>130</v>
      </c>
      <c r="T1295" t="s">
        <v>717</v>
      </c>
      <c r="U1295" t="s">
        <v>717</v>
      </c>
      <c r="V1295" t="s">
        <v>717</v>
      </c>
      <c r="W1295">
        <v>44781</v>
      </c>
      <c r="X1295" t="s">
        <v>6665</v>
      </c>
      <c r="Y1295" t="s">
        <v>6642</v>
      </c>
      <c r="Z1295" t="s">
        <v>17</v>
      </c>
      <c r="AA1295" t="s">
        <v>717</v>
      </c>
      <c r="AB1295" t="s">
        <v>2509</v>
      </c>
      <c r="AC1295" t="s">
        <v>717</v>
      </c>
      <c r="AD1295" t="s">
        <v>717</v>
      </c>
      <c r="AE1295" t="s">
        <v>6643</v>
      </c>
      <c r="AF1295" t="s">
        <v>717</v>
      </c>
      <c r="AG1295" t="s">
        <v>717</v>
      </c>
      <c r="AH1295" t="s">
        <v>717</v>
      </c>
      <c r="AI1295" t="s">
        <v>6644</v>
      </c>
      <c r="AJ1295" t="s">
        <v>6645</v>
      </c>
      <c r="AK1295" t="s">
        <v>29</v>
      </c>
      <c r="AL1295" t="s">
        <v>717</v>
      </c>
      <c r="AM1295" t="s">
        <v>10</v>
      </c>
      <c r="AN1295" t="s">
        <v>717</v>
      </c>
    </row>
    <row r="1296" spans="1:40" hidden="1">
      <c r="A1296">
        <v>1294</v>
      </c>
      <c r="B1296">
        <v>238</v>
      </c>
      <c r="C1296" s="58">
        <v>44788</v>
      </c>
      <c r="D1296" t="s">
        <v>27</v>
      </c>
      <c r="E1296" t="s">
        <v>5079</v>
      </c>
      <c r="F1296">
        <v>6</v>
      </c>
      <c r="G1296">
        <v>9</v>
      </c>
      <c r="H1296">
        <v>700</v>
      </c>
      <c r="I1296">
        <v>2</v>
      </c>
      <c r="J1296">
        <v>61.95</v>
      </c>
      <c r="K1296" t="s">
        <v>25</v>
      </c>
      <c r="L1296">
        <v>4547250</v>
      </c>
      <c r="M1296">
        <v>0</v>
      </c>
      <c r="N1296">
        <v>4547250</v>
      </c>
      <c r="O1296">
        <v>73401.937046004838</v>
      </c>
      <c r="P1296">
        <v>0</v>
      </c>
      <c r="Q1296">
        <v>4547250</v>
      </c>
      <c r="R1296">
        <v>73401.937046004838</v>
      </c>
      <c r="S1296" t="s">
        <v>130</v>
      </c>
      <c r="T1296" t="s">
        <v>717</v>
      </c>
      <c r="U1296" t="s">
        <v>717</v>
      </c>
      <c r="V1296" t="s">
        <v>717</v>
      </c>
      <c r="W1296">
        <v>44781</v>
      </c>
      <c r="X1296" t="s">
        <v>6665</v>
      </c>
      <c r="Y1296" t="s">
        <v>6642</v>
      </c>
      <c r="Z1296" t="s">
        <v>17</v>
      </c>
      <c r="AA1296" t="s">
        <v>717</v>
      </c>
      <c r="AB1296" t="s">
        <v>2509</v>
      </c>
      <c r="AC1296" t="s">
        <v>717</v>
      </c>
      <c r="AD1296" t="s">
        <v>717</v>
      </c>
      <c r="AE1296" t="s">
        <v>6643</v>
      </c>
      <c r="AF1296" t="s">
        <v>717</v>
      </c>
      <c r="AG1296" t="s">
        <v>717</v>
      </c>
      <c r="AH1296" t="s">
        <v>717</v>
      </c>
      <c r="AI1296" t="s">
        <v>6644</v>
      </c>
      <c r="AJ1296" t="s">
        <v>6645</v>
      </c>
      <c r="AK1296" t="s">
        <v>29</v>
      </c>
      <c r="AL1296" t="s">
        <v>717</v>
      </c>
      <c r="AM1296" t="s">
        <v>10</v>
      </c>
      <c r="AN1296" t="s">
        <v>717</v>
      </c>
    </row>
    <row r="1297" spans="1:40" hidden="1">
      <c r="A1297">
        <v>1295</v>
      </c>
      <c r="B1297">
        <v>239</v>
      </c>
      <c r="C1297" s="58">
        <v>44788</v>
      </c>
      <c r="D1297" t="s">
        <v>27</v>
      </c>
      <c r="E1297" t="s">
        <v>5079</v>
      </c>
      <c r="F1297">
        <v>8</v>
      </c>
      <c r="G1297">
        <v>9</v>
      </c>
      <c r="H1297">
        <v>702</v>
      </c>
      <c r="I1297">
        <v>2</v>
      </c>
      <c r="J1297">
        <v>62.35</v>
      </c>
      <c r="K1297" t="s">
        <v>25</v>
      </c>
      <c r="L1297">
        <v>4481250</v>
      </c>
      <c r="M1297">
        <v>0</v>
      </c>
      <c r="N1297">
        <v>4481250</v>
      </c>
      <c r="O1297">
        <v>71872.49398556535</v>
      </c>
      <c r="P1297">
        <v>0</v>
      </c>
      <c r="Q1297">
        <v>4481250</v>
      </c>
      <c r="R1297">
        <v>71872.49398556535</v>
      </c>
      <c r="S1297" t="s">
        <v>130</v>
      </c>
      <c r="T1297" t="s">
        <v>717</v>
      </c>
      <c r="U1297" t="s">
        <v>717</v>
      </c>
      <c r="V1297" t="s">
        <v>717</v>
      </c>
      <c r="W1297">
        <v>44781</v>
      </c>
      <c r="X1297" t="s">
        <v>6665</v>
      </c>
      <c r="Y1297" t="s">
        <v>6642</v>
      </c>
      <c r="Z1297" t="s">
        <v>17</v>
      </c>
      <c r="AA1297" t="s">
        <v>717</v>
      </c>
      <c r="AB1297" t="s">
        <v>2509</v>
      </c>
      <c r="AC1297" t="s">
        <v>717</v>
      </c>
      <c r="AD1297" t="s">
        <v>717</v>
      </c>
      <c r="AE1297" t="s">
        <v>6643</v>
      </c>
      <c r="AF1297" t="s">
        <v>717</v>
      </c>
      <c r="AG1297" t="s">
        <v>717</v>
      </c>
      <c r="AH1297" t="s">
        <v>717</v>
      </c>
      <c r="AI1297" t="s">
        <v>6644</v>
      </c>
      <c r="AJ1297" t="s">
        <v>6645</v>
      </c>
      <c r="AK1297" t="s">
        <v>29</v>
      </c>
      <c r="AL1297" t="s">
        <v>717</v>
      </c>
      <c r="AM1297" t="s">
        <v>10</v>
      </c>
      <c r="AN1297" t="s">
        <v>717</v>
      </c>
    </row>
    <row r="1298" spans="1:40" hidden="1">
      <c r="A1298">
        <v>1296</v>
      </c>
      <c r="B1298">
        <v>240</v>
      </c>
      <c r="C1298" s="58">
        <v>44788</v>
      </c>
      <c r="D1298" t="s">
        <v>27</v>
      </c>
      <c r="E1298" t="s">
        <v>5079</v>
      </c>
      <c r="F1298">
        <v>9</v>
      </c>
      <c r="G1298">
        <v>9</v>
      </c>
      <c r="H1298">
        <v>703</v>
      </c>
      <c r="I1298">
        <v>1</v>
      </c>
      <c r="J1298">
        <v>42.62</v>
      </c>
      <c r="K1298" t="s">
        <v>25</v>
      </c>
      <c r="L1298">
        <v>3096750</v>
      </c>
      <c r="M1298">
        <v>0</v>
      </c>
      <c r="N1298">
        <v>3096750</v>
      </c>
      <c r="O1298">
        <v>72659.549507273579</v>
      </c>
      <c r="P1298">
        <v>0</v>
      </c>
      <c r="Q1298">
        <v>3096750</v>
      </c>
      <c r="R1298">
        <v>72659.549507273579</v>
      </c>
      <c r="S1298" t="s">
        <v>130</v>
      </c>
      <c r="T1298" t="s">
        <v>717</v>
      </c>
      <c r="U1298" t="s">
        <v>717</v>
      </c>
      <c r="V1298" t="s">
        <v>717</v>
      </c>
      <c r="W1298">
        <v>44781</v>
      </c>
      <c r="X1298" t="s">
        <v>6666</v>
      </c>
      <c r="Y1298" t="s">
        <v>6642</v>
      </c>
      <c r="Z1298" t="s">
        <v>17</v>
      </c>
      <c r="AA1298" t="s">
        <v>717</v>
      </c>
      <c r="AB1298" t="s">
        <v>2509</v>
      </c>
      <c r="AC1298" t="s">
        <v>717</v>
      </c>
      <c r="AD1298" t="s">
        <v>717</v>
      </c>
      <c r="AE1298" t="s">
        <v>6643</v>
      </c>
      <c r="AF1298" t="s">
        <v>717</v>
      </c>
      <c r="AG1298" t="s">
        <v>717</v>
      </c>
      <c r="AH1298" t="s">
        <v>717</v>
      </c>
      <c r="AI1298" t="s">
        <v>6644</v>
      </c>
      <c r="AJ1298" t="s">
        <v>6645</v>
      </c>
      <c r="AK1298" t="s">
        <v>29</v>
      </c>
      <c r="AL1298" t="s">
        <v>717</v>
      </c>
      <c r="AM1298" t="s">
        <v>10</v>
      </c>
      <c r="AN1298" t="s">
        <v>717</v>
      </c>
    </row>
    <row r="1299" spans="1:40" hidden="1">
      <c r="A1299">
        <v>1297</v>
      </c>
      <c r="B1299">
        <v>241</v>
      </c>
      <c r="C1299" s="58">
        <v>44788</v>
      </c>
      <c r="D1299" t="s">
        <v>27</v>
      </c>
      <c r="E1299" t="s">
        <v>5079</v>
      </c>
      <c r="F1299">
        <v>1</v>
      </c>
      <c r="G1299">
        <v>10</v>
      </c>
      <c r="H1299">
        <v>704</v>
      </c>
      <c r="I1299">
        <v>1</v>
      </c>
      <c r="J1299">
        <v>42.52</v>
      </c>
      <c r="K1299" t="s">
        <v>25</v>
      </c>
      <c r="L1299">
        <v>3089250</v>
      </c>
      <c r="M1299">
        <v>0</v>
      </c>
      <c r="N1299">
        <v>3089250</v>
      </c>
      <c r="O1299">
        <v>72654.045155221072</v>
      </c>
      <c r="P1299">
        <v>0</v>
      </c>
      <c r="Q1299">
        <v>3089250</v>
      </c>
      <c r="R1299">
        <v>72654.045155221072</v>
      </c>
      <c r="S1299" t="s">
        <v>130</v>
      </c>
      <c r="T1299" t="s">
        <v>717</v>
      </c>
      <c r="U1299" t="s">
        <v>717</v>
      </c>
      <c r="V1299" t="s">
        <v>717</v>
      </c>
      <c r="W1299">
        <v>44781</v>
      </c>
      <c r="X1299" t="s">
        <v>6666</v>
      </c>
      <c r="Y1299" t="s">
        <v>6642</v>
      </c>
      <c r="Z1299" t="s">
        <v>17</v>
      </c>
      <c r="AA1299" t="s">
        <v>717</v>
      </c>
      <c r="AB1299" t="s">
        <v>2509</v>
      </c>
      <c r="AC1299" t="s">
        <v>717</v>
      </c>
      <c r="AD1299" t="s">
        <v>717</v>
      </c>
      <c r="AE1299" t="s">
        <v>6643</v>
      </c>
      <c r="AF1299" t="s">
        <v>717</v>
      </c>
      <c r="AG1299" t="s">
        <v>717</v>
      </c>
      <c r="AH1299" t="s">
        <v>717</v>
      </c>
      <c r="AI1299" t="s">
        <v>6644</v>
      </c>
      <c r="AJ1299" t="s">
        <v>6645</v>
      </c>
      <c r="AK1299" t="s">
        <v>29</v>
      </c>
      <c r="AL1299" t="s">
        <v>717</v>
      </c>
      <c r="AM1299" t="s">
        <v>10</v>
      </c>
      <c r="AN1299" t="s">
        <v>717</v>
      </c>
    </row>
    <row r="1300" spans="1:40" hidden="1">
      <c r="A1300">
        <v>1298</v>
      </c>
      <c r="B1300">
        <v>242</v>
      </c>
      <c r="C1300" s="58">
        <v>44788</v>
      </c>
      <c r="D1300" t="s">
        <v>27</v>
      </c>
      <c r="E1300" t="s">
        <v>5079</v>
      </c>
      <c r="F1300">
        <v>2</v>
      </c>
      <c r="G1300">
        <v>10</v>
      </c>
      <c r="H1300">
        <v>705</v>
      </c>
      <c r="I1300">
        <v>1</v>
      </c>
      <c r="J1300">
        <v>40.75</v>
      </c>
      <c r="K1300" t="s">
        <v>25</v>
      </c>
      <c r="L1300">
        <v>2958000</v>
      </c>
      <c r="M1300">
        <v>0</v>
      </c>
      <c r="N1300">
        <v>2958000</v>
      </c>
      <c r="O1300">
        <v>72588.95705521472</v>
      </c>
      <c r="P1300">
        <v>0</v>
      </c>
      <c r="Q1300">
        <v>2958000</v>
      </c>
      <c r="R1300">
        <v>72588.95705521472</v>
      </c>
      <c r="S1300" t="s">
        <v>130</v>
      </c>
      <c r="T1300" t="s">
        <v>717</v>
      </c>
      <c r="U1300" t="s">
        <v>717</v>
      </c>
      <c r="V1300" t="s">
        <v>717</v>
      </c>
      <c r="W1300">
        <v>44781</v>
      </c>
      <c r="X1300" t="s">
        <v>6666</v>
      </c>
      <c r="Y1300" t="s">
        <v>6642</v>
      </c>
      <c r="Z1300" t="s">
        <v>17</v>
      </c>
      <c r="AA1300" t="s">
        <v>717</v>
      </c>
      <c r="AB1300" t="s">
        <v>2509</v>
      </c>
      <c r="AC1300" t="s">
        <v>717</v>
      </c>
      <c r="AD1300" t="s">
        <v>717</v>
      </c>
      <c r="AE1300" t="s">
        <v>6643</v>
      </c>
      <c r="AF1300" t="s">
        <v>717</v>
      </c>
      <c r="AG1300" t="s">
        <v>717</v>
      </c>
      <c r="AH1300" t="s">
        <v>717</v>
      </c>
      <c r="AI1300" t="s">
        <v>6644</v>
      </c>
      <c r="AJ1300" t="s">
        <v>6645</v>
      </c>
      <c r="AK1300" t="s">
        <v>29</v>
      </c>
      <c r="AL1300" t="s">
        <v>717</v>
      </c>
      <c r="AM1300" t="s">
        <v>10</v>
      </c>
      <c r="AN1300" t="s">
        <v>717</v>
      </c>
    </row>
    <row r="1301" spans="1:40" hidden="1">
      <c r="A1301">
        <v>1299</v>
      </c>
      <c r="B1301">
        <v>243</v>
      </c>
      <c r="C1301" s="58">
        <v>44788</v>
      </c>
      <c r="D1301" t="s">
        <v>27</v>
      </c>
      <c r="E1301" t="s">
        <v>5079</v>
      </c>
      <c r="F1301">
        <v>6</v>
      </c>
      <c r="G1301">
        <v>10</v>
      </c>
      <c r="H1301">
        <v>709</v>
      </c>
      <c r="I1301">
        <v>2</v>
      </c>
      <c r="J1301">
        <v>61.95</v>
      </c>
      <c r="K1301" t="s">
        <v>25</v>
      </c>
      <c r="L1301">
        <v>4547250</v>
      </c>
      <c r="M1301">
        <v>0</v>
      </c>
      <c r="N1301">
        <v>4547250</v>
      </c>
      <c r="O1301">
        <v>73401.937046004838</v>
      </c>
      <c r="P1301">
        <v>0</v>
      </c>
      <c r="Q1301">
        <v>4547250</v>
      </c>
      <c r="R1301">
        <v>73401.937046004838</v>
      </c>
      <c r="S1301" t="s">
        <v>130</v>
      </c>
      <c r="T1301" t="s">
        <v>717</v>
      </c>
      <c r="U1301" t="s">
        <v>717</v>
      </c>
      <c r="V1301" t="s">
        <v>717</v>
      </c>
      <c r="W1301">
        <v>44781</v>
      </c>
      <c r="X1301" t="s">
        <v>6666</v>
      </c>
      <c r="Y1301" t="s">
        <v>6642</v>
      </c>
      <c r="Z1301" t="s">
        <v>17</v>
      </c>
      <c r="AA1301" t="s">
        <v>717</v>
      </c>
      <c r="AB1301" t="s">
        <v>2509</v>
      </c>
      <c r="AC1301" t="s">
        <v>717</v>
      </c>
      <c r="AD1301" t="s">
        <v>717</v>
      </c>
      <c r="AE1301" t="s">
        <v>6643</v>
      </c>
      <c r="AF1301" t="s">
        <v>717</v>
      </c>
      <c r="AG1301" t="s">
        <v>717</v>
      </c>
      <c r="AH1301" t="s">
        <v>717</v>
      </c>
      <c r="AI1301" t="s">
        <v>6644</v>
      </c>
      <c r="AJ1301" t="s">
        <v>6645</v>
      </c>
      <c r="AK1301" t="s">
        <v>29</v>
      </c>
      <c r="AL1301" t="s">
        <v>717</v>
      </c>
      <c r="AM1301" t="s">
        <v>10</v>
      </c>
      <c r="AN1301" t="s">
        <v>717</v>
      </c>
    </row>
    <row r="1302" spans="1:40" hidden="1">
      <c r="A1302">
        <v>1300</v>
      </c>
      <c r="B1302">
        <v>244</v>
      </c>
      <c r="C1302" s="58">
        <v>44788</v>
      </c>
      <c r="D1302" t="s">
        <v>27</v>
      </c>
      <c r="E1302" t="s">
        <v>5079</v>
      </c>
      <c r="F1302">
        <v>8</v>
      </c>
      <c r="G1302">
        <v>10</v>
      </c>
      <c r="H1302">
        <v>711</v>
      </c>
      <c r="I1302">
        <v>2</v>
      </c>
      <c r="J1302">
        <v>62.35</v>
      </c>
      <c r="K1302" t="s">
        <v>25</v>
      </c>
      <c r="L1302">
        <v>4481250</v>
      </c>
      <c r="M1302">
        <v>0</v>
      </c>
      <c r="N1302">
        <v>4481250</v>
      </c>
      <c r="O1302">
        <v>71872.49398556535</v>
      </c>
      <c r="P1302">
        <v>0</v>
      </c>
      <c r="Q1302">
        <v>4481250</v>
      </c>
      <c r="R1302">
        <v>71872.49398556535</v>
      </c>
      <c r="S1302" t="s">
        <v>130</v>
      </c>
      <c r="T1302" t="s">
        <v>717</v>
      </c>
      <c r="U1302" t="s">
        <v>717</v>
      </c>
      <c r="V1302" t="s">
        <v>717</v>
      </c>
      <c r="W1302">
        <v>44781</v>
      </c>
      <c r="X1302" t="s">
        <v>6666</v>
      </c>
      <c r="Y1302" t="s">
        <v>6642</v>
      </c>
      <c r="Z1302" t="s">
        <v>17</v>
      </c>
      <c r="AA1302" t="s">
        <v>717</v>
      </c>
      <c r="AB1302" t="s">
        <v>2509</v>
      </c>
      <c r="AC1302" t="s">
        <v>717</v>
      </c>
      <c r="AD1302" t="s">
        <v>717</v>
      </c>
      <c r="AE1302" t="s">
        <v>6643</v>
      </c>
      <c r="AF1302" t="s">
        <v>717</v>
      </c>
      <c r="AG1302" t="s">
        <v>717</v>
      </c>
      <c r="AH1302" t="s">
        <v>717</v>
      </c>
      <c r="AI1302" t="s">
        <v>6644</v>
      </c>
      <c r="AJ1302" t="s">
        <v>6645</v>
      </c>
      <c r="AK1302" t="s">
        <v>29</v>
      </c>
      <c r="AL1302" t="s">
        <v>717</v>
      </c>
      <c r="AM1302" t="s">
        <v>10</v>
      </c>
      <c r="AN1302" t="s">
        <v>717</v>
      </c>
    </row>
    <row r="1303" spans="1:40" hidden="1">
      <c r="A1303">
        <v>1301</v>
      </c>
      <c r="B1303">
        <v>245</v>
      </c>
      <c r="C1303" s="58">
        <v>44788</v>
      </c>
      <c r="D1303" t="s">
        <v>27</v>
      </c>
      <c r="E1303" t="s">
        <v>5079</v>
      </c>
      <c r="F1303">
        <v>9</v>
      </c>
      <c r="G1303">
        <v>10</v>
      </c>
      <c r="H1303">
        <v>712</v>
      </c>
      <c r="I1303">
        <v>1</v>
      </c>
      <c r="J1303">
        <v>42.62</v>
      </c>
      <c r="K1303" t="s">
        <v>25</v>
      </c>
      <c r="L1303">
        <v>3096750</v>
      </c>
      <c r="M1303">
        <v>0</v>
      </c>
      <c r="N1303">
        <v>3096750</v>
      </c>
      <c r="O1303">
        <v>72659.549507273579</v>
      </c>
      <c r="P1303">
        <v>0</v>
      </c>
      <c r="Q1303">
        <v>3096750</v>
      </c>
      <c r="R1303">
        <v>72659.549507273579</v>
      </c>
      <c r="S1303" t="s">
        <v>130</v>
      </c>
      <c r="T1303" t="s">
        <v>717</v>
      </c>
      <c r="U1303" t="s">
        <v>717</v>
      </c>
      <c r="V1303" t="s">
        <v>717</v>
      </c>
      <c r="W1303">
        <v>44781</v>
      </c>
      <c r="X1303" t="s">
        <v>6666</v>
      </c>
      <c r="Y1303" t="s">
        <v>6642</v>
      </c>
      <c r="Z1303" t="s">
        <v>17</v>
      </c>
      <c r="AA1303" t="s">
        <v>717</v>
      </c>
      <c r="AB1303" t="s">
        <v>2509</v>
      </c>
      <c r="AC1303" t="s">
        <v>717</v>
      </c>
      <c r="AD1303" t="s">
        <v>717</v>
      </c>
      <c r="AE1303" t="s">
        <v>6643</v>
      </c>
      <c r="AF1303" t="s">
        <v>717</v>
      </c>
      <c r="AG1303" t="s">
        <v>717</v>
      </c>
      <c r="AH1303" t="s">
        <v>717</v>
      </c>
      <c r="AI1303" t="s">
        <v>6644</v>
      </c>
      <c r="AJ1303" t="s">
        <v>6645</v>
      </c>
      <c r="AK1303" t="s">
        <v>29</v>
      </c>
      <c r="AL1303" t="s">
        <v>717</v>
      </c>
      <c r="AM1303" t="s">
        <v>10</v>
      </c>
      <c r="AN1303" t="s">
        <v>717</v>
      </c>
    </row>
    <row r="1304" spans="1:40" hidden="1">
      <c r="A1304">
        <v>1302</v>
      </c>
      <c r="B1304">
        <v>246</v>
      </c>
      <c r="C1304" s="58">
        <v>44788</v>
      </c>
      <c r="D1304" t="s">
        <v>27</v>
      </c>
      <c r="E1304" t="s">
        <v>5079</v>
      </c>
      <c r="F1304">
        <v>1</v>
      </c>
      <c r="G1304">
        <v>11</v>
      </c>
      <c r="H1304">
        <v>713</v>
      </c>
      <c r="I1304">
        <v>1</v>
      </c>
      <c r="J1304">
        <v>42.52</v>
      </c>
      <c r="K1304" t="s">
        <v>25</v>
      </c>
      <c r="L1304">
        <v>3089250</v>
      </c>
      <c r="M1304">
        <v>0</v>
      </c>
      <c r="N1304">
        <v>3089250</v>
      </c>
      <c r="O1304">
        <v>72654.045155221072</v>
      </c>
      <c r="P1304">
        <v>0</v>
      </c>
      <c r="Q1304">
        <v>3089250</v>
      </c>
      <c r="R1304">
        <v>72654.045155221072</v>
      </c>
      <c r="S1304" t="s">
        <v>130</v>
      </c>
      <c r="T1304" t="s">
        <v>717</v>
      </c>
      <c r="U1304" t="s">
        <v>717</v>
      </c>
      <c r="V1304" t="s">
        <v>717</v>
      </c>
      <c r="W1304">
        <v>44781</v>
      </c>
      <c r="X1304" t="s">
        <v>6666</v>
      </c>
      <c r="Y1304" t="s">
        <v>6642</v>
      </c>
      <c r="Z1304" t="s">
        <v>17</v>
      </c>
      <c r="AA1304" t="s">
        <v>717</v>
      </c>
      <c r="AB1304" t="s">
        <v>2509</v>
      </c>
      <c r="AC1304" t="s">
        <v>717</v>
      </c>
      <c r="AD1304" t="s">
        <v>717</v>
      </c>
      <c r="AE1304" t="s">
        <v>6643</v>
      </c>
      <c r="AF1304" t="s">
        <v>717</v>
      </c>
      <c r="AG1304" t="s">
        <v>717</v>
      </c>
      <c r="AH1304" t="s">
        <v>717</v>
      </c>
      <c r="AI1304" t="s">
        <v>6644</v>
      </c>
      <c r="AJ1304" t="s">
        <v>6645</v>
      </c>
      <c r="AK1304" t="s">
        <v>29</v>
      </c>
      <c r="AL1304" t="s">
        <v>717</v>
      </c>
      <c r="AM1304" t="s">
        <v>10</v>
      </c>
      <c r="AN1304" t="s">
        <v>717</v>
      </c>
    </row>
    <row r="1305" spans="1:40" hidden="1">
      <c r="A1305">
        <v>1303</v>
      </c>
      <c r="B1305">
        <v>247</v>
      </c>
      <c r="C1305" s="58">
        <v>44788</v>
      </c>
      <c r="D1305" t="s">
        <v>27</v>
      </c>
      <c r="E1305" t="s">
        <v>5079</v>
      </c>
      <c r="F1305">
        <v>2</v>
      </c>
      <c r="G1305">
        <v>11</v>
      </c>
      <c r="H1305">
        <v>714</v>
      </c>
      <c r="I1305">
        <v>1</v>
      </c>
      <c r="J1305">
        <v>40.75</v>
      </c>
      <c r="K1305" t="s">
        <v>25</v>
      </c>
      <c r="L1305">
        <v>2958000</v>
      </c>
      <c r="M1305">
        <v>0</v>
      </c>
      <c r="N1305">
        <v>2958000</v>
      </c>
      <c r="O1305">
        <v>72588.95705521472</v>
      </c>
      <c r="P1305">
        <v>0</v>
      </c>
      <c r="Q1305">
        <v>2958000</v>
      </c>
      <c r="R1305">
        <v>72588.95705521472</v>
      </c>
      <c r="S1305" t="s">
        <v>130</v>
      </c>
      <c r="T1305" t="s">
        <v>717</v>
      </c>
      <c r="U1305" t="s">
        <v>717</v>
      </c>
      <c r="V1305" t="s">
        <v>717</v>
      </c>
      <c r="W1305">
        <v>44781</v>
      </c>
      <c r="X1305" t="s">
        <v>6666</v>
      </c>
      <c r="Y1305" t="s">
        <v>6642</v>
      </c>
      <c r="Z1305" t="s">
        <v>17</v>
      </c>
      <c r="AA1305" t="s">
        <v>717</v>
      </c>
      <c r="AB1305" t="s">
        <v>2509</v>
      </c>
      <c r="AC1305" t="s">
        <v>717</v>
      </c>
      <c r="AD1305" t="s">
        <v>717</v>
      </c>
      <c r="AE1305" t="s">
        <v>6643</v>
      </c>
      <c r="AF1305" t="s">
        <v>717</v>
      </c>
      <c r="AG1305" t="s">
        <v>717</v>
      </c>
      <c r="AH1305" t="s">
        <v>717</v>
      </c>
      <c r="AI1305" t="s">
        <v>6644</v>
      </c>
      <c r="AJ1305" t="s">
        <v>6645</v>
      </c>
      <c r="AK1305" t="s">
        <v>29</v>
      </c>
      <c r="AL1305" t="s">
        <v>717</v>
      </c>
      <c r="AM1305" t="s">
        <v>10</v>
      </c>
      <c r="AN1305" t="s">
        <v>717</v>
      </c>
    </row>
    <row r="1306" spans="1:40" hidden="1">
      <c r="A1306">
        <v>1304</v>
      </c>
      <c r="B1306">
        <v>248</v>
      </c>
      <c r="C1306" s="58">
        <v>44788</v>
      </c>
      <c r="D1306" t="s">
        <v>27</v>
      </c>
      <c r="E1306" t="s">
        <v>5079</v>
      </c>
      <c r="F1306">
        <v>6</v>
      </c>
      <c r="G1306">
        <v>11</v>
      </c>
      <c r="H1306">
        <v>718</v>
      </c>
      <c r="I1306">
        <v>2</v>
      </c>
      <c r="J1306">
        <v>61.95</v>
      </c>
      <c r="K1306" t="s">
        <v>25</v>
      </c>
      <c r="L1306">
        <v>4547250</v>
      </c>
      <c r="M1306">
        <v>0</v>
      </c>
      <c r="N1306">
        <v>4547250</v>
      </c>
      <c r="O1306">
        <v>73401.937046004838</v>
      </c>
      <c r="P1306">
        <v>0</v>
      </c>
      <c r="Q1306">
        <v>4547250</v>
      </c>
      <c r="R1306">
        <v>73401.937046004838</v>
      </c>
      <c r="S1306" t="s">
        <v>130</v>
      </c>
      <c r="T1306" t="s">
        <v>717</v>
      </c>
      <c r="U1306" t="s">
        <v>717</v>
      </c>
      <c r="V1306" t="s">
        <v>717</v>
      </c>
      <c r="W1306">
        <v>44781</v>
      </c>
      <c r="X1306" t="s">
        <v>6666</v>
      </c>
      <c r="Y1306" t="s">
        <v>6642</v>
      </c>
      <c r="Z1306" t="s">
        <v>17</v>
      </c>
      <c r="AA1306" t="s">
        <v>717</v>
      </c>
      <c r="AB1306" t="s">
        <v>2509</v>
      </c>
      <c r="AC1306" t="s">
        <v>717</v>
      </c>
      <c r="AD1306" t="s">
        <v>717</v>
      </c>
      <c r="AE1306" t="s">
        <v>6643</v>
      </c>
      <c r="AF1306" t="s">
        <v>717</v>
      </c>
      <c r="AG1306" t="s">
        <v>717</v>
      </c>
      <c r="AH1306" t="s">
        <v>717</v>
      </c>
      <c r="AI1306" t="s">
        <v>6644</v>
      </c>
      <c r="AJ1306" t="s">
        <v>6645</v>
      </c>
      <c r="AK1306" t="s">
        <v>29</v>
      </c>
      <c r="AL1306" t="s">
        <v>717</v>
      </c>
      <c r="AM1306" t="s">
        <v>10</v>
      </c>
      <c r="AN1306" t="s">
        <v>717</v>
      </c>
    </row>
    <row r="1307" spans="1:40" hidden="1">
      <c r="A1307">
        <v>1305</v>
      </c>
      <c r="B1307">
        <v>249</v>
      </c>
      <c r="C1307" s="58">
        <v>44788</v>
      </c>
      <c r="D1307" t="s">
        <v>27</v>
      </c>
      <c r="E1307" t="s">
        <v>5079</v>
      </c>
      <c r="F1307">
        <v>8</v>
      </c>
      <c r="G1307">
        <v>11</v>
      </c>
      <c r="H1307">
        <v>720</v>
      </c>
      <c r="I1307">
        <v>2</v>
      </c>
      <c r="J1307">
        <v>62.35</v>
      </c>
      <c r="K1307" t="s">
        <v>25</v>
      </c>
      <c r="L1307">
        <v>4481250</v>
      </c>
      <c r="M1307">
        <v>0</v>
      </c>
      <c r="N1307">
        <v>4481250</v>
      </c>
      <c r="O1307">
        <v>71872.49398556535</v>
      </c>
      <c r="P1307">
        <v>0</v>
      </c>
      <c r="Q1307">
        <v>4481250</v>
      </c>
      <c r="R1307">
        <v>71872.49398556535</v>
      </c>
      <c r="S1307" t="s">
        <v>130</v>
      </c>
      <c r="T1307" t="s">
        <v>717</v>
      </c>
      <c r="U1307" t="s">
        <v>717</v>
      </c>
      <c r="V1307" t="s">
        <v>717</v>
      </c>
      <c r="W1307">
        <v>44781</v>
      </c>
      <c r="X1307" t="s">
        <v>6666</v>
      </c>
      <c r="Y1307" t="s">
        <v>6642</v>
      </c>
      <c r="Z1307" t="s">
        <v>17</v>
      </c>
      <c r="AA1307" t="s">
        <v>717</v>
      </c>
      <c r="AB1307" t="s">
        <v>2509</v>
      </c>
      <c r="AC1307" t="s">
        <v>717</v>
      </c>
      <c r="AD1307" t="s">
        <v>717</v>
      </c>
      <c r="AE1307" t="s">
        <v>6643</v>
      </c>
      <c r="AF1307" t="s">
        <v>717</v>
      </c>
      <c r="AG1307" t="s">
        <v>717</v>
      </c>
      <c r="AH1307" t="s">
        <v>717</v>
      </c>
      <c r="AI1307" t="s">
        <v>6644</v>
      </c>
      <c r="AJ1307" t="s">
        <v>6645</v>
      </c>
      <c r="AK1307" t="s">
        <v>29</v>
      </c>
      <c r="AL1307" t="s">
        <v>717</v>
      </c>
      <c r="AM1307" t="s">
        <v>10</v>
      </c>
      <c r="AN1307" t="s">
        <v>717</v>
      </c>
    </row>
    <row r="1308" spans="1:40" hidden="1">
      <c r="A1308">
        <v>1306</v>
      </c>
      <c r="B1308">
        <v>250</v>
      </c>
      <c r="C1308" s="58">
        <v>44788</v>
      </c>
      <c r="D1308" t="s">
        <v>27</v>
      </c>
      <c r="E1308" t="s">
        <v>5079</v>
      </c>
      <c r="F1308">
        <v>9</v>
      </c>
      <c r="G1308">
        <v>11</v>
      </c>
      <c r="H1308">
        <v>721</v>
      </c>
      <c r="I1308">
        <v>1</v>
      </c>
      <c r="J1308">
        <v>42.62</v>
      </c>
      <c r="K1308" t="s">
        <v>25</v>
      </c>
      <c r="L1308">
        <v>3096750</v>
      </c>
      <c r="M1308">
        <v>0</v>
      </c>
      <c r="N1308">
        <v>3096750</v>
      </c>
      <c r="O1308">
        <v>72659.549507273579</v>
      </c>
      <c r="P1308">
        <v>0</v>
      </c>
      <c r="Q1308">
        <v>3096750</v>
      </c>
      <c r="R1308">
        <v>72659.549507273579</v>
      </c>
      <c r="S1308" t="s">
        <v>130</v>
      </c>
      <c r="T1308" t="s">
        <v>717</v>
      </c>
      <c r="U1308" t="s">
        <v>717</v>
      </c>
      <c r="V1308" t="s">
        <v>717</v>
      </c>
      <c r="W1308">
        <v>44781</v>
      </c>
      <c r="X1308" t="s">
        <v>6666</v>
      </c>
      <c r="Y1308" t="s">
        <v>6642</v>
      </c>
      <c r="Z1308" t="s">
        <v>17</v>
      </c>
      <c r="AA1308" t="s">
        <v>717</v>
      </c>
      <c r="AB1308" t="s">
        <v>2509</v>
      </c>
      <c r="AC1308" t="s">
        <v>717</v>
      </c>
      <c r="AD1308" t="s">
        <v>717</v>
      </c>
      <c r="AE1308" t="s">
        <v>6643</v>
      </c>
      <c r="AF1308" t="s">
        <v>717</v>
      </c>
      <c r="AG1308" t="s">
        <v>717</v>
      </c>
      <c r="AH1308" t="s">
        <v>717</v>
      </c>
      <c r="AI1308" t="s">
        <v>6644</v>
      </c>
      <c r="AJ1308" t="s">
        <v>6645</v>
      </c>
      <c r="AK1308" t="s">
        <v>29</v>
      </c>
      <c r="AL1308" t="s">
        <v>717</v>
      </c>
      <c r="AM1308" t="s">
        <v>10</v>
      </c>
      <c r="AN1308" t="s">
        <v>717</v>
      </c>
    </row>
    <row r="1309" spans="1:40" hidden="1">
      <c r="A1309">
        <v>1307</v>
      </c>
      <c r="B1309">
        <v>251</v>
      </c>
      <c r="C1309" s="58">
        <v>44788</v>
      </c>
      <c r="D1309" t="s">
        <v>27</v>
      </c>
      <c r="E1309" t="s">
        <v>5079</v>
      </c>
      <c r="F1309">
        <v>1</v>
      </c>
      <c r="G1309">
        <v>12</v>
      </c>
      <c r="H1309">
        <v>722</v>
      </c>
      <c r="I1309">
        <v>1</v>
      </c>
      <c r="J1309">
        <v>42.52</v>
      </c>
      <c r="K1309" t="s">
        <v>25</v>
      </c>
      <c r="L1309">
        <v>3089250</v>
      </c>
      <c r="M1309">
        <v>0</v>
      </c>
      <c r="N1309">
        <v>3089250</v>
      </c>
      <c r="O1309">
        <v>72654.045155221072</v>
      </c>
      <c r="P1309">
        <v>0</v>
      </c>
      <c r="Q1309">
        <v>3089250</v>
      </c>
      <c r="R1309">
        <v>72654.045155221072</v>
      </c>
      <c r="S1309" t="s">
        <v>130</v>
      </c>
      <c r="T1309" t="s">
        <v>717</v>
      </c>
      <c r="U1309" t="s">
        <v>717</v>
      </c>
      <c r="V1309" t="s">
        <v>717</v>
      </c>
      <c r="W1309">
        <v>44781</v>
      </c>
      <c r="X1309" t="s">
        <v>6667</v>
      </c>
      <c r="Y1309" t="s">
        <v>6642</v>
      </c>
      <c r="Z1309" t="s">
        <v>17</v>
      </c>
      <c r="AA1309" t="s">
        <v>717</v>
      </c>
      <c r="AB1309" t="s">
        <v>2509</v>
      </c>
      <c r="AC1309" t="s">
        <v>717</v>
      </c>
      <c r="AD1309" t="s">
        <v>717</v>
      </c>
      <c r="AE1309" t="s">
        <v>6643</v>
      </c>
      <c r="AF1309" t="s">
        <v>717</v>
      </c>
      <c r="AG1309" t="s">
        <v>717</v>
      </c>
      <c r="AH1309" t="s">
        <v>717</v>
      </c>
      <c r="AI1309" t="s">
        <v>6644</v>
      </c>
      <c r="AJ1309" t="s">
        <v>6645</v>
      </c>
      <c r="AK1309" t="s">
        <v>29</v>
      </c>
      <c r="AL1309" t="s">
        <v>717</v>
      </c>
      <c r="AM1309" t="s">
        <v>10</v>
      </c>
      <c r="AN1309" t="s">
        <v>717</v>
      </c>
    </row>
    <row r="1310" spans="1:40" hidden="1">
      <c r="A1310">
        <v>1308</v>
      </c>
      <c r="B1310">
        <v>252</v>
      </c>
      <c r="C1310" s="58">
        <v>44788</v>
      </c>
      <c r="D1310" t="s">
        <v>27</v>
      </c>
      <c r="E1310" t="s">
        <v>5079</v>
      </c>
      <c r="F1310">
        <v>2</v>
      </c>
      <c r="G1310">
        <v>12</v>
      </c>
      <c r="H1310">
        <v>723</v>
      </c>
      <c r="I1310">
        <v>1</v>
      </c>
      <c r="J1310">
        <v>40.75</v>
      </c>
      <c r="K1310" t="s">
        <v>25</v>
      </c>
      <c r="L1310">
        <v>2958000</v>
      </c>
      <c r="M1310">
        <v>0</v>
      </c>
      <c r="N1310">
        <v>2958000</v>
      </c>
      <c r="O1310">
        <v>72588.95705521472</v>
      </c>
      <c r="P1310">
        <v>0</v>
      </c>
      <c r="Q1310">
        <v>2958000</v>
      </c>
      <c r="R1310">
        <v>72588.95705521472</v>
      </c>
      <c r="S1310" t="s">
        <v>130</v>
      </c>
      <c r="T1310" t="s">
        <v>717</v>
      </c>
      <c r="U1310" t="s">
        <v>717</v>
      </c>
      <c r="V1310" t="s">
        <v>717</v>
      </c>
      <c r="W1310">
        <v>44781</v>
      </c>
      <c r="X1310" t="s">
        <v>6667</v>
      </c>
      <c r="Y1310" t="s">
        <v>6642</v>
      </c>
      <c r="Z1310" t="s">
        <v>17</v>
      </c>
      <c r="AA1310" t="s">
        <v>717</v>
      </c>
      <c r="AB1310" t="s">
        <v>2509</v>
      </c>
      <c r="AC1310" t="s">
        <v>717</v>
      </c>
      <c r="AD1310" t="s">
        <v>717</v>
      </c>
      <c r="AE1310" t="s">
        <v>6643</v>
      </c>
      <c r="AF1310" t="s">
        <v>717</v>
      </c>
      <c r="AG1310" t="s">
        <v>717</v>
      </c>
      <c r="AH1310" t="s">
        <v>717</v>
      </c>
      <c r="AI1310" t="s">
        <v>6644</v>
      </c>
      <c r="AJ1310" t="s">
        <v>6645</v>
      </c>
      <c r="AK1310" t="s">
        <v>29</v>
      </c>
      <c r="AL1310" t="s">
        <v>717</v>
      </c>
      <c r="AM1310" t="s">
        <v>10</v>
      </c>
      <c r="AN1310" t="s">
        <v>717</v>
      </c>
    </row>
    <row r="1311" spans="1:40" hidden="1">
      <c r="A1311">
        <v>1309</v>
      </c>
      <c r="B1311">
        <v>253</v>
      </c>
      <c r="C1311" s="58">
        <v>44788</v>
      </c>
      <c r="D1311" t="s">
        <v>27</v>
      </c>
      <c r="E1311" t="s">
        <v>5079</v>
      </c>
      <c r="F1311">
        <v>8</v>
      </c>
      <c r="G1311">
        <v>12</v>
      </c>
      <c r="H1311">
        <v>729</v>
      </c>
      <c r="I1311">
        <v>2</v>
      </c>
      <c r="J1311">
        <v>62.35</v>
      </c>
      <c r="K1311" t="s">
        <v>25</v>
      </c>
      <c r="L1311">
        <v>4481250</v>
      </c>
      <c r="M1311">
        <v>0</v>
      </c>
      <c r="N1311">
        <v>4481250</v>
      </c>
      <c r="O1311">
        <v>71872.49398556535</v>
      </c>
      <c r="P1311">
        <v>0</v>
      </c>
      <c r="Q1311">
        <v>4481250</v>
      </c>
      <c r="R1311">
        <v>71872.49398556535</v>
      </c>
      <c r="S1311" t="s">
        <v>130</v>
      </c>
      <c r="T1311" t="s">
        <v>717</v>
      </c>
      <c r="U1311" t="s">
        <v>717</v>
      </c>
      <c r="V1311" t="s">
        <v>717</v>
      </c>
      <c r="W1311">
        <v>44781</v>
      </c>
      <c r="X1311" t="s">
        <v>6667</v>
      </c>
      <c r="Y1311" t="s">
        <v>6642</v>
      </c>
      <c r="Z1311" t="s">
        <v>17</v>
      </c>
      <c r="AA1311" t="s">
        <v>717</v>
      </c>
      <c r="AB1311" t="s">
        <v>2509</v>
      </c>
      <c r="AC1311" t="s">
        <v>717</v>
      </c>
      <c r="AD1311" t="s">
        <v>717</v>
      </c>
      <c r="AE1311" t="s">
        <v>6643</v>
      </c>
      <c r="AF1311" t="s">
        <v>717</v>
      </c>
      <c r="AG1311" t="s">
        <v>717</v>
      </c>
      <c r="AH1311" t="s">
        <v>717</v>
      </c>
      <c r="AI1311" t="s">
        <v>6644</v>
      </c>
      <c r="AJ1311" t="s">
        <v>6645</v>
      </c>
      <c r="AK1311" t="s">
        <v>29</v>
      </c>
      <c r="AL1311" t="s">
        <v>717</v>
      </c>
      <c r="AM1311" t="s">
        <v>10</v>
      </c>
      <c r="AN1311" t="s">
        <v>717</v>
      </c>
    </row>
    <row r="1312" spans="1:40" hidden="1">
      <c r="A1312">
        <v>1310</v>
      </c>
      <c r="B1312">
        <v>254</v>
      </c>
      <c r="C1312" s="58">
        <v>44788</v>
      </c>
      <c r="D1312" t="s">
        <v>27</v>
      </c>
      <c r="E1312" t="s">
        <v>5079</v>
      </c>
      <c r="F1312">
        <v>9</v>
      </c>
      <c r="G1312">
        <v>12</v>
      </c>
      <c r="H1312">
        <v>730</v>
      </c>
      <c r="I1312">
        <v>1</v>
      </c>
      <c r="J1312">
        <v>42.62</v>
      </c>
      <c r="K1312" t="s">
        <v>25</v>
      </c>
      <c r="L1312">
        <v>3096750</v>
      </c>
      <c r="M1312">
        <v>0</v>
      </c>
      <c r="N1312">
        <v>3096750</v>
      </c>
      <c r="O1312">
        <v>72659.549507273579</v>
      </c>
      <c r="P1312">
        <v>0</v>
      </c>
      <c r="Q1312">
        <v>3096750</v>
      </c>
      <c r="R1312">
        <v>72659.549507273579</v>
      </c>
      <c r="S1312" t="s">
        <v>130</v>
      </c>
      <c r="T1312" t="s">
        <v>717</v>
      </c>
      <c r="U1312" t="s">
        <v>717</v>
      </c>
      <c r="V1312" t="s">
        <v>717</v>
      </c>
      <c r="W1312">
        <v>44781</v>
      </c>
      <c r="X1312" t="s">
        <v>6667</v>
      </c>
      <c r="Y1312" t="s">
        <v>6642</v>
      </c>
      <c r="Z1312" t="s">
        <v>17</v>
      </c>
      <c r="AA1312" t="s">
        <v>717</v>
      </c>
      <c r="AB1312" t="s">
        <v>2509</v>
      </c>
      <c r="AC1312" t="s">
        <v>717</v>
      </c>
      <c r="AD1312" t="s">
        <v>717</v>
      </c>
      <c r="AE1312" t="s">
        <v>6643</v>
      </c>
      <c r="AF1312" t="s">
        <v>717</v>
      </c>
      <c r="AG1312" t="s">
        <v>717</v>
      </c>
      <c r="AH1312" t="s">
        <v>717</v>
      </c>
      <c r="AI1312" t="s">
        <v>6644</v>
      </c>
      <c r="AJ1312" t="s">
        <v>6645</v>
      </c>
      <c r="AK1312" t="s">
        <v>29</v>
      </c>
      <c r="AL1312" t="s">
        <v>717</v>
      </c>
      <c r="AM1312" t="s">
        <v>10</v>
      </c>
      <c r="AN1312" t="s">
        <v>717</v>
      </c>
    </row>
    <row r="1313" spans="1:40" hidden="1">
      <c r="A1313">
        <v>1311</v>
      </c>
      <c r="B1313">
        <v>255</v>
      </c>
      <c r="C1313" s="58">
        <v>44788</v>
      </c>
      <c r="D1313" t="s">
        <v>27</v>
      </c>
      <c r="E1313" t="s">
        <v>5079</v>
      </c>
      <c r="F1313">
        <v>1</v>
      </c>
      <c r="G1313">
        <v>13</v>
      </c>
      <c r="H1313">
        <v>731</v>
      </c>
      <c r="I1313">
        <v>1</v>
      </c>
      <c r="J1313">
        <v>42.52</v>
      </c>
      <c r="K1313" t="s">
        <v>25</v>
      </c>
      <c r="L1313">
        <v>3089250</v>
      </c>
      <c r="M1313">
        <v>0</v>
      </c>
      <c r="N1313">
        <v>3089250</v>
      </c>
      <c r="O1313">
        <v>72654.045155221072</v>
      </c>
      <c r="P1313">
        <v>0</v>
      </c>
      <c r="Q1313">
        <v>3089250</v>
      </c>
      <c r="R1313">
        <v>72654.045155221072</v>
      </c>
      <c r="S1313" t="s">
        <v>130</v>
      </c>
      <c r="T1313" t="s">
        <v>717</v>
      </c>
      <c r="U1313" t="s">
        <v>717</v>
      </c>
      <c r="V1313" t="s">
        <v>717</v>
      </c>
      <c r="W1313">
        <v>44781</v>
      </c>
      <c r="X1313" t="s">
        <v>6667</v>
      </c>
      <c r="Y1313" t="s">
        <v>6642</v>
      </c>
      <c r="Z1313" t="s">
        <v>17</v>
      </c>
      <c r="AA1313" t="s">
        <v>717</v>
      </c>
      <c r="AB1313" t="s">
        <v>2509</v>
      </c>
      <c r="AC1313" t="s">
        <v>717</v>
      </c>
      <c r="AD1313" t="s">
        <v>717</v>
      </c>
      <c r="AE1313" t="s">
        <v>6643</v>
      </c>
      <c r="AF1313" t="s">
        <v>717</v>
      </c>
      <c r="AG1313" t="s">
        <v>717</v>
      </c>
      <c r="AH1313" t="s">
        <v>717</v>
      </c>
      <c r="AI1313" t="s">
        <v>6644</v>
      </c>
      <c r="AJ1313" t="s">
        <v>6645</v>
      </c>
      <c r="AK1313" t="s">
        <v>29</v>
      </c>
      <c r="AL1313" t="s">
        <v>717</v>
      </c>
      <c r="AM1313" t="s">
        <v>10</v>
      </c>
      <c r="AN1313" t="s">
        <v>717</v>
      </c>
    </row>
    <row r="1314" spans="1:40" hidden="1">
      <c r="A1314">
        <v>1312</v>
      </c>
      <c r="B1314">
        <v>256</v>
      </c>
      <c r="C1314" s="58">
        <v>44788</v>
      </c>
      <c r="D1314" t="s">
        <v>27</v>
      </c>
      <c r="E1314" t="s">
        <v>5079</v>
      </c>
      <c r="F1314">
        <v>5</v>
      </c>
      <c r="G1314">
        <v>13</v>
      </c>
      <c r="H1314">
        <v>735</v>
      </c>
      <c r="I1314">
        <v>1</v>
      </c>
      <c r="J1314">
        <v>38.96</v>
      </c>
      <c r="K1314" t="s">
        <v>25</v>
      </c>
      <c r="L1314">
        <v>2817750</v>
      </c>
      <c r="M1314">
        <v>0</v>
      </c>
      <c r="N1314">
        <v>2817750</v>
      </c>
      <c r="O1314">
        <v>72324.178644763859</v>
      </c>
      <c r="P1314">
        <v>0</v>
      </c>
      <c r="Q1314">
        <v>2817750</v>
      </c>
      <c r="R1314">
        <v>72324.178644763859</v>
      </c>
      <c r="S1314" t="s">
        <v>130</v>
      </c>
      <c r="T1314" t="s">
        <v>717</v>
      </c>
      <c r="U1314" t="s">
        <v>717</v>
      </c>
      <c r="V1314" t="s">
        <v>717</v>
      </c>
      <c r="W1314">
        <v>44781</v>
      </c>
      <c r="X1314" t="s">
        <v>6667</v>
      </c>
      <c r="Y1314" t="s">
        <v>6642</v>
      </c>
      <c r="Z1314" t="s">
        <v>17</v>
      </c>
      <c r="AA1314" t="s">
        <v>717</v>
      </c>
      <c r="AB1314" t="s">
        <v>2509</v>
      </c>
      <c r="AC1314" t="s">
        <v>717</v>
      </c>
      <c r="AD1314" t="s">
        <v>717</v>
      </c>
      <c r="AE1314" t="s">
        <v>6643</v>
      </c>
      <c r="AF1314" t="s">
        <v>717</v>
      </c>
      <c r="AG1314" t="s">
        <v>717</v>
      </c>
      <c r="AH1314" t="s">
        <v>717</v>
      </c>
      <c r="AI1314" t="s">
        <v>6644</v>
      </c>
      <c r="AJ1314" t="s">
        <v>6645</v>
      </c>
      <c r="AK1314" t="s">
        <v>29</v>
      </c>
      <c r="AL1314" t="s">
        <v>717</v>
      </c>
      <c r="AM1314" t="s">
        <v>10</v>
      </c>
      <c r="AN1314" t="s">
        <v>717</v>
      </c>
    </row>
    <row r="1315" spans="1:40" hidden="1">
      <c r="A1315">
        <v>1313</v>
      </c>
      <c r="B1315">
        <v>257</v>
      </c>
      <c r="C1315" s="58">
        <v>44788</v>
      </c>
      <c r="D1315" t="s">
        <v>27</v>
      </c>
      <c r="E1315" t="s">
        <v>5079</v>
      </c>
      <c r="F1315">
        <v>7</v>
      </c>
      <c r="G1315">
        <v>13</v>
      </c>
      <c r="H1315">
        <v>737</v>
      </c>
      <c r="I1315">
        <v>1</v>
      </c>
      <c r="J1315">
        <v>38.909999999999997</v>
      </c>
      <c r="K1315" t="s">
        <v>25</v>
      </c>
      <c r="L1315">
        <v>2817000</v>
      </c>
      <c r="M1315">
        <v>0</v>
      </c>
      <c r="N1315">
        <v>2817000</v>
      </c>
      <c r="O1315">
        <v>72397.841171935244</v>
      </c>
      <c r="P1315">
        <v>0</v>
      </c>
      <c r="Q1315">
        <v>2817000</v>
      </c>
      <c r="R1315">
        <v>72397.841171935244</v>
      </c>
      <c r="S1315" t="s">
        <v>130</v>
      </c>
      <c r="T1315" t="s">
        <v>717</v>
      </c>
      <c r="U1315" t="s">
        <v>717</v>
      </c>
      <c r="V1315" t="s">
        <v>717</v>
      </c>
      <c r="W1315">
        <v>44781</v>
      </c>
      <c r="X1315" t="s">
        <v>6667</v>
      </c>
      <c r="Y1315" t="s">
        <v>6642</v>
      </c>
      <c r="Z1315" t="s">
        <v>17</v>
      </c>
      <c r="AA1315" t="s">
        <v>717</v>
      </c>
      <c r="AB1315" t="s">
        <v>2509</v>
      </c>
      <c r="AC1315" t="s">
        <v>717</v>
      </c>
      <c r="AD1315" t="s">
        <v>717</v>
      </c>
      <c r="AE1315" t="s">
        <v>6643</v>
      </c>
      <c r="AF1315" t="s">
        <v>717</v>
      </c>
      <c r="AG1315" t="s">
        <v>717</v>
      </c>
      <c r="AH1315" t="s">
        <v>717</v>
      </c>
      <c r="AI1315" t="s">
        <v>6644</v>
      </c>
      <c r="AJ1315" t="s">
        <v>6645</v>
      </c>
      <c r="AK1315" t="s">
        <v>29</v>
      </c>
      <c r="AL1315" t="s">
        <v>717</v>
      </c>
      <c r="AM1315" t="s">
        <v>10</v>
      </c>
      <c r="AN1315" t="s">
        <v>717</v>
      </c>
    </row>
    <row r="1316" spans="1:40" hidden="1">
      <c r="A1316">
        <v>1314</v>
      </c>
      <c r="B1316">
        <v>258</v>
      </c>
      <c r="C1316" s="58">
        <v>44788</v>
      </c>
      <c r="D1316" t="s">
        <v>27</v>
      </c>
      <c r="E1316" t="s">
        <v>5079</v>
      </c>
      <c r="F1316">
        <v>8</v>
      </c>
      <c r="G1316">
        <v>13</v>
      </c>
      <c r="H1316">
        <v>738</v>
      </c>
      <c r="I1316">
        <v>2</v>
      </c>
      <c r="J1316">
        <v>62.35</v>
      </c>
      <c r="K1316" t="s">
        <v>25</v>
      </c>
      <c r="L1316">
        <v>4481250</v>
      </c>
      <c r="M1316">
        <v>0</v>
      </c>
      <c r="N1316">
        <v>4481250</v>
      </c>
      <c r="O1316">
        <v>71872.49398556535</v>
      </c>
      <c r="P1316">
        <v>0</v>
      </c>
      <c r="Q1316">
        <v>4481250</v>
      </c>
      <c r="R1316">
        <v>71872.49398556535</v>
      </c>
      <c r="S1316" t="s">
        <v>130</v>
      </c>
      <c r="T1316" t="s">
        <v>717</v>
      </c>
      <c r="U1316" t="s">
        <v>717</v>
      </c>
      <c r="V1316" t="s">
        <v>717</v>
      </c>
      <c r="W1316">
        <v>44781</v>
      </c>
      <c r="X1316" t="s">
        <v>6667</v>
      </c>
      <c r="Y1316" t="s">
        <v>6642</v>
      </c>
      <c r="Z1316" t="s">
        <v>17</v>
      </c>
      <c r="AA1316" t="s">
        <v>717</v>
      </c>
      <c r="AB1316" t="s">
        <v>2509</v>
      </c>
      <c r="AC1316" t="s">
        <v>717</v>
      </c>
      <c r="AD1316" t="s">
        <v>717</v>
      </c>
      <c r="AE1316" t="s">
        <v>6643</v>
      </c>
      <c r="AF1316" t="s">
        <v>717</v>
      </c>
      <c r="AG1316" t="s">
        <v>717</v>
      </c>
      <c r="AH1316" t="s">
        <v>717</v>
      </c>
      <c r="AI1316" t="s">
        <v>6644</v>
      </c>
      <c r="AJ1316" t="s">
        <v>6645</v>
      </c>
      <c r="AK1316" t="s">
        <v>29</v>
      </c>
      <c r="AL1316" t="s">
        <v>717</v>
      </c>
      <c r="AM1316" t="s">
        <v>10</v>
      </c>
      <c r="AN1316" t="s">
        <v>717</v>
      </c>
    </row>
    <row r="1317" spans="1:40" hidden="1">
      <c r="A1317">
        <v>1315</v>
      </c>
      <c r="B1317">
        <v>259</v>
      </c>
      <c r="C1317" s="58">
        <v>44788</v>
      </c>
      <c r="D1317" t="s">
        <v>27</v>
      </c>
      <c r="E1317" t="s">
        <v>5079</v>
      </c>
      <c r="F1317">
        <v>9</v>
      </c>
      <c r="G1317">
        <v>13</v>
      </c>
      <c r="H1317">
        <v>739</v>
      </c>
      <c r="I1317">
        <v>1</v>
      </c>
      <c r="J1317">
        <v>42.62</v>
      </c>
      <c r="K1317" t="s">
        <v>25</v>
      </c>
      <c r="L1317">
        <v>3096750</v>
      </c>
      <c r="M1317">
        <v>0</v>
      </c>
      <c r="N1317">
        <v>3096750</v>
      </c>
      <c r="O1317">
        <v>72659.549507273579</v>
      </c>
      <c r="P1317">
        <v>0</v>
      </c>
      <c r="Q1317">
        <v>3096750</v>
      </c>
      <c r="R1317">
        <v>72659.549507273579</v>
      </c>
      <c r="S1317" t="s">
        <v>130</v>
      </c>
      <c r="T1317" t="s">
        <v>717</v>
      </c>
      <c r="U1317" t="s">
        <v>717</v>
      </c>
      <c r="V1317" t="s">
        <v>717</v>
      </c>
      <c r="W1317">
        <v>44781</v>
      </c>
      <c r="X1317" t="s">
        <v>6667</v>
      </c>
      <c r="Y1317" t="s">
        <v>6642</v>
      </c>
      <c r="Z1317" t="s">
        <v>17</v>
      </c>
      <c r="AA1317" t="s">
        <v>717</v>
      </c>
      <c r="AB1317" t="s">
        <v>2509</v>
      </c>
      <c r="AC1317" t="s">
        <v>717</v>
      </c>
      <c r="AD1317" t="s">
        <v>717</v>
      </c>
      <c r="AE1317" t="s">
        <v>6643</v>
      </c>
      <c r="AF1317" t="s">
        <v>717</v>
      </c>
      <c r="AG1317" t="s">
        <v>717</v>
      </c>
      <c r="AH1317" t="s">
        <v>717</v>
      </c>
      <c r="AI1317" t="s">
        <v>6644</v>
      </c>
      <c r="AJ1317" t="s">
        <v>6645</v>
      </c>
      <c r="AK1317" t="s">
        <v>29</v>
      </c>
      <c r="AL1317" t="s">
        <v>717</v>
      </c>
      <c r="AM1317" t="s">
        <v>10</v>
      </c>
      <c r="AN1317" t="s">
        <v>717</v>
      </c>
    </row>
    <row r="1318" spans="1:40" hidden="1">
      <c r="A1318">
        <v>1316</v>
      </c>
      <c r="B1318">
        <v>260</v>
      </c>
      <c r="C1318" s="58">
        <v>44788</v>
      </c>
      <c r="D1318" t="s">
        <v>27</v>
      </c>
      <c r="E1318" t="s">
        <v>5079</v>
      </c>
      <c r="F1318">
        <v>1</v>
      </c>
      <c r="G1318">
        <v>14</v>
      </c>
      <c r="H1318">
        <v>740</v>
      </c>
      <c r="I1318">
        <v>1</v>
      </c>
      <c r="J1318">
        <v>42.52</v>
      </c>
      <c r="K1318" t="s">
        <v>25</v>
      </c>
      <c r="L1318">
        <v>3089250</v>
      </c>
      <c r="M1318">
        <v>0</v>
      </c>
      <c r="N1318">
        <v>3089250</v>
      </c>
      <c r="O1318">
        <v>72654.045155221072</v>
      </c>
      <c r="P1318">
        <v>0</v>
      </c>
      <c r="Q1318">
        <v>3089250</v>
      </c>
      <c r="R1318">
        <v>72654.045155221072</v>
      </c>
      <c r="S1318" t="s">
        <v>130</v>
      </c>
      <c r="T1318" t="s">
        <v>717</v>
      </c>
      <c r="U1318" t="s">
        <v>717</v>
      </c>
      <c r="V1318" t="s">
        <v>717</v>
      </c>
      <c r="W1318">
        <v>44781</v>
      </c>
      <c r="X1318" t="s">
        <v>6667</v>
      </c>
      <c r="Y1318" t="s">
        <v>6642</v>
      </c>
      <c r="Z1318" t="s">
        <v>17</v>
      </c>
      <c r="AA1318" t="s">
        <v>717</v>
      </c>
      <c r="AB1318" t="s">
        <v>2509</v>
      </c>
      <c r="AC1318" t="s">
        <v>717</v>
      </c>
      <c r="AD1318" t="s">
        <v>717</v>
      </c>
      <c r="AE1318" t="s">
        <v>6643</v>
      </c>
      <c r="AF1318" t="s">
        <v>717</v>
      </c>
      <c r="AG1318" t="s">
        <v>717</v>
      </c>
      <c r="AH1318" t="s">
        <v>717</v>
      </c>
      <c r="AI1318" t="s">
        <v>6644</v>
      </c>
      <c r="AJ1318" t="s">
        <v>6645</v>
      </c>
      <c r="AK1318" t="s">
        <v>29</v>
      </c>
      <c r="AL1318" t="s">
        <v>717</v>
      </c>
      <c r="AM1318" t="s">
        <v>10</v>
      </c>
      <c r="AN1318" t="s">
        <v>717</v>
      </c>
    </row>
    <row r="1319" spans="1:40" hidden="1">
      <c r="A1319">
        <v>1317</v>
      </c>
      <c r="B1319">
        <v>261</v>
      </c>
      <c r="C1319" s="58">
        <v>44788</v>
      </c>
      <c r="D1319" t="s">
        <v>27</v>
      </c>
      <c r="E1319" t="s">
        <v>5079</v>
      </c>
      <c r="F1319">
        <v>2</v>
      </c>
      <c r="G1319">
        <v>14</v>
      </c>
      <c r="H1319">
        <v>741</v>
      </c>
      <c r="I1319">
        <v>1</v>
      </c>
      <c r="J1319">
        <v>40.75</v>
      </c>
      <c r="K1319" t="s">
        <v>25</v>
      </c>
      <c r="L1319">
        <v>2958000</v>
      </c>
      <c r="M1319">
        <v>0</v>
      </c>
      <c r="N1319">
        <v>2958000</v>
      </c>
      <c r="O1319">
        <v>72588.95705521472</v>
      </c>
      <c r="P1319">
        <v>0</v>
      </c>
      <c r="Q1319">
        <v>2958000</v>
      </c>
      <c r="R1319">
        <v>72588.95705521472</v>
      </c>
      <c r="S1319" t="s">
        <v>130</v>
      </c>
      <c r="T1319" t="s">
        <v>717</v>
      </c>
      <c r="U1319" t="s">
        <v>717</v>
      </c>
      <c r="V1319" t="s">
        <v>717</v>
      </c>
      <c r="W1319">
        <v>44781</v>
      </c>
      <c r="X1319" t="s">
        <v>6667</v>
      </c>
      <c r="Y1319" t="s">
        <v>6642</v>
      </c>
      <c r="Z1319" t="s">
        <v>17</v>
      </c>
      <c r="AA1319" t="s">
        <v>717</v>
      </c>
      <c r="AB1319" t="s">
        <v>2509</v>
      </c>
      <c r="AC1319" t="s">
        <v>717</v>
      </c>
      <c r="AD1319" t="s">
        <v>717</v>
      </c>
      <c r="AE1319" t="s">
        <v>6643</v>
      </c>
      <c r="AF1319" t="s">
        <v>717</v>
      </c>
      <c r="AG1319" t="s">
        <v>717</v>
      </c>
      <c r="AH1319" t="s">
        <v>717</v>
      </c>
      <c r="AI1319" t="s">
        <v>6644</v>
      </c>
      <c r="AJ1319" t="s">
        <v>6645</v>
      </c>
      <c r="AK1319" t="s">
        <v>29</v>
      </c>
      <c r="AL1319" t="s">
        <v>717</v>
      </c>
      <c r="AM1319" t="s">
        <v>10</v>
      </c>
      <c r="AN1319" t="s">
        <v>717</v>
      </c>
    </row>
    <row r="1320" spans="1:40" hidden="1">
      <c r="A1320">
        <v>1318</v>
      </c>
      <c r="B1320">
        <v>262</v>
      </c>
      <c r="C1320" s="58">
        <v>44788</v>
      </c>
      <c r="D1320" t="s">
        <v>27</v>
      </c>
      <c r="E1320" t="s">
        <v>5079</v>
      </c>
      <c r="F1320">
        <v>6</v>
      </c>
      <c r="G1320">
        <v>14</v>
      </c>
      <c r="H1320">
        <v>745</v>
      </c>
      <c r="I1320">
        <v>2</v>
      </c>
      <c r="J1320">
        <v>61.95</v>
      </c>
      <c r="K1320" t="s">
        <v>25</v>
      </c>
      <c r="L1320">
        <v>4547250</v>
      </c>
      <c r="M1320">
        <v>0</v>
      </c>
      <c r="N1320">
        <v>4547250</v>
      </c>
      <c r="O1320">
        <v>73401.937046004838</v>
      </c>
      <c r="P1320">
        <v>0</v>
      </c>
      <c r="Q1320">
        <v>4547250</v>
      </c>
      <c r="R1320">
        <v>73401.937046004838</v>
      </c>
      <c r="S1320" t="s">
        <v>130</v>
      </c>
      <c r="T1320" t="s">
        <v>717</v>
      </c>
      <c r="U1320" t="s">
        <v>717</v>
      </c>
      <c r="V1320" t="s">
        <v>717</v>
      </c>
      <c r="W1320">
        <v>44781</v>
      </c>
      <c r="X1320" t="s">
        <v>6667</v>
      </c>
      <c r="Y1320" t="s">
        <v>6642</v>
      </c>
      <c r="Z1320" t="s">
        <v>17</v>
      </c>
      <c r="AA1320" t="s">
        <v>717</v>
      </c>
      <c r="AB1320" t="s">
        <v>2509</v>
      </c>
      <c r="AC1320" t="s">
        <v>717</v>
      </c>
      <c r="AD1320" t="s">
        <v>717</v>
      </c>
      <c r="AE1320" t="s">
        <v>6643</v>
      </c>
      <c r="AF1320" t="s">
        <v>717</v>
      </c>
      <c r="AG1320" t="s">
        <v>717</v>
      </c>
      <c r="AH1320" t="s">
        <v>717</v>
      </c>
      <c r="AI1320" t="s">
        <v>6644</v>
      </c>
      <c r="AJ1320" t="s">
        <v>6645</v>
      </c>
      <c r="AK1320" t="s">
        <v>29</v>
      </c>
      <c r="AL1320" t="s">
        <v>717</v>
      </c>
      <c r="AM1320" t="s">
        <v>10</v>
      </c>
      <c r="AN1320" t="s">
        <v>717</v>
      </c>
    </row>
    <row r="1321" spans="1:40" hidden="1">
      <c r="A1321">
        <v>1319</v>
      </c>
      <c r="B1321">
        <v>263</v>
      </c>
      <c r="C1321" s="58">
        <v>44788</v>
      </c>
      <c r="D1321" t="s">
        <v>27</v>
      </c>
      <c r="E1321" t="s">
        <v>5079</v>
      </c>
      <c r="F1321">
        <v>8</v>
      </c>
      <c r="G1321">
        <v>14</v>
      </c>
      <c r="H1321">
        <v>747</v>
      </c>
      <c r="I1321">
        <v>2</v>
      </c>
      <c r="J1321">
        <v>62.35</v>
      </c>
      <c r="K1321" t="s">
        <v>25</v>
      </c>
      <c r="L1321">
        <v>4481250</v>
      </c>
      <c r="M1321">
        <v>0</v>
      </c>
      <c r="N1321">
        <v>4481250</v>
      </c>
      <c r="O1321">
        <v>71872.49398556535</v>
      </c>
      <c r="P1321">
        <v>0</v>
      </c>
      <c r="Q1321">
        <v>4481250</v>
      </c>
      <c r="R1321">
        <v>71872.49398556535</v>
      </c>
      <c r="S1321" t="s">
        <v>130</v>
      </c>
      <c r="T1321" t="s">
        <v>717</v>
      </c>
      <c r="U1321" t="s">
        <v>717</v>
      </c>
      <c r="V1321" t="s">
        <v>717</v>
      </c>
      <c r="W1321">
        <v>44781</v>
      </c>
      <c r="X1321" t="s">
        <v>6667</v>
      </c>
      <c r="Y1321" t="s">
        <v>6642</v>
      </c>
      <c r="Z1321" t="s">
        <v>17</v>
      </c>
      <c r="AA1321" t="s">
        <v>717</v>
      </c>
      <c r="AB1321" t="s">
        <v>2509</v>
      </c>
      <c r="AC1321" t="s">
        <v>717</v>
      </c>
      <c r="AD1321" t="s">
        <v>717</v>
      </c>
      <c r="AE1321" t="s">
        <v>6643</v>
      </c>
      <c r="AF1321" t="s">
        <v>717</v>
      </c>
      <c r="AG1321" t="s">
        <v>717</v>
      </c>
      <c r="AH1321" t="s">
        <v>717</v>
      </c>
      <c r="AI1321" t="s">
        <v>6644</v>
      </c>
      <c r="AJ1321" t="s">
        <v>6645</v>
      </c>
      <c r="AK1321" t="s">
        <v>29</v>
      </c>
      <c r="AL1321" t="s">
        <v>717</v>
      </c>
      <c r="AM1321" t="s">
        <v>10</v>
      </c>
      <c r="AN1321" t="s">
        <v>717</v>
      </c>
    </row>
    <row r="1322" spans="1:40" hidden="1">
      <c r="A1322">
        <v>1320</v>
      </c>
      <c r="B1322">
        <v>264</v>
      </c>
      <c r="C1322" s="58">
        <v>44788</v>
      </c>
      <c r="D1322" t="s">
        <v>27</v>
      </c>
      <c r="E1322" t="s">
        <v>5079</v>
      </c>
      <c r="F1322">
        <v>9</v>
      </c>
      <c r="G1322">
        <v>14</v>
      </c>
      <c r="H1322">
        <v>748</v>
      </c>
      <c r="I1322">
        <v>1</v>
      </c>
      <c r="J1322">
        <v>42.62</v>
      </c>
      <c r="K1322" t="s">
        <v>25</v>
      </c>
      <c r="L1322">
        <v>3096750</v>
      </c>
      <c r="M1322">
        <v>0</v>
      </c>
      <c r="N1322">
        <v>3096750</v>
      </c>
      <c r="O1322">
        <v>72659.549507273579</v>
      </c>
      <c r="P1322">
        <v>0</v>
      </c>
      <c r="Q1322">
        <v>3096750</v>
      </c>
      <c r="R1322">
        <v>72659.549507273579</v>
      </c>
      <c r="S1322" t="s">
        <v>130</v>
      </c>
      <c r="T1322" t="s">
        <v>717</v>
      </c>
      <c r="U1322" t="s">
        <v>717</v>
      </c>
      <c r="V1322" t="s">
        <v>717</v>
      </c>
      <c r="W1322">
        <v>44781</v>
      </c>
      <c r="X1322" t="s">
        <v>6667</v>
      </c>
      <c r="Y1322" t="s">
        <v>6642</v>
      </c>
      <c r="Z1322" t="s">
        <v>17</v>
      </c>
      <c r="AA1322" t="s">
        <v>717</v>
      </c>
      <c r="AB1322" t="s">
        <v>2509</v>
      </c>
      <c r="AC1322" t="s">
        <v>717</v>
      </c>
      <c r="AD1322" t="s">
        <v>717</v>
      </c>
      <c r="AE1322" t="s">
        <v>6643</v>
      </c>
      <c r="AF1322" t="s">
        <v>717</v>
      </c>
      <c r="AG1322" t="s">
        <v>717</v>
      </c>
      <c r="AH1322" t="s">
        <v>717</v>
      </c>
      <c r="AI1322" t="s">
        <v>6644</v>
      </c>
      <c r="AJ1322" t="s">
        <v>6645</v>
      </c>
      <c r="AK1322" t="s">
        <v>29</v>
      </c>
      <c r="AL1322" t="s">
        <v>717</v>
      </c>
      <c r="AM1322" t="s">
        <v>10</v>
      </c>
      <c r="AN1322" t="s">
        <v>717</v>
      </c>
    </row>
    <row r="1323" spans="1:40" hidden="1">
      <c r="A1323">
        <v>1321</v>
      </c>
      <c r="B1323">
        <v>265</v>
      </c>
      <c r="C1323" s="58">
        <v>44792</v>
      </c>
      <c r="D1323" t="s">
        <v>27</v>
      </c>
      <c r="E1323" t="s">
        <v>5079</v>
      </c>
      <c r="F1323">
        <v>1</v>
      </c>
      <c r="G1323">
        <v>15</v>
      </c>
      <c r="H1323">
        <v>749</v>
      </c>
      <c r="I1323">
        <v>1</v>
      </c>
      <c r="J1323">
        <v>42.52</v>
      </c>
      <c r="K1323" t="s">
        <v>25</v>
      </c>
      <c r="L1323">
        <v>3089250</v>
      </c>
      <c r="M1323">
        <v>0</v>
      </c>
      <c r="N1323">
        <v>3089250</v>
      </c>
      <c r="O1323">
        <v>72654.045155221072</v>
      </c>
      <c r="P1323">
        <v>0</v>
      </c>
      <c r="Q1323">
        <v>3089250</v>
      </c>
      <c r="R1323">
        <v>72654.045155221072</v>
      </c>
      <c r="S1323" t="s">
        <v>130</v>
      </c>
      <c r="T1323" t="s">
        <v>717</v>
      </c>
      <c r="U1323" t="s">
        <v>717</v>
      </c>
      <c r="V1323" t="s">
        <v>717</v>
      </c>
      <c r="W1323">
        <v>44781</v>
      </c>
      <c r="X1323" t="s">
        <v>6668</v>
      </c>
      <c r="Y1323" t="s">
        <v>6642</v>
      </c>
      <c r="Z1323" t="s">
        <v>17</v>
      </c>
      <c r="AA1323" t="s">
        <v>717</v>
      </c>
      <c r="AB1323" t="s">
        <v>2509</v>
      </c>
      <c r="AC1323" t="s">
        <v>717</v>
      </c>
      <c r="AD1323" t="s">
        <v>717</v>
      </c>
      <c r="AE1323" t="s">
        <v>6643</v>
      </c>
      <c r="AF1323" t="s">
        <v>717</v>
      </c>
      <c r="AG1323" t="s">
        <v>717</v>
      </c>
      <c r="AH1323" t="s">
        <v>717</v>
      </c>
      <c r="AI1323" t="s">
        <v>6644</v>
      </c>
      <c r="AJ1323" t="s">
        <v>6645</v>
      </c>
      <c r="AK1323" t="s">
        <v>29</v>
      </c>
      <c r="AL1323" t="s">
        <v>717</v>
      </c>
      <c r="AM1323" t="s">
        <v>10</v>
      </c>
      <c r="AN1323" t="s">
        <v>717</v>
      </c>
    </row>
    <row r="1324" spans="1:40" hidden="1">
      <c r="A1324">
        <v>1322</v>
      </c>
      <c r="B1324">
        <v>266</v>
      </c>
      <c r="C1324" s="58">
        <v>44792</v>
      </c>
      <c r="D1324" t="s">
        <v>27</v>
      </c>
      <c r="E1324" t="s">
        <v>5079</v>
      </c>
      <c r="F1324">
        <v>2</v>
      </c>
      <c r="G1324">
        <v>15</v>
      </c>
      <c r="H1324">
        <v>750</v>
      </c>
      <c r="I1324">
        <v>1</v>
      </c>
      <c r="J1324">
        <v>40.75</v>
      </c>
      <c r="K1324" t="s">
        <v>25</v>
      </c>
      <c r="L1324">
        <v>2958000</v>
      </c>
      <c r="M1324">
        <v>0</v>
      </c>
      <c r="N1324">
        <v>2958000</v>
      </c>
      <c r="O1324">
        <v>72588.95705521472</v>
      </c>
      <c r="P1324">
        <v>0</v>
      </c>
      <c r="Q1324">
        <v>2958000</v>
      </c>
      <c r="R1324">
        <v>72588.95705521472</v>
      </c>
      <c r="S1324" t="s">
        <v>130</v>
      </c>
      <c r="T1324" t="s">
        <v>717</v>
      </c>
      <c r="U1324" t="s">
        <v>717</v>
      </c>
      <c r="V1324" t="s">
        <v>717</v>
      </c>
      <c r="W1324">
        <v>44781</v>
      </c>
      <c r="X1324" t="s">
        <v>6668</v>
      </c>
      <c r="Y1324" t="s">
        <v>6642</v>
      </c>
      <c r="Z1324" t="s">
        <v>17</v>
      </c>
      <c r="AA1324" t="s">
        <v>717</v>
      </c>
      <c r="AB1324" t="s">
        <v>2509</v>
      </c>
      <c r="AC1324" t="s">
        <v>717</v>
      </c>
      <c r="AD1324" t="s">
        <v>717</v>
      </c>
      <c r="AE1324" t="s">
        <v>6643</v>
      </c>
      <c r="AF1324" t="s">
        <v>717</v>
      </c>
      <c r="AG1324" t="s">
        <v>717</v>
      </c>
      <c r="AH1324" t="s">
        <v>717</v>
      </c>
      <c r="AI1324" t="s">
        <v>6644</v>
      </c>
      <c r="AJ1324" t="s">
        <v>6645</v>
      </c>
      <c r="AK1324" t="s">
        <v>29</v>
      </c>
      <c r="AL1324" t="s">
        <v>717</v>
      </c>
      <c r="AM1324" t="s">
        <v>10</v>
      </c>
      <c r="AN1324" t="s">
        <v>717</v>
      </c>
    </row>
    <row r="1325" spans="1:40" hidden="1">
      <c r="A1325">
        <v>1323</v>
      </c>
      <c r="B1325">
        <v>267</v>
      </c>
      <c r="C1325" s="58">
        <v>44792</v>
      </c>
      <c r="D1325" t="s">
        <v>27</v>
      </c>
      <c r="E1325" t="s">
        <v>5079</v>
      </c>
      <c r="F1325">
        <v>6</v>
      </c>
      <c r="G1325">
        <v>15</v>
      </c>
      <c r="H1325">
        <v>754</v>
      </c>
      <c r="I1325">
        <v>2</v>
      </c>
      <c r="J1325">
        <v>61.95</v>
      </c>
      <c r="K1325" t="s">
        <v>25</v>
      </c>
      <c r="L1325">
        <v>4547250</v>
      </c>
      <c r="M1325">
        <v>0</v>
      </c>
      <c r="N1325">
        <v>4547250</v>
      </c>
      <c r="O1325">
        <v>73401.937046004838</v>
      </c>
      <c r="P1325">
        <v>0</v>
      </c>
      <c r="Q1325">
        <v>4547250</v>
      </c>
      <c r="R1325">
        <v>73401.937046004838</v>
      </c>
      <c r="S1325" t="s">
        <v>130</v>
      </c>
      <c r="T1325" t="s">
        <v>717</v>
      </c>
      <c r="U1325" t="s">
        <v>717</v>
      </c>
      <c r="V1325" t="s">
        <v>717</v>
      </c>
      <c r="W1325">
        <v>44781</v>
      </c>
      <c r="X1325" t="s">
        <v>6668</v>
      </c>
      <c r="Y1325" t="s">
        <v>6642</v>
      </c>
      <c r="Z1325" t="s">
        <v>17</v>
      </c>
      <c r="AA1325" t="s">
        <v>717</v>
      </c>
      <c r="AB1325" t="s">
        <v>2509</v>
      </c>
      <c r="AC1325" t="s">
        <v>717</v>
      </c>
      <c r="AD1325" t="s">
        <v>717</v>
      </c>
      <c r="AE1325" t="s">
        <v>6643</v>
      </c>
      <c r="AF1325" t="s">
        <v>717</v>
      </c>
      <c r="AG1325" t="s">
        <v>717</v>
      </c>
      <c r="AH1325" t="s">
        <v>717</v>
      </c>
      <c r="AI1325" t="s">
        <v>6644</v>
      </c>
      <c r="AJ1325" t="s">
        <v>6645</v>
      </c>
      <c r="AK1325" t="s">
        <v>29</v>
      </c>
      <c r="AL1325" t="s">
        <v>717</v>
      </c>
      <c r="AM1325" t="s">
        <v>10</v>
      </c>
      <c r="AN1325" t="s">
        <v>717</v>
      </c>
    </row>
    <row r="1326" spans="1:40" hidden="1">
      <c r="A1326">
        <v>1324</v>
      </c>
      <c r="B1326">
        <v>268</v>
      </c>
      <c r="C1326" s="58">
        <v>44792</v>
      </c>
      <c r="D1326" t="s">
        <v>27</v>
      </c>
      <c r="E1326" t="s">
        <v>5079</v>
      </c>
      <c r="F1326">
        <v>8</v>
      </c>
      <c r="G1326">
        <v>15</v>
      </c>
      <c r="H1326">
        <v>756</v>
      </c>
      <c r="I1326">
        <v>2</v>
      </c>
      <c r="J1326">
        <v>62.35</v>
      </c>
      <c r="K1326" t="s">
        <v>25</v>
      </c>
      <c r="L1326">
        <v>4481250</v>
      </c>
      <c r="M1326">
        <v>0</v>
      </c>
      <c r="N1326">
        <v>4481250</v>
      </c>
      <c r="O1326">
        <v>71872.49398556535</v>
      </c>
      <c r="P1326">
        <v>0</v>
      </c>
      <c r="Q1326">
        <v>4481250</v>
      </c>
      <c r="R1326">
        <v>71872.49398556535</v>
      </c>
      <c r="S1326" t="s">
        <v>130</v>
      </c>
      <c r="T1326" t="s">
        <v>717</v>
      </c>
      <c r="U1326" t="s">
        <v>717</v>
      </c>
      <c r="V1326" t="s">
        <v>717</v>
      </c>
      <c r="W1326">
        <v>44781</v>
      </c>
      <c r="X1326" t="s">
        <v>6668</v>
      </c>
      <c r="Y1326" t="s">
        <v>6642</v>
      </c>
      <c r="Z1326" t="s">
        <v>17</v>
      </c>
      <c r="AA1326" t="s">
        <v>717</v>
      </c>
      <c r="AB1326" t="s">
        <v>2509</v>
      </c>
      <c r="AC1326" t="s">
        <v>717</v>
      </c>
      <c r="AD1326" t="s">
        <v>717</v>
      </c>
      <c r="AE1326" t="s">
        <v>6643</v>
      </c>
      <c r="AF1326" t="s">
        <v>717</v>
      </c>
      <c r="AG1326" t="s">
        <v>717</v>
      </c>
      <c r="AH1326" t="s">
        <v>717</v>
      </c>
      <c r="AI1326" t="s">
        <v>6644</v>
      </c>
      <c r="AJ1326" t="s">
        <v>6645</v>
      </c>
      <c r="AK1326" t="s">
        <v>29</v>
      </c>
      <c r="AL1326" t="s">
        <v>717</v>
      </c>
      <c r="AM1326" t="s">
        <v>10</v>
      </c>
      <c r="AN1326" t="s">
        <v>717</v>
      </c>
    </row>
    <row r="1327" spans="1:40" hidden="1">
      <c r="A1327">
        <v>1325</v>
      </c>
      <c r="B1327">
        <v>269</v>
      </c>
      <c r="C1327" s="58">
        <v>44792</v>
      </c>
      <c r="D1327" t="s">
        <v>27</v>
      </c>
      <c r="E1327" t="s">
        <v>5079</v>
      </c>
      <c r="F1327">
        <v>9</v>
      </c>
      <c r="G1327">
        <v>15</v>
      </c>
      <c r="H1327">
        <v>757</v>
      </c>
      <c r="I1327">
        <v>1</v>
      </c>
      <c r="J1327">
        <v>42.62</v>
      </c>
      <c r="K1327" t="s">
        <v>25</v>
      </c>
      <c r="L1327">
        <v>3096750</v>
      </c>
      <c r="M1327">
        <v>0</v>
      </c>
      <c r="N1327">
        <v>3096750</v>
      </c>
      <c r="O1327">
        <v>72659.549507273579</v>
      </c>
      <c r="P1327">
        <v>0</v>
      </c>
      <c r="Q1327">
        <v>3096750</v>
      </c>
      <c r="R1327">
        <v>72659.549507273579</v>
      </c>
      <c r="S1327" t="s">
        <v>130</v>
      </c>
      <c r="T1327" t="s">
        <v>717</v>
      </c>
      <c r="U1327" t="s">
        <v>717</v>
      </c>
      <c r="V1327" t="s">
        <v>717</v>
      </c>
      <c r="W1327">
        <v>44781</v>
      </c>
      <c r="X1327" t="s">
        <v>6668</v>
      </c>
      <c r="Y1327" t="s">
        <v>6642</v>
      </c>
      <c r="Z1327" t="s">
        <v>17</v>
      </c>
      <c r="AA1327" t="s">
        <v>717</v>
      </c>
      <c r="AB1327" t="s">
        <v>2509</v>
      </c>
      <c r="AC1327" t="s">
        <v>717</v>
      </c>
      <c r="AD1327" t="s">
        <v>717</v>
      </c>
      <c r="AE1327" t="s">
        <v>6643</v>
      </c>
      <c r="AF1327" t="s">
        <v>717</v>
      </c>
      <c r="AG1327" t="s">
        <v>717</v>
      </c>
      <c r="AH1327" t="s">
        <v>717</v>
      </c>
      <c r="AI1327" t="s">
        <v>6644</v>
      </c>
      <c r="AJ1327" t="s">
        <v>6645</v>
      </c>
      <c r="AK1327" t="s">
        <v>29</v>
      </c>
      <c r="AL1327" t="s">
        <v>717</v>
      </c>
      <c r="AM1327" t="s">
        <v>10</v>
      </c>
      <c r="AN1327" t="s">
        <v>717</v>
      </c>
    </row>
    <row r="1328" spans="1:40" hidden="1">
      <c r="A1328">
        <v>1326</v>
      </c>
      <c r="B1328">
        <v>270</v>
      </c>
      <c r="C1328" s="58">
        <v>44792</v>
      </c>
      <c r="D1328" t="s">
        <v>27</v>
      </c>
      <c r="E1328" t="s">
        <v>5079</v>
      </c>
      <c r="F1328">
        <v>1</v>
      </c>
      <c r="G1328">
        <v>16</v>
      </c>
      <c r="H1328">
        <v>758</v>
      </c>
      <c r="I1328">
        <v>1</v>
      </c>
      <c r="J1328">
        <v>42.52</v>
      </c>
      <c r="K1328" t="s">
        <v>25</v>
      </c>
      <c r="L1328">
        <v>3089250</v>
      </c>
      <c r="M1328">
        <v>0</v>
      </c>
      <c r="N1328">
        <v>3089250</v>
      </c>
      <c r="O1328">
        <v>72654.045155221072</v>
      </c>
      <c r="P1328">
        <v>0</v>
      </c>
      <c r="Q1328">
        <v>3089250</v>
      </c>
      <c r="R1328">
        <v>72654.045155221072</v>
      </c>
      <c r="S1328" t="s">
        <v>130</v>
      </c>
      <c r="T1328" t="s">
        <v>717</v>
      </c>
      <c r="U1328" t="s">
        <v>717</v>
      </c>
      <c r="V1328" t="s">
        <v>717</v>
      </c>
      <c r="W1328">
        <v>44781</v>
      </c>
      <c r="X1328" t="s">
        <v>6668</v>
      </c>
      <c r="Y1328" t="s">
        <v>6642</v>
      </c>
      <c r="Z1328" t="s">
        <v>17</v>
      </c>
      <c r="AA1328" t="s">
        <v>717</v>
      </c>
      <c r="AB1328" t="s">
        <v>2509</v>
      </c>
      <c r="AC1328" t="s">
        <v>717</v>
      </c>
      <c r="AD1328" t="s">
        <v>717</v>
      </c>
      <c r="AE1328" t="s">
        <v>6643</v>
      </c>
      <c r="AF1328" t="s">
        <v>717</v>
      </c>
      <c r="AG1328" t="s">
        <v>717</v>
      </c>
      <c r="AH1328" t="s">
        <v>717</v>
      </c>
      <c r="AI1328" t="s">
        <v>6644</v>
      </c>
      <c r="AJ1328" t="s">
        <v>6645</v>
      </c>
      <c r="AK1328" t="s">
        <v>29</v>
      </c>
      <c r="AL1328" t="s">
        <v>717</v>
      </c>
      <c r="AM1328" t="s">
        <v>10</v>
      </c>
      <c r="AN1328" t="s">
        <v>717</v>
      </c>
    </row>
    <row r="1329" spans="1:40" hidden="1">
      <c r="A1329">
        <v>1327</v>
      </c>
      <c r="B1329">
        <v>271</v>
      </c>
      <c r="C1329" s="58">
        <v>44792</v>
      </c>
      <c r="D1329" t="s">
        <v>27</v>
      </c>
      <c r="E1329" t="s">
        <v>5079</v>
      </c>
      <c r="F1329">
        <v>2</v>
      </c>
      <c r="G1329">
        <v>16</v>
      </c>
      <c r="H1329">
        <v>759</v>
      </c>
      <c r="I1329">
        <v>1</v>
      </c>
      <c r="J1329">
        <v>40.75</v>
      </c>
      <c r="K1329" t="s">
        <v>25</v>
      </c>
      <c r="L1329">
        <v>2958000</v>
      </c>
      <c r="M1329">
        <v>0</v>
      </c>
      <c r="N1329">
        <v>2958000</v>
      </c>
      <c r="O1329">
        <v>72588.95705521472</v>
      </c>
      <c r="P1329">
        <v>0</v>
      </c>
      <c r="Q1329">
        <v>2958000</v>
      </c>
      <c r="R1329">
        <v>72588.95705521472</v>
      </c>
      <c r="S1329" t="s">
        <v>130</v>
      </c>
      <c r="T1329" t="s">
        <v>717</v>
      </c>
      <c r="U1329" t="s">
        <v>717</v>
      </c>
      <c r="V1329" t="s">
        <v>717</v>
      </c>
      <c r="W1329">
        <v>44781</v>
      </c>
      <c r="X1329" t="s">
        <v>6668</v>
      </c>
      <c r="Y1329" t="s">
        <v>6642</v>
      </c>
      <c r="Z1329" t="s">
        <v>17</v>
      </c>
      <c r="AA1329" t="s">
        <v>717</v>
      </c>
      <c r="AB1329" t="s">
        <v>2509</v>
      </c>
      <c r="AC1329" t="s">
        <v>717</v>
      </c>
      <c r="AD1329" t="s">
        <v>717</v>
      </c>
      <c r="AE1329" t="s">
        <v>6643</v>
      </c>
      <c r="AF1329" t="s">
        <v>717</v>
      </c>
      <c r="AG1329" t="s">
        <v>717</v>
      </c>
      <c r="AH1329" t="s">
        <v>717</v>
      </c>
      <c r="AI1329" t="s">
        <v>6644</v>
      </c>
      <c r="AJ1329" t="s">
        <v>6645</v>
      </c>
      <c r="AK1329" t="s">
        <v>29</v>
      </c>
      <c r="AL1329" t="s">
        <v>717</v>
      </c>
      <c r="AM1329" t="s">
        <v>10</v>
      </c>
      <c r="AN1329" t="s">
        <v>717</v>
      </c>
    </row>
    <row r="1330" spans="1:40" hidden="1">
      <c r="A1330">
        <v>1328</v>
      </c>
      <c r="B1330">
        <v>272</v>
      </c>
      <c r="C1330" s="58">
        <v>44792</v>
      </c>
      <c r="D1330" t="s">
        <v>27</v>
      </c>
      <c r="E1330" t="s">
        <v>5079</v>
      </c>
      <c r="F1330">
        <v>3</v>
      </c>
      <c r="G1330">
        <v>16</v>
      </c>
      <c r="H1330">
        <v>760</v>
      </c>
      <c r="I1330">
        <v>2</v>
      </c>
      <c r="J1330">
        <v>56.33</v>
      </c>
      <c r="K1330" t="s">
        <v>25</v>
      </c>
      <c r="L1330">
        <v>4128000</v>
      </c>
      <c r="M1330">
        <v>0</v>
      </c>
      <c r="N1330">
        <v>4128000</v>
      </c>
      <c r="O1330">
        <v>73282.442748091606</v>
      </c>
      <c r="P1330">
        <v>0</v>
      </c>
      <c r="Q1330">
        <v>4128000</v>
      </c>
      <c r="R1330">
        <v>73282.442748091606</v>
      </c>
      <c r="S1330" t="s">
        <v>130</v>
      </c>
      <c r="T1330" t="s">
        <v>717</v>
      </c>
      <c r="U1330" t="s">
        <v>717</v>
      </c>
      <c r="V1330" t="s">
        <v>717</v>
      </c>
      <c r="W1330">
        <v>44781</v>
      </c>
      <c r="X1330" t="s">
        <v>6668</v>
      </c>
      <c r="Y1330" t="s">
        <v>6642</v>
      </c>
      <c r="Z1330" t="s">
        <v>17</v>
      </c>
      <c r="AA1330" t="s">
        <v>717</v>
      </c>
      <c r="AB1330" t="s">
        <v>2509</v>
      </c>
      <c r="AC1330" t="s">
        <v>717</v>
      </c>
      <c r="AD1330" t="s">
        <v>717</v>
      </c>
      <c r="AE1330" t="s">
        <v>6643</v>
      </c>
      <c r="AF1330" t="s">
        <v>717</v>
      </c>
      <c r="AG1330" t="s">
        <v>717</v>
      </c>
      <c r="AH1330" t="s">
        <v>717</v>
      </c>
      <c r="AI1330" t="s">
        <v>6644</v>
      </c>
      <c r="AJ1330" t="s">
        <v>6645</v>
      </c>
      <c r="AK1330" t="s">
        <v>29</v>
      </c>
      <c r="AL1330" t="s">
        <v>717</v>
      </c>
      <c r="AM1330" t="s">
        <v>10</v>
      </c>
      <c r="AN1330" t="s">
        <v>717</v>
      </c>
    </row>
    <row r="1331" spans="1:40" hidden="1">
      <c r="A1331">
        <v>1329</v>
      </c>
      <c r="B1331">
        <v>273</v>
      </c>
      <c r="C1331" s="58">
        <v>44792</v>
      </c>
      <c r="D1331" t="s">
        <v>27</v>
      </c>
      <c r="E1331" t="s">
        <v>5079</v>
      </c>
      <c r="F1331">
        <v>8</v>
      </c>
      <c r="G1331">
        <v>16</v>
      </c>
      <c r="H1331">
        <v>765</v>
      </c>
      <c r="I1331">
        <v>2</v>
      </c>
      <c r="J1331">
        <v>62.35</v>
      </c>
      <c r="K1331" t="s">
        <v>25</v>
      </c>
      <c r="L1331">
        <v>4481250</v>
      </c>
      <c r="M1331">
        <v>0</v>
      </c>
      <c r="N1331">
        <v>4481250</v>
      </c>
      <c r="O1331">
        <v>71872.49398556535</v>
      </c>
      <c r="P1331">
        <v>0</v>
      </c>
      <c r="Q1331">
        <v>4481250</v>
      </c>
      <c r="R1331">
        <v>71872.49398556535</v>
      </c>
      <c r="S1331" t="s">
        <v>130</v>
      </c>
      <c r="T1331" t="s">
        <v>717</v>
      </c>
      <c r="U1331" t="s">
        <v>717</v>
      </c>
      <c r="V1331" t="s">
        <v>717</v>
      </c>
      <c r="W1331">
        <v>44781</v>
      </c>
      <c r="X1331" t="s">
        <v>6668</v>
      </c>
      <c r="Y1331" t="s">
        <v>6642</v>
      </c>
      <c r="Z1331" t="s">
        <v>17</v>
      </c>
      <c r="AA1331" t="s">
        <v>717</v>
      </c>
      <c r="AB1331" t="s">
        <v>2509</v>
      </c>
      <c r="AC1331" t="s">
        <v>717</v>
      </c>
      <c r="AD1331" t="s">
        <v>717</v>
      </c>
      <c r="AE1331" t="s">
        <v>6643</v>
      </c>
      <c r="AF1331" t="s">
        <v>717</v>
      </c>
      <c r="AG1331" t="s">
        <v>717</v>
      </c>
      <c r="AH1331" t="s">
        <v>717</v>
      </c>
      <c r="AI1331" t="s">
        <v>6644</v>
      </c>
      <c r="AJ1331" t="s">
        <v>6645</v>
      </c>
      <c r="AK1331" t="s">
        <v>29</v>
      </c>
      <c r="AL1331" t="s">
        <v>717</v>
      </c>
      <c r="AM1331" t="s">
        <v>10</v>
      </c>
      <c r="AN1331" t="s">
        <v>717</v>
      </c>
    </row>
    <row r="1332" spans="1:40" hidden="1">
      <c r="A1332">
        <v>1330</v>
      </c>
      <c r="B1332">
        <v>274</v>
      </c>
      <c r="C1332" s="58">
        <v>44792</v>
      </c>
      <c r="D1332" t="s">
        <v>27</v>
      </c>
      <c r="E1332" t="s">
        <v>5079</v>
      </c>
      <c r="F1332">
        <v>9</v>
      </c>
      <c r="G1332">
        <v>16</v>
      </c>
      <c r="H1332">
        <v>766</v>
      </c>
      <c r="I1332">
        <v>1</v>
      </c>
      <c r="J1332">
        <v>42.62</v>
      </c>
      <c r="K1332" t="s">
        <v>25</v>
      </c>
      <c r="L1332">
        <v>3096750</v>
      </c>
      <c r="M1332">
        <v>0</v>
      </c>
      <c r="N1332">
        <v>3096750</v>
      </c>
      <c r="O1332">
        <v>72659.549507273579</v>
      </c>
      <c r="P1332">
        <v>0</v>
      </c>
      <c r="Q1332">
        <v>3096750</v>
      </c>
      <c r="R1332">
        <v>72659.549507273579</v>
      </c>
      <c r="S1332" t="s">
        <v>130</v>
      </c>
      <c r="T1332" t="s">
        <v>717</v>
      </c>
      <c r="U1332" t="s">
        <v>717</v>
      </c>
      <c r="V1332" t="s">
        <v>717</v>
      </c>
      <c r="W1332">
        <v>44781</v>
      </c>
      <c r="X1332" t="s">
        <v>6668</v>
      </c>
      <c r="Y1332" t="s">
        <v>6642</v>
      </c>
      <c r="Z1332" t="s">
        <v>17</v>
      </c>
      <c r="AA1332" t="s">
        <v>717</v>
      </c>
      <c r="AB1332" t="s">
        <v>2509</v>
      </c>
      <c r="AC1332" t="s">
        <v>717</v>
      </c>
      <c r="AD1332" t="s">
        <v>717</v>
      </c>
      <c r="AE1332" t="s">
        <v>6643</v>
      </c>
      <c r="AF1332" t="s">
        <v>717</v>
      </c>
      <c r="AG1332" t="s">
        <v>717</v>
      </c>
      <c r="AH1332" t="s">
        <v>717</v>
      </c>
      <c r="AI1332" t="s">
        <v>6644</v>
      </c>
      <c r="AJ1332" t="s">
        <v>6645</v>
      </c>
      <c r="AK1332" t="s">
        <v>29</v>
      </c>
      <c r="AL1332" t="s">
        <v>717</v>
      </c>
      <c r="AM1332" t="s">
        <v>10</v>
      </c>
      <c r="AN1332" t="s">
        <v>717</v>
      </c>
    </row>
    <row r="1333" spans="1:40" hidden="1">
      <c r="A1333">
        <v>1331</v>
      </c>
      <c r="B1333">
        <v>275</v>
      </c>
      <c r="C1333" s="58">
        <v>44792</v>
      </c>
      <c r="D1333" t="s">
        <v>27</v>
      </c>
      <c r="E1333" t="s">
        <v>5079</v>
      </c>
      <c r="F1333">
        <v>1</v>
      </c>
      <c r="G1333">
        <v>17</v>
      </c>
      <c r="H1333">
        <v>767</v>
      </c>
      <c r="I1333">
        <v>1</v>
      </c>
      <c r="J1333">
        <v>42.52</v>
      </c>
      <c r="K1333" t="s">
        <v>25</v>
      </c>
      <c r="L1333">
        <v>3089250</v>
      </c>
      <c r="M1333">
        <v>0</v>
      </c>
      <c r="N1333">
        <v>3089250</v>
      </c>
      <c r="O1333">
        <v>72654.045155221072</v>
      </c>
      <c r="P1333">
        <v>0</v>
      </c>
      <c r="Q1333">
        <v>3089250</v>
      </c>
      <c r="R1333">
        <v>72654.045155221072</v>
      </c>
      <c r="S1333" t="s">
        <v>130</v>
      </c>
      <c r="T1333" t="s">
        <v>717</v>
      </c>
      <c r="U1333" t="s">
        <v>717</v>
      </c>
      <c r="V1333" t="s">
        <v>717</v>
      </c>
      <c r="W1333">
        <v>44781</v>
      </c>
      <c r="X1333" t="s">
        <v>6668</v>
      </c>
      <c r="Y1333" t="s">
        <v>6642</v>
      </c>
      <c r="Z1333" t="s">
        <v>17</v>
      </c>
      <c r="AA1333" t="s">
        <v>717</v>
      </c>
      <c r="AB1333" t="s">
        <v>2509</v>
      </c>
      <c r="AC1333" t="s">
        <v>717</v>
      </c>
      <c r="AD1333" t="s">
        <v>717</v>
      </c>
      <c r="AE1333" t="s">
        <v>6643</v>
      </c>
      <c r="AF1333" t="s">
        <v>717</v>
      </c>
      <c r="AG1333" t="s">
        <v>717</v>
      </c>
      <c r="AH1333" t="s">
        <v>717</v>
      </c>
      <c r="AI1333" t="s">
        <v>6644</v>
      </c>
      <c r="AJ1333" t="s">
        <v>6645</v>
      </c>
      <c r="AK1333" t="s">
        <v>29</v>
      </c>
      <c r="AL1333" t="s">
        <v>717</v>
      </c>
      <c r="AM1333" t="s">
        <v>10</v>
      </c>
      <c r="AN1333" t="s">
        <v>717</v>
      </c>
    </row>
    <row r="1334" spans="1:40" hidden="1">
      <c r="A1334">
        <v>1332</v>
      </c>
      <c r="B1334">
        <v>276</v>
      </c>
      <c r="C1334" s="58">
        <v>44792</v>
      </c>
      <c r="D1334" t="s">
        <v>27</v>
      </c>
      <c r="E1334" t="s">
        <v>5079</v>
      </c>
      <c r="F1334">
        <v>4</v>
      </c>
      <c r="G1334">
        <v>17</v>
      </c>
      <c r="H1334">
        <v>770</v>
      </c>
      <c r="I1334">
        <v>1</v>
      </c>
      <c r="J1334">
        <v>38.92</v>
      </c>
      <c r="K1334" t="s">
        <v>25</v>
      </c>
      <c r="L1334">
        <v>2814750</v>
      </c>
      <c r="M1334">
        <v>0</v>
      </c>
      <c r="N1334">
        <v>2814750</v>
      </c>
      <c r="O1334">
        <v>72321.428571428565</v>
      </c>
      <c r="P1334">
        <v>0</v>
      </c>
      <c r="Q1334">
        <v>2814750</v>
      </c>
      <c r="R1334">
        <v>72321.428571428565</v>
      </c>
      <c r="S1334" t="s">
        <v>130</v>
      </c>
      <c r="T1334" t="s">
        <v>717</v>
      </c>
      <c r="U1334" t="s">
        <v>717</v>
      </c>
      <c r="V1334" t="s">
        <v>717</v>
      </c>
      <c r="W1334">
        <v>44781</v>
      </c>
      <c r="X1334" t="s">
        <v>6668</v>
      </c>
      <c r="Y1334" t="s">
        <v>6642</v>
      </c>
      <c r="Z1334" t="s">
        <v>17</v>
      </c>
      <c r="AA1334" t="s">
        <v>717</v>
      </c>
      <c r="AB1334" t="s">
        <v>2509</v>
      </c>
      <c r="AC1334" t="s">
        <v>717</v>
      </c>
      <c r="AD1334" t="s">
        <v>717</v>
      </c>
      <c r="AE1334" t="s">
        <v>6643</v>
      </c>
      <c r="AF1334" t="s">
        <v>717</v>
      </c>
      <c r="AG1334" t="s">
        <v>717</v>
      </c>
      <c r="AH1334" t="s">
        <v>717</v>
      </c>
      <c r="AI1334" t="s">
        <v>6644</v>
      </c>
      <c r="AJ1334" t="s">
        <v>6645</v>
      </c>
      <c r="AK1334" t="s">
        <v>29</v>
      </c>
      <c r="AL1334" t="s">
        <v>717</v>
      </c>
      <c r="AM1334" t="s">
        <v>10</v>
      </c>
      <c r="AN1334" t="s">
        <v>717</v>
      </c>
    </row>
    <row r="1335" spans="1:40" hidden="1">
      <c r="A1335">
        <v>1333</v>
      </c>
      <c r="B1335">
        <v>277</v>
      </c>
      <c r="C1335" s="58">
        <v>44792</v>
      </c>
      <c r="D1335" t="s">
        <v>27</v>
      </c>
      <c r="E1335" t="s">
        <v>5079</v>
      </c>
      <c r="F1335">
        <v>6</v>
      </c>
      <c r="G1335">
        <v>17</v>
      </c>
      <c r="H1335">
        <v>772</v>
      </c>
      <c r="I1335">
        <v>1</v>
      </c>
      <c r="J1335">
        <v>38.909999999999997</v>
      </c>
      <c r="K1335" t="s">
        <v>25</v>
      </c>
      <c r="L1335">
        <v>2817000</v>
      </c>
      <c r="M1335">
        <v>0</v>
      </c>
      <c r="N1335">
        <v>2817000</v>
      </c>
      <c r="O1335">
        <v>72397.841171935244</v>
      </c>
      <c r="P1335">
        <v>0</v>
      </c>
      <c r="Q1335">
        <v>2817000</v>
      </c>
      <c r="R1335">
        <v>72397.841171935244</v>
      </c>
      <c r="S1335" t="s">
        <v>130</v>
      </c>
      <c r="T1335" t="s">
        <v>717</v>
      </c>
      <c r="U1335" t="s">
        <v>717</v>
      </c>
      <c r="V1335" t="s">
        <v>717</v>
      </c>
      <c r="W1335">
        <v>44781</v>
      </c>
      <c r="X1335" t="s">
        <v>6668</v>
      </c>
      <c r="Y1335" t="s">
        <v>6642</v>
      </c>
      <c r="Z1335" t="s">
        <v>17</v>
      </c>
      <c r="AA1335" t="s">
        <v>717</v>
      </c>
      <c r="AB1335" t="s">
        <v>2509</v>
      </c>
      <c r="AC1335" t="s">
        <v>717</v>
      </c>
      <c r="AD1335" t="s">
        <v>717</v>
      </c>
      <c r="AE1335" t="s">
        <v>6643</v>
      </c>
      <c r="AF1335" t="s">
        <v>717</v>
      </c>
      <c r="AG1335" t="s">
        <v>717</v>
      </c>
      <c r="AH1335" t="s">
        <v>717</v>
      </c>
      <c r="AI1335" t="s">
        <v>6644</v>
      </c>
      <c r="AJ1335" t="s">
        <v>6645</v>
      </c>
      <c r="AK1335" t="s">
        <v>29</v>
      </c>
      <c r="AL1335" t="s">
        <v>717</v>
      </c>
      <c r="AM1335" t="s">
        <v>10</v>
      </c>
      <c r="AN1335" t="s">
        <v>717</v>
      </c>
    </row>
    <row r="1336" spans="1:40" hidden="1">
      <c r="A1336">
        <v>1334</v>
      </c>
      <c r="B1336">
        <v>278</v>
      </c>
      <c r="C1336" s="58">
        <v>44792</v>
      </c>
      <c r="D1336" t="s">
        <v>27</v>
      </c>
      <c r="E1336" t="s">
        <v>5079</v>
      </c>
      <c r="F1336">
        <v>7</v>
      </c>
      <c r="G1336">
        <v>17</v>
      </c>
      <c r="H1336">
        <v>773</v>
      </c>
      <c r="I1336">
        <v>2</v>
      </c>
      <c r="J1336">
        <v>62.38</v>
      </c>
      <c r="K1336" t="s">
        <v>25</v>
      </c>
      <c r="L1336">
        <v>4483500</v>
      </c>
      <c r="M1336">
        <v>0</v>
      </c>
      <c r="N1336">
        <v>4483500</v>
      </c>
      <c r="O1336">
        <v>71873.99807630651</v>
      </c>
      <c r="P1336">
        <v>0</v>
      </c>
      <c r="Q1336">
        <v>4483500</v>
      </c>
      <c r="R1336">
        <v>71873.99807630651</v>
      </c>
      <c r="S1336" t="s">
        <v>130</v>
      </c>
      <c r="T1336" t="s">
        <v>717</v>
      </c>
      <c r="U1336" t="s">
        <v>717</v>
      </c>
      <c r="V1336" t="s">
        <v>717</v>
      </c>
      <c r="W1336">
        <v>44781</v>
      </c>
      <c r="X1336" t="s">
        <v>6668</v>
      </c>
      <c r="Y1336" t="s">
        <v>6642</v>
      </c>
      <c r="Z1336" t="s">
        <v>17</v>
      </c>
      <c r="AA1336" t="s">
        <v>717</v>
      </c>
      <c r="AB1336" t="s">
        <v>2509</v>
      </c>
      <c r="AC1336" t="s">
        <v>717</v>
      </c>
      <c r="AD1336" t="s">
        <v>717</v>
      </c>
      <c r="AE1336" t="s">
        <v>6643</v>
      </c>
      <c r="AF1336" t="s">
        <v>717</v>
      </c>
      <c r="AG1336" t="s">
        <v>717</v>
      </c>
      <c r="AH1336" t="s">
        <v>717</v>
      </c>
      <c r="AI1336" t="s">
        <v>6644</v>
      </c>
      <c r="AJ1336" t="s">
        <v>6645</v>
      </c>
      <c r="AK1336" t="s">
        <v>29</v>
      </c>
      <c r="AL1336" t="s">
        <v>717</v>
      </c>
      <c r="AM1336" t="s">
        <v>10</v>
      </c>
      <c r="AN1336" t="s">
        <v>717</v>
      </c>
    </row>
    <row r="1337" spans="1:40" hidden="1">
      <c r="A1337">
        <v>1335</v>
      </c>
      <c r="B1337">
        <v>279</v>
      </c>
      <c r="C1337" s="58">
        <v>44784</v>
      </c>
      <c r="D1337" t="s">
        <v>27</v>
      </c>
      <c r="E1337" t="s">
        <v>5079</v>
      </c>
      <c r="F1337">
        <v>8</v>
      </c>
      <c r="G1337">
        <v>17</v>
      </c>
      <c r="H1337">
        <v>774</v>
      </c>
      <c r="I1337">
        <v>1</v>
      </c>
      <c r="J1337">
        <v>42.62</v>
      </c>
      <c r="K1337" t="s">
        <v>25</v>
      </c>
      <c r="L1337">
        <v>3096750</v>
      </c>
      <c r="M1337">
        <v>0</v>
      </c>
      <c r="N1337">
        <v>3096750</v>
      </c>
      <c r="O1337">
        <v>72659.549507273579</v>
      </c>
      <c r="P1337">
        <v>0</v>
      </c>
      <c r="Q1337">
        <v>3096750</v>
      </c>
      <c r="R1337">
        <v>72659.549507273579</v>
      </c>
      <c r="S1337" t="s">
        <v>130</v>
      </c>
      <c r="T1337" t="s">
        <v>717</v>
      </c>
      <c r="U1337" t="s">
        <v>717</v>
      </c>
      <c r="V1337" t="s">
        <v>717</v>
      </c>
      <c r="W1337">
        <v>44781</v>
      </c>
      <c r="X1337" t="s">
        <v>6669</v>
      </c>
      <c r="Y1337" t="s">
        <v>6642</v>
      </c>
      <c r="Z1337" t="s">
        <v>17</v>
      </c>
      <c r="AA1337" t="s">
        <v>717</v>
      </c>
      <c r="AB1337" t="s">
        <v>2509</v>
      </c>
      <c r="AC1337" t="s">
        <v>717</v>
      </c>
      <c r="AD1337" t="s">
        <v>717</v>
      </c>
      <c r="AE1337" t="s">
        <v>6643</v>
      </c>
      <c r="AF1337" t="s">
        <v>717</v>
      </c>
      <c r="AG1337" t="s">
        <v>717</v>
      </c>
      <c r="AH1337" t="s">
        <v>717</v>
      </c>
      <c r="AI1337" t="s">
        <v>6644</v>
      </c>
      <c r="AJ1337" t="s">
        <v>6645</v>
      </c>
      <c r="AK1337" t="s">
        <v>29</v>
      </c>
      <c r="AL1337" t="s">
        <v>717</v>
      </c>
      <c r="AM1337" t="s">
        <v>10</v>
      </c>
      <c r="AN1337" t="s">
        <v>717</v>
      </c>
    </row>
    <row r="1338" spans="1:40" hidden="1">
      <c r="A1338">
        <v>1336</v>
      </c>
      <c r="B1338">
        <v>280</v>
      </c>
      <c r="C1338" s="58">
        <v>44784</v>
      </c>
      <c r="D1338" t="s">
        <v>27</v>
      </c>
      <c r="E1338" t="s">
        <v>5079</v>
      </c>
      <c r="F1338">
        <v>1</v>
      </c>
      <c r="G1338">
        <v>18</v>
      </c>
      <c r="H1338">
        <v>775</v>
      </c>
      <c r="I1338">
        <v>1</v>
      </c>
      <c r="J1338">
        <v>42.52</v>
      </c>
      <c r="K1338" t="s">
        <v>25</v>
      </c>
      <c r="L1338">
        <v>3089250</v>
      </c>
      <c r="M1338">
        <v>0</v>
      </c>
      <c r="N1338">
        <v>3089250</v>
      </c>
      <c r="O1338">
        <v>72654.045155221072</v>
      </c>
      <c r="P1338">
        <v>0</v>
      </c>
      <c r="Q1338">
        <v>3089250</v>
      </c>
      <c r="R1338">
        <v>72654.045155221072</v>
      </c>
      <c r="S1338" t="s">
        <v>130</v>
      </c>
      <c r="T1338" t="s">
        <v>717</v>
      </c>
      <c r="U1338" t="s">
        <v>717</v>
      </c>
      <c r="V1338" t="s">
        <v>717</v>
      </c>
      <c r="W1338">
        <v>44781</v>
      </c>
      <c r="X1338" t="s">
        <v>6669</v>
      </c>
      <c r="Y1338" t="s">
        <v>6642</v>
      </c>
      <c r="Z1338" t="s">
        <v>17</v>
      </c>
      <c r="AA1338" t="s">
        <v>717</v>
      </c>
      <c r="AB1338" t="s">
        <v>2509</v>
      </c>
      <c r="AC1338" t="s">
        <v>717</v>
      </c>
      <c r="AD1338" t="s">
        <v>717</v>
      </c>
      <c r="AE1338" t="s">
        <v>6643</v>
      </c>
      <c r="AF1338" t="s">
        <v>717</v>
      </c>
      <c r="AG1338" t="s">
        <v>717</v>
      </c>
      <c r="AH1338" t="s">
        <v>717</v>
      </c>
      <c r="AI1338" t="s">
        <v>6644</v>
      </c>
      <c r="AJ1338" t="s">
        <v>6645</v>
      </c>
      <c r="AK1338" t="s">
        <v>29</v>
      </c>
      <c r="AL1338" t="s">
        <v>717</v>
      </c>
      <c r="AM1338" t="s">
        <v>10</v>
      </c>
      <c r="AN1338" t="s">
        <v>717</v>
      </c>
    </row>
    <row r="1339" spans="1:40" hidden="1">
      <c r="A1339">
        <v>1337</v>
      </c>
      <c r="B1339">
        <v>281</v>
      </c>
      <c r="C1339" s="58">
        <v>44784</v>
      </c>
      <c r="D1339" t="s">
        <v>27</v>
      </c>
      <c r="E1339" t="s">
        <v>5079</v>
      </c>
      <c r="F1339">
        <v>2</v>
      </c>
      <c r="G1339">
        <v>18</v>
      </c>
      <c r="H1339">
        <v>776</v>
      </c>
      <c r="I1339">
        <v>4</v>
      </c>
      <c r="J1339">
        <v>100.26</v>
      </c>
      <c r="K1339" t="s">
        <v>25</v>
      </c>
      <c r="L1339">
        <v>7324500</v>
      </c>
      <c r="M1339">
        <v>0</v>
      </c>
      <c r="N1339">
        <v>7324500</v>
      </c>
      <c r="O1339">
        <v>73055.056852184323</v>
      </c>
      <c r="P1339">
        <v>0</v>
      </c>
      <c r="Q1339">
        <v>7324500</v>
      </c>
      <c r="R1339">
        <v>73055.056852184323</v>
      </c>
      <c r="S1339" t="s">
        <v>130</v>
      </c>
      <c r="T1339" t="s">
        <v>717</v>
      </c>
      <c r="U1339" t="s">
        <v>717</v>
      </c>
      <c r="V1339" t="s">
        <v>717</v>
      </c>
      <c r="W1339">
        <v>44781</v>
      </c>
      <c r="X1339" t="s">
        <v>6669</v>
      </c>
      <c r="Y1339" t="s">
        <v>6642</v>
      </c>
      <c r="Z1339" t="s">
        <v>17</v>
      </c>
      <c r="AA1339" t="s">
        <v>717</v>
      </c>
      <c r="AB1339" t="s">
        <v>2509</v>
      </c>
      <c r="AC1339" t="s">
        <v>717</v>
      </c>
      <c r="AD1339" t="s">
        <v>717</v>
      </c>
      <c r="AE1339" t="s">
        <v>6643</v>
      </c>
      <c r="AF1339" t="s">
        <v>717</v>
      </c>
      <c r="AG1339" t="s">
        <v>717</v>
      </c>
      <c r="AH1339" t="s">
        <v>717</v>
      </c>
      <c r="AI1339" t="s">
        <v>6644</v>
      </c>
      <c r="AJ1339" t="s">
        <v>6645</v>
      </c>
      <c r="AK1339" t="s">
        <v>29</v>
      </c>
      <c r="AL1339" t="s">
        <v>717</v>
      </c>
      <c r="AM1339" t="s">
        <v>10</v>
      </c>
      <c r="AN1339" t="s">
        <v>717</v>
      </c>
    </row>
    <row r="1340" spans="1:40" hidden="1">
      <c r="A1340">
        <v>1338</v>
      </c>
      <c r="B1340">
        <v>282</v>
      </c>
      <c r="C1340" s="58">
        <v>44784</v>
      </c>
      <c r="D1340" t="s">
        <v>27</v>
      </c>
      <c r="E1340" t="s">
        <v>5079</v>
      </c>
      <c r="F1340">
        <v>4</v>
      </c>
      <c r="G1340">
        <v>18</v>
      </c>
      <c r="H1340">
        <v>778</v>
      </c>
      <c r="I1340">
        <v>1</v>
      </c>
      <c r="J1340">
        <v>38.92</v>
      </c>
      <c r="K1340" t="s">
        <v>25</v>
      </c>
      <c r="L1340">
        <v>2814750</v>
      </c>
      <c r="M1340">
        <v>0</v>
      </c>
      <c r="N1340">
        <v>2814750</v>
      </c>
      <c r="O1340">
        <v>72321.428571428565</v>
      </c>
      <c r="P1340">
        <v>0</v>
      </c>
      <c r="Q1340">
        <v>2814750</v>
      </c>
      <c r="R1340">
        <v>72321.428571428565</v>
      </c>
      <c r="S1340" t="s">
        <v>130</v>
      </c>
      <c r="T1340" t="s">
        <v>717</v>
      </c>
      <c r="U1340" t="s">
        <v>717</v>
      </c>
      <c r="V1340" t="s">
        <v>717</v>
      </c>
      <c r="W1340">
        <v>44781</v>
      </c>
      <c r="X1340" t="s">
        <v>6669</v>
      </c>
      <c r="Y1340" t="s">
        <v>6642</v>
      </c>
      <c r="Z1340" t="s">
        <v>17</v>
      </c>
      <c r="AA1340" t="s">
        <v>717</v>
      </c>
      <c r="AB1340" t="s">
        <v>2509</v>
      </c>
      <c r="AC1340" t="s">
        <v>717</v>
      </c>
      <c r="AD1340" t="s">
        <v>717</v>
      </c>
      <c r="AE1340" t="s">
        <v>6643</v>
      </c>
      <c r="AF1340" t="s">
        <v>717</v>
      </c>
      <c r="AG1340" t="s">
        <v>717</v>
      </c>
      <c r="AH1340" t="s">
        <v>717</v>
      </c>
      <c r="AI1340" t="s">
        <v>6644</v>
      </c>
      <c r="AJ1340" t="s">
        <v>6645</v>
      </c>
      <c r="AK1340" t="s">
        <v>29</v>
      </c>
      <c r="AL1340" t="s">
        <v>717</v>
      </c>
      <c r="AM1340" t="s">
        <v>10</v>
      </c>
      <c r="AN1340" t="s">
        <v>717</v>
      </c>
    </row>
    <row r="1341" spans="1:40" hidden="1">
      <c r="A1341">
        <v>1339</v>
      </c>
      <c r="B1341">
        <v>283</v>
      </c>
      <c r="C1341" s="58">
        <v>44784</v>
      </c>
      <c r="D1341" t="s">
        <v>27</v>
      </c>
      <c r="E1341" t="s">
        <v>5079</v>
      </c>
      <c r="F1341">
        <v>5</v>
      </c>
      <c r="G1341">
        <v>18</v>
      </c>
      <c r="H1341">
        <v>779</v>
      </c>
      <c r="I1341">
        <v>2</v>
      </c>
      <c r="J1341">
        <v>61.96</v>
      </c>
      <c r="K1341" t="s">
        <v>25</v>
      </c>
      <c r="L1341">
        <v>4548000</v>
      </c>
      <c r="M1341">
        <v>0</v>
      </c>
      <c r="N1341">
        <v>4548000</v>
      </c>
      <c r="O1341">
        <v>73402.194964493217</v>
      </c>
      <c r="P1341">
        <v>0</v>
      </c>
      <c r="Q1341">
        <v>4548000</v>
      </c>
      <c r="R1341">
        <v>73402.194964493217</v>
      </c>
      <c r="S1341" t="s">
        <v>130</v>
      </c>
      <c r="T1341" t="s">
        <v>717</v>
      </c>
      <c r="U1341" t="s">
        <v>717</v>
      </c>
      <c r="V1341" t="s">
        <v>717</v>
      </c>
      <c r="W1341">
        <v>44781</v>
      </c>
      <c r="X1341" t="s">
        <v>6669</v>
      </c>
      <c r="Y1341" t="s">
        <v>6642</v>
      </c>
      <c r="Z1341" t="s">
        <v>17</v>
      </c>
      <c r="AA1341" t="s">
        <v>717</v>
      </c>
      <c r="AB1341" t="s">
        <v>2509</v>
      </c>
      <c r="AC1341" t="s">
        <v>717</v>
      </c>
      <c r="AD1341" t="s">
        <v>717</v>
      </c>
      <c r="AE1341" t="s">
        <v>6643</v>
      </c>
      <c r="AF1341" t="s">
        <v>717</v>
      </c>
      <c r="AG1341" t="s">
        <v>717</v>
      </c>
      <c r="AH1341" t="s">
        <v>717</v>
      </c>
      <c r="AI1341" t="s">
        <v>6644</v>
      </c>
      <c r="AJ1341" t="s">
        <v>6645</v>
      </c>
      <c r="AK1341" t="s">
        <v>29</v>
      </c>
      <c r="AL1341" t="s">
        <v>717</v>
      </c>
      <c r="AM1341" t="s">
        <v>10</v>
      </c>
      <c r="AN1341" t="s">
        <v>717</v>
      </c>
    </row>
    <row r="1342" spans="1:40" hidden="1">
      <c r="A1342">
        <v>1340</v>
      </c>
      <c r="B1342">
        <v>284</v>
      </c>
      <c r="C1342" s="58">
        <v>44784</v>
      </c>
      <c r="D1342" t="s">
        <v>27</v>
      </c>
      <c r="E1342" t="s">
        <v>5079</v>
      </c>
      <c r="F1342">
        <v>7</v>
      </c>
      <c r="G1342">
        <v>18</v>
      </c>
      <c r="H1342">
        <v>781</v>
      </c>
      <c r="I1342">
        <v>2</v>
      </c>
      <c r="J1342">
        <v>62.38</v>
      </c>
      <c r="K1342" t="s">
        <v>25</v>
      </c>
      <c r="L1342">
        <v>4483500</v>
      </c>
      <c r="M1342">
        <v>0</v>
      </c>
      <c r="N1342">
        <v>4483500</v>
      </c>
      <c r="O1342">
        <v>71873.99807630651</v>
      </c>
      <c r="P1342">
        <v>0</v>
      </c>
      <c r="Q1342">
        <v>4483500</v>
      </c>
      <c r="R1342">
        <v>71873.99807630651</v>
      </c>
      <c r="S1342" t="s">
        <v>130</v>
      </c>
      <c r="T1342" t="s">
        <v>717</v>
      </c>
      <c r="U1342" t="s">
        <v>717</v>
      </c>
      <c r="V1342" t="s">
        <v>717</v>
      </c>
      <c r="W1342">
        <v>44781</v>
      </c>
      <c r="X1342" t="s">
        <v>6669</v>
      </c>
      <c r="Y1342" t="s">
        <v>6642</v>
      </c>
      <c r="Z1342" t="s">
        <v>17</v>
      </c>
      <c r="AA1342" t="s">
        <v>717</v>
      </c>
      <c r="AB1342" t="s">
        <v>2509</v>
      </c>
      <c r="AC1342" t="s">
        <v>717</v>
      </c>
      <c r="AD1342" t="s">
        <v>717</v>
      </c>
      <c r="AE1342" t="s">
        <v>6643</v>
      </c>
      <c r="AF1342" t="s">
        <v>717</v>
      </c>
      <c r="AG1342" t="s">
        <v>717</v>
      </c>
      <c r="AH1342" t="s">
        <v>717</v>
      </c>
      <c r="AI1342" t="s">
        <v>6644</v>
      </c>
      <c r="AJ1342" t="s">
        <v>6645</v>
      </c>
      <c r="AK1342" t="s">
        <v>29</v>
      </c>
      <c r="AL1342" t="s">
        <v>717</v>
      </c>
      <c r="AM1342" t="s">
        <v>10</v>
      </c>
      <c r="AN1342" t="s">
        <v>717</v>
      </c>
    </row>
    <row r="1343" spans="1:40" hidden="1">
      <c r="A1343">
        <v>1341</v>
      </c>
      <c r="B1343">
        <v>285</v>
      </c>
      <c r="C1343" s="58">
        <v>44784</v>
      </c>
      <c r="D1343" t="s">
        <v>27</v>
      </c>
      <c r="E1343" t="s">
        <v>5079</v>
      </c>
      <c r="F1343">
        <v>8</v>
      </c>
      <c r="G1343">
        <v>18</v>
      </c>
      <c r="H1343">
        <v>782</v>
      </c>
      <c r="I1343">
        <v>1</v>
      </c>
      <c r="J1343">
        <v>42.62</v>
      </c>
      <c r="K1343" t="s">
        <v>25</v>
      </c>
      <c r="L1343">
        <v>3096750</v>
      </c>
      <c r="M1343">
        <v>0</v>
      </c>
      <c r="N1343">
        <v>3096750</v>
      </c>
      <c r="O1343">
        <v>72659.549507273579</v>
      </c>
      <c r="P1343">
        <v>0</v>
      </c>
      <c r="Q1343">
        <v>3096750</v>
      </c>
      <c r="R1343">
        <v>72659.549507273579</v>
      </c>
      <c r="S1343" t="s">
        <v>130</v>
      </c>
      <c r="T1343" t="s">
        <v>717</v>
      </c>
      <c r="U1343" t="s">
        <v>717</v>
      </c>
      <c r="V1343" t="s">
        <v>717</v>
      </c>
      <c r="W1343">
        <v>44781</v>
      </c>
      <c r="X1343" t="s">
        <v>6669</v>
      </c>
      <c r="Y1343" t="s">
        <v>6642</v>
      </c>
      <c r="Z1343" t="s">
        <v>17</v>
      </c>
      <c r="AA1343" t="s">
        <v>717</v>
      </c>
      <c r="AB1343" t="s">
        <v>2509</v>
      </c>
      <c r="AC1343" t="s">
        <v>717</v>
      </c>
      <c r="AD1343" t="s">
        <v>717</v>
      </c>
      <c r="AE1343" t="s">
        <v>6643</v>
      </c>
      <c r="AF1343" t="s">
        <v>717</v>
      </c>
      <c r="AG1343" t="s">
        <v>717</v>
      </c>
      <c r="AH1343" t="s">
        <v>717</v>
      </c>
      <c r="AI1343" t="s">
        <v>6644</v>
      </c>
      <c r="AJ1343" t="s">
        <v>6645</v>
      </c>
      <c r="AK1343" t="s">
        <v>29</v>
      </c>
      <c r="AL1343" t="s">
        <v>717</v>
      </c>
      <c r="AM1343" t="s">
        <v>10</v>
      </c>
      <c r="AN1343" t="s">
        <v>717</v>
      </c>
    </row>
    <row r="1344" spans="1:40" hidden="1">
      <c r="A1344">
        <v>1342</v>
      </c>
      <c r="B1344">
        <v>286</v>
      </c>
      <c r="C1344" s="58">
        <v>44784</v>
      </c>
      <c r="D1344" t="s">
        <v>27</v>
      </c>
      <c r="E1344" t="s">
        <v>5079</v>
      </c>
      <c r="F1344">
        <v>1</v>
      </c>
      <c r="G1344">
        <v>19</v>
      </c>
      <c r="H1344">
        <v>783</v>
      </c>
      <c r="I1344">
        <v>1</v>
      </c>
      <c r="J1344">
        <v>42.52</v>
      </c>
      <c r="K1344" t="s">
        <v>25</v>
      </c>
      <c r="L1344">
        <v>3089250</v>
      </c>
      <c r="M1344">
        <v>0</v>
      </c>
      <c r="N1344">
        <v>3089250</v>
      </c>
      <c r="O1344">
        <v>72654.045155221072</v>
      </c>
      <c r="P1344">
        <v>0</v>
      </c>
      <c r="Q1344">
        <v>3089250</v>
      </c>
      <c r="R1344">
        <v>72654.045155221072</v>
      </c>
      <c r="S1344" t="s">
        <v>130</v>
      </c>
      <c r="T1344" t="s">
        <v>717</v>
      </c>
      <c r="U1344" t="s">
        <v>717</v>
      </c>
      <c r="V1344" t="s">
        <v>717</v>
      </c>
      <c r="W1344">
        <v>44781</v>
      </c>
      <c r="X1344" t="s">
        <v>6669</v>
      </c>
      <c r="Y1344" t="s">
        <v>6642</v>
      </c>
      <c r="Z1344" t="s">
        <v>17</v>
      </c>
      <c r="AA1344" t="s">
        <v>717</v>
      </c>
      <c r="AB1344" t="s">
        <v>2509</v>
      </c>
      <c r="AC1344" t="s">
        <v>717</v>
      </c>
      <c r="AD1344" t="s">
        <v>717</v>
      </c>
      <c r="AE1344" t="s">
        <v>6643</v>
      </c>
      <c r="AF1344" t="s">
        <v>717</v>
      </c>
      <c r="AG1344" t="s">
        <v>717</v>
      </c>
      <c r="AH1344" t="s">
        <v>717</v>
      </c>
      <c r="AI1344" t="s">
        <v>6644</v>
      </c>
      <c r="AJ1344" t="s">
        <v>6645</v>
      </c>
      <c r="AK1344" t="s">
        <v>29</v>
      </c>
      <c r="AL1344" t="s">
        <v>717</v>
      </c>
      <c r="AM1344" t="s">
        <v>10</v>
      </c>
      <c r="AN1344" t="s">
        <v>717</v>
      </c>
    </row>
    <row r="1345" spans="1:40" hidden="1">
      <c r="A1345">
        <v>1343</v>
      </c>
      <c r="B1345">
        <v>287</v>
      </c>
      <c r="C1345" s="58">
        <v>44784</v>
      </c>
      <c r="D1345" t="s">
        <v>27</v>
      </c>
      <c r="E1345" t="s">
        <v>5079</v>
      </c>
      <c r="F1345">
        <v>4</v>
      </c>
      <c r="G1345">
        <v>19</v>
      </c>
      <c r="H1345">
        <v>786</v>
      </c>
      <c r="I1345">
        <v>1</v>
      </c>
      <c r="J1345">
        <v>38.92</v>
      </c>
      <c r="K1345" t="s">
        <v>25</v>
      </c>
      <c r="L1345">
        <v>2814750</v>
      </c>
      <c r="M1345">
        <v>0</v>
      </c>
      <c r="N1345">
        <v>2814750</v>
      </c>
      <c r="O1345">
        <v>72321.428571428565</v>
      </c>
      <c r="P1345">
        <v>0</v>
      </c>
      <c r="Q1345">
        <v>2814750</v>
      </c>
      <c r="R1345">
        <v>72321.428571428565</v>
      </c>
      <c r="S1345" t="s">
        <v>130</v>
      </c>
      <c r="T1345" t="s">
        <v>717</v>
      </c>
      <c r="U1345" t="s">
        <v>717</v>
      </c>
      <c r="V1345" t="s">
        <v>717</v>
      </c>
      <c r="W1345">
        <v>44781</v>
      </c>
      <c r="X1345" t="s">
        <v>6669</v>
      </c>
      <c r="Y1345" t="s">
        <v>6642</v>
      </c>
      <c r="Z1345" t="s">
        <v>17</v>
      </c>
      <c r="AA1345" t="s">
        <v>717</v>
      </c>
      <c r="AB1345" t="s">
        <v>2509</v>
      </c>
      <c r="AC1345" t="s">
        <v>717</v>
      </c>
      <c r="AD1345" t="s">
        <v>717</v>
      </c>
      <c r="AE1345" t="s">
        <v>6643</v>
      </c>
      <c r="AF1345" t="s">
        <v>717</v>
      </c>
      <c r="AG1345" t="s">
        <v>717</v>
      </c>
      <c r="AH1345" t="s">
        <v>717</v>
      </c>
      <c r="AI1345" t="s">
        <v>6644</v>
      </c>
      <c r="AJ1345" t="s">
        <v>6645</v>
      </c>
      <c r="AK1345" t="s">
        <v>29</v>
      </c>
      <c r="AL1345" t="s">
        <v>717</v>
      </c>
      <c r="AM1345" t="s">
        <v>10</v>
      </c>
      <c r="AN1345" t="s">
        <v>717</v>
      </c>
    </row>
    <row r="1346" spans="1:40" hidden="1">
      <c r="A1346">
        <v>1344</v>
      </c>
      <c r="B1346">
        <v>288</v>
      </c>
      <c r="C1346" s="58">
        <v>44784</v>
      </c>
      <c r="D1346" t="s">
        <v>27</v>
      </c>
      <c r="E1346" t="s">
        <v>5079</v>
      </c>
      <c r="F1346">
        <v>5</v>
      </c>
      <c r="G1346">
        <v>19</v>
      </c>
      <c r="H1346">
        <v>787</v>
      </c>
      <c r="I1346">
        <v>2</v>
      </c>
      <c r="J1346">
        <v>61.96</v>
      </c>
      <c r="K1346" t="s">
        <v>25</v>
      </c>
      <c r="L1346">
        <v>4548000</v>
      </c>
      <c r="M1346">
        <v>0</v>
      </c>
      <c r="N1346">
        <v>4548000</v>
      </c>
      <c r="O1346">
        <v>73402.194964493217</v>
      </c>
      <c r="P1346">
        <v>0</v>
      </c>
      <c r="Q1346">
        <v>4548000</v>
      </c>
      <c r="R1346">
        <v>73402.194964493217</v>
      </c>
      <c r="S1346" t="s">
        <v>130</v>
      </c>
      <c r="T1346" t="s">
        <v>717</v>
      </c>
      <c r="U1346" t="s">
        <v>717</v>
      </c>
      <c r="V1346" t="s">
        <v>717</v>
      </c>
      <c r="W1346">
        <v>44781</v>
      </c>
      <c r="X1346" t="s">
        <v>6669</v>
      </c>
      <c r="Y1346" t="s">
        <v>6642</v>
      </c>
      <c r="Z1346" t="s">
        <v>17</v>
      </c>
      <c r="AA1346" t="s">
        <v>717</v>
      </c>
      <c r="AB1346" t="s">
        <v>2509</v>
      </c>
      <c r="AC1346" t="s">
        <v>717</v>
      </c>
      <c r="AD1346" t="s">
        <v>717</v>
      </c>
      <c r="AE1346" t="s">
        <v>6643</v>
      </c>
      <c r="AF1346" t="s">
        <v>717</v>
      </c>
      <c r="AG1346" t="s">
        <v>717</v>
      </c>
      <c r="AH1346" t="s">
        <v>717</v>
      </c>
      <c r="AI1346" t="s">
        <v>6644</v>
      </c>
      <c r="AJ1346" t="s">
        <v>6645</v>
      </c>
      <c r="AK1346" t="s">
        <v>29</v>
      </c>
      <c r="AL1346" t="s">
        <v>717</v>
      </c>
      <c r="AM1346" t="s">
        <v>10</v>
      </c>
      <c r="AN1346" t="s">
        <v>717</v>
      </c>
    </row>
    <row r="1347" spans="1:40" hidden="1">
      <c r="A1347">
        <v>1345</v>
      </c>
      <c r="B1347">
        <v>289</v>
      </c>
      <c r="C1347" s="58">
        <v>44784</v>
      </c>
      <c r="D1347" t="s">
        <v>27</v>
      </c>
      <c r="E1347" t="s">
        <v>5079</v>
      </c>
      <c r="F1347">
        <v>6</v>
      </c>
      <c r="G1347">
        <v>19</v>
      </c>
      <c r="H1347">
        <v>788</v>
      </c>
      <c r="I1347">
        <v>1</v>
      </c>
      <c r="J1347">
        <v>38.909999999999997</v>
      </c>
      <c r="K1347" t="s">
        <v>25</v>
      </c>
      <c r="L1347">
        <v>2817000</v>
      </c>
      <c r="M1347">
        <v>0</v>
      </c>
      <c r="N1347">
        <v>2817000</v>
      </c>
      <c r="O1347">
        <v>72397.841171935244</v>
      </c>
      <c r="P1347">
        <v>0</v>
      </c>
      <c r="Q1347">
        <v>2817000</v>
      </c>
      <c r="R1347">
        <v>72397.841171935244</v>
      </c>
      <c r="S1347" t="s">
        <v>130</v>
      </c>
      <c r="T1347" t="s">
        <v>717</v>
      </c>
      <c r="U1347" t="s">
        <v>717</v>
      </c>
      <c r="V1347" t="s">
        <v>717</v>
      </c>
      <c r="W1347">
        <v>44781</v>
      </c>
      <c r="X1347" t="s">
        <v>6669</v>
      </c>
      <c r="Y1347" t="s">
        <v>6642</v>
      </c>
      <c r="Z1347" t="s">
        <v>17</v>
      </c>
      <c r="AA1347" t="s">
        <v>717</v>
      </c>
      <c r="AB1347" t="s">
        <v>2509</v>
      </c>
      <c r="AC1347" t="s">
        <v>717</v>
      </c>
      <c r="AD1347" t="s">
        <v>717</v>
      </c>
      <c r="AE1347" t="s">
        <v>6643</v>
      </c>
      <c r="AF1347" t="s">
        <v>717</v>
      </c>
      <c r="AG1347" t="s">
        <v>717</v>
      </c>
      <c r="AH1347" t="s">
        <v>717</v>
      </c>
      <c r="AI1347" t="s">
        <v>6644</v>
      </c>
      <c r="AJ1347" t="s">
        <v>6645</v>
      </c>
      <c r="AK1347" t="s">
        <v>29</v>
      </c>
      <c r="AL1347" t="s">
        <v>717</v>
      </c>
      <c r="AM1347" t="s">
        <v>10</v>
      </c>
      <c r="AN1347" t="s">
        <v>717</v>
      </c>
    </row>
    <row r="1348" spans="1:40" hidden="1">
      <c r="A1348">
        <v>1346</v>
      </c>
      <c r="B1348">
        <v>290</v>
      </c>
      <c r="C1348" s="58">
        <v>44784</v>
      </c>
      <c r="D1348" t="s">
        <v>27</v>
      </c>
      <c r="E1348" t="s">
        <v>5079</v>
      </c>
      <c r="F1348">
        <v>7</v>
      </c>
      <c r="G1348">
        <v>19</v>
      </c>
      <c r="H1348">
        <v>789</v>
      </c>
      <c r="I1348">
        <v>2</v>
      </c>
      <c r="J1348">
        <v>62.38</v>
      </c>
      <c r="K1348" t="s">
        <v>25</v>
      </c>
      <c r="L1348">
        <v>4483500</v>
      </c>
      <c r="M1348">
        <v>0</v>
      </c>
      <c r="N1348">
        <v>4483500</v>
      </c>
      <c r="O1348">
        <v>71873.99807630651</v>
      </c>
      <c r="P1348">
        <v>0</v>
      </c>
      <c r="Q1348">
        <v>4483500</v>
      </c>
      <c r="R1348">
        <v>71873.99807630651</v>
      </c>
      <c r="S1348" t="s">
        <v>130</v>
      </c>
      <c r="T1348" t="s">
        <v>717</v>
      </c>
      <c r="U1348" t="s">
        <v>717</v>
      </c>
      <c r="V1348" t="s">
        <v>717</v>
      </c>
      <c r="W1348">
        <v>44781</v>
      </c>
      <c r="X1348" t="s">
        <v>6669</v>
      </c>
      <c r="Y1348" t="s">
        <v>6642</v>
      </c>
      <c r="Z1348" t="s">
        <v>17</v>
      </c>
      <c r="AA1348" t="s">
        <v>717</v>
      </c>
      <c r="AB1348" t="s">
        <v>2509</v>
      </c>
      <c r="AC1348" t="s">
        <v>717</v>
      </c>
      <c r="AD1348" t="s">
        <v>717</v>
      </c>
      <c r="AE1348" t="s">
        <v>6643</v>
      </c>
      <c r="AF1348" t="s">
        <v>717</v>
      </c>
      <c r="AG1348" t="s">
        <v>717</v>
      </c>
      <c r="AH1348" t="s">
        <v>717</v>
      </c>
      <c r="AI1348" t="s">
        <v>6644</v>
      </c>
      <c r="AJ1348" t="s">
        <v>6645</v>
      </c>
      <c r="AK1348" t="s">
        <v>29</v>
      </c>
      <c r="AL1348" t="s">
        <v>717</v>
      </c>
      <c r="AM1348" t="s">
        <v>10</v>
      </c>
      <c r="AN1348" t="s">
        <v>717</v>
      </c>
    </row>
    <row r="1349" spans="1:40" hidden="1">
      <c r="A1349">
        <v>1347</v>
      </c>
      <c r="B1349">
        <v>291</v>
      </c>
      <c r="C1349" s="58">
        <v>44784</v>
      </c>
      <c r="D1349" t="s">
        <v>27</v>
      </c>
      <c r="E1349" t="s">
        <v>5079</v>
      </c>
      <c r="F1349">
        <v>8</v>
      </c>
      <c r="G1349">
        <v>19</v>
      </c>
      <c r="H1349">
        <v>790</v>
      </c>
      <c r="I1349">
        <v>1</v>
      </c>
      <c r="J1349">
        <v>42.62</v>
      </c>
      <c r="K1349" t="s">
        <v>25</v>
      </c>
      <c r="L1349">
        <v>3096750</v>
      </c>
      <c r="M1349">
        <v>0</v>
      </c>
      <c r="N1349">
        <v>3096750</v>
      </c>
      <c r="O1349">
        <v>72659.549507273579</v>
      </c>
      <c r="P1349">
        <v>0</v>
      </c>
      <c r="Q1349">
        <v>3096750</v>
      </c>
      <c r="R1349">
        <v>72659.549507273579</v>
      </c>
      <c r="S1349" t="s">
        <v>130</v>
      </c>
      <c r="T1349" t="s">
        <v>717</v>
      </c>
      <c r="U1349" t="s">
        <v>717</v>
      </c>
      <c r="V1349" t="s">
        <v>717</v>
      </c>
      <c r="W1349">
        <v>44781</v>
      </c>
      <c r="X1349" t="s">
        <v>6669</v>
      </c>
      <c r="Y1349" t="s">
        <v>6642</v>
      </c>
      <c r="Z1349" t="s">
        <v>17</v>
      </c>
      <c r="AA1349" t="s">
        <v>717</v>
      </c>
      <c r="AB1349" t="s">
        <v>2509</v>
      </c>
      <c r="AC1349" t="s">
        <v>717</v>
      </c>
      <c r="AD1349" t="s">
        <v>717</v>
      </c>
      <c r="AE1349" t="s">
        <v>6643</v>
      </c>
      <c r="AF1349" t="s">
        <v>717</v>
      </c>
      <c r="AG1349" t="s">
        <v>717</v>
      </c>
      <c r="AH1349" t="s">
        <v>717</v>
      </c>
      <c r="AI1349" t="s">
        <v>6644</v>
      </c>
      <c r="AJ1349" t="s">
        <v>6645</v>
      </c>
      <c r="AK1349" t="s">
        <v>29</v>
      </c>
      <c r="AL1349" t="s">
        <v>717</v>
      </c>
      <c r="AM1349" t="s">
        <v>10</v>
      </c>
      <c r="AN1349" t="s">
        <v>717</v>
      </c>
    </row>
    <row r="1350" spans="1:40" hidden="1">
      <c r="A1350">
        <v>1348</v>
      </c>
      <c r="B1350">
        <v>292</v>
      </c>
      <c r="C1350" s="58">
        <v>44784</v>
      </c>
      <c r="D1350" t="s">
        <v>27</v>
      </c>
      <c r="E1350" t="s">
        <v>5079</v>
      </c>
      <c r="F1350">
        <v>1</v>
      </c>
      <c r="G1350">
        <v>20</v>
      </c>
      <c r="H1350">
        <v>791</v>
      </c>
      <c r="I1350">
        <v>1</v>
      </c>
      <c r="J1350">
        <v>42.52</v>
      </c>
      <c r="K1350" t="s">
        <v>25</v>
      </c>
      <c r="L1350">
        <v>3089250</v>
      </c>
      <c r="M1350">
        <v>0</v>
      </c>
      <c r="N1350">
        <v>3089250</v>
      </c>
      <c r="O1350">
        <v>72654.045155221072</v>
      </c>
      <c r="P1350">
        <v>0</v>
      </c>
      <c r="Q1350">
        <v>3089250</v>
      </c>
      <c r="R1350">
        <v>72654.045155221072</v>
      </c>
      <c r="S1350" t="s">
        <v>130</v>
      </c>
      <c r="T1350" t="s">
        <v>717</v>
      </c>
      <c r="U1350" t="s">
        <v>717</v>
      </c>
      <c r="V1350" t="s">
        <v>717</v>
      </c>
      <c r="W1350">
        <v>44781</v>
      </c>
      <c r="X1350" t="s">
        <v>6670</v>
      </c>
      <c r="Y1350" t="s">
        <v>6642</v>
      </c>
      <c r="Z1350" t="s">
        <v>17</v>
      </c>
      <c r="AA1350" t="s">
        <v>717</v>
      </c>
      <c r="AB1350" t="s">
        <v>2509</v>
      </c>
      <c r="AC1350" t="s">
        <v>717</v>
      </c>
      <c r="AD1350" t="s">
        <v>717</v>
      </c>
      <c r="AE1350" t="s">
        <v>6643</v>
      </c>
      <c r="AF1350" t="s">
        <v>717</v>
      </c>
      <c r="AG1350" t="s">
        <v>717</v>
      </c>
      <c r="AH1350" t="s">
        <v>717</v>
      </c>
      <c r="AI1350" t="s">
        <v>6644</v>
      </c>
      <c r="AJ1350" t="s">
        <v>6645</v>
      </c>
      <c r="AK1350" t="s">
        <v>29</v>
      </c>
      <c r="AL1350" t="s">
        <v>717</v>
      </c>
      <c r="AM1350" t="s">
        <v>10</v>
      </c>
      <c r="AN1350" t="s">
        <v>717</v>
      </c>
    </row>
    <row r="1351" spans="1:40" hidden="1">
      <c r="A1351">
        <v>1349</v>
      </c>
      <c r="B1351">
        <v>293</v>
      </c>
      <c r="C1351" s="58">
        <v>44784</v>
      </c>
      <c r="D1351" t="s">
        <v>27</v>
      </c>
      <c r="E1351" t="s">
        <v>5079</v>
      </c>
      <c r="F1351">
        <v>2</v>
      </c>
      <c r="G1351">
        <v>20</v>
      </c>
      <c r="H1351">
        <v>792</v>
      </c>
      <c r="I1351">
        <v>4</v>
      </c>
      <c r="J1351">
        <v>100.26</v>
      </c>
      <c r="K1351" t="s">
        <v>25</v>
      </c>
      <c r="L1351">
        <v>7324500</v>
      </c>
      <c r="M1351">
        <v>0</v>
      </c>
      <c r="N1351">
        <v>7324500</v>
      </c>
      <c r="O1351">
        <v>73055.056852184323</v>
      </c>
      <c r="P1351">
        <v>0</v>
      </c>
      <c r="Q1351">
        <v>7324500</v>
      </c>
      <c r="R1351">
        <v>73055.056852184323</v>
      </c>
      <c r="S1351" t="s">
        <v>130</v>
      </c>
      <c r="T1351" t="s">
        <v>717</v>
      </c>
      <c r="U1351" t="s">
        <v>717</v>
      </c>
      <c r="V1351" t="s">
        <v>717</v>
      </c>
      <c r="W1351">
        <v>44781</v>
      </c>
      <c r="X1351" t="s">
        <v>6670</v>
      </c>
      <c r="Y1351" t="s">
        <v>6642</v>
      </c>
      <c r="Z1351" t="s">
        <v>17</v>
      </c>
      <c r="AA1351" t="s">
        <v>717</v>
      </c>
      <c r="AB1351" t="s">
        <v>2509</v>
      </c>
      <c r="AC1351" t="s">
        <v>717</v>
      </c>
      <c r="AD1351" t="s">
        <v>717</v>
      </c>
      <c r="AE1351" t="s">
        <v>6643</v>
      </c>
      <c r="AF1351" t="s">
        <v>717</v>
      </c>
      <c r="AG1351" t="s">
        <v>717</v>
      </c>
      <c r="AH1351" t="s">
        <v>717</v>
      </c>
      <c r="AI1351" t="s">
        <v>6644</v>
      </c>
      <c r="AJ1351" t="s">
        <v>6645</v>
      </c>
      <c r="AK1351" t="s">
        <v>29</v>
      </c>
      <c r="AL1351" t="s">
        <v>717</v>
      </c>
      <c r="AM1351" t="s">
        <v>10</v>
      </c>
      <c r="AN1351" t="s">
        <v>717</v>
      </c>
    </row>
    <row r="1352" spans="1:40" hidden="1">
      <c r="A1352">
        <v>1350</v>
      </c>
      <c r="B1352">
        <v>294</v>
      </c>
      <c r="C1352" s="58">
        <v>44784</v>
      </c>
      <c r="D1352" t="s">
        <v>27</v>
      </c>
      <c r="E1352" t="s">
        <v>5079</v>
      </c>
      <c r="F1352">
        <v>5</v>
      </c>
      <c r="G1352">
        <v>20</v>
      </c>
      <c r="H1352">
        <v>795</v>
      </c>
      <c r="I1352">
        <v>2</v>
      </c>
      <c r="J1352">
        <v>61.96</v>
      </c>
      <c r="K1352" t="s">
        <v>25</v>
      </c>
      <c r="L1352">
        <v>4548000</v>
      </c>
      <c r="M1352">
        <v>0</v>
      </c>
      <c r="N1352">
        <v>4548000</v>
      </c>
      <c r="O1352">
        <v>73402.194964493217</v>
      </c>
      <c r="P1352">
        <v>0</v>
      </c>
      <c r="Q1352">
        <v>4548000</v>
      </c>
      <c r="R1352">
        <v>73402.194964493217</v>
      </c>
      <c r="S1352" t="s">
        <v>130</v>
      </c>
      <c r="T1352" t="s">
        <v>717</v>
      </c>
      <c r="U1352" t="s">
        <v>717</v>
      </c>
      <c r="V1352" t="s">
        <v>717</v>
      </c>
      <c r="W1352">
        <v>44781</v>
      </c>
      <c r="X1352" t="s">
        <v>6670</v>
      </c>
      <c r="Y1352" t="s">
        <v>6642</v>
      </c>
      <c r="Z1352" t="s">
        <v>17</v>
      </c>
      <c r="AA1352" t="s">
        <v>717</v>
      </c>
      <c r="AB1352" t="s">
        <v>2509</v>
      </c>
      <c r="AC1352" t="s">
        <v>717</v>
      </c>
      <c r="AD1352" t="s">
        <v>717</v>
      </c>
      <c r="AE1352" t="s">
        <v>6643</v>
      </c>
      <c r="AF1352" t="s">
        <v>717</v>
      </c>
      <c r="AG1352" t="s">
        <v>717</v>
      </c>
      <c r="AH1352" t="s">
        <v>717</v>
      </c>
      <c r="AI1352" t="s">
        <v>6644</v>
      </c>
      <c r="AJ1352" t="s">
        <v>6645</v>
      </c>
      <c r="AK1352" t="s">
        <v>29</v>
      </c>
      <c r="AL1352" t="s">
        <v>717</v>
      </c>
      <c r="AM1352" t="s">
        <v>10</v>
      </c>
      <c r="AN1352" t="s">
        <v>717</v>
      </c>
    </row>
    <row r="1353" spans="1:40" hidden="1">
      <c r="A1353">
        <v>1351</v>
      </c>
      <c r="B1353">
        <v>295</v>
      </c>
      <c r="C1353" s="58">
        <v>44784</v>
      </c>
      <c r="D1353" t="s">
        <v>27</v>
      </c>
      <c r="E1353" t="s">
        <v>5079</v>
      </c>
      <c r="F1353">
        <v>6</v>
      </c>
      <c r="G1353">
        <v>20</v>
      </c>
      <c r="H1353">
        <v>796</v>
      </c>
      <c r="I1353">
        <v>1</v>
      </c>
      <c r="J1353">
        <v>38.909999999999997</v>
      </c>
      <c r="K1353" t="s">
        <v>25</v>
      </c>
      <c r="L1353">
        <v>2817000</v>
      </c>
      <c r="M1353">
        <v>0</v>
      </c>
      <c r="N1353">
        <v>2817000</v>
      </c>
      <c r="O1353">
        <v>72397.841171935244</v>
      </c>
      <c r="P1353">
        <v>0</v>
      </c>
      <c r="Q1353">
        <v>2817000</v>
      </c>
      <c r="R1353">
        <v>72397.841171935244</v>
      </c>
      <c r="S1353" t="s">
        <v>130</v>
      </c>
      <c r="T1353" t="s">
        <v>717</v>
      </c>
      <c r="U1353" t="s">
        <v>717</v>
      </c>
      <c r="V1353" t="s">
        <v>717</v>
      </c>
      <c r="W1353">
        <v>44781</v>
      </c>
      <c r="X1353" t="s">
        <v>6670</v>
      </c>
      <c r="Y1353" t="s">
        <v>6642</v>
      </c>
      <c r="Z1353" t="s">
        <v>17</v>
      </c>
      <c r="AA1353" t="s">
        <v>717</v>
      </c>
      <c r="AB1353" t="s">
        <v>2509</v>
      </c>
      <c r="AC1353" t="s">
        <v>717</v>
      </c>
      <c r="AD1353" t="s">
        <v>717</v>
      </c>
      <c r="AE1353" t="s">
        <v>6643</v>
      </c>
      <c r="AF1353" t="s">
        <v>717</v>
      </c>
      <c r="AG1353" t="s">
        <v>717</v>
      </c>
      <c r="AH1353" t="s">
        <v>717</v>
      </c>
      <c r="AI1353" t="s">
        <v>6644</v>
      </c>
      <c r="AJ1353" t="s">
        <v>6645</v>
      </c>
      <c r="AK1353" t="s">
        <v>29</v>
      </c>
      <c r="AL1353" t="s">
        <v>717</v>
      </c>
      <c r="AM1353" t="s">
        <v>10</v>
      </c>
      <c r="AN1353" t="s">
        <v>717</v>
      </c>
    </row>
    <row r="1354" spans="1:40" hidden="1">
      <c r="A1354">
        <v>1352</v>
      </c>
      <c r="B1354">
        <v>296</v>
      </c>
      <c r="C1354" s="58">
        <v>44784</v>
      </c>
      <c r="D1354" t="s">
        <v>27</v>
      </c>
      <c r="E1354" t="s">
        <v>5079</v>
      </c>
      <c r="F1354">
        <v>7</v>
      </c>
      <c r="G1354">
        <v>20</v>
      </c>
      <c r="H1354">
        <v>797</v>
      </c>
      <c r="I1354">
        <v>2</v>
      </c>
      <c r="J1354">
        <v>62.38</v>
      </c>
      <c r="K1354" t="s">
        <v>25</v>
      </c>
      <c r="L1354">
        <v>4483500</v>
      </c>
      <c r="M1354">
        <v>0</v>
      </c>
      <c r="N1354">
        <v>4483500</v>
      </c>
      <c r="O1354">
        <v>71873.99807630651</v>
      </c>
      <c r="P1354">
        <v>0</v>
      </c>
      <c r="Q1354">
        <v>4483500</v>
      </c>
      <c r="R1354">
        <v>71873.99807630651</v>
      </c>
      <c r="S1354" t="s">
        <v>130</v>
      </c>
      <c r="T1354" t="s">
        <v>717</v>
      </c>
      <c r="U1354" t="s">
        <v>717</v>
      </c>
      <c r="V1354" t="s">
        <v>717</v>
      </c>
      <c r="W1354">
        <v>44781</v>
      </c>
      <c r="X1354" t="s">
        <v>6670</v>
      </c>
      <c r="Y1354" t="s">
        <v>6642</v>
      </c>
      <c r="Z1354" t="s">
        <v>17</v>
      </c>
      <c r="AA1354" t="s">
        <v>717</v>
      </c>
      <c r="AB1354" t="s">
        <v>2509</v>
      </c>
      <c r="AC1354" t="s">
        <v>717</v>
      </c>
      <c r="AD1354" t="s">
        <v>717</v>
      </c>
      <c r="AE1354" t="s">
        <v>6643</v>
      </c>
      <c r="AF1354" t="s">
        <v>717</v>
      </c>
      <c r="AG1354" t="s">
        <v>717</v>
      </c>
      <c r="AH1354" t="s">
        <v>717</v>
      </c>
      <c r="AI1354" t="s">
        <v>6644</v>
      </c>
      <c r="AJ1354" t="s">
        <v>6645</v>
      </c>
      <c r="AK1354" t="s">
        <v>29</v>
      </c>
      <c r="AL1354" t="s">
        <v>717</v>
      </c>
      <c r="AM1354" t="s">
        <v>10</v>
      </c>
      <c r="AN1354" t="s">
        <v>717</v>
      </c>
    </row>
    <row r="1355" spans="1:40" hidden="1">
      <c r="A1355">
        <v>1353</v>
      </c>
      <c r="B1355">
        <v>297</v>
      </c>
      <c r="C1355" s="58">
        <v>44784</v>
      </c>
      <c r="D1355" t="s">
        <v>27</v>
      </c>
      <c r="E1355" t="s">
        <v>5079</v>
      </c>
      <c r="F1355">
        <v>8</v>
      </c>
      <c r="G1355">
        <v>20</v>
      </c>
      <c r="H1355">
        <v>798</v>
      </c>
      <c r="I1355">
        <v>1</v>
      </c>
      <c r="J1355">
        <v>42.62</v>
      </c>
      <c r="K1355" t="s">
        <v>25</v>
      </c>
      <c r="L1355">
        <v>3096750</v>
      </c>
      <c r="M1355">
        <v>0</v>
      </c>
      <c r="N1355">
        <v>3096750</v>
      </c>
      <c r="O1355">
        <v>72659.549507273579</v>
      </c>
      <c r="P1355">
        <v>0</v>
      </c>
      <c r="Q1355">
        <v>3096750</v>
      </c>
      <c r="R1355">
        <v>72659.549507273579</v>
      </c>
      <c r="S1355" t="s">
        <v>130</v>
      </c>
      <c r="T1355" t="s">
        <v>717</v>
      </c>
      <c r="U1355" t="s">
        <v>717</v>
      </c>
      <c r="V1355" t="s">
        <v>717</v>
      </c>
      <c r="W1355">
        <v>44781</v>
      </c>
      <c r="X1355" t="s">
        <v>6670</v>
      </c>
      <c r="Y1355" t="s">
        <v>6642</v>
      </c>
      <c r="Z1355" t="s">
        <v>17</v>
      </c>
      <c r="AA1355" t="s">
        <v>717</v>
      </c>
      <c r="AB1355" t="s">
        <v>2509</v>
      </c>
      <c r="AC1355" t="s">
        <v>717</v>
      </c>
      <c r="AD1355" t="s">
        <v>717</v>
      </c>
      <c r="AE1355" t="s">
        <v>6643</v>
      </c>
      <c r="AF1355" t="s">
        <v>717</v>
      </c>
      <c r="AG1355" t="s">
        <v>717</v>
      </c>
      <c r="AH1355" t="s">
        <v>717</v>
      </c>
      <c r="AI1355" t="s">
        <v>6644</v>
      </c>
      <c r="AJ1355" t="s">
        <v>6645</v>
      </c>
      <c r="AK1355" t="s">
        <v>29</v>
      </c>
      <c r="AL1355" t="s">
        <v>717</v>
      </c>
      <c r="AM1355" t="s">
        <v>10</v>
      </c>
      <c r="AN1355" t="s">
        <v>717</v>
      </c>
    </row>
    <row r="1356" spans="1:40" hidden="1">
      <c r="A1356">
        <v>1354</v>
      </c>
      <c r="B1356">
        <v>298</v>
      </c>
      <c r="C1356" s="58">
        <v>44784</v>
      </c>
      <c r="D1356" t="s">
        <v>27</v>
      </c>
      <c r="E1356" t="s">
        <v>5079</v>
      </c>
      <c r="F1356">
        <v>1</v>
      </c>
      <c r="G1356">
        <v>21</v>
      </c>
      <c r="H1356">
        <v>799</v>
      </c>
      <c r="I1356">
        <v>1</v>
      </c>
      <c r="J1356">
        <v>42.52</v>
      </c>
      <c r="K1356" t="s">
        <v>25</v>
      </c>
      <c r="L1356">
        <v>3089250</v>
      </c>
      <c r="M1356">
        <v>0</v>
      </c>
      <c r="N1356">
        <v>3089250</v>
      </c>
      <c r="O1356">
        <v>72654.045155221072</v>
      </c>
      <c r="P1356">
        <v>0</v>
      </c>
      <c r="Q1356">
        <v>3089250</v>
      </c>
      <c r="R1356">
        <v>72654.045155221072</v>
      </c>
      <c r="S1356" t="s">
        <v>130</v>
      </c>
      <c r="T1356" t="s">
        <v>717</v>
      </c>
      <c r="U1356" t="s">
        <v>717</v>
      </c>
      <c r="V1356" t="s">
        <v>717</v>
      </c>
      <c r="W1356">
        <v>44781</v>
      </c>
      <c r="X1356" t="s">
        <v>6670</v>
      </c>
      <c r="Y1356" t="s">
        <v>6642</v>
      </c>
      <c r="Z1356" t="s">
        <v>17</v>
      </c>
      <c r="AA1356" t="s">
        <v>717</v>
      </c>
      <c r="AB1356" t="s">
        <v>2509</v>
      </c>
      <c r="AC1356" t="s">
        <v>717</v>
      </c>
      <c r="AD1356" t="s">
        <v>717</v>
      </c>
      <c r="AE1356" t="s">
        <v>6643</v>
      </c>
      <c r="AF1356" t="s">
        <v>717</v>
      </c>
      <c r="AG1356" t="s">
        <v>717</v>
      </c>
      <c r="AH1356" t="s">
        <v>717</v>
      </c>
      <c r="AI1356" t="s">
        <v>6644</v>
      </c>
      <c r="AJ1356" t="s">
        <v>6645</v>
      </c>
      <c r="AK1356" t="s">
        <v>29</v>
      </c>
      <c r="AL1356" t="s">
        <v>717</v>
      </c>
      <c r="AM1356" t="s">
        <v>10</v>
      </c>
      <c r="AN1356" t="s">
        <v>717</v>
      </c>
    </row>
    <row r="1357" spans="1:40" hidden="1">
      <c r="A1357">
        <v>1355</v>
      </c>
      <c r="B1357">
        <v>299</v>
      </c>
      <c r="C1357" s="58">
        <v>44784</v>
      </c>
      <c r="D1357" t="s">
        <v>27</v>
      </c>
      <c r="E1357" t="s">
        <v>5079</v>
      </c>
      <c r="F1357">
        <v>2</v>
      </c>
      <c r="G1357">
        <v>21</v>
      </c>
      <c r="H1357">
        <v>800</v>
      </c>
      <c r="I1357">
        <v>4</v>
      </c>
      <c r="J1357">
        <v>100.26</v>
      </c>
      <c r="K1357" t="s">
        <v>25</v>
      </c>
      <c r="L1357">
        <v>7324500</v>
      </c>
      <c r="M1357">
        <v>0</v>
      </c>
      <c r="N1357">
        <v>7324500</v>
      </c>
      <c r="O1357">
        <v>73055.056852184323</v>
      </c>
      <c r="P1357">
        <v>0</v>
      </c>
      <c r="Q1357">
        <v>7324500</v>
      </c>
      <c r="R1357">
        <v>73055.056852184323</v>
      </c>
      <c r="S1357" t="s">
        <v>130</v>
      </c>
      <c r="T1357" t="s">
        <v>717</v>
      </c>
      <c r="U1357" t="s">
        <v>717</v>
      </c>
      <c r="V1357" t="s">
        <v>717</v>
      </c>
      <c r="W1357">
        <v>44781</v>
      </c>
      <c r="X1357" t="s">
        <v>6670</v>
      </c>
      <c r="Y1357" t="s">
        <v>6642</v>
      </c>
      <c r="Z1357" t="s">
        <v>17</v>
      </c>
      <c r="AA1357" t="s">
        <v>717</v>
      </c>
      <c r="AB1357" t="s">
        <v>2509</v>
      </c>
      <c r="AC1357" t="s">
        <v>717</v>
      </c>
      <c r="AD1357" t="s">
        <v>717</v>
      </c>
      <c r="AE1357" t="s">
        <v>6643</v>
      </c>
      <c r="AF1357" t="s">
        <v>717</v>
      </c>
      <c r="AG1357" t="s">
        <v>717</v>
      </c>
      <c r="AH1357" t="s">
        <v>717</v>
      </c>
      <c r="AI1357" t="s">
        <v>6644</v>
      </c>
      <c r="AJ1357" t="s">
        <v>6645</v>
      </c>
      <c r="AK1357" t="s">
        <v>29</v>
      </c>
      <c r="AL1357" t="s">
        <v>717</v>
      </c>
      <c r="AM1357" t="s">
        <v>10</v>
      </c>
      <c r="AN1357" t="s">
        <v>717</v>
      </c>
    </row>
    <row r="1358" spans="1:40" hidden="1">
      <c r="A1358">
        <v>1356</v>
      </c>
      <c r="B1358">
        <v>300</v>
      </c>
      <c r="C1358" s="58">
        <v>44784</v>
      </c>
      <c r="D1358" t="s">
        <v>27</v>
      </c>
      <c r="E1358" t="s">
        <v>5079</v>
      </c>
      <c r="F1358">
        <v>4</v>
      </c>
      <c r="G1358">
        <v>21</v>
      </c>
      <c r="H1358">
        <v>802</v>
      </c>
      <c r="I1358">
        <v>1</v>
      </c>
      <c r="J1358">
        <v>38.92</v>
      </c>
      <c r="K1358" t="s">
        <v>25</v>
      </c>
      <c r="L1358">
        <v>2814750</v>
      </c>
      <c r="M1358">
        <v>0</v>
      </c>
      <c r="N1358">
        <v>2814750</v>
      </c>
      <c r="O1358">
        <v>72321.428571428565</v>
      </c>
      <c r="P1358">
        <v>0</v>
      </c>
      <c r="Q1358">
        <v>2814750</v>
      </c>
      <c r="R1358">
        <v>72321.428571428565</v>
      </c>
      <c r="S1358" t="s">
        <v>130</v>
      </c>
      <c r="T1358" t="s">
        <v>717</v>
      </c>
      <c r="U1358" t="s">
        <v>717</v>
      </c>
      <c r="V1358" t="s">
        <v>717</v>
      </c>
      <c r="W1358">
        <v>44781</v>
      </c>
      <c r="X1358" t="s">
        <v>6670</v>
      </c>
      <c r="Y1358" t="s">
        <v>6642</v>
      </c>
      <c r="Z1358" t="s">
        <v>17</v>
      </c>
      <c r="AA1358" t="s">
        <v>717</v>
      </c>
      <c r="AB1358" t="s">
        <v>2509</v>
      </c>
      <c r="AC1358" t="s">
        <v>717</v>
      </c>
      <c r="AD1358" t="s">
        <v>717</v>
      </c>
      <c r="AE1358" t="s">
        <v>6643</v>
      </c>
      <c r="AF1358" t="s">
        <v>717</v>
      </c>
      <c r="AG1358" t="s">
        <v>717</v>
      </c>
      <c r="AH1358" t="s">
        <v>717</v>
      </c>
      <c r="AI1358" t="s">
        <v>6644</v>
      </c>
      <c r="AJ1358" t="s">
        <v>6645</v>
      </c>
      <c r="AK1358" t="s">
        <v>29</v>
      </c>
      <c r="AL1358" t="s">
        <v>717</v>
      </c>
      <c r="AM1358" t="s">
        <v>10</v>
      </c>
      <c r="AN1358" t="s">
        <v>717</v>
      </c>
    </row>
    <row r="1359" spans="1:40" hidden="1">
      <c r="A1359">
        <v>1357</v>
      </c>
      <c r="B1359">
        <v>301</v>
      </c>
      <c r="C1359" s="58">
        <v>44784</v>
      </c>
      <c r="D1359" t="s">
        <v>27</v>
      </c>
      <c r="E1359" t="s">
        <v>5079</v>
      </c>
      <c r="F1359">
        <v>6</v>
      </c>
      <c r="G1359">
        <v>21</v>
      </c>
      <c r="H1359">
        <v>804</v>
      </c>
      <c r="I1359">
        <v>1</v>
      </c>
      <c r="J1359">
        <v>38.909999999999997</v>
      </c>
      <c r="K1359" t="s">
        <v>25</v>
      </c>
      <c r="L1359">
        <v>2817000</v>
      </c>
      <c r="M1359">
        <v>0</v>
      </c>
      <c r="N1359">
        <v>2817000</v>
      </c>
      <c r="O1359">
        <v>72397.841171935244</v>
      </c>
      <c r="P1359">
        <v>0</v>
      </c>
      <c r="Q1359">
        <v>2817000</v>
      </c>
      <c r="R1359">
        <v>72397.841171935244</v>
      </c>
      <c r="S1359" t="s">
        <v>130</v>
      </c>
      <c r="T1359" t="s">
        <v>717</v>
      </c>
      <c r="U1359" t="s">
        <v>717</v>
      </c>
      <c r="V1359" t="s">
        <v>717</v>
      </c>
      <c r="W1359">
        <v>44781</v>
      </c>
      <c r="X1359" t="s">
        <v>6670</v>
      </c>
      <c r="Y1359" t="s">
        <v>6642</v>
      </c>
      <c r="Z1359" t="s">
        <v>17</v>
      </c>
      <c r="AA1359" t="s">
        <v>717</v>
      </c>
      <c r="AB1359" t="s">
        <v>2509</v>
      </c>
      <c r="AC1359" t="s">
        <v>717</v>
      </c>
      <c r="AD1359" t="s">
        <v>717</v>
      </c>
      <c r="AE1359" t="s">
        <v>6643</v>
      </c>
      <c r="AF1359" t="s">
        <v>717</v>
      </c>
      <c r="AG1359" t="s">
        <v>717</v>
      </c>
      <c r="AH1359" t="s">
        <v>717</v>
      </c>
      <c r="AI1359" t="s">
        <v>6644</v>
      </c>
      <c r="AJ1359" t="s">
        <v>6645</v>
      </c>
      <c r="AK1359" t="s">
        <v>29</v>
      </c>
      <c r="AL1359" t="s">
        <v>717</v>
      </c>
      <c r="AM1359" t="s">
        <v>10</v>
      </c>
      <c r="AN1359" t="s">
        <v>717</v>
      </c>
    </row>
    <row r="1360" spans="1:40" hidden="1">
      <c r="A1360">
        <v>1358</v>
      </c>
      <c r="B1360">
        <v>302</v>
      </c>
      <c r="C1360" s="58">
        <v>44784</v>
      </c>
      <c r="D1360" t="s">
        <v>27</v>
      </c>
      <c r="E1360" t="s">
        <v>5079</v>
      </c>
      <c r="F1360">
        <v>7</v>
      </c>
      <c r="G1360">
        <v>21</v>
      </c>
      <c r="H1360">
        <v>805</v>
      </c>
      <c r="I1360">
        <v>2</v>
      </c>
      <c r="J1360">
        <v>62.38</v>
      </c>
      <c r="K1360" t="s">
        <v>25</v>
      </c>
      <c r="L1360">
        <v>4483500</v>
      </c>
      <c r="M1360">
        <v>0</v>
      </c>
      <c r="N1360">
        <v>4483500</v>
      </c>
      <c r="O1360">
        <v>71873.99807630651</v>
      </c>
      <c r="P1360">
        <v>0</v>
      </c>
      <c r="Q1360">
        <v>4483500</v>
      </c>
      <c r="R1360">
        <v>71873.99807630651</v>
      </c>
      <c r="S1360" t="s">
        <v>130</v>
      </c>
      <c r="T1360" t="s">
        <v>717</v>
      </c>
      <c r="U1360" t="s">
        <v>717</v>
      </c>
      <c r="V1360" t="s">
        <v>717</v>
      </c>
      <c r="W1360">
        <v>44781</v>
      </c>
      <c r="X1360" t="s">
        <v>6670</v>
      </c>
      <c r="Y1360" t="s">
        <v>6642</v>
      </c>
      <c r="Z1360" t="s">
        <v>17</v>
      </c>
      <c r="AA1360" t="s">
        <v>717</v>
      </c>
      <c r="AB1360" t="s">
        <v>2509</v>
      </c>
      <c r="AC1360" t="s">
        <v>717</v>
      </c>
      <c r="AD1360" t="s">
        <v>717</v>
      </c>
      <c r="AE1360" t="s">
        <v>6643</v>
      </c>
      <c r="AF1360" t="s">
        <v>717</v>
      </c>
      <c r="AG1360" t="s">
        <v>717</v>
      </c>
      <c r="AH1360" t="s">
        <v>717</v>
      </c>
      <c r="AI1360" t="s">
        <v>6644</v>
      </c>
      <c r="AJ1360" t="s">
        <v>6645</v>
      </c>
      <c r="AK1360" t="s">
        <v>29</v>
      </c>
      <c r="AL1360" t="s">
        <v>717</v>
      </c>
      <c r="AM1360" t="s">
        <v>10</v>
      </c>
      <c r="AN1360" t="s">
        <v>717</v>
      </c>
    </row>
    <row r="1361" spans="1:40" hidden="1">
      <c r="A1361">
        <v>1359</v>
      </c>
      <c r="B1361">
        <v>303</v>
      </c>
      <c r="C1361" s="58">
        <v>44784</v>
      </c>
      <c r="D1361" t="s">
        <v>27</v>
      </c>
      <c r="E1361" t="s">
        <v>5079</v>
      </c>
      <c r="F1361">
        <v>8</v>
      </c>
      <c r="G1361">
        <v>21</v>
      </c>
      <c r="H1361">
        <v>806</v>
      </c>
      <c r="I1361">
        <v>1</v>
      </c>
      <c r="J1361">
        <v>42.62</v>
      </c>
      <c r="K1361" t="s">
        <v>25</v>
      </c>
      <c r="L1361">
        <v>3096750</v>
      </c>
      <c r="M1361">
        <v>0</v>
      </c>
      <c r="N1361">
        <v>3096750</v>
      </c>
      <c r="O1361">
        <v>72659.549507273579</v>
      </c>
      <c r="P1361">
        <v>0</v>
      </c>
      <c r="Q1361">
        <v>3096750</v>
      </c>
      <c r="R1361">
        <v>72659.549507273579</v>
      </c>
      <c r="S1361" t="s">
        <v>130</v>
      </c>
      <c r="T1361" t="s">
        <v>717</v>
      </c>
      <c r="U1361" t="s">
        <v>717</v>
      </c>
      <c r="V1361" t="s">
        <v>717</v>
      </c>
      <c r="W1361">
        <v>44781</v>
      </c>
      <c r="X1361" t="s">
        <v>6670</v>
      </c>
      <c r="Y1361" t="s">
        <v>6642</v>
      </c>
      <c r="Z1361" t="s">
        <v>17</v>
      </c>
      <c r="AA1361" t="s">
        <v>717</v>
      </c>
      <c r="AB1361" t="s">
        <v>2509</v>
      </c>
      <c r="AC1361" t="s">
        <v>717</v>
      </c>
      <c r="AD1361" t="s">
        <v>717</v>
      </c>
      <c r="AE1361" t="s">
        <v>6643</v>
      </c>
      <c r="AF1361" t="s">
        <v>717</v>
      </c>
      <c r="AG1361" t="s">
        <v>717</v>
      </c>
      <c r="AH1361" t="s">
        <v>717</v>
      </c>
      <c r="AI1361" t="s">
        <v>6644</v>
      </c>
      <c r="AJ1361" t="s">
        <v>6645</v>
      </c>
      <c r="AK1361" t="s">
        <v>29</v>
      </c>
      <c r="AL1361" t="s">
        <v>717</v>
      </c>
      <c r="AM1361" t="s">
        <v>10</v>
      </c>
      <c r="AN1361" t="s">
        <v>717</v>
      </c>
    </row>
    <row r="1362" spans="1:40" hidden="1">
      <c r="A1362">
        <v>1360</v>
      </c>
      <c r="B1362">
        <v>304</v>
      </c>
      <c r="C1362" s="58">
        <v>44784</v>
      </c>
      <c r="D1362" t="s">
        <v>27</v>
      </c>
      <c r="E1362" t="s">
        <v>5079</v>
      </c>
      <c r="F1362">
        <v>1</v>
      </c>
      <c r="G1362">
        <v>22</v>
      </c>
      <c r="H1362">
        <v>807</v>
      </c>
      <c r="I1362">
        <v>1</v>
      </c>
      <c r="J1362">
        <v>42.52</v>
      </c>
      <c r="K1362" t="s">
        <v>25</v>
      </c>
      <c r="L1362">
        <v>3089250</v>
      </c>
      <c r="M1362">
        <v>0</v>
      </c>
      <c r="N1362">
        <v>3089250</v>
      </c>
      <c r="O1362">
        <v>72654.045155221072</v>
      </c>
      <c r="P1362">
        <v>0</v>
      </c>
      <c r="Q1362">
        <v>3089250</v>
      </c>
      <c r="R1362">
        <v>72654.045155221072</v>
      </c>
      <c r="S1362" t="s">
        <v>130</v>
      </c>
      <c r="T1362" t="s">
        <v>717</v>
      </c>
      <c r="U1362" t="s">
        <v>717</v>
      </c>
      <c r="V1362" t="s">
        <v>717</v>
      </c>
      <c r="W1362">
        <v>44781</v>
      </c>
      <c r="X1362" t="s">
        <v>6671</v>
      </c>
      <c r="Y1362" t="s">
        <v>6642</v>
      </c>
      <c r="Z1362" t="s">
        <v>17</v>
      </c>
      <c r="AA1362" t="s">
        <v>717</v>
      </c>
      <c r="AB1362" t="s">
        <v>2509</v>
      </c>
      <c r="AC1362" t="s">
        <v>717</v>
      </c>
      <c r="AD1362" t="s">
        <v>717</v>
      </c>
      <c r="AE1362" t="s">
        <v>6643</v>
      </c>
      <c r="AF1362" t="s">
        <v>717</v>
      </c>
      <c r="AG1362" t="s">
        <v>717</v>
      </c>
      <c r="AH1362" t="s">
        <v>717</v>
      </c>
      <c r="AI1362" t="s">
        <v>6644</v>
      </c>
      <c r="AJ1362" t="s">
        <v>6645</v>
      </c>
      <c r="AK1362" t="s">
        <v>29</v>
      </c>
      <c r="AL1362" t="s">
        <v>717</v>
      </c>
      <c r="AM1362" t="s">
        <v>10</v>
      </c>
      <c r="AN1362" t="s">
        <v>717</v>
      </c>
    </row>
    <row r="1363" spans="1:40" hidden="1">
      <c r="A1363">
        <v>1361</v>
      </c>
      <c r="B1363">
        <v>305</v>
      </c>
      <c r="C1363" s="58">
        <v>44784</v>
      </c>
      <c r="D1363" t="s">
        <v>27</v>
      </c>
      <c r="E1363" t="s">
        <v>5079</v>
      </c>
      <c r="F1363">
        <v>2</v>
      </c>
      <c r="G1363">
        <v>22</v>
      </c>
      <c r="H1363">
        <v>808</v>
      </c>
      <c r="I1363">
        <v>4</v>
      </c>
      <c r="J1363">
        <v>100.26</v>
      </c>
      <c r="K1363" t="s">
        <v>25</v>
      </c>
      <c r="L1363">
        <v>7324500</v>
      </c>
      <c r="M1363">
        <v>0</v>
      </c>
      <c r="N1363">
        <v>7324500</v>
      </c>
      <c r="O1363">
        <v>73055.056852184323</v>
      </c>
      <c r="P1363">
        <v>0</v>
      </c>
      <c r="Q1363">
        <v>7324500</v>
      </c>
      <c r="R1363">
        <v>73055.056852184323</v>
      </c>
      <c r="S1363" t="s">
        <v>130</v>
      </c>
      <c r="T1363" t="s">
        <v>717</v>
      </c>
      <c r="U1363" t="s">
        <v>717</v>
      </c>
      <c r="V1363" t="s">
        <v>717</v>
      </c>
      <c r="W1363">
        <v>44781</v>
      </c>
      <c r="X1363" t="s">
        <v>6671</v>
      </c>
      <c r="Y1363" t="s">
        <v>6642</v>
      </c>
      <c r="Z1363" t="s">
        <v>17</v>
      </c>
      <c r="AA1363" t="s">
        <v>717</v>
      </c>
      <c r="AB1363" t="s">
        <v>2509</v>
      </c>
      <c r="AC1363" t="s">
        <v>717</v>
      </c>
      <c r="AD1363" t="s">
        <v>717</v>
      </c>
      <c r="AE1363" t="s">
        <v>6643</v>
      </c>
      <c r="AF1363" t="s">
        <v>717</v>
      </c>
      <c r="AG1363" t="s">
        <v>717</v>
      </c>
      <c r="AH1363" t="s">
        <v>717</v>
      </c>
      <c r="AI1363" t="s">
        <v>6644</v>
      </c>
      <c r="AJ1363" t="s">
        <v>6645</v>
      </c>
      <c r="AK1363" t="s">
        <v>29</v>
      </c>
      <c r="AL1363" t="s">
        <v>717</v>
      </c>
      <c r="AM1363" t="s">
        <v>10</v>
      </c>
      <c r="AN1363" t="s">
        <v>717</v>
      </c>
    </row>
    <row r="1364" spans="1:40" hidden="1">
      <c r="A1364">
        <v>1362</v>
      </c>
      <c r="B1364">
        <v>306</v>
      </c>
      <c r="C1364" s="58">
        <v>44784</v>
      </c>
      <c r="D1364" t="s">
        <v>27</v>
      </c>
      <c r="E1364" t="s">
        <v>5079</v>
      </c>
      <c r="F1364">
        <v>4</v>
      </c>
      <c r="G1364">
        <v>22</v>
      </c>
      <c r="H1364">
        <v>810</v>
      </c>
      <c r="I1364">
        <v>1</v>
      </c>
      <c r="J1364">
        <v>38.92</v>
      </c>
      <c r="K1364" t="s">
        <v>25</v>
      </c>
      <c r="L1364">
        <v>2814750</v>
      </c>
      <c r="M1364">
        <v>0</v>
      </c>
      <c r="N1364">
        <v>2814750</v>
      </c>
      <c r="O1364">
        <v>72321.428571428565</v>
      </c>
      <c r="P1364">
        <v>0</v>
      </c>
      <c r="Q1364">
        <v>2814750</v>
      </c>
      <c r="R1364">
        <v>72321.428571428565</v>
      </c>
      <c r="S1364" t="s">
        <v>130</v>
      </c>
      <c r="T1364" t="s">
        <v>717</v>
      </c>
      <c r="U1364" t="s">
        <v>717</v>
      </c>
      <c r="V1364" t="s">
        <v>717</v>
      </c>
      <c r="W1364">
        <v>44781</v>
      </c>
      <c r="X1364" t="s">
        <v>6671</v>
      </c>
      <c r="Y1364" t="s">
        <v>6642</v>
      </c>
      <c r="Z1364" t="s">
        <v>17</v>
      </c>
      <c r="AA1364" t="s">
        <v>717</v>
      </c>
      <c r="AB1364" t="s">
        <v>2509</v>
      </c>
      <c r="AC1364" t="s">
        <v>717</v>
      </c>
      <c r="AD1364" t="s">
        <v>717</v>
      </c>
      <c r="AE1364" t="s">
        <v>6643</v>
      </c>
      <c r="AF1364" t="s">
        <v>717</v>
      </c>
      <c r="AG1364" t="s">
        <v>717</v>
      </c>
      <c r="AH1364" t="s">
        <v>717</v>
      </c>
      <c r="AI1364" t="s">
        <v>6644</v>
      </c>
      <c r="AJ1364" t="s">
        <v>6645</v>
      </c>
      <c r="AK1364" t="s">
        <v>29</v>
      </c>
      <c r="AL1364" t="s">
        <v>717</v>
      </c>
      <c r="AM1364" t="s">
        <v>10</v>
      </c>
      <c r="AN1364" t="s">
        <v>717</v>
      </c>
    </row>
    <row r="1365" spans="1:40" hidden="1">
      <c r="A1365">
        <v>1363</v>
      </c>
      <c r="B1365">
        <v>307</v>
      </c>
      <c r="C1365" s="58">
        <v>44784</v>
      </c>
      <c r="D1365" t="s">
        <v>27</v>
      </c>
      <c r="E1365" t="s">
        <v>5079</v>
      </c>
      <c r="F1365">
        <v>6</v>
      </c>
      <c r="G1365">
        <v>22</v>
      </c>
      <c r="H1365">
        <v>812</v>
      </c>
      <c r="I1365">
        <v>1</v>
      </c>
      <c r="J1365">
        <v>38.909999999999997</v>
      </c>
      <c r="K1365" t="s">
        <v>25</v>
      </c>
      <c r="L1365">
        <v>2817000</v>
      </c>
      <c r="M1365">
        <v>0</v>
      </c>
      <c r="N1365">
        <v>2817000</v>
      </c>
      <c r="O1365">
        <v>72397.841171935244</v>
      </c>
      <c r="P1365">
        <v>0</v>
      </c>
      <c r="Q1365">
        <v>2817000</v>
      </c>
      <c r="R1365">
        <v>72397.841171935244</v>
      </c>
      <c r="S1365" t="s">
        <v>130</v>
      </c>
      <c r="T1365" t="s">
        <v>717</v>
      </c>
      <c r="U1365" t="s">
        <v>717</v>
      </c>
      <c r="V1365" t="s">
        <v>717</v>
      </c>
      <c r="W1365">
        <v>44781</v>
      </c>
      <c r="X1365" t="s">
        <v>6671</v>
      </c>
      <c r="Y1365" t="s">
        <v>6642</v>
      </c>
      <c r="Z1365" t="s">
        <v>17</v>
      </c>
      <c r="AA1365" t="s">
        <v>717</v>
      </c>
      <c r="AB1365" t="s">
        <v>2509</v>
      </c>
      <c r="AC1365" t="s">
        <v>717</v>
      </c>
      <c r="AD1365" t="s">
        <v>717</v>
      </c>
      <c r="AE1365" t="s">
        <v>6643</v>
      </c>
      <c r="AF1365" t="s">
        <v>717</v>
      </c>
      <c r="AG1365" t="s">
        <v>717</v>
      </c>
      <c r="AH1365" t="s">
        <v>717</v>
      </c>
      <c r="AI1365" t="s">
        <v>6644</v>
      </c>
      <c r="AJ1365" t="s">
        <v>6645</v>
      </c>
      <c r="AK1365" t="s">
        <v>29</v>
      </c>
      <c r="AL1365" t="s">
        <v>717</v>
      </c>
      <c r="AM1365" t="s">
        <v>10</v>
      </c>
      <c r="AN1365" t="s">
        <v>717</v>
      </c>
    </row>
    <row r="1366" spans="1:40" hidden="1">
      <c r="A1366">
        <v>1364</v>
      </c>
      <c r="B1366">
        <v>308</v>
      </c>
      <c r="C1366" s="58">
        <v>44784</v>
      </c>
      <c r="D1366" t="s">
        <v>27</v>
      </c>
      <c r="E1366" t="s">
        <v>5079</v>
      </c>
      <c r="F1366">
        <v>7</v>
      </c>
      <c r="G1366">
        <v>22</v>
      </c>
      <c r="H1366">
        <v>813</v>
      </c>
      <c r="I1366">
        <v>2</v>
      </c>
      <c r="J1366">
        <v>62.38</v>
      </c>
      <c r="K1366" t="s">
        <v>25</v>
      </c>
      <c r="L1366">
        <v>4483500</v>
      </c>
      <c r="M1366">
        <v>0</v>
      </c>
      <c r="N1366">
        <v>4483500</v>
      </c>
      <c r="O1366">
        <v>71873.99807630651</v>
      </c>
      <c r="P1366">
        <v>0</v>
      </c>
      <c r="Q1366">
        <v>4483500</v>
      </c>
      <c r="R1366">
        <v>71873.99807630651</v>
      </c>
      <c r="S1366" t="s">
        <v>130</v>
      </c>
      <c r="T1366" t="s">
        <v>717</v>
      </c>
      <c r="U1366" t="s">
        <v>717</v>
      </c>
      <c r="V1366" t="s">
        <v>717</v>
      </c>
      <c r="W1366">
        <v>44781</v>
      </c>
      <c r="X1366" t="s">
        <v>6671</v>
      </c>
      <c r="Y1366" t="s">
        <v>6642</v>
      </c>
      <c r="Z1366" t="s">
        <v>17</v>
      </c>
      <c r="AA1366" t="s">
        <v>717</v>
      </c>
      <c r="AB1366" t="s">
        <v>2509</v>
      </c>
      <c r="AC1366" t="s">
        <v>717</v>
      </c>
      <c r="AD1366" t="s">
        <v>717</v>
      </c>
      <c r="AE1366" t="s">
        <v>6643</v>
      </c>
      <c r="AF1366" t="s">
        <v>717</v>
      </c>
      <c r="AG1366" t="s">
        <v>717</v>
      </c>
      <c r="AH1366" t="s">
        <v>717</v>
      </c>
      <c r="AI1366" t="s">
        <v>6644</v>
      </c>
      <c r="AJ1366" t="s">
        <v>6645</v>
      </c>
      <c r="AK1366" t="s">
        <v>29</v>
      </c>
      <c r="AL1366" t="s">
        <v>717</v>
      </c>
      <c r="AM1366" t="s">
        <v>10</v>
      </c>
      <c r="AN1366" t="s">
        <v>717</v>
      </c>
    </row>
    <row r="1367" spans="1:40" hidden="1">
      <c r="A1367">
        <v>1365</v>
      </c>
      <c r="B1367">
        <v>309</v>
      </c>
      <c r="C1367" s="58">
        <v>44784</v>
      </c>
      <c r="D1367" t="s">
        <v>27</v>
      </c>
      <c r="E1367" t="s">
        <v>5079</v>
      </c>
      <c r="F1367">
        <v>8</v>
      </c>
      <c r="G1367">
        <v>22</v>
      </c>
      <c r="H1367">
        <v>814</v>
      </c>
      <c r="I1367">
        <v>1</v>
      </c>
      <c r="J1367">
        <v>42.62</v>
      </c>
      <c r="K1367" t="s">
        <v>25</v>
      </c>
      <c r="L1367">
        <v>3096750</v>
      </c>
      <c r="M1367">
        <v>0</v>
      </c>
      <c r="N1367">
        <v>3096750</v>
      </c>
      <c r="O1367">
        <v>72659.549507273579</v>
      </c>
      <c r="P1367">
        <v>0</v>
      </c>
      <c r="Q1367">
        <v>3096750</v>
      </c>
      <c r="R1367">
        <v>72659.549507273579</v>
      </c>
      <c r="S1367" t="s">
        <v>130</v>
      </c>
      <c r="T1367" t="s">
        <v>717</v>
      </c>
      <c r="U1367" t="s">
        <v>717</v>
      </c>
      <c r="V1367" t="s">
        <v>717</v>
      </c>
      <c r="W1367">
        <v>44781</v>
      </c>
      <c r="X1367" t="s">
        <v>6671</v>
      </c>
      <c r="Y1367" t="s">
        <v>6642</v>
      </c>
      <c r="Z1367" t="s">
        <v>17</v>
      </c>
      <c r="AA1367" t="s">
        <v>717</v>
      </c>
      <c r="AB1367" t="s">
        <v>2509</v>
      </c>
      <c r="AC1367" t="s">
        <v>717</v>
      </c>
      <c r="AD1367" t="s">
        <v>717</v>
      </c>
      <c r="AE1367" t="s">
        <v>6643</v>
      </c>
      <c r="AF1367" t="s">
        <v>717</v>
      </c>
      <c r="AG1367" t="s">
        <v>717</v>
      </c>
      <c r="AH1367" t="s">
        <v>717</v>
      </c>
      <c r="AI1367" t="s">
        <v>6644</v>
      </c>
      <c r="AJ1367" t="s">
        <v>6645</v>
      </c>
      <c r="AK1367" t="s">
        <v>29</v>
      </c>
      <c r="AL1367" t="s">
        <v>717</v>
      </c>
      <c r="AM1367" t="s">
        <v>10</v>
      </c>
      <c r="AN1367" t="s">
        <v>717</v>
      </c>
    </row>
    <row r="1368" spans="1:40" hidden="1">
      <c r="A1368">
        <v>1366</v>
      </c>
      <c r="B1368">
        <v>310</v>
      </c>
      <c r="C1368" s="58">
        <v>44784</v>
      </c>
      <c r="D1368" t="s">
        <v>27</v>
      </c>
      <c r="E1368" t="s">
        <v>5079</v>
      </c>
      <c r="F1368">
        <v>1</v>
      </c>
      <c r="G1368">
        <v>23</v>
      </c>
      <c r="H1368">
        <v>815</v>
      </c>
      <c r="I1368">
        <v>1</v>
      </c>
      <c r="J1368">
        <v>42.52</v>
      </c>
      <c r="K1368" t="s">
        <v>25</v>
      </c>
      <c r="L1368">
        <v>3089250</v>
      </c>
      <c r="M1368">
        <v>0</v>
      </c>
      <c r="N1368">
        <v>3089250</v>
      </c>
      <c r="O1368">
        <v>72654.045155221072</v>
      </c>
      <c r="P1368">
        <v>0</v>
      </c>
      <c r="Q1368">
        <v>3089250</v>
      </c>
      <c r="R1368">
        <v>72654.045155221072</v>
      </c>
      <c r="S1368" t="s">
        <v>130</v>
      </c>
      <c r="T1368" t="s">
        <v>717</v>
      </c>
      <c r="U1368" t="s">
        <v>717</v>
      </c>
      <c r="V1368" t="s">
        <v>717</v>
      </c>
      <c r="W1368">
        <v>44781</v>
      </c>
      <c r="X1368" t="s">
        <v>6671</v>
      </c>
      <c r="Y1368" t="s">
        <v>6642</v>
      </c>
      <c r="Z1368" t="s">
        <v>17</v>
      </c>
      <c r="AA1368" t="s">
        <v>717</v>
      </c>
      <c r="AB1368" t="s">
        <v>2509</v>
      </c>
      <c r="AC1368" t="s">
        <v>717</v>
      </c>
      <c r="AD1368" t="s">
        <v>717</v>
      </c>
      <c r="AE1368" t="s">
        <v>6643</v>
      </c>
      <c r="AF1368" t="s">
        <v>717</v>
      </c>
      <c r="AG1368" t="s">
        <v>717</v>
      </c>
      <c r="AH1368" t="s">
        <v>717</v>
      </c>
      <c r="AI1368" t="s">
        <v>6644</v>
      </c>
      <c r="AJ1368" t="s">
        <v>6645</v>
      </c>
      <c r="AK1368" t="s">
        <v>29</v>
      </c>
      <c r="AL1368" t="s">
        <v>717</v>
      </c>
      <c r="AM1368" t="s">
        <v>10</v>
      </c>
      <c r="AN1368" t="s">
        <v>717</v>
      </c>
    </row>
    <row r="1369" spans="1:40" hidden="1">
      <c r="A1369">
        <v>1367</v>
      </c>
      <c r="B1369">
        <v>311</v>
      </c>
      <c r="C1369" s="58">
        <v>44784</v>
      </c>
      <c r="D1369" t="s">
        <v>27</v>
      </c>
      <c r="E1369" t="s">
        <v>5079</v>
      </c>
      <c r="F1369">
        <v>2</v>
      </c>
      <c r="G1369">
        <v>23</v>
      </c>
      <c r="H1369">
        <v>816</v>
      </c>
      <c r="I1369">
        <v>4</v>
      </c>
      <c r="J1369">
        <v>100.26</v>
      </c>
      <c r="K1369" t="s">
        <v>25</v>
      </c>
      <c r="L1369">
        <v>7324500</v>
      </c>
      <c r="M1369">
        <v>0</v>
      </c>
      <c r="N1369">
        <v>7324500</v>
      </c>
      <c r="O1369">
        <v>73055.056852184323</v>
      </c>
      <c r="P1369">
        <v>0</v>
      </c>
      <c r="Q1369">
        <v>7324500</v>
      </c>
      <c r="R1369">
        <v>73055.056852184323</v>
      </c>
      <c r="S1369" t="s">
        <v>130</v>
      </c>
      <c r="T1369" t="s">
        <v>717</v>
      </c>
      <c r="U1369" t="s">
        <v>717</v>
      </c>
      <c r="V1369" t="s">
        <v>717</v>
      </c>
      <c r="W1369">
        <v>44781</v>
      </c>
      <c r="X1369" t="s">
        <v>6671</v>
      </c>
      <c r="Y1369" t="s">
        <v>6642</v>
      </c>
      <c r="Z1369" t="s">
        <v>17</v>
      </c>
      <c r="AA1369" t="s">
        <v>717</v>
      </c>
      <c r="AB1369" t="s">
        <v>2509</v>
      </c>
      <c r="AC1369" t="s">
        <v>717</v>
      </c>
      <c r="AD1369" t="s">
        <v>717</v>
      </c>
      <c r="AE1369" t="s">
        <v>6643</v>
      </c>
      <c r="AF1369" t="s">
        <v>717</v>
      </c>
      <c r="AG1369" t="s">
        <v>717</v>
      </c>
      <c r="AH1369" t="s">
        <v>717</v>
      </c>
      <c r="AI1369" t="s">
        <v>6644</v>
      </c>
      <c r="AJ1369" t="s">
        <v>6645</v>
      </c>
      <c r="AK1369" t="s">
        <v>29</v>
      </c>
      <c r="AL1369" t="s">
        <v>717</v>
      </c>
      <c r="AM1369" t="s">
        <v>10</v>
      </c>
      <c r="AN1369" t="s">
        <v>717</v>
      </c>
    </row>
    <row r="1370" spans="1:40" hidden="1">
      <c r="A1370">
        <v>1368</v>
      </c>
      <c r="B1370">
        <v>312</v>
      </c>
      <c r="C1370" s="58">
        <v>44784</v>
      </c>
      <c r="D1370" t="s">
        <v>27</v>
      </c>
      <c r="E1370" t="s">
        <v>5079</v>
      </c>
      <c r="F1370">
        <v>4</v>
      </c>
      <c r="G1370">
        <v>23</v>
      </c>
      <c r="H1370">
        <v>818</v>
      </c>
      <c r="I1370">
        <v>1</v>
      </c>
      <c r="J1370">
        <v>38.92</v>
      </c>
      <c r="K1370" t="s">
        <v>25</v>
      </c>
      <c r="L1370">
        <v>2814750</v>
      </c>
      <c r="M1370">
        <v>0</v>
      </c>
      <c r="N1370">
        <v>2814750</v>
      </c>
      <c r="O1370">
        <v>72321.428571428565</v>
      </c>
      <c r="P1370">
        <v>0</v>
      </c>
      <c r="Q1370">
        <v>2814750</v>
      </c>
      <c r="R1370">
        <v>72321.428571428565</v>
      </c>
      <c r="S1370" t="s">
        <v>130</v>
      </c>
      <c r="T1370" t="s">
        <v>717</v>
      </c>
      <c r="U1370" t="s">
        <v>717</v>
      </c>
      <c r="V1370" t="s">
        <v>717</v>
      </c>
      <c r="W1370">
        <v>44781</v>
      </c>
      <c r="X1370" t="s">
        <v>6671</v>
      </c>
      <c r="Y1370" t="s">
        <v>6642</v>
      </c>
      <c r="Z1370" t="s">
        <v>17</v>
      </c>
      <c r="AA1370" t="s">
        <v>717</v>
      </c>
      <c r="AB1370" t="s">
        <v>2509</v>
      </c>
      <c r="AC1370" t="s">
        <v>717</v>
      </c>
      <c r="AD1370" t="s">
        <v>717</v>
      </c>
      <c r="AE1370" t="s">
        <v>6643</v>
      </c>
      <c r="AF1370" t="s">
        <v>717</v>
      </c>
      <c r="AG1370" t="s">
        <v>717</v>
      </c>
      <c r="AH1370" t="s">
        <v>717</v>
      </c>
      <c r="AI1370" t="s">
        <v>6644</v>
      </c>
      <c r="AJ1370" t="s">
        <v>6645</v>
      </c>
      <c r="AK1370" t="s">
        <v>29</v>
      </c>
      <c r="AL1370" t="s">
        <v>717</v>
      </c>
      <c r="AM1370" t="s">
        <v>10</v>
      </c>
      <c r="AN1370" t="s">
        <v>717</v>
      </c>
    </row>
    <row r="1371" spans="1:40" hidden="1">
      <c r="A1371">
        <v>1369</v>
      </c>
      <c r="B1371">
        <v>313</v>
      </c>
      <c r="C1371" s="58">
        <v>44784</v>
      </c>
      <c r="D1371" t="s">
        <v>27</v>
      </c>
      <c r="E1371" t="s">
        <v>5079</v>
      </c>
      <c r="F1371">
        <v>5</v>
      </c>
      <c r="G1371">
        <v>23</v>
      </c>
      <c r="H1371">
        <v>819</v>
      </c>
      <c r="I1371">
        <v>2</v>
      </c>
      <c r="J1371">
        <v>61.96</v>
      </c>
      <c r="K1371" t="s">
        <v>25</v>
      </c>
      <c r="L1371">
        <v>4548000</v>
      </c>
      <c r="M1371">
        <v>0</v>
      </c>
      <c r="N1371">
        <v>4548000</v>
      </c>
      <c r="O1371">
        <v>73402.194964493217</v>
      </c>
      <c r="P1371">
        <v>0</v>
      </c>
      <c r="Q1371">
        <v>4548000</v>
      </c>
      <c r="R1371">
        <v>73402.194964493217</v>
      </c>
      <c r="S1371" t="s">
        <v>130</v>
      </c>
      <c r="T1371" t="s">
        <v>717</v>
      </c>
      <c r="U1371" t="s">
        <v>717</v>
      </c>
      <c r="V1371" t="s">
        <v>717</v>
      </c>
      <c r="W1371">
        <v>44781</v>
      </c>
      <c r="X1371" t="s">
        <v>6671</v>
      </c>
      <c r="Y1371" t="s">
        <v>6642</v>
      </c>
      <c r="Z1371" t="s">
        <v>17</v>
      </c>
      <c r="AA1371" t="s">
        <v>717</v>
      </c>
      <c r="AB1371" t="s">
        <v>2509</v>
      </c>
      <c r="AC1371" t="s">
        <v>717</v>
      </c>
      <c r="AD1371" t="s">
        <v>717</v>
      </c>
      <c r="AE1371" t="s">
        <v>6643</v>
      </c>
      <c r="AF1371" t="s">
        <v>717</v>
      </c>
      <c r="AG1371" t="s">
        <v>717</v>
      </c>
      <c r="AH1371" t="s">
        <v>717</v>
      </c>
      <c r="AI1371" t="s">
        <v>6644</v>
      </c>
      <c r="AJ1371" t="s">
        <v>6645</v>
      </c>
      <c r="AK1371" t="s">
        <v>29</v>
      </c>
      <c r="AL1371" t="s">
        <v>717</v>
      </c>
      <c r="AM1371" t="s">
        <v>10</v>
      </c>
      <c r="AN1371" t="s">
        <v>717</v>
      </c>
    </row>
    <row r="1372" spans="1:40" hidden="1">
      <c r="A1372">
        <v>1370</v>
      </c>
      <c r="B1372">
        <v>314</v>
      </c>
      <c r="C1372" s="58">
        <v>44784</v>
      </c>
      <c r="D1372" t="s">
        <v>27</v>
      </c>
      <c r="E1372" t="s">
        <v>5079</v>
      </c>
      <c r="F1372">
        <v>7</v>
      </c>
      <c r="G1372">
        <v>23</v>
      </c>
      <c r="H1372">
        <v>821</v>
      </c>
      <c r="I1372">
        <v>2</v>
      </c>
      <c r="J1372">
        <v>62.38</v>
      </c>
      <c r="K1372" t="s">
        <v>25</v>
      </c>
      <c r="L1372">
        <v>4483500</v>
      </c>
      <c r="M1372">
        <v>0</v>
      </c>
      <c r="N1372">
        <v>4483500</v>
      </c>
      <c r="O1372">
        <v>71873.99807630651</v>
      </c>
      <c r="P1372">
        <v>0</v>
      </c>
      <c r="Q1372">
        <v>4483500</v>
      </c>
      <c r="R1372">
        <v>71873.99807630651</v>
      </c>
      <c r="S1372" t="s">
        <v>130</v>
      </c>
      <c r="T1372" t="s">
        <v>717</v>
      </c>
      <c r="U1372" t="s">
        <v>717</v>
      </c>
      <c r="V1372" t="s">
        <v>717</v>
      </c>
      <c r="W1372">
        <v>44781</v>
      </c>
      <c r="X1372" t="s">
        <v>6671</v>
      </c>
      <c r="Y1372" t="s">
        <v>6642</v>
      </c>
      <c r="Z1372" t="s">
        <v>17</v>
      </c>
      <c r="AA1372" t="s">
        <v>717</v>
      </c>
      <c r="AB1372" t="s">
        <v>2509</v>
      </c>
      <c r="AC1372" t="s">
        <v>717</v>
      </c>
      <c r="AD1372" t="s">
        <v>717</v>
      </c>
      <c r="AE1372" t="s">
        <v>6643</v>
      </c>
      <c r="AF1372" t="s">
        <v>717</v>
      </c>
      <c r="AG1372" t="s">
        <v>717</v>
      </c>
      <c r="AH1372" t="s">
        <v>717</v>
      </c>
      <c r="AI1372" t="s">
        <v>6644</v>
      </c>
      <c r="AJ1372" t="s">
        <v>6645</v>
      </c>
      <c r="AK1372" t="s">
        <v>29</v>
      </c>
      <c r="AL1372" t="s">
        <v>717</v>
      </c>
      <c r="AM1372" t="s">
        <v>10</v>
      </c>
      <c r="AN1372" t="s">
        <v>717</v>
      </c>
    </row>
    <row r="1373" spans="1:40" hidden="1">
      <c r="A1373">
        <v>1371</v>
      </c>
      <c r="B1373">
        <v>315</v>
      </c>
      <c r="C1373" s="58">
        <v>44784</v>
      </c>
      <c r="D1373" t="s">
        <v>27</v>
      </c>
      <c r="E1373" t="s">
        <v>5079</v>
      </c>
      <c r="F1373">
        <v>8</v>
      </c>
      <c r="G1373">
        <v>23</v>
      </c>
      <c r="H1373">
        <v>822</v>
      </c>
      <c r="I1373">
        <v>1</v>
      </c>
      <c r="J1373">
        <v>42.62</v>
      </c>
      <c r="K1373" t="s">
        <v>25</v>
      </c>
      <c r="L1373">
        <v>3096750</v>
      </c>
      <c r="M1373">
        <v>0</v>
      </c>
      <c r="N1373">
        <v>3096750</v>
      </c>
      <c r="O1373">
        <v>72659.549507273579</v>
      </c>
      <c r="P1373">
        <v>0</v>
      </c>
      <c r="Q1373">
        <v>3096750</v>
      </c>
      <c r="R1373">
        <v>72659.549507273579</v>
      </c>
      <c r="S1373" t="s">
        <v>130</v>
      </c>
      <c r="T1373" t="s">
        <v>717</v>
      </c>
      <c r="U1373" t="s">
        <v>717</v>
      </c>
      <c r="V1373" t="s">
        <v>717</v>
      </c>
      <c r="W1373">
        <v>44781</v>
      </c>
      <c r="X1373" t="s">
        <v>6671</v>
      </c>
      <c r="Y1373" t="s">
        <v>6642</v>
      </c>
      <c r="Z1373" t="s">
        <v>17</v>
      </c>
      <c r="AA1373" t="s">
        <v>717</v>
      </c>
      <c r="AB1373" t="s">
        <v>2509</v>
      </c>
      <c r="AC1373" t="s">
        <v>717</v>
      </c>
      <c r="AD1373" t="s">
        <v>717</v>
      </c>
      <c r="AE1373" t="s">
        <v>6643</v>
      </c>
      <c r="AF1373" t="s">
        <v>717</v>
      </c>
      <c r="AG1373" t="s">
        <v>717</v>
      </c>
      <c r="AH1373" t="s">
        <v>717</v>
      </c>
      <c r="AI1373" t="s">
        <v>6644</v>
      </c>
      <c r="AJ1373" t="s">
        <v>6645</v>
      </c>
      <c r="AK1373" t="s">
        <v>29</v>
      </c>
      <c r="AL1373" t="s">
        <v>717</v>
      </c>
      <c r="AM1373" t="s">
        <v>10</v>
      </c>
      <c r="AN1373" t="s">
        <v>717</v>
      </c>
    </row>
    <row r="1374" spans="1:40" hidden="1">
      <c r="A1374">
        <v>1372</v>
      </c>
      <c r="B1374">
        <v>316</v>
      </c>
      <c r="C1374" s="58">
        <v>44784</v>
      </c>
      <c r="D1374" t="s">
        <v>27</v>
      </c>
      <c r="E1374" t="s">
        <v>5079</v>
      </c>
      <c r="F1374">
        <v>1</v>
      </c>
      <c r="G1374">
        <v>24</v>
      </c>
      <c r="H1374">
        <v>823</v>
      </c>
      <c r="I1374">
        <v>1</v>
      </c>
      <c r="J1374">
        <v>42.52</v>
      </c>
      <c r="K1374" t="s">
        <v>25</v>
      </c>
      <c r="L1374">
        <v>3089250</v>
      </c>
      <c r="M1374">
        <v>0</v>
      </c>
      <c r="N1374">
        <v>3089250</v>
      </c>
      <c r="O1374">
        <v>72654.045155221072</v>
      </c>
      <c r="P1374">
        <v>0</v>
      </c>
      <c r="Q1374">
        <v>3089250</v>
      </c>
      <c r="R1374">
        <v>72654.045155221072</v>
      </c>
      <c r="S1374" t="s">
        <v>130</v>
      </c>
      <c r="T1374" t="s">
        <v>717</v>
      </c>
      <c r="U1374" t="s">
        <v>717</v>
      </c>
      <c r="V1374" t="s">
        <v>717</v>
      </c>
      <c r="W1374">
        <v>44781</v>
      </c>
      <c r="X1374" t="s">
        <v>6672</v>
      </c>
      <c r="Y1374" t="s">
        <v>6642</v>
      </c>
      <c r="Z1374" t="s">
        <v>17</v>
      </c>
      <c r="AA1374" t="s">
        <v>717</v>
      </c>
      <c r="AB1374" t="s">
        <v>2509</v>
      </c>
      <c r="AC1374" t="s">
        <v>717</v>
      </c>
      <c r="AD1374" t="s">
        <v>717</v>
      </c>
      <c r="AE1374" t="s">
        <v>6643</v>
      </c>
      <c r="AF1374" t="s">
        <v>717</v>
      </c>
      <c r="AG1374" t="s">
        <v>717</v>
      </c>
      <c r="AH1374" t="s">
        <v>717</v>
      </c>
      <c r="AI1374" t="s">
        <v>6644</v>
      </c>
      <c r="AJ1374" t="s">
        <v>6645</v>
      </c>
      <c r="AK1374" t="s">
        <v>29</v>
      </c>
      <c r="AL1374" t="s">
        <v>717</v>
      </c>
      <c r="AM1374" t="s">
        <v>10</v>
      </c>
      <c r="AN1374" t="s">
        <v>717</v>
      </c>
    </row>
    <row r="1375" spans="1:40" hidden="1">
      <c r="A1375">
        <v>1373</v>
      </c>
      <c r="B1375">
        <v>317</v>
      </c>
      <c r="C1375" s="58">
        <v>44784</v>
      </c>
      <c r="D1375" t="s">
        <v>27</v>
      </c>
      <c r="E1375" t="s">
        <v>5079</v>
      </c>
      <c r="F1375">
        <v>2</v>
      </c>
      <c r="G1375">
        <v>24</v>
      </c>
      <c r="H1375">
        <v>824</v>
      </c>
      <c r="I1375">
        <v>4</v>
      </c>
      <c r="J1375">
        <v>100.26</v>
      </c>
      <c r="K1375" t="s">
        <v>25</v>
      </c>
      <c r="L1375">
        <v>7324500</v>
      </c>
      <c r="M1375">
        <v>0</v>
      </c>
      <c r="N1375">
        <v>7324500</v>
      </c>
      <c r="O1375">
        <v>73055.056852184323</v>
      </c>
      <c r="P1375">
        <v>0</v>
      </c>
      <c r="Q1375">
        <v>7324500</v>
      </c>
      <c r="R1375">
        <v>73055.056852184323</v>
      </c>
      <c r="S1375" t="s">
        <v>130</v>
      </c>
      <c r="T1375" t="s">
        <v>717</v>
      </c>
      <c r="U1375" t="s">
        <v>717</v>
      </c>
      <c r="V1375" t="s">
        <v>717</v>
      </c>
      <c r="W1375">
        <v>44781</v>
      </c>
      <c r="X1375" t="s">
        <v>6672</v>
      </c>
      <c r="Y1375" t="s">
        <v>6642</v>
      </c>
      <c r="Z1375" t="s">
        <v>17</v>
      </c>
      <c r="AA1375" t="s">
        <v>717</v>
      </c>
      <c r="AB1375" t="s">
        <v>2509</v>
      </c>
      <c r="AC1375" t="s">
        <v>717</v>
      </c>
      <c r="AD1375" t="s">
        <v>717</v>
      </c>
      <c r="AE1375" t="s">
        <v>6643</v>
      </c>
      <c r="AF1375" t="s">
        <v>717</v>
      </c>
      <c r="AG1375" t="s">
        <v>717</v>
      </c>
      <c r="AH1375" t="s">
        <v>717</v>
      </c>
      <c r="AI1375" t="s">
        <v>6644</v>
      </c>
      <c r="AJ1375" t="s">
        <v>6645</v>
      </c>
      <c r="AK1375" t="s">
        <v>29</v>
      </c>
      <c r="AL1375" t="s">
        <v>717</v>
      </c>
      <c r="AM1375" t="s">
        <v>10</v>
      </c>
      <c r="AN1375" t="s">
        <v>717</v>
      </c>
    </row>
    <row r="1376" spans="1:40" hidden="1">
      <c r="A1376">
        <v>1374</v>
      </c>
      <c r="B1376">
        <v>318</v>
      </c>
      <c r="C1376" s="58">
        <v>44784</v>
      </c>
      <c r="D1376" t="s">
        <v>27</v>
      </c>
      <c r="E1376" t="s">
        <v>5079</v>
      </c>
      <c r="F1376">
        <v>4</v>
      </c>
      <c r="G1376">
        <v>24</v>
      </c>
      <c r="H1376">
        <v>826</v>
      </c>
      <c r="I1376">
        <v>1</v>
      </c>
      <c r="J1376">
        <v>38.92</v>
      </c>
      <c r="K1376" t="s">
        <v>25</v>
      </c>
      <c r="L1376">
        <v>2814750</v>
      </c>
      <c r="M1376">
        <v>0</v>
      </c>
      <c r="N1376">
        <v>2814750</v>
      </c>
      <c r="O1376">
        <v>72321.428571428565</v>
      </c>
      <c r="P1376">
        <v>0</v>
      </c>
      <c r="Q1376">
        <v>2814750</v>
      </c>
      <c r="R1376">
        <v>72321.428571428565</v>
      </c>
      <c r="S1376" t="s">
        <v>130</v>
      </c>
      <c r="T1376" t="s">
        <v>717</v>
      </c>
      <c r="U1376" t="s">
        <v>717</v>
      </c>
      <c r="V1376" t="s">
        <v>717</v>
      </c>
      <c r="W1376">
        <v>44781</v>
      </c>
      <c r="X1376" t="s">
        <v>6672</v>
      </c>
      <c r="Y1376" t="s">
        <v>6642</v>
      </c>
      <c r="Z1376" t="s">
        <v>17</v>
      </c>
      <c r="AA1376" t="s">
        <v>717</v>
      </c>
      <c r="AB1376" t="s">
        <v>2509</v>
      </c>
      <c r="AC1376" t="s">
        <v>717</v>
      </c>
      <c r="AD1376" t="s">
        <v>717</v>
      </c>
      <c r="AE1376" t="s">
        <v>6643</v>
      </c>
      <c r="AF1376" t="s">
        <v>717</v>
      </c>
      <c r="AG1376" t="s">
        <v>717</v>
      </c>
      <c r="AH1376" t="s">
        <v>717</v>
      </c>
      <c r="AI1376" t="s">
        <v>6644</v>
      </c>
      <c r="AJ1376" t="s">
        <v>6645</v>
      </c>
      <c r="AK1376" t="s">
        <v>29</v>
      </c>
      <c r="AL1376" t="s">
        <v>717</v>
      </c>
      <c r="AM1376" t="s">
        <v>10</v>
      </c>
      <c r="AN1376" t="s">
        <v>717</v>
      </c>
    </row>
    <row r="1377" spans="1:40" hidden="1">
      <c r="A1377">
        <v>1375</v>
      </c>
      <c r="B1377">
        <v>319</v>
      </c>
      <c r="C1377" s="58">
        <v>44784</v>
      </c>
      <c r="D1377" t="s">
        <v>27</v>
      </c>
      <c r="E1377" t="s">
        <v>5079</v>
      </c>
      <c r="F1377">
        <v>5</v>
      </c>
      <c r="G1377">
        <v>24</v>
      </c>
      <c r="H1377">
        <v>827</v>
      </c>
      <c r="I1377">
        <v>2</v>
      </c>
      <c r="J1377">
        <v>61.96</v>
      </c>
      <c r="K1377" t="s">
        <v>25</v>
      </c>
      <c r="L1377">
        <v>4548000</v>
      </c>
      <c r="M1377">
        <v>0</v>
      </c>
      <c r="N1377">
        <v>4548000</v>
      </c>
      <c r="O1377">
        <v>73402.194964493217</v>
      </c>
      <c r="P1377">
        <v>0</v>
      </c>
      <c r="Q1377">
        <v>4548000</v>
      </c>
      <c r="R1377">
        <v>73402.194964493217</v>
      </c>
      <c r="S1377" t="s">
        <v>130</v>
      </c>
      <c r="T1377" t="s">
        <v>717</v>
      </c>
      <c r="U1377" t="s">
        <v>717</v>
      </c>
      <c r="V1377" t="s">
        <v>717</v>
      </c>
      <c r="W1377">
        <v>44781</v>
      </c>
      <c r="X1377" t="s">
        <v>6672</v>
      </c>
      <c r="Y1377" t="s">
        <v>6642</v>
      </c>
      <c r="Z1377" t="s">
        <v>17</v>
      </c>
      <c r="AA1377" t="s">
        <v>717</v>
      </c>
      <c r="AB1377" t="s">
        <v>2509</v>
      </c>
      <c r="AC1377" t="s">
        <v>717</v>
      </c>
      <c r="AD1377" t="s">
        <v>717</v>
      </c>
      <c r="AE1377" t="s">
        <v>6643</v>
      </c>
      <c r="AF1377" t="s">
        <v>717</v>
      </c>
      <c r="AG1377" t="s">
        <v>717</v>
      </c>
      <c r="AH1377" t="s">
        <v>717</v>
      </c>
      <c r="AI1377" t="s">
        <v>6644</v>
      </c>
      <c r="AJ1377" t="s">
        <v>6645</v>
      </c>
      <c r="AK1377" t="s">
        <v>29</v>
      </c>
      <c r="AL1377" t="s">
        <v>717</v>
      </c>
      <c r="AM1377" t="s">
        <v>10</v>
      </c>
      <c r="AN1377" t="s">
        <v>717</v>
      </c>
    </row>
    <row r="1378" spans="1:40" hidden="1">
      <c r="A1378">
        <v>1376</v>
      </c>
      <c r="B1378">
        <v>320</v>
      </c>
      <c r="C1378" s="58">
        <v>44784</v>
      </c>
      <c r="D1378" t="s">
        <v>27</v>
      </c>
      <c r="E1378" t="s">
        <v>5079</v>
      </c>
      <c r="F1378">
        <v>6</v>
      </c>
      <c r="G1378">
        <v>24</v>
      </c>
      <c r="H1378">
        <v>828</v>
      </c>
      <c r="I1378">
        <v>1</v>
      </c>
      <c r="J1378">
        <v>38.909999999999997</v>
      </c>
      <c r="K1378" t="s">
        <v>25</v>
      </c>
      <c r="L1378">
        <v>2817000</v>
      </c>
      <c r="M1378">
        <v>0</v>
      </c>
      <c r="N1378">
        <v>2817000</v>
      </c>
      <c r="O1378">
        <v>72397.841171935244</v>
      </c>
      <c r="P1378">
        <v>0</v>
      </c>
      <c r="Q1378">
        <v>2817000</v>
      </c>
      <c r="R1378">
        <v>72397.841171935244</v>
      </c>
      <c r="S1378" t="s">
        <v>130</v>
      </c>
      <c r="T1378" t="s">
        <v>717</v>
      </c>
      <c r="U1378" t="s">
        <v>717</v>
      </c>
      <c r="V1378" t="s">
        <v>717</v>
      </c>
      <c r="W1378">
        <v>44781</v>
      </c>
      <c r="X1378" t="s">
        <v>6672</v>
      </c>
      <c r="Y1378" t="s">
        <v>6642</v>
      </c>
      <c r="Z1378" t="s">
        <v>17</v>
      </c>
      <c r="AA1378" t="s">
        <v>717</v>
      </c>
      <c r="AB1378" t="s">
        <v>2509</v>
      </c>
      <c r="AC1378" t="s">
        <v>717</v>
      </c>
      <c r="AD1378" t="s">
        <v>717</v>
      </c>
      <c r="AE1378" t="s">
        <v>6643</v>
      </c>
      <c r="AF1378" t="s">
        <v>717</v>
      </c>
      <c r="AG1378" t="s">
        <v>717</v>
      </c>
      <c r="AH1378" t="s">
        <v>717</v>
      </c>
      <c r="AI1378" t="s">
        <v>6644</v>
      </c>
      <c r="AJ1378" t="s">
        <v>6645</v>
      </c>
      <c r="AK1378" t="s">
        <v>29</v>
      </c>
      <c r="AL1378" t="s">
        <v>717</v>
      </c>
      <c r="AM1378" t="s">
        <v>10</v>
      </c>
      <c r="AN1378" t="s">
        <v>717</v>
      </c>
    </row>
    <row r="1379" spans="1:40" hidden="1">
      <c r="A1379">
        <v>1377</v>
      </c>
      <c r="B1379">
        <v>321</v>
      </c>
      <c r="C1379" s="58">
        <v>44784</v>
      </c>
      <c r="D1379" t="s">
        <v>27</v>
      </c>
      <c r="E1379" t="s">
        <v>5079</v>
      </c>
      <c r="F1379">
        <v>7</v>
      </c>
      <c r="G1379">
        <v>24</v>
      </c>
      <c r="H1379">
        <v>829</v>
      </c>
      <c r="I1379">
        <v>2</v>
      </c>
      <c r="J1379">
        <v>62.38</v>
      </c>
      <c r="K1379" t="s">
        <v>25</v>
      </c>
      <c r="L1379">
        <v>4483500</v>
      </c>
      <c r="M1379">
        <v>0</v>
      </c>
      <c r="N1379">
        <v>4483500</v>
      </c>
      <c r="O1379">
        <v>71873.99807630651</v>
      </c>
      <c r="P1379">
        <v>0</v>
      </c>
      <c r="Q1379">
        <v>4483500</v>
      </c>
      <c r="R1379">
        <v>71873.99807630651</v>
      </c>
      <c r="S1379" t="s">
        <v>130</v>
      </c>
      <c r="T1379" t="s">
        <v>717</v>
      </c>
      <c r="U1379" t="s">
        <v>717</v>
      </c>
      <c r="V1379" t="s">
        <v>717</v>
      </c>
      <c r="W1379">
        <v>44781</v>
      </c>
      <c r="X1379" t="s">
        <v>6672</v>
      </c>
      <c r="Y1379" t="s">
        <v>6642</v>
      </c>
      <c r="Z1379" t="s">
        <v>17</v>
      </c>
      <c r="AA1379" t="s">
        <v>717</v>
      </c>
      <c r="AB1379" t="s">
        <v>2509</v>
      </c>
      <c r="AC1379" t="s">
        <v>717</v>
      </c>
      <c r="AD1379" t="s">
        <v>717</v>
      </c>
      <c r="AE1379" t="s">
        <v>6643</v>
      </c>
      <c r="AF1379" t="s">
        <v>717</v>
      </c>
      <c r="AG1379" t="s">
        <v>717</v>
      </c>
      <c r="AH1379" t="s">
        <v>717</v>
      </c>
      <c r="AI1379" t="s">
        <v>6644</v>
      </c>
      <c r="AJ1379" t="s">
        <v>6645</v>
      </c>
      <c r="AK1379" t="s">
        <v>29</v>
      </c>
      <c r="AL1379" t="s">
        <v>717</v>
      </c>
      <c r="AM1379" t="s">
        <v>10</v>
      </c>
      <c r="AN1379" t="s">
        <v>717</v>
      </c>
    </row>
    <row r="1380" spans="1:40" hidden="1">
      <c r="A1380">
        <v>1378</v>
      </c>
      <c r="B1380">
        <v>322</v>
      </c>
      <c r="C1380" s="58">
        <v>44784</v>
      </c>
      <c r="D1380" t="s">
        <v>27</v>
      </c>
      <c r="E1380" t="s">
        <v>5079</v>
      </c>
      <c r="F1380">
        <v>8</v>
      </c>
      <c r="G1380">
        <v>24</v>
      </c>
      <c r="H1380">
        <v>830</v>
      </c>
      <c r="I1380">
        <v>1</v>
      </c>
      <c r="J1380">
        <v>42.62</v>
      </c>
      <c r="K1380" t="s">
        <v>25</v>
      </c>
      <c r="L1380">
        <v>3096750</v>
      </c>
      <c r="M1380">
        <v>0</v>
      </c>
      <c r="N1380">
        <v>3096750</v>
      </c>
      <c r="O1380">
        <v>72659.549507273579</v>
      </c>
      <c r="P1380">
        <v>0</v>
      </c>
      <c r="Q1380">
        <v>3096750</v>
      </c>
      <c r="R1380">
        <v>72659.549507273579</v>
      </c>
      <c r="S1380" t="s">
        <v>130</v>
      </c>
      <c r="T1380" t="s">
        <v>717</v>
      </c>
      <c r="U1380" t="s">
        <v>717</v>
      </c>
      <c r="V1380" t="s">
        <v>717</v>
      </c>
      <c r="W1380">
        <v>44781</v>
      </c>
      <c r="X1380" t="s">
        <v>6672</v>
      </c>
      <c r="Y1380" t="s">
        <v>6642</v>
      </c>
      <c r="Z1380" t="s">
        <v>17</v>
      </c>
      <c r="AA1380" t="s">
        <v>717</v>
      </c>
      <c r="AB1380" t="s">
        <v>2509</v>
      </c>
      <c r="AC1380" t="s">
        <v>717</v>
      </c>
      <c r="AD1380" t="s">
        <v>717</v>
      </c>
      <c r="AE1380" t="s">
        <v>6643</v>
      </c>
      <c r="AF1380" t="s">
        <v>717</v>
      </c>
      <c r="AG1380" t="s">
        <v>717</v>
      </c>
      <c r="AH1380" t="s">
        <v>717</v>
      </c>
      <c r="AI1380" t="s">
        <v>6644</v>
      </c>
      <c r="AJ1380" t="s">
        <v>6645</v>
      </c>
      <c r="AK1380" t="s">
        <v>29</v>
      </c>
      <c r="AL1380" t="s">
        <v>717</v>
      </c>
      <c r="AM1380" t="s">
        <v>10</v>
      </c>
      <c r="AN1380" t="s">
        <v>717</v>
      </c>
    </row>
    <row r="1381" spans="1:40" hidden="1">
      <c r="A1381">
        <v>1379</v>
      </c>
      <c r="B1381">
        <v>323</v>
      </c>
      <c r="C1381" s="58">
        <v>44784</v>
      </c>
      <c r="D1381" t="s">
        <v>27</v>
      </c>
      <c r="E1381" t="s">
        <v>5456</v>
      </c>
      <c r="F1381">
        <v>1</v>
      </c>
      <c r="G1381">
        <v>2</v>
      </c>
      <c r="H1381">
        <v>831</v>
      </c>
      <c r="I1381">
        <v>1</v>
      </c>
      <c r="J1381">
        <v>37.15</v>
      </c>
      <c r="K1381" t="s">
        <v>25</v>
      </c>
      <c r="L1381">
        <v>2690250</v>
      </c>
      <c r="M1381">
        <v>0</v>
      </c>
      <c r="N1381">
        <v>2690250</v>
      </c>
      <c r="O1381">
        <v>72415.881561238217</v>
      </c>
      <c r="P1381">
        <v>0</v>
      </c>
      <c r="Q1381">
        <v>2690250</v>
      </c>
      <c r="R1381">
        <v>72415.881561238217</v>
      </c>
      <c r="S1381" t="s">
        <v>130</v>
      </c>
      <c r="T1381" t="s">
        <v>717</v>
      </c>
      <c r="U1381" t="s">
        <v>717</v>
      </c>
      <c r="V1381" t="s">
        <v>717</v>
      </c>
      <c r="W1381">
        <v>44781</v>
      </c>
      <c r="X1381" t="s">
        <v>6673</v>
      </c>
      <c r="Y1381" t="s">
        <v>6642</v>
      </c>
      <c r="Z1381" t="s">
        <v>17</v>
      </c>
      <c r="AA1381" t="s">
        <v>717</v>
      </c>
      <c r="AB1381" t="s">
        <v>2509</v>
      </c>
      <c r="AC1381" t="s">
        <v>717</v>
      </c>
      <c r="AD1381" t="s">
        <v>717</v>
      </c>
      <c r="AE1381" t="s">
        <v>6643</v>
      </c>
      <c r="AF1381" t="s">
        <v>717</v>
      </c>
      <c r="AG1381" t="s">
        <v>717</v>
      </c>
      <c r="AH1381" t="s">
        <v>717</v>
      </c>
      <c r="AI1381" t="s">
        <v>6644</v>
      </c>
      <c r="AJ1381" t="s">
        <v>6645</v>
      </c>
      <c r="AK1381" t="s">
        <v>29</v>
      </c>
      <c r="AL1381" t="s">
        <v>717</v>
      </c>
      <c r="AM1381" t="s">
        <v>10</v>
      </c>
      <c r="AN1381" t="s">
        <v>717</v>
      </c>
    </row>
    <row r="1382" spans="1:40" hidden="1">
      <c r="A1382">
        <v>1380</v>
      </c>
      <c r="B1382">
        <v>324</v>
      </c>
      <c r="C1382" s="58">
        <v>44784</v>
      </c>
      <c r="D1382" t="s">
        <v>27</v>
      </c>
      <c r="E1382" t="s">
        <v>5456</v>
      </c>
      <c r="F1382">
        <v>2</v>
      </c>
      <c r="G1382">
        <v>2</v>
      </c>
      <c r="H1382">
        <v>832</v>
      </c>
      <c r="I1382">
        <v>3</v>
      </c>
      <c r="J1382">
        <v>86.1</v>
      </c>
      <c r="K1382" t="s">
        <v>25</v>
      </c>
      <c r="L1382">
        <v>6259500</v>
      </c>
      <c r="M1382">
        <v>0</v>
      </c>
      <c r="N1382">
        <v>6259500</v>
      </c>
      <c r="O1382">
        <v>72700.348432055747</v>
      </c>
      <c r="P1382">
        <v>0</v>
      </c>
      <c r="Q1382">
        <v>6259500</v>
      </c>
      <c r="R1382">
        <v>72700.348432055747</v>
      </c>
      <c r="S1382" t="s">
        <v>130</v>
      </c>
      <c r="T1382" t="s">
        <v>717</v>
      </c>
      <c r="U1382" t="s">
        <v>717</v>
      </c>
      <c r="V1382" t="s">
        <v>717</v>
      </c>
      <c r="W1382">
        <v>44781</v>
      </c>
      <c r="X1382" t="s">
        <v>6673</v>
      </c>
      <c r="Y1382" t="s">
        <v>6642</v>
      </c>
      <c r="Z1382" t="s">
        <v>17</v>
      </c>
      <c r="AA1382" t="s">
        <v>717</v>
      </c>
      <c r="AB1382" t="s">
        <v>2509</v>
      </c>
      <c r="AC1382" t="s">
        <v>717</v>
      </c>
      <c r="AD1382" t="s">
        <v>717</v>
      </c>
      <c r="AE1382" t="s">
        <v>6643</v>
      </c>
      <c r="AF1382" t="s">
        <v>717</v>
      </c>
      <c r="AG1382" t="s">
        <v>717</v>
      </c>
      <c r="AH1382" t="s">
        <v>717</v>
      </c>
      <c r="AI1382" t="s">
        <v>6644</v>
      </c>
      <c r="AJ1382" t="s">
        <v>6645</v>
      </c>
      <c r="AK1382" t="s">
        <v>29</v>
      </c>
      <c r="AL1382" t="s">
        <v>717</v>
      </c>
      <c r="AM1382" t="s">
        <v>10</v>
      </c>
      <c r="AN1382" t="s">
        <v>717</v>
      </c>
    </row>
    <row r="1383" spans="1:40" hidden="1">
      <c r="A1383">
        <v>1381</v>
      </c>
      <c r="B1383">
        <v>325</v>
      </c>
      <c r="C1383" s="58">
        <v>44784</v>
      </c>
      <c r="D1383" t="s">
        <v>27</v>
      </c>
      <c r="E1383" t="s">
        <v>5456</v>
      </c>
      <c r="F1383">
        <v>4</v>
      </c>
      <c r="G1383">
        <v>2</v>
      </c>
      <c r="H1383">
        <v>834</v>
      </c>
      <c r="I1383">
        <v>1</v>
      </c>
      <c r="J1383">
        <v>37.229999999999997</v>
      </c>
      <c r="K1383" t="s">
        <v>25</v>
      </c>
      <c r="L1383">
        <v>2693250</v>
      </c>
      <c r="M1383">
        <v>0</v>
      </c>
      <c r="N1383">
        <v>2693250</v>
      </c>
      <c r="O1383">
        <v>72340.854149879131</v>
      </c>
      <c r="P1383">
        <v>0</v>
      </c>
      <c r="Q1383">
        <v>2693250</v>
      </c>
      <c r="R1383">
        <v>72340.854149879131</v>
      </c>
      <c r="S1383" t="s">
        <v>130</v>
      </c>
      <c r="T1383" t="s">
        <v>717</v>
      </c>
      <c r="U1383" t="s">
        <v>717</v>
      </c>
      <c r="V1383" t="s">
        <v>717</v>
      </c>
      <c r="W1383">
        <v>44781</v>
      </c>
      <c r="X1383" t="s">
        <v>6673</v>
      </c>
      <c r="Y1383" t="s">
        <v>6642</v>
      </c>
      <c r="Z1383" t="s">
        <v>17</v>
      </c>
      <c r="AA1383" t="s">
        <v>717</v>
      </c>
      <c r="AB1383" t="s">
        <v>2509</v>
      </c>
      <c r="AC1383" t="s">
        <v>717</v>
      </c>
      <c r="AD1383" t="s">
        <v>717</v>
      </c>
      <c r="AE1383" t="s">
        <v>6643</v>
      </c>
      <c r="AF1383" t="s">
        <v>717</v>
      </c>
      <c r="AG1383" t="s">
        <v>717</v>
      </c>
      <c r="AH1383" t="s">
        <v>717</v>
      </c>
      <c r="AI1383" t="s">
        <v>6644</v>
      </c>
      <c r="AJ1383" t="s">
        <v>6645</v>
      </c>
      <c r="AK1383" t="s">
        <v>29</v>
      </c>
      <c r="AL1383" t="s">
        <v>717</v>
      </c>
      <c r="AM1383" t="s">
        <v>10</v>
      </c>
      <c r="AN1383" t="s">
        <v>717</v>
      </c>
    </row>
    <row r="1384" spans="1:40" hidden="1">
      <c r="A1384">
        <v>1382</v>
      </c>
      <c r="B1384">
        <v>326</v>
      </c>
      <c r="C1384" s="58">
        <v>44784</v>
      </c>
      <c r="D1384" t="s">
        <v>27</v>
      </c>
      <c r="E1384" t="s">
        <v>5456</v>
      </c>
      <c r="F1384">
        <v>5</v>
      </c>
      <c r="G1384">
        <v>2</v>
      </c>
      <c r="H1384">
        <v>835</v>
      </c>
      <c r="I1384">
        <v>1</v>
      </c>
      <c r="J1384">
        <v>37.270000000000003</v>
      </c>
      <c r="K1384" t="s">
        <v>25</v>
      </c>
      <c r="L1384">
        <v>2699250</v>
      </c>
      <c r="M1384">
        <v>0</v>
      </c>
      <c r="N1384">
        <v>2699250</v>
      </c>
      <c r="O1384">
        <v>72424.201770861269</v>
      </c>
      <c r="P1384">
        <v>0</v>
      </c>
      <c r="Q1384">
        <v>2699250</v>
      </c>
      <c r="R1384">
        <v>72424.201770861269</v>
      </c>
      <c r="S1384" t="s">
        <v>130</v>
      </c>
      <c r="T1384" t="s">
        <v>717</v>
      </c>
      <c r="U1384" t="s">
        <v>717</v>
      </c>
      <c r="V1384" t="s">
        <v>717</v>
      </c>
      <c r="W1384">
        <v>44781</v>
      </c>
      <c r="X1384" t="s">
        <v>6673</v>
      </c>
      <c r="Y1384" t="s">
        <v>6642</v>
      </c>
      <c r="Z1384" t="s">
        <v>17</v>
      </c>
      <c r="AA1384" t="s">
        <v>717</v>
      </c>
      <c r="AB1384" t="s">
        <v>2509</v>
      </c>
      <c r="AC1384" t="s">
        <v>717</v>
      </c>
      <c r="AD1384" t="s">
        <v>717</v>
      </c>
      <c r="AE1384" t="s">
        <v>6643</v>
      </c>
      <c r="AF1384" t="s">
        <v>717</v>
      </c>
      <c r="AG1384" t="s">
        <v>717</v>
      </c>
      <c r="AH1384" t="s">
        <v>717</v>
      </c>
      <c r="AI1384" t="s">
        <v>6644</v>
      </c>
      <c r="AJ1384" t="s">
        <v>6645</v>
      </c>
      <c r="AK1384" t="s">
        <v>29</v>
      </c>
      <c r="AL1384" t="s">
        <v>717</v>
      </c>
      <c r="AM1384" t="s">
        <v>10</v>
      </c>
      <c r="AN1384" t="s">
        <v>717</v>
      </c>
    </row>
    <row r="1385" spans="1:40" hidden="1">
      <c r="A1385">
        <v>1383</v>
      </c>
      <c r="B1385">
        <v>327</v>
      </c>
      <c r="C1385" s="58">
        <v>44784</v>
      </c>
      <c r="D1385" t="s">
        <v>27</v>
      </c>
      <c r="E1385" t="s">
        <v>5456</v>
      </c>
      <c r="F1385">
        <v>7</v>
      </c>
      <c r="G1385">
        <v>2</v>
      </c>
      <c r="H1385">
        <v>837</v>
      </c>
      <c r="I1385">
        <v>2</v>
      </c>
      <c r="J1385">
        <v>62.69</v>
      </c>
      <c r="K1385" t="s">
        <v>25</v>
      </c>
      <c r="L1385">
        <v>4504500</v>
      </c>
      <c r="M1385">
        <v>0</v>
      </c>
      <c r="N1385">
        <v>4504500</v>
      </c>
      <c r="O1385">
        <v>71853.565161907798</v>
      </c>
      <c r="P1385">
        <v>0</v>
      </c>
      <c r="Q1385">
        <v>4504500</v>
      </c>
      <c r="R1385">
        <v>71853.565161907798</v>
      </c>
      <c r="S1385" t="s">
        <v>130</v>
      </c>
      <c r="T1385" t="s">
        <v>717</v>
      </c>
      <c r="U1385" t="s">
        <v>717</v>
      </c>
      <c r="V1385" t="s">
        <v>717</v>
      </c>
      <c r="W1385">
        <v>44781</v>
      </c>
      <c r="X1385" t="s">
        <v>6673</v>
      </c>
      <c r="Y1385" t="s">
        <v>6642</v>
      </c>
      <c r="Z1385" t="s">
        <v>17</v>
      </c>
      <c r="AA1385" t="s">
        <v>717</v>
      </c>
      <c r="AB1385" t="s">
        <v>2509</v>
      </c>
      <c r="AC1385" t="s">
        <v>717</v>
      </c>
      <c r="AD1385" t="s">
        <v>717</v>
      </c>
      <c r="AE1385" t="s">
        <v>6643</v>
      </c>
      <c r="AF1385" t="s">
        <v>717</v>
      </c>
      <c r="AG1385" t="s">
        <v>717</v>
      </c>
      <c r="AH1385" t="s">
        <v>717</v>
      </c>
      <c r="AI1385" t="s">
        <v>6644</v>
      </c>
      <c r="AJ1385" t="s">
        <v>6645</v>
      </c>
      <c r="AK1385" t="s">
        <v>29</v>
      </c>
      <c r="AL1385" t="s">
        <v>717</v>
      </c>
      <c r="AM1385" t="s">
        <v>10</v>
      </c>
      <c r="AN1385" t="s">
        <v>717</v>
      </c>
    </row>
    <row r="1386" spans="1:40" hidden="1">
      <c r="A1386">
        <v>1384</v>
      </c>
      <c r="B1386">
        <v>328</v>
      </c>
      <c r="C1386" s="58">
        <v>44784</v>
      </c>
      <c r="D1386" t="s">
        <v>27</v>
      </c>
      <c r="E1386" t="s">
        <v>5456</v>
      </c>
      <c r="F1386">
        <v>1</v>
      </c>
      <c r="G1386">
        <v>3</v>
      </c>
      <c r="H1386">
        <v>840</v>
      </c>
      <c r="I1386">
        <v>1</v>
      </c>
      <c r="J1386">
        <v>37.15</v>
      </c>
      <c r="K1386" t="s">
        <v>25</v>
      </c>
      <c r="L1386">
        <v>2690250</v>
      </c>
      <c r="M1386">
        <v>0</v>
      </c>
      <c r="N1386">
        <v>2690250</v>
      </c>
      <c r="O1386">
        <v>72415.881561238217</v>
      </c>
      <c r="P1386">
        <v>0</v>
      </c>
      <c r="Q1386">
        <v>2690250</v>
      </c>
      <c r="R1386">
        <v>72415.881561238217</v>
      </c>
      <c r="S1386" t="s">
        <v>130</v>
      </c>
      <c r="T1386" t="s">
        <v>717</v>
      </c>
      <c r="U1386" t="s">
        <v>717</v>
      </c>
      <c r="V1386" t="s">
        <v>717</v>
      </c>
      <c r="W1386">
        <v>44781</v>
      </c>
      <c r="X1386" t="s">
        <v>6673</v>
      </c>
      <c r="Y1386" t="s">
        <v>6642</v>
      </c>
      <c r="Z1386" t="s">
        <v>17</v>
      </c>
      <c r="AA1386" t="s">
        <v>717</v>
      </c>
      <c r="AB1386" t="s">
        <v>2509</v>
      </c>
      <c r="AC1386" t="s">
        <v>717</v>
      </c>
      <c r="AD1386" t="s">
        <v>717</v>
      </c>
      <c r="AE1386" t="s">
        <v>6643</v>
      </c>
      <c r="AF1386" t="s">
        <v>717</v>
      </c>
      <c r="AG1386" t="s">
        <v>717</v>
      </c>
      <c r="AH1386" t="s">
        <v>717</v>
      </c>
      <c r="AI1386" t="s">
        <v>6644</v>
      </c>
      <c r="AJ1386" t="s">
        <v>6645</v>
      </c>
      <c r="AK1386" t="s">
        <v>29</v>
      </c>
      <c r="AL1386" t="s">
        <v>717</v>
      </c>
      <c r="AM1386" t="s">
        <v>10</v>
      </c>
      <c r="AN1386" t="s">
        <v>717</v>
      </c>
    </row>
    <row r="1387" spans="1:40" hidden="1">
      <c r="A1387">
        <v>1385</v>
      </c>
      <c r="B1387">
        <v>329</v>
      </c>
      <c r="C1387" s="58">
        <v>44784</v>
      </c>
      <c r="D1387" t="s">
        <v>27</v>
      </c>
      <c r="E1387" t="s">
        <v>5456</v>
      </c>
      <c r="F1387">
        <v>2</v>
      </c>
      <c r="G1387">
        <v>3</v>
      </c>
      <c r="H1387">
        <v>841</v>
      </c>
      <c r="I1387">
        <v>3</v>
      </c>
      <c r="J1387">
        <v>86.1</v>
      </c>
      <c r="K1387" t="s">
        <v>25</v>
      </c>
      <c r="L1387">
        <v>6259500</v>
      </c>
      <c r="M1387">
        <v>0</v>
      </c>
      <c r="N1387">
        <v>6259500</v>
      </c>
      <c r="O1387">
        <v>72700.348432055747</v>
      </c>
      <c r="P1387">
        <v>0</v>
      </c>
      <c r="Q1387">
        <v>6259500</v>
      </c>
      <c r="R1387">
        <v>72700.348432055747</v>
      </c>
      <c r="S1387" t="s">
        <v>130</v>
      </c>
      <c r="T1387" t="s">
        <v>717</v>
      </c>
      <c r="U1387" t="s">
        <v>717</v>
      </c>
      <c r="V1387" t="s">
        <v>717</v>
      </c>
      <c r="W1387">
        <v>44781</v>
      </c>
      <c r="X1387" t="s">
        <v>6673</v>
      </c>
      <c r="Y1387" t="s">
        <v>6642</v>
      </c>
      <c r="Z1387" t="s">
        <v>17</v>
      </c>
      <c r="AA1387" t="s">
        <v>717</v>
      </c>
      <c r="AB1387" t="s">
        <v>2509</v>
      </c>
      <c r="AC1387" t="s">
        <v>717</v>
      </c>
      <c r="AD1387" t="s">
        <v>717</v>
      </c>
      <c r="AE1387" t="s">
        <v>6643</v>
      </c>
      <c r="AF1387" t="s">
        <v>717</v>
      </c>
      <c r="AG1387" t="s">
        <v>717</v>
      </c>
      <c r="AH1387" t="s">
        <v>717</v>
      </c>
      <c r="AI1387" t="s">
        <v>6644</v>
      </c>
      <c r="AJ1387" t="s">
        <v>6645</v>
      </c>
      <c r="AK1387" t="s">
        <v>29</v>
      </c>
      <c r="AL1387" t="s">
        <v>717</v>
      </c>
      <c r="AM1387" t="s">
        <v>10</v>
      </c>
      <c r="AN1387" t="s">
        <v>717</v>
      </c>
    </row>
    <row r="1388" spans="1:40" hidden="1">
      <c r="A1388">
        <v>1386</v>
      </c>
      <c r="B1388">
        <v>330</v>
      </c>
      <c r="C1388" s="58">
        <v>44784</v>
      </c>
      <c r="D1388" t="s">
        <v>27</v>
      </c>
      <c r="E1388" t="s">
        <v>5456</v>
      </c>
      <c r="F1388">
        <v>3</v>
      </c>
      <c r="G1388">
        <v>3</v>
      </c>
      <c r="H1388">
        <v>842</v>
      </c>
      <c r="I1388">
        <v>1</v>
      </c>
      <c r="J1388">
        <v>37.31</v>
      </c>
      <c r="K1388" t="s">
        <v>25</v>
      </c>
      <c r="L1388">
        <v>2699250</v>
      </c>
      <c r="M1388">
        <v>0</v>
      </c>
      <c r="N1388">
        <v>2699250</v>
      </c>
      <c r="O1388">
        <v>72346.555883141249</v>
      </c>
      <c r="P1388">
        <v>0</v>
      </c>
      <c r="Q1388">
        <v>2699250</v>
      </c>
      <c r="R1388">
        <v>72346.555883141249</v>
      </c>
      <c r="S1388" t="s">
        <v>130</v>
      </c>
      <c r="T1388" t="s">
        <v>717</v>
      </c>
      <c r="U1388" t="s">
        <v>717</v>
      </c>
      <c r="V1388" t="s">
        <v>717</v>
      </c>
      <c r="W1388">
        <v>44781</v>
      </c>
      <c r="X1388" t="s">
        <v>6673</v>
      </c>
      <c r="Y1388" t="s">
        <v>6642</v>
      </c>
      <c r="Z1388" t="s">
        <v>17</v>
      </c>
      <c r="AA1388" t="s">
        <v>717</v>
      </c>
      <c r="AB1388" t="s">
        <v>2509</v>
      </c>
      <c r="AC1388" t="s">
        <v>717</v>
      </c>
      <c r="AD1388" t="s">
        <v>717</v>
      </c>
      <c r="AE1388" t="s">
        <v>6643</v>
      </c>
      <c r="AF1388" t="s">
        <v>717</v>
      </c>
      <c r="AG1388" t="s">
        <v>717</v>
      </c>
      <c r="AH1388" t="s">
        <v>717</v>
      </c>
      <c r="AI1388" t="s">
        <v>6644</v>
      </c>
      <c r="AJ1388" t="s">
        <v>6645</v>
      </c>
      <c r="AK1388" t="s">
        <v>29</v>
      </c>
      <c r="AL1388" t="s">
        <v>717</v>
      </c>
      <c r="AM1388" t="s">
        <v>10</v>
      </c>
      <c r="AN1388" t="s">
        <v>717</v>
      </c>
    </row>
    <row r="1389" spans="1:40" hidden="1">
      <c r="A1389">
        <v>1387</v>
      </c>
      <c r="B1389">
        <v>331</v>
      </c>
      <c r="C1389" s="58">
        <v>44784</v>
      </c>
      <c r="D1389" t="s">
        <v>27</v>
      </c>
      <c r="E1389" t="s">
        <v>5456</v>
      </c>
      <c r="F1389">
        <v>4</v>
      </c>
      <c r="G1389">
        <v>3</v>
      </c>
      <c r="H1389">
        <v>843</v>
      </c>
      <c r="I1389">
        <v>1</v>
      </c>
      <c r="J1389">
        <v>37.229999999999997</v>
      </c>
      <c r="K1389" t="s">
        <v>25</v>
      </c>
      <c r="L1389">
        <v>2693250</v>
      </c>
      <c r="M1389">
        <v>0</v>
      </c>
      <c r="N1389">
        <v>2693250</v>
      </c>
      <c r="O1389">
        <v>72340.854149879131</v>
      </c>
      <c r="P1389">
        <v>0</v>
      </c>
      <c r="Q1389">
        <v>2693250</v>
      </c>
      <c r="R1389">
        <v>72340.854149879131</v>
      </c>
      <c r="S1389" t="s">
        <v>130</v>
      </c>
      <c r="T1389" t="s">
        <v>717</v>
      </c>
      <c r="U1389" t="s">
        <v>717</v>
      </c>
      <c r="V1389" t="s">
        <v>717</v>
      </c>
      <c r="W1389">
        <v>44781</v>
      </c>
      <c r="X1389" t="s">
        <v>6673</v>
      </c>
      <c r="Y1389" t="s">
        <v>6642</v>
      </c>
      <c r="Z1389" t="s">
        <v>17</v>
      </c>
      <c r="AA1389" t="s">
        <v>717</v>
      </c>
      <c r="AB1389" t="s">
        <v>2509</v>
      </c>
      <c r="AC1389" t="s">
        <v>717</v>
      </c>
      <c r="AD1389" t="s">
        <v>717</v>
      </c>
      <c r="AE1389" t="s">
        <v>6643</v>
      </c>
      <c r="AF1389" t="s">
        <v>717</v>
      </c>
      <c r="AG1389" t="s">
        <v>717</v>
      </c>
      <c r="AH1389" t="s">
        <v>717</v>
      </c>
      <c r="AI1389" t="s">
        <v>6644</v>
      </c>
      <c r="AJ1389" t="s">
        <v>6645</v>
      </c>
      <c r="AK1389" t="s">
        <v>29</v>
      </c>
      <c r="AL1389" t="s">
        <v>717</v>
      </c>
      <c r="AM1389" t="s">
        <v>10</v>
      </c>
      <c r="AN1389" t="s">
        <v>717</v>
      </c>
    </row>
    <row r="1390" spans="1:40" hidden="1">
      <c r="A1390">
        <v>1388</v>
      </c>
      <c r="B1390">
        <v>332</v>
      </c>
      <c r="C1390" s="58">
        <v>44784</v>
      </c>
      <c r="D1390" t="s">
        <v>27</v>
      </c>
      <c r="E1390" t="s">
        <v>5456</v>
      </c>
      <c r="F1390">
        <v>5</v>
      </c>
      <c r="G1390">
        <v>3</v>
      </c>
      <c r="H1390">
        <v>844</v>
      </c>
      <c r="I1390">
        <v>1</v>
      </c>
      <c r="J1390">
        <v>37.270000000000003</v>
      </c>
      <c r="K1390" t="s">
        <v>25</v>
      </c>
      <c r="L1390">
        <v>2699250</v>
      </c>
      <c r="M1390">
        <v>0</v>
      </c>
      <c r="N1390">
        <v>2699250</v>
      </c>
      <c r="O1390">
        <v>72424.201770861269</v>
      </c>
      <c r="P1390">
        <v>0</v>
      </c>
      <c r="Q1390">
        <v>2699250</v>
      </c>
      <c r="R1390">
        <v>72424.201770861269</v>
      </c>
      <c r="S1390" t="s">
        <v>130</v>
      </c>
      <c r="T1390" t="s">
        <v>717</v>
      </c>
      <c r="U1390" t="s">
        <v>717</v>
      </c>
      <c r="V1390" t="s">
        <v>717</v>
      </c>
      <c r="W1390">
        <v>44781</v>
      </c>
      <c r="X1390" t="s">
        <v>6673</v>
      </c>
      <c r="Y1390" t="s">
        <v>6642</v>
      </c>
      <c r="Z1390" t="s">
        <v>17</v>
      </c>
      <c r="AA1390" t="s">
        <v>717</v>
      </c>
      <c r="AB1390" t="s">
        <v>2509</v>
      </c>
      <c r="AC1390" t="s">
        <v>717</v>
      </c>
      <c r="AD1390" t="s">
        <v>717</v>
      </c>
      <c r="AE1390" t="s">
        <v>6643</v>
      </c>
      <c r="AF1390" t="s">
        <v>717</v>
      </c>
      <c r="AG1390" t="s">
        <v>717</v>
      </c>
      <c r="AH1390" t="s">
        <v>717</v>
      </c>
      <c r="AI1390" t="s">
        <v>6644</v>
      </c>
      <c r="AJ1390" t="s">
        <v>6645</v>
      </c>
      <c r="AK1390" t="s">
        <v>29</v>
      </c>
      <c r="AL1390" t="s">
        <v>717</v>
      </c>
      <c r="AM1390" t="s">
        <v>10</v>
      </c>
      <c r="AN1390" t="s">
        <v>717</v>
      </c>
    </row>
    <row r="1391" spans="1:40" hidden="1">
      <c r="A1391">
        <v>1389</v>
      </c>
      <c r="B1391">
        <v>333</v>
      </c>
      <c r="C1391" s="58">
        <v>44784</v>
      </c>
      <c r="D1391" t="s">
        <v>27</v>
      </c>
      <c r="E1391" t="s">
        <v>5456</v>
      </c>
      <c r="F1391">
        <v>7</v>
      </c>
      <c r="G1391">
        <v>3</v>
      </c>
      <c r="H1391">
        <v>846</v>
      </c>
      <c r="I1391">
        <v>2</v>
      </c>
      <c r="J1391">
        <v>62.69</v>
      </c>
      <c r="K1391" t="s">
        <v>25</v>
      </c>
      <c r="L1391">
        <v>4504500</v>
      </c>
      <c r="M1391">
        <v>0</v>
      </c>
      <c r="N1391">
        <v>4504500</v>
      </c>
      <c r="O1391">
        <v>71853.565161907798</v>
      </c>
      <c r="P1391">
        <v>0</v>
      </c>
      <c r="Q1391">
        <v>4504500</v>
      </c>
      <c r="R1391">
        <v>71853.565161907798</v>
      </c>
      <c r="S1391" t="s">
        <v>130</v>
      </c>
      <c r="T1391" t="s">
        <v>717</v>
      </c>
      <c r="U1391" t="s">
        <v>717</v>
      </c>
      <c r="V1391" t="s">
        <v>717</v>
      </c>
      <c r="W1391">
        <v>44781</v>
      </c>
      <c r="X1391" t="s">
        <v>6673</v>
      </c>
      <c r="Y1391" t="s">
        <v>6642</v>
      </c>
      <c r="Z1391" t="s">
        <v>17</v>
      </c>
      <c r="AA1391" t="s">
        <v>717</v>
      </c>
      <c r="AB1391" t="s">
        <v>2509</v>
      </c>
      <c r="AC1391" t="s">
        <v>717</v>
      </c>
      <c r="AD1391" t="s">
        <v>717</v>
      </c>
      <c r="AE1391" t="s">
        <v>6643</v>
      </c>
      <c r="AF1391" t="s">
        <v>717</v>
      </c>
      <c r="AG1391" t="s">
        <v>717</v>
      </c>
      <c r="AH1391" t="s">
        <v>717</v>
      </c>
      <c r="AI1391" t="s">
        <v>6644</v>
      </c>
      <c r="AJ1391" t="s">
        <v>6645</v>
      </c>
      <c r="AK1391" t="s">
        <v>29</v>
      </c>
      <c r="AL1391" t="s">
        <v>717</v>
      </c>
      <c r="AM1391" t="s">
        <v>10</v>
      </c>
      <c r="AN1391" t="s">
        <v>717</v>
      </c>
    </row>
    <row r="1392" spans="1:40" hidden="1">
      <c r="A1392">
        <v>1390</v>
      </c>
      <c r="B1392">
        <v>334</v>
      </c>
      <c r="C1392" s="58">
        <v>44784</v>
      </c>
      <c r="D1392" t="s">
        <v>27</v>
      </c>
      <c r="E1392" t="s">
        <v>5456</v>
      </c>
      <c r="F1392">
        <v>1</v>
      </c>
      <c r="G1392">
        <v>4</v>
      </c>
      <c r="H1392">
        <v>849</v>
      </c>
      <c r="I1392">
        <v>1</v>
      </c>
      <c r="J1392">
        <v>37.15</v>
      </c>
      <c r="K1392" t="s">
        <v>25</v>
      </c>
      <c r="L1392">
        <v>2690250</v>
      </c>
      <c r="M1392">
        <v>0</v>
      </c>
      <c r="N1392">
        <v>2690250</v>
      </c>
      <c r="O1392">
        <v>72415.881561238217</v>
      </c>
      <c r="P1392">
        <v>0</v>
      </c>
      <c r="Q1392">
        <v>2690250</v>
      </c>
      <c r="R1392">
        <v>72415.881561238217</v>
      </c>
      <c r="S1392" t="s">
        <v>130</v>
      </c>
      <c r="T1392" t="s">
        <v>717</v>
      </c>
      <c r="U1392" t="s">
        <v>717</v>
      </c>
      <c r="V1392" t="s">
        <v>717</v>
      </c>
      <c r="W1392">
        <v>44781</v>
      </c>
      <c r="X1392" t="s">
        <v>6674</v>
      </c>
      <c r="Y1392" t="s">
        <v>6642</v>
      </c>
      <c r="Z1392" t="s">
        <v>17</v>
      </c>
      <c r="AA1392" t="s">
        <v>717</v>
      </c>
      <c r="AB1392" t="s">
        <v>2509</v>
      </c>
      <c r="AC1392" t="s">
        <v>717</v>
      </c>
      <c r="AD1392" t="s">
        <v>717</v>
      </c>
      <c r="AE1392" t="s">
        <v>6643</v>
      </c>
      <c r="AF1392" t="s">
        <v>717</v>
      </c>
      <c r="AG1392" t="s">
        <v>717</v>
      </c>
      <c r="AH1392" t="s">
        <v>717</v>
      </c>
      <c r="AI1392" t="s">
        <v>6644</v>
      </c>
      <c r="AJ1392" t="s">
        <v>6645</v>
      </c>
      <c r="AK1392" t="s">
        <v>29</v>
      </c>
      <c r="AL1392" t="s">
        <v>717</v>
      </c>
      <c r="AM1392" t="s">
        <v>10</v>
      </c>
      <c r="AN1392" t="s">
        <v>717</v>
      </c>
    </row>
    <row r="1393" spans="1:40" hidden="1">
      <c r="A1393">
        <v>1391</v>
      </c>
      <c r="B1393">
        <v>335</v>
      </c>
      <c r="C1393" s="58">
        <v>44784</v>
      </c>
      <c r="D1393" t="s">
        <v>27</v>
      </c>
      <c r="E1393" t="s">
        <v>5456</v>
      </c>
      <c r="F1393">
        <v>2</v>
      </c>
      <c r="G1393">
        <v>4</v>
      </c>
      <c r="H1393">
        <v>850</v>
      </c>
      <c r="I1393">
        <v>3</v>
      </c>
      <c r="J1393">
        <v>86.1</v>
      </c>
      <c r="K1393" t="s">
        <v>25</v>
      </c>
      <c r="L1393">
        <v>6259500</v>
      </c>
      <c r="M1393">
        <v>0</v>
      </c>
      <c r="N1393">
        <v>6259500</v>
      </c>
      <c r="O1393">
        <v>72700.348432055747</v>
      </c>
      <c r="P1393">
        <v>0</v>
      </c>
      <c r="Q1393">
        <v>6259500</v>
      </c>
      <c r="R1393">
        <v>72700.348432055747</v>
      </c>
      <c r="S1393" t="s">
        <v>130</v>
      </c>
      <c r="T1393" t="s">
        <v>717</v>
      </c>
      <c r="U1393" t="s">
        <v>717</v>
      </c>
      <c r="V1393" t="s">
        <v>717</v>
      </c>
      <c r="W1393">
        <v>44781</v>
      </c>
      <c r="X1393" t="s">
        <v>6674</v>
      </c>
      <c r="Y1393" t="s">
        <v>6642</v>
      </c>
      <c r="Z1393" t="s">
        <v>17</v>
      </c>
      <c r="AA1393" t="s">
        <v>717</v>
      </c>
      <c r="AB1393" t="s">
        <v>2509</v>
      </c>
      <c r="AC1393" t="s">
        <v>717</v>
      </c>
      <c r="AD1393" t="s">
        <v>717</v>
      </c>
      <c r="AE1393" t="s">
        <v>6643</v>
      </c>
      <c r="AF1393" t="s">
        <v>717</v>
      </c>
      <c r="AG1393" t="s">
        <v>717</v>
      </c>
      <c r="AH1393" t="s">
        <v>717</v>
      </c>
      <c r="AI1393" t="s">
        <v>6644</v>
      </c>
      <c r="AJ1393" t="s">
        <v>6645</v>
      </c>
      <c r="AK1393" t="s">
        <v>29</v>
      </c>
      <c r="AL1393" t="s">
        <v>717</v>
      </c>
      <c r="AM1393" t="s">
        <v>10</v>
      </c>
      <c r="AN1393" t="s">
        <v>717</v>
      </c>
    </row>
    <row r="1394" spans="1:40" hidden="1">
      <c r="A1394">
        <v>1392</v>
      </c>
      <c r="B1394">
        <v>336</v>
      </c>
      <c r="C1394" s="58">
        <v>44784</v>
      </c>
      <c r="D1394" t="s">
        <v>27</v>
      </c>
      <c r="E1394" t="s">
        <v>5456</v>
      </c>
      <c r="F1394">
        <v>4</v>
      </c>
      <c r="G1394">
        <v>4</v>
      </c>
      <c r="H1394">
        <v>852</v>
      </c>
      <c r="I1394">
        <v>1</v>
      </c>
      <c r="J1394">
        <v>37.229999999999997</v>
      </c>
      <c r="K1394" t="s">
        <v>25</v>
      </c>
      <c r="L1394">
        <v>2693250</v>
      </c>
      <c r="M1394">
        <v>0</v>
      </c>
      <c r="N1394">
        <v>2693250</v>
      </c>
      <c r="O1394">
        <v>72340.854149879131</v>
      </c>
      <c r="P1394">
        <v>0</v>
      </c>
      <c r="Q1394">
        <v>2693250</v>
      </c>
      <c r="R1394">
        <v>72340.854149879131</v>
      </c>
      <c r="S1394" t="s">
        <v>130</v>
      </c>
      <c r="T1394" t="s">
        <v>717</v>
      </c>
      <c r="U1394" t="s">
        <v>717</v>
      </c>
      <c r="V1394" t="s">
        <v>717</v>
      </c>
      <c r="W1394">
        <v>44781</v>
      </c>
      <c r="X1394" t="s">
        <v>6674</v>
      </c>
      <c r="Y1394" t="s">
        <v>6642</v>
      </c>
      <c r="Z1394" t="s">
        <v>17</v>
      </c>
      <c r="AA1394" t="s">
        <v>717</v>
      </c>
      <c r="AB1394" t="s">
        <v>2509</v>
      </c>
      <c r="AC1394" t="s">
        <v>717</v>
      </c>
      <c r="AD1394" t="s">
        <v>717</v>
      </c>
      <c r="AE1394" t="s">
        <v>6643</v>
      </c>
      <c r="AF1394" t="s">
        <v>717</v>
      </c>
      <c r="AG1394" t="s">
        <v>717</v>
      </c>
      <c r="AH1394" t="s">
        <v>717</v>
      </c>
      <c r="AI1394" t="s">
        <v>6644</v>
      </c>
      <c r="AJ1394" t="s">
        <v>6645</v>
      </c>
      <c r="AK1394" t="s">
        <v>29</v>
      </c>
      <c r="AL1394" t="s">
        <v>717</v>
      </c>
      <c r="AM1394" t="s">
        <v>10</v>
      </c>
      <c r="AN1394" t="s">
        <v>717</v>
      </c>
    </row>
    <row r="1395" spans="1:40" hidden="1">
      <c r="A1395">
        <v>1393</v>
      </c>
      <c r="B1395">
        <v>337</v>
      </c>
      <c r="C1395" s="58">
        <v>44784</v>
      </c>
      <c r="D1395" t="s">
        <v>27</v>
      </c>
      <c r="E1395" t="s">
        <v>5456</v>
      </c>
      <c r="F1395">
        <v>5</v>
      </c>
      <c r="G1395">
        <v>4</v>
      </c>
      <c r="H1395">
        <v>853</v>
      </c>
      <c r="I1395">
        <v>1</v>
      </c>
      <c r="J1395">
        <v>37.270000000000003</v>
      </c>
      <c r="K1395" t="s">
        <v>25</v>
      </c>
      <c r="L1395">
        <v>2699250</v>
      </c>
      <c r="M1395">
        <v>0</v>
      </c>
      <c r="N1395">
        <v>2699250</v>
      </c>
      <c r="O1395">
        <v>72424.201770861269</v>
      </c>
      <c r="P1395">
        <v>0</v>
      </c>
      <c r="Q1395">
        <v>2699250</v>
      </c>
      <c r="R1395">
        <v>72424.201770861269</v>
      </c>
      <c r="S1395" t="s">
        <v>130</v>
      </c>
      <c r="T1395" t="s">
        <v>717</v>
      </c>
      <c r="U1395" t="s">
        <v>717</v>
      </c>
      <c r="V1395" t="s">
        <v>717</v>
      </c>
      <c r="W1395">
        <v>44781</v>
      </c>
      <c r="X1395" t="s">
        <v>6674</v>
      </c>
      <c r="Y1395" t="s">
        <v>6642</v>
      </c>
      <c r="Z1395" t="s">
        <v>17</v>
      </c>
      <c r="AA1395" t="s">
        <v>717</v>
      </c>
      <c r="AB1395" t="s">
        <v>2509</v>
      </c>
      <c r="AC1395" t="s">
        <v>717</v>
      </c>
      <c r="AD1395" t="s">
        <v>717</v>
      </c>
      <c r="AE1395" t="s">
        <v>6643</v>
      </c>
      <c r="AF1395" t="s">
        <v>717</v>
      </c>
      <c r="AG1395" t="s">
        <v>717</v>
      </c>
      <c r="AH1395" t="s">
        <v>717</v>
      </c>
      <c r="AI1395" t="s">
        <v>6644</v>
      </c>
      <c r="AJ1395" t="s">
        <v>6645</v>
      </c>
      <c r="AK1395" t="s">
        <v>29</v>
      </c>
      <c r="AL1395" t="s">
        <v>717</v>
      </c>
      <c r="AM1395" t="s">
        <v>10</v>
      </c>
      <c r="AN1395" t="s">
        <v>717</v>
      </c>
    </row>
    <row r="1396" spans="1:40" hidden="1">
      <c r="A1396">
        <v>1394</v>
      </c>
      <c r="B1396">
        <v>338</v>
      </c>
      <c r="C1396" s="58">
        <v>44784</v>
      </c>
      <c r="D1396" t="s">
        <v>27</v>
      </c>
      <c r="E1396" t="s">
        <v>5456</v>
      </c>
      <c r="F1396">
        <v>7</v>
      </c>
      <c r="G1396">
        <v>4</v>
      </c>
      <c r="H1396">
        <v>855</v>
      </c>
      <c r="I1396">
        <v>2</v>
      </c>
      <c r="J1396">
        <v>62.69</v>
      </c>
      <c r="K1396" t="s">
        <v>25</v>
      </c>
      <c r="L1396">
        <v>4504500</v>
      </c>
      <c r="M1396">
        <v>0</v>
      </c>
      <c r="N1396">
        <v>4504500</v>
      </c>
      <c r="O1396">
        <v>71853.565161907798</v>
      </c>
      <c r="P1396">
        <v>0</v>
      </c>
      <c r="Q1396">
        <v>4504500</v>
      </c>
      <c r="R1396">
        <v>71853.565161907798</v>
      </c>
      <c r="S1396" t="s">
        <v>130</v>
      </c>
      <c r="T1396" t="s">
        <v>717</v>
      </c>
      <c r="U1396" t="s">
        <v>717</v>
      </c>
      <c r="V1396" t="s">
        <v>717</v>
      </c>
      <c r="W1396">
        <v>44781</v>
      </c>
      <c r="X1396" t="s">
        <v>6674</v>
      </c>
      <c r="Y1396" t="s">
        <v>6642</v>
      </c>
      <c r="Z1396" t="s">
        <v>17</v>
      </c>
      <c r="AA1396" t="s">
        <v>717</v>
      </c>
      <c r="AB1396" t="s">
        <v>2509</v>
      </c>
      <c r="AC1396" t="s">
        <v>717</v>
      </c>
      <c r="AD1396" t="s">
        <v>717</v>
      </c>
      <c r="AE1396" t="s">
        <v>6643</v>
      </c>
      <c r="AF1396" t="s">
        <v>717</v>
      </c>
      <c r="AG1396" t="s">
        <v>717</v>
      </c>
      <c r="AH1396" t="s">
        <v>717</v>
      </c>
      <c r="AI1396" t="s">
        <v>6644</v>
      </c>
      <c r="AJ1396" t="s">
        <v>6645</v>
      </c>
      <c r="AK1396" t="s">
        <v>29</v>
      </c>
      <c r="AL1396" t="s">
        <v>717</v>
      </c>
      <c r="AM1396" t="s">
        <v>10</v>
      </c>
      <c r="AN1396" t="s">
        <v>717</v>
      </c>
    </row>
    <row r="1397" spans="1:40" hidden="1">
      <c r="A1397">
        <v>1395</v>
      </c>
      <c r="B1397">
        <v>339</v>
      </c>
      <c r="C1397" s="58">
        <v>44784</v>
      </c>
      <c r="D1397" t="s">
        <v>27</v>
      </c>
      <c r="E1397" t="s">
        <v>5456</v>
      </c>
      <c r="F1397">
        <v>2</v>
      </c>
      <c r="G1397">
        <v>5</v>
      </c>
      <c r="H1397">
        <v>859</v>
      </c>
      <c r="I1397">
        <v>3</v>
      </c>
      <c r="J1397">
        <v>86.1</v>
      </c>
      <c r="K1397" t="s">
        <v>25</v>
      </c>
      <c r="L1397">
        <v>6259500</v>
      </c>
      <c r="M1397">
        <v>0</v>
      </c>
      <c r="N1397">
        <v>6259500</v>
      </c>
      <c r="O1397">
        <v>72700.348432055747</v>
      </c>
      <c r="P1397">
        <v>0</v>
      </c>
      <c r="Q1397">
        <v>6259500</v>
      </c>
      <c r="R1397">
        <v>72700.348432055747</v>
      </c>
      <c r="S1397" t="s">
        <v>130</v>
      </c>
      <c r="T1397" t="s">
        <v>717</v>
      </c>
      <c r="U1397" t="s">
        <v>717</v>
      </c>
      <c r="V1397" t="s">
        <v>717</v>
      </c>
      <c r="W1397">
        <v>44781</v>
      </c>
      <c r="X1397" t="s">
        <v>6674</v>
      </c>
      <c r="Y1397" t="s">
        <v>6642</v>
      </c>
      <c r="Z1397" t="s">
        <v>17</v>
      </c>
      <c r="AA1397" t="s">
        <v>717</v>
      </c>
      <c r="AB1397" t="s">
        <v>2509</v>
      </c>
      <c r="AC1397" t="s">
        <v>717</v>
      </c>
      <c r="AD1397" t="s">
        <v>717</v>
      </c>
      <c r="AE1397" t="s">
        <v>6643</v>
      </c>
      <c r="AF1397" t="s">
        <v>717</v>
      </c>
      <c r="AG1397" t="s">
        <v>717</v>
      </c>
      <c r="AH1397" t="s">
        <v>717</v>
      </c>
      <c r="AI1397" t="s">
        <v>6644</v>
      </c>
      <c r="AJ1397" t="s">
        <v>6645</v>
      </c>
      <c r="AK1397" t="s">
        <v>29</v>
      </c>
      <c r="AL1397" t="s">
        <v>717</v>
      </c>
      <c r="AM1397" t="s">
        <v>10</v>
      </c>
      <c r="AN1397" t="s">
        <v>717</v>
      </c>
    </row>
    <row r="1398" spans="1:40" hidden="1">
      <c r="A1398">
        <v>1396</v>
      </c>
      <c r="B1398">
        <v>340</v>
      </c>
      <c r="C1398" s="58">
        <v>44784</v>
      </c>
      <c r="D1398" t="s">
        <v>27</v>
      </c>
      <c r="E1398" t="s">
        <v>5456</v>
      </c>
      <c r="F1398">
        <v>4</v>
      </c>
      <c r="G1398">
        <v>5</v>
      </c>
      <c r="H1398">
        <v>861</v>
      </c>
      <c r="I1398">
        <v>1</v>
      </c>
      <c r="J1398">
        <v>37.229999999999997</v>
      </c>
      <c r="K1398" t="s">
        <v>25</v>
      </c>
      <c r="L1398">
        <v>2693250</v>
      </c>
      <c r="M1398">
        <v>0</v>
      </c>
      <c r="N1398">
        <v>2693250</v>
      </c>
      <c r="O1398">
        <v>72340.854149879131</v>
      </c>
      <c r="P1398">
        <v>0</v>
      </c>
      <c r="Q1398">
        <v>2693250</v>
      </c>
      <c r="R1398">
        <v>72340.854149879131</v>
      </c>
      <c r="S1398" t="s">
        <v>130</v>
      </c>
      <c r="T1398" t="s">
        <v>717</v>
      </c>
      <c r="U1398" t="s">
        <v>717</v>
      </c>
      <c r="V1398" t="s">
        <v>717</v>
      </c>
      <c r="W1398">
        <v>44781</v>
      </c>
      <c r="X1398" t="s">
        <v>6674</v>
      </c>
      <c r="Y1398" t="s">
        <v>6642</v>
      </c>
      <c r="Z1398" t="s">
        <v>17</v>
      </c>
      <c r="AA1398" t="s">
        <v>717</v>
      </c>
      <c r="AB1398" t="s">
        <v>2509</v>
      </c>
      <c r="AC1398" t="s">
        <v>717</v>
      </c>
      <c r="AD1398" t="s">
        <v>717</v>
      </c>
      <c r="AE1398" t="s">
        <v>6643</v>
      </c>
      <c r="AF1398" t="s">
        <v>717</v>
      </c>
      <c r="AG1398" t="s">
        <v>717</v>
      </c>
      <c r="AH1398" t="s">
        <v>717</v>
      </c>
      <c r="AI1398" t="s">
        <v>6644</v>
      </c>
      <c r="AJ1398" t="s">
        <v>6645</v>
      </c>
      <c r="AK1398" t="s">
        <v>29</v>
      </c>
      <c r="AL1398" t="s">
        <v>717</v>
      </c>
      <c r="AM1398" t="s">
        <v>10</v>
      </c>
      <c r="AN1398" t="s">
        <v>717</v>
      </c>
    </row>
    <row r="1399" spans="1:40" hidden="1">
      <c r="A1399">
        <v>1397</v>
      </c>
      <c r="B1399">
        <v>341</v>
      </c>
      <c r="C1399" s="58">
        <v>44784</v>
      </c>
      <c r="D1399" t="s">
        <v>27</v>
      </c>
      <c r="E1399" t="s">
        <v>5456</v>
      </c>
      <c r="F1399">
        <v>5</v>
      </c>
      <c r="G1399">
        <v>5</v>
      </c>
      <c r="H1399">
        <v>862</v>
      </c>
      <c r="I1399">
        <v>1</v>
      </c>
      <c r="J1399">
        <v>37.270000000000003</v>
      </c>
      <c r="K1399" t="s">
        <v>25</v>
      </c>
      <c r="L1399">
        <v>2699250</v>
      </c>
      <c r="M1399">
        <v>0</v>
      </c>
      <c r="N1399">
        <v>2699250</v>
      </c>
      <c r="O1399">
        <v>72424.201770861269</v>
      </c>
      <c r="P1399">
        <v>0</v>
      </c>
      <c r="Q1399">
        <v>2699250</v>
      </c>
      <c r="R1399">
        <v>72424.201770861269</v>
      </c>
      <c r="S1399" t="s">
        <v>130</v>
      </c>
      <c r="T1399" t="s">
        <v>717</v>
      </c>
      <c r="U1399" t="s">
        <v>717</v>
      </c>
      <c r="V1399" t="s">
        <v>717</v>
      </c>
      <c r="W1399">
        <v>44781</v>
      </c>
      <c r="X1399" t="s">
        <v>6674</v>
      </c>
      <c r="Y1399" t="s">
        <v>6642</v>
      </c>
      <c r="Z1399" t="s">
        <v>17</v>
      </c>
      <c r="AA1399" t="s">
        <v>717</v>
      </c>
      <c r="AB1399" t="s">
        <v>2509</v>
      </c>
      <c r="AC1399" t="s">
        <v>717</v>
      </c>
      <c r="AD1399" t="s">
        <v>717</v>
      </c>
      <c r="AE1399" t="s">
        <v>6643</v>
      </c>
      <c r="AF1399" t="s">
        <v>717</v>
      </c>
      <c r="AG1399" t="s">
        <v>717</v>
      </c>
      <c r="AH1399" t="s">
        <v>717</v>
      </c>
      <c r="AI1399" t="s">
        <v>6644</v>
      </c>
      <c r="AJ1399" t="s">
        <v>6645</v>
      </c>
      <c r="AK1399" t="s">
        <v>29</v>
      </c>
      <c r="AL1399" t="s">
        <v>717</v>
      </c>
      <c r="AM1399" t="s">
        <v>10</v>
      </c>
      <c r="AN1399" t="s">
        <v>717</v>
      </c>
    </row>
    <row r="1400" spans="1:40" hidden="1">
      <c r="A1400">
        <v>1398</v>
      </c>
      <c r="B1400">
        <v>342</v>
      </c>
      <c r="C1400" s="58">
        <v>44784</v>
      </c>
      <c r="D1400" t="s">
        <v>27</v>
      </c>
      <c r="E1400" t="s">
        <v>5456</v>
      </c>
      <c r="F1400">
        <v>1</v>
      </c>
      <c r="G1400">
        <v>6</v>
      </c>
      <c r="H1400">
        <v>867</v>
      </c>
      <c r="I1400">
        <v>1</v>
      </c>
      <c r="J1400">
        <v>37.15</v>
      </c>
      <c r="K1400" t="s">
        <v>25</v>
      </c>
      <c r="L1400">
        <v>2690250</v>
      </c>
      <c r="M1400">
        <v>0</v>
      </c>
      <c r="N1400">
        <v>2690250</v>
      </c>
      <c r="O1400">
        <v>72415.881561238217</v>
      </c>
      <c r="P1400">
        <v>0</v>
      </c>
      <c r="Q1400">
        <v>2690250</v>
      </c>
      <c r="R1400">
        <v>72415.881561238217</v>
      </c>
      <c r="S1400" t="s">
        <v>130</v>
      </c>
      <c r="T1400" t="s">
        <v>717</v>
      </c>
      <c r="U1400" t="s">
        <v>717</v>
      </c>
      <c r="V1400" t="s">
        <v>717</v>
      </c>
      <c r="W1400">
        <v>44781</v>
      </c>
      <c r="X1400" t="s">
        <v>6675</v>
      </c>
      <c r="Y1400" t="s">
        <v>6642</v>
      </c>
      <c r="Z1400" t="s">
        <v>17</v>
      </c>
      <c r="AA1400" t="s">
        <v>717</v>
      </c>
      <c r="AB1400" t="s">
        <v>2509</v>
      </c>
      <c r="AC1400" t="s">
        <v>717</v>
      </c>
      <c r="AD1400" t="s">
        <v>717</v>
      </c>
      <c r="AE1400" t="s">
        <v>6643</v>
      </c>
      <c r="AF1400" t="s">
        <v>717</v>
      </c>
      <c r="AG1400" t="s">
        <v>717</v>
      </c>
      <c r="AH1400" t="s">
        <v>717</v>
      </c>
      <c r="AI1400" t="s">
        <v>6644</v>
      </c>
      <c r="AJ1400" t="s">
        <v>6645</v>
      </c>
      <c r="AK1400" t="s">
        <v>29</v>
      </c>
      <c r="AL1400" t="s">
        <v>717</v>
      </c>
      <c r="AM1400" t="s">
        <v>10</v>
      </c>
      <c r="AN1400" t="s">
        <v>717</v>
      </c>
    </row>
    <row r="1401" spans="1:40" hidden="1">
      <c r="A1401">
        <v>1399</v>
      </c>
      <c r="B1401">
        <v>343</v>
      </c>
      <c r="C1401" s="58">
        <v>44784</v>
      </c>
      <c r="D1401" t="s">
        <v>27</v>
      </c>
      <c r="E1401" t="s">
        <v>5456</v>
      </c>
      <c r="F1401">
        <v>2</v>
      </c>
      <c r="G1401">
        <v>6</v>
      </c>
      <c r="H1401">
        <v>868</v>
      </c>
      <c r="I1401">
        <v>3</v>
      </c>
      <c r="J1401">
        <v>86.1</v>
      </c>
      <c r="K1401" t="s">
        <v>25</v>
      </c>
      <c r="L1401">
        <v>6259500</v>
      </c>
      <c r="M1401">
        <v>0</v>
      </c>
      <c r="N1401">
        <v>6259500</v>
      </c>
      <c r="O1401">
        <v>72700.348432055747</v>
      </c>
      <c r="P1401">
        <v>0</v>
      </c>
      <c r="Q1401">
        <v>6259500</v>
      </c>
      <c r="R1401">
        <v>72700.348432055747</v>
      </c>
      <c r="S1401" t="s">
        <v>130</v>
      </c>
      <c r="T1401" t="s">
        <v>717</v>
      </c>
      <c r="U1401" t="s">
        <v>717</v>
      </c>
      <c r="V1401" t="s">
        <v>717</v>
      </c>
      <c r="W1401">
        <v>44781</v>
      </c>
      <c r="X1401" t="s">
        <v>6675</v>
      </c>
      <c r="Y1401" t="s">
        <v>6642</v>
      </c>
      <c r="Z1401" t="s">
        <v>17</v>
      </c>
      <c r="AA1401" t="s">
        <v>717</v>
      </c>
      <c r="AB1401" t="s">
        <v>2509</v>
      </c>
      <c r="AC1401" t="s">
        <v>717</v>
      </c>
      <c r="AD1401" t="s">
        <v>717</v>
      </c>
      <c r="AE1401" t="s">
        <v>6643</v>
      </c>
      <c r="AF1401" t="s">
        <v>717</v>
      </c>
      <c r="AG1401" t="s">
        <v>717</v>
      </c>
      <c r="AH1401" t="s">
        <v>717</v>
      </c>
      <c r="AI1401" t="s">
        <v>6644</v>
      </c>
      <c r="AJ1401" t="s">
        <v>6645</v>
      </c>
      <c r="AK1401" t="s">
        <v>29</v>
      </c>
      <c r="AL1401" t="s">
        <v>717</v>
      </c>
      <c r="AM1401" t="s">
        <v>10</v>
      </c>
      <c r="AN1401" t="s">
        <v>717</v>
      </c>
    </row>
    <row r="1402" spans="1:40" hidden="1">
      <c r="A1402">
        <v>1400</v>
      </c>
      <c r="B1402">
        <v>344</v>
      </c>
      <c r="C1402" s="58">
        <v>44784</v>
      </c>
      <c r="D1402" t="s">
        <v>27</v>
      </c>
      <c r="E1402" t="s">
        <v>5456</v>
      </c>
      <c r="F1402">
        <v>3</v>
      </c>
      <c r="G1402">
        <v>6</v>
      </c>
      <c r="H1402">
        <v>869</v>
      </c>
      <c r="I1402">
        <v>1</v>
      </c>
      <c r="J1402">
        <v>37.31</v>
      </c>
      <c r="K1402" t="s">
        <v>25</v>
      </c>
      <c r="L1402">
        <v>2699250</v>
      </c>
      <c r="M1402">
        <v>0</v>
      </c>
      <c r="N1402">
        <v>2699250</v>
      </c>
      <c r="O1402">
        <v>72346.555883141249</v>
      </c>
      <c r="P1402">
        <v>0</v>
      </c>
      <c r="Q1402">
        <v>2699250</v>
      </c>
      <c r="R1402">
        <v>72346.555883141249</v>
      </c>
      <c r="S1402" t="s">
        <v>130</v>
      </c>
      <c r="T1402" t="s">
        <v>717</v>
      </c>
      <c r="U1402" t="s">
        <v>717</v>
      </c>
      <c r="V1402" t="s">
        <v>717</v>
      </c>
      <c r="W1402">
        <v>44781</v>
      </c>
      <c r="X1402" t="s">
        <v>6675</v>
      </c>
      <c r="Y1402" t="s">
        <v>6642</v>
      </c>
      <c r="Z1402" t="s">
        <v>17</v>
      </c>
      <c r="AA1402" t="s">
        <v>717</v>
      </c>
      <c r="AB1402" t="s">
        <v>2509</v>
      </c>
      <c r="AC1402" t="s">
        <v>717</v>
      </c>
      <c r="AD1402" t="s">
        <v>717</v>
      </c>
      <c r="AE1402" t="s">
        <v>6643</v>
      </c>
      <c r="AF1402" t="s">
        <v>717</v>
      </c>
      <c r="AG1402" t="s">
        <v>717</v>
      </c>
      <c r="AH1402" t="s">
        <v>717</v>
      </c>
      <c r="AI1402" t="s">
        <v>6644</v>
      </c>
      <c r="AJ1402" t="s">
        <v>6645</v>
      </c>
      <c r="AK1402" t="s">
        <v>29</v>
      </c>
      <c r="AL1402" t="s">
        <v>717</v>
      </c>
      <c r="AM1402" t="s">
        <v>10</v>
      </c>
      <c r="AN1402" t="s">
        <v>717</v>
      </c>
    </row>
    <row r="1403" spans="1:40" hidden="1">
      <c r="A1403">
        <v>1401</v>
      </c>
      <c r="B1403">
        <v>345</v>
      </c>
      <c r="C1403" s="58">
        <v>44784</v>
      </c>
      <c r="D1403" t="s">
        <v>27</v>
      </c>
      <c r="E1403" t="s">
        <v>5456</v>
      </c>
      <c r="F1403">
        <v>4</v>
      </c>
      <c r="G1403">
        <v>6</v>
      </c>
      <c r="H1403">
        <v>870</v>
      </c>
      <c r="I1403">
        <v>1</v>
      </c>
      <c r="J1403">
        <v>37.229999999999997</v>
      </c>
      <c r="K1403" t="s">
        <v>25</v>
      </c>
      <c r="L1403">
        <v>2693250</v>
      </c>
      <c r="M1403">
        <v>0</v>
      </c>
      <c r="N1403">
        <v>2693250</v>
      </c>
      <c r="O1403">
        <v>72340.854149879131</v>
      </c>
      <c r="P1403">
        <v>0</v>
      </c>
      <c r="Q1403">
        <v>2693250</v>
      </c>
      <c r="R1403">
        <v>72340.854149879131</v>
      </c>
      <c r="S1403" t="s">
        <v>130</v>
      </c>
      <c r="T1403" t="s">
        <v>717</v>
      </c>
      <c r="U1403" t="s">
        <v>717</v>
      </c>
      <c r="V1403" t="s">
        <v>717</v>
      </c>
      <c r="W1403">
        <v>44781</v>
      </c>
      <c r="X1403" t="s">
        <v>6675</v>
      </c>
      <c r="Y1403" t="s">
        <v>6642</v>
      </c>
      <c r="Z1403" t="s">
        <v>17</v>
      </c>
      <c r="AA1403" t="s">
        <v>717</v>
      </c>
      <c r="AB1403" t="s">
        <v>2509</v>
      </c>
      <c r="AC1403" t="s">
        <v>717</v>
      </c>
      <c r="AD1403" t="s">
        <v>717</v>
      </c>
      <c r="AE1403" t="s">
        <v>6643</v>
      </c>
      <c r="AF1403" t="s">
        <v>717</v>
      </c>
      <c r="AG1403" t="s">
        <v>717</v>
      </c>
      <c r="AH1403" t="s">
        <v>717</v>
      </c>
      <c r="AI1403" t="s">
        <v>6644</v>
      </c>
      <c r="AJ1403" t="s">
        <v>6645</v>
      </c>
      <c r="AK1403" t="s">
        <v>29</v>
      </c>
      <c r="AL1403" t="s">
        <v>717</v>
      </c>
      <c r="AM1403" t="s">
        <v>10</v>
      </c>
      <c r="AN1403" t="s">
        <v>717</v>
      </c>
    </row>
    <row r="1404" spans="1:40" hidden="1">
      <c r="A1404">
        <v>1402</v>
      </c>
      <c r="B1404">
        <v>346</v>
      </c>
      <c r="C1404" s="58">
        <v>44784</v>
      </c>
      <c r="D1404" t="s">
        <v>27</v>
      </c>
      <c r="E1404" t="s">
        <v>5456</v>
      </c>
      <c r="F1404">
        <v>7</v>
      </c>
      <c r="G1404">
        <v>6</v>
      </c>
      <c r="H1404">
        <v>873</v>
      </c>
      <c r="I1404">
        <v>2</v>
      </c>
      <c r="J1404">
        <v>62.69</v>
      </c>
      <c r="K1404" t="s">
        <v>25</v>
      </c>
      <c r="L1404">
        <v>4504500</v>
      </c>
      <c r="M1404">
        <v>0</v>
      </c>
      <c r="N1404">
        <v>4504500</v>
      </c>
      <c r="O1404">
        <v>71853.565161907798</v>
      </c>
      <c r="P1404">
        <v>0</v>
      </c>
      <c r="Q1404">
        <v>4504500</v>
      </c>
      <c r="R1404">
        <v>71853.565161907798</v>
      </c>
      <c r="S1404" t="s">
        <v>130</v>
      </c>
      <c r="T1404" t="s">
        <v>717</v>
      </c>
      <c r="U1404" t="s">
        <v>717</v>
      </c>
      <c r="V1404" t="s">
        <v>717</v>
      </c>
      <c r="W1404">
        <v>44781</v>
      </c>
      <c r="X1404" t="s">
        <v>6675</v>
      </c>
      <c r="Y1404" t="s">
        <v>6642</v>
      </c>
      <c r="Z1404" t="s">
        <v>17</v>
      </c>
      <c r="AA1404" t="s">
        <v>717</v>
      </c>
      <c r="AB1404" t="s">
        <v>2509</v>
      </c>
      <c r="AC1404" t="s">
        <v>717</v>
      </c>
      <c r="AD1404" t="s">
        <v>717</v>
      </c>
      <c r="AE1404" t="s">
        <v>6643</v>
      </c>
      <c r="AF1404" t="s">
        <v>717</v>
      </c>
      <c r="AG1404" t="s">
        <v>717</v>
      </c>
      <c r="AH1404" t="s">
        <v>717</v>
      </c>
      <c r="AI1404" t="s">
        <v>6644</v>
      </c>
      <c r="AJ1404" t="s">
        <v>6645</v>
      </c>
      <c r="AK1404" t="s">
        <v>29</v>
      </c>
      <c r="AL1404" t="s">
        <v>717</v>
      </c>
      <c r="AM1404" t="s">
        <v>10</v>
      </c>
      <c r="AN1404" t="s">
        <v>717</v>
      </c>
    </row>
    <row r="1405" spans="1:40" hidden="1">
      <c r="A1405">
        <v>1403</v>
      </c>
      <c r="B1405">
        <v>347</v>
      </c>
      <c r="C1405" s="58">
        <v>44784</v>
      </c>
      <c r="D1405" t="s">
        <v>27</v>
      </c>
      <c r="E1405" t="s">
        <v>5456</v>
      </c>
      <c r="F1405">
        <v>2</v>
      </c>
      <c r="G1405">
        <v>7</v>
      </c>
      <c r="H1405">
        <v>877</v>
      </c>
      <c r="I1405">
        <v>3</v>
      </c>
      <c r="J1405">
        <v>86.1</v>
      </c>
      <c r="K1405" t="s">
        <v>25</v>
      </c>
      <c r="L1405">
        <v>6259500</v>
      </c>
      <c r="M1405">
        <v>0</v>
      </c>
      <c r="N1405">
        <v>6259500</v>
      </c>
      <c r="O1405">
        <v>72700.348432055747</v>
      </c>
      <c r="P1405">
        <v>0</v>
      </c>
      <c r="Q1405">
        <v>6259500</v>
      </c>
      <c r="R1405">
        <v>72700.348432055747</v>
      </c>
      <c r="S1405" t="s">
        <v>130</v>
      </c>
      <c r="T1405" t="s">
        <v>717</v>
      </c>
      <c r="U1405" t="s">
        <v>717</v>
      </c>
      <c r="V1405" t="s">
        <v>717</v>
      </c>
      <c r="W1405">
        <v>44781</v>
      </c>
      <c r="X1405" t="s">
        <v>6675</v>
      </c>
      <c r="Y1405" t="s">
        <v>6642</v>
      </c>
      <c r="Z1405" t="s">
        <v>17</v>
      </c>
      <c r="AA1405" t="s">
        <v>717</v>
      </c>
      <c r="AB1405" t="s">
        <v>2509</v>
      </c>
      <c r="AC1405" t="s">
        <v>717</v>
      </c>
      <c r="AD1405" t="s">
        <v>717</v>
      </c>
      <c r="AE1405" t="s">
        <v>6643</v>
      </c>
      <c r="AF1405" t="s">
        <v>717</v>
      </c>
      <c r="AG1405" t="s">
        <v>717</v>
      </c>
      <c r="AH1405" t="s">
        <v>717</v>
      </c>
      <c r="AI1405" t="s">
        <v>6644</v>
      </c>
      <c r="AJ1405" t="s">
        <v>6645</v>
      </c>
      <c r="AK1405" t="s">
        <v>29</v>
      </c>
      <c r="AL1405" t="s">
        <v>717</v>
      </c>
      <c r="AM1405" t="s">
        <v>10</v>
      </c>
      <c r="AN1405" t="s">
        <v>717</v>
      </c>
    </row>
    <row r="1406" spans="1:40" hidden="1">
      <c r="A1406">
        <v>1404</v>
      </c>
      <c r="B1406">
        <v>348</v>
      </c>
      <c r="C1406" s="58">
        <v>44784</v>
      </c>
      <c r="D1406" t="s">
        <v>27</v>
      </c>
      <c r="E1406" t="s">
        <v>5456</v>
      </c>
      <c r="F1406">
        <v>3</v>
      </c>
      <c r="G1406">
        <v>7</v>
      </c>
      <c r="H1406">
        <v>878</v>
      </c>
      <c r="I1406">
        <v>1</v>
      </c>
      <c r="J1406">
        <v>37.31</v>
      </c>
      <c r="K1406" t="s">
        <v>25</v>
      </c>
      <c r="L1406">
        <v>2699250</v>
      </c>
      <c r="M1406">
        <v>0</v>
      </c>
      <c r="N1406">
        <v>2699250</v>
      </c>
      <c r="O1406">
        <v>72346.555883141249</v>
      </c>
      <c r="P1406">
        <v>0</v>
      </c>
      <c r="Q1406">
        <v>2699250</v>
      </c>
      <c r="R1406">
        <v>72346.555883141249</v>
      </c>
      <c r="S1406" t="s">
        <v>130</v>
      </c>
      <c r="T1406" t="s">
        <v>717</v>
      </c>
      <c r="U1406" t="s">
        <v>717</v>
      </c>
      <c r="V1406" t="s">
        <v>717</v>
      </c>
      <c r="W1406">
        <v>44781</v>
      </c>
      <c r="X1406" t="s">
        <v>6675</v>
      </c>
      <c r="Y1406" t="s">
        <v>6642</v>
      </c>
      <c r="Z1406" t="s">
        <v>17</v>
      </c>
      <c r="AA1406" t="s">
        <v>717</v>
      </c>
      <c r="AB1406" t="s">
        <v>2509</v>
      </c>
      <c r="AC1406" t="s">
        <v>717</v>
      </c>
      <c r="AD1406" t="s">
        <v>717</v>
      </c>
      <c r="AE1406" t="s">
        <v>6643</v>
      </c>
      <c r="AF1406" t="s">
        <v>717</v>
      </c>
      <c r="AG1406" t="s">
        <v>717</v>
      </c>
      <c r="AH1406" t="s">
        <v>717</v>
      </c>
      <c r="AI1406" t="s">
        <v>6644</v>
      </c>
      <c r="AJ1406" t="s">
        <v>6645</v>
      </c>
      <c r="AK1406" t="s">
        <v>29</v>
      </c>
      <c r="AL1406" t="s">
        <v>717</v>
      </c>
      <c r="AM1406" t="s">
        <v>10</v>
      </c>
      <c r="AN1406" t="s">
        <v>717</v>
      </c>
    </row>
    <row r="1407" spans="1:40" hidden="1">
      <c r="A1407">
        <v>1405</v>
      </c>
      <c r="B1407">
        <v>349</v>
      </c>
      <c r="C1407" s="58">
        <v>44784</v>
      </c>
      <c r="D1407" t="s">
        <v>27</v>
      </c>
      <c r="E1407" t="s">
        <v>5456</v>
      </c>
      <c r="F1407">
        <v>4</v>
      </c>
      <c r="G1407">
        <v>7</v>
      </c>
      <c r="H1407">
        <v>879</v>
      </c>
      <c r="I1407">
        <v>1</v>
      </c>
      <c r="J1407">
        <v>37.229999999999997</v>
      </c>
      <c r="K1407" t="s">
        <v>25</v>
      </c>
      <c r="L1407">
        <v>2693250</v>
      </c>
      <c r="M1407">
        <v>0</v>
      </c>
      <c r="N1407">
        <v>2693250</v>
      </c>
      <c r="O1407">
        <v>72340.854149879131</v>
      </c>
      <c r="P1407">
        <v>0</v>
      </c>
      <c r="Q1407">
        <v>2693250</v>
      </c>
      <c r="R1407">
        <v>72340.854149879131</v>
      </c>
      <c r="S1407" t="s">
        <v>130</v>
      </c>
      <c r="T1407" t="s">
        <v>717</v>
      </c>
      <c r="U1407" t="s">
        <v>717</v>
      </c>
      <c r="V1407" t="s">
        <v>717</v>
      </c>
      <c r="W1407">
        <v>44781</v>
      </c>
      <c r="X1407" t="s">
        <v>6675</v>
      </c>
      <c r="Y1407" t="s">
        <v>6642</v>
      </c>
      <c r="Z1407" t="s">
        <v>17</v>
      </c>
      <c r="AA1407" t="s">
        <v>717</v>
      </c>
      <c r="AB1407" t="s">
        <v>2509</v>
      </c>
      <c r="AC1407" t="s">
        <v>717</v>
      </c>
      <c r="AD1407" t="s">
        <v>717</v>
      </c>
      <c r="AE1407" t="s">
        <v>6643</v>
      </c>
      <c r="AF1407" t="s">
        <v>717</v>
      </c>
      <c r="AG1407" t="s">
        <v>717</v>
      </c>
      <c r="AH1407" t="s">
        <v>717</v>
      </c>
      <c r="AI1407" t="s">
        <v>6644</v>
      </c>
      <c r="AJ1407" t="s">
        <v>6645</v>
      </c>
      <c r="AK1407" t="s">
        <v>29</v>
      </c>
      <c r="AL1407" t="s">
        <v>717</v>
      </c>
      <c r="AM1407" t="s">
        <v>10</v>
      </c>
      <c r="AN1407" t="s">
        <v>717</v>
      </c>
    </row>
    <row r="1408" spans="1:40" hidden="1">
      <c r="A1408">
        <v>1406</v>
      </c>
      <c r="B1408">
        <v>350</v>
      </c>
      <c r="C1408" s="58">
        <v>44784</v>
      </c>
      <c r="D1408" t="s">
        <v>27</v>
      </c>
      <c r="E1408" t="s">
        <v>5456</v>
      </c>
      <c r="F1408">
        <v>5</v>
      </c>
      <c r="G1408">
        <v>7</v>
      </c>
      <c r="H1408">
        <v>880</v>
      </c>
      <c r="I1408">
        <v>1</v>
      </c>
      <c r="J1408">
        <v>37.270000000000003</v>
      </c>
      <c r="K1408" t="s">
        <v>25</v>
      </c>
      <c r="L1408">
        <v>2699250</v>
      </c>
      <c r="M1408">
        <v>0</v>
      </c>
      <c r="N1408">
        <v>2699250</v>
      </c>
      <c r="O1408">
        <v>72424.201770861269</v>
      </c>
      <c r="P1408">
        <v>0</v>
      </c>
      <c r="Q1408">
        <v>2699250</v>
      </c>
      <c r="R1408">
        <v>72424.201770861269</v>
      </c>
      <c r="S1408" t="s">
        <v>130</v>
      </c>
      <c r="T1408" t="s">
        <v>717</v>
      </c>
      <c r="U1408" t="s">
        <v>717</v>
      </c>
      <c r="V1408" t="s">
        <v>717</v>
      </c>
      <c r="W1408">
        <v>44781</v>
      </c>
      <c r="X1408" t="s">
        <v>6675</v>
      </c>
      <c r="Y1408" t="s">
        <v>6642</v>
      </c>
      <c r="Z1408" t="s">
        <v>17</v>
      </c>
      <c r="AA1408" t="s">
        <v>717</v>
      </c>
      <c r="AB1408" t="s">
        <v>2509</v>
      </c>
      <c r="AC1408" t="s">
        <v>717</v>
      </c>
      <c r="AD1408" t="s">
        <v>717</v>
      </c>
      <c r="AE1408" t="s">
        <v>6643</v>
      </c>
      <c r="AF1408" t="s">
        <v>717</v>
      </c>
      <c r="AG1408" t="s">
        <v>717</v>
      </c>
      <c r="AH1408" t="s">
        <v>717</v>
      </c>
      <c r="AI1408" t="s">
        <v>6644</v>
      </c>
      <c r="AJ1408" t="s">
        <v>6645</v>
      </c>
      <c r="AK1408" t="s">
        <v>29</v>
      </c>
      <c r="AL1408" t="s">
        <v>717</v>
      </c>
      <c r="AM1408" t="s">
        <v>10</v>
      </c>
      <c r="AN1408" t="s">
        <v>717</v>
      </c>
    </row>
    <row r="1409" spans="1:40" hidden="1">
      <c r="A1409">
        <v>1407</v>
      </c>
      <c r="B1409">
        <v>351</v>
      </c>
      <c r="C1409" s="58">
        <v>44784</v>
      </c>
      <c r="D1409" t="s">
        <v>27</v>
      </c>
      <c r="E1409" t="s">
        <v>5456</v>
      </c>
      <c r="F1409">
        <v>7</v>
      </c>
      <c r="G1409">
        <v>7</v>
      </c>
      <c r="H1409">
        <v>882</v>
      </c>
      <c r="I1409">
        <v>2</v>
      </c>
      <c r="J1409">
        <v>62.69</v>
      </c>
      <c r="K1409" t="s">
        <v>25</v>
      </c>
      <c r="L1409">
        <v>4504500</v>
      </c>
      <c r="M1409">
        <v>0</v>
      </c>
      <c r="N1409">
        <v>4504500</v>
      </c>
      <c r="O1409">
        <v>71853.565161907798</v>
      </c>
      <c r="P1409">
        <v>0</v>
      </c>
      <c r="Q1409">
        <v>4504500</v>
      </c>
      <c r="R1409">
        <v>71853.565161907798</v>
      </c>
      <c r="S1409" t="s">
        <v>130</v>
      </c>
      <c r="T1409" t="s">
        <v>717</v>
      </c>
      <c r="U1409" t="s">
        <v>717</v>
      </c>
      <c r="V1409" t="s">
        <v>717</v>
      </c>
      <c r="W1409">
        <v>44781</v>
      </c>
      <c r="X1409" t="s">
        <v>6675</v>
      </c>
      <c r="Y1409" t="s">
        <v>6642</v>
      </c>
      <c r="Z1409" t="s">
        <v>17</v>
      </c>
      <c r="AA1409" t="s">
        <v>717</v>
      </c>
      <c r="AB1409" t="s">
        <v>2509</v>
      </c>
      <c r="AC1409" t="s">
        <v>717</v>
      </c>
      <c r="AD1409" t="s">
        <v>717</v>
      </c>
      <c r="AE1409" t="s">
        <v>6643</v>
      </c>
      <c r="AF1409" t="s">
        <v>717</v>
      </c>
      <c r="AG1409" t="s">
        <v>717</v>
      </c>
      <c r="AH1409" t="s">
        <v>717</v>
      </c>
      <c r="AI1409" t="s">
        <v>6644</v>
      </c>
      <c r="AJ1409" t="s">
        <v>6645</v>
      </c>
      <c r="AK1409" t="s">
        <v>29</v>
      </c>
      <c r="AL1409" t="s">
        <v>717</v>
      </c>
      <c r="AM1409" t="s">
        <v>10</v>
      </c>
      <c r="AN1409" t="s">
        <v>717</v>
      </c>
    </row>
    <row r="1410" spans="1:40" hidden="1">
      <c r="A1410">
        <v>1408</v>
      </c>
      <c r="B1410">
        <v>352</v>
      </c>
      <c r="C1410" s="58">
        <v>44785</v>
      </c>
      <c r="D1410" t="s">
        <v>27</v>
      </c>
      <c r="E1410" t="s">
        <v>5456</v>
      </c>
      <c r="F1410">
        <v>2</v>
      </c>
      <c r="G1410">
        <v>8</v>
      </c>
      <c r="H1410">
        <v>886</v>
      </c>
      <c r="I1410">
        <v>3</v>
      </c>
      <c r="J1410">
        <v>86.1</v>
      </c>
      <c r="K1410" t="s">
        <v>25</v>
      </c>
      <c r="L1410">
        <v>6259500</v>
      </c>
      <c r="M1410">
        <v>0</v>
      </c>
      <c r="N1410">
        <v>6259500</v>
      </c>
      <c r="O1410">
        <v>72700.348432055747</v>
      </c>
      <c r="P1410">
        <v>0</v>
      </c>
      <c r="Q1410">
        <v>6259500</v>
      </c>
      <c r="R1410">
        <v>72700.348432055747</v>
      </c>
      <c r="S1410" t="s">
        <v>130</v>
      </c>
      <c r="T1410" t="s">
        <v>717</v>
      </c>
      <c r="U1410" t="s">
        <v>717</v>
      </c>
      <c r="V1410" t="s">
        <v>717</v>
      </c>
      <c r="W1410">
        <v>44781</v>
      </c>
      <c r="X1410" t="s">
        <v>6676</v>
      </c>
      <c r="Y1410" t="s">
        <v>6642</v>
      </c>
      <c r="Z1410" t="s">
        <v>17</v>
      </c>
      <c r="AA1410" t="s">
        <v>717</v>
      </c>
      <c r="AB1410" t="s">
        <v>2509</v>
      </c>
      <c r="AC1410" t="s">
        <v>717</v>
      </c>
      <c r="AD1410" t="s">
        <v>717</v>
      </c>
      <c r="AE1410" t="s">
        <v>6643</v>
      </c>
      <c r="AF1410" t="s">
        <v>717</v>
      </c>
      <c r="AG1410" t="s">
        <v>717</v>
      </c>
      <c r="AH1410" t="s">
        <v>717</v>
      </c>
      <c r="AI1410" t="s">
        <v>6644</v>
      </c>
      <c r="AJ1410" t="s">
        <v>6645</v>
      </c>
      <c r="AK1410" t="s">
        <v>29</v>
      </c>
      <c r="AL1410" t="s">
        <v>717</v>
      </c>
      <c r="AM1410" t="s">
        <v>10</v>
      </c>
      <c r="AN1410" t="s">
        <v>717</v>
      </c>
    </row>
    <row r="1411" spans="1:40" hidden="1">
      <c r="A1411">
        <v>1409</v>
      </c>
      <c r="B1411">
        <v>353</v>
      </c>
      <c r="C1411" s="58">
        <v>44785</v>
      </c>
      <c r="D1411" t="s">
        <v>27</v>
      </c>
      <c r="E1411" t="s">
        <v>5456</v>
      </c>
      <c r="F1411">
        <v>4</v>
      </c>
      <c r="G1411">
        <v>8</v>
      </c>
      <c r="H1411">
        <v>888</v>
      </c>
      <c r="I1411">
        <v>1</v>
      </c>
      <c r="J1411">
        <v>37.229999999999997</v>
      </c>
      <c r="K1411" t="s">
        <v>25</v>
      </c>
      <c r="L1411">
        <v>2693250</v>
      </c>
      <c r="M1411">
        <v>0</v>
      </c>
      <c r="N1411">
        <v>2693250</v>
      </c>
      <c r="O1411">
        <v>72340.854149879131</v>
      </c>
      <c r="P1411">
        <v>0</v>
      </c>
      <c r="Q1411">
        <v>2693250</v>
      </c>
      <c r="R1411">
        <v>72340.854149879131</v>
      </c>
      <c r="S1411" t="s">
        <v>130</v>
      </c>
      <c r="T1411" t="s">
        <v>717</v>
      </c>
      <c r="U1411" t="s">
        <v>717</v>
      </c>
      <c r="V1411" t="s">
        <v>717</v>
      </c>
      <c r="W1411">
        <v>44781</v>
      </c>
      <c r="X1411" t="s">
        <v>6676</v>
      </c>
      <c r="Y1411" t="s">
        <v>6642</v>
      </c>
      <c r="Z1411" t="s">
        <v>17</v>
      </c>
      <c r="AA1411" t="s">
        <v>717</v>
      </c>
      <c r="AB1411" t="s">
        <v>2509</v>
      </c>
      <c r="AC1411" t="s">
        <v>717</v>
      </c>
      <c r="AD1411" t="s">
        <v>717</v>
      </c>
      <c r="AE1411" t="s">
        <v>6643</v>
      </c>
      <c r="AF1411" t="s">
        <v>717</v>
      </c>
      <c r="AG1411" t="s">
        <v>717</v>
      </c>
      <c r="AH1411" t="s">
        <v>717</v>
      </c>
      <c r="AI1411" t="s">
        <v>6644</v>
      </c>
      <c r="AJ1411" t="s">
        <v>6645</v>
      </c>
      <c r="AK1411" t="s">
        <v>29</v>
      </c>
      <c r="AL1411" t="s">
        <v>717</v>
      </c>
      <c r="AM1411" t="s">
        <v>10</v>
      </c>
      <c r="AN1411" t="s">
        <v>717</v>
      </c>
    </row>
    <row r="1412" spans="1:40" hidden="1">
      <c r="A1412">
        <v>1410</v>
      </c>
      <c r="B1412">
        <v>354</v>
      </c>
      <c r="C1412" s="58">
        <v>44785</v>
      </c>
      <c r="D1412" t="s">
        <v>27</v>
      </c>
      <c r="E1412" t="s">
        <v>5456</v>
      </c>
      <c r="F1412">
        <v>5</v>
      </c>
      <c r="G1412">
        <v>8</v>
      </c>
      <c r="H1412">
        <v>889</v>
      </c>
      <c r="I1412">
        <v>1</v>
      </c>
      <c r="J1412">
        <v>37.270000000000003</v>
      </c>
      <c r="K1412" t="s">
        <v>25</v>
      </c>
      <c r="L1412">
        <v>2699250</v>
      </c>
      <c r="M1412">
        <v>0</v>
      </c>
      <c r="N1412">
        <v>2699250</v>
      </c>
      <c r="O1412">
        <v>72424.201770861269</v>
      </c>
      <c r="P1412">
        <v>0</v>
      </c>
      <c r="Q1412">
        <v>2699250</v>
      </c>
      <c r="R1412">
        <v>72424.201770861269</v>
      </c>
      <c r="S1412" t="s">
        <v>130</v>
      </c>
      <c r="T1412" t="s">
        <v>717</v>
      </c>
      <c r="U1412" t="s">
        <v>717</v>
      </c>
      <c r="V1412" t="s">
        <v>717</v>
      </c>
      <c r="W1412">
        <v>44781</v>
      </c>
      <c r="X1412" t="s">
        <v>6676</v>
      </c>
      <c r="Y1412" t="s">
        <v>6642</v>
      </c>
      <c r="Z1412" t="s">
        <v>17</v>
      </c>
      <c r="AA1412" t="s">
        <v>717</v>
      </c>
      <c r="AB1412" t="s">
        <v>2509</v>
      </c>
      <c r="AC1412" t="s">
        <v>717</v>
      </c>
      <c r="AD1412" t="s">
        <v>717</v>
      </c>
      <c r="AE1412" t="s">
        <v>6643</v>
      </c>
      <c r="AF1412" t="s">
        <v>717</v>
      </c>
      <c r="AG1412" t="s">
        <v>717</v>
      </c>
      <c r="AH1412" t="s">
        <v>717</v>
      </c>
      <c r="AI1412" t="s">
        <v>6644</v>
      </c>
      <c r="AJ1412" t="s">
        <v>6645</v>
      </c>
      <c r="AK1412" t="s">
        <v>29</v>
      </c>
      <c r="AL1412" t="s">
        <v>717</v>
      </c>
      <c r="AM1412" t="s">
        <v>10</v>
      </c>
      <c r="AN1412" t="s">
        <v>717</v>
      </c>
    </row>
    <row r="1413" spans="1:40" hidden="1">
      <c r="A1413">
        <v>1411</v>
      </c>
      <c r="B1413">
        <v>355</v>
      </c>
      <c r="C1413" s="58">
        <v>44785</v>
      </c>
      <c r="D1413" t="s">
        <v>27</v>
      </c>
      <c r="E1413" t="s">
        <v>5456</v>
      </c>
      <c r="F1413">
        <v>7</v>
      </c>
      <c r="G1413">
        <v>8</v>
      </c>
      <c r="H1413">
        <v>891</v>
      </c>
      <c r="I1413">
        <v>2</v>
      </c>
      <c r="J1413">
        <v>62.69</v>
      </c>
      <c r="K1413" t="s">
        <v>25</v>
      </c>
      <c r="L1413">
        <v>4504500</v>
      </c>
      <c r="M1413">
        <v>0</v>
      </c>
      <c r="N1413">
        <v>4504500</v>
      </c>
      <c r="O1413">
        <v>71853.565161907798</v>
      </c>
      <c r="P1413">
        <v>0</v>
      </c>
      <c r="Q1413">
        <v>4504500</v>
      </c>
      <c r="R1413">
        <v>71853.565161907798</v>
      </c>
      <c r="S1413" t="s">
        <v>130</v>
      </c>
      <c r="T1413" t="s">
        <v>717</v>
      </c>
      <c r="U1413" t="s">
        <v>717</v>
      </c>
      <c r="V1413" t="s">
        <v>717</v>
      </c>
      <c r="W1413">
        <v>44781</v>
      </c>
      <c r="X1413" t="s">
        <v>6676</v>
      </c>
      <c r="Y1413" t="s">
        <v>6642</v>
      </c>
      <c r="Z1413" t="s">
        <v>17</v>
      </c>
      <c r="AA1413" t="s">
        <v>717</v>
      </c>
      <c r="AB1413" t="s">
        <v>2509</v>
      </c>
      <c r="AC1413" t="s">
        <v>717</v>
      </c>
      <c r="AD1413" t="s">
        <v>717</v>
      </c>
      <c r="AE1413" t="s">
        <v>6643</v>
      </c>
      <c r="AF1413" t="s">
        <v>717</v>
      </c>
      <c r="AG1413" t="s">
        <v>717</v>
      </c>
      <c r="AH1413" t="s">
        <v>717</v>
      </c>
      <c r="AI1413" t="s">
        <v>6644</v>
      </c>
      <c r="AJ1413" t="s">
        <v>6645</v>
      </c>
      <c r="AK1413" t="s">
        <v>29</v>
      </c>
      <c r="AL1413" t="s">
        <v>717</v>
      </c>
      <c r="AM1413" t="s">
        <v>10</v>
      </c>
      <c r="AN1413" t="s">
        <v>717</v>
      </c>
    </row>
    <row r="1414" spans="1:40" hidden="1">
      <c r="A1414">
        <v>1412</v>
      </c>
      <c r="B1414">
        <v>356</v>
      </c>
      <c r="C1414" s="58">
        <v>44785</v>
      </c>
      <c r="D1414" t="s">
        <v>27</v>
      </c>
      <c r="E1414" t="s">
        <v>5456</v>
      </c>
      <c r="F1414">
        <v>4</v>
      </c>
      <c r="G1414">
        <v>9</v>
      </c>
      <c r="H1414">
        <v>897</v>
      </c>
      <c r="I1414">
        <v>1</v>
      </c>
      <c r="J1414">
        <v>37.229999999999997</v>
      </c>
      <c r="K1414" t="s">
        <v>25</v>
      </c>
      <c r="L1414">
        <v>2693250</v>
      </c>
      <c r="M1414">
        <v>0</v>
      </c>
      <c r="N1414">
        <v>2693250</v>
      </c>
      <c r="O1414">
        <v>72340.854149879131</v>
      </c>
      <c r="P1414">
        <v>0</v>
      </c>
      <c r="Q1414">
        <v>2693250</v>
      </c>
      <c r="R1414">
        <v>72340.854149879131</v>
      </c>
      <c r="S1414" t="s">
        <v>130</v>
      </c>
      <c r="T1414" t="s">
        <v>717</v>
      </c>
      <c r="U1414" t="s">
        <v>717</v>
      </c>
      <c r="V1414" t="s">
        <v>717</v>
      </c>
      <c r="W1414">
        <v>44781</v>
      </c>
      <c r="X1414" t="s">
        <v>6676</v>
      </c>
      <c r="Y1414" t="s">
        <v>6642</v>
      </c>
      <c r="Z1414" t="s">
        <v>17</v>
      </c>
      <c r="AA1414" t="s">
        <v>717</v>
      </c>
      <c r="AB1414" t="s">
        <v>2509</v>
      </c>
      <c r="AC1414" t="s">
        <v>717</v>
      </c>
      <c r="AD1414" t="s">
        <v>717</v>
      </c>
      <c r="AE1414" t="s">
        <v>6643</v>
      </c>
      <c r="AF1414" t="s">
        <v>717</v>
      </c>
      <c r="AG1414" t="s">
        <v>717</v>
      </c>
      <c r="AH1414" t="s">
        <v>717</v>
      </c>
      <c r="AI1414" t="s">
        <v>6644</v>
      </c>
      <c r="AJ1414" t="s">
        <v>6645</v>
      </c>
      <c r="AK1414" t="s">
        <v>29</v>
      </c>
      <c r="AL1414" t="s">
        <v>717</v>
      </c>
      <c r="AM1414" t="s">
        <v>10</v>
      </c>
      <c r="AN1414" t="s">
        <v>717</v>
      </c>
    </row>
    <row r="1415" spans="1:40" hidden="1">
      <c r="A1415">
        <v>1413</v>
      </c>
      <c r="B1415">
        <v>357</v>
      </c>
      <c r="C1415" s="58">
        <v>44785</v>
      </c>
      <c r="D1415" t="s">
        <v>27</v>
      </c>
      <c r="E1415" t="s">
        <v>5456</v>
      </c>
      <c r="F1415">
        <v>7</v>
      </c>
      <c r="G1415">
        <v>9</v>
      </c>
      <c r="H1415">
        <v>900</v>
      </c>
      <c r="I1415">
        <v>2</v>
      </c>
      <c r="J1415">
        <v>62.69</v>
      </c>
      <c r="K1415" t="s">
        <v>25</v>
      </c>
      <c r="L1415">
        <v>4504500</v>
      </c>
      <c r="M1415">
        <v>0</v>
      </c>
      <c r="N1415">
        <v>4504500</v>
      </c>
      <c r="O1415">
        <v>71853.565161907798</v>
      </c>
      <c r="P1415">
        <v>0</v>
      </c>
      <c r="Q1415">
        <v>4504500</v>
      </c>
      <c r="R1415">
        <v>71853.565161907798</v>
      </c>
      <c r="S1415" t="s">
        <v>130</v>
      </c>
      <c r="T1415" t="s">
        <v>717</v>
      </c>
      <c r="U1415" t="s">
        <v>717</v>
      </c>
      <c r="V1415" t="s">
        <v>717</v>
      </c>
      <c r="W1415">
        <v>44781</v>
      </c>
      <c r="X1415" t="s">
        <v>6676</v>
      </c>
      <c r="Y1415" t="s">
        <v>6642</v>
      </c>
      <c r="Z1415" t="s">
        <v>17</v>
      </c>
      <c r="AA1415" t="s">
        <v>717</v>
      </c>
      <c r="AB1415" t="s">
        <v>2509</v>
      </c>
      <c r="AC1415" t="s">
        <v>717</v>
      </c>
      <c r="AD1415" t="s">
        <v>717</v>
      </c>
      <c r="AE1415" t="s">
        <v>6643</v>
      </c>
      <c r="AF1415" t="s">
        <v>717</v>
      </c>
      <c r="AG1415" t="s">
        <v>717</v>
      </c>
      <c r="AH1415" t="s">
        <v>717</v>
      </c>
      <c r="AI1415" t="s">
        <v>6644</v>
      </c>
      <c r="AJ1415" t="s">
        <v>6645</v>
      </c>
      <c r="AK1415" t="s">
        <v>29</v>
      </c>
      <c r="AL1415" t="s">
        <v>717</v>
      </c>
      <c r="AM1415" t="s">
        <v>10</v>
      </c>
      <c r="AN1415" t="s">
        <v>717</v>
      </c>
    </row>
    <row r="1416" spans="1:40" hidden="1">
      <c r="A1416">
        <v>1414</v>
      </c>
      <c r="B1416">
        <v>358</v>
      </c>
      <c r="C1416" s="58">
        <v>44785</v>
      </c>
      <c r="D1416" t="s">
        <v>27</v>
      </c>
      <c r="E1416" t="s">
        <v>5456</v>
      </c>
      <c r="F1416">
        <v>1</v>
      </c>
      <c r="G1416">
        <v>10</v>
      </c>
      <c r="H1416">
        <v>903</v>
      </c>
      <c r="I1416">
        <v>1</v>
      </c>
      <c r="J1416">
        <v>37.15</v>
      </c>
      <c r="K1416" t="s">
        <v>25</v>
      </c>
      <c r="L1416">
        <v>2690250</v>
      </c>
      <c r="M1416">
        <v>0</v>
      </c>
      <c r="N1416">
        <v>2690250</v>
      </c>
      <c r="O1416">
        <v>72415.881561238217</v>
      </c>
      <c r="P1416">
        <v>0</v>
      </c>
      <c r="Q1416">
        <v>2690250</v>
      </c>
      <c r="R1416">
        <v>72415.881561238217</v>
      </c>
      <c r="S1416" t="s">
        <v>130</v>
      </c>
      <c r="T1416" t="s">
        <v>717</v>
      </c>
      <c r="U1416" t="s">
        <v>717</v>
      </c>
      <c r="V1416" t="s">
        <v>717</v>
      </c>
      <c r="W1416">
        <v>44781</v>
      </c>
      <c r="X1416" t="s">
        <v>6676</v>
      </c>
      <c r="Y1416" t="s">
        <v>6642</v>
      </c>
      <c r="Z1416" t="s">
        <v>17</v>
      </c>
      <c r="AA1416" t="s">
        <v>717</v>
      </c>
      <c r="AB1416" t="s">
        <v>2509</v>
      </c>
      <c r="AC1416" t="s">
        <v>717</v>
      </c>
      <c r="AD1416" t="s">
        <v>717</v>
      </c>
      <c r="AE1416" t="s">
        <v>6643</v>
      </c>
      <c r="AF1416" t="s">
        <v>717</v>
      </c>
      <c r="AG1416" t="s">
        <v>717</v>
      </c>
      <c r="AH1416" t="s">
        <v>717</v>
      </c>
      <c r="AI1416" t="s">
        <v>6644</v>
      </c>
      <c r="AJ1416" t="s">
        <v>6645</v>
      </c>
      <c r="AK1416" t="s">
        <v>29</v>
      </c>
      <c r="AL1416" t="s">
        <v>717</v>
      </c>
      <c r="AM1416" t="s">
        <v>10</v>
      </c>
      <c r="AN1416" t="s">
        <v>717</v>
      </c>
    </row>
    <row r="1417" spans="1:40" hidden="1">
      <c r="A1417">
        <v>1415</v>
      </c>
      <c r="B1417">
        <v>359</v>
      </c>
      <c r="C1417" s="58">
        <v>44785</v>
      </c>
      <c r="D1417" t="s">
        <v>27</v>
      </c>
      <c r="E1417" t="s">
        <v>5456</v>
      </c>
      <c r="F1417">
        <v>2</v>
      </c>
      <c r="G1417">
        <v>10</v>
      </c>
      <c r="H1417">
        <v>904</v>
      </c>
      <c r="I1417">
        <v>3</v>
      </c>
      <c r="J1417">
        <v>86.1</v>
      </c>
      <c r="K1417" t="s">
        <v>25</v>
      </c>
      <c r="L1417">
        <v>6259500</v>
      </c>
      <c r="M1417">
        <v>0</v>
      </c>
      <c r="N1417">
        <v>6259500</v>
      </c>
      <c r="O1417">
        <v>72700.348432055747</v>
      </c>
      <c r="P1417">
        <v>0</v>
      </c>
      <c r="Q1417">
        <v>6259500</v>
      </c>
      <c r="R1417">
        <v>72700.348432055747</v>
      </c>
      <c r="S1417" t="s">
        <v>130</v>
      </c>
      <c r="T1417" t="s">
        <v>717</v>
      </c>
      <c r="U1417" t="s">
        <v>717</v>
      </c>
      <c r="V1417" t="s">
        <v>717</v>
      </c>
      <c r="W1417">
        <v>44781</v>
      </c>
      <c r="X1417" t="s">
        <v>6676</v>
      </c>
      <c r="Y1417" t="s">
        <v>6642</v>
      </c>
      <c r="Z1417" t="s">
        <v>17</v>
      </c>
      <c r="AA1417" t="s">
        <v>717</v>
      </c>
      <c r="AB1417" t="s">
        <v>2509</v>
      </c>
      <c r="AC1417" t="s">
        <v>717</v>
      </c>
      <c r="AD1417" t="s">
        <v>717</v>
      </c>
      <c r="AE1417" t="s">
        <v>6643</v>
      </c>
      <c r="AF1417" t="s">
        <v>717</v>
      </c>
      <c r="AG1417" t="s">
        <v>717</v>
      </c>
      <c r="AH1417" t="s">
        <v>717</v>
      </c>
      <c r="AI1417" t="s">
        <v>6644</v>
      </c>
      <c r="AJ1417" t="s">
        <v>6645</v>
      </c>
      <c r="AK1417" t="s">
        <v>29</v>
      </c>
      <c r="AL1417" t="s">
        <v>717</v>
      </c>
      <c r="AM1417" t="s">
        <v>10</v>
      </c>
      <c r="AN1417" t="s">
        <v>717</v>
      </c>
    </row>
    <row r="1418" spans="1:40" hidden="1">
      <c r="A1418">
        <v>1416</v>
      </c>
      <c r="B1418">
        <v>360</v>
      </c>
      <c r="C1418" s="58">
        <v>44785</v>
      </c>
      <c r="D1418" t="s">
        <v>27</v>
      </c>
      <c r="E1418" t="s">
        <v>5456</v>
      </c>
      <c r="F1418">
        <v>3</v>
      </c>
      <c r="G1418">
        <v>10</v>
      </c>
      <c r="H1418">
        <v>905</v>
      </c>
      <c r="I1418">
        <v>1</v>
      </c>
      <c r="J1418">
        <v>37.31</v>
      </c>
      <c r="K1418" t="s">
        <v>25</v>
      </c>
      <c r="L1418">
        <v>2699250</v>
      </c>
      <c r="M1418">
        <v>0</v>
      </c>
      <c r="N1418">
        <v>2699250</v>
      </c>
      <c r="O1418">
        <v>72346.555883141249</v>
      </c>
      <c r="P1418">
        <v>0</v>
      </c>
      <c r="Q1418">
        <v>2699250</v>
      </c>
      <c r="R1418">
        <v>72346.555883141249</v>
      </c>
      <c r="S1418" t="s">
        <v>130</v>
      </c>
      <c r="T1418" t="s">
        <v>717</v>
      </c>
      <c r="U1418" t="s">
        <v>717</v>
      </c>
      <c r="V1418" t="s">
        <v>717</v>
      </c>
      <c r="W1418">
        <v>44781</v>
      </c>
      <c r="X1418" t="s">
        <v>6676</v>
      </c>
      <c r="Y1418" t="s">
        <v>6642</v>
      </c>
      <c r="Z1418" t="s">
        <v>17</v>
      </c>
      <c r="AA1418" t="s">
        <v>717</v>
      </c>
      <c r="AB1418" t="s">
        <v>2509</v>
      </c>
      <c r="AC1418" t="s">
        <v>717</v>
      </c>
      <c r="AD1418" t="s">
        <v>717</v>
      </c>
      <c r="AE1418" t="s">
        <v>6643</v>
      </c>
      <c r="AF1418" t="s">
        <v>717</v>
      </c>
      <c r="AG1418" t="s">
        <v>717</v>
      </c>
      <c r="AH1418" t="s">
        <v>717</v>
      </c>
      <c r="AI1418" t="s">
        <v>6644</v>
      </c>
      <c r="AJ1418" t="s">
        <v>6645</v>
      </c>
      <c r="AK1418" t="s">
        <v>29</v>
      </c>
      <c r="AL1418" t="s">
        <v>717</v>
      </c>
      <c r="AM1418" t="s">
        <v>10</v>
      </c>
      <c r="AN1418" t="s">
        <v>717</v>
      </c>
    </row>
    <row r="1419" spans="1:40" hidden="1">
      <c r="A1419">
        <v>1417</v>
      </c>
      <c r="B1419">
        <v>361</v>
      </c>
      <c r="C1419" s="58">
        <v>44785</v>
      </c>
      <c r="D1419" t="s">
        <v>27</v>
      </c>
      <c r="E1419" t="s">
        <v>5456</v>
      </c>
      <c r="F1419">
        <v>4</v>
      </c>
      <c r="G1419">
        <v>10</v>
      </c>
      <c r="H1419">
        <v>906</v>
      </c>
      <c r="I1419">
        <v>1</v>
      </c>
      <c r="J1419">
        <v>37.229999999999997</v>
      </c>
      <c r="K1419" t="s">
        <v>25</v>
      </c>
      <c r="L1419">
        <v>2693250</v>
      </c>
      <c r="M1419">
        <v>0</v>
      </c>
      <c r="N1419">
        <v>2693250</v>
      </c>
      <c r="O1419">
        <v>72340.854149879131</v>
      </c>
      <c r="P1419">
        <v>0</v>
      </c>
      <c r="Q1419">
        <v>2693250</v>
      </c>
      <c r="R1419">
        <v>72340.854149879131</v>
      </c>
      <c r="S1419" t="s">
        <v>130</v>
      </c>
      <c r="T1419" t="s">
        <v>717</v>
      </c>
      <c r="U1419" t="s">
        <v>717</v>
      </c>
      <c r="V1419" t="s">
        <v>717</v>
      </c>
      <c r="W1419">
        <v>44781</v>
      </c>
      <c r="X1419" t="s">
        <v>6676</v>
      </c>
      <c r="Y1419" t="s">
        <v>6642</v>
      </c>
      <c r="Z1419" t="s">
        <v>17</v>
      </c>
      <c r="AA1419" t="s">
        <v>717</v>
      </c>
      <c r="AB1419" t="s">
        <v>2509</v>
      </c>
      <c r="AC1419" t="s">
        <v>717</v>
      </c>
      <c r="AD1419" t="s">
        <v>717</v>
      </c>
      <c r="AE1419" t="s">
        <v>6643</v>
      </c>
      <c r="AF1419" t="s">
        <v>717</v>
      </c>
      <c r="AG1419" t="s">
        <v>717</v>
      </c>
      <c r="AH1419" t="s">
        <v>717</v>
      </c>
      <c r="AI1419" t="s">
        <v>6644</v>
      </c>
      <c r="AJ1419" t="s">
        <v>6645</v>
      </c>
      <c r="AK1419" t="s">
        <v>29</v>
      </c>
      <c r="AL1419" t="s">
        <v>717</v>
      </c>
      <c r="AM1419" t="s">
        <v>10</v>
      </c>
      <c r="AN1419" t="s">
        <v>717</v>
      </c>
    </row>
    <row r="1420" spans="1:40" hidden="1">
      <c r="A1420">
        <v>1418</v>
      </c>
      <c r="B1420">
        <v>362</v>
      </c>
      <c r="C1420" s="58">
        <v>44785</v>
      </c>
      <c r="D1420" t="s">
        <v>27</v>
      </c>
      <c r="E1420" t="s">
        <v>5456</v>
      </c>
      <c r="F1420">
        <v>7</v>
      </c>
      <c r="G1420">
        <v>10</v>
      </c>
      <c r="H1420">
        <v>909</v>
      </c>
      <c r="I1420">
        <v>2</v>
      </c>
      <c r="J1420">
        <v>62.69</v>
      </c>
      <c r="K1420" t="s">
        <v>25</v>
      </c>
      <c r="L1420">
        <v>4504500</v>
      </c>
      <c r="M1420">
        <v>0</v>
      </c>
      <c r="N1420">
        <v>4504500</v>
      </c>
      <c r="O1420">
        <v>71853.565161907798</v>
      </c>
      <c r="P1420">
        <v>0</v>
      </c>
      <c r="Q1420">
        <v>4504500</v>
      </c>
      <c r="R1420">
        <v>71853.565161907798</v>
      </c>
      <c r="S1420" t="s">
        <v>130</v>
      </c>
      <c r="T1420" t="s">
        <v>717</v>
      </c>
      <c r="U1420" t="s">
        <v>717</v>
      </c>
      <c r="V1420" t="s">
        <v>717</v>
      </c>
      <c r="W1420">
        <v>44781</v>
      </c>
      <c r="X1420" t="s">
        <v>6676</v>
      </c>
      <c r="Y1420" t="s">
        <v>6642</v>
      </c>
      <c r="Z1420" t="s">
        <v>17</v>
      </c>
      <c r="AA1420" t="s">
        <v>717</v>
      </c>
      <c r="AB1420" t="s">
        <v>2509</v>
      </c>
      <c r="AC1420" t="s">
        <v>717</v>
      </c>
      <c r="AD1420" t="s">
        <v>717</v>
      </c>
      <c r="AE1420" t="s">
        <v>6643</v>
      </c>
      <c r="AF1420" t="s">
        <v>717</v>
      </c>
      <c r="AG1420" t="s">
        <v>717</v>
      </c>
      <c r="AH1420" t="s">
        <v>717</v>
      </c>
      <c r="AI1420" t="s">
        <v>6644</v>
      </c>
      <c r="AJ1420" t="s">
        <v>6645</v>
      </c>
      <c r="AK1420" t="s">
        <v>29</v>
      </c>
      <c r="AL1420" t="s">
        <v>717</v>
      </c>
      <c r="AM1420" t="s">
        <v>10</v>
      </c>
      <c r="AN1420" t="s">
        <v>717</v>
      </c>
    </row>
    <row r="1421" spans="1:40" hidden="1">
      <c r="A1421">
        <v>1419</v>
      </c>
      <c r="B1421">
        <v>363</v>
      </c>
      <c r="C1421" s="58">
        <v>44792</v>
      </c>
      <c r="D1421" t="s">
        <v>7</v>
      </c>
      <c r="E1421" t="s">
        <v>2581</v>
      </c>
      <c r="F1421">
        <v>7</v>
      </c>
      <c r="G1421">
        <v>7</v>
      </c>
      <c r="H1421">
        <v>282</v>
      </c>
      <c r="I1421">
        <v>1</v>
      </c>
      <c r="J1421">
        <v>33.840000000000003</v>
      </c>
      <c r="K1421" t="s">
        <v>9</v>
      </c>
      <c r="L1421">
        <v>2377488</v>
      </c>
      <c r="M1421">
        <v>15000</v>
      </c>
      <c r="N1421">
        <v>2392488</v>
      </c>
      <c r="O1421">
        <v>70700</v>
      </c>
      <c r="P1421">
        <v>0</v>
      </c>
      <c r="Q1421">
        <v>2392488</v>
      </c>
      <c r="R1421">
        <v>70700</v>
      </c>
      <c r="S1421" t="s">
        <v>65</v>
      </c>
      <c r="T1421" t="s">
        <v>717</v>
      </c>
      <c r="U1421" t="s">
        <v>717</v>
      </c>
      <c r="V1421" t="s">
        <v>4131</v>
      </c>
      <c r="W1421">
        <v>44776</v>
      </c>
      <c r="X1421" t="s">
        <v>6677</v>
      </c>
      <c r="Y1421" t="s">
        <v>6</v>
      </c>
      <c r="Z1421" t="s">
        <v>17</v>
      </c>
      <c r="AA1421" t="s">
        <v>717</v>
      </c>
      <c r="AB1421" t="s">
        <v>2509</v>
      </c>
      <c r="AC1421" t="s">
        <v>2571</v>
      </c>
      <c r="AD1421" t="s">
        <v>717</v>
      </c>
      <c r="AE1421" t="s">
        <v>6678</v>
      </c>
      <c r="AF1421" t="s">
        <v>6679</v>
      </c>
      <c r="AG1421" t="s">
        <v>6680</v>
      </c>
      <c r="AH1421" t="s">
        <v>2615</v>
      </c>
      <c r="AI1421" t="s">
        <v>2552</v>
      </c>
      <c r="AJ1421" t="s">
        <v>2662</v>
      </c>
      <c r="AK1421" t="s">
        <v>77</v>
      </c>
      <c r="AL1421" t="s">
        <v>16</v>
      </c>
      <c r="AM1421" t="s">
        <v>10</v>
      </c>
      <c r="AN1421" t="s">
        <v>717</v>
      </c>
    </row>
    <row r="1422" spans="1:40" hidden="1">
      <c r="A1422">
        <v>1420</v>
      </c>
      <c r="B1422">
        <v>364</v>
      </c>
      <c r="C1422" s="58">
        <v>44792</v>
      </c>
      <c r="D1422" t="s">
        <v>7</v>
      </c>
      <c r="E1422" t="s">
        <v>2515</v>
      </c>
      <c r="F1422">
        <v>7</v>
      </c>
      <c r="G1422">
        <v>3</v>
      </c>
      <c r="H1422">
        <v>15</v>
      </c>
      <c r="I1422">
        <v>0</v>
      </c>
      <c r="J1422">
        <v>21.75</v>
      </c>
      <c r="K1422" t="s">
        <v>15</v>
      </c>
      <c r="L1422">
        <v>1874640</v>
      </c>
      <c r="M1422">
        <v>15000</v>
      </c>
      <c r="N1422">
        <v>1889640</v>
      </c>
      <c r="O1422">
        <v>86880</v>
      </c>
      <c r="P1422">
        <v>163125</v>
      </c>
      <c r="Q1422">
        <v>1726515</v>
      </c>
      <c r="R1422">
        <v>79380</v>
      </c>
      <c r="S1422" t="s">
        <v>130</v>
      </c>
      <c r="T1422" t="s">
        <v>717</v>
      </c>
      <c r="U1422" t="s">
        <v>717</v>
      </c>
      <c r="V1422" t="s">
        <v>717</v>
      </c>
      <c r="W1422">
        <v>44789</v>
      </c>
      <c r="X1422" t="s">
        <v>6681</v>
      </c>
      <c r="Y1422" t="s">
        <v>6</v>
      </c>
      <c r="Z1422" t="s">
        <v>17</v>
      </c>
      <c r="AA1422" t="s">
        <v>6637</v>
      </c>
      <c r="AB1422" t="s">
        <v>2509</v>
      </c>
      <c r="AC1422" t="s">
        <v>717</v>
      </c>
      <c r="AD1422" t="s">
        <v>717</v>
      </c>
      <c r="AE1422" t="s">
        <v>6682</v>
      </c>
      <c r="AF1422" t="s">
        <v>6683</v>
      </c>
      <c r="AG1422" t="s">
        <v>6684</v>
      </c>
      <c r="AH1422" t="s">
        <v>2615</v>
      </c>
      <c r="AI1422" t="s">
        <v>2552</v>
      </c>
      <c r="AJ1422" t="s">
        <v>3289</v>
      </c>
      <c r="AK1422" t="s">
        <v>73</v>
      </c>
      <c r="AL1422" t="s">
        <v>717</v>
      </c>
      <c r="AM1422" t="s">
        <v>10</v>
      </c>
      <c r="AN1422" t="s">
        <v>717</v>
      </c>
    </row>
    <row r="1423" spans="1:40" hidden="1">
      <c r="A1423">
        <v>1421</v>
      </c>
      <c r="B1423">
        <v>365</v>
      </c>
      <c r="C1423" s="58">
        <v>44792</v>
      </c>
      <c r="D1423" t="s">
        <v>27</v>
      </c>
      <c r="E1423" t="s">
        <v>2515</v>
      </c>
      <c r="F1423">
        <v>4</v>
      </c>
      <c r="G1423">
        <v>16</v>
      </c>
      <c r="H1423">
        <v>130</v>
      </c>
      <c r="I1423">
        <v>0</v>
      </c>
      <c r="J1423">
        <v>24.39</v>
      </c>
      <c r="K1423" t="s">
        <v>15</v>
      </c>
      <c r="L1423">
        <v>2380672.77</v>
      </c>
      <c r="M1423">
        <v>0</v>
      </c>
      <c r="N1423">
        <v>2380672.77</v>
      </c>
      <c r="O1423">
        <v>97608.55965559656</v>
      </c>
      <c r="P1423">
        <v>182924.9999999986</v>
      </c>
      <c r="Q1423">
        <v>2197747.7700000014</v>
      </c>
      <c r="R1423">
        <v>90108.559655596619</v>
      </c>
      <c r="S1423" t="s">
        <v>65</v>
      </c>
      <c r="T1423" t="s">
        <v>717</v>
      </c>
      <c r="U1423" t="s">
        <v>717</v>
      </c>
      <c r="V1423" t="s">
        <v>4131</v>
      </c>
      <c r="W1423">
        <v>44790</v>
      </c>
      <c r="X1423" t="s">
        <v>6685</v>
      </c>
      <c r="Y1423" t="s">
        <v>6</v>
      </c>
      <c r="Z1423" t="s">
        <v>17</v>
      </c>
      <c r="AA1423" t="s">
        <v>717</v>
      </c>
      <c r="AB1423" t="s">
        <v>2509</v>
      </c>
      <c r="AC1423" t="s">
        <v>2571</v>
      </c>
      <c r="AD1423" t="s">
        <v>717</v>
      </c>
      <c r="AE1423" t="s">
        <v>6686</v>
      </c>
      <c r="AF1423" t="s">
        <v>6687</v>
      </c>
      <c r="AG1423" t="s">
        <v>6688</v>
      </c>
      <c r="AH1423" t="s">
        <v>2616</v>
      </c>
      <c r="AI1423" t="s">
        <v>2552</v>
      </c>
      <c r="AJ1423" t="s">
        <v>2895</v>
      </c>
      <c r="AK1423" t="s">
        <v>73</v>
      </c>
      <c r="AL1423" t="s">
        <v>16</v>
      </c>
      <c r="AM1423" t="s">
        <v>10</v>
      </c>
      <c r="AN1423" t="s">
        <v>717</v>
      </c>
    </row>
    <row r="1424" spans="1:40" hidden="1">
      <c r="A1424">
        <v>1422</v>
      </c>
      <c r="B1424">
        <v>366</v>
      </c>
      <c r="C1424" s="58">
        <v>44795</v>
      </c>
      <c r="D1424" t="s">
        <v>27</v>
      </c>
      <c r="E1424" t="s">
        <v>2515</v>
      </c>
      <c r="F1424">
        <v>4</v>
      </c>
      <c r="G1424">
        <v>11</v>
      </c>
      <c r="H1424">
        <v>85</v>
      </c>
      <c r="I1424">
        <v>0</v>
      </c>
      <c r="J1424">
        <v>24.39</v>
      </c>
      <c r="K1424" t="s">
        <v>25</v>
      </c>
      <c r="L1424">
        <v>2800544.38</v>
      </c>
      <c r="M1424">
        <v>0</v>
      </c>
      <c r="N1424">
        <v>2800544.38</v>
      </c>
      <c r="O1424">
        <v>114823.46781467814</v>
      </c>
      <c r="P1424">
        <v>536580.00000000093</v>
      </c>
      <c r="Q1424">
        <v>2263964.379999999</v>
      </c>
      <c r="R1424">
        <v>92823.467814678108</v>
      </c>
      <c r="S1424" t="s">
        <v>65</v>
      </c>
      <c r="T1424" t="s">
        <v>717</v>
      </c>
      <c r="U1424" t="s">
        <v>717</v>
      </c>
      <c r="V1424" t="s">
        <v>4131</v>
      </c>
      <c r="W1424">
        <v>44790</v>
      </c>
      <c r="X1424" t="s">
        <v>6689</v>
      </c>
      <c r="Y1424" t="s">
        <v>6</v>
      </c>
      <c r="Z1424" t="s">
        <v>17</v>
      </c>
      <c r="AA1424" t="s">
        <v>717</v>
      </c>
      <c r="AB1424" t="s">
        <v>2509</v>
      </c>
      <c r="AC1424" t="s">
        <v>2571</v>
      </c>
      <c r="AD1424" t="s">
        <v>717</v>
      </c>
      <c r="AE1424" t="s">
        <v>2921</v>
      </c>
      <c r="AF1424" t="s">
        <v>6690</v>
      </c>
      <c r="AG1424" t="s">
        <v>6691</v>
      </c>
      <c r="AH1424" t="s">
        <v>2615</v>
      </c>
      <c r="AI1424" t="s">
        <v>2688</v>
      </c>
      <c r="AJ1424" t="s">
        <v>3289</v>
      </c>
      <c r="AK1424" t="s">
        <v>77</v>
      </c>
      <c r="AL1424" t="s">
        <v>16</v>
      </c>
      <c r="AM1424" t="s">
        <v>10</v>
      </c>
      <c r="AN1424" t="s">
        <v>717</v>
      </c>
    </row>
    <row r="1425" spans="1:40" hidden="1">
      <c r="A1425">
        <v>1423</v>
      </c>
      <c r="B1425">
        <v>367</v>
      </c>
      <c r="C1425" s="58">
        <v>44795</v>
      </c>
      <c r="D1425" t="s">
        <v>7</v>
      </c>
      <c r="E1425" t="s">
        <v>2515</v>
      </c>
      <c r="F1425">
        <v>5</v>
      </c>
      <c r="G1425">
        <v>11</v>
      </c>
      <c r="H1425">
        <v>77</v>
      </c>
      <c r="I1425">
        <v>2</v>
      </c>
      <c r="J1425">
        <v>54.66</v>
      </c>
      <c r="K1425" t="s">
        <v>15</v>
      </c>
      <c r="L1425">
        <v>4311112.91</v>
      </c>
      <c r="M1425">
        <v>0</v>
      </c>
      <c r="N1425">
        <v>4311112.91</v>
      </c>
      <c r="O1425">
        <v>78871.439992682048</v>
      </c>
      <c r="P1425">
        <v>409950</v>
      </c>
      <c r="Q1425">
        <v>3901162.91</v>
      </c>
      <c r="R1425">
        <v>71371.439992682048</v>
      </c>
      <c r="S1425" t="s">
        <v>65</v>
      </c>
      <c r="T1425" t="s">
        <v>717</v>
      </c>
      <c r="U1425" t="s">
        <v>717</v>
      </c>
      <c r="V1425" t="s">
        <v>4131</v>
      </c>
      <c r="W1425">
        <v>44791</v>
      </c>
      <c r="X1425" t="s">
        <v>6692</v>
      </c>
      <c r="Y1425" t="s">
        <v>6</v>
      </c>
      <c r="Z1425" t="s">
        <v>17</v>
      </c>
      <c r="AA1425" t="s">
        <v>717</v>
      </c>
      <c r="AB1425" t="s">
        <v>2509</v>
      </c>
      <c r="AC1425" t="s">
        <v>2571</v>
      </c>
      <c r="AD1425" t="s">
        <v>717</v>
      </c>
      <c r="AE1425" t="s">
        <v>6693</v>
      </c>
      <c r="AF1425" t="s">
        <v>6694</v>
      </c>
      <c r="AG1425" t="s">
        <v>6695</v>
      </c>
      <c r="AH1425" t="s">
        <v>2191</v>
      </c>
      <c r="AI1425" t="s">
        <v>2538</v>
      </c>
      <c r="AJ1425" t="s">
        <v>2514</v>
      </c>
      <c r="AK1425" t="s">
        <v>73</v>
      </c>
      <c r="AL1425" t="s">
        <v>16</v>
      </c>
      <c r="AM1425" t="s">
        <v>10</v>
      </c>
      <c r="AN1425" t="s">
        <v>717</v>
      </c>
    </row>
    <row r="1426" spans="1:40" hidden="1">
      <c r="A1426">
        <v>1424</v>
      </c>
      <c r="B1426">
        <v>368</v>
      </c>
      <c r="C1426" s="58">
        <v>44792</v>
      </c>
      <c r="D1426" t="s">
        <v>121</v>
      </c>
      <c r="E1426" t="s">
        <v>2506</v>
      </c>
      <c r="F1426">
        <v>3</v>
      </c>
      <c r="G1426">
        <v>7</v>
      </c>
      <c r="H1426">
        <v>219</v>
      </c>
      <c r="I1426">
        <v>3</v>
      </c>
      <c r="J1426">
        <v>88.7</v>
      </c>
      <c r="K1426" t="s">
        <v>9</v>
      </c>
      <c r="L1426">
        <v>6652500</v>
      </c>
      <c r="M1426">
        <v>0</v>
      </c>
      <c r="N1426">
        <v>6652500</v>
      </c>
      <c r="O1426">
        <v>75000</v>
      </c>
      <c r="P1426">
        <v>0</v>
      </c>
      <c r="Q1426">
        <v>6652500</v>
      </c>
      <c r="R1426">
        <v>75000</v>
      </c>
      <c r="S1426" t="s">
        <v>65</v>
      </c>
      <c r="T1426" t="s">
        <v>5386</v>
      </c>
      <c r="U1426">
        <v>1333685.2199999995</v>
      </c>
      <c r="V1426" t="s">
        <v>4131</v>
      </c>
      <c r="W1426">
        <v>44789</v>
      </c>
      <c r="X1426" t="s">
        <v>6696</v>
      </c>
      <c r="Y1426" t="s">
        <v>6</v>
      </c>
      <c r="Z1426" t="s">
        <v>17</v>
      </c>
      <c r="AA1426" t="s">
        <v>717</v>
      </c>
      <c r="AB1426" t="s">
        <v>326</v>
      </c>
      <c r="AC1426" t="s">
        <v>2564</v>
      </c>
      <c r="AD1426" t="s">
        <v>717</v>
      </c>
      <c r="AE1426" t="s">
        <v>6697</v>
      </c>
      <c r="AF1426" t="s">
        <v>6698</v>
      </c>
      <c r="AG1426" t="s">
        <v>6699</v>
      </c>
      <c r="AH1426" t="s">
        <v>2191</v>
      </c>
      <c r="AI1426" t="s">
        <v>2706</v>
      </c>
      <c r="AJ1426" t="s">
        <v>2514</v>
      </c>
      <c r="AK1426" t="s">
        <v>77</v>
      </c>
      <c r="AL1426" t="s">
        <v>16</v>
      </c>
      <c r="AM1426" t="s">
        <v>10</v>
      </c>
      <c r="AN1426" t="s">
        <v>717</v>
      </c>
    </row>
    <row r="1427" spans="1:40" hidden="1">
      <c r="A1427">
        <v>1425</v>
      </c>
      <c r="B1427">
        <v>369</v>
      </c>
      <c r="C1427" s="58">
        <v>44796</v>
      </c>
      <c r="D1427" t="s">
        <v>7</v>
      </c>
      <c r="E1427" t="s">
        <v>2506</v>
      </c>
      <c r="F1427">
        <v>3</v>
      </c>
      <c r="G1427">
        <v>5</v>
      </c>
      <c r="H1427">
        <v>147</v>
      </c>
      <c r="I1427">
        <v>1</v>
      </c>
      <c r="J1427">
        <v>35.380000000000003</v>
      </c>
      <c r="K1427" t="s">
        <v>9</v>
      </c>
      <c r="L1427">
        <v>2121950.88</v>
      </c>
      <c r="M1427">
        <v>0</v>
      </c>
      <c r="N1427">
        <v>2121950.88</v>
      </c>
      <c r="O1427">
        <v>59975.999999999993</v>
      </c>
      <c r="P1427">
        <v>0</v>
      </c>
      <c r="Q1427">
        <v>2121950.88</v>
      </c>
      <c r="R1427">
        <v>59975.999999999993</v>
      </c>
      <c r="S1427" t="s">
        <v>65</v>
      </c>
      <c r="T1427" t="s">
        <v>3414</v>
      </c>
      <c r="U1427">
        <v>530487.72</v>
      </c>
      <c r="V1427" t="s">
        <v>6312</v>
      </c>
      <c r="W1427">
        <v>44785</v>
      </c>
      <c r="X1427" t="s">
        <v>6700</v>
      </c>
      <c r="Y1427" t="s">
        <v>6</v>
      </c>
      <c r="Z1427" t="s">
        <v>17</v>
      </c>
      <c r="AA1427" t="s">
        <v>717</v>
      </c>
      <c r="AB1427" t="s">
        <v>2509</v>
      </c>
      <c r="AC1427" t="s">
        <v>2571</v>
      </c>
      <c r="AD1427" t="s">
        <v>717</v>
      </c>
      <c r="AE1427" t="s">
        <v>6701</v>
      </c>
      <c r="AF1427" t="s">
        <v>6702</v>
      </c>
      <c r="AG1427" t="s">
        <v>6703</v>
      </c>
      <c r="AH1427" t="s">
        <v>2191</v>
      </c>
      <c r="AI1427" t="s">
        <v>2802</v>
      </c>
      <c r="AJ1427" t="s">
        <v>2514</v>
      </c>
      <c r="AK1427" t="s">
        <v>73</v>
      </c>
      <c r="AL1427" t="s">
        <v>16</v>
      </c>
      <c r="AM1427" t="s">
        <v>10</v>
      </c>
      <c r="AN1427" t="s">
        <v>717</v>
      </c>
    </row>
    <row r="1428" spans="1:40" hidden="1">
      <c r="A1428">
        <v>1426</v>
      </c>
      <c r="B1428">
        <v>370</v>
      </c>
      <c r="C1428" s="58">
        <v>44796</v>
      </c>
      <c r="D1428" t="s">
        <v>27</v>
      </c>
      <c r="E1428" t="s">
        <v>2515</v>
      </c>
      <c r="F1428">
        <v>3</v>
      </c>
      <c r="G1428">
        <v>9</v>
      </c>
      <c r="H1428">
        <v>66</v>
      </c>
      <c r="I1428">
        <v>1</v>
      </c>
      <c r="J1428">
        <v>41.06</v>
      </c>
      <c r="K1428" t="s">
        <v>9</v>
      </c>
      <c r="L1428">
        <v>3441485.37</v>
      </c>
      <c r="M1428">
        <v>0</v>
      </c>
      <c r="N1428">
        <v>3441485.37</v>
      </c>
      <c r="O1428">
        <v>83816.009985387238</v>
      </c>
      <c r="P1428">
        <v>0</v>
      </c>
      <c r="Q1428">
        <v>3441485.37</v>
      </c>
      <c r="R1428">
        <v>83816.009985387238</v>
      </c>
      <c r="S1428" t="s">
        <v>65</v>
      </c>
      <c r="T1428" t="s">
        <v>717</v>
      </c>
      <c r="U1428" t="s">
        <v>717</v>
      </c>
      <c r="V1428" t="s">
        <v>4131</v>
      </c>
      <c r="W1428">
        <v>44792</v>
      </c>
      <c r="X1428" t="s">
        <v>6704</v>
      </c>
      <c r="Y1428" t="s">
        <v>6</v>
      </c>
      <c r="Z1428" t="s">
        <v>17</v>
      </c>
      <c r="AA1428" t="s">
        <v>717</v>
      </c>
      <c r="AB1428" t="s">
        <v>2509</v>
      </c>
      <c r="AC1428" t="s">
        <v>2571</v>
      </c>
      <c r="AD1428" t="s">
        <v>717</v>
      </c>
      <c r="AE1428" t="s">
        <v>6705</v>
      </c>
      <c r="AF1428" t="s">
        <v>6706</v>
      </c>
      <c r="AG1428" t="s">
        <v>6707</v>
      </c>
      <c r="AH1428" t="s">
        <v>2615</v>
      </c>
      <c r="AI1428" t="s">
        <v>2552</v>
      </c>
      <c r="AJ1428" t="s">
        <v>2895</v>
      </c>
      <c r="AK1428" t="s">
        <v>73</v>
      </c>
      <c r="AL1428" t="s">
        <v>16</v>
      </c>
      <c r="AM1428" t="s">
        <v>10</v>
      </c>
      <c r="AN1428" t="s">
        <v>6708</v>
      </c>
    </row>
    <row r="1429" spans="1:40" hidden="1">
      <c r="A1429">
        <v>1427</v>
      </c>
      <c r="B1429">
        <v>371</v>
      </c>
      <c r="C1429" s="58">
        <v>44796</v>
      </c>
      <c r="D1429" t="s">
        <v>7</v>
      </c>
      <c r="E1429" t="s">
        <v>2581</v>
      </c>
      <c r="F1429">
        <v>7</v>
      </c>
      <c r="G1429">
        <v>15</v>
      </c>
      <c r="H1429">
        <v>338</v>
      </c>
      <c r="I1429">
        <v>1</v>
      </c>
      <c r="J1429">
        <v>33.840000000000003</v>
      </c>
      <c r="K1429" t="s">
        <v>9</v>
      </c>
      <c r="L1429">
        <v>2612596.9</v>
      </c>
      <c r="M1429">
        <v>0</v>
      </c>
      <c r="N1429">
        <v>2612596.9</v>
      </c>
      <c r="O1429">
        <v>77204.400118203295</v>
      </c>
      <c r="P1429">
        <v>0</v>
      </c>
      <c r="Q1429">
        <v>2612596.9</v>
      </c>
      <c r="R1429">
        <v>77204.400118203295</v>
      </c>
      <c r="S1429" t="s">
        <v>65</v>
      </c>
      <c r="T1429" t="s">
        <v>717</v>
      </c>
      <c r="U1429" t="s">
        <v>717</v>
      </c>
      <c r="V1429" t="s">
        <v>6312</v>
      </c>
      <c r="W1429">
        <v>44793</v>
      </c>
      <c r="X1429" t="s">
        <v>6709</v>
      </c>
      <c r="Y1429" t="s">
        <v>6</v>
      </c>
      <c r="Z1429" t="s">
        <v>17</v>
      </c>
      <c r="AA1429" t="s">
        <v>717</v>
      </c>
      <c r="AB1429" t="s">
        <v>2509</v>
      </c>
      <c r="AC1429" t="s">
        <v>2571</v>
      </c>
      <c r="AD1429" t="s">
        <v>717</v>
      </c>
      <c r="AE1429" t="s">
        <v>6710</v>
      </c>
      <c r="AF1429" t="s">
        <v>6711</v>
      </c>
      <c r="AG1429" t="s">
        <v>6712</v>
      </c>
      <c r="AH1429" t="s">
        <v>2616</v>
      </c>
      <c r="AI1429" t="s">
        <v>2552</v>
      </c>
      <c r="AJ1429" t="s">
        <v>2662</v>
      </c>
      <c r="AK1429" t="s">
        <v>77</v>
      </c>
      <c r="AL1429" t="s">
        <v>16</v>
      </c>
      <c r="AM1429" t="s">
        <v>10</v>
      </c>
      <c r="AN1429" t="s">
        <v>717</v>
      </c>
    </row>
    <row r="1430" spans="1:40" hidden="1">
      <c r="A1430">
        <v>1428</v>
      </c>
      <c r="B1430">
        <v>372</v>
      </c>
      <c r="C1430" s="58">
        <v>44797</v>
      </c>
      <c r="D1430" t="s">
        <v>7</v>
      </c>
      <c r="E1430" t="s">
        <v>2581</v>
      </c>
      <c r="F1430">
        <v>3</v>
      </c>
      <c r="G1430">
        <v>6</v>
      </c>
      <c r="H1430">
        <v>271</v>
      </c>
      <c r="I1430">
        <v>0</v>
      </c>
      <c r="J1430">
        <v>36.450000000000003</v>
      </c>
      <c r="K1430" t="s">
        <v>9</v>
      </c>
      <c r="L1430">
        <v>2768176.2</v>
      </c>
      <c r="M1430">
        <v>15000</v>
      </c>
      <c r="N1430">
        <v>2783176.2</v>
      </c>
      <c r="O1430">
        <v>76356</v>
      </c>
      <c r="P1430">
        <v>0</v>
      </c>
      <c r="Q1430">
        <v>2783176.2</v>
      </c>
      <c r="R1430">
        <v>76356</v>
      </c>
      <c r="S1430" t="s">
        <v>65</v>
      </c>
      <c r="T1430" t="s">
        <v>717</v>
      </c>
      <c r="U1430" t="s">
        <v>717</v>
      </c>
      <c r="V1430" t="s">
        <v>4131</v>
      </c>
      <c r="W1430">
        <v>44771</v>
      </c>
      <c r="X1430" t="s">
        <v>6713</v>
      </c>
      <c r="Y1430" t="s">
        <v>6</v>
      </c>
      <c r="Z1430" t="s">
        <v>17</v>
      </c>
      <c r="AA1430" t="s">
        <v>717</v>
      </c>
      <c r="AB1430" t="s">
        <v>2509</v>
      </c>
      <c r="AC1430" t="s">
        <v>2571</v>
      </c>
      <c r="AD1430" t="s">
        <v>717</v>
      </c>
      <c r="AE1430" t="s">
        <v>6714</v>
      </c>
      <c r="AF1430" t="s">
        <v>6715</v>
      </c>
      <c r="AG1430" t="s">
        <v>6716</v>
      </c>
      <c r="AH1430" t="s">
        <v>2615</v>
      </c>
      <c r="AI1430" t="s">
        <v>2552</v>
      </c>
      <c r="AJ1430" t="s">
        <v>2662</v>
      </c>
      <c r="AK1430" t="s">
        <v>63</v>
      </c>
      <c r="AL1430" t="s">
        <v>16</v>
      </c>
      <c r="AM1430" t="s">
        <v>10</v>
      </c>
      <c r="AN1430" t="s">
        <v>717</v>
      </c>
    </row>
    <row r="1431" spans="1:40" hidden="1">
      <c r="A1431">
        <v>1429</v>
      </c>
      <c r="B1431">
        <v>373</v>
      </c>
      <c r="C1431" s="58">
        <v>44797</v>
      </c>
      <c r="D1431" t="s">
        <v>7</v>
      </c>
      <c r="E1431" t="s">
        <v>2506</v>
      </c>
      <c r="F1431">
        <v>3</v>
      </c>
      <c r="G1431">
        <v>11</v>
      </c>
      <c r="H1431">
        <v>195</v>
      </c>
      <c r="I1431">
        <v>1</v>
      </c>
      <c r="J1431">
        <v>35.380000000000003</v>
      </c>
      <c r="K1431" t="s">
        <v>9</v>
      </c>
      <c r="L1431">
        <v>2020905.6</v>
      </c>
      <c r="M1431">
        <v>0</v>
      </c>
      <c r="N1431">
        <v>2020905.6</v>
      </c>
      <c r="O1431">
        <v>57120</v>
      </c>
      <c r="P1431">
        <v>0</v>
      </c>
      <c r="Q1431">
        <v>2020905.6</v>
      </c>
      <c r="R1431">
        <v>57120</v>
      </c>
      <c r="S1431" t="s">
        <v>65</v>
      </c>
      <c r="T1431" t="s">
        <v>3414</v>
      </c>
      <c r="U1431">
        <v>505226.4</v>
      </c>
      <c r="V1431" t="s">
        <v>6312</v>
      </c>
      <c r="W1431">
        <v>44777</v>
      </c>
      <c r="X1431" t="s">
        <v>6717</v>
      </c>
      <c r="Y1431" t="s">
        <v>2611</v>
      </c>
      <c r="Z1431" t="s">
        <v>17</v>
      </c>
      <c r="AA1431" t="s">
        <v>717</v>
      </c>
      <c r="AB1431" t="s">
        <v>2509</v>
      </c>
      <c r="AC1431" t="s">
        <v>2571</v>
      </c>
      <c r="AD1431">
        <v>45467</v>
      </c>
      <c r="AE1431" t="s">
        <v>6718</v>
      </c>
      <c r="AF1431" t="s">
        <v>6719</v>
      </c>
      <c r="AG1431" t="s">
        <v>6720</v>
      </c>
      <c r="AH1431" t="s">
        <v>2191</v>
      </c>
      <c r="AI1431" t="s">
        <v>2802</v>
      </c>
      <c r="AJ1431" t="s">
        <v>2514</v>
      </c>
      <c r="AK1431" t="s">
        <v>73</v>
      </c>
      <c r="AL1431" t="s">
        <v>16</v>
      </c>
      <c r="AM1431" t="s">
        <v>10</v>
      </c>
      <c r="AN1431" t="s">
        <v>717</v>
      </c>
    </row>
    <row r="1432" spans="1:40" hidden="1">
      <c r="A1432">
        <v>1430</v>
      </c>
      <c r="B1432">
        <v>374</v>
      </c>
      <c r="C1432" s="58">
        <v>44797</v>
      </c>
      <c r="D1432" t="s">
        <v>7</v>
      </c>
      <c r="E1432" t="s">
        <v>2581</v>
      </c>
      <c r="F1432">
        <v>7</v>
      </c>
      <c r="G1432">
        <v>6</v>
      </c>
      <c r="H1432">
        <v>275</v>
      </c>
      <c r="I1432">
        <v>1</v>
      </c>
      <c r="J1432">
        <v>33.840000000000003</v>
      </c>
      <c r="K1432" t="s">
        <v>25</v>
      </c>
      <c r="L1432">
        <v>3256592.4</v>
      </c>
      <c r="M1432">
        <v>0</v>
      </c>
      <c r="N1432">
        <v>3256592.4</v>
      </c>
      <c r="O1432">
        <v>96234.999999999985</v>
      </c>
      <c r="P1432">
        <v>744479.99999999953</v>
      </c>
      <c r="Q1432">
        <v>2512112.4000000004</v>
      </c>
      <c r="R1432">
        <v>74235</v>
      </c>
      <c r="S1432" t="s">
        <v>65</v>
      </c>
      <c r="T1432" t="s">
        <v>717</v>
      </c>
      <c r="U1432" t="s">
        <v>717</v>
      </c>
      <c r="V1432" t="s">
        <v>6312</v>
      </c>
      <c r="W1432">
        <v>44783</v>
      </c>
      <c r="X1432" t="s">
        <v>6721</v>
      </c>
      <c r="Y1432" t="s">
        <v>6</v>
      </c>
      <c r="Z1432" t="s">
        <v>17</v>
      </c>
      <c r="AA1432" t="s">
        <v>717</v>
      </c>
      <c r="AB1432" t="s">
        <v>2509</v>
      </c>
      <c r="AC1432" t="s">
        <v>2571</v>
      </c>
      <c r="AD1432" t="s">
        <v>717</v>
      </c>
      <c r="AE1432" t="s">
        <v>4933</v>
      </c>
      <c r="AF1432" t="s">
        <v>4934</v>
      </c>
      <c r="AG1432" t="s">
        <v>4935</v>
      </c>
      <c r="AH1432" t="s">
        <v>2191</v>
      </c>
      <c r="AI1432" t="s">
        <v>2600</v>
      </c>
      <c r="AJ1432" t="s">
        <v>3921</v>
      </c>
      <c r="AK1432" t="s">
        <v>63</v>
      </c>
      <c r="AL1432" t="s">
        <v>16</v>
      </c>
      <c r="AM1432" t="s">
        <v>10</v>
      </c>
      <c r="AN1432" t="s">
        <v>717</v>
      </c>
    </row>
    <row r="1433" spans="1:40" hidden="1">
      <c r="A1433">
        <v>1431</v>
      </c>
      <c r="B1433">
        <v>375</v>
      </c>
      <c r="C1433" s="58">
        <v>44797</v>
      </c>
      <c r="D1433" t="s">
        <v>7</v>
      </c>
      <c r="E1433" t="s">
        <v>2506</v>
      </c>
      <c r="F1433">
        <v>5</v>
      </c>
      <c r="G1433">
        <v>4</v>
      </c>
      <c r="H1433">
        <v>141</v>
      </c>
      <c r="I1433">
        <v>1</v>
      </c>
      <c r="J1433">
        <v>36.700000000000003</v>
      </c>
      <c r="K1433" t="s">
        <v>9</v>
      </c>
      <c r="L1433">
        <v>2805348</v>
      </c>
      <c r="M1433">
        <v>0</v>
      </c>
      <c r="N1433">
        <v>2805348</v>
      </c>
      <c r="O1433">
        <v>76440</v>
      </c>
      <c r="P1433">
        <v>0</v>
      </c>
      <c r="Q1433">
        <v>2805348</v>
      </c>
      <c r="R1433">
        <v>76440</v>
      </c>
      <c r="S1433" t="s">
        <v>65</v>
      </c>
      <c r="T1433" t="s">
        <v>717</v>
      </c>
      <c r="U1433" t="s">
        <v>717</v>
      </c>
      <c r="V1433" t="s">
        <v>4131</v>
      </c>
      <c r="W1433">
        <v>44787</v>
      </c>
      <c r="X1433" t="s">
        <v>6722</v>
      </c>
      <c r="Y1433" t="s">
        <v>2611</v>
      </c>
      <c r="Z1433" t="s">
        <v>17</v>
      </c>
      <c r="AA1433" t="s">
        <v>717</v>
      </c>
      <c r="AB1433" t="s">
        <v>2509</v>
      </c>
      <c r="AC1433" t="s">
        <v>2571</v>
      </c>
      <c r="AD1433">
        <v>45376</v>
      </c>
      <c r="AE1433" t="s">
        <v>6723</v>
      </c>
      <c r="AF1433" t="s">
        <v>6724</v>
      </c>
      <c r="AG1433" t="s">
        <v>6725</v>
      </c>
      <c r="AH1433" t="s">
        <v>2615</v>
      </c>
      <c r="AI1433" t="s">
        <v>2600</v>
      </c>
      <c r="AJ1433" t="s">
        <v>3921</v>
      </c>
      <c r="AK1433" t="s">
        <v>63</v>
      </c>
      <c r="AL1433" t="s">
        <v>16</v>
      </c>
      <c r="AM1433" t="s">
        <v>10</v>
      </c>
      <c r="AN1433" t="s">
        <v>717</v>
      </c>
    </row>
    <row r="1434" spans="1:40" hidden="1">
      <c r="A1434">
        <v>1432</v>
      </c>
      <c r="B1434">
        <v>376</v>
      </c>
      <c r="C1434" s="58">
        <v>44797</v>
      </c>
      <c r="D1434" t="s">
        <v>27</v>
      </c>
      <c r="E1434" t="s">
        <v>2515</v>
      </c>
      <c r="F1434">
        <v>2</v>
      </c>
      <c r="G1434">
        <v>11</v>
      </c>
      <c r="H1434">
        <v>83</v>
      </c>
      <c r="I1434">
        <v>1</v>
      </c>
      <c r="J1434">
        <v>37.94</v>
      </c>
      <c r="K1434" t="s">
        <v>9</v>
      </c>
      <c r="L1434">
        <v>3109224.13</v>
      </c>
      <c r="M1434">
        <v>0</v>
      </c>
      <c r="N1434">
        <v>3109224.13</v>
      </c>
      <c r="O1434">
        <v>81951.084080126515</v>
      </c>
      <c r="P1434">
        <v>0</v>
      </c>
      <c r="Q1434">
        <v>3109224.13</v>
      </c>
      <c r="R1434">
        <v>81951.084080126515</v>
      </c>
      <c r="S1434" t="s">
        <v>65</v>
      </c>
      <c r="T1434" t="s">
        <v>717</v>
      </c>
      <c r="U1434" t="s">
        <v>717</v>
      </c>
      <c r="V1434" t="s">
        <v>4131</v>
      </c>
      <c r="W1434">
        <v>44792</v>
      </c>
      <c r="X1434" t="s">
        <v>6726</v>
      </c>
      <c r="Y1434" t="s">
        <v>6</v>
      </c>
      <c r="Z1434" t="s">
        <v>17</v>
      </c>
      <c r="AA1434" t="s">
        <v>717</v>
      </c>
      <c r="AB1434" t="s">
        <v>2509</v>
      </c>
      <c r="AC1434" t="s">
        <v>2571</v>
      </c>
      <c r="AD1434" t="s">
        <v>717</v>
      </c>
      <c r="AE1434" t="s">
        <v>6727</v>
      </c>
      <c r="AF1434" t="s">
        <v>6728</v>
      </c>
      <c r="AG1434" t="s">
        <v>6729</v>
      </c>
      <c r="AH1434" t="s">
        <v>2191</v>
      </c>
      <c r="AI1434" t="s">
        <v>2538</v>
      </c>
      <c r="AJ1434" t="s">
        <v>2514</v>
      </c>
      <c r="AK1434" t="s">
        <v>73</v>
      </c>
      <c r="AL1434" t="s">
        <v>16</v>
      </c>
      <c r="AM1434" t="s">
        <v>10</v>
      </c>
      <c r="AN1434" t="s">
        <v>6708</v>
      </c>
    </row>
    <row r="1435" spans="1:40" hidden="1">
      <c r="A1435">
        <v>1433</v>
      </c>
      <c r="B1435">
        <v>377</v>
      </c>
      <c r="C1435" s="58">
        <v>44798</v>
      </c>
      <c r="D1435" t="s">
        <v>7</v>
      </c>
      <c r="E1435" t="s">
        <v>4409</v>
      </c>
      <c r="F1435">
        <v>6</v>
      </c>
      <c r="G1435">
        <v>13</v>
      </c>
      <c r="H1435">
        <v>506</v>
      </c>
      <c r="I1435">
        <v>2</v>
      </c>
      <c r="J1435">
        <v>58.62</v>
      </c>
      <c r="K1435" t="s">
        <v>25</v>
      </c>
      <c r="L1435">
        <v>5514451.4000000004</v>
      </c>
      <c r="M1435">
        <v>0</v>
      </c>
      <c r="N1435">
        <v>5514451.4000000004</v>
      </c>
      <c r="O1435">
        <v>94071.160013647226</v>
      </c>
      <c r="P1435">
        <v>1289640.0000000021</v>
      </c>
      <c r="Q1435">
        <v>4224811.3999999985</v>
      </c>
      <c r="R1435">
        <v>72071.160013647197</v>
      </c>
      <c r="S1435" t="s">
        <v>65</v>
      </c>
      <c r="T1435" t="s">
        <v>717</v>
      </c>
      <c r="U1435" t="s">
        <v>717</v>
      </c>
      <c r="V1435" t="s">
        <v>6312</v>
      </c>
      <c r="W1435">
        <v>44794</v>
      </c>
      <c r="X1435" t="s">
        <v>6730</v>
      </c>
      <c r="Y1435" t="s">
        <v>6</v>
      </c>
      <c r="Z1435" t="s">
        <v>17</v>
      </c>
      <c r="AA1435" t="s">
        <v>717</v>
      </c>
      <c r="AB1435" t="s">
        <v>2509</v>
      </c>
      <c r="AC1435" t="s">
        <v>2571</v>
      </c>
      <c r="AD1435" t="s">
        <v>717</v>
      </c>
      <c r="AE1435" t="s">
        <v>6731</v>
      </c>
      <c r="AF1435" t="s">
        <v>6732</v>
      </c>
      <c r="AG1435" t="s">
        <v>6733</v>
      </c>
      <c r="AH1435" t="s">
        <v>2615</v>
      </c>
      <c r="AI1435" t="s">
        <v>2877</v>
      </c>
      <c r="AJ1435" t="s">
        <v>2657</v>
      </c>
      <c r="AK1435" t="s">
        <v>63</v>
      </c>
      <c r="AL1435" t="s">
        <v>16</v>
      </c>
      <c r="AM1435" t="s">
        <v>10</v>
      </c>
      <c r="AN1435" t="s">
        <v>717</v>
      </c>
    </row>
    <row r="1436" spans="1:40" hidden="1">
      <c r="A1436">
        <v>1434</v>
      </c>
      <c r="B1436">
        <v>378</v>
      </c>
      <c r="C1436" s="58">
        <v>44799</v>
      </c>
      <c r="D1436" t="s">
        <v>121</v>
      </c>
      <c r="E1436" t="s">
        <v>2515</v>
      </c>
      <c r="F1436">
        <v>3</v>
      </c>
      <c r="G1436">
        <v>4</v>
      </c>
      <c r="H1436">
        <v>17</v>
      </c>
      <c r="I1436">
        <v>3</v>
      </c>
      <c r="J1436">
        <v>78.8</v>
      </c>
      <c r="K1436" t="s">
        <v>9</v>
      </c>
      <c r="L1436">
        <v>5988800</v>
      </c>
      <c r="M1436">
        <v>0</v>
      </c>
      <c r="N1436">
        <v>5988800</v>
      </c>
      <c r="O1436">
        <v>76000</v>
      </c>
      <c r="P1436">
        <v>0</v>
      </c>
      <c r="Q1436">
        <v>5988800</v>
      </c>
      <c r="R1436">
        <v>76000</v>
      </c>
      <c r="S1436" t="s">
        <v>65</v>
      </c>
      <c r="T1436" t="s">
        <v>5386</v>
      </c>
      <c r="U1436">
        <v>1053662.3799999999</v>
      </c>
      <c r="V1436" t="s">
        <v>4131</v>
      </c>
      <c r="W1436">
        <v>44788</v>
      </c>
      <c r="X1436" t="s">
        <v>6734</v>
      </c>
      <c r="Y1436" t="s">
        <v>6</v>
      </c>
      <c r="Z1436" t="s">
        <v>17</v>
      </c>
      <c r="AA1436" t="s">
        <v>717</v>
      </c>
      <c r="AB1436" t="s">
        <v>326</v>
      </c>
      <c r="AC1436" t="s">
        <v>2571</v>
      </c>
      <c r="AD1436" t="s">
        <v>717</v>
      </c>
      <c r="AE1436" t="s">
        <v>6735</v>
      </c>
      <c r="AF1436" t="s">
        <v>6736</v>
      </c>
      <c r="AG1436" t="s">
        <v>6737</v>
      </c>
      <c r="AH1436" t="s">
        <v>2615</v>
      </c>
      <c r="AI1436" t="s">
        <v>2538</v>
      </c>
      <c r="AJ1436" t="s">
        <v>2895</v>
      </c>
      <c r="AK1436" t="s">
        <v>63</v>
      </c>
      <c r="AL1436" t="s">
        <v>16</v>
      </c>
      <c r="AM1436" t="s">
        <v>10</v>
      </c>
      <c r="AN1436" t="s">
        <v>717</v>
      </c>
    </row>
    <row r="1437" spans="1:40" hidden="1">
      <c r="A1437">
        <v>1435</v>
      </c>
      <c r="B1437">
        <v>379</v>
      </c>
      <c r="C1437" s="58">
        <v>44799</v>
      </c>
      <c r="D1437" t="s">
        <v>7</v>
      </c>
      <c r="E1437" t="s">
        <v>2581</v>
      </c>
      <c r="F1437">
        <v>5</v>
      </c>
      <c r="G1437">
        <v>13</v>
      </c>
      <c r="H1437">
        <v>322</v>
      </c>
      <c r="I1437">
        <v>2</v>
      </c>
      <c r="J1437">
        <v>56.7</v>
      </c>
      <c r="K1437" t="s">
        <v>9</v>
      </c>
      <c r="L1437">
        <v>3876831.3</v>
      </c>
      <c r="M1437">
        <v>15000</v>
      </c>
      <c r="N1437">
        <v>3891831.3</v>
      </c>
      <c r="O1437">
        <v>68639</v>
      </c>
      <c r="P1437">
        <v>0</v>
      </c>
      <c r="Q1437">
        <v>3891831.3</v>
      </c>
      <c r="R1437">
        <v>68639</v>
      </c>
      <c r="S1437" t="s">
        <v>130</v>
      </c>
      <c r="T1437" t="s">
        <v>2941</v>
      </c>
      <c r="U1437">
        <v>11.34</v>
      </c>
      <c r="V1437" t="s">
        <v>717</v>
      </c>
      <c r="W1437">
        <v>44791</v>
      </c>
      <c r="X1437" t="s">
        <v>6738</v>
      </c>
      <c r="Y1437" t="s">
        <v>6</v>
      </c>
      <c r="Z1437" t="s">
        <v>17</v>
      </c>
      <c r="AA1437" t="s">
        <v>6637</v>
      </c>
      <c r="AB1437" t="s">
        <v>2509</v>
      </c>
      <c r="AC1437" t="s">
        <v>717</v>
      </c>
      <c r="AD1437" t="s">
        <v>717</v>
      </c>
      <c r="AE1437" t="s">
        <v>6739</v>
      </c>
      <c r="AF1437" t="s">
        <v>6740</v>
      </c>
      <c r="AG1437" t="s">
        <v>6741</v>
      </c>
      <c r="AH1437" t="s">
        <v>2615</v>
      </c>
      <c r="AI1437" t="s">
        <v>2552</v>
      </c>
      <c r="AJ1437" t="s">
        <v>2793</v>
      </c>
      <c r="AK1437" t="s">
        <v>77</v>
      </c>
      <c r="AL1437" t="s">
        <v>717</v>
      </c>
      <c r="AM1437" t="s">
        <v>10</v>
      </c>
      <c r="AN1437" t="s">
        <v>717</v>
      </c>
    </row>
    <row r="1438" spans="1:40" hidden="1">
      <c r="A1438">
        <v>1436</v>
      </c>
      <c r="B1438">
        <v>380</v>
      </c>
      <c r="C1438" s="58">
        <v>44799</v>
      </c>
      <c r="D1438" t="s">
        <v>27</v>
      </c>
      <c r="E1438" t="s">
        <v>5079</v>
      </c>
      <c r="F1438">
        <v>3</v>
      </c>
      <c r="G1438">
        <v>15</v>
      </c>
      <c r="H1438">
        <v>751</v>
      </c>
      <c r="I1438">
        <v>2</v>
      </c>
      <c r="J1438">
        <v>56.33</v>
      </c>
      <c r="K1438" t="s">
        <v>15</v>
      </c>
      <c r="L1438">
        <v>5040135.0999999996</v>
      </c>
      <c r="M1438">
        <v>15000</v>
      </c>
      <c r="N1438">
        <v>5055135.0999999996</v>
      </c>
      <c r="O1438">
        <v>89741.436179655604</v>
      </c>
      <c r="P1438">
        <v>422475</v>
      </c>
      <c r="Q1438">
        <v>4632660.0999999996</v>
      </c>
      <c r="R1438">
        <v>82241.436179655604</v>
      </c>
      <c r="S1438" t="s">
        <v>65</v>
      </c>
      <c r="T1438" t="s">
        <v>717</v>
      </c>
      <c r="U1438" t="s">
        <v>717</v>
      </c>
      <c r="V1438" t="s">
        <v>4131</v>
      </c>
      <c r="W1438">
        <v>44799</v>
      </c>
      <c r="X1438" t="s">
        <v>6742</v>
      </c>
      <c r="Y1438" t="s">
        <v>6</v>
      </c>
      <c r="Z1438" t="s">
        <v>17</v>
      </c>
      <c r="AA1438" t="s">
        <v>717</v>
      </c>
      <c r="AB1438" t="s">
        <v>2509</v>
      </c>
      <c r="AC1438" t="s">
        <v>2571</v>
      </c>
      <c r="AD1438" t="s">
        <v>717</v>
      </c>
      <c r="AE1438" t="s">
        <v>6743</v>
      </c>
      <c r="AF1438" t="s">
        <v>6744</v>
      </c>
      <c r="AG1438" t="s">
        <v>6745</v>
      </c>
      <c r="AH1438" t="s">
        <v>2191</v>
      </c>
      <c r="AI1438" t="s">
        <v>2538</v>
      </c>
      <c r="AJ1438" t="s">
        <v>2514</v>
      </c>
      <c r="AK1438" t="s">
        <v>73</v>
      </c>
      <c r="AL1438" t="s">
        <v>16</v>
      </c>
      <c r="AM1438" t="s">
        <v>10</v>
      </c>
      <c r="AN1438" t="s">
        <v>6708</v>
      </c>
    </row>
    <row r="1439" spans="1:40" hidden="1">
      <c r="A1439">
        <v>1437</v>
      </c>
      <c r="B1439">
        <v>381</v>
      </c>
      <c r="C1439" s="58">
        <v>44802</v>
      </c>
      <c r="D1439" t="s">
        <v>7</v>
      </c>
      <c r="E1439" t="s">
        <v>2581</v>
      </c>
      <c r="F1439">
        <v>1</v>
      </c>
      <c r="G1439">
        <v>3</v>
      </c>
      <c r="H1439">
        <v>248</v>
      </c>
      <c r="I1439">
        <v>0</v>
      </c>
      <c r="J1439">
        <v>29.35</v>
      </c>
      <c r="K1439" t="s">
        <v>9</v>
      </c>
      <c r="L1439">
        <v>2329803</v>
      </c>
      <c r="M1439">
        <v>0</v>
      </c>
      <c r="N1439">
        <v>2329803</v>
      </c>
      <c r="O1439">
        <v>79380</v>
      </c>
      <c r="P1439">
        <v>0</v>
      </c>
      <c r="Q1439">
        <v>2329803</v>
      </c>
      <c r="R1439">
        <v>79380</v>
      </c>
      <c r="S1439" t="s">
        <v>65</v>
      </c>
      <c r="T1439" t="s">
        <v>717</v>
      </c>
      <c r="U1439" t="s">
        <v>717</v>
      </c>
      <c r="V1439" t="s">
        <v>4131</v>
      </c>
      <c r="W1439">
        <v>44773</v>
      </c>
      <c r="X1439" t="s">
        <v>6746</v>
      </c>
      <c r="Y1439" t="s">
        <v>6</v>
      </c>
      <c r="Z1439" t="s">
        <v>17</v>
      </c>
      <c r="AA1439" t="s">
        <v>717</v>
      </c>
      <c r="AB1439" t="s">
        <v>2509</v>
      </c>
      <c r="AC1439" t="s">
        <v>2571</v>
      </c>
      <c r="AD1439" t="s">
        <v>717</v>
      </c>
      <c r="AE1439" t="s">
        <v>6747</v>
      </c>
      <c r="AF1439" t="s">
        <v>6748</v>
      </c>
      <c r="AG1439" t="s">
        <v>6749</v>
      </c>
      <c r="AH1439" t="s">
        <v>2191</v>
      </c>
      <c r="AI1439" t="s">
        <v>2538</v>
      </c>
      <c r="AJ1439" t="s">
        <v>2514</v>
      </c>
      <c r="AK1439" t="s">
        <v>63</v>
      </c>
      <c r="AL1439" t="s">
        <v>16</v>
      </c>
      <c r="AM1439" t="s">
        <v>10</v>
      </c>
      <c r="AN1439" t="s">
        <v>717</v>
      </c>
    </row>
    <row r="1440" spans="1:40" hidden="1">
      <c r="A1440">
        <v>1438</v>
      </c>
      <c r="B1440">
        <v>382</v>
      </c>
      <c r="C1440" s="58">
        <v>44802</v>
      </c>
      <c r="D1440" t="s">
        <v>27</v>
      </c>
      <c r="E1440" t="s">
        <v>5079</v>
      </c>
      <c r="F1440">
        <v>4</v>
      </c>
      <c r="G1440">
        <v>2</v>
      </c>
      <c r="H1440">
        <v>635</v>
      </c>
      <c r="I1440">
        <v>0</v>
      </c>
      <c r="J1440">
        <v>24.39</v>
      </c>
      <c r="K1440" t="s">
        <v>9</v>
      </c>
      <c r="L1440">
        <v>2135302.48</v>
      </c>
      <c r="M1440">
        <v>15000</v>
      </c>
      <c r="N1440">
        <v>2150302.48</v>
      </c>
      <c r="O1440">
        <v>88163.283312833126</v>
      </c>
      <c r="P1440">
        <v>0</v>
      </c>
      <c r="Q1440">
        <v>2150302.48</v>
      </c>
      <c r="R1440">
        <v>88163.283312833126</v>
      </c>
      <c r="S1440" t="s">
        <v>2507</v>
      </c>
      <c r="T1440" t="s">
        <v>717</v>
      </c>
      <c r="U1440" t="s">
        <v>717</v>
      </c>
      <c r="V1440" t="s">
        <v>717</v>
      </c>
      <c r="W1440">
        <v>44797</v>
      </c>
      <c r="X1440" t="s">
        <v>6750</v>
      </c>
      <c r="Y1440" t="s">
        <v>6</v>
      </c>
      <c r="Z1440" t="s">
        <v>17</v>
      </c>
      <c r="AA1440" t="s">
        <v>6637</v>
      </c>
      <c r="AB1440" t="s">
        <v>2509</v>
      </c>
      <c r="AC1440" t="s">
        <v>717</v>
      </c>
      <c r="AD1440" t="s">
        <v>717</v>
      </c>
      <c r="AE1440" t="s">
        <v>6751</v>
      </c>
      <c r="AF1440" t="s">
        <v>6752</v>
      </c>
      <c r="AG1440" t="s">
        <v>6753</v>
      </c>
      <c r="AH1440" t="s">
        <v>2616</v>
      </c>
      <c r="AI1440" t="s">
        <v>2552</v>
      </c>
      <c r="AJ1440" t="s">
        <v>2895</v>
      </c>
      <c r="AK1440" t="s">
        <v>73</v>
      </c>
      <c r="AL1440" t="s">
        <v>717</v>
      </c>
      <c r="AM1440" t="s">
        <v>10</v>
      </c>
      <c r="AN1440" t="s">
        <v>717</v>
      </c>
    </row>
    <row r="1441" spans="1:40" hidden="1">
      <c r="A1441">
        <v>1439</v>
      </c>
      <c r="B1441">
        <v>383</v>
      </c>
      <c r="C1441" s="58">
        <v>44802</v>
      </c>
      <c r="D1441" t="s">
        <v>27</v>
      </c>
      <c r="E1441" t="s">
        <v>2515</v>
      </c>
      <c r="F1441">
        <v>2</v>
      </c>
      <c r="G1441">
        <v>7</v>
      </c>
      <c r="H1441">
        <v>47</v>
      </c>
      <c r="I1441">
        <v>1</v>
      </c>
      <c r="J1441">
        <v>37.94</v>
      </c>
      <c r="K1441" t="s">
        <v>25</v>
      </c>
      <c r="L1441">
        <v>3943903.98</v>
      </c>
      <c r="M1441">
        <v>0</v>
      </c>
      <c r="N1441">
        <v>3943903.98</v>
      </c>
      <c r="O1441">
        <v>103951.08012651556</v>
      </c>
      <c r="P1441">
        <v>834679.99999999814</v>
      </c>
      <c r="Q1441">
        <v>3109223.9800000014</v>
      </c>
      <c r="R1441">
        <v>81951.080126515604</v>
      </c>
      <c r="S1441" t="s">
        <v>65</v>
      </c>
      <c r="T1441" t="s">
        <v>717</v>
      </c>
      <c r="U1441" t="s">
        <v>717</v>
      </c>
      <c r="V1441" t="s">
        <v>4131</v>
      </c>
      <c r="W1441">
        <v>44797</v>
      </c>
      <c r="X1441" t="s">
        <v>6754</v>
      </c>
      <c r="Y1441" t="s">
        <v>6</v>
      </c>
      <c r="Z1441" t="s">
        <v>17</v>
      </c>
      <c r="AA1441" t="s">
        <v>6637</v>
      </c>
      <c r="AB1441" t="s">
        <v>2509</v>
      </c>
      <c r="AC1441" t="s">
        <v>2571</v>
      </c>
      <c r="AD1441" t="s">
        <v>717</v>
      </c>
      <c r="AE1441" t="s">
        <v>6755</v>
      </c>
      <c r="AF1441" t="s">
        <v>6756</v>
      </c>
      <c r="AG1441" t="s">
        <v>6757</v>
      </c>
      <c r="AH1441" t="s">
        <v>2191</v>
      </c>
      <c r="AI1441" t="s">
        <v>5653</v>
      </c>
      <c r="AJ1441" t="s">
        <v>31</v>
      </c>
      <c r="AK1441" t="s">
        <v>73</v>
      </c>
      <c r="AL1441" t="s">
        <v>16</v>
      </c>
      <c r="AM1441" t="s">
        <v>5654</v>
      </c>
      <c r="AN1441" t="s">
        <v>6708</v>
      </c>
    </row>
    <row r="1442" spans="1:40" hidden="1">
      <c r="A1442">
        <v>1440</v>
      </c>
      <c r="B1442">
        <v>384</v>
      </c>
      <c r="C1442" s="58">
        <v>44802</v>
      </c>
      <c r="D1442" t="s">
        <v>27</v>
      </c>
      <c r="E1442" t="s">
        <v>5456</v>
      </c>
      <c r="F1442">
        <v>9</v>
      </c>
      <c r="G1442">
        <v>5</v>
      </c>
      <c r="H1442">
        <v>866</v>
      </c>
      <c r="I1442">
        <v>0</v>
      </c>
      <c r="J1442">
        <v>23.09</v>
      </c>
      <c r="K1442" t="s">
        <v>9</v>
      </c>
      <c r="L1442">
        <v>2036203.45</v>
      </c>
      <c r="M1442">
        <v>0</v>
      </c>
      <c r="N1442">
        <v>2036203.45</v>
      </c>
      <c r="O1442">
        <v>88185.511043741877</v>
      </c>
      <c r="P1442">
        <v>0</v>
      </c>
      <c r="Q1442">
        <v>2036203.45</v>
      </c>
      <c r="R1442">
        <v>88185.511043741877</v>
      </c>
      <c r="S1442" t="s">
        <v>65</v>
      </c>
      <c r="T1442" t="s">
        <v>717</v>
      </c>
      <c r="U1442" t="s">
        <v>717</v>
      </c>
      <c r="V1442" t="s">
        <v>4131</v>
      </c>
      <c r="W1442">
        <v>44798</v>
      </c>
      <c r="X1442" t="s">
        <v>6758</v>
      </c>
      <c r="Y1442" t="s">
        <v>6</v>
      </c>
      <c r="Z1442" t="s">
        <v>17</v>
      </c>
      <c r="AA1442" t="s">
        <v>717</v>
      </c>
      <c r="AB1442" t="s">
        <v>2509</v>
      </c>
      <c r="AC1442" t="s">
        <v>2571</v>
      </c>
      <c r="AD1442" t="s">
        <v>717</v>
      </c>
      <c r="AE1442" t="s">
        <v>6759</v>
      </c>
      <c r="AF1442" t="s">
        <v>6760</v>
      </c>
      <c r="AG1442" t="s">
        <v>6761</v>
      </c>
      <c r="AH1442" t="s">
        <v>2191</v>
      </c>
      <c r="AI1442" t="s">
        <v>2552</v>
      </c>
      <c r="AJ1442" t="s">
        <v>2514</v>
      </c>
      <c r="AK1442" t="s">
        <v>73</v>
      </c>
      <c r="AL1442" t="s">
        <v>22</v>
      </c>
      <c r="AM1442" t="s">
        <v>10</v>
      </c>
      <c r="AN1442" t="s">
        <v>6708</v>
      </c>
    </row>
    <row r="1443" spans="1:40" hidden="1">
      <c r="A1443">
        <v>1441</v>
      </c>
      <c r="B1443">
        <v>385</v>
      </c>
      <c r="C1443" s="58">
        <v>44803</v>
      </c>
      <c r="D1443" t="s">
        <v>27</v>
      </c>
      <c r="E1443" t="s">
        <v>2515</v>
      </c>
      <c r="F1443">
        <v>3</v>
      </c>
      <c r="G1443">
        <v>6</v>
      </c>
      <c r="H1443">
        <v>39</v>
      </c>
      <c r="I1443">
        <v>1</v>
      </c>
      <c r="J1443">
        <v>41.06</v>
      </c>
      <c r="K1443" t="s">
        <v>25</v>
      </c>
      <c r="L1443">
        <v>2993250</v>
      </c>
      <c r="M1443">
        <v>0</v>
      </c>
      <c r="N1443">
        <v>2993250</v>
      </c>
      <c r="O1443">
        <v>72899.415489527513</v>
      </c>
      <c r="P1443">
        <v>0</v>
      </c>
      <c r="Q1443">
        <v>2993250</v>
      </c>
      <c r="R1443">
        <v>72899.415489527513</v>
      </c>
      <c r="S1443" t="s">
        <v>130</v>
      </c>
      <c r="T1443" t="s">
        <v>717</v>
      </c>
      <c r="U1443" t="s">
        <v>717</v>
      </c>
      <c r="V1443" t="s">
        <v>717</v>
      </c>
      <c r="W1443">
        <v>44775</v>
      </c>
      <c r="X1443" t="s">
        <v>6762</v>
      </c>
      <c r="Y1443" t="s">
        <v>6642</v>
      </c>
      <c r="Z1443" t="s">
        <v>17</v>
      </c>
      <c r="AA1443" t="s">
        <v>717</v>
      </c>
      <c r="AB1443" t="s">
        <v>2509</v>
      </c>
      <c r="AC1443" t="s">
        <v>717</v>
      </c>
      <c r="AD1443" t="s">
        <v>717</v>
      </c>
      <c r="AE1443" t="s">
        <v>6643</v>
      </c>
      <c r="AF1443" t="s">
        <v>717</v>
      </c>
      <c r="AG1443" t="s">
        <v>717</v>
      </c>
      <c r="AH1443" t="s">
        <v>717</v>
      </c>
      <c r="AI1443" t="s">
        <v>6644</v>
      </c>
      <c r="AJ1443" t="s">
        <v>6645</v>
      </c>
      <c r="AK1443" t="s">
        <v>29</v>
      </c>
      <c r="AL1443" t="s">
        <v>717</v>
      </c>
      <c r="AM1443" t="s">
        <v>10</v>
      </c>
      <c r="AN1443" t="s">
        <v>717</v>
      </c>
    </row>
    <row r="1444" spans="1:40" hidden="1">
      <c r="A1444">
        <v>1442</v>
      </c>
      <c r="B1444">
        <v>386</v>
      </c>
      <c r="C1444" s="58">
        <v>44803</v>
      </c>
      <c r="D1444" t="s">
        <v>27</v>
      </c>
      <c r="E1444" t="s">
        <v>2515</v>
      </c>
      <c r="F1444">
        <v>7</v>
      </c>
      <c r="G1444">
        <v>6</v>
      </c>
      <c r="H1444">
        <v>43</v>
      </c>
      <c r="I1444">
        <v>2</v>
      </c>
      <c r="J1444">
        <v>60.06</v>
      </c>
      <c r="K1444" t="s">
        <v>25</v>
      </c>
      <c r="L1444">
        <v>4313250</v>
      </c>
      <c r="M1444">
        <v>0</v>
      </c>
      <c r="N1444">
        <v>4313250</v>
      </c>
      <c r="O1444">
        <v>71815.68431568431</v>
      </c>
      <c r="P1444">
        <v>0</v>
      </c>
      <c r="Q1444">
        <v>4313250</v>
      </c>
      <c r="R1444">
        <v>71815.68431568431</v>
      </c>
      <c r="S1444" t="s">
        <v>130</v>
      </c>
      <c r="T1444" t="s">
        <v>717</v>
      </c>
      <c r="U1444" t="s">
        <v>717</v>
      </c>
      <c r="V1444" t="s">
        <v>717</v>
      </c>
      <c r="W1444">
        <v>44775</v>
      </c>
      <c r="X1444" t="s">
        <v>6762</v>
      </c>
      <c r="Y1444" t="s">
        <v>6642</v>
      </c>
      <c r="Z1444" t="s">
        <v>17</v>
      </c>
      <c r="AA1444" t="s">
        <v>717</v>
      </c>
      <c r="AB1444" t="s">
        <v>2509</v>
      </c>
      <c r="AC1444" t="s">
        <v>717</v>
      </c>
      <c r="AD1444" t="s">
        <v>717</v>
      </c>
      <c r="AE1444" t="s">
        <v>6643</v>
      </c>
      <c r="AF1444" t="s">
        <v>717</v>
      </c>
      <c r="AG1444" t="s">
        <v>717</v>
      </c>
      <c r="AH1444" t="s">
        <v>717</v>
      </c>
      <c r="AI1444" t="s">
        <v>6644</v>
      </c>
      <c r="AJ1444" t="s">
        <v>6645</v>
      </c>
      <c r="AK1444" t="s">
        <v>29</v>
      </c>
      <c r="AL1444" t="s">
        <v>717</v>
      </c>
      <c r="AM1444" t="s">
        <v>10</v>
      </c>
      <c r="AN1444" t="s">
        <v>717</v>
      </c>
    </row>
    <row r="1445" spans="1:40" hidden="1">
      <c r="A1445">
        <v>1443</v>
      </c>
      <c r="B1445">
        <v>387</v>
      </c>
      <c r="C1445" s="58">
        <v>44803</v>
      </c>
      <c r="D1445" t="s">
        <v>27</v>
      </c>
      <c r="E1445" t="s">
        <v>2515</v>
      </c>
      <c r="F1445">
        <v>8</v>
      </c>
      <c r="G1445">
        <v>6</v>
      </c>
      <c r="H1445">
        <v>44</v>
      </c>
      <c r="I1445">
        <v>1</v>
      </c>
      <c r="J1445">
        <v>37.69</v>
      </c>
      <c r="K1445" t="s">
        <v>25</v>
      </c>
      <c r="L1445">
        <v>2726250</v>
      </c>
      <c r="M1445">
        <v>0</v>
      </c>
      <c r="N1445">
        <v>2726250</v>
      </c>
      <c r="O1445">
        <v>72333.510214911119</v>
      </c>
      <c r="P1445">
        <v>0</v>
      </c>
      <c r="Q1445">
        <v>2726250</v>
      </c>
      <c r="R1445">
        <v>72333.510214911119</v>
      </c>
      <c r="S1445" t="s">
        <v>130</v>
      </c>
      <c r="T1445" t="s">
        <v>717</v>
      </c>
      <c r="U1445" t="s">
        <v>717</v>
      </c>
      <c r="V1445" t="s">
        <v>717</v>
      </c>
      <c r="W1445">
        <v>44775</v>
      </c>
      <c r="X1445" t="s">
        <v>6762</v>
      </c>
      <c r="Y1445" t="s">
        <v>6642</v>
      </c>
      <c r="Z1445" t="s">
        <v>17</v>
      </c>
      <c r="AA1445" t="s">
        <v>717</v>
      </c>
      <c r="AB1445" t="s">
        <v>2509</v>
      </c>
      <c r="AC1445" t="s">
        <v>717</v>
      </c>
      <c r="AD1445" t="s">
        <v>717</v>
      </c>
      <c r="AE1445" t="s">
        <v>6643</v>
      </c>
      <c r="AF1445" t="s">
        <v>717</v>
      </c>
      <c r="AG1445" t="s">
        <v>717</v>
      </c>
      <c r="AH1445" t="s">
        <v>717</v>
      </c>
      <c r="AI1445" t="s">
        <v>6644</v>
      </c>
      <c r="AJ1445" t="s">
        <v>6645</v>
      </c>
      <c r="AK1445" t="s">
        <v>29</v>
      </c>
      <c r="AL1445" t="s">
        <v>717</v>
      </c>
      <c r="AM1445" t="s">
        <v>10</v>
      </c>
      <c r="AN1445" t="s">
        <v>717</v>
      </c>
    </row>
    <row r="1446" spans="1:40" hidden="1">
      <c r="A1446">
        <v>1444</v>
      </c>
      <c r="B1446">
        <v>388</v>
      </c>
      <c r="C1446" s="58">
        <v>44803</v>
      </c>
      <c r="D1446" t="s">
        <v>27</v>
      </c>
      <c r="E1446" t="s">
        <v>2515</v>
      </c>
      <c r="F1446">
        <v>1</v>
      </c>
      <c r="G1446">
        <v>7</v>
      </c>
      <c r="H1446">
        <v>46</v>
      </c>
      <c r="I1446">
        <v>3</v>
      </c>
      <c r="J1446">
        <v>82.71</v>
      </c>
      <c r="K1446" t="s">
        <v>25</v>
      </c>
      <c r="L1446">
        <v>6012750</v>
      </c>
      <c r="M1446">
        <v>0</v>
      </c>
      <c r="N1446">
        <v>6012750</v>
      </c>
      <c r="O1446">
        <v>72696.771853463913</v>
      </c>
      <c r="P1446">
        <v>0</v>
      </c>
      <c r="Q1446">
        <v>6012750</v>
      </c>
      <c r="R1446">
        <v>72696.771853463913</v>
      </c>
      <c r="S1446" t="s">
        <v>130</v>
      </c>
      <c r="T1446" t="s">
        <v>717</v>
      </c>
      <c r="U1446" t="s">
        <v>717</v>
      </c>
      <c r="V1446" t="s">
        <v>717</v>
      </c>
      <c r="W1446">
        <v>44775</v>
      </c>
      <c r="X1446" t="s">
        <v>6762</v>
      </c>
      <c r="Y1446" t="s">
        <v>6642</v>
      </c>
      <c r="Z1446" t="s">
        <v>17</v>
      </c>
      <c r="AA1446" t="s">
        <v>717</v>
      </c>
      <c r="AB1446" t="s">
        <v>2509</v>
      </c>
      <c r="AC1446" t="s">
        <v>717</v>
      </c>
      <c r="AD1446" t="s">
        <v>717</v>
      </c>
      <c r="AE1446" t="s">
        <v>6643</v>
      </c>
      <c r="AF1446" t="s">
        <v>717</v>
      </c>
      <c r="AG1446" t="s">
        <v>717</v>
      </c>
      <c r="AH1446" t="s">
        <v>717</v>
      </c>
      <c r="AI1446" t="s">
        <v>6644</v>
      </c>
      <c r="AJ1446" t="s">
        <v>6645</v>
      </c>
      <c r="AK1446" t="s">
        <v>29</v>
      </c>
      <c r="AL1446" t="s">
        <v>717</v>
      </c>
      <c r="AM1446" t="s">
        <v>10</v>
      </c>
      <c r="AN1446" t="s">
        <v>717</v>
      </c>
    </row>
    <row r="1447" spans="1:40" hidden="1">
      <c r="A1447">
        <v>1445</v>
      </c>
      <c r="B1447">
        <v>389</v>
      </c>
      <c r="C1447" s="58">
        <v>44803</v>
      </c>
      <c r="D1447" t="s">
        <v>27</v>
      </c>
      <c r="E1447" t="s">
        <v>2515</v>
      </c>
      <c r="F1447">
        <v>7</v>
      </c>
      <c r="G1447">
        <v>7</v>
      </c>
      <c r="H1447">
        <v>52</v>
      </c>
      <c r="I1447">
        <v>2</v>
      </c>
      <c r="J1447">
        <v>60.06</v>
      </c>
      <c r="K1447" t="s">
        <v>25</v>
      </c>
      <c r="L1447">
        <v>4313250</v>
      </c>
      <c r="M1447">
        <v>0</v>
      </c>
      <c r="N1447">
        <v>4313250</v>
      </c>
      <c r="O1447">
        <v>71815.68431568431</v>
      </c>
      <c r="P1447">
        <v>0</v>
      </c>
      <c r="Q1447">
        <v>4313250</v>
      </c>
      <c r="R1447">
        <v>71815.68431568431</v>
      </c>
      <c r="S1447" t="s">
        <v>130</v>
      </c>
      <c r="T1447" t="s">
        <v>717</v>
      </c>
      <c r="U1447" t="s">
        <v>717</v>
      </c>
      <c r="V1447" t="s">
        <v>717</v>
      </c>
      <c r="W1447">
        <v>44775</v>
      </c>
      <c r="X1447" t="s">
        <v>6762</v>
      </c>
      <c r="Y1447" t="s">
        <v>6642</v>
      </c>
      <c r="Z1447" t="s">
        <v>17</v>
      </c>
      <c r="AA1447" t="s">
        <v>717</v>
      </c>
      <c r="AB1447" t="s">
        <v>2509</v>
      </c>
      <c r="AC1447" t="s">
        <v>717</v>
      </c>
      <c r="AD1447" t="s">
        <v>717</v>
      </c>
      <c r="AE1447" t="s">
        <v>6643</v>
      </c>
      <c r="AF1447" t="s">
        <v>717</v>
      </c>
      <c r="AG1447" t="s">
        <v>717</v>
      </c>
      <c r="AH1447" t="s">
        <v>717</v>
      </c>
      <c r="AI1447" t="s">
        <v>6644</v>
      </c>
      <c r="AJ1447" t="s">
        <v>6645</v>
      </c>
      <c r="AK1447" t="s">
        <v>29</v>
      </c>
      <c r="AL1447" t="s">
        <v>717</v>
      </c>
      <c r="AM1447" t="s">
        <v>10</v>
      </c>
      <c r="AN1447" t="s">
        <v>717</v>
      </c>
    </row>
    <row r="1448" spans="1:40" hidden="1">
      <c r="A1448">
        <v>1446</v>
      </c>
      <c r="B1448">
        <v>390</v>
      </c>
      <c r="C1448" s="58">
        <v>44803</v>
      </c>
      <c r="D1448" t="s">
        <v>27</v>
      </c>
      <c r="E1448" t="s">
        <v>2515</v>
      </c>
      <c r="F1448">
        <v>9</v>
      </c>
      <c r="G1448">
        <v>7</v>
      </c>
      <c r="H1448">
        <v>54</v>
      </c>
      <c r="I1448">
        <v>1</v>
      </c>
      <c r="J1448">
        <v>37.94</v>
      </c>
      <c r="K1448" t="s">
        <v>25</v>
      </c>
      <c r="L1448">
        <v>2745000</v>
      </c>
      <c r="M1448">
        <v>0</v>
      </c>
      <c r="N1448">
        <v>2745000</v>
      </c>
      <c r="O1448">
        <v>72351.080653663681</v>
      </c>
      <c r="P1448">
        <v>0</v>
      </c>
      <c r="Q1448">
        <v>2745000</v>
      </c>
      <c r="R1448">
        <v>72351.080653663681</v>
      </c>
      <c r="S1448" t="s">
        <v>130</v>
      </c>
      <c r="T1448" t="s">
        <v>717</v>
      </c>
      <c r="U1448" t="s">
        <v>717</v>
      </c>
      <c r="V1448" t="s">
        <v>717</v>
      </c>
      <c r="W1448">
        <v>44775</v>
      </c>
      <c r="X1448" t="s">
        <v>6762</v>
      </c>
      <c r="Y1448" t="s">
        <v>6642</v>
      </c>
      <c r="Z1448" t="s">
        <v>17</v>
      </c>
      <c r="AA1448" t="s">
        <v>717</v>
      </c>
      <c r="AB1448" t="s">
        <v>2509</v>
      </c>
      <c r="AC1448" t="s">
        <v>717</v>
      </c>
      <c r="AD1448" t="s">
        <v>717</v>
      </c>
      <c r="AE1448" t="s">
        <v>6643</v>
      </c>
      <c r="AF1448" t="s">
        <v>717</v>
      </c>
      <c r="AG1448" t="s">
        <v>717</v>
      </c>
      <c r="AH1448" t="s">
        <v>717</v>
      </c>
      <c r="AI1448" t="s">
        <v>6644</v>
      </c>
      <c r="AJ1448" t="s">
        <v>6645</v>
      </c>
      <c r="AK1448" t="s">
        <v>29</v>
      </c>
      <c r="AL1448" t="s">
        <v>717</v>
      </c>
      <c r="AM1448" t="s">
        <v>10</v>
      </c>
      <c r="AN1448" t="s">
        <v>717</v>
      </c>
    </row>
    <row r="1449" spans="1:40" hidden="1">
      <c r="A1449">
        <v>1447</v>
      </c>
      <c r="B1449">
        <v>391</v>
      </c>
      <c r="C1449" s="58">
        <v>44803</v>
      </c>
      <c r="D1449" t="s">
        <v>27</v>
      </c>
      <c r="E1449" t="s">
        <v>2515</v>
      </c>
      <c r="F1449">
        <v>7</v>
      </c>
      <c r="G1449">
        <v>8</v>
      </c>
      <c r="H1449">
        <v>61</v>
      </c>
      <c r="I1449">
        <v>2</v>
      </c>
      <c r="J1449">
        <v>60.06</v>
      </c>
      <c r="K1449" t="s">
        <v>25</v>
      </c>
      <c r="L1449">
        <v>4313250</v>
      </c>
      <c r="M1449">
        <v>0</v>
      </c>
      <c r="N1449">
        <v>4313250</v>
      </c>
      <c r="O1449">
        <v>71815.68431568431</v>
      </c>
      <c r="P1449">
        <v>0</v>
      </c>
      <c r="Q1449">
        <v>4313250</v>
      </c>
      <c r="R1449">
        <v>71815.68431568431</v>
      </c>
      <c r="S1449" t="s">
        <v>130</v>
      </c>
      <c r="T1449" t="s">
        <v>717</v>
      </c>
      <c r="U1449" t="s">
        <v>717</v>
      </c>
      <c r="V1449" t="s">
        <v>717</v>
      </c>
      <c r="W1449">
        <v>44775</v>
      </c>
      <c r="X1449" t="s">
        <v>6762</v>
      </c>
      <c r="Y1449" t="s">
        <v>6642</v>
      </c>
      <c r="Z1449" t="s">
        <v>17</v>
      </c>
      <c r="AA1449" t="s">
        <v>717</v>
      </c>
      <c r="AB1449" t="s">
        <v>2509</v>
      </c>
      <c r="AC1449" t="s">
        <v>717</v>
      </c>
      <c r="AD1449" t="s">
        <v>717</v>
      </c>
      <c r="AE1449" t="s">
        <v>6643</v>
      </c>
      <c r="AF1449" t="s">
        <v>717</v>
      </c>
      <c r="AG1449" t="s">
        <v>717</v>
      </c>
      <c r="AH1449" t="s">
        <v>717</v>
      </c>
      <c r="AI1449" t="s">
        <v>6644</v>
      </c>
      <c r="AJ1449" t="s">
        <v>6645</v>
      </c>
      <c r="AK1449" t="s">
        <v>29</v>
      </c>
      <c r="AL1449" t="s">
        <v>717</v>
      </c>
      <c r="AM1449" t="s">
        <v>10</v>
      </c>
      <c r="AN1449" t="s">
        <v>717</v>
      </c>
    </row>
    <row r="1450" spans="1:40" hidden="1">
      <c r="A1450">
        <v>1448</v>
      </c>
      <c r="B1450">
        <v>392</v>
      </c>
      <c r="C1450" s="58">
        <v>44803</v>
      </c>
      <c r="D1450" t="s">
        <v>27</v>
      </c>
      <c r="E1450" t="s">
        <v>2515</v>
      </c>
      <c r="F1450">
        <v>7</v>
      </c>
      <c r="G1450">
        <v>9</v>
      </c>
      <c r="H1450">
        <v>70</v>
      </c>
      <c r="I1450">
        <v>2</v>
      </c>
      <c r="J1450">
        <v>60.06</v>
      </c>
      <c r="K1450" t="s">
        <v>25</v>
      </c>
      <c r="L1450">
        <v>4313250</v>
      </c>
      <c r="M1450">
        <v>0</v>
      </c>
      <c r="N1450">
        <v>4313250</v>
      </c>
      <c r="O1450">
        <v>71815.68431568431</v>
      </c>
      <c r="P1450">
        <v>0</v>
      </c>
      <c r="Q1450">
        <v>4313250</v>
      </c>
      <c r="R1450">
        <v>71815.68431568431</v>
      </c>
      <c r="S1450" t="s">
        <v>130</v>
      </c>
      <c r="T1450" t="s">
        <v>717</v>
      </c>
      <c r="U1450" t="s">
        <v>717</v>
      </c>
      <c r="V1450" t="s">
        <v>717</v>
      </c>
      <c r="W1450">
        <v>44775</v>
      </c>
      <c r="X1450" t="s">
        <v>6762</v>
      </c>
      <c r="Y1450" t="s">
        <v>6642</v>
      </c>
      <c r="Z1450" t="s">
        <v>17</v>
      </c>
      <c r="AA1450" t="s">
        <v>717</v>
      </c>
      <c r="AB1450" t="s">
        <v>2509</v>
      </c>
      <c r="AC1450" t="s">
        <v>717</v>
      </c>
      <c r="AD1450" t="s">
        <v>717</v>
      </c>
      <c r="AE1450" t="s">
        <v>6643</v>
      </c>
      <c r="AF1450" t="s">
        <v>717</v>
      </c>
      <c r="AG1450" t="s">
        <v>717</v>
      </c>
      <c r="AH1450" t="s">
        <v>717</v>
      </c>
      <c r="AI1450" t="s">
        <v>6644</v>
      </c>
      <c r="AJ1450" t="s">
        <v>6645</v>
      </c>
      <c r="AK1450" t="s">
        <v>29</v>
      </c>
      <c r="AL1450" t="s">
        <v>717</v>
      </c>
      <c r="AM1450" t="s">
        <v>10</v>
      </c>
      <c r="AN1450" t="s">
        <v>717</v>
      </c>
    </row>
    <row r="1451" spans="1:40" hidden="1">
      <c r="A1451">
        <v>1449</v>
      </c>
      <c r="B1451">
        <v>393</v>
      </c>
      <c r="C1451" s="58">
        <v>44803</v>
      </c>
      <c r="D1451" t="s">
        <v>27</v>
      </c>
      <c r="E1451" t="s">
        <v>2515</v>
      </c>
      <c r="F1451">
        <v>7</v>
      </c>
      <c r="G1451">
        <v>10</v>
      </c>
      <c r="H1451">
        <v>79</v>
      </c>
      <c r="I1451">
        <v>2</v>
      </c>
      <c r="J1451">
        <v>60.06</v>
      </c>
      <c r="K1451" t="s">
        <v>25</v>
      </c>
      <c r="L1451">
        <v>4313250</v>
      </c>
      <c r="M1451">
        <v>0</v>
      </c>
      <c r="N1451">
        <v>4313250</v>
      </c>
      <c r="O1451">
        <v>71815.68431568431</v>
      </c>
      <c r="P1451">
        <v>0</v>
      </c>
      <c r="Q1451">
        <v>4313250</v>
      </c>
      <c r="R1451">
        <v>71815.68431568431</v>
      </c>
      <c r="S1451" t="s">
        <v>130</v>
      </c>
      <c r="T1451" t="s">
        <v>717</v>
      </c>
      <c r="U1451" t="s">
        <v>717</v>
      </c>
      <c r="V1451" t="s">
        <v>717</v>
      </c>
      <c r="W1451">
        <v>44775</v>
      </c>
      <c r="X1451" t="s">
        <v>6762</v>
      </c>
      <c r="Y1451" t="s">
        <v>6642</v>
      </c>
      <c r="Z1451" t="s">
        <v>17</v>
      </c>
      <c r="AA1451" t="s">
        <v>717</v>
      </c>
      <c r="AB1451" t="s">
        <v>2509</v>
      </c>
      <c r="AC1451" t="s">
        <v>717</v>
      </c>
      <c r="AD1451" t="s">
        <v>717</v>
      </c>
      <c r="AE1451" t="s">
        <v>6643</v>
      </c>
      <c r="AF1451" t="s">
        <v>717</v>
      </c>
      <c r="AG1451" t="s">
        <v>717</v>
      </c>
      <c r="AH1451" t="s">
        <v>717</v>
      </c>
      <c r="AI1451" t="s">
        <v>6644</v>
      </c>
      <c r="AJ1451" t="s">
        <v>6645</v>
      </c>
      <c r="AK1451" t="s">
        <v>29</v>
      </c>
      <c r="AL1451" t="s">
        <v>717</v>
      </c>
      <c r="AM1451" t="s">
        <v>10</v>
      </c>
      <c r="AN1451" t="s">
        <v>717</v>
      </c>
    </row>
    <row r="1452" spans="1:40" hidden="1">
      <c r="A1452">
        <v>1450</v>
      </c>
      <c r="B1452">
        <v>394</v>
      </c>
      <c r="C1452" s="58">
        <v>44803</v>
      </c>
      <c r="D1452" t="s">
        <v>27</v>
      </c>
      <c r="E1452" t="s">
        <v>2515</v>
      </c>
      <c r="F1452">
        <v>7</v>
      </c>
      <c r="G1452">
        <v>11</v>
      </c>
      <c r="H1452">
        <v>88</v>
      </c>
      <c r="I1452">
        <v>2</v>
      </c>
      <c r="J1452">
        <v>60.06</v>
      </c>
      <c r="K1452" t="s">
        <v>25</v>
      </c>
      <c r="L1452">
        <v>4313250</v>
      </c>
      <c r="M1452">
        <v>0</v>
      </c>
      <c r="N1452">
        <v>4313250</v>
      </c>
      <c r="O1452">
        <v>71815.68431568431</v>
      </c>
      <c r="P1452">
        <v>0</v>
      </c>
      <c r="Q1452">
        <v>4313250</v>
      </c>
      <c r="R1452">
        <v>71815.68431568431</v>
      </c>
      <c r="S1452" t="s">
        <v>130</v>
      </c>
      <c r="T1452" t="s">
        <v>717</v>
      </c>
      <c r="U1452" t="s">
        <v>717</v>
      </c>
      <c r="V1452" t="s">
        <v>717</v>
      </c>
      <c r="W1452">
        <v>44775</v>
      </c>
      <c r="X1452" t="s">
        <v>6762</v>
      </c>
      <c r="Y1452" t="s">
        <v>6642</v>
      </c>
      <c r="Z1452" t="s">
        <v>17</v>
      </c>
      <c r="AA1452" t="s">
        <v>717</v>
      </c>
      <c r="AB1452" t="s">
        <v>2509</v>
      </c>
      <c r="AC1452" t="s">
        <v>717</v>
      </c>
      <c r="AD1452" t="s">
        <v>717</v>
      </c>
      <c r="AE1452" t="s">
        <v>6643</v>
      </c>
      <c r="AF1452" t="s">
        <v>717</v>
      </c>
      <c r="AG1452" t="s">
        <v>717</v>
      </c>
      <c r="AH1452" t="s">
        <v>717</v>
      </c>
      <c r="AI1452" t="s">
        <v>6644</v>
      </c>
      <c r="AJ1452" t="s">
        <v>6645</v>
      </c>
      <c r="AK1452" t="s">
        <v>29</v>
      </c>
      <c r="AL1452" t="s">
        <v>717</v>
      </c>
      <c r="AM1452" t="s">
        <v>10</v>
      </c>
      <c r="AN1452" t="s">
        <v>717</v>
      </c>
    </row>
    <row r="1453" spans="1:40" hidden="1">
      <c r="A1453">
        <v>1451</v>
      </c>
      <c r="B1453">
        <v>395</v>
      </c>
      <c r="C1453" s="58">
        <v>44803</v>
      </c>
      <c r="D1453" t="s">
        <v>27</v>
      </c>
      <c r="E1453" t="s">
        <v>2515</v>
      </c>
      <c r="F1453">
        <v>7</v>
      </c>
      <c r="G1453">
        <v>12</v>
      </c>
      <c r="H1453">
        <v>97</v>
      </c>
      <c r="I1453">
        <v>2</v>
      </c>
      <c r="J1453">
        <v>60.06</v>
      </c>
      <c r="K1453" t="s">
        <v>25</v>
      </c>
      <c r="L1453">
        <v>4313250</v>
      </c>
      <c r="M1453">
        <v>0</v>
      </c>
      <c r="N1453">
        <v>4313250</v>
      </c>
      <c r="O1453">
        <v>71815.68431568431</v>
      </c>
      <c r="P1453">
        <v>0</v>
      </c>
      <c r="Q1453">
        <v>4313250</v>
      </c>
      <c r="R1453">
        <v>71815.68431568431</v>
      </c>
      <c r="S1453" t="s">
        <v>130</v>
      </c>
      <c r="T1453" t="s">
        <v>717</v>
      </c>
      <c r="U1453" t="s">
        <v>717</v>
      </c>
      <c r="V1453" t="s">
        <v>717</v>
      </c>
      <c r="W1453">
        <v>44775</v>
      </c>
      <c r="X1453" t="s">
        <v>6762</v>
      </c>
      <c r="Y1453" t="s">
        <v>6642</v>
      </c>
      <c r="Z1453" t="s">
        <v>17</v>
      </c>
      <c r="AA1453" t="s">
        <v>717</v>
      </c>
      <c r="AB1453" t="s">
        <v>2509</v>
      </c>
      <c r="AC1453" t="s">
        <v>717</v>
      </c>
      <c r="AD1453" t="s">
        <v>717</v>
      </c>
      <c r="AE1453" t="s">
        <v>6643</v>
      </c>
      <c r="AF1453" t="s">
        <v>717</v>
      </c>
      <c r="AG1453" t="s">
        <v>717</v>
      </c>
      <c r="AH1453" t="s">
        <v>717</v>
      </c>
      <c r="AI1453" t="s">
        <v>6644</v>
      </c>
      <c r="AJ1453" t="s">
        <v>6645</v>
      </c>
      <c r="AK1453" t="s">
        <v>29</v>
      </c>
      <c r="AL1453" t="s">
        <v>717</v>
      </c>
      <c r="AM1453" t="s">
        <v>10</v>
      </c>
      <c r="AN1453" t="s">
        <v>717</v>
      </c>
    </row>
    <row r="1454" spans="1:40" hidden="1">
      <c r="A1454">
        <v>1452</v>
      </c>
      <c r="B1454">
        <v>396</v>
      </c>
      <c r="C1454" s="58">
        <v>44803</v>
      </c>
      <c r="D1454" t="s">
        <v>27</v>
      </c>
      <c r="E1454" t="s">
        <v>2515</v>
      </c>
      <c r="F1454">
        <v>7</v>
      </c>
      <c r="G1454">
        <v>13</v>
      </c>
      <c r="H1454">
        <v>106</v>
      </c>
      <c r="I1454">
        <v>2</v>
      </c>
      <c r="J1454">
        <v>60.06</v>
      </c>
      <c r="K1454" t="s">
        <v>25</v>
      </c>
      <c r="L1454">
        <v>4313250</v>
      </c>
      <c r="M1454">
        <v>0</v>
      </c>
      <c r="N1454">
        <v>4313250</v>
      </c>
      <c r="O1454">
        <v>71815.68431568431</v>
      </c>
      <c r="P1454">
        <v>0</v>
      </c>
      <c r="Q1454">
        <v>4313250</v>
      </c>
      <c r="R1454">
        <v>71815.68431568431</v>
      </c>
      <c r="S1454" t="s">
        <v>130</v>
      </c>
      <c r="T1454" t="s">
        <v>717</v>
      </c>
      <c r="U1454" t="s">
        <v>717</v>
      </c>
      <c r="V1454" t="s">
        <v>717</v>
      </c>
      <c r="W1454">
        <v>44775</v>
      </c>
      <c r="X1454" t="s">
        <v>6762</v>
      </c>
      <c r="Y1454" t="s">
        <v>6642</v>
      </c>
      <c r="Z1454" t="s">
        <v>17</v>
      </c>
      <c r="AA1454" t="s">
        <v>717</v>
      </c>
      <c r="AB1454" t="s">
        <v>2509</v>
      </c>
      <c r="AC1454" t="s">
        <v>717</v>
      </c>
      <c r="AD1454" t="s">
        <v>717</v>
      </c>
      <c r="AE1454" t="s">
        <v>6643</v>
      </c>
      <c r="AF1454" t="s">
        <v>717</v>
      </c>
      <c r="AG1454" t="s">
        <v>717</v>
      </c>
      <c r="AH1454" t="s">
        <v>717</v>
      </c>
      <c r="AI1454" t="s">
        <v>6644</v>
      </c>
      <c r="AJ1454" t="s">
        <v>6645</v>
      </c>
      <c r="AK1454" t="s">
        <v>29</v>
      </c>
      <c r="AL1454" t="s">
        <v>717</v>
      </c>
      <c r="AM1454" t="s">
        <v>10</v>
      </c>
      <c r="AN1454" t="s">
        <v>717</v>
      </c>
    </row>
    <row r="1455" spans="1:40" hidden="1">
      <c r="A1455">
        <v>1453</v>
      </c>
      <c r="B1455">
        <v>397</v>
      </c>
      <c r="C1455" s="58">
        <v>44803</v>
      </c>
      <c r="D1455" t="s">
        <v>27</v>
      </c>
      <c r="E1455" t="s">
        <v>2515</v>
      </c>
      <c r="F1455">
        <v>7</v>
      </c>
      <c r="G1455">
        <v>17</v>
      </c>
      <c r="H1455">
        <v>142</v>
      </c>
      <c r="I1455">
        <v>2</v>
      </c>
      <c r="J1455">
        <v>60.06</v>
      </c>
      <c r="K1455" t="s">
        <v>25</v>
      </c>
      <c r="L1455">
        <v>4313250</v>
      </c>
      <c r="M1455">
        <v>0</v>
      </c>
      <c r="N1455">
        <v>4313250</v>
      </c>
      <c r="O1455">
        <v>71815.68431568431</v>
      </c>
      <c r="P1455">
        <v>0</v>
      </c>
      <c r="Q1455">
        <v>4313250</v>
      </c>
      <c r="R1455">
        <v>71815.68431568431</v>
      </c>
      <c r="S1455" t="s">
        <v>130</v>
      </c>
      <c r="T1455" t="s">
        <v>717</v>
      </c>
      <c r="U1455" t="s">
        <v>717</v>
      </c>
      <c r="V1455" t="s">
        <v>717</v>
      </c>
      <c r="W1455">
        <v>44775</v>
      </c>
      <c r="X1455" t="s">
        <v>6763</v>
      </c>
      <c r="Y1455" t="s">
        <v>6642</v>
      </c>
      <c r="Z1455" t="s">
        <v>17</v>
      </c>
      <c r="AA1455" t="s">
        <v>717</v>
      </c>
      <c r="AB1455" t="s">
        <v>2509</v>
      </c>
      <c r="AC1455" t="s">
        <v>717</v>
      </c>
      <c r="AD1455" t="s">
        <v>717</v>
      </c>
      <c r="AE1455" t="s">
        <v>6643</v>
      </c>
      <c r="AF1455" t="s">
        <v>717</v>
      </c>
      <c r="AG1455" t="s">
        <v>717</v>
      </c>
      <c r="AH1455" t="s">
        <v>717</v>
      </c>
      <c r="AI1455" t="s">
        <v>6644</v>
      </c>
      <c r="AJ1455" t="s">
        <v>6645</v>
      </c>
      <c r="AK1455" t="s">
        <v>29</v>
      </c>
      <c r="AL1455" t="s">
        <v>717</v>
      </c>
      <c r="AM1455" t="s">
        <v>10</v>
      </c>
      <c r="AN1455" t="s">
        <v>717</v>
      </c>
    </row>
    <row r="1456" spans="1:40" hidden="1">
      <c r="A1456">
        <v>1454</v>
      </c>
      <c r="B1456">
        <v>398</v>
      </c>
      <c r="C1456" s="58">
        <v>44803</v>
      </c>
      <c r="D1456" t="s">
        <v>27</v>
      </c>
      <c r="E1456" t="s">
        <v>2515</v>
      </c>
      <c r="F1456">
        <v>8</v>
      </c>
      <c r="G1456">
        <v>17</v>
      </c>
      <c r="H1456">
        <v>143</v>
      </c>
      <c r="I1456">
        <v>1</v>
      </c>
      <c r="J1456">
        <v>37.69</v>
      </c>
      <c r="K1456" t="s">
        <v>25</v>
      </c>
      <c r="L1456">
        <v>2726250</v>
      </c>
      <c r="M1456">
        <v>0</v>
      </c>
      <c r="N1456">
        <v>2726250</v>
      </c>
      <c r="O1456">
        <v>72333.510214911119</v>
      </c>
      <c r="P1456">
        <v>0</v>
      </c>
      <c r="Q1456">
        <v>2726250</v>
      </c>
      <c r="R1456">
        <v>72333.510214911119</v>
      </c>
      <c r="S1456" t="s">
        <v>130</v>
      </c>
      <c r="T1456" t="s">
        <v>717</v>
      </c>
      <c r="U1456" t="s">
        <v>717</v>
      </c>
      <c r="V1456" t="s">
        <v>717</v>
      </c>
      <c r="W1456">
        <v>44775</v>
      </c>
      <c r="X1456" t="s">
        <v>6763</v>
      </c>
      <c r="Y1456" t="s">
        <v>6642</v>
      </c>
      <c r="Z1456" t="s">
        <v>17</v>
      </c>
      <c r="AA1456" t="s">
        <v>717</v>
      </c>
      <c r="AB1456" t="s">
        <v>2509</v>
      </c>
      <c r="AC1456" t="s">
        <v>717</v>
      </c>
      <c r="AD1456" t="s">
        <v>717</v>
      </c>
      <c r="AE1456" t="s">
        <v>6643</v>
      </c>
      <c r="AF1456" t="s">
        <v>717</v>
      </c>
      <c r="AG1456" t="s">
        <v>717</v>
      </c>
      <c r="AH1456" t="s">
        <v>717</v>
      </c>
      <c r="AI1456" t="s">
        <v>6644</v>
      </c>
      <c r="AJ1456" t="s">
        <v>6645</v>
      </c>
      <c r="AK1456" t="s">
        <v>29</v>
      </c>
      <c r="AL1456" t="s">
        <v>717</v>
      </c>
      <c r="AM1456" t="s">
        <v>10</v>
      </c>
      <c r="AN1456" t="s">
        <v>717</v>
      </c>
    </row>
    <row r="1457" spans="1:40" hidden="1">
      <c r="A1457">
        <v>1455</v>
      </c>
      <c r="B1457">
        <v>399</v>
      </c>
      <c r="C1457" s="58">
        <v>44803</v>
      </c>
      <c r="D1457" t="s">
        <v>27</v>
      </c>
      <c r="E1457" t="s">
        <v>2515</v>
      </c>
      <c r="F1457">
        <v>9</v>
      </c>
      <c r="G1457">
        <v>17</v>
      </c>
      <c r="H1457">
        <v>144</v>
      </c>
      <c r="I1457">
        <v>1</v>
      </c>
      <c r="J1457">
        <v>37.94</v>
      </c>
      <c r="K1457" t="s">
        <v>25</v>
      </c>
      <c r="L1457">
        <v>2745000</v>
      </c>
      <c r="M1457">
        <v>0</v>
      </c>
      <c r="N1457">
        <v>2745000</v>
      </c>
      <c r="O1457">
        <v>72351.080653663681</v>
      </c>
      <c r="P1457">
        <v>0</v>
      </c>
      <c r="Q1457">
        <v>2745000</v>
      </c>
      <c r="R1457">
        <v>72351.080653663681</v>
      </c>
      <c r="S1457" t="s">
        <v>130</v>
      </c>
      <c r="T1457" t="s">
        <v>717</v>
      </c>
      <c r="U1457" t="s">
        <v>717</v>
      </c>
      <c r="V1457" t="s">
        <v>717</v>
      </c>
      <c r="W1457">
        <v>44775</v>
      </c>
      <c r="X1457" t="s">
        <v>6763</v>
      </c>
      <c r="Y1457" t="s">
        <v>6642</v>
      </c>
      <c r="Z1457" t="s">
        <v>17</v>
      </c>
      <c r="AA1457" t="s">
        <v>717</v>
      </c>
      <c r="AB1457" t="s">
        <v>2509</v>
      </c>
      <c r="AC1457" t="s">
        <v>717</v>
      </c>
      <c r="AD1457" t="s">
        <v>717</v>
      </c>
      <c r="AE1457" t="s">
        <v>6643</v>
      </c>
      <c r="AF1457" t="s">
        <v>717</v>
      </c>
      <c r="AG1457" t="s">
        <v>717</v>
      </c>
      <c r="AH1457" t="s">
        <v>717</v>
      </c>
      <c r="AI1457" t="s">
        <v>6644</v>
      </c>
      <c r="AJ1457" t="s">
        <v>6645</v>
      </c>
      <c r="AK1457" t="s">
        <v>29</v>
      </c>
      <c r="AL1457" t="s">
        <v>717</v>
      </c>
      <c r="AM1457" t="s">
        <v>10</v>
      </c>
      <c r="AN1457" t="s">
        <v>717</v>
      </c>
    </row>
    <row r="1458" spans="1:40" hidden="1">
      <c r="A1458">
        <v>1456</v>
      </c>
      <c r="B1458">
        <v>400</v>
      </c>
      <c r="C1458" s="58">
        <v>44803</v>
      </c>
      <c r="D1458" t="s">
        <v>27</v>
      </c>
      <c r="E1458" t="s">
        <v>2515</v>
      </c>
      <c r="F1458">
        <v>1</v>
      </c>
      <c r="G1458">
        <v>18</v>
      </c>
      <c r="H1458">
        <v>145</v>
      </c>
      <c r="I1458">
        <v>3</v>
      </c>
      <c r="J1458">
        <v>82.71</v>
      </c>
      <c r="K1458" t="s">
        <v>25</v>
      </c>
      <c r="L1458">
        <v>6012750</v>
      </c>
      <c r="M1458">
        <v>0</v>
      </c>
      <c r="N1458">
        <v>6012750</v>
      </c>
      <c r="O1458">
        <v>72696.771853463913</v>
      </c>
      <c r="P1458">
        <v>0</v>
      </c>
      <c r="Q1458">
        <v>6012750</v>
      </c>
      <c r="R1458">
        <v>72696.771853463913</v>
      </c>
      <c r="S1458" t="s">
        <v>130</v>
      </c>
      <c r="T1458" t="s">
        <v>717</v>
      </c>
      <c r="U1458" t="s">
        <v>717</v>
      </c>
      <c r="V1458" t="s">
        <v>717</v>
      </c>
      <c r="W1458">
        <v>44775</v>
      </c>
      <c r="X1458" t="s">
        <v>6763</v>
      </c>
      <c r="Y1458" t="s">
        <v>6642</v>
      </c>
      <c r="Z1458" t="s">
        <v>17</v>
      </c>
      <c r="AA1458" t="s">
        <v>717</v>
      </c>
      <c r="AB1458" t="s">
        <v>2509</v>
      </c>
      <c r="AC1458" t="s">
        <v>717</v>
      </c>
      <c r="AD1458" t="s">
        <v>717</v>
      </c>
      <c r="AE1458" t="s">
        <v>6643</v>
      </c>
      <c r="AF1458" t="s">
        <v>717</v>
      </c>
      <c r="AG1458" t="s">
        <v>717</v>
      </c>
      <c r="AH1458" t="s">
        <v>717</v>
      </c>
      <c r="AI1458" t="s">
        <v>6644</v>
      </c>
      <c r="AJ1458" t="s">
        <v>6645</v>
      </c>
      <c r="AK1458" t="s">
        <v>29</v>
      </c>
      <c r="AL1458" t="s">
        <v>717</v>
      </c>
      <c r="AM1458" t="s">
        <v>10</v>
      </c>
      <c r="AN1458" t="s">
        <v>717</v>
      </c>
    </row>
    <row r="1459" spans="1:40" hidden="1">
      <c r="A1459">
        <v>1457</v>
      </c>
      <c r="B1459">
        <v>401</v>
      </c>
      <c r="C1459" s="58">
        <v>44803</v>
      </c>
      <c r="D1459" t="s">
        <v>27</v>
      </c>
      <c r="E1459" t="s">
        <v>2515</v>
      </c>
      <c r="F1459">
        <v>3</v>
      </c>
      <c r="G1459">
        <v>18</v>
      </c>
      <c r="H1459">
        <v>147</v>
      </c>
      <c r="I1459">
        <v>1</v>
      </c>
      <c r="J1459">
        <v>41.06</v>
      </c>
      <c r="K1459" t="s">
        <v>25</v>
      </c>
      <c r="L1459">
        <v>2993250</v>
      </c>
      <c r="M1459">
        <v>0</v>
      </c>
      <c r="N1459">
        <v>2993250</v>
      </c>
      <c r="O1459">
        <v>72899.415489527513</v>
      </c>
      <c r="P1459">
        <v>0</v>
      </c>
      <c r="Q1459">
        <v>2993250</v>
      </c>
      <c r="R1459">
        <v>72899.415489527513</v>
      </c>
      <c r="S1459" t="s">
        <v>130</v>
      </c>
      <c r="T1459" t="s">
        <v>717</v>
      </c>
      <c r="U1459" t="s">
        <v>717</v>
      </c>
      <c r="V1459" t="s">
        <v>717</v>
      </c>
      <c r="W1459">
        <v>44775</v>
      </c>
      <c r="X1459" t="s">
        <v>6763</v>
      </c>
      <c r="Y1459" t="s">
        <v>6642</v>
      </c>
      <c r="Z1459" t="s">
        <v>17</v>
      </c>
      <c r="AA1459" t="s">
        <v>717</v>
      </c>
      <c r="AB1459" t="s">
        <v>2509</v>
      </c>
      <c r="AC1459" t="s">
        <v>717</v>
      </c>
      <c r="AD1459" t="s">
        <v>717</v>
      </c>
      <c r="AE1459" t="s">
        <v>6643</v>
      </c>
      <c r="AF1459" t="s">
        <v>717</v>
      </c>
      <c r="AG1459" t="s">
        <v>717</v>
      </c>
      <c r="AH1459" t="s">
        <v>717</v>
      </c>
      <c r="AI1459" t="s">
        <v>6644</v>
      </c>
      <c r="AJ1459" t="s">
        <v>6645</v>
      </c>
      <c r="AK1459" t="s">
        <v>29</v>
      </c>
      <c r="AL1459" t="s">
        <v>717</v>
      </c>
      <c r="AM1459" t="s">
        <v>10</v>
      </c>
      <c r="AN1459" t="s">
        <v>717</v>
      </c>
    </row>
    <row r="1460" spans="1:40" hidden="1">
      <c r="A1460">
        <v>1458</v>
      </c>
      <c r="B1460">
        <v>402</v>
      </c>
      <c r="C1460" s="58">
        <v>44803</v>
      </c>
      <c r="D1460" t="s">
        <v>27</v>
      </c>
      <c r="E1460" t="s">
        <v>2515</v>
      </c>
      <c r="F1460">
        <v>7</v>
      </c>
      <c r="G1460">
        <v>18</v>
      </c>
      <c r="H1460">
        <v>151</v>
      </c>
      <c r="I1460">
        <v>2</v>
      </c>
      <c r="J1460">
        <v>60.06</v>
      </c>
      <c r="K1460" t="s">
        <v>25</v>
      </c>
      <c r="L1460">
        <v>4313250</v>
      </c>
      <c r="M1460">
        <v>0</v>
      </c>
      <c r="N1460">
        <v>4313250</v>
      </c>
      <c r="O1460">
        <v>71815.68431568431</v>
      </c>
      <c r="P1460">
        <v>0</v>
      </c>
      <c r="Q1460">
        <v>4313250</v>
      </c>
      <c r="R1460">
        <v>71815.68431568431</v>
      </c>
      <c r="S1460" t="s">
        <v>130</v>
      </c>
      <c r="T1460" t="s">
        <v>717</v>
      </c>
      <c r="U1460" t="s">
        <v>717</v>
      </c>
      <c r="V1460" t="s">
        <v>717</v>
      </c>
      <c r="W1460">
        <v>44775</v>
      </c>
      <c r="X1460" t="s">
        <v>6763</v>
      </c>
      <c r="Y1460" t="s">
        <v>6642</v>
      </c>
      <c r="Z1460" t="s">
        <v>17</v>
      </c>
      <c r="AA1460" t="s">
        <v>717</v>
      </c>
      <c r="AB1460" t="s">
        <v>2509</v>
      </c>
      <c r="AC1460" t="s">
        <v>717</v>
      </c>
      <c r="AD1460" t="s">
        <v>717</v>
      </c>
      <c r="AE1460" t="s">
        <v>6643</v>
      </c>
      <c r="AF1460" t="s">
        <v>717</v>
      </c>
      <c r="AG1460" t="s">
        <v>717</v>
      </c>
      <c r="AH1460" t="s">
        <v>717</v>
      </c>
      <c r="AI1460" t="s">
        <v>6644</v>
      </c>
      <c r="AJ1460" t="s">
        <v>6645</v>
      </c>
      <c r="AK1460" t="s">
        <v>29</v>
      </c>
      <c r="AL1460" t="s">
        <v>717</v>
      </c>
      <c r="AM1460" t="s">
        <v>10</v>
      </c>
      <c r="AN1460" t="s">
        <v>717</v>
      </c>
    </row>
    <row r="1461" spans="1:40" hidden="1">
      <c r="A1461">
        <v>1459</v>
      </c>
      <c r="B1461">
        <v>403</v>
      </c>
      <c r="C1461" s="58">
        <v>44803</v>
      </c>
      <c r="D1461" t="s">
        <v>27</v>
      </c>
      <c r="E1461" t="s">
        <v>2515</v>
      </c>
      <c r="F1461">
        <v>8</v>
      </c>
      <c r="G1461">
        <v>18</v>
      </c>
      <c r="H1461">
        <v>152</v>
      </c>
      <c r="I1461">
        <v>1</v>
      </c>
      <c r="J1461">
        <v>37.69</v>
      </c>
      <c r="K1461" t="s">
        <v>25</v>
      </c>
      <c r="L1461">
        <v>2726250</v>
      </c>
      <c r="M1461">
        <v>0</v>
      </c>
      <c r="N1461">
        <v>2726250</v>
      </c>
      <c r="O1461">
        <v>72333.510214911119</v>
      </c>
      <c r="P1461">
        <v>0</v>
      </c>
      <c r="Q1461">
        <v>2726250</v>
      </c>
      <c r="R1461">
        <v>72333.510214911119</v>
      </c>
      <c r="S1461" t="s">
        <v>130</v>
      </c>
      <c r="T1461" t="s">
        <v>717</v>
      </c>
      <c r="U1461" t="s">
        <v>717</v>
      </c>
      <c r="V1461" t="s">
        <v>717</v>
      </c>
      <c r="W1461">
        <v>44775</v>
      </c>
      <c r="X1461" t="s">
        <v>6763</v>
      </c>
      <c r="Y1461" t="s">
        <v>6642</v>
      </c>
      <c r="Z1461" t="s">
        <v>17</v>
      </c>
      <c r="AA1461" t="s">
        <v>717</v>
      </c>
      <c r="AB1461" t="s">
        <v>2509</v>
      </c>
      <c r="AC1461" t="s">
        <v>717</v>
      </c>
      <c r="AD1461" t="s">
        <v>717</v>
      </c>
      <c r="AE1461" t="s">
        <v>6643</v>
      </c>
      <c r="AF1461" t="s">
        <v>717</v>
      </c>
      <c r="AG1461" t="s">
        <v>717</v>
      </c>
      <c r="AH1461" t="s">
        <v>717</v>
      </c>
      <c r="AI1461" t="s">
        <v>6644</v>
      </c>
      <c r="AJ1461" t="s">
        <v>6645</v>
      </c>
      <c r="AK1461" t="s">
        <v>29</v>
      </c>
      <c r="AL1461" t="s">
        <v>717</v>
      </c>
      <c r="AM1461" t="s">
        <v>10</v>
      </c>
      <c r="AN1461" t="s">
        <v>717</v>
      </c>
    </row>
    <row r="1462" spans="1:40" hidden="1">
      <c r="A1462">
        <v>1460</v>
      </c>
      <c r="B1462">
        <v>404</v>
      </c>
      <c r="C1462" s="58">
        <v>44803</v>
      </c>
      <c r="D1462" t="s">
        <v>27</v>
      </c>
      <c r="E1462" t="s">
        <v>2515</v>
      </c>
      <c r="F1462">
        <v>9</v>
      </c>
      <c r="G1462">
        <v>18</v>
      </c>
      <c r="H1462">
        <v>153</v>
      </c>
      <c r="I1462">
        <v>1</v>
      </c>
      <c r="J1462">
        <v>37.94</v>
      </c>
      <c r="K1462" t="s">
        <v>25</v>
      </c>
      <c r="L1462">
        <v>2745000</v>
      </c>
      <c r="M1462">
        <v>0</v>
      </c>
      <c r="N1462">
        <v>2745000</v>
      </c>
      <c r="O1462">
        <v>72351.080653663681</v>
      </c>
      <c r="P1462">
        <v>0</v>
      </c>
      <c r="Q1462">
        <v>2745000</v>
      </c>
      <c r="R1462">
        <v>72351.080653663681</v>
      </c>
      <c r="S1462" t="s">
        <v>130</v>
      </c>
      <c r="T1462" t="s">
        <v>717</v>
      </c>
      <c r="U1462" t="s">
        <v>717</v>
      </c>
      <c r="V1462" t="s">
        <v>717</v>
      </c>
      <c r="W1462">
        <v>44775</v>
      </c>
      <c r="X1462" t="s">
        <v>6763</v>
      </c>
      <c r="Y1462" t="s">
        <v>6642</v>
      </c>
      <c r="Z1462" t="s">
        <v>17</v>
      </c>
      <c r="AA1462" t="s">
        <v>717</v>
      </c>
      <c r="AB1462" t="s">
        <v>2509</v>
      </c>
      <c r="AC1462" t="s">
        <v>717</v>
      </c>
      <c r="AD1462" t="s">
        <v>717</v>
      </c>
      <c r="AE1462" t="s">
        <v>6643</v>
      </c>
      <c r="AF1462" t="s">
        <v>717</v>
      </c>
      <c r="AG1462" t="s">
        <v>717</v>
      </c>
      <c r="AH1462" t="s">
        <v>717</v>
      </c>
      <c r="AI1462" t="s">
        <v>6644</v>
      </c>
      <c r="AJ1462" t="s">
        <v>6645</v>
      </c>
      <c r="AK1462" t="s">
        <v>29</v>
      </c>
      <c r="AL1462" t="s">
        <v>717</v>
      </c>
      <c r="AM1462" t="s">
        <v>10</v>
      </c>
      <c r="AN1462" t="s">
        <v>717</v>
      </c>
    </row>
    <row r="1463" spans="1:40" hidden="1">
      <c r="A1463">
        <v>1461</v>
      </c>
      <c r="B1463">
        <v>405</v>
      </c>
      <c r="C1463" s="58">
        <v>44803</v>
      </c>
      <c r="D1463" t="s">
        <v>27</v>
      </c>
      <c r="E1463" t="s">
        <v>2515</v>
      </c>
      <c r="F1463">
        <v>7</v>
      </c>
      <c r="G1463">
        <v>19</v>
      </c>
      <c r="H1463">
        <v>160</v>
      </c>
      <c r="I1463">
        <v>2</v>
      </c>
      <c r="J1463">
        <v>60.06</v>
      </c>
      <c r="K1463" t="s">
        <v>25</v>
      </c>
      <c r="L1463">
        <v>4313250</v>
      </c>
      <c r="M1463">
        <v>0</v>
      </c>
      <c r="N1463">
        <v>4313250</v>
      </c>
      <c r="O1463">
        <v>71815.68431568431</v>
      </c>
      <c r="P1463">
        <v>0</v>
      </c>
      <c r="Q1463">
        <v>4313250</v>
      </c>
      <c r="R1463">
        <v>71815.68431568431</v>
      </c>
      <c r="S1463" t="s">
        <v>130</v>
      </c>
      <c r="T1463" t="s">
        <v>717</v>
      </c>
      <c r="U1463" t="s">
        <v>717</v>
      </c>
      <c r="V1463" t="s">
        <v>717</v>
      </c>
      <c r="W1463">
        <v>44775</v>
      </c>
      <c r="X1463" t="s">
        <v>6763</v>
      </c>
      <c r="Y1463" t="s">
        <v>6642</v>
      </c>
      <c r="Z1463" t="s">
        <v>17</v>
      </c>
      <c r="AA1463" t="s">
        <v>717</v>
      </c>
      <c r="AB1463" t="s">
        <v>2509</v>
      </c>
      <c r="AC1463" t="s">
        <v>717</v>
      </c>
      <c r="AD1463" t="s">
        <v>717</v>
      </c>
      <c r="AE1463" t="s">
        <v>6643</v>
      </c>
      <c r="AF1463" t="s">
        <v>717</v>
      </c>
      <c r="AG1463" t="s">
        <v>717</v>
      </c>
      <c r="AH1463" t="s">
        <v>717</v>
      </c>
      <c r="AI1463" t="s">
        <v>6644</v>
      </c>
      <c r="AJ1463" t="s">
        <v>6645</v>
      </c>
      <c r="AK1463" t="s">
        <v>29</v>
      </c>
      <c r="AL1463" t="s">
        <v>717</v>
      </c>
      <c r="AM1463" t="s">
        <v>10</v>
      </c>
      <c r="AN1463" t="s">
        <v>717</v>
      </c>
    </row>
    <row r="1464" spans="1:40" hidden="1">
      <c r="A1464">
        <v>1462</v>
      </c>
      <c r="B1464">
        <v>406</v>
      </c>
      <c r="C1464" s="58">
        <v>44803</v>
      </c>
      <c r="D1464" t="s">
        <v>27</v>
      </c>
      <c r="E1464" t="s">
        <v>2515</v>
      </c>
      <c r="F1464">
        <v>1</v>
      </c>
      <c r="G1464">
        <v>20</v>
      </c>
      <c r="H1464">
        <v>163</v>
      </c>
      <c r="I1464">
        <v>3</v>
      </c>
      <c r="J1464">
        <v>82.71</v>
      </c>
      <c r="K1464" t="s">
        <v>25</v>
      </c>
      <c r="L1464">
        <v>6012750</v>
      </c>
      <c r="M1464">
        <v>0</v>
      </c>
      <c r="N1464">
        <v>6012750</v>
      </c>
      <c r="O1464">
        <v>72696.771853463913</v>
      </c>
      <c r="P1464">
        <v>0</v>
      </c>
      <c r="Q1464">
        <v>6012750</v>
      </c>
      <c r="R1464">
        <v>72696.771853463913</v>
      </c>
      <c r="S1464" t="s">
        <v>130</v>
      </c>
      <c r="T1464" t="s">
        <v>717</v>
      </c>
      <c r="U1464" t="s">
        <v>717</v>
      </c>
      <c r="V1464" t="s">
        <v>717</v>
      </c>
      <c r="W1464">
        <v>44775</v>
      </c>
      <c r="X1464" t="s">
        <v>6763</v>
      </c>
      <c r="Y1464" t="s">
        <v>6642</v>
      </c>
      <c r="Z1464" t="s">
        <v>17</v>
      </c>
      <c r="AA1464" t="s">
        <v>717</v>
      </c>
      <c r="AB1464" t="s">
        <v>2509</v>
      </c>
      <c r="AC1464" t="s">
        <v>717</v>
      </c>
      <c r="AD1464" t="s">
        <v>717</v>
      </c>
      <c r="AE1464" t="s">
        <v>6643</v>
      </c>
      <c r="AF1464" t="s">
        <v>717</v>
      </c>
      <c r="AG1464" t="s">
        <v>717</v>
      </c>
      <c r="AH1464" t="s">
        <v>717</v>
      </c>
      <c r="AI1464" t="s">
        <v>6644</v>
      </c>
      <c r="AJ1464" t="s">
        <v>6645</v>
      </c>
      <c r="AK1464" t="s">
        <v>29</v>
      </c>
      <c r="AL1464" t="s">
        <v>717</v>
      </c>
      <c r="AM1464" t="s">
        <v>10</v>
      </c>
      <c r="AN1464" t="s">
        <v>717</v>
      </c>
    </row>
    <row r="1465" spans="1:40" hidden="1">
      <c r="A1465">
        <v>1463</v>
      </c>
      <c r="B1465">
        <v>407</v>
      </c>
      <c r="C1465" s="58">
        <v>44803</v>
      </c>
      <c r="D1465" t="s">
        <v>27</v>
      </c>
      <c r="E1465" t="s">
        <v>2515</v>
      </c>
      <c r="F1465">
        <v>6</v>
      </c>
      <c r="G1465">
        <v>20</v>
      </c>
      <c r="H1465">
        <v>168</v>
      </c>
      <c r="I1465">
        <v>2</v>
      </c>
      <c r="J1465">
        <v>54.67</v>
      </c>
      <c r="K1465" t="s">
        <v>25</v>
      </c>
      <c r="L1465">
        <v>3999750</v>
      </c>
      <c r="M1465">
        <v>0</v>
      </c>
      <c r="N1465">
        <v>3999750</v>
      </c>
      <c r="O1465">
        <v>73161.69745747211</v>
      </c>
      <c r="P1465">
        <v>0</v>
      </c>
      <c r="Q1465">
        <v>3999750</v>
      </c>
      <c r="R1465">
        <v>73161.69745747211</v>
      </c>
      <c r="S1465" t="s">
        <v>130</v>
      </c>
      <c r="T1465" t="s">
        <v>717</v>
      </c>
      <c r="U1465" t="s">
        <v>717</v>
      </c>
      <c r="V1465" t="s">
        <v>717</v>
      </c>
      <c r="W1465">
        <v>44775</v>
      </c>
      <c r="X1465" t="s">
        <v>6763</v>
      </c>
      <c r="Y1465" t="s">
        <v>6642</v>
      </c>
      <c r="Z1465" t="s">
        <v>17</v>
      </c>
      <c r="AA1465" t="s">
        <v>717</v>
      </c>
      <c r="AB1465" t="s">
        <v>2509</v>
      </c>
      <c r="AC1465" t="s">
        <v>717</v>
      </c>
      <c r="AD1465" t="s">
        <v>717</v>
      </c>
      <c r="AE1465" t="s">
        <v>6643</v>
      </c>
      <c r="AF1465" t="s">
        <v>717</v>
      </c>
      <c r="AG1465" t="s">
        <v>717</v>
      </c>
      <c r="AH1465" t="s">
        <v>717</v>
      </c>
      <c r="AI1465" t="s">
        <v>6644</v>
      </c>
      <c r="AJ1465" t="s">
        <v>6645</v>
      </c>
      <c r="AK1465" t="s">
        <v>29</v>
      </c>
      <c r="AL1465" t="s">
        <v>717</v>
      </c>
      <c r="AM1465" t="s">
        <v>10</v>
      </c>
      <c r="AN1465" t="s">
        <v>717</v>
      </c>
    </row>
    <row r="1466" spans="1:40" hidden="1">
      <c r="A1466">
        <v>1464</v>
      </c>
      <c r="B1466">
        <v>408</v>
      </c>
      <c r="C1466" s="58">
        <v>44803</v>
      </c>
      <c r="D1466" t="s">
        <v>27</v>
      </c>
      <c r="E1466" t="s">
        <v>2515</v>
      </c>
      <c r="F1466">
        <v>7</v>
      </c>
      <c r="G1466">
        <v>20</v>
      </c>
      <c r="H1466">
        <v>169</v>
      </c>
      <c r="I1466">
        <v>2</v>
      </c>
      <c r="J1466">
        <v>60.06</v>
      </c>
      <c r="K1466" t="s">
        <v>25</v>
      </c>
      <c r="L1466">
        <v>4313250</v>
      </c>
      <c r="M1466">
        <v>0</v>
      </c>
      <c r="N1466">
        <v>4313250</v>
      </c>
      <c r="O1466">
        <v>71815.68431568431</v>
      </c>
      <c r="P1466">
        <v>0</v>
      </c>
      <c r="Q1466">
        <v>4313250</v>
      </c>
      <c r="R1466">
        <v>71815.68431568431</v>
      </c>
      <c r="S1466" t="s">
        <v>130</v>
      </c>
      <c r="T1466" t="s">
        <v>717</v>
      </c>
      <c r="U1466" t="s">
        <v>717</v>
      </c>
      <c r="V1466" t="s">
        <v>717</v>
      </c>
      <c r="W1466">
        <v>44775</v>
      </c>
      <c r="X1466" t="s">
        <v>6763</v>
      </c>
      <c r="Y1466" t="s">
        <v>6642</v>
      </c>
      <c r="Z1466" t="s">
        <v>17</v>
      </c>
      <c r="AA1466" t="s">
        <v>717</v>
      </c>
      <c r="AB1466" t="s">
        <v>2509</v>
      </c>
      <c r="AC1466" t="s">
        <v>717</v>
      </c>
      <c r="AD1466" t="s">
        <v>717</v>
      </c>
      <c r="AE1466" t="s">
        <v>6643</v>
      </c>
      <c r="AF1466" t="s">
        <v>717</v>
      </c>
      <c r="AG1466" t="s">
        <v>717</v>
      </c>
      <c r="AH1466" t="s">
        <v>717</v>
      </c>
      <c r="AI1466" t="s">
        <v>6644</v>
      </c>
      <c r="AJ1466" t="s">
        <v>6645</v>
      </c>
      <c r="AK1466" t="s">
        <v>29</v>
      </c>
      <c r="AL1466" t="s">
        <v>717</v>
      </c>
      <c r="AM1466" t="s">
        <v>10</v>
      </c>
      <c r="AN1466" t="s">
        <v>717</v>
      </c>
    </row>
    <row r="1467" spans="1:40" hidden="1">
      <c r="A1467">
        <v>1465</v>
      </c>
      <c r="B1467">
        <v>409</v>
      </c>
      <c r="C1467" s="58">
        <v>44803</v>
      </c>
      <c r="D1467" t="s">
        <v>27</v>
      </c>
      <c r="E1467" t="s">
        <v>2515</v>
      </c>
      <c r="F1467">
        <v>9</v>
      </c>
      <c r="G1467">
        <v>20</v>
      </c>
      <c r="H1467">
        <v>171</v>
      </c>
      <c r="I1467">
        <v>1</v>
      </c>
      <c r="J1467">
        <v>37.94</v>
      </c>
      <c r="K1467" t="s">
        <v>25</v>
      </c>
      <c r="L1467">
        <v>2745000</v>
      </c>
      <c r="M1467">
        <v>0</v>
      </c>
      <c r="N1467">
        <v>2745000</v>
      </c>
      <c r="O1467">
        <v>72351.080653663681</v>
      </c>
      <c r="P1467">
        <v>0</v>
      </c>
      <c r="Q1467">
        <v>2745000</v>
      </c>
      <c r="R1467">
        <v>72351.080653663681</v>
      </c>
      <c r="S1467" t="s">
        <v>130</v>
      </c>
      <c r="T1467" t="s">
        <v>717</v>
      </c>
      <c r="U1467" t="s">
        <v>717</v>
      </c>
      <c r="V1467" t="s">
        <v>717</v>
      </c>
      <c r="W1467">
        <v>44775</v>
      </c>
      <c r="X1467" t="s">
        <v>6763</v>
      </c>
      <c r="Y1467" t="s">
        <v>6642</v>
      </c>
      <c r="Z1467" t="s">
        <v>17</v>
      </c>
      <c r="AA1467" t="s">
        <v>717</v>
      </c>
      <c r="AB1467" t="s">
        <v>2509</v>
      </c>
      <c r="AC1467" t="s">
        <v>717</v>
      </c>
      <c r="AD1467" t="s">
        <v>717</v>
      </c>
      <c r="AE1467" t="s">
        <v>6643</v>
      </c>
      <c r="AF1467" t="s">
        <v>717</v>
      </c>
      <c r="AG1467" t="s">
        <v>717</v>
      </c>
      <c r="AH1467" t="s">
        <v>717</v>
      </c>
      <c r="AI1467" t="s">
        <v>6644</v>
      </c>
      <c r="AJ1467" t="s">
        <v>6645</v>
      </c>
      <c r="AK1467" t="s">
        <v>29</v>
      </c>
      <c r="AL1467" t="s">
        <v>717</v>
      </c>
      <c r="AM1467" t="s">
        <v>10</v>
      </c>
      <c r="AN1467" t="s">
        <v>717</v>
      </c>
    </row>
    <row r="1468" spans="1:40" hidden="1">
      <c r="A1468">
        <v>1466</v>
      </c>
      <c r="B1468">
        <v>410</v>
      </c>
      <c r="C1468" s="58">
        <v>44803</v>
      </c>
      <c r="D1468" t="s">
        <v>121</v>
      </c>
      <c r="E1468" t="s">
        <v>2515</v>
      </c>
      <c r="F1468">
        <v>6</v>
      </c>
      <c r="G1468">
        <v>10</v>
      </c>
      <c r="H1468">
        <v>62</v>
      </c>
      <c r="I1468">
        <v>2</v>
      </c>
      <c r="J1468">
        <v>61.7</v>
      </c>
      <c r="K1468" t="s">
        <v>9</v>
      </c>
      <c r="L1468">
        <v>5734785.9800000004</v>
      </c>
      <c r="M1468">
        <v>15000</v>
      </c>
      <c r="N1468">
        <v>5749785.9800000004</v>
      </c>
      <c r="O1468">
        <v>93189.400000000009</v>
      </c>
      <c r="P1468">
        <v>0</v>
      </c>
      <c r="Q1468">
        <v>5749785.9800000004</v>
      </c>
      <c r="R1468">
        <v>93189.400000000009</v>
      </c>
      <c r="S1468" t="s">
        <v>65</v>
      </c>
      <c r="T1468" t="s">
        <v>717</v>
      </c>
      <c r="U1468" t="s">
        <v>717</v>
      </c>
      <c r="V1468" t="s">
        <v>4131</v>
      </c>
      <c r="W1468">
        <v>44789</v>
      </c>
      <c r="X1468" t="s">
        <v>6764</v>
      </c>
      <c r="Y1468" t="s">
        <v>6</v>
      </c>
      <c r="Z1468" t="s">
        <v>17</v>
      </c>
      <c r="AA1468" t="s">
        <v>5617</v>
      </c>
      <c r="AB1468" t="s">
        <v>326</v>
      </c>
      <c r="AC1468" t="s">
        <v>2564</v>
      </c>
      <c r="AD1468" t="s">
        <v>717</v>
      </c>
      <c r="AE1468" t="s">
        <v>6765</v>
      </c>
      <c r="AF1468" t="s">
        <v>6766</v>
      </c>
      <c r="AG1468" t="s">
        <v>6767</v>
      </c>
      <c r="AH1468" t="s">
        <v>2191</v>
      </c>
      <c r="AI1468" t="s">
        <v>5653</v>
      </c>
      <c r="AJ1468" t="s">
        <v>31</v>
      </c>
      <c r="AK1468" t="s">
        <v>77</v>
      </c>
      <c r="AL1468" t="s">
        <v>16</v>
      </c>
      <c r="AM1468" t="s">
        <v>5654</v>
      </c>
      <c r="AN1468" t="s">
        <v>6768</v>
      </c>
    </row>
    <row r="1469" spans="1:40" hidden="1">
      <c r="A1469">
        <v>1467</v>
      </c>
      <c r="B1469">
        <v>411</v>
      </c>
      <c r="C1469" s="58">
        <v>44803</v>
      </c>
      <c r="D1469" t="s">
        <v>7</v>
      </c>
      <c r="E1469" t="s">
        <v>2515</v>
      </c>
      <c r="F1469">
        <v>1</v>
      </c>
      <c r="G1469">
        <v>2</v>
      </c>
      <c r="H1469">
        <v>1</v>
      </c>
      <c r="I1469">
        <v>1</v>
      </c>
      <c r="J1469">
        <v>33.53</v>
      </c>
      <c r="K1469" t="s">
        <v>15</v>
      </c>
      <c r="L1469">
        <v>2840138.53</v>
      </c>
      <c r="M1469">
        <v>0</v>
      </c>
      <c r="N1469">
        <v>2840138.53</v>
      </c>
      <c r="O1469">
        <v>84704.399940351897</v>
      </c>
      <c r="P1469">
        <v>251475.00000000047</v>
      </c>
      <c r="Q1469">
        <v>2588663.5299999993</v>
      </c>
      <c r="R1469">
        <v>77204.399940351897</v>
      </c>
      <c r="S1469" t="s">
        <v>130</v>
      </c>
      <c r="T1469" t="s">
        <v>717</v>
      </c>
      <c r="U1469" t="s">
        <v>717</v>
      </c>
      <c r="V1469" t="s">
        <v>717</v>
      </c>
      <c r="W1469">
        <v>44790</v>
      </c>
      <c r="X1469" t="s">
        <v>6769</v>
      </c>
      <c r="Y1469" t="s">
        <v>2611</v>
      </c>
      <c r="Z1469" t="s">
        <v>17</v>
      </c>
      <c r="AA1469" t="s">
        <v>6637</v>
      </c>
      <c r="AB1469" t="s">
        <v>2509</v>
      </c>
      <c r="AC1469" t="s">
        <v>717</v>
      </c>
      <c r="AD1469">
        <v>45281</v>
      </c>
      <c r="AE1469" t="s">
        <v>6770</v>
      </c>
      <c r="AF1469" t="s">
        <v>6771</v>
      </c>
      <c r="AG1469" t="s">
        <v>6772</v>
      </c>
      <c r="AH1469" t="s">
        <v>2580</v>
      </c>
      <c r="AI1469" t="s">
        <v>5653</v>
      </c>
      <c r="AJ1469" t="s">
        <v>31</v>
      </c>
      <c r="AK1469" t="s">
        <v>29</v>
      </c>
      <c r="AL1469" t="s">
        <v>717</v>
      </c>
      <c r="AM1469" t="s">
        <v>5654</v>
      </c>
      <c r="AN1469" t="s">
        <v>717</v>
      </c>
    </row>
    <row r="1470" spans="1:40" hidden="1">
      <c r="A1470">
        <v>1468</v>
      </c>
      <c r="B1470">
        <v>412</v>
      </c>
      <c r="C1470" s="58">
        <v>44803</v>
      </c>
      <c r="D1470" t="s">
        <v>7</v>
      </c>
      <c r="E1470" t="s">
        <v>2506</v>
      </c>
      <c r="F1470">
        <v>1</v>
      </c>
      <c r="G1470">
        <v>3</v>
      </c>
      <c r="H1470">
        <v>129</v>
      </c>
      <c r="I1470">
        <v>0</v>
      </c>
      <c r="J1470">
        <v>28.97</v>
      </c>
      <c r="K1470" t="s">
        <v>15</v>
      </c>
      <c r="L1470">
        <v>2516913.6</v>
      </c>
      <c r="M1470">
        <v>0</v>
      </c>
      <c r="N1470">
        <v>2516913.6</v>
      </c>
      <c r="O1470">
        <v>86880</v>
      </c>
      <c r="P1470">
        <v>217275</v>
      </c>
      <c r="Q1470">
        <v>2299638.6</v>
      </c>
      <c r="R1470">
        <v>79380</v>
      </c>
      <c r="S1470" t="s">
        <v>130</v>
      </c>
      <c r="T1470" t="s">
        <v>717</v>
      </c>
      <c r="U1470" t="s">
        <v>717</v>
      </c>
      <c r="V1470" t="s">
        <v>717</v>
      </c>
      <c r="W1470">
        <v>44791</v>
      </c>
      <c r="X1470" t="s">
        <v>6773</v>
      </c>
      <c r="Y1470" t="s">
        <v>2611</v>
      </c>
      <c r="Z1470" t="s">
        <v>17</v>
      </c>
      <c r="AA1470" t="s">
        <v>6637</v>
      </c>
      <c r="AB1470" t="s">
        <v>2509</v>
      </c>
      <c r="AC1470" t="s">
        <v>717</v>
      </c>
      <c r="AD1470">
        <v>45254</v>
      </c>
      <c r="AE1470" t="s">
        <v>6774</v>
      </c>
      <c r="AF1470" t="s">
        <v>6775</v>
      </c>
      <c r="AG1470" t="s">
        <v>6776</v>
      </c>
      <c r="AH1470" t="s">
        <v>2191</v>
      </c>
      <c r="AI1470" t="s">
        <v>5653</v>
      </c>
      <c r="AJ1470" t="s">
        <v>31</v>
      </c>
      <c r="AK1470" t="s">
        <v>29</v>
      </c>
      <c r="AL1470" t="s">
        <v>717</v>
      </c>
      <c r="AM1470" t="s">
        <v>5654</v>
      </c>
      <c r="AN1470" t="s">
        <v>717</v>
      </c>
    </row>
    <row r="1471" spans="1:40" hidden="1">
      <c r="A1471">
        <v>1469</v>
      </c>
      <c r="B1471">
        <v>413</v>
      </c>
      <c r="C1471" s="58">
        <v>44803</v>
      </c>
      <c r="D1471" t="s">
        <v>7</v>
      </c>
      <c r="E1471" t="s">
        <v>2515</v>
      </c>
      <c r="F1471">
        <v>7</v>
      </c>
      <c r="G1471">
        <v>4</v>
      </c>
      <c r="H1471">
        <v>23</v>
      </c>
      <c r="I1471">
        <v>0</v>
      </c>
      <c r="J1471">
        <v>21.75</v>
      </c>
      <c r="K1471" t="s">
        <v>15</v>
      </c>
      <c r="L1471">
        <v>1874640</v>
      </c>
      <c r="M1471">
        <v>15000</v>
      </c>
      <c r="N1471">
        <v>1889640</v>
      </c>
      <c r="O1471">
        <v>86880</v>
      </c>
      <c r="P1471">
        <v>163125</v>
      </c>
      <c r="Q1471">
        <v>1726515</v>
      </c>
      <c r="R1471">
        <v>79380</v>
      </c>
      <c r="S1471" t="s">
        <v>65</v>
      </c>
      <c r="T1471" t="s">
        <v>717</v>
      </c>
      <c r="U1471" t="s">
        <v>717</v>
      </c>
      <c r="V1471" t="s">
        <v>4131</v>
      </c>
      <c r="W1471">
        <v>44797</v>
      </c>
      <c r="X1471" t="s">
        <v>6777</v>
      </c>
      <c r="Y1471" t="s">
        <v>6</v>
      </c>
      <c r="Z1471" t="s">
        <v>17</v>
      </c>
      <c r="AA1471" t="s">
        <v>717</v>
      </c>
      <c r="AB1471" t="s">
        <v>2509</v>
      </c>
      <c r="AC1471" t="s">
        <v>2571</v>
      </c>
      <c r="AD1471" t="s">
        <v>717</v>
      </c>
      <c r="AE1471" t="s">
        <v>3758</v>
      </c>
      <c r="AF1471" t="s">
        <v>3759</v>
      </c>
      <c r="AG1471" t="s">
        <v>3760</v>
      </c>
      <c r="AH1471" t="s">
        <v>2615</v>
      </c>
      <c r="AI1471" t="s">
        <v>2600</v>
      </c>
      <c r="AJ1471" t="s">
        <v>3921</v>
      </c>
      <c r="AK1471" t="s">
        <v>63</v>
      </c>
      <c r="AL1471" t="s">
        <v>16</v>
      </c>
      <c r="AM1471" t="s">
        <v>10</v>
      </c>
      <c r="AN1471" t="s">
        <v>717</v>
      </c>
    </row>
    <row r="1472" spans="1:40" hidden="1">
      <c r="A1472">
        <v>1470</v>
      </c>
      <c r="B1472">
        <v>414</v>
      </c>
      <c r="C1472" s="58">
        <v>44803</v>
      </c>
      <c r="D1472" t="s">
        <v>7</v>
      </c>
      <c r="E1472" t="s">
        <v>2515</v>
      </c>
      <c r="F1472">
        <v>7</v>
      </c>
      <c r="G1472">
        <v>2</v>
      </c>
      <c r="H1472">
        <v>7</v>
      </c>
      <c r="I1472">
        <v>0</v>
      </c>
      <c r="J1472">
        <v>21.75</v>
      </c>
      <c r="K1472" t="s">
        <v>9</v>
      </c>
      <c r="L1472">
        <v>1629300</v>
      </c>
      <c r="M1472">
        <v>15000</v>
      </c>
      <c r="N1472">
        <v>1644300</v>
      </c>
      <c r="O1472">
        <v>75600</v>
      </c>
      <c r="P1472">
        <v>0</v>
      </c>
      <c r="Q1472">
        <v>1644300</v>
      </c>
      <c r="R1472">
        <v>75600</v>
      </c>
      <c r="S1472" t="s">
        <v>65</v>
      </c>
      <c r="T1472" t="s">
        <v>717</v>
      </c>
      <c r="U1472" t="s">
        <v>717</v>
      </c>
      <c r="V1472" t="s">
        <v>4131</v>
      </c>
      <c r="W1472">
        <v>44797</v>
      </c>
      <c r="X1472" t="s">
        <v>6778</v>
      </c>
      <c r="Y1472" t="s">
        <v>6</v>
      </c>
      <c r="Z1472" t="s">
        <v>17</v>
      </c>
      <c r="AA1472" t="s">
        <v>717</v>
      </c>
      <c r="AB1472" t="s">
        <v>2509</v>
      </c>
      <c r="AC1472" t="s">
        <v>2571</v>
      </c>
      <c r="AD1472" t="s">
        <v>717</v>
      </c>
      <c r="AE1472" t="s">
        <v>6779</v>
      </c>
      <c r="AF1472" t="s">
        <v>6780</v>
      </c>
      <c r="AG1472" t="s">
        <v>6781</v>
      </c>
      <c r="AH1472" t="s">
        <v>2615</v>
      </c>
      <c r="AI1472" t="s">
        <v>2824</v>
      </c>
      <c r="AJ1472" t="s">
        <v>2657</v>
      </c>
      <c r="AK1472" t="s">
        <v>73</v>
      </c>
      <c r="AL1472" t="s">
        <v>16</v>
      </c>
      <c r="AM1472" t="s">
        <v>10</v>
      </c>
      <c r="AN1472" t="s">
        <v>717</v>
      </c>
    </row>
    <row r="1473" spans="1:40" hidden="1">
      <c r="A1473">
        <v>1471</v>
      </c>
      <c r="B1473">
        <v>415</v>
      </c>
      <c r="C1473" s="58">
        <v>44803</v>
      </c>
      <c r="D1473" t="s">
        <v>27</v>
      </c>
      <c r="E1473" t="s">
        <v>2515</v>
      </c>
      <c r="F1473">
        <v>2</v>
      </c>
      <c r="G1473">
        <v>10</v>
      </c>
      <c r="H1473">
        <v>74</v>
      </c>
      <c r="I1473">
        <v>1</v>
      </c>
      <c r="J1473">
        <v>37.94</v>
      </c>
      <c r="K1473" t="s">
        <v>25</v>
      </c>
      <c r="L1473">
        <v>3943904.13</v>
      </c>
      <c r="M1473">
        <v>0</v>
      </c>
      <c r="N1473">
        <v>3943904.13</v>
      </c>
      <c r="O1473">
        <v>103951.08408012651</v>
      </c>
      <c r="P1473">
        <v>834680.00000000047</v>
      </c>
      <c r="Q1473">
        <v>3109224.1299999994</v>
      </c>
      <c r="R1473">
        <v>81951.0840801265</v>
      </c>
      <c r="S1473" t="s">
        <v>65</v>
      </c>
      <c r="T1473" t="s">
        <v>717</v>
      </c>
      <c r="U1473" t="s">
        <v>717</v>
      </c>
      <c r="V1473" t="s">
        <v>4131</v>
      </c>
      <c r="W1473">
        <v>44799</v>
      </c>
      <c r="X1473" t="s">
        <v>6782</v>
      </c>
      <c r="Y1473" t="s">
        <v>6</v>
      </c>
      <c r="Z1473" t="s">
        <v>17</v>
      </c>
      <c r="AA1473" t="s">
        <v>717</v>
      </c>
      <c r="AB1473" t="s">
        <v>2509</v>
      </c>
      <c r="AC1473" t="s">
        <v>2571</v>
      </c>
      <c r="AD1473" t="s">
        <v>717</v>
      </c>
      <c r="AE1473" t="s">
        <v>6783</v>
      </c>
      <c r="AF1473" t="s">
        <v>6784</v>
      </c>
      <c r="AG1473" t="s">
        <v>6785</v>
      </c>
      <c r="AH1473" t="s">
        <v>2615</v>
      </c>
      <c r="AI1473" t="s">
        <v>2688</v>
      </c>
      <c r="AJ1473" t="s">
        <v>2895</v>
      </c>
      <c r="AK1473" t="s">
        <v>73</v>
      </c>
      <c r="AL1473" t="s">
        <v>22</v>
      </c>
      <c r="AM1473" t="s">
        <v>10</v>
      </c>
      <c r="AN1473" t="s">
        <v>6708</v>
      </c>
    </row>
    <row r="1474" spans="1:40" hidden="1">
      <c r="A1474">
        <v>1472</v>
      </c>
      <c r="B1474">
        <v>416</v>
      </c>
      <c r="C1474" s="58">
        <v>44803</v>
      </c>
      <c r="D1474" t="s">
        <v>27</v>
      </c>
      <c r="E1474" t="s">
        <v>5079</v>
      </c>
      <c r="F1474">
        <v>4</v>
      </c>
      <c r="G1474">
        <v>7</v>
      </c>
      <c r="H1474">
        <v>680</v>
      </c>
      <c r="I1474">
        <v>0</v>
      </c>
      <c r="J1474">
        <v>24.39</v>
      </c>
      <c r="K1474" t="s">
        <v>25</v>
      </c>
      <c r="L1474">
        <v>2793403.3</v>
      </c>
      <c r="M1474">
        <v>0</v>
      </c>
      <c r="N1474">
        <v>2793403.3</v>
      </c>
      <c r="O1474">
        <v>114530.68060680604</v>
      </c>
      <c r="P1474">
        <v>536580</v>
      </c>
      <c r="Q1474">
        <v>2256823.2999999998</v>
      </c>
      <c r="R1474">
        <v>92530.680606806054</v>
      </c>
      <c r="S1474" t="s">
        <v>65</v>
      </c>
      <c r="T1474" t="s">
        <v>2941</v>
      </c>
      <c r="U1474">
        <v>20000</v>
      </c>
      <c r="V1474" t="s">
        <v>4131</v>
      </c>
      <c r="W1474">
        <v>44800</v>
      </c>
      <c r="X1474" t="s">
        <v>6786</v>
      </c>
      <c r="Y1474" t="s">
        <v>6</v>
      </c>
      <c r="Z1474" t="s">
        <v>17</v>
      </c>
      <c r="AA1474" t="s">
        <v>717</v>
      </c>
      <c r="AB1474" t="s">
        <v>2509</v>
      </c>
      <c r="AC1474" t="s">
        <v>2571</v>
      </c>
      <c r="AD1474" t="s">
        <v>717</v>
      </c>
      <c r="AE1474" t="s">
        <v>6787</v>
      </c>
      <c r="AF1474" t="s">
        <v>6788</v>
      </c>
      <c r="AG1474" t="s">
        <v>6789</v>
      </c>
      <c r="AH1474" t="s">
        <v>2615</v>
      </c>
      <c r="AI1474" t="s">
        <v>2552</v>
      </c>
      <c r="AJ1474" t="s">
        <v>2895</v>
      </c>
      <c r="AK1474" t="s">
        <v>73</v>
      </c>
      <c r="AL1474" t="s">
        <v>22</v>
      </c>
      <c r="AM1474" t="s">
        <v>10</v>
      </c>
      <c r="AN1474" t="s">
        <v>6708</v>
      </c>
    </row>
    <row r="1475" spans="1:40" hidden="1">
      <c r="A1475">
        <v>1473</v>
      </c>
      <c r="B1475">
        <v>417</v>
      </c>
      <c r="C1475" s="58">
        <v>44804</v>
      </c>
      <c r="D1475" t="s">
        <v>121</v>
      </c>
      <c r="E1475" t="s">
        <v>2515</v>
      </c>
      <c r="F1475">
        <v>3</v>
      </c>
      <c r="G1475">
        <v>14</v>
      </c>
      <c r="H1475">
        <v>87</v>
      </c>
      <c r="I1475">
        <v>3</v>
      </c>
      <c r="J1475">
        <v>78.7</v>
      </c>
      <c r="K1475" t="s">
        <v>9</v>
      </c>
      <c r="L1475">
        <v>5981200</v>
      </c>
      <c r="M1475">
        <v>0</v>
      </c>
      <c r="N1475">
        <v>5981200</v>
      </c>
      <c r="O1475">
        <v>76000</v>
      </c>
      <c r="P1475">
        <v>0</v>
      </c>
      <c r="Q1475">
        <v>5981200</v>
      </c>
      <c r="R1475">
        <v>76000</v>
      </c>
      <c r="S1475" t="s">
        <v>65</v>
      </c>
      <c r="T1475" t="s">
        <v>5386</v>
      </c>
      <c r="U1475">
        <v>1052325.25</v>
      </c>
      <c r="V1475" t="s">
        <v>4131</v>
      </c>
      <c r="W1475">
        <v>44791</v>
      </c>
      <c r="X1475" t="s">
        <v>6790</v>
      </c>
      <c r="Y1475" t="s">
        <v>6</v>
      </c>
      <c r="Z1475" t="s">
        <v>17</v>
      </c>
      <c r="AA1475" t="s">
        <v>717</v>
      </c>
      <c r="AB1475" t="s">
        <v>326</v>
      </c>
      <c r="AC1475" t="s">
        <v>2571</v>
      </c>
      <c r="AD1475" t="s">
        <v>717</v>
      </c>
      <c r="AE1475" t="s">
        <v>6791</v>
      </c>
      <c r="AF1475" t="s">
        <v>6792</v>
      </c>
      <c r="AG1475" t="s">
        <v>6793</v>
      </c>
      <c r="AH1475" t="s">
        <v>2615</v>
      </c>
      <c r="AI1475" t="s">
        <v>2688</v>
      </c>
      <c r="AJ1475" t="s">
        <v>2569</v>
      </c>
      <c r="AK1475" t="s">
        <v>73</v>
      </c>
      <c r="AL1475" t="s">
        <v>16</v>
      </c>
      <c r="AM1475" t="s">
        <v>10</v>
      </c>
      <c r="AN1475" t="s">
        <v>717</v>
      </c>
    </row>
    <row r="1476" spans="1:40" hidden="1">
      <c r="A1476">
        <v>1474</v>
      </c>
      <c r="B1476">
        <v>418</v>
      </c>
      <c r="C1476" s="58">
        <v>44804</v>
      </c>
      <c r="D1476" t="s">
        <v>121</v>
      </c>
      <c r="E1476" t="s">
        <v>2515</v>
      </c>
      <c r="F1476">
        <v>1</v>
      </c>
      <c r="G1476">
        <v>10</v>
      </c>
      <c r="H1476">
        <v>57</v>
      </c>
      <c r="I1476">
        <v>2</v>
      </c>
      <c r="J1476">
        <v>61</v>
      </c>
      <c r="K1476" t="s">
        <v>15</v>
      </c>
      <c r="L1476">
        <v>5294800</v>
      </c>
      <c r="M1476">
        <v>0</v>
      </c>
      <c r="N1476">
        <v>5294800</v>
      </c>
      <c r="O1476">
        <v>86800</v>
      </c>
      <c r="P1476">
        <v>335500</v>
      </c>
      <c r="Q1476">
        <v>4959300</v>
      </c>
      <c r="R1476">
        <v>81300</v>
      </c>
      <c r="S1476" t="s">
        <v>65</v>
      </c>
      <c r="T1476" t="s">
        <v>5386</v>
      </c>
      <c r="U1476">
        <v>766471.39891914732</v>
      </c>
      <c r="V1476" t="s">
        <v>6312</v>
      </c>
      <c r="W1476">
        <v>44799</v>
      </c>
      <c r="X1476" t="s">
        <v>6794</v>
      </c>
      <c r="Y1476" t="s">
        <v>6</v>
      </c>
      <c r="Z1476" t="s">
        <v>17</v>
      </c>
      <c r="AA1476" t="s">
        <v>717</v>
      </c>
      <c r="AB1476" t="s">
        <v>326</v>
      </c>
      <c r="AC1476" t="s">
        <v>2571</v>
      </c>
      <c r="AD1476" t="s">
        <v>717</v>
      </c>
      <c r="AE1476" t="s">
        <v>6795</v>
      </c>
      <c r="AF1476" t="s">
        <v>6796</v>
      </c>
      <c r="AG1476" t="s">
        <v>6797</v>
      </c>
      <c r="AH1476" t="s">
        <v>2552</v>
      </c>
      <c r="AI1476" t="s">
        <v>2877</v>
      </c>
      <c r="AJ1476" t="s">
        <v>3098</v>
      </c>
      <c r="AK1476" t="s">
        <v>63</v>
      </c>
      <c r="AL1476" t="s">
        <v>22</v>
      </c>
      <c r="AM1476" t="s">
        <v>10</v>
      </c>
      <c r="AN1476" t="s">
        <v>717</v>
      </c>
    </row>
    <row r="1477" spans="1:40" hidden="1">
      <c r="A1477">
        <v>1475</v>
      </c>
      <c r="B1477">
        <v>419</v>
      </c>
      <c r="C1477" s="58">
        <v>44804</v>
      </c>
      <c r="D1477" t="s">
        <v>27</v>
      </c>
      <c r="E1477" t="s">
        <v>2515</v>
      </c>
      <c r="F1477">
        <v>3</v>
      </c>
      <c r="G1477">
        <v>10</v>
      </c>
      <c r="H1477">
        <v>75</v>
      </c>
      <c r="I1477">
        <v>1</v>
      </c>
      <c r="J1477">
        <v>41.06</v>
      </c>
      <c r="K1477" t="s">
        <v>15</v>
      </c>
      <c r="L1477">
        <v>3543066.99</v>
      </c>
      <c r="M1477">
        <v>0</v>
      </c>
      <c r="N1477">
        <v>3543066.99</v>
      </c>
      <c r="O1477">
        <v>86289.990014612762</v>
      </c>
      <c r="P1477">
        <v>307950</v>
      </c>
      <c r="Q1477">
        <v>3235116.99</v>
      </c>
      <c r="R1477">
        <v>78789.990014612762</v>
      </c>
      <c r="S1477" t="s">
        <v>65</v>
      </c>
      <c r="T1477" t="s">
        <v>717</v>
      </c>
      <c r="U1477" t="s">
        <v>717</v>
      </c>
      <c r="V1477" t="s">
        <v>4131</v>
      </c>
      <c r="W1477">
        <v>44802</v>
      </c>
      <c r="X1477" t="s">
        <v>6798</v>
      </c>
      <c r="Y1477" t="s">
        <v>6</v>
      </c>
      <c r="Z1477" t="s">
        <v>17</v>
      </c>
      <c r="AA1477" t="s">
        <v>717</v>
      </c>
      <c r="AB1477" t="s">
        <v>2509</v>
      </c>
      <c r="AC1477" t="s">
        <v>2571</v>
      </c>
      <c r="AD1477" t="s">
        <v>717</v>
      </c>
      <c r="AE1477" t="s">
        <v>6799</v>
      </c>
      <c r="AF1477" t="s">
        <v>6800</v>
      </c>
      <c r="AG1477" t="s">
        <v>6801</v>
      </c>
      <c r="AH1477" t="s">
        <v>2191</v>
      </c>
      <c r="AI1477" t="s">
        <v>2552</v>
      </c>
      <c r="AJ1477" t="s">
        <v>2514</v>
      </c>
      <c r="AK1477" t="s">
        <v>73</v>
      </c>
      <c r="AL1477" t="s">
        <v>16</v>
      </c>
      <c r="AM1477" t="s">
        <v>10</v>
      </c>
      <c r="AN1477" t="s">
        <v>6708</v>
      </c>
    </row>
    <row r="1478" spans="1:40" hidden="1">
      <c r="A1478">
        <v>1476</v>
      </c>
      <c r="B1478">
        <v>420</v>
      </c>
      <c r="C1478" s="58">
        <v>44804</v>
      </c>
      <c r="D1478" t="s">
        <v>121</v>
      </c>
      <c r="E1478" t="s">
        <v>2515</v>
      </c>
      <c r="F1478">
        <v>1</v>
      </c>
      <c r="G1478">
        <v>11</v>
      </c>
      <c r="H1478">
        <v>64</v>
      </c>
      <c r="I1478">
        <v>2</v>
      </c>
      <c r="J1478">
        <v>60.9</v>
      </c>
      <c r="K1478" t="s">
        <v>9</v>
      </c>
      <c r="L1478">
        <v>4951170</v>
      </c>
      <c r="M1478">
        <v>0</v>
      </c>
      <c r="N1478">
        <v>4951170</v>
      </c>
      <c r="O1478">
        <v>81300</v>
      </c>
      <c r="P1478">
        <v>0</v>
      </c>
      <c r="Q1478">
        <v>4951170</v>
      </c>
      <c r="R1478">
        <v>81300</v>
      </c>
      <c r="S1478" t="s">
        <v>65</v>
      </c>
      <c r="T1478" t="s">
        <v>5386</v>
      </c>
      <c r="U1478">
        <v>1100164.888429116</v>
      </c>
      <c r="V1478" t="s">
        <v>4131</v>
      </c>
      <c r="W1478">
        <v>44802</v>
      </c>
      <c r="X1478" t="s">
        <v>6802</v>
      </c>
      <c r="Y1478" t="s">
        <v>6</v>
      </c>
      <c r="Z1478" t="s">
        <v>17</v>
      </c>
      <c r="AA1478" t="s">
        <v>717</v>
      </c>
      <c r="AB1478" t="s">
        <v>326</v>
      </c>
      <c r="AC1478" t="s">
        <v>2571</v>
      </c>
      <c r="AD1478" t="s">
        <v>717</v>
      </c>
      <c r="AE1478" t="s">
        <v>6803</v>
      </c>
      <c r="AF1478" t="s">
        <v>6804</v>
      </c>
      <c r="AG1478" t="s">
        <v>6805</v>
      </c>
      <c r="AH1478" t="s">
        <v>2552</v>
      </c>
      <c r="AI1478" t="s">
        <v>2877</v>
      </c>
      <c r="AJ1478" t="s">
        <v>3098</v>
      </c>
      <c r="AK1478" t="s">
        <v>73</v>
      </c>
      <c r="AL1478" t="s">
        <v>16</v>
      </c>
      <c r="AM1478" t="s">
        <v>10</v>
      </c>
      <c r="AN1478" t="s">
        <v>717</v>
      </c>
    </row>
    <row r="1479" spans="1:40" hidden="1">
      <c r="A1479">
        <v>1477</v>
      </c>
      <c r="B1479">
        <v>421</v>
      </c>
      <c r="C1479" s="58">
        <v>44804</v>
      </c>
      <c r="D1479" t="s">
        <v>27</v>
      </c>
      <c r="E1479" t="s">
        <v>5079</v>
      </c>
      <c r="F1479">
        <v>4</v>
      </c>
      <c r="G1479">
        <v>15</v>
      </c>
      <c r="H1479">
        <v>752</v>
      </c>
      <c r="I1479">
        <v>0</v>
      </c>
      <c r="J1479">
        <v>24.39</v>
      </c>
      <c r="K1479" t="s">
        <v>25</v>
      </c>
      <c r="L1479">
        <v>2813403.33</v>
      </c>
      <c r="M1479">
        <v>0</v>
      </c>
      <c r="N1479">
        <v>2813403.33</v>
      </c>
      <c r="O1479">
        <v>115350.69003690036</v>
      </c>
      <c r="P1479">
        <v>536580</v>
      </c>
      <c r="Q1479">
        <v>2276823.33</v>
      </c>
      <c r="R1479">
        <v>93350.690036900371</v>
      </c>
      <c r="S1479" t="s">
        <v>65</v>
      </c>
      <c r="T1479" t="s">
        <v>717</v>
      </c>
      <c r="U1479" t="s">
        <v>717</v>
      </c>
      <c r="V1479" t="s">
        <v>4131</v>
      </c>
      <c r="W1479">
        <v>44802</v>
      </c>
      <c r="X1479" t="s">
        <v>6806</v>
      </c>
      <c r="Y1479" t="s">
        <v>6</v>
      </c>
      <c r="Z1479" t="s">
        <v>17</v>
      </c>
      <c r="AA1479" t="s">
        <v>717</v>
      </c>
      <c r="AB1479" t="s">
        <v>2509</v>
      </c>
      <c r="AC1479" t="s">
        <v>2571</v>
      </c>
      <c r="AD1479" t="s">
        <v>717</v>
      </c>
      <c r="AE1479" t="s">
        <v>6807</v>
      </c>
      <c r="AF1479" t="s">
        <v>6808</v>
      </c>
      <c r="AG1479" t="s">
        <v>6809</v>
      </c>
      <c r="AH1479" t="s">
        <v>2615</v>
      </c>
      <c r="AI1479" t="s">
        <v>2621</v>
      </c>
      <c r="AJ1479" t="s">
        <v>2569</v>
      </c>
      <c r="AK1479" t="s">
        <v>73</v>
      </c>
      <c r="AL1479" t="s">
        <v>22</v>
      </c>
      <c r="AM1479" t="s">
        <v>10</v>
      </c>
      <c r="AN1479" t="s">
        <v>6708</v>
      </c>
    </row>
    <row r="1480" spans="1:40" hidden="1">
      <c r="A1480">
        <v>1478</v>
      </c>
      <c r="B1480">
        <v>422</v>
      </c>
      <c r="C1480" s="58">
        <v>44804</v>
      </c>
      <c r="D1480" t="s">
        <v>27</v>
      </c>
      <c r="E1480" t="s">
        <v>2515</v>
      </c>
      <c r="F1480">
        <v>2</v>
      </c>
      <c r="G1480">
        <v>3</v>
      </c>
      <c r="H1480">
        <v>11</v>
      </c>
      <c r="I1480">
        <v>1</v>
      </c>
      <c r="J1480">
        <v>37.94</v>
      </c>
      <c r="K1480" t="s">
        <v>9</v>
      </c>
      <c r="L1480">
        <v>3109223.98</v>
      </c>
      <c r="M1480">
        <v>0</v>
      </c>
      <c r="N1480">
        <v>3109223.98</v>
      </c>
      <c r="O1480">
        <v>81951.080126515575</v>
      </c>
      <c r="P1480">
        <v>0</v>
      </c>
      <c r="Q1480">
        <v>3109223.98</v>
      </c>
      <c r="R1480">
        <v>81951.080126515575</v>
      </c>
      <c r="S1480" t="s">
        <v>65</v>
      </c>
      <c r="T1480" t="s">
        <v>717</v>
      </c>
      <c r="U1480" t="s">
        <v>717</v>
      </c>
      <c r="V1480" t="s">
        <v>4131</v>
      </c>
      <c r="W1480">
        <v>44803</v>
      </c>
      <c r="X1480" t="s">
        <v>6810</v>
      </c>
      <c r="Y1480" t="s">
        <v>6</v>
      </c>
      <c r="Z1480" t="s">
        <v>17</v>
      </c>
      <c r="AA1480" t="s">
        <v>717</v>
      </c>
      <c r="AB1480" t="s">
        <v>2509</v>
      </c>
      <c r="AC1480" t="s">
        <v>2571</v>
      </c>
      <c r="AD1480" t="s">
        <v>717</v>
      </c>
      <c r="AE1480" t="s">
        <v>6811</v>
      </c>
      <c r="AF1480" t="s">
        <v>6812</v>
      </c>
      <c r="AG1480" t="s">
        <v>6813</v>
      </c>
      <c r="AH1480" t="s">
        <v>2616</v>
      </c>
      <c r="AI1480" t="s">
        <v>2552</v>
      </c>
      <c r="AJ1480" t="s">
        <v>2895</v>
      </c>
      <c r="AK1480" t="s">
        <v>63</v>
      </c>
      <c r="AL1480" t="s">
        <v>22</v>
      </c>
      <c r="AM1480" t="s">
        <v>10</v>
      </c>
      <c r="AN1480" t="s">
        <v>717</v>
      </c>
    </row>
    <row r="1481" spans="1:40" hidden="1">
      <c r="A1481">
        <v>1479</v>
      </c>
      <c r="B1481">
        <v>423</v>
      </c>
      <c r="C1481" s="58">
        <v>44804</v>
      </c>
      <c r="D1481" t="s">
        <v>27</v>
      </c>
      <c r="E1481" t="s">
        <v>5079</v>
      </c>
      <c r="F1481">
        <v>5</v>
      </c>
      <c r="G1481">
        <v>16</v>
      </c>
      <c r="H1481">
        <v>762</v>
      </c>
      <c r="I1481">
        <v>1</v>
      </c>
      <c r="J1481">
        <v>38.96</v>
      </c>
      <c r="K1481" t="s">
        <v>15</v>
      </c>
      <c r="L1481">
        <v>3484748.1</v>
      </c>
      <c r="M1481">
        <v>0</v>
      </c>
      <c r="N1481">
        <v>3484748.1</v>
      </c>
      <c r="O1481">
        <v>89444.253080082141</v>
      </c>
      <c r="P1481">
        <v>292200</v>
      </c>
      <c r="Q1481">
        <v>3192548.1</v>
      </c>
      <c r="R1481">
        <v>81944.253080082141</v>
      </c>
      <c r="S1481" t="s">
        <v>65</v>
      </c>
      <c r="T1481" t="s">
        <v>717</v>
      </c>
      <c r="U1481" t="s">
        <v>717</v>
      </c>
      <c r="V1481" t="s">
        <v>4131</v>
      </c>
      <c r="W1481">
        <v>44804</v>
      </c>
      <c r="X1481" t="s">
        <v>6814</v>
      </c>
      <c r="Y1481" t="s">
        <v>6</v>
      </c>
      <c r="Z1481" t="s">
        <v>17</v>
      </c>
      <c r="AA1481" t="s">
        <v>717</v>
      </c>
      <c r="AB1481" t="s">
        <v>2509</v>
      </c>
      <c r="AC1481" t="s">
        <v>2571</v>
      </c>
      <c r="AD1481" t="s">
        <v>717</v>
      </c>
      <c r="AE1481" t="s">
        <v>6815</v>
      </c>
      <c r="AF1481" t="s">
        <v>6816</v>
      </c>
      <c r="AG1481" t="s">
        <v>6817</v>
      </c>
      <c r="AH1481" t="s">
        <v>2615</v>
      </c>
      <c r="AI1481" t="s">
        <v>3120</v>
      </c>
      <c r="AJ1481" t="s">
        <v>3289</v>
      </c>
      <c r="AK1481" t="s">
        <v>77</v>
      </c>
      <c r="AL1481" t="s">
        <v>16</v>
      </c>
      <c r="AM1481" t="s">
        <v>10</v>
      </c>
      <c r="AN1481" t="s">
        <v>6708</v>
      </c>
    </row>
    <row r="1482" spans="1:40" hidden="1">
      <c r="A1482">
        <v>1480</v>
      </c>
      <c r="B1482">
        <v>1</v>
      </c>
      <c r="C1482" s="58">
        <v>44806</v>
      </c>
      <c r="D1482" t="s">
        <v>7</v>
      </c>
      <c r="E1482" t="s">
        <v>2515</v>
      </c>
      <c r="F1482">
        <v>1</v>
      </c>
      <c r="G1482">
        <v>16</v>
      </c>
      <c r="H1482">
        <v>113</v>
      </c>
      <c r="I1482">
        <v>1</v>
      </c>
      <c r="J1482">
        <v>33.53</v>
      </c>
      <c r="K1482" t="s">
        <v>15</v>
      </c>
      <c r="L1482">
        <v>2840138.53</v>
      </c>
      <c r="M1482">
        <v>0</v>
      </c>
      <c r="N1482">
        <v>2840138.53</v>
      </c>
      <c r="O1482">
        <v>84704.399940351897</v>
      </c>
      <c r="P1482">
        <v>251475.00000000047</v>
      </c>
      <c r="Q1482">
        <v>2588663.5299999993</v>
      </c>
      <c r="R1482">
        <v>77204.399940351897</v>
      </c>
      <c r="S1482" t="s">
        <v>130</v>
      </c>
      <c r="T1482" t="s">
        <v>717</v>
      </c>
      <c r="U1482" t="s">
        <v>717</v>
      </c>
      <c r="V1482" t="s">
        <v>717</v>
      </c>
      <c r="W1482">
        <v>44800</v>
      </c>
      <c r="X1482" t="s">
        <v>6818</v>
      </c>
      <c r="Y1482" t="s">
        <v>6</v>
      </c>
      <c r="Z1482" t="s">
        <v>17</v>
      </c>
      <c r="AA1482" t="s">
        <v>6637</v>
      </c>
      <c r="AB1482" t="s">
        <v>2509</v>
      </c>
      <c r="AC1482" t="s">
        <v>717</v>
      </c>
      <c r="AD1482" t="s">
        <v>717</v>
      </c>
      <c r="AE1482" t="s">
        <v>6819</v>
      </c>
      <c r="AF1482" t="s">
        <v>6820</v>
      </c>
      <c r="AG1482" t="s">
        <v>6821</v>
      </c>
      <c r="AH1482" t="s">
        <v>2191</v>
      </c>
      <c r="AI1482" t="s">
        <v>5653</v>
      </c>
      <c r="AJ1482" t="s">
        <v>31</v>
      </c>
      <c r="AK1482" t="s">
        <v>73</v>
      </c>
      <c r="AL1482" t="s">
        <v>717</v>
      </c>
      <c r="AM1482" t="s">
        <v>5654</v>
      </c>
      <c r="AN1482" t="s">
        <v>717</v>
      </c>
    </row>
    <row r="1483" spans="1:40" hidden="1">
      <c r="A1483">
        <v>1481</v>
      </c>
      <c r="B1483">
        <v>2</v>
      </c>
      <c r="C1483" s="58">
        <v>44810</v>
      </c>
      <c r="D1483" t="s">
        <v>27</v>
      </c>
      <c r="E1483" t="s">
        <v>2515</v>
      </c>
      <c r="F1483">
        <v>2</v>
      </c>
      <c r="G1483">
        <v>14</v>
      </c>
      <c r="H1483">
        <v>110</v>
      </c>
      <c r="I1483">
        <v>1</v>
      </c>
      <c r="J1483">
        <v>37.94</v>
      </c>
      <c r="K1483" t="s">
        <v>9</v>
      </c>
      <c r="L1483">
        <v>2953762.93</v>
      </c>
      <c r="M1483">
        <v>0</v>
      </c>
      <c r="N1483">
        <v>2953762.93</v>
      </c>
      <c r="O1483">
        <v>77853.530047443346</v>
      </c>
      <c r="P1483">
        <v>0</v>
      </c>
      <c r="Q1483">
        <v>2953762.93</v>
      </c>
      <c r="R1483">
        <v>77853.530047443346</v>
      </c>
      <c r="S1483" t="s">
        <v>65</v>
      </c>
      <c r="T1483" t="s">
        <v>717</v>
      </c>
      <c r="U1483" t="s">
        <v>717</v>
      </c>
      <c r="V1483" t="s">
        <v>4131</v>
      </c>
      <c r="W1483">
        <v>44807</v>
      </c>
      <c r="X1483" t="s">
        <v>6822</v>
      </c>
      <c r="Y1483" t="s">
        <v>6</v>
      </c>
      <c r="Z1483" t="s">
        <v>17</v>
      </c>
      <c r="AA1483" t="s">
        <v>717</v>
      </c>
      <c r="AB1483" t="s">
        <v>2509</v>
      </c>
      <c r="AC1483" t="s">
        <v>2571</v>
      </c>
      <c r="AD1483" t="s">
        <v>717</v>
      </c>
      <c r="AE1483" t="s">
        <v>6823</v>
      </c>
      <c r="AF1483" t="s">
        <v>6824</v>
      </c>
      <c r="AG1483" t="s">
        <v>6825</v>
      </c>
      <c r="AH1483" t="s">
        <v>2615</v>
      </c>
      <c r="AI1483" t="s">
        <v>2552</v>
      </c>
      <c r="AJ1483" t="s">
        <v>2662</v>
      </c>
      <c r="AK1483" t="s">
        <v>73</v>
      </c>
      <c r="AL1483" t="s">
        <v>22</v>
      </c>
      <c r="AM1483" t="s">
        <v>10</v>
      </c>
      <c r="AN1483" t="s">
        <v>717</v>
      </c>
    </row>
    <row r="1484" spans="1:40" hidden="1">
      <c r="A1484">
        <v>1482</v>
      </c>
      <c r="B1484">
        <v>3</v>
      </c>
      <c r="C1484" s="58">
        <v>44811</v>
      </c>
      <c r="D1484" t="s">
        <v>27</v>
      </c>
      <c r="E1484" t="s">
        <v>5456</v>
      </c>
      <c r="F1484">
        <v>8</v>
      </c>
      <c r="G1484">
        <v>4</v>
      </c>
      <c r="H1484">
        <v>856</v>
      </c>
      <c r="I1484">
        <v>0</v>
      </c>
      <c r="J1484">
        <v>23.09</v>
      </c>
      <c r="K1484" t="s">
        <v>25</v>
      </c>
      <c r="L1484">
        <v>2513042.17</v>
      </c>
      <c r="M1484">
        <v>0</v>
      </c>
      <c r="N1484">
        <v>2513042.17</v>
      </c>
      <c r="O1484">
        <v>108836.81983542661</v>
      </c>
      <c r="P1484">
        <v>507980</v>
      </c>
      <c r="Q1484">
        <v>2005062.17</v>
      </c>
      <c r="R1484">
        <v>86836.819835426591</v>
      </c>
      <c r="S1484" t="s">
        <v>2507</v>
      </c>
      <c r="T1484" t="s">
        <v>717</v>
      </c>
      <c r="U1484" t="s">
        <v>717</v>
      </c>
      <c r="V1484" t="s">
        <v>717</v>
      </c>
      <c r="W1484">
        <v>44809</v>
      </c>
      <c r="X1484" t="s">
        <v>6826</v>
      </c>
      <c r="Y1484" t="s">
        <v>6</v>
      </c>
      <c r="Z1484" t="s">
        <v>17</v>
      </c>
      <c r="AA1484" t="s">
        <v>6637</v>
      </c>
      <c r="AB1484" t="s">
        <v>2509</v>
      </c>
      <c r="AC1484" t="s">
        <v>717</v>
      </c>
      <c r="AD1484" t="s">
        <v>717</v>
      </c>
      <c r="AE1484" t="s">
        <v>6827</v>
      </c>
      <c r="AF1484" t="s">
        <v>6828</v>
      </c>
      <c r="AG1484" t="s">
        <v>6829</v>
      </c>
      <c r="AH1484" t="s">
        <v>2615</v>
      </c>
      <c r="AI1484" t="s">
        <v>2847</v>
      </c>
      <c r="AJ1484" t="s">
        <v>2940</v>
      </c>
      <c r="AK1484" t="s">
        <v>63</v>
      </c>
      <c r="AL1484" t="s">
        <v>717</v>
      </c>
      <c r="AM1484" t="s">
        <v>10</v>
      </c>
      <c r="AN1484" t="s">
        <v>717</v>
      </c>
    </row>
    <row r="1485" spans="1:40" hidden="1">
      <c r="A1485">
        <v>1483</v>
      </c>
      <c r="B1485">
        <v>4</v>
      </c>
      <c r="C1485" s="58">
        <v>44812</v>
      </c>
      <c r="D1485" t="s">
        <v>121</v>
      </c>
      <c r="E1485" t="s">
        <v>2515</v>
      </c>
      <c r="F1485">
        <v>3</v>
      </c>
      <c r="G1485">
        <v>18</v>
      </c>
      <c r="H1485">
        <v>115</v>
      </c>
      <c r="I1485">
        <v>3</v>
      </c>
      <c r="J1485">
        <v>79</v>
      </c>
      <c r="K1485" t="s">
        <v>15</v>
      </c>
      <c r="L1485">
        <v>7294836.6500000004</v>
      </c>
      <c r="M1485">
        <v>0</v>
      </c>
      <c r="N1485">
        <v>7294836.6500000004</v>
      </c>
      <c r="O1485">
        <v>92339.704430379745</v>
      </c>
      <c r="P1485">
        <v>434500</v>
      </c>
      <c r="Q1485">
        <v>6860336.6500000004</v>
      </c>
      <c r="R1485">
        <v>86839.704430379745</v>
      </c>
      <c r="S1485" t="s">
        <v>65</v>
      </c>
      <c r="T1485" t="s">
        <v>5386</v>
      </c>
      <c r="U1485">
        <v>200000.15</v>
      </c>
      <c r="V1485" t="s">
        <v>4131</v>
      </c>
      <c r="W1485">
        <v>44799</v>
      </c>
      <c r="X1485" t="s">
        <v>6830</v>
      </c>
      <c r="Y1485" t="s">
        <v>6</v>
      </c>
      <c r="Z1485" t="s">
        <v>17</v>
      </c>
      <c r="AA1485" t="s">
        <v>5617</v>
      </c>
      <c r="AB1485" t="s">
        <v>326</v>
      </c>
      <c r="AC1485" t="s">
        <v>3300</v>
      </c>
      <c r="AD1485" t="s">
        <v>717</v>
      </c>
      <c r="AE1485" t="s">
        <v>6831</v>
      </c>
      <c r="AF1485" t="s">
        <v>6832</v>
      </c>
      <c r="AG1485" t="s">
        <v>6833</v>
      </c>
      <c r="AH1485" t="s">
        <v>2191</v>
      </c>
      <c r="AI1485" t="s">
        <v>2552</v>
      </c>
      <c r="AJ1485" t="s">
        <v>2514</v>
      </c>
      <c r="AK1485" t="s">
        <v>63</v>
      </c>
      <c r="AL1485" t="s">
        <v>16</v>
      </c>
      <c r="AM1485" t="s">
        <v>10</v>
      </c>
      <c r="AN1485" t="s">
        <v>717</v>
      </c>
    </row>
    <row r="1486" spans="1:40" hidden="1">
      <c r="A1486">
        <v>1484</v>
      </c>
      <c r="B1486">
        <v>5</v>
      </c>
      <c r="C1486" s="58">
        <v>44812</v>
      </c>
      <c r="D1486" t="s">
        <v>27</v>
      </c>
      <c r="E1486" t="s">
        <v>2515</v>
      </c>
      <c r="F1486">
        <v>3</v>
      </c>
      <c r="G1486">
        <v>11</v>
      </c>
      <c r="H1486">
        <v>84</v>
      </c>
      <c r="I1486">
        <v>1</v>
      </c>
      <c r="J1486">
        <v>41.06</v>
      </c>
      <c r="K1486" t="s">
        <v>25</v>
      </c>
      <c r="L1486">
        <v>4172731.12</v>
      </c>
      <c r="M1486">
        <v>0</v>
      </c>
      <c r="N1486">
        <v>4172731.12</v>
      </c>
      <c r="O1486">
        <v>101625.20993667805</v>
      </c>
      <c r="P1486">
        <v>903320</v>
      </c>
      <c r="Q1486">
        <v>3269411.12</v>
      </c>
      <c r="R1486">
        <v>79625.209936678031</v>
      </c>
      <c r="S1486" t="s">
        <v>65</v>
      </c>
      <c r="T1486" t="s">
        <v>717</v>
      </c>
      <c r="U1486" t="s">
        <v>717</v>
      </c>
      <c r="V1486" t="s">
        <v>4131</v>
      </c>
      <c r="W1486">
        <v>44809</v>
      </c>
      <c r="X1486" t="s">
        <v>6834</v>
      </c>
      <c r="Y1486" t="s">
        <v>6</v>
      </c>
      <c r="Z1486" t="s">
        <v>17</v>
      </c>
      <c r="AA1486" t="s">
        <v>6637</v>
      </c>
      <c r="AB1486" t="s">
        <v>2509</v>
      </c>
      <c r="AC1486" t="s">
        <v>2571</v>
      </c>
      <c r="AD1486" t="s">
        <v>717</v>
      </c>
      <c r="AE1486" t="s">
        <v>6835</v>
      </c>
      <c r="AF1486" t="s">
        <v>6836</v>
      </c>
      <c r="AG1486" t="s">
        <v>6837</v>
      </c>
      <c r="AH1486" t="s">
        <v>2615</v>
      </c>
      <c r="AI1486" t="s">
        <v>2552</v>
      </c>
      <c r="AJ1486" t="s">
        <v>2569</v>
      </c>
      <c r="AK1486" t="s">
        <v>63</v>
      </c>
      <c r="AL1486" t="s">
        <v>22</v>
      </c>
      <c r="AM1486" t="s">
        <v>10</v>
      </c>
      <c r="AN1486" t="s">
        <v>6708</v>
      </c>
    </row>
    <row r="1487" spans="1:40" hidden="1">
      <c r="A1487">
        <v>1485</v>
      </c>
      <c r="B1487">
        <v>6</v>
      </c>
      <c r="C1487" s="58">
        <v>44812</v>
      </c>
      <c r="D1487" t="s">
        <v>27</v>
      </c>
      <c r="E1487" t="s">
        <v>5456</v>
      </c>
      <c r="F1487">
        <v>9</v>
      </c>
      <c r="G1487">
        <v>8</v>
      </c>
      <c r="H1487">
        <v>893</v>
      </c>
      <c r="I1487">
        <v>0</v>
      </c>
      <c r="J1487">
        <v>23.09</v>
      </c>
      <c r="K1487" t="s">
        <v>9</v>
      </c>
      <c r="L1487">
        <v>1893669.32</v>
      </c>
      <c r="M1487">
        <v>0</v>
      </c>
      <c r="N1487">
        <v>1893669.32</v>
      </c>
      <c r="O1487">
        <v>82012.530099610231</v>
      </c>
      <c r="P1487">
        <v>0</v>
      </c>
      <c r="Q1487">
        <v>1893669.32</v>
      </c>
      <c r="R1487">
        <v>82012.530099610231</v>
      </c>
      <c r="S1487" t="s">
        <v>65</v>
      </c>
      <c r="T1487" t="s">
        <v>717</v>
      </c>
      <c r="U1487" t="s">
        <v>717</v>
      </c>
      <c r="V1487" t="s">
        <v>4131</v>
      </c>
      <c r="W1487">
        <v>44810</v>
      </c>
      <c r="X1487" t="s">
        <v>6838</v>
      </c>
      <c r="Y1487" t="s">
        <v>6</v>
      </c>
      <c r="Z1487" t="s">
        <v>17</v>
      </c>
      <c r="AA1487" t="s">
        <v>717</v>
      </c>
      <c r="AB1487" t="s">
        <v>2509</v>
      </c>
      <c r="AC1487" t="s">
        <v>2571</v>
      </c>
      <c r="AD1487" t="s">
        <v>717</v>
      </c>
      <c r="AE1487" t="s">
        <v>6839</v>
      </c>
      <c r="AF1487" t="s">
        <v>6840</v>
      </c>
      <c r="AG1487" t="s">
        <v>6841</v>
      </c>
      <c r="AH1487" t="s">
        <v>2616</v>
      </c>
      <c r="AI1487" t="s">
        <v>2552</v>
      </c>
      <c r="AJ1487" t="s">
        <v>2662</v>
      </c>
      <c r="AK1487" t="s">
        <v>77</v>
      </c>
      <c r="AL1487" t="s">
        <v>22</v>
      </c>
      <c r="AM1487" t="s">
        <v>10</v>
      </c>
      <c r="AN1487" t="s">
        <v>717</v>
      </c>
    </row>
    <row r="1488" spans="1:40" hidden="1">
      <c r="A1488">
        <v>1486</v>
      </c>
      <c r="B1488">
        <v>7</v>
      </c>
      <c r="C1488" s="58">
        <v>44813</v>
      </c>
      <c r="D1488" t="s">
        <v>7</v>
      </c>
      <c r="E1488" t="s">
        <v>4409</v>
      </c>
      <c r="F1488">
        <v>6</v>
      </c>
      <c r="G1488">
        <v>8</v>
      </c>
      <c r="H1488">
        <v>461</v>
      </c>
      <c r="I1488">
        <v>2</v>
      </c>
      <c r="J1488">
        <v>58.62</v>
      </c>
      <c r="K1488" t="s">
        <v>15</v>
      </c>
      <c r="L1488">
        <v>4608443.8099999996</v>
      </c>
      <c r="M1488">
        <v>15000</v>
      </c>
      <c r="N1488">
        <v>4623443.8099999996</v>
      </c>
      <c r="O1488">
        <v>78871.439952234723</v>
      </c>
      <c r="P1488">
        <v>439650</v>
      </c>
      <c r="Q1488">
        <v>4183793.81</v>
      </c>
      <c r="R1488">
        <v>71371.439952234723</v>
      </c>
      <c r="S1488" t="s">
        <v>130</v>
      </c>
      <c r="T1488" t="s">
        <v>717</v>
      </c>
      <c r="U1488" t="s">
        <v>717</v>
      </c>
      <c r="V1488" t="s">
        <v>717</v>
      </c>
      <c r="W1488">
        <v>44777</v>
      </c>
      <c r="X1488" t="s">
        <v>6842</v>
      </c>
      <c r="Y1488" t="s">
        <v>6</v>
      </c>
      <c r="Z1488" t="s">
        <v>11</v>
      </c>
      <c r="AA1488" t="s">
        <v>717</v>
      </c>
      <c r="AB1488" t="s">
        <v>2509</v>
      </c>
      <c r="AC1488" t="s">
        <v>717</v>
      </c>
      <c r="AD1488" t="s">
        <v>717</v>
      </c>
      <c r="AE1488" t="s">
        <v>6843</v>
      </c>
      <c r="AF1488" t="s">
        <v>6844</v>
      </c>
      <c r="AG1488" t="s">
        <v>6845</v>
      </c>
      <c r="AH1488" t="s">
        <v>2615</v>
      </c>
      <c r="AI1488" t="s">
        <v>2552</v>
      </c>
      <c r="AJ1488" t="s">
        <v>2895</v>
      </c>
      <c r="AK1488" t="s">
        <v>63</v>
      </c>
      <c r="AL1488" t="s">
        <v>717</v>
      </c>
      <c r="AM1488" t="s">
        <v>10</v>
      </c>
      <c r="AN1488" t="s">
        <v>717</v>
      </c>
    </row>
    <row r="1489" spans="1:40" hidden="1">
      <c r="A1489">
        <v>1487</v>
      </c>
      <c r="B1489">
        <v>8</v>
      </c>
      <c r="C1489" s="58">
        <v>44813</v>
      </c>
      <c r="D1489" t="s">
        <v>7</v>
      </c>
      <c r="E1489" t="s">
        <v>2581</v>
      </c>
      <c r="F1489">
        <v>7</v>
      </c>
      <c r="G1489">
        <v>12</v>
      </c>
      <c r="H1489">
        <v>317</v>
      </c>
      <c r="I1489">
        <v>1</v>
      </c>
      <c r="J1489">
        <v>33.840000000000003</v>
      </c>
      <c r="K1489" t="s">
        <v>9</v>
      </c>
      <c r="L1489">
        <v>2612596.9</v>
      </c>
      <c r="M1489">
        <v>0</v>
      </c>
      <c r="N1489">
        <v>2612596.9</v>
      </c>
      <c r="O1489">
        <v>77204.400118203295</v>
      </c>
      <c r="P1489">
        <v>0</v>
      </c>
      <c r="Q1489">
        <v>2612596.9</v>
      </c>
      <c r="R1489">
        <v>77204.400118203295</v>
      </c>
      <c r="S1489" t="s">
        <v>65</v>
      </c>
      <c r="T1489" t="s">
        <v>717</v>
      </c>
      <c r="U1489" t="s">
        <v>717</v>
      </c>
      <c r="V1489" t="s">
        <v>6312</v>
      </c>
      <c r="W1489">
        <v>44809</v>
      </c>
      <c r="X1489" t="s">
        <v>6846</v>
      </c>
      <c r="Y1489" t="s">
        <v>6</v>
      </c>
      <c r="Z1489" t="s">
        <v>17</v>
      </c>
      <c r="AA1489" t="s">
        <v>717</v>
      </c>
      <c r="AB1489" t="s">
        <v>2509</v>
      </c>
      <c r="AC1489" t="s">
        <v>2571</v>
      </c>
      <c r="AD1489" t="s">
        <v>717</v>
      </c>
      <c r="AE1489" t="s">
        <v>6847</v>
      </c>
      <c r="AF1489" t="s">
        <v>6848</v>
      </c>
      <c r="AG1489" t="s">
        <v>6849</v>
      </c>
      <c r="AH1489" t="s">
        <v>2615</v>
      </c>
      <c r="AI1489" t="s">
        <v>2552</v>
      </c>
      <c r="AJ1489" t="s">
        <v>2569</v>
      </c>
      <c r="AK1489" t="s">
        <v>77</v>
      </c>
      <c r="AL1489" t="s">
        <v>16</v>
      </c>
      <c r="AM1489" t="s">
        <v>10</v>
      </c>
      <c r="AN1489" t="s">
        <v>717</v>
      </c>
    </row>
    <row r="1490" spans="1:40" hidden="1">
      <c r="A1490">
        <v>1488</v>
      </c>
      <c r="B1490">
        <v>9</v>
      </c>
      <c r="C1490" s="58">
        <v>44813</v>
      </c>
      <c r="D1490" t="s">
        <v>27</v>
      </c>
      <c r="E1490" t="s">
        <v>2581</v>
      </c>
      <c r="F1490">
        <v>2</v>
      </c>
      <c r="G1490">
        <v>10</v>
      </c>
      <c r="H1490">
        <v>457</v>
      </c>
      <c r="I1490">
        <v>1</v>
      </c>
      <c r="J1490">
        <v>37.159999999999997</v>
      </c>
      <c r="K1490" t="s">
        <v>9</v>
      </c>
      <c r="L1490">
        <v>2893230.41</v>
      </c>
      <c r="M1490">
        <v>0</v>
      </c>
      <c r="N1490">
        <v>2893230.41</v>
      </c>
      <c r="O1490">
        <v>77858.730086114112</v>
      </c>
      <c r="P1490">
        <v>0</v>
      </c>
      <c r="Q1490">
        <v>2893230.41</v>
      </c>
      <c r="R1490">
        <v>77858.730086114112</v>
      </c>
      <c r="S1490" t="s">
        <v>65</v>
      </c>
      <c r="T1490" t="s">
        <v>717</v>
      </c>
      <c r="U1490" t="s">
        <v>717</v>
      </c>
      <c r="V1490" t="s">
        <v>4131</v>
      </c>
      <c r="W1490">
        <v>44809</v>
      </c>
      <c r="X1490" t="s">
        <v>5943</v>
      </c>
      <c r="Y1490" t="s">
        <v>6</v>
      </c>
      <c r="Z1490" t="s">
        <v>17</v>
      </c>
      <c r="AA1490" t="s">
        <v>717</v>
      </c>
      <c r="AB1490" t="s">
        <v>2509</v>
      </c>
      <c r="AC1490" t="s">
        <v>2571</v>
      </c>
      <c r="AD1490" t="s">
        <v>717</v>
      </c>
      <c r="AE1490" t="s">
        <v>6850</v>
      </c>
      <c r="AF1490" t="s">
        <v>6851</v>
      </c>
      <c r="AG1490" t="s">
        <v>6852</v>
      </c>
      <c r="AH1490" t="s">
        <v>2615</v>
      </c>
      <c r="AI1490" t="s">
        <v>2552</v>
      </c>
      <c r="AJ1490" t="s">
        <v>2662</v>
      </c>
      <c r="AK1490" t="s">
        <v>77</v>
      </c>
      <c r="AL1490" t="s">
        <v>16</v>
      </c>
      <c r="AM1490" t="s">
        <v>10</v>
      </c>
      <c r="AN1490" t="s">
        <v>6708</v>
      </c>
    </row>
    <row r="1491" spans="1:40" hidden="1">
      <c r="A1491">
        <v>1489</v>
      </c>
      <c r="B1491">
        <v>10</v>
      </c>
      <c r="C1491" s="58">
        <v>44813</v>
      </c>
      <c r="D1491" t="s">
        <v>27</v>
      </c>
      <c r="E1491" t="s">
        <v>5079</v>
      </c>
      <c r="F1491">
        <v>5</v>
      </c>
      <c r="G1491">
        <v>8</v>
      </c>
      <c r="H1491">
        <v>690</v>
      </c>
      <c r="I1491">
        <v>1</v>
      </c>
      <c r="J1491">
        <v>38.96</v>
      </c>
      <c r="K1491" t="s">
        <v>9</v>
      </c>
      <c r="L1491">
        <v>3032920.68</v>
      </c>
      <c r="M1491">
        <v>0</v>
      </c>
      <c r="N1491">
        <v>3032920.68</v>
      </c>
      <c r="O1491">
        <v>77847.040041067783</v>
      </c>
      <c r="P1491">
        <v>0</v>
      </c>
      <c r="Q1491">
        <v>3032920.68</v>
      </c>
      <c r="R1491">
        <v>77847.040041067783</v>
      </c>
      <c r="S1491" t="s">
        <v>65</v>
      </c>
      <c r="T1491" t="s">
        <v>717</v>
      </c>
      <c r="U1491" t="s">
        <v>717</v>
      </c>
      <c r="V1491" t="s">
        <v>6312</v>
      </c>
      <c r="W1491">
        <v>44809</v>
      </c>
      <c r="X1491" t="s">
        <v>6853</v>
      </c>
      <c r="Y1491" t="s">
        <v>6</v>
      </c>
      <c r="Z1491" t="s">
        <v>17</v>
      </c>
      <c r="AA1491" t="s">
        <v>717</v>
      </c>
      <c r="AB1491" t="s">
        <v>2509</v>
      </c>
      <c r="AC1491" t="s">
        <v>2571</v>
      </c>
      <c r="AD1491" t="s">
        <v>717</v>
      </c>
      <c r="AE1491" t="s">
        <v>6854</v>
      </c>
      <c r="AF1491" t="s">
        <v>6855</v>
      </c>
      <c r="AG1491" t="s">
        <v>6856</v>
      </c>
      <c r="AH1491" t="s">
        <v>2615</v>
      </c>
      <c r="AI1491" t="s">
        <v>2847</v>
      </c>
      <c r="AJ1491" t="s">
        <v>2940</v>
      </c>
      <c r="AK1491" t="s">
        <v>77</v>
      </c>
      <c r="AL1491" t="s">
        <v>16</v>
      </c>
      <c r="AM1491" t="s">
        <v>10</v>
      </c>
      <c r="AN1491" t="s">
        <v>6708</v>
      </c>
    </row>
    <row r="1492" spans="1:40" hidden="1">
      <c r="A1492">
        <v>1490</v>
      </c>
      <c r="B1492">
        <v>11</v>
      </c>
      <c r="C1492" s="58">
        <v>44816</v>
      </c>
      <c r="D1492" t="s">
        <v>7</v>
      </c>
      <c r="E1492" t="s">
        <v>2581</v>
      </c>
      <c r="F1492">
        <v>1</v>
      </c>
      <c r="G1492">
        <v>6</v>
      </c>
      <c r="H1492">
        <v>269</v>
      </c>
      <c r="I1492">
        <v>0</v>
      </c>
      <c r="J1492">
        <v>29.35</v>
      </c>
      <c r="K1492" t="s">
        <v>9</v>
      </c>
      <c r="L1492">
        <v>2314803</v>
      </c>
      <c r="M1492">
        <v>15000</v>
      </c>
      <c r="N1492">
        <v>2329803</v>
      </c>
      <c r="O1492">
        <v>79380</v>
      </c>
      <c r="P1492">
        <v>0</v>
      </c>
      <c r="Q1492">
        <v>2329803</v>
      </c>
      <c r="R1492">
        <v>79380</v>
      </c>
      <c r="S1492" t="s">
        <v>65</v>
      </c>
      <c r="T1492" t="s">
        <v>717</v>
      </c>
      <c r="U1492" t="s">
        <v>717</v>
      </c>
      <c r="V1492" t="s">
        <v>4131</v>
      </c>
      <c r="W1492">
        <v>44807</v>
      </c>
      <c r="X1492" t="s">
        <v>6857</v>
      </c>
      <c r="Y1492" t="s">
        <v>6</v>
      </c>
      <c r="Z1492" t="s">
        <v>17</v>
      </c>
      <c r="AA1492" t="s">
        <v>717</v>
      </c>
      <c r="AB1492" t="s">
        <v>2509</v>
      </c>
      <c r="AC1492" t="s">
        <v>2571</v>
      </c>
      <c r="AD1492" t="s">
        <v>717</v>
      </c>
      <c r="AE1492" t="s">
        <v>6858</v>
      </c>
      <c r="AF1492" t="s">
        <v>6859</v>
      </c>
      <c r="AG1492" t="s">
        <v>6860</v>
      </c>
      <c r="AH1492" t="s">
        <v>2552</v>
      </c>
      <c r="AI1492" t="s">
        <v>2547</v>
      </c>
      <c r="AJ1492" t="s">
        <v>2855</v>
      </c>
      <c r="AK1492" t="s">
        <v>63</v>
      </c>
      <c r="AL1492" t="s">
        <v>16</v>
      </c>
      <c r="AM1492" t="s">
        <v>10</v>
      </c>
      <c r="AN1492" t="s">
        <v>717</v>
      </c>
    </row>
    <row r="1493" spans="1:40" hidden="1">
      <c r="A1493">
        <v>1491</v>
      </c>
      <c r="B1493">
        <v>12</v>
      </c>
      <c r="C1493" s="58">
        <v>44816</v>
      </c>
      <c r="D1493" t="s">
        <v>27</v>
      </c>
      <c r="E1493" t="s">
        <v>2581</v>
      </c>
      <c r="F1493">
        <v>3</v>
      </c>
      <c r="G1493">
        <v>11</v>
      </c>
      <c r="H1493">
        <v>466</v>
      </c>
      <c r="I1493">
        <v>0</v>
      </c>
      <c r="J1493">
        <v>23.54</v>
      </c>
      <c r="K1493" t="s">
        <v>25</v>
      </c>
      <c r="L1493">
        <v>2448280.29</v>
      </c>
      <c r="M1493">
        <v>0</v>
      </c>
      <c r="N1493">
        <v>2448280.29</v>
      </c>
      <c r="O1493">
        <v>104005.11002548854</v>
      </c>
      <c r="P1493">
        <v>517880.00000000093</v>
      </c>
      <c r="Q1493">
        <v>1930400.2899999991</v>
      </c>
      <c r="R1493">
        <v>82005.110025488495</v>
      </c>
      <c r="S1493" t="s">
        <v>65</v>
      </c>
      <c r="T1493" t="s">
        <v>717</v>
      </c>
      <c r="U1493" t="s">
        <v>717</v>
      </c>
      <c r="V1493" t="s">
        <v>4131</v>
      </c>
      <c r="W1493">
        <v>44809</v>
      </c>
      <c r="X1493" t="s">
        <v>6861</v>
      </c>
      <c r="Y1493" t="s">
        <v>6</v>
      </c>
      <c r="Z1493" t="s">
        <v>17</v>
      </c>
      <c r="AA1493" t="s">
        <v>717</v>
      </c>
      <c r="AB1493" t="s">
        <v>2509</v>
      </c>
      <c r="AC1493" t="s">
        <v>2571</v>
      </c>
      <c r="AD1493" t="s">
        <v>717</v>
      </c>
      <c r="AE1493" t="s">
        <v>6862</v>
      </c>
      <c r="AF1493" t="s">
        <v>6863</v>
      </c>
      <c r="AG1493" t="s">
        <v>6864</v>
      </c>
      <c r="AH1493" t="s">
        <v>2552</v>
      </c>
      <c r="AI1493" t="s">
        <v>2547</v>
      </c>
      <c r="AJ1493" t="s">
        <v>2855</v>
      </c>
      <c r="AK1493" t="s">
        <v>73</v>
      </c>
      <c r="AL1493" t="s">
        <v>22</v>
      </c>
      <c r="AM1493" t="s">
        <v>10</v>
      </c>
      <c r="AN1493" t="s">
        <v>6708</v>
      </c>
    </row>
    <row r="1494" spans="1:40" hidden="1">
      <c r="A1494">
        <v>1492</v>
      </c>
      <c r="B1494">
        <v>13</v>
      </c>
      <c r="C1494" s="58">
        <v>44816</v>
      </c>
      <c r="D1494" t="s">
        <v>27</v>
      </c>
      <c r="E1494" t="s">
        <v>5456</v>
      </c>
      <c r="F1494">
        <v>9</v>
      </c>
      <c r="G1494">
        <v>2</v>
      </c>
      <c r="H1494">
        <v>839</v>
      </c>
      <c r="I1494">
        <v>0</v>
      </c>
      <c r="J1494">
        <v>23.09</v>
      </c>
      <c r="K1494" t="s">
        <v>9</v>
      </c>
      <c r="L1494">
        <v>1893669.32</v>
      </c>
      <c r="M1494">
        <v>0</v>
      </c>
      <c r="N1494">
        <v>1893669.32</v>
      </c>
      <c r="O1494">
        <v>82012.530099610231</v>
      </c>
      <c r="P1494">
        <v>0</v>
      </c>
      <c r="Q1494">
        <v>1893669.32</v>
      </c>
      <c r="R1494">
        <v>82012.530099610231</v>
      </c>
      <c r="S1494" t="s">
        <v>65</v>
      </c>
      <c r="T1494" t="s">
        <v>717</v>
      </c>
      <c r="U1494" t="s">
        <v>717</v>
      </c>
      <c r="V1494" t="s">
        <v>4131</v>
      </c>
      <c r="W1494">
        <v>44810</v>
      </c>
      <c r="X1494" t="s">
        <v>6865</v>
      </c>
      <c r="Y1494" t="s">
        <v>6</v>
      </c>
      <c r="Z1494" t="s">
        <v>17</v>
      </c>
      <c r="AA1494" t="s">
        <v>717</v>
      </c>
      <c r="AB1494" t="s">
        <v>2509</v>
      </c>
      <c r="AC1494" t="s">
        <v>2571</v>
      </c>
      <c r="AD1494" t="s">
        <v>717</v>
      </c>
      <c r="AE1494" t="s">
        <v>4033</v>
      </c>
      <c r="AF1494" t="s">
        <v>4034</v>
      </c>
      <c r="AG1494" t="s">
        <v>4035</v>
      </c>
      <c r="AH1494" t="s">
        <v>2191</v>
      </c>
      <c r="AI1494" t="s">
        <v>2600</v>
      </c>
      <c r="AJ1494" t="s">
        <v>3921</v>
      </c>
      <c r="AK1494" t="s">
        <v>63</v>
      </c>
      <c r="AL1494" t="s">
        <v>22</v>
      </c>
      <c r="AM1494" t="s">
        <v>10</v>
      </c>
      <c r="AN1494" t="s">
        <v>717</v>
      </c>
    </row>
    <row r="1495" spans="1:40" hidden="1">
      <c r="A1495">
        <v>1493</v>
      </c>
      <c r="B1495">
        <v>14</v>
      </c>
      <c r="C1495" s="58">
        <v>44816</v>
      </c>
      <c r="D1495" t="s">
        <v>27</v>
      </c>
      <c r="E1495" t="s">
        <v>5079</v>
      </c>
      <c r="F1495">
        <v>3</v>
      </c>
      <c r="G1495">
        <v>24</v>
      </c>
      <c r="H1495">
        <v>825</v>
      </c>
      <c r="I1495">
        <v>0</v>
      </c>
      <c r="J1495">
        <v>24.37</v>
      </c>
      <c r="K1495" t="s">
        <v>9</v>
      </c>
      <c r="L1495">
        <v>2232617.1</v>
      </c>
      <c r="M1495">
        <v>0</v>
      </c>
      <c r="N1495">
        <v>2232617.1</v>
      </c>
      <c r="O1495">
        <v>91613.340172343043</v>
      </c>
      <c r="P1495">
        <v>0</v>
      </c>
      <c r="Q1495">
        <v>2232617.1</v>
      </c>
      <c r="R1495">
        <v>91613.340172343043</v>
      </c>
      <c r="S1495" t="s">
        <v>65</v>
      </c>
      <c r="T1495" t="s">
        <v>717</v>
      </c>
      <c r="U1495" t="s">
        <v>717</v>
      </c>
      <c r="V1495" t="s">
        <v>4131</v>
      </c>
      <c r="W1495">
        <v>44810</v>
      </c>
      <c r="X1495" t="s">
        <v>6866</v>
      </c>
      <c r="Y1495" t="s">
        <v>6</v>
      </c>
      <c r="Z1495" t="s">
        <v>17</v>
      </c>
      <c r="AA1495" t="s">
        <v>717</v>
      </c>
      <c r="AB1495" t="s">
        <v>2509</v>
      </c>
      <c r="AC1495" t="s">
        <v>2571</v>
      </c>
      <c r="AD1495" t="s">
        <v>717</v>
      </c>
      <c r="AE1495" t="s">
        <v>6867</v>
      </c>
      <c r="AF1495" t="s">
        <v>6868</v>
      </c>
      <c r="AG1495" t="s">
        <v>6869</v>
      </c>
      <c r="AH1495" t="s">
        <v>2615</v>
      </c>
      <c r="AI1495" t="s">
        <v>2552</v>
      </c>
      <c r="AJ1495" t="s">
        <v>2895</v>
      </c>
      <c r="AK1495" t="s">
        <v>77</v>
      </c>
      <c r="AL1495" t="s">
        <v>16</v>
      </c>
      <c r="AM1495" t="s">
        <v>10</v>
      </c>
      <c r="AN1495" t="s">
        <v>6708</v>
      </c>
    </row>
    <row r="1496" spans="1:40" hidden="1">
      <c r="A1496">
        <v>1494</v>
      </c>
      <c r="B1496">
        <v>15</v>
      </c>
      <c r="C1496" s="58">
        <v>44816</v>
      </c>
      <c r="D1496" t="s">
        <v>7</v>
      </c>
      <c r="E1496" t="s">
        <v>2515</v>
      </c>
      <c r="F1496">
        <v>3</v>
      </c>
      <c r="G1496">
        <v>16</v>
      </c>
      <c r="H1496">
        <v>115</v>
      </c>
      <c r="I1496">
        <v>1</v>
      </c>
      <c r="J1496">
        <v>35.54</v>
      </c>
      <c r="K1496" t="s">
        <v>15</v>
      </c>
      <c r="L1496">
        <v>3064727.93</v>
      </c>
      <c r="M1496">
        <v>0</v>
      </c>
      <c r="N1496">
        <v>3064727.93</v>
      </c>
      <c r="O1496">
        <v>86233.200056274625</v>
      </c>
      <c r="P1496">
        <v>266550</v>
      </c>
      <c r="Q1496">
        <v>2798177.93</v>
      </c>
      <c r="R1496">
        <v>78733.200056274625</v>
      </c>
      <c r="S1496" t="s">
        <v>130</v>
      </c>
      <c r="T1496" t="s">
        <v>717</v>
      </c>
      <c r="U1496" t="s">
        <v>717</v>
      </c>
      <c r="V1496" t="s">
        <v>717</v>
      </c>
      <c r="W1496">
        <v>44812</v>
      </c>
      <c r="X1496" t="s">
        <v>6870</v>
      </c>
      <c r="Y1496" t="s">
        <v>6</v>
      </c>
      <c r="Z1496" t="s">
        <v>17</v>
      </c>
      <c r="AA1496" t="s">
        <v>717</v>
      </c>
      <c r="AB1496" t="s">
        <v>2509</v>
      </c>
      <c r="AC1496" t="s">
        <v>717</v>
      </c>
      <c r="AD1496" t="s">
        <v>717</v>
      </c>
      <c r="AE1496" t="s">
        <v>6871</v>
      </c>
      <c r="AF1496" t="s">
        <v>6872</v>
      </c>
      <c r="AG1496" t="s">
        <v>6873</v>
      </c>
      <c r="AH1496" t="s">
        <v>2191</v>
      </c>
      <c r="AI1496" t="s">
        <v>5653</v>
      </c>
      <c r="AJ1496" t="s">
        <v>31</v>
      </c>
      <c r="AK1496" t="s">
        <v>29</v>
      </c>
      <c r="AL1496" t="s">
        <v>717</v>
      </c>
      <c r="AM1496" t="s">
        <v>5654</v>
      </c>
      <c r="AN1496" t="s">
        <v>717</v>
      </c>
    </row>
    <row r="1497" spans="1:40" hidden="1">
      <c r="A1497">
        <v>1495</v>
      </c>
      <c r="B1497">
        <v>16</v>
      </c>
      <c r="C1497" s="58">
        <v>44816</v>
      </c>
      <c r="D1497" t="s">
        <v>27</v>
      </c>
      <c r="E1497" t="s">
        <v>5456</v>
      </c>
      <c r="F1497">
        <v>8</v>
      </c>
      <c r="G1497">
        <v>6</v>
      </c>
      <c r="H1497">
        <v>874</v>
      </c>
      <c r="I1497">
        <v>0</v>
      </c>
      <c r="J1497">
        <v>23.09</v>
      </c>
      <c r="K1497" t="s">
        <v>25</v>
      </c>
      <c r="L1497">
        <v>2513042.17</v>
      </c>
      <c r="M1497">
        <v>0</v>
      </c>
      <c r="N1497">
        <v>2513042.17</v>
      </c>
      <c r="O1497">
        <v>108836.81983542661</v>
      </c>
      <c r="P1497">
        <v>507979.99999999953</v>
      </c>
      <c r="Q1497">
        <v>2005062.1700000004</v>
      </c>
      <c r="R1497">
        <v>86836.819835426606</v>
      </c>
      <c r="S1497" t="s">
        <v>65</v>
      </c>
      <c r="T1497" t="s">
        <v>717</v>
      </c>
      <c r="U1497" t="s">
        <v>717</v>
      </c>
      <c r="V1497" t="s">
        <v>4131</v>
      </c>
      <c r="W1497">
        <v>44816</v>
      </c>
      <c r="X1497" t="s">
        <v>6874</v>
      </c>
      <c r="Y1497" t="s">
        <v>6</v>
      </c>
      <c r="Z1497" t="s">
        <v>17</v>
      </c>
      <c r="AA1497" t="s">
        <v>717</v>
      </c>
      <c r="AB1497" t="s">
        <v>2509</v>
      </c>
      <c r="AC1497" t="s">
        <v>2571</v>
      </c>
      <c r="AD1497" t="s">
        <v>717</v>
      </c>
      <c r="AE1497" t="s">
        <v>6875</v>
      </c>
      <c r="AF1497" t="s">
        <v>6876</v>
      </c>
      <c r="AG1497" t="s">
        <v>6877</v>
      </c>
      <c r="AH1497" t="s">
        <v>2615</v>
      </c>
      <c r="AI1497" t="s">
        <v>2706</v>
      </c>
      <c r="AJ1497" t="s">
        <v>3921</v>
      </c>
      <c r="AK1497" t="s">
        <v>73</v>
      </c>
      <c r="AL1497" t="s">
        <v>16</v>
      </c>
      <c r="AM1497" t="s">
        <v>10</v>
      </c>
      <c r="AN1497" t="s">
        <v>6708</v>
      </c>
    </row>
    <row r="1498" spans="1:40" hidden="1">
      <c r="A1498">
        <v>1496</v>
      </c>
      <c r="B1498">
        <v>17</v>
      </c>
      <c r="C1498" s="58">
        <v>44817</v>
      </c>
      <c r="D1498" t="s">
        <v>7</v>
      </c>
      <c r="E1498" t="s">
        <v>4409</v>
      </c>
      <c r="F1498">
        <v>2</v>
      </c>
      <c r="G1498">
        <v>12</v>
      </c>
      <c r="H1498">
        <v>493</v>
      </c>
      <c r="I1498">
        <v>1</v>
      </c>
      <c r="J1498">
        <v>38.6</v>
      </c>
      <c r="K1498" t="s">
        <v>15</v>
      </c>
      <c r="L1498">
        <v>3328601.52</v>
      </c>
      <c r="M1498">
        <v>0</v>
      </c>
      <c r="N1498">
        <v>3328601.52</v>
      </c>
      <c r="O1498">
        <v>86233.2</v>
      </c>
      <c r="P1498">
        <v>289500</v>
      </c>
      <c r="Q1498">
        <v>3039101.52</v>
      </c>
      <c r="R1498">
        <v>78733.2</v>
      </c>
      <c r="S1498" t="s">
        <v>130</v>
      </c>
      <c r="T1498" t="s">
        <v>717</v>
      </c>
      <c r="U1498" t="s">
        <v>717</v>
      </c>
      <c r="V1498" t="s">
        <v>717</v>
      </c>
      <c r="W1498">
        <v>44811</v>
      </c>
      <c r="X1498" t="s">
        <v>6878</v>
      </c>
      <c r="Y1498" t="s">
        <v>2517</v>
      </c>
      <c r="Z1498" t="s">
        <v>17</v>
      </c>
      <c r="AA1498" t="s">
        <v>717</v>
      </c>
      <c r="AB1498" t="s">
        <v>2509</v>
      </c>
      <c r="AC1498" t="s">
        <v>717</v>
      </c>
      <c r="AD1498">
        <v>45210</v>
      </c>
      <c r="AE1498" t="s">
        <v>6879</v>
      </c>
      <c r="AF1498" t="s">
        <v>6880</v>
      </c>
      <c r="AG1498" t="s">
        <v>6881</v>
      </c>
      <c r="AH1498" t="s">
        <v>2191</v>
      </c>
      <c r="AI1498" t="s">
        <v>5653</v>
      </c>
      <c r="AJ1498" t="s">
        <v>31</v>
      </c>
      <c r="AK1498" t="s">
        <v>29</v>
      </c>
      <c r="AL1498" t="s">
        <v>717</v>
      </c>
      <c r="AM1498" t="s">
        <v>5654</v>
      </c>
      <c r="AN1498" t="s">
        <v>717</v>
      </c>
    </row>
    <row r="1499" spans="1:40" hidden="1">
      <c r="A1499">
        <v>1497</v>
      </c>
      <c r="B1499">
        <v>18</v>
      </c>
      <c r="C1499" s="58">
        <v>44817</v>
      </c>
      <c r="D1499" t="s">
        <v>27</v>
      </c>
      <c r="E1499" t="s">
        <v>2515</v>
      </c>
      <c r="F1499">
        <v>3</v>
      </c>
      <c r="G1499">
        <v>16</v>
      </c>
      <c r="H1499">
        <v>129</v>
      </c>
      <c r="I1499">
        <v>1</v>
      </c>
      <c r="J1499">
        <v>41.06</v>
      </c>
      <c r="K1499" t="s">
        <v>9</v>
      </c>
      <c r="L1499">
        <v>3073361.12</v>
      </c>
      <c r="M1499">
        <v>0</v>
      </c>
      <c r="N1499">
        <v>3073361.12</v>
      </c>
      <c r="O1499">
        <v>74850.490014612762</v>
      </c>
      <c r="P1499">
        <v>0</v>
      </c>
      <c r="Q1499">
        <v>3073361.12</v>
      </c>
      <c r="R1499">
        <v>74850.490014612762</v>
      </c>
      <c r="S1499" t="s">
        <v>65</v>
      </c>
      <c r="T1499" t="s">
        <v>717</v>
      </c>
      <c r="U1499" t="s">
        <v>717</v>
      </c>
      <c r="V1499" t="s">
        <v>4131</v>
      </c>
      <c r="W1499">
        <v>44812</v>
      </c>
      <c r="X1499" t="s">
        <v>6882</v>
      </c>
      <c r="Y1499" t="s">
        <v>6</v>
      </c>
      <c r="Z1499" t="s">
        <v>17</v>
      </c>
      <c r="AA1499" t="s">
        <v>717</v>
      </c>
      <c r="AB1499" t="s">
        <v>2509</v>
      </c>
      <c r="AC1499" t="s">
        <v>2571</v>
      </c>
      <c r="AD1499" t="s">
        <v>717</v>
      </c>
      <c r="AE1499" t="s">
        <v>6883</v>
      </c>
      <c r="AF1499" t="s">
        <v>6884</v>
      </c>
      <c r="AG1499" t="s">
        <v>6885</v>
      </c>
      <c r="AH1499" t="s">
        <v>2615</v>
      </c>
      <c r="AI1499" t="s">
        <v>2538</v>
      </c>
      <c r="AJ1499" t="s">
        <v>3289</v>
      </c>
      <c r="AK1499" t="s">
        <v>73</v>
      </c>
      <c r="AL1499" t="s">
        <v>22</v>
      </c>
      <c r="AM1499" t="s">
        <v>10</v>
      </c>
      <c r="AN1499" t="s">
        <v>6708</v>
      </c>
    </row>
    <row r="1500" spans="1:40" hidden="1">
      <c r="A1500">
        <v>1498</v>
      </c>
      <c r="B1500">
        <v>19</v>
      </c>
      <c r="C1500" s="58">
        <v>44817</v>
      </c>
      <c r="D1500" t="s">
        <v>27</v>
      </c>
      <c r="E1500" t="s">
        <v>2515</v>
      </c>
      <c r="F1500">
        <v>5</v>
      </c>
      <c r="G1500">
        <v>19</v>
      </c>
      <c r="H1500">
        <v>158</v>
      </c>
      <c r="I1500">
        <v>0</v>
      </c>
      <c r="J1500">
        <v>24.47</v>
      </c>
      <c r="K1500" t="s">
        <v>25</v>
      </c>
      <c r="L1500">
        <v>2650051.5699999998</v>
      </c>
      <c r="M1500">
        <v>0</v>
      </c>
      <c r="N1500">
        <v>2650051.5699999998</v>
      </c>
      <c r="O1500">
        <v>108297.97997548018</v>
      </c>
      <c r="P1500">
        <v>538339.99999999953</v>
      </c>
      <c r="Q1500">
        <v>2111711.5700000003</v>
      </c>
      <c r="R1500">
        <v>86297.979975480193</v>
      </c>
      <c r="S1500" t="s">
        <v>2507</v>
      </c>
      <c r="T1500" t="s">
        <v>717</v>
      </c>
      <c r="U1500" t="s">
        <v>717</v>
      </c>
      <c r="V1500" t="s">
        <v>717</v>
      </c>
      <c r="W1500">
        <v>44815</v>
      </c>
      <c r="X1500" t="s">
        <v>6886</v>
      </c>
      <c r="Y1500" t="s">
        <v>6</v>
      </c>
      <c r="Z1500" t="s">
        <v>17</v>
      </c>
      <c r="AA1500" t="s">
        <v>717</v>
      </c>
      <c r="AB1500" t="s">
        <v>2509</v>
      </c>
      <c r="AC1500" t="s">
        <v>717</v>
      </c>
      <c r="AD1500" t="s">
        <v>717</v>
      </c>
      <c r="AE1500" t="s">
        <v>6887</v>
      </c>
      <c r="AF1500" t="s">
        <v>6888</v>
      </c>
      <c r="AG1500" t="s">
        <v>6889</v>
      </c>
      <c r="AH1500" t="s">
        <v>2191</v>
      </c>
      <c r="AI1500" t="s">
        <v>2552</v>
      </c>
      <c r="AJ1500" t="s">
        <v>2514</v>
      </c>
      <c r="AK1500" t="s">
        <v>63</v>
      </c>
      <c r="AL1500" t="s">
        <v>717</v>
      </c>
      <c r="AM1500" t="s">
        <v>10</v>
      </c>
      <c r="AN1500" t="s">
        <v>717</v>
      </c>
    </row>
    <row r="1501" spans="1:40" hidden="1">
      <c r="A1501">
        <v>1499</v>
      </c>
      <c r="B1501">
        <v>20</v>
      </c>
      <c r="C1501" s="58">
        <v>44818</v>
      </c>
      <c r="D1501" t="s">
        <v>27</v>
      </c>
      <c r="E1501" t="s">
        <v>5456</v>
      </c>
      <c r="F1501">
        <v>8</v>
      </c>
      <c r="G1501">
        <v>3</v>
      </c>
      <c r="H1501">
        <v>847</v>
      </c>
      <c r="I1501">
        <v>0</v>
      </c>
      <c r="J1501">
        <v>23.09</v>
      </c>
      <c r="K1501" t="s">
        <v>25</v>
      </c>
      <c r="L1501">
        <v>2513042.17</v>
      </c>
      <c r="M1501">
        <v>0</v>
      </c>
      <c r="N1501">
        <v>2513042.17</v>
      </c>
      <c r="O1501">
        <v>108836.81983542661</v>
      </c>
      <c r="P1501">
        <v>507979.99999999953</v>
      </c>
      <c r="Q1501">
        <v>2005062.1700000004</v>
      </c>
      <c r="R1501">
        <v>86836.819835426606</v>
      </c>
      <c r="S1501" t="s">
        <v>65</v>
      </c>
      <c r="T1501" t="s">
        <v>717</v>
      </c>
      <c r="U1501" t="s">
        <v>717</v>
      </c>
      <c r="V1501" t="s">
        <v>6312</v>
      </c>
      <c r="W1501">
        <v>44811</v>
      </c>
      <c r="X1501" t="s">
        <v>6890</v>
      </c>
      <c r="Y1501" t="s">
        <v>6</v>
      </c>
      <c r="Z1501" t="s">
        <v>17</v>
      </c>
      <c r="AA1501" t="s">
        <v>717</v>
      </c>
      <c r="AB1501" t="s">
        <v>2509</v>
      </c>
      <c r="AC1501" t="s">
        <v>2571</v>
      </c>
      <c r="AD1501" t="s">
        <v>717</v>
      </c>
      <c r="AE1501" t="s">
        <v>6891</v>
      </c>
      <c r="AF1501" t="s">
        <v>6892</v>
      </c>
      <c r="AG1501" t="s">
        <v>6893</v>
      </c>
      <c r="AH1501" t="s">
        <v>2615</v>
      </c>
      <c r="AI1501" t="s">
        <v>3120</v>
      </c>
      <c r="AJ1501" t="s">
        <v>3202</v>
      </c>
      <c r="AK1501" t="s">
        <v>63</v>
      </c>
      <c r="AL1501" t="s">
        <v>16</v>
      </c>
      <c r="AM1501" t="s">
        <v>10</v>
      </c>
      <c r="AN1501" t="s">
        <v>6708</v>
      </c>
    </row>
    <row r="1502" spans="1:40" hidden="1">
      <c r="A1502">
        <v>1500</v>
      </c>
      <c r="B1502">
        <v>21</v>
      </c>
      <c r="C1502" s="58">
        <v>44818</v>
      </c>
      <c r="D1502" t="s">
        <v>27</v>
      </c>
      <c r="E1502" t="s">
        <v>2515</v>
      </c>
      <c r="F1502">
        <v>3</v>
      </c>
      <c r="G1502">
        <v>7</v>
      </c>
      <c r="H1502">
        <v>48</v>
      </c>
      <c r="I1502">
        <v>1</v>
      </c>
      <c r="J1502">
        <v>41.06</v>
      </c>
      <c r="K1502" t="s">
        <v>15</v>
      </c>
      <c r="L1502">
        <v>3381311.12</v>
      </c>
      <c r="M1502">
        <v>0</v>
      </c>
      <c r="N1502">
        <v>3381311.12</v>
      </c>
      <c r="O1502">
        <v>82350.490014612762</v>
      </c>
      <c r="P1502">
        <v>307950</v>
      </c>
      <c r="Q1502">
        <v>3073361.12</v>
      </c>
      <c r="R1502">
        <v>74850.490014612762</v>
      </c>
      <c r="S1502" t="s">
        <v>65</v>
      </c>
      <c r="T1502" t="s">
        <v>717</v>
      </c>
      <c r="U1502" t="s">
        <v>717</v>
      </c>
      <c r="V1502" t="s">
        <v>4131</v>
      </c>
      <c r="W1502">
        <v>44818</v>
      </c>
      <c r="X1502" t="s">
        <v>6894</v>
      </c>
      <c r="Y1502" t="s">
        <v>6</v>
      </c>
      <c r="Z1502" t="s">
        <v>17</v>
      </c>
      <c r="AA1502" t="s">
        <v>717</v>
      </c>
      <c r="AB1502" t="s">
        <v>2509</v>
      </c>
      <c r="AC1502" t="s">
        <v>2571</v>
      </c>
      <c r="AD1502" t="s">
        <v>717</v>
      </c>
      <c r="AE1502" t="s">
        <v>6895</v>
      </c>
      <c r="AF1502" t="s">
        <v>6896</v>
      </c>
      <c r="AG1502" t="s">
        <v>6897</v>
      </c>
      <c r="AH1502" t="s">
        <v>2615</v>
      </c>
      <c r="AI1502" t="s">
        <v>2552</v>
      </c>
      <c r="AJ1502" t="s">
        <v>3289</v>
      </c>
      <c r="AK1502" t="s">
        <v>77</v>
      </c>
      <c r="AL1502" t="s">
        <v>16</v>
      </c>
      <c r="AM1502" t="s">
        <v>10</v>
      </c>
      <c r="AN1502" t="s">
        <v>6708</v>
      </c>
    </row>
    <row r="1503" spans="1:40" hidden="1">
      <c r="A1503">
        <v>1501</v>
      </c>
      <c r="B1503">
        <v>22</v>
      </c>
      <c r="C1503" s="58">
        <v>44819</v>
      </c>
      <c r="D1503" t="s">
        <v>7</v>
      </c>
      <c r="E1503" t="s">
        <v>2581</v>
      </c>
      <c r="F1503">
        <v>3</v>
      </c>
      <c r="G1503">
        <v>19</v>
      </c>
      <c r="H1503">
        <v>362</v>
      </c>
      <c r="I1503">
        <v>0</v>
      </c>
      <c r="J1503">
        <v>36.450000000000003</v>
      </c>
      <c r="K1503" t="s">
        <v>9</v>
      </c>
      <c r="L1503">
        <v>3153807.09</v>
      </c>
      <c r="M1503">
        <v>0</v>
      </c>
      <c r="N1503">
        <v>3153807.09</v>
      </c>
      <c r="O1503">
        <v>86524.199999999983</v>
      </c>
      <c r="P1503">
        <v>0</v>
      </c>
      <c r="Q1503">
        <v>3153807.09</v>
      </c>
      <c r="R1503">
        <v>86524.199999999983</v>
      </c>
      <c r="S1503" t="s">
        <v>2507</v>
      </c>
      <c r="T1503" t="s">
        <v>717</v>
      </c>
      <c r="U1503" t="s">
        <v>717</v>
      </c>
      <c r="V1503" t="s">
        <v>717</v>
      </c>
      <c r="W1503">
        <v>44809</v>
      </c>
      <c r="X1503" t="s">
        <v>6898</v>
      </c>
      <c r="Y1503" t="s">
        <v>6</v>
      </c>
      <c r="Z1503" t="s">
        <v>17</v>
      </c>
      <c r="AA1503" t="s">
        <v>717</v>
      </c>
      <c r="AB1503" t="s">
        <v>2509</v>
      </c>
      <c r="AC1503" t="s">
        <v>717</v>
      </c>
      <c r="AD1503" t="s">
        <v>717</v>
      </c>
      <c r="AE1503" t="s">
        <v>6899</v>
      </c>
      <c r="AF1503" t="s">
        <v>6900</v>
      </c>
      <c r="AG1503" t="s">
        <v>6901</v>
      </c>
      <c r="AH1503" t="s">
        <v>2615</v>
      </c>
      <c r="AI1503" t="s">
        <v>2552</v>
      </c>
      <c r="AJ1503" t="s">
        <v>2895</v>
      </c>
      <c r="AK1503" t="s">
        <v>63</v>
      </c>
      <c r="AL1503" t="s">
        <v>717</v>
      </c>
      <c r="AM1503" t="s">
        <v>10</v>
      </c>
      <c r="AN1503" t="s">
        <v>6708</v>
      </c>
    </row>
    <row r="1504" spans="1:40" hidden="1">
      <c r="A1504">
        <v>1502</v>
      </c>
      <c r="B1504">
        <v>23</v>
      </c>
      <c r="C1504" s="58">
        <v>44823</v>
      </c>
      <c r="D1504" t="s">
        <v>27</v>
      </c>
      <c r="E1504" t="s">
        <v>2515</v>
      </c>
      <c r="F1504">
        <v>3</v>
      </c>
      <c r="G1504">
        <v>19</v>
      </c>
      <c r="H1504">
        <v>156</v>
      </c>
      <c r="I1504">
        <v>1</v>
      </c>
      <c r="J1504">
        <v>41.06</v>
      </c>
      <c r="K1504" t="s">
        <v>9</v>
      </c>
      <c r="L1504">
        <v>3296144.88</v>
      </c>
      <c r="M1504">
        <v>0</v>
      </c>
      <c r="N1504">
        <v>3296144.88</v>
      </c>
      <c r="O1504">
        <v>80276.300048709178</v>
      </c>
      <c r="P1504">
        <v>0</v>
      </c>
      <c r="Q1504">
        <v>3296144.88</v>
      </c>
      <c r="R1504">
        <v>80276.300048709178</v>
      </c>
      <c r="S1504" t="s">
        <v>65</v>
      </c>
      <c r="T1504" t="s">
        <v>717</v>
      </c>
      <c r="U1504" t="s">
        <v>717</v>
      </c>
      <c r="V1504" t="s">
        <v>4131</v>
      </c>
      <c r="W1504">
        <v>44818</v>
      </c>
      <c r="X1504" t="s">
        <v>6902</v>
      </c>
      <c r="Y1504" t="s">
        <v>6</v>
      </c>
      <c r="Z1504" t="s">
        <v>17</v>
      </c>
      <c r="AA1504" t="s">
        <v>717</v>
      </c>
      <c r="AB1504" t="s">
        <v>2509</v>
      </c>
      <c r="AC1504" t="s">
        <v>2571</v>
      </c>
      <c r="AD1504" t="s">
        <v>717</v>
      </c>
      <c r="AE1504" t="s">
        <v>6903</v>
      </c>
      <c r="AF1504" t="s">
        <v>6904</v>
      </c>
      <c r="AG1504" t="s">
        <v>6905</v>
      </c>
      <c r="AH1504" t="s">
        <v>2615</v>
      </c>
      <c r="AI1504" t="s">
        <v>2552</v>
      </c>
      <c r="AJ1504" t="s">
        <v>2895</v>
      </c>
      <c r="AK1504" t="s">
        <v>77</v>
      </c>
      <c r="AL1504" t="s">
        <v>16</v>
      </c>
      <c r="AM1504" t="s">
        <v>10</v>
      </c>
      <c r="AN1504" t="s">
        <v>6708</v>
      </c>
    </row>
    <row r="1505" spans="1:40" hidden="1">
      <c r="A1505">
        <v>1503</v>
      </c>
      <c r="B1505">
        <v>24</v>
      </c>
      <c r="C1505" s="58">
        <v>44824</v>
      </c>
      <c r="D1505" t="s">
        <v>121</v>
      </c>
      <c r="E1505" t="s">
        <v>2515</v>
      </c>
      <c r="F1505">
        <v>3</v>
      </c>
      <c r="G1505">
        <v>7</v>
      </c>
      <c r="H1505">
        <v>38</v>
      </c>
      <c r="I1505">
        <v>3</v>
      </c>
      <c r="J1505">
        <v>78.7</v>
      </c>
      <c r="K1505" t="s">
        <v>9</v>
      </c>
      <c r="L1505">
        <v>7023525.25</v>
      </c>
      <c r="M1505">
        <v>0</v>
      </c>
      <c r="N1505">
        <v>7023525.25</v>
      </c>
      <c r="O1505">
        <v>89244.285260482837</v>
      </c>
      <c r="P1505">
        <v>0</v>
      </c>
      <c r="Q1505">
        <v>7023525.25</v>
      </c>
      <c r="R1505">
        <v>89244.285260482837</v>
      </c>
      <c r="S1505" t="s">
        <v>65</v>
      </c>
      <c r="T1505" t="s">
        <v>5386</v>
      </c>
      <c r="U1505">
        <v>10000</v>
      </c>
      <c r="V1505" t="s">
        <v>4131</v>
      </c>
      <c r="W1505">
        <v>44810</v>
      </c>
      <c r="X1505" t="s">
        <v>6906</v>
      </c>
      <c r="Y1505" t="s">
        <v>6</v>
      </c>
      <c r="Z1505" t="s">
        <v>17</v>
      </c>
      <c r="AA1505" t="s">
        <v>717</v>
      </c>
      <c r="AB1505" t="s">
        <v>326</v>
      </c>
      <c r="AC1505" t="s">
        <v>2571</v>
      </c>
      <c r="AD1505" t="s">
        <v>717</v>
      </c>
      <c r="AE1505" t="s">
        <v>6907</v>
      </c>
      <c r="AF1505" t="s">
        <v>6908</v>
      </c>
      <c r="AG1505" t="s">
        <v>6909</v>
      </c>
      <c r="AH1505" t="s">
        <v>2616</v>
      </c>
      <c r="AI1505" t="s">
        <v>2552</v>
      </c>
      <c r="AJ1505" t="s">
        <v>2662</v>
      </c>
      <c r="AK1505" t="s">
        <v>77</v>
      </c>
      <c r="AL1505" t="s">
        <v>16</v>
      </c>
      <c r="AM1505" t="s">
        <v>10</v>
      </c>
      <c r="AN1505" t="s">
        <v>6910</v>
      </c>
    </row>
    <row r="1506" spans="1:40" hidden="1">
      <c r="A1506">
        <v>1504</v>
      </c>
      <c r="B1506">
        <v>25</v>
      </c>
      <c r="C1506" s="58">
        <v>44824</v>
      </c>
      <c r="D1506" t="s">
        <v>27</v>
      </c>
      <c r="E1506" t="s">
        <v>2515</v>
      </c>
      <c r="F1506">
        <v>2</v>
      </c>
      <c r="G1506">
        <v>15</v>
      </c>
      <c r="H1506">
        <v>119</v>
      </c>
      <c r="I1506">
        <v>1</v>
      </c>
      <c r="J1506">
        <v>37.94</v>
      </c>
      <c r="K1506" t="s">
        <v>9</v>
      </c>
      <c r="L1506">
        <v>2953762.93</v>
      </c>
      <c r="M1506">
        <v>0</v>
      </c>
      <c r="N1506">
        <v>2953762.93</v>
      </c>
      <c r="O1506">
        <v>77853.530047443346</v>
      </c>
      <c r="P1506">
        <v>0</v>
      </c>
      <c r="Q1506">
        <v>2953762.93</v>
      </c>
      <c r="R1506">
        <v>77853.530047443346</v>
      </c>
      <c r="S1506" t="s">
        <v>2507</v>
      </c>
      <c r="T1506" t="s">
        <v>717</v>
      </c>
      <c r="U1506" t="s">
        <v>717</v>
      </c>
      <c r="V1506" t="s">
        <v>717</v>
      </c>
      <c r="W1506">
        <v>44813</v>
      </c>
      <c r="X1506" t="s">
        <v>6911</v>
      </c>
      <c r="Y1506" t="s">
        <v>6</v>
      </c>
      <c r="Z1506" t="s">
        <v>17</v>
      </c>
      <c r="AA1506" t="s">
        <v>717</v>
      </c>
      <c r="AB1506" t="s">
        <v>2509</v>
      </c>
      <c r="AC1506" t="s">
        <v>717</v>
      </c>
      <c r="AD1506" t="s">
        <v>717</v>
      </c>
      <c r="AE1506" t="s">
        <v>6912</v>
      </c>
      <c r="AF1506" t="s">
        <v>6913</v>
      </c>
      <c r="AG1506" t="s">
        <v>6914</v>
      </c>
      <c r="AH1506" t="s">
        <v>2615</v>
      </c>
      <c r="AI1506" t="s">
        <v>2552</v>
      </c>
      <c r="AJ1506" t="s">
        <v>2895</v>
      </c>
      <c r="AK1506" t="s">
        <v>77</v>
      </c>
      <c r="AL1506" t="s">
        <v>717</v>
      </c>
      <c r="AM1506" t="s">
        <v>10</v>
      </c>
      <c r="AN1506" t="s">
        <v>717</v>
      </c>
    </row>
    <row r="1507" spans="1:40" hidden="1">
      <c r="A1507">
        <v>1505</v>
      </c>
      <c r="B1507">
        <v>26</v>
      </c>
      <c r="C1507" s="58">
        <v>44824</v>
      </c>
      <c r="D1507" t="s">
        <v>27</v>
      </c>
      <c r="E1507" t="s">
        <v>2515</v>
      </c>
      <c r="F1507">
        <v>5</v>
      </c>
      <c r="G1507">
        <v>4</v>
      </c>
      <c r="H1507">
        <v>23</v>
      </c>
      <c r="I1507">
        <v>0</v>
      </c>
      <c r="J1507">
        <v>24.47</v>
      </c>
      <c r="K1507" t="s">
        <v>25</v>
      </c>
      <c r="L1507">
        <v>2588920.13</v>
      </c>
      <c r="M1507">
        <v>0</v>
      </c>
      <c r="N1507">
        <v>2588920.13</v>
      </c>
      <c r="O1507">
        <v>105799.76011442582</v>
      </c>
      <c r="P1507">
        <v>538340</v>
      </c>
      <c r="Q1507">
        <v>2050580.13</v>
      </c>
      <c r="R1507">
        <v>83799.760114425822</v>
      </c>
      <c r="S1507" t="s">
        <v>65</v>
      </c>
      <c r="T1507" t="s">
        <v>717</v>
      </c>
      <c r="U1507" t="s">
        <v>717</v>
      </c>
      <c r="V1507" t="s">
        <v>4131</v>
      </c>
      <c r="W1507">
        <v>44823</v>
      </c>
      <c r="X1507" t="s">
        <v>6915</v>
      </c>
      <c r="Y1507" t="s">
        <v>6</v>
      </c>
      <c r="Z1507" t="s">
        <v>17</v>
      </c>
      <c r="AA1507" t="s">
        <v>717</v>
      </c>
      <c r="AB1507" t="s">
        <v>2509</v>
      </c>
      <c r="AC1507" t="s">
        <v>2571</v>
      </c>
      <c r="AD1507" t="s">
        <v>717</v>
      </c>
      <c r="AE1507" t="s">
        <v>6916</v>
      </c>
      <c r="AF1507" t="s">
        <v>6917</v>
      </c>
      <c r="AG1507" t="s">
        <v>6918</v>
      </c>
      <c r="AH1507" t="s">
        <v>2615</v>
      </c>
      <c r="AI1507" t="s">
        <v>2552</v>
      </c>
      <c r="AJ1507" t="s">
        <v>2895</v>
      </c>
      <c r="AK1507" t="s">
        <v>63</v>
      </c>
      <c r="AL1507" t="s">
        <v>16</v>
      </c>
      <c r="AM1507" t="s">
        <v>10</v>
      </c>
      <c r="AN1507" t="s">
        <v>6708</v>
      </c>
    </row>
    <row r="1508" spans="1:40" hidden="1">
      <c r="A1508">
        <v>1506</v>
      </c>
      <c r="B1508">
        <v>27</v>
      </c>
      <c r="C1508" s="58">
        <v>44825</v>
      </c>
      <c r="D1508" t="s">
        <v>27</v>
      </c>
      <c r="E1508" t="s">
        <v>5079</v>
      </c>
      <c r="F1508">
        <v>3</v>
      </c>
      <c r="G1508">
        <v>22</v>
      </c>
      <c r="H1508">
        <v>809</v>
      </c>
      <c r="I1508">
        <v>0</v>
      </c>
      <c r="J1508">
        <v>24.37</v>
      </c>
      <c r="K1508" t="s">
        <v>15</v>
      </c>
      <c r="L1508">
        <v>2242268.9</v>
      </c>
      <c r="M1508">
        <v>0</v>
      </c>
      <c r="N1508">
        <v>2242268.9</v>
      </c>
      <c r="O1508">
        <v>92009.392695937626</v>
      </c>
      <c r="P1508">
        <v>182775</v>
      </c>
      <c r="Q1508">
        <v>2059493.9</v>
      </c>
      <c r="R1508">
        <v>84509.392695937626</v>
      </c>
      <c r="S1508" t="s">
        <v>65</v>
      </c>
      <c r="T1508" t="s">
        <v>3309</v>
      </c>
      <c r="U1508">
        <v>55555</v>
      </c>
      <c r="V1508" t="s">
        <v>4131</v>
      </c>
      <c r="W1508">
        <v>44817</v>
      </c>
      <c r="X1508" t="s">
        <v>6919</v>
      </c>
      <c r="Y1508" t="s">
        <v>6</v>
      </c>
      <c r="Z1508" t="s">
        <v>17</v>
      </c>
      <c r="AA1508" t="s">
        <v>717</v>
      </c>
      <c r="AB1508" t="s">
        <v>2509</v>
      </c>
      <c r="AC1508" t="s">
        <v>2571</v>
      </c>
      <c r="AD1508" t="s">
        <v>717</v>
      </c>
      <c r="AE1508" t="s">
        <v>6920</v>
      </c>
      <c r="AF1508" t="s">
        <v>6921</v>
      </c>
      <c r="AG1508" t="s">
        <v>6922</v>
      </c>
      <c r="AH1508" t="s">
        <v>2615</v>
      </c>
      <c r="AI1508" t="s">
        <v>2747</v>
      </c>
      <c r="AJ1508" t="s">
        <v>2895</v>
      </c>
      <c r="AK1508" t="s">
        <v>73</v>
      </c>
      <c r="AL1508" t="s">
        <v>22</v>
      </c>
      <c r="AM1508" t="s">
        <v>10</v>
      </c>
      <c r="AN1508" t="s">
        <v>6708</v>
      </c>
    </row>
    <row r="1509" spans="1:40" hidden="1">
      <c r="A1509">
        <v>1507</v>
      </c>
      <c r="B1509">
        <v>28</v>
      </c>
      <c r="C1509" s="58">
        <v>44826</v>
      </c>
      <c r="D1509" t="s">
        <v>7</v>
      </c>
      <c r="E1509" t="s">
        <v>2581</v>
      </c>
      <c r="F1509">
        <v>4</v>
      </c>
      <c r="G1509">
        <v>16</v>
      </c>
      <c r="H1509">
        <v>342</v>
      </c>
      <c r="I1509">
        <v>2</v>
      </c>
      <c r="J1509">
        <v>58.55</v>
      </c>
      <c r="K1509" t="s">
        <v>9</v>
      </c>
      <c r="L1509">
        <v>4219766.42</v>
      </c>
      <c r="M1509">
        <v>0</v>
      </c>
      <c r="N1509">
        <v>4219766.42</v>
      </c>
      <c r="O1509">
        <v>72071.160034158835</v>
      </c>
      <c r="P1509">
        <v>0</v>
      </c>
      <c r="Q1509">
        <v>4219766.42</v>
      </c>
      <c r="R1509">
        <v>72071.160034158835</v>
      </c>
      <c r="S1509" t="s">
        <v>130</v>
      </c>
      <c r="T1509" t="s">
        <v>717</v>
      </c>
      <c r="U1509" t="s">
        <v>717</v>
      </c>
      <c r="V1509" t="s">
        <v>717</v>
      </c>
      <c r="W1509">
        <v>44821</v>
      </c>
      <c r="X1509" t="s">
        <v>6923</v>
      </c>
      <c r="Y1509" t="s">
        <v>6</v>
      </c>
      <c r="Z1509" t="s">
        <v>17</v>
      </c>
      <c r="AA1509" t="s">
        <v>717</v>
      </c>
      <c r="AB1509" t="s">
        <v>2509</v>
      </c>
      <c r="AC1509" t="s">
        <v>717</v>
      </c>
      <c r="AD1509" t="s">
        <v>717</v>
      </c>
      <c r="AE1509" t="s">
        <v>6924</v>
      </c>
      <c r="AF1509" t="s">
        <v>6925</v>
      </c>
      <c r="AG1509" t="s">
        <v>6926</v>
      </c>
      <c r="AH1509" t="s">
        <v>2191</v>
      </c>
      <c r="AI1509" t="s">
        <v>2538</v>
      </c>
      <c r="AJ1509" t="s">
        <v>2514</v>
      </c>
      <c r="AK1509" t="s">
        <v>63</v>
      </c>
      <c r="AL1509" t="s">
        <v>717</v>
      </c>
      <c r="AM1509" t="s">
        <v>10</v>
      </c>
      <c r="AN1509" t="s">
        <v>717</v>
      </c>
    </row>
    <row r="1510" spans="1:40" hidden="1">
      <c r="A1510">
        <v>1508</v>
      </c>
      <c r="B1510">
        <v>29</v>
      </c>
      <c r="C1510" s="58">
        <v>44826</v>
      </c>
      <c r="D1510" t="s">
        <v>27</v>
      </c>
      <c r="E1510" t="s">
        <v>2515</v>
      </c>
      <c r="F1510">
        <v>4</v>
      </c>
      <c r="G1510">
        <v>3</v>
      </c>
      <c r="H1510">
        <v>13</v>
      </c>
      <c r="I1510">
        <v>0</v>
      </c>
      <c r="J1510">
        <v>24.39</v>
      </c>
      <c r="K1510" t="s">
        <v>15</v>
      </c>
      <c r="L1510">
        <v>2288411.9900000002</v>
      </c>
      <c r="M1510">
        <v>0</v>
      </c>
      <c r="N1510">
        <v>2288411.9900000002</v>
      </c>
      <c r="O1510">
        <v>93825.829848298483</v>
      </c>
      <c r="P1510">
        <v>182925</v>
      </c>
      <c r="Q1510">
        <v>2105486.9900000002</v>
      </c>
      <c r="R1510">
        <v>86325.829848298497</v>
      </c>
      <c r="S1510" t="s">
        <v>65</v>
      </c>
      <c r="T1510" t="s">
        <v>717</v>
      </c>
      <c r="U1510" t="s">
        <v>717</v>
      </c>
      <c r="V1510" t="s">
        <v>4131</v>
      </c>
      <c r="W1510">
        <v>44824</v>
      </c>
      <c r="X1510" t="s">
        <v>6927</v>
      </c>
      <c r="Y1510" t="s">
        <v>6</v>
      </c>
      <c r="Z1510" t="s">
        <v>17</v>
      </c>
      <c r="AA1510" t="s">
        <v>717</v>
      </c>
      <c r="AB1510" t="s">
        <v>2509</v>
      </c>
      <c r="AC1510" t="s">
        <v>2571</v>
      </c>
      <c r="AD1510" t="s">
        <v>717</v>
      </c>
      <c r="AE1510" t="s">
        <v>6928</v>
      </c>
      <c r="AF1510" t="s">
        <v>6929</v>
      </c>
      <c r="AG1510" t="s">
        <v>6930</v>
      </c>
      <c r="AH1510" t="s">
        <v>2191</v>
      </c>
      <c r="AI1510" t="s">
        <v>2552</v>
      </c>
      <c r="AJ1510" t="s">
        <v>2514</v>
      </c>
      <c r="AK1510" t="s">
        <v>77</v>
      </c>
      <c r="AL1510" t="s">
        <v>16</v>
      </c>
      <c r="AM1510" t="s">
        <v>10</v>
      </c>
      <c r="AN1510" t="s">
        <v>6708</v>
      </c>
    </row>
    <row r="1511" spans="1:40" hidden="1">
      <c r="A1511">
        <v>1509</v>
      </c>
      <c r="B1511">
        <v>30</v>
      </c>
      <c r="C1511" s="58">
        <v>44826</v>
      </c>
      <c r="D1511" t="s">
        <v>27</v>
      </c>
      <c r="E1511" t="s">
        <v>2581</v>
      </c>
      <c r="F1511">
        <v>5</v>
      </c>
      <c r="G1511">
        <v>4</v>
      </c>
      <c r="H1511">
        <v>412</v>
      </c>
      <c r="I1511">
        <v>0</v>
      </c>
      <c r="J1511">
        <v>23.63</v>
      </c>
      <c r="K1511" t="s">
        <v>9</v>
      </c>
      <c r="L1511">
        <v>2051744.69</v>
      </c>
      <c r="M1511">
        <v>0</v>
      </c>
      <c r="N1511">
        <v>2051744.69</v>
      </c>
      <c r="O1511">
        <v>86827.959796868396</v>
      </c>
      <c r="P1511">
        <v>0</v>
      </c>
      <c r="Q1511">
        <v>2051744.69</v>
      </c>
      <c r="R1511">
        <v>86827.959796868396</v>
      </c>
      <c r="S1511" t="s">
        <v>65</v>
      </c>
      <c r="T1511" t="s">
        <v>717</v>
      </c>
      <c r="U1511" t="s">
        <v>717</v>
      </c>
      <c r="V1511" t="s">
        <v>4131</v>
      </c>
      <c r="W1511">
        <v>44825</v>
      </c>
      <c r="X1511" t="s">
        <v>6931</v>
      </c>
      <c r="Y1511" t="s">
        <v>6</v>
      </c>
      <c r="Z1511" t="s">
        <v>17</v>
      </c>
      <c r="AA1511" t="s">
        <v>717</v>
      </c>
      <c r="AB1511" t="s">
        <v>2509</v>
      </c>
      <c r="AC1511" t="s">
        <v>2571</v>
      </c>
      <c r="AD1511" t="s">
        <v>717</v>
      </c>
      <c r="AE1511" t="s">
        <v>6932</v>
      </c>
      <c r="AF1511" t="s">
        <v>6933</v>
      </c>
      <c r="AG1511" t="s">
        <v>6934</v>
      </c>
      <c r="AH1511" t="s">
        <v>2616</v>
      </c>
      <c r="AI1511" t="s">
        <v>2552</v>
      </c>
      <c r="AJ1511" t="s">
        <v>2895</v>
      </c>
      <c r="AK1511" t="s">
        <v>73</v>
      </c>
      <c r="AL1511" t="s">
        <v>22</v>
      </c>
      <c r="AM1511" t="s">
        <v>10</v>
      </c>
      <c r="AN1511" t="s">
        <v>6708</v>
      </c>
    </row>
    <row r="1512" spans="1:40" hidden="1">
      <c r="A1512">
        <v>1510</v>
      </c>
      <c r="B1512">
        <v>31</v>
      </c>
      <c r="C1512" s="58">
        <v>44827</v>
      </c>
      <c r="D1512" t="s">
        <v>27</v>
      </c>
      <c r="E1512" t="s">
        <v>2515</v>
      </c>
      <c r="F1512">
        <v>4</v>
      </c>
      <c r="G1512">
        <v>19</v>
      </c>
      <c r="H1512">
        <v>157</v>
      </c>
      <c r="I1512">
        <v>0</v>
      </c>
      <c r="J1512">
        <v>24.39</v>
      </c>
      <c r="K1512" t="s">
        <v>25</v>
      </c>
      <c r="L1512">
        <v>2641417</v>
      </c>
      <c r="M1512">
        <v>0</v>
      </c>
      <c r="N1512">
        <v>2641417</v>
      </c>
      <c r="O1512">
        <v>108299.17999179992</v>
      </c>
      <c r="P1512">
        <v>536580.00000000047</v>
      </c>
      <c r="Q1512">
        <v>2104836.9999999995</v>
      </c>
      <c r="R1512">
        <v>86299.179991799901</v>
      </c>
      <c r="S1512" t="s">
        <v>65</v>
      </c>
      <c r="T1512" t="s">
        <v>717</v>
      </c>
      <c r="U1512" t="s">
        <v>717</v>
      </c>
      <c r="V1512" t="s">
        <v>6312</v>
      </c>
      <c r="W1512">
        <v>44823</v>
      </c>
      <c r="X1512" t="s">
        <v>6935</v>
      </c>
      <c r="Y1512" t="s">
        <v>6</v>
      </c>
      <c r="Z1512" t="s">
        <v>17</v>
      </c>
      <c r="AA1512" t="s">
        <v>717</v>
      </c>
      <c r="AB1512" t="s">
        <v>2509</v>
      </c>
      <c r="AC1512" t="s">
        <v>2571</v>
      </c>
      <c r="AD1512" t="s">
        <v>717</v>
      </c>
      <c r="AE1512" t="s">
        <v>6936</v>
      </c>
      <c r="AF1512" t="s">
        <v>6937</v>
      </c>
      <c r="AG1512" t="s">
        <v>6938</v>
      </c>
      <c r="AH1512" t="s">
        <v>2615</v>
      </c>
      <c r="AI1512" t="s">
        <v>2872</v>
      </c>
      <c r="AJ1512" t="s">
        <v>2895</v>
      </c>
      <c r="AK1512" t="s">
        <v>63</v>
      </c>
      <c r="AL1512" t="s">
        <v>22</v>
      </c>
      <c r="AM1512" t="s">
        <v>10</v>
      </c>
      <c r="AN1512" t="s">
        <v>717</v>
      </c>
    </row>
    <row r="1513" spans="1:40" hidden="1">
      <c r="A1513">
        <v>1511</v>
      </c>
      <c r="B1513">
        <v>32</v>
      </c>
      <c r="C1513" s="58">
        <v>44827</v>
      </c>
      <c r="D1513" t="s">
        <v>27</v>
      </c>
      <c r="E1513" t="s">
        <v>5079</v>
      </c>
      <c r="F1513">
        <v>7</v>
      </c>
      <c r="G1513">
        <v>15</v>
      </c>
      <c r="H1513">
        <v>755</v>
      </c>
      <c r="I1513">
        <v>1</v>
      </c>
      <c r="J1513">
        <v>38.909999999999997</v>
      </c>
      <c r="K1513" t="s">
        <v>9</v>
      </c>
      <c r="L1513">
        <v>3238047.01</v>
      </c>
      <c r="M1513">
        <v>0</v>
      </c>
      <c r="N1513">
        <v>3238047.01</v>
      </c>
      <c r="O1513">
        <v>83218.890002570028</v>
      </c>
      <c r="P1513">
        <v>0</v>
      </c>
      <c r="Q1513">
        <v>3238047.01</v>
      </c>
      <c r="R1513">
        <v>83218.890002570028</v>
      </c>
      <c r="S1513" t="s">
        <v>65</v>
      </c>
      <c r="T1513" t="s">
        <v>717</v>
      </c>
      <c r="U1513" t="s">
        <v>717</v>
      </c>
      <c r="V1513" t="s">
        <v>4131</v>
      </c>
      <c r="W1513">
        <v>44825</v>
      </c>
      <c r="X1513" t="s">
        <v>6939</v>
      </c>
      <c r="Y1513" t="s">
        <v>6</v>
      </c>
      <c r="Z1513" t="s">
        <v>17</v>
      </c>
      <c r="AA1513" t="s">
        <v>717</v>
      </c>
      <c r="AB1513" t="s">
        <v>2509</v>
      </c>
      <c r="AC1513" t="s">
        <v>2571</v>
      </c>
      <c r="AD1513" t="s">
        <v>717</v>
      </c>
      <c r="AE1513" t="s">
        <v>6940</v>
      </c>
      <c r="AF1513" t="s">
        <v>6941</v>
      </c>
      <c r="AG1513" t="s">
        <v>6942</v>
      </c>
      <c r="AH1513" t="s">
        <v>2191</v>
      </c>
      <c r="AI1513" t="s">
        <v>2552</v>
      </c>
      <c r="AJ1513" t="s">
        <v>2514</v>
      </c>
      <c r="AK1513" t="s">
        <v>73</v>
      </c>
      <c r="AL1513" t="s">
        <v>22</v>
      </c>
      <c r="AM1513" t="s">
        <v>10</v>
      </c>
      <c r="AN1513" t="s">
        <v>6708</v>
      </c>
    </row>
    <row r="1514" spans="1:40" hidden="1">
      <c r="A1514">
        <v>1512</v>
      </c>
      <c r="B1514">
        <v>33</v>
      </c>
      <c r="C1514" s="58">
        <v>44827</v>
      </c>
      <c r="D1514" t="s">
        <v>27</v>
      </c>
      <c r="E1514" t="s">
        <v>5079</v>
      </c>
      <c r="F1514">
        <v>7</v>
      </c>
      <c r="G1514">
        <v>16</v>
      </c>
      <c r="H1514">
        <v>764</v>
      </c>
      <c r="I1514">
        <v>1</v>
      </c>
      <c r="J1514">
        <v>38.909999999999997</v>
      </c>
      <c r="K1514" t="s">
        <v>15</v>
      </c>
      <c r="L1514">
        <v>3320865.39</v>
      </c>
      <c r="M1514">
        <v>0</v>
      </c>
      <c r="N1514">
        <v>3320865.39</v>
      </c>
      <c r="O1514">
        <v>85347.350038550518</v>
      </c>
      <c r="P1514">
        <v>291825.00000000047</v>
      </c>
      <c r="Q1514">
        <v>3029040.3899999997</v>
      </c>
      <c r="R1514">
        <v>77847.350038550503</v>
      </c>
      <c r="S1514" t="s">
        <v>65</v>
      </c>
      <c r="T1514" t="s">
        <v>717</v>
      </c>
      <c r="U1514" t="s">
        <v>717</v>
      </c>
      <c r="V1514" t="s">
        <v>4131</v>
      </c>
      <c r="W1514">
        <v>44826</v>
      </c>
      <c r="X1514" t="s">
        <v>6943</v>
      </c>
      <c r="Y1514" t="s">
        <v>6</v>
      </c>
      <c r="Z1514" t="s">
        <v>17</v>
      </c>
      <c r="AA1514" t="s">
        <v>717</v>
      </c>
      <c r="AB1514" t="s">
        <v>2509</v>
      </c>
      <c r="AC1514" t="s">
        <v>2571</v>
      </c>
      <c r="AD1514" t="s">
        <v>717</v>
      </c>
      <c r="AE1514" t="s">
        <v>6944</v>
      </c>
      <c r="AF1514" t="s">
        <v>6945</v>
      </c>
      <c r="AG1514" t="s">
        <v>6946</v>
      </c>
      <c r="AH1514" t="s">
        <v>2191</v>
      </c>
      <c r="AI1514" t="s">
        <v>2552</v>
      </c>
      <c r="AJ1514" t="s">
        <v>2514</v>
      </c>
      <c r="AK1514" t="s">
        <v>63</v>
      </c>
      <c r="AL1514" t="s">
        <v>22</v>
      </c>
      <c r="AM1514" t="s">
        <v>10</v>
      </c>
      <c r="AN1514" t="s">
        <v>6708</v>
      </c>
    </row>
    <row r="1515" spans="1:40" hidden="1">
      <c r="A1515">
        <v>1513</v>
      </c>
      <c r="B1515">
        <v>34</v>
      </c>
      <c r="C1515" s="58">
        <v>44827</v>
      </c>
      <c r="D1515" t="s">
        <v>27</v>
      </c>
      <c r="E1515" t="s">
        <v>2515</v>
      </c>
      <c r="F1515">
        <v>2</v>
      </c>
      <c r="G1515">
        <v>20</v>
      </c>
      <c r="H1515">
        <v>164</v>
      </c>
      <c r="I1515">
        <v>1</v>
      </c>
      <c r="J1515">
        <v>37.94</v>
      </c>
      <c r="K1515" t="s">
        <v>9</v>
      </c>
      <c r="L1515">
        <v>3159617.78</v>
      </c>
      <c r="M1515">
        <v>0</v>
      </c>
      <c r="N1515">
        <v>3159617.78</v>
      </c>
      <c r="O1515">
        <v>83279.329994728512</v>
      </c>
      <c r="P1515">
        <v>0</v>
      </c>
      <c r="Q1515">
        <v>3159617.78</v>
      </c>
      <c r="R1515">
        <v>83279.329994728512</v>
      </c>
      <c r="S1515" t="s">
        <v>65</v>
      </c>
      <c r="T1515" t="s">
        <v>717</v>
      </c>
      <c r="U1515" t="s">
        <v>717</v>
      </c>
      <c r="V1515" t="s">
        <v>4131</v>
      </c>
      <c r="W1515">
        <v>44819</v>
      </c>
      <c r="X1515" t="s">
        <v>6947</v>
      </c>
      <c r="Y1515" t="s">
        <v>6</v>
      </c>
      <c r="Z1515" t="s">
        <v>17</v>
      </c>
      <c r="AA1515" t="s">
        <v>717</v>
      </c>
      <c r="AB1515" t="s">
        <v>2509</v>
      </c>
      <c r="AC1515" t="s">
        <v>2571</v>
      </c>
      <c r="AD1515" t="s">
        <v>717</v>
      </c>
      <c r="AE1515" t="s">
        <v>6948</v>
      </c>
      <c r="AF1515" t="s">
        <v>6949</v>
      </c>
      <c r="AG1515" t="s">
        <v>6950</v>
      </c>
      <c r="AH1515" t="s">
        <v>2191</v>
      </c>
      <c r="AI1515" t="s">
        <v>6951</v>
      </c>
      <c r="AJ1515" t="s">
        <v>2514</v>
      </c>
      <c r="AK1515" t="s">
        <v>77</v>
      </c>
      <c r="AL1515" t="s">
        <v>16</v>
      </c>
      <c r="AM1515" t="s">
        <v>10</v>
      </c>
      <c r="AN1515" t="s">
        <v>6708</v>
      </c>
    </row>
    <row r="1516" spans="1:40" hidden="1">
      <c r="A1516">
        <v>1514</v>
      </c>
      <c r="B1516">
        <v>35</v>
      </c>
      <c r="C1516" s="58">
        <v>44831</v>
      </c>
      <c r="D1516" t="s">
        <v>27</v>
      </c>
      <c r="E1516" t="s">
        <v>5079</v>
      </c>
      <c r="F1516">
        <v>5</v>
      </c>
      <c r="G1516">
        <v>17</v>
      </c>
      <c r="H1516">
        <v>771</v>
      </c>
      <c r="I1516">
        <v>2</v>
      </c>
      <c r="J1516">
        <v>61.96</v>
      </c>
      <c r="K1516" t="s">
        <v>9</v>
      </c>
      <c r="L1516">
        <v>4568347.1500000004</v>
      </c>
      <c r="M1516">
        <v>0</v>
      </c>
      <c r="N1516">
        <v>4568347.1500000004</v>
      </c>
      <c r="O1516">
        <v>73730.586668818592</v>
      </c>
      <c r="P1516">
        <v>0</v>
      </c>
      <c r="Q1516">
        <v>4568347.1500000004</v>
      </c>
      <c r="R1516">
        <v>73730.586668818592</v>
      </c>
      <c r="S1516" t="s">
        <v>65</v>
      </c>
      <c r="T1516" t="s">
        <v>3268</v>
      </c>
      <c r="U1516">
        <v>120000</v>
      </c>
      <c r="V1516" t="s">
        <v>4131</v>
      </c>
      <c r="W1516">
        <v>44819</v>
      </c>
      <c r="X1516" t="s">
        <v>6952</v>
      </c>
      <c r="Y1516" t="s">
        <v>6</v>
      </c>
      <c r="Z1516" t="s">
        <v>17</v>
      </c>
      <c r="AA1516" t="s">
        <v>717</v>
      </c>
      <c r="AB1516" t="s">
        <v>2509</v>
      </c>
      <c r="AC1516" t="s">
        <v>2571</v>
      </c>
      <c r="AD1516" t="s">
        <v>717</v>
      </c>
      <c r="AE1516" t="s">
        <v>6953</v>
      </c>
      <c r="AF1516" t="s">
        <v>6954</v>
      </c>
      <c r="AG1516" t="s">
        <v>6955</v>
      </c>
      <c r="AH1516" t="s">
        <v>2191</v>
      </c>
      <c r="AI1516" t="s">
        <v>2552</v>
      </c>
      <c r="AJ1516" t="s">
        <v>2514</v>
      </c>
      <c r="AK1516" t="s">
        <v>77</v>
      </c>
      <c r="AL1516" t="s">
        <v>16</v>
      </c>
      <c r="AM1516" t="s">
        <v>10</v>
      </c>
      <c r="AN1516" t="s">
        <v>717</v>
      </c>
    </row>
    <row r="1517" spans="1:40" hidden="1">
      <c r="A1517">
        <v>1515</v>
      </c>
      <c r="B1517">
        <v>36</v>
      </c>
      <c r="C1517" s="58">
        <v>44831</v>
      </c>
      <c r="D1517" t="s">
        <v>27</v>
      </c>
      <c r="E1517" t="s">
        <v>2515</v>
      </c>
      <c r="F1517">
        <v>6</v>
      </c>
      <c r="G1517">
        <v>22</v>
      </c>
      <c r="H1517">
        <v>186</v>
      </c>
      <c r="I1517">
        <v>2</v>
      </c>
      <c r="J1517">
        <v>54.67</v>
      </c>
      <c r="K1517" t="s">
        <v>15</v>
      </c>
      <c r="L1517">
        <v>4473352.5199999996</v>
      </c>
      <c r="M1517">
        <v>0</v>
      </c>
      <c r="N1517">
        <v>4473352.5199999996</v>
      </c>
      <c r="O1517">
        <v>81824.629961587692</v>
      </c>
      <c r="P1517">
        <v>410024.99999999953</v>
      </c>
      <c r="Q1517">
        <v>4063327.52</v>
      </c>
      <c r="R1517">
        <v>74324.629961587707</v>
      </c>
      <c r="S1517" t="s">
        <v>65</v>
      </c>
      <c r="T1517" t="s">
        <v>717</v>
      </c>
      <c r="U1517" t="s">
        <v>717</v>
      </c>
      <c r="V1517" t="s">
        <v>4131</v>
      </c>
      <c r="W1517">
        <v>44827</v>
      </c>
      <c r="X1517" t="s">
        <v>6956</v>
      </c>
      <c r="Y1517" t="s">
        <v>6</v>
      </c>
      <c r="Z1517" t="s">
        <v>17</v>
      </c>
      <c r="AA1517" t="s">
        <v>717</v>
      </c>
      <c r="AB1517" t="s">
        <v>2509</v>
      </c>
      <c r="AC1517" t="s">
        <v>2571</v>
      </c>
      <c r="AD1517" t="s">
        <v>717</v>
      </c>
      <c r="AE1517" t="s">
        <v>6957</v>
      </c>
      <c r="AF1517" t="s">
        <v>6958</v>
      </c>
      <c r="AG1517" t="s">
        <v>6959</v>
      </c>
      <c r="AH1517" t="s">
        <v>2615</v>
      </c>
      <c r="AI1517" t="s">
        <v>2552</v>
      </c>
      <c r="AJ1517" t="s">
        <v>2895</v>
      </c>
      <c r="AK1517" t="s">
        <v>77</v>
      </c>
      <c r="AL1517" t="s">
        <v>22</v>
      </c>
      <c r="AM1517" t="s">
        <v>10</v>
      </c>
      <c r="AN1517" t="s">
        <v>6708</v>
      </c>
    </row>
    <row r="1518" spans="1:40" hidden="1">
      <c r="A1518">
        <v>1516</v>
      </c>
      <c r="B1518">
        <v>37</v>
      </c>
      <c r="C1518" s="58">
        <v>44831</v>
      </c>
      <c r="D1518" t="s">
        <v>27</v>
      </c>
      <c r="E1518" t="s">
        <v>5079</v>
      </c>
      <c r="F1518">
        <v>3</v>
      </c>
      <c r="G1518">
        <v>11</v>
      </c>
      <c r="H1518">
        <v>715</v>
      </c>
      <c r="I1518">
        <v>2</v>
      </c>
      <c r="J1518">
        <v>56.33</v>
      </c>
      <c r="K1518" t="s">
        <v>25</v>
      </c>
      <c r="L1518">
        <v>5708818.4900000002</v>
      </c>
      <c r="M1518">
        <v>0</v>
      </c>
      <c r="N1518">
        <v>5708818.4900000002</v>
      </c>
      <c r="O1518">
        <v>101345.96999822475</v>
      </c>
      <c r="P1518">
        <v>1239260</v>
      </c>
      <c r="Q1518">
        <v>4469558.49</v>
      </c>
      <c r="R1518">
        <v>79345.969998224755</v>
      </c>
      <c r="S1518" t="s">
        <v>65</v>
      </c>
      <c r="T1518" t="s">
        <v>717</v>
      </c>
      <c r="U1518" t="s">
        <v>717</v>
      </c>
      <c r="V1518" t="s">
        <v>4131</v>
      </c>
      <c r="W1518">
        <v>44831</v>
      </c>
      <c r="X1518" t="s">
        <v>6960</v>
      </c>
      <c r="Y1518" t="s">
        <v>6</v>
      </c>
      <c r="Z1518" t="s">
        <v>17</v>
      </c>
      <c r="AA1518" t="s">
        <v>717</v>
      </c>
      <c r="AB1518" t="s">
        <v>2509</v>
      </c>
      <c r="AC1518" t="s">
        <v>2571</v>
      </c>
      <c r="AD1518" t="s">
        <v>717</v>
      </c>
      <c r="AE1518" t="s">
        <v>6961</v>
      </c>
      <c r="AF1518" t="s">
        <v>6962</v>
      </c>
      <c r="AG1518" t="s">
        <v>6963</v>
      </c>
      <c r="AH1518" t="s">
        <v>2615</v>
      </c>
      <c r="AI1518" t="s">
        <v>2552</v>
      </c>
      <c r="AJ1518" t="s">
        <v>2662</v>
      </c>
      <c r="AK1518" t="s">
        <v>73</v>
      </c>
      <c r="AL1518" t="s">
        <v>16</v>
      </c>
      <c r="AM1518" t="s">
        <v>10</v>
      </c>
      <c r="AN1518" t="s">
        <v>6708</v>
      </c>
    </row>
    <row r="1519" spans="1:40" hidden="1">
      <c r="A1519">
        <v>1517</v>
      </c>
      <c r="B1519">
        <v>38</v>
      </c>
      <c r="C1519" s="58">
        <v>44834</v>
      </c>
      <c r="D1519" t="s">
        <v>27</v>
      </c>
      <c r="E1519" t="s">
        <v>2515</v>
      </c>
      <c r="F1519">
        <v>9</v>
      </c>
      <c r="G1519">
        <v>19</v>
      </c>
      <c r="H1519">
        <v>162</v>
      </c>
      <c r="I1519">
        <v>1</v>
      </c>
      <c r="J1519">
        <v>37.94</v>
      </c>
      <c r="K1519" t="s">
        <v>25</v>
      </c>
      <c r="L1519">
        <v>3881077.61</v>
      </c>
      <c r="M1519">
        <v>0</v>
      </c>
      <c r="N1519">
        <v>3881077.61</v>
      </c>
      <c r="O1519">
        <v>102295.13995782816</v>
      </c>
      <c r="P1519">
        <v>834679.99999999814</v>
      </c>
      <c r="Q1519">
        <v>3046397.6100000017</v>
      </c>
      <c r="R1519">
        <v>80295.1399578282</v>
      </c>
      <c r="S1519" t="s">
        <v>65</v>
      </c>
      <c r="T1519" t="s">
        <v>717</v>
      </c>
      <c r="U1519" t="s">
        <v>717</v>
      </c>
      <c r="V1519" t="s">
        <v>4131</v>
      </c>
      <c r="W1519">
        <v>44811</v>
      </c>
      <c r="X1519" t="s">
        <v>6964</v>
      </c>
      <c r="Y1519" t="s">
        <v>6</v>
      </c>
      <c r="Z1519" t="s">
        <v>17</v>
      </c>
      <c r="AA1519" t="s">
        <v>6637</v>
      </c>
      <c r="AB1519" t="s">
        <v>2509</v>
      </c>
      <c r="AC1519" t="s">
        <v>2571</v>
      </c>
      <c r="AD1519" t="s">
        <v>717</v>
      </c>
      <c r="AE1519" t="s">
        <v>6965</v>
      </c>
      <c r="AF1519" t="s">
        <v>6966</v>
      </c>
      <c r="AG1519" t="s">
        <v>6967</v>
      </c>
      <c r="AH1519" t="s">
        <v>2616</v>
      </c>
      <c r="AI1519" t="s">
        <v>2552</v>
      </c>
      <c r="AJ1519" t="s">
        <v>2793</v>
      </c>
      <c r="AK1519" t="s">
        <v>73</v>
      </c>
      <c r="AL1519" t="s">
        <v>22</v>
      </c>
      <c r="AM1519" t="s">
        <v>10</v>
      </c>
      <c r="AN1519" t="s">
        <v>6708</v>
      </c>
    </row>
    <row r="1520" spans="1:40" hidden="1">
      <c r="A1520">
        <v>1518</v>
      </c>
      <c r="B1520">
        <v>39</v>
      </c>
      <c r="C1520" s="58">
        <v>44834</v>
      </c>
      <c r="D1520" t="s">
        <v>121</v>
      </c>
      <c r="E1520" t="s">
        <v>2515</v>
      </c>
      <c r="F1520">
        <v>6</v>
      </c>
      <c r="G1520">
        <v>13</v>
      </c>
      <c r="H1520">
        <v>83</v>
      </c>
      <c r="I1520">
        <v>2</v>
      </c>
      <c r="J1520">
        <v>61.6</v>
      </c>
      <c r="K1520" t="s">
        <v>15</v>
      </c>
      <c r="L1520">
        <v>5346880</v>
      </c>
      <c r="M1520">
        <v>0</v>
      </c>
      <c r="N1520">
        <v>5346880</v>
      </c>
      <c r="O1520">
        <v>86800</v>
      </c>
      <c r="P1520">
        <v>338800</v>
      </c>
      <c r="Q1520">
        <v>5008080</v>
      </c>
      <c r="R1520">
        <v>81300</v>
      </c>
      <c r="S1520" t="s">
        <v>65</v>
      </c>
      <c r="T1520" t="s">
        <v>5386</v>
      </c>
      <c r="U1520">
        <v>732387.04</v>
      </c>
      <c r="V1520" t="s">
        <v>4131</v>
      </c>
      <c r="W1520">
        <v>44814</v>
      </c>
      <c r="X1520" t="s">
        <v>6968</v>
      </c>
      <c r="Y1520" t="s">
        <v>6</v>
      </c>
      <c r="Z1520" t="s">
        <v>17</v>
      </c>
      <c r="AA1520" t="s">
        <v>6637</v>
      </c>
      <c r="AB1520" t="s">
        <v>326</v>
      </c>
      <c r="AC1520" t="s">
        <v>2571</v>
      </c>
      <c r="AD1520" t="s">
        <v>717</v>
      </c>
      <c r="AE1520" t="s">
        <v>6969</v>
      </c>
      <c r="AF1520" t="s">
        <v>6970</v>
      </c>
      <c r="AG1520" t="s">
        <v>6971</v>
      </c>
      <c r="AH1520" t="s">
        <v>2615</v>
      </c>
      <c r="AI1520" t="s">
        <v>2552</v>
      </c>
      <c r="AJ1520" t="s">
        <v>2662</v>
      </c>
      <c r="AK1520" t="s">
        <v>77</v>
      </c>
      <c r="AL1520" t="s">
        <v>16</v>
      </c>
      <c r="AM1520" t="s">
        <v>10</v>
      </c>
      <c r="AN1520" t="s">
        <v>6972</v>
      </c>
    </row>
    <row r="1521" spans="1:40" hidden="1">
      <c r="A1521">
        <v>1519</v>
      </c>
      <c r="B1521">
        <v>40</v>
      </c>
      <c r="C1521" s="58">
        <v>44834</v>
      </c>
      <c r="D1521" t="s">
        <v>27</v>
      </c>
      <c r="E1521" t="s">
        <v>2515</v>
      </c>
      <c r="F1521">
        <v>5</v>
      </c>
      <c r="G1521">
        <v>2</v>
      </c>
      <c r="H1521">
        <v>5</v>
      </c>
      <c r="I1521">
        <v>0</v>
      </c>
      <c r="J1521">
        <v>24.47</v>
      </c>
      <c r="K1521" t="s">
        <v>9</v>
      </c>
      <c r="L1521">
        <v>2112363.7000000002</v>
      </c>
      <c r="M1521">
        <v>0</v>
      </c>
      <c r="N1521">
        <v>2112363.7000000002</v>
      </c>
      <c r="O1521">
        <v>86324.630159378838</v>
      </c>
      <c r="P1521">
        <v>0</v>
      </c>
      <c r="Q1521">
        <v>2112363.7000000002</v>
      </c>
      <c r="R1521">
        <v>86324.630159378838</v>
      </c>
      <c r="S1521" t="s">
        <v>65</v>
      </c>
      <c r="T1521" t="s">
        <v>717</v>
      </c>
      <c r="U1521" t="s">
        <v>717</v>
      </c>
      <c r="V1521" t="s">
        <v>4131</v>
      </c>
      <c r="W1521">
        <v>44830</v>
      </c>
      <c r="X1521" t="s">
        <v>6973</v>
      </c>
      <c r="Y1521" t="s">
        <v>6</v>
      </c>
      <c r="Z1521" t="s">
        <v>17</v>
      </c>
      <c r="AA1521" t="s">
        <v>6637</v>
      </c>
      <c r="AB1521" t="s">
        <v>2509</v>
      </c>
      <c r="AC1521" t="s">
        <v>2571</v>
      </c>
      <c r="AD1521" t="s">
        <v>717</v>
      </c>
      <c r="AE1521" t="s">
        <v>6974</v>
      </c>
      <c r="AF1521" t="s">
        <v>6975</v>
      </c>
      <c r="AG1521" t="s">
        <v>6976</v>
      </c>
      <c r="AH1521" t="s">
        <v>65</v>
      </c>
      <c r="AI1521" t="s">
        <v>5056</v>
      </c>
      <c r="AJ1521" t="s">
        <v>6169</v>
      </c>
      <c r="AK1521" t="s">
        <v>73</v>
      </c>
      <c r="AL1521" t="s">
        <v>22</v>
      </c>
      <c r="AM1521" t="s">
        <v>10</v>
      </c>
      <c r="AN1521" t="s">
        <v>6708</v>
      </c>
    </row>
    <row r="1522" spans="1:40" hidden="1">
      <c r="A1522">
        <v>1520</v>
      </c>
      <c r="B1522">
        <v>1</v>
      </c>
      <c r="C1522" s="58">
        <v>44835</v>
      </c>
      <c r="D1522" t="s">
        <v>121</v>
      </c>
      <c r="E1522" t="s">
        <v>2515</v>
      </c>
      <c r="F1522">
        <v>6</v>
      </c>
      <c r="G1522">
        <v>17</v>
      </c>
      <c r="H1522">
        <v>111</v>
      </c>
      <c r="I1522">
        <v>2</v>
      </c>
      <c r="J1522">
        <v>61.8</v>
      </c>
      <c r="K1522" t="s">
        <v>25</v>
      </c>
      <c r="L1522">
        <v>5125500</v>
      </c>
      <c r="M1522">
        <v>0</v>
      </c>
      <c r="N1522">
        <v>5125500</v>
      </c>
      <c r="O1522">
        <v>82936.893203883505</v>
      </c>
      <c r="P1522">
        <v>0</v>
      </c>
      <c r="Q1522">
        <v>5125500</v>
      </c>
      <c r="R1522">
        <v>82936.893203883505</v>
      </c>
      <c r="S1522" t="s">
        <v>130</v>
      </c>
      <c r="T1522" t="s">
        <v>717</v>
      </c>
      <c r="U1522" t="s">
        <v>717</v>
      </c>
      <c r="V1522" t="s">
        <v>717</v>
      </c>
      <c r="W1522">
        <v>44827</v>
      </c>
      <c r="X1522" t="s">
        <v>6977</v>
      </c>
      <c r="Y1522" t="s">
        <v>6642</v>
      </c>
      <c r="Z1522" t="s">
        <v>17</v>
      </c>
      <c r="AA1522" t="s">
        <v>717</v>
      </c>
      <c r="AB1522" t="s">
        <v>326</v>
      </c>
      <c r="AC1522" t="s">
        <v>717</v>
      </c>
      <c r="AD1522" t="s">
        <v>717</v>
      </c>
      <c r="AE1522" t="s">
        <v>6643</v>
      </c>
      <c r="AF1522" t="s">
        <v>717</v>
      </c>
      <c r="AG1522" t="s">
        <v>717</v>
      </c>
      <c r="AH1522" t="s">
        <v>717</v>
      </c>
      <c r="AI1522" t="s">
        <v>6644</v>
      </c>
      <c r="AJ1522" t="s">
        <v>6645</v>
      </c>
      <c r="AK1522" t="s">
        <v>29</v>
      </c>
      <c r="AL1522" t="s">
        <v>717</v>
      </c>
      <c r="AM1522" t="s">
        <v>10</v>
      </c>
      <c r="AN1522" t="s">
        <v>717</v>
      </c>
    </row>
    <row r="1523" spans="1:40" hidden="1">
      <c r="A1523">
        <v>1521</v>
      </c>
      <c r="B1523">
        <v>2</v>
      </c>
      <c r="C1523" s="58">
        <v>44835</v>
      </c>
      <c r="D1523" t="s">
        <v>121</v>
      </c>
      <c r="E1523" t="s">
        <v>2515</v>
      </c>
      <c r="F1523">
        <v>7</v>
      </c>
      <c r="G1523">
        <v>17</v>
      </c>
      <c r="H1523">
        <v>112</v>
      </c>
      <c r="I1523">
        <v>2</v>
      </c>
      <c r="J1523">
        <v>59.8</v>
      </c>
      <c r="K1523" t="s">
        <v>25</v>
      </c>
      <c r="L1523">
        <v>4955500</v>
      </c>
      <c r="M1523">
        <v>0</v>
      </c>
      <c r="N1523">
        <v>4955500</v>
      </c>
      <c r="O1523">
        <v>82867.892976588628</v>
      </c>
      <c r="P1523">
        <v>0</v>
      </c>
      <c r="Q1523">
        <v>4955500</v>
      </c>
      <c r="R1523">
        <v>82867.892976588628</v>
      </c>
      <c r="S1523" t="s">
        <v>130</v>
      </c>
      <c r="T1523" t="s">
        <v>717</v>
      </c>
      <c r="U1523" t="s">
        <v>717</v>
      </c>
      <c r="V1523" t="s">
        <v>717</v>
      </c>
      <c r="W1523">
        <v>44827</v>
      </c>
      <c r="X1523" t="s">
        <v>6977</v>
      </c>
      <c r="Y1523" t="s">
        <v>6642</v>
      </c>
      <c r="Z1523" t="s">
        <v>17</v>
      </c>
      <c r="AA1523" t="s">
        <v>717</v>
      </c>
      <c r="AB1523" t="s">
        <v>326</v>
      </c>
      <c r="AC1523" t="s">
        <v>717</v>
      </c>
      <c r="AD1523" t="s">
        <v>717</v>
      </c>
      <c r="AE1523" t="s">
        <v>6643</v>
      </c>
      <c r="AF1523" t="s">
        <v>717</v>
      </c>
      <c r="AG1523" t="s">
        <v>717</v>
      </c>
      <c r="AH1523" t="s">
        <v>717</v>
      </c>
      <c r="AI1523" t="s">
        <v>6644</v>
      </c>
      <c r="AJ1523" t="s">
        <v>6645</v>
      </c>
      <c r="AK1523" t="s">
        <v>29</v>
      </c>
      <c r="AL1523" t="s">
        <v>717</v>
      </c>
      <c r="AM1523" t="s">
        <v>10</v>
      </c>
      <c r="AN1523" t="s">
        <v>717</v>
      </c>
    </row>
    <row r="1524" spans="1:40" hidden="1">
      <c r="A1524">
        <v>1522</v>
      </c>
      <c r="B1524">
        <v>3</v>
      </c>
      <c r="C1524" s="58">
        <v>44835</v>
      </c>
      <c r="D1524" t="s">
        <v>121</v>
      </c>
      <c r="E1524" t="s">
        <v>2515</v>
      </c>
      <c r="F1524">
        <v>6</v>
      </c>
      <c r="G1524">
        <v>18</v>
      </c>
      <c r="H1524">
        <v>118</v>
      </c>
      <c r="I1524">
        <v>2</v>
      </c>
      <c r="J1524">
        <v>61.7</v>
      </c>
      <c r="K1524" t="s">
        <v>25</v>
      </c>
      <c r="L1524">
        <v>5117000</v>
      </c>
      <c r="M1524">
        <v>0</v>
      </c>
      <c r="N1524">
        <v>5117000</v>
      </c>
      <c r="O1524">
        <v>82933.549432739062</v>
      </c>
      <c r="P1524">
        <v>0</v>
      </c>
      <c r="Q1524">
        <v>5117000</v>
      </c>
      <c r="R1524">
        <v>82933.549432739062</v>
      </c>
      <c r="S1524" t="s">
        <v>130</v>
      </c>
      <c r="T1524" t="s">
        <v>717</v>
      </c>
      <c r="U1524" t="s">
        <v>717</v>
      </c>
      <c r="V1524" t="s">
        <v>717</v>
      </c>
      <c r="W1524">
        <v>44827</v>
      </c>
      <c r="X1524" t="s">
        <v>6977</v>
      </c>
      <c r="Y1524" t="s">
        <v>6642</v>
      </c>
      <c r="Z1524" t="s">
        <v>17</v>
      </c>
      <c r="AA1524" t="s">
        <v>717</v>
      </c>
      <c r="AB1524" t="s">
        <v>326</v>
      </c>
      <c r="AC1524" t="s">
        <v>717</v>
      </c>
      <c r="AD1524" t="s">
        <v>717</v>
      </c>
      <c r="AE1524" t="s">
        <v>6643</v>
      </c>
      <c r="AF1524" t="s">
        <v>717</v>
      </c>
      <c r="AG1524" t="s">
        <v>717</v>
      </c>
      <c r="AH1524" t="s">
        <v>717</v>
      </c>
      <c r="AI1524" t="s">
        <v>6644</v>
      </c>
      <c r="AJ1524" t="s">
        <v>6645</v>
      </c>
      <c r="AK1524" t="s">
        <v>29</v>
      </c>
      <c r="AL1524" t="s">
        <v>717</v>
      </c>
      <c r="AM1524" t="s">
        <v>10</v>
      </c>
      <c r="AN1524" t="s">
        <v>717</v>
      </c>
    </row>
    <row r="1525" spans="1:40" hidden="1">
      <c r="A1525">
        <v>1523</v>
      </c>
      <c r="B1525">
        <v>4</v>
      </c>
      <c r="C1525" s="58">
        <v>44835</v>
      </c>
      <c r="D1525" t="s">
        <v>121</v>
      </c>
      <c r="E1525" t="s">
        <v>2515</v>
      </c>
      <c r="F1525">
        <v>7</v>
      </c>
      <c r="G1525">
        <v>19</v>
      </c>
      <c r="H1525">
        <v>126</v>
      </c>
      <c r="I1525">
        <v>2</v>
      </c>
      <c r="J1525">
        <v>59.6</v>
      </c>
      <c r="K1525" t="s">
        <v>25</v>
      </c>
      <c r="L1525">
        <v>4938500</v>
      </c>
      <c r="M1525">
        <v>0</v>
      </c>
      <c r="N1525">
        <v>4938500</v>
      </c>
      <c r="O1525">
        <v>82860.738255033575</v>
      </c>
      <c r="P1525">
        <v>0</v>
      </c>
      <c r="Q1525">
        <v>4938500</v>
      </c>
      <c r="R1525">
        <v>82860.738255033575</v>
      </c>
      <c r="S1525" t="s">
        <v>130</v>
      </c>
      <c r="T1525" t="s">
        <v>717</v>
      </c>
      <c r="U1525" t="s">
        <v>717</v>
      </c>
      <c r="V1525" t="s">
        <v>717</v>
      </c>
      <c r="W1525">
        <v>44827</v>
      </c>
      <c r="X1525" t="s">
        <v>6977</v>
      </c>
      <c r="Y1525" t="s">
        <v>6642</v>
      </c>
      <c r="Z1525" t="s">
        <v>17</v>
      </c>
      <c r="AA1525" t="s">
        <v>717</v>
      </c>
      <c r="AB1525" t="s">
        <v>326</v>
      </c>
      <c r="AC1525" t="s">
        <v>717</v>
      </c>
      <c r="AD1525" t="s">
        <v>717</v>
      </c>
      <c r="AE1525" t="s">
        <v>6643</v>
      </c>
      <c r="AF1525" t="s">
        <v>717</v>
      </c>
      <c r="AG1525" t="s">
        <v>717</v>
      </c>
      <c r="AH1525" t="s">
        <v>717</v>
      </c>
      <c r="AI1525" t="s">
        <v>6644</v>
      </c>
      <c r="AJ1525" t="s">
        <v>6645</v>
      </c>
      <c r="AK1525" t="s">
        <v>29</v>
      </c>
      <c r="AL1525" t="s">
        <v>717</v>
      </c>
      <c r="AM1525" t="s">
        <v>10</v>
      </c>
      <c r="AN1525" t="s">
        <v>717</v>
      </c>
    </row>
    <row r="1526" spans="1:40" hidden="1">
      <c r="A1526">
        <v>1524</v>
      </c>
      <c r="B1526">
        <v>5</v>
      </c>
      <c r="C1526" s="58">
        <v>44835</v>
      </c>
      <c r="D1526" t="s">
        <v>121</v>
      </c>
      <c r="E1526" t="s">
        <v>2515</v>
      </c>
      <c r="F1526">
        <v>6</v>
      </c>
      <c r="G1526">
        <v>20</v>
      </c>
      <c r="H1526">
        <v>132</v>
      </c>
      <c r="I1526">
        <v>2</v>
      </c>
      <c r="J1526">
        <v>61.5</v>
      </c>
      <c r="K1526" t="s">
        <v>25</v>
      </c>
      <c r="L1526">
        <v>5100000</v>
      </c>
      <c r="M1526">
        <v>0</v>
      </c>
      <c r="N1526">
        <v>5100000</v>
      </c>
      <c r="O1526">
        <v>82926.829268292684</v>
      </c>
      <c r="P1526">
        <v>0</v>
      </c>
      <c r="Q1526">
        <v>5100000</v>
      </c>
      <c r="R1526">
        <v>82926.829268292684</v>
      </c>
      <c r="S1526" t="s">
        <v>130</v>
      </c>
      <c r="T1526" t="s">
        <v>717</v>
      </c>
      <c r="U1526" t="s">
        <v>717</v>
      </c>
      <c r="V1526" t="s">
        <v>717</v>
      </c>
      <c r="W1526">
        <v>44827</v>
      </c>
      <c r="X1526" t="s">
        <v>6977</v>
      </c>
      <c r="Y1526" t="s">
        <v>6642</v>
      </c>
      <c r="Z1526" t="s">
        <v>17</v>
      </c>
      <c r="AA1526" t="s">
        <v>717</v>
      </c>
      <c r="AB1526" t="s">
        <v>326</v>
      </c>
      <c r="AC1526" t="s">
        <v>717</v>
      </c>
      <c r="AD1526" t="s">
        <v>717</v>
      </c>
      <c r="AE1526" t="s">
        <v>6643</v>
      </c>
      <c r="AF1526" t="s">
        <v>717</v>
      </c>
      <c r="AG1526" t="s">
        <v>717</v>
      </c>
      <c r="AH1526" t="s">
        <v>717</v>
      </c>
      <c r="AI1526" t="s">
        <v>6644</v>
      </c>
      <c r="AJ1526" t="s">
        <v>6645</v>
      </c>
      <c r="AK1526" t="s">
        <v>29</v>
      </c>
      <c r="AL1526" t="s">
        <v>717</v>
      </c>
      <c r="AM1526" t="s">
        <v>10</v>
      </c>
      <c r="AN1526" t="s">
        <v>717</v>
      </c>
    </row>
    <row r="1527" spans="1:40" hidden="1">
      <c r="A1527">
        <v>1525</v>
      </c>
      <c r="B1527">
        <v>6</v>
      </c>
      <c r="C1527" s="58">
        <v>44835</v>
      </c>
      <c r="D1527" t="s">
        <v>121</v>
      </c>
      <c r="E1527" t="s">
        <v>2515</v>
      </c>
      <c r="F1527">
        <v>7</v>
      </c>
      <c r="G1527">
        <v>21</v>
      </c>
      <c r="H1527">
        <v>140</v>
      </c>
      <c r="I1527">
        <v>2</v>
      </c>
      <c r="J1527">
        <v>59.8</v>
      </c>
      <c r="K1527" t="s">
        <v>25</v>
      </c>
      <c r="L1527">
        <v>4964000</v>
      </c>
      <c r="M1527">
        <v>0</v>
      </c>
      <c r="N1527">
        <v>4964000</v>
      </c>
      <c r="O1527">
        <v>83010.033444816057</v>
      </c>
      <c r="P1527">
        <v>0</v>
      </c>
      <c r="Q1527">
        <v>4964000</v>
      </c>
      <c r="R1527">
        <v>83010.033444816057</v>
      </c>
      <c r="S1527" t="s">
        <v>130</v>
      </c>
      <c r="T1527" t="s">
        <v>717</v>
      </c>
      <c r="U1527" t="s">
        <v>717</v>
      </c>
      <c r="V1527" t="s">
        <v>717</v>
      </c>
      <c r="W1527">
        <v>44827</v>
      </c>
      <c r="X1527" t="s">
        <v>6978</v>
      </c>
      <c r="Y1527" t="s">
        <v>6642</v>
      </c>
      <c r="Z1527" t="s">
        <v>17</v>
      </c>
      <c r="AA1527" t="s">
        <v>717</v>
      </c>
      <c r="AB1527" t="s">
        <v>326</v>
      </c>
      <c r="AC1527" t="s">
        <v>717</v>
      </c>
      <c r="AD1527" t="s">
        <v>717</v>
      </c>
      <c r="AE1527" t="s">
        <v>6643</v>
      </c>
      <c r="AF1527" t="s">
        <v>717</v>
      </c>
      <c r="AG1527" t="s">
        <v>717</v>
      </c>
      <c r="AH1527" t="s">
        <v>717</v>
      </c>
      <c r="AI1527" t="s">
        <v>6644</v>
      </c>
      <c r="AJ1527" t="s">
        <v>6645</v>
      </c>
      <c r="AK1527" t="s">
        <v>29</v>
      </c>
      <c r="AL1527" t="s">
        <v>717</v>
      </c>
      <c r="AM1527" t="s">
        <v>10</v>
      </c>
      <c r="AN1527" t="s">
        <v>717</v>
      </c>
    </row>
    <row r="1528" spans="1:40" hidden="1">
      <c r="A1528">
        <v>1526</v>
      </c>
      <c r="B1528">
        <v>7</v>
      </c>
      <c r="C1528" s="58">
        <v>44835</v>
      </c>
      <c r="D1528" t="s">
        <v>121</v>
      </c>
      <c r="E1528" t="s">
        <v>2515</v>
      </c>
      <c r="F1528">
        <v>1</v>
      </c>
      <c r="G1528">
        <v>22</v>
      </c>
      <c r="H1528">
        <v>141</v>
      </c>
      <c r="I1528">
        <v>2</v>
      </c>
      <c r="J1528">
        <v>60.8</v>
      </c>
      <c r="K1528" t="s">
        <v>25</v>
      </c>
      <c r="L1528">
        <v>5040500</v>
      </c>
      <c r="M1528">
        <v>0</v>
      </c>
      <c r="N1528">
        <v>5040500</v>
      </c>
      <c r="O1528">
        <v>82902.960526315786</v>
      </c>
      <c r="P1528">
        <v>0</v>
      </c>
      <c r="Q1528">
        <v>5040500</v>
      </c>
      <c r="R1528">
        <v>82902.960526315786</v>
      </c>
      <c r="S1528" t="s">
        <v>130</v>
      </c>
      <c r="T1528" t="s">
        <v>717</v>
      </c>
      <c r="U1528" t="s">
        <v>717</v>
      </c>
      <c r="V1528" t="s">
        <v>717</v>
      </c>
      <c r="W1528">
        <v>44827</v>
      </c>
      <c r="X1528" t="s">
        <v>6978</v>
      </c>
      <c r="Y1528" t="s">
        <v>6642</v>
      </c>
      <c r="Z1528" t="s">
        <v>17</v>
      </c>
      <c r="AA1528" t="s">
        <v>717</v>
      </c>
      <c r="AB1528" t="s">
        <v>326</v>
      </c>
      <c r="AC1528" t="s">
        <v>717</v>
      </c>
      <c r="AD1528" t="s">
        <v>717</v>
      </c>
      <c r="AE1528" t="s">
        <v>6643</v>
      </c>
      <c r="AF1528" t="s">
        <v>717</v>
      </c>
      <c r="AG1528" t="s">
        <v>717</v>
      </c>
      <c r="AH1528" t="s">
        <v>717</v>
      </c>
      <c r="AI1528" t="s">
        <v>6644</v>
      </c>
      <c r="AJ1528" t="s">
        <v>6645</v>
      </c>
      <c r="AK1528" t="s">
        <v>29</v>
      </c>
      <c r="AL1528" t="s">
        <v>717</v>
      </c>
      <c r="AM1528" t="s">
        <v>10</v>
      </c>
      <c r="AN1528" t="s">
        <v>717</v>
      </c>
    </row>
    <row r="1529" spans="1:40" hidden="1">
      <c r="A1529">
        <v>1527</v>
      </c>
      <c r="B1529">
        <v>8</v>
      </c>
      <c r="C1529" s="58">
        <v>44835</v>
      </c>
      <c r="D1529" t="s">
        <v>121</v>
      </c>
      <c r="E1529" t="s">
        <v>2515</v>
      </c>
      <c r="F1529">
        <v>6</v>
      </c>
      <c r="G1529">
        <v>23</v>
      </c>
      <c r="H1529">
        <v>153</v>
      </c>
      <c r="I1529">
        <v>2</v>
      </c>
      <c r="J1529">
        <v>61.6</v>
      </c>
      <c r="K1529" t="s">
        <v>25</v>
      </c>
      <c r="L1529">
        <v>5108500</v>
      </c>
      <c r="M1529">
        <v>0</v>
      </c>
      <c r="N1529">
        <v>5108500</v>
      </c>
      <c r="O1529">
        <v>82930.194805194798</v>
      </c>
      <c r="P1529">
        <v>0</v>
      </c>
      <c r="Q1529">
        <v>5108500</v>
      </c>
      <c r="R1529">
        <v>82930.194805194798</v>
      </c>
      <c r="S1529" t="s">
        <v>130</v>
      </c>
      <c r="T1529" t="s">
        <v>717</v>
      </c>
      <c r="U1529" t="s">
        <v>717</v>
      </c>
      <c r="V1529" t="s">
        <v>717</v>
      </c>
      <c r="W1529">
        <v>44827</v>
      </c>
      <c r="X1529" t="s">
        <v>6978</v>
      </c>
      <c r="Y1529" t="s">
        <v>6642</v>
      </c>
      <c r="Z1529" t="s">
        <v>17</v>
      </c>
      <c r="AA1529" t="s">
        <v>717</v>
      </c>
      <c r="AB1529" t="s">
        <v>326</v>
      </c>
      <c r="AC1529" t="s">
        <v>717</v>
      </c>
      <c r="AD1529" t="s">
        <v>717</v>
      </c>
      <c r="AE1529" t="s">
        <v>6643</v>
      </c>
      <c r="AF1529" t="s">
        <v>717</v>
      </c>
      <c r="AG1529" t="s">
        <v>717</v>
      </c>
      <c r="AH1529" t="s">
        <v>717</v>
      </c>
      <c r="AI1529" t="s">
        <v>6644</v>
      </c>
      <c r="AJ1529" t="s">
        <v>6645</v>
      </c>
      <c r="AK1529" t="s">
        <v>29</v>
      </c>
      <c r="AL1529" t="s">
        <v>717</v>
      </c>
      <c r="AM1529" t="s">
        <v>10</v>
      </c>
      <c r="AN1529" t="s">
        <v>717</v>
      </c>
    </row>
    <row r="1530" spans="1:40" hidden="1">
      <c r="A1530">
        <v>1528</v>
      </c>
      <c r="B1530">
        <v>9</v>
      </c>
      <c r="C1530" s="58">
        <v>44835</v>
      </c>
      <c r="D1530" t="s">
        <v>121</v>
      </c>
      <c r="E1530" t="s">
        <v>2515</v>
      </c>
      <c r="F1530">
        <v>7</v>
      </c>
      <c r="G1530">
        <v>23</v>
      </c>
      <c r="H1530">
        <v>154</v>
      </c>
      <c r="I1530">
        <v>2</v>
      </c>
      <c r="J1530">
        <v>59.6</v>
      </c>
      <c r="K1530" t="s">
        <v>25</v>
      </c>
      <c r="L1530">
        <v>4938500</v>
      </c>
      <c r="M1530">
        <v>0</v>
      </c>
      <c r="N1530">
        <v>4938500</v>
      </c>
      <c r="O1530">
        <v>82860.738255033575</v>
      </c>
      <c r="P1530">
        <v>0</v>
      </c>
      <c r="Q1530">
        <v>4938500</v>
      </c>
      <c r="R1530">
        <v>82860.738255033575</v>
      </c>
      <c r="S1530" t="s">
        <v>130</v>
      </c>
      <c r="T1530" t="s">
        <v>717</v>
      </c>
      <c r="U1530" t="s">
        <v>717</v>
      </c>
      <c r="V1530" t="s">
        <v>717</v>
      </c>
      <c r="W1530">
        <v>44827</v>
      </c>
      <c r="X1530" t="s">
        <v>6978</v>
      </c>
      <c r="Y1530" t="s">
        <v>6642</v>
      </c>
      <c r="Z1530" t="s">
        <v>17</v>
      </c>
      <c r="AA1530" t="s">
        <v>717</v>
      </c>
      <c r="AB1530" t="s">
        <v>326</v>
      </c>
      <c r="AC1530" t="s">
        <v>717</v>
      </c>
      <c r="AD1530" t="s">
        <v>717</v>
      </c>
      <c r="AE1530" t="s">
        <v>6643</v>
      </c>
      <c r="AF1530" t="s">
        <v>717</v>
      </c>
      <c r="AG1530" t="s">
        <v>717</v>
      </c>
      <c r="AH1530" t="s">
        <v>717</v>
      </c>
      <c r="AI1530" t="s">
        <v>6644</v>
      </c>
      <c r="AJ1530" t="s">
        <v>6645</v>
      </c>
      <c r="AK1530" t="s">
        <v>29</v>
      </c>
      <c r="AL1530" t="s">
        <v>717</v>
      </c>
      <c r="AM1530" t="s">
        <v>10</v>
      </c>
      <c r="AN1530" t="s">
        <v>717</v>
      </c>
    </row>
    <row r="1531" spans="1:40" hidden="1">
      <c r="A1531">
        <v>1529</v>
      </c>
      <c r="B1531">
        <v>10</v>
      </c>
      <c r="C1531" s="58">
        <v>44835</v>
      </c>
      <c r="D1531" t="s">
        <v>121</v>
      </c>
      <c r="E1531" t="s">
        <v>2506</v>
      </c>
      <c r="F1531">
        <v>9</v>
      </c>
      <c r="G1531">
        <v>13</v>
      </c>
      <c r="H1531">
        <v>291</v>
      </c>
      <c r="I1531">
        <v>2</v>
      </c>
      <c r="J1531">
        <v>62</v>
      </c>
      <c r="K1531" t="s">
        <v>25</v>
      </c>
      <c r="L1531">
        <v>5142500</v>
      </c>
      <c r="M1531">
        <v>0</v>
      </c>
      <c r="N1531">
        <v>5142500</v>
      </c>
      <c r="O1531">
        <v>82943.548387096773</v>
      </c>
      <c r="P1531">
        <v>0</v>
      </c>
      <c r="Q1531">
        <v>5142500</v>
      </c>
      <c r="R1531">
        <v>82943.548387096773</v>
      </c>
      <c r="S1531" t="s">
        <v>130</v>
      </c>
      <c r="T1531" t="s">
        <v>717</v>
      </c>
      <c r="U1531" t="s">
        <v>717</v>
      </c>
      <c r="V1531" t="s">
        <v>717</v>
      </c>
      <c r="W1531">
        <v>44827</v>
      </c>
      <c r="X1531" t="s">
        <v>6978</v>
      </c>
      <c r="Y1531" t="s">
        <v>6642</v>
      </c>
      <c r="Z1531" t="s">
        <v>17</v>
      </c>
      <c r="AA1531" t="s">
        <v>717</v>
      </c>
      <c r="AB1531" t="s">
        <v>326</v>
      </c>
      <c r="AC1531" t="s">
        <v>717</v>
      </c>
      <c r="AD1531" t="s">
        <v>717</v>
      </c>
      <c r="AE1531" t="s">
        <v>6643</v>
      </c>
      <c r="AF1531" t="s">
        <v>717</v>
      </c>
      <c r="AG1531" t="s">
        <v>717</v>
      </c>
      <c r="AH1531" t="s">
        <v>717</v>
      </c>
      <c r="AI1531" t="s">
        <v>6644</v>
      </c>
      <c r="AJ1531" t="s">
        <v>6645</v>
      </c>
      <c r="AK1531" t="s">
        <v>29</v>
      </c>
      <c r="AL1531" t="s">
        <v>717</v>
      </c>
      <c r="AM1531" t="s">
        <v>10</v>
      </c>
      <c r="AN1531" t="s">
        <v>717</v>
      </c>
    </row>
    <row r="1532" spans="1:40" hidden="1">
      <c r="A1532">
        <v>1530</v>
      </c>
      <c r="B1532">
        <v>11</v>
      </c>
      <c r="C1532" s="58">
        <v>44842</v>
      </c>
      <c r="D1532" t="s">
        <v>27</v>
      </c>
      <c r="E1532" t="s">
        <v>5079</v>
      </c>
      <c r="F1532">
        <v>7</v>
      </c>
      <c r="G1532">
        <v>8</v>
      </c>
      <c r="H1532">
        <v>692</v>
      </c>
      <c r="I1532">
        <v>1</v>
      </c>
      <c r="J1532">
        <v>38.909999999999997</v>
      </c>
      <c r="K1532" t="s">
        <v>9</v>
      </c>
      <c r="L1532">
        <v>3054083.14</v>
      </c>
      <c r="M1532">
        <v>0</v>
      </c>
      <c r="N1532">
        <v>3054083.14</v>
      </c>
      <c r="O1532">
        <v>78490.957080442051</v>
      </c>
      <c r="P1532">
        <v>0</v>
      </c>
      <c r="Q1532">
        <v>3054083.14</v>
      </c>
      <c r="R1532">
        <v>78490.957080442051</v>
      </c>
      <c r="S1532" t="s">
        <v>65</v>
      </c>
      <c r="T1532" t="s">
        <v>2664</v>
      </c>
      <c r="U1532">
        <v>160741.22</v>
      </c>
      <c r="V1532" t="s">
        <v>4131</v>
      </c>
      <c r="W1532">
        <v>44839</v>
      </c>
      <c r="X1532" t="s">
        <v>6979</v>
      </c>
      <c r="Y1532" t="s">
        <v>6</v>
      </c>
      <c r="Z1532" t="s">
        <v>17</v>
      </c>
      <c r="AA1532" t="s">
        <v>6637</v>
      </c>
      <c r="AB1532" t="s">
        <v>2509</v>
      </c>
      <c r="AC1532" t="s">
        <v>2571</v>
      </c>
      <c r="AD1532" t="s">
        <v>717</v>
      </c>
      <c r="AE1532" t="s">
        <v>6980</v>
      </c>
      <c r="AF1532" t="s">
        <v>6981</v>
      </c>
      <c r="AG1532" t="s">
        <v>6982</v>
      </c>
      <c r="AH1532" t="s">
        <v>2616</v>
      </c>
      <c r="AI1532" t="s">
        <v>2552</v>
      </c>
      <c r="AJ1532" t="s">
        <v>2569</v>
      </c>
      <c r="AK1532" t="s">
        <v>77</v>
      </c>
      <c r="AL1532" t="s">
        <v>16</v>
      </c>
      <c r="AM1532" t="s">
        <v>10</v>
      </c>
      <c r="AN1532" t="s">
        <v>6708</v>
      </c>
    </row>
    <row r="1533" spans="1:40" hidden="1">
      <c r="A1533">
        <v>1531</v>
      </c>
      <c r="B1533">
        <v>12</v>
      </c>
      <c r="C1533" s="58">
        <v>44841</v>
      </c>
      <c r="D1533" t="s">
        <v>27</v>
      </c>
      <c r="E1533" t="s">
        <v>5079</v>
      </c>
      <c r="F1533">
        <v>4</v>
      </c>
      <c r="G1533">
        <v>12</v>
      </c>
      <c r="H1533">
        <v>725</v>
      </c>
      <c r="I1533">
        <v>0</v>
      </c>
      <c r="J1533">
        <v>24.39</v>
      </c>
      <c r="K1533" t="s">
        <v>15</v>
      </c>
      <c r="L1533">
        <v>2300370.65</v>
      </c>
      <c r="M1533">
        <v>0</v>
      </c>
      <c r="N1533">
        <v>2300370.65</v>
      </c>
      <c r="O1533">
        <v>94316.139811398112</v>
      </c>
      <c r="P1533">
        <v>182925.00000000047</v>
      </c>
      <c r="Q1533">
        <v>2117445.649999999</v>
      </c>
      <c r="R1533">
        <v>86816.139811398083</v>
      </c>
      <c r="S1533" t="s">
        <v>65</v>
      </c>
      <c r="T1533" t="s">
        <v>717</v>
      </c>
      <c r="U1533" t="s">
        <v>717</v>
      </c>
      <c r="V1533" t="s">
        <v>4131</v>
      </c>
      <c r="W1533">
        <v>44839</v>
      </c>
      <c r="X1533" t="s">
        <v>6983</v>
      </c>
      <c r="Y1533" t="s">
        <v>6</v>
      </c>
      <c r="Z1533" t="s">
        <v>17</v>
      </c>
      <c r="AA1533" t="s">
        <v>6637</v>
      </c>
      <c r="AB1533" t="s">
        <v>2509</v>
      </c>
      <c r="AC1533" t="s">
        <v>2571</v>
      </c>
      <c r="AD1533" t="s">
        <v>717</v>
      </c>
      <c r="AE1533" t="s">
        <v>6984</v>
      </c>
      <c r="AF1533" t="s">
        <v>6985</v>
      </c>
      <c r="AG1533" t="s">
        <v>6986</v>
      </c>
      <c r="AH1533" t="s">
        <v>2616</v>
      </c>
      <c r="AI1533" t="s">
        <v>2552</v>
      </c>
      <c r="AJ1533" t="s">
        <v>3185</v>
      </c>
      <c r="AK1533" t="s">
        <v>73</v>
      </c>
      <c r="AL1533" t="s">
        <v>22</v>
      </c>
      <c r="AM1533" t="s">
        <v>10</v>
      </c>
      <c r="AN1533" t="s">
        <v>6708</v>
      </c>
    </row>
    <row r="1534" spans="1:40" hidden="1">
      <c r="A1534">
        <v>1532</v>
      </c>
      <c r="B1534">
        <v>13</v>
      </c>
      <c r="C1534" s="58">
        <v>44841</v>
      </c>
      <c r="D1534" t="s">
        <v>27</v>
      </c>
      <c r="E1534" t="s">
        <v>2515</v>
      </c>
      <c r="F1534">
        <v>5</v>
      </c>
      <c r="G1534">
        <v>11</v>
      </c>
      <c r="H1534">
        <v>86</v>
      </c>
      <c r="I1534">
        <v>0</v>
      </c>
      <c r="J1534">
        <v>24.47</v>
      </c>
      <c r="K1534" t="s">
        <v>9</v>
      </c>
      <c r="L1534">
        <v>2112363.7000000002</v>
      </c>
      <c r="M1534">
        <v>0</v>
      </c>
      <c r="N1534">
        <v>2112363.7000000002</v>
      </c>
      <c r="O1534">
        <v>86324.630159378838</v>
      </c>
      <c r="P1534">
        <v>0</v>
      </c>
      <c r="Q1534">
        <v>2112363.7000000002</v>
      </c>
      <c r="R1534">
        <v>86324.630159378838</v>
      </c>
      <c r="S1534" t="s">
        <v>65</v>
      </c>
      <c r="T1534" t="s">
        <v>717</v>
      </c>
      <c r="U1534" t="s">
        <v>717</v>
      </c>
      <c r="V1534" t="s">
        <v>4131</v>
      </c>
      <c r="W1534">
        <v>44839</v>
      </c>
      <c r="X1534" t="s">
        <v>6987</v>
      </c>
      <c r="Y1534" t="s">
        <v>6</v>
      </c>
      <c r="Z1534" t="s">
        <v>17</v>
      </c>
      <c r="AA1534" t="s">
        <v>6637</v>
      </c>
      <c r="AB1534" t="s">
        <v>2509</v>
      </c>
      <c r="AC1534" t="s">
        <v>2571</v>
      </c>
      <c r="AD1534" t="s">
        <v>717</v>
      </c>
      <c r="AE1534" t="s">
        <v>6988</v>
      </c>
      <c r="AF1534" t="s">
        <v>6989</v>
      </c>
      <c r="AG1534" t="s">
        <v>6990</v>
      </c>
      <c r="AH1534" t="s">
        <v>2616</v>
      </c>
      <c r="AI1534" t="s">
        <v>2552</v>
      </c>
      <c r="AJ1534" t="s">
        <v>2662</v>
      </c>
      <c r="AK1534" t="s">
        <v>73</v>
      </c>
      <c r="AL1534" t="s">
        <v>22</v>
      </c>
      <c r="AM1534" t="s">
        <v>10</v>
      </c>
      <c r="AN1534" t="s">
        <v>6708</v>
      </c>
    </row>
    <row r="1535" spans="1:40" hidden="1">
      <c r="A1535">
        <v>1533</v>
      </c>
      <c r="B1535">
        <v>14</v>
      </c>
      <c r="C1535" s="58">
        <v>44844</v>
      </c>
      <c r="D1535" t="s">
        <v>7</v>
      </c>
      <c r="E1535" t="s">
        <v>2506</v>
      </c>
      <c r="F1535">
        <v>1</v>
      </c>
      <c r="G1535">
        <v>16</v>
      </c>
      <c r="H1535">
        <v>233</v>
      </c>
      <c r="I1535">
        <v>0</v>
      </c>
      <c r="J1535">
        <v>28.97</v>
      </c>
      <c r="K1535" t="s">
        <v>9</v>
      </c>
      <c r="L1535">
        <v>2299638.6</v>
      </c>
      <c r="M1535">
        <v>0</v>
      </c>
      <c r="N1535">
        <v>2299638.6</v>
      </c>
      <c r="O1535">
        <v>79380</v>
      </c>
      <c r="P1535">
        <v>0</v>
      </c>
      <c r="Q1535">
        <v>2299638.6</v>
      </c>
      <c r="R1535">
        <v>79380</v>
      </c>
      <c r="S1535" t="s">
        <v>130</v>
      </c>
      <c r="T1535" t="s">
        <v>717</v>
      </c>
      <c r="U1535" t="s">
        <v>717</v>
      </c>
      <c r="V1535" t="s">
        <v>717</v>
      </c>
      <c r="W1535">
        <v>44841</v>
      </c>
      <c r="X1535" t="s">
        <v>6991</v>
      </c>
      <c r="Y1535" t="s">
        <v>6</v>
      </c>
      <c r="Z1535" t="s">
        <v>17</v>
      </c>
      <c r="AA1535" t="s">
        <v>6637</v>
      </c>
      <c r="AB1535" t="s">
        <v>2509</v>
      </c>
      <c r="AC1535" t="s">
        <v>717</v>
      </c>
      <c r="AD1535" t="s">
        <v>717</v>
      </c>
      <c r="AE1535" t="s">
        <v>5146</v>
      </c>
      <c r="AF1535" t="s">
        <v>5147</v>
      </c>
      <c r="AG1535" t="s">
        <v>5148</v>
      </c>
      <c r="AH1535" t="s">
        <v>2191</v>
      </c>
      <c r="AI1535" t="s">
        <v>5653</v>
      </c>
      <c r="AJ1535" t="s">
        <v>31</v>
      </c>
      <c r="AK1535" t="s">
        <v>73</v>
      </c>
      <c r="AL1535" t="s">
        <v>717</v>
      </c>
      <c r="AM1535" t="s">
        <v>5654</v>
      </c>
      <c r="AN1535" t="s">
        <v>717</v>
      </c>
    </row>
    <row r="1536" spans="1:40" hidden="1">
      <c r="A1536">
        <v>1534</v>
      </c>
      <c r="B1536">
        <v>15</v>
      </c>
      <c r="C1536" s="58">
        <v>44844</v>
      </c>
      <c r="D1536" t="s">
        <v>27</v>
      </c>
      <c r="E1536" t="s">
        <v>2515</v>
      </c>
      <c r="F1536">
        <v>5</v>
      </c>
      <c r="G1536">
        <v>12</v>
      </c>
      <c r="H1536">
        <v>95</v>
      </c>
      <c r="I1536">
        <v>0</v>
      </c>
      <c r="J1536">
        <v>24.47</v>
      </c>
      <c r="K1536" t="s">
        <v>25</v>
      </c>
      <c r="L1536">
        <v>2650703.7000000002</v>
      </c>
      <c r="M1536">
        <v>0</v>
      </c>
      <c r="N1536">
        <v>2650703.7000000002</v>
      </c>
      <c r="O1536">
        <v>108324.63015937884</v>
      </c>
      <c r="P1536">
        <v>538340</v>
      </c>
      <c r="Q1536">
        <v>2112363.7000000002</v>
      </c>
      <c r="R1536">
        <v>86324.630159378838</v>
      </c>
      <c r="S1536" t="s">
        <v>65</v>
      </c>
      <c r="T1536" t="s">
        <v>717</v>
      </c>
      <c r="U1536" t="s">
        <v>717</v>
      </c>
      <c r="V1536" t="s">
        <v>4131</v>
      </c>
      <c r="W1536">
        <v>44841</v>
      </c>
      <c r="X1536" t="s">
        <v>6992</v>
      </c>
      <c r="Y1536" t="s">
        <v>6</v>
      </c>
      <c r="Z1536" t="s">
        <v>17</v>
      </c>
      <c r="AA1536" t="s">
        <v>6637</v>
      </c>
      <c r="AB1536" t="s">
        <v>2509</v>
      </c>
      <c r="AC1536" t="s">
        <v>2571</v>
      </c>
      <c r="AD1536" t="s">
        <v>717</v>
      </c>
      <c r="AE1536" t="s">
        <v>6993</v>
      </c>
      <c r="AF1536" t="s">
        <v>6994</v>
      </c>
      <c r="AG1536" t="s">
        <v>6995</v>
      </c>
      <c r="AH1536" t="s">
        <v>2552</v>
      </c>
      <c r="AI1536" t="s">
        <v>2547</v>
      </c>
      <c r="AJ1536" t="s">
        <v>2855</v>
      </c>
      <c r="AK1536" t="s">
        <v>77</v>
      </c>
      <c r="AL1536" t="s">
        <v>22</v>
      </c>
      <c r="AM1536" t="s">
        <v>10</v>
      </c>
      <c r="AN1536" t="s">
        <v>6708</v>
      </c>
    </row>
    <row r="1537" spans="1:40" hidden="1">
      <c r="A1537">
        <v>1535</v>
      </c>
      <c r="B1537">
        <v>16</v>
      </c>
      <c r="C1537" s="58">
        <v>44845</v>
      </c>
      <c r="D1537" t="s">
        <v>27</v>
      </c>
      <c r="E1537" t="s">
        <v>5079</v>
      </c>
      <c r="F1537">
        <v>7</v>
      </c>
      <c r="G1537">
        <v>11</v>
      </c>
      <c r="H1537">
        <v>719</v>
      </c>
      <c r="I1537">
        <v>1</v>
      </c>
      <c r="J1537">
        <v>38.909999999999997</v>
      </c>
      <c r="K1537" t="s">
        <v>15</v>
      </c>
      <c r="L1537">
        <v>3345908.14</v>
      </c>
      <c r="M1537">
        <v>0</v>
      </c>
      <c r="N1537">
        <v>3345908.14</v>
      </c>
      <c r="O1537">
        <v>85990.957080442051</v>
      </c>
      <c r="P1537">
        <v>291825</v>
      </c>
      <c r="Q1537">
        <v>3054083.14</v>
      </c>
      <c r="R1537">
        <v>78490.957080442051</v>
      </c>
      <c r="S1537" t="s">
        <v>65</v>
      </c>
      <c r="T1537" t="s">
        <v>2664</v>
      </c>
      <c r="U1537">
        <v>160741.22</v>
      </c>
      <c r="V1537" t="s">
        <v>4131</v>
      </c>
      <c r="W1537">
        <v>44839</v>
      </c>
      <c r="X1537" t="s">
        <v>6996</v>
      </c>
      <c r="Y1537" t="s">
        <v>6</v>
      </c>
      <c r="Z1537" t="s">
        <v>17</v>
      </c>
      <c r="AA1537" t="s">
        <v>6637</v>
      </c>
      <c r="AB1537" t="s">
        <v>2509</v>
      </c>
      <c r="AC1537" t="s">
        <v>2571</v>
      </c>
      <c r="AD1537" t="s">
        <v>717</v>
      </c>
      <c r="AE1537" t="s">
        <v>6207</v>
      </c>
      <c r="AF1537" t="s">
        <v>6997</v>
      </c>
      <c r="AG1537" t="s">
        <v>6998</v>
      </c>
      <c r="AH1537" t="s">
        <v>2615</v>
      </c>
      <c r="AI1537" t="s">
        <v>2552</v>
      </c>
      <c r="AJ1537" t="s">
        <v>2895</v>
      </c>
      <c r="AK1537" t="s">
        <v>73</v>
      </c>
      <c r="AL1537" t="s">
        <v>16</v>
      </c>
      <c r="AM1537" t="s">
        <v>10</v>
      </c>
      <c r="AN1537" t="s">
        <v>6708</v>
      </c>
    </row>
    <row r="1538" spans="1:40" hidden="1">
      <c r="A1538">
        <v>1536</v>
      </c>
      <c r="B1538">
        <v>17</v>
      </c>
      <c r="C1538" s="58">
        <v>44847</v>
      </c>
      <c r="D1538" t="s">
        <v>27</v>
      </c>
      <c r="E1538" t="s">
        <v>5079</v>
      </c>
      <c r="F1538">
        <v>4</v>
      </c>
      <c r="G1538">
        <v>4</v>
      </c>
      <c r="H1538">
        <v>653</v>
      </c>
      <c r="I1538">
        <v>0</v>
      </c>
      <c r="J1538">
        <v>24.39</v>
      </c>
      <c r="K1538" t="s">
        <v>9</v>
      </c>
      <c r="L1538">
        <v>2011573.37</v>
      </c>
      <c r="M1538">
        <v>0</v>
      </c>
      <c r="N1538">
        <v>2011573.37</v>
      </c>
      <c r="O1538">
        <v>82475.332923329232</v>
      </c>
      <c r="P1538">
        <v>0</v>
      </c>
      <c r="Q1538">
        <v>2011573.37</v>
      </c>
      <c r="R1538">
        <v>82475.332923329232</v>
      </c>
      <c r="S1538" t="s">
        <v>65</v>
      </c>
      <c r="T1538" t="s">
        <v>2664</v>
      </c>
      <c r="U1538">
        <v>105872.28</v>
      </c>
      <c r="V1538" t="s">
        <v>4131</v>
      </c>
      <c r="W1538">
        <v>44844</v>
      </c>
      <c r="X1538" t="s">
        <v>6999</v>
      </c>
      <c r="Y1538" t="s">
        <v>6</v>
      </c>
      <c r="Z1538" t="s">
        <v>17</v>
      </c>
      <c r="AA1538" t="s">
        <v>6637</v>
      </c>
      <c r="AB1538" t="s">
        <v>2509</v>
      </c>
      <c r="AC1538" t="s">
        <v>2571</v>
      </c>
      <c r="AD1538" t="s">
        <v>717</v>
      </c>
      <c r="AE1538" t="s">
        <v>7000</v>
      </c>
      <c r="AF1538" t="s">
        <v>7001</v>
      </c>
      <c r="AG1538" t="s">
        <v>7002</v>
      </c>
      <c r="AH1538" t="s">
        <v>2191</v>
      </c>
      <c r="AI1538" t="s">
        <v>2538</v>
      </c>
      <c r="AJ1538" t="s">
        <v>2514</v>
      </c>
      <c r="AK1538" t="s">
        <v>77</v>
      </c>
      <c r="AL1538" t="s">
        <v>22</v>
      </c>
      <c r="AM1538" t="s">
        <v>10</v>
      </c>
      <c r="AN1538" t="s">
        <v>6708</v>
      </c>
    </row>
    <row r="1539" spans="1:40" hidden="1">
      <c r="A1539">
        <v>1537</v>
      </c>
      <c r="B1539">
        <v>18</v>
      </c>
      <c r="C1539" s="58">
        <v>44847</v>
      </c>
      <c r="D1539" t="s">
        <v>27</v>
      </c>
      <c r="E1539" t="s">
        <v>5456</v>
      </c>
      <c r="F1539">
        <v>9</v>
      </c>
      <c r="G1539">
        <v>4</v>
      </c>
      <c r="H1539">
        <v>857</v>
      </c>
      <c r="I1539">
        <v>0</v>
      </c>
      <c r="J1539">
        <v>23.09</v>
      </c>
      <c r="K1539" t="s">
        <v>25</v>
      </c>
      <c r="L1539">
        <v>2513042.17</v>
      </c>
      <c r="M1539">
        <v>0</v>
      </c>
      <c r="N1539">
        <v>2513042.17</v>
      </c>
      <c r="O1539">
        <v>108836.81983542661</v>
      </c>
      <c r="P1539">
        <v>507979.99999999953</v>
      </c>
      <c r="Q1539">
        <v>2005062.1700000004</v>
      </c>
      <c r="R1539">
        <v>86836.819835426606</v>
      </c>
      <c r="S1539" t="s">
        <v>65</v>
      </c>
      <c r="T1539" t="s">
        <v>717</v>
      </c>
      <c r="U1539" t="s">
        <v>717</v>
      </c>
      <c r="V1539" t="s">
        <v>4131</v>
      </c>
      <c r="W1539">
        <v>44845</v>
      </c>
      <c r="X1539" t="s">
        <v>7003</v>
      </c>
      <c r="Y1539" t="s">
        <v>6</v>
      </c>
      <c r="Z1539" t="s">
        <v>17</v>
      </c>
      <c r="AA1539" t="s">
        <v>6637</v>
      </c>
      <c r="AB1539" t="s">
        <v>2509</v>
      </c>
      <c r="AC1539" t="s">
        <v>2571</v>
      </c>
      <c r="AD1539" t="s">
        <v>717</v>
      </c>
      <c r="AE1539" t="s">
        <v>7004</v>
      </c>
      <c r="AF1539" t="s">
        <v>7005</v>
      </c>
      <c r="AG1539" t="s">
        <v>7006</v>
      </c>
      <c r="AH1539" t="s">
        <v>2191</v>
      </c>
      <c r="AI1539" t="s">
        <v>2538</v>
      </c>
      <c r="AJ1539" t="s">
        <v>2514</v>
      </c>
      <c r="AK1539" t="s">
        <v>77</v>
      </c>
      <c r="AL1539" t="s">
        <v>22</v>
      </c>
      <c r="AM1539" t="s">
        <v>10</v>
      </c>
      <c r="AN1539" t="s">
        <v>6708</v>
      </c>
    </row>
    <row r="1540" spans="1:40" hidden="1">
      <c r="A1540">
        <v>1538</v>
      </c>
      <c r="B1540">
        <v>19</v>
      </c>
      <c r="C1540" s="58">
        <v>44849</v>
      </c>
      <c r="D1540" t="s">
        <v>27</v>
      </c>
      <c r="E1540" t="s">
        <v>5456</v>
      </c>
      <c r="F1540">
        <v>8</v>
      </c>
      <c r="G1540">
        <v>8</v>
      </c>
      <c r="H1540">
        <v>892</v>
      </c>
      <c r="I1540">
        <v>0</v>
      </c>
      <c r="J1540">
        <v>23.09</v>
      </c>
      <c r="K1540" t="s">
        <v>9</v>
      </c>
      <c r="L1540">
        <v>1863669.32</v>
      </c>
      <c r="M1540">
        <v>0</v>
      </c>
      <c r="N1540">
        <v>1863669.32</v>
      </c>
      <c r="O1540">
        <v>80713.266349068857</v>
      </c>
      <c r="P1540">
        <v>0</v>
      </c>
      <c r="Q1540">
        <v>1863669.32</v>
      </c>
      <c r="R1540">
        <v>80713.266349068857</v>
      </c>
      <c r="S1540" t="s">
        <v>130</v>
      </c>
      <c r="T1540" t="s">
        <v>2815</v>
      </c>
      <c r="U1540">
        <v>30000</v>
      </c>
      <c r="V1540" t="s">
        <v>717</v>
      </c>
      <c r="W1540">
        <v>44845</v>
      </c>
      <c r="X1540" t="s">
        <v>7007</v>
      </c>
      <c r="Y1540" t="s">
        <v>2611</v>
      </c>
      <c r="Z1540" t="s">
        <v>17</v>
      </c>
      <c r="AA1540" t="s">
        <v>6637</v>
      </c>
      <c r="AB1540" t="s">
        <v>2509</v>
      </c>
      <c r="AC1540" t="s">
        <v>717</v>
      </c>
      <c r="AD1540">
        <v>45145</v>
      </c>
      <c r="AE1540" t="s">
        <v>7008</v>
      </c>
      <c r="AF1540" t="s">
        <v>7009</v>
      </c>
      <c r="AG1540" t="s">
        <v>7010</v>
      </c>
      <c r="AH1540" t="s">
        <v>2615</v>
      </c>
      <c r="AI1540" t="s">
        <v>2552</v>
      </c>
      <c r="AJ1540" t="s">
        <v>2662</v>
      </c>
      <c r="AK1540" t="s">
        <v>77</v>
      </c>
      <c r="AL1540" t="s">
        <v>717</v>
      </c>
      <c r="AM1540" t="s">
        <v>10</v>
      </c>
      <c r="AN1540" t="s">
        <v>717</v>
      </c>
    </row>
    <row r="1541" spans="1:40" hidden="1">
      <c r="A1541">
        <v>1539</v>
      </c>
      <c r="B1541">
        <v>20</v>
      </c>
      <c r="C1541" s="58">
        <v>44848</v>
      </c>
      <c r="D1541" t="s">
        <v>27</v>
      </c>
      <c r="E1541" t="s">
        <v>2515</v>
      </c>
      <c r="F1541">
        <v>3</v>
      </c>
      <c r="G1541">
        <v>23</v>
      </c>
      <c r="H1541">
        <v>192</v>
      </c>
      <c r="I1541">
        <v>1</v>
      </c>
      <c r="J1541">
        <v>41.06</v>
      </c>
      <c r="K1541" t="s">
        <v>9</v>
      </c>
      <c r="L1541">
        <v>3477194.47</v>
      </c>
      <c r="M1541">
        <v>15000</v>
      </c>
      <c r="N1541">
        <v>3492194.47</v>
      </c>
      <c r="O1541">
        <v>85051.009985387238</v>
      </c>
      <c r="P1541">
        <v>0</v>
      </c>
      <c r="Q1541">
        <v>3492194.47</v>
      </c>
      <c r="R1541">
        <v>85051.009985387238</v>
      </c>
      <c r="S1541" t="s">
        <v>65</v>
      </c>
      <c r="T1541" t="s">
        <v>717</v>
      </c>
      <c r="U1541" t="s">
        <v>717</v>
      </c>
      <c r="V1541" t="s">
        <v>4131</v>
      </c>
      <c r="W1541">
        <v>44845</v>
      </c>
      <c r="X1541" t="s">
        <v>7011</v>
      </c>
      <c r="Y1541" t="s">
        <v>6</v>
      </c>
      <c r="Z1541" t="s">
        <v>17</v>
      </c>
      <c r="AA1541" t="s">
        <v>6637</v>
      </c>
      <c r="AB1541" t="s">
        <v>2509</v>
      </c>
      <c r="AC1541" t="s">
        <v>2571</v>
      </c>
      <c r="AD1541" t="s">
        <v>717</v>
      </c>
      <c r="AE1541" t="s">
        <v>7012</v>
      </c>
      <c r="AF1541" t="s">
        <v>7013</v>
      </c>
      <c r="AG1541" t="s">
        <v>7014</v>
      </c>
      <c r="AH1541" t="s">
        <v>2191</v>
      </c>
      <c r="AI1541" t="s">
        <v>2552</v>
      </c>
      <c r="AJ1541" t="s">
        <v>2514</v>
      </c>
      <c r="AK1541" t="s">
        <v>77</v>
      </c>
      <c r="AL1541" t="s">
        <v>16</v>
      </c>
      <c r="AM1541" t="s">
        <v>10</v>
      </c>
      <c r="AN1541" t="s">
        <v>6708</v>
      </c>
    </row>
    <row r="1542" spans="1:40" hidden="1">
      <c r="A1542">
        <v>1540</v>
      </c>
      <c r="B1542">
        <v>21</v>
      </c>
      <c r="C1542" s="58">
        <v>44851</v>
      </c>
      <c r="D1542" t="s">
        <v>27</v>
      </c>
      <c r="E1542" t="s">
        <v>5456</v>
      </c>
      <c r="F1542">
        <v>8</v>
      </c>
      <c r="G1542">
        <v>5</v>
      </c>
      <c r="H1542">
        <v>865</v>
      </c>
      <c r="I1542">
        <v>0</v>
      </c>
      <c r="J1542">
        <v>23.09</v>
      </c>
      <c r="K1542" t="s">
        <v>25</v>
      </c>
      <c r="L1542">
        <v>2306965.85</v>
      </c>
      <c r="M1542">
        <v>0</v>
      </c>
      <c r="N1542">
        <v>2306965.85</v>
      </c>
      <c r="O1542">
        <v>99911.903421394542</v>
      </c>
      <c r="P1542">
        <v>507980</v>
      </c>
      <c r="Q1542">
        <v>1798985.85</v>
      </c>
      <c r="R1542">
        <v>77911.903421394542</v>
      </c>
      <c r="S1542" t="s">
        <v>130</v>
      </c>
      <c r="T1542" t="s">
        <v>2664</v>
      </c>
      <c r="U1542">
        <v>94683.47</v>
      </c>
      <c r="V1542" t="s">
        <v>717</v>
      </c>
      <c r="W1542">
        <v>44848</v>
      </c>
      <c r="X1542" t="s">
        <v>7015</v>
      </c>
      <c r="Y1542" t="s">
        <v>6</v>
      </c>
      <c r="Z1542" t="s">
        <v>17</v>
      </c>
      <c r="AA1542" t="s">
        <v>6637</v>
      </c>
      <c r="AB1542" t="s">
        <v>2509</v>
      </c>
      <c r="AC1542" t="s">
        <v>717</v>
      </c>
      <c r="AD1542" t="s">
        <v>717</v>
      </c>
      <c r="AE1542" t="s">
        <v>6014</v>
      </c>
      <c r="AF1542" t="s">
        <v>6015</v>
      </c>
      <c r="AG1542" t="s">
        <v>6016</v>
      </c>
      <c r="AH1542" t="s">
        <v>2616</v>
      </c>
      <c r="AI1542" t="s">
        <v>2552</v>
      </c>
      <c r="AJ1542" t="s">
        <v>2895</v>
      </c>
      <c r="AK1542" t="s">
        <v>77</v>
      </c>
      <c r="AL1542" t="s">
        <v>717</v>
      </c>
      <c r="AM1542" t="s">
        <v>10</v>
      </c>
      <c r="AN1542" t="s">
        <v>717</v>
      </c>
    </row>
    <row r="1543" spans="1:40" hidden="1">
      <c r="A1543">
        <v>1541</v>
      </c>
      <c r="B1543">
        <v>22</v>
      </c>
      <c r="C1543" s="58">
        <v>44851</v>
      </c>
      <c r="D1543" t="s">
        <v>7</v>
      </c>
      <c r="E1543" t="s">
        <v>2581</v>
      </c>
      <c r="F1543">
        <v>5</v>
      </c>
      <c r="G1543">
        <v>5</v>
      </c>
      <c r="H1543">
        <v>266</v>
      </c>
      <c r="I1543">
        <v>2</v>
      </c>
      <c r="J1543">
        <v>56.7</v>
      </c>
      <c r="K1543" t="s">
        <v>9</v>
      </c>
      <c r="L1543">
        <v>3844422.73</v>
      </c>
      <c r="M1543">
        <v>0</v>
      </c>
      <c r="N1543">
        <v>3844422.73</v>
      </c>
      <c r="O1543">
        <v>67802.870017636684</v>
      </c>
      <c r="P1543">
        <v>0</v>
      </c>
      <c r="Q1543">
        <v>3844422.73</v>
      </c>
      <c r="R1543">
        <v>67802.870017636684</v>
      </c>
      <c r="S1543" t="s">
        <v>65</v>
      </c>
      <c r="T1543" t="s">
        <v>2664</v>
      </c>
      <c r="U1543">
        <v>202338.03</v>
      </c>
      <c r="V1543" t="s">
        <v>4131</v>
      </c>
      <c r="W1543">
        <v>44848</v>
      </c>
      <c r="X1543" t="s">
        <v>7016</v>
      </c>
      <c r="Y1543" t="s">
        <v>6</v>
      </c>
      <c r="Z1543" t="s">
        <v>17</v>
      </c>
      <c r="AA1543" t="s">
        <v>6637</v>
      </c>
      <c r="AB1543" t="s">
        <v>2509</v>
      </c>
      <c r="AC1543" t="s">
        <v>2571</v>
      </c>
      <c r="AD1543" t="s">
        <v>717</v>
      </c>
      <c r="AE1543" t="s">
        <v>7017</v>
      </c>
      <c r="AF1543" t="s">
        <v>7018</v>
      </c>
      <c r="AG1543" t="s">
        <v>7019</v>
      </c>
      <c r="AH1543" t="s">
        <v>2191</v>
      </c>
      <c r="AI1543" t="s">
        <v>5653</v>
      </c>
      <c r="AJ1543" t="s">
        <v>31</v>
      </c>
      <c r="AK1543" t="s">
        <v>77</v>
      </c>
      <c r="AL1543" t="s">
        <v>22</v>
      </c>
      <c r="AM1543" t="s">
        <v>5654</v>
      </c>
      <c r="AN1543" t="s">
        <v>6708</v>
      </c>
    </row>
    <row r="1544" spans="1:40" hidden="1">
      <c r="A1544">
        <v>1542</v>
      </c>
      <c r="B1544">
        <v>23</v>
      </c>
      <c r="C1544" s="58">
        <v>44852</v>
      </c>
      <c r="D1544" t="s">
        <v>27</v>
      </c>
      <c r="E1544" t="s">
        <v>5079</v>
      </c>
      <c r="F1544">
        <v>7</v>
      </c>
      <c r="G1544">
        <v>14</v>
      </c>
      <c r="H1544">
        <v>746</v>
      </c>
      <c r="I1544">
        <v>1</v>
      </c>
      <c r="J1544">
        <v>38.909999999999997</v>
      </c>
      <c r="K1544" t="s">
        <v>25</v>
      </c>
      <c r="L1544">
        <v>4094067.01</v>
      </c>
      <c r="M1544">
        <v>0</v>
      </c>
      <c r="N1544">
        <v>4094067.01</v>
      </c>
      <c r="O1544">
        <v>105218.89000257004</v>
      </c>
      <c r="P1544">
        <v>856020</v>
      </c>
      <c r="Q1544">
        <v>3238047.01</v>
      </c>
      <c r="R1544">
        <v>83218.890002570028</v>
      </c>
      <c r="S1544" t="s">
        <v>65</v>
      </c>
      <c r="T1544" t="s">
        <v>717</v>
      </c>
      <c r="U1544" t="s">
        <v>717</v>
      </c>
      <c r="V1544" t="s">
        <v>4131</v>
      </c>
      <c r="W1544">
        <v>44851</v>
      </c>
      <c r="X1544" t="s">
        <v>7020</v>
      </c>
      <c r="Y1544" t="s">
        <v>6</v>
      </c>
      <c r="Z1544" t="s">
        <v>17</v>
      </c>
      <c r="AA1544" t="s">
        <v>6637</v>
      </c>
      <c r="AB1544" t="s">
        <v>2509</v>
      </c>
      <c r="AC1544" t="s">
        <v>2571</v>
      </c>
      <c r="AD1544" t="s">
        <v>717</v>
      </c>
      <c r="AE1544" t="s">
        <v>7021</v>
      </c>
      <c r="AF1544" t="s">
        <v>7022</v>
      </c>
      <c r="AG1544" t="s">
        <v>7023</v>
      </c>
      <c r="AH1544" t="s">
        <v>2616</v>
      </c>
      <c r="AI1544" t="s">
        <v>2552</v>
      </c>
      <c r="AJ1544" t="s">
        <v>2662</v>
      </c>
      <c r="AK1544" t="s">
        <v>77</v>
      </c>
      <c r="AL1544" t="s">
        <v>16</v>
      </c>
      <c r="AM1544" t="s">
        <v>10</v>
      </c>
      <c r="AN1544" t="s">
        <v>6708</v>
      </c>
    </row>
    <row r="1545" spans="1:40" hidden="1">
      <c r="A1545">
        <v>1543</v>
      </c>
      <c r="B1545">
        <v>24</v>
      </c>
      <c r="C1545" s="58">
        <v>44853</v>
      </c>
      <c r="D1545" t="s">
        <v>27</v>
      </c>
      <c r="E1545" t="s">
        <v>5079</v>
      </c>
      <c r="F1545">
        <v>2</v>
      </c>
      <c r="G1545">
        <v>4</v>
      </c>
      <c r="H1545">
        <v>651</v>
      </c>
      <c r="I1545">
        <v>1</v>
      </c>
      <c r="J1545">
        <v>40.75</v>
      </c>
      <c r="K1545" t="s">
        <v>9</v>
      </c>
      <c r="L1545">
        <v>3198084.14</v>
      </c>
      <c r="M1545">
        <v>0</v>
      </c>
      <c r="N1545">
        <v>3198084.14</v>
      </c>
      <c r="O1545">
        <v>78480.592392638035</v>
      </c>
      <c r="P1545">
        <v>0</v>
      </c>
      <c r="Q1545">
        <v>3198084.14</v>
      </c>
      <c r="R1545">
        <v>78480.592392638035</v>
      </c>
      <c r="S1545" t="s">
        <v>65</v>
      </c>
      <c r="T1545" t="s">
        <v>2664</v>
      </c>
      <c r="U1545">
        <v>168320.22</v>
      </c>
      <c r="V1545" t="s">
        <v>4131</v>
      </c>
      <c r="W1545">
        <v>44844</v>
      </c>
      <c r="X1545" t="s">
        <v>7024</v>
      </c>
      <c r="Y1545" t="s">
        <v>6</v>
      </c>
      <c r="Z1545" t="s">
        <v>17</v>
      </c>
      <c r="AA1545" t="s">
        <v>6637</v>
      </c>
      <c r="AB1545" t="s">
        <v>2509</v>
      </c>
      <c r="AC1545" t="s">
        <v>2571</v>
      </c>
      <c r="AD1545" t="s">
        <v>717</v>
      </c>
      <c r="AE1545" t="s">
        <v>6907</v>
      </c>
      <c r="AF1545" t="s">
        <v>6908</v>
      </c>
      <c r="AG1545" t="s">
        <v>6909</v>
      </c>
      <c r="AH1545" t="s">
        <v>2615</v>
      </c>
      <c r="AI1545" t="s">
        <v>2600</v>
      </c>
      <c r="AJ1545" t="s">
        <v>3921</v>
      </c>
      <c r="AK1545" t="s">
        <v>77</v>
      </c>
      <c r="AL1545" t="s">
        <v>16</v>
      </c>
      <c r="AM1545" t="s">
        <v>10</v>
      </c>
      <c r="AN1545" t="s">
        <v>6708</v>
      </c>
    </row>
    <row r="1546" spans="1:40" hidden="1">
      <c r="A1546">
        <v>1544</v>
      </c>
      <c r="B1546">
        <v>25</v>
      </c>
      <c r="C1546" s="58">
        <v>44853</v>
      </c>
      <c r="D1546" t="s">
        <v>27</v>
      </c>
      <c r="E1546" t="s">
        <v>5079</v>
      </c>
      <c r="F1546">
        <v>3</v>
      </c>
      <c r="G1546">
        <v>18</v>
      </c>
      <c r="H1546">
        <v>777</v>
      </c>
      <c r="I1546">
        <v>0</v>
      </c>
      <c r="J1546">
        <v>24.37</v>
      </c>
      <c r="K1546" t="s">
        <v>15</v>
      </c>
      <c r="L1546">
        <v>2298491.89</v>
      </c>
      <c r="M1546">
        <v>0</v>
      </c>
      <c r="N1546">
        <v>2298491.89</v>
      </c>
      <c r="O1546">
        <v>94316.450143619193</v>
      </c>
      <c r="P1546">
        <v>182775.00000000047</v>
      </c>
      <c r="Q1546">
        <v>2115716.8899999997</v>
      </c>
      <c r="R1546">
        <v>86816.450143619193</v>
      </c>
      <c r="S1546" t="s">
        <v>65</v>
      </c>
      <c r="T1546" t="s">
        <v>717</v>
      </c>
      <c r="U1546" t="s">
        <v>717</v>
      </c>
      <c r="V1546" t="s">
        <v>4131</v>
      </c>
      <c r="W1546">
        <v>44852</v>
      </c>
      <c r="X1546" t="s">
        <v>7025</v>
      </c>
      <c r="Y1546" t="s">
        <v>6</v>
      </c>
      <c r="Z1546" t="s">
        <v>17</v>
      </c>
      <c r="AA1546" t="s">
        <v>6637</v>
      </c>
      <c r="AB1546" t="s">
        <v>2509</v>
      </c>
      <c r="AC1546" t="s">
        <v>2571</v>
      </c>
      <c r="AD1546" t="s">
        <v>717</v>
      </c>
      <c r="AE1546" t="s">
        <v>7026</v>
      </c>
      <c r="AF1546" t="s">
        <v>7027</v>
      </c>
      <c r="AG1546" t="s">
        <v>7028</v>
      </c>
      <c r="AH1546" t="s">
        <v>2191</v>
      </c>
      <c r="AI1546" t="s">
        <v>2552</v>
      </c>
      <c r="AJ1546" t="s">
        <v>2514</v>
      </c>
      <c r="AK1546" t="s">
        <v>73</v>
      </c>
      <c r="AL1546" t="s">
        <v>22</v>
      </c>
      <c r="AM1546" t="s">
        <v>10</v>
      </c>
      <c r="AN1546" t="s">
        <v>6708</v>
      </c>
    </row>
    <row r="1547" spans="1:40" hidden="1">
      <c r="A1547">
        <v>1545</v>
      </c>
      <c r="B1547">
        <v>26</v>
      </c>
      <c r="C1547" s="58">
        <v>44853</v>
      </c>
      <c r="D1547" t="s">
        <v>7</v>
      </c>
      <c r="E1547" t="s">
        <v>2506</v>
      </c>
      <c r="F1547">
        <v>1</v>
      </c>
      <c r="G1547">
        <v>13</v>
      </c>
      <c r="H1547">
        <v>209</v>
      </c>
      <c r="I1547">
        <v>0</v>
      </c>
      <c r="J1547">
        <v>28.97</v>
      </c>
      <c r="K1547" t="s">
        <v>9</v>
      </c>
      <c r="L1547">
        <v>2184656.67</v>
      </c>
      <c r="M1547">
        <v>0</v>
      </c>
      <c r="N1547">
        <v>2184656.67</v>
      </c>
      <c r="O1547">
        <v>75411</v>
      </c>
      <c r="P1547">
        <v>0</v>
      </c>
      <c r="Q1547">
        <v>2184656.67</v>
      </c>
      <c r="R1547">
        <v>75411</v>
      </c>
      <c r="S1547" t="s">
        <v>130</v>
      </c>
      <c r="T1547" t="s">
        <v>2664</v>
      </c>
      <c r="U1547">
        <v>114981.93000000015</v>
      </c>
      <c r="V1547" t="s">
        <v>717</v>
      </c>
      <c r="W1547">
        <v>44852</v>
      </c>
      <c r="X1547" t="s">
        <v>7029</v>
      </c>
      <c r="Y1547" t="s">
        <v>6</v>
      </c>
      <c r="Z1547" t="s">
        <v>17</v>
      </c>
      <c r="AA1547" t="s">
        <v>6637</v>
      </c>
      <c r="AB1547" t="s">
        <v>2509</v>
      </c>
      <c r="AC1547" t="s">
        <v>717</v>
      </c>
      <c r="AD1547" t="s">
        <v>717</v>
      </c>
      <c r="AE1547" t="s">
        <v>4722</v>
      </c>
      <c r="AF1547" t="s">
        <v>7030</v>
      </c>
      <c r="AG1547" t="s">
        <v>4724</v>
      </c>
      <c r="AH1547" t="s">
        <v>2191</v>
      </c>
      <c r="AI1547" t="s">
        <v>2600</v>
      </c>
      <c r="AJ1547" t="s">
        <v>2514</v>
      </c>
      <c r="AK1547" t="s">
        <v>73</v>
      </c>
      <c r="AL1547" t="s">
        <v>717</v>
      </c>
      <c r="AM1547" t="s">
        <v>10</v>
      </c>
      <c r="AN1547" t="s">
        <v>717</v>
      </c>
    </row>
    <row r="1548" spans="1:40" hidden="1">
      <c r="A1548">
        <v>1546</v>
      </c>
      <c r="B1548">
        <v>27</v>
      </c>
      <c r="C1548" s="58">
        <v>44854</v>
      </c>
      <c r="D1548" t="s">
        <v>27</v>
      </c>
      <c r="E1548" t="s">
        <v>2506</v>
      </c>
      <c r="F1548">
        <v>3</v>
      </c>
      <c r="G1548">
        <v>9</v>
      </c>
      <c r="H1548">
        <v>266</v>
      </c>
      <c r="I1548">
        <v>0</v>
      </c>
      <c r="J1548">
        <v>23.54</v>
      </c>
      <c r="K1548" t="s">
        <v>25</v>
      </c>
      <c r="L1548">
        <v>2351760.27</v>
      </c>
      <c r="M1548">
        <v>0</v>
      </c>
      <c r="N1548">
        <v>2351760.27</v>
      </c>
      <c r="O1548">
        <v>99904.854290569245</v>
      </c>
      <c r="P1548">
        <v>517880</v>
      </c>
      <c r="Q1548">
        <v>1833880.27</v>
      </c>
      <c r="R1548">
        <v>77904.854290569245</v>
      </c>
      <c r="S1548" t="s">
        <v>65</v>
      </c>
      <c r="T1548" t="s">
        <v>2664</v>
      </c>
      <c r="U1548">
        <v>96520.01</v>
      </c>
      <c r="V1548" t="s">
        <v>4131</v>
      </c>
      <c r="W1548">
        <v>44848</v>
      </c>
      <c r="X1548" t="s">
        <v>6411</v>
      </c>
      <c r="Y1548" t="s">
        <v>6</v>
      </c>
      <c r="Z1548" t="s">
        <v>17</v>
      </c>
      <c r="AA1548" t="s">
        <v>6637</v>
      </c>
      <c r="AB1548" t="s">
        <v>2509</v>
      </c>
      <c r="AC1548" t="s">
        <v>2571</v>
      </c>
      <c r="AD1548" t="s">
        <v>717</v>
      </c>
      <c r="AE1548" t="s">
        <v>7031</v>
      </c>
      <c r="AF1548" t="s">
        <v>7032</v>
      </c>
      <c r="AG1548" t="s">
        <v>7033</v>
      </c>
      <c r="AH1548" t="s">
        <v>2615</v>
      </c>
      <c r="AI1548" t="s">
        <v>2552</v>
      </c>
      <c r="AJ1548" t="s">
        <v>4799</v>
      </c>
      <c r="AK1548" t="s">
        <v>77</v>
      </c>
      <c r="AL1548" t="s">
        <v>22</v>
      </c>
      <c r="AM1548" t="s">
        <v>10</v>
      </c>
      <c r="AN1548" t="s">
        <v>6708</v>
      </c>
    </row>
    <row r="1549" spans="1:40" hidden="1">
      <c r="A1549">
        <v>1547</v>
      </c>
      <c r="B1549">
        <v>28</v>
      </c>
      <c r="C1549" s="58">
        <v>44854</v>
      </c>
      <c r="D1549" t="s">
        <v>27</v>
      </c>
      <c r="E1549" t="s">
        <v>2506</v>
      </c>
      <c r="F1549">
        <v>7</v>
      </c>
      <c r="G1549">
        <v>5</v>
      </c>
      <c r="H1549">
        <v>238</v>
      </c>
      <c r="I1549">
        <v>2</v>
      </c>
      <c r="J1549">
        <v>59.93</v>
      </c>
      <c r="K1549" t="s">
        <v>9</v>
      </c>
      <c r="L1549">
        <v>4274829.07</v>
      </c>
      <c r="M1549">
        <v>0</v>
      </c>
      <c r="N1549">
        <v>4274829.07</v>
      </c>
      <c r="O1549">
        <v>71330.369931586858</v>
      </c>
      <c r="P1549">
        <v>0</v>
      </c>
      <c r="Q1549">
        <v>4274829.07</v>
      </c>
      <c r="R1549">
        <v>71330.369931586858</v>
      </c>
      <c r="S1549" t="s">
        <v>65</v>
      </c>
      <c r="T1549" t="s">
        <v>2664</v>
      </c>
      <c r="U1549">
        <v>224991</v>
      </c>
      <c r="V1549" t="s">
        <v>6312</v>
      </c>
      <c r="W1549">
        <v>44851</v>
      </c>
      <c r="X1549" t="s">
        <v>7034</v>
      </c>
      <c r="Y1549" t="s">
        <v>6</v>
      </c>
      <c r="Z1549" t="s">
        <v>17</v>
      </c>
      <c r="AA1549" t="s">
        <v>6637</v>
      </c>
      <c r="AB1549" t="s">
        <v>2509</v>
      </c>
      <c r="AC1549" t="s">
        <v>2571</v>
      </c>
      <c r="AD1549" t="s">
        <v>717</v>
      </c>
      <c r="AE1549" t="s">
        <v>7035</v>
      </c>
      <c r="AF1549" t="s">
        <v>7036</v>
      </c>
      <c r="AG1549" t="s">
        <v>7037</v>
      </c>
      <c r="AH1549" t="s">
        <v>2615</v>
      </c>
      <c r="AI1549" t="s">
        <v>2552</v>
      </c>
      <c r="AJ1549" t="s">
        <v>2895</v>
      </c>
      <c r="AK1549" t="s">
        <v>77</v>
      </c>
      <c r="AL1549" t="s">
        <v>22</v>
      </c>
      <c r="AM1549" t="s">
        <v>10</v>
      </c>
      <c r="AN1549" t="s">
        <v>6708</v>
      </c>
    </row>
    <row r="1550" spans="1:40" hidden="1">
      <c r="A1550">
        <v>1548</v>
      </c>
      <c r="B1550">
        <v>29</v>
      </c>
      <c r="C1550" s="58">
        <v>44855</v>
      </c>
      <c r="D1550" t="s">
        <v>27</v>
      </c>
      <c r="E1550" t="s">
        <v>4409</v>
      </c>
      <c r="F1550">
        <v>4</v>
      </c>
      <c r="G1550">
        <v>16</v>
      </c>
      <c r="H1550">
        <v>627</v>
      </c>
      <c r="I1550">
        <v>1</v>
      </c>
      <c r="J1550">
        <v>40</v>
      </c>
      <c r="K1550" t="s">
        <v>9</v>
      </c>
      <c r="L1550">
        <v>2844549.28</v>
      </c>
      <c r="M1550">
        <v>0</v>
      </c>
      <c r="N1550">
        <v>2844549.28</v>
      </c>
      <c r="O1550">
        <v>71113.731999999989</v>
      </c>
      <c r="P1550">
        <v>0</v>
      </c>
      <c r="Q1550">
        <v>2844549.28</v>
      </c>
      <c r="R1550">
        <v>71113.731999999989</v>
      </c>
      <c r="S1550" t="s">
        <v>65</v>
      </c>
      <c r="T1550" t="s">
        <v>2664</v>
      </c>
      <c r="U1550">
        <v>149713.12</v>
      </c>
      <c r="V1550" t="s">
        <v>4131</v>
      </c>
      <c r="W1550">
        <v>44851</v>
      </c>
      <c r="X1550" t="s">
        <v>7038</v>
      </c>
      <c r="Y1550" t="s">
        <v>6</v>
      </c>
      <c r="Z1550" t="s">
        <v>17</v>
      </c>
      <c r="AA1550" t="s">
        <v>6637</v>
      </c>
      <c r="AB1550" t="s">
        <v>2509</v>
      </c>
      <c r="AC1550" t="s">
        <v>2571</v>
      </c>
      <c r="AD1550" t="s">
        <v>717</v>
      </c>
      <c r="AE1550" t="s">
        <v>7039</v>
      </c>
      <c r="AF1550" t="s">
        <v>7040</v>
      </c>
      <c r="AG1550" t="s">
        <v>7041</v>
      </c>
      <c r="AH1550" t="s">
        <v>2615</v>
      </c>
      <c r="AI1550" t="s">
        <v>2706</v>
      </c>
      <c r="AJ1550" t="s">
        <v>2569</v>
      </c>
      <c r="AK1550" t="s">
        <v>77</v>
      </c>
      <c r="AL1550" t="s">
        <v>16</v>
      </c>
      <c r="AM1550" t="s">
        <v>10</v>
      </c>
      <c r="AN1550" t="s">
        <v>6708</v>
      </c>
    </row>
    <row r="1551" spans="1:40" hidden="1">
      <c r="A1551">
        <v>1549</v>
      </c>
      <c r="B1551">
        <v>30</v>
      </c>
      <c r="C1551" s="58">
        <v>44858</v>
      </c>
      <c r="D1551" t="s">
        <v>7</v>
      </c>
      <c r="E1551" t="s">
        <v>2506</v>
      </c>
      <c r="F1551">
        <v>4</v>
      </c>
      <c r="G1551">
        <v>16</v>
      </c>
      <c r="H1551">
        <v>236</v>
      </c>
      <c r="I1551">
        <v>1</v>
      </c>
      <c r="J1551">
        <v>37.81</v>
      </c>
      <c r="K1551" t="s">
        <v>9</v>
      </c>
      <c r="L1551">
        <v>2855514.05</v>
      </c>
      <c r="M1551">
        <v>0</v>
      </c>
      <c r="N1551">
        <v>2855514.05</v>
      </c>
      <c r="O1551">
        <v>75522.720179846598</v>
      </c>
      <c r="P1551">
        <v>0</v>
      </c>
      <c r="Q1551">
        <v>2855514.05</v>
      </c>
      <c r="R1551">
        <v>75522.720179846598</v>
      </c>
      <c r="S1551" t="s">
        <v>65</v>
      </c>
      <c r="T1551" t="s">
        <v>2664</v>
      </c>
      <c r="U1551">
        <v>150290.21</v>
      </c>
      <c r="V1551" t="s">
        <v>6312</v>
      </c>
      <c r="W1551">
        <v>44851</v>
      </c>
      <c r="X1551" t="s">
        <v>7042</v>
      </c>
      <c r="Y1551" t="s">
        <v>6</v>
      </c>
      <c r="Z1551" t="s">
        <v>17</v>
      </c>
      <c r="AA1551" t="s">
        <v>6637</v>
      </c>
      <c r="AB1551" t="s">
        <v>2509</v>
      </c>
      <c r="AC1551" t="s">
        <v>2571</v>
      </c>
      <c r="AD1551" t="s">
        <v>717</v>
      </c>
      <c r="AE1551" t="s">
        <v>7043</v>
      </c>
      <c r="AF1551" t="s">
        <v>7044</v>
      </c>
      <c r="AG1551" t="s">
        <v>7045</v>
      </c>
      <c r="AH1551" t="s">
        <v>2615</v>
      </c>
      <c r="AI1551" t="s">
        <v>3120</v>
      </c>
      <c r="AJ1551" t="s">
        <v>3202</v>
      </c>
      <c r="AK1551" t="s">
        <v>73</v>
      </c>
      <c r="AL1551" t="s">
        <v>22</v>
      </c>
      <c r="AM1551" t="s">
        <v>10</v>
      </c>
      <c r="AN1551" t="s">
        <v>6708</v>
      </c>
    </row>
    <row r="1552" spans="1:40" hidden="1">
      <c r="A1552">
        <v>1550</v>
      </c>
      <c r="B1552">
        <v>31</v>
      </c>
      <c r="C1552" s="58">
        <v>44858</v>
      </c>
      <c r="D1552" t="s">
        <v>27</v>
      </c>
      <c r="E1552" t="s">
        <v>2506</v>
      </c>
      <c r="F1552">
        <v>7</v>
      </c>
      <c r="G1552">
        <v>11</v>
      </c>
      <c r="H1552">
        <v>286</v>
      </c>
      <c r="I1552">
        <v>2</v>
      </c>
      <c r="J1552">
        <v>59.93</v>
      </c>
      <c r="K1552" t="s">
        <v>25</v>
      </c>
      <c r="L1552">
        <v>5593289.0700000003</v>
      </c>
      <c r="M1552">
        <v>0</v>
      </c>
      <c r="N1552">
        <v>5593289.0700000003</v>
      </c>
      <c r="O1552">
        <v>93330.369931586858</v>
      </c>
      <c r="P1552">
        <v>1318459.9999999972</v>
      </c>
      <c r="Q1552">
        <v>4274829.0700000031</v>
      </c>
      <c r="R1552">
        <v>71330.369931586902</v>
      </c>
      <c r="S1552" t="s">
        <v>65</v>
      </c>
      <c r="T1552" t="s">
        <v>2664</v>
      </c>
      <c r="U1552">
        <v>224991.00368421059</v>
      </c>
      <c r="V1552" t="s">
        <v>6312</v>
      </c>
      <c r="W1552">
        <v>44854</v>
      </c>
      <c r="X1552" t="s">
        <v>7046</v>
      </c>
      <c r="Y1552" t="s">
        <v>6</v>
      </c>
      <c r="Z1552" t="s">
        <v>17</v>
      </c>
      <c r="AA1552" t="s">
        <v>5617</v>
      </c>
      <c r="AB1552" t="s">
        <v>2509</v>
      </c>
      <c r="AC1552" t="s">
        <v>2564</v>
      </c>
      <c r="AD1552" t="s">
        <v>717</v>
      </c>
      <c r="AE1552" t="s">
        <v>7047</v>
      </c>
      <c r="AF1552" t="s">
        <v>7048</v>
      </c>
      <c r="AG1552" t="s">
        <v>7049</v>
      </c>
      <c r="AH1552" t="s">
        <v>2616</v>
      </c>
      <c r="AI1552" t="s">
        <v>2552</v>
      </c>
      <c r="AJ1552" t="s">
        <v>2895</v>
      </c>
      <c r="AK1552" t="s">
        <v>73</v>
      </c>
      <c r="AL1552" t="s">
        <v>16</v>
      </c>
      <c r="AM1552" t="s">
        <v>10</v>
      </c>
      <c r="AN1552" t="s">
        <v>6708</v>
      </c>
    </row>
    <row r="1553" spans="1:40" hidden="1">
      <c r="A1553">
        <v>1551</v>
      </c>
      <c r="B1553">
        <v>32</v>
      </c>
      <c r="C1553" s="58">
        <v>44858</v>
      </c>
      <c r="D1553" t="s">
        <v>27</v>
      </c>
      <c r="E1553" t="s">
        <v>2515</v>
      </c>
      <c r="F1553">
        <v>8</v>
      </c>
      <c r="G1553">
        <v>19</v>
      </c>
      <c r="H1553">
        <v>161</v>
      </c>
      <c r="I1553">
        <v>1</v>
      </c>
      <c r="J1553">
        <v>37.69</v>
      </c>
      <c r="K1553" t="s">
        <v>9</v>
      </c>
      <c r="L1553">
        <v>3138859.76</v>
      </c>
      <c r="M1553">
        <v>0</v>
      </c>
      <c r="N1553">
        <v>3138859.76</v>
      </c>
      <c r="O1553">
        <v>83280.970018572567</v>
      </c>
      <c r="P1553">
        <v>0</v>
      </c>
      <c r="Q1553">
        <v>3138859.76</v>
      </c>
      <c r="R1553">
        <v>83280.970018572567</v>
      </c>
      <c r="S1553" t="s">
        <v>65</v>
      </c>
      <c r="T1553" t="s">
        <v>717</v>
      </c>
      <c r="U1553" t="s">
        <v>717</v>
      </c>
      <c r="V1553" t="s">
        <v>4131</v>
      </c>
      <c r="W1553">
        <v>44855</v>
      </c>
      <c r="X1553" t="s">
        <v>7050</v>
      </c>
      <c r="Y1553" t="s">
        <v>6</v>
      </c>
      <c r="Z1553" t="s">
        <v>17</v>
      </c>
      <c r="AA1553" t="s">
        <v>6637</v>
      </c>
      <c r="AB1553" t="s">
        <v>2509</v>
      </c>
      <c r="AC1553" t="s">
        <v>2571</v>
      </c>
      <c r="AD1553" t="s">
        <v>717</v>
      </c>
      <c r="AE1553" t="s">
        <v>7051</v>
      </c>
      <c r="AF1553" t="s">
        <v>7052</v>
      </c>
      <c r="AG1553" t="s">
        <v>7053</v>
      </c>
      <c r="AH1553" t="s">
        <v>2615</v>
      </c>
      <c r="AI1553" t="s">
        <v>2656</v>
      </c>
      <c r="AJ1553" t="s">
        <v>2895</v>
      </c>
      <c r="AK1553" t="s">
        <v>77</v>
      </c>
      <c r="AL1553" t="s">
        <v>22</v>
      </c>
      <c r="AM1553" t="s">
        <v>10</v>
      </c>
      <c r="AN1553" t="s">
        <v>6708</v>
      </c>
    </row>
    <row r="1554" spans="1:40" hidden="1">
      <c r="A1554">
        <v>1552</v>
      </c>
      <c r="B1554">
        <v>33</v>
      </c>
      <c r="C1554" s="58">
        <v>44858</v>
      </c>
      <c r="D1554" t="s">
        <v>27</v>
      </c>
      <c r="E1554" t="s">
        <v>5079</v>
      </c>
      <c r="F1554">
        <v>7</v>
      </c>
      <c r="G1554">
        <v>5</v>
      </c>
      <c r="H1554">
        <v>665</v>
      </c>
      <c r="I1554">
        <v>1</v>
      </c>
      <c r="J1554">
        <v>38.909999999999997</v>
      </c>
      <c r="K1554" t="s">
        <v>15</v>
      </c>
      <c r="L1554">
        <v>3506649.35</v>
      </c>
      <c r="M1554">
        <v>0</v>
      </c>
      <c r="N1554">
        <v>3506649.35</v>
      </c>
      <c r="O1554">
        <v>90122.059881778478</v>
      </c>
      <c r="P1554">
        <v>291824.9999999986</v>
      </c>
      <c r="Q1554">
        <v>3214824.3500000015</v>
      </c>
      <c r="R1554">
        <v>82622.059881778507</v>
      </c>
      <c r="S1554" t="s">
        <v>65</v>
      </c>
      <c r="T1554" t="s">
        <v>717</v>
      </c>
      <c r="U1554" t="s">
        <v>717</v>
      </c>
      <c r="V1554" t="s">
        <v>4131</v>
      </c>
      <c r="W1554">
        <v>44855</v>
      </c>
      <c r="X1554" t="s">
        <v>7054</v>
      </c>
      <c r="Y1554" t="s">
        <v>6</v>
      </c>
      <c r="Z1554" t="s">
        <v>17</v>
      </c>
      <c r="AA1554" t="s">
        <v>6637</v>
      </c>
      <c r="AB1554" t="s">
        <v>2509</v>
      </c>
      <c r="AC1554" t="s">
        <v>2571</v>
      </c>
      <c r="AD1554" t="s">
        <v>717</v>
      </c>
      <c r="AE1554" t="s">
        <v>7055</v>
      </c>
      <c r="AF1554" t="s">
        <v>7056</v>
      </c>
      <c r="AG1554" t="s">
        <v>7057</v>
      </c>
      <c r="AH1554" t="s">
        <v>2191</v>
      </c>
      <c r="AI1554" t="s">
        <v>2552</v>
      </c>
      <c r="AJ1554" t="s">
        <v>2514</v>
      </c>
      <c r="AK1554" t="s">
        <v>73</v>
      </c>
      <c r="AL1554" t="s">
        <v>16</v>
      </c>
      <c r="AM1554" t="s">
        <v>10</v>
      </c>
      <c r="AN1554" t="s">
        <v>6708</v>
      </c>
    </row>
    <row r="1555" spans="1:40" hidden="1">
      <c r="A1555">
        <v>1553</v>
      </c>
      <c r="B1555">
        <v>34</v>
      </c>
      <c r="C1555" s="58">
        <v>44859</v>
      </c>
      <c r="D1555" t="s">
        <v>27</v>
      </c>
      <c r="E1555" t="s">
        <v>5456</v>
      </c>
      <c r="F1555">
        <v>1</v>
      </c>
      <c r="G1555">
        <v>7</v>
      </c>
      <c r="H1555">
        <v>876</v>
      </c>
      <c r="I1555">
        <v>1</v>
      </c>
      <c r="J1555">
        <v>37.15</v>
      </c>
      <c r="K1555" t="s">
        <v>9</v>
      </c>
      <c r="L1555">
        <v>3069834.9</v>
      </c>
      <c r="M1555">
        <v>0</v>
      </c>
      <c r="N1555">
        <v>3069834.9</v>
      </c>
      <c r="O1555">
        <v>82633.510094212659</v>
      </c>
      <c r="P1555">
        <v>0</v>
      </c>
      <c r="Q1555">
        <v>3069834.9</v>
      </c>
      <c r="R1555">
        <v>82633.510094212659</v>
      </c>
      <c r="S1555" t="s">
        <v>65</v>
      </c>
      <c r="T1555" t="s">
        <v>717</v>
      </c>
      <c r="U1555" t="s">
        <v>717</v>
      </c>
      <c r="V1555" t="s">
        <v>4131</v>
      </c>
      <c r="W1555">
        <v>44853</v>
      </c>
      <c r="X1555" t="s">
        <v>7058</v>
      </c>
      <c r="Y1555" t="s">
        <v>6</v>
      </c>
      <c r="Z1555" t="s">
        <v>17</v>
      </c>
      <c r="AA1555" t="s">
        <v>6637</v>
      </c>
      <c r="AB1555" t="s">
        <v>2509</v>
      </c>
      <c r="AC1555" t="s">
        <v>2571</v>
      </c>
      <c r="AD1555" t="s">
        <v>717</v>
      </c>
      <c r="AE1555" t="s">
        <v>7059</v>
      </c>
      <c r="AF1555" t="s">
        <v>7060</v>
      </c>
      <c r="AG1555" t="s">
        <v>7061</v>
      </c>
      <c r="AH1555" t="s">
        <v>2615</v>
      </c>
      <c r="AI1555" t="s">
        <v>2552</v>
      </c>
      <c r="AJ1555" t="s">
        <v>2895</v>
      </c>
      <c r="AK1555" t="s">
        <v>73</v>
      </c>
      <c r="AL1555" t="s">
        <v>22</v>
      </c>
      <c r="AM1555" t="s">
        <v>10</v>
      </c>
      <c r="AN1555" t="s">
        <v>6708</v>
      </c>
    </row>
    <row r="1556" spans="1:40" hidden="1">
      <c r="A1556">
        <v>1554</v>
      </c>
      <c r="B1556">
        <v>35</v>
      </c>
      <c r="C1556" s="58">
        <v>44859</v>
      </c>
      <c r="D1556" t="s">
        <v>27</v>
      </c>
      <c r="E1556" t="s">
        <v>2506</v>
      </c>
      <c r="F1556">
        <v>3</v>
      </c>
      <c r="G1556">
        <v>22</v>
      </c>
      <c r="H1556">
        <v>370</v>
      </c>
      <c r="I1556">
        <v>0</v>
      </c>
      <c r="J1556">
        <v>23.54</v>
      </c>
      <c r="K1556" t="s">
        <v>25</v>
      </c>
      <c r="L1556">
        <v>2561199.08</v>
      </c>
      <c r="M1556">
        <v>0</v>
      </c>
      <c r="N1556">
        <v>2561199.08</v>
      </c>
      <c r="O1556">
        <v>108802</v>
      </c>
      <c r="P1556">
        <v>517880.00000000023</v>
      </c>
      <c r="Q1556">
        <v>2043319.08</v>
      </c>
      <c r="R1556">
        <v>86802</v>
      </c>
      <c r="S1556" t="s">
        <v>65</v>
      </c>
      <c r="T1556" t="s">
        <v>717</v>
      </c>
      <c r="U1556" t="s">
        <v>717</v>
      </c>
      <c r="V1556" t="s">
        <v>6312</v>
      </c>
      <c r="W1556">
        <v>44855</v>
      </c>
      <c r="X1556" t="s">
        <v>7062</v>
      </c>
      <c r="Y1556" t="s">
        <v>6</v>
      </c>
      <c r="Z1556" t="s">
        <v>17</v>
      </c>
      <c r="AA1556" t="s">
        <v>6637</v>
      </c>
      <c r="AB1556" t="s">
        <v>2509</v>
      </c>
      <c r="AC1556" t="s">
        <v>2571</v>
      </c>
      <c r="AD1556" t="s">
        <v>717</v>
      </c>
      <c r="AE1556" t="s">
        <v>7063</v>
      </c>
      <c r="AF1556" t="s">
        <v>7064</v>
      </c>
      <c r="AG1556" t="s">
        <v>7065</v>
      </c>
      <c r="AH1556" t="s">
        <v>2191</v>
      </c>
      <c r="AI1556" t="s">
        <v>2538</v>
      </c>
      <c r="AJ1556" t="s">
        <v>2514</v>
      </c>
      <c r="AK1556" t="s">
        <v>77</v>
      </c>
      <c r="AL1556" t="s">
        <v>16</v>
      </c>
      <c r="AM1556" t="s">
        <v>10</v>
      </c>
      <c r="AN1556" t="s">
        <v>6708</v>
      </c>
    </row>
    <row r="1557" spans="1:40" hidden="1">
      <c r="A1557">
        <v>1555</v>
      </c>
      <c r="B1557">
        <v>36</v>
      </c>
      <c r="C1557" s="58">
        <v>44859</v>
      </c>
      <c r="D1557" t="s">
        <v>121</v>
      </c>
      <c r="E1557" t="s">
        <v>2515</v>
      </c>
      <c r="F1557">
        <v>1</v>
      </c>
      <c r="G1557">
        <v>13</v>
      </c>
      <c r="H1557">
        <v>78</v>
      </c>
      <c r="I1557">
        <v>2</v>
      </c>
      <c r="J1557">
        <v>60.8</v>
      </c>
      <c r="K1557" t="s">
        <v>9</v>
      </c>
      <c r="L1557">
        <v>4943040</v>
      </c>
      <c r="M1557">
        <v>0</v>
      </c>
      <c r="N1557">
        <v>4943040</v>
      </c>
      <c r="O1557">
        <v>81300</v>
      </c>
      <c r="P1557">
        <v>0</v>
      </c>
      <c r="Q1557">
        <v>4943040</v>
      </c>
      <c r="R1557">
        <v>81300</v>
      </c>
      <c r="S1557" t="s">
        <v>65</v>
      </c>
      <c r="T1557" t="s">
        <v>5386</v>
      </c>
      <c r="U1557">
        <v>1098358.3799999999</v>
      </c>
      <c r="V1557" t="s">
        <v>4131</v>
      </c>
      <c r="W1557">
        <v>44855</v>
      </c>
      <c r="X1557" t="s">
        <v>7066</v>
      </c>
      <c r="Y1557" t="s">
        <v>6</v>
      </c>
      <c r="Z1557" t="s">
        <v>17</v>
      </c>
      <c r="AA1557" t="s">
        <v>6637</v>
      </c>
      <c r="AB1557" t="s">
        <v>326</v>
      </c>
      <c r="AC1557" t="s">
        <v>2571</v>
      </c>
      <c r="AD1557" t="s">
        <v>717</v>
      </c>
      <c r="AE1557" t="s">
        <v>7067</v>
      </c>
      <c r="AF1557" t="s">
        <v>7068</v>
      </c>
      <c r="AG1557" t="s">
        <v>7069</v>
      </c>
      <c r="AH1557" t="s">
        <v>2615</v>
      </c>
      <c r="AI1557" t="s">
        <v>2547</v>
      </c>
      <c r="AJ1557" t="s">
        <v>3298</v>
      </c>
      <c r="AK1557" t="s">
        <v>77</v>
      </c>
      <c r="AL1557" t="s">
        <v>16</v>
      </c>
      <c r="AM1557" t="s">
        <v>10</v>
      </c>
      <c r="AN1557" t="s">
        <v>6708</v>
      </c>
    </row>
    <row r="1558" spans="1:40" hidden="1">
      <c r="A1558">
        <v>1556</v>
      </c>
      <c r="B1558">
        <v>37</v>
      </c>
      <c r="C1558" s="58">
        <v>44859</v>
      </c>
      <c r="D1558" t="s">
        <v>27</v>
      </c>
      <c r="E1558" t="s">
        <v>4409</v>
      </c>
      <c r="F1558">
        <v>2</v>
      </c>
      <c r="G1558">
        <v>10</v>
      </c>
      <c r="H1558">
        <v>577</v>
      </c>
      <c r="I1558">
        <v>1</v>
      </c>
      <c r="J1558">
        <v>37.159999999999997</v>
      </c>
      <c r="K1558" t="s">
        <v>15</v>
      </c>
      <c r="L1558">
        <v>3090477.82</v>
      </c>
      <c r="M1558">
        <v>0</v>
      </c>
      <c r="N1558">
        <v>3090477.82</v>
      </c>
      <c r="O1558">
        <v>83166.787405812705</v>
      </c>
      <c r="P1558">
        <v>278700</v>
      </c>
      <c r="Q1558">
        <v>2811777.82</v>
      </c>
      <c r="R1558">
        <v>75666.787405812705</v>
      </c>
      <c r="S1558" t="s">
        <v>2507</v>
      </c>
      <c r="T1558" t="s">
        <v>2664</v>
      </c>
      <c r="U1558">
        <v>147988.31</v>
      </c>
      <c r="V1558" t="s">
        <v>717</v>
      </c>
      <c r="W1558">
        <v>44857</v>
      </c>
      <c r="X1558" t="s">
        <v>7070</v>
      </c>
      <c r="Y1558" t="s">
        <v>6</v>
      </c>
      <c r="Z1558" t="s">
        <v>17</v>
      </c>
      <c r="AA1558" t="s">
        <v>6637</v>
      </c>
      <c r="AB1558" t="s">
        <v>2509</v>
      </c>
      <c r="AC1558" t="s">
        <v>717</v>
      </c>
      <c r="AD1558" t="s">
        <v>717</v>
      </c>
      <c r="AE1558" t="s">
        <v>7071</v>
      </c>
      <c r="AF1558" t="s">
        <v>7072</v>
      </c>
      <c r="AG1558" t="s">
        <v>7073</v>
      </c>
      <c r="AH1558" t="s">
        <v>2615</v>
      </c>
      <c r="AI1558" t="s">
        <v>2847</v>
      </c>
      <c r="AJ1558" t="s">
        <v>2940</v>
      </c>
      <c r="AK1558" t="s">
        <v>73</v>
      </c>
      <c r="AL1558" t="s">
        <v>717</v>
      </c>
      <c r="AM1558" t="s">
        <v>10</v>
      </c>
      <c r="AN1558" t="s">
        <v>6708</v>
      </c>
    </row>
    <row r="1559" spans="1:40" hidden="1">
      <c r="A1559">
        <v>1557</v>
      </c>
      <c r="B1559">
        <v>38</v>
      </c>
      <c r="C1559" s="58">
        <v>44859</v>
      </c>
      <c r="D1559" t="s">
        <v>121</v>
      </c>
      <c r="E1559" t="s">
        <v>2515</v>
      </c>
      <c r="F1559">
        <v>7</v>
      </c>
      <c r="G1559">
        <v>15</v>
      </c>
      <c r="H1559">
        <v>98</v>
      </c>
      <c r="I1559">
        <v>2</v>
      </c>
      <c r="J1559">
        <v>59.9</v>
      </c>
      <c r="K1559" t="s">
        <v>9</v>
      </c>
      <c r="L1559">
        <v>4869870</v>
      </c>
      <c r="M1559">
        <v>0</v>
      </c>
      <c r="N1559">
        <v>4869870</v>
      </c>
      <c r="O1559">
        <v>81300</v>
      </c>
      <c r="P1559">
        <v>0</v>
      </c>
      <c r="Q1559">
        <v>4869870</v>
      </c>
      <c r="R1559">
        <v>81300</v>
      </c>
      <c r="S1559" t="s">
        <v>65</v>
      </c>
      <c r="T1559" t="s">
        <v>5386</v>
      </c>
      <c r="U1559">
        <v>875085.9</v>
      </c>
      <c r="V1559" t="s">
        <v>4131</v>
      </c>
      <c r="W1559">
        <v>44858</v>
      </c>
      <c r="X1559" t="s">
        <v>7074</v>
      </c>
      <c r="Y1559" t="s">
        <v>6</v>
      </c>
      <c r="Z1559" t="s">
        <v>17</v>
      </c>
      <c r="AA1559" t="s">
        <v>6637</v>
      </c>
      <c r="AB1559" t="s">
        <v>326</v>
      </c>
      <c r="AC1559" t="s">
        <v>2571</v>
      </c>
      <c r="AD1559" t="s">
        <v>717</v>
      </c>
      <c r="AE1559" t="s">
        <v>7075</v>
      </c>
      <c r="AF1559" t="s">
        <v>7076</v>
      </c>
      <c r="AG1559" t="s">
        <v>7077</v>
      </c>
      <c r="AH1559" t="s">
        <v>2191</v>
      </c>
      <c r="AI1559" t="s">
        <v>2538</v>
      </c>
      <c r="AJ1559" t="s">
        <v>2514</v>
      </c>
      <c r="AK1559" t="s">
        <v>77</v>
      </c>
      <c r="AL1559" t="s">
        <v>16</v>
      </c>
      <c r="AM1559" t="s">
        <v>10</v>
      </c>
      <c r="AN1559" t="s">
        <v>6708</v>
      </c>
    </row>
    <row r="1560" spans="1:40" hidden="1">
      <c r="A1560">
        <v>1558</v>
      </c>
      <c r="B1560">
        <v>39</v>
      </c>
      <c r="C1560" s="58">
        <v>44859</v>
      </c>
      <c r="D1560" t="s">
        <v>27</v>
      </c>
      <c r="E1560" t="s">
        <v>5456</v>
      </c>
      <c r="F1560">
        <v>3</v>
      </c>
      <c r="G1560">
        <v>9</v>
      </c>
      <c r="H1560">
        <v>896</v>
      </c>
      <c r="I1560">
        <v>1</v>
      </c>
      <c r="J1560">
        <v>37.31</v>
      </c>
      <c r="K1560" t="s">
        <v>25</v>
      </c>
      <c r="L1560">
        <v>3777495.46</v>
      </c>
      <c r="M1560">
        <v>15000</v>
      </c>
      <c r="N1560">
        <v>3792495.46</v>
      </c>
      <c r="O1560">
        <v>101648.2299651568</v>
      </c>
      <c r="P1560">
        <v>820819.99999999953</v>
      </c>
      <c r="Q1560">
        <v>2971675.4600000004</v>
      </c>
      <c r="R1560">
        <v>79648.229965156803</v>
      </c>
      <c r="S1560" t="s">
        <v>65</v>
      </c>
      <c r="T1560" t="s">
        <v>717</v>
      </c>
      <c r="U1560" t="s">
        <v>717</v>
      </c>
      <c r="V1560" t="s">
        <v>4131</v>
      </c>
      <c r="W1560">
        <v>44859</v>
      </c>
      <c r="X1560" t="s">
        <v>7078</v>
      </c>
      <c r="Y1560" t="s">
        <v>6</v>
      </c>
      <c r="Z1560" t="s">
        <v>17</v>
      </c>
      <c r="AA1560" t="s">
        <v>6637</v>
      </c>
      <c r="AB1560" t="s">
        <v>2509</v>
      </c>
      <c r="AC1560" t="s">
        <v>2571</v>
      </c>
      <c r="AD1560" t="s">
        <v>717</v>
      </c>
      <c r="AE1560" t="s">
        <v>7079</v>
      </c>
      <c r="AF1560" t="s">
        <v>7080</v>
      </c>
      <c r="AG1560" t="s">
        <v>7081</v>
      </c>
      <c r="AH1560" t="s">
        <v>2191</v>
      </c>
      <c r="AI1560" t="s">
        <v>2552</v>
      </c>
      <c r="AJ1560" t="s">
        <v>2514</v>
      </c>
      <c r="AK1560" t="s">
        <v>77</v>
      </c>
      <c r="AL1560" t="s">
        <v>16</v>
      </c>
      <c r="AM1560" t="s">
        <v>10</v>
      </c>
      <c r="AN1560" t="s">
        <v>6708</v>
      </c>
    </row>
    <row r="1561" spans="1:40" hidden="1">
      <c r="A1561">
        <v>1559</v>
      </c>
      <c r="B1561">
        <v>40</v>
      </c>
      <c r="C1561" s="58">
        <v>44860</v>
      </c>
      <c r="D1561" t="s">
        <v>7</v>
      </c>
      <c r="E1561" t="s">
        <v>2581</v>
      </c>
      <c r="F1561">
        <v>4</v>
      </c>
      <c r="G1561">
        <v>2</v>
      </c>
      <c r="H1561">
        <v>244</v>
      </c>
      <c r="I1561">
        <v>2</v>
      </c>
      <c r="J1561">
        <v>58.55</v>
      </c>
      <c r="K1561" t="s">
        <v>9</v>
      </c>
      <c r="L1561">
        <v>4178797.81</v>
      </c>
      <c r="M1561">
        <v>0</v>
      </c>
      <c r="N1561">
        <v>4178797.81</v>
      </c>
      <c r="O1561">
        <v>71371.439965841171</v>
      </c>
      <c r="P1561">
        <v>0</v>
      </c>
      <c r="Q1561">
        <v>4178797.81</v>
      </c>
      <c r="R1561">
        <v>71371.439965841171</v>
      </c>
      <c r="S1561" t="s">
        <v>130</v>
      </c>
      <c r="T1561" t="s">
        <v>717</v>
      </c>
      <c r="U1561" t="s">
        <v>717</v>
      </c>
      <c r="V1561" t="s">
        <v>717</v>
      </c>
      <c r="W1561">
        <v>44859</v>
      </c>
      <c r="X1561" t="s">
        <v>7082</v>
      </c>
      <c r="Y1561" t="s">
        <v>6</v>
      </c>
      <c r="Z1561" t="s">
        <v>17</v>
      </c>
      <c r="AA1561" t="s">
        <v>6637</v>
      </c>
      <c r="AB1561" t="s">
        <v>2509</v>
      </c>
      <c r="AC1561" t="s">
        <v>717</v>
      </c>
      <c r="AD1561" t="s">
        <v>717</v>
      </c>
      <c r="AE1561" t="s">
        <v>2607</v>
      </c>
      <c r="AF1561" t="s">
        <v>2608</v>
      </c>
      <c r="AG1561" t="s">
        <v>2609</v>
      </c>
      <c r="AH1561" t="s">
        <v>2191</v>
      </c>
      <c r="AI1561" t="s">
        <v>2600</v>
      </c>
      <c r="AJ1561" t="s">
        <v>3921</v>
      </c>
      <c r="AK1561" t="s">
        <v>73</v>
      </c>
      <c r="AL1561" t="s">
        <v>717</v>
      </c>
      <c r="AM1561" t="s">
        <v>10</v>
      </c>
      <c r="AN1561" t="s">
        <v>717</v>
      </c>
    </row>
    <row r="1562" spans="1:40" hidden="1">
      <c r="A1562">
        <v>1560</v>
      </c>
      <c r="B1562">
        <v>41</v>
      </c>
      <c r="C1562" s="58">
        <v>44861</v>
      </c>
      <c r="D1562" t="s">
        <v>27</v>
      </c>
      <c r="E1562" t="s">
        <v>5079</v>
      </c>
      <c r="F1562">
        <v>5</v>
      </c>
      <c r="G1562">
        <v>12</v>
      </c>
      <c r="H1562">
        <v>726</v>
      </c>
      <c r="I1562">
        <v>1</v>
      </c>
      <c r="J1562">
        <v>38.96</v>
      </c>
      <c r="K1562" t="s">
        <v>15</v>
      </c>
      <c r="L1562">
        <v>3350196</v>
      </c>
      <c r="M1562">
        <v>0</v>
      </c>
      <c r="N1562">
        <v>3350196</v>
      </c>
      <c r="O1562">
        <v>85990.65708418889</v>
      </c>
      <c r="P1562">
        <v>292200</v>
      </c>
      <c r="Q1562">
        <v>3057996</v>
      </c>
      <c r="R1562">
        <v>78490.65708418889</v>
      </c>
      <c r="S1562" t="s">
        <v>65</v>
      </c>
      <c r="T1562" t="s">
        <v>2664</v>
      </c>
      <c r="U1562">
        <v>160947.16899999999</v>
      </c>
      <c r="V1562" t="s">
        <v>4131</v>
      </c>
      <c r="W1562">
        <v>44848</v>
      </c>
      <c r="X1562" t="s">
        <v>7083</v>
      </c>
      <c r="Y1562" t="s">
        <v>6</v>
      </c>
      <c r="Z1562" t="s">
        <v>17</v>
      </c>
      <c r="AA1562" t="s">
        <v>6637</v>
      </c>
      <c r="AB1562" t="s">
        <v>2509</v>
      </c>
      <c r="AC1562" t="s">
        <v>2571</v>
      </c>
      <c r="AD1562" t="s">
        <v>717</v>
      </c>
      <c r="AE1562" t="s">
        <v>7084</v>
      </c>
      <c r="AF1562" t="s">
        <v>7085</v>
      </c>
      <c r="AG1562" t="s">
        <v>7086</v>
      </c>
      <c r="AH1562" t="s">
        <v>2615</v>
      </c>
      <c r="AI1562" t="s">
        <v>3813</v>
      </c>
      <c r="AJ1562" t="s">
        <v>6210</v>
      </c>
      <c r="AK1562" t="s">
        <v>77</v>
      </c>
      <c r="AL1562" t="s">
        <v>22</v>
      </c>
      <c r="AM1562" t="s">
        <v>10</v>
      </c>
      <c r="AN1562" t="s">
        <v>6708</v>
      </c>
    </row>
    <row r="1563" spans="1:40" hidden="1">
      <c r="A1563">
        <v>1561</v>
      </c>
      <c r="B1563">
        <v>42</v>
      </c>
      <c r="C1563" s="58">
        <v>44861</v>
      </c>
      <c r="D1563" t="s">
        <v>27</v>
      </c>
      <c r="E1563" t="s">
        <v>5079</v>
      </c>
      <c r="F1563">
        <v>5</v>
      </c>
      <c r="G1563">
        <v>14</v>
      </c>
      <c r="H1563">
        <v>744</v>
      </c>
      <c r="I1563">
        <v>1</v>
      </c>
      <c r="J1563">
        <v>38.96</v>
      </c>
      <c r="K1563" t="s">
        <v>9</v>
      </c>
      <c r="L1563">
        <v>3235220.09</v>
      </c>
      <c r="M1563">
        <v>0</v>
      </c>
      <c r="N1563">
        <v>3235220.09</v>
      </c>
      <c r="O1563">
        <v>83039.530030800815</v>
      </c>
      <c r="P1563">
        <v>0</v>
      </c>
      <c r="Q1563">
        <v>3235220.09</v>
      </c>
      <c r="R1563">
        <v>83039.530030800815</v>
      </c>
      <c r="S1563" t="s">
        <v>65</v>
      </c>
      <c r="T1563" t="s">
        <v>717</v>
      </c>
      <c r="U1563" t="s">
        <v>717</v>
      </c>
      <c r="V1563" t="s">
        <v>6312</v>
      </c>
      <c r="W1563">
        <v>44858</v>
      </c>
      <c r="X1563" t="s">
        <v>7087</v>
      </c>
      <c r="Y1563" t="s">
        <v>6</v>
      </c>
      <c r="Z1563" t="s">
        <v>17</v>
      </c>
      <c r="AA1563" t="s">
        <v>6637</v>
      </c>
      <c r="AB1563" t="s">
        <v>2509</v>
      </c>
      <c r="AC1563" t="s">
        <v>2571</v>
      </c>
      <c r="AD1563" t="s">
        <v>717</v>
      </c>
      <c r="AE1563" t="s">
        <v>7088</v>
      </c>
      <c r="AF1563" t="s">
        <v>7089</v>
      </c>
      <c r="AG1563" t="s">
        <v>7090</v>
      </c>
      <c r="AH1563" t="s">
        <v>2191</v>
      </c>
      <c r="AI1563" t="s">
        <v>2538</v>
      </c>
      <c r="AJ1563" t="s">
        <v>2514</v>
      </c>
      <c r="AK1563" t="s">
        <v>77</v>
      </c>
      <c r="AL1563" t="s">
        <v>16</v>
      </c>
      <c r="AM1563" t="s">
        <v>10</v>
      </c>
      <c r="AN1563" t="s">
        <v>6708</v>
      </c>
    </row>
    <row r="1564" spans="1:40" hidden="1">
      <c r="A1564">
        <v>1562</v>
      </c>
      <c r="B1564">
        <v>43</v>
      </c>
      <c r="C1564" s="58">
        <v>44861</v>
      </c>
      <c r="D1564" t="s">
        <v>27</v>
      </c>
      <c r="E1564" t="s">
        <v>5079</v>
      </c>
      <c r="F1564">
        <v>7</v>
      </c>
      <c r="G1564">
        <v>6</v>
      </c>
      <c r="H1564">
        <v>674</v>
      </c>
      <c r="I1564">
        <v>1</v>
      </c>
      <c r="J1564">
        <v>38.909999999999997</v>
      </c>
      <c r="K1564" t="s">
        <v>25</v>
      </c>
      <c r="L1564">
        <v>4070844.35</v>
      </c>
      <c r="M1564">
        <v>0</v>
      </c>
      <c r="N1564">
        <v>4070844.35</v>
      </c>
      <c r="O1564">
        <v>104622.05988177848</v>
      </c>
      <c r="P1564">
        <v>856020</v>
      </c>
      <c r="Q1564">
        <v>3214824.35</v>
      </c>
      <c r="R1564">
        <v>82622.059881778478</v>
      </c>
      <c r="S1564" t="s">
        <v>65</v>
      </c>
      <c r="T1564" t="s">
        <v>717</v>
      </c>
      <c r="U1564" t="s">
        <v>717</v>
      </c>
      <c r="V1564" t="s">
        <v>4131</v>
      </c>
      <c r="W1564">
        <v>44858</v>
      </c>
      <c r="X1564" t="s">
        <v>7091</v>
      </c>
      <c r="Y1564" t="s">
        <v>6</v>
      </c>
      <c r="Z1564" t="s">
        <v>17</v>
      </c>
      <c r="AA1564" t="s">
        <v>6637</v>
      </c>
      <c r="AB1564" t="s">
        <v>2509</v>
      </c>
      <c r="AC1564" t="s">
        <v>2571</v>
      </c>
      <c r="AD1564" t="s">
        <v>717</v>
      </c>
      <c r="AE1564" t="s">
        <v>7092</v>
      </c>
      <c r="AF1564" t="s">
        <v>7093</v>
      </c>
      <c r="AG1564" t="s">
        <v>7094</v>
      </c>
      <c r="AH1564" t="s">
        <v>2191</v>
      </c>
      <c r="AI1564" t="s">
        <v>2706</v>
      </c>
      <c r="AJ1564" t="s">
        <v>2514</v>
      </c>
      <c r="AK1564" t="s">
        <v>77</v>
      </c>
      <c r="AL1564" t="s">
        <v>16</v>
      </c>
      <c r="AM1564" t="s">
        <v>10</v>
      </c>
      <c r="AN1564" t="s">
        <v>6708</v>
      </c>
    </row>
    <row r="1565" spans="1:40" hidden="1">
      <c r="A1565">
        <v>1563</v>
      </c>
      <c r="B1565">
        <v>44</v>
      </c>
      <c r="C1565" s="58">
        <v>44862</v>
      </c>
      <c r="D1565" t="s">
        <v>27</v>
      </c>
      <c r="E1565" t="s">
        <v>2506</v>
      </c>
      <c r="F1565">
        <v>3</v>
      </c>
      <c r="G1565">
        <v>19</v>
      </c>
      <c r="H1565">
        <v>346</v>
      </c>
      <c r="I1565">
        <v>0</v>
      </c>
      <c r="J1565">
        <v>23.54</v>
      </c>
      <c r="K1565" t="s">
        <v>9</v>
      </c>
      <c r="L1565">
        <v>2043319.08</v>
      </c>
      <c r="M1565">
        <v>0</v>
      </c>
      <c r="N1565">
        <v>2043319.08</v>
      </c>
      <c r="O1565">
        <v>86802</v>
      </c>
      <c r="P1565">
        <v>0</v>
      </c>
      <c r="Q1565">
        <v>2043319.08</v>
      </c>
      <c r="R1565">
        <v>86802</v>
      </c>
      <c r="S1565" t="s">
        <v>65</v>
      </c>
      <c r="T1565" t="s">
        <v>717</v>
      </c>
      <c r="U1565" t="s">
        <v>717</v>
      </c>
      <c r="V1565" t="s">
        <v>4131</v>
      </c>
      <c r="W1565">
        <v>44858</v>
      </c>
      <c r="X1565" t="s">
        <v>7095</v>
      </c>
      <c r="Y1565" t="s">
        <v>6</v>
      </c>
      <c r="Z1565" t="s">
        <v>17</v>
      </c>
      <c r="AA1565" t="s">
        <v>6637</v>
      </c>
      <c r="AB1565" t="s">
        <v>2509</v>
      </c>
      <c r="AC1565" t="s">
        <v>2571</v>
      </c>
      <c r="AD1565" t="s">
        <v>717</v>
      </c>
      <c r="AE1565" t="s">
        <v>7096</v>
      </c>
      <c r="AF1565" t="s">
        <v>7097</v>
      </c>
      <c r="AG1565" t="s">
        <v>7098</v>
      </c>
      <c r="AH1565" t="s">
        <v>2615</v>
      </c>
      <c r="AI1565" t="s">
        <v>2673</v>
      </c>
      <c r="AJ1565" t="s">
        <v>3202</v>
      </c>
      <c r="AK1565" t="s">
        <v>73</v>
      </c>
      <c r="AL1565" t="s">
        <v>16</v>
      </c>
      <c r="AM1565" t="s">
        <v>10</v>
      </c>
      <c r="AN1565" t="s">
        <v>6708</v>
      </c>
    </row>
    <row r="1566" spans="1:40" hidden="1">
      <c r="A1566">
        <v>1564</v>
      </c>
      <c r="B1566">
        <v>45</v>
      </c>
      <c r="C1566" s="58">
        <v>44862</v>
      </c>
      <c r="D1566" t="s">
        <v>27</v>
      </c>
      <c r="E1566" t="s">
        <v>5079</v>
      </c>
      <c r="F1566">
        <v>5</v>
      </c>
      <c r="G1566">
        <v>9</v>
      </c>
      <c r="H1566">
        <v>699</v>
      </c>
      <c r="I1566">
        <v>1</v>
      </c>
      <c r="J1566">
        <v>38.96</v>
      </c>
      <c r="K1566" t="s">
        <v>15</v>
      </c>
      <c r="L1566">
        <v>3350196.21</v>
      </c>
      <c r="M1566">
        <v>0</v>
      </c>
      <c r="N1566">
        <v>3350196.21</v>
      </c>
      <c r="O1566">
        <v>85990.662474332639</v>
      </c>
      <c r="P1566">
        <v>292200</v>
      </c>
      <c r="Q1566">
        <v>3057996.21</v>
      </c>
      <c r="R1566">
        <v>78490.662474332639</v>
      </c>
      <c r="S1566" t="s">
        <v>65</v>
      </c>
      <c r="T1566" t="s">
        <v>2664</v>
      </c>
      <c r="U1566">
        <v>160947.17000000001</v>
      </c>
      <c r="V1566" t="s">
        <v>4131</v>
      </c>
      <c r="W1566">
        <v>44859</v>
      </c>
      <c r="X1566" t="s">
        <v>7099</v>
      </c>
      <c r="Y1566" t="s">
        <v>6</v>
      </c>
      <c r="Z1566" t="s">
        <v>17</v>
      </c>
      <c r="AA1566" t="s">
        <v>6637</v>
      </c>
      <c r="AB1566" t="s">
        <v>2509</v>
      </c>
      <c r="AC1566" t="s">
        <v>2571</v>
      </c>
      <c r="AD1566" t="s">
        <v>717</v>
      </c>
      <c r="AE1566" t="s">
        <v>7100</v>
      </c>
      <c r="AF1566" t="s">
        <v>7101</v>
      </c>
      <c r="AG1566" t="s">
        <v>7102</v>
      </c>
      <c r="AH1566" t="s">
        <v>2191</v>
      </c>
      <c r="AI1566" t="s">
        <v>2538</v>
      </c>
      <c r="AJ1566" t="s">
        <v>2514</v>
      </c>
      <c r="AK1566" t="s">
        <v>73</v>
      </c>
      <c r="AL1566" t="s">
        <v>16</v>
      </c>
      <c r="AM1566" t="s">
        <v>10</v>
      </c>
      <c r="AN1566" t="s">
        <v>6708</v>
      </c>
    </row>
    <row r="1567" spans="1:40" hidden="1">
      <c r="A1567">
        <v>1565</v>
      </c>
      <c r="B1567">
        <v>46</v>
      </c>
      <c r="C1567" s="58">
        <v>44862</v>
      </c>
      <c r="D1567" t="s">
        <v>27</v>
      </c>
      <c r="E1567" t="s">
        <v>2515</v>
      </c>
      <c r="F1567">
        <v>5</v>
      </c>
      <c r="G1567">
        <v>9</v>
      </c>
      <c r="H1567">
        <v>68</v>
      </c>
      <c r="I1567">
        <v>0</v>
      </c>
      <c r="J1567">
        <v>24.47</v>
      </c>
      <c r="K1567" t="s">
        <v>25</v>
      </c>
      <c r="L1567">
        <v>2545085.5099999998</v>
      </c>
      <c r="M1567">
        <v>0</v>
      </c>
      <c r="N1567">
        <v>2545085.5099999998</v>
      </c>
      <c r="O1567">
        <v>104008.39844707806</v>
      </c>
      <c r="P1567">
        <v>538340</v>
      </c>
      <c r="Q1567">
        <v>2006745.51</v>
      </c>
      <c r="R1567">
        <v>82008.398447078041</v>
      </c>
      <c r="S1567" t="s">
        <v>65</v>
      </c>
      <c r="T1567" t="s">
        <v>2664</v>
      </c>
      <c r="U1567">
        <v>105618.18</v>
      </c>
      <c r="V1567" t="s">
        <v>4131</v>
      </c>
      <c r="W1567">
        <v>44860</v>
      </c>
      <c r="X1567" t="s">
        <v>7103</v>
      </c>
      <c r="Y1567" t="s">
        <v>6</v>
      </c>
      <c r="Z1567" t="s">
        <v>17</v>
      </c>
      <c r="AA1567" t="s">
        <v>5617</v>
      </c>
      <c r="AB1567" t="s">
        <v>2509</v>
      </c>
      <c r="AC1567" t="s">
        <v>2564</v>
      </c>
      <c r="AD1567" t="s">
        <v>717</v>
      </c>
      <c r="AE1567" t="s">
        <v>7104</v>
      </c>
      <c r="AF1567" t="s">
        <v>7105</v>
      </c>
      <c r="AG1567" t="s">
        <v>7106</v>
      </c>
      <c r="AH1567" t="s">
        <v>2615</v>
      </c>
      <c r="AI1567" t="s">
        <v>2552</v>
      </c>
      <c r="AJ1567" t="s">
        <v>2895</v>
      </c>
      <c r="AK1567" t="s">
        <v>73</v>
      </c>
      <c r="AL1567" t="s">
        <v>22</v>
      </c>
      <c r="AM1567" t="s">
        <v>10</v>
      </c>
      <c r="AN1567" t="s">
        <v>717</v>
      </c>
    </row>
    <row r="1568" spans="1:40" hidden="1">
      <c r="A1568">
        <v>1566</v>
      </c>
      <c r="B1568">
        <v>47</v>
      </c>
      <c r="C1568" s="58">
        <v>44865</v>
      </c>
      <c r="D1568" t="s">
        <v>7</v>
      </c>
      <c r="E1568" t="s">
        <v>2506</v>
      </c>
      <c r="F1568">
        <v>3</v>
      </c>
      <c r="G1568">
        <v>14</v>
      </c>
      <c r="H1568">
        <v>219</v>
      </c>
      <c r="I1568">
        <v>1</v>
      </c>
      <c r="J1568">
        <v>35.380000000000003</v>
      </c>
      <c r="K1568" t="s">
        <v>15</v>
      </c>
      <c r="L1568">
        <v>3008886.14</v>
      </c>
      <c r="M1568">
        <v>15000</v>
      </c>
      <c r="N1568">
        <v>3023886.14</v>
      </c>
      <c r="O1568">
        <v>85468.799886941779</v>
      </c>
      <c r="P1568">
        <v>265350</v>
      </c>
      <c r="Q1568">
        <v>2758536.14</v>
      </c>
      <c r="R1568">
        <v>77968.799886941779</v>
      </c>
      <c r="S1568" t="s">
        <v>65</v>
      </c>
      <c r="T1568" t="s">
        <v>717</v>
      </c>
      <c r="U1568" t="s">
        <v>717</v>
      </c>
      <c r="V1568" t="s">
        <v>4131</v>
      </c>
      <c r="W1568">
        <v>44855</v>
      </c>
      <c r="X1568" t="s">
        <v>7107</v>
      </c>
      <c r="Y1568" t="s">
        <v>6</v>
      </c>
      <c r="Z1568" t="s">
        <v>17</v>
      </c>
      <c r="AA1568" t="s">
        <v>6637</v>
      </c>
      <c r="AB1568" t="s">
        <v>2509</v>
      </c>
      <c r="AC1568" t="s">
        <v>2571</v>
      </c>
      <c r="AD1568" t="s">
        <v>717</v>
      </c>
      <c r="AE1568" t="s">
        <v>7108</v>
      </c>
      <c r="AF1568" t="s">
        <v>7109</v>
      </c>
      <c r="AG1568" t="s">
        <v>7110</v>
      </c>
      <c r="AH1568" t="s">
        <v>2191</v>
      </c>
      <c r="AI1568" t="s">
        <v>5653</v>
      </c>
      <c r="AJ1568" t="s">
        <v>31</v>
      </c>
      <c r="AK1568" t="s">
        <v>77</v>
      </c>
      <c r="AL1568" t="s">
        <v>16</v>
      </c>
      <c r="AM1568" t="s">
        <v>5654</v>
      </c>
      <c r="AN1568" t="s">
        <v>6708</v>
      </c>
    </row>
    <row r="1569" spans="1:40" hidden="1">
      <c r="A1569">
        <v>1567</v>
      </c>
      <c r="B1569">
        <v>48</v>
      </c>
      <c r="C1569" s="58">
        <v>44865</v>
      </c>
      <c r="D1569" t="s">
        <v>27</v>
      </c>
      <c r="E1569" t="s">
        <v>2506</v>
      </c>
      <c r="F1569">
        <v>7</v>
      </c>
      <c r="G1569">
        <v>12</v>
      </c>
      <c r="H1569">
        <v>294</v>
      </c>
      <c r="I1569">
        <v>2</v>
      </c>
      <c r="J1569">
        <v>59.93</v>
      </c>
      <c r="K1569" t="s">
        <v>9</v>
      </c>
      <c r="L1569">
        <v>4274829.07</v>
      </c>
      <c r="M1569">
        <v>0</v>
      </c>
      <c r="N1569">
        <v>4274829.07</v>
      </c>
      <c r="O1569">
        <v>71330.369931586858</v>
      </c>
      <c r="P1569">
        <v>0</v>
      </c>
      <c r="Q1569">
        <v>4274829.07</v>
      </c>
      <c r="R1569">
        <v>71330.369931586858</v>
      </c>
      <c r="S1569" t="s">
        <v>65</v>
      </c>
      <c r="T1569" t="s">
        <v>2664</v>
      </c>
      <c r="U1569">
        <v>224991</v>
      </c>
      <c r="V1569" t="s">
        <v>4131</v>
      </c>
      <c r="W1569">
        <v>44858</v>
      </c>
      <c r="X1569" t="s">
        <v>7111</v>
      </c>
      <c r="Y1569" t="s">
        <v>6</v>
      </c>
      <c r="Z1569" t="s">
        <v>17</v>
      </c>
      <c r="AA1569" t="s">
        <v>6637</v>
      </c>
      <c r="AB1569" t="s">
        <v>2509</v>
      </c>
      <c r="AC1569" t="s">
        <v>2571</v>
      </c>
      <c r="AD1569" t="s">
        <v>717</v>
      </c>
      <c r="AE1569" t="s">
        <v>7112</v>
      </c>
      <c r="AF1569" t="s">
        <v>7113</v>
      </c>
      <c r="AG1569" t="s">
        <v>7114</v>
      </c>
      <c r="AH1569" t="s">
        <v>2615</v>
      </c>
      <c r="AI1569" t="s">
        <v>2538</v>
      </c>
      <c r="AJ1569" t="s">
        <v>2895</v>
      </c>
      <c r="AK1569" t="s">
        <v>77</v>
      </c>
      <c r="AL1569" t="s">
        <v>16</v>
      </c>
      <c r="AM1569" t="s">
        <v>10</v>
      </c>
      <c r="AN1569" t="s">
        <v>6708</v>
      </c>
    </row>
    <row r="1570" spans="1:40" hidden="1">
      <c r="A1570">
        <v>1568</v>
      </c>
      <c r="B1570">
        <v>49</v>
      </c>
      <c r="C1570" s="58">
        <v>44865</v>
      </c>
      <c r="D1570" t="s">
        <v>27</v>
      </c>
      <c r="E1570" t="s">
        <v>2515</v>
      </c>
      <c r="F1570">
        <v>6</v>
      </c>
      <c r="G1570">
        <v>18</v>
      </c>
      <c r="H1570">
        <v>150</v>
      </c>
      <c r="I1570">
        <v>2</v>
      </c>
      <c r="J1570">
        <v>54.67</v>
      </c>
      <c r="K1570" t="s">
        <v>9</v>
      </c>
      <c r="L1570">
        <v>3930928.78</v>
      </c>
      <c r="M1570">
        <v>0</v>
      </c>
      <c r="N1570">
        <v>3930928.78</v>
      </c>
      <c r="O1570">
        <v>71902.849460398749</v>
      </c>
      <c r="P1570">
        <v>0</v>
      </c>
      <c r="Q1570">
        <v>3930928.78</v>
      </c>
      <c r="R1570">
        <v>71902.849460398749</v>
      </c>
      <c r="S1570" t="s">
        <v>65</v>
      </c>
      <c r="T1570" t="s">
        <v>2664</v>
      </c>
      <c r="U1570">
        <v>206890.99</v>
      </c>
      <c r="V1570" t="s">
        <v>4131</v>
      </c>
      <c r="W1570">
        <v>44859</v>
      </c>
      <c r="X1570" t="s">
        <v>7115</v>
      </c>
      <c r="Y1570" t="s">
        <v>6</v>
      </c>
      <c r="Z1570" t="s">
        <v>17</v>
      </c>
      <c r="AA1570" t="s">
        <v>6637</v>
      </c>
      <c r="AB1570" t="s">
        <v>2509</v>
      </c>
      <c r="AC1570" t="s">
        <v>2571</v>
      </c>
      <c r="AD1570" t="s">
        <v>717</v>
      </c>
      <c r="AE1570" t="s">
        <v>7116</v>
      </c>
      <c r="AF1570" t="s">
        <v>7117</v>
      </c>
      <c r="AG1570" t="s">
        <v>7118</v>
      </c>
      <c r="AH1570" t="s">
        <v>2615</v>
      </c>
      <c r="AI1570" t="s">
        <v>2824</v>
      </c>
      <c r="AJ1570" t="s">
        <v>2569</v>
      </c>
      <c r="AK1570" t="s">
        <v>77</v>
      </c>
      <c r="AL1570" t="s">
        <v>22</v>
      </c>
      <c r="AM1570" t="s">
        <v>10</v>
      </c>
      <c r="AN1570" t="s">
        <v>6708</v>
      </c>
    </row>
    <row r="1571" spans="1:40" hidden="1">
      <c r="A1571">
        <v>1569</v>
      </c>
      <c r="B1571">
        <v>50</v>
      </c>
      <c r="C1571" s="58">
        <v>44865</v>
      </c>
      <c r="D1571" t="s">
        <v>27</v>
      </c>
      <c r="E1571" t="s">
        <v>5079</v>
      </c>
      <c r="F1571">
        <v>7</v>
      </c>
      <c r="G1571">
        <v>12</v>
      </c>
      <c r="H1571">
        <v>728</v>
      </c>
      <c r="I1571">
        <v>1</v>
      </c>
      <c r="J1571">
        <v>38.909999999999997</v>
      </c>
      <c r="K1571" t="s">
        <v>9</v>
      </c>
      <c r="L1571">
        <v>3054083.13</v>
      </c>
      <c r="M1571">
        <v>0</v>
      </c>
      <c r="N1571">
        <v>3054083.13</v>
      </c>
      <c r="O1571">
        <v>78490.956823438726</v>
      </c>
      <c r="P1571">
        <v>0</v>
      </c>
      <c r="Q1571">
        <v>3054083.13</v>
      </c>
      <c r="R1571">
        <v>78490.956823438726</v>
      </c>
      <c r="S1571" t="s">
        <v>65</v>
      </c>
      <c r="T1571" t="s">
        <v>2664</v>
      </c>
      <c r="U1571">
        <v>160741.22099999999</v>
      </c>
      <c r="V1571" t="s">
        <v>4131</v>
      </c>
      <c r="W1571">
        <v>44860</v>
      </c>
      <c r="X1571" t="s">
        <v>7119</v>
      </c>
      <c r="Y1571" t="s">
        <v>6</v>
      </c>
      <c r="Z1571" t="s">
        <v>17</v>
      </c>
      <c r="AA1571" t="s">
        <v>6637</v>
      </c>
      <c r="AB1571" t="s">
        <v>2509</v>
      </c>
      <c r="AC1571" t="s">
        <v>2571</v>
      </c>
      <c r="AD1571" t="s">
        <v>717</v>
      </c>
      <c r="AE1571" t="s">
        <v>7120</v>
      </c>
      <c r="AF1571" t="s">
        <v>7121</v>
      </c>
      <c r="AG1571" t="s">
        <v>7122</v>
      </c>
      <c r="AH1571" t="s">
        <v>2615</v>
      </c>
      <c r="AI1571" t="s">
        <v>2552</v>
      </c>
      <c r="AJ1571" t="s">
        <v>2895</v>
      </c>
      <c r="AK1571" t="s">
        <v>73</v>
      </c>
      <c r="AL1571" t="s">
        <v>16</v>
      </c>
      <c r="AM1571" t="s">
        <v>10</v>
      </c>
      <c r="AN1571" t="s">
        <v>6708</v>
      </c>
    </row>
    <row r="1572" spans="1:40" hidden="1">
      <c r="A1572">
        <v>1570</v>
      </c>
      <c r="B1572">
        <v>51</v>
      </c>
      <c r="C1572" s="58">
        <v>44865</v>
      </c>
      <c r="D1572" t="s">
        <v>27</v>
      </c>
      <c r="E1572" t="s">
        <v>5079</v>
      </c>
      <c r="F1572">
        <v>3</v>
      </c>
      <c r="G1572">
        <v>19</v>
      </c>
      <c r="H1572">
        <v>785</v>
      </c>
      <c r="I1572">
        <v>0</v>
      </c>
      <c r="J1572">
        <v>24.37</v>
      </c>
      <c r="K1572" t="s">
        <v>9</v>
      </c>
      <c r="L1572">
        <v>2009296.46</v>
      </c>
      <c r="M1572">
        <v>0</v>
      </c>
      <c r="N1572">
        <v>2009296.46</v>
      </c>
      <c r="O1572">
        <v>82449.588018054987</v>
      </c>
      <c r="P1572">
        <v>0</v>
      </c>
      <c r="Q1572">
        <v>2009296.46</v>
      </c>
      <c r="R1572">
        <v>82449.588018054987</v>
      </c>
      <c r="S1572" t="s">
        <v>65</v>
      </c>
      <c r="T1572" t="s">
        <v>2664</v>
      </c>
      <c r="U1572">
        <v>105752.45</v>
      </c>
      <c r="V1572" t="s">
        <v>4131</v>
      </c>
      <c r="W1572">
        <v>44861</v>
      </c>
      <c r="X1572" t="s">
        <v>7123</v>
      </c>
      <c r="Y1572" t="s">
        <v>6</v>
      </c>
      <c r="Z1572" t="s">
        <v>17</v>
      </c>
      <c r="AA1572" t="s">
        <v>6637</v>
      </c>
      <c r="AB1572" t="s">
        <v>2509</v>
      </c>
      <c r="AC1572" t="s">
        <v>2571</v>
      </c>
      <c r="AD1572" t="s">
        <v>717</v>
      </c>
      <c r="AE1572" t="s">
        <v>7124</v>
      </c>
      <c r="AF1572" t="s">
        <v>7125</v>
      </c>
      <c r="AG1572" t="s">
        <v>7126</v>
      </c>
      <c r="AH1572" t="s">
        <v>2615</v>
      </c>
      <c r="AI1572" t="s">
        <v>2688</v>
      </c>
      <c r="AJ1572" t="s">
        <v>3289</v>
      </c>
      <c r="AK1572" t="s">
        <v>77</v>
      </c>
      <c r="AL1572" t="s">
        <v>22</v>
      </c>
      <c r="AM1572" t="s">
        <v>10</v>
      </c>
      <c r="AN1572" t="s">
        <v>6708</v>
      </c>
    </row>
    <row r="1573" spans="1:40" hidden="1">
      <c r="A1573">
        <v>1571</v>
      </c>
      <c r="B1573">
        <v>52</v>
      </c>
      <c r="C1573" s="58">
        <v>44865</v>
      </c>
      <c r="D1573" t="s">
        <v>27</v>
      </c>
      <c r="E1573" t="s">
        <v>5079</v>
      </c>
      <c r="F1573">
        <v>3</v>
      </c>
      <c r="G1573">
        <v>21</v>
      </c>
      <c r="H1573">
        <v>801</v>
      </c>
      <c r="I1573">
        <v>0</v>
      </c>
      <c r="J1573">
        <v>24.37</v>
      </c>
      <c r="K1573" t="s">
        <v>9</v>
      </c>
      <c r="L1573">
        <v>2120986.25</v>
      </c>
      <c r="M1573">
        <v>0</v>
      </c>
      <c r="N1573">
        <v>2120986.25</v>
      </c>
      <c r="O1573">
        <v>87032.673368896183</v>
      </c>
      <c r="P1573">
        <v>0</v>
      </c>
      <c r="Q1573">
        <v>2120986.25</v>
      </c>
      <c r="R1573">
        <v>87032.673368896183</v>
      </c>
      <c r="S1573" t="s">
        <v>65</v>
      </c>
      <c r="T1573" t="s">
        <v>2664</v>
      </c>
      <c r="U1573">
        <v>111630.85</v>
      </c>
      <c r="V1573" t="s">
        <v>4131</v>
      </c>
      <c r="W1573">
        <v>44862</v>
      </c>
      <c r="X1573" t="s">
        <v>7127</v>
      </c>
      <c r="Y1573" t="s">
        <v>6</v>
      </c>
      <c r="Z1573" t="s">
        <v>17</v>
      </c>
      <c r="AA1573" t="s">
        <v>6637</v>
      </c>
      <c r="AB1573" t="s">
        <v>2509</v>
      </c>
      <c r="AC1573" t="s">
        <v>2571</v>
      </c>
      <c r="AD1573" t="s">
        <v>717</v>
      </c>
      <c r="AE1573" t="s">
        <v>7128</v>
      </c>
      <c r="AF1573" t="s">
        <v>7129</v>
      </c>
      <c r="AG1573" t="s">
        <v>7130</v>
      </c>
      <c r="AH1573" t="s">
        <v>2615</v>
      </c>
      <c r="AI1573" t="s">
        <v>2538</v>
      </c>
      <c r="AJ1573" t="s">
        <v>2895</v>
      </c>
      <c r="AK1573" t="s">
        <v>73</v>
      </c>
      <c r="AL1573" t="s">
        <v>22</v>
      </c>
      <c r="AM1573" t="s">
        <v>10</v>
      </c>
      <c r="AN1573" t="s">
        <v>6708</v>
      </c>
    </row>
    <row r="1574" spans="1:40" hidden="1">
      <c r="A1574">
        <v>1572</v>
      </c>
      <c r="B1574">
        <v>53</v>
      </c>
      <c r="C1574" s="58">
        <v>44865</v>
      </c>
      <c r="D1574" t="s">
        <v>27</v>
      </c>
      <c r="E1574" t="s">
        <v>5079</v>
      </c>
      <c r="F1574">
        <v>7</v>
      </c>
      <c r="G1574">
        <v>9</v>
      </c>
      <c r="H1574">
        <v>701</v>
      </c>
      <c r="I1574">
        <v>1</v>
      </c>
      <c r="J1574">
        <v>38.909999999999997</v>
      </c>
      <c r="K1574" t="s">
        <v>25</v>
      </c>
      <c r="L1574">
        <v>3910103.14</v>
      </c>
      <c r="M1574">
        <v>0</v>
      </c>
      <c r="N1574">
        <v>3910103.14</v>
      </c>
      <c r="O1574">
        <v>100490.95708044204</v>
      </c>
      <c r="P1574">
        <v>856020</v>
      </c>
      <c r="Q1574">
        <v>3054083.14</v>
      </c>
      <c r="R1574">
        <v>78490.957080442051</v>
      </c>
      <c r="S1574" t="s">
        <v>65</v>
      </c>
      <c r="T1574" t="s">
        <v>2664</v>
      </c>
      <c r="U1574">
        <v>160741.22</v>
      </c>
      <c r="V1574" t="s">
        <v>4131</v>
      </c>
      <c r="W1574">
        <v>44862</v>
      </c>
      <c r="X1574" t="s">
        <v>7131</v>
      </c>
      <c r="Y1574" t="s">
        <v>6</v>
      </c>
      <c r="Z1574" t="s">
        <v>17</v>
      </c>
      <c r="AA1574" t="s">
        <v>6637</v>
      </c>
      <c r="AB1574" t="s">
        <v>2509</v>
      </c>
      <c r="AC1574" t="s">
        <v>2571</v>
      </c>
      <c r="AD1574" t="s">
        <v>717</v>
      </c>
      <c r="AE1574" t="s">
        <v>7132</v>
      </c>
      <c r="AF1574" t="s">
        <v>7133</v>
      </c>
      <c r="AG1574" t="s">
        <v>7134</v>
      </c>
      <c r="AH1574" t="s">
        <v>2615</v>
      </c>
      <c r="AI1574" t="s">
        <v>2521</v>
      </c>
      <c r="AJ1574" t="s">
        <v>2895</v>
      </c>
      <c r="AK1574" t="s">
        <v>77</v>
      </c>
      <c r="AL1574" t="s">
        <v>22</v>
      </c>
      <c r="AM1574" t="s">
        <v>10</v>
      </c>
      <c r="AN1574" t="s">
        <v>6708</v>
      </c>
    </row>
    <row r="1575" spans="1:40" hidden="1">
      <c r="A1575">
        <v>1573</v>
      </c>
      <c r="B1575">
        <v>1</v>
      </c>
      <c r="C1575" s="58">
        <v>44867</v>
      </c>
      <c r="D1575" t="s">
        <v>7</v>
      </c>
      <c r="E1575" t="s">
        <v>2506</v>
      </c>
      <c r="F1575">
        <v>6</v>
      </c>
      <c r="G1575">
        <v>6</v>
      </c>
      <c r="H1575">
        <v>158</v>
      </c>
      <c r="I1575">
        <v>1</v>
      </c>
      <c r="J1575">
        <v>36.659999999999997</v>
      </c>
      <c r="K1575" t="s">
        <v>9</v>
      </c>
      <c r="L1575">
        <v>2914382.02</v>
      </c>
      <c r="M1575">
        <v>0</v>
      </c>
      <c r="N1575">
        <v>2914382.02</v>
      </c>
      <c r="O1575">
        <v>79497.600109110761</v>
      </c>
      <c r="P1575">
        <v>0</v>
      </c>
      <c r="Q1575">
        <v>2914382.02</v>
      </c>
      <c r="R1575">
        <v>79497.600109110761</v>
      </c>
      <c r="S1575" t="s">
        <v>65</v>
      </c>
      <c r="T1575" t="s">
        <v>717</v>
      </c>
      <c r="U1575" t="s">
        <v>717</v>
      </c>
      <c r="V1575" t="s">
        <v>4131</v>
      </c>
      <c r="W1575">
        <v>44844</v>
      </c>
      <c r="X1575" t="s">
        <v>7135</v>
      </c>
      <c r="Y1575" t="s">
        <v>6</v>
      </c>
      <c r="Z1575" t="s">
        <v>17</v>
      </c>
      <c r="AA1575" t="s">
        <v>6637</v>
      </c>
      <c r="AB1575" t="s">
        <v>2509</v>
      </c>
      <c r="AC1575" t="s">
        <v>2571</v>
      </c>
      <c r="AD1575" t="s">
        <v>717</v>
      </c>
      <c r="AE1575" t="s">
        <v>7136</v>
      </c>
      <c r="AF1575" t="s">
        <v>7137</v>
      </c>
      <c r="AG1575" t="s">
        <v>7138</v>
      </c>
      <c r="AH1575" t="s">
        <v>2615</v>
      </c>
      <c r="AI1575" t="s">
        <v>2552</v>
      </c>
      <c r="AJ1575" t="s">
        <v>2662</v>
      </c>
      <c r="AK1575" t="s">
        <v>73</v>
      </c>
      <c r="AL1575" t="s">
        <v>22</v>
      </c>
      <c r="AM1575" t="s">
        <v>10</v>
      </c>
      <c r="AN1575" t="s">
        <v>6708</v>
      </c>
    </row>
    <row r="1576" spans="1:40" hidden="1">
      <c r="A1576">
        <v>1574</v>
      </c>
      <c r="B1576">
        <v>2</v>
      </c>
      <c r="C1576" s="58">
        <v>44867</v>
      </c>
      <c r="D1576" t="s">
        <v>7</v>
      </c>
      <c r="E1576" t="s">
        <v>2515</v>
      </c>
      <c r="F1576">
        <v>1</v>
      </c>
      <c r="G1576">
        <v>3</v>
      </c>
      <c r="H1576">
        <v>9</v>
      </c>
      <c r="I1576">
        <v>1</v>
      </c>
      <c r="J1576">
        <v>33.53</v>
      </c>
      <c r="K1576" t="s">
        <v>15</v>
      </c>
      <c r="L1576">
        <v>2710705.36</v>
      </c>
      <c r="M1576">
        <v>0</v>
      </c>
      <c r="N1576">
        <v>2710705.36</v>
      </c>
      <c r="O1576">
        <v>80844.180137190575</v>
      </c>
      <c r="P1576">
        <v>251475</v>
      </c>
      <c r="Q1576">
        <v>2459230.36</v>
      </c>
      <c r="R1576">
        <v>73344.180137190575</v>
      </c>
      <c r="S1576" t="s">
        <v>65</v>
      </c>
      <c r="T1576" t="s">
        <v>2664</v>
      </c>
      <c r="U1576">
        <v>129433.18</v>
      </c>
      <c r="V1576" t="s">
        <v>4131</v>
      </c>
      <c r="W1576">
        <v>44862</v>
      </c>
      <c r="X1576" t="s">
        <v>7139</v>
      </c>
      <c r="Y1576" t="s">
        <v>6</v>
      </c>
      <c r="Z1576" t="s">
        <v>17</v>
      </c>
      <c r="AA1576" t="s">
        <v>6637</v>
      </c>
      <c r="AB1576" t="s">
        <v>2509</v>
      </c>
      <c r="AC1576" t="s">
        <v>2571</v>
      </c>
      <c r="AD1576" t="s">
        <v>717</v>
      </c>
      <c r="AE1576" t="s">
        <v>7140</v>
      </c>
      <c r="AF1576" t="s">
        <v>7141</v>
      </c>
      <c r="AG1576" t="s">
        <v>7142</v>
      </c>
      <c r="AH1576" t="s">
        <v>2191</v>
      </c>
      <c r="AI1576" t="s">
        <v>2656</v>
      </c>
      <c r="AJ1576" t="s">
        <v>2514</v>
      </c>
      <c r="AK1576" t="s">
        <v>73</v>
      </c>
      <c r="AL1576" t="s">
        <v>16</v>
      </c>
      <c r="AM1576" t="s">
        <v>10</v>
      </c>
      <c r="AN1576" t="s">
        <v>6708</v>
      </c>
    </row>
    <row r="1577" spans="1:40" hidden="1">
      <c r="A1577">
        <v>1575</v>
      </c>
      <c r="B1577">
        <v>3</v>
      </c>
      <c r="C1577" s="58">
        <v>44867</v>
      </c>
      <c r="D1577" t="s">
        <v>27</v>
      </c>
      <c r="E1577" t="s">
        <v>5456</v>
      </c>
      <c r="F1577">
        <v>8</v>
      </c>
      <c r="G1577">
        <v>9</v>
      </c>
      <c r="H1577">
        <v>901</v>
      </c>
      <c r="I1577">
        <v>0</v>
      </c>
      <c r="J1577">
        <v>23.09</v>
      </c>
      <c r="K1577" t="s">
        <v>9</v>
      </c>
      <c r="L1577">
        <v>2005062.17</v>
      </c>
      <c r="M1577">
        <v>0</v>
      </c>
      <c r="N1577">
        <v>2005062.17</v>
      </c>
      <c r="O1577">
        <v>86836.819835426591</v>
      </c>
      <c r="P1577">
        <v>0</v>
      </c>
      <c r="Q1577">
        <v>2005062.17</v>
      </c>
      <c r="R1577">
        <v>86836.819835426591</v>
      </c>
      <c r="S1577" t="s">
        <v>65</v>
      </c>
      <c r="T1577" t="s">
        <v>717</v>
      </c>
      <c r="U1577" t="s">
        <v>717</v>
      </c>
      <c r="V1577" t="s">
        <v>4131</v>
      </c>
      <c r="W1577">
        <v>44865</v>
      </c>
      <c r="X1577" t="s">
        <v>7143</v>
      </c>
      <c r="Y1577" t="s">
        <v>6</v>
      </c>
      <c r="Z1577" t="s">
        <v>17</v>
      </c>
      <c r="AA1577" t="s">
        <v>6637</v>
      </c>
      <c r="AB1577" t="s">
        <v>2509</v>
      </c>
      <c r="AC1577" t="s">
        <v>2571</v>
      </c>
      <c r="AD1577" t="s">
        <v>717</v>
      </c>
      <c r="AE1577" t="s">
        <v>7144</v>
      </c>
      <c r="AF1577" t="s">
        <v>7145</v>
      </c>
      <c r="AG1577" t="s">
        <v>7146</v>
      </c>
      <c r="AH1577" t="s">
        <v>2191</v>
      </c>
      <c r="AI1577" t="s">
        <v>5653</v>
      </c>
      <c r="AJ1577" t="s">
        <v>31</v>
      </c>
      <c r="AK1577" t="s">
        <v>73</v>
      </c>
      <c r="AL1577" t="s">
        <v>22</v>
      </c>
      <c r="AM1577" t="s">
        <v>5654</v>
      </c>
      <c r="AN1577" t="s">
        <v>6708</v>
      </c>
    </row>
    <row r="1578" spans="1:40" hidden="1">
      <c r="A1578">
        <v>1576</v>
      </c>
      <c r="B1578">
        <v>4</v>
      </c>
      <c r="C1578" s="58">
        <v>44867</v>
      </c>
      <c r="D1578" t="s">
        <v>27</v>
      </c>
      <c r="E1578" t="s">
        <v>2506</v>
      </c>
      <c r="F1578">
        <v>3</v>
      </c>
      <c r="G1578">
        <v>3</v>
      </c>
      <c r="H1578">
        <v>218</v>
      </c>
      <c r="I1578">
        <v>0</v>
      </c>
      <c r="J1578">
        <v>23.54</v>
      </c>
      <c r="K1578" t="s">
        <v>15</v>
      </c>
      <c r="L1578">
        <v>2010430.27</v>
      </c>
      <c r="M1578">
        <v>0</v>
      </c>
      <c r="N1578">
        <v>2010430.27</v>
      </c>
      <c r="O1578">
        <v>85404.854290569245</v>
      </c>
      <c r="P1578">
        <v>176550</v>
      </c>
      <c r="Q1578">
        <v>1833880.27</v>
      </c>
      <c r="R1578">
        <v>77904.854290569245</v>
      </c>
      <c r="S1578" t="s">
        <v>2507</v>
      </c>
      <c r="T1578" t="s">
        <v>2664</v>
      </c>
      <c r="U1578">
        <v>96520.01</v>
      </c>
      <c r="V1578" t="s">
        <v>717</v>
      </c>
      <c r="W1578">
        <v>44866</v>
      </c>
      <c r="X1578" t="s">
        <v>7147</v>
      </c>
      <c r="Y1578" t="s">
        <v>6</v>
      </c>
      <c r="Z1578" t="s">
        <v>17</v>
      </c>
      <c r="AA1578" t="s">
        <v>6637</v>
      </c>
      <c r="AB1578" t="s">
        <v>2509</v>
      </c>
      <c r="AC1578" t="s">
        <v>717</v>
      </c>
      <c r="AD1578" t="s">
        <v>717</v>
      </c>
      <c r="AE1578" t="s">
        <v>7148</v>
      </c>
      <c r="AF1578" t="s">
        <v>7149</v>
      </c>
      <c r="AG1578" t="s">
        <v>7150</v>
      </c>
      <c r="AH1578" t="s">
        <v>2615</v>
      </c>
      <c r="AI1578" t="s">
        <v>2552</v>
      </c>
      <c r="AJ1578" t="s">
        <v>4799</v>
      </c>
      <c r="AK1578" t="s">
        <v>77</v>
      </c>
      <c r="AL1578" t="s">
        <v>717</v>
      </c>
      <c r="AM1578" t="s">
        <v>10</v>
      </c>
      <c r="AN1578" t="s">
        <v>717</v>
      </c>
    </row>
    <row r="1579" spans="1:40" hidden="1">
      <c r="A1579">
        <v>1577</v>
      </c>
      <c r="B1579">
        <v>5</v>
      </c>
      <c r="C1579" s="58">
        <v>44868</v>
      </c>
      <c r="D1579" t="s">
        <v>7</v>
      </c>
      <c r="E1579" t="s">
        <v>2515</v>
      </c>
      <c r="F1579">
        <v>1</v>
      </c>
      <c r="G1579">
        <v>4</v>
      </c>
      <c r="H1579">
        <v>17</v>
      </c>
      <c r="I1579">
        <v>1</v>
      </c>
      <c r="J1579">
        <v>33.53</v>
      </c>
      <c r="K1579" t="s">
        <v>15</v>
      </c>
      <c r="L1579">
        <v>2710705.36</v>
      </c>
      <c r="M1579">
        <v>0</v>
      </c>
      <c r="N1579">
        <v>2710705.36</v>
      </c>
      <c r="O1579">
        <v>80844.180137190575</v>
      </c>
      <c r="P1579">
        <v>251475</v>
      </c>
      <c r="Q1579">
        <v>2459230.36</v>
      </c>
      <c r="R1579">
        <v>73344.180137190575</v>
      </c>
      <c r="S1579" t="s">
        <v>65</v>
      </c>
      <c r="T1579" t="s">
        <v>2664</v>
      </c>
      <c r="U1579">
        <v>129433.18</v>
      </c>
      <c r="V1579" t="s">
        <v>4131</v>
      </c>
      <c r="W1579">
        <v>44862</v>
      </c>
      <c r="X1579" t="s">
        <v>7151</v>
      </c>
      <c r="Y1579" t="s">
        <v>6</v>
      </c>
      <c r="Z1579" t="s">
        <v>17</v>
      </c>
      <c r="AA1579" t="s">
        <v>6637</v>
      </c>
      <c r="AB1579" t="s">
        <v>2509</v>
      </c>
      <c r="AC1579" t="s">
        <v>2571</v>
      </c>
      <c r="AD1579" t="s">
        <v>717</v>
      </c>
      <c r="AE1579" t="s">
        <v>7152</v>
      </c>
      <c r="AF1579" t="s">
        <v>7153</v>
      </c>
      <c r="AG1579" t="s">
        <v>7154</v>
      </c>
      <c r="AH1579" t="s">
        <v>65</v>
      </c>
      <c r="AI1579" t="s">
        <v>5056</v>
      </c>
      <c r="AJ1579" t="s">
        <v>6210</v>
      </c>
      <c r="AK1579" t="s">
        <v>77</v>
      </c>
      <c r="AL1579" t="s">
        <v>16</v>
      </c>
      <c r="AM1579" t="s">
        <v>10</v>
      </c>
      <c r="AN1579" t="s">
        <v>6708</v>
      </c>
    </row>
    <row r="1580" spans="1:40" hidden="1">
      <c r="A1580">
        <v>1578</v>
      </c>
      <c r="B1580">
        <v>6</v>
      </c>
      <c r="C1580" s="58">
        <v>44868</v>
      </c>
      <c r="D1580" t="s">
        <v>27</v>
      </c>
      <c r="E1580" t="s">
        <v>2506</v>
      </c>
      <c r="F1580">
        <v>5</v>
      </c>
      <c r="G1580">
        <v>2</v>
      </c>
      <c r="H1580">
        <v>212</v>
      </c>
      <c r="I1580">
        <v>0</v>
      </c>
      <c r="J1580">
        <v>23.63</v>
      </c>
      <c r="K1580" t="s">
        <v>9</v>
      </c>
      <c r="L1580">
        <v>1949157.46</v>
      </c>
      <c r="M1580">
        <v>0</v>
      </c>
      <c r="N1580">
        <v>1949157.46</v>
      </c>
      <c r="O1580">
        <v>82486.561997460871</v>
      </c>
      <c r="P1580">
        <v>0</v>
      </c>
      <c r="Q1580">
        <v>1949157.46</v>
      </c>
      <c r="R1580">
        <v>82486.561997460871</v>
      </c>
      <c r="S1580" t="s">
        <v>2507</v>
      </c>
      <c r="T1580" t="s">
        <v>2664</v>
      </c>
      <c r="U1580">
        <v>102587.23</v>
      </c>
      <c r="V1580" t="s">
        <v>717</v>
      </c>
      <c r="W1580">
        <v>44866</v>
      </c>
      <c r="X1580" t="s">
        <v>7155</v>
      </c>
      <c r="Y1580" t="s">
        <v>6</v>
      </c>
      <c r="Z1580" t="s">
        <v>17</v>
      </c>
      <c r="AA1580" t="s">
        <v>6637</v>
      </c>
      <c r="AB1580" t="s">
        <v>2509</v>
      </c>
      <c r="AC1580" t="s">
        <v>717</v>
      </c>
      <c r="AD1580" t="s">
        <v>717</v>
      </c>
      <c r="AE1580" t="s">
        <v>7156</v>
      </c>
      <c r="AF1580" t="s">
        <v>7157</v>
      </c>
      <c r="AG1580" t="s">
        <v>7158</v>
      </c>
      <c r="AH1580" t="s">
        <v>2615</v>
      </c>
      <c r="AI1580" t="s">
        <v>2521</v>
      </c>
      <c r="AJ1580" t="s">
        <v>3289</v>
      </c>
      <c r="AK1580" t="s">
        <v>77</v>
      </c>
      <c r="AL1580" t="s">
        <v>717</v>
      </c>
      <c r="AM1580" t="s">
        <v>10</v>
      </c>
      <c r="AN1580" t="s">
        <v>6708</v>
      </c>
    </row>
    <row r="1581" spans="1:40" hidden="1">
      <c r="A1581">
        <v>1579</v>
      </c>
      <c r="B1581">
        <v>7</v>
      </c>
      <c r="C1581" s="58">
        <v>44872</v>
      </c>
      <c r="D1581" t="s">
        <v>121</v>
      </c>
      <c r="E1581" t="s">
        <v>2515</v>
      </c>
      <c r="F1581">
        <v>2</v>
      </c>
      <c r="G1581">
        <v>4</v>
      </c>
      <c r="H1581">
        <v>16</v>
      </c>
      <c r="I1581">
        <v>2</v>
      </c>
      <c r="J1581">
        <v>60.4</v>
      </c>
      <c r="K1581" t="s">
        <v>9</v>
      </c>
      <c r="L1581">
        <v>4895520</v>
      </c>
      <c r="M1581">
        <v>15000</v>
      </c>
      <c r="N1581">
        <v>4910520</v>
      </c>
      <c r="O1581">
        <v>81300</v>
      </c>
      <c r="P1581">
        <v>0</v>
      </c>
      <c r="Q1581">
        <v>4910520</v>
      </c>
      <c r="R1581">
        <v>81300</v>
      </c>
      <c r="S1581" t="s">
        <v>2507</v>
      </c>
      <c r="T1581" t="s">
        <v>717</v>
      </c>
      <c r="U1581" t="s">
        <v>717</v>
      </c>
      <c r="V1581" t="s">
        <v>717</v>
      </c>
      <c r="W1581">
        <v>44868</v>
      </c>
      <c r="X1581" t="s">
        <v>7159</v>
      </c>
      <c r="Y1581" t="s">
        <v>6</v>
      </c>
      <c r="Z1581" t="s">
        <v>17</v>
      </c>
      <c r="AA1581" t="s">
        <v>6637</v>
      </c>
      <c r="AB1581" t="s">
        <v>326</v>
      </c>
      <c r="AC1581" t="s">
        <v>717</v>
      </c>
      <c r="AD1581" t="s">
        <v>717</v>
      </c>
      <c r="AE1581" t="s">
        <v>7160</v>
      </c>
      <c r="AF1581" t="s">
        <v>7161</v>
      </c>
      <c r="AG1581" t="s">
        <v>7162</v>
      </c>
      <c r="AH1581" t="s">
        <v>2615</v>
      </c>
      <c r="AI1581" t="s">
        <v>2552</v>
      </c>
      <c r="AJ1581" t="s">
        <v>3202</v>
      </c>
      <c r="AK1581" t="s">
        <v>77</v>
      </c>
      <c r="AL1581" t="s">
        <v>717</v>
      </c>
      <c r="AM1581" t="s">
        <v>10</v>
      </c>
      <c r="AN1581" t="s">
        <v>717</v>
      </c>
    </row>
    <row r="1582" spans="1:40" hidden="1">
      <c r="A1582">
        <v>1580</v>
      </c>
      <c r="B1582">
        <v>8</v>
      </c>
      <c r="C1582" s="58">
        <v>44873</v>
      </c>
      <c r="D1582" t="s">
        <v>7</v>
      </c>
      <c r="E1582" t="s">
        <v>2506</v>
      </c>
      <c r="F1582">
        <v>5</v>
      </c>
      <c r="G1582">
        <v>5</v>
      </c>
      <c r="H1582">
        <v>149</v>
      </c>
      <c r="I1582">
        <v>1</v>
      </c>
      <c r="J1582">
        <v>36.700000000000003</v>
      </c>
      <c r="K1582" t="s">
        <v>9</v>
      </c>
      <c r="L1582">
        <v>2889508.44</v>
      </c>
      <c r="M1582">
        <v>0</v>
      </c>
      <c r="N1582">
        <v>2889508.44</v>
      </c>
      <c r="O1582">
        <v>78733.2</v>
      </c>
      <c r="P1582">
        <v>0</v>
      </c>
      <c r="Q1582">
        <v>2889508.44</v>
      </c>
      <c r="R1582">
        <v>78733.2</v>
      </c>
      <c r="S1582" t="s">
        <v>65</v>
      </c>
      <c r="T1582" t="s">
        <v>717</v>
      </c>
      <c r="U1582" t="s">
        <v>717</v>
      </c>
      <c r="V1582" t="s">
        <v>4131</v>
      </c>
      <c r="W1582">
        <v>44867</v>
      </c>
      <c r="X1582" t="s">
        <v>7163</v>
      </c>
      <c r="Y1582" t="s">
        <v>6</v>
      </c>
      <c r="Z1582" t="s">
        <v>17</v>
      </c>
      <c r="AA1582" t="s">
        <v>6637</v>
      </c>
      <c r="AB1582" t="s">
        <v>2509</v>
      </c>
      <c r="AC1582" t="s">
        <v>2571</v>
      </c>
      <c r="AD1582" t="s">
        <v>717</v>
      </c>
      <c r="AE1582" t="s">
        <v>7164</v>
      </c>
      <c r="AF1582" t="s">
        <v>7165</v>
      </c>
      <c r="AG1582" t="s">
        <v>7166</v>
      </c>
      <c r="AH1582" t="s">
        <v>2191</v>
      </c>
      <c r="AI1582" t="s">
        <v>2538</v>
      </c>
      <c r="AJ1582" t="s">
        <v>2514</v>
      </c>
      <c r="AK1582" t="s">
        <v>73</v>
      </c>
      <c r="AL1582" t="s">
        <v>16</v>
      </c>
      <c r="AM1582" t="s">
        <v>10</v>
      </c>
      <c r="AN1582" t="s">
        <v>6708</v>
      </c>
    </row>
    <row r="1583" spans="1:40" hidden="1">
      <c r="A1583">
        <v>1581</v>
      </c>
      <c r="B1583">
        <v>9</v>
      </c>
      <c r="C1583" s="58">
        <v>44873</v>
      </c>
      <c r="D1583" t="s">
        <v>7</v>
      </c>
      <c r="E1583" t="s">
        <v>2515</v>
      </c>
      <c r="F1583">
        <v>1</v>
      </c>
      <c r="G1583">
        <v>9</v>
      </c>
      <c r="H1583">
        <v>57</v>
      </c>
      <c r="I1583">
        <v>1</v>
      </c>
      <c r="J1583">
        <v>33.53</v>
      </c>
      <c r="K1583" t="s">
        <v>15</v>
      </c>
      <c r="L1583">
        <v>2710705.36</v>
      </c>
      <c r="M1583">
        <v>0</v>
      </c>
      <c r="N1583">
        <v>2710705.36</v>
      </c>
      <c r="O1583">
        <v>80844.180137190575</v>
      </c>
      <c r="P1583">
        <v>251475</v>
      </c>
      <c r="Q1583">
        <v>2459230.36</v>
      </c>
      <c r="R1583">
        <v>73344.180137190575</v>
      </c>
      <c r="S1583" t="s">
        <v>65</v>
      </c>
      <c r="T1583" t="s">
        <v>2664</v>
      </c>
      <c r="U1583">
        <v>129433.18</v>
      </c>
      <c r="V1583" t="s">
        <v>4131</v>
      </c>
      <c r="W1583">
        <v>44868</v>
      </c>
      <c r="X1583" t="s">
        <v>7167</v>
      </c>
      <c r="Y1583" t="s">
        <v>6</v>
      </c>
      <c r="Z1583" t="s">
        <v>17</v>
      </c>
      <c r="AA1583" t="s">
        <v>6637</v>
      </c>
      <c r="AB1583" t="s">
        <v>2509</v>
      </c>
      <c r="AC1583" t="s">
        <v>2571</v>
      </c>
      <c r="AD1583" t="s">
        <v>717</v>
      </c>
      <c r="AE1583" t="s">
        <v>7168</v>
      </c>
      <c r="AF1583" t="s">
        <v>7169</v>
      </c>
      <c r="AG1583" t="s">
        <v>7170</v>
      </c>
      <c r="AH1583" t="s">
        <v>2191</v>
      </c>
      <c r="AI1583" t="s">
        <v>2706</v>
      </c>
      <c r="AJ1583" t="s">
        <v>2514</v>
      </c>
      <c r="AK1583" t="s">
        <v>77</v>
      </c>
      <c r="AL1583" t="s">
        <v>22</v>
      </c>
      <c r="AM1583" t="s">
        <v>10</v>
      </c>
      <c r="AN1583" t="s">
        <v>6708</v>
      </c>
    </row>
    <row r="1584" spans="1:40" hidden="1">
      <c r="A1584">
        <v>1582</v>
      </c>
      <c r="B1584">
        <v>10</v>
      </c>
      <c r="C1584" s="58">
        <v>44873</v>
      </c>
      <c r="D1584" t="s">
        <v>27</v>
      </c>
      <c r="E1584" t="s">
        <v>2515</v>
      </c>
      <c r="F1584">
        <v>2</v>
      </c>
      <c r="G1584">
        <v>19</v>
      </c>
      <c r="H1584">
        <v>155</v>
      </c>
      <c r="I1584">
        <v>1</v>
      </c>
      <c r="J1584">
        <v>37.94</v>
      </c>
      <c r="K1584" t="s">
        <v>9</v>
      </c>
      <c r="L1584">
        <v>3317598.8</v>
      </c>
      <c r="M1584">
        <v>0</v>
      </c>
      <c r="N1584">
        <v>3317598.8</v>
      </c>
      <c r="O1584">
        <v>87443.299947285181</v>
      </c>
      <c r="P1584">
        <v>0</v>
      </c>
      <c r="Q1584">
        <v>3317598.8</v>
      </c>
      <c r="R1584">
        <v>87443.299947285181</v>
      </c>
      <c r="S1584" t="s">
        <v>65</v>
      </c>
      <c r="T1584" t="s">
        <v>717</v>
      </c>
      <c r="U1584" t="s">
        <v>717</v>
      </c>
      <c r="V1584" t="s">
        <v>4131</v>
      </c>
      <c r="W1584">
        <v>44871</v>
      </c>
      <c r="X1584" t="s">
        <v>7171</v>
      </c>
      <c r="Y1584" t="s">
        <v>6</v>
      </c>
      <c r="Z1584" t="s">
        <v>17</v>
      </c>
      <c r="AA1584" t="s">
        <v>6637</v>
      </c>
      <c r="AB1584" t="s">
        <v>2509</v>
      </c>
      <c r="AC1584" t="s">
        <v>2571</v>
      </c>
      <c r="AD1584" t="s">
        <v>717</v>
      </c>
      <c r="AE1584" t="s">
        <v>7172</v>
      </c>
      <c r="AF1584" t="s">
        <v>7173</v>
      </c>
      <c r="AG1584" t="s">
        <v>7174</v>
      </c>
      <c r="AH1584" t="s">
        <v>2191</v>
      </c>
      <c r="AI1584" t="s">
        <v>6951</v>
      </c>
      <c r="AJ1584" t="s">
        <v>2514</v>
      </c>
      <c r="AK1584" t="s">
        <v>77</v>
      </c>
      <c r="AL1584" t="s">
        <v>16</v>
      </c>
      <c r="AM1584" t="s">
        <v>10</v>
      </c>
      <c r="AN1584" t="s">
        <v>717</v>
      </c>
    </row>
    <row r="1585" spans="1:40" hidden="1">
      <c r="A1585">
        <v>1583</v>
      </c>
      <c r="B1585">
        <v>11</v>
      </c>
      <c r="C1585" s="58">
        <v>44877</v>
      </c>
      <c r="D1585" t="s">
        <v>7</v>
      </c>
      <c r="E1585" t="s">
        <v>2581</v>
      </c>
      <c r="F1585">
        <v>5</v>
      </c>
      <c r="G1585">
        <v>14</v>
      </c>
      <c r="H1585">
        <v>329</v>
      </c>
      <c r="I1585">
        <v>2</v>
      </c>
      <c r="J1585">
        <v>56.7</v>
      </c>
      <c r="K1585" t="s">
        <v>9</v>
      </c>
      <c r="L1585">
        <v>3882112.92</v>
      </c>
      <c r="M1585">
        <v>0</v>
      </c>
      <c r="N1585">
        <v>3882112.92</v>
      </c>
      <c r="O1585">
        <v>68467.599999999991</v>
      </c>
      <c r="P1585">
        <v>0</v>
      </c>
      <c r="Q1585">
        <v>3882112.92</v>
      </c>
      <c r="R1585">
        <v>68467.599999999991</v>
      </c>
      <c r="S1585" t="s">
        <v>130</v>
      </c>
      <c r="T1585" t="s">
        <v>2664</v>
      </c>
      <c r="U1585">
        <v>204321.74</v>
      </c>
      <c r="V1585" t="s">
        <v>717</v>
      </c>
      <c r="W1585">
        <v>44873</v>
      </c>
      <c r="X1585" t="s">
        <v>7175</v>
      </c>
      <c r="Y1585" t="s">
        <v>6</v>
      </c>
      <c r="Z1585" t="s">
        <v>17</v>
      </c>
      <c r="AA1585" t="s">
        <v>6637</v>
      </c>
      <c r="AB1585" t="s">
        <v>2509</v>
      </c>
      <c r="AC1585" t="s">
        <v>717</v>
      </c>
      <c r="AD1585" t="s">
        <v>717</v>
      </c>
      <c r="AE1585" t="s">
        <v>7176</v>
      </c>
      <c r="AF1585" t="s">
        <v>7177</v>
      </c>
      <c r="AG1585" t="s">
        <v>7178</v>
      </c>
      <c r="AH1585" t="s">
        <v>2615</v>
      </c>
      <c r="AI1585" t="s">
        <v>2552</v>
      </c>
      <c r="AJ1585" t="s">
        <v>2895</v>
      </c>
      <c r="AK1585" t="s">
        <v>73</v>
      </c>
      <c r="AL1585" t="s">
        <v>717</v>
      </c>
      <c r="AM1585" t="s">
        <v>10</v>
      </c>
      <c r="AN1585" t="s">
        <v>717</v>
      </c>
    </row>
    <row r="1586" spans="1:40" hidden="1">
      <c r="A1586">
        <v>1584</v>
      </c>
      <c r="B1586">
        <v>12</v>
      </c>
      <c r="C1586" s="58">
        <v>44876</v>
      </c>
      <c r="D1586" t="s">
        <v>7</v>
      </c>
      <c r="E1586" t="s">
        <v>2581</v>
      </c>
      <c r="F1586">
        <v>5</v>
      </c>
      <c r="G1586">
        <v>9</v>
      </c>
      <c r="H1586">
        <v>294</v>
      </c>
      <c r="I1586">
        <v>2</v>
      </c>
      <c r="J1586">
        <v>56.7</v>
      </c>
      <c r="K1586" t="s">
        <v>15</v>
      </c>
      <c r="L1586">
        <v>4269672.7300000004</v>
      </c>
      <c r="M1586">
        <v>0</v>
      </c>
      <c r="N1586">
        <v>4269672.7300000004</v>
      </c>
      <c r="O1586">
        <v>75302.870017636684</v>
      </c>
      <c r="P1586">
        <v>425249.99999999953</v>
      </c>
      <c r="Q1586">
        <v>3844422.7300000009</v>
      </c>
      <c r="R1586">
        <v>67802.870017636698</v>
      </c>
      <c r="S1586" t="s">
        <v>65</v>
      </c>
      <c r="T1586" t="s">
        <v>2664</v>
      </c>
      <c r="U1586">
        <v>202338.03</v>
      </c>
      <c r="V1586" t="s">
        <v>6312</v>
      </c>
      <c r="W1586">
        <v>44866</v>
      </c>
      <c r="X1586" t="s">
        <v>7179</v>
      </c>
      <c r="Y1586" t="s">
        <v>6</v>
      </c>
      <c r="Z1586" t="s">
        <v>17</v>
      </c>
      <c r="AA1586" t="s">
        <v>6637</v>
      </c>
      <c r="AB1586" t="s">
        <v>2509</v>
      </c>
      <c r="AC1586" t="s">
        <v>2571</v>
      </c>
      <c r="AD1586" t="s">
        <v>717</v>
      </c>
      <c r="AE1586" t="s">
        <v>7180</v>
      </c>
      <c r="AF1586" t="s">
        <v>7181</v>
      </c>
      <c r="AG1586" t="s">
        <v>7182</v>
      </c>
      <c r="AH1586" t="s">
        <v>2615</v>
      </c>
      <c r="AI1586" t="s">
        <v>2552</v>
      </c>
      <c r="AJ1586" t="s">
        <v>2662</v>
      </c>
      <c r="AK1586" t="s">
        <v>77</v>
      </c>
      <c r="AL1586" t="s">
        <v>22</v>
      </c>
      <c r="AM1586" t="s">
        <v>10</v>
      </c>
      <c r="AN1586" t="s">
        <v>6708</v>
      </c>
    </row>
    <row r="1587" spans="1:40" hidden="1">
      <c r="A1587">
        <v>1585</v>
      </c>
      <c r="B1587">
        <v>13</v>
      </c>
      <c r="C1587" s="58">
        <v>44876</v>
      </c>
      <c r="D1587" t="s">
        <v>27</v>
      </c>
      <c r="E1587" t="s">
        <v>2515</v>
      </c>
      <c r="F1587">
        <v>2</v>
      </c>
      <c r="G1587">
        <v>21</v>
      </c>
      <c r="H1587">
        <v>173</v>
      </c>
      <c r="I1587">
        <v>1</v>
      </c>
      <c r="J1587">
        <v>37.94</v>
      </c>
      <c r="K1587" t="s">
        <v>9</v>
      </c>
      <c r="L1587">
        <v>3317598.8</v>
      </c>
      <c r="M1587">
        <v>0</v>
      </c>
      <c r="N1587">
        <v>3317598.8</v>
      </c>
      <c r="O1587">
        <v>87443.299947285181</v>
      </c>
      <c r="P1587">
        <v>0</v>
      </c>
      <c r="Q1587">
        <v>3317598.8</v>
      </c>
      <c r="R1587">
        <v>87443.299947285181</v>
      </c>
      <c r="S1587" t="s">
        <v>2507</v>
      </c>
      <c r="T1587" t="s">
        <v>717</v>
      </c>
      <c r="U1587" t="s">
        <v>717</v>
      </c>
      <c r="V1587" t="s">
        <v>717</v>
      </c>
      <c r="W1587">
        <v>44868</v>
      </c>
      <c r="X1587" t="s">
        <v>7183</v>
      </c>
      <c r="Y1587" t="s">
        <v>6</v>
      </c>
      <c r="Z1587" t="s">
        <v>17</v>
      </c>
      <c r="AA1587" t="s">
        <v>6637</v>
      </c>
      <c r="AB1587" t="s">
        <v>2509</v>
      </c>
      <c r="AC1587" t="s">
        <v>717</v>
      </c>
      <c r="AD1587" t="s">
        <v>717</v>
      </c>
      <c r="AE1587" t="s">
        <v>7184</v>
      </c>
      <c r="AF1587" t="s">
        <v>7185</v>
      </c>
      <c r="AG1587" t="s">
        <v>7186</v>
      </c>
      <c r="AH1587" t="s">
        <v>2191</v>
      </c>
      <c r="AI1587" t="s">
        <v>2538</v>
      </c>
      <c r="AJ1587" t="s">
        <v>2514</v>
      </c>
      <c r="AK1587" t="s">
        <v>77</v>
      </c>
      <c r="AL1587" t="s">
        <v>717</v>
      </c>
      <c r="AM1587" t="s">
        <v>10</v>
      </c>
      <c r="AN1587" t="s">
        <v>717</v>
      </c>
    </row>
    <row r="1588" spans="1:40" hidden="1">
      <c r="A1588">
        <v>1586</v>
      </c>
      <c r="B1588">
        <v>14</v>
      </c>
      <c r="C1588" s="58">
        <v>44876</v>
      </c>
      <c r="D1588" t="s">
        <v>27</v>
      </c>
      <c r="E1588" t="s">
        <v>2515</v>
      </c>
      <c r="F1588">
        <v>4</v>
      </c>
      <c r="G1588">
        <v>14</v>
      </c>
      <c r="H1588">
        <v>112</v>
      </c>
      <c r="I1588">
        <v>0</v>
      </c>
      <c r="J1588">
        <v>24.39</v>
      </c>
      <c r="K1588" t="s">
        <v>15</v>
      </c>
      <c r="L1588">
        <v>2351576.48</v>
      </c>
      <c r="M1588">
        <v>0</v>
      </c>
      <c r="N1588">
        <v>2351576.48</v>
      </c>
      <c r="O1588">
        <v>96415.599835998364</v>
      </c>
      <c r="P1588">
        <v>182925</v>
      </c>
      <c r="Q1588">
        <v>2168651.48</v>
      </c>
      <c r="R1588">
        <v>88915.599835998364</v>
      </c>
      <c r="S1588" t="s">
        <v>65</v>
      </c>
      <c r="T1588" t="s">
        <v>717</v>
      </c>
      <c r="U1588" t="s">
        <v>717</v>
      </c>
      <c r="V1588" t="s">
        <v>4131</v>
      </c>
      <c r="W1588">
        <v>44871</v>
      </c>
      <c r="X1588" t="s">
        <v>7187</v>
      </c>
      <c r="Y1588" t="s">
        <v>6</v>
      </c>
      <c r="Z1588" t="s">
        <v>17</v>
      </c>
      <c r="AA1588" t="s">
        <v>6637</v>
      </c>
      <c r="AB1588" t="s">
        <v>2509</v>
      </c>
      <c r="AC1588" t="s">
        <v>2571</v>
      </c>
      <c r="AD1588" t="s">
        <v>717</v>
      </c>
      <c r="AE1588" t="s">
        <v>7188</v>
      </c>
      <c r="AF1588" t="s">
        <v>7189</v>
      </c>
      <c r="AG1588" t="s">
        <v>7190</v>
      </c>
      <c r="AH1588" t="s">
        <v>2616</v>
      </c>
      <c r="AI1588" t="s">
        <v>2552</v>
      </c>
      <c r="AJ1588" t="s">
        <v>2569</v>
      </c>
      <c r="AK1588" t="s">
        <v>77</v>
      </c>
      <c r="AL1588" t="s">
        <v>16</v>
      </c>
      <c r="AM1588" t="s">
        <v>10</v>
      </c>
      <c r="AN1588" t="s">
        <v>717</v>
      </c>
    </row>
    <row r="1589" spans="1:40" hidden="1">
      <c r="A1589">
        <v>1587</v>
      </c>
      <c r="B1589">
        <v>15</v>
      </c>
      <c r="C1589" s="58">
        <v>44879</v>
      </c>
      <c r="D1589" t="s">
        <v>7</v>
      </c>
      <c r="E1589" t="s">
        <v>2506</v>
      </c>
      <c r="F1589">
        <v>8</v>
      </c>
      <c r="G1589">
        <v>7</v>
      </c>
      <c r="H1589">
        <v>168</v>
      </c>
      <c r="I1589">
        <v>1</v>
      </c>
      <c r="J1589">
        <v>33.79</v>
      </c>
      <c r="K1589" t="s">
        <v>25</v>
      </c>
      <c r="L1589">
        <v>3273854.64</v>
      </c>
      <c r="M1589">
        <v>0</v>
      </c>
      <c r="N1589">
        <v>3273854.64</v>
      </c>
      <c r="O1589">
        <v>96888.269902337983</v>
      </c>
      <c r="P1589">
        <v>743380</v>
      </c>
      <c r="Q1589">
        <v>2530474.64</v>
      </c>
      <c r="R1589">
        <v>74888.269902337983</v>
      </c>
      <c r="S1589" t="s">
        <v>65</v>
      </c>
      <c r="T1589" t="s">
        <v>2941</v>
      </c>
      <c r="U1589">
        <v>78262.100000000006</v>
      </c>
      <c r="V1589" t="s">
        <v>4131</v>
      </c>
      <c r="W1589">
        <v>44873</v>
      </c>
      <c r="X1589" t="s">
        <v>7191</v>
      </c>
      <c r="Y1589" t="s">
        <v>6</v>
      </c>
      <c r="Z1589" t="s">
        <v>17</v>
      </c>
      <c r="AA1589" t="s">
        <v>6637</v>
      </c>
      <c r="AB1589" t="s">
        <v>2509</v>
      </c>
      <c r="AC1589" t="s">
        <v>2571</v>
      </c>
      <c r="AD1589" t="s">
        <v>717</v>
      </c>
      <c r="AE1589" t="s">
        <v>7192</v>
      </c>
      <c r="AF1589" t="s">
        <v>7193</v>
      </c>
      <c r="AG1589" t="s">
        <v>7194</v>
      </c>
      <c r="AH1589" t="s">
        <v>2191</v>
      </c>
      <c r="AI1589" t="s">
        <v>2552</v>
      </c>
      <c r="AJ1589" t="s">
        <v>2514</v>
      </c>
      <c r="AK1589" t="s">
        <v>73</v>
      </c>
      <c r="AL1589" t="s">
        <v>16</v>
      </c>
      <c r="AM1589" t="s">
        <v>10</v>
      </c>
      <c r="AN1589" t="s">
        <v>6708</v>
      </c>
    </row>
    <row r="1590" spans="1:40" hidden="1">
      <c r="A1590">
        <v>1588</v>
      </c>
      <c r="B1590">
        <v>16</v>
      </c>
      <c r="C1590" s="58">
        <v>44879</v>
      </c>
      <c r="D1590" t="s">
        <v>7</v>
      </c>
      <c r="E1590" t="s">
        <v>2506</v>
      </c>
      <c r="F1590">
        <v>3</v>
      </c>
      <c r="G1590">
        <v>8</v>
      </c>
      <c r="H1590">
        <v>171</v>
      </c>
      <c r="I1590">
        <v>1</v>
      </c>
      <c r="J1590">
        <v>35.380000000000003</v>
      </c>
      <c r="K1590" t="s">
        <v>9</v>
      </c>
      <c r="L1590">
        <v>2758536.14</v>
      </c>
      <c r="M1590">
        <v>0</v>
      </c>
      <c r="N1590">
        <v>2758536.14</v>
      </c>
      <c r="O1590">
        <v>77968.799886941779</v>
      </c>
      <c r="P1590">
        <v>0</v>
      </c>
      <c r="Q1590">
        <v>2758536.14</v>
      </c>
      <c r="R1590">
        <v>77968.799886941779</v>
      </c>
      <c r="S1590" t="s">
        <v>130</v>
      </c>
      <c r="T1590" t="s">
        <v>717</v>
      </c>
      <c r="U1590" t="s">
        <v>717</v>
      </c>
      <c r="V1590" t="s">
        <v>717</v>
      </c>
      <c r="W1590">
        <v>44876</v>
      </c>
      <c r="X1590" t="s">
        <v>7195</v>
      </c>
      <c r="Y1590" t="s">
        <v>6</v>
      </c>
      <c r="Z1590" t="s">
        <v>17</v>
      </c>
      <c r="AA1590" t="s">
        <v>6637</v>
      </c>
      <c r="AB1590" t="s">
        <v>2509</v>
      </c>
      <c r="AC1590" t="s">
        <v>717</v>
      </c>
      <c r="AD1590" t="s">
        <v>717</v>
      </c>
      <c r="AE1590" t="s">
        <v>7196</v>
      </c>
      <c r="AF1590" t="s">
        <v>7197</v>
      </c>
      <c r="AG1590" t="s">
        <v>7198</v>
      </c>
      <c r="AH1590" t="s">
        <v>2615</v>
      </c>
      <c r="AI1590" t="s">
        <v>2552</v>
      </c>
      <c r="AJ1590" t="s">
        <v>2662</v>
      </c>
      <c r="AK1590" t="s">
        <v>73</v>
      </c>
      <c r="AL1590" t="s">
        <v>717</v>
      </c>
      <c r="AM1590" t="s">
        <v>10</v>
      </c>
      <c r="AN1590" t="s">
        <v>717</v>
      </c>
    </row>
    <row r="1591" spans="1:40" hidden="1">
      <c r="A1591">
        <v>1589</v>
      </c>
      <c r="B1591">
        <v>17</v>
      </c>
      <c r="C1591" s="58">
        <v>44880</v>
      </c>
      <c r="D1591" t="s">
        <v>27</v>
      </c>
      <c r="E1591" t="s">
        <v>2515</v>
      </c>
      <c r="F1591">
        <v>2</v>
      </c>
      <c r="G1591">
        <v>23</v>
      </c>
      <c r="H1591">
        <v>191</v>
      </c>
      <c r="I1591">
        <v>1</v>
      </c>
      <c r="J1591">
        <v>37.94</v>
      </c>
      <c r="K1591" t="s">
        <v>9</v>
      </c>
      <c r="L1591">
        <v>2986636.89</v>
      </c>
      <c r="M1591">
        <v>15000</v>
      </c>
      <c r="N1591">
        <v>3001636.89</v>
      </c>
      <c r="O1591">
        <v>79115.363468634692</v>
      </c>
      <c r="P1591">
        <v>0</v>
      </c>
      <c r="Q1591">
        <v>3001636.89</v>
      </c>
      <c r="R1591">
        <v>79115.363468634692</v>
      </c>
      <c r="S1591" t="s">
        <v>65</v>
      </c>
      <c r="T1591" t="s">
        <v>2664</v>
      </c>
      <c r="U1591">
        <v>157980.89000000001</v>
      </c>
      <c r="V1591" t="s">
        <v>6312</v>
      </c>
      <c r="W1591">
        <v>44875</v>
      </c>
      <c r="X1591" t="s">
        <v>7199</v>
      </c>
      <c r="Y1591" t="s">
        <v>6</v>
      </c>
      <c r="Z1591" t="s">
        <v>17</v>
      </c>
      <c r="AA1591" t="s">
        <v>6637</v>
      </c>
      <c r="AB1591" t="s">
        <v>2509</v>
      </c>
      <c r="AC1591" t="s">
        <v>2571</v>
      </c>
      <c r="AD1591" t="s">
        <v>717</v>
      </c>
      <c r="AE1591" t="s">
        <v>7200</v>
      </c>
      <c r="AF1591" t="s">
        <v>3864</v>
      </c>
      <c r="AG1591" t="s">
        <v>7201</v>
      </c>
      <c r="AH1591" t="s">
        <v>2191</v>
      </c>
      <c r="AI1591" t="s">
        <v>2600</v>
      </c>
      <c r="AJ1591" t="s">
        <v>3921</v>
      </c>
      <c r="AK1591" t="s">
        <v>77</v>
      </c>
      <c r="AL1591" t="s">
        <v>16</v>
      </c>
      <c r="AM1591" t="s">
        <v>10</v>
      </c>
      <c r="AN1591" t="s">
        <v>717</v>
      </c>
    </row>
    <row r="1592" spans="1:40" hidden="1">
      <c r="A1592">
        <v>1590</v>
      </c>
      <c r="B1592">
        <v>18</v>
      </c>
      <c r="C1592" s="58">
        <v>44881</v>
      </c>
      <c r="D1592" t="s">
        <v>7</v>
      </c>
      <c r="E1592" t="s">
        <v>2506</v>
      </c>
      <c r="F1592">
        <v>8</v>
      </c>
      <c r="G1592">
        <v>9</v>
      </c>
      <c r="H1592">
        <v>184</v>
      </c>
      <c r="I1592">
        <v>1</v>
      </c>
      <c r="J1592">
        <v>33.79</v>
      </c>
      <c r="K1592" t="s">
        <v>15</v>
      </c>
      <c r="L1592">
        <v>2731724.85</v>
      </c>
      <c r="M1592">
        <v>0</v>
      </c>
      <c r="N1592">
        <v>2731724.85</v>
      </c>
      <c r="O1592">
        <v>80844.180230837534</v>
      </c>
      <c r="P1592">
        <v>253425</v>
      </c>
      <c r="Q1592">
        <v>2478299.85</v>
      </c>
      <c r="R1592">
        <v>73344.180230837534</v>
      </c>
      <c r="S1592" t="s">
        <v>130</v>
      </c>
      <c r="T1592" t="s">
        <v>2664</v>
      </c>
      <c r="U1592">
        <v>130436.83</v>
      </c>
      <c r="V1592" t="s">
        <v>717</v>
      </c>
      <c r="W1592">
        <v>44878</v>
      </c>
      <c r="X1592" t="s">
        <v>7202</v>
      </c>
      <c r="Y1592" t="s">
        <v>6</v>
      </c>
      <c r="Z1592" t="s">
        <v>17</v>
      </c>
      <c r="AA1592" t="s">
        <v>6637</v>
      </c>
      <c r="AB1592" t="s">
        <v>2509</v>
      </c>
      <c r="AC1592" t="s">
        <v>717</v>
      </c>
      <c r="AD1592" t="s">
        <v>717</v>
      </c>
      <c r="AE1592" t="s">
        <v>7203</v>
      </c>
      <c r="AF1592" t="s">
        <v>7204</v>
      </c>
      <c r="AG1592" t="s">
        <v>7205</v>
      </c>
      <c r="AH1592" t="s">
        <v>2616</v>
      </c>
      <c r="AI1592" t="s">
        <v>2552</v>
      </c>
      <c r="AJ1592" t="s">
        <v>2895</v>
      </c>
      <c r="AK1592" t="s">
        <v>73</v>
      </c>
      <c r="AL1592" t="s">
        <v>717</v>
      </c>
      <c r="AM1592" t="s">
        <v>10</v>
      </c>
      <c r="AN1592" t="s">
        <v>717</v>
      </c>
    </row>
    <row r="1593" spans="1:40" hidden="1">
      <c r="A1593">
        <v>1591</v>
      </c>
      <c r="B1593">
        <v>19</v>
      </c>
      <c r="C1593" s="58">
        <v>44881</v>
      </c>
      <c r="D1593" t="s">
        <v>7</v>
      </c>
      <c r="E1593" t="s">
        <v>2506</v>
      </c>
      <c r="F1593">
        <v>7</v>
      </c>
      <c r="G1593">
        <v>13</v>
      </c>
      <c r="H1593">
        <v>215</v>
      </c>
      <c r="I1593">
        <v>3</v>
      </c>
      <c r="J1593">
        <v>78.73</v>
      </c>
      <c r="K1593" t="s">
        <v>25</v>
      </c>
      <c r="L1593">
        <v>5703327.1699999999</v>
      </c>
      <c r="M1593">
        <v>0</v>
      </c>
      <c r="N1593">
        <v>5703327.1699999999</v>
      </c>
      <c r="O1593">
        <v>72441.60002540327</v>
      </c>
      <c r="P1593">
        <v>0</v>
      </c>
      <c r="Q1593">
        <v>5703327.1699999999</v>
      </c>
      <c r="R1593">
        <v>72441.60002540327</v>
      </c>
      <c r="S1593" t="s">
        <v>65</v>
      </c>
      <c r="T1593" t="s">
        <v>717</v>
      </c>
      <c r="U1593" t="s">
        <v>717</v>
      </c>
      <c r="V1593" t="s">
        <v>1970</v>
      </c>
      <c r="W1593">
        <v>44880</v>
      </c>
      <c r="X1593" t="s">
        <v>7206</v>
      </c>
      <c r="Y1593" t="s">
        <v>6</v>
      </c>
      <c r="Z1593" t="s">
        <v>11</v>
      </c>
      <c r="AA1593" t="s">
        <v>717</v>
      </c>
      <c r="AB1593" t="s">
        <v>2509</v>
      </c>
      <c r="AC1593" t="s">
        <v>5105</v>
      </c>
      <c r="AD1593" t="s">
        <v>717</v>
      </c>
      <c r="AE1593" t="s">
        <v>7207</v>
      </c>
      <c r="AF1593" t="s">
        <v>7208</v>
      </c>
      <c r="AG1593" t="s">
        <v>7209</v>
      </c>
      <c r="AH1593" t="s">
        <v>2191</v>
      </c>
      <c r="AI1593" t="s">
        <v>5653</v>
      </c>
      <c r="AJ1593" t="s">
        <v>31</v>
      </c>
      <c r="AK1593" t="s">
        <v>73</v>
      </c>
      <c r="AL1593" t="s">
        <v>22</v>
      </c>
      <c r="AM1593" t="s">
        <v>5654</v>
      </c>
      <c r="AN1593" t="s">
        <v>7210</v>
      </c>
    </row>
    <row r="1594" spans="1:40" hidden="1">
      <c r="A1594">
        <v>1592</v>
      </c>
      <c r="B1594">
        <v>20</v>
      </c>
      <c r="C1594" s="58">
        <v>44883</v>
      </c>
      <c r="D1594" t="s">
        <v>121</v>
      </c>
      <c r="E1594" t="s">
        <v>2515</v>
      </c>
      <c r="F1594">
        <v>7</v>
      </c>
      <c r="G1594">
        <v>5</v>
      </c>
      <c r="H1594">
        <v>28</v>
      </c>
      <c r="I1594">
        <v>2</v>
      </c>
      <c r="J1594">
        <v>59.7</v>
      </c>
      <c r="K1594" t="s">
        <v>25</v>
      </c>
      <c r="L1594">
        <v>5421900</v>
      </c>
      <c r="M1594">
        <v>0</v>
      </c>
      <c r="N1594">
        <v>5421900</v>
      </c>
      <c r="O1594">
        <v>90819.095477386931</v>
      </c>
      <c r="P1594">
        <v>0</v>
      </c>
      <c r="Q1594">
        <v>5421900</v>
      </c>
      <c r="R1594">
        <v>90819.095477386931</v>
      </c>
      <c r="S1594" t="s">
        <v>130</v>
      </c>
      <c r="T1594" t="s">
        <v>717</v>
      </c>
      <c r="U1594" t="s">
        <v>717</v>
      </c>
      <c r="V1594" t="s">
        <v>717</v>
      </c>
      <c r="W1594">
        <v>44883</v>
      </c>
      <c r="X1594" t="s">
        <v>7211</v>
      </c>
      <c r="Y1594" t="s">
        <v>6642</v>
      </c>
      <c r="Z1594" t="s">
        <v>17</v>
      </c>
      <c r="AA1594" t="s">
        <v>717</v>
      </c>
      <c r="AB1594" t="s">
        <v>326</v>
      </c>
      <c r="AC1594" t="s">
        <v>717</v>
      </c>
      <c r="AD1594" t="s">
        <v>717</v>
      </c>
      <c r="AE1594" t="s">
        <v>6643</v>
      </c>
      <c r="AF1594" t="s">
        <v>717</v>
      </c>
      <c r="AG1594" t="s">
        <v>717</v>
      </c>
      <c r="AH1594" t="s">
        <v>717</v>
      </c>
      <c r="AI1594" t="s">
        <v>6644</v>
      </c>
      <c r="AJ1594" t="s">
        <v>6645</v>
      </c>
      <c r="AK1594" t="s">
        <v>29</v>
      </c>
      <c r="AL1594" t="s">
        <v>717</v>
      </c>
      <c r="AM1594" t="s">
        <v>10</v>
      </c>
      <c r="AN1594" t="s">
        <v>717</v>
      </c>
    </row>
    <row r="1595" spans="1:40" hidden="1">
      <c r="A1595">
        <v>1593</v>
      </c>
      <c r="B1595">
        <v>21</v>
      </c>
      <c r="C1595" s="58">
        <v>44883</v>
      </c>
      <c r="D1595" t="s">
        <v>121</v>
      </c>
      <c r="E1595" t="s">
        <v>2515</v>
      </c>
      <c r="F1595">
        <v>7</v>
      </c>
      <c r="G1595">
        <v>8</v>
      </c>
      <c r="H1595">
        <v>49</v>
      </c>
      <c r="I1595">
        <v>2</v>
      </c>
      <c r="J1595">
        <v>59.5</v>
      </c>
      <c r="K1595" t="s">
        <v>25</v>
      </c>
      <c r="L1595">
        <v>5403300</v>
      </c>
      <c r="M1595">
        <v>0</v>
      </c>
      <c r="N1595">
        <v>5403300</v>
      </c>
      <c r="O1595">
        <v>90811.764705882364</v>
      </c>
      <c r="P1595">
        <v>0</v>
      </c>
      <c r="Q1595">
        <v>5403300</v>
      </c>
      <c r="R1595">
        <v>90811.764705882364</v>
      </c>
      <c r="S1595" t="s">
        <v>130</v>
      </c>
      <c r="T1595" t="s">
        <v>717</v>
      </c>
      <c r="U1595" t="s">
        <v>717</v>
      </c>
      <c r="V1595" t="s">
        <v>717</v>
      </c>
      <c r="W1595">
        <v>44883</v>
      </c>
      <c r="X1595" t="s">
        <v>7211</v>
      </c>
      <c r="Y1595" t="s">
        <v>6642</v>
      </c>
      <c r="Z1595" t="s">
        <v>17</v>
      </c>
      <c r="AA1595" t="s">
        <v>717</v>
      </c>
      <c r="AB1595" t="s">
        <v>326</v>
      </c>
      <c r="AC1595" t="s">
        <v>717</v>
      </c>
      <c r="AD1595" t="s">
        <v>717</v>
      </c>
      <c r="AE1595" t="s">
        <v>6643</v>
      </c>
      <c r="AF1595" t="s">
        <v>717</v>
      </c>
      <c r="AG1595" t="s">
        <v>717</v>
      </c>
      <c r="AH1595" t="s">
        <v>717</v>
      </c>
      <c r="AI1595" t="s">
        <v>6644</v>
      </c>
      <c r="AJ1595" t="s">
        <v>6645</v>
      </c>
      <c r="AK1595" t="s">
        <v>29</v>
      </c>
      <c r="AL1595" t="s">
        <v>717</v>
      </c>
      <c r="AM1595" t="s">
        <v>10</v>
      </c>
      <c r="AN1595" t="s">
        <v>717</v>
      </c>
    </row>
    <row r="1596" spans="1:40" hidden="1">
      <c r="A1596">
        <v>1594</v>
      </c>
      <c r="B1596">
        <v>22</v>
      </c>
      <c r="C1596" s="58">
        <v>44883</v>
      </c>
      <c r="D1596" t="s">
        <v>121</v>
      </c>
      <c r="E1596" t="s">
        <v>2515</v>
      </c>
      <c r="F1596">
        <v>6</v>
      </c>
      <c r="G1596">
        <v>11</v>
      </c>
      <c r="H1596">
        <v>69</v>
      </c>
      <c r="I1596">
        <v>2</v>
      </c>
      <c r="J1596">
        <v>61.8</v>
      </c>
      <c r="K1596" t="s">
        <v>25</v>
      </c>
      <c r="L1596">
        <v>5607900</v>
      </c>
      <c r="M1596">
        <v>0</v>
      </c>
      <c r="N1596">
        <v>5607900</v>
      </c>
      <c r="O1596">
        <v>90742.718446601939</v>
      </c>
      <c r="P1596">
        <v>0</v>
      </c>
      <c r="Q1596">
        <v>5607900</v>
      </c>
      <c r="R1596">
        <v>90742.718446601939</v>
      </c>
      <c r="S1596" t="s">
        <v>130</v>
      </c>
      <c r="T1596" t="s">
        <v>717</v>
      </c>
      <c r="U1596" t="s">
        <v>717</v>
      </c>
      <c r="V1596" t="s">
        <v>717</v>
      </c>
      <c r="W1596">
        <v>44883</v>
      </c>
      <c r="X1596" t="s">
        <v>7211</v>
      </c>
      <c r="Y1596" t="s">
        <v>6642</v>
      </c>
      <c r="Z1596" t="s">
        <v>17</v>
      </c>
      <c r="AA1596" t="s">
        <v>717</v>
      </c>
      <c r="AB1596" t="s">
        <v>326</v>
      </c>
      <c r="AC1596" t="s">
        <v>717</v>
      </c>
      <c r="AD1596" t="s">
        <v>717</v>
      </c>
      <c r="AE1596" t="s">
        <v>6643</v>
      </c>
      <c r="AF1596" t="s">
        <v>717</v>
      </c>
      <c r="AG1596" t="s">
        <v>717</v>
      </c>
      <c r="AH1596" t="s">
        <v>717</v>
      </c>
      <c r="AI1596" t="s">
        <v>6644</v>
      </c>
      <c r="AJ1596" t="s">
        <v>6645</v>
      </c>
      <c r="AK1596" t="s">
        <v>29</v>
      </c>
      <c r="AL1596" t="s">
        <v>717</v>
      </c>
      <c r="AM1596" t="s">
        <v>10</v>
      </c>
      <c r="AN1596" t="s">
        <v>717</v>
      </c>
    </row>
    <row r="1597" spans="1:40" hidden="1">
      <c r="A1597">
        <v>1595</v>
      </c>
      <c r="B1597">
        <v>23</v>
      </c>
      <c r="C1597" s="58">
        <v>44886</v>
      </c>
      <c r="D1597" t="s">
        <v>7</v>
      </c>
      <c r="E1597" t="s">
        <v>2581</v>
      </c>
      <c r="F1597">
        <v>4</v>
      </c>
      <c r="G1597">
        <v>13</v>
      </c>
      <c r="H1597">
        <v>321</v>
      </c>
      <c r="I1597">
        <v>2</v>
      </c>
      <c r="J1597">
        <v>58.55</v>
      </c>
      <c r="K1597" t="s">
        <v>15</v>
      </c>
      <c r="L1597">
        <v>4658891.42</v>
      </c>
      <c r="M1597">
        <v>0</v>
      </c>
      <c r="N1597">
        <v>4658891.42</v>
      </c>
      <c r="O1597">
        <v>79571.160034158835</v>
      </c>
      <c r="P1597">
        <v>439125</v>
      </c>
      <c r="Q1597">
        <v>4219766.42</v>
      </c>
      <c r="R1597">
        <v>72071.160034158835</v>
      </c>
      <c r="S1597" t="s">
        <v>130</v>
      </c>
      <c r="T1597" t="s">
        <v>717</v>
      </c>
      <c r="U1597" t="s">
        <v>717</v>
      </c>
      <c r="V1597" t="s">
        <v>717</v>
      </c>
      <c r="W1597">
        <v>44881</v>
      </c>
      <c r="X1597" t="s">
        <v>7212</v>
      </c>
      <c r="Y1597" t="s">
        <v>6</v>
      </c>
      <c r="Z1597" t="s">
        <v>17</v>
      </c>
      <c r="AA1597" t="s">
        <v>6637</v>
      </c>
      <c r="AB1597" t="s">
        <v>2509</v>
      </c>
      <c r="AC1597" t="s">
        <v>717</v>
      </c>
      <c r="AD1597" t="s">
        <v>717</v>
      </c>
      <c r="AE1597" t="s">
        <v>7213</v>
      </c>
      <c r="AF1597" t="s">
        <v>7214</v>
      </c>
      <c r="AG1597" t="s">
        <v>7215</v>
      </c>
      <c r="AH1597" t="s">
        <v>2191</v>
      </c>
      <c r="AI1597" t="s">
        <v>5653</v>
      </c>
      <c r="AJ1597" t="s">
        <v>31</v>
      </c>
      <c r="AK1597" t="s">
        <v>73</v>
      </c>
      <c r="AL1597" t="s">
        <v>717</v>
      </c>
      <c r="AM1597" t="s">
        <v>5654</v>
      </c>
      <c r="AN1597" t="s">
        <v>717</v>
      </c>
    </row>
    <row r="1598" spans="1:40" hidden="1">
      <c r="A1598">
        <v>1596</v>
      </c>
      <c r="B1598">
        <v>24</v>
      </c>
      <c r="C1598" s="58">
        <v>44887</v>
      </c>
      <c r="D1598" t="s">
        <v>121</v>
      </c>
      <c r="E1598" t="s">
        <v>2515</v>
      </c>
      <c r="F1598">
        <v>2</v>
      </c>
      <c r="G1598">
        <v>2</v>
      </c>
      <c r="H1598">
        <v>2</v>
      </c>
      <c r="I1598">
        <v>2</v>
      </c>
      <c r="J1598">
        <v>59.9</v>
      </c>
      <c r="K1598" t="s">
        <v>25</v>
      </c>
      <c r="L1598">
        <v>3607402.5</v>
      </c>
      <c r="M1598">
        <v>0</v>
      </c>
      <c r="N1598">
        <v>3607402.5</v>
      </c>
      <c r="O1598">
        <v>60223.74791318865</v>
      </c>
      <c r="P1598">
        <v>0</v>
      </c>
      <c r="Q1598">
        <v>3607402.5</v>
      </c>
      <c r="R1598">
        <v>60223.74791318865</v>
      </c>
      <c r="S1598" t="s">
        <v>130</v>
      </c>
      <c r="T1598" t="s">
        <v>717</v>
      </c>
      <c r="U1598" t="s">
        <v>717</v>
      </c>
      <c r="V1598" t="s">
        <v>717</v>
      </c>
      <c r="W1598">
        <v>44887</v>
      </c>
      <c r="X1598" t="s">
        <v>7216</v>
      </c>
      <c r="Y1598" t="s">
        <v>6642</v>
      </c>
      <c r="Z1598" t="s">
        <v>17</v>
      </c>
      <c r="AA1598" t="s">
        <v>717</v>
      </c>
      <c r="AB1598" t="s">
        <v>326</v>
      </c>
      <c r="AC1598" t="s">
        <v>717</v>
      </c>
      <c r="AD1598" t="s">
        <v>717</v>
      </c>
      <c r="AE1598" t="s">
        <v>7217</v>
      </c>
      <c r="AF1598" t="s">
        <v>717</v>
      </c>
      <c r="AG1598" t="s">
        <v>717</v>
      </c>
      <c r="AH1598" t="s">
        <v>717</v>
      </c>
      <c r="AI1598" t="s">
        <v>6644</v>
      </c>
      <c r="AJ1598" t="s">
        <v>6645</v>
      </c>
      <c r="AK1598" t="s">
        <v>29</v>
      </c>
      <c r="AL1598" t="s">
        <v>717</v>
      </c>
      <c r="AM1598" t="s">
        <v>10</v>
      </c>
      <c r="AN1598" t="s">
        <v>717</v>
      </c>
    </row>
    <row r="1599" spans="1:40" hidden="1">
      <c r="A1599">
        <v>1597</v>
      </c>
      <c r="B1599">
        <v>25</v>
      </c>
      <c r="C1599" s="58">
        <v>44887</v>
      </c>
      <c r="D1599" t="s">
        <v>121</v>
      </c>
      <c r="E1599" t="s">
        <v>2515</v>
      </c>
      <c r="F1599">
        <v>3</v>
      </c>
      <c r="G1599">
        <v>19</v>
      </c>
      <c r="H1599">
        <v>122</v>
      </c>
      <c r="I1599">
        <v>3</v>
      </c>
      <c r="J1599">
        <v>78.7</v>
      </c>
      <c r="K1599" t="s">
        <v>25</v>
      </c>
      <c r="L1599">
        <v>4760538</v>
      </c>
      <c r="M1599">
        <v>0</v>
      </c>
      <c r="N1599">
        <v>4760538</v>
      </c>
      <c r="O1599">
        <v>60489.682337992374</v>
      </c>
      <c r="P1599">
        <v>0</v>
      </c>
      <c r="Q1599">
        <v>4760538</v>
      </c>
      <c r="R1599">
        <v>60489.682337992374</v>
      </c>
      <c r="S1599" t="s">
        <v>130</v>
      </c>
      <c r="T1599" t="s">
        <v>717</v>
      </c>
      <c r="U1599" t="s">
        <v>717</v>
      </c>
      <c r="V1599" t="s">
        <v>717</v>
      </c>
      <c r="W1599">
        <v>44887</v>
      </c>
      <c r="X1599" t="s">
        <v>7216</v>
      </c>
      <c r="Y1599" t="s">
        <v>6642</v>
      </c>
      <c r="Z1599" t="s">
        <v>17</v>
      </c>
      <c r="AA1599" t="s">
        <v>717</v>
      </c>
      <c r="AB1599" t="s">
        <v>326</v>
      </c>
      <c r="AC1599" t="s">
        <v>717</v>
      </c>
      <c r="AD1599" t="s">
        <v>717</v>
      </c>
      <c r="AE1599" t="s">
        <v>7217</v>
      </c>
      <c r="AF1599" t="s">
        <v>717</v>
      </c>
      <c r="AG1599" t="s">
        <v>717</v>
      </c>
      <c r="AH1599" t="s">
        <v>717</v>
      </c>
      <c r="AI1599" t="s">
        <v>6644</v>
      </c>
      <c r="AJ1599" t="s">
        <v>6645</v>
      </c>
      <c r="AK1599" t="s">
        <v>29</v>
      </c>
      <c r="AL1599" t="s">
        <v>717</v>
      </c>
      <c r="AM1599" t="s">
        <v>10</v>
      </c>
      <c r="AN1599" t="s">
        <v>717</v>
      </c>
    </row>
    <row r="1600" spans="1:40" hidden="1">
      <c r="A1600">
        <v>1598</v>
      </c>
      <c r="B1600">
        <v>26</v>
      </c>
      <c r="C1600" s="58">
        <v>44887</v>
      </c>
      <c r="D1600" t="s">
        <v>121</v>
      </c>
      <c r="E1600" t="s">
        <v>2515</v>
      </c>
      <c r="F1600">
        <v>2</v>
      </c>
      <c r="G1600">
        <v>24</v>
      </c>
      <c r="H1600">
        <v>156</v>
      </c>
      <c r="I1600">
        <v>2</v>
      </c>
      <c r="J1600">
        <v>60.4</v>
      </c>
      <c r="K1600" t="s">
        <v>25</v>
      </c>
      <c r="L1600">
        <v>3632068.5</v>
      </c>
      <c r="M1600">
        <v>0</v>
      </c>
      <c r="N1600">
        <v>3632068.5</v>
      </c>
      <c r="O1600">
        <v>60133.584437086094</v>
      </c>
      <c r="P1600">
        <v>0</v>
      </c>
      <c r="Q1600">
        <v>3632068.5</v>
      </c>
      <c r="R1600">
        <v>60133.584437086094</v>
      </c>
      <c r="S1600" t="s">
        <v>130</v>
      </c>
      <c r="T1600" t="s">
        <v>717</v>
      </c>
      <c r="U1600" t="s">
        <v>717</v>
      </c>
      <c r="V1600" t="s">
        <v>717</v>
      </c>
      <c r="W1600">
        <v>44887</v>
      </c>
      <c r="X1600" t="s">
        <v>7216</v>
      </c>
      <c r="Y1600" t="s">
        <v>6642</v>
      </c>
      <c r="Z1600" t="s">
        <v>17</v>
      </c>
      <c r="AA1600" t="s">
        <v>717</v>
      </c>
      <c r="AB1600" t="s">
        <v>326</v>
      </c>
      <c r="AC1600" t="s">
        <v>717</v>
      </c>
      <c r="AD1600" t="s">
        <v>717</v>
      </c>
      <c r="AE1600" t="s">
        <v>7217</v>
      </c>
      <c r="AF1600" t="s">
        <v>717</v>
      </c>
      <c r="AG1600" t="s">
        <v>717</v>
      </c>
      <c r="AH1600" t="s">
        <v>717</v>
      </c>
      <c r="AI1600" t="s">
        <v>6644</v>
      </c>
      <c r="AJ1600" t="s">
        <v>6645</v>
      </c>
      <c r="AK1600" t="s">
        <v>29</v>
      </c>
      <c r="AL1600" t="s">
        <v>717</v>
      </c>
      <c r="AM1600" t="s">
        <v>10</v>
      </c>
      <c r="AN1600" t="s">
        <v>717</v>
      </c>
    </row>
    <row r="1601" spans="1:40" hidden="1">
      <c r="A1601">
        <v>1599</v>
      </c>
      <c r="B1601">
        <v>27</v>
      </c>
      <c r="C1601" s="58">
        <v>44887</v>
      </c>
      <c r="D1601" t="s">
        <v>7</v>
      </c>
      <c r="E1601" t="s">
        <v>2506</v>
      </c>
      <c r="F1601">
        <v>8</v>
      </c>
      <c r="G1601">
        <v>3</v>
      </c>
      <c r="H1601">
        <v>136</v>
      </c>
      <c r="I1601">
        <v>1</v>
      </c>
      <c r="J1601">
        <v>33.79</v>
      </c>
      <c r="K1601" t="s">
        <v>15</v>
      </c>
      <c r="L1601">
        <v>2731724.84</v>
      </c>
      <c r="M1601">
        <v>0</v>
      </c>
      <c r="N1601">
        <v>2731724.84</v>
      </c>
      <c r="O1601">
        <v>80844.179934891974</v>
      </c>
      <c r="P1601">
        <v>253425</v>
      </c>
      <c r="Q1601">
        <v>2478299.84</v>
      </c>
      <c r="R1601">
        <v>73344.179934891974</v>
      </c>
      <c r="S1601" t="s">
        <v>65</v>
      </c>
      <c r="T1601" t="s">
        <v>2664</v>
      </c>
      <c r="U1601">
        <v>130436.83368421068</v>
      </c>
      <c r="V1601" t="s">
        <v>4131</v>
      </c>
      <c r="W1601">
        <v>44879</v>
      </c>
      <c r="X1601" t="s">
        <v>7218</v>
      </c>
      <c r="Y1601" t="s">
        <v>6</v>
      </c>
      <c r="Z1601" t="s">
        <v>17</v>
      </c>
      <c r="AA1601" t="s">
        <v>6637</v>
      </c>
      <c r="AB1601" t="s">
        <v>2509</v>
      </c>
      <c r="AC1601" t="s">
        <v>2571</v>
      </c>
      <c r="AD1601" t="s">
        <v>717</v>
      </c>
      <c r="AE1601" t="s">
        <v>7219</v>
      </c>
      <c r="AF1601" t="s">
        <v>7220</v>
      </c>
      <c r="AG1601" t="s">
        <v>7221</v>
      </c>
      <c r="AH1601" t="s">
        <v>2615</v>
      </c>
      <c r="AI1601" t="s">
        <v>2552</v>
      </c>
      <c r="AJ1601" t="s">
        <v>2895</v>
      </c>
      <c r="AK1601" t="s">
        <v>77</v>
      </c>
      <c r="AL1601" t="s">
        <v>22</v>
      </c>
      <c r="AM1601" t="s">
        <v>10</v>
      </c>
      <c r="AN1601" t="s">
        <v>717</v>
      </c>
    </row>
    <row r="1602" spans="1:40" hidden="1">
      <c r="A1602">
        <v>1600</v>
      </c>
      <c r="B1602">
        <v>28</v>
      </c>
      <c r="C1602" s="58">
        <v>44887</v>
      </c>
      <c r="D1602" t="s">
        <v>27</v>
      </c>
      <c r="E1602" t="s">
        <v>2515</v>
      </c>
      <c r="F1602">
        <v>3</v>
      </c>
      <c r="G1602">
        <v>21</v>
      </c>
      <c r="H1602">
        <v>174</v>
      </c>
      <c r="I1602">
        <v>1</v>
      </c>
      <c r="J1602">
        <v>41.06</v>
      </c>
      <c r="K1602" t="s">
        <v>9</v>
      </c>
      <c r="L1602">
        <v>3666804.17</v>
      </c>
      <c r="M1602">
        <v>0</v>
      </c>
      <c r="N1602">
        <v>3666804.17</v>
      </c>
      <c r="O1602">
        <v>89303.559912323428</v>
      </c>
      <c r="P1602">
        <v>0</v>
      </c>
      <c r="Q1602">
        <v>3666804.17</v>
      </c>
      <c r="R1602">
        <v>89303.559912323428</v>
      </c>
      <c r="S1602" t="s">
        <v>65</v>
      </c>
      <c r="T1602" t="s">
        <v>717</v>
      </c>
      <c r="U1602" t="s">
        <v>717</v>
      </c>
      <c r="V1602" t="s">
        <v>6312</v>
      </c>
      <c r="W1602">
        <v>44880</v>
      </c>
      <c r="X1602" t="s">
        <v>7222</v>
      </c>
      <c r="Y1602" t="s">
        <v>6</v>
      </c>
      <c r="Z1602" t="s">
        <v>17</v>
      </c>
      <c r="AA1602" t="s">
        <v>6637</v>
      </c>
      <c r="AB1602" t="s">
        <v>2509</v>
      </c>
      <c r="AC1602" t="s">
        <v>2571</v>
      </c>
      <c r="AD1602" t="s">
        <v>717</v>
      </c>
      <c r="AE1602" t="s">
        <v>7223</v>
      </c>
      <c r="AF1602" t="s">
        <v>7224</v>
      </c>
      <c r="AG1602" t="s">
        <v>7225</v>
      </c>
      <c r="AH1602" t="s">
        <v>2191</v>
      </c>
      <c r="AI1602" t="s">
        <v>6951</v>
      </c>
      <c r="AJ1602" t="s">
        <v>2514</v>
      </c>
      <c r="AK1602" t="s">
        <v>77</v>
      </c>
      <c r="AL1602" t="s">
        <v>16</v>
      </c>
      <c r="AM1602" t="s">
        <v>10</v>
      </c>
      <c r="AN1602" t="s">
        <v>717</v>
      </c>
    </row>
    <row r="1603" spans="1:40" hidden="1">
      <c r="A1603">
        <v>1601</v>
      </c>
      <c r="B1603">
        <v>29</v>
      </c>
      <c r="C1603" s="58">
        <v>44888</v>
      </c>
      <c r="D1603" t="s">
        <v>27</v>
      </c>
      <c r="E1603" t="s">
        <v>5079</v>
      </c>
      <c r="F1603">
        <v>3</v>
      </c>
      <c r="G1603">
        <v>23</v>
      </c>
      <c r="H1603">
        <v>817</v>
      </c>
      <c r="I1603">
        <v>0</v>
      </c>
      <c r="J1603">
        <v>24.37</v>
      </c>
      <c r="K1603" t="s">
        <v>9</v>
      </c>
      <c r="L1603">
        <v>2284595.6</v>
      </c>
      <c r="M1603">
        <v>15000</v>
      </c>
      <c r="N1603">
        <v>2299595.6</v>
      </c>
      <c r="O1603">
        <v>94361.739844070573</v>
      </c>
      <c r="P1603">
        <v>0</v>
      </c>
      <c r="Q1603">
        <v>2299595.6</v>
      </c>
      <c r="R1603">
        <v>94361.739844070573</v>
      </c>
      <c r="S1603" t="s">
        <v>65</v>
      </c>
      <c r="T1603" t="s">
        <v>717</v>
      </c>
      <c r="U1603" t="s">
        <v>717</v>
      </c>
      <c r="V1603" t="s">
        <v>4131</v>
      </c>
      <c r="W1603">
        <v>44868</v>
      </c>
      <c r="X1603" t="s">
        <v>7226</v>
      </c>
      <c r="Y1603" t="s">
        <v>6</v>
      </c>
      <c r="Z1603" t="s">
        <v>17</v>
      </c>
      <c r="AA1603" t="s">
        <v>6637</v>
      </c>
      <c r="AB1603" t="s">
        <v>2509</v>
      </c>
      <c r="AC1603" t="s">
        <v>2571</v>
      </c>
      <c r="AD1603" t="s">
        <v>717</v>
      </c>
      <c r="AE1603" t="s">
        <v>7227</v>
      </c>
      <c r="AF1603" t="s">
        <v>7228</v>
      </c>
      <c r="AG1603" t="s">
        <v>7229</v>
      </c>
      <c r="AH1603" t="s">
        <v>2615</v>
      </c>
      <c r="AI1603" t="s">
        <v>2552</v>
      </c>
      <c r="AJ1603" t="s">
        <v>2662</v>
      </c>
      <c r="AK1603" t="s">
        <v>77</v>
      </c>
      <c r="AL1603" t="s">
        <v>16</v>
      </c>
      <c r="AM1603" t="s">
        <v>10</v>
      </c>
      <c r="AN1603" t="s">
        <v>6708</v>
      </c>
    </row>
    <row r="1604" spans="1:40" hidden="1">
      <c r="A1604">
        <v>1602</v>
      </c>
      <c r="B1604">
        <v>30</v>
      </c>
      <c r="C1604" s="58">
        <v>44888</v>
      </c>
      <c r="D1604" t="s">
        <v>27</v>
      </c>
      <c r="E1604" t="s">
        <v>2515</v>
      </c>
      <c r="F1604">
        <v>5</v>
      </c>
      <c r="G1604">
        <v>14</v>
      </c>
      <c r="H1604">
        <v>113</v>
      </c>
      <c r="I1604">
        <v>0</v>
      </c>
      <c r="J1604">
        <v>24.47</v>
      </c>
      <c r="K1604" t="s">
        <v>9</v>
      </c>
      <c r="L1604">
        <v>2160734.63</v>
      </c>
      <c r="M1604">
        <v>15000</v>
      </c>
      <c r="N1604">
        <v>2175734.63</v>
      </c>
      <c r="O1604">
        <v>88914.369840621162</v>
      </c>
      <c r="P1604">
        <v>0</v>
      </c>
      <c r="Q1604">
        <v>2175734.63</v>
      </c>
      <c r="R1604">
        <v>88914.369840621162</v>
      </c>
      <c r="S1604" t="s">
        <v>65</v>
      </c>
      <c r="T1604" t="s">
        <v>717</v>
      </c>
      <c r="U1604" t="s">
        <v>717</v>
      </c>
      <c r="V1604" t="s">
        <v>4131</v>
      </c>
      <c r="W1604">
        <v>44876</v>
      </c>
      <c r="X1604" t="s">
        <v>7230</v>
      </c>
      <c r="Y1604" t="s">
        <v>6</v>
      </c>
      <c r="Z1604" t="s">
        <v>17</v>
      </c>
      <c r="AA1604" t="s">
        <v>6637</v>
      </c>
      <c r="AB1604" t="s">
        <v>2509</v>
      </c>
      <c r="AC1604" t="s">
        <v>2571</v>
      </c>
      <c r="AD1604" t="s">
        <v>717</v>
      </c>
      <c r="AE1604" t="s">
        <v>7231</v>
      </c>
      <c r="AF1604" t="s">
        <v>7232</v>
      </c>
      <c r="AG1604" t="s">
        <v>7233</v>
      </c>
      <c r="AH1604" t="s">
        <v>2615</v>
      </c>
      <c r="AI1604" t="s">
        <v>2552</v>
      </c>
      <c r="AJ1604" t="s">
        <v>3289</v>
      </c>
      <c r="AK1604" t="s">
        <v>77</v>
      </c>
      <c r="AL1604" t="s">
        <v>22</v>
      </c>
      <c r="AM1604" t="s">
        <v>10</v>
      </c>
      <c r="AN1604" t="s">
        <v>6708</v>
      </c>
    </row>
    <row r="1605" spans="1:40" hidden="1">
      <c r="A1605">
        <v>1603</v>
      </c>
      <c r="B1605">
        <v>31</v>
      </c>
      <c r="C1605" s="58">
        <v>44888</v>
      </c>
      <c r="D1605" t="s">
        <v>7</v>
      </c>
      <c r="E1605" t="s">
        <v>2581</v>
      </c>
      <c r="F1605">
        <v>5</v>
      </c>
      <c r="G1605">
        <v>23</v>
      </c>
      <c r="H1605">
        <v>392</v>
      </c>
      <c r="I1605">
        <v>2</v>
      </c>
      <c r="J1605">
        <v>56.7</v>
      </c>
      <c r="K1605" t="s">
        <v>9</v>
      </c>
      <c r="L1605">
        <v>4183636.37</v>
      </c>
      <c r="M1605">
        <v>0</v>
      </c>
      <c r="N1605">
        <v>4183636.37</v>
      </c>
      <c r="O1605">
        <v>73785.473897707227</v>
      </c>
      <c r="P1605">
        <v>0</v>
      </c>
      <c r="Q1605">
        <v>4183636.37</v>
      </c>
      <c r="R1605">
        <v>73785.473897707227</v>
      </c>
      <c r="S1605" t="s">
        <v>130</v>
      </c>
      <c r="T1605" t="s">
        <v>2664</v>
      </c>
      <c r="U1605">
        <v>220191.38789473471</v>
      </c>
      <c r="V1605" t="s">
        <v>717</v>
      </c>
      <c r="W1605">
        <v>44881</v>
      </c>
      <c r="X1605" t="s">
        <v>7234</v>
      </c>
      <c r="Y1605" t="s">
        <v>6</v>
      </c>
      <c r="Z1605" t="s">
        <v>17</v>
      </c>
      <c r="AA1605" t="s">
        <v>6637</v>
      </c>
      <c r="AB1605" t="s">
        <v>2509</v>
      </c>
      <c r="AC1605" t="s">
        <v>717</v>
      </c>
      <c r="AD1605" t="s">
        <v>717</v>
      </c>
      <c r="AE1605" t="s">
        <v>7235</v>
      </c>
      <c r="AF1605" t="s">
        <v>7236</v>
      </c>
      <c r="AG1605" t="s">
        <v>7237</v>
      </c>
      <c r="AH1605" t="s">
        <v>2615</v>
      </c>
      <c r="AI1605" t="s">
        <v>2552</v>
      </c>
      <c r="AJ1605" t="s">
        <v>2895</v>
      </c>
      <c r="AK1605" t="s">
        <v>77</v>
      </c>
      <c r="AL1605" t="s">
        <v>717</v>
      </c>
      <c r="AM1605" t="s">
        <v>10</v>
      </c>
      <c r="AN1605" t="s">
        <v>717</v>
      </c>
    </row>
    <row r="1606" spans="1:40" hidden="1">
      <c r="A1606">
        <v>1604</v>
      </c>
      <c r="B1606">
        <v>32</v>
      </c>
      <c r="C1606" s="58">
        <v>44888</v>
      </c>
      <c r="D1606" t="s">
        <v>7</v>
      </c>
      <c r="E1606" t="s">
        <v>2506</v>
      </c>
      <c r="F1606">
        <v>1</v>
      </c>
      <c r="G1606">
        <v>15</v>
      </c>
      <c r="H1606">
        <v>225</v>
      </c>
      <c r="I1606">
        <v>0</v>
      </c>
      <c r="J1606">
        <v>28.97</v>
      </c>
      <c r="K1606" t="s">
        <v>9</v>
      </c>
      <c r="L1606">
        <v>2184656.67</v>
      </c>
      <c r="M1606">
        <v>0</v>
      </c>
      <c r="N1606">
        <v>2184656.67</v>
      </c>
      <c r="O1606">
        <v>75411</v>
      </c>
      <c r="P1606">
        <v>0</v>
      </c>
      <c r="Q1606">
        <v>2184656.67</v>
      </c>
      <c r="R1606">
        <v>75411</v>
      </c>
      <c r="S1606" t="s">
        <v>2507</v>
      </c>
      <c r="T1606" t="s">
        <v>2664</v>
      </c>
      <c r="U1606">
        <v>114981.93000000015</v>
      </c>
      <c r="V1606" t="s">
        <v>717</v>
      </c>
      <c r="W1606">
        <v>44882</v>
      </c>
      <c r="X1606" t="s">
        <v>7238</v>
      </c>
      <c r="Y1606" t="s">
        <v>6</v>
      </c>
      <c r="Z1606" t="s">
        <v>17</v>
      </c>
      <c r="AA1606" t="s">
        <v>6637</v>
      </c>
      <c r="AB1606" t="s">
        <v>2509</v>
      </c>
      <c r="AC1606" t="s">
        <v>717</v>
      </c>
      <c r="AD1606" t="s">
        <v>717</v>
      </c>
      <c r="AE1606" t="s">
        <v>7239</v>
      </c>
      <c r="AF1606" t="s">
        <v>7240</v>
      </c>
      <c r="AG1606" t="s">
        <v>7241</v>
      </c>
      <c r="AH1606" t="s">
        <v>2191</v>
      </c>
      <c r="AI1606" t="s">
        <v>5653</v>
      </c>
      <c r="AJ1606" t="s">
        <v>31</v>
      </c>
      <c r="AK1606" t="s">
        <v>29</v>
      </c>
      <c r="AL1606" t="s">
        <v>717</v>
      </c>
      <c r="AM1606" t="s">
        <v>5654</v>
      </c>
      <c r="AN1606" t="s">
        <v>717</v>
      </c>
    </row>
    <row r="1607" spans="1:40" hidden="1">
      <c r="A1607">
        <v>1605</v>
      </c>
      <c r="B1607">
        <v>33</v>
      </c>
      <c r="C1607" s="58">
        <v>44888</v>
      </c>
      <c r="D1607" t="s">
        <v>7</v>
      </c>
      <c r="E1607" t="s">
        <v>2506</v>
      </c>
      <c r="F1607">
        <v>3</v>
      </c>
      <c r="G1607">
        <v>12</v>
      </c>
      <c r="H1607">
        <v>203</v>
      </c>
      <c r="I1607">
        <v>1</v>
      </c>
      <c r="J1607">
        <v>35.380000000000003</v>
      </c>
      <c r="K1607" t="s">
        <v>9</v>
      </c>
      <c r="L1607">
        <v>2785580.62</v>
      </c>
      <c r="M1607">
        <v>0</v>
      </c>
      <c r="N1607">
        <v>2785580.62</v>
      </c>
      <c r="O1607">
        <v>78733.200113058221</v>
      </c>
      <c r="P1607">
        <v>0</v>
      </c>
      <c r="Q1607">
        <v>2785580.62</v>
      </c>
      <c r="R1607">
        <v>78733.200113058221</v>
      </c>
      <c r="S1607" t="s">
        <v>65</v>
      </c>
      <c r="T1607" t="s">
        <v>717</v>
      </c>
      <c r="U1607" t="s">
        <v>717</v>
      </c>
      <c r="V1607" t="s">
        <v>4131</v>
      </c>
      <c r="W1607">
        <v>44882</v>
      </c>
      <c r="X1607" t="s">
        <v>7242</v>
      </c>
      <c r="Y1607" t="s">
        <v>6</v>
      </c>
      <c r="Z1607" t="s">
        <v>17</v>
      </c>
      <c r="AA1607" t="s">
        <v>6637</v>
      </c>
      <c r="AB1607" t="s">
        <v>2509</v>
      </c>
      <c r="AC1607" t="s">
        <v>2571</v>
      </c>
      <c r="AD1607" t="s">
        <v>717</v>
      </c>
      <c r="AE1607" t="s">
        <v>7243</v>
      </c>
      <c r="AF1607" t="s">
        <v>7244</v>
      </c>
      <c r="AG1607" t="s">
        <v>7245</v>
      </c>
      <c r="AH1607" t="s">
        <v>2615</v>
      </c>
      <c r="AI1607" t="s">
        <v>2697</v>
      </c>
      <c r="AJ1607" t="s">
        <v>2895</v>
      </c>
      <c r="AK1607" t="s">
        <v>73</v>
      </c>
      <c r="AL1607" t="s">
        <v>22</v>
      </c>
      <c r="AM1607" t="s">
        <v>10</v>
      </c>
      <c r="AN1607" t="s">
        <v>717</v>
      </c>
    </row>
    <row r="1608" spans="1:40" hidden="1">
      <c r="A1608">
        <v>1606</v>
      </c>
      <c r="B1608">
        <v>34</v>
      </c>
      <c r="C1608" s="58">
        <v>44888</v>
      </c>
      <c r="D1608" t="s">
        <v>7</v>
      </c>
      <c r="E1608" t="s">
        <v>4409</v>
      </c>
      <c r="F1608">
        <v>2</v>
      </c>
      <c r="G1608">
        <v>11</v>
      </c>
      <c r="H1608">
        <v>484</v>
      </c>
      <c r="I1608">
        <v>1</v>
      </c>
      <c r="J1608">
        <v>38.6</v>
      </c>
      <c r="K1608" t="s">
        <v>15</v>
      </c>
      <c r="L1608">
        <v>3299095.68</v>
      </c>
      <c r="M1608">
        <v>0</v>
      </c>
      <c r="N1608">
        <v>3299095.68</v>
      </c>
      <c r="O1608">
        <v>85468.800000000003</v>
      </c>
      <c r="P1608">
        <v>289500</v>
      </c>
      <c r="Q1608">
        <v>3009595.68</v>
      </c>
      <c r="R1608">
        <v>77968.800000000003</v>
      </c>
      <c r="S1608" t="s">
        <v>65</v>
      </c>
      <c r="T1608" t="s">
        <v>717</v>
      </c>
      <c r="U1608" t="s">
        <v>717</v>
      </c>
      <c r="V1608" t="s">
        <v>4131</v>
      </c>
      <c r="W1608">
        <v>44882</v>
      </c>
      <c r="X1608" t="s">
        <v>7246</v>
      </c>
      <c r="Y1608" t="s">
        <v>6</v>
      </c>
      <c r="Z1608" t="s">
        <v>17</v>
      </c>
      <c r="AA1608" t="s">
        <v>6637</v>
      </c>
      <c r="AB1608" t="s">
        <v>2509</v>
      </c>
      <c r="AC1608" t="s">
        <v>2571</v>
      </c>
      <c r="AD1608" t="s">
        <v>717</v>
      </c>
      <c r="AE1608" t="s">
        <v>7247</v>
      </c>
      <c r="AF1608" t="s">
        <v>7248</v>
      </c>
      <c r="AG1608" t="s">
        <v>7249</v>
      </c>
      <c r="AH1608" t="s">
        <v>2615</v>
      </c>
      <c r="AI1608" t="s">
        <v>2538</v>
      </c>
      <c r="AJ1608" t="s">
        <v>2895</v>
      </c>
      <c r="AK1608" t="s">
        <v>73</v>
      </c>
      <c r="AL1608" t="s">
        <v>22</v>
      </c>
      <c r="AM1608" t="s">
        <v>10</v>
      </c>
      <c r="AN1608" t="s">
        <v>717</v>
      </c>
    </row>
    <row r="1609" spans="1:40" hidden="1">
      <c r="A1609">
        <v>1607</v>
      </c>
      <c r="B1609">
        <v>35</v>
      </c>
      <c r="C1609" s="58">
        <v>44888</v>
      </c>
      <c r="D1609" t="s">
        <v>27</v>
      </c>
      <c r="E1609" t="s">
        <v>2515</v>
      </c>
      <c r="F1609">
        <v>3</v>
      </c>
      <c r="G1609">
        <v>20</v>
      </c>
      <c r="H1609">
        <v>165</v>
      </c>
      <c r="I1609">
        <v>1</v>
      </c>
      <c r="J1609">
        <v>41.06</v>
      </c>
      <c r="K1609" t="s">
        <v>15</v>
      </c>
      <c r="L1609">
        <v>4341434.34</v>
      </c>
      <c r="M1609">
        <v>0</v>
      </c>
      <c r="N1609">
        <v>4341434.34</v>
      </c>
      <c r="O1609">
        <v>105733.9098879688</v>
      </c>
      <c r="P1609">
        <v>307950.00000000093</v>
      </c>
      <c r="Q1609">
        <v>4033484.3399999994</v>
      </c>
      <c r="R1609">
        <v>98233.909887968795</v>
      </c>
      <c r="S1609" t="s">
        <v>65</v>
      </c>
      <c r="T1609" t="s">
        <v>717</v>
      </c>
      <c r="U1609" t="s">
        <v>717</v>
      </c>
      <c r="V1609" t="s">
        <v>4131</v>
      </c>
      <c r="W1609">
        <v>44883</v>
      </c>
      <c r="X1609" t="s">
        <v>7250</v>
      </c>
      <c r="Y1609" t="s">
        <v>6</v>
      </c>
      <c r="Z1609" t="s">
        <v>17</v>
      </c>
      <c r="AA1609" t="s">
        <v>6637</v>
      </c>
      <c r="AB1609" t="s">
        <v>2509</v>
      </c>
      <c r="AC1609" t="s">
        <v>2571</v>
      </c>
      <c r="AD1609" t="s">
        <v>717</v>
      </c>
      <c r="AE1609" t="s">
        <v>7251</v>
      </c>
      <c r="AF1609" t="s">
        <v>7252</v>
      </c>
      <c r="AG1609" t="s">
        <v>7253</v>
      </c>
      <c r="AH1609" t="s">
        <v>2615</v>
      </c>
      <c r="AI1609" t="s">
        <v>2552</v>
      </c>
      <c r="AJ1609" t="s">
        <v>2569</v>
      </c>
      <c r="AK1609" t="s">
        <v>77</v>
      </c>
      <c r="AL1609" t="s">
        <v>16</v>
      </c>
      <c r="AM1609" t="s">
        <v>10</v>
      </c>
      <c r="AN1609" t="s">
        <v>717</v>
      </c>
    </row>
    <row r="1610" spans="1:40" hidden="1">
      <c r="A1610">
        <v>1608</v>
      </c>
      <c r="B1610">
        <v>36</v>
      </c>
      <c r="C1610" s="58">
        <v>44888</v>
      </c>
      <c r="D1610" t="s">
        <v>7</v>
      </c>
      <c r="E1610" t="s">
        <v>2515</v>
      </c>
      <c r="F1610">
        <v>1</v>
      </c>
      <c r="G1610">
        <v>7</v>
      </c>
      <c r="H1610">
        <v>41</v>
      </c>
      <c r="I1610">
        <v>1</v>
      </c>
      <c r="J1610">
        <v>33.53</v>
      </c>
      <c r="K1610" t="s">
        <v>25</v>
      </c>
      <c r="L1610">
        <v>3196890.35</v>
      </c>
      <c r="M1610">
        <v>0</v>
      </c>
      <c r="N1610">
        <v>3196890.35</v>
      </c>
      <c r="O1610">
        <v>95344.179838950193</v>
      </c>
      <c r="P1610">
        <v>737660</v>
      </c>
      <c r="Q1610">
        <v>2459230.35</v>
      </c>
      <c r="R1610">
        <v>73344.179838950193</v>
      </c>
      <c r="S1610" t="s">
        <v>65</v>
      </c>
      <c r="T1610" t="s">
        <v>2664</v>
      </c>
      <c r="U1610">
        <v>129433.18</v>
      </c>
      <c r="V1610" t="s">
        <v>4131</v>
      </c>
      <c r="W1610">
        <v>44885</v>
      </c>
      <c r="X1610" t="s">
        <v>7254</v>
      </c>
      <c r="Y1610" t="s">
        <v>6</v>
      </c>
      <c r="Z1610" t="s">
        <v>17</v>
      </c>
      <c r="AA1610" t="s">
        <v>6637</v>
      </c>
      <c r="AB1610" t="s">
        <v>2509</v>
      </c>
      <c r="AC1610" t="s">
        <v>2571</v>
      </c>
      <c r="AD1610" t="s">
        <v>717</v>
      </c>
      <c r="AE1610" t="s">
        <v>7255</v>
      </c>
      <c r="AF1610" t="s">
        <v>7256</v>
      </c>
      <c r="AG1610" t="s">
        <v>7257</v>
      </c>
      <c r="AH1610" t="s">
        <v>2615</v>
      </c>
      <c r="AI1610" t="s">
        <v>2621</v>
      </c>
      <c r="AJ1610" t="s">
        <v>2895</v>
      </c>
      <c r="AK1610" t="s">
        <v>73</v>
      </c>
      <c r="AL1610" t="s">
        <v>22</v>
      </c>
      <c r="AM1610" t="s">
        <v>10</v>
      </c>
      <c r="AN1610" t="s">
        <v>717</v>
      </c>
    </row>
    <row r="1611" spans="1:40" hidden="1">
      <c r="A1611">
        <v>1609</v>
      </c>
      <c r="B1611">
        <v>37</v>
      </c>
      <c r="C1611" s="58">
        <v>44889</v>
      </c>
      <c r="D1611" t="s">
        <v>27</v>
      </c>
      <c r="E1611" t="s">
        <v>5079</v>
      </c>
      <c r="F1611">
        <v>3</v>
      </c>
      <c r="G1611">
        <v>17</v>
      </c>
      <c r="H1611">
        <v>769</v>
      </c>
      <c r="I1611">
        <v>0</v>
      </c>
      <c r="J1611">
        <v>24.37</v>
      </c>
      <c r="K1611" t="s">
        <v>25</v>
      </c>
      <c r="L1611">
        <v>2933247.04</v>
      </c>
      <c r="M1611">
        <v>0</v>
      </c>
      <c r="N1611">
        <v>2933247.04</v>
      </c>
      <c r="O1611">
        <v>120363.02995486252</v>
      </c>
      <c r="P1611">
        <v>536140.00000000093</v>
      </c>
      <c r="Q1611">
        <v>2397107.0399999991</v>
      </c>
      <c r="R1611">
        <v>98363.029954862475</v>
      </c>
      <c r="S1611" t="s">
        <v>65</v>
      </c>
      <c r="T1611" t="s">
        <v>717</v>
      </c>
      <c r="U1611" t="s">
        <v>717</v>
      </c>
      <c r="V1611" t="s">
        <v>4131</v>
      </c>
      <c r="W1611">
        <v>44881</v>
      </c>
      <c r="X1611" t="s">
        <v>7258</v>
      </c>
      <c r="Y1611" t="s">
        <v>6</v>
      </c>
      <c r="Z1611" t="s">
        <v>17</v>
      </c>
      <c r="AA1611" t="s">
        <v>6637</v>
      </c>
      <c r="AB1611" t="s">
        <v>2509</v>
      </c>
      <c r="AC1611" t="s">
        <v>2571</v>
      </c>
      <c r="AD1611" t="s">
        <v>717</v>
      </c>
      <c r="AE1611" t="s">
        <v>7259</v>
      </c>
      <c r="AF1611" t="s">
        <v>7260</v>
      </c>
      <c r="AG1611" t="s">
        <v>7261</v>
      </c>
      <c r="AH1611" t="s">
        <v>65</v>
      </c>
      <c r="AI1611" t="s">
        <v>5056</v>
      </c>
      <c r="AJ1611" t="s">
        <v>6210</v>
      </c>
      <c r="AK1611" t="s">
        <v>77</v>
      </c>
      <c r="AL1611" t="s">
        <v>16</v>
      </c>
      <c r="AM1611" t="s">
        <v>10</v>
      </c>
      <c r="AN1611" t="s">
        <v>717</v>
      </c>
    </row>
    <row r="1612" spans="1:40" hidden="1">
      <c r="A1612">
        <v>1610</v>
      </c>
      <c r="B1612">
        <v>38</v>
      </c>
      <c r="C1612" s="58">
        <v>44889</v>
      </c>
      <c r="D1612" t="s">
        <v>7</v>
      </c>
      <c r="E1612" t="s">
        <v>2581</v>
      </c>
      <c r="F1612">
        <v>2</v>
      </c>
      <c r="G1612">
        <v>8</v>
      </c>
      <c r="H1612">
        <v>284</v>
      </c>
      <c r="I1612">
        <v>2</v>
      </c>
      <c r="J1612">
        <v>67.95</v>
      </c>
      <c r="K1612" t="s">
        <v>9</v>
      </c>
      <c r="L1612">
        <v>5087419.22</v>
      </c>
      <c r="M1612">
        <v>0</v>
      </c>
      <c r="N1612">
        <v>5087419.22</v>
      </c>
      <c r="O1612">
        <v>74870.040029433396</v>
      </c>
      <c r="P1612">
        <v>0</v>
      </c>
      <c r="Q1612">
        <v>5087419.22</v>
      </c>
      <c r="R1612">
        <v>74870.040029433396</v>
      </c>
      <c r="S1612" t="s">
        <v>65</v>
      </c>
      <c r="T1612" t="s">
        <v>717</v>
      </c>
      <c r="U1612" t="s">
        <v>717</v>
      </c>
      <c r="V1612" t="s">
        <v>4131</v>
      </c>
      <c r="W1612">
        <v>44886</v>
      </c>
      <c r="X1612" t="s">
        <v>7262</v>
      </c>
      <c r="Y1612" t="s">
        <v>6</v>
      </c>
      <c r="Z1612" t="s">
        <v>17</v>
      </c>
      <c r="AA1612" t="s">
        <v>6637</v>
      </c>
      <c r="AB1612" t="s">
        <v>2509</v>
      </c>
      <c r="AC1612" t="s">
        <v>2571</v>
      </c>
      <c r="AD1612" t="s">
        <v>717</v>
      </c>
      <c r="AE1612" t="s">
        <v>7263</v>
      </c>
      <c r="AF1612" t="s">
        <v>7264</v>
      </c>
      <c r="AG1612" t="s">
        <v>7265</v>
      </c>
      <c r="AH1612" t="s">
        <v>2191</v>
      </c>
      <c r="AI1612" t="s">
        <v>2600</v>
      </c>
      <c r="AJ1612" t="s">
        <v>3921</v>
      </c>
      <c r="AK1612" t="s">
        <v>73</v>
      </c>
      <c r="AL1612" t="s">
        <v>16</v>
      </c>
      <c r="AM1612" t="s">
        <v>10</v>
      </c>
      <c r="AN1612" t="s">
        <v>6708</v>
      </c>
    </row>
    <row r="1613" spans="1:40" hidden="1">
      <c r="A1613">
        <v>1611</v>
      </c>
      <c r="B1613">
        <v>39</v>
      </c>
      <c r="C1613" s="58">
        <v>44889</v>
      </c>
      <c r="D1613" t="s">
        <v>7</v>
      </c>
      <c r="E1613" t="s">
        <v>2515</v>
      </c>
      <c r="F1613">
        <v>4</v>
      </c>
      <c r="G1613">
        <v>16</v>
      </c>
      <c r="H1613">
        <v>116</v>
      </c>
      <c r="I1613">
        <v>2</v>
      </c>
      <c r="J1613">
        <v>56.03</v>
      </c>
      <c r="K1613" t="s">
        <v>15</v>
      </c>
      <c r="L1613">
        <v>4448276.83</v>
      </c>
      <c r="M1613">
        <v>0</v>
      </c>
      <c r="N1613">
        <v>4448276.83</v>
      </c>
      <c r="O1613">
        <v>79390.983937176512</v>
      </c>
      <c r="P1613">
        <v>420225.00000000093</v>
      </c>
      <c r="Q1613">
        <v>4028051.8299999991</v>
      </c>
      <c r="R1613">
        <v>71890.983937176497</v>
      </c>
      <c r="S1613" t="s">
        <v>65</v>
      </c>
      <c r="T1613" t="s">
        <v>7266</v>
      </c>
      <c r="U1613">
        <v>212002.72789473741</v>
      </c>
      <c r="V1613" t="s">
        <v>4131</v>
      </c>
      <c r="W1613">
        <v>44887</v>
      </c>
      <c r="X1613" t="s">
        <v>7267</v>
      </c>
      <c r="Y1613" t="s">
        <v>6</v>
      </c>
      <c r="Z1613" t="s">
        <v>17</v>
      </c>
      <c r="AA1613" t="s">
        <v>6637</v>
      </c>
      <c r="AB1613" t="s">
        <v>2509</v>
      </c>
      <c r="AC1613" t="s">
        <v>2571</v>
      </c>
      <c r="AD1613" t="s">
        <v>717</v>
      </c>
      <c r="AE1613" t="s">
        <v>7268</v>
      </c>
      <c r="AF1613" t="s">
        <v>7269</v>
      </c>
      <c r="AG1613" t="s">
        <v>7270</v>
      </c>
      <c r="AH1613" t="s">
        <v>2552</v>
      </c>
      <c r="AI1613" t="s">
        <v>2877</v>
      </c>
      <c r="AJ1613" t="s">
        <v>3098</v>
      </c>
      <c r="AK1613" t="s">
        <v>77</v>
      </c>
      <c r="AL1613" t="s">
        <v>22</v>
      </c>
      <c r="AM1613" t="s">
        <v>10</v>
      </c>
      <c r="AN1613" t="s">
        <v>6708</v>
      </c>
    </row>
    <row r="1614" spans="1:40" hidden="1">
      <c r="A1614">
        <v>1612</v>
      </c>
      <c r="B1614">
        <v>40</v>
      </c>
      <c r="C1614" s="58">
        <v>44890</v>
      </c>
      <c r="D1614" t="s">
        <v>27</v>
      </c>
      <c r="E1614" t="s">
        <v>5079</v>
      </c>
      <c r="F1614">
        <v>5</v>
      </c>
      <c r="G1614">
        <v>6</v>
      </c>
      <c r="H1614">
        <v>672</v>
      </c>
      <c r="I1614">
        <v>1</v>
      </c>
      <c r="J1614">
        <v>38.96</v>
      </c>
      <c r="K1614" t="s">
        <v>15</v>
      </c>
      <c r="L1614">
        <v>4010079.56</v>
      </c>
      <c r="M1614">
        <v>0</v>
      </c>
      <c r="N1614">
        <v>4010079.56</v>
      </c>
      <c r="O1614">
        <v>102928.12012320328</v>
      </c>
      <c r="P1614">
        <v>292199.99999999907</v>
      </c>
      <c r="Q1614">
        <v>3717879.560000001</v>
      </c>
      <c r="R1614">
        <v>95428.120123203305</v>
      </c>
      <c r="S1614" t="s">
        <v>65</v>
      </c>
      <c r="T1614" t="s">
        <v>717</v>
      </c>
      <c r="U1614" t="s">
        <v>717</v>
      </c>
      <c r="V1614" t="s">
        <v>4131</v>
      </c>
      <c r="W1614">
        <v>44884</v>
      </c>
      <c r="X1614" t="s">
        <v>7271</v>
      </c>
      <c r="Y1614" t="s">
        <v>6</v>
      </c>
      <c r="Z1614" t="s">
        <v>17</v>
      </c>
      <c r="AA1614" t="s">
        <v>6637</v>
      </c>
      <c r="AB1614" t="s">
        <v>2509</v>
      </c>
      <c r="AC1614" t="s">
        <v>2571</v>
      </c>
      <c r="AD1614" t="s">
        <v>717</v>
      </c>
      <c r="AE1614" t="s">
        <v>7272</v>
      </c>
      <c r="AF1614" t="s">
        <v>7273</v>
      </c>
      <c r="AG1614" t="s">
        <v>7274</v>
      </c>
      <c r="AH1614" t="s">
        <v>2191</v>
      </c>
      <c r="AI1614" t="s">
        <v>2538</v>
      </c>
      <c r="AJ1614" t="s">
        <v>2514</v>
      </c>
      <c r="AK1614" t="s">
        <v>77</v>
      </c>
      <c r="AL1614" t="s">
        <v>16</v>
      </c>
      <c r="AM1614" t="s">
        <v>10</v>
      </c>
      <c r="AN1614" t="s">
        <v>717</v>
      </c>
    </row>
    <row r="1615" spans="1:40" hidden="1">
      <c r="A1615">
        <v>1613</v>
      </c>
      <c r="B1615">
        <v>41</v>
      </c>
      <c r="C1615" s="58">
        <v>44890</v>
      </c>
      <c r="D1615" t="s">
        <v>27</v>
      </c>
      <c r="E1615" t="s">
        <v>5079</v>
      </c>
      <c r="F1615">
        <v>6</v>
      </c>
      <c r="G1615">
        <v>12</v>
      </c>
      <c r="H1615">
        <v>727</v>
      </c>
      <c r="I1615">
        <v>2</v>
      </c>
      <c r="J1615">
        <v>61.95</v>
      </c>
      <c r="K1615" t="s">
        <v>15</v>
      </c>
      <c r="L1615">
        <v>5328064.47</v>
      </c>
      <c r="M1615">
        <v>15000</v>
      </c>
      <c r="N1615">
        <v>5343064.47</v>
      </c>
      <c r="O1615">
        <v>86248.01404358352</v>
      </c>
      <c r="P1615">
        <v>464625.00000000093</v>
      </c>
      <c r="Q1615">
        <v>4878439.4699999988</v>
      </c>
      <c r="R1615">
        <v>78748.014043583506</v>
      </c>
      <c r="S1615" t="s">
        <v>65</v>
      </c>
      <c r="T1615" t="s">
        <v>3268</v>
      </c>
      <c r="U1615">
        <v>120000</v>
      </c>
      <c r="V1615" t="s">
        <v>4131</v>
      </c>
      <c r="W1615">
        <v>44886</v>
      </c>
      <c r="X1615" t="s">
        <v>7275</v>
      </c>
      <c r="Y1615" t="s">
        <v>6</v>
      </c>
      <c r="Z1615" t="s">
        <v>17</v>
      </c>
      <c r="AA1615" t="s">
        <v>6637</v>
      </c>
      <c r="AB1615" t="s">
        <v>2509</v>
      </c>
      <c r="AC1615" t="s">
        <v>2571</v>
      </c>
      <c r="AD1615" t="s">
        <v>717</v>
      </c>
      <c r="AE1615" t="s">
        <v>7276</v>
      </c>
      <c r="AF1615" t="s">
        <v>7277</v>
      </c>
      <c r="AG1615" t="s">
        <v>7278</v>
      </c>
      <c r="AH1615" t="s">
        <v>2191</v>
      </c>
      <c r="AI1615" t="s">
        <v>2706</v>
      </c>
      <c r="AJ1615" t="s">
        <v>2514</v>
      </c>
      <c r="AK1615" t="s">
        <v>73</v>
      </c>
      <c r="AL1615" t="s">
        <v>22</v>
      </c>
      <c r="AM1615" t="s">
        <v>10</v>
      </c>
      <c r="AN1615" t="s">
        <v>6708</v>
      </c>
    </row>
    <row r="1616" spans="1:40" hidden="1">
      <c r="A1616">
        <v>1614</v>
      </c>
      <c r="B1616">
        <v>42</v>
      </c>
      <c r="C1616" s="58">
        <v>44893</v>
      </c>
      <c r="D1616" t="s">
        <v>7</v>
      </c>
      <c r="E1616" t="s">
        <v>4409</v>
      </c>
      <c r="F1616">
        <v>4</v>
      </c>
      <c r="G1616">
        <v>12</v>
      </c>
      <c r="H1616">
        <v>495</v>
      </c>
      <c r="I1616">
        <v>1</v>
      </c>
      <c r="J1616">
        <v>36.5</v>
      </c>
      <c r="K1616" t="s">
        <v>15</v>
      </c>
      <c r="L1616">
        <v>3291199.89</v>
      </c>
      <c r="M1616">
        <v>0</v>
      </c>
      <c r="N1616">
        <v>3291199.89</v>
      </c>
      <c r="O1616">
        <v>90169.86</v>
      </c>
      <c r="P1616">
        <v>273750</v>
      </c>
      <c r="Q1616">
        <v>3017449.89</v>
      </c>
      <c r="R1616">
        <v>82669.86</v>
      </c>
      <c r="S1616" t="s">
        <v>65</v>
      </c>
      <c r="T1616" t="s">
        <v>717</v>
      </c>
      <c r="U1616" t="s">
        <v>717</v>
      </c>
      <c r="V1616" t="s">
        <v>4131</v>
      </c>
      <c r="W1616">
        <v>44888</v>
      </c>
      <c r="X1616" t="s">
        <v>7279</v>
      </c>
      <c r="Y1616" t="s">
        <v>6</v>
      </c>
      <c r="Z1616" t="s">
        <v>17</v>
      </c>
      <c r="AA1616" t="s">
        <v>6637</v>
      </c>
      <c r="AB1616" t="s">
        <v>2509</v>
      </c>
      <c r="AC1616" t="s">
        <v>2571</v>
      </c>
      <c r="AD1616" t="s">
        <v>717</v>
      </c>
      <c r="AE1616" t="s">
        <v>7280</v>
      </c>
      <c r="AF1616" t="s">
        <v>7281</v>
      </c>
      <c r="AG1616" t="s">
        <v>7282</v>
      </c>
      <c r="AH1616" t="s">
        <v>2615</v>
      </c>
      <c r="AI1616" t="s">
        <v>2552</v>
      </c>
      <c r="AJ1616" t="s">
        <v>2940</v>
      </c>
      <c r="AK1616" t="s">
        <v>77</v>
      </c>
      <c r="AL1616" t="s">
        <v>22</v>
      </c>
      <c r="AM1616" t="s">
        <v>10</v>
      </c>
      <c r="AN1616" t="s">
        <v>717</v>
      </c>
    </row>
    <row r="1617" spans="1:40" hidden="1">
      <c r="A1617">
        <v>1615</v>
      </c>
      <c r="B1617">
        <v>43</v>
      </c>
      <c r="C1617" s="58">
        <v>44893</v>
      </c>
      <c r="D1617" t="s">
        <v>27</v>
      </c>
      <c r="E1617" t="s">
        <v>2515</v>
      </c>
      <c r="F1617">
        <v>5</v>
      </c>
      <c r="G1617">
        <v>6</v>
      </c>
      <c r="H1617">
        <v>41</v>
      </c>
      <c r="I1617">
        <v>0</v>
      </c>
      <c r="J1617">
        <v>24.47</v>
      </c>
      <c r="K1617" t="s">
        <v>9</v>
      </c>
      <c r="L1617">
        <v>2393307.9300000002</v>
      </c>
      <c r="M1617">
        <v>0</v>
      </c>
      <c r="N1617">
        <v>2393307.9300000002</v>
      </c>
      <c r="O1617">
        <v>97805.800163465479</v>
      </c>
      <c r="P1617">
        <v>0</v>
      </c>
      <c r="Q1617">
        <v>2393307.9300000002</v>
      </c>
      <c r="R1617">
        <v>97805.800163465479</v>
      </c>
      <c r="S1617" t="s">
        <v>65</v>
      </c>
      <c r="T1617" t="s">
        <v>717</v>
      </c>
      <c r="U1617" t="s">
        <v>717</v>
      </c>
      <c r="V1617" t="s">
        <v>4131</v>
      </c>
      <c r="W1617">
        <v>44889</v>
      </c>
      <c r="X1617" t="s">
        <v>7283</v>
      </c>
      <c r="Y1617" t="s">
        <v>6</v>
      </c>
      <c r="Z1617" t="s">
        <v>17</v>
      </c>
      <c r="AA1617" t="s">
        <v>6637</v>
      </c>
      <c r="AB1617" t="s">
        <v>2509</v>
      </c>
      <c r="AC1617" t="s">
        <v>2571</v>
      </c>
      <c r="AD1617" t="s">
        <v>717</v>
      </c>
      <c r="AE1617" t="s">
        <v>7284</v>
      </c>
      <c r="AF1617" t="s">
        <v>7285</v>
      </c>
      <c r="AG1617" t="s">
        <v>7286</v>
      </c>
      <c r="AH1617" t="s">
        <v>2191</v>
      </c>
      <c r="AI1617" t="s">
        <v>2552</v>
      </c>
      <c r="AJ1617" t="s">
        <v>2514</v>
      </c>
      <c r="AK1617" t="s">
        <v>77</v>
      </c>
      <c r="AL1617" t="s">
        <v>16</v>
      </c>
      <c r="AM1617" t="s">
        <v>10</v>
      </c>
      <c r="AN1617" t="s">
        <v>717</v>
      </c>
    </row>
    <row r="1618" spans="1:40" hidden="1">
      <c r="A1618">
        <v>1616</v>
      </c>
      <c r="B1618">
        <v>44</v>
      </c>
      <c r="C1618" s="58">
        <v>44893</v>
      </c>
      <c r="D1618" t="s">
        <v>27</v>
      </c>
      <c r="E1618" t="s">
        <v>5079</v>
      </c>
      <c r="F1618">
        <v>3</v>
      </c>
      <c r="G1618">
        <v>20</v>
      </c>
      <c r="H1618">
        <v>793</v>
      </c>
      <c r="I1618">
        <v>0</v>
      </c>
      <c r="J1618">
        <v>24.37</v>
      </c>
      <c r="K1618" t="s">
        <v>25</v>
      </c>
      <c r="L1618">
        <v>3065695.07</v>
      </c>
      <c r="M1618">
        <v>0</v>
      </c>
      <c r="N1618">
        <v>3065695.07</v>
      </c>
      <c r="O1618">
        <v>125797.91013541238</v>
      </c>
      <c r="P1618">
        <v>536140.00000000931</v>
      </c>
      <c r="Q1618">
        <v>2529555.0699999905</v>
      </c>
      <c r="R1618">
        <v>103797.91013541201</v>
      </c>
      <c r="S1618" t="s">
        <v>65</v>
      </c>
      <c r="T1618" t="s">
        <v>717</v>
      </c>
      <c r="U1618" t="s">
        <v>717</v>
      </c>
      <c r="V1618" t="s">
        <v>4131</v>
      </c>
      <c r="W1618">
        <v>44890</v>
      </c>
      <c r="X1618" t="s">
        <v>7287</v>
      </c>
      <c r="Y1618" t="s">
        <v>6</v>
      </c>
      <c r="Z1618" t="s">
        <v>17</v>
      </c>
      <c r="AA1618" t="s">
        <v>6637</v>
      </c>
      <c r="AB1618" t="s">
        <v>2509</v>
      </c>
      <c r="AC1618" t="s">
        <v>2571</v>
      </c>
      <c r="AD1618" t="s">
        <v>717</v>
      </c>
      <c r="AE1618" t="s">
        <v>7288</v>
      </c>
      <c r="AF1618" t="s">
        <v>7289</v>
      </c>
      <c r="AG1618" t="s">
        <v>7290</v>
      </c>
      <c r="AH1618" t="s">
        <v>2191</v>
      </c>
      <c r="AI1618" t="s">
        <v>2552</v>
      </c>
      <c r="AJ1618" t="s">
        <v>2514</v>
      </c>
      <c r="AK1618" t="s">
        <v>77</v>
      </c>
      <c r="AL1618" t="s">
        <v>22</v>
      </c>
      <c r="AM1618" t="s">
        <v>10</v>
      </c>
      <c r="AN1618" t="s">
        <v>6708</v>
      </c>
    </row>
    <row r="1619" spans="1:40" hidden="1">
      <c r="A1619">
        <v>1617</v>
      </c>
      <c r="B1619">
        <v>45</v>
      </c>
      <c r="C1619" s="58">
        <v>44893</v>
      </c>
      <c r="D1619" t="s">
        <v>7</v>
      </c>
      <c r="E1619" t="s">
        <v>2506</v>
      </c>
      <c r="F1619">
        <v>1</v>
      </c>
      <c r="G1619">
        <v>7</v>
      </c>
      <c r="H1619">
        <v>161</v>
      </c>
      <c r="I1619">
        <v>0</v>
      </c>
      <c r="J1619">
        <v>28.97</v>
      </c>
      <c r="K1619" t="s">
        <v>15</v>
      </c>
      <c r="L1619">
        <v>2402200.2799999998</v>
      </c>
      <c r="M1619">
        <v>0</v>
      </c>
      <c r="N1619">
        <v>2402200.2799999998</v>
      </c>
      <c r="O1619">
        <v>82920.272005522944</v>
      </c>
      <c r="P1619">
        <v>217275.0000000014</v>
      </c>
      <c r="Q1619">
        <v>2184925.2799999984</v>
      </c>
      <c r="R1619">
        <v>75420.2720055229</v>
      </c>
      <c r="S1619" t="s">
        <v>65</v>
      </c>
      <c r="T1619" t="s">
        <v>2664</v>
      </c>
      <c r="U1619">
        <v>114996.06736842124</v>
      </c>
      <c r="V1619" t="s">
        <v>4131</v>
      </c>
      <c r="W1619">
        <v>44890</v>
      </c>
      <c r="X1619" t="s">
        <v>7291</v>
      </c>
      <c r="Y1619" t="s">
        <v>6</v>
      </c>
      <c r="Z1619" t="s">
        <v>17</v>
      </c>
      <c r="AA1619" t="s">
        <v>6637</v>
      </c>
      <c r="AB1619" t="s">
        <v>2509</v>
      </c>
      <c r="AC1619" t="s">
        <v>2571</v>
      </c>
      <c r="AD1619" t="s">
        <v>717</v>
      </c>
      <c r="AE1619" t="s">
        <v>7292</v>
      </c>
      <c r="AF1619" t="s">
        <v>7293</v>
      </c>
      <c r="AG1619" t="s">
        <v>7294</v>
      </c>
      <c r="AH1619" t="s">
        <v>2615</v>
      </c>
      <c r="AI1619" t="s">
        <v>2538</v>
      </c>
      <c r="AJ1619" t="s">
        <v>2569</v>
      </c>
      <c r="AK1619" t="s">
        <v>73</v>
      </c>
      <c r="AL1619" t="s">
        <v>22</v>
      </c>
      <c r="AM1619" t="s">
        <v>10</v>
      </c>
      <c r="AN1619" t="s">
        <v>717</v>
      </c>
    </row>
    <row r="1620" spans="1:40" hidden="1">
      <c r="A1620">
        <v>1618</v>
      </c>
      <c r="B1620">
        <v>46</v>
      </c>
      <c r="C1620" s="58">
        <v>44894</v>
      </c>
      <c r="D1620" t="s">
        <v>7</v>
      </c>
      <c r="E1620" t="s">
        <v>2506</v>
      </c>
      <c r="F1620">
        <v>8</v>
      </c>
      <c r="G1620">
        <v>16</v>
      </c>
      <c r="H1620">
        <v>240</v>
      </c>
      <c r="I1620">
        <v>1</v>
      </c>
      <c r="J1620">
        <v>33.79</v>
      </c>
      <c r="K1620" t="s">
        <v>9</v>
      </c>
      <c r="L1620">
        <v>2602214.83</v>
      </c>
      <c r="M1620">
        <v>0</v>
      </c>
      <c r="N1620">
        <v>2602214.83</v>
      </c>
      <c r="O1620">
        <v>77011.388872447467</v>
      </c>
      <c r="P1620">
        <v>0</v>
      </c>
      <c r="Q1620">
        <v>2602214.83</v>
      </c>
      <c r="R1620">
        <v>77011.388872447467</v>
      </c>
      <c r="S1620" t="s">
        <v>130</v>
      </c>
      <c r="T1620" t="s">
        <v>2664</v>
      </c>
      <c r="U1620">
        <v>136958.68</v>
      </c>
      <c r="V1620" t="s">
        <v>717</v>
      </c>
      <c r="W1620">
        <v>44891</v>
      </c>
      <c r="X1620" t="s">
        <v>7295</v>
      </c>
      <c r="Y1620" t="s">
        <v>6</v>
      </c>
      <c r="Z1620" t="s">
        <v>17</v>
      </c>
      <c r="AA1620" t="s">
        <v>6637</v>
      </c>
      <c r="AB1620" t="s">
        <v>2509</v>
      </c>
      <c r="AC1620" t="s">
        <v>717</v>
      </c>
      <c r="AD1620" t="s">
        <v>717</v>
      </c>
      <c r="AE1620" t="s">
        <v>7296</v>
      </c>
      <c r="AF1620" t="s">
        <v>7297</v>
      </c>
      <c r="AG1620" t="s">
        <v>7298</v>
      </c>
      <c r="AH1620" t="s">
        <v>2191</v>
      </c>
      <c r="AI1620" t="s">
        <v>2656</v>
      </c>
      <c r="AJ1620" t="s">
        <v>2514</v>
      </c>
      <c r="AK1620" t="s">
        <v>77</v>
      </c>
      <c r="AL1620" t="s">
        <v>717</v>
      </c>
      <c r="AM1620" t="s">
        <v>10</v>
      </c>
      <c r="AN1620" t="s">
        <v>717</v>
      </c>
    </row>
    <row r="1621" spans="1:40" hidden="1">
      <c r="A1621">
        <v>1619</v>
      </c>
      <c r="B1621">
        <v>47</v>
      </c>
      <c r="C1621" s="58">
        <v>44895</v>
      </c>
      <c r="D1621" t="s">
        <v>7</v>
      </c>
      <c r="E1621" t="s">
        <v>2581</v>
      </c>
      <c r="F1621">
        <v>7</v>
      </c>
      <c r="G1621">
        <v>10</v>
      </c>
      <c r="H1621">
        <v>303</v>
      </c>
      <c r="I1621">
        <v>1</v>
      </c>
      <c r="J1621">
        <v>33.840000000000003</v>
      </c>
      <c r="K1621" t="s">
        <v>15</v>
      </c>
      <c r="L1621">
        <v>2720767.05</v>
      </c>
      <c r="M1621">
        <v>15000</v>
      </c>
      <c r="N1621">
        <v>2735767.05</v>
      </c>
      <c r="O1621">
        <v>80844.179964538998</v>
      </c>
      <c r="P1621">
        <v>253800</v>
      </c>
      <c r="Q1621">
        <v>2481967.0499999998</v>
      </c>
      <c r="R1621">
        <v>73344.179964538998</v>
      </c>
      <c r="S1621" t="s">
        <v>130</v>
      </c>
      <c r="T1621" t="s">
        <v>2664</v>
      </c>
      <c r="U1621">
        <v>130629.85</v>
      </c>
      <c r="V1621" t="s">
        <v>717</v>
      </c>
      <c r="W1621">
        <v>44860</v>
      </c>
      <c r="X1621" t="s">
        <v>7299</v>
      </c>
      <c r="Y1621" t="s">
        <v>6</v>
      </c>
      <c r="Z1621" t="s">
        <v>11</v>
      </c>
      <c r="AA1621" t="s">
        <v>717</v>
      </c>
      <c r="AB1621" t="s">
        <v>2509</v>
      </c>
      <c r="AC1621" t="s">
        <v>717</v>
      </c>
      <c r="AD1621" t="s">
        <v>717</v>
      </c>
      <c r="AE1621" t="s">
        <v>7300</v>
      </c>
      <c r="AF1621" t="s">
        <v>7301</v>
      </c>
      <c r="AG1621" t="s">
        <v>7302</v>
      </c>
      <c r="AH1621" t="s">
        <v>2552</v>
      </c>
      <c r="AI1621" t="s">
        <v>2547</v>
      </c>
      <c r="AJ1621" t="s">
        <v>2855</v>
      </c>
      <c r="AK1621" t="s">
        <v>77</v>
      </c>
      <c r="AL1621" t="s">
        <v>717</v>
      </c>
      <c r="AM1621" t="s">
        <v>10</v>
      </c>
      <c r="AN1621" t="s">
        <v>717</v>
      </c>
    </row>
    <row r="1622" spans="1:40" hidden="1">
      <c r="A1622">
        <v>1620</v>
      </c>
      <c r="B1622">
        <v>48</v>
      </c>
      <c r="C1622" s="58">
        <v>44895</v>
      </c>
      <c r="D1622" t="s">
        <v>27</v>
      </c>
      <c r="E1622" t="s">
        <v>5079</v>
      </c>
      <c r="F1622">
        <v>5</v>
      </c>
      <c r="G1622">
        <v>15</v>
      </c>
      <c r="H1622">
        <v>753</v>
      </c>
      <c r="I1622">
        <v>1</v>
      </c>
      <c r="J1622">
        <v>38.96</v>
      </c>
      <c r="K1622" t="s">
        <v>9</v>
      </c>
      <c r="L1622">
        <v>3220220.09</v>
      </c>
      <c r="M1622">
        <v>15000</v>
      </c>
      <c r="N1622">
        <v>3235220.09</v>
      </c>
      <c r="O1622">
        <v>83039.530030800815</v>
      </c>
      <c r="P1622">
        <v>0</v>
      </c>
      <c r="Q1622">
        <v>3235220.09</v>
      </c>
      <c r="R1622">
        <v>83039.530030800815</v>
      </c>
      <c r="S1622" t="s">
        <v>65</v>
      </c>
      <c r="T1622" t="s">
        <v>717</v>
      </c>
      <c r="U1622" t="s">
        <v>717</v>
      </c>
      <c r="V1622" t="s">
        <v>7303</v>
      </c>
      <c r="W1622">
        <v>44866</v>
      </c>
      <c r="X1622" t="s">
        <v>7304</v>
      </c>
      <c r="Y1622" t="s">
        <v>6</v>
      </c>
      <c r="Z1622" t="s">
        <v>11</v>
      </c>
      <c r="AA1622" t="s">
        <v>717</v>
      </c>
      <c r="AB1622" t="s">
        <v>2509</v>
      </c>
      <c r="AC1622" t="s">
        <v>2576</v>
      </c>
      <c r="AD1622" t="s">
        <v>717</v>
      </c>
      <c r="AE1622" t="s">
        <v>7305</v>
      </c>
      <c r="AF1622" t="s">
        <v>7306</v>
      </c>
      <c r="AG1622" t="s">
        <v>7307</v>
      </c>
      <c r="AH1622" t="s">
        <v>2191</v>
      </c>
      <c r="AI1622" t="s">
        <v>2538</v>
      </c>
      <c r="AJ1622" t="s">
        <v>2514</v>
      </c>
      <c r="AK1622" t="s">
        <v>77</v>
      </c>
      <c r="AL1622" t="s">
        <v>22</v>
      </c>
      <c r="AM1622" t="s">
        <v>10</v>
      </c>
      <c r="AN1622" t="s">
        <v>717</v>
      </c>
    </row>
    <row r="1623" spans="1:40" hidden="1">
      <c r="A1623">
        <v>1621</v>
      </c>
      <c r="B1623">
        <v>49</v>
      </c>
      <c r="C1623" s="58">
        <v>44895</v>
      </c>
      <c r="D1623" t="s">
        <v>7</v>
      </c>
      <c r="E1623" t="s">
        <v>2515</v>
      </c>
      <c r="F1623">
        <v>6</v>
      </c>
      <c r="G1623">
        <v>16</v>
      </c>
      <c r="H1623">
        <v>118</v>
      </c>
      <c r="I1623">
        <v>2</v>
      </c>
      <c r="J1623">
        <v>59.87</v>
      </c>
      <c r="K1623" t="s">
        <v>15</v>
      </c>
      <c r="L1623">
        <v>4826763.7</v>
      </c>
      <c r="M1623">
        <v>0</v>
      </c>
      <c r="N1623">
        <v>4826763.7</v>
      </c>
      <c r="O1623">
        <v>80620.739936529149</v>
      </c>
      <c r="P1623">
        <v>449025</v>
      </c>
      <c r="Q1623">
        <v>4377738.7</v>
      </c>
      <c r="R1623">
        <v>73120.739936529149</v>
      </c>
      <c r="S1623" t="s">
        <v>65</v>
      </c>
      <c r="T1623" t="s">
        <v>7266</v>
      </c>
      <c r="U1623">
        <v>460814.59999999963</v>
      </c>
      <c r="V1623" t="s">
        <v>4131</v>
      </c>
      <c r="W1623">
        <v>44887</v>
      </c>
      <c r="X1623" t="s">
        <v>7308</v>
      </c>
      <c r="Y1623" t="s">
        <v>6</v>
      </c>
      <c r="Z1623" t="s">
        <v>17</v>
      </c>
      <c r="AA1623" t="s">
        <v>6637</v>
      </c>
      <c r="AB1623" t="s">
        <v>2509</v>
      </c>
      <c r="AC1623" t="s">
        <v>2571</v>
      </c>
      <c r="AD1623" t="s">
        <v>717</v>
      </c>
      <c r="AE1623" t="s">
        <v>7309</v>
      </c>
      <c r="AF1623" t="s">
        <v>7310</v>
      </c>
      <c r="AG1623" t="s">
        <v>7311</v>
      </c>
      <c r="AH1623" t="s">
        <v>2615</v>
      </c>
      <c r="AI1623" t="s">
        <v>2552</v>
      </c>
      <c r="AJ1623" t="s">
        <v>2662</v>
      </c>
      <c r="AK1623" t="s">
        <v>73</v>
      </c>
      <c r="AL1623" t="s">
        <v>16</v>
      </c>
      <c r="AM1623" t="s">
        <v>10</v>
      </c>
      <c r="AN1623" t="s">
        <v>6708</v>
      </c>
    </row>
    <row r="1624" spans="1:40" hidden="1">
      <c r="A1624">
        <v>1622</v>
      </c>
      <c r="B1624">
        <v>50</v>
      </c>
      <c r="C1624" s="58">
        <v>44895</v>
      </c>
      <c r="D1624" t="s">
        <v>27</v>
      </c>
      <c r="E1624" t="s">
        <v>2581</v>
      </c>
      <c r="F1624">
        <v>5</v>
      </c>
      <c r="G1624">
        <v>15</v>
      </c>
      <c r="H1624">
        <v>500</v>
      </c>
      <c r="I1624">
        <v>0</v>
      </c>
      <c r="J1624">
        <v>23.63</v>
      </c>
      <c r="K1624" t="s">
        <v>9</v>
      </c>
      <c r="L1624">
        <v>2036744.69</v>
      </c>
      <c r="M1624">
        <v>15000</v>
      </c>
      <c r="N1624">
        <v>2051744.69</v>
      </c>
      <c r="O1624">
        <v>86827.959796868396</v>
      </c>
      <c r="P1624">
        <v>0</v>
      </c>
      <c r="Q1624">
        <v>2051744.69</v>
      </c>
      <c r="R1624">
        <v>86827.959796868396</v>
      </c>
      <c r="S1624" t="s">
        <v>65</v>
      </c>
      <c r="T1624" t="s">
        <v>717</v>
      </c>
      <c r="U1624" t="s">
        <v>717</v>
      </c>
      <c r="V1624" t="s">
        <v>4131</v>
      </c>
      <c r="W1624">
        <v>44889</v>
      </c>
      <c r="X1624" t="s">
        <v>7312</v>
      </c>
      <c r="Y1624" t="s">
        <v>6</v>
      </c>
      <c r="Z1624" t="s">
        <v>17</v>
      </c>
      <c r="AA1624" t="s">
        <v>717</v>
      </c>
      <c r="AB1624" t="s">
        <v>2509</v>
      </c>
      <c r="AC1624" t="s">
        <v>2571</v>
      </c>
      <c r="AD1624" t="s">
        <v>717</v>
      </c>
      <c r="AE1624" t="s">
        <v>7313</v>
      </c>
      <c r="AF1624" t="s">
        <v>7314</v>
      </c>
      <c r="AG1624" t="s">
        <v>7315</v>
      </c>
      <c r="AH1624" t="s">
        <v>2191</v>
      </c>
      <c r="AI1624" t="s">
        <v>5653</v>
      </c>
      <c r="AJ1624" t="s">
        <v>31</v>
      </c>
      <c r="AK1624" t="s">
        <v>73</v>
      </c>
      <c r="AL1624" t="s">
        <v>16</v>
      </c>
      <c r="AM1624" t="s">
        <v>5654</v>
      </c>
      <c r="AN1624" t="s">
        <v>717</v>
      </c>
    </row>
    <row r="1625" spans="1:40" hidden="1">
      <c r="A1625">
        <v>1623</v>
      </c>
      <c r="B1625">
        <v>51</v>
      </c>
      <c r="C1625" s="58">
        <v>44895</v>
      </c>
      <c r="D1625" t="s">
        <v>7</v>
      </c>
      <c r="E1625" t="s">
        <v>2515</v>
      </c>
      <c r="F1625">
        <v>3</v>
      </c>
      <c r="G1625">
        <v>3</v>
      </c>
      <c r="H1625">
        <v>11</v>
      </c>
      <c r="I1625">
        <v>1</v>
      </c>
      <c r="J1625">
        <v>35.54</v>
      </c>
      <c r="K1625" t="s">
        <v>25</v>
      </c>
      <c r="L1625">
        <v>3691799.6</v>
      </c>
      <c r="M1625">
        <v>0</v>
      </c>
      <c r="N1625">
        <v>3691799.6</v>
      </c>
      <c r="O1625">
        <v>103877.31007315702</v>
      </c>
      <c r="P1625">
        <v>781880.00000000047</v>
      </c>
      <c r="Q1625">
        <v>2909919.5999999996</v>
      </c>
      <c r="R1625">
        <v>81877.310073157001</v>
      </c>
      <c r="S1625" t="s">
        <v>130</v>
      </c>
      <c r="T1625" t="s">
        <v>717</v>
      </c>
      <c r="U1625" t="s">
        <v>717</v>
      </c>
      <c r="V1625" t="s">
        <v>717</v>
      </c>
      <c r="W1625">
        <v>44890</v>
      </c>
      <c r="X1625" t="s">
        <v>7316</v>
      </c>
      <c r="Y1625" t="s">
        <v>6</v>
      </c>
      <c r="Z1625" t="s">
        <v>17</v>
      </c>
      <c r="AA1625" t="s">
        <v>6637</v>
      </c>
      <c r="AB1625" t="s">
        <v>2509</v>
      </c>
      <c r="AC1625" t="s">
        <v>717</v>
      </c>
      <c r="AD1625" t="s">
        <v>717</v>
      </c>
      <c r="AE1625" t="s">
        <v>7317</v>
      </c>
      <c r="AF1625" t="s">
        <v>7318</v>
      </c>
      <c r="AG1625" t="s">
        <v>7319</v>
      </c>
      <c r="AH1625" t="s">
        <v>2191</v>
      </c>
      <c r="AI1625" t="s">
        <v>5653</v>
      </c>
      <c r="AJ1625" t="s">
        <v>31</v>
      </c>
      <c r="AK1625" t="s">
        <v>73</v>
      </c>
      <c r="AL1625" t="s">
        <v>717</v>
      </c>
      <c r="AM1625" t="s">
        <v>5654</v>
      </c>
      <c r="AN1625" t="s">
        <v>717</v>
      </c>
    </row>
    <row r="1626" spans="1:40" hidden="1">
      <c r="A1626">
        <v>1624</v>
      </c>
      <c r="B1626">
        <v>52</v>
      </c>
      <c r="C1626" s="58">
        <v>44895</v>
      </c>
      <c r="D1626" t="s">
        <v>27</v>
      </c>
      <c r="E1626" t="s">
        <v>2515</v>
      </c>
      <c r="F1626">
        <v>2</v>
      </c>
      <c r="G1626">
        <v>18</v>
      </c>
      <c r="H1626">
        <v>146</v>
      </c>
      <c r="I1626">
        <v>1</v>
      </c>
      <c r="J1626">
        <v>37.94</v>
      </c>
      <c r="K1626" t="s">
        <v>25</v>
      </c>
      <c r="L1626">
        <v>4246275.91</v>
      </c>
      <c r="M1626">
        <v>0</v>
      </c>
      <c r="N1626">
        <v>4246275.91</v>
      </c>
      <c r="O1626">
        <v>111920.81997891408</v>
      </c>
      <c r="P1626">
        <v>834680</v>
      </c>
      <c r="Q1626">
        <v>3411595.91</v>
      </c>
      <c r="R1626">
        <v>89920.819978914078</v>
      </c>
      <c r="S1626" t="s">
        <v>65</v>
      </c>
      <c r="T1626" t="s">
        <v>717</v>
      </c>
      <c r="U1626" t="s">
        <v>717</v>
      </c>
      <c r="V1626" t="s">
        <v>6312</v>
      </c>
      <c r="W1626">
        <v>44893</v>
      </c>
      <c r="X1626" t="s">
        <v>7320</v>
      </c>
      <c r="Y1626" t="s">
        <v>6</v>
      </c>
      <c r="Z1626" t="s">
        <v>17</v>
      </c>
      <c r="AA1626" t="s">
        <v>6637</v>
      </c>
      <c r="AB1626" t="s">
        <v>2509</v>
      </c>
      <c r="AC1626" t="s">
        <v>2571</v>
      </c>
      <c r="AD1626" t="s">
        <v>717</v>
      </c>
      <c r="AE1626" t="s">
        <v>4833</v>
      </c>
      <c r="AF1626" t="s">
        <v>4834</v>
      </c>
      <c r="AG1626" t="s">
        <v>4835</v>
      </c>
      <c r="AH1626" t="s">
        <v>2191</v>
      </c>
      <c r="AI1626" t="s">
        <v>2600</v>
      </c>
      <c r="AJ1626" t="s">
        <v>3921</v>
      </c>
      <c r="AK1626" t="s">
        <v>77</v>
      </c>
      <c r="AL1626" t="s">
        <v>22</v>
      </c>
      <c r="AM1626" t="s">
        <v>10</v>
      </c>
      <c r="AN1626" t="s">
        <v>717</v>
      </c>
    </row>
    <row r="1627" spans="1:40" hidden="1">
      <c r="A1627">
        <v>1625</v>
      </c>
      <c r="B1627">
        <v>53</v>
      </c>
      <c r="C1627" s="58">
        <v>44895</v>
      </c>
      <c r="D1627" t="s">
        <v>7</v>
      </c>
      <c r="E1627" t="s">
        <v>4409</v>
      </c>
      <c r="F1627">
        <v>3</v>
      </c>
      <c r="G1627">
        <v>16</v>
      </c>
      <c r="H1627">
        <v>530</v>
      </c>
      <c r="I1627">
        <v>3</v>
      </c>
      <c r="J1627">
        <v>74.28</v>
      </c>
      <c r="K1627" t="s">
        <v>25</v>
      </c>
      <c r="L1627">
        <v>6495234.21</v>
      </c>
      <c r="M1627">
        <v>0</v>
      </c>
      <c r="N1627">
        <v>6495234.21</v>
      </c>
      <c r="O1627">
        <v>87442.571486268178</v>
      </c>
      <c r="P1627">
        <v>1634159.9999999979</v>
      </c>
      <c r="Q1627">
        <v>4861074.2100000018</v>
      </c>
      <c r="R1627">
        <v>65442.5714862682</v>
      </c>
      <c r="S1627" t="s">
        <v>65</v>
      </c>
      <c r="T1627" t="s">
        <v>7266</v>
      </c>
      <c r="U1627">
        <v>422702.11</v>
      </c>
      <c r="V1627" t="s">
        <v>4131</v>
      </c>
      <c r="W1627">
        <v>44893</v>
      </c>
      <c r="X1627" t="s">
        <v>7321</v>
      </c>
      <c r="Y1627" t="s">
        <v>6</v>
      </c>
      <c r="Z1627" t="s">
        <v>17</v>
      </c>
      <c r="AA1627" t="s">
        <v>6637</v>
      </c>
      <c r="AB1627" t="s">
        <v>2509</v>
      </c>
      <c r="AC1627" t="s">
        <v>2571</v>
      </c>
      <c r="AD1627" t="s">
        <v>717</v>
      </c>
      <c r="AE1627" t="s">
        <v>7322</v>
      </c>
      <c r="AF1627" t="s">
        <v>7323</v>
      </c>
      <c r="AG1627" t="s">
        <v>7324</v>
      </c>
      <c r="AH1627" t="s">
        <v>2191</v>
      </c>
      <c r="AI1627" t="s">
        <v>2552</v>
      </c>
      <c r="AJ1627" t="s">
        <v>2514</v>
      </c>
      <c r="AK1627" t="s">
        <v>77</v>
      </c>
      <c r="AL1627" t="s">
        <v>16</v>
      </c>
      <c r="AM1627" t="s">
        <v>10</v>
      </c>
      <c r="AN1627" t="s">
        <v>6708</v>
      </c>
    </row>
    <row r="1628" spans="1:40" hidden="1">
      <c r="A1628">
        <v>1626</v>
      </c>
      <c r="B1628">
        <v>1</v>
      </c>
      <c r="C1628" s="58">
        <v>44897</v>
      </c>
      <c r="D1628" t="s">
        <v>7</v>
      </c>
      <c r="E1628" t="s">
        <v>2581</v>
      </c>
      <c r="F1628">
        <v>3</v>
      </c>
      <c r="G1628">
        <v>10</v>
      </c>
      <c r="H1628">
        <v>299</v>
      </c>
      <c r="I1628">
        <v>0</v>
      </c>
      <c r="J1628">
        <v>36.450000000000003</v>
      </c>
      <c r="K1628" t="s">
        <v>9</v>
      </c>
      <c r="L1628">
        <v>2922694.41</v>
      </c>
      <c r="M1628">
        <v>0</v>
      </c>
      <c r="N1628">
        <v>2922694.41</v>
      </c>
      <c r="O1628">
        <v>80183.66008230453</v>
      </c>
      <c r="P1628">
        <v>0</v>
      </c>
      <c r="Q1628">
        <v>2922694.41</v>
      </c>
      <c r="R1628">
        <v>80183.66008230453</v>
      </c>
      <c r="S1628" t="s">
        <v>130</v>
      </c>
      <c r="T1628" t="s">
        <v>717</v>
      </c>
      <c r="U1628" t="s">
        <v>717</v>
      </c>
      <c r="V1628" t="s">
        <v>717</v>
      </c>
      <c r="W1628">
        <v>44894</v>
      </c>
      <c r="X1628" t="s">
        <v>7325</v>
      </c>
      <c r="Y1628" t="s">
        <v>2517</v>
      </c>
      <c r="Z1628" t="s">
        <v>17</v>
      </c>
      <c r="AA1628" t="s">
        <v>6637</v>
      </c>
      <c r="AB1628" t="s">
        <v>2509</v>
      </c>
      <c r="AC1628" t="s">
        <v>717</v>
      </c>
      <c r="AD1628">
        <v>45436</v>
      </c>
      <c r="AE1628" t="s">
        <v>7326</v>
      </c>
      <c r="AF1628" t="s">
        <v>7327</v>
      </c>
      <c r="AG1628" t="s">
        <v>7328</v>
      </c>
      <c r="AH1628" t="s">
        <v>2615</v>
      </c>
      <c r="AI1628" t="s">
        <v>2552</v>
      </c>
      <c r="AJ1628" t="s">
        <v>2662</v>
      </c>
      <c r="AK1628" t="s">
        <v>73</v>
      </c>
      <c r="AL1628" t="s">
        <v>717</v>
      </c>
      <c r="AM1628" t="s">
        <v>10</v>
      </c>
      <c r="AN1628" t="s">
        <v>717</v>
      </c>
    </row>
    <row r="1629" spans="1:40" hidden="1">
      <c r="A1629">
        <v>1627</v>
      </c>
      <c r="B1629">
        <v>2</v>
      </c>
      <c r="C1629" s="58">
        <v>44900</v>
      </c>
      <c r="D1629" t="s">
        <v>7</v>
      </c>
      <c r="E1629" t="s">
        <v>2515</v>
      </c>
      <c r="F1629">
        <v>3</v>
      </c>
      <c r="G1629">
        <v>5</v>
      </c>
      <c r="H1629">
        <v>27</v>
      </c>
      <c r="I1629">
        <v>1</v>
      </c>
      <c r="J1629">
        <v>35.54</v>
      </c>
      <c r="K1629" t="s">
        <v>15</v>
      </c>
      <c r="L1629">
        <v>3176469.6</v>
      </c>
      <c r="M1629">
        <v>0</v>
      </c>
      <c r="N1629">
        <v>3176469.6</v>
      </c>
      <c r="O1629">
        <v>89377.31007315703</v>
      </c>
      <c r="P1629">
        <v>266550.00000000047</v>
      </c>
      <c r="Q1629">
        <v>2909919.5999999996</v>
      </c>
      <c r="R1629">
        <v>81877.310073157001</v>
      </c>
      <c r="S1629" t="s">
        <v>130</v>
      </c>
      <c r="T1629" t="s">
        <v>717</v>
      </c>
      <c r="U1629" t="s">
        <v>717</v>
      </c>
      <c r="V1629" t="s">
        <v>717</v>
      </c>
      <c r="W1629">
        <v>44895</v>
      </c>
      <c r="X1629" t="s">
        <v>7329</v>
      </c>
      <c r="Y1629" t="s">
        <v>6</v>
      </c>
      <c r="Z1629" t="s">
        <v>17</v>
      </c>
      <c r="AA1629" t="s">
        <v>6637</v>
      </c>
      <c r="AB1629" t="s">
        <v>2509</v>
      </c>
      <c r="AC1629" t="s">
        <v>717</v>
      </c>
      <c r="AD1629" t="s">
        <v>717</v>
      </c>
      <c r="AE1629" t="s">
        <v>7330</v>
      </c>
      <c r="AF1629" t="s">
        <v>7331</v>
      </c>
      <c r="AG1629" t="s">
        <v>7332</v>
      </c>
      <c r="AH1629" t="s">
        <v>2615</v>
      </c>
      <c r="AI1629" t="s">
        <v>2538</v>
      </c>
      <c r="AJ1629" t="s">
        <v>2569</v>
      </c>
      <c r="AK1629" t="s">
        <v>77</v>
      </c>
      <c r="AL1629" t="s">
        <v>717</v>
      </c>
      <c r="AM1629" t="s">
        <v>10</v>
      </c>
      <c r="AN1629" t="s">
        <v>717</v>
      </c>
    </row>
    <row r="1630" spans="1:40" hidden="1">
      <c r="A1630">
        <v>1628</v>
      </c>
      <c r="B1630">
        <v>3</v>
      </c>
      <c r="C1630" s="58">
        <v>44900</v>
      </c>
      <c r="D1630" t="s">
        <v>7</v>
      </c>
      <c r="E1630" t="s">
        <v>2581</v>
      </c>
      <c r="F1630">
        <v>4</v>
      </c>
      <c r="G1630">
        <v>15</v>
      </c>
      <c r="H1630">
        <v>335</v>
      </c>
      <c r="I1630">
        <v>2</v>
      </c>
      <c r="J1630">
        <v>58.55</v>
      </c>
      <c r="K1630" t="s">
        <v>9</v>
      </c>
      <c r="L1630">
        <v>4209734.96</v>
      </c>
      <c r="M1630">
        <v>0</v>
      </c>
      <c r="N1630">
        <v>4209734.96</v>
      </c>
      <c r="O1630">
        <v>71899.82852263024</v>
      </c>
      <c r="P1630">
        <v>0</v>
      </c>
      <c r="Q1630">
        <v>4209734.96</v>
      </c>
      <c r="R1630">
        <v>71899.82852263024</v>
      </c>
      <c r="S1630" t="s">
        <v>65</v>
      </c>
      <c r="T1630" t="s">
        <v>2664</v>
      </c>
      <c r="U1630">
        <v>221565</v>
      </c>
      <c r="V1630" t="s">
        <v>4131</v>
      </c>
      <c r="W1630">
        <v>44895</v>
      </c>
      <c r="X1630" t="s">
        <v>7333</v>
      </c>
      <c r="Y1630" t="s">
        <v>6</v>
      </c>
      <c r="Z1630" t="s">
        <v>17</v>
      </c>
      <c r="AA1630" t="s">
        <v>6637</v>
      </c>
      <c r="AB1630" t="s">
        <v>2509</v>
      </c>
      <c r="AC1630" t="s">
        <v>2571</v>
      </c>
      <c r="AD1630" t="s">
        <v>717</v>
      </c>
      <c r="AE1630" t="s">
        <v>7334</v>
      </c>
      <c r="AF1630" t="s">
        <v>7335</v>
      </c>
      <c r="AG1630" t="s">
        <v>7336</v>
      </c>
      <c r="AH1630" t="s">
        <v>2615</v>
      </c>
      <c r="AI1630" t="s">
        <v>2538</v>
      </c>
      <c r="AJ1630" t="s">
        <v>2569</v>
      </c>
      <c r="AK1630" t="s">
        <v>73</v>
      </c>
      <c r="AL1630" t="s">
        <v>16</v>
      </c>
      <c r="AM1630" t="s">
        <v>10</v>
      </c>
      <c r="AN1630" t="s">
        <v>6708</v>
      </c>
    </row>
    <row r="1631" spans="1:40" hidden="1">
      <c r="A1631">
        <v>1629</v>
      </c>
      <c r="B1631">
        <v>4</v>
      </c>
      <c r="C1631" s="58">
        <v>44903</v>
      </c>
      <c r="D1631" t="s">
        <v>7</v>
      </c>
      <c r="E1631" t="s">
        <v>4409</v>
      </c>
      <c r="F1631">
        <v>4</v>
      </c>
      <c r="G1631">
        <v>11</v>
      </c>
      <c r="H1631">
        <v>486</v>
      </c>
      <c r="I1631">
        <v>1</v>
      </c>
      <c r="J1631">
        <v>36.5</v>
      </c>
      <c r="K1631" t="s">
        <v>15</v>
      </c>
      <c r="L1631">
        <v>3127050.67</v>
      </c>
      <c r="M1631">
        <v>0</v>
      </c>
      <c r="N1631">
        <v>3127050.67</v>
      </c>
      <c r="O1631">
        <v>85672.621095890412</v>
      </c>
      <c r="P1631">
        <v>146000</v>
      </c>
      <c r="Q1631">
        <v>2981050.67</v>
      </c>
      <c r="R1631">
        <v>81672.621095890412</v>
      </c>
      <c r="S1631" t="s">
        <v>65</v>
      </c>
      <c r="T1631" t="s">
        <v>2664</v>
      </c>
      <c r="U1631">
        <v>156897.40349999999</v>
      </c>
      <c r="V1631" t="s">
        <v>4131</v>
      </c>
      <c r="W1631">
        <v>44899</v>
      </c>
      <c r="X1631" t="s">
        <v>7337</v>
      </c>
      <c r="Y1631" t="s">
        <v>6</v>
      </c>
      <c r="Z1631" t="s">
        <v>17</v>
      </c>
      <c r="AA1631" t="s">
        <v>6637</v>
      </c>
      <c r="AB1631" t="s">
        <v>2509</v>
      </c>
      <c r="AC1631" t="s">
        <v>2571</v>
      </c>
      <c r="AD1631" t="s">
        <v>717</v>
      </c>
      <c r="AE1631" t="s">
        <v>7338</v>
      </c>
      <c r="AF1631" t="s">
        <v>7339</v>
      </c>
      <c r="AG1631" t="s">
        <v>7340</v>
      </c>
      <c r="AH1631" t="s">
        <v>2616</v>
      </c>
      <c r="AI1631" t="s">
        <v>2552</v>
      </c>
      <c r="AJ1631" t="s">
        <v>3185</v>
      </c>
      <c r="AK1631" t="s">
        <v>77</v>
      </c>
      <c r="AL1631" t="s">
        <v>16</v>
      </c>
      <c r="AM1631" t="s">
        <v>10</v>
      </c>
      <c r="AN1631" t="s">
        <v>717</v>
      </c>
    </row>
    <row r="1632" spans="1:40" hidden="1">
      <c r="A1632">
        <v>1630</v>
      </c>
      <c r="B1632">
        <v>5</v>
      </c>
      <c r="C1632" s="58">
        <v>44904</v>
      </c>
      <c r="D1632" t="s">
        <v>7</v>
      </c>
      <c r="E1632" t="s">
        <v>2515</v>
      </c>
      <c r="F1632">
        <v>5</v>
      </c>
      <c r="G1632">
        <v>14</v>
      </c>
      <c r="H1632">
        <v>101</v>
      </c>
      <c r="I1632">
        <v>2</v>
      </c>
      <c r="J1632">
        <v>54.66</v>
      </c>
      <c r="K1632" t="s">
        <v>15</v>
      </c>
      <c r="L1632">
        <v>4301838.66</v>
      </c>
      <c r="M1632">
        <v>0</v>
      </c>
      <c r="N1632">
        <v>4301838.66</v>
      </c>
      <c r="O1632">
        <v>78701.76838638859</v>
      </c>
      <c r="P1632">
        <v>409949.99999999907</v>
      </c>
      <c r="Q1632">
        <v>3891888.6600000006</v>
      </c>
      <c r="R1632">
        <v>71201.768386388605</v>
      </c>
      <c r="S1632" t="s">
        <v>65</v>
      </c>
      <c r="T1632" t="s">
        <v>2664</v>
      </c>
      <c r="U1632">
        <v>204836.25</v>
      </c>
      <c r="V1632" t="s">
        <v>4131</v>
      </c>
      <c r="W1632">
        <v>44895</v>
      </c>
      <c r="X1632" t="s">
        <v>7341</v>
      </c>
      <c r="Y1632" t="s">
        <v>6</v>
      </c>
      <c r="Z1632" t="s">
        <v>17</v>
      </c>
      <c r="AA1632" t="s">
        <v>6637</v>
      </c>
      <c r="AB1632" t="s">
        <v>2509</v>
      </c>
      <c r="AC1632" t="s">
        <v>2571</v>
      </c>
      <c r="AD1632" t="s">
        <v>717</v>
      </c>
      <c r="AE1632" t="s">
        <v>7342</v>
      </c>
      <c r="AF1632" t="s">
        <v>7343</v>
      </c>
      <c r="AG1632" t="s">
        <v>7344</v>
      </c>
      <c r="AH1632" t="s">
        <v>2191</v>
      </c>
      <c r="AI1632" t="s">
        <v>2538</v>
      </c>
      <c r="AJ1632" t="s">
        <v>2514</v>
      </c>
      <c r="AK1632" t="s">
        <v>77</v>
      </c>
      <c r="AL1632" t="s">
        <v>22</v>
      </c>
      <c r="AM1632" t="s">
        <v>10</v>
      </c>
      <c r="AN1632" t="s">
        <v>6708</v>
      </c>
    </row>
    <row r="1633" spans="1:40" hidden="1">
      <c r="A1633">
        <v>1631</v>
      </c>
      <c r="B1633">
        <v>6</v>
      </c>
      <c r="C1633" s="58">
        <v>44904</v>
      </c>
      <c r="D1633" t="s">
        <v>7</v>
      </c>
      <c r="E1633" t="s">
        <v>2506</v>
      </c>
      <c r="F1633">
        <v>3</v>
      </c>
      <c r="G1633">
        <v>4</v>
      </c>
      <c r="H1633">
        <v>139</v>
      </c>
      <c r="I1633">
        <v>1</v>
      </c>
      <c r="J1633">
        <v>35.380000000000003</v>
      </c>
      <c r="K1633" t="s">
        <v>9</v>
      </c>
      <c r="L1633">
        <v>3071480.38</v>
      </c>
      <c r="M1633">
        <v>0</v>
      </c>
      <c r="N1633">
        <v>3071480.38</v>
      </c>
      <c r="O1633">
        <v>86814.029960429616</v>
      </c>
      <c r="P1633">
        <v>0</v>
      </c>
      <c r="Q1633">
        <v>3071480.38</v>
      </c>
      <c r="R1633">
        <v>86814.029960429616</v>
      </c>
      <c r="S1633" t="s">
        <v>130</v>
      </c>
      <c r="T1633" t="s">
        <v>717</v>
      </c>
      <c r="U1633" t="s">
        <v>717</v>
      </c>
      <c r="V1633" t="s">
        <v>717</v>
      </c>
      <c r="W1633">
        <v>44899</v>
      </c>
      <c r="X1633" t="s">
        <v>7345</v>
      </c>
      <c r="Y1633" t="s">
        <v>6</v>
      </c>
      <c r="Z1633" t="s">
        <v>17</v>
      </c>
      <c r="AA1633" t="s">
        <v>6637</v>
      </c>
      <c r="AB1633" t="s">
        <v>2509</v>
      </c>
      <c r="AC1633" t="s">
        <v>717</v>
      </c>
      <c r="AD1633" t="s">
        <v>717</v>
      </c>
      <c r="AE1633" t="s">
        <v>7346</v>
      </c>
      <c r="AF1633" t="s">
        <v>7347</v>
      </c>
      <c r="AG1633" t="s">
        <v>7348</v>
      </c>
      <c r="AH1633" t="s">
        <v>2615</v>
      </c>
      <c r="AI1633" t="s">
        <v>2552</v>
      </c>
      <c r="AJ1633" t="s">
        <v>2895</v>
      </c>
      <c r="AK1633" t="s">
        <v>73</v>
      </c>
      <c r="AL1633" t="s">
        <v>717</v>
      </c>
      <c r="AM1633" t="s">
        <v>10</v>
      </c>
      <c r="AN1633" t="s">
        <v>717</v>
      </c>
    </row>
    <row r="1634" spans="1:40" hidden="1">
      <c r="A1634">
        <v>1632</v>
      </c>
      <c r="B1634">
        <v>7</v>
      </c>
      <c r="C1634" s="58">
        <v>44907</v>
      </c>
      <c r="D1634" t="s">
        <v>7</v>
      </c>
      <c r="E1634" t="s">
        <v>2515</v>
      </c>
      <c r="F1634">
        <v>7</v>
      </c>
      <c r="G1634">
        <v>7</v>
      </c>
      <c r="H1634">
        <v>47</v>
      </c>
      <c r="I1634">
        <v>0</v>
      </c>
      <c r="J1634">
        <v>21.75</v>
      </c>
      <c r="K1634" t="s">
        <v>15</v>
      </c>
      <c r="L1634">
        <v>1900063.69</v>
      </c>
      <c r="M1634">
        <v>0</v>
      </c>
      <c r="N1634">
        <v>1900063.69</v>
      </c>
      <c r="O1634">
        <v>87359.250114942522</v>
      </c>
      <c r="P1634">
        <v>87000</v>
      </c>
      <c r="Q1634">
        <v>1813063.69</v>
      </c>
      <c r="R1634">
        <v>83359.250114942522</v>
      </c>
      <c r="S1634" t="s">
        <v>65</v>
      </c>
      <c r="T1634" t="s">
        <v>717</v>
      </c>
      <c r="U1634" t="s">
        <v>717</v>
      </c>
      <c r="V1634" t="s">
        <v>6312</v>
      </c>
      <c r="W1634">
        <v>44901</v>
      </c>
      <c r="X1634" t="s">
        <v>7349</v>
      </c>
      <c r="Y1634" t="s">
        <v>6</v>
      </c>
      <c r="Z1634" t="s">
        <v>17</v>
      </c>
      <c r="AA1634" t="s">
        <v>6637</v>
      </c>
      <c r="AB1634" t="s">
        <v>2509</v>
      </c>
      <c r="AC1634" t="s">
        <v>2571</v>
      </c>
      <c r="AD1634" t="s">
        <v>717</v>
      </c>
      <c r="AE1634" t="s">
        <v>7350</v>
      </c>
      <c r="AF1634" t="s">
        <v>7351</v>
      </c>
      <c r="AG1634" t="s">
        <v>7352</v>
      </c>
      <c r="AH1634" t="s">
        <v>2616</v>
      </c>
      <c r="AI1634" t="s">
        <v>2552</v>
      </c>
      <c r="AJ1634" t="s">
        <v>3185</v>
      </c>
      <c r="AK1634" t="s">
        <v>73</v>
      </c>
      <c r="AL1634" t="s">
        <v>16</v>
      </c>
      <c r="AM1634" t="s">
        <v>10</v>
      </c>
      <c r="AN1634" t="s">
        <v>717</v>
      </c>
    </row>
    <row r="1635" spans="1:40" hidden="1">
      <c r="A1635">
        <v>1633</v>
      </c>
      <c r="B1635">
        <v>8</v>
      </c>
      <c r="C1635" s="58">
        <v>44908</v>
      </c>
      <c r="D1635" t="s">
        <v>7</v>
      </c>
      <c r="E1635" t="s">
        <v>2506</v>
      </c>
      <c r="F1635">
        <v>7</v>
      </c>
      <c r="G1635">
        <v>4</v>
      </c>
      <c r="H1635">
        <v>143</v>
      </c>
      <c r="I1635">
        <v>3</v>
      </c>
      <c r="J1635">
        <v>78.73</v>
      </c>
      <c r="K1635" t="s">
        <v>9</v>
      </c>
      <c r="L1635">
        <v>5418827.2199999997</v>
      </c>
      <c r="M1635">
        <v>0</v>
      </c>
      <c r="N1635">
        <v>5418827.2199999997</v>
      </c>
      <c r="O1635">
        <v>68827.984504001011</v>
      </c>
      <c r="P1635">
        <v>0</v>
      </c>
      <c r="Q1635">
        <v>5418827.2199999997</v>
      </c>
      <c r="R1635">
        <v>68827.984504001011</v>
      </c>
      <c r="S1635" t="s">
        <v>65</v>
      </c>
      <c r="T1635" t="s">
        <v>2664</v>
      </c>
      <c r="U1635">
        <v>285201.43</v>
      </c>
      <c r="V1635" t="s">
        <v>4131</v>
      </c>
      <c r="W1635">
        <v>44897</v>
      </c>
      <c r="X1635" t="s">
        <v>7353</v>
      </c>
      <c r="Y1635" t="s">
        <v>6</v>
      </c>
      <c r="Z1635" t="s">
        <v>17</v>
      </c>
      <c r="AA1635" t="s">
        <v>6637</v>
      </c>
      <c r="AB1635" t="s">
        <v>2509</v>
      </c>
      <c r="AC1635" t="s">
        <v>2571</v>
      </c>
      <c r="AD1635" t="s">
        <v>717</v>
      </c>
      <c r="AE1635" t="s">
        <v>7354</v>
      </c>
      <c r="AF1635" t="s">
        <v>7355</v>
      </c>
      <c r="AG1635" t="s">
        <v>7356</v>
      </c>
      <c r="AH1635" t="s">
        <v>2552</v>
      </c>
      <c r="AI1635" t="s">
        <v>2547</v>
      </c>
      <c r="AJ1635" t="s">
        <v>2855</v>
      </c>
      <c r="AK1635" t="s">
        <v>73</v>
      </c>
      <c r="AL1635" t="s">
        <v>16</v>
      </c>
      <c r="AM1635" t="s">
        <v>10</v>
      </c>
      <c r="AN1635" t="s">
        <v>6708</v>
      </c>
    </row>
    <row r="1636" spans="1:40" hidden="1">
      <c r="A1636">
        <v>1634</v>
      </c>
      <c r="B1636">
        <v>9</v>
      </c>
      <c r="C1636" s="58">
        <v>44909</v>
      </c>
      <c r="D1636" t="s">
        <v>7</v>
      </c>
      <c r="E1636" t="s">
        <v>2515</v>
      </c>
      <c r="F1636">
        <v>2</v>
      </c>
      <c r="G1636">
        <v>5</v>
      </c>
      <c r="H1636">
        <v>26</v>
      </c>
      <c r="I1636">
        <v>2</v>
      </c>
      <c r="J1636">
        <v>61.76</v>
      </c>
      <c r="K1636" t="s">
        <v>25</v>
      </c>
      <c r="L1636">
        <v>5366933.41</v>
      </c>
      <c r="M1636">
        <v>0</v>
      </c>
      <c r="N1636">
        <v>5366933.41</v>
      </c>
      <c r="O1636">
        <v>86899.82852979275</v>
      </c>
      <c r="P1636">
        <v>926400</v>
      </c>
      <c r="Q1636">
        <v>4440533.41</v>
      </c>
      <c r="R1636">
        <v>71899.82852979275</v>
      </c>
      <c r="S1636" t="s">
        <v>65</v>
      </c>
      <c r="T1636" t="s">
        <v>2664</v>
      </c>
      <c r="U1636">
        <v>233712.28</v>
      </c>
      <c r="V1636" t="s">
        <v>4131</v>
      </c>
      <c r="W1636">
        <v>44901</v>
      </c>
      <c r="X1636" t="s">
        <v>7357</v>
      </c>
      <c r="Y1636" t="s">
        <v>6</v>
      </c>
      <c r="Z1636" t="s">
        <v>17</v>
      </c>
      <c r="AA1636" t="s">
        <v>6637</v>
      </c>
      <c r="AB1636" t="s">
        <v>2509</v>
      </c>
      <c r="AC1636" t="s">
        <v>2571</v>
      </c>
      <c r="AD1636" t="s">
        <v>717</v>
      </c>
      <c r="AE1636" t="s">
        <v>7358</v>
      </c>
      <c r="AF1636" t="s">
        <v>7359</v>
      </c>
      <c r="AG1636" t="s">
        <v>7360</v>
      </c>
      <c r="AH1636" t="s">
        <v>2191</v>
      </c>
      <c r="AI1636" t="s">
        <v>2538</v>
      </c>
      <c r="AJ1636" t="s">
        <v>2514</v>
      </c>
      <c r="AK1636" t="s">
        <v>73</v>
      </c>
      <c r="AL1636" t="s">
        <v>16</v>
      </c>
      <c r="AM1636" t="s">
        <v>10</v>
      </c>
      <c r="AN1636" t="s">
        <v>6708</v>
      </c>
    </row>
    <row r="1637" spans="1:40" hidden="1">
      <c r="A1637">
        <v>1635</v>
      </c>
      <c r="B1637">
        <v>10</v>
      </c>
      <c r="C1637" s="58">
        <v>44910</v>
      </c>
      <c r="D1637" t="s">
        <v>27</v>
      </c>
      <c r="E1637" t="s">
        <v>2515</v>
      </c>
      <c r="F1637">
        <v>4</v>
      </c>
      <c r="G1637">
        <v>5</v>
      </c>
      <c r="H1637">
        <v>31</v>
      </c>
      <c r="I1637">
        <v>0</v>
      </c>
      <c r="J1637">
        <v>24.39</v>
      </c>
      <c r="K1637" t="s">
        <v>9</v>
      </c>
      <c r="L1637">
        <v>2266240.7999999998</v>
      </c>
      <c r="M1637">
        <v>0</v>
      </c>
      <c r="N1637">
        <v>2266240.7999999998</v>
      </c>
      <c r="O1637">
        <v>92916.801968019674</v>
      </c>
      <c r="P1637">
        <v>0</v>
      </c>
      <c r="Q1637">
        <v>2266240.7999999998</v>
      </c>
      <c r="R1637">
        <v>92916.801968019674</v>
      </c>
      <c r="S1637" t="s">
        <v>65</v>
      </c>
      <c r="T1637" t="s">
        <v>2664</v>
      </c>
      <c r="U1637">
        <v>119275.83</v>
      </c>
      <c r="V1637" t="s">
        <v>4131</v>
      </c>
      <c r="W1637">
        <v>44901</v>
      </c>
      <c r="X1637" t="s">
        <v>7361</v>
      </c>
      <c r="Y1637" t="s">
        <v>6</v>
      </c>
      <c r="Z1637" t="s">
        <v>17</v>
      </c>
      <c r="AA1637" t="s">
        <v>6637</v>
      </c>
      <c r="AB1637" t="s">
        <v>2509</v>
      </c>
      <c r="AC1637" t="s">
        <v>2571</v>
      </c>
      <c r="AD1637" t="s">
        <v>717</v>
      </c>
      <c r="AE1637" t="s">
        <v>4595</v>
      </c>
      <c r="AF1637" t="s">
        <v>4596</v>
      </c>
      <c r="AG1637" t="s">
        <v>4597</v>
      </c>
      <c r="AH1637" t="s">
        <v>2615</v>
      </c>
      <c r="AI1637" t="s">
        <v>2600</v>
      </c>
      <c r="AJ1637" t="s">
        <v>3921</v>
      </c>
      <c r="AK1637" t="s">
        <v>73</v>
      </c>
      <c r="AL1637" t="s">
        <v>16</v>
      </c>
      <c r="AM1637" t="s">
        <v>10</v>
      </c>
      <c r="AN1637" t="s">
        <v>717</v>
      </c>
    </row>
    <row r="1638" spans="1:40" hidden="1">
      <c r="A1638">
        <v>1636</v>
      </c>
      <c r="B1638">
        <v>11</v>
      </c>
      <c r="C1638" s="58">
        <v>44910</v>
      </c>
      <c r="D1638" t="s">
        <v>121</v>
      </c>
      <c r="E1638" t="s">
        <v>2506</v>
      </c>
      <c r="F1638">
        <v>3</v>
      </c>
      <c r="G1638">
        <v>3</v>
      </c>
      <c r="H1638">
        <v>175</v>
      </c>
      <c r="I1638">
        <v>3</v>
      </c>
      <c r="J1638">
        <v>88.3</v>
      </c>
      <c r="K1638" t="s">
        <v>9</v>
      </c>
      <c r="L1638">
        <v>6419762.3200000003</v>
      </c>
      <c r="M1638">
        <v>0</v>
      </c>
      <c r="N1638">
        <v>6419762.3200000003</v>
      </c>
      <c r="O1638">
        <v>72703.990033975089</v>
      </c>
      <c r="P1638">
        <v>0</v>
      </c>
      <c r="Q1638">
        <v>6419762.3200000003</v>
      </c>
      <c r="R1638">
        <v>72703.990033975089</v>
      </c>
      <c r="S1638" t="s">
        <v>65</v>
      </c>
      <c r="T1638" t="s">
        <v>2664</v>
      </c>
      <c r="U1638">
        <v>337882.23</v>
      </c>
      <c r="V1638" t="s">
        <v>6312</v>
      </c>
      <c r="W1638">
        <v>44901</v>
      </c>
      <c r="X1638" t="s">
        <v>7362</v>
      </c>
      <c r="Y1638" t="s">
        <v>6</v>
      </c>
      <c r="Z1638" t="s">
        <v>17</v>
      </c>
      <c r="AA1638" t="s">
        <v>5617</v>
      </c>
      <c r="AB1638" t="s">
        <v>326</v>
      </c>
      <c r="AC1638" t="s">
        <v>2564</v>
      </c>
      <c r="AD1638" t="s">
        <v>717</v>
      </c>
      <c r="AE1638" t="s">
        <v>7363</v>
      </c>
      <c r="AF1638" t="s">
        <v>7364</v>
      </c>
      <c r="AG1638" t="s">
        <v>7365</v>
      </c>
      <c r="AH1638" t="s">
        <v>2616</v>
      </c>
      <c r="AI1638" t="s">
        <v>2552</v>
      </c>
      <c r="AJ1638" t="s">
        <v>2895</v>
      </c>
      <c r="AK1638" t="s">
        <v>73</v>
      </c>
      <c r="AL1638" t="s">
        <v>22</v>
      </c>
      <c r="AM1638" t="s">
        <v>10</v>
      </c>
      <c r="AN1638" t="s">
        <v>717</v>
      </c>
    </row>
    <row r="1639" spans="1:40" hidden="1">
      <c r="A1639">
        <v>1637</v>
      </c>
      <c r="B1639">
        <v>12</v>
      </c>
      <c r="C1639" s="58">
        <v>44910</v>
      </c>
      <c r="D1639" t="s">
        <v>7</v>
      </c>
      <c r="E1639" t="s">
        <v>2581</v>
      </c>
      <c r="F1639">
        <v>1</v>
      </c>
      <c r="G1639">
        <v>14</v>
      </c>
      <c r="H1639">
        <v>325</v>
      </c>
      <c r="I1639">
        <v>0</v>
      </c>
      <c r="J1639">
        <v>29.35</v>
      </c>
      <c r="K1639" t="s">
        <v>9</v>
      </c>
      <c r="L1639">
        <v>2446593.9900000002</v>
      </c>
      <c r="M1639">
        <v>0</v>
      </c>
      <c r="N1639">
        <v>2446593.9900000002</v>
      </c>
      <c r="O1639">
        <v>83359.250085178879</v>
      </c>
      <c r="P1639">
        <v>0</v>
      </c>
      <c r="Q1639">
        <v>2446593.9900000002</v>
      </c>
      <c r="R1639">
        <v>83359.250085178879</v>
      </c>
      <c r="S1639" t="s">
        <v>65</v>
      </c>
      <c r="T1639" t="s">
        <v>717</v>
      </c>
      <c r="U1639" t="s">
        <v>717</v>
      </c>
      <c r="V1639" t="s">
        <v>4131</v>
      </c>
      <c r="W1639">
        <v>44907</v>
      </c>
      <c r="X1639" t="s">
        <v>7366</v>
      </c>
      <c r="Y1639" t="s">
        <v>6</v>
      </c>
      <c r="Z1639" t="s">
        <v>17</v>
      </c>
      <c r="AA1639" t="s">
        <v>6637</v>
      </c>
      <c r="AB1639" t="s">
        <v>2509</v>
      </c>
      <c r="AC1639" t="s">
        <v>2571</v>
      </c>
      <c r="AD1639" t="s">
        <v>717</v>
      </c>
      <c r="AE1639" t="s">
        <v>7367</v>
      </c>
      <c r="AF1639" t="s">
        <v>7368</v>
      </c>
      <c r="AG1639" t="s">
        <v>7369</v>
      </c>
      <c r="AH1639" t="s">
        <v>2616</v>
      </c>
      <c r="AI1639" t="s">
        <v>2552</v>
      </c>
      <c r="AJ1639" t="s">
        <v>3185</v>
      </c>
      <c r="AK1639" t="s">
        <v>73</v>
      </c>
      <c r="AL1639" t="s">
        <v>22</v>
      </c>
      <c r="AM1639" t="s">
        <v>10</v>
      </c>
      <c r="AN1639" t="s">
        <v>717</v>
      </c>
    </row>
    <row r="1640" spans="1:40" hidden="1">
      <c r="A1640">
        <v>1638</v>
      </c>
      <c r="B1640">
        <v>13</v>
      </c>
      <c r="C1640" s="58">
        <v>44910</v>
      </c>
      <c r="D1640" t="s">
        <v>7</v>
      </c>
      <c r="E1640" t="s">
        <v>2506</v>
      </c>
      <c r="F1640">
        <v>1</v>
      </c>
      <c r="G1640">
        <v>9</v>
      </c>
      <c r="H1640">
        <v>177</v>
      </c>
      <c r="I1640">
        <v>0</v>
      </c>
      <c r="J1640">
        <v>28.97</v>
      </c>
      <c r="K1640" t="s">
        <v>15</v>
      </c>
      <c r="L1640">
        <v>2530797.4700000002</v>
      </c>
      <c r="M1640">
        <v>0</v>
      </c>
      <c r="N1640">
        <v>2530797.4700000002</v>
      </c>
      <c r="O1640">
        <v>87359.249913703839</v>
      </c>
      <c r="P1640">
        <v>115880</v>
      </c>
      <c r="Q1640">
        <v>2414917.4700000002</v>
      </c>
      <c r="R1640">
        <v>83359.249913703839</v>
      </c>
      <c r="S1640" t="s">
        <v>130</v>
      </c>
      <c r="T1640" t="s">
        <v>717</v>
      </c>
      <c r="U1640" t="s">
        <v>717</v>
      </c>
      <c r="V1640" t="s">
        <v>717</v>
      </c>
      <c r="W1640">
        <v>44908</v>
      </c>
      <c r="X1640" t="s">
        <v>7370</v>
      </c>
      <c r="Y1640" t="s">
        <v>6</v>
      </c>
      <c r="Z1640" t="s">
        <v>17</v>
      </c>
      <c r="AA1640" t="s">
        <v>6637</v>
      </c>
      <c r="AB1640" t="s">
        <v>2509</v>
      </c>
      <c r="AC1640" t="s">
        <v>717</v>
      </c>
      <c r="AD1640" t="s">
        <v>717</v>
      </c>
      <c r="AE1640" t="s">
        <v>7371</v>
      </c>
      <c r="AF1640" t="s">
        <v>7372</v>
      </c>
      <c r="AG1640" t="s">
        <v>7373</v>
      </c>
      <c r="AH1640" t="s">
        <v>2191</v>
      </c>
      <c r="AI1640" t="s">
        <v>2552</v>
      </c>
      <c r="AJ1640" t="s">
        <v>2514</v>
      </c>
      <c r="AK1640" t="s">
        <v>77</v>
      </c>
      <c r="AL1640" t="s">
        <v>717</v>
      </c>
      <c r="AM1640" t="s">
        <v>10</v>
      </c>
      <c r="AN1640" t="s">
        <v>717</v>
      </c>
    </row>
    <row r="1641" spans="1:40" hidden="1">
      <c r="A1641">
        <v>1639</v>
      </c>
      <c r="B1641">
        <v>14</v>
      </c>
      <c r="C1641" s="58">
        <v>44911</v>
      </c>
      <c r="D1641" t="s">
        <v>7</v>
      </c>
      <c r="E1641" t="s">
        <v>4409</v>
      </c>
      <c r="F1641">
        <v>6</v>
      </c>
      <c r="G1641">
        <v>10</v>
      </c>
      <c r="H1641">
        <v>479</v>
      </c>
      <c r="I1641">
        <v>2</v>
      </c>
      <c r="J1641">
        <v>58.62</v>
      </c>
      <c r="K1641" t="s">
        <v>25</v>
      </c>
      <c r="L1641">
        <v>5114584.95</v>
      </c>
      <c r="M1641">
        <v>0</v>
      </c>
      <c r="N1641">
        <v>5114584.95</v>
      </c>
      <c r="O1641">
        <v>87249.828556806562</v>
      </c>
      <c r="P1641">
        <v>879300</v>
      </c>
      <c r="Q1641">
        <v>4235284.95</v>
      </c>
      <c r="R1641">
        <v>72249.828556806562</v>
      </c>
      <c r="S1641" t="s">
        <v>65</v>
      </c>
      <c r="T1641" t="s">
        <v>2664</v>
      </c>
      <c r="U1641">
        <v>201312.89199999999</v>
      </c>
      <c r="V1641" t="s">
        <v>4131</v>
      </c>
      <c r="W1641">
        <v>44900</v>
      </c>
      <c r="X1641" t="s">
        <v>7374</v>
      </c>
      <c r="Y1641" t="s">
        <v>6</v>
      </c>
      <c r="Z1641" t="s">
        <v>17</v>
      </c>
      <c r="AA1641" t="s">
        <v>6637</v>
      </c>
      <c r="AB1641" t="s">
        <v>2509</v>
      </c>
      <c r="AC1641" t="s">
        <v>2571</v>
      </c>
      <c r="AD1641" t="s">
        <v>717</v>
      </c>
      <c r="AE1641" t="s">
        <v>7375</v>
      </c>
      <c r="AF1641" t="s">
        <v>7376</v>
      </c>
      <c r="AG1641" t="s">
        <v>7377</v>
      </c>
      <c r="AH1641" t="s">
        <v>2191</v>
      </c>
      <c r="AI1641" t="s">
        <v>2621</v>
      </c>
      <c r="AJ1641" t="s">
        <v>2514</v>
      </c>
      <c r="AK1641" t="s">
        <v>77</v>
      </c>
      <c r="AL1641" t="s">
        <v>22</v>
      </c>
      <c r="AM1641" t="s">
        <v>10</v>
      </c>
      <c r="AN1641" t="s">
        <v>717</v>
      </c>
    </row>
    <row r="1642" spans="1:40" hidden="1">
      <c r="A1642">
        <v>1640</v>
      </c>
      <c r="B1642">
        <v>15</v>
      </c>
      <c r="C1642" s="58">
        <v>44911</v>
      </c>
      <c r="D1642" t="s">
        <v>7</v>
      </c>
      <c r="E1642" t="s">
        <v>2506</v>
      </c>
      <c r="F1642">
        <v>4</v>
      </c>
      <c r="G1642">
        <v>8</v>
      </c>
      <c r="H1642">
        <v>172</v>
      </c>
      <c r="I1642">
        <v>1</v>
      </c>
      <c r="J1642">
        <v>37.81</v>
      </c>
      <c r="K1642" t="s">
        <v>15</v>
      </c>
      <c r="L1642">
        <v>3253400.33</v>
      </c>
      <c r="M1642">
        <v>0</v>
      </c>
      <c r="N1642">
        <v>3253400.33</v>
      </c>
      <c r="O1642">
        <v>86046.028299391692</v>
      </c>
      <c r="P1642">
        <v>283574.99999999953</v>
      </c>
      <c r="Q1642">
        <v>2969825.3300000005</v>
      </c>
      <c r="R1642">
        <v>78546.028299391706</v>
      </c>
      <c r="S1642" t="s">
        <v>65</v>
      </c>
      <c r="T1642" t="s">
        <v>2664</v>
      </c>
      <c r="U1642">
        <v>156306.5963157895</v>
      </c>
      <c r="V1642" t="s">
        <v>4131</v>
      </c>
      <c r="W1642">
        <v>44907</v>
      </c>
      <c r="X1642" t="s">
        <v>7378</v>
      </c>
      <c r="Y1642" t="s">
        <v>6</v>
      </c>
      <c r="Z1642" t="s">
        <v>17</v>
      </c>
      <c r="AA1642" t="s">
        <v>6637</v>
      </c>
      <c r="AB1642" t="s">
        <v>2509</v>
      </c>
      <c r="AC1642" t="s">
        <v>2558</v>
      </c>
      <c r="AD1642" t="s">
        <v>717</v>
      </c>
      <c r="AE1642" t="s">
        <v>7379</v>
      </c>
      <c r="AF1642" t="s">
        <v>7380</v>
      </c>
      <c r="AG1642" t="s">
        <v>7381</v>
      </c>
      <c r="AH1642" t="s">
        <v>2615</v>
      </c>
      <c r="AI1642" t="s">
        <v>2802</v>
      </c>
      <c r="AJ1642" t="s">
        <v>2569</v>
      </c>
      <c r="AK1642" t="s">
        <v>77</v>
      </c>
      <c r="AL1642" t="s">
        <v>16</v>
      </c>
      <c r="AM1642" t="s">
        <v>10</v>
      </c>
      <c r="AN1642" t="s">
        <v>717</v>
      </c>
    </row>
    <row r="1643" spans="1:40" hidden="1">
      <c r="A1643">
        <v>1641</v>
      </c>
      <c r="B1643">
        <v>16</v>
      </c>
      <c r="C1643" s="58">
        <v>44914</v>
      </c>
      <c r="D1643" t="s">
        <v>7</v>
      </c>
      <c r="E1643" t="s">
        <v>2581</v>
      </c>
      <c r="F1643">
        <v>5</v>
      </c>
      <c r="G1643">
        <v>19</v>
      </c>
      <c r="H1643">
        <v>364</v>
      </c>
      <c r="I1643">
        <v>2</v>
      </c>
      <c r="J1643">
        <v>56.7</v>
      </c>
      <c r="K1643" t="s">
        <v>15</v>
      </c>
      <c r="L1643">
        <v>4620158.68</v>
      </c>
      <c r="M1643">
        <v>0</v>
      </c>
      <c r="N1643">
        <v>4620158.68</v>
      </c>
      <c r="O1643">
        <v>81484.280070546723</v>
      </c>
      <c r="P1643">
        <v>226800</v>
      </c>
      <c r="Q1643">
        <v>4393358.68</v>
      </c>
      <c r="R1643">
        <v>77484.280070546723</v>
      </c>
      <c r="S1643" t="s">
        <v>65</v>
      </c>
      <c r="T1643" t="s">
        <v>2664</v>
      </c>
      <c r="U1643">
        <v>231229.4</v>
      </c>
      <c r="V1643" t="s">
        <v>4131</v>
      </c>
      <c r="W1643">
        <v>44908</v>
      </c>
      <c r="X1643" t="s">
        <v>7382</v>
      </c>
      <c r="Y1643" t="s">
        <v>6</v>
      </c>
      <c r="Z1643" t="s">
        <v>17</v>
      </c>
      <c r="AA1643" t="s">
        <v>6637</v>
      </c>
      <c r="AB1643" t="s">
        <v>2509</v>
      </c>
      <c r="AC1643" t="s">
        <v>2571</v>
      </c>
      <c r="AD1643" t="s">
        <v>717</v>
      </c>
      <c r="AE1643" t="s">
        <v>7383</v>
      </c>
      <c r="AF1643" t="s">
        <v>7384</v>
      </c>
      <c r="AG1643" t="s">
        <v>7385</v>
      </c>
      <c r="AH1643" t="s">
        <v>2191</v>
      </c>
      <c r="AI1643" t="s">
        <v>2552</v>
      </c>
      <c r="AJ1643" t="s">
        <v>2514</v>
      </c>
      <c r="AK1643" t="s">
        <v>77</v>
      </c>
      <c r="AL1643" t="s">
        <v>16</v>
      </c>
      <c r="AM1643" t="s">
        <v>10</v>
      </c>
      <c r="AN1643" t="s">
        <v>6708</v>
      </c>
    </row>
    <row r="1644" spans="1:40" hidden="1">
      <c r="A1644">
        <v>1642</v>
      </c>
      <c r="B1644">
        <v>17</v>
      </c>
      <c r="C1644" s="58">
        <v>44914</v>
      </c>
      <c r="D1644" t="s">
        <v>7</v>
      </c>
      <c r="E1644" t="s">
        <v>2515</v>
      </c>
      <c r="F1644">
        <v>1</v>
      </c>
      <c r="G1644">
        <v>13</v>
      </c>
      <c r="H1644">
        <v>89</v>
      </c>
      <c r="I1644">
        <v>1</v>
      </c>
      <c r="J1644">
        <v>33.53</v>
      </c>
      <c r="K1644" t="s">
        <v>25</v>
      </c>
      <c r="L1644">
        <v>3342302.57</v>
      </c>
      <c r="M1644">
        <v>15000</v>
      </c>
      <c r="N1644">
        <v>3357302.57</v>
      </c>
      <c r="O1644">
        <v>100128.32001192959</v>
      </c>
      <c r="P1644">
        <v>502950.00000000047</v>
      </c>
      <c r="Q1644">
        <v>2854352.5699999994</v>
      </c>
      <c r="R1644">
        <v>85128.320011929594</v>
      </c>
      <c r="S1644" t="s">
        <v>130</v>
      </c>
      <c r="T1644" t="s">
        <v>717</v>
      </c>
      <c r="U1644" t="s">
        <v>717</v>
      </c>
      <c r="V1644" t="s">
        <v>717</v>
      </c>
      <c r="W1644">
        <v>44910</v>
      </c>
      <c r="X1644" t="s">
        <v>7386</v>
      </c>
      <c r="Y1644" t="s">
        <v>6</v>
      </c>
      <c r="Z1644" t="s">
        <v>17</v>
      </c>
      <c r="AA1644" t="s">
        <v>6637</v>
      </c>
      <c r="AB1644" t="s">
        <v>2509</v>
      </c>
      <c r="AC1644" t="s">
        <v>717</v>
      </c>
      <c r="AD1644" t="s">
        <v>717</v>
      </c>
      <c r="AE1644" t="s">
        <v>7387</v>
      </c>
      <c r="AF1644" t="s">
        <v>7388</v>
      </c>
      <c r="AG1644" t="s">
        <v>7389</v>
      </c>
      <c r="AH1644" t="s">
        <v>2191</v>
      </c>
      <c r="AI1644" t="s">
        <v>2538</v>
      </c>
      <c r="AJ1644" t="s">
        <v>2514</v>
      </c>
      <c r="AK1644" t="s">
        <v>73</v>
      </c>
      <c r="AL1644" t="s">
        <v>717</v>
      </c>
      <c r="AM1644" t="s">
        <v>10</v>
      </c>
      <c r="AN1644" t="s">
        <v>717</v>
      </c>
    </row>
    <row r="1645" spans="1:40" hidden="1">
      <c r="A1645">
        <v>1643</v>
      </c>
      <c r="B1645">
        <v>18</v>
      </c>
      <c r="C1645" s="58">
        <v>44915</v>
      </c>
      <c r="D1645" t="s">
        <v>7</v>
      </c>
      <c r="E1645" t="s">
        <v>4409</v>
      </c>
      <c r="F1645">
        <v>5</v>
      </c>
      <c r="G1645">
        <v>14</v>
      </c>
      <c r="H1645">
        <v>514</v>
      </c>
      <c r="I1645">
        <v>2</v>
      </c>
      <c r="J1645">
        <v>56.04</v>
      </c>
      <c r="K1645" t="s">
        <v>25</v>
      </c>
      <c r="L1645">
        <v>4791627.83</v>
      </c>
      <c r="M1645">
        <v>0</v>
      </c>
      <c r="N1645">
        <v>4791627.83</v>
      </c>
      <c r="O1645">
        <v>85503.708600999293</v>
      </c>
      <c r="P1645">
        <v>840600</v>
      </c>
      <c r="Q1645">
        <v>3951027.83</v>
      </c>
      <c r="R1645">
        <v>70503.708600999293</v>
      </c>
      <c r="S1645" t="s">
        <v>65</v>
      </c>
      <c r="T1645" t="s">
        <v>2664</v>
      </c>
      <c r="U1645">
        <v>207948.83</v>
      </c>
      <c r="V1645" t="s">
        <v>4131</v>
      </c>
      <c r="W1645">
        <v>44908</v>
      </c>
      <c r="X1645" t="s">
        <v>7390</v>
      </c>
      <c r="Y1645" t="s">
        <v>6</v>
      </c>
      <c r="Z1645" t="s">
        <v>17</v>
      </c>
      <c r="AA1645" t="s">
        <v>6637</v>
      </c>
      <c r="AB1645" t="s">
        <v>2509</v>
      </c>
      <c r="AC1645" t="s">
        <v>2571</v>
      </c>
      <c r="AD1645" t="s">
        <v>717</v>
      </c>
      <c r="AE1645" t="s">
        <v>7391</v>
      </c>
      <c r="AF1645" t="s">
        <v>7392</v>
      </c>
      <c r="AG1645" t="s">
        <v>7393</v>
      </c>
      <c r="AH1645" t="s">
        <v>2615</v>
      </c>
      <c r="AI1645" t="s">
        <v>2552</v>
      </c>
      <c r="AJ1645" t="s">
        <v>2895</v>
      </c>
      <c r="AK1645" t="s">
        <v>77</v>
      </c>
      <c r="AL1645" t="s">
        <v>22</v>
      </c>
      <c r="AM1645" t="s">
        <v>10</v>
      </c>
      <c r="AN1645" t="s">
        <v>6708</v>
      </c>
    </row>
    <row r="1646" spans="1:40" hidden="1">
      <c r="A1646">
        <v>1644</v>
      </c>
      <c r="B1646">
        <v>19</v>
      </c>
      <c r="C1646" s="58">
        <v>44916</v>
      </c>
      <c r="D1646" t="s">
        <v>121</v>
      </c>
      <c r="E1646" t="s">
        <v>2515</v>
      </c>
      <c r="F1646">
        <v>3</v>
      </c>
      <c r="G1646">
        <v>10</v>
      </c>
      <c r="H1646">
        <v>59</v>
      </c>
      <c r="I1646">
        <v>3</v>
      </c>
      <c r="J1646">
        <v>78.8</v>
      </c>
      <c r="K1646" t="s">
        <v>9</v>
      </c>
      <c r="L1646">
        <v>5986093.2199999997</v>
      </c>
      <c r="M1646">
        <v>0</v>
      </c>
      <c r="N1646">
        <v>5986093.2199999997</v>
      </c>
      <c r="O1646">
        <v>75965.649999999994</v>
      </c>
      <c r="P1646">
        <v>0</v>
      </c>
      <c r="Q1646">
        <v>5986093.2199999997</v>
      </c>
      <c r="R1646">
        <v>75965.649999999994</v>
      </c>
      <c r="S1646" t="s">
        <v>65</v>
      </c>
      <c r="T1646" t="s">
        <v>717</v>
      </c>
      <c r="U1646" t="s">
        <v>717</v>
      </c>
      <c r="V1646" t="s">
        <v>6312</v>
      </c>
      <c r="W1646">
        <v>44905</v>
      </c>
      <c r="X1646" t="s">
        <v>7394</v>
      </c>
      <c r="Y1646" t="s">
        <v>6</v>
      </c>
      <c r="Z1646" t="s">
        <v>17</v>
      </c>
      <c r="AA1646" t="s">
        <v>6637</v>
      </c>
      <c r="AB1646" t="s">
        <v>326</v>
      </c>
      <c r="AC1646" t="s">
        <v>2571</v>
      </c>
      <c r="AD1646" t="s">
        <v>717</v>
      </c>
      <c r="AE1646" t="s">
        <v>7395</v>
      </c>
      <c r="AF1646" t="s">
        <v>7396</v>
      </c>
      <c r="AG1646" t="s">
        <v>7397</v>
      </c>
      <c r="AH1646" t="s">
        <v>2191</v>
      </c>
      <c r="AI1646" t="s">
        <v>2538</v>
      </c>
      <c r="AJ1646" t="s">
        <v>2514</v>
      </c>
      <c r="AK1646" t="s">
        <v>73</v>
      </c>
      <c r="AL1646" t="s">
        <v>22</v>
      </c>
      <c r="AM1646" t="s">
        <v>10</v>
      </c>
      <c r="AN1646" t="s">
        <v>6708</v>
      </c>
    </row>
    <row r="1647" spans="1:40" hidden="1">
      <c r="A1647">
        <v>1645</v>
      </c>
      <c r="B1647">
        <v>20</v>
      </c>
      <c r="C1647" s="58">
        <v>44916</v>
      </c>
      <c r="D1647" t="s">
        <v>7</v>
      </c>
      <c r="E1647" t="s">
        <v>4409</v>
      </c>
      <c r="F1647">
        <v>6</v>
      </c>
      <c r="G1647">
        <v>14</v>
      </c>
      <c r="H1647">
        <v>515</v>
      </c>
      <c r="I1647">
        <v>2</v>
      </c>
      <c r="J1647">
        <v>58.62</v>
      </c>
      <c r="K1647" t="s">
        <v>25</v>
      </c>
      <c r="L1647">
        <v>5053147.67</v>
      </c>
      <c r="M1647">
        <v>0</v>
      </c>
      <c r="N1647">
        <v>5053147.67</v>
      </c>
      <c r="O1647">
        <v>86201.768509041285</v>
      </c>
      <c r="P1647">
        <v>879300</v>
      </c>
      <c r="Q1647">
        <v>4173847.67</v>
      </c>
      <c r="R1647">
        <v>71201.768509041285</v>
      </c>
      <c r="S1647" t="s">
        <v>65</v>
      </c>
      <c r="T1647" t="s">
        <v>2664</v>
      </c>
      <c r="U1647">
        <v>219676.19</v>
      </c>
      <c r="V1647" t="s">
        <v>4131</v>
      </c>
      <c r="W1647">
        <v>44913</v>
      </c>
      <c r="X1647" t="s">
        <v>7398</v>
      </c>
      <c r="Y1647" t="s">
        <v>6</v>
      </c>
      <c r="Z1647" t="s">
        <v>17</v>
      </c>
      <c r="AA1647" t="s">
        <v>6637</v>
      </c>
      <c r="AB1647" t="s">
        <v>2509</v>
      </c>
      <c r="AC1647" t="s">
        <v>2571</v>
      </c>
      <c r="AD1647" t="s">
        <v>717</v>
      </c>
      <c r="AE1647" t="s">
        <v>7399</v>
      </c>
      <c r="AF1647" t="s">
        <v>7400</v>
      </c>
      <c r="AG1647" t="s">
        <v>7401</v>
      </c>
      <c r="AH1647" t="s">
        <v>2615</v>
      </c>
      <c r="AI1647" t="s">
        <v>2552</v>
      </c>
      <c r="AJ1647" t="s">
        <v>2569</v>
      </c>
      <c r="AK1647" t="s">
        <v>77</v>
      </c>
      <c r="AL1647" t="s">
        <v>16</v>
      </c>
      <c r="AM1647" t="s">
        <v>10</v>
      </c>
      <c r="AN1647" t="s">
        <v>6708</v>
      </c>
    </row>
    <row r="1648" spans="1:40" hidden="1">
      <c r="A1648">
        <v>1646</v>
      </c>
      <c r="B1648">
        <v>21</v>
      </c>
      <c r="C1648" s="58">
        <v>44917</v>
      </c>
      <c r="D1648" t="s">
        <v>7</v>
      </c>
      <c r="E1648" t="s">
        <v>2581</v>
      </c>
      <c r="F1648">
        <v>2</v>
      </c>
      <c r="G1648">
        <v>24</v>
      </c>
      <c r="H1648">
        <v>396</v>
      </c>
      <c r="I1648">
        <v>2</v>
      </c>
      <c r="J1648">
        <v>67.95</v>
      </c>
      <c r="K1648" t="s">
        <v>15</v>
      </c>
      <c r="L1648">
        <v>5711588.2400000002</v>
      </c>
      <c r="M1648">
        <v>15000</v>
      </c>
      <c r="N1648">
        <v>5726588.2400000002</v>
      </c>
      <c r="O1648">
        <v>84276.500956585718</v>
      </c>
      <c r="P1648">
        <v>271800</v>
      </c>
      <c r="Q1648">
        <v>5454788.2400000002</v>
      </c>
      <c r="R1648">
        <v>80276.500956585718</v>
      </c>
      <c r="S1648" t="s">
        <v>65</v>
      </c>
      <c r="T1648" t="s">
        <v>7266</v>
      </c>
      <c r="U1648">
        <v>287094.12</v>
      </c>
      <c r="V1648" t="s">
        <v>6312</v>
      </c>
      <c r="W1648">
        <v>44901</v>
      </c>
      <c r="X1648" t="s">
        <v>7402</v>
      </c>
      <c r="Y1648" t="s">
        <v>6</v>
      </c>
      <c r="Z1648" t="s">
        <v>17</v>
      </c>
      <c r="AA1648" t="s">
        <v>6637</v>
      </c>
      <c r="AB1648" t="s">
        <v>2509</v>
      </c>
      <c r="AC1648" t="s">
        <v>2571</v>
      </c>
      <c r="AD1648" t="s">
        <v>717</v>
      </c>
      <c r="AE1648" t="s">
        <v>7403</v>
      </c>
      <c r="AF1648" t="s">
        <v>7404</v>
      </c>
      <c r="AG1648" t="s">
        <v>7405</v>
      </c>
      <c r="AH1648" t="s">
        <v>2615</v>
      </c>
      <c r="AI1648" t="s">
        <v>3595</v>
      </c>
      <c r="AJ1648" t="s">
        <v>2793</v>
      </c>
      <c r="AK1648" t="s">
        <v>73</v>
      </c>
      <c r="AL1648" t="s">
        <v>16</v>
      </c>
      <c r="AM1648" t="s">
        <v>10</v>
      </c>
      <c r="AN1648" t="s">
        <v>6708</v>
      </c>
    </row>
    <row r="1649" spans="1:40" hidden="1">
      <c r="A1649">
        <v>1647</v>
      </c>
      <c r="B1649">
        <v>22</v>
      </c>
      <c r="C1649" s="58">
        <v>44917</v>
      </c>
      <c r="D1649" t="s">
        <v>7</v>
      </c>
      <c r="E1649" t="s">
        <v>2515</v>
      </c>
      <c r="F1649">
        <v>3</v>
      </c>
      <c r="G1649">
        <v>6</v>
      </c>
      <c r="H1649">
        <v>35</v>
      </c>
      <c r="I1649">
        <v>1</v>
      </c>
      <c r="J1649">
        <v>35.54</v>
      </c>
      <c r="K1649" t="s">
        <v>15</v>
      </c>
      <c r="L1649">
        <v>3029804.95</v>
      </c>
      <c r="M1649">
        <v>15000</v>
      </c>
      <c r="N1649">
        <v>3044804.95</v>
      </c>
      <c r="O1649">
        <v>85672.620990433323</v>
      </c>
      <c r="P1649">
        <v>142160</v>
      </c>
      <c r="Q1649">
        <v>2902644.95</v>
      </c>
      <c r="R1649">
        <v>81672.620990433323</v>
      </c>
      <c r="S1649" t="s">
        <v>65</v>
      </c>
      <c r="T1649" t="s">
        <v>2664</v>
      </c>
      <c r="U1649">
        <v>152770.79</v>
      </c>
      <c r="V1649" t="s">
        <v>4131</v>
      </c>
      <c r="W1649">
        <v>44907</v>
      </c>
      <c r="X1649" t="s">
        <v>7406</v>
      </c>
      <c r="Y1649" t="s">
        <v>6</v>
      </c>
      <c r="Z1649" t="s">
        <v>17</v>
      </c>
      <c r="AA1649" t="s">
        <v>6637</v>
      </c>
      <c r="AB1649" t="s">
        <v>2509</v>
      </c>
      <c r="AC1649" t="s">
        <v>2571</v>
      </c>
      <c r="AD1649" t="s">
        <v>717</v>
      </c>
      <c r="AE1649" t="s">
        <v>7407</v>
      </c>
      <c r="AF1649" t="s">
        <v>7408</v>
      </c>
      <c r="AG1649" t="s">
        <v>7409</v>
      </c>
      <c r="AH1649" t="s">
        <v>2615</v>
      </c>
      <c r="AI1649" t="s">
        <v>2688</v>
      </c>
      <c r="AJ1649" t="s">
        <v>2895</v>
      </c>
      <c r="AK1649" t="s">
        <v>77</v>
      </c>
      <c r="AL1649" t="s">
        <v>16</v>
      </c>
      <c r="AM1649" t="s">
        <v>10</v>
      </c>
      <c r="AN1649" t="s">
        <v>6708</v>
      </c>
    </row>
    <row r="1650" spans="1:40" hidden="1">
      <c r="A1650">
        <v>1648</v>
      </c>
      <c r="B1650">
        <v>23</v>
      </c>
      <c r="C1650" s="58">
        <v>44917</v>
      </c>
      <c r="D1650" t="s">
        <v>7</v>
      </c>
      <c r="E1650" t="s">
        <v>2515</v>
      </c>
      <c r="F1650">
        <v>2</v>
      </c>
      <c r="G1650">
        <v>10</v>
      </c>
      <c r="H1650">
        <v>66</v>
      </c>
      <c r="I1650">
        <v>2</v>
      </c>
      <c r="J1650">
        <v>61.76</v>
      </c>
      <c r="K1650" t="s">
        <v>25</v>
      </c>
      <c r="L1650">
        <v>5600645.6900000004</v>
      </c>
      <c r="M1650">
        <v>0</v>
      </c>
      <c r="N1650">
        <v>5600645.6900000004</v>
      </c>
      <c r="O1650">
        <v>90684.029954663216</v>
      </c>
      <c r="P1650">
        <v>926400</v>
      </c>
      <c r="Q1650">
        <v>4674245.6900000004</v>
      </c>
      <c r="R1650">
        <v>75684.029954663216</v>
      </c>
      <c r="S1650" t="s">
        <v>65</v>
      </c>
      <c r="T1650" t="s">
        <v>717</v>
      </c>
      <c r="U1650" t="s">
        <v>717</v>
      </c>
      <c r="V1650" t="s">
        <v>6312</v>
      </c>
      <c r="W1650">
        <v>44908</v>
      </c>
      <c r="X1650" t="s">
        <v>7410</v>
      </c>
      <c r="Y1650" t="s">
        <v>6</v>
      </c>
      <c r="Z1650" t="s">
        <v>17</v>
      </c>
      <c r="AA1650" t="s">
        <v>6637</v>
      </c>
      <c r="AB1650" t="s">
        <v>2509</v>
      </c>
      <c r="AC1650" t="s">
        <v>2571</v>
      </c>
      <c r="AD1650" t="s">
        <v>717</v>
      </c>
      <c r="AE1650" t="s">
        <v>7411</v>
      </c>
      <c r="AF1650" t="s">
        <v>7412</v>
      </c>
      <c r="AG1650" t="s">
        <v>7413</v>
      </c>
      <c r="AH1650" t="s">
        <v>2191</v>
      </c>
      <c r="AI1650" t="s">
        <v>2706</v>
      </c>
      <c r="AJ1650" t="s">
        <v>2514</v>
      </c>
      <c r="AK1650" t="s">
        <v>77</v>
      </c>
      <c r="AL1650" t="s">
        <v>16</v>
      </c>
      <c r="AM1650" t="s">
        <v>10</v>
      </c>
      <c r="AN1650" t="s">
        <v>6708</v>
      </c>
    </row>
    <row r="1651" spans="1:40" hidden="1">
      <c r="A1651">
        <v>1649</v>
      </c>
      <c r="B1651">
        <v>24</v>
      </c>
      <c r="C1651" s="58">
        <v>44918</v>
      </c>
      <c r="D1651" t="s">
        <v>27</v>
      </c>
      <c r="E1651" t="s">
        <v>2515</v>
      </c>
      <c r="F1651">
        <v>4</v>
      </c>
      <c r="G1651">
        <v>17</v>
      </c>
      <c r="H1651">
        <v>139</v>
      </c>
      <c r="I1651">
        <v>0</v>
      </c>
      <c r="J1651">
        <v>24.39</v>
      </c>
      <c r="K1651" t="s">
        <v>9</v>
      </c>
      <c r="L1651">
        <v>2235516.63</v>
      </c>
      <c r="M1651">
        <v>0</v>
      </c>
      <c r="N1651">
        <v>2235516.63</v>
      </c>
      <c r="O1651">
        <v>91657.098400984003</v>
      </c>
      <c r="P1651">
        <v>0</v>
      </c>
      <c r="Q1651">
        <v>2235516.63</v>
      </c>
      <c r="R1651">
        <v>91657.098400984003</v>
      </c>
      <c r="S1651" t="s">
        <v>65</v>
      </c>
      <c r="T1651" t="s">
        <v>5386</v>
      </c>
      <c r="U1651">
        <v>150000</v>
      </c>
      <c r="V1651" t="s">
        <v>4131</v>
      </c>
      <c r="W1651">
        <v>44915</v>
      </c>
      <c r="X1651" t="s">
        <v>7414</v>
      </c>
      <c r="Y1651" t="s">
        <v>6</v>
      </c>
      <c r="Z1651" t="s">
        <v>17</v>
      </c>
      <c r="AA1651" t="s">
        <v>5617</v>
      </c>
      <c r="AB1651" t="s">
        <v>2509</v>
      </c>
      <c r="AC1651" t="s">
        <v>2564</v>
      </c>
      <c r="AD1651" t="s">
        <v>717</v>
      </c>
      <c r="AE1651" t="s">
        <v>7415</v>
      </c>
      <c r="AF1651" t="s">
        <v>7416</v>
      </c>
      <c r="AG1651" t="s">
        <v>7417</v>
      </c>
      <c r="AH1651" t="s">
        <v>65</v>
      </c>
      <c r="AI1651" t="s">
        <v>4762</v>
      </c>
      <c r="AJ1651" t="s">
        <v>2569</v>
      </c>
      <c r="AK1651" t="s">
        <v>77</v>
      </c>
      <c r="AL1651" t="s">
        <v>16</v>
      </c>
      <c r="AM1651" t="s">
        <v>10</v>
      </c>
      <c r="AN1651" t="s">
        <v>717</v>
      </c>
    </row>
    <row r="1652" spans="1:40" hidden="1">
      <c r="A1652">
        <v>1650</v>
      </c>
      <c r="B1652">
        <v>25</v>
      </c>
      <c r="C1652" s="58">
        <v>44921</v>
      </c>
      <c r="D1652" t="s">
        <v>7</v>
      </c>
      <c r="E1652" t="s">
        <v>4409</v>
      </c>
      <c r="F1652">
        <v>3</v>
      </c>
      <c r="G1652">
        <v>8</v>
      </c>
      <c r="H1652">
        <v>458</v>
      </c>
      <c r="I1652">
        <v>3</v>
      </c>
      <c r="J1652">
        <v>74.28</v>
      </c>
      <c r="K1652" t="s">
        <v>15</v>
      </c>
      <c r="L1652">
        <v>5270229.92</v>
      </c>
      <c r="M1652">
        <v>0</v>
      </c>
      <c r="N1652">
        <v>5270229.92</v>
      </c>
      <c r="O1652">
        <v>70950.860527732904</v>
      </c>
      <c r="P1652">
        <v>297120</v>
      </c>
      <c r="Q1652">
        <v>4973109.92</v>
      </c>
      <c r="R1652">
        <v>66950.860527732904</v>
      </c>
      <c r="S1652" t="s">
        <v>65</v>
      </c>
      <c r="T1652" t="s">
        <v>2664</v>
      </c>
      <c r="U1652">
        <v>261742.63</v>
      </c>
      <c r="V1652" t="s">
        <v>6312</v>
      </c>
      <c r="W1652">
        <v>44907</v>
      </c>
      <c r="X1652" t="s">
        <v>7418</v>
      </c>
      <c r="Y1652" t="s">
        <v>6</v>
      </c>
      <c r="Z1652" t="s">
        <v>17</v>
      </c>
      <c r="AA1652" t="s">
        <v>6637</v>
      </c>
      <c r="AB1652" t="s">
        <v>2509</v>
      </c>
      <c r="AC1652" t="s">
        <v>2571</v>
      </c>
      <c r="AD1652" t="s">
        <v>717</v>
      </c>
      <c r="AE1652" t="s">
        <v>7419</v>
      </c>
      <c r="AF1652" t="s">
        <v>7420</v>
      </c>
      <c r="AG1652" t="s">
        <v>7421</v>
      </c>
      <c r="AH1652" t="s">
        <v>2191</v>
      </c>
      <c r="AI1652" t="s">
        <v>2538</v>
      </c>
      <c r="AJ1652" t="s">
        <v>2514</v>
      </c>
      <c r="AK1652" t="s">
        <v>73</v>
      </c>
      <c r="AL1652" t="s">
        <v>16</v>
      </c>
      <c r="AM1652" t="s">
        <v>10</v>
      </c>
      <c r="AN1652" t="s">
        <v>6708</v>
      </c>
    </row>
    <row r="1653" spans="1:40" hidden="1">
      <c r="A1653">
        <v>1651</v>
      </c>
      <c r="B1653">
        <v>26</v>
      </c>
      <c r="C1653" s="58">
        <v>44921</v>
      </c>
      <c r="D1653" t="s">
        <v>7</v>
      </c>
      <c r="E1653" t="s">
        <v>2515</v>
      </c>
      <c r="F1653">
        <v>3</v>
      </c>
      <c r="G1653">
        <v>12</v>
      </c>
      <c r="H1653">
        <v>83</v>
      </c>
      <c r="I1653">
        <v>1</v>
      </c>
      <c r="J1653">
        <v>35.54</v>
      </c>
      <c r="K1653" t="s">
        <v>25</v>
      </c>
      <c r="L1653">
        <v>3588515.74</v>
      </c>
      <c r="M1653">
        <v>0</v>
      </c>
      <c r="N1653">
        <v>3588515.74</v>
      </c>
      <c r="O1653">
        <v>100971.18007878448</v>
      </c>
      <c r="P1653">
        <v>533100</v>
      </c>
      <c r="Q1653">
        <v>3055415.74</v>
      </c>
      <c r="R1653">
        <v>85971.18007878447</v>
      </c>
      <c r="S1653" t="s">
        <v>65</v>
      </c>
      <c r="T1653" t="s">
        <v>717</v>
      </c>
      <c r="U1653" t="s">
        <v>717</v>
      </c>
      <c r="V1653" t="s">
        <v>4131</v>
      </c>
      <c r="W1653">
        <v>44908</v>
      </c>
      <c r="X1653" t="s">
        <v>7422</v>
      </c>
      <c r="Y1653" t="s">
        <v>6</v>
      </c>
      <c r="Z1653" t="s">
        <v>17</v>
      </c>
      <c r="AA1653" t="s">
        <v>6637</v>
      </c>
      <c r="AB1653" t="s">
        <v>2509</v>
      </c>
      <c r="AC1653" t="s">
        <v>2571</v>
      </c>
      <c r="AD1653" t="s">
        <v>717</v>
      </c>
      <c r="AE1653" t="s">
        <v>7423</v>
      </c>
      <c r="AF1653" t="s">
        <v>7424</v>
      </c>
      <c r="AG1653" t="s">
        <v>7425</v>
      </c>
      <c r="AH1653" t="s">
        <v>2191</v>
      </c>
      <c r="AI1653" t="s">
        <v>2552</v>
      </c>
      <c r="AJ1653" t="s">
        <v>2514</v>
      </c>
      <c r="AK1653" t="s">
        <v>77</v>
      </c>
      <c r="AL1653" t="s">
        <v>16</v>
      </c>
      <c r="AM1653" t="s">
        <v>10</v>
      </c>
      <c r="AN1653" t="s">
        <v>717</v>
      </c>
    </row>
    <row r="1654" spans="1:40" hidden="1">
      <c r="A1654">
        <v>1652</v>
      </c>
      <c r="B1654">
        <v>27</v>
      </c>
      <c r="C1654" s="58">
        <v>44921</v>
      </c>
      <c r="D1654" t="s">
        <v>7</v>
      </c>
      <c r="E1654" t="s">
        <v>2515</v>
      </c>
      <c r="F1654">
        <v>5</v>
      </c>
      <c r="G1654">
        <v>9</v>
      </c>
      <c r="H1654">
        <v>61</v>
      </c>
      <c r="I1654">
        <v>2</v>
      </c>
      <c r="J1654">
        <v>54.66</v>
      </c>
      <c r="K1654" t="s">
        <v>25</v>
      </c>
      <c r="L1654">
        <v>4916624.91</v>
      </c>
      <c r="M1654">
        <v>0</v>
      </c>
      <c r="N1654">
        <v>4916624.91</v>
      </c>
      <c r="O1654">
        <v>89949.229967069157</v>
      </c>
      <c r="P1654">
        <v>819900</v>
      </c>
      <c r="Q1654">
        <v>4096724.91</v>
      </c>
      <c r="R1654">
        <v>74949.229967069157</v>
      </c>
      <c r="S1654" t="s">
        <v>65</v>
      </c>
      <c r="T1654" t="s">
        <v>717</v>
      </c>
      <c r="U1654" t="s">
        <v>717</v>
      </c>
      <c r="V1654" t="s">
        <v>4131</v>
      </c>
      <c r="W1654">
        <v>44912</v>
      </c>
      <c r="X1654" t="s">
        <v>7426</v>
      </c>
      <c r="Y1654" t="s">
        <v>6</v>
      </c>
      <c r="Z1654" t="s">
        <v>17</v>
      </c>
      <c r="AA1654" t="s">
        <v>6637</v>
      </c>
      <c r="AB1654" t="s">
        <v>2509</v>
      </c>
      <c r="AC1654" t="s">
        <v>2571</v>
      </c>
      <c r="AD1654" t="s">
        <v>717</v>
      </c>
      <c r="AE1654" t="s">
        <v>7427</v>
      </c>
      <c r="AF1654" t="s">
        <v>7428</v>
      </c>
      <c r="AG1654" t="s">
        <v>7429</v>
      </c>
      <c r="AH1654" t="s">
        <v>2615</v>
      </c>
      <c r="AI1654" t="s">
        <v>2552</v>
      </c>
      <c r="AJ1654" t="s">
        <v>2895</v>
      </c>
      <c r="AK1654" t="s">
        <v>77</v>
      </c>
      <c r="AL1654" t="s">
        <v>16</v>
      </c>
      <c r="AM1654" t="s">
        <v>10</v>
      </c>
      <c r="AN1654" t="s">
        <v>717</v>
      </c>
    </row>
    <row r="1655" spans="1:40" hidden="1">
      <c r="A1655">
        <v>1653</v>
      </c>
      <c r="B1655">
        <v>28</v>
      </c>
      <c r="C1655" s="58">
        <v>44921</v>
      </c>
      <c r="D1655" t="s">
        <v>27</v>
      </c>
      <c r="E1655" t="s">
        <v>5456</v>
      </c>
      <c r="F1655">
        <v>8</v>
      </c>
      <c r="G1655">
        <v>7</v>
      </c>
      <c r="H1655">
        <v>883</v>
      </c>
      <c r="I1655">
        <v>0</v>
      </c>
      <c r="J1655">
        <v>23.09</v>
      </c>
      <c r="K1655" t="s">
        <v>15</v>
      </c>
      <c r="L1655">
        <v>2250508.73</v>
      </c>
      <c r="M1655">
        <v>0</v>
      </c>
      <c r="N1655">
        <v>2250508.73</v>
      </c>
      <c r="O1655">
        <v>97466.813772195761</v>
      </c>
      <c r="P1655">
        <v>92359.999999999069</v>
      </c>
      <c r="Q1655">
        <v>2158148.7300000009</v>
      </c>
      <c r="R1655">
        <v>93466.813772195805</v>
      </c>
      <c r="S1655" t="s">
        <v>65</v>
      </c>
      <c r="T1655" t="s">
        <v>2664</v>
      </c>
      <c r="U1655">
        <v>113586.77554</v>
      </c>
      <c r="V1655" t="s">
        <v>4131</v>
      </c>
      <c r="W1655">
        <v>44917</v>
      </c>
      <c r="X1655" t="s">
        <v>7430</v>
      </c>
      <c r="Y1655" t="s">
        <v>6</v>
      </c>
      <c r="Z1655" t="s">
        <v>17</v>
      </c>
      <c r="AA1655" t="s">
        <v>6637</v>
      </c>
      <c r="AB1655" t="s">
        <v>2509</v>
      </c>
      <c r="AC1655" t="s">
        <v>2571</v>
      </c>
      <c r="AD1655" t="s">
        <v>717</v>
      </c>
      <c r="AE1655" t="s">
        <v>7431</v>
      </c>
      <c r="AF1655" t="s">
        <v>7432</v>
      </c>
      <c r="AG1655" t="s">
        <v>7433</v>
      </c>
      <c r="AH1655" t="s">
        <v>2191</v>
      </c>
      <c r="AI1655" t="s">
        <v>2538</v>
      </c>
      <c r="AJ1655" t="s">
        <v>2514</v>
      </c>
      <c r="AK1655" t="s">
        <v>73</v>
      </c>
      <c r="AL1655" t="s">
        <v>22</v>
      </c>
      <c r="AM1655" t="s">
        <v>10</v>
      </c>
      <c r="AN1655" t="s">
        <v>717</v>
      </c>
    </row>
    <row r="1656" spans="1:40" hidden="1">
      <c r="A1656">
        <v>1654</v>
      </c>
      <c r="B1656">
        <v>29</v>
      </c>
      <c r="C1656" s="58">
        <v>44921</v>
      </c>
      <c r="D1656" t="s">
        <v>27</v>
      </c>
      <c r="E1656" t="s">
        <v>2515</v>
      </c>
      <c r="F1656">
        <v>2</v>
      </c>
      <c r="G1656">
        <v>22</v>
      </c>
      <c r="H1656">
        <v>182</v>
      </c>
      <c r="I1656">
        <v>1</v>
      </c>
      <c r="J1656">
        <v>37.94</v>
      </c>
      <c r="K1656" t="s">
        <v>25</v>
      </c>
      <c r="L1656">
        <v>4218458.3</v>
      </c>
      <c r="M1656">
        <v>0</v>
      </c>
      <c r="N1656">
        <v>4218458.3</v>
      </c>
      <c r="O1656">
        <v>111187.61992619926</v>
      </c>
      <c r="P1656">
        <v>569099.9999999986</v>
      </c>
      <c r="Q1656">
        <v>3649358.3000000017</v>
      </c>
      <c r="R1656">
        <v>96187.619926199302</v>
      </c>
      <c r="S1656" t="s">
        <v>65</v>
      </c>
      <c r="T1656" t="s">
        <v>717</v>
      </c>
      <c r="U1656" t="s">
        <v>717</v>
      </c>
      <c r="V1656" t="s">
        <v>4131</v>
      </c>
      <c r="W1656">
        <v>44918</v>
      </c>
      <c r="X1656" t="s">
        <v>7434</v>
      </c>
      <c r="Y1656" t="s">
        <v>6</v>
      </c>
      <c r="Z1656" t="s">
        <v>17</v>
      </c>
      <c r="AA1656" t="s">
        <v>6637</v>
      </c>
      <c r="AB1656" t="s">
        <v>2509</v>
      </c>
      <c r="AC1656" t="s">
        <v>2571</v>
      </c>
      <c r="AD1656" t="s">
        <v>717</v>
      </c>
      <c r="AE1656" t="s">
        <v>7435</v>
      </c>
      <c r="AF1656" t="s">
        <v>7436</v>
      </c>
      <c r="AG1656" t="s">
        <v>7437</v>
      </c>
      <c r="AH1656" t="s">
        <v>2616</v>
      </c>
      <c r="AI1656" t="s">
        <v>2552</v>
      </c>
      <c r="AJ1656" t="s">
        <v>3185</v>
      </c>
      <c r="AK1656" t="s">
        <v>1233</v>
      </c>
      <c r="AL1656" t="s">
        <v>22</v>
      </c>
      <c r="AM1656" t="s">
        <v>10</v>
      </c>
      <c r="AN1656" t="s">
        <v>6708</v>
      </c>
    </row>
    <row r="1657" spans="1:40" hidden="1">
      <c r="A1657">
        <v>1655</v>
      </c>
      <c r="B1657">
        <v>30</v>
      </c>
      <c r="C1657" s="58">
        <v>44922</v>
      </c>
      <c r="D1657" t="s">
        <v>7</v>
      </c>
      <c r="E1657" t="s">
        <v>4409</v>
      </c>
      <c r="F1657">
        <v>2</v>
      </c>
      <c r="G1657">
        <v>3</v>
      </c>
      <c r="H1657">
        <v>412</v>
      </c>
      <c r="I1657">
        <v>1</v>
      </c>
      <c r="J1657">
        <v>38.6</v>
      </c>
      <c r="K1657" t="s">
        <v>15</v>
      </c>
      <c r="L1657">
        <v>3472887.55</v>
      </c>
      <c r="M1657">
        <v>0</v>
      </c>
      <c r="N1657">
        <v>3472887.55</v>
      </c>
      <c r="O1657">
        <v>89971.18005181347</v>
      </c>
      <c r="P1657">
        <v>154400</v>
      </c>
      <c r="Q1657">
        <v>3318487.55</v>
      </c>
      <c r="R1657">
        <v>85971.18005181347</v>
      </c>
      <c r="S1657" t="s">
        <v>65</v>
      </c>
      <c r="T1657" t="s">
        <v>717</v>
      </c>
      <c r="U1657" t="s">
        <v>717</v>
      </c>
      <c r="V1657" t="s">
        <v>4131</v>
      </c>
      <c r="W1657">
        <v>44915</v>
      </c>
      <c r="X1657" t="s">
        <v>7438</v>
      </c>
      <c r="Y1657" t="s">
        <v>6</v>
      </c>
      <c r="Z1657" t="s">
        <v>17</v>
      </c>
      <c r="AA1657" t="s">
        <v>6637</v>
      </c>
      <c r="AB1657" t="s">
        <v>2509</v>
      </c>
      <c r="AC1657" t="s">
        <v>2571</v>
      </c>
      <c r="AD1657" t="s">
        <v>717</v>
      </c>
      <c r="AE1657" t="s">
        <v>7439</v>
      </c>
      <c r="AF1657" t="s">
        <v>7440</v>
      </c>
      <c r="AG1657" t="s">
        <v>7441</v>
      </c>
      <c r="AH1657" t="s">
        <v>2191</v>
      </c>
      <c r="AI1657" t="s">
        <v>4762</v>
      </c>
      <c r="AJ1657" t="s">
        <v>2514</v>
      </c>
      <c r="AK1657" t="s">
        <v>1233</v>
      </c>
      <c r="AL1657" t="s">
        <v>22</v>
      </c>
      <c r="AM1657" t="s">
        <v>10</v>
      </c>
      <c r="AN1657" t="s">
        <v>6708</v>
      </c>
    </row>
    <row r="1658" spans="1:40" hidden="1">
      <c r="A1658">
        <v>1656</v>
      </c>
      <c r="B1658">
        <v>31</v>
      </c>
      <c r="C1658" s="58">
        <v>44922</v>
      </c>
      <c r="D1658" t="s">
        <v>7</v>
      </c>
      <c r="E1658" t="s">
        <v>2515</v>
      </c>
      <c r="F1658">
        <v>4</v>
      </c>
      <c r="G1658">
        <v>5</v>
      </c>
      <c r="H1658">
        <v>28</v>
      </c>
      <c r="I1658">
        <v>2</v>
      </c>
      <c r="J1658">
        <v>56.03</v>
      </c>
      <c r="K1658" t="s">
        <v>15</v>
      </c>
      <c r="L1658">
        <v>4423525.3600000003</v>
      </c>
      <c r="M1658">
        <v>0</v>
      </c>
      <c r="N1658">
        <v>4423525.3600000003</v>
      </c>
      <c r="O1658">
        <v>78949.230055327527</v>
      </c>
      <c r="P1658">
        <v>224120</v>
      </c>
      <c r="Q1658">
        <v>4199405.3600000003</v>
      </c>
      <c r="R1658">
        <v>74949.230055327527</v>
      </c>
      <c r="S1658" t="s">
        <v>65</v>
      </c>
      <c r="T1658" t="s">
        <v>717</v>
      </c>
      <c r="U1658" t="s">
        <v>717</v>
      </c>
      <c r="V1658" t="s">
        <v>4131</v>
      </c>
      <c r="W1658">
        <v>44916</v>
      </c>
      <c r="X1658" t="s">
        <v>7442</v>
      </c>
      <c r="Y1658" t="s">
        <v>6</v>
      </c>
      <c r="Z1658" t="s">
        <v>17</v>
      </c>
      <c r="AA1658" t="s">
        <v>6637</v>
      </c>
      <c r="AB1658" t="s">
        <v>2509</v>
      </c>
      <c r="AC1658" t="s">
        <v>2571</v>
      </c>
      <c r="AD1658" t="s">
        <v>717</v>
      </c>
      <c r="AE1658" t="s">
        <v>7443</v>
      </c>
      <c r="AF1658" t="s">
        <v>7444</v>
      </c>
      <c r="AG1658" t="s">
        <v>7445</v>
      </c>
      <c r="AH1658" t="s">
        <v>2191</v>
      </c>
      <c r="AI1658" t="s">
        <v>4762</v>
      </c>
      <c r="AJ1658" t="s">
        <v>2514</v>
      </c>
      <c r="AK1658" t="s">
        <v>1233</v>
      </c>
      <c r="AL1658" t="s">
        <v>22</v>
      </c>
      <c r="AM1658" t="s">
        <v>10</v>
      </c>
      <c r="AN1658" t="s">
        <v>6708</v>
      </c>
    </row>
    <row r="1659" spans="1:40" hidden="1">
      <c r="A1659">
        <v>1657</v>
      </c>
      <c r="B1659">
        <v>32</v>
      </c>
      <c r="C1659" s="58">
        <v>44922</v>
      </c>
      <c r="D1659" t="s">
        <v>27</v>
      </c>
      <c r="E1659" t="s">
        <v>2515</v>
      </c>
      <c r="F1659">
        <v>4</v>
      </c>
      <c r="G1659">
        <v>6</v>
      </c>
      <c r="H1659">
        <v>40</v>
      </c>
      <c r="I1659">
        <v>0</v>
      </c>
      <c r="J1659">
        <v>24.39</v>
      </c>
      <c r="K1659" t="s">
        <v>25</v>
      </c>
      <c r="L1659">
        <v>2751366.63</v>
      </c>
      <c r="M1659">
        <v>0</v>
      </c>
      <c r="N1659">
        <v>2751366.63</v>
      </c>
      <c r="O1659">
        <v>112807.15990159901</v>
      </c>
      <c r="P1659">
        <v>365850</v>
      </c>
      <c r="Q1659">
        <v>2385516.63</v>
      </c>
      <c r="R1659">
        <v>97807.159901599007</v>
      </c>
      <c r="S1659" t="s">
        <v>65</v>
      </c>
      <c r="T1659" t="s">
        <v>717</v>
      </c>
      <c r="U1659" t="s">
        <v>717</v>
      </c>
      <c r="V1659" t="s">
        <v>4131</v>
      </c>
      <c r="W1659">
        <v>44917</v>
      </c>
      <c r="X1659" t="s">
        <v>7446</v>
      </c>
      <c r="Y1659" t="s">
        <v>6</v>
      </c>
      <c r="Z1659" t="s">
        <v>17</v>
      </c>
      <c r="AA1659" t="s">
        <v>6637</v>
      </c>
      <c r="AB1659" t="s">
        <v>2509</v>
      </c>
      <c r="AC1659" t="s">
        <v>2571</v>
      </c>
      <c r="AD1659" t="s">
        <v>717</v>
      </c>
      <c r="AE1659" t="s">
        <v>7447</v>
      </c>
      <c r="AF1659" t="s">
        <v>7448</v>
      </c>
      <c r="AG1659" t="s">
        <v>7449</v>
      </c>
      <c r="AH1659" t="s">
        <v>2616</v>
      </c>
      <c r="AI1659" t="s">
        <v>2552</v>
      </c>
      <c r="AJ1659" t="s">
        <v>2569</v>
      </c>
      <c r="AK1659" t="s">
        <v>1233</v>
      </c>
      <c r="AL1659" t="s">
        <v>16</v>
      </c>
      <c r="AM1659" t="s">
        <v>10</v>
      </c>
      <c r="AN1659" t="s">
        <v>717</v>
      </c>
    </row>
    <row r="1660" spans="1:40" hidden="1">
      <c r="A1660">
        <v>1658</v>
      </c>
      <c r="B1660">
        <v>33</v>
      </c>
      <c r="C1660" s="58">
        <v>44922</v>
      </c>
      <c r="D1660" t="s">
        <v>7</v>
      </c>
      <c r="E1660" t="s">
        <v>2515</v>
      </c>
      <c r="F1660">
        <v>4</v>
      </c>
      <c r="G1660">
        <v>6</v>
      </c>
      <c r="H1660">
        <v>40</v>
      </c>
      <c r="I1660">
        <v>0</v>
      </c>
      <c r="J1660">
        <v>21.73</v>
      </c>
      <c r="K1660" t="s">
        <v>15</v>
      </c>
      <c r="L1660">
        <v>1898316.5</v>
      </c>
      <c r="M1660">
        <v>0</v>
      </c>
      <c r="N1660">
        <v>1898316.5</v>
      </c>
      <c r="O1660">
        <v>87359.249884951685</v>
      </c>
      <c r="P1660">
        <v>86920</v>
      </c>
      <c r="Q1660">
        <v>1811396.5</v>
      </c>
      <c r="R1660">
        <v>83359.249884951685</v>
      </c>
      <c r="S1660" t="s">
        <v>130</v>
      </c>
      <c r="T1660" t="s">
        <v>717</v>
      </c>
      <c r="U1660" t="s">
        <v>717</v>
      </c>
      <c r="V1660" t="s">
        <v>717</v>
      </c>
      <c r="W1660">
        <v>44917</v>
      </c>
      <c r="X1660" t="s">
        <v>7450</v>
      </c>
      <c r="Y1660" t="s">
        <v>6</v>
      </c>
      <c r="Z1660" t="s">
        <v>17</v>
      </c>
      <c r="AA1660" t="s">
        <v>6637</v>
      </c>
      <c r="AB1660" t="s">
        <v>2509</v>
      </c>
      <c r="AC1660" t="s">
        <v>717</v>
      </c>
      <c r="AD1660" t="s">
        <v>717</v>
      </c>
      <c r="AE1660" t="s">
        <v>7451</v>
      </c>
      <c r="AF1660" t="s">
        <v>7452</v>
      </c>
      <c r="AG1660" t="s">
        <v>7453</v>
      </c>
      <c r="AH1660" t="s">
        <v>2615</v>
      </c>
      <c r="AI1660" t="s">
        <v>7454</v>
      </c>
      <c r="AJ1660" t="s">
        <v>2569</v>
      </c>
      <c r="AK1660" t="s">
        <v>73</v>
      </c>
      <c r="AL1660" t="s">
        <v>717</v>
      </c>
      <c r="AM1660" t="s">
        <v>10</v>
      </c>
      <c r="AN1660" t="s">
        <v>717</v>
      </c>
    </row>
    <row r="1661" spans="1:40" hidden="1">
      <c r="A1661">
        <v>1659</v>
      </c>
      <c r="B1661">
        <v>34</v>
      </c>
      <c r="C1661" s="58">
        <v>44922</v>
      </c>
      <c r="D1661" t="s">
        <v>7</v>
      </c>
      <c r="E1661" t="s">
        <v>2515</v>
      </c>
      <c r="F1661">
        <v>8</v>
      </c>
      <c r="G1661">
        <v>9</v>
      </c>
      <c r="H1661">
        <v>64</v>
      </c>
      <c r="I1661">
        <v>0</v>
      </c>
      <c r="J1661">
        <v>21.73</v>
      </c>
      <c r="K1661" t="s">
        <v>15</v>
      </c>
      <c r="L1661">
        <v>1898316.5</v>
      </c>
      <c r="M1661">
        <v>0</v>
      </c>
      <c r="N1661">
        <v>1898316.5</v>
      </c>
      <c r="O1661">
        <v>87359.249884951685</v>
      </c>
      <c r="P1661">
        <v>86919.999999999534</v>
      </c>
      <c r="Q1661">
        <v>1811396.5000000005</v>
      </c>
      <c r="R1661">
        <v>83359.2498849517</v>
      </c>
      <c r="S1661" t="s">
        <v>130</v>
      </c>
      <c r="T1661" t="s">
        <v>717</v>
      </c>
      <c r="U1661" t="s">
        <v>717</v>
      </c>
      <c r="V1661" t="s">
        <v>717</v>
      </c>
      <c r="W1661">
        <v>44921</v>
      </c>
      <c r="X1661" t="s">
        <v>7455</v>
      </c>
      <c r="Y1661" t="s">
        <v>6</v>
      </c>
      <c r="Z1661" t="s">
        <v>11</v>
      </c>
      <c r="AA1661" t="s">
        <v>6637</v>
      </c>
      <c r="AB1661" t="s">
        <v>2509</v>
      </c>
      <c r="AC1661" t="s">
        <v>717</v>
      </c>
      <c r="AD1661" t="s">
        <v>717</v>
      </c>
      <c r="AE1661" t="s">
        <v>1278</v>
      </c>
      <c r="AF1661" t="s">
        <v>7456</v>
      </c>
      <c r="AG1661" t="s">
        <v>7457</v>
      </c>
      <c r="AH1661" t="s">
        <v>2191</v>
      </c>
      <c r="AI1661" t="s">
        <v>2552</v>
      </c>
      <c r="AJ1661" t="s">
        <v>2514</v>
      </c>
      <c r="AK1661" t="s">
        <v>73</v>
      </c>
      <c r="AL1661" t="s">
        <v>717</v>
      </c>
      <c r="AM1661" t="s">
        <v>10</v>
      </c>
      <c r="AN1661" t="s">
        <v>717</v>
      </c>
    </row>
    <row r="1662" spans="1:40" hidden="1">
      <c r="A1662">
        <v>1660</v>
      </c>
      <c r="B1662">
        <v>35</v>
      </c>
      <c r="C1662" s="58">
        <v>44923</v>
      </c>
      <c r="D1662" t="s">
        <v>27</v>
      </c>
      <c r="E1662" t="s">
        <v>2515</v>
      </c>
      <c r="F1662">
        <v>5</v>
      </c>
      <c r="G1662">
        <v>5</v>
      </c>
      <c r="H1662">
        <v>32</v>
      </c>
      <c r="I1662">
        <v>0</v>
      </c>
      <c r="J1662">
        <v>24.47</v>
      </c>
      <c r="K1662" t="s">
        <v>25</v>
      </c>
      <c r="L1662">
        <v>2760357.93</v>
      </c>
      <c r="M1662">
        <v>0</v>
      </c>
      <c r="N1662">
        <v>2760357.93</v>
      </c>
      <c r="O1662">
        <v>112805.80016346548</v>
      </c>
      <c r="P1662">
        <v>367049.99999999953</v>
      </c>
      <c r="Q1662">
        <v>2393307.9300000006</v>
      </c>
      <c r="R1662">
        <v>97805.800163465494</v>
      </c>
      <c r="S1662" t="s">
        <v>65</v>
      </c>
      <c r="T1662" t="s">
        <v>717</v>
      </c>
      <c r="U1662" t="s">
        <v>717</v>
      </c>
      <c r="V1662" t="s">
        <v>6488</v>
      </c>
      <c r="W1662">
        <v>44916</v>
      </c>
      <c r="X1662" t="s">
        <v>7458</v>
      </c>
      <c r="Y1662" t="s">
        <v>6</v>
      </c>
      <c r="Z1662" t="s">
        <v>17</v>
      </c>
      <c r="AA1662" t="s">
        <v>6637</v>
      </c>
      <c r="AB1662" t="s">
        <v>2509</v>
      </c>
      <c r="AC1662" t="s">
        <v>2571</v>
      </c>
      <c r="AD1662" t="s">
        <v>717</v>
      </c>
      <c r="AE1662" t="s">
        <v>7459</v>
      </c>
      <c r="AF1662" t="s">
        <v>7460</v>
      </c>
      <c r="AG1662" t="s">
        <v>7461</v>
      </c>
      <c r="AH1662" t="s">
        <v>2191</v>
      </c>
      <c r="AI1662" t="s">
        <v>2552</v>
      </c>
      <c r="AJ1662" t="s">
        <v>2514</v>
      </c>
      <c r="AK1662" t="s">
        <v>77</v>
      </c>
      <c r="AL1662" t="s">
        <v>22</v>
      </c>
      <c r="AM1662" t="s">
        <v>10</v>
      </c>
      <c r="AN1662" t="s">
        <v>717</v>
      </c>
    </row>
    <row r="1663" spans="1:40" hidden="1">
      <c r="A1663">
        <v>1661</v>
      </c>
      <c r="B1663">
        <v>36</v>
      </c>
      <c r="C1663" s="58">
        <v>44923</v>
      </c>
      <c r="D1663" t="s">
        <v>7</v>
      </c>
      <c r="E1663" t="s">
        <v>2515</v>
      </c>
      <c r="F1663">
        <v>7</v>
      </c>
      <c r="G1663">
        <v>6</v>
      </c>
      <c r="H1663">
        <v>39</v>
      </c>
      <c r="I1663">
        <v>0</v>
      </c>
      <c r="J1663">
        <v>21.75</v>
      </c>
      <c r="K1663" t="s">
        <v>25</v>
      </c>
      <c r="L1663">
        <v>2139313.69</v>
      </c>
      <c r="M1663">
        <v>0</v>
      </c>
      <c r="N1663">
        <v>2139313.69</v>
      </c>
      <c r="O1663">
        <v>98359.250114942522</v>
      </c>
      <c r="P1663">
        <v>326250.0000000007</v>
      </c>
      <c r="Q1663">
        <v>1813063.6899999992</v>
      </c>
      <c r="R1663">
        <v>83359.250114942493</v>
      </c>
      <c r="S1663" t="s">
        <v>65</v>
      </c>
      <c r="T1663" t="s">
        <v>717</v>
      </c>
      <c r="U1663" t="s">
        <v>717</v>
      </c>
      <c r="V1663" t="s">
        <v>4131</v>
      </c>
      <c r="W1663">
        <v>44916</v>
      </c>
      <c r="X1663" t="s">
        <v>7462</v>
      </c>
      <c r="Y1663" t="s">
        <v>6</v>
      </c>
      <c r="Z1663" t="s">
        <v>17</v>
      </c>
      <c r="AA1663" t="s">
        <v>6637</v>
      </c>
      <c r="AB1663" t="s">
        <v>2509</v>
      </c>
      <c r="AC1663" t="s">
        <v>2571</v>
      </c>
      <c r="AD1663" t="s">
        <v>717</v>
      </c>
      <c r="AE1663" t="s">
        <v>7463</v>
      </c>
      <c r="AF1663" t="s">
        <v>7464</v>
      </c>
      <c r="AG1663" t="s">
        <v>7465</v>
      </c>
      <c r="AH1663" t="s">
        <v>2615</v>
      </c>
      <c r="AI1663" t="s">
        <v>2706</v>
      </c>
      <c r="AJ1663" t="s">
        <v>2569</v>
      </c>
      <c r="AK1663" t="s">
        <v>77</v>
      </c>
      <c r="AL1663" t="s">
        <v>16</v>
      </c>
      <c r="AM1663" t="s">
        <v>10</v>
      </c>
      <c r="AN1663" t="s">
        <v>717</v>
      </c>
    </row>
    <row r="1664" spans="1:40" hidden="1">
      <c r="A1664">
        <v>1662</v>
      </c>
      <c r="B1664">
        <v>37</v>
      </c>
      <c r="C1664" s="58">
        <v>44923</v>
      </c>
      <c r="D1664" t="s">
        <v>7</v>
      </c>
      <c r="E1664" t="s">
        <v>2581</v>
      </c>
      <c r="F1664">
        <v>5</v>
      </c>
      <c r="G1664">
        <v>8</v>
      </c>
      <c r="H1664">
        <v>287</v>
      </c>
      <c r="I1664">
        <v>2</v>
      </c>
      <c r="J1664">
        <v>56.7</v>
      </c>
      <c r="K1664" t="s">
        <v>9</v>
      </c>
      <c r="L1664">
        <v>4291284.5</v>
      </c>
      <c r="M1664">
        <v>0</v>
      </c>
      <c r="N1664">
        <v>4291284.5</v>
      </c>
      <c r="O1664">
        <v>75684.02998236331</v>
      </c>
      <c r="P1664">
        <v>0</v>
      </c>
      <c r="Q1664">
        <v>4291284.5</v>
      </c>
      <c r="R1664">
        <v>75684.02998236331</v>
      </c>
      <c r="S1664" t="s">
        <v>65</v>
      </c>
      <c r="T1664" t="s">
        <v>717</v>
      </c>
      <c r="U1664" t="s">
        <v>717</v>
      </c>
      <c r="V1664" t="s">
        <v>4131</v>
      </c>
      <c r="W1664">
        <v>44917</v>
      </c>
      <c r="X1664" t="s">
        <v>7466</v>
      </c>
      <c r="Y1664" t="s">
        <v>6</v>
      </c>
      <c r="Z1664" t="s">
        <v>17</v>
      </c>
      <c r="AA1664" t="s">
        <v>6637</v>
      </c>
      <c r="AB1664" t="s">
        <v>2509</v>
      </c>
      <c r="AC1664" t="s">
        <v>2571</v>
      </c>
      <c r="AD1664" t="s">
        <v>717</v>
      </c>
      <c r="AE1664" t="s">
        <v>7467</v>
      </c>
      <c r="AF1664" t="s">
        <v>7468</v>
      </c>
      <c r="AG1664" t="s">
        <v>7469</v>
      </c>
      <c r="AH1664" t="s">
        <v>2191</v>
      </c>
      <c r="AI1664" t="s">
        <v>2538</v>
      </c>
      <c r="AJ1664" t="s">
        <v>2514</v>
      </c>
      <c r="AK1664" t="s">
        <v>77</v>
      </c>
      <c r="AL1664" t="s">
        <v>16</v>
      </c>
      <c r="AM1664" t="s">
        <v>10</v>
      </c>
      <c r="AN1664" t="s">
        <v>6708</v>
      </c>
    </row>
    <row r="1665" spans="1:40" hidden="1">
      <c r="A1665">
        <v>1663</v>
      </c>
      <c r="B1665">
        <v>38</v>
      </c>
      <c r="C1665" s="58">
        <v>44923</v>
      </c>
      <c r="D1665" t="s">
        <v>27</v>
      </c>
      <c r="E1665" t="s">
        <v>5456</v>
      </c>
      <c r="F1665">
        <v>9</v>
      </c>
      <c r="G1665">
        <v>9</v>
      </c>
      <c r="H1665">
        <v>902</v>
      </c>
      <c r="I1665">
        <v>0</v>
      </c>
      <c r="J1665">
        <v>23.09</v>
      </c>
      <c r="K1665" t="s">
        <v>9</v>
      </c>
      <c r="L1665">
        <v>2121735.5099999998</v>
      </c>
      <c r="M1665">
        <v>0</v>
      </c>
      <c r="N1665">
        <v>2121735.5099999998</v>
      </c>
      <c r="O1665">
        <v>91889.801212646154</v>
      </c>
      <c r="P1665">
        <v>0</v>
      </c>
      <c r="Q1665">
        <v>2121735.5099999998</v>
      </c>
      <c r="R1665">
        <v>91889.801212646154</v>
      </c>
      <c r="S1665" t="s">
        <v>65</v>
      </c>
      <c r="T1665" t="s">
        <v>5386</v>
      </c>
      <c r="U1665">
        <v>150000</v>
      </c>
      <c r="V1665" t="s">
        <v>4131</v>
      </c>
      <c r="W1665">
        <v>44920</v>
      </c>
      <c r="X1665" t="s">
        <v>7470</v>
      </c>
      <c r="Y1665" t="s">
        <v>6</v>
      </c>
      <c r="Z1665" t="s">
        <v>17</v>
      </c>
      <c r="AA1665" t="s">
        <v>6637</v>
      </c>
      <c r="AB1665" t="s">
        <v>2509</v>
      </c>
      <c r="AC1665" t="s">
        <v>2571</v>
      </c>
      <c r="AD1665" t="s">
        <v>717</v>
      </c>
      <c r="AE1665" t="s">
        <v>7471</v>
      </c>
      <c r="AF1665" t="s">
        <v>7472</v>
      </c>
      <c r="AG1665" t="s">
        <v>7473</v>
      </c>
      <c r="AH1665" t="s">
        <v>2615</v>
      </c>
      <c r="AI1665" t="s">
        <v>2552</v>
      </c>
      <c r="AJ1665" t="s">
        <v>2895</v>
      </c>
      <c r="AK1665" t="s">
        <v>77</v>
      </c>
      <c r="AL1665" t="s">
        <v>22</v>
      </c>
      <c r="AM1665" t="s">
        <v>10</v>
      </c>
      <c r="AN1665" t="s">
        <v>717</v>
      </c>
    </row>
    <row r="1666" spans="1:40" hidden="1">
      <c r="A1666">
        <v>1664</v>
      </c>
      <c r="B1666">
        <v>39</v>
      </c>
      <c r="C1666" s="58">
        <v>44923</v>
      </c>
      <c r="D1666" t="s">
        <v>7</v>
      </c>
      <c r="E1666" t="s">
        <v>2515</v>
      </c>
      <c r="F1666">
        <v>4</v>
      </c>
      <c r="G1666">
        <v>2</v>
      </c>
      <c r="H1666">
        <v>4</v>
      </c>
      <c r="I1666">
        <v>2</v>
      </c>
      <c r="J1666">
        <v>56.03</v>
      </c>
      <c r="K1666" t="s">
        <v>25</v>
      </c>
      <c r="L1666">
        <v>5039855.3600000003</v>
      </c>
      <c r="M1666">
        <v>0</v>
      </c>
      <c r="N1666">
        <v>5039855.3600000003</v>
      </c>
      <c r="O1666">
        <v>89949.230055327527</v>
      </c>
      <c r="P1666">
        <v>840450.00000000093</v>
      </c>
      <c r="Q1666">
        <v>4199405.3599999994</v>
      </c>
      <c r="R1666">
        <v>74949.230055327498</v>
      </c>
      <c r="S1666" t="s">
        <v>65</v>
      </c>
      <c r="T1666" t="s">
        <v>717</v>
      </c>
      <c r="U1666" t="s">
        <v>717</v>
      </c>
      <c r="V1666" t="s">
        <v>4131</v>
      </c>
      <c r="W1666">
        <v>44920</v>
      </c>
      <c r="X1666" t="s">
        <v>7474</v>
      </c>
      <c r="Y1666" t="s">
        <v>6</v>
      </c>
      <c r="Z1666" t="s">
        <v>17</v>
      </c>
      <c r="AA1666" t="s">
        <v>6637</v>
      </c>
      <c r="AB1666" t="s">
        <v>2509</v>
      </c>
      <c r="AC1666" t="s">
        <v>2571</v>
      </c>
      <c r="AD1666" t="s">
        <v>717</v>
      </c>
      <c r="AE1666" t="s">
        <v>7475</v>
      </c>
      <c r="AF1666" t="s">
        <v>7476</v>
      </c>
      <c r="AG1666" t="s">
        <v>7477</v>
      </c>
      <c r="AH1666" t="s">
        <v>2552</v>
      </c>
      <c r="AI1666" t="s">
        <v>2877</v>
      </c>
      <c r="AJ1666" t="s">
        <v>3098</v>
      </c>
      <c r="AK1666" t="s">
        <v>1233</v>
      </c>
      <c r="AL1666" t="s">
        <v>22</v>
      </c>
      <c r="AM1666" t="s">
        <v>10</v>
      </c>
      <c r="AN1666" t="s">
        <v>6708</v>
      </c>
    </row>
    <row r="1667" spans="1:40" hidden="1">
      <c r="A1667">
        <v>1665</v>
      </c>
      <c r="B1667">
        <v>40</v>
      </c>
      <c r="C1667" s="58">
        <v>44923</v>
      </c>
      <c r="D1667" t="s">
        <v>27</v>
      </c>
      <c r="E1667" t="s">
        <v>2515</v>
      </c>
      <c r="F1667">
        <v>4</v>
      </c>
      <c r="G1667">
        <v>8</v>
      </c>
      <c r="H1667">
        <v>58</v>
      </c>
      <c r="I1667">
        <v>0</v>
      </c>
      <c r="J1667">
        <v>24.39</v>
      </c>
      <c r="K1667" t="s">
        <v>25</v>
      </c>
      <c r="L1667">
        <v>2632090.7999999998</v>
      </c>
      <c r="M1667">
        <v>0</v>
      </c>
      <c r="N1667">
        <v>2632090.7999999998</v>
      </c>
      <c r="O1667">
        <v>107916.80196801967</v>
      </c>
      <c r="P1667">
        <v>365849.99999999907</v>
      </c>
      <c r="Q1667">
        <v>2266240.8000000007</v>
      </c>
      <c r="R1667">
        <v>92916.801968019703</v>
      </c>
      <c r="S1667" t="s">
        <v>65</v>
      </c>
      <c r="T1667" t="s">
        <v>2664</v>
      </c>
      <c r="U1667">
        <v>119275.8315789476</v>
      </c>
      <c r="V1667" t="s">
        <v>4131</v>
      </c>
      <c r="W1667">
        <v>44921</v>
      </c>
      <c r="X1667" t="s">
        <v>7478</v>
      </c>
      <c r="Y1667" t="s">
        <v>6</v>
      </c>
      <c r="Z1667" t="s">
        <v>17</v>
      </c>
      <c r="AA1667" t="s">
        <v>6637</v>
      </c>
      <c r="AB1667" t="s">
        <v>2509</v>
      </c>
      <c r="AC1667" t="s">
        <v>2571</v>
      </c>
      <c r="AD1667" t="s">
        <v>717</v>
      </c>
      <c r="AE1667" t="s">
        <v>7479</v>
      </c>
      <c r="AF1667" t="s">
        <v>7480</v>
      </c>
      <c r="AG1667" t="s">
        <v>7481</v>
      </c>
      <c r="AH1667" t="s">
        <v>2191</v>
      </c>
      <c r="AI1667" t="s">
        <v>2552</v>
      </c>
      <c r="AJ1667" t="s">
        <v>2514</v>
      </c>
      <c r="AK1667" t="s">
        <v>1233</v>
      </c>
      <c r="AL1667" t="s">
        <v>22</v>
      </c>
      <c r="AM1667" t="s">
        <v>10</v>
      </c>
      <c r="AN1667" t="s">
        <v>717</v>
      </c>
    </row>
    <row r="1668" spans="1:40" hidden="1">
      <c r="A1668">
        <v>1666</v>
      </c>
      <c r="B1668">
        <v>41</v>
      </c>
      <c r="C1668" s="58">
        <v>44923</v>
      </c>
      <c r="D1668" t="s">
        <v>7</v>
      </c>
      <c r="E1668" t="s">
        <v>2506</v>
      </c>
      <c r="F1668">
        <v>6</v>
      </c>
      <c r="G1668">
        <v>16</v>
      </c>
      <c r="H1668">
        <v>238</v>
      </c>
      <c r="I1668">
        <v>1</v>
      </c>
      <c r="J1668">
        <v>36.659999999999997</v>
      </c>
      <c r="K1668" t="s">
        <v>15</v>
      </c>
      <c r="L1668">
        <v>3360141.22</v>
      </c>
      <c r="M1668">
        <v>0</v>
      </c>
      <c r="N1668">
        <v>3360141.22</v>
      </c>
      <c r="O1668">
        <v>91656.879978177865</v>
      </c>
      <c r="P1668">
        <v>146639.99999999907</v>
      </c>
      <c r="Q1668">
        <v>3213501.2200000011</v>
      </c>
      <c r="R1668">
        <v>87656.879978177894</v>
      </c>
      <c r="S1668" t="s">
        <v>65</v>
      </c>
      <c r="T1668" t="s">
        <v>717</v>
      </c>
      <c r="U1668" t="s">
        <v>717</v>
      </c>
      <c r="V1668" t="s">
        <v>4131</v>
      </c>
      <c r="W1668">
        <v>44921</v>
      </c>
      <c r="X1668" t="s">
        <v>7482</v>
      </c>
      <c r="Y1668" t="s">
        <v>6</v>
      </c>
      <c r="Z1668" t="s">
        <v>17</v>
      </c>
      <c r="AA1668" t="s">
        <v>6637</v>
      </c>
      <c r="AB1668" t="s">
        <v>2509</v>
      </c>
      <c r="AC1668" t="s">
        <v>2571</v>
      </c>
      <c r="AD1668" t="s">
        <v>717</v>
      </c>
      <c r="AE1668" t="s">
        <v>7483</v>
      </c>
      <c r="AF1668" t="s">
        <v>7484</v>
      </c>
      <c r="AG1668" t="s">
        <v>7485</v>
      </c>
      <c r="AH1668" t="s">
        <v>2191</v>
      </c>
      <c r="AI1668" t="s">
        <v>2538</v>
      </c>
      <c r="AJ1668" t="s">
        <v>2514</v>
      </c>
      <c r="AK1668" t="s">
        <v>1233</v>
      </c>
      <c r="AL1668" t="s">
        <v>22</v>
      </c>
      <c r="AM1668" t="s">
        <v>10</v>
      </c>
      <c r="AN1668" t="s">
        <v>717</v>
      </c>
    </row>
    <row r="1669" spans="1:40" hidden="1">
      <c r="A1669">
        <v>1667</v>
      </c>
      <c r="B1669">
        <v>42</v>
      </c>
      <c r="C1669" s="58">
        <v>44924</v>
      </c>
      <c r="D1669" t="s">
        <v>7</v>
      </c>
      <c r="E1669" t="s">
        <v>2506</v>
      </c>
      <c r="F1669">
        <v>8</v>
      </c>
      <c r="G1669">
        <v>12</v>
      </c>
      <c r="H1669">
        <v>208</v>
      </c>
      <c r="I1669">
        <v>1</v>
      </c>
      <c r="J1669">
        <v>33.79</v>
      </c>
      <c r="K1669" t="s">
        <v>15</v>
      </c>
      <c r="L1669">
        <v>2867821.63</v>
      </c>
      <c r="M1669">
        <v>0</v>
      </c>
      <c r="N1669">
        <v>2867821.63</v>
      </c>
      <c r="O1669">
        <v>84871.903817697559</v>
      </c>
      <c r="P1669">
        <v>135160.0000000014</v>
      </c>
      <c r="Q1669">
        <v>2732661.6299999985</v>
      </c>
      <c r="R1669">
        <v>80871.903817697501</v>
      </c>
      <c r="S1669" t="s">
        <v>130</v>
      </c>
      <c r="T1669" t="s">
        <v>2664</v>
      </c>
      <c r="U1669">
        <v>143824.29631578969</v>
      </c>
      <c r="V1669" t="s">
        <v>717</v>
      </c>
      <c r="W1669">
        <v>44919</v>
      </c>
      <c r="X1669" t="s">
        <v>7486</v>
      </c>
      <c r="Y1669" t="s">
        <v>6</v>
      </c>
      <c r="Z1669" t="s">
        <v>17</v>
      </c>
      <c r="AA1669" t="s">
        <v>6637</v>
      </c>
      <c r="AB1669" t="s">
        <v>2509</v>
      </c>
      <c r="AC1669" t="s">
        <v>717</v>
      </c>
      <c r="AD1669" t="s">
        <v>717</v>
      </c>
      <c r="AE1669" t="s">
        <v>7487</v>
      </c>
      <c r="AF1669" t="s">
        <v>7488</v>
      </c>
      <c r="AG1669" t="s">
        <v>7489</v>
      </c>
      <c r="AH1669" t="s">
        <v>2191</v>
      </c>
      <c r="AI1669" t="s">
        <v>2538</v>
      </c>
      <c r="AJ1669" t="s">
        <v>2514</v>
      </c>
      <c r="AK1669" t="s">
        <v>73</v>
      </c>
      <c r="AL1669" t="s">
        <v>717</v>
      </c>
      <c r="AM1669" t="s">
        <v>10</v>
      </c>
      <c r="AN1669" t="s">
        <v>717</v>
      </c>
    </row>
    <row r="1670" spans="1:40" hidden="1">
      <c r="A1670">
        <v>1668</v>
      </c>
      <c r="B1670">
        <v>43</v>
      </c>
      <c r="C1670" s="58">
        <v>44924</v>
      </c>
      <c r="D1670" t="s">
        <v>27</v>
      </c>
      <c r="E1670" t="s">
        <v>2515</v>
      </c>
      <c r="F1670">
        <v>8</v>
      </c>
      <c r="G1670">
        <v>22</v>
      </c>
      <c r="H1670">
        <v>188</v>
      </c>
      <c r="I1670">
        <v>1</v>
      </c>
      <c r="J1670">
        <v>37.69</v>
      </c>
      <c r="K1670" t="s">
        <v>25</v>
      </c>
      <c r="L1670">
        <v>4009463.86</v>
      </c>
      <c r="M1670">
        <v>0</v>
      </c>
      <c r="N1670">
        <v>4009463.86</v>
      </c>
      <c r="O1670">
        <v>106380.04404351288</v>
      </c>
      <c r="P1670">
        <v>565349.99999999907</v>
      </c>
      <c r="Q1670">
        <v>3444113.8600000008</v>
      </c>
      <c r="R1670">
        <v>91380.044043512898</v>
      </c>
      <c r="S1670" t="s">
        <v>65</v>
      </c>
      <c r="T1670" t="s">
        <v>2664</v>
      </c>
      <c r="U1670">
        <v>181269.15052631637</v>
      </c>
      <c r="V1670" t="s">
        <v>4131</v>
      </c>
      <c r="W1670">
        <v>44921</v>
      </c>
      <c r="X1670" t="s">
        <v>7490</v>
      </c>
      <c r="Y1670" t="s">
        <v>6</v>
      </c>
      <c r="Z1670" t="s">
        <v>17</v>
      </c>
      <c r="AA1670" t="s">
        <v>6637</v>
      </c>
      <c r="AB1670" t="s">
        <v>2509</v>
      </c>
      <c r="AC1670" t="s">
        <v>2571</v>
      </c>
      <c r="AD1670" t="s">
        <v>717</v>
      </c>
      <c r="AE1670" t="s">
        <v>7491</v>
      </c>
      <c r="AF1670" t="s">
        <v>7492</v>
      </c>
      <c r="AG1670" t="s">
        <v>7493</v>
      </c>
      <c r="AH1670" t="s">
        <v>2191</v>
      </c>
      <c r="AI1670" t="s">
        <v>2538</v>
      </c>
      <c r="AJ1670" t="s">
        <v>2514</v>
      </c>
      <c r="AK1670" t="s">
        <v>73</v>
      </c>
      <c r="AL1670" t="s">
        <v>22</v>
      </c>
      <c r="AM1670" t="s">
        <v>10</v>
      </c>
      <c r="AN1670" t="s">
        <v>6708</v>
      </c>
    </row>
    <row r="1671" spans="1:40" hidden="1">
      <c r="A1671">
        <v>1669</v>
      </c>
      <c r="B1671">
        <v>44</v>
      </c>
      <c r="C1671" s="58">
        <v>44924</v>
      </c>
      <c r="D1671" t="s">
        <v>27</v>
      </c>
      <c r="E1671" t="s">
        <v>5079</v>
      </c>
      <c r="F1671">
        <v>3</v>
      </c>
      <c r="G1671">
        <v>1</v>
      </c>
      <c r="H1671">
        <v>18</v>
      </c>
      <c r="I1671" t="s">
        <v>1368</v>
      </c>
      <c r="J1671">
        <v>103.81</v>
      </c>
      <c r="K1671" t="s">
        <v>9</v>
      </c>
      <c r="L1671">
        <v>10900050</v>
      </c>
      <c r="M1671">
        <v>0</v>
      </c>
      <c r="N1671">
        <v>10900050</v>
      </c>
      <c r="O1671">
        <v>105000</v>
      </c>
      <c r="P1671">
        <v>0</v>
      </c>
      <c r="Q1671">
        <v>10900050</v>
      </c>
      <c r="R1671">
        <v>105000</v>
      </c>
      <c r="S1671" t="s">
        <v>130</v>
      </c>
      <c r="T1671" t="s">
        <v>717</v>
      </c>
      <c r="U1671" t="s">
        <v>717</v>
      </c>
      <c r="V1671" t="s">
        <v>717</v>
      </c>
      <c r="W1671">
        <v>44922</v>
      </c>
      <c r="X1671" t="s">
        <v>7494</v>
      </c>
      <c r="Y1671" t="s">
        <v>1368</v>
      </c>
      <c r="Z1671" t="s">
        <v>17</v>
      </c>
      <c r="AA1671" t="s">
        <v>6637</v>
      </c>
      <c r="AB1671" t="s">
        <v>2509</v>
      </c>
      <c r="AC1671" t="s">
        <v>717</v>
      </c>
      <c r="AD1671" t="s">
        <v>717</v>
      </c>
      <c r="AE1671" t="s">
        <v>7495</v>
      </c>
      <c r="AF1671" t="s">
        <v>7496</v>
      </c>
      <c r="AG1671" t="s">
        <v>7497</v>
      </c>
      <c r="AH1671" t="s">
        <v>2191</v>
      </c>
      <c r="AI1671" t="s">
        <v>2552</v>
      </c>
      <c r="AJ1671" t="s">
        <v>2514</v>
      </c>
      <c r="AK1671" t="s">
        <v>77</v>
      </c>
      <c r="AL1671" t="s">
        <v>717</v>
      </c>
      <c r="AM1671" t="s">
        <v>10</v>
      </c>
      <c r="AN1671" t="s">
        <v>717</v>
      </c>
    </row>
    <row r="1672" spans="1:40" hidden="1">
      <c r="A1672">
        <v>1670</v>
      </c>
      <c r="B1672">
        <v>45</v>
      </c>
      <c r="C1672" s="58">
        <v>44924</v>
      </c>
      <c r="D1672" t="s">
        <v>27</v>
      </c>
      <c r="E1672" t="s">
        <v>5079</v>
      </c>
      <c r="F1672">
        <v>4</v>
      </c>
      <c r="G1672">
        <v>1</v>
      </c>
      <c r="H1672">
        <v>19</v>
      </c>
      <c r="I1672" t="s">
        <v>1368</v>
      </c>
      <c r="J1672">
        <v>116.69</v>
      </c>
      <c r="K1672" t="s">
        <v>9</v>
      </c>
      <c r="L1672">
        <v>12252450</v>
      </c>
      <c r="M1672">
        <v>0</v>
      </c>
      <c r="N1672">
        <v>12252450</v>
      </c>
      <c r="O1672">
        <v>105000</v>
      </c>
      <c r="P1672">
        <v>0</v>
      </c>
      <c r="Q1672">
        <v>12252450</v>
      </c>
      <c r="R1672">
        <v>105000</v>
      </c>
      <c r="S1672" t="s">
        <v>130</v>
      </c>
      <c r="T1672" t="s">
        <v>717</v>
      </c>
      <c r="U1672" t="s">
        <v>717</v>
      </c>
      <c r="V1672" t="s">
        <v>717</v>
      </c>
      <c r="W1672">
        <v>44922</v>
      </c>
      <c r="X1672" t="s">
        <v>7498</v>
      </c>
      <c r="Y1672" t="s">
        <v>1368</v>
      </c>
      <c r="Z1672" t="s">
        <v>17</v>
      </c>
      <c r="AA1672" t="s">
        <v>6637</v>
      </c>
      <c r="AB1672" t="s">
        <v>2509</v>
      </c>
      <c r="AC1672" t="s">
        <v>717</v>
      </c>
      <c r="AD1672" t="s">
        <v>717</v>
      </c>
      <c r="AE1672" t="s">
        <v>7495</v>
      </c>
      <c r="AF1672" t="s">
        <v>7496</v>
      </c>
      <c r="AG1672" t="s">
        <v>7497</v>
      </c>
      <c r="AH1672" t="s">
        <v>2580</v>
      </c>
      <c r="AI1672" t="s">
        <v>2552</v>
      </c>
      <c r="AJ1672" t="s">
        <v>3921</v>
      </c>
      <c r="AK1672" t="s">
        <v>77</v>
      </c>
      <c r="AL1672" t="s">
        <v>717</v>
      </c>
      <c r="AM1672" t="s">
        <v>10</v>
      </c>
      <c r="AN1672" t="s">
        <v>717</v>
      </c>
    </row>
    <row r="1673" spans="1:40" hidden="1">
      <c r="A1673">
        <v>1671</v>
      </c>
      <c r="B1673">
        <v>46</v>
      </c>
      <c r="C1673" s="58">
        <v>44924</v>
      </c>
      <c r="D1673" t="s">
        <v>7</v>
      </c>
      <c r="E1673" t="s">
        <v>4409</v>
      </c>
      <c r="F1673">
        <v>4</v>
      </c>
      <c r="G1673">
        <v>6</v>
      </c>
      <c r="H1673">
        <v>441</v>
      </c>
      <c r="I1673">
        <v>1</v>
      </c>
      <c r="J1673">
        <v>36.5</v>
      </c>
      <c r="K1673" t="s">
        <v>15</v>
      </c>
      <c r="L1673">
        <v>3314712.1</v>
      </c>
      <c r="M1673">
        <v>0</v>
      </c>
      <c r="N1673">
        <v>3314712.1</v>
      </c>
      <c r="O1673">
        <v>90814.030136986301</v>
      </c>
      <c r="P1673">
        <v>146000</v>
      </c>
      <c r="Q1673">
        <v>3168712.1</v>
      </c>
      <c r="R1673">
        <v>86814.030136986301</v>
      </c>
      <c r="S1673" t="s">
        <v>130</v>
      </c>
      <c r="T1673" t="s">
        <v>717</v>
      </c>
      <c r="U1673" t="s">
        <v>717</v>
      </c>
      <c r="V1673" t="s">
        <v>717</v>
      </c>
      <c r="W1673">
        <v>44922</v>
      </c>
      <c r="X1673" t="s">
        <v>7499</v>
      </c>
      <c r="Y1673" t="s">
        <v>6</v>
      </c>
      <c r="Z1673" t="s">
        <v>17</v>
      </c>
      <c r="AA1673" t="s">
        <v>6637</v>
      </c>
      <c r="AB1673" t="s">
        <v>2509</v>
      </c>
      <c r="AC1673" t="s">
        <v>717</v>
      </c>
      <c r="AD1673" t="s">
        <v>717</v>
      </c>
      <c r="AE1673" t="s">
        <v>7500</v>
      </c>
      <c r="AF1673" t="s">
        <v>7501</v>
      </c>
      <c r="AG1673" t="s">
        <v>7502</v>
      </c>
      <c r="AH1673" t="s">
        <v>2191</v>
      </c>
      <c r="AI1673" t="s">
        <v>2538</v>
      </c>
      <c r="AJ1673" t="s">
        <v>2514</v>
      </c>
      <c r="AK1673" t="s">
        <v>1233</v>
      </c>
      <c r="AL1673" t="s">
        <v>717</v>
      </c>
      <c r="AM1673" t="s">
        <v>10</v>
      </c>
      <c r="AN1673" t="s">
        <v>717</v>
      </c>
    </row>
    <row r="1674" spans="1:40" hidden="1">
      <c r="A1674">
        <v>1672</v>
      </c>
      <c r="B1674">
        <v>47</v>
      </c>
      <c r="C1674" s="58">
        <v>44925</v>
      </c>
      <c r="D1674" t="s">
        <v>7</v>
      </c>
      <c r="E1674" t="s">
        <v>2506</v>
      </c>
      <c r="F1674">
        <v>8</v>
      </c>
      <c r="G1674">
        <v>8</v>
      </c>
      <c r="H1674">
        <v>176</v>
      </c>
      <c r="I1674">
        <v>1</v>
      </c>
      <c r="J1674">
        <v>33.79</v>
      </c>
      <c r="K1674" t="s">
        <v>9</v>
      </c>
      <c r="L1674">
        <v>2732661.63</v>
      </c>
      <c r="M1674">
        <v>0</v>
      </c>
      <c r="N1674">
        <v>2732661.63</v>
      </c>
      <c r="O1674">
        <v>80871.903817697559</v>
      </c>
      <c r="P1674">
        <v>0</v>
      </c>
      <c r="Q1674">
        <v>2732661.63</v>
      </c>
      <c r="R1674">
        <v>80871.903817697559</v>
      </c>
      <c r="S1674" t="s">
        <v>65</v>
      </c>
      <c r="T1674" t="s">
        <v>2664</v>
      </c>
      <c r="U1674">
        <v>143824.29631578829</v>
      </c>
      <c r="V1674" t="s">
        <v>4131</v>
      </c>
      <c r="W1674">
        <v>44919</v>
      </c>
      <c r="X1674" t="s">
        <v>7503</v>
      </c>
      <c r="Y1674" t="s">
        <v>6</v>
      </c>
      <c r="Z1674" t="s">
        <v>17</v>
      </c>
      <c r="AA1674" t="s">
        <v>6637</v>
      </c>
      <c r="AB1674" t="s">
        <v>2509</v>
      </c>
      <c r="AC1674" t="s">
        <v>2571</v>
      </c>
      <c r="AD1674" t="s">
        <v>717</v>
      </c>
      <c r="AE1674" t="s">
        <v>6216</v>
      </c>
      <c r="AF1674" t="s">
        <v>6217</v>
      </c>
      <c r="AG1674" t="s">
        <v>6218</v>
      </c>
      <c r="AH1674" t="s">
        <v>2191</v>
      </c>
      <c r="AI1674" t="s">
        <v>2600</v>
      </c>
      <c r="AJ1674" t="s">
        <v>3921</v>
      </c>
      <c r="AK1674" t="s">
        <v>73</v>
      </c>
      <c r="AL1674" t="s">
        <v>16</v>
      </c>
      <c r="AM1674" t="s">
        <v>10</v>
      </c>
      <c r="AN1674" t="s">
        <v>717</v>
      </c>
    </row>
    <row r="1675" spans="1:40" hidden="1">
      <c r="A1675">
        <v>1673</v>
      </c>
      <c r="B1675">
        <v>48</v>
      </c>
      <c r="C1675" s="58">
        <v>44925</v>
      </c>
      <c r="D1675" t="s">
        <v>7</v>
      </c>
      <c r="E1675" t="s">
        <v>2515</v>
      </c>
      <c r="F1675">
        <v>8</v>
      </c>
      <c r="G1675">
        <v>12</v>
      </c>
      <c r="H1675">
        <v>88</v>
      </c>
      <c r="I1675">
        <v>0</v>
      </c>
      <c r="J1675">
        <v>21.73</v>
      </c>
      <c r="K1675" t="s">
        <v>15</v>
      </c>
      <c r="L1675">
        <v>1898316.5</v>
      </c>
      <c r="M1675">
        <v>0</v>
      </c>
      <c r="N1675">
        <v>1898316.5</v>
      </c>
      <c r="O1675">
        <v>87359.249884951685</v>
      </c>
      <c r="P1675">
        <v>86919.999999999534</v>
      </c>
      <c r="Q1675">
        <v>1811396.5000000005</v>
      </c>
      <c r="R1675">
        <v>83359.2498849517</v>
      </c>
      <c r="S1675" t="s">
        <v>65</v>
      </c>
      <c r="T1675" t="s">
        <v>717</v>
      </c>
      <c r="U1675" t="s">
        <v>717</v>
      </c>
      <c r="V1675" t="s">
        <v>4131</v>
      </c>
      <c r="W1675">
        <v>44922</v>
      </c>
      <c r="X1675" t="s">
        <v>7504</v>
      </c>
      <c r="Y1675" t="s">
        <v>6</v>
      </c>
      <c r="Z1675" t="s">
        <v>17</v>
      </c>
      <c r="AA1675" t="s">
        <v>6637</v>
      </c>
      <c r="AB1675" t="s">
        <v>2509</v>
      </c>
      <c r="AC1675" t="s">
        <v>2571</v>
      </c>
      <c r="AD1675" t="s">
        <v>717</v>
      </c>
      <c r="AE1675" t="s">
        <v>7505</v>
      </c>
      <c r="AF1675" t="s">
        <v>7506</v>
      </c>
      <c r="AG1675" t="s">
        <v>7507</v>
      </c>
      <c r="AH1675" t="s">
        <v>2615</v>
      </c>
      <c r="AI1675" t="s">
        <v>2747</v>
      </c>
      <c r="AJ1675" t="s">
        <v>2569</v>
      </c>
      <c r="AK1675" t="s">
        <v>73</v>
      </c>
      <c r="AL1675" t="s">
        <v>16</v>
      </c>
      <c r="AM1675" t="s">
        <v>10</v>
      </c>
      <c r="AN1675" t="s">
        <v>717</v>
      </c>
    </row>
    <row r="1676" spans="1:40" hidden="1">
      <c r="A1676">
        <v>1674</v>
      </c>
      <c r="B1676">
        <v>49</v>
      </c>
      <c r="C1676" s="58">
        <v>44925</v>
      </c>
      <c r="D1676" t="s">
        <v>121</v>
      </c>
      <c r="E1676" t="s">
        <v>2506</v>
      </c>
      <c r="F1676">
        <v>3</v>
      </c>
      <c r="G1676">
        <v>5</v>
      </c>
      <c r="H1676">
        <v>197</v>
      </c>
      <c r="I1676">
        <v>3</v>
      </c>
      <c r="J1676">
        <v>88.6</v>
      </c>
      <c r="K1676" t="s">
        <v>15</v>
      </c>
      <c r="L1676">
        <v>7049485.5599999996</v>
      </c>
      <c r="M1676">
        <v>15000</v>
      </c>
      <c r="N1676">
        <v>7064485.5599999996</v>
      </c>
      <c r="O1676">
        <v>79734.600000000006</v>
      </c>
      <c r="P1676">
        <v>487300</v>
      </c>
      <c r="Q1676">
        <v>6577185.5599999996</v>
      </c>
      <c r="R1676">
        <v>74234.600000000006</v>
      </c>
      <c r="S1676" t="s">
        <v>65</v>
      </c>
      <c r="T1676" t="s">
        <v>4059</v>
      </c>
      <c r="U1676">
        <v>203418.51000000071</v>
      </c>
      <c r="V1676" t="s">
        <v>4131</v>
      </c>
      <c r="W1676">
        <v>44924</v>
      </c>
      <c r="X1676" t="s">
        <v>7508</v>
      </c>
      <c r="Y1676" t="s">
        <v>6</v>
      </c>
      <c r="Z1676" t="s">
        <v>17</v>
      </c>
      <c r="AA1676" t="s">
        <v>5617</v>
      </c>
      <c r="AB1676" t="s">
        <v>326</v>
      </c>
      <c r="AC1676" t="s">
        <v>2564</v>
      </c>
      <c r="AD1676" t="s">
        <v>717</v>
      </c>
      <c r="AE1676" t="s">
        <v>7509</v>
      </c>
      <c r="AF1676" t="s">
        <v>7510</v>
      </c>
      <c r="AG1676" t="s">
        <v>717</v>
      </c>
      <c r="AH1676" t="s">
        <v>2191</v>
      </c>
      <c r="AI1676" t="s">
        <v>2834</v>
      </c>
      <c r="AJ1676" t="s">
        <v>2514</v>
      </c>
      <c r="AK1676" t="s">
        <v>1233</v>
      </c>
      <c r="AL1676" t="s">
        <v>22</v>
      </c>
      <c r="AM1676" t="s">
        <v>10</v>
      </c>
      <c r="AN1676" t="s">
        <v>717</v>
      </c>
    </row>
    <row r="1677" spans="1:40" hidden="1">
      <c r="A1677">
        <v>1675</v>
      </c>
      <c r="B1677">
        <v>50</v>
      </c>
      <c r="C1677" s="58">
        <v>44925</v>
      </c>
      <c r="D1677" t="s">
        <v>27</v>
      </c>
      <c r="E1677" t="s">
        <v>2515</v>
      </c>
      <c r="F1677">
        <v>4</v>
      </c>
      <c r="G1677">
        <v>20</v>
      </c>
      <c r="H1677">
        <v>166</v>
      </c>
      <c r="I1677">
        <v>0</v>
      </c>
      <c r="J1677">
        <v>24.39</v>
      </c>
      <c r="K1677" t="s">
        <v>9</v>
      </c>
      <c r="L1677">
        <v>2364356.81</v>
      </c>
      <c r="M1677">
        <v>0</v>
      </c>
      <c r="N1677">
        <v>2364356.81</v>
      </c>
      <c r="O1677">
        <v>96939.598605986059</v>
      </c>
      <c r="P1677">
        <v>0</v>
      </c>
      <c r="Q1677">
        <v>2364356.81</v>
      </c>
      <c r="R1677">
        <v>96939.598605986059</v>
      </c>
      <c r="S1677" t="s">
        <v>2507</v>
      </c>
      <c r="T1677" t="s">
        <v>5386</v>
      </c>
      <c r="U1677">
        <v>150000</v>
      </c>
      <c r="V1677" t="s">
        <v>717</v>
      </c>
      <c r="W1677">
        <v>44924</v>
      </c>
      <c r="X1677" t="s">
        <v>7511</v>
      </c>
      <c r="Y1677" t="s">
        <v>6</v>
      </c>
      <c r="Z1677" t="s">
        <v>17</v>
      </c>
      <c r="AA1677" t="s">
        <v>6637</v>
      </c>
      <c r="AB1677" t="s">
        <v>2509</v>
      </c>
      <c r="AC1677" t="s">
        <v>717</v>
      </c>
      <c r="AD1677" t="s">
        <v>717</v>
      </c>
      <c r="AE1677" t="s">
        <v>7512</v>
      </c>
      <c r="AF1677" t="s">
        <v>7513</v>
      </c>
      <c r="AG1677" t="s">
        <v>7514</v>
      </c>
      <c r="AH1677" t="s">
        <v>2615</v>
      </c>
      <c r="AI1677" t="s">
        <v>2552</v>
      </c>
      <c r="AJ1677" t="s">
        <v>2895</v>
      </c>
      <c r="AK1677" t="s">
        <v>1233</v>
      </c>
      <c r="AL1677" t="s">
        <v>717</v>
      </c>
      <c r="AM1677" t="s">
        <v>10</v>
      </c>
      <c r="AN1677" t="s">
        <v>717</v>
      </c>
    </row>
    <row r="1678" spans="1:40" hidden="1">
      <c r="A1678">
        <v>1676</v>
      </c>
      <c r="B1678">
        <v>51</v>
      </c>
      <c r="C1678" s="58">
        <v>44925</v>
      </c>
      <c r="D1678" t="s">
        <v>7</v>
      </c>
      <c r="E1678" t="s">
        <v>2506</v>
      </c>
      <c r="F1678">
        <v>8</v>
      </c>
      <c r="G1678">
        <v>5</v>
      </c>
      <c r="H1678">
        <v>152</v>
      </c>
      <c r="I1678">
        <v>1</v>
      </c>
      <c r="J1678">
        <v>33.79</v>
      </c>
      <c r="K1678" t="s">
        <v>9</v>
      </c>
      <c r="L1678">
        <v>2732661.63</v>
      </c>
      <c r="M1678">
        <v>0</v>
      </c>
      <c r="N1678">
        <v>2732661.63</v>
      </c>
      <c r="O1678">
        <v>80871.903817697559</v>
      </c>
      <c r="P1678">
        <v>0</v>
      </c>
      <c r="Q1678">
        <v>2732661.63</v>
      </c>
      <c r="R1678">
        <v>80871.903817697559</v>
      </c>
      <c r="S1678" t="s">
        <v>130</v>
      </c>
      <c r="T1678" t="s">
        <v>2664</v>
      </c>
      <c r="U1678">
        <v>143824.29631578829</v>
      </c>
      <c r="V1678" t="s">
        <v>717</v>
      </c>
      <c r="W1678">
        <v>44925</v>
      </c>
      <c r="X1678" t="s">
        <v>7515</v>
      </c>
      <c r="Y1678" t="s">
        <v>2611</v>
      </c>
      <c r="Z1678" t="s">
        <v>17</v>
      </c>
      <c r="AA1678" t="s">
        <v>6637</v>
      </c>
      <c r="AB1678" t="s">
        <v>2509</v>
      </c>
      <c r="AC1678" t="s">
        <v>717</v>
      </c>
      <c r="AD1678">
        <v>45400</v>
      </c>
      <c r="AE1678" t="s">
        <v>7516</v>
      </c>
      <c r="AF1678" t="s">
        <v>7517</v>
      </c>
      <c r="AG1678" t="s">
        <v>7518</v>
      </c>
      <c r="AH1678" t="s">
        <v>2580</v>
      </c>
      <c r="AI1678" t="s">
        <v>2621</v>
      </c>
      <c r="AJ1678" t="s">
        <v>3921</v>
      </c>
      <c r="AK1678" t="s">
        <v>73</v>
      </c>
      <c r="AL1678" t="s">
        <v>717</v>
      </c>
      <c r="AM1678" t="s">
        <v>10</v>
      </c>
      <c r="AN1678" t="s">
        <v>717</v>
      </c>
    </row>
    <row r="1679" spans="1:40" hidden="1">
      <c r="A1679">
        <v>1677</v>
      </c>
      <c r="B1679">
        <v>1</v>
      </c>
      <c r="C1679" s="58">
        <v>44939</v>
      </c>
      <c r="D1679" t="s">
        <v>7</v>
      </c>
      <c r="E1679" t="s">
        <v>2515</v>
      </c>
      <c r="F1679">
        <v>5</v>
      </c>
      <c r="G1679">
        <v>7</v>
      </c>
      <c r="H1679">
        <v>45</v>
      </c>
      <c r="I1679">
        <v>2</v>
      </c>
      <c r="J1679">
        <v>54.66</v>
      </c>
      <c r="K1679" t="s">
        <v>15</v>
      </c>
      <c r="L1679">
        <v>4315364.91</v>
      </c>
      <c r="M1679">
        <v>0</v>
      </c>
      <c r="N1679">
        <v>4315364.91</v>
      </c>
      <c r="O1679">
        <v>78949.229967069157</v>
      </c>
      <c r="P1679">
        <v>218639.99999999767</v>
      </c>
      <c r="Q1679">
        <v>4096724.9100000025</v>
      </c>
      <c r="R1679">
        <v>74949.229967069201</v>
      </c>
      <c r="S1679" t="s">
        <v>65</v>
      </c>
      <c r="T1679" t="s">
        <v>717</v>
      </c>
      <c r="U1679" t="s">
        <v>717</v>
      </c>
      <c r="V1679" t="s">
        <v>4131</v>
      </c>
      <c r="W1679">
        <v>44917</v>
      </c>
      <c r="X1679" t="s">
        <v>7519</v>
      </c>
      <c r="Y1679" t="s">
        <v>6</v>
      </c>
      <c r="Z1679" t="s">
        <v>17</v>
      </c>
      <c r="AA1679" t="s">
        <v>6637</v>
      </c>
      <c r="AB1679" t="s">
        <v>2509</v>
      </c>
      <c r="AC1679" t="s">
        <v>2571</v>
      </c>
      <c r="AD1679" t="s">
        <v>717</v>
      </c>
      <c r="AE1679" t="s">
        <v>7520</v>
      </c>
      <c r="AF1679" t="s">
        <v>7521</v>
      </c>
      <c r="AG1679" t="s">
        <v>7522</v>
      </c>
      <c r="AH1679" t="s">
        <v>2615</v>
      </c>
      <c r="AI1679" t="s">
        <v>2621</v>
      </c>
      <c r="AJ1679" t="s">
        <v>2569</v>
      </c>
      <c r="AK1679" t="s">
        <v>77</v>
      </c>
      <c r="AL1679" t="s">
        <v>16</v>
      </c>
      <c r="AM1679" t="s">
        <v>10</v>
      </c>
      <c r="AN1679" t="s">
        <v>6708</v>
      </c>
    </row>
    <row r="1680" spans="1:40" hidden="1">
      <c r="A1680">
        <v>1678</v>
      </c>
      <c r="B1680">
        <v>2</v>
      </c>
      <c r="C1680" s="58">
        <v>44942</v>
      </c>
      <c r="D1680" t="s">
        <v>7</v>
      </c>
      <c r="E1680" t="s">
        <v>2515</v>
      </c>
      <c r="F1680">
        <v>4</v>
      </c>
      <c r="G1680">
        <v>6</v>
      </c>
      <c r="H1680">
        <v>36</v>
      </c>
      <c r="I1680">
        <v>2</v>
      </c>
      <c r="J1680">
        <v>56.03</v>
      </c>
      <c r="K1680" t="s">
        <v>15</v>
      </c>
      <c r="L1680">
        <v>4213555.09</v>
      </c>
      <c r="M1680">
        <v>0</v>
      </c>
      <c r="N1680">
        <v>4213555.09</v>
      </c>
      <c r="O1680">
        <v>75201.768516865966</v>
      </c>
      <c r="P1680">
        <v>224119.99999999817</v>
      </c>
      <c r="Q1680">
        <v>3989435.0900000017</v>
      </c>
      <c r="R1680">
        <v>71201.768516865995</v>
      </c>
      <c r="S1680" t="s">
        <v>65</v>
      </c>
      <c r="T1680" t="s">
        <v>2664</v>
      </c>
      <c r="U1680">
        <v>209970.26789473745</v>
      </c>
      <c r="V1680" t="s">
        <v>6312</v>
      </c>
      <c r="W1680">
        <v>44938</v>
      </c>
      <c r="X1680" t="s">
        <v>7523</v>
      </c>
      <c r="Y1680" t="s">
        <v>6</v>
      </c>
      <c r="Z1680" t="s">
        <v>17</v>
      </c>
      <c r="AA1680" t="s">
        <v>6637</v>
      </c>
      <c r="AB1680" t="s">
        <v>2509</v>
      </c>
      <c r="AC1680" t="s">
        <v>2571</v>
      </c>
      <c r="AD1680" t="s">
        <v>717</v>
      </c>
      <c r="AE1680" t="s">
        <v>7524</v>
      </c>
      <c r="AF1680" t="s">
        <v>7525</v>
      </c>
      <c r="AG1680" t="s">
        <v>7526</v>
      </c>
      <c r="AH1680" t="s">
        <v>2552</v>
      </c>
      <c r="AI1680" t="s">
        <v>2547</v>
      </c>
      <c r="AJ1680" t="s">
        <v>2855</v>
      </c>
      <c r="AK1680" t="s">
        <v>1233</v>
      </c>
      <c r="AL1680" t="s">
        <v>22</v>
      </c>
      <c r="AM1680" t="s">
        <v>10</v>
      </c>
      <c r="AN1680" t="s">
        <v>6708</v>
      </c>
    </row>
    <row r="1681" spans="1:40" hidden="1">
      <c r="A1681">
        <v>1679</v>
      </c>
      <c r="B1681">
        <v>3</v>
      </c>
      <c r="C1681" s="58">
        <v>44942</v>
      </c>
      <c r="D1681" t="s">
        <v>27</v>
      </c>
      <c r="E1681" t="s">
        <v>2515</v>
      </c>
      <c r="F1681">
        <v>8</v>
      </c>
      <c r="G1681">
        <v>21</v>
      </c>
      <c r="H1681">
        <v>179</v>
      </c>
      <c r="I1681">
        <v>1</v>
      </c>
      <c r="J1681">
        <v>37.69</v>
      </c>
      <c r="K1681" t="s">
        <v>15</v>
      </c>
      <c r="L1681">
        <v>3792334.03</v>
      </c>
      <c r="M1681">
        <v>0</v>
      </c>
      <c r="N1681">
        <v>3792334.03</v>
      </c>
      <c r="O1681">
        <v>100619.10400636774</v>
      </c>
      <c r="P1681">
        <v>150760.00000000093</v>
      </c>
      <c r="Q1681">
        <v>3641574.0299999993</v>
      </c>
      <c r="R1681">
        <v>96619.104006367706</v>
      </c>
      <c r="S1681" t="s">
        <v>2507</v>
      </c>
      <c r="T1681" t="s">
        <v>2664</v>
      </c>
      <c r="U1681">
        <v>191661.79105263157</v>
      </c>
      <c r="V1681" t="s">
        <v>717</v>
      </c>
      <c r="W1681">
        <v>44938</v>
      </c>
      <c r="X1681" t="s">
        <v>7527</v>
      </c>
      <c r="Y1681" t="s">
        <v>6</v>
      </c>
      <c r="Z1681" t="s">
        <v>17</v>
      </c>
      <c r="AA1681" t="s">
        <v>6637</v>
      </c>
      <c r="AB1681" t="s">
        <v>2509</v>
      </c>
      <c r="AC1681" t="s">
        <v>717</v>
      </c>
      <c r="AD1681" t="s">
        <v>717</v>
      </c>
      <c r="AE1681" t="s">
        <v>7528</v>
      </c>
      <c r="AF1681" t="s">
        <v>7529</v>
      </c>
      <c r="AG1681" t="s">
        <v>7530</v>
      </c>
      <c r="AH1681" t="s">
        <v>2191</v>
      </c>
      <c r="AI1681" t="s">
        <v>2538</v>
      </c>
      <c r="AJ1681" t="s">
        <v>2514</v>
      </c>
      <c r="AK1681" t="s">
        <v>1233</v>
      </c>
      <c r="AL1681" t="s">
        <v>717</v>
      </c>
      <c r="AM1681" t="s">
        <v>10</v>
      </c>
      <c r="AN1681" t="s">
        <v>717</v>
      </c>
    </row>
    <row r="1682" spans="1:40" hidden="1">
      <c r="A1682">
        <v>1680</v>
      </c>
      <c r="B1682">
        <v>4</v>
      </c>
      <c r="C1682" s="58">
        <v>44945</v>
      </c>
      <c r="D1682" t="s">
        <v>27</v>
      </c>
      <c r="E1682" t="s">
        <v>5456</v>
      </c>
      <c r="F1682">
        <v>9</v>
      </c>
      <c r="G1682">
        <v>10</v>
      </c>
      <c r="H1682">
        <v>911</v>
      </c>
      <c r="I1682">
        <v>0</v>
      </c>
      <c r="J1682">
        <v>23.09</v>
      </c>
      <c r="K1682" t="s">
        <v>25</v>
      </c>
      <c r="L1682">
        <v>2468085.5099999998</v>
      </c>
      <c r="M1682">
        <v>0</v>
      </c>
      <c r="N1682">
        <v>2468085.5099999998</v>
      </c>
      <c r="O1682">
        <v>106889.80121264615</v>
      </c>
      <c r="P1682">
        <v>346350</v>
      </c>
      <c r="Q1682">
        <v>2121735.5099999998</v>
      </c>
      <c r="R1682">
        <v>91889.801212646154</v>
      </c>
      <c r="S1682" t="s">
        <v>65</v>
      </c>
      <c r="T1682" t="s">
        <v>5386</v>
      </c>
      <c r="U1682">
        <v>150000</v>
      </c>
      <c r="V1682" t="s">
        <v>4131</v>
      </c>
      <c r="W1682">
        <v>44941</v>
      </c>
      <c r="X1682" t="s">
        <v>7531</v>
      </c>
      <c r="Y1682" t="s">
        <v>6</v>
      </c>
      <c r="Z1682" t="s">
        <v>17</v>
      </c>
      <c r="AA1682" t="s">
        <v>6637</v>
      </c>
      <c r="AB1682" t="s">
        <v>2509</v>
      </c>
      <c r="AC1682" t="s">
        <v>2571</v>
      </c>
      <c r="AD1682" t="s">
        <v>717</v>
      </c>
      <c r="AE1682" t="s">
        <v>7532</v>
      </c>
      <c r="AF1682" t="s">
        <v>7533</v>
      </c>
      <c r="AG1682" t="s">
        <v>7534</v>
      </c>
      <c r="AH1682" t="s">
        <v>2615</v>
      </c>
      <c r="AI1682" t="s">
        <v>2552</v>
      </c>
      <c r="AJ1682" t="s">
        <v>2895</v>
      </c>
      <c r="AK1682" t="s">
        <v>73</v>
      </c>
      <c r="AL1682" t="s">
        <v>22</v>
      </c>
      <c r="AM1682" t="s">
        <v>10</v>
      </c>
      <c r="AN1682" t="s">
        <v>717</v>
      </c>
    </row>
    <row r="1683" spans="1:40" hidden="1">
      <c r="A1683">
        <v>1681</v>
      </c>
      <c r="B1683">
        <v>5</v>
      </c>
      <c r="C1683" s="58">
        <v>44945</v>
      </c>
      <c r="D1683" t="s">
        <v>7</v>
      </c>
      <c r="E1683" t="s">
        <v>2515</v>
      </c>
      <c r="F1683">
        <v>8</v>
      </c>
      <c r="G1683">
        <v>16</v>
      </c>
      <c r="H1683">
        <v>120</v>
      </c>
      <c r="I1683">
        <v>0</v>
      </c>
      <c r="J1683">
        <v>21.73</v>
      </c>
      <c r="K1683" t="s">
        <v>25</v>
      </c>
      <c r="L1683">
        <v>2198886.6800000002</v>
      </c>
      <c r="M1683">
        <v>0</v>
      </c>
      <c r="N1683">
        <v>2198886.6800000002</v>
      </c>
      <c r="O1683">
        <v>101191.28762080074</v>
      </c>
      <c r="P1683">
        <v>478060.00000000023</v>
      </c>
      <c r="Q1683">
        <v>1720826.68</v>
      </c>
      <c r="R1683">
        <v>79191.287620800736</v>
      </c>
      <c r="S1683" t="s">
        <v>2507</v>
      </c>
      <c r="T1683" t="s">
        <v>2664</v>
      </c>
      <c r="U1683">
        <v>90569.83</v>
      </c>
      <c r="V1683" t="s">
        <v>717</v>
      </c>
      <c r="W1683">
        <v>44943</v>
      </c>
      <c r="X1683" t="s">
        <v>7535</v>
      </c>
      <c r="Y1683" t="s">
        <v>6</v>
      </c>
      <c r="Z1683" t="s">
        <v>17</v>
      </c>
      <c r="AA1683" t="s">
        <v>6637</v>
      </c>
      <c r="AB1683" t="s">
        <v>2509</v>
      </c>
      <c r="AC1683" t="s">
        <v>717</v>
      </c>
      <c r="AD1683" t="s">
        <v>717</v>
      </c>
      <c r="AE1683" t="s">
        <v>7536</v>
      </c>
      <c r="AF1683" t="s">
        <v>7537</v>
      </c>
      <c r="AG1683" t="s">
        <v>7538</v>
      </c>
      <c r="AH1683" t="s">
        <v>2615</v>
      </c>
      <c r="AI1683" t="s">
        <v>2552</v>
      </c>
      <c r="AJ1683" t="s">
        <v>2662</v>
      </c>
      <c r="AK1683" t="s">
        <v>1233</v>
      </c>
      <c r="AL1683" t="s">
        <v>717</v>
      </c>
      <c r="AM1683" t="s">
        <v>10</v>
      </c>
      <c r="AN1683" t="s">
        <v>7539</v>
      </c>
    </row>
    <row r="1684" spans="1:40" hidden="1">
      <c r="A1684">
        <v>1682</v>
      </c>
      <c r="B1684">
        <v>6</v>
      </c>
      <c r="C1684" s="58">
        <v>44948</v>
      </c>
      <c r="D1684" t="s">
        <v>27</v>
      </c>
      <c r="E1684" t="s">
        <v>2506</v>
      </c>
      <c r="F1684">
        <v>3</v>
      </c>
      <c r="G1684">
        <v>23</v>
      </c>
      <c r="H1684">
        <v>378</v>
      </c>
      <c r="I1684">
        <v>0</v>
      </c>
      <c r="J1684">
        <v>23.54</v>
      </c>
      <c r="K1684" t="s">
        <v>25</v>
      </c>
      <c r="L1684">
        <v>2696848.6</v>
      </c>
      <c r="M1684">
        <v>0</v>
      </c>
      <c r="N1684">
        <v>2696848.6</v>
      </c>
      <c r="O1684">
        <v>114564.5114698386</v>
      </c>
      <c r="P1684">
        <v>353099.99999999953</v>
      </c>
      <c r="Q1684">
        <v>2343748.600000001</v>
      </c>
      <c r="R1684">
        <v>99564.511469838602</v>
      </c>
      <c r="S1684" t="s">
        <v>65</v>
      </c>
      <c r="T1684" t="s">
        <v>5386</v>
      </c>
      <c r="U1684">
        <v>100000</v>
      </c>
      <c r="V1684" t="s">
        <v>4131</v>
      </c>
      <c r="W1684">
        <v>44944</v>
      </c>
      <c r="X1684" t="s">
        <v>7540</v>
      </c>
      <c r="Y1684" t="s">
        <v>6</v>
      </c>
      <c r="Z1684" t="s">
        <v>17</v>
      </c>
      <c r="AA1684" t="s">
        <v>6637</v>
      </c>
      <c r="AB1684" t="s">
        <v>2509</v>
      </c>
      <c r="AC1684" t="s">
        <v>2571</v>
      </c>
      <c r="AD1684" t="s">
        <v>717</v>
      </c>
      <c r="AE1684" t="s">
        <v>7541</v>
      </c>
      <c r="AF1684" t="s">
        <v>7542</v>
      </c>
      <c r="AG1684" t="s">
        <v>7543</v>
      </c>
      <c r="AH1684" t="s">
        <v>65</v>
      </c>
      <c r="AI1684" t="s">
        <v>5056</v>
      </c>
      <c r="AJ1684" t="s">
        <v>6169</v>
      </c>
      <c r="AK1684" t="s">
        <v>77</v>
      </c>
      <c r="AL1684" t="s">
        <v>22</v>
      </c>
      <c r="AM1684" t="s">
        <v>10</v>
      </c>
      <c r="AN1684" t="s">
        <v>6708</v>
      </c>
    </row>
    <row r="1685" spans="1:40" hidden="1">
      <c r="A1685">
        <v>1683</v>
      </c>
      <c r="B1685">
        <v>7</v>
      </c>
      <c r="C1685" s="58">
        <v>44949</v>
      </c>
      <c r="D1685" t="s">
        <v>7</v>
      </c>
      <c r="E1685" t="s">
        <v>2581</v>
      </c>
      <c r="F1685">
        <v>5</v>
      </c>
      <c r="G1685">
        <v>11</v>
      </c>
      <c r="H1685">
        <v>308</v>
      </c>
      <c r="I1685">
        <v>2</v>
      </c>
      <c r="J1685">
        <v>56.7</v>
      </c>
      <c r="K1685" t="s">
        <v>25</v>
      </c>
      <c r="L1685">
        <v>4303520.28</v>
      </c>
      <c r="M1685">
        <v>0</v>
      </c>
      <c r="N1685">
        <v>4303520.28</v>
      </c>
      <c r="O1685">
        <v>75899.828571428574</v>
      </c>
      <c r="P1685">
        <v>226800</v>
      </c>
      <c r="Q1685">
        <v>4076720.28</v>
      </c>
      <c r="R1685">
        <v>71899.828571428574</v>
      </c>
      <c r="S1685" t="s">
        <v>2507</v>
      </c>
      <c r="T1685" t="s">
        <v>5768</v>
      </c>
      <c r="U1685">
        <v>214564.23</v>
      </c>
      <c r="V1685" t="s">
        <v>717</v>
      </c>
      <c r="W1685">
        <v>44908</v>
      </c>
      <c r="X1685" t="s">
        <v>7544</v>
      </c>
      <c r="Y1685" t="s">
        <v>6</v>
      </c>
      <c r="Z1685" t="s">
        <v>11</v>
      </c>
      <c r="AA1685" t="s">
        <v>717</v>
      </c>
      <c r="AB1685" t="s">
        <v>2509</v>
      </c>
      <c r="AC1685" t="s">
        <v>717</v>
      </c>
      <c r="AD1685" t="s">
        <v>717</v>
      </c>
      <c r="AE1685" t="s">
        <v>7545</v>
      </c>
      <c r="AF1685" t="s">
        <v>7546</v>
      </c>
      <c r="AG1685" t="s">
        <v>7547</v>
      </c>
      <c r="AH1685" t="s">
        <v>2616</v>
      </c>
      <c r="AI1685" t="s">
        <v>2552</v>
      </c>
      <c r="AJ1685" t="s">
        <v>3185</v>
      </c>
      <c r="AK1685" t="s">
        <v>77</v>
      </c>
      <c r="AL1685" t="s">
        <v>717</v>
      </c>
      <c r="AM1685" t="s">
        <v>10</v>
      </c>
      <c r="AN1685" t="s">
        <v>7548</v>
      </c>
    </row>
    <row r="1686" spans="1:40" hidden="1">
      <c r="A1686">
        <v>1684</v>
      </c>
      <c r="B1686">
        <v>8</v>
      </c>
      <c r="C1686" s="58">
        <v>44949</v>
      </c>
      <c r="D1686" t="s">
        <v>7</v>
      </c>
      <c r="E1686" t="s">
        <v>2515</v>
      </c>
      <c r="F1686">
        <v>8</v>
      </c>
      <c r="G1686">
        <v>11</v>
      </c>
      <c r="H1686">
        <v>80</v>
      </c>
      <c r="I1686">
        <v>0</v>
      </c>
      <c r="J1686">
        <v>21.73</v>
      </c>
      <c r="K1686" t="s">
        <v>15</v>
      </c>
      <c r="L1686">
        <v>1898316.5</v>
      </c>
      <c r="M1686">
        <v>0</v>
      </c>
      <c r="N1686">
        <v>1898316.5</v>
      </c>
      <c r="O1686">
        <v>87359.249884951685</v>
      </c>
      <c r="P1686">
        <v>86920</v>
      </c>
      <c r="Q1686">
        <v>1811396.5</v>
      </c>
      <c r="R1686">
        <v>83359.249884951685</v>
      </c>
      <c r="S1686" t="s">
        <v>65</v>
      </c>
      <c r="T1686" t="s">
        <v>717</v>
      </c>
      <c r="U1686" t="s">
        <v>717</v>
      </c>
      <c r="V1686" t="s">
        <v>4131</v>
      </c>
      <c r="W1686">
        <v>44943</v>
      </c>
      <c r="X1686" t="s">
        <v>7549</v>
      </c>
      <c r="Y1686" t="s">
        <v>6</v>
      </c>
      <c r="Z1686" t="s">
        <v>17</v>
      </c>
      <c r="AA1686" t="s">
        <v>6637</v>
      </c>
      <c r="AB1686" t="s">
        <v>2509</v>
      </c>
      <c r="AC1686" t="s">
        <v>2571</v>
      </c>
      <c r="AD1686" t="s">
        <v>717</v>
      </c>
      <c r="AE1686" t="s">
        <v>7550</v>
      </c>
      <c r="AF1686" t="s">
        <v>7551</v>
      </c>
      <c r="AG1686" t="s">
        <v>7552</v>
      </c>
      <c r="AH1686" t="s">
        <v>2615</v>
      </c>
      <c r="AI1686" t="s">
        <v>2538</v>
      </c>
      <c r="AJ1686" t="s">
        <v>2895</v>
      </c>
      <c r="AK1686" t="s">
        <v>1233</v>
      </c>
      <c r="AL1686" t="s">
        <v>22</v>
      </c>
      <c r="AM1686" t="s">
        <v>10</v>
      </c>
      <c r="AN1686" t="s">
        <v>6708</v>
      </c>
    </row>
    <row r="1687" spans="1:40" hidden="1">
      <c r="A1687">
        <v>1685</v>
      </c>
      <c r="B1687">
        <v>9</v>
      </c>
      <c r="C1687" s="58">
        <v>44950</v>
      </c>
      <c r="D1687" t="s">
        <v>7</v>
      </c>
      <c r="E1687" t="s">
        <v>4409</v>
      </c>
      <c r="F1687">
        <v>3</v>
      </c>
      <c r="G1687">
        <v>11</v>
      </c>
      <c r="H1687">
        <v>485</v>
      </c>
      <c r="I1687">
        <v>3</v>
      </c>
      <c r="J1687">
        <v>74.28</v>
      </c>
      <c r="K1687" t="s">
        <v>15</v>
      </c>
      <c r="L1687">
        <v>5270229.92</v>
      </c>
      <c r="M1687">
        <v>0</v>
      </c>
      <c r="N1687">
        <v>5270229.92</v>
      </c>
      <c r="O1687">
        <v>70950.860527732904</v>
      </c>
      <c r="P1687">
        <v>297120</v>
      </c>
      <c r="Q1687">
        <v>4973109.92</v>
      </c>
      <c r="R1687">
        <v>66950.860527732904</v>
      </c>
      <c r="S1687" t="s">
        <v>65</v>
      </c>
      <c r="T1687" t="s">
        <v>2664</v>
      </c>
      <c r="U1687">
        <v>261742.63</v>
      </c>
      <c r="V1687" t="s">
        <v>4131</v>
      </c>
      <c r="W1687">
        <v>44945</v>
      </c>
      <c r="X1687" t="s">
        <v>7553</v>
      </c>
      <c r="Y1687" t="s">
        <v>6</v>
      </c>
      <c r="Z1687" t="s">
        <v>17</v>
      </c>
      <c r="AA1687" t="s">
        <v>6637</v>
      </c>
      <c r="AB1687" t="s">
        <v>2509</v>
      </c>
      <c r="AC1687" t="s">
        <v>2571</v>
      </c>
      <c r="AD1687" t="s">
        <v>717</v>
      </c>
      <c r="AE1687" t="s">
        <v>7554</v>
      </c>
      <c r="AF1687" t="s">
        <v>7555</v>
      </c>
      <c r="AG1687" t="s">
        <v>7556</v>
      </c>
      <c r="AH1687" t="s">
        <v>2615</v>
      </c>
      <c r="AI1687" t="s">
        <v>2552</v>
      </c>
      <c r="AJ1687" t="s">
        <v>3289</v>
      </c>
      <c r="AK1687" t="s">
        <v>77</v>
      </c>
      <c r="AL1687" t="s">
        <v>22</v>
      </c>
      <c r="AM1687" t="s">
        <v>10</v>
      </c>
      <c r="AN1687" t="s">
        <v>6708</v>
      </c>
    </row>
    <row r="1688" spans="1:40" hidden="1">
      <c r="A1688">
        <v>1686</v>
      </c>
      <c r="B1688">
        <v>10</v>
      </c>
      <c r="C1688" s="58">
        <v>44952</v>
      </c>
      <c r="D1688" t="s">
        <v>7</v>
      </c>
      <c r="E1688" t="s">
        <v>2581</v>
      </c>
      <c r="F1688">
        <v>5</v>
      </c>
      <c r="G1688">
        <v>6</v>
      </c>
      <c r="H1688">
        <v>273</v>
      </c>
      <c r="I1688">
        <v>2</v>
      </c>
      <c r="J1688">
        <v>56.7</v>
      </c>
      <c r="K1688" t="s">
        <v>15</v>
      </c>
      <c r="L1688">
        <v>4303520.28</v>
      </c>
      <c r="M1688">
        <v>0</v>
      </c>
      <c r="N1688">
        <v>4303520.28</v>
      </c>
      <c r="O1688">
        <v>75899.828571428574</v>
      </c>
      <c r="P1688">
        <v>226800</v>
      </c>
      <c r="Q1688">
        <v>4076720.28</v>
      </c>
      <c r="R1688">
        <v>71899.828571428574</v>
      </c>
      <c r="S1688" t="s">
        <v>65</v>
      </c>
      <c r="T1688" t="s">
        <v>2664</v>
      </c>
      <c r="U1688">
        <v>214564.23</v>
      </c>
      <c r="V1688" t="s">
        <v>4131</v>
      </c>
      <c r="W1688">
        <v>44940</v>
      </c>
      <c r="X1688" t="s">
        <v>7557</v>
      </c>
      <c r="Y1688" t="s">
        <v>6</v>
      </c>
      <c r="Z1688" t="s">
        <v>17</v>
      </c>
      <c r="AA1688" t="s">
        <v>6637</v>
      </c>
      <c r="AB1688" t="s">
        <v>2509</v>
      </c>
      <c r="AC1688" t="s">
        <v>2571</v>
      </c>
      <c r="AD1688" t="s">
        <v>717</v>
      </c>
      <c r="AE1688" t="s">
        <v>7558</v>
      </c>
      <c r="AF1688" t="s">
        <v>7559</v>
      </c>
      <c r="AG1688" t="s">
        <v>7560</v>
      </c>
      <c r="AH1688" t="s">
        <v>2615</v>
      </c>
      <c r="AI1688" t="s">
        <v>2552</v>
      </c>
      <c r="AJ1688" t="s">
        <v>2895</v>
      </c>
      <c r="AK1688" t="s">
        <v>77</v>
      </c>
      <c r="AL1688" t="s">
        <v>22</v>
      </c>
      <c r="AM1688" t="s">
        <v>10</v>
      </c>
      <c r="AN1688" t="s">
        <v>6708</v>
      </c>
    </row>
    <row r="1689" spans="1:40" hidden="1">
      <c r="A1689">
        <v>1687</v>
      </c>
      <c r="B1689">
        <v>11</v>
      </c>
      <c r="C1689" s="58">
        <v>44952</v>
      </c>
      <c r="D1689" t="s">
        <v>27</v>
      </c>
      <c r="E1689" t="s">
        <v>2515</v>
      </c>
      <c r="F1689">
        <v>4</v>
      </c>
      <c r="G1689">
        <v>12</v>
      </c>
      <c r="H1689">
        <v>94</v>
      </c>
      <c r="I1689">
        <v>0</v>
      </c>
      <c r="J1689">
        <v>24.39</v>
      </c>
      <c r="K1689" t="s">
        <v>9</v>
      </c>
      <c r="L1689">
        <v>2235516.63</v>
      </c>
      <c r="M1689">
        <v>0</v>
      </c>
      <c r="N1689">
        <v>2235516.63</v>
      </c>
      <c r="O1689">
        <v>91657.098400984003</v>
      </c>
      <c r="P1689">
        <v>0</v>
      </c>
      <c r="Q1689">
        <v>2235516.63</v>
      </c>
      <c r="R1689">
        <v>91657.098400984003</v>
      </c>
      <c r="S1689" t="s">
        <v>65</v>
      </c>
      <c r="T1689" t="s">
        <v>5386</v>
      </c>
      <c r="U1689">
        <v>150000</v>
      </c>
      <c r="V1689" t="s">
        <v>4131</v>
      </c>
      <c r="W1689">
        <v>44948</v>
      </c>
      <c r="X1689" t="s">
        <v>7561</v>
      </c>
      <c r="Y1689" t="s">
        <v>6</v>
      </c>
      <c r="Z1689" t="s">
        <v>17</v>
      </c>
      <c r="AA1689" t="s">
        <v>6637</v>
      </c>
      <c r="AB1689" t="s">
        <v>2509</v>
      </c>
      <c r="AC1689" t="s">
        <v>2571</v>
      </c>
      <c r="AD1689" t="s">
        <v>717</v>
      </c>
      <c r="AE1689" t="s">
        <v>7562</v>
      </c>
      <c r="AF1689" t="s">
        <v>7563</v>
      </c>
      <c r="AG1689" t="s">
        <v>7564</v>
      </c>
      <c r="AH1689" t="s">
        <v>2191</v>
      </c>
      <c r="AI1689" t="s">
        <v>2538</v>
      </c>
      <c r="AJ1689" t="s">
        <v>2514</v>
      </c>
      <c r="AK1689" t="s">
        <v>77</v>
      </c>
      <c r="AL1689" t="s">
        <v>16</v>
      </c>
      <c r="AM1689" t="s">
        <v>10</v>
      </c>
      <c r="AN1689" t="s">
        <v>717</v>
      </c>
    </row>
    <row r="1690" spans="1:40" hidden="1">
      <c r="A1690">
        <v>1688</v>
      </c>
      <c r="B1690">
        <v>12</v>
      </c>
      <c r="C1690" s="58">
        <v>44953</v>
      </c>
      <c r="D1690" t="s">
        <v>7</v>
      </c>
      <c r="E1690" t="s">
        <v>2506</v>
      </c>
      <c r="F1690">
        <v>3</v>
      </c>
      <c r="G1690">
        <v>13</v>
      </c>
      <c r="H1690">
        <v>211</v>
      </c>
      <c r="I1690">
        <v>1</v>
      </c>
      <c r="J1690">
        <v>35.380000000000003</v>
      </c>
      <c r="K1690" t="s">
        <v>15</v>
      </c>
      <c r="L1690">
        <v>3213000.38</v>
      </c>
      <c r="M1690">
        <v>0</v>
      </c>
      <c r="N1690">
        <v>3213000.38</v>
      </c>
      <c r="O1690">
        <v>90814.029960429616</v>
      </c>
      <c r="P1690">
        <v>141520.00000000047</v>
      </c>
      <c r="Q1690">
        <v>3071480.3799999994</v>
      </c>
      <c r="R1690">
        <v>86814.029960429601</v>
      </c>
      <c r="S1690" t="s">
        <v>65</v>
      </c>
      <c r="T1690" t="s">
        <v>717</v>
      </c>
      <c r="U1690" t="s">
        <v>717</v>
      </c>
      <c r="V1690" t="s">
        <v>6312</v>
      </c>
      <c r="W1690">
        <v>44944</v>
      </c>
      <c r="X1690" t="s">
        <v>7565</v>
      </c>
      <c r="Y1690" t="s">
        <v>6</v>
      </c>
      <c r="Z1690" t="s">
        <v>17</v>
      </c>
      <c r="AA1690" t="s">
        <v>6637</v>
      </c>
      <c r="AB1690" t="s">
        <v>2509</v>
      </c>
      <c r="AC1690" t="s">
        <v>2571</v>
      </c>
      <c r="AD1690" t="s">
        <v>717</v>
      </c>
      <c r="AE1690" t="s">
        <v>7566</v>
      </c>
      <c r="AF1690" t="s">
        <v>7567</v>
      </c>
      <c r="AG1690" t="s">
        <v>7568</v>
      </c>
      <c r="AH1690" t="s">
        <v>2615</v>
      </c>
      <c r="AI1690" t="s">
        <v>3120</v>
      </c>
      <c r="AJ1690" t="s">
        <v>3202</v>
      </c>
      <c r="AK1690" t="s">
        <v>1233</v>
      </c>
      <c r="AL1690" t="s">
        <v>16</v>
      </c>
      <c r="AM1690" t="s">
        <v>10</v>
      </c>
      <c r="AN1690" t="s">
        <v>6708</v>
      </c>
    </row>
    <row r="1691" spans="1:40" hidden="1">
      <c r="A1691">
        <v>1689</v>
      </c>
      <c r="B1691">
        <v>13</v>
      </c>
      <c r="C1691" s="58">
        <v>44953</v>
      </c>
      <c r="D1691" t="s">
        <v>7</v>
      </c>
      <c r="E1691" t="s">
        <v>2515</v>
      </c>
      <c r="F1691">
        <v>2</v>
      </c>
      <c r="G1691">
        <v>13</v>
      </c>
      <c r="H1691">
        <v>90</v>
      </c>
      <c r="I1691">
        <v>2</v>
      </c>
      <c r="J1691">
        <v>61.76</v>
      </c>
      <c r="K1691" t="s">
        <v>15</v>
      </c>
      <c r="L1691">
        <v>4687573.41</v>
      </c>
      <c r="M1691">
        <v>0</v>
      </c>
      <c r="N1691">
        <v>4687573.41</v>
      </c>
      <c r="O1691">
        <v>75899.82852979275</v>
      </c>
      <c r="P1691">
        <v>247040</v>
      </c>
      <c r="Q1691">
        <v>4440533.41</v>
      </c>
      <c r="R1691">
        <v>71899.82852979275</v>
      </c>
      <c r="S1691" t="s">
        <v>65</v>
      </c>
      <c r="T1691" t="s">
        <v>2664</v>
      </c>
      <c r="U1691">
        <v>233712.28</v>
      </c>
      <c r="V1691" t="s">
        <v>4131</v>
      </c>
      <c r="W1691">
        <v>44946</v>
      </c>
      <c r="X1691" t="s">
        <v>7569</v>
      </c>
      <c r="Y1691" t="s">
        <v>6</v>
      </c>
      <c r="Z1691" t="s">
        <v>17</v>
      </c>
      <c r="AA1691" t="s">
        <v>6637</v>
      </c>
      <c r="AB1691" t="s">
        <v>2509</v>
      </c>
      <c r="AC1691" t="s">
        <v>2571</v>
      </c>
      <c r="AD1691" t="s">
        <v>717</v>
      </c>
      <c r="AE1691" t="s">
        <v>7570</v>
      </c>
      <c r="AF1691" t="s">
        <v>7571</v>
      </c>
      <c r="AG1691" t="s">
        <v>7572</v>
      </c>
      <c r="AH1691" t="s">
        <v>2552</v>
      </c>
      <c r="AI1691" t="s">
        <v>2877</v>
      </c>
      <c r="AJ1691" t="s">
        <v>2569</v>
      </c>
      <c r="AK1691" t="s">
        <v>1233</v>
      </c>
      <c r="AL1691" t="s">
        <v>22</v>
      </c>
      <c r="AM1691" t="s">
        <v>10</v>
      </c>
      <c r="AN1691" t="s">
        <v>6708</v>
      </c>
    </row>
    <row r="1692" spans="1:40" hidden="1">
      <c r="A1692">
        <v>1690</v>
      </c>
      <c r="B1692">
        <v>14</v>
      </c>
      <c r="C1692" s="58">
        <v>44953</v>
      </c>
      <c r="D1692" t="s">
        <v>27</v>
      </c>
      <c r="E1692" t="s">
        <v>2515</v>
      </c>
      <c r="F1692">
        <v>4</v>
      </c>
      <c r="G1692">
        <v>22</v>
      </c>
      <c r="H1692">
        <v>184</v>
      </c>
      <c r="I1692">
        <v>0</v>
      </c>
      <c r="J1692">
        <v>24.39</v>
      </c>
      <c r="K1692" t="s">
        <v>15</v>
      </c>
      <c r="L1692">
        <v>2332340.2999999998</v>
      </c>
      <c r="M1692">
        <v>0</v>
      </c>
      <c r="N1692">
        <v>2332340.2999999998</v>
      </c>
      <c r="O1692">
        <v>95626.908569085703</v>
      </c>
      <c r="P1692">
        <v>97560</v>
      </c>
      <c r="Q1692">
        <v>2234780.2999999998</v>
      </c>
      <c r="R1692">
        <v>91626.908569085703</v>
      </c>
      <c r="S1692" t="s">
        <v>65</v>
      </c>
      <c r="T1692" t="s">
        <v>5386</v>
      </c>
      <c r="U1692">
        <v>150000</v>
      </c>
      <c r="V1692" t="s">
        <v>4131</v>
      </c>
      <c r="W1692">
        <v>44949</v>
      </c>
      <c r="X1692" t="s">
        <v>7573</v>
      </c>
      <c r="Y1692" t="s">
        <v>6</v>
      </c>
      <c r="Z1692" t="s">
        <v>17</v>
      </c>
      <c r="AA1692" t="s">
        <v>6637</v>
      </c>
      <c r="AB1692" t="s">
        <v>2509</v>
      </c>
      <c r="AC1692" t="s">
        <v>2571</v>
      </c>
      <c r="AD1692" t="s">
        <v>717</v>
      </c>
      <c r="AE1692" t="s">
        <v>7574</v>
      </c>
      <c r="AF1692" t="s">
        <v>7575</v>
      </c>
      <c r="AG1692" t="s">
        <v>7576</v>
      </c>
      <c r="AH1692" t="s">
        <v>2191</v>
      </c>
      <c r="AI1692" t="s">
        <v>2552</v>
      </c>
      <c r="AJ1692" t="s">
        <v>2514</v>
      </c>
      <c r="AK1692" t="s">
        <v>77</v>
      </c>
      <c r="AL1692" t="s">
        <v>16</v>
      </c>
      <c r="AM1692" t="s">
        <v>10</v>
      </c>
      <c r="AN1692" t="s">
        <v>717</v>
      </c>
    </row>
    <row r="1693" spans="1:40" hidden="1">
      <c r="A1693">
        <v>1691</v>
      </c>
      <c r="B1693">
        <v>15</v>
      </c>
      <c r="C1693" s="58">
        <v>44953</v>
      </c>
      <c r="D1693" t="s">
        <v>7</v>
      </c>
      <c r="E1693" t="s">
        <v>2506</v>
      </c>
      <c r="F1693">
        <v>1</v>
      </c>
      <c r="G1693">
        <v>2</v>
      </c>
      <c r="H1693">
        <v>121</v>
      </c>
      <c r="I1693">
        <v>0</v>
      </c>
      <c r="J1693">
        <v>28.97</v>
      </c>
      <c r="K1693" t="s">
        <v>25</v>
      </c>
      <c r="L1693">
        <v>2849467.47</v>
      </c>
      <c r="M1693">
        <v>0</v>
      </c>
      <c r="N1693">
        <v>2849467.47</v>
      </c>
      <c r="O1693">
        <v>98359.249913703839</v>
      </c>
      <c r="P1693">
        <v>434550</v>
      </c>
      <c r="Q1693">
        <v>2414917.4700000002</v>
      </c>
      <c r="R1693">
        <v>83359.249913703839</v>
      </c>
      <c r="S1693" t="s">
        <v>65</v>
      </c>
      <c r="T1693" t="s">
        <v>717</v>
      </c>
      <c r="U1693" t="s">
        <v>717</v>
      </c>
      <c r="V1693" t="s">
        <v>4131</v>
      </c>
      <c r="W1693">
        <v>44953</v>
      </c>
      <c r="X1693" t="s">
        <v>7577</v>
      </c>
      <c r="Y1693" t="s">
        <v>6</v>
      </c>
      <c r="Z1693" t="s">
        <v>17</v>
      </c>
      <c r="AA1693" t="s">
        <v>6637</v>
      </c>
      <c r="AB1693" t="s">
        <v>2509</v>
      </c>
      <c r="AC1693" t="s">
        <v>2571</v>
      </c>
      <c r="AD1693" t="s">
        <v>717</v>
      </c>
      <c r="AE1693" t="s">
        <v>7578</v>
      </c>
      <c r="AF1693" t="s">
        <v>7579</v>
      </c>
      <c r="AG1693" t="s">
        <v>7580</v>
      </c>
      <c r="AH1693" t="s">
        <v>2615</v>
      </c>
      <c r="AI1693" t="s">
        <v>2621</v>
      </c>
      <c r="AJ1693" t="s">
        <v>2569</v>
      </c>
      <c r="AK1693" t="s">
        <v>77</v>
      </c>
      <c r="AL1693" t="s">
        <v>16</v>
      </c>
      <c r="AM1693" t="s">
        <v>10</v>
      </c>
      <c r="AN1693" t="s">
        <v>6708</v>
      </c>
    </row>
    <row r="1694" spans="1:40" hidden="1">
      <c r="A1694">
        <v>1692</v>
      </c>
      <c r="B1694">
        <v>16</v>
      </c>
      <c r="C1694" s="58">
        <v>44956</v>
      </c>
      <c r="D1694" t="s">
        <v>7</v>
      </c>
      <c r="E1694" t="s">
        <v>2506</v>
      </c>
      <c r="F1694">
        <v>7</v>
      </c>
      <c r="G1694">
        <v>5</v>
      </c>
      <c r="H1694">
        <v>151</v>
      </c>
      <c r="I1694">
        <v>3</v>
      </c>
      <c r="J1694">
        <v>78.73</v>
      </c>
      <c r="K1694" t="s">
        <v>15</v>
      </c>
      <c r="L1694">
        <v>5684485.2300000004</v>
      </c>
      <c r="M1694">
        <v>0</v>
      </c>
      <c r="N1694">
        <v>5684485.2300000004</v>
      </c>
      <c r="O1694">
        <v>72202.27651467039</v>
      </c>
      <c r="P1694">
        <v>314920</v>
      </c>
      <c r="Q1694">
        <v>5369565.2300000004</v>
      </c>
      <c r="R1694">
        <v>68202.27651467039</v>
      </c>
      <c r="S1694" t="s">
        <v>65</v>
      </c>
      <c r="T1694" t="s">
        <v>2664</v>
      </c>
      <c r="U1694">
        <v>282608.7</v>
      </c>
      <c r="V1694" t="s">
        <v>4131</v>
      </c>
      <c r="W1694">
        <v>44950</v>
      </c>
      <c r="X1694" t="s">
        <v>7581</v>
      </c>
      <c r="Y1694" t="s">
        <v>6</v>
      </c>
      <c r="Z1694" t="s">
        <v>17</v>
      </c>
      <c r="AA1694" t="s">
        <v>6637</v>
      </c>
      <c r="AB1694" t="s">
        <v>2509</v>
      </c>
      <c r="AC1694" t="s">
        <v>2571</v>
      </c>
      <c r="AD1694" t="s">
        <v>717</v>
      </c>
      <c r="AE1694" t="s">
        <v>7582</v>
      </c>
      <c r="AF1694" t="s">
        <v>7583</v>
      </c>
      <c r="AG1694" t="s">
        <v>7584</v>
      </c>
      <c r="AH1694" t="s">
        <v>2615</v>
      </c>
      <c r="AI1694" t="s">
        <v>2847</v>
      </c>
      <c r="AJ1694" t="s">
        <v>2940</v>
      </c>
      <c r="AK1694" t="s">
        <v>73</v>
      </c>
      <c r="AL1694" t="s">
        <v>22</v>
      </c>
      <c r="AM1694" t="s">
        <v>10</v>
      </c>
      <c r="AN1694" t="s">
        <v>6708</v>
      </c>
    </row>
    <row r="1695" spans="1:40" hidden="1">
      <c r="A1695">
        <v>1693</v>
      </c>
      <c r="B1695">
        <v>17</v>
      </c>
      <c r="C1695" s="58">
        <v>44956</v>
      </c>
      <c r="D1695" t="s">
        <v>27</v>
      </c>
      <c r="E1695" t="s">
        <v>5456</v>
      </c>
      <c r="F1695">
        <v>3</v>
      </c>
      <c r="G1695">
        <v>1</v>
      </c>
      <c r="H1695">
        <v>22</v>
      </c>
      <c r="I1695" t="s">
        <v>1368</v>
      </c>
      <c r="J1695">
        <v>186.76</v>
      </c>
      <c r="K1695" t="s">
        <v>9</v>
      </c>
      <c r="L1695">
        <v>16808400</v>
      </c>
      <c r="M1695">
        <v>0</v>
      </c>
      <c r="N1695">
        <v>16808400</v>
      </c>
      <c r="O1695">
        <v>90000</v>
      </c>
      <c r="P1695">
        <v>0</v>
      </c>
      <c r="Q1695">
        <v>16808400</v>
      </c>
      <c r="R1695">
        <v>90000</v>
      </c>
      <c r="S1695" t="s">
        <v>130</v>
      </c>
      <c r="T1695" t="s">
        <v>717</v>
      </c>
      <c r="U1695" t="s">
        <v>717</v>
      </c>
      <c r="V1695" t="s">
        <v>717</v>
      </c>
      <c r="W1695">
        <v>44952</v>
      </c>
      <c r="X1695" t="s">
        <v>7585</v>
      </c>
      <c r="Y1695" t="s">
        <v>1368</v>
      </c>
      <c r="Z1695" t="s">
        <v>17</v>
      </c>
      <c r="AA1695" t="s">
        <v>6637</v>
      </c>
      <c r="AB1695" t="s">
        <v>2509</v>
      </c>
      <c r="AC1695" t="s">
        <v>717</v>
      </c>
      <c r="AD1695" t="s">
        <v>717</v>
      </c>
      <c r="AE1695" t="s">
        <v>7586</v>
      </c>
      <c r="AF1695" t="s">
        <v>7587</v>
      </c>
      <c r="AG1695" t="s">
        <v>7588</v>
      </c>
      <c r="AH1695" t="s">
        <v>2615</v>
      </c>
      <c r="AI1695" t="s">
        <v>2538</v>
      </c>
      <c r="AJ1695" t="s">
        <v>2569</v>
      </c>
      <c r="AK1695" t="s">
        <v>1233</v>
      </c>
      <c r="AL1695" t="s">
        <v>717</v>
      </c>
      <c r="AM1695" t="s">
        <v>10</v>
      </c>
      <c r="AN1695" t="s">
        <v>717</v>
      </c>
    </row>
    <row r="1696" spans="1:40" hidden="1">
      <c r="A1696">
        <v>1694</v>
      </c>
      <c r="B1696">
        <v>18</v>
      </c>
      <c r="C1696" s="58">
        <v>44956</v>
      </c>
      <c r="D1696" t="s">
        <v>27</v>
      </c>
      <c r="E1696" t="s">
        <v>4409</v>
      </c>
      <c r="F1696">
        <v>1</v>
      </c>
      <c r="G1696">
        <v>1</v>
      </c>
      <c r="H1696">
        <v>11</v>
      </c>
      <c r="I1696" t="s">
        <v>1368</v>
      </c>
      <c r="J1696">
        <v>76.14</v>
      </c>
      <c r="K1696" t="s">
        <v>9</v>
      </c>
      <c r="L1696">
        <v>7033300</v>
      </c>
      <c r="M1696">
        <v>0</v>
      </c>
      <c r="N1696">
        <v>7033300</v>
      </c>
      <c r="O1696">
        <v>92373.259784607289</v>
      </c>
      <c r="P1696">
        <v>0</v>
      </c>
      <c r="Q1696">
        <v>7033300</v>
      </c>
      <c r="R1696">
        <v>92373.259784607289</v>
      </c>
      <c r="S1696" t="s">
        <v>130</v>
      </c>
      <c r="T1696" t="s">
        <v>2941</v>
      </c>
      <c r="U1696">
        <v>200000</v>
      </c>
      <c r="V1696" t="s">
        <v>717</v>
      </c>
      <c r="W1696">
        <v>44952</v>
      </c>
      <c r="X1696" t="s">
        <v>7589</v>
      </c>
      <c r="Y1696" t="s">
        <v>1368</v>
      </c>
      <c r="Z1696" t="s">
        <v>17</v>
      </c>
      <c r="AA1696" t="s">
        <v>6637</v>
      </c>
      <c r="AB1696" t="s">
        <v>2509</v>
      </c>
      <c r="AC1696" t="s">
        <v>717</v>
      </c>
      <c r="AD1696" t="s">
        <v>717</v>
      </c>
      <c r="AE1696" t="s">
        <v>7586</v>
      </c>
      <c r="AF1696" t="s">
        <v>7590</v>
      </c>
      <c r="AG1696" t="s">
        <v>7588</v>
      </c>
      <c r="AH1696" t="s">
        <v>2580</v>
      </c>
      <c r="AI1696" t="s">
        <v>2538</v>
      </c>
      <c r="AJ1696" t="s">
        <v>3921</v>
      </c>
      <c r="AK1696" t="s">
        <v>1233</v>
      </c>
      <c r="AL1696" t="s">
        <v>717</v>
      </c>
      <c r="AM1696" t="s">
        <v>10</v>
      </c>
      <c r="AN1696" t="s">
        <v>717</v>
      </c>
    </row>
    <row r="1697" spans="1:40" hidden="1">
      <c r="A1697">
        <v>1695</v>
      </c>
      <c r="B1697">
        <v>19</v>
      </c>
      <c r="C1697" s="58">
        <v>44956</v>
      </c>
      <c r="D1697" t="s">
        <v>7</v>
      </c>
      <c r="E1697" t="s">
        <v>2581</v>
      </c>
      <c r="F1697">
        <v>4</v>
      </c>
      <c r="G1697">
        <v>5</v>
      </c>
      <c r="H1697">
        <v>265</v>
      </c>
      <c r="I1697">
        <v>2</v>
      </c>
      <c r="J1697">
        <v>58.55</v>
      </c>
      <c r="K1697" t="s">
        <v>25</v>
      </c>
      <c r="L1697">
        <v>5047113.55</v>
      </c>
      <c r="M1697">
        <v>0</v>
      </c>
      <c r="N1697">
        <v>5047113.55</v>
      </c>
      <c r="O1697">
        <v>86201.768573868496</v>
      </c>
      <c r="P1697">
        <v>878250</v>
      </c>
      <c r="Q1697">
        <v>4168863.55</v>
      </c>
      <c r="R1697">
        <v>71201.768573868496</v>
      </c>
      <c r="S1697" t="s">
        <v>65</v>
      </c>
      <c r="T1697" t="s">
        <v>2664</v>
      </c>
      <c r="U1697">
        <v>219413.87</v>
      </c>
      <c r="V1697" t="s">
        <v>4131</v>
      </c>
      <c r="W1697">
        <v>44952</v>
      </c>
      <c r="X1697" t="s">
        <v>7591</v>
      </c>
      <c r="Y1697" t="s">
        <v>6</v>
      </c>
      <c r="Z1697" t="s">
        <v>17</v>
      </c>
      <c r="AA1697" t="s">
        <v>6637</v>
      </c>
      <c r="AB1697" t="s">
        <v>2509</v>
      </c>
      <c r="AC1697" t="s">
        <v>2571</v>
      </c>
      <c r="AD1697" t="s">
        <v>717</v>
      </c>
      <c r="AE1697" t="s">
        <v>7592</v>
      </c>
      <c r="AF1697" t="s">
        <v>7593</v>
      </c>
      <c r="AG1697" t="s">
        <v>7594</v>
      </c>
      <c r="AH1697" t="s">
        <v>2191</v>
      </c>
      <c r="AI1697" t="s">
        <v>2706</v>
      </c>
      <c r="AJ1697" t="s">
        <v>2514</v>
      </c>
      <c r="AK1697" t="s">
        <v>77</v>
      </c>
      <c r="AL1697" t="s">
        <v>16</v>
      </c>
      <c r="AM1697" t="s">
        <v>10</v>
      </c>
      <c r="AN1697" t="s">
        <v>6708</v>
      </c>
    </row>
    <row r="1698" spans="1:40" hidden="1">
      <c r="A1698">
        <v>1696</v>
      </c>
      <c r="B1698">
        <v>20</v>
      </c>
      <c r="C1698" s="58">
        <v>44957</v>
      </c>
      <c r="D1698" t="s">
        <v>7</v>
      </c>
      <c r="E1698" t="s">
        <v>2506</v>
      </c>
      <c r="F1698">
        <v>7</v>
      </c>
      <c r="G1698">
        <v>9</v>
      </c>
      <c r="H1698">
        <v>183</v>
      </c>
      <c r="I1698">
        <v>3</v>
      </c>
      <c r="J1698">
        <v>78.73</v>
      </c>
      <c r="K1698" t="s">
        <v>9</v>
      </c>
      <c r="L1698">
        <v>5418827.2199999997</v>
      </c>
      <c r="M1698">
        <v>0</v>
      </c>
      <c r="N1698">
        <v>5418827.2199999997</v>
      </c>
      <c r="O1698">
        <v>68827.984504001011</v>
      </c>
      <c r="P1698">
        <v>0</v>
      </c>
      <c r="Q1698">
        <v>5418827.2199999997</v>
      </c>
      <c r="R1698">
        <v>68827.984504001011</v>
      </c>
      <c r="S1698" t="s">
        <v>65</v>
      </c>
      <c r="T1698" t="s">
        <v>2664</v>
      </c>
      <c r="U1698">
        <v>285201.43</v>
      </c>
      <c r="V1698" t="s">
        <v>6312</v>
      </c>
      <c r="W1698">
        <v>44945</v>
      </c>
      <c r="X1698" t="s">
        <v>7595</v>
      </c>
      <c r="Y1698" t="s">
        <v>6</v>
      </c>
      <c r="Z1698" t="s">
        <v>17</v>
      </c>
      <c r="AA1698" t="s">
        <v>6637</v>
      </c>
      <c r="AB1698" t="s">
        <v>2509</v>
      </c>
      <c r="AC1698" t="s">
        <v>2571</v>
      </c>
      <c r="AD1698" t="s">
        <v>717</v>
      </c>
      <c r="AE1698" t="s">
        <v>7596</v>
      </c>
      <c r="AF1698" t="s">
        <v>7597</v>
      </c>
      <c r="AG1698" t="s">
        <v>7598</v>
      </c>
      <c r="AH1698" t="s">
        <v>2615</v>
      </c>
      <c r="AI1698" t="s">
        <v>2552</v>
      </c>
      <c r="AJ1698" t="s">
        <v>2895</v>
      </c>
      <c r="AK1698" t="s">
        <v>77</v>
      </c>
      <c r="AL1698" t="s">
        <v>16</v>
      </c>
      <c r="AM1698" t="s">
        <v>10</v>
      </c>
      <c r="AN1698" t="s">
        <v>6708</v>
      </c>
    </row>
    <row r="1699" spans="1:40" hidden="1">
      <c r="A1699">
        <v>1697</v>
      </c>
      <c r="B1699">
        <v>21</v>
      </c>
      <c r="C1699" s="58">
        <v>44957</v>
      </c>
      <c r="D1699" t="s">
        <v>7</v>
      </c>
      <c r="E1699" t="s">
        <v>4409</v>
      </c>
      <c r="F1699">
        <v>3</v>
      </c>
      <c r="G1699">
        <v>6</v>
      </c>
      <c r="H1699">
        <v>440</v>
      </c>
      <c r="I1699">
        <v>3</v>
      </c>
      <c r="J1699">
        <v>74.28</v>
      </c>
      <c r="K1699" t="s">
        <v>25</v>
      </c>
      <c r="L1699">
        <v>6397976.3200000003</v>
      </c>
      <c r="M1699">
        <v>0</v>
      </c>
      <c r="N1699">
        <v>6397976.3200000003</v>
      </c>
      <c r="O1699">
        <v>86133.229940764679</v>
      </c>
      <c r="P1699">
        <v>1114200</v>
      </c>
      <c r="Q1699">
        <v>5283776.32</v>
      </c>
      <c r="R1699">
        <v>71133.229940764679</v>
      </c>
      <c r="S1699" t="s">
        <v>65</v>
      </c>
      <c r="T1699" t="s">
        <v>717</v>
      </c>
      <c r="U1699" t="s">
        <v>717</v>
      </c>
      <c r="V1699" t="s">
        <v>6312</v>
      </c>
      <c r="W1699">
        <v>44946</v>
      </c>
      <c r="X1699" t="s">
        <v>7599</v>
      </c>
      <c r="Y1699" t="s">
        <v>6</v>
      </c>
      <c r="Z1699" t="s">
        <v>17</v>
      </c>
      <c r="AA1699" t="s">
        <v>6637</v>
      </c>
      <c r="AB1699" t="s">
        <v>2509</v>
      </c>
      <c r="AC1699" t="s">
        <v>2571</v>
      </c>
      <c r="AD1699" t="s">
        <v>717</v>
      </c>
      <c r="AE1699" t="s">
        <v>7600</v>
      </c>
      <c r="AF1699" t="s">
        <v>7601</v>
      </c>
      <c r="AG1699" t="s">
        <v>7602</v>
      </c>
      <c r="AH1699" t="s">
        <v>2615</v>
      </c>
      <c r="AI1699" t="s">
        <v>2538</v>
      </c>
      <c r="AJ1699" t="s">
        <v>2895</v>
      </c>
      <c r="AK1699" t="s">
        <v>1233</v>
      </c>
      <c r="AL1699" t="s">
        <v>16</v>
      </c>
      <c r="AM1699" t="s">
        <v>10</v>
      </c>
      <c r="AN1699" t="s">
        <v>6708</v>
      </c>
    </row>
    <row r="1700" spans="1:40" hidden="1">
      <c r="A1700">
        <v>1698</v>
      </c>
      <c r="B1700">
        <v>22</v>
      </c>
      <c r="C1700" s="58">
        <v>44957</v>
      </c>
      <c r="D1700" t="s">
        <v>7</v>
      </c>
      <c r="E1700" t="s">
        <v>2515</v>
      </c>
      <c r="F1700">
        <v>3</v>
      </c>
      <c r="G1700">
        <v>8</v>
      </c>
      <c r="H1700">
        <v>51</v>
      </c>
      <c r="I1700">
        <v>1</v>
      </c>
      <c r="J1700">
        <v>35.54</v>
      </c>
      <c r="K1700" t="s">
        <v>25</v>
      </c>
      <c r="L1700">
        <v>3588515.74</v>
      </c>
      <c r="M1700">
        <v>0</v>
      </c>
      <c r="N1700">
        <v>3588515.74</v>
      </c>
      <c r="O1700">
        <v>100971.18007878448</v>
      </c>
      <c r="P1700">
        <v>533100</v>
      </c>
      <c r="Q1700">
        <v>3055415.74</v>
      </c>
      <c r="R1700">
        <v>85971.18007878447</v>
      </c>
      <c r="S1700" t="s">
        <v>65</v>
      </c>
      <c r="T1700" t="s">
        <v>717</v>
      </c>
      <c r="U1700" t="s">
        <v>717</v>
      </c>
      <c r="V1700" t="s">
        <v>4131</v>
      </c>
      <c r="W1700">
        <v>44952</v>
      </c>
      <c r="X1700" t="s">
        <v>7603</v>
      </c>
      <c r="Y1700" t="s">
        <v>6</v>
      </c>
      <c r="Z1700" t="s">
        <v>17</v>
      </c>
      <c r="AA1700" t="s">
        <v>6637</v>
      </c>
      <c r="AB1700" t="s">
        <v>2509</v>
      </c>
      <c r="AC1700" t="s">
        <v>2571</v>
      </c>
      <c r="AD1700" t="s">
        <v>717</v>
      </c>
      <c r="AE1700" t="s">
        <v>7604</v>
      </c>
      <c r="AF1700" t="s">
        <v>7605</v>
      </c>
      <c r="AG1700" t="s">
        <v>7606</v>
      </c>
      <c r="AH1700" t="s">
        <v>2615</v>
      </c>
      <c r="AI1700" t="s">
        <v>2621</v>
      </c>
      <c r="AJ1700" t="s">
        <v>2569</v>
      </c>
      <c r="AK1700" t="s">
        <v>77</v>
      </c>
      <c r="AL1700" t="s">
        <v>22</v>
      </c>
      <c r="AM1700" t="s">
        <v>10</v>
      </c>
      <c r="AN1700" t="s">
        <v>6708</v>
      </c>
    </row>
    <row r="1701" spans="1:40" hidden="1">
      <c r="A1701">
        <v>1699</v>
      </c>
      <c r="B1701">
        <v>23</v>
      </c>
      <c r="C1701" s="58">
        <v>44957</v>
      </c>
      <c r="D1701" t="s">
        <v>7</v>
      </c>
      <c r="E1701" t="s">
        <v>2506</v>
      </c>
      <c r="F1701">
        <v>1</v>
      </c>
      <c r="G1701">
        <v>11</v>
      </c>
      <c r="H1701">
        <v>193</v>
      </c>
      <c r="I1701">
        <v>0</v>
      </c>
      <c r="J1701">
        <v>28.97</v>
      </c>
      <c r="K1701" t="s">
        <v>9</v>
      </c>
      <c r="L1701">
        <v>2294171.6</v>
      </c>
      <c r="M1701">
        <v>0</v>
      </c>
      <c r="N1701">
        <v>2294171.6</v>
      </c>
      <c r="O1701">
        <v>79191.287538833276</v>
      </c>
      <c r="P1701">
        <v>0</v>
      </c>
      <c r="Q1701">
        <v>2294171.6</v>
      </c>
      <c r="R1701">
        <v>79191.287538833276</v>
      </c>
      <c r="S1701" t="s">
        <v>65</v>
      </c>
      <c r="T1701" t="s">
        <v>2664</v>
      </c>
      <c r="U1701">
        <v>120745.87</v>
      </c>
      <c r="V1701" t="s">
        <v>6312</v>
      </c>
      <c r="W1701">
        <v>44952</v>
      </c>
      <c r="X1701" t="s">
        <v>7607</v>
      </c>
      <c r="Y1701" t="s">
        <v>6</v>
      </c>
      <c r="Z1701" t="s">
        <v>17</v>
      </c>
      <c r="AA1701" t="s">
        <v>6637</v>
      </c>
      <c r="AB1701" t="s">
        <v>2509</v>
      </c>
      <c r="AC1701" t="s">
        <v>2571</v>
      </c>
      <c r="AD1701" t="s">
        <v>717</v>
      </c>
      <c r="AE1701" t="s">
        <v>7608</v>
      </c>
      <c r="AF1701" t="s">
        <v>7609</v>
      </c>
      <c r="AG1701" t="s">
        <v>7610</v>
      </c>
      <c r="AH1701" t="s">
        <v>2615</v>
      </c>
      <c r="AI1701" t="s">
        <v>2538</v>
      </c>
      <c r="AJ1701" t="s">
        <v>2940</v>
      </c>
      <c r="AK1701" t="s">
        <v>77</v>
      </c>
      <c r="AL1701" t="s">
        <v>16</v>
      </c>
      <c r="AM1701" t="s">
        <v>10</v>
      </c>
      <c r="AN1701" t="s">
        <v>6708</v>
      </c>
    </row>
    <row r="1702" spans="1:40" hidden="1">
      <c r="A1702">
        <v>1700</v>
      </c>
      <c r="B1702">
        <v>24</v>
      </c>
      <c r="C1702" s="58">
        <v>44957</v>
      </c>
      <c r="D1702" t="s">
        <v>27</v>
      </c>
      <c r="E1702" t="s">
        <v>4409</v>
      </c>
      <c r="F1702">
        <v>3</v>
      </c>
      <c r="G1702">
        <v>1</v>
      </c>
      <c r="H1702">
        <v>13</v>
      </c>
      <c r="I1702" t="s">
        <v>1368</v>
      </c>
      <c r="J1702">
        <v>62.02</v>
      </c>
      <c r="K1702" t="s">
        <v>9</v>
      </c>
      <c r="L1702">
        <v>6964133</v>
      </c>
      <c r="M1702">
        <v>0</v>
      </c>
      <c r="N1702">
        <v>6964133</v>
      </c>
      <c r="O1702">
        <v>112288.50370848112</v>
      </c>
      <c r="P1702">
        <v>0</v>
      </c>
      <c r="Q1702">
        <v>6964133</v>
      </c>
      <c r="R1702">
        <v>112288.50370848112</v>
      </c>
      <c r="S1702" t="s">
        <v>2507</v>
      </c>
      <c r="T1702" t="s">
        <v>717</v>
      </c>
      <c r="U1702" t="s">
        <v>717</v>
      </c>
      <c r="V1702" t="s">
        <v>717</v>
      </c>
      <c r="W1702">
        <v>44953</v>
      </c>
      <c r="X1702" t="s">
        <v>7611</v>
      </c>
      <c r="Y1702" t="s">
        <v>1368</v>
      </c>
      <c r="Z1702" t="s">
        <v>17</v>
      </c>
      <c r="AA1702" t="s">
        <v>6637</v>
      </c>
      <c r="AB1702" t="s">
        <v>2509</v>
      </c>
      <c r="AC1702" t="s">
        <v>717</v>
      </c>
      <c r="AD1702" t="s">
        <v>717</v>
      </c>
      <c r="AE1702" t="s">
        <v>7612</v>
      </c>
      <c r="AF1702" t="s">
        <v>7613</v>
      </c>
      <c r="AG1702" t="s">
        <v>7614</v>
      </c>
      <c r="AH1702" t="s">
        <v>2580</v>
      </c>
      <c r="AI1702" t="s">
        <v>2600</v>
      </c>
      <c r="AJ1702" t="s">
        <v>3921</v>
      </c>
      <c r="AK1702" t="s">
        <v>29</v>
      </c>
      <c r="AL1702" t="s">
        <v>717</v>
      </c>
      <c r="AM1702" t="s">
        <v>10</v>
      </c>
      <c r="AN1702" t="s">
        <v>717</v>
      </c>
    </row>
    <row r="1703" spans="1:40" hidden="1">
      <c r="A1703">
        <v>1701</v>
      </c>
      <c r="B1703">
        <v>25</v>
      </c>
      <c r="C1703" s="58">
        <v>44957</v>
      </c>
      <c r="D1703" t="s">
        <v>27</v>
      </c>
      <c r="E1703" t="s">
        <v>4409</v>
      </c>
      <c r="F1703">
        <v>4</v>
      </c>
      <c r="G1703">
        <v>1</v>
      </c>
      <c r="H1703">
        <v>14</v>
      </c>
      <c r="I1703" t="s">
        <v>1368</v>
      </c>
      <c r="J1703">
        <v>67.06</v>
      </c>
      <c r="K1703" t="s">
        <v>9</v>
      </c>
      <c r="L1703">
        <v>7530067</v>
      </c>
      <c r="M1703">
        <v>0</v>
      </c>
      <c r="N1703">
        <v>7530067</v>
      </c>
      <c r="O1703">
        <v>112288.50283328362</v>
      </c>
      <c r="P1703">
        <v>0</v>
      </c>
      <c r="Q1703">
        <v>7530067</v>
      </c>
      <c r="R1703">
        <v>112288.50283328362</v>
      </c>
      <c r="S1703" t="s">
        <v>2507</v>
      </c>
      <c r="T1703" t="s">
        <v>717</v>
      </c>
      <c r="U1703" t="s">
        <v>717</v>
      </c>
      <c r="V1703" t="s">
        <v>717</v>
      </c>
      <c r="W1703">
        <v>44953</v>
      </c>
      <c r="X1703" t="s">
        <v>7615</v>
      </c>
      <c r="Y1703" t="s">
        <v>1368</v>
      </c>
      <c r="Z1703" t="s">
        <v>17</v>
      </c>
      <c r="AA1703" t="s">
        <v>6637</v>
      </c>
      <c r="AB1703" t="s">
        <v>2509</v>
      </c>
      <c r="AC1703" t="s">
        <v>717</v>
      </c>
      <c r="AD1703" t="s">
        <v>717</v>
      </c>
      <c r="AE1703" t="s">
        <v>7612</v>
      </c>
      <c r="AF1703" t="s">
        <v>7613</v>
      </c>
      <c r="AG1703" t="s">
        <v>7614</v>
      </c>
      <c r="AH1703" t="s">
        <v>2580</v>
      </c>
      <c r="AI1703" t="s">
        <v>2600</v>
      </c>
      <c r="AJ1703" t="s">
        <v>3921</v>
      </c>
      <c r="AK1703" t="s">
        <v>29</v>
      </c>
      <c r="AL1703" t="s">
        <v>717</v>
      </c>
      <c r="AM1703" t="s">
        <v>10</v>
      </c>
      <c r="AN1703" t="s">
        <v>717</v>
      </c>
    </row>
    <row r="1704" spans="1:40" hidden="1">
      <c r="A1704">
        <v>1702</v>
      </c>
      <c r="B1704">
        <v>26</v>
      </c>
      <c r="C1704" s="58">
        <v>44957</v>
      </c>
      <c r="D1704" t="s">
        <v>7</v>
      </c>
      <c r="E1704" t="s">
        <v>2581</v>
      </c>
      <c r="F1704">
        <v>1</v>
      </c>
      <c r="G1704">
        <v>5</v>
      </c>
      <c r="H1704">
        <v>262</v>
      </c>
      <c r="I1704">
        <v>0</v>
      </c>
      <c r="J1704">
        <v>29.35</v>
      </c>
      <c r="K1704" t="s">
        <v>9</v>
      </c>
      <c r="L1704">
        <v>2446593.9900000002</v>
      </c>
      <c r="M1704">
        <v>0</v>
      </c>
      <c r="N1704">
        <v>2446593.9900000002</v>
      </c>
      <c r="O1704">
        <v>83359.250085178879</v>
      </c>
      <c r="P1704">
        <v>0</v>
      </c>
      <c r="Q1704">
        <v>2446593.9900000002</v>
      </c>
      <c r="R1704">
        <v>83359.250085178879</v>
      </c>
      <c r="S1704" t="s">
        <v>130</v>
      </c>
      <c r="T1704" t="s">
        <v>717</v>
      </c>
      <c r="U1704" t="s">
        <v>717</v>
      </c>
      <c r="V1704" t="s">
        <v>717</v>
      </c>
      <c r="W1704">
        <v>44956</v>
      </c>
      <c r="X1704" t="s">
        <v>7616</v>
      </c>
      <c r="Y1704" t="s">
        <v>6</v>
      </c>
      <c r="Z1704" t="s">
        <v>17</v>
      </c>
      <c r="AA1704" t="s">
        <v>6637</v>
      </c>
      <c r="AB1704" t="s">
        <v>2509</v>
      </c>
      <c r="AC1704" t="s">
        <v>717</v>
      </c>
      <c r="AD1704" t="s">
        <v>717</v>
      </c>
      <c r="AE1704" t="s">
        <v>7617</v>
      </c>
      <c r="AF1704" t="s">
        <v>7618</v>
      </c>
      <c r="AG1704" t="s">
        <v>7619</v>
      </c>
      <c r="AH1704" t="s">
        <v>2615</v>
      </c>
      <c r="AI1704" t="s">
        <v>2552</v>
      </c>
      <c r="AJ1704" t="s">
        <v>2662</v>
      </c>
      <c r="AK1704" t="s">
        <v>1233</v>
      </c>
      <c r="AL1704" t="s">
        <v>717</v>
      </c>
      <c r="AM1704" t="s">
        <v>10</v>
      </c>
      <c r="AN1704" t="s">
        <v>717</v>
      </c>
    </row>
    <row r="1705" spans="1:40" hidden="1">
      <c r="A1705">
        <v>1703</v>
      </c>
      <c r="B1705">
        <v>1</v>
      </c>
      <c r="C1705" s="58">
        <v>44959</v>
      </c>
      <c r="D1705" t="s">
        <v>7</v>
      </c>
      <c r="E1705" t="s">
        <v>4409</v>
      </c>
      <c r="F1705">
        <v>3</v>
      </c>
      <c r="G1705">
        <v>9</v>
      </c>
      <c r="H1705">
        <v>467</v>
      </c>
      <c r="I1705">
        <v>3</v>
      </c>
      <c r="J1705">
        <v>74.28</v>
      </c>
      <c r="K1705" t="s">
        <v>15</v>
      </c>
      <c r="L1705">
        <v>5316707.5</v>
      </c>
      <c r="M1705">
        <v>0</v>
      </c>
      <c r="N1705">
        <v>5316707.5</v>
      </c>
      <c r="O1705">
        <v>71576.568389876149</v>
      </c>
      <c r="P1705">
        <v>297120</v>
      </c>
      <c r="Q1705">
        <v>5019587.5</v>
      </c>
      <c r="R1705">
        <v>67576.568389876149</v>
      </c>
      <c r="S1705" t="s">
        <v>65</v>
      </c>
      <c r="T1705" t="s">
        <v>2664</v>
      </c>
      <c r="U1705">
        <v>264188.82</v>
      </c>
      <c r="V1705" t="s">
        <v>6312</v>
      </c>
      <c r="W1705">
        <v>44957</v>
      </c>
      <c r="X1705" t="s">
        <v>7620</v>
      </c>
      <c r="Y1705" t="s">
        <v>6</v>
      </c>
      <c r="Z1705" t="s">
        <v>17</v>
      </c>
      <c r="AA1705" t="s">
        <v>6637</v>
      </c>
      <c r="AB1705" t="s">
        <v>2509</v>
      </c>
      <c r="AC1705" t="s">
        <v>2571</v>
      </c>
      <c r="AD1705" t="s">
        <v>717</v>
      </c>
      <c r="AE1705" t="s">
        <v>7621</v>
      </c>
      <c r="AF1705" t="s">
        <v>7622</v>
      </c>
      <c r="AG1705" t="s">
        <v>7623</v>
      </c>
      <c r="AH1705" t="s">
        <v>2552</v>
      </c>
      <c r="AI1705" t="s">
        <v>2547</v>
      </c>
      <c r="AJ1705" t="s">
        <v>3298</v>
      </c>
      <c r="AK1705" t="s">
        <v>73</v>
      </c>
      <c r="AL1705" t="s">
        <v>22</v>
      </c>
      <c r="AM1705" t="s">
        <v>10</v>
      </c>
      <c r="AN1705" t="s">
        <v>6708</v>
      </c>
    </row>
    <row r="1706" spans="1:40" hidden="1">
      <c r="A1706">
        <v>1704</v>
      </c>
      <c r="B1706">
        <v>2</v>
      </c>
      <c r="C1706" s="58">
        <v>44963</v>
      </c>
      <c r="D1706" t="s">
        <v>7</v>
      </c>
      <c r="E1706" t="s">
        <v>4409</v>
      </c>
      <c r="F1706">
        <v>7</v>
      </c>
      <c r="G1706">
        <v>8</v>
      </c>
      <c r="H1706">
        <v>462</v>
      </c>
      <c r="I1706">
        <v>2</v>
      </c>
      <c r="J1706">
        <v>67.489999999999995</v>
      </c>
      <c r="K1706" t="s">
        <v>15</v>
      </c>
      <c r="L1706">
        <v>5310926.42</v>
      </c>
      <c r="M1706">
        <v>0</v>
      </c>
      <c r="N1706">
        <v>5310926.42</v>
      </c>
      <c r="O1706">
        <v>78692.049488813165</v>
      </c>
      <c r="P1706">
        <v>269960</v>
      </c>
      <c r="Q1706">
        <v>5040966.42</v>
      </c>
      <c r="R1706">
        <v>74692.049488813165</v>
      </c>
      <c r="S1706" t="s">
        <v>65</v>
      </c>
      <c r="T1706" t="s">
        <v>2664</v>
      </c>
      <c r="U1706">
        <v>265314.02</v>
      </c>
      <c r="V1706" t="s">
        <v>6312</v>
      </c>
      <c r="W1706">
        <v>44960</v>
      </c>
      <c r="X1706" t="s">
        <v>7624</v>
      </c>
      <c r="Y1706" t="s">
        <v>6</v>
      </c>
      <c r="Z1706" t="s">
        <v>17</v>
      </c>
      <c r="AA1706" t="s">
        <v>6637</v>
      </c>
      <c r="AB1706" t="s">
        <v>2509</v>
      </c>
      <c r="AC1706" t="s">
        <v>2571</v>
      </c>
      <c r="AD1706" t="s">
        <v>717</v>
      </c>
      <c r="AE1706" t="s">
        <v>7625</v>
      </c>
      <c r="AF1706" t="s">
        <v>7626</v>
      </c>
      <c r="AG1706" t="s">
        <v>7627</v>
      </c>
      <c r="AH1706" t="s">
        <v>2615</v>
      </c>
      <c r="AI1706" t="s">
        <v>2552</v>
      </c>
      <c r="AJ1706" t="s">
        <v>2662</v>
      </c>
      <c r="AK1706" t="s">
        <v>77</v>
      </c>
      <c r="AL1706" t="s">
        <v>16</v>
      </c>
      <c r="AM1706" t="s">
        <v>10</v>
      </c>
      <c r="AN1706" t="s">
        <v>6708</v>
      </c>
    </row>
    <row r="1707" spans="1:40" hidden="1">
      <c r="A1707">
        <v>1705</v>
      </c>
      <c r="B1707">
        <v>3</v>
      </c>
      <c r="C1707" s="58">
        <v>44963</v>
      </c>
      <c r="D1707" t="s">
        <v>27</v>
      </c>
      <c r="E1707" t="s">
        <v>2515</v>
      </c>
      <c r="F1707">
        <v>5</v>
      </c>
      <c r="G1707">
        <v>18</v>
      </c>
      <c r="H1707">
        <v>149</v>
      </c>
      <c r="I1707">
        <v>0</v>
      </c>
      <c r="J1707">
        <v>24.47</v>
      </c>
      <c r="K1707" t="s">
        <v>9</v>
      </c>
      <c r="L1707">
        <v>2243307.9300000002</v>
      </c>
      <c r="M1707">
        <v>0</v>
      </c>
      <c r="N1707">
        <v>2243307.9300000002</v>
      </c>
      <c r="O1707">
        <v>91675.845116469151</v>
      </c>
      <c r="P1707">
        <v>0</v>
      </c>
      <c r="Q1707">
        <v>2243307.9300000002</v>
      </c>
      <c r="R1707">
        <v>91675.845116469151</v>
      </c>
      <c r="S1707" t="s">
        <v>65</v>
      </c>
      <c r="T1707" t="s">
        <v>5386</v>
      </c>
      <c r="U1707">
        <v>150000</v>
      </c>
      <c r="V1707" t="s">
        <v>6312</v>
      </c>
      <c r="W1707">
        <v>44961</v>
      </c>
      <c r="X1707" t="s">
        <v>7628</v>
      </c>
      <c r="Y1707" t="s">
        <v>6</v>
      </c>
      <c r="Z1707" t="s">
        <v>17</v>
      </c>
      <c r="AA1707" t="s">
        <v>6637</v>
      </c>
      <c r="AB1707" t="s">
        <v>2509</v>
      </c>
      <c r="AC1707" t="s">
        <v>2571</v>
      </c>
      <c r="AD1707" t="s">
        <v>717</v>
      </c>
      <c r="AE1707" t="s">
        <v>7629</v>
      </c>
      <c r="AF1707" t="s">
        <v>7630</v>
      </c>
      <c r="AG1707" t="s">
        <v>7631</v>
      </c>
      <c r="AH1707" t="s">
        <v>2615</v>
      </c>
      <c r="AI1707" t="s">
        <v>2552</v>
      </c>
      <c r="AJ1707" t="s">
        <v>2825</v>
      </c>
      <c r="AK1707" t="s">
        <v>77</v>
      </c>
      <c r="AL1707" t="s">
        <v>16</v>
      </c>
      <c r="AM1707" t="s">
        <v>10</v>
      </c>
      <c r="AN1707" t="s">
        <v>717</v>
      </c>
    </row>
    <row r="1708" spans="1:40" hidden="1">
      <c r="A1708">
        <v>1706</v>
      </c>
      <c r="B1708">
        <v>4</v>
      </c>
      <c r="C1708" s="58">
        <v>44964</v>
      </c>
      <c r="D1708" t="s">
        <v>7</v>
      </c>
      <c r="E1708" t="s">
        <v>2581</v>
      </c>
      <c r="F1708">
        <v>5</v>
      </c>
      <c r="G1708">
        <v>7</v>
      </c>
      <c r="H1708">
        <v>280</v>
      </c>
      <c r="I1708">
        <v>2</v>
      </c>
      <c r="J1708">
        <v>56.7</v>
      </c>
      <c r="K1708" t="s">
        <v>15</v>
      </c>
      <c r="L1708">
        <v>4263940.2699999996</v>
      </c>
      <c r="M1708">
        <v>0</v>
      </c>
      <c r="N1708">
        <v>4263940.2699999996</v>
      </c>
      <c r="O1708">
        <v>75201.768430335083</v>
      </c>
      <c r="P1708">
        <v>226800</v>
      </c>
      <c r="Q1708">
        <v>4037140.27</v>
      </c>
      <c r="R1708">
        <v>71201.768430335083</v>
      </c>
      <c r="S1708" t="s">
        <v>65</v>
      </c>
      <c r="T1708" t="s">
        <v>2664</v>
      </c>
      <c r="U1708">
        <v>212481.07</v>
      </c>
      <c r="V1708" t="s">
        <v>6312</v>
      </c>
      <c r="W1708">
        <v>44958</v>
      </c>
      <c r="X1708" t="s">
        <v>7632</v>
      </c>
      <c r="Y1708" t="s">
        <v>6</v>
      </c>
      <c r="Z1708" t="s">
        <v>17</v>
      </c>
      <c r="AA1708" t="s">
        <v>6637</v>
      </c>
      <c r="AB1708" t="s">
        <v>2509</v>
      </c>
      <c r="AC1708" t="s">
        <v>2571</v>
      </c>
      <c r="AD1708" t="s">
        <v>717</v>
      </c>
      <c r="AE1708" t="s">
        <v>7633</v>
      </c>
      <c r="AF1708" t="s">
        <v>7634</v>
      </c>
      <c r="AG1708" t="s">
        <v>7635</v>
      </c>
      <c r="AH1708" t="s">
        <v>2616</v>
      </c>
      <c r="AI1708" t="s">
        <v>2552</v>
      </c>
      <c r="AJ1708" t="s">
        <v>2642</v>
      </c>
      <c r="AK1708" t="s">
        <v>77</v>
      </c>
      <c r="AL1708" t="s">
        <v>16</v>
      </c>
      <c r="AM1708" t="s">
        <v>10</v>
      </c>
      <c r="AN1708" t="s">
        <v>6708</v>
      </c>
    </row>
    <row r="1709" spans="1:40" hidden="1">
      <c r="A1709">
        <v>1707</v>
      </c>
      <c r="B1709">
        <v>5</v>
      </c>
      <c r="C1709" s="58">
        <v>44965</v>
      </c>
      <c r="D1709" t="s">
        <v>27</v>
      </c>
      <c r="E1709" t="s">
        <v>4409</v>
      </c>
      <c r="F1709">
        <v>2</v>
      </c>
      <c r="G1709">
        <v>1</v>
      </c>
      <c r="H1709">
        <v>12</v>
      </c>
      <c r="I1709" t="s">
        <v>1368</v>
      </c>
      <c r="J1709">
        <v>136.02000000000001</v>
      </c>
      <c r="K1709" t="s">
        <v>9</v>
      </c>
      <c r="L1709">
        <v>12921900</v>
      </c>
      <c r="M1709">
        <v>0</v>
      </c>
      <c r="N1709">
        <v>12921900</v>
      </c>
      <c r="O1709">
        <v>95000</v>
      </c>
      <c r="P1709">
        <v>0</v>
      </c>
      <c r="Q1709">
        <v>12921900</v>
      </c>
      <c r="R1709">
        <v>95000</v>
      </c>
      <c r="S1709" t="s">
        <v>2507</v>
      </c>
      <c r="T1709" t="s">
        <v>717</v>
      </c>
      <c r="U1709" t="s">
        <v>717</v>
      </c>
      <c r="V1709" t="s">
        <v>717</v>
      </c>
      <c r="W1709">
        <v>44958</v>
      </c>
      <c r="X1709" t="s">
        <v>7636</v>
      </c>
      <c r="Y1709" t="s">
        <v>1368</v>
      </c>
      <c r="Z1709" t="s">
        <v>17</v>
      </c>
      <c r="AA1709" t="s">
        <v>6637</v>
      </c>
      <c r="AB1709" t="s">
        <v>2509</v>
      </c>
      <c r="AC1709" t="s">
        <v>717</v>
      </c>
      <c r="AD1709" t="s">
        <v>717</v>
      </c>
      <c r="AE1709" t="s">
        <v>7637</v>
      </c>
      <c r="AF1709" t="s">
        <v>7638</v>
      </c>
      <c r="AG1709" t="s">
        <v>7639</v>
      </c>
      <c r="AH1709" t="s">
        <v>2615</v>
      </c>
      <c r="AI1709" t="s">
        <v>2552</v>
      </c>
      <c r="AJ1709" t="s">
        <v>2569</v>
      </c>
      <c r="AK1709" t="s">
        <v>77</v>
      </c>
      <c r="AL1709" t="s">
        <v>717</v>
      </c>
      <c r="AM1709" t="s">
        <v>10</v>
      </c>
      <c r="AN1709" t="s">
        <v>717</v>
      </c>
    </row>
    <row r="1710" spans="1:40" hidden="1">
      <c r="A1710">
        <v>1708</v>
      </c>
      <c r="B1710">
        <v>6</v>
      </c>
      <c r="C1710" s="58">
        <v>44965</v>
      </c>
      <c r="D1710" t="s">
        <v>27</v>
      </c>
      <c r="E1710" t="s">
        <v>2515</v>
      </c>
      <c r="F1710">
        <v>1</v>
      </c>
      <c r="G1710">
        <v>1</v>
      </c>
      <c r="H1710">
        <v>1</v>
      </c>
      <c r="I1710" t="s">
        <v>1368</v>
      </c>
      <c r="J1710">
        <v>36.89</v>
      </c>
      <c r="K1710" t="s">
        <v>9</v>
      </c>
      <c r="L1710">
        <v>4057900</v>
      </c>
      <c r="M1710">
        <v>0</v>
      </c>
      <c r="N1710">
        <v>4057900</v>
      </c>
      <c r="O1710">
        <v>110000</v>
      </c>
      <c r="P1710">
        <v>0</v>
      </c>
      <c r="Q1710">
        <v>4057900</v>
      </c>
      <c r="R1710">
        <v>110000</v>
      </c>
      <c r="S1710" t="s">
        <v>2507</v>
      </c>
      <c r="T1710" t="s">
        <v>717</v>
      </c>
      <c r="U1710" t="s">
        <v>717</v>
      </c>
      <c r="V1710" t="s">
        <v>717</v>
      </c>
      <c r="W1710">
        <v>44958</v>
      </c>
      <c r="X1710" t="s">
        <v>7640</v>
      </c>
      <c r="Y1710" t="s">
        <v>1368</v>
      </c>
      <c r="Z1710" t="s">
        <v>17</v>
      </c>
      <c r="AA1710" t="s">
        <v>6637</v>
      </c>
      <c r="AB1710" t="s">
        <v>2509</v>
      </c>
      <c r="AC1710" t="s">
        <v>717</v>
      </c>
      <c r="AD1710" t="s">
        <v>717</v>
      </c>
      <c r="AE1710" t="s">
        <v>7641</v>
      </c>
      <c r="AF1710" t="s">
        <v>7642</v>
      </c>
      <c r="AG1710" t="s">
        <v>7643</v>
      </c>
      <c r="AH1710" t="s">
        <v>2615</v>
      </c>
      <c r="AI1710" t="s">
        <v>2802</v>
      </c>
      <c r="AJ1710" t="s">
        <v>2569</v>
      </c>
      <c r="AK1710" t="s">
        <v>73</v>
      </c>
      <c r="AL1710" t="s">
        <v>717</v>
      </c>
      <c r="AM1710" t="s">
        <v>10</v>
      </c>
      <c r="AN1710" t="s">
        <v>717</v>
      </c>
    </row>
    <row r="1711" spans="1:40" hidden="1">
      <c r="A1711">
        <v>1709</v>
      </c>
      <c r="B1711">
        <v>7</v>
      </c>
      <c r="C1711" s="58">
        <v>44965</v>
      </c>
      <c r="D1711" t="s">
        <v>7</v>
      </c>
      <c r="E1711" t="s">
        <v>2506</v>
      </c>
      <c r="F1711">
        <v>4</v>
      </c>
      <c r="G1711">
        <v>2</v>
      </c>
      <c r="H1711">
        <v>124</v>
      </c>
      <c r="I1711">
        <v>1</v>
      </c>
      <c r="J1711">
        <v>37.81</v>
      </c>
      <c r="K1711" t="s">
        <v>15</v>
      </c>
      <c r="L1711">
        <v>3269556.55</v>
      </c>
      <c r="M1711">
        <v>0</v>
      </c>
      <c r="N1711">
        <v>3269556.55</v>
      </c>
      <c r="O1711">
        <v>86473.328484527898</v>
      </c>
      <c r="P1711">
        <v>151240</v>
      </c>
      <c r="Q1711">
        <v>3118316.55</v>
      </c>
      <c r="R1711">
        <v>82473.328484527898</v>
      </c>
      <c r="S1711" t="s">
        <v>130</v>
      </c>
      <c r="T1711" t="s">
        <v>2664</v>
      </c>
      <c r="U1711">
        <v>164121.92368421098</v>
      </c>
      <c r="V1711" t="s">
        <v>717</v>
      </c>
      <c r="W1711">
        <v>44959</v>
      </c>
      <c r="X1711" t="s">
        <v>7644</v>
      </c>
      <c r="Y1711" t="s">
        <v>6</v>
      </c>
      <c r="Z1711" t="s">
        <v>17</v>
      </c>
      <c r="AA1711" t="s">
        <v>6637</v>
      </c>
      <c r="AB1711" t="s">
        <v>2509</v>
      </c>
      <c r="AC1711" t="s">
        <v>717</v>
      </c>
      <c r="AD1711" t="s">
        <v>717</v>
      </c>
      <c r="AE1711" t="s">
        <v>7645</v>
      </c>
      <c r="AF1711" t="s">
        <v>7646</v>
      </c>
      <c r="AG1711" t="s">
        <v>7647</v>
      </c>
      <c r="AH1711" t="s">
        <v>2191</v>
      </c>
      <c r="AI1711" t="s">
        <v>2538</v>
      </c>
      <c r="AJ1711" t="s">
        <v>2514</v>
      </c>
      <c r="AK1711" t="s">
        <v>73</v>
      </c>
      <c r="AL1711" t="s">
        <v>717</v>
      </c>
      <c r="AM1711" t="s">
        <v>10</v>
      </c>
      <c r="AN1711" t="s">
        <v>717</v>
      </c>
    </row>
    <row r="1712" spans="1:40" hidden="1">
      <c r="A1712">
        <v>1710</v>
      </c>
      <c r="B1712">
        <v>8</v>
      </c>
      <c r="C1712" s="58">
        <v>44965</v>
      </c>
      <c r="D1712" t="s">
        <v>27</v>
      </c>
      <c r="E1712" t="s">
        <v>2515</v>
      </c>
      <c r="F1712">
        <v>4</v>
      </c>
      <c r="G1712">
        <v>13</v>
      </c>
      <c r="H1712">
        <v>103</v>
      </c>
      <c r="I1712">
        <v>0</v>
      </c>
      <c r="J1712">
        <v>24.39</v>
      </c>
      <c r="K1712" t="s">
        <v>15</v>
      </c>
      <c r="L1712">
        <v>2313304.65</v>
      </c>
      <c r="M1712">
        <v>0</v>
      </c>
      <c r="N1712">
        <v>2313304.65</v>
      </c>
      <c r="O1712">
        <v>94846.439114391134</v>
      </c>
      <c r="P1712">
        <v>97560</v>
      </c>
      <c r="Q1712">
        <v>2215744.65</v>
      </c>
      <c r="R1712">
        <v>90846.439114391134</v>
      </c>
      <c r="S1712" t="s">
        <v>65</v>
      </c>
      <c r="T1712" t="s">
        <v>5386</v>
      </c>
      <c r="U1712">
        <v>100000</v>
      </c>
      <c r="V1712" t="s">
        <v>4131</v>
      </c>
      <c r="W1712">
        <v>44960</v>
      </c>
      <c r="X1712" t="s">
        <v>7648</v>
      </c>
      <c r="Y1712" t="s">
        <v>6</v>
      </c>
      <c r="Z1712" t="s">
        <v>17</v>
      </c>
      <c r="AA1712" t="s">
        <v>6637</v>
      </c>
      <c r="AB1712" t="s">
        <v>2509</v>
      </c>
      <c r="AC1712" t="s">
        <v>2571</v>
      </c>
      <c r="AD1712" t="s">
        <v>717</v>
      </c>
      <c r="AE1712" t="s">
        <v>7649</v>
      </c>
      <c r="AF1712" t="s">
        <v>7650</v>
      </c>
      <c r="AG1712" t="s">
        <v>7651</v>
      </c>
      <c r="AH1712" t="s">
        <v>2191</v>
      </c>
      <c r="AI1712" t="s">
        <v>2538</v>
      </c>
      <c r="AJ1712" t="s">
        <v>2514</v>
      </c>
      <c r="AK1712" t="s">
        <v>77</v>
      </c>
      <c r="AL1712" t="s">
        <v>16</v>
      </c>
      <c r="AM1712" t="s">
        <v>10</v>
      </c>
      <c r="AN1712" t="s">
        <v>717</v>
      </c>
    </row>
    <row r="1713" spans="1:40" hidden="1">
      <c r="A1713">
        <v>1711</v>
      </c>
      <c r="B1713">
        <v>9</v>
      </c>
      <c r="C1713" s="58">
        <v>44966</v>
      </c>
      <c r="D1713" t="s">
        <v>7</v>
      </c>
      <c r="E1713" t="s">
        <v>2506</v>
      </c>
      <c r="F1713">
        <v>3</v>
      </c>
      <c r="G1713">
        <v>10</v>
      </c>
      <c r="H1713">
        <v>187</v>
      </c>
      <c r="I1713">
        <v>1</v>
      </c>
      <c r="J1713">
        <v>35.380000000000003</v>
      </c>
      <c r="K1713" t="s">
        <v>15</v>
      </c>
      <c r="L1713">
        <v>3213000.38</v>
      </c>
      <c r="M1713">
        <v>0</v>
      </c>
      <c r="N1713">
        <v>3213000.38</v>
      </c>
      <c r="O1713">
        <v>90814.029960429616</v>
      </c>
      <c r="P1713">
        <v>141520</v>
      </c>
      <c r="Q1713">
        <v>3071480.38</v>
      </c>
      <c r="R1713">
        <v>86814.029960429616</v>
      </c>
      <c r="S1713" t="s">
        <v>130</v>
      </c>
      <c r="T1713" t="s">
        <v>717</v>
      </c>
      <c r="U1713" t="s">
        <v>717</v>
      </c>
      <c r="V1713" t="s">
        <v>717</v>
      </c>
      <c r="W1713">
        <v>44962</v>
      </c>
      <c r="X1713" t="s">
        <v>7652</v>
      </c>
      <c r="Y1713" t="s">
        <v>6</v>
      </c>
      <c r="Z1713" t="s">
        <v>17</v>
      </c>
      <c r="AA1713" t="s">
        <v>6637</v>
      </c>
      <c r="AB1713" t="s">
        <v>2509</v>
      </c>
      <c r="AC1713" t="s">
        <v>717</v>
      </c>
      <c r="AD1713" t="s">
        <v>717</v>
      </c>
      <c r="AE1713" t="s">
        <v>7653</v>
      </c>
      <c r="AF1713" t="s">
        <v>7654</v>
      </c>
      <c r="AG1713" t="s">
        <v>7655</v>
      </c>
      <c r="AH1713" t="s">
        <v>6100</v>
      </c>
      <c r="AI1713" t="s">
        <v>5653</v>
      </c>
      <c r="AJ1713" t="s">
        <v>31</v>
      </c>
      <c r="AK1713" t="s">
        <v>73</v>
      </c>
      <c r="AL1713" t="s">
        <v>717</v>
      </c>
      <c r="AM1713" t="s">
        <v>5654</v>
      </c>
      <c r="AN1713" t="s">
        <v>717</v>
      </c>
    </row>
    <row r="1714" spans="1:40" hidden="1">
      <c r="A1714">
        <v>1712</v>
      </c>
      <c r="B1714">
        <v>10</v>
      </c>
      <c r="C1714" s="58">
        <v>44966</v>
      </c>
      <c r="D1714" t="s">
        <v>7</v>
      </c>
      <c r="E1714" t="s">
        <v>4409</v>
      </c>
      <c r="F1714">
        <v>4</v>
      </c>
      <c r="G1714">
        <v>7</v>
      </c>
      <c r="H1714">
        <v>450</v>
      </c>
      <c r="I1714">
        <v>1</v>
      </c>
      <c r="J1714">
        <v>36.5</v>
      </c>
      <c r="K1714" t="s">
        <v>25</v>
      </c>
      <c r="L1714">
        <v>3621150.74</v>
      </c>
      <c r="M1714">
        <v>0</v>
      </c>
      <c r="N1714">
        <v>3621150.74</v>
      </c>
      <c r="O1714">
        <v>99209.609315068519</v>
      </c>
      <c r="P1714">
        <v>547500</v>
      </c>
      <c r="Q1714">
        <v>3073650.74</v>
      </c>
      <c r="R1714">
        <v>84209.609315068519</v>
      </c>
      <c r="S1714" t="s">
        <v>65</v>
      </c>
      <c r="T1714" t="s">
        <v>2664</v>
      </c>
      <c r="U1714">
        <v>95061.36</v>
      </c>
      <c r="V1714" t="s">
        <v>6312</v>
      </c>
      <c r="W1714">
        <v>44964</v>
      </c>
      <c r="X1714" t="s">
        <v>7656</v>
      </c>
      <c r="Y1714" t="s">
        <v>6</v>
      </c>
      <c r="Z1714" t="s">
        <v>17</v>
      </c>
      <c r="AA1714" t="s">
        <v>6637</v>
      </c>
      <c r="AB1714" t="s">
        <v>2509</v>
      </c>
      <c r="AC1714" t="s">
        <v>2571</v>
      </c>
      <c r="AD1714" t="s">
        <v>717</v>
      </c>
      <c r="AE1714" t="s">
        <v>7657</v>
      </c>
      <c r="AF1714" t="s">
        <v>7658</v>
      </c>
      <c r="AG1714" t="s">
        <v>717</v>
      </c>
      <c r="AH1714" t="s">
        <v>6100</v>
      </c>
      <c r="AI1714" t="s">
        <v>5653</v>
      </c>
      <c r="AJ1714" t="s">
        <v>31</v>
      </c>
      <c r="AK1714" t="s">
        <v>73</v>
      </c>
      <c r="AL1714" t="s">
        <v>16</v>
      </c>
      <c r="AM1714" t="s">
        <v>5654</v>
      </c>
      <c r="AN1714" t="s">
        <v>6708</v>
      </c>
    </row>
    <row r="1715" spans="1:40" hidden="1">
      <c r="A1715">
        <v>1713</v>
      </c>
      <c r="B1715">
        <v>11</v>
      </c>
      <c r="C1715" s="58">
        <v>44966</v>
      </c>
      <c r="D1715" t="s">
        <v>7</v>
      </c>
      <c r="E1715" t="s">
        <v>2581</v>
      </c>
      <c r="F1715">
        <v>7</v>
      </c>
      <c r="G1715">
        <v>24</v>
      </c>
      <c r="H1715">
        <v>401</v>
      </c>
      <c r="I1715">
        <v>1</v>
      </c>
      <c r="J1715">
        <v>33.840000000000003</v>
      </c>
      <c r="K1715" t="s">
        <v>9</v>
      </c>
      <c r="L1715">
        <v>3137442.1</v>
      </c>
      <c r="M1715">
        <v>0</v>
      </c>
      <c r="N1715">
        <v>3137442.1</v>
      </c>
      <c r="O1715">
        <v>92714.010047281321</v>
      </c>
      <c r="P1715">
        <v>0</v>
      </c>
      <c r="Q1715">
        <v>3137442.1</v>
      </c>
      <c r="R1715">
        <v>92714.010047281321</v>
      </c>
      <c r="S1715" t="s">
        <v>65</v>
      </c>
      <c r="T1715" t="s">
        <v>717</v>
      </c>
      <c r="U1715" t="s">
        <v>717</v>
      </c>
      <c r="V1715" t="s">
        <v>4131</v>
      </c>
      <c r="W1715">
        <v>44964</v>
      </c>
      <c r="X1715" t="s">
        <v>7659</v>
      </c>
      <c r="Y1715" t="s">
        <v>6</v>
      </c>
      <c r="Z1715" t="s">
        <v>17</v>
      </c>
      <c r="AA1715" t="s">
        <v>6637</v>
      </c>
      <c r="AB1715" t="s">
        <v>2509</v>
      </c>
      <c r="AC1715" t="s">
        <v>2571</v>
      </c>
      <c r="AD1715" t="s">
        <v>717</v>
      </c>
      <c r="AE1715" t="s">
        <v>7660</v>
      </c>
      <c r="AF1715" t="s">
        <v>7661</v>
      </c>
      <c r="AG1715" t="s">
        <v>717</v>
      </c>
      <c r="AH1715" t="s">
        <v>2615</v>
      </c>
      <c r="AI1715" t="s">
        <v>2552</v>
      </c>
      <c r="AJ1715" t="s">
        <v>2662</v>
      </c>
      <c r="AK1715" t="s">
        <v>1233</v>
      </c>
      <c r="AL1715" t="s">
        <v>16</v>
      </c>
      <c r="AM1715" t="s">
        <v>10</v>
      </c>
      <c r="AN1715" t="s">
        <v>6708</v>
      </c>
    </row>
    <row r="1716" spans="1:40" hidden="1">
      <c r="A1716">
        <v>1714</v>
      </c>
      <c r="B1716">
        <v>12</v>
      </c>
      <c r="C1716" s="58">
        <v>44966</v>
      </c>
      <c r="D1716" t="s">
        <v>7</v>
      </c>
      <c r="E1716" t="s">
        <v>2581</v>
      </c>
      <c r="F1716">
        <v>7</v>
      </c>
      <c r="G1716">
        <v>2</v>
      </c>
      <c r="H1716">
        <v>247</v>
      </c>
      <c r="I1716">
        <v>1</v>
      </c>
      <c r="J1716">
        <v>33.840000000000003</v>
      </c>
      <c r="K1716" t="s">
        <v>9</v>
      </c>
      <c r="L1716">
        <v>2880742.35</v>
      </c>
      <c r="M1716">
        <v>0</v>
      </c>
      <c r="N1716">
        <v>2880742.35</v>
      </c>
      <c r="O1716">
        <v>85128.320035460987</v>
      </c>
      <c r="P1716">
        <v>0</v>
      </c>
      <c r="Q1716">
        <v>2880742.35</v>
      </c>
      <c r="R1716">
        <v>85128.320035460987</v>
      </c>
      <c r="S1716" t="s">
        <v>65</v>
      </c>
      <c r="T1716" t="s">
        <v>717</v>
      </c>
      <c r="U1716" t="s">
        <v>717</v>
      </c>
      <c r="V1716" t="s">
        <v>4131</v>
      </c>
      <c r="W1716">
        <v>44966</v>
      </c>
      <c r="X1716" t="s">
        <v>7662</v>
      </c>
      <c r="Y1716" t="s">
        <v>6</v>
      </c>
      <c r="Z1716" t="s">
        <v>17</v>
      </c>
      <c r="AA1716" t="s">
        <v>6637</v>
      </c>
      <c r="AB1716" t="s">
        <v>2509</v>
      </c>
      <c r="AC1716" t="s">
        <v>2571</v>
      </c>
      <c r="AD1716" t="s">
        <v>717</v>
      </c>
      <c r="AE1716" t="s">
        <v>7663</v>
      </c>
      <c r="AF1716" t="s">
        <v>7664</v>
      </c>
      <c r="AG1716" t="s">
        <v>7665</v>
      </c>
      <c r="AH1716" t="s">
        <v>2191</v>
      </c>
      <c r="AI1716" t="s">
        <v>2673</v>
      </c>
      <c r="AJ1716" t="s">
        <v>2514</v>
      </c>
      <c r="AK1716" t="s">
        <v>73</v>
      </c>
      <c r="AL1716" t="s">
        <v>16</v>
      </c>
      <c r="AM1716" t="s">
        <v>10</v>
      </c>
      <c r="AN1716" t="s">
        <v>717</v>
      </c>
    </row>
    <row r="1717" spans="1:40" hidden="1">
      <c r="A1717">
        <v>1715</v>
      </c>
      <c r="B1717">
        <v>13</v>
      </c>
      <c r="C1717" s="58">
        <v>44967</v>
      </c>
      <c r="D1717" t="s">
        <v>27</v>
      </c>
      <c r="E1717" t="s">
        <v>5456</v>
      </c>
      <c r="F1717">
        <v>9</v>
      </c>
      <c r="G1717">
        <v>6</v>
      </c>
      <c r="H1717">
        <v>875</v>
      </c>
      <c r="I1717">
        <v>0</v>
      </c>
      <c r="J1717">
        <v>23.09</v>
      </c>
      <c r="K1717" t="s">
        <v>9</v>
      </c>
      <c r="L1717">
        <v>2171735.5099999998</v>
      </c>
      <c r="M1717">
        <v>0</v>
      </c>
      <c r="N1717">
        <v>2171735.5099999998</v>
      </c>
      <c r="O1717">
        <v>94055.240796881757</v>
      </c>
      <c r="P1717">
        <v>0</v>
      </c>
      <c r="Q1717">
        <v>2171735.5099999998</v>
      </c>
      <c r="R1717">
        <v>94055.240796881757</v>
      </c>
      <c r="S1717" t="s">
        <v>65</v>
      </c>
      <c r="T1717" t="s">
        <v>5386</v>
      </c>
      <c r="U1717">
        <v>100000</v>
      </c>
      <c r="V1717" t="s">
        <v>4131</v>
      </c>
      <c r="W1717">
        <v>44965</v>
      </c>
      <c r="X1717" t="s">
        <v>7666</v>
      </c>
      <c r="Y1717" t="s">
        <v>6</v>
      </c>
      <c r="Z1717" t="s">
        <v>17</v>
      </c>
      <c r="AA1717" t="s">
        <v>6637</v>
      </c>
      <c r="AB1717" t="s">
        <v>2509</v>
      </c>
      <c r="AC1717" t="s">
        <v>2571</v>
      </c>
      <c r="AD1717" t="s">
        <v>717</v>
      </c>
      <c r="AE1717" t="s">
        <v>7667</v>
      </c>
      <c r="AF1717" t="s">
        <v>7668</v>
      </c>
      <c r="AG1717" t="s">
        <v>7669</v>
      </c>
      <c r="AH1717" t="s">
        <v>2191</v>
      </c>
      <c r="AI1717" t="s">
        <v>2538</v>
      </c>
      <c r="AJ1717" t="s">
        <v>2514</v>
      </c>
      <c r="AK1717" t="s">
        <v>77</v>
      </c>
      <c r="AL1717" t="s">
        <v>16</v>
      </c>
      <c r="AM1717" t="s">
        <v>10</v>
      </c>
      <c r="AN1717" t="s">
        <v>6708</v>
      </c>
    </row>
    <row r="1718" spans="1:40" hidden="1">
      <c r="A1718">
        <v>1716</v>
      </c>
      <c r="B1718">
        <v>14</v>
      </c>
      <c r="C1718" s="58">
        <v>44970</v>
      </c>
      <c r="D1718" t="s">
        <v>7</v>
      </c>
      <c r="E1718" t="s">
        <v>2581</v>
      </c>
      <c r="F1718">
        <v>5</v>
      </c>
      <c r="G1718">
        <v>18</v>
      </c>
      <c r="H1718">
        <v>357</v>
      </c>
      <c r="I1718">
        <v>2</v>
      </c>
      <c r="J1718">
        <v>56.7</v>
      </c>
      <c r="K1718" t="s">
        <v>15</v>
      </c>
      <c r="L1718">
        <v>4518084.5</v>
      </c>
      <c r="M1718">
        <v>0</v>
      </c>
      <c r="N1718">
        <v>4518084.5</v>
      </c>
      <c r="O1718">
        <v>79684.02998236331</v>
      </c>
      <c r="P1718">
        <v>226800</v>
      </c>
      <c r="Q1718">
        <v>4291284.5</v>
      </c>
      <c r="R1718">
        <v>75684.02998236331</v>
      </c>
      <c r="S1718" t="s">
        <v>65</v>
      </c>
      <c r="T1718" t="s">
        <v>717</v>
      </c>
      <c r="U1718" t="s">
        <v>717</v>
      </c>
      <c r="V1718" t="s">
        <v>4131</v>
      </c>
      <c r="W1718">
        <v>44960</v>
      </c>
      <c r="X1718" t="s">
        <v>7670</v>
      </c>
      <c r="Y1718" t="s">
        <v>6</v>
      </c>
      <c r="Z1718" t="s">
        <v>17</v>
      </c>
      <c r="AA1718" t="s">
        <v>6637</v>
      </c>
      <c r="AB1718" t="s">
        <v>2509</v>
      </c>
      <c r="AC1718" t="s">
        <v>2571</v>
      </c>
      <c r="AD1718" t="s">
        <v>717</v>
      </c>
      <c r="AE1718" t="s">
        <v>7671</v>
      </c>
      <c r="AF1718" t="s">
        <v>7672</v>
      </c>
      <c r="AG1718" t="s">
        <v>7673</v>
      </c>
      <c r="AH1718" t="s">
        <v>2615</v>
      </c>
      <c r="AI1718" t="s">
        <v>2538</v>
      </c>
      <c r="AJ1718" t="s">
        <v>2940</v>
      </c>
      <c r="AK1718" t="s">
        <v>1233</v>
      </c>
      <c r="AL1718" t="s">
        <v>16</v>
      </c>
      <c r="AM1718" t="s">
        <v>10</v>
      </c>
      <c r="AN1718" t="s">
        <v>717</v>
      </c>
    </row>
    <row r="1719" spans="1:40" hidden="1">
      <c r="A1719">
        <v>1717</v>
      </c>
      <c r="B1719">
        <v>15</v>
      </c>
      <c r="C1719" s="58">
        <v>44970</v>
      </c>
      <c r="D1719" t="s">
        <v>7</v>
      </c>
      <c r="E1719" t="s">
        <v>2581</v>
      </c>
      <c r="F1719">
        <v>3</v>
      </c>
      <c r="G1719">
        <v>9</v>
      </c>
      <c r="H1719">
        <v>292</v>
      </c>
      <c r="I1719">
        <v>0</v>
      </c>
      <c r="J1719">
        <v>36.450000000000003</v>
      </c>
      <c r="K1719" t="s">
        <v>25</v>
      </c>
      <c r="L1719">
        <v>3615579.02</v>
      </c>
      <c r="M1719">
        <v>0</v>
      </c>
      <c r="N1719">
        <v>3615579.02</v>
      </c>
      <c r="O1719">
        <v>99192.840054869681</v>
      </c>
      <c r="P1719">
        <v>546749.99999999953</v>
      </c>
      <c r="Q1719">
        <v>3068829.0200000005</v>
      </c>
      <c r="R1719">
        <v>84192.840054869695</v>
      </c>
      <c r="S1719" t="s">
        <v>65</v>
      </c>
      <c r="T1719" t="s">
        <v>717</v>
      </c>
      <c r="U1719" t="s">
        <v>717</v>
      </c>
      <c r="V1719" t="s">
        <v>6312</v>
      </c>
      <c r="W1719">
        <v>44965</v>
      </c>
      <c r="X1719" t="s">
        <v>7674</v>
      </c>
      <c r="Y1719" t="s">
        <v>6</v>
      </c>
      <c r="Z1719" t="s">
        <v>17</v>
      </c>
      <c r="AA1719" t="s">
        <v>6637</v>
      </c>
      <c r="AB1719" t="s">
        <v>2509</v>
      </c>
      <c r="AC1719" t="s">
        <v>2571</v>
      </c>
      <c r="AD1719" t="s">
        <v>717</v>
      </c>
      <c r="AE1719" t="s">
        <v>7675</v>
      </c>
      <c r="AF1719" t="s">
        <v>7676</v>
      </c>
      <c r="AG1719" t="s">
        <v>7677</v>
      </c>
      <c r="AH1719" t="s">
        <v>2191</v>
      </c>
      <c r="AI1719" t="s">
        <v>2552</v>
      </c>
      <c r="AJ1719" t="s">
        <v>2514</v>
      </c>
      <c r="AK1719" t="s">
        <v>77</v>
      </c>
      <c r="AL1719" t="s">
        <v>22</v>
      </c>
      <c r="AM1719" t="s">
        <v>10</v>
      </c>
      <c r="AN1719" t="s">
        <v>6708</v>
      </c>
    </row>
    <row r="1720" spans="1:40" hidden="1">
      <c r="A1720">
        <v>1718</v>
      </c>
      <c r="B1720">
        <v>16</v>
      </c>
      <c r="C1720" s="58">
        <v>44971</v>
      </c>
      <c r="D1720" t="s">
        <v>7</v>
      </c>
      <c r="E1720" t="s">
        <v>2506</v>
      </c>
      <c r="F1720">
        <v>4</v>
      </c>
      <c r="G1720">
        <v>4</v>
      </c>
      <c r="H1720">
        <v>140</v>
      </c>
      <c r="I1720">
        <v>1</v>
      </c>
      <c r="J1720">
        <v>37.81</v>
      </c>
      <c r="K1720" t="s">
        <v>15</v>
      </c>
      <c r="L1720">
        <v>3299831.3</v>
      </c>
      <c r="M1720">
        <v>0</v>
      </c>
      <c r="N1720">
        <v>3299831.3</v>
      </c>
      <c r="O1720">
        <v>87274.035969320277</v>
      </c>
      <c r="P1720">
        <v>151240</v>
      </c>
      <c r="Q1720">
        <v>3148591.3</v>
      </c>
      <c r="R1720">
        <v>83274.035969320277</v>
      </c>
      <c r="S1720" t="s">
        <v>65</v>
      </c>
      <c r="T1720" t="s">
        <v>2664</v>
      </c>
      <c r="U1720">
        <v>165715.32999999999</v>
      </c>
      <c r="V1720" t="s">
        <v>6312</v>
      </c>
      <c r="W1720">
        <v>44960</v>
      </c>
      <c r="X1720" t="s">
        <v>7678</v>
      </c>
      <c r="Y1720" t="s">
        <v>6</v>
      </c>
      <c r="Z1720" t="s">
        <v>17</v>
      </c>
      <c r="AA1720" t="s">
        <v>5617</v>
      </c>
      <c r="AB1720" t="s">
        <v>2509</v>
      </c>
      <c r="AC1720" t="s">
        <v>2564</v>
      </c>
      <c r="AD1720" t="s">
        <v>717</v>
      </c>
      <c r="AE1720" t="s">
        <v>7679</v>
      </c>
      <c r="AF1720" t="s">
        <v>7680</v>
      </c>
      <c r="AG1720" t="s">
        <v>7681</v>
      </c>
      <c r="AH1720" t="s">
        <v>2552</v>
      </c>
      <c r="AI1720" t="s">
        <v>2590</v>
      </c>
      <c r="AJ1720" t="s">
        <v>4429</v>
      </c>
      <c r="AK1720" t="s">
        <v>1233</v>
      </c>
      <c r="AL1720" t="s">
        <v>22</v>
      </c>
      <c r="AM1720" t="s">
        <v>10</v>
      </c>
      <c r="AN1720" t="s">
        <v>717</v>
      </c>
    </row>
    <row r="1721" spans="1:40" hidden="1">
      <c r="A1721">
        <v>1719</v>
      </c>
      <c r="B1721">
        <v>17</v>
      </c>
      <c r="C1721" s="58">
        <v>44972</v>
      </c>
      <c r="D1721" t="s">
        <v>27</v>
      </c>
      <c r="E1721" t="s">
        <v>2515</v>
      </c>
      <c r="F1721">
        <v>5</v>
      </c>
      <c r="G1721">
        <v>16</v>
      </c>
      <c r="H1721">
        <v>131</v>
      </c>
      <c r="I1721">
        <v>0</v>
      </c>
      <c r="J1721">
        <v>24.47</v>
      </c>
      <c r="K1721" t="s">
        <v>15</v>
      </c>
      <c r="L1721">
        <v>2321187.09</v>
      </c>
      <c r="M1721">
        <v>0</v>
      </c>
      <c r="N1721">
        <v>2321187.09</v>
      </c>
      <c r="O1721">
        <v>94858.483449121355</v>
      </c>
      <c r="P1721">
        <v>97880</v>
      </c>
      <c r="Q1721">
        <v>2223307.09</v>
      </c>
      <c r="R1721">
        <v>90858.483449121355</v>
      </c>
      <c r="S1721" t="s">
        <v>65</v>
      </c>
      <c r="T1721" t="s">
        <v>5386</v>
      </c>
      <c r="U1721">
        <v>100000</v>
      </c>
      <c r="V1721" t="s">
        <v>4131</v>
      </c>
      <c r="W1721">
        <v>44965</v>
      </c>
      <c r="X1721" t="s">
        <v>7682</v>
      </c>
      <c r="Y1721" t="s">
        <v>6</v>
      </c>
      <c r="Z1721" t="s">
        <v>17</v>
      </c>
      <c r="AA1721" t="s">
        <v>6637</v>
      </c>
      <c r="AB1721" t="s">
        <v>2509</v>
      </c>
      <c r="AC1721" t="s">
        <v>2571</v>
      </c>
      <c r="AD1721" t="s">
        <v>717</v>
      </c>
      <c r="AE1721" t="s">
        <v>7683</v>
      </c>
      <c r="AF1721" t="s">
        <v>7684</v>
      </c>
      <c r="AG1721" t="s">
        <v>7685</v>
      </c>
      <c r="AH1721" t="s">
        <v>2615</v>
      </c>
      <c r="AI1721" t="s">
        <v>2847</v>
      </c>
      <c r="AJ1721" t="s">
        <v>2940</v>
      </c>
      <c r="AK1721" t="s">
        <v>77</v>
      </c>
      <c r="AL1721" t="s">
        <v>16</v>
      </c>
      <c r="AM1721" t="s">
        <v>10</v>
      </c>
      <c r="AN1721" t="s">
        <v>6708</v>
      </c>
    </row>
    <row r="1722" spans="1:40" hidden="1">
      <c r="A1722">
        <v>1720</v>
      </c>
      <c r="B1722">
        <v>18</v>
      </c>
      <c r="C1722" s="58">
        <v>44973</v>
      </c>
      <c r="D1722" t="s">
        <v>7</v>
      </c>
      <c r="E1722" t="s">
        <v>2515</v>
      </c>
      <c r="F1722">
        <v>5</v>
      </c>
      <c r="G1722">
        <v>6</v>
      </c>
      <c r="H1722">
        <v>37</v>
      </c>
      <c r="I1722">
        <v>2</v>
      </c>
      <c r="J1722">
        <v>54.66</v>
      </c>
      <c r="K1722" t="s">
        <v>15</v>
      </c>
      <c r="L1722">
        <v>4110528.66</v>
      </c>
      <c r="M1722">
        <v>0</v>
      </c>
      <c r="N1722">
        <v>4110528.66</v>
      </c>
      <c r="O1722">
        <v>75201.76838638859</v>
      </c>
      <c r="P1722">
        <v>218640</v>
      </c>
      <c r="Q1722">
        <v>3891888.66</v>
      </c>
      <c r="R1722">
        <v>71201.76838638859</v>
      </c>
      <c r="S1722" t="s">
        <v>65</v>
      </c>
      <c r="T1722" t="s">
        <v>2664</v>
      </c>
      <c r="U1722">
        <v>204836.25</v>
      </c>
      <c r="V1722" t="s">
        <v>6312</v>
      </c>
      <c r="W1722">
        <v>44967</v>
      </c>
      <c r="X1722" t="s">
        <v>7686</v>
      </c>
      <c r="Y1722" t="s">
        <v>6</v>
      </c>
      <c r="Z1722" t="s">
        <v>17</v>
      </c>
      <c r="AA1722" t="s">
        <v>6637</v>
      </c>
      <c r="AB1722" t="s">
        <v>2509</v>
      </c>
      <c r="AC1722" t="s">
        <v>2571</v>
      </c>
      <c r="AD1722" t="s">
        <v>717</v>
      </c>
      <c r="AE1722" t="s">
        <v>7687</v>
      </c>
      <c r="AF1722" t="s">
        <v>7688</v>
      </c>
      <c r="AG1722" t="s">
        <v>7689</v>
      </c>
      <c r="AH1722" t="s">
        <v>2615</v>
      </c>
      <c r="AI1722" t="s">
        <v>2621</v>
      </c>
      <c r="AJ1722" t="s">
        <v>5785</v>
      </c>
      <c r="AK1722" t="s">
        <v>73</v>
      </c>
      <c r="AL1722" t="s">
        <v>22</v>
      </c>
      <c r="AM1722" t="s">
        <v>10</v>
      </c>
      <c r="AN1722" t="s">
        <v>6708</v>
      </c>
    </row>
    <row r="1723" spans="1:40" hidden="1">
      <c r="A1723">
        <v>1721</v>
      </c>
      <c r="B1723">
        <v>19</v>
      </c>
      <c r="C1723" s="58">
        <v>44974</v>
      </c>
      <c r="D1723" t="s">
        <v>7</v>
      </c>
      <c r="E1723" t="s">
        <v>2506</v>
      </c>
      <c r="F1723">
        <v>3</v>
      </c>
      <c r="G1723">
        <v>3</v>
      </c>
      <c r="H1723">
        <v>131</v>
      </c>
      <c r="I1723">
        <v>1</v>
      </c>
      <c r="J1723">
        <v>35.380000000000003</v>
      </c>
      <c r="K1723" t="s">
        <v>9</v>
      </c>
      <c r="L1723">
        <v>3071480.38</v>
      </c>
      <c r="M1723">
        <v>0</v>
      </c>
      <c r="N1723">
        <v>3071480.38</v>
      </c>
      <c r="O1723">
        <v>86814.029960429616</v>
      </c>
      <c r="P1723">
        <v>0</v>
      </c>
      <c r="Q1723">
        <v>3071480.38</v>
      </c>
      <c r="R1723">
        <v>86814.029960429616</v>
      </c>
      <c r="S1723" t="s">
        <v>65</v>
      </c>
      <c r="T1723" t="s">
        <v>717</v>
      </c>
      <c r="U1723" t="s">
        <v>717</v>
      </c>
      <c r="V1723" t="s">
        <v>6312</v>
      </c>
      <c r="W1723">
        <v>44966</v>
      </c>
      <c r="X1723" t="s">
        <v>7690</v>
      </c>
      <c r="Y1723" t="s">
        <v>6</v>
      </c>
      <c r="Z1723" t="s">
        <v>17</v>
      </c>
      <c r="AA1723" t="s">
        <v>6637</v>
      </c>
      <c r="AB1723" t="s">
        <v>2509</v>
      </c>
      <c r="AC1723" t="s">
        <v>2571</v>
      </c>
      <c r="AD1723" t="s">
        <v>717</v>
      </c>
      <c r="AE1723" t="s">
        <v>7691</v>
      </c>
      <c r="AF1723" t="s">
        <v>7692</v>
      </c>
      <c r="AG1723" t="s">
        <v>7693</v>
      </c>
      <c r="AH1723" t="s">
        <v>2615</v>
      </c>
      <c r="AI1723" t="s">
        <v>3120</v>
      </c>
      <c r="AJ1723" t="s">
        <v>3202</v>
      </c>
      <c r="AK1723" t="s">
        <v>73</v>
      </c>
      <c r="AL1723" t="s">
        <v>16</v>
      </c>
      <c r="AM1723" t="s">
        <v>10</v>
      </c>
      <c r="AN1723" t="s">
        <v>717</v>
      </c>
    </row>
    <row r="1724" spans="1:40" hidden="1">
      <c r="A1724">
        <v>1722</v>
      </c>
      <c r="B1724">
        <v>20</v>
      </c>
      <c r="C1724" s="58">
        <v>44974</v>
      </c>
      <c r="D1724" t="s">
        <v>7</v>
      </c>
      <c r="E1724" t="s">
        <v>2515</v>
      </c>
      <c r="F1724">
        <v>4</v>
      </c>
      <c r="G1724">
        <v>7</v>
      </c>
      <c r="H1724">
        <v>44</v>
      </c>
      <c r="I1724">
        <v>2</v>
      </c>
      <c r="J1724">
        <v>56.03</v>
      </c>
      <c r="K1724" t="s">
        <v>25</v>
      </c>
      <c r="L1724">
        <v>5039855.3600000003</v>
      </c>
      <c r="M1724">
        <v>0</v>
      </c>
      <c r="N1724">
        <v>5039855.3600000003</v>
      </c>
      <c r="O1724">
        <v>89949.230055327527</v>
      </c>
      <c r="P1724">
        <v>840450</v>
      </c>
      <c r="Q1724">
        <v>4199405.3600000003</v>
      </c>
      <c r="R1724">
        <v>74949.230055327527</v>
      </c>
      <c r="S1724" t="s">
        <v>2507</v>
      </c>
      <c r="T1724" t="s">
        <v>717</v>
      </c>
      <c r="U1724" t="s">
        <v>717</v>
      </c>
      <c r="V1724" t="s">
        <v>717</v>
      </c>
      <c r="W1724">
        <v>44971</v>
      </c>
      <c r="X1724" t="s">
        <v>7694</v>
      </c>
      <c r="Y1724" t="s">
        <v>6</v>
      </c>
      <c r="Z1724" t="s">
        <v>17</v>
      </c>
      <c r="AA1724" t="s">
        <v>6637</v>
      </c>
      <c r="AB1724" t="s">
        <v>2509</v>
      </c>
      <c r="AC1724" t="s">
        <v>717</v>
      </c>
      <c r="AD1724" t="s">
        <v>717</v>
      </c>
      <c r="AE1724" t="s">
        <v>7695</v>
      </c>
      <c r="AF1724" t="s">
        <v>7696</v>
      </c>
      <c r="AG1724" t="s">
        <v>7697</v>
      </c>
      <c r="AH1724" t="s">
        <v>2615</v>
      </c>
      <c r="AI1724" t="s">
        <v>2552</v>
      </c>
      <c r="AJ1724" t="s">
        <v>2895</v>
      </c>
      <c r="AK1724" t="s">
        <v>1233</v>
      </c>
      <c r="AL1724" t="s">
        <v>717</v>
      </c>
      <c r="AM1724" t="s">
        <v>10</v>
      </c>
      <c r="AN1724" t="s">
        <v>717</v>
      </c>
    </row>
    <row r="1725" spans="1:40" hidden="1">
      <c r="A1725">
        <v>1723</v>
      </c>
      <c r="B1725">
        <v>21</v>
      </c>
      <c r="C1725" s="58">
        <v>44977</v>
      </c>
      <c r="D1725" t="s">
        <v>7</v>
      </c>
      <c r="E1725" t="s">
        <v>2581</v>
      </c>
      <c r="F1725">
        <v>1</v>
      </c>
      <c r="G1725">
        <v>17</v>
      </c>
      <c r="H1725">
        <v>346</v>
      </c>
      <c r="I1725">
        <v>0</v>
      </c>
      <c r="J1725">
        <v>29.35</v>
      </c>
      <c r="K1725" t="s">
        <v>15</v>
      </c>
      <c r="L1725">
        <v>2563993.9900000002</v>
      </c>
      <c r="M1725">
        <v>0</v>
      </c>
      <c r="N1725">
        <v>2563993.9900000002</v>
      </c>
      <c r="O1725">
        <v>87359.250085178879</v>
      </c>
      <c r="P1725">
        <v>117399.99999999952</v>
      </c>
      <c r="Q1725">
        <v>2446593.9900000007</v>
      </c>
      <c r="R1725">
        <v>83359.250085178894</v>
      </c>
      <c r="S1725" t="s">
        <v>65</v>
      </c>
      <c r="T1725" t="s">
        <v>717</v>
      </c>
      <c r="U1725" t="s">
        <v>717</v>
      </c>
      <c r="V1725" t="s">
        <v>4131</v>
      </c>
      <c r="W1725">
        <v>44974</v>
      </c>
      <c r="X1725" t="s">
        <v>7698</v>
      </c>
      <c r="Y1725" t="s">
        <v>6</v>
      </c>
      <c r="Z1725" t="s">
        <v>17</v>
      </c>
      <c r="AA1725" t="s">
        <v>6637</v>
      </c>
      <c r="AB1725" t="s">
        <v>2509</v>
      </c>
      <c r="AC1725" t="s">
        <v>2571</v>
      </c>
      <c r="AD1725" t="s">
        <v>717</v>
      </c>
      <c r="AE1725" t="s">
        <v>7699</v>
      </c>
      <c r="AF1725" t="s">
        <v>7700</v>
      </c>
      <c r="AG1725" t="s">
        <v>7701</v>
      </c>
      <c r="AH1725" t="s">
        <v>2615</v>
      </c>
      <c r="AI1725" t="s">
        <v>2552</v>
      </c>
      <c r="AJ1725" t="s">
        <v>2642</v>
      </c>
      <c r="AK1725" t="s">
        <v>73</v>
      </c>
      <c r="AL1725" t="s">
        <v>16</v>
      </c>
      <c r="AM1725" t="s">
        <v>10</v>
      </c>
      <c r="AN1725" t="s">
        <v>717</v>
      </c>
    </row>
    <row r="1726" spans="1:40" hidden="1">
      <c r="A1726">
        <v>1724</v>
      </c>
      <c r="B1726">
        <v>22</v>
      </c>
      <c r="C1726" s="58">
        <v>44978</v>
      </c>
      <c r="D1726" t="s">
        <v>7</v>
      </c>
      <c r="E1726" t="s">
        <v>2581</v>
      </c>
      <c r="F1726">
        <v>5</v>
      </c>
      <c r="G1726">
        <v>4</v>
      </c>
      <c r="H1726">
        <v>259</v>
      </c>
      <c r="I1726">
        <v>2</v>
      </c>
      <c r="J1726">
        <v>56.7</v>
      </c>
      <c r="K1726" t="s">
        <v>9</v>
      </c>
      <c r="L1726">
        <v>4291284.5</v>
      </c>
      <c r="M1726">
        <v>0</v>
      </c>
      <c r="N1726">
        <v>4291284.5</v>
      </c>
      <c r="O1726">
        <v>75684.02998236331</v>
      </c>
      <c r="P1726">
        <v>0</v>
      </c>
      <c r="Q1726">
        <v>4291284.5</v>
      </c>
      <c r="R1726">
        <v>75684.02998236331</v>
      </c>
      <c r="S1726" t="s">
        <v>65</v>
      </c>
      <c r="T1726" t="s">
        <v>717</v>
      </c>
      <c r="U1726" t="s">
        <v>717</v>
      </c>
      <c r="V1726" t="s">
        <v>6312</v>
      </c>
      <c r="W1726">
        <v>44973</v>
      </c>
      <c r="X1726" t="s">
        <v>7702</v>
      </c>
      <c r="Y1726" t="s">
        <v>6</v>
      </c>
      <c r="Z1726" t="s">
        <v>17</v>
      </c>
      <c r="AA1726" t="s">
        <v>6637</v>
      </c>
      <c r="AB1726" t="s">
        <v>2509</v>
      </c>
      <c r="AC1726" t="s">
        <v>2571</v>
      </c>
      <c r="AD1726" t="s">
        <v>717</v>
      </c>
      <c r="AE1726" t="s">
        <v>7703</v>
      </c>
      <c r="AF1726" t="s">
        <v>7704</v>
      </c>
      <c r="AG1726" t="s">
        <v>7705</v>
      </c>
      <c r="AH1726" t="s">
        <v>2496</v>
      </c>
      <c r="AI1726" t="s">
        <v>5056</v>
      </c>
      <c r="AJ1726" t="s">
        <v>6169</v>
      </c>
      <c r="AK1726" t="s">
        <v>77</v>
      </c>
      <c r="AL1726" t="s">
        <v>16</v>
      </c>
      <c r="AM1726" t="s">
        <v>10</v>
      </c>
      <c r="AN1726" t="s">
        <v>6708</v>
      </c>
    </row>
    <row r="1727" spans="1:40" hidden="1">
      <c r="A1727">
        <v>1725</v>
      </c>
      <c r="B1727">
        <v>23</v>
      </c>
      <c r="C1727" s="58">
        <v>44978</v>
      </c>
      <c r="D1727" t="s">
        <v>7</v>
      </c>
      <c r="E1727" t="s">
        <v>4409</v>
      </c>
      <c r="F1727">
        <v>5</v>
      </c>
      <c r="G1727">
        <v>15</v>
      </c>
      <c r="H1727">
        <v>523</v>
      </c>
      <c r="I1727">
        <v>2</v>
      </c>
      <c r="J1727">
        <v>56.04</v>
      </c>
      <c r="K1727" t="s">
        <v>15</v>
      </c>
      <c r="L1727">
        <v>4424314.8499999996</v>
      </c>
      <c r="M1727">
        <v>0</v>
      </c>
      <c r="N1727">
        <v>4424314.8499999996</v>
      </c>
      <c r="O1727">
        <v>78949.230014275527</v>
      </c>
      <c r="P1727">
        <v>224160</v>
      </c>
      <c r="Q1727">
        <v>4200154.8499999996</v>
      </c>
      <c r="R1727">
        <v>74949.230014275527</v>
      </c>
      <c r="S1727" t="s">
        <v>130</v>
      </c>
      <c r="T1727" t="s">
        <v>717</v>
      </c>
      <c r="U1727" t="s">
        <v>717</v>
      </c>
      <c r="V1727" t="s">
        <v>717</v>
      </c>
      <c r="W1727">
        <v>44974</v>
      </c>
      <c r="X1727" t="s">
        <v>7706</v>
      </c>
      <c r="Y1727" t="s">
        <v>2611</v>
      </c>
      <c r="Z1727" t="s">
        <v>17</v>
      </c>
      <c r="AA1727" t="s">
        <v>6637</v>
      </c>
      <c r="AB1727" t="s">
        <v>2509</v>
      </c>
      <c r="AC1727" t="s">
        <v>717</v>
      </c>
      <c r="AD1727">
        <v>45376</v>
      </c>
      <c r="AE1727" t="s">
        <v>7707</v>
      </c>
      <c r="AF1727" t="s">
        <v>7708</v>
      </c>
      <c r="AG1727" t="s">
        <v>7709</v>
      </c>
      <c r="AH1727" t="s">
        <v>6100</v>
      </c>
      <c r="AI1727" t="s">
        <v>5653</v>
      </c>
      <c r="AJ1727" t="s">
        <v>31</v>
      </c>
      <c r="AK1727" t="s">
        <v>73</v>
      </c>
      <c r="AL1727" t="s">
        <v>717</v>
      </c>
      <c r="AM1727" t="s">
        <v>5654</v>
      </c>
      <c r="AN1727" t="s">
        <v>717</v>
      </c>
    </row>
    <row r="1728" spans="1:40" hidden="1">
      <c r="A1728">
        <v>1726</v>
      </c>
      <c r="B1728">
        <v>24</v>
      </c>
      <c r="C1728" s="58">
        <v>44978</v>
      </c>
      <c r="D1728" t="s">
        <v>7</v>
      </c>
      <c r="E1728" t="s">
        <v>2515</v>
      </c>
      <c r="F1728">
        <v>3</v>
      </c>
      <c r="G1728">
        <v>13</v>
      </c>
      <c r="H1728">
        <v>91</v>
      </c>
      <c r="I1728">
        <v>1</v>
      </c>
      <c r="J1728">
        <v>35.54</v>
      </c>
      <c r="K1728" t="s">
        <v>15</v>
      </c>
      <c r="L1728">
        <v>3197575.74</v>
      </c>
      <c r="M1728">
        <v>0</v>
      </c>
      <c r="N1728">
        <v>3197575.74</v>
      </c>
      <c r="O1728">
        <v>89971.18007878447</v>
      </c>
      <c r="P1728">
        <v>142160</v>
      </c>
      <c r="Q1728">
        <v>3055415.74</v>
      </c>
      <c r="R1728">
        <v>85971.18007878447</v>
      </c>
      <c r="S1728" t="s">
        <v>130</v>
      </c>
      <c r="T1728" t="s">
        <v>717</v>
      </c>
      <c r="U1728" t="s">
        <v>717</v>
      </c>
      <c r="V1728" t="s">
        <v>717</v>
      </c>
      <c r="W1728">
        <v>44975</v>
      </c>
      <c r="X1728" t="s">
        <v>7710</v>
      </c>
      <c r="Y1728" t="s">
        <v>6</v>
      </c>
      <c r="Z1728" t="s">
        <v>17</v>
      </c>
      <c r="AA1728" t="s">
        <v>6637</v>
      </c>
      <c r="AB1728" t="s">
        <v>2509</v>
      </c>
      <c r="AC1728" t="s">
        <v>717</v>
      </c>
      <c r="AD1728" t="s">
        <v>717</v>
      </c>
      <c r="AE1728" t="s">
        <v>7711</v>
      </c>
      <c r="AF1728" t="s">
        <v>7712</v>
      </c>
      <c r="AG1728" t="s">
        <v>7713</v>
      </c>
      <c r="AH1728" t="s">
        <v>6100</v>
      </c>
      <c r="AI1728" t="s">
        <v>5653</v>
      </c>
      <c r="AJ1728" t="s">
        <v>31</v>
      </c>
      <c r="AK1728" t="s">
        <v>73</v>
      </c>
      <c r="AL1728" t="s">
        <v>717</v>
      </c>
      <c r="AM1728" t="s">
        <v>5654</v>
      </c>
      <c r="AN1728" t="s">
        <v>717</v>
      </c>
    </row>
    <row r="1729" spans="1:40" hidden="1">
      <c r="A1729">
        <v>1727</v>
      </c>
      <c r="B1729">
        <v>25</v>
      </c>
      <c r="C1729" s="58">
        <v>44978</v>
      </c>
      <c r="D1729" t="s">
        <v>7</v>
      </c>
      <c r="E1729" t="s">
        <v>4409</v>
      </c>
      <c r="F1729">
        <v>6</v>
      </c>
      <c r="G1729">
        <v>9</v>
      </c>
      <c r="H1729">
        <v>470</v>
      </c>
      <c r="I1729">
        <v>2</v>
      </c>
      <c r="J1729">
        <v>58.62</v>
      </c>
      <c r="K1729" t="s">
        <v>15</v>
      </c>
      <c r="L1729">
        <v>4671077.84</v>
      </c>
      <c r="M1729">
        <v>0</v>
      </c>
      <c r="N1729">
        <v>4671077.84</v>
      </c>
      <c r="O1729">
        <v>79684.030023882631</v>
      </c>
      <c r="P1729">
        <v>234480</v>
      </c>
      <c r="Q1729">
        <v>4436597.84</v>
      </c>
      <c r="R1729">
        <v>75684.030023882631</v>
      </c>
      <c r="S1729" t="s">
        <v>130</v>
      </c>
      <c r="T1729" t="s">
        <v>717</v>
      </c>
      <c r="U1729" t="s">
        <v>717</v>
      </c>
      <c r="V1729" t="s">
        <v>717</v>
      </c>
      <c r="W1729">
        <v>44976</v>
      </c>
      <c r="X1729" t="s">
        <v>7714</v>
      </c>
      <c r="Y1729" t="s">
        <v>2517</v>
      </c>
      <c r="Z1729" t="s">
        <v>17</v>
      </c>
      <c r="AA1729" t="s">
        <v>6637</v>
      </c>
      <c r="AB1729" t="s">
        <v>2509</v>
      </c>
      <c r="AC1729" t="s">
        <v>717</v>
      </c>
      <c r="AD1729">
        <v>45512</v>
      </c>
      <c r="AE1729" t="s">
        <v>7715</v>
      </c>
      <c r="AF1729" t="s">
        <v>7716</v>
      </c>
      <c r="AG1729" t="s">
        <v>7717</v>
      </c>
      <c r="AH1729" t="s">
        <v>6100</v>
      </c>
      <c r="AI1729" t="s">
        <v>5653</v>
      </c>
      <c r="AJ1729" t="s">
        <v>31</v>
      </c>
      <c r="AK1729" t="s">
        <v>77</v>
      </c>
      <c r="AL1729" t="s">
        <v>717</v>
      </c>
      <c r="AM1729" t="s">
        <v>5654</v>
      </c>
      <c r="AN1729" t="s">
        <v>717</v>
      </c>
    </row>
    <row r="1730" spans="1:40" hidden="1">
      <c r="A1730">
        <v>1728</v>
      </c>
      <c r="B1730">
        <v>26</v>
      </c>
      <c r="C1730" s="58">
        <v>44978</v>
      </c>
      <c r="D1730" t="s">
        <v>7</v>
      </c>
      <c r="E1730" t="s">
        <v>4409</v>
      </c>
      <c r="F1730">
        <v>4</v>
      </c>
      <c r="G1730">
        <v>15</v>
      </c>
      <c r="H1730">
        <v>522</v>
      </c>
      <c r="I1730">
        <v>1</v>
      </c>
      <c r="J1730">
        <v>36.5</v>
      </c>
      <c r="K1730" t="s">
        <v>15</v>
      </c>
      <c r="L1730">
        <v>3473147.65</v>
      </c>
      <c r="M1730">
        <v>0</v>
      </c>
      <c r="N1730">
        <v>3473147.65</v>
      </c>
      <c r="O1730">
        <v>95154.730136986298</v>
      </c>
      <c r="P1730">
        <v>146000</v>
      </c>
      <c r="Q1730">
        <v>3327147.65</v>
      </c>
      <c r="R1730">
        <v>91154.730136986298</v>
      </c>
      <c r="S1730" t="s">
        <v>130</v>
      </c>
      <c r="T1730" t="s">
        <v>717</v>
      </c>
      <c r="U1730" t="s">
        <v>717</v>
      </c>
      <c r="V1730" t="s">
        <v>717</v>
      </c>
      <c r="W1730">
        <v>44976</v>
      </c>
      <c r="X1730" t="s">
        <v>7718</v>
      </c>
      <c r="Y1730" t="s">
        <v>2517</v>
      </c>
      <c r="Z1730" t="s">
        <v>17</v>
      </c>
      <c r="AA1730" t="s">
        <v>6637</v>
      </c>
      <c r="AB1730" t="s">
        <v>2509</v>
      </c>
      <c r="AC1730" t="s">
        <v>717</v>
      </c>
      <c r="AD1730">
        <v>45512</v>
      </c>
      <c r="AE1730" t="s">
        <v>7715</v>
      </c>
      <c r="AF1730" t="s">
        <v>7716</v>
      </c>
      <c r="AG1730" t="s">
        <v>7717</v>
      </c>
      <c r="AH1730" t="s">
        <v>2580</v>
      </c>
      <c r="AI1730" t="s">
        <v>5653</v>
      </c>
      <c r="AJ1730" t="s">
        <v>3921</v>
      </c>
      <c r="AK1730" t="s">
        <v>77</v>
      </c>
      <c r="AL1730" t="s">
        <v>717</v>
      </c>
      <c r="AM1730" t="s">
        <v>5654</v>
      </c>
      <c r="AN1730" t="s">
        <v>717</v>
      </c>
    </row>
    <row r="1731" spans="1:40" hidden="1">
      <c r="A1731">
        <v>1729</v>
      </c>
      <c r="B1731">
        <v>27</v>
      </c>
      <c r="C1731" s="58">
        <v>44978</v>
      </c>
      <c r="D1731" t="s">
        <v>27</v>
      </c>
      <c r="E1731" t="s">
        <v>2515</v>
      </c>
      <c r="F1731">
        <v>4</v>
      </c>
      <c r="G1731">
        <v>23</v>
      </c>
      <c r="H1731">
        <v>193</v>
      </c>
      <c r="I1731">
        <v>0</v>
      </c>
      <c r="J1731">
        <v>24.39</v>
      </c>
      <c r="K1731" t="s">
        <v>9</v>
      </c>
      <c r="L1731">
        <v>2349356.81</v>
      </c>
      <c r="M1731">
        <v>15000</v>
      </c>
      <c r="N1731">
        <v>2364356.81</v>
      </c>
      <c r="O1731">
        <v>96939.598605986059</v>
      </c>
      <c r="P1731">
        <v>0</v>
      </c>
      <c r="Q1731">
        <v>2364356.81</v>
      </c>
      <c r="R1731">
        <v>96939.598605986059</v>
      </c>
      <c r="S1731" t="s">
        <v>65</v>
      </c>
      <c r="T1731" t="s">
        <v>5386</v>
      </c>
      <c r="U1731">
        <v>150000</v>
      </c>
      <c r="V1731" t="s">
        <v>4131</v>
      </c>
      <c r="W1731">
        <v>44978</v>
      </c>
      <c r="X1731" t="s">
        <v>7719</v>
      </c>
      <c r="Y1731" t="s">
        <v>2517</v>
      </c>
      <c r="Z1731" t="s">
        <v>17</v>
      </c>
      <c r="AA1731" t="s">
        <v>6637</v>
      </c>
      <c r="AB1731" t="s">
        <v>2509</v>
      </c>
      <c r="AC1731" t="s">
        <v>2571</v>
      </c>
      <c r="AD1731">
        <v>45187</v>
      </c>
      <c r="AE1731" t="s">
        <v>7720</v>
      </c>
      <c r="AF1731" t="s">
        <v>7721</v>
      </c>
      <c r="AG1731" t="s">
        <v>7722</v>
      </c>
      <c r="AH1731" t="s">
        <v>2191</v>
      </c>
      <c r="AI1731" t="s">
        <v>2538</v>
      </c>
      <c r="AJ1731" t="s">
        <v>2514</v>
      </c>
      <c r="AK1731" t="s">
        <v>73</v>
      </c>
      <c r="AL1731" t="s">
        <v>22</v>
      </c>
      <c r="AM1731" t="s">
        <v>10</v>
      </c>
      <c r="AN1731" t="s">
        <v>7723</v>
      </c>
    </row>
    <row r="1732" spans="1:40" hidden="1">
      <c r="A1732">
        <v>1730</v>
      </c>
      <c r="B1732">
        <v>28</v>
      </c>
      <c r="C1732" s="58">
        <v>44982</v>
      </c>
      <c r="D1732" t="s">
        <v>7</v>
      </c>
      <c r="E1732" t="s">
        <v>2515</v>
      </c>
      <c r="F1732">
        <v>3</v>
      </c>
      <c r="G1732">
        <v>4</v>
      </c>
      <c r="H1732">
        <v>19</v>
      </c>
      <c r="I1732">
        <v>1</v>
      </c>
      <c r="J1732">
        <v>35.54</v>
      </c>
      <c r="K1732" t="s">
        <v>25</v>
      </c>
      <c r="L1732">
        <v>3588515.74</v>
      </c>
      <c r="M1732">
        <v>0</v>
      </c>
      <c r="N1732">
        <v>3588515.74</v>
      </c>
      <c r="O1732">
        <v>100971.18007878448</v>
      </c>
      <c r="P1732">
        <v>533100</v>
      </c>
      <c r="Q1732">
        <v>3055415.74</v>
      </c>
      <c r="R1732">
        <v>85971.18007878447</v>
      </c>
      <c r="S1732" t="s">
        <v>65</v>
      </c>
      <c r="T1732" t="s">
        <v>717</v>
      </c>
      <c r="U1732" t="s">
        <v>717</v>
      </c>
      <c r="V1732" t="s">
        <v>4131</v>
      </c>
      <c r="W1732">
        <v>44972</v>
      </c>
      <c r="X1732" t="s">
        <v>7724</v>
      </c>
      <c r="Y1732" t="s">
        <v>6</v>
      </c>
      <c r="Z1732" t="s">
        <v>17</v>
      </c>
      <c r="AA1732" t="s">
        <v>6637</v>
      </c>
      <c r="AB1732" t="s">
        <v>2509</v>
      </c>
      <c r="AC1732" t="s">
        <v>2571</v>
      </c>
      <c r="AD1732" t="s">
        <v>717</v>
      </c>
      <c r="AE1732" t="s">
        <v>7725</v>
      </c>
      <c r="AF1732" t="s">
        <v>7726</v>
      </c>
      <c r="AG1732" t="s">
        <v>7727</v>
      </c>
      <c r="AH1732" t="s">
        <v>2191</v>
      </c>
      <c r="AI1732" t="s">
        <v>2621</v>
      </c>
      <c r="AJ1732" t="s">
        <v>2514</v>
      </c>
      <c r="AK1732" t="s">
        <v>77</v>
      </c>
      <c r="AL1732" t="s">
        <v>22</v>
      </c>
      <c r="AM1732" t="s">
        <v>10</v>
      </c>
      <c r="AN1732" t="s">
        <v>717</v>
      </c>
    </row>
    <row r="1733" spans="1:40" hidden="1">
      <c r="A1733">
        <v>1731</v>
      </c>
      <c r="B1733">
        <v>29</v>
      </c>
      <c r="C1733" s="58">
        <v>44982</v>
      </c>
      <c r="D1733" t="s">
        <v>7</v>
      </c>
      <c r="E1733" t="s">
        <v>2506</v>
      </c>
      <c r="F1733">
        <v>1</v>
      </c>
      <c r="G1733">
        <v>6</v>
      </c>
      <c r="H1733">
        <v>153</v>
      </c>
      <c r="I1733">
        <v>0</v>
      </c>
      <c r="J1733">
        <v>28.97</v>
      </c>
      <c r="K1733" t="s">
        <v>9</v>
      </c>
      <c r="L1733">
        <v>2414917.4700000002</v>
      </c>
      <c r="M1733">
        <v>0</v>
      </c>
      <c r="N1733">
        <v>2414917.4700000002</v>
      </c>
      <c r="O1733">
        <v>83359.249913703839</v>
      </c>
      <c r="P1733">
        <v>0</v>
      </c>
      <c r="Q1733">
        <v>2414917.4700000002</v>
      </c>
      <c r="R1733">
        <v>83359.249913703839</v>
      </c>
      <c r="S1733" t="s">
        <v>130</v>
      </c>
      <c r="T1733" t="s">
        <v>717</v>
      </c>
      <c r="U1733" t="s">
        <v>717</v>
      </c>
      <c r="V1733" t="s">
        <v>717</v>
      </c>
      <c r="W1733">
        <v>44978</v>
      </c>
      <c r="X1733" t="s">
        <v>7728</v>
      </c>
      <c r="Y1733" t="s">
        <v>6</v>
      </c>
      <c r="Z1733" t="s">
        <v>17</v>
      </c>
      <c r="AA1733" t="s">
        <v>6637</v>
      </c>
      <c r="AB1733" t="s">
        <v>2509</v>
      </c>
      <c r="AC1733" t="s">
        <v>717</v>
      </c>
      <c r="AD1733" t="s">
        <v>717</v>
      </c>
      <c r="AE1733" t="s">
        <v>7729</v>
      </c>
      <c r="AF1733" t="s">
        <v>7730</v>
      </c>
      <c r="AG1733" t="s">
        <v>7731</v>
      </c>
      <c r="AH1733" t="s">
        <v>2615</v>
      </c>
      <c r="AI1733" t="s">
        <v>2538</v>
      </c>
      <c r="AJ1733" t="s">
        <v>6054</v>
      </c>
      <c r="AK1733" t="s">
        <v>77</v>
      </c>
      <c r="AL1733" t="s">
        <v>717</v>
      </c>
      <c r="AM1733" t="s">
        <v>10</v>
      </c>
      <c r="AN1733" t="s">
        <v>717</v>
      </c>
    </row>
    <row r="1734" spans="1:40" hidden="1">
      <c r="A1734">
        <v>1732</v>
      </c>
      <c r="B1734">
        <v>30</v>
      </c>
      <c r="C1734" s="58">
        <v>44979</v>
      </c>
      <c r="D1734" t="s">
        <v>7</v>
      </c>
      <c r="E1734" t="s">
        <v>4409</v>
      </c>
      <c r="F1734">
        <v>6</v>
      </c>
      <c r="G1734">
        <v>15</v>
      </c>
      <c r="H1734">
        <v>524</v>
      </c>
      <c r="I1734">
        <v>2</v>
      </c>
      <c r="J1734">
        <v>58.62</v>
      </c>
      <c r="K1734" t="s">
        <v>15</v>
      </c>
      <c r="L1734">
        <v>4671077.84</v>
      </c>
      <c r="M1734">
        <v>0</v>
      </c>
      <c r="N1734">
        <v>4671077.84</v>
      </c>
      <c r="O1734">
        <v>79684.030023882631</v>
      </c>
      <c r="P1734">
        <v>234480</v>
      </c>
      <c r="Q1734">
        <v>4436597.84</v>
      </c>
      <c r="R1734">
        <v>75684.030023882631</v>
      </c>
      <c r="S1734" t="s">
        <v>65</v>
      </c>
      <c r="T1734" t="s">
        <v>717</v>
      </c>
      <c r="U1734" t="s">
        <v>717</v>
      </c>
      <c r="V1734" t="s">
        <v>6312</v>
      </c>
      <c r="W1734">
        <v>44973</v>
      </c>
      <c r="X1734" t="s">
        <v>7732</v>
      </c>
      <c r="Y1734" t="s">
        <v>6</v>
      </c>
      <c r="Z1734" t="s">
        <v>17</v>
      </c>
      <c r="AA1734" t="s">
        <v>6637</v>
      </c>
      <c r="AB1734" t="s">
        <v>2509</v>
      </c>
      <c r="AC1734" t="s">
        <v>2571</v>
      </c>
      <c r="AD1734" t="s">
        <v>717</v>
      </c>
      <c r="AE1734" t="s">
        <v>7733</v>
      </c>
      <c r="AF1734" t="s">
        <v>7734</v>
      </c>
      <c r="AG1734" t="s">
        <v>7735</v>
      </c>
      <c r="AH1734" t="s">
        <v>2615</v>
      </c>
      <c r="AI1734" t="s">
        <v>2552</v>
      </c>
      <c r="AJ1734" t="s">
        <v>2662</v>
      </c>
      <c r="AK1734" t="s">
        <v>77</v>
      </c>
      <c r="AL1734" t="s">
        <v>22</v>
      </c>
      <c r="AM1734" t="s">
        <v>10</v>
      </c>
      <c r="AN1734" t="s">
        <v>6708</v>
      </c>
    </row>
    <row r="1735" spans="1:40" hidden="1">
      <c r="A1735">
        <v>1733</v>
      </c>
      <c r="B1735">
        <v>31</v>
      </c>
      <c r="C1735" s="58">
        <v>44979</v>
      </c>
      <c r="D1735" t="s">
        <v>7</v>
      </c>
      <c r="E1735" t="s">
        <v>2515</v>
      </c>
      <c r="F1735">
        <v>3</v>
      </c>
      <c r="G1735">
        <v>15</v>
      </c>
      <c r="H1735">
        <v>107</v>
      </c>
      <c r="I1735">
        <v>1</v>
      </c>
      <c r="J1735">
        <v>35.54</v>
      </c>
      <c r="K1735" t="s">
        <v>25</v>
      </c>
      <c r="L1735">
        <v>3618470.63</v>
      </c>
      <c r="M1735">
        <v>0</v>
      </c>
      <c r="N1735">
        <v>3618470.63</v>
      </c>
      <c r="O1735">
        <v>101814.03010692178</v>
      </c>
      <c r="P1735">
        <v>533099.99999999953</v>
      </c>
      <c r="Q1735">
        <v>3085370.6300000004</v>
      </c>
      <c r="R1735">
        <v>86814.030106921797</v>
      </c>
      <c r="S1735" t="s">
        <v>65</v>
      </c>
      <c r="T1735" t="s">
        <v>717</v>
      </c>
      <c r="U1735" t="s">
        <v>717</v>
      </c>
      <c r="V1735" t="s">
        <v>6312</v>
      </c>
      <c r="W1735">
        <v>44974</v>
      </c>
      <c r="X1735" t="s">
        <v>7736</v>
      </c>
      <c r="Y1735" t="s">
        <v>6</v>
      </c>
      <c r="Z1735" t="s">
        <v>17</v>
      </c>
      <c r="AA1735" t="s">
        <v>6637</v>
      </c>
      <c r="AB1735" t="s">
        <v>2509</v>
      </c>
      <c r="AC1735" t="s">
        <v>2571</v>
      </c>
      <c r="AD1735" t="s">
        <v>717</v>
      </c>
      <c r="AE1735" t="s">
        <v>7737</v>
      </c>
      <c r="AF1735" t="s">
        <v>7738</v>
      </c>
      <c r="AG1735" t="s">
        <v>7739</v>
      </c>
      <c r="AH1735" t="s">
        <v>2615</v>
      </c>
      <c r="AI1735" t="s">
        <v>2552</v>
      </c>
      <c r="AJ1735" t="s">
        <v>2825</v>
      </c>
      <c r="AK1735" t="s">
        <v>73</v>
      </c>
      <c r="AL1735" t="s">
        <v>16</v>
      </c>
      <c r="AM1735" t="s">
        <v>10</v>
      </c>
      <c r="AN1735" t="s">
        <v>717</v>
      </c>
    </row>
    <row r="1736" spans="1:40" hidden="1">
      <c r="A1736">
        <v>1734</v>
      </c>
      <c r="B1736">
        <v>32</v>
      </c>
      <c r="C1736" s="58">
        <v>44979</v>
      </c>
      <c r="D1736" t="s">
        <v>7</v>
      </c>
      <c r="E1736" t="s">
        <v>2515</v>
      </c>
      <c r="F1736">
        <v>5</v>
      </c>
      <c r="G1736">
        <v>12</v>
      </c>
      <c r="H1736">
        <v>85</v>
      </c>
      <c r="I1736">
        <v>2</v>
      </c>
      <c r="J1736">
        <v>54.66</v>
      </c>
      <c r="K1736" t="s">
        <v>15</v>
      </c>
      <c r="L1736">
        <v>4165364.91</v>
      </c>
      <c r="M1736">
        <v>0</v>
      </c>
      <c r="N1736">
        <v>4165364.91</v>
      </c>
      <c r="O1736">
        <v>76204.992864983549</v>
      </c>
      <c r="P1736">
        <v>218640</v>
      </c>
      <c r="Q1736">
        <v>3946724.91</v>
      </c>
      <c r="R1736">
        <v>72204.992864983535</v>
      </c>
      <c r="S1736" t="s">
        <v>2507</v>
      </c>
      <c r="T1736" t="s">
        <v>2941</v>
      </c>
      <c r="U1736">
        <v>150000</v>
      </c>
      <c r="V1736" t="s">
        <v>717</v>
      </c>
      <c r="W1736">
        <v>44977</v>
      </c>
      <c r="X1736" t="s">
        <v>7740</v>
      </c>
      <c r="Y1736" t="s">
        <v>6</v>
      </c>
      <c r="Z1736" t="s">
        <v>17</v>
      </c>
      <c r="AA1736" t="s">
        <v>6637</v>
      </c>
      <c r="AB1736" t="s">
        <v>2509</v>
      </c>
      <c r="AC1736" t="s">
        <v>717</v>
      </c>
      <c r="AD1736" t="s">
        <v>717</v>
      </c>
      <c r="AE1736" t="s">
        <v>7741</v>
      </c>
      <c r="AF1736" t="s">
        <v>7742</v>
      </c>
      <c r="AG1736" t="s">
        <v>7743</v>
      </c>
      <c r="AH1736" t="s">
        <v>2615</v>
      </c>
      <c r="AI1736" t="s">
        <v>2538</v>
      </c>
      <c r="AJ1736" t="s">
        <v>2895</v>
      </c>
      <c r="AK1736" t="s">
        <v>1233</v>
      </c>
      <c r="AL1736" t="s">
        <v>717</v>
      </c>
      <c r="AM1736" t="s">
        <v>10</v>
      </c>
      <c r="AN1736" t="s">
        <v>717</v>
      </c>
    </row>
    <row r="1737" spans="1:40" hidden="1">
      <c r="A1737">
        <v>1735</v>
      </c>
      <c r="B1737">
        <v>33</v>
      </c>
      <c r="C1737" s="58">
        <v>44979</v>
      </c>
      <c r="D1737" t="s">
        <v>7</v>
      </c>
      <c r="E1737" t="s">
        <v>2515</v>
      </c>
      <c r="F1737">
        <v>5</v>
      </c>
      <c r="G1737">
        <v>10</v>
      </c>
      <c r="H1737">
        <v>69</v>
      </c>
      <c r="I1737">
        <v>2</v>
      </c>
      <c r="J1737">
        <v>54.66</v>
      </c>
      <c r="K1737" t="s">
        <v>15</v>
      </c>
      <c r="L1737">
        <v>4110528.66</v>
      </c>
      <c r="M1737">
        <v>0</v>
      </c>
      <c r="N1737">
        <v>4110528.66</v>
      </c>
      <c r="O1737">
        <v>75201.76838638859</v>
      </c>
      <c r="P1737">
        <v>218639.99999999907</v>
      </c>
      <c r="Q1737">
        <v>3891888.6600000006</v>
      </c>
      <c r="R1737">
        <v>71201.768386388605</v>
      </c>
      <c r="S1737" t="s">
        <v>65</v>
      </c>
      <c r="T1737" t="s">
        <v>2664</v>
      </c>
      <c r="U1737">
        <v>204836.25</v>
      </c>
      <c r="V1737" t="s">
        <v>4131</v>
      </c>
      <c r="W1737">
        <v>44978</v>
      </c>
      <c r="X1737" t="s">
        <v>7744</v>
      </c>
      <c r="Y1737" t="s">
        <v>6</v>
      </c>
      <c r="Z1737" t="s">
        <v>17</v>
      </c>
      <c r="AA1737" t="s">
        <v>6637</v>
      </c>
      <c r="AB1737" t="s">
        <v>2509</v>
      </c>
      <c r="AC1737" t="s">
        <v>2571</v>
      </c>
      <c r="AD1737" t="s">
        <v>717</v>
      </c>
      <c r="AE1737" t="s">
        <v>7745</v>
      </c>
      <c r="AF1737" t="s">
        <v>7746</v>
      </c>
      <c r="AG1737" t="s">
        <v>7747</v>
      </c>
      <c r="AH1737" t="s">
        <v>2615</v>
      </c>
      <c r="AI1737" t="s">
        <v>2552</v>
      </c>
      <c r="AJ1737" t="s">
        <v>2569</v>
      </c>
      <c r="AK1737" t="s">
        <v>77</v>
      </c>
      <c r="AL1737" t="s">
        <v>16</v>
      </c>
      <c r="AM1737" t="s">
        <v>10</v>
      </c>
      <c r="AN1737" t="s">
        <v>6708</v>
      </c>
    </row>
    <row r="1738" spans="1:40" hidden="1">
      <c r="A1738">
        <v>1736</v>
      </c>
      <c r="B1738">
        <v>34</v>
      </c>
      <c r="C1738" s="58">
        <v>44984</v>
      </c>
      <c r="D1738" t="s">
        <v>7</v>
      </c>
      <c r="E1738" t="s">
        <v>2581</v>
      </c>
      <c r="F1738">
        <v>7</v>
      </c>
      <c r="G1738">
        <v>4</v>
      </c>
      <c r="H1738">
        <v>261</v>
      </c>
      <c r="I1738">
        <v>1</v>
      </c>
      <c r="J1738">
        <v>33.840000000000003</v>
      </c>
      <c r="K1738" t="s">
        <v>9</v>
      </c>
      <c r="L1738">
        <v>2805742.35</v>
      </c>
      <c r="M1738">
        <v>15000</v>
      </c>
      <c r="N1738">
        <v>2820742.35</v>
      </c>
      <c r="O1738">
        <v>83355.270390070917</v>
      </c>
      <c r="P1738">
        <v>0</v>
      </c>
      <c r="Q1738">
        <v>2820742.35</v>
      </c>
      <c r="R1738">
        <v>83355.270390070917</v>
      </c>
      <c r="S1738" t="s">
        <v>65</v>
      </c>
      <c r="T1738" t="s">
        <v>3268</v>
      </c>
      <c r="U1738">
        <v>60000</v>
      </c>
      <c r="V1738" t="s">
        <v>4131</v>
      </c>
      <c r="W1738">
        <v>44963</v>
      </c>
      <c r="X1738" t="s">
        <v>7748</v>
      </c>
      <c r="Y1738" t="s">
        <v>6</v>
      </c>
      <c r="Z1738" t="s">
        <v>17</v>
      </c>
      <c r="AA1738" t="s">
        <v>6637</v>
      </c>
      <c r="AB1738" t="s">
        <v>2509</v>
      </c>
      <c r="AC1738" t="s">
        <v>2571</v>
      </c>
      <c r="AD1738" t="s">
        <v>717</v>
      </c>
      <c r="AE1738" t="s">
        <v>7749</v>
      </c>
      <c r="AF1738" t="s">
        <v>7750</v>
      </c>
      <c r="AG1738" t="s">
        <v>7751</v>
      </c>
      <c r="AH1738" t="s">
        <v>2191</v>
      </c>
      <c r="AI1738" t="s">
        <v>2621</v>
      </c>
      <c r="AJ1738" t="s">
        <v>2514</v>
      </c>
      <c r="AK1738" t="s">
        <v>73</v>
      </c>
      <c r="AL1738" t="s">
        <v>22</v>
      </c>
      <c r="AM1738" t="s">
        <v>10</v>
      </c>
      <c r="AN1738" t="s">
        <v>717</v>
      </c>
    </row>
    <row r="1739" spans="1:40" hidden="1">
      <c r="A1739">
        <v>1737</v>
      </c>
      <c r="B1739">
        <v>35</v>
      </c>
      <c r="C1739" s="58">
        <v>44984</v>
      </c>
      <c r="D1739" t="s">
        <v>7</v>
      </c>
      <c r="E1739" t="s">
        <v>2581</v>
      </c>
      <c r="F1739">
        <v>5</v>
      </c>
      <c r="G1739">
        <v>15</v>
      </c>
      <c r="H1739">
        <v>336</v>
      </c>
      <c r="I1739">
        <v>2</v>
      </c>
      <c r="J1739">
        <v>56.7</v>
      </c>
      <c r="K1739" t="s">
        <v>25</v>
      </c>
      <c r="L1739">
        <v>4927220.28</v>
      </c>
      <c r="M1739">
        <v>0</v>
      </c>
      <c r="N1739">
        <v>4927220.28</v>
      </c>
      <c r="O1739">
        <v>86899.828571428574</v>
      </c>
      <c r="P1739">
        <v>850500</v>
      </c>
      <c r="Q1739">
        <v>4076720.28</v>
      </c>
      <c r="R1739">
        <v>71899.828571428574</v>
      </c>
      <c r="S1739" t="s">
        <v>65</v>
      </c>
      <c r="T1739" t="s">
        <v>2664</v>
      </c>
      <c r="U1739">
        <v>214564.23</v>
      </c>
      <c r="V1739" t="s">
        <v>6312</v>
      </c>
      <c r="W1739">
        <v>44977</v>
      </c>
      <c r="X1739" t="s">
        <v>7752</v>
      </c>
      <c r="Y1739" t="s">
        <v>6</v>
      </c>
      <c r="Z1739" t="s">
        <v>17</v>
      </c>
      <c r="AA1739" t="s">
        <v>6637</v>
      </c>
      <c r="AB1739" t="s">
        <v>2509</v>
      </c>
      <c r="AC1739" t="s">
        <v>2571</v>
      </c>
      <c r="AD1739" t="s">
        <v>717</v>
      </c>
      <c r="AE1739" t="s">
        <v>7753</v>
      </c>
      <c r="AF1739" t="s">
        <v>7754</v>
      </c>
      <c r="AG1739" t="s">
        <v>7755</v>
      </c>
      <c r="AH1739" t="s">
        <v>2552</v>
      </c>
      <c r="AI1739" t="s">
        <v>2547</v>
      </c>
      <c r="AJ1739" t="s">
        <v>3298</v>
      </c>
      <c r="AK1739" t="s">
        <v>1233</v>
      </c>
      <c r="AL1739" t="s">
        <v>16</v>
      </c>
      <c r="AM1739" t="s">
        <v>10</v>
      </c>
      <c r="AN1739" t="s">
        <v>6708</v>
      </c>
    </row>
    <row r="1740" spans="1:40" hidden="1">
      <c r="A1740">
        <v>1738</v>
      </c>
      <c r="B1740">
        <v>36</v>
      </c>
      <c r="C1740" s="58">
        <v>44984</v>
      </c>
      <c r="D1740" t="s">
        <v>7</v>
      </c>
      <c r="E1740" t="s">
        <v>2581</v>
      </c>
      <c r="F1740">
        <v>6</v>
      </c>
      <c r="G1740">
        <v>3</v>
      </c>
      <c r="H1740">
        <v>253</v>
      </c>
      <c r="I1740">
        <v>3</v>
      </c>
      <c r="J1740">
        <v>72.510000000000005</v>
      </c>
      <c r="K1740" t="s">
        <v>9</v>
      </c>
      <c r="L1740">
        <v>4945347.32</v>
      </c>
      <c r="M1740">
        <v>0</v>
      </c>
      <c r="N1740">
        <v>4945347.32</v>
      </c>
      <c r="O1740">
        <v>68202.279961384629</v>
      </c>
      <c r="P1740">
        <v>0</v>
      </c>
      <c r="Q1740">
        <v>4945347.32</v>
      </c>
      <c r="R1740">
        <v>68202.279961384629</v>
      </c>
      <c r="S1740" t="s">
        <v>65</v>
      </c>
      <c r="T1740" t="s">
        <v>2664</v>
      </c>
      <c r="U1740">
        <v>260281.44</v>
      </c>
      <c r="V1740" t="s">
        <v>6312</v>
      </c>
      <c r="W1740">
        <v>44978</v>
      </c>
      <c r="X1740" t="s">
        <v>7756</v>
      </c>
      <c r="Y1740" t="s">
        <v>6</v>
      </c>
      <c r="Z1740" t="s">
        <v>17</v>
      </c>
      <c r="AA1740" t="s">
        <v>6637</v>
      </c>
      <c r="AB1740" t="s">
        <v>2509</v>
      </c>
      <c r="AC1740" t="s">
        <v>2571</v>
      </c>
      <c r="AD1740" t="s">
        <v>717</v>
      </c>
      <c r="AE1740" t="s">
        <v>7757</v>
      </c>
      <c r="AF1740" t="s">
        <v>7758</v>
      </c>
      <c r="AG1740" t="s">
        <v>7759</v>
      </c>
      <c r="AH1740" t="s">
        <v>2615</v>
      </c>
      <c r="AI1740" t="s">
        <v>2552</v>
      </c>
      <c r="AJ1740" t="s">
        <v>2642</v>
      </c>
      <c r="AK1740" t="s">
        <v>73</v>
      </c>
      <c r="AL1740" t="s">
        <v>22</v>
      </c>
      <c r="AM1740" t="s">
        <v>10</v>
      </c>
      <c r="AN1740" t="s">
        <v>6708</v>
      </c>
    </row>
    <row r="1741" spans="1:40" hidden="1">
      <c r="A1741">
        <v>1739</v>
      </c>
      <c r="B1741">
        <v>37</v>
      </c>
      <c r="C1741" s="58">
        <v>44984</v>
      </c>
      <c r="D1741" t="s">
        <v>27</v>
      </c>
      <c r="E1741" t="s">
        <v>2506</v>
      </c>
      <c r="F1741">
        <v>5</v>
      </c>
      <c r="G1741">
        <v>19</v>
      </c>
      <c r="H1741">
        <v>348</v>
      </c>
      <c r="I1741">
        <v>0</v>
      </c>
      <c r="J1741">
        <v>23.63</v>
      </c>
      <c r="K1741" t="s">
        <v>15</v>
      </c>
      <c r="L1741">
        <v>2418412.8199999998</v>
      </c>
      <c r="M1741">
        <v>0</v>
      </c>
      <c r="N1741">
        <v>2418412.8199999998</v>
      </c>
      <c r="O1741">
        <v>102345.01988997035</v>
      </c>
      <c r="P1741">
        <v>94520</v>
      </c>
      <c r="Q1741">
        <v>2323892.8199999998</v>
      </c>
      <c r="R1741">
        <v>98345.019889970368</v>
      </c>
      <c r="S1741" t="s">
        <v>65</v>
      </c>
      <c r="T1741" t="s">
        <v>717</v>
      </c>
      <c r="U1741" t="s">
        <v>717</v>
      </c>
      <c r="V1741" t="s">
        <v>4131</v>
      </c>
      <c r="W1741">
        <v>44978</v>
      </c>
      <c r="X1741" t="s">
        <v>7760</v>
      </c>
      <c r="Y1741" t="s">
        <v>6</v>
      </c>
      <c r="Z1741" t="s">
        <v>17</v>
      </c>
      <c r="AA1741" t="s">
        <v>6637</v>
      </c>
      <c r="AB1741" t="s">
        <v>2509</v>
      </c>
      <c r="AC1741" t="s">
        <v>2571</v>
      </c>
      <c r="AD1741" t="s">
        <v>717</v>
      </c>
      <c r="AE1741" t="s">
        <v>7761</v>
      </c>
      <c r="AF1741" t="s">
        <v>7762</v>
      </c>
      <c r="AG1741" t="s">
        <v>7763</v>
      </c>
      <c r="AH1741" t="s">
        <v>2615</v>
      </c>
      <c r="AI1741" t="s">
        <v>2521</v>
      </c>
      <c r="AJ1741" t="s">
        <v>2825</v>
      </c>
      <c r="AK1741" t="s">
        <v>77</v>
      </c>
      <c r="AL1741" t="s">
        <v>22</v>
      </c>
      <c r="AM1741" t="s">
        <v>10</v>
      </c>
      <c r="AN1741" t="s">
        <v>6708</v>
      </c>
    </row>
    <row r="1742" spans="1:40" hidden="1">
      <c r="A1742">
        <v>1740</v>
      </c>
      <c r="B1742">
        <v>38</v>
      </c>
      <c r="C1742" s="58">
        <v>44984</v>
      </c>
      <c r="D1742" t="s">
        <v>7</v>
      </c>
      <c r="E1742" t="s">
        <v>2581</v>
      </c>
      <c r="F1742">
        <v>5</v>
      </c>
      <c r="G1742">
        <v>10</v>
      </c>
      <c r="H1742">
        <v>301</v>
      </c>
      <c r="I1742">
        <v>2</v>
      </c>
      <c r="J1742">
        <v>56.7</v>
      </c>
      <c r="K1742" t="s">
        <v>25</v>
      </c>
      <c r="L1742">
        <v>5021784.5</v>
      </c>
      <c r="M1742">
        <v>0</v>
      </c>
      <c r="N1742">
        <v>5021784.5</v>
      </c>
      <c r="O1742">
        <v>88567.6278659612</v>
      </c>
      <c r="P1742">
        <v>850499.99999999953</v>
      </c>
      <c r="Q1742">
        <v>4171284.5000000009</v>
      </c>
      <c r="R1742">
        <v>73567.6278659612</v>
      </c>
      <c r="S1742" t="s">
        <v>65</v>
      </c>
      <c r="T1742" t="s">
        <v>3268</v>
      </c>
      <c r="U1742">
        <v>120000</v>
      </c>
      <c r="V1742" t="s">
        <v>6312</v>
      </c>
      <c r="W1742">
        <v>44980</v>
      </c>
      <c r="X1742" t="s">
        <v>7764</v>
      </c>
      <c r="Y1742" t="s">
        <v>6</v>
      </c>
      <c r="Z1742" t="s">
        <v>17</v>
      </c>
      <c r="AA1742" t="s">
        <v>6637</v>
      </c>
      <c r="AB1742" t="s">
        <v>2509</v>
      </c>
      <c r="AC1742" t="s">
        <v>2571</v>
      </c>
      <c r="AD1742" t="s">
        <v>717</v>
      </c>
      <c r="AE1742" t="s">
        <v>7765</v>
      </c>
      <c r="AF1742" t="s">
        <v>7766</v>
      </c>
      <c r="AG1742" t="s">
        <v>7767</v>
      </c>
      <c r="AH1742" t="s">
        <v>2615</v>
      </c>
      <c r="AI1742" t="s">
        <v>2552</v>
      </c>
      <c r="AJ1742" t="s">
        <v>2825</v>
      </c>
      <c r="AK1742" t="s">
        <v>77</v>
      </c>
      <c r="AL1742" t="s">
        <v>16</v>
      </c>
      <c r="AM1742" t="s">
        <v>10</v>
      </c>
      <c r="AN1742" t="s">
        <v>6708</v>
      </c>
    </row>
    <row r="1743" spans="1:40" hidden="1">
      <c r="A1743">
        <v>1741</v>
      </c>
      <c r="B1743">
        <v>39</v>
      </c>
      <c r="C1743" s="58">
        <v>44984</v>
      </c>
      <c r="D1743" t="s">
        <v>27</v>
      </c>
      <c r="E1743" t="s">
        <v>2515</v>
      </c>
      <c r="F1743">
        <v>4</v>
      </c>
      <c r="G1743">
        <v>15</v>
      </c>
      <c r="H1743">
        <v>121</v>
      </c>
      <c r="I1743">
        <v>0</v>
      </c>
      <c r="J1743">
        <v>24.39</v>
      </c>
      <c r="K1743" t="s">
        <v>25</v>
      </c>
      <c r="L1743">
        <v>2608235.63</v>
      </c>
      <c r="M1743">
        <v>0</v>
      </c>
      <c r="N1743">
        <v>2608235.63</v>
      </c>
      <c r="O1743">
        <v>106938.73021730216</v>
      </c>
      <c r="P1743">
        <v>365850</v>
      </c>
      <c r="Q1743">
        <v>2242385.63</v>
      </c>
      <c r="R1743">
        <v>91938.73021730216</v>
      </c>
      <c r="S1743" t="s">
        <v>65</v>
      </c>
      <c r="T1743" t="s">
        <v>5768</v>
      </c>
      <c r="U1743">
        <v>143131</v>
      </c>
      <c r="V1743" t="s">
        <v>6312</v>
      </c>
      <c r="W1743">
        <v>44980</v>
      </c>
      <c r="X1743" t="s">
        <v>7768</v>
      </c>
      <c r="Y1743" t="s">
        <v>6</v>
      </c>
      <c r="Z1743" t="s">
        <v>17</v>
      </c>
      <c r="AA1743" t="s">
        <v>6637</v>
      </c>
      <c r="AB1743" t="s">
        <v>2509</v>
      </c>
      <c r="AC1743" t="s">
        <v>2571</v>
      </c>
      <c r="AD1743" t="s">
        <v>717</v>
      </c>
      <c r="AE1743" t="s">
        <v>7769</v>
      </c>
      <c r="AF1743" t="s">
        <v>7770</v>
      </c>
      <c r="AG1743" t="s">
        <v>7771</v>
      </c>
      <c r="AH1743" t="s">
        <v>2191</v>
      </c>
      <c r="AI1743" t="s">
        <v>2538</v>
      </c>
      <c r="AJ1743" t="s">
        <v>2514</v>
      </c>
      <c r="AK1743" t="s">
        <v>73</v>
      </c>
      <c r="AL1743" t="s">
        <v>16</v>
      </c>
      <c r="AM1743" t="s">
        <v>10</v>
      </c>
      <c r="AN1743" t="s">
        <v>6708</v>
      </c>
    </row>
    <row r="1744" spans="1:40" hidden="1">
      <c r="A1744">
        <v>1742</v>
      </c>
      <c r="B1744">
        <v>40</v>
      </c>
      <c r="C1744" s="58">
        <v>44984</v>
      </c>
      <c r="D1744" t="s">
        <v>7</v>
      </c>
      <c r="E1744" t="s">
        <v>2506</v>
      </c>
      <c r="F1744">
        <v>7</v>
      </c>
      <c r="G1744">
        <v>7</v>
      </c>
      <c r="H1744">
        <v>167</v>
      </c>
      <c r="I1744">
        <v>3</v>
      </c>
      <c r="J1744">
        <v>78.73</v>
      </c>
      <c r="K1744" t="s">
        <v>15</v>
      </c>
      <c r="L1744">
        <v>6018948.6500000004</v>
      </c>
      <c r="M1744">
        <v>0</v>
      </c>
      <c r="N1744">
        <v>6018948.6500000004</v>
      </c>
      <c r="O1744">
        <v>76450.509970786239</v>
      </c>
      <c r="P1744">
        <v>314920</v>
      </c>
      <c r="Q1744">
        <v>5704028.6500000004</v>
      </c>
      <c r="R1744">
        <v>72450.509970786239</v>
      </c>
      <c r="S1744" t="s">
        <v>65</v>
      </c>
      <c r="T1744" t="s">
        <v>717</v>
      </c>
      <c r="U1744" t="s">
        <v>717</v>
      </c>
      <c r="V1744" t="s">
        <v>6312</v>
      </c>
      <c r="W1744">
        <v>44980</v>
      </c>
      <c r="X1744" t="s">
        <v>7772</v>
      </c>
      <c r="Y1744" t="s">
        <v>6</v>
      </c>
      <c r="Z1744" t="s">
        <v>17</v>
      </c>
      <c r="AA1744" t="s">
        <v>6637</v>
      </c>
      <c r="AB1744" t="s">
        <v>2509</v>
      </c>
      <c r="AC1744" t="s">
        <v>2571</v>
      </c>
      <c r="AD1744" t="s">
        <v>717</v>
      </c>
      <c r="AE1744" t="s">
        <v>7773</v>
      </c>
      <c r="AF1744" t="s">
        <v>7774</v>
      </c>
      <c r="AG1744" t="s">
        <v>7775</v>
      </c>
      <c r="AH1744" t="s">
        <v>2616</v>
      </c>
      <c r="AI1744" t="s">
        <v>2552</v>
      </c>
      <c r="AJ1744" t="s">
        <v>3298</v>
      </c>
      <c r="AK1744" t="s">
        <v>1233</v>
      </c>
      <c r="AL1744" t="s">
        <v>16</v>
      </c>
      <c r="AM1744" t="s">
        <v>10</v>
      </c>
      <c r="AN1744" t="s">
        <v>6708</v>
      </c>
    </row>
    <row r="1745" spans="1:40" hidden="1">
      <c r="A1745">
        <v>1743</v>
      </c>
      <c r="B1745">
        <v>41</v>
      </c>
      <c r="C1745" s="58">
        <v>44985</v>
      </c>
      <c r="D1745" t="s">
        <v>27</v>
      </c>
      <c r="E1745" t="s">
        <v>2506</v>
      </c>
      <c r="F1745">
        <v>1</v>
      </c>
      <c r="G1745">
        <v>1</v>
      </c>
      <c r="H1745">
        <v>5</v>
      </c>
      <c r="I1745" t="s">
        <v>1368</v>
      </c>
      <c r="J1745">
        <v>78.95</v>
      </c>
      <c r="K1745" t="s">
        <v>9</v>
      </c>
      <c r="L1745">
        <v>7450250</v>
      </c>
      <c r="M1745">
        <v>50000</v>
      </c>
      <c r="N1745">
        <v>7500250</v>
      </c>
      <c r="O1745">
        <v>95000</v>
      </c>
      <c r="P1745">
        <v>0</v>
      </c>
      <c r="Q1745">
        <v>7500250</v>
      </c>
      <c r="R1745">
        <v>95000</v>
      </c>
      <c r="S1745" t="s">
        <v>2507</v>
      </c>
      <c r="T1745" t="s">
        <v>717</v>
      </c>
      <c r="U1745" t="s">
        <v>717</v>
      </c>
      <c r="V1745" t="s">
        <v>717</v>
      </c>
      <c r="W1745">
        <v>44971</v>
      </c>
      <c r="X1745" t="s">
        <v>7776</v>
      </c>
      <c r="Y1745" t="s">
        <v>1368</v>
      </c>
      <c r="Z1745" t="s">
        <v>11</v>
      </c>
      <c r="AA1745" t="s">
        <v>717</v>
      </c>
      <c r="AB1745" t="s">
        <v>2509</v>
      </c>
      <c r="AC1745" t="s">
        <v>717</v>
      </c>
      <c r="AD1745" t="s">
        <v>717</v>
      </c>
      <c r="AE1745" t="s">
        <v>7777</v>
      </c>
      <c r="AF1745" t="s">
        <v>7778</v>
      </c>
      <c r="AG1745" t="s">
        <v>717</v>
      </c>
      <c r="AH1745" t="s">
        <v>2615</v>
      </c>
      <c r="AI1745" t="s">
        <v>2847</v>
      </c>
      <c r="AJ1745" t="s">
        <v>2825</v>
      </c>
      <c r="AK1745" t="s">
        <v>73</v>
      </c>
      <c r="AL1745" t="s">
        <v>717</v>
      </c>
      <c r="AM1745" t="s">
        <v>10</v>
      </c>
      <c r="AN1745" t="s">
        <v>7779</v>
      </c>
    </row>
    <row r="1746" spans="1:40" hidden="1">
      <c r="A1746">
        <v>1744</v>
      </c>
      <c r="B1746">
        <v>42</v>
      </c>
      <c r="C1746" s="58">
        <v>44985</v>
      </c>
      <c r="D1746" t="s">
        <v>27</v>
      </c>
      <c r="E1746" t="s">
        <v>4409</v>
      </c>
      <c r="F1746">
        <v>5</v>
      </c>
      <c r="G1746">
        <v>1</v>
      </c>
      <c r="H1746">
        <v>15</v>
      </c>
      <c r="I1746" t="s">
        <v>1368</v>
      </c>
      <c r="J1746">
        <v>115.46</v>
      </c>
      <c r="K1746" t="s">
        <v>9</v>
      </c>
      <c r="L1746">
        <v>13277900</v>
      </c>
      <c r="M1746">
        <v>0</v>
      </c>
      <c r="N1746">
        <v>13277900</v>
      </c>
      <c r="O1746">
        <v>115000</v>
      </c>
      <c r="P1746">
        <v>0</v>
      </c>
      <c r="Q1746">
        <v>13277900</v>
      </c>
      <c r="R1746">
        <v>115000</v>
      </c>
      <c r="S1746" t="s">
        <v>130</v>
      </c>
      <c r="T1746" t="s">
        <v>717</v>
      </c>
      <c r="U1746" t="s">
        <v>717</v>
      </c>
      <c r="V1746" t="s">
        <v>717</v>
      </c>
      <c r="W1746">
        <v>44977</v>
      </c>
      <c r="X1746" t="s">
        <v>7780</v>
      </c>
      <c r="Y1746" t="s">
        <v>1368</v>
      </c>
      <c r="Z1746" t="s">
        <v>17</v>
      </c>
      <c r="AA1746" t="s">
        <v>6637</v>
      </c>
      <c r="AB1746" t="s">
        <v>2509</v>
      </c>
      <c r="AC1746" t="s">
        <v>717</v>
      </c>
      <c r="AD1746" t="s">
        <v>717</v>
      </c>
      <c r="AE1746" t="s">
        <v>7781</v>
      </c>
      <c r="AF1746" t="s">
        <v>7782</v>
      </c>
      <c r="AG1746" t="s">
        <v>7783</v>
      </c>
      <c r="AH1746" t="s">
        <v>2615</v>
      </c>
      <c r="AI1746" t="s">
        <v>2847</v>
      </c>
      <c r="AJ1746" t="s">
        <v>2642</v>
      </c>
      <c r="AK1746" t="s">
        <v>77</v>
      </c>
      <c r="AL1746" t="s">
        <v>717</v>
      </c>
      <c r="AM1746" t="s">
        <v>10</v>
      </c>
      <c r="AN1746" t="s">
        <v>717</v>
      </c>
    </row>
    <row r="1747" spans="1:40" hidden="1">
      <c r="A1747">
        <v>1745</v>
      </c>
      <c r="B1747">
        <v>43</v>
      </c>
      <c r="C1747" s="58">
        <v>44985</v>
      </c>
      <c r="D1747" t="s">
        <v>7</v>
      </c>
      <c r="E1747" t="s">
        <v>2515</v>
      </c>
      <c r="F1747">
        <v>2</v>
      </c>
      <c r="G1747">
        <v>6</v>
      </c>
      <c r="H1747">
        <v>34</v>
      </c>
      <c r="I1747">
        <v>2</v>
      </c>
      <c r="J1747">
        <v>61.76</v>
      </c>
      <c r="K1747" t="s">
        <v>25</v>
      </c>
      <c r="L1747">
        <v>5460418.3200000003</v>
      </c>
      <c r="M1747">
        <v>0</v>
      </c>
      <c r="N1747">
        <v>5460418.3200000003</v>
      </c>
      <c r="O1747">
        <v>88413.509067357518</v>
      </c>
      <c r="P1747">
        <v>926400.00000000093</v>
      </c>
      <c r="Q1747">
        <v>4534018.3199999994</v>
      </c>
      <c r="R1747">
        <v>73413.509067357503</v>
      </c>
      <c r="S1747" t="s">
        <v>65</v>
      </c>
      <c r="T1747" t="s">
        <v>2664</v>
      </c>
      <c r="U1747">
        <v>140227.37</v>
      </c>
      <c r="V1747" t="s">
        <v>4131</v>
      </c>
      <c r="W1747">
        <v>44979</v>
      </c>
      <c r="X1747" t="s">
        <v>7784</v>
      </c>
      <c r="Y1747" t="s">
        <v>6</v>
      </c>
      <c r="Z1747" t="s">
        <v>17</v>
      </c>
      <c r="AA1747" t="s">
        <v>6637</v>
      </c>
      <c r="AB1747" t="s">
        <v>2509</v>
      </c>
      <c r="AC1747" t="s">
        <v>2571</v>
      </c>
      <c r="AD1747" t="s">
        <v>717</v>
      </c>
      <c r="AE1747" t="s">
        <v>7785</v>
      </c>
      <c r="AF1747" t="s">
        <v>7786</v>
      </c>
      <c r="AG1747" t="s">
        <v>7787</v>
      </c>
      <c r="AH1747" t="s">
        <v>2552</v>
      </c>
      <c r="AI1747" t="s">
        <v>2877</v>
      </c>
      <c r="AJ1747" t="s">
        <v>3098</v>
      </c>
      <c r="AK1747" t="s">
        <v>73</v>
      </c>
      <c r="AL1747" t="s">
        <v>22</v>
      </c>
      <c r="AM1747" t="s">
        <v>10</v>
      </c>
      <c r="AN1747" t="s">
        <v>6708</v>
      </c>
    </row>
    <row r="1748" spans="1:40" hidden="1">
      <c r="A1748">
        <v>1746</v>
      </c>
      <c r="B1748">
        <v>44</v>
      </c>
      <c r="C1748" s="58">
        <v>44985</v>
      </c>
      <c r="D1748" t="s">
        <v>7</v>
      </c>
      <c r="E1748" t="s">
        <v>4409</v>
      </c>
      <c r="F1748">
        <v>5</v>
      </c>
      <c r="G1748">
        <v>9</v>
      </c>
      <c r="H1748">
        <v>469</v>
      </c>
      <c r="I1748">
        <v>2</v>
      </c>
      <c r="J1748">
        <v>56.04</v>
      </c>
      <c r="K1748" t="s">
        <v>15</v>
      </c>
      <c r="L1748">
        <v>4384314.8499999996</v>
      </c>
      <c r="M1748">
        <v>0</v>
      </c>
      <c r="N1748">
        <v>4384314.8499999996</v>
      </c>
      <c r="O1748">
        <v>78235.454139900059</v>
      </c>
      <c r="P1748">
        <v>224160</v>
      </c>
      <c r="Q1748">
        <v>4160154.85</v>
      </c>
      <c r="R1748">
        <v>74235.454139900059</v>
      </c>
      <c r="S1748" t="s">
        <v>130</v>
      </c>
      <c r="T1748" t="s">
        <v>2815</v>
      </c>
      <c r="U1748">
        <v>40000</v>
      </c>
      <c r="V1748" t="s">
        <v>717</v>
      </c>
      <c r="W1748">
        <v>44981</v>
      </c>
      <c r="X1748" t="s">
        <v>7788</v>
      </c>
      <c r="Y1748" t="s">
        <v>2611</v>
      </c>
      <c r="Z1748" t="s">
        <v>17</v>
      </c>
      <c r="AA1748" t="s">
        <v>6637</v>
      </c>
      <c r="AB1748" t="s">
        <v>2509</v>
      </c>
      <c r="AC1748" t="s">
        <v>717</v>
      </c>
      <c r="AD1748">
        <v>45470</v>
      </c>
      <c r="AE1748" t="s">
        <v>7789</v>
      </c>
      <c r="AF1748" t="s">
        <v>7790</v>
      </c>
      <c r="AG1748" t="s">
        <v>7791</v>
      </c>
      <c r="AH1748" t="s">
        <v>2552</v>
      </c>
      <c r="AI1748" t="s">
        <v>2877</v>
      </c>
      <c r="AJ1748" t="s">
        <v>3098</v>
      </c>
      <c r="AK1748" t="s">
        <v>8</v>
      </c>
      <c r="AL1748" t="s">
        <v>717</v>
      </c>
      <c r="AM1748" t="s">
        <v>10</v>
      </c>
      <c r="AN1748" t="s">
        <v>717</v>
      </c>
    </row>
    <row r="1749" spans="1:40" hidden="1">
      <c r="A1749">
        <v>1747</v>
      </c>
      <c r="B1749">
        <v>45</v>
      </c>
      <c r="C1749" s="58">
        <v>44985</v>
      </c>
      <c r="D1749" t="s">
        <v>7</v>
      </c>
      <c r="E1749" t="s">
        <v>2515</v>
      </c>
      <c r="F1749">
        <v>5</v>
      </c>
      <c r="G1749">
        <v>4</v>
      </c>
      <c r="H1749">
        <v>21</v>
      </c>
      <c r="I1749">
        <v>2</v>
      </c>
      <c r="J1749">
        <v>54.66</v>
      </c>
      <c r="K1749" t="s">
        <v>15</v>
      </c>
      <c r="L1749">
        <v>4150364.91</v>
      </c>
      <c r="M1749">
        <v>0</v>
      </c>
      <c r="N1749">
        <v>4150364.91</v>
      </c>
      <c r="O1749">
        <v>75930.569154774974</v>
      </c>
      <c r="P1749">
        <v>218640</v>
      </c>
      <c r="Q1749">
        <v>3931724.91</v>
      </c>
      <c r="R1749">
        <v>71930.569154774974</v>
      </c>
      <c r="S1749" t="s">
        <v>65</v>
      </c>
      <c r="T1749" t="s">
        <v>3309</v>
      </c>
      <c r="U1749">
        <v>165000</v>
      </c>
      <c r="V1749" t="s">
        <v>6312</v>
      </c>
      <c r="W1749">
        <v>44982</v>
      </c>
      <c r="X1749" t="s">
        <v>7792</v>
      </c>
      <c r="Y1749" t="s">
        <v>6</v>
      </c>
      <c r="Z1749" t="s">
        <v>17</v>
      </c>
      <c r="AA1749" t="s">
        <v>6637</v>
      </c>
      <c r="AB1749" t="s">
        <v>2509</v>
      </c>
      <c r="AC1749" t="s">
        <v>2571</v>
      </c>
      <c r="AD1749" t="s">
        <v>717</v>
      </c>
      <c r="AE1749" t="s">
        <v>7793</v>
      </c>
      <c r="AF1749" t="s">
        <v>7794</v>
      </c>
      <c r="AG1749" t="s">
        <v>7795</v>
      </c>
      <c r="AH1749" t="s">
        <v>2615</v>
      </c>
      <c r="AI1749" t="s">
        <v>2552</v>
      </c>
      <c r="AJ1749" t="s">
        <v>2569</v>
      </c>
      <c r="AK1749" t="s">
        <v>1233</v>
      </c>
      <c r="AL1749" t="s">
        <v>22</v>
      </c>
      <c r="AM1749" t="s">
        <v>10</v>
      </c>
      <c r="AN1749" t="s">
        <v>6708</v>
      </c>
    </row>
    <row r="1750" spans="1:40" hidden="1">
      <c r="A1750">
        <v>1748</v>
      </c>
      <c r="B1750">
        <v>46</v>
      </c>
      <c r="C1750" s="58">
        <v>44985</v>
      </c>
      <c r="D1750" t="s">
        <v>27</v>
      </c>
      <c r="E1750" t="s">
        <v>2515</v>
      </c>
      <c r="F1750">
        <v>5</v>
      </c>
      <c r="G1750">
        <v>17</v>
      </c>
      <c r="H1750">
        <v>140</v>
      </c>
      <c r="I1750">
        <v>0</v>
      </c>
      <c r="J1750">
        <v>24.47</v>
      </c>
      <c r="K1750" t="s">
        <v>9</v>
      </c>
      <c r="L1750">
        <v>2293307.9300000002</v>
      </c>
      <c r="M1750">
        <v>0</v>
      </c>
      <c r="N1750">
        <v>2293307.9300000002</v>
      </c>
      <c r="O1750">
        <v>93719.163465467936</v>
      </c>
      <c r="P1750">
        <v>0</v>
      </c>
      <c r="Q1750">
        <v>2293307.9300000002</v>
      </c>
      <c r="R1750">
        <v>93719.163465467936</v>
      </c>
      <c r="S1750" t="s">
        <v>65</v>
      </c>
      <c r="T1750" t="s">
        <v>5386</v>
      </c>
      <c r="U1750">
        <v>100000</v>
      </c>
      <c r="V1750" t="s">
        <v>6312</v>
      </c>
      <c r="W1750">
        <v>44983</v>
      </c>
      <c r="X1750" t="s">
        <v>7796</v>
      </c>
      <c r="Y1750" t="s">
        <v>6</v>
      </c>
      <c r="Z1750" t="s">
        <v>17</v>
      </c>
      <c r="AA1750" t="s">
        <v>6637</v>
      </c>
      <c r="AB1750" t="s">
        <v>2509</v>
      </c>
      <c r="AC1750" t="s">
        <v>2571</v>
      </c>
      <c r="AD1750" t="s">
        <v>717</v>
      </c>
      <c r="AE1750" t="s">
        <v>7797</v>
      </c>
      <c r="AF1750" t="s">
        <v>7798</v>
      </c>
      <c r="AG1750" t="s">
        <v>7799</v>
      </c>
      <c r="AH1750" t="s">
        <v>2191</v>
      </c>
      <c r="AI1750" t="s">
        <v>2552</v>
      </c>
      <c r="AJ1750" t="s">
        <v>2514</v>
      </c>
      <c r="AK1750" t="s">
        <v>1233</v>
      </c>
      <c r="AL1750" t="s">
        <v>22</v>
      </c>
      <c r="AM1750" t="s">
        <v>10</v>
      </c>
      <c r="AN1750" t="s">
        <v>6708</v>
      </c>
    </row>
    <row r="1751" spans="1:40" hidden="1">
      <c r="A1751">
        <v>1749</v>
      </c>
      <c r="B1751">
        <v>1</v>
      </c>
      <c r="C1751" s="58">
        <v>44986</v>
      </c>
      <c r="D1751" t="s">
        <v>7</v>
      </c>
      <c r="E1751" t="s">
        <v>2581</v>
      </c>
      <c r="F1751">
        <v>5</v>
      </c>
      <c r="G1751">
        <v>12</v>
      </c>
      <c r="H1751">
        <v>315</v>
      </c>
      <c r="I1751">
        <v>2</v>
      </c>
      <c r="J1751">
        <v>56.7</v>
      </c>
      <c r="K1751" t="s">
        <v>15</v>
      </c>
      <c r="L1751">
        <v>4398084.5</v>
      </c>
      <c r="M1751">
        <v>0</v>
      </c>
      <c r="N1751">
        <v>4398084.5</v>
      </c>
      <c r="O1751">
        <v>77567.6278659612</v>
      </c>
      <c r="P1751">
        <v>226799.99999999953</v>
      </c>
      <c r="Q1751">
        <v>4171284.5000000009</v>
      </c>
      <c r="R1751">
        <v>73567.6278659612</v>
      </c>
      <c r="S1751" t="s">
        <v>65</v>
      </c>
      <c r="T1751" t="s">
        <v>3268</v>
      </c>
      <c r="U1751">
        <v>120000</v>
      </c>
      <c r="V1751" t="s">
        <v>4131</v>
      </c>
      <c r="W1751">
        <v>44971</v>
      </c>
      <c r="X1751" t="s">
        <v>7800</v>
      </c>
      <c r="Y1751" t="s">
        <v>6</v>
      </c>
      <c r="Z1751" t="s">
        <v>17</v>
      </c>
      <c r="AA1751" t="s">
        <v>6637</v>
      </c>
      <c r="AB1751" t="s">
        <v>2509</v>
      </c>
      <c r="AC1751" t="s">
        <v>2571</v>
      </c>
      <c r="AD1751" t="s">
        <v>717</v>
      </c>
      <c r="AE1751" t="s">
        <v>7801</v>
      </c>
      <c r="AF1751" t="s">
        <v>7802</v>
      </c>
      <c r="AG1751" t="s">
        <v>7803</v>
      </c>
      <c r="AH1751" t="s">
        <v>2615</v>
      </c>
      <c r="AI1751" t="s">
        <v>2538</v>
      </c>
      <c r="AJ1751" t="s">
        <v>2825</v>
      </c>
      <c r="AK1751" t="s">
        <v>73</v>
      </c>
      <c r="AL1751" t="s">
        <v>22</v>
      </c>
      <c r="AM1751" t="s">
        <v>10</v>
      </c>
      <c r="AN1751" t="s">
        <v>6708</v>
      </c>
    </row>
    <row r="1752" spans="1:40" hidden="1">
      <c r="A1752">
        <v>1750</v>
      </c>
      <c r="B1752">
        <v>2</v>
      </c>
      <c r="C1752" s="58">
        <v>44986</v>
      </c>
      <c r="D1752" t="s">
        <v>7</v>
      </c>
      <c r="E1752" t="s">
        <v>4409</v>
      </c>
      <c r="F1752">
        <v>3</v>
      </c>
      <c r="G1752">
        <v>13</v>
      </c>
      <c r="H1752">
        <v>503</v>
      </c>
      <c r="I1752">
        <v>3</v>
      </c>
      <c r="J1752">
        <v>74.28</v>
      </c>
      <c r="K1752" t="s">
        <v>15</v>
      </c>
      <c r="L1752">
        <v>5580896.3200000003</v>
      </c>
      <c r="M1752">
        <v>0</v>
      </c>
      <c r="N1752">
        <v>5580896.3200000003</v>
      </c>
      <c r="O1752">
        <v>75133.229940764679</v>
      </c>
      <c r="P1752">
        <v>297120</v>
      </c>
      <c r="Q1752">
        <v>5283776.32</v>
      </c>
      <c r="R1752">
        <v>71133.229940764679</v>
      </c>
      <c r="S1752" t="s">
        <v>65</v>
      </c>
      <c r="T1752" t="s">
        <v>717</v>
      </c>
      <c r="U1752" t="s">
        <v>717</v>
      </c>
      <c r="V1752" t="s">
        <v>6312</v>
      </c>
      <c r="W1752">
        <v>44974</v>
      </c>
      <c r="X1752" t="s">
        <v>7804</v>
      </c>
      <c r="Y1752" t="s">
        <v>6</v>
      </c>
      <c r="Z1752" t="s">
        <v>17</v>
      </c>
      <c r="AA1752" t="s">
        <v>6637</v>
      </c>
      <c r="AB1752" t="s">
        <v>2509</v>
      </c>
      <c r="AC1752" t="s">
        <v>2571</v>
      </c>
      <c r="AD1752" t="s">
        <v>717</v>
      </c>
      <c r="AE1752" t="s">
        <v>7805</v>
      </c>
      <c r="AF1752" t="s">
        <v>7806</v>
      </c>
      <c r="AG1752" t="s">
        <v>7807</v>
      </c>
      <c r="AH1752" t="s">
        <v>2496</v>
      </c>
      <c r="AI1752" t="s">
        <v>5056</v>
      </c>
      <c r="AJ1752" t="s">
        <v>6169</v>
      </c>
      <c r="AK1752" t="s">
        <v>73</v>
      </c>
      <c r="AL1752" t="s">
        <v>16</v>
      </c>
      <c r="AM1752" t="s">
        <v>10</v>
      </c>
      <c r="AN1752" t="s">
        <v>6708</v>
      </c>
    </row>
    <row r="1753" spans="1:40" hidden="1">
      <c r="A1753">
        <v>1751</v>
      </c>
      <c r="B1753">
        <v>3</v>
      </c>
      <c r="C1753" s="58">
        <v>44986</v>
      </c>
      <c r="D1753" t="s">
        <v>7</v>
      </c>
      <c r="E1753" t="s">
        <v>2506</v>
      </c>
      <c r="F1753">
        <v>1</v>
      </c>
      <c r="G1753">
        <v>8</v>
      </c>
      <c r="H1753">
        <v>169</v>
      </c>
      <c r="I1753">
        <v>0</v>
      </c>
      <c r="J1753">
        <v>28.97</v>
      </c>
      <c r="K1753" t="s">
        <v>9</v>
      </c>
      <c r="L1753">
        <v>2414917.4700000002</v>
      </c>
      <c r="M1753">
        <v>0</v>
      </c>
      <c r="N1753">
        <v>2414917.4700000002</v>
      </c>
      <c r="O1753">
        <v>83359.249913703839</v>
      </c>
      <c r="P1753">
        <v>0</v>
      </c>
      <c r="Q1753">
        <v>2414917.4700000002</v>
      </c>
      <c r="R1753">
        <v>83359.249913703839</v>
      </c>
      <c r="S1753" t="s">
        <v>65</v>
      </c>
      <c r="T1753" t="s">
        <v>717</v>
      </c>
      <c r="U1753" t="s">
        <v>717</v>
      </c>
      <c r="V1753" t="s">
        <v>4131</v>
      </c>
      <c r="W1753">
        <v>44977</v>
      </c>
      <c r="X1753" t="s">
        <v>7808</v>
      </c>
      <c r="Y1753" t="s">
        <v>6</v>
      </c>
      <c r="Z1753" t="s">
        <v>17</v>
      </c>
      <c r="AA1753" t="s">
        <v>6637</v>
      </c>
      <c r="AB1753" t="s">
        <v>2509</v>
      </c>
      <c r="AC1753" t="s">
        <v>2571</v>
      </c>
      <c r="AD1753" t="s">
        <v>717</v>
      </c>
      <c r="AE1753" t="s">
        <v>7809</v>
      </c>
      <c r="AF1753" t="s">
        <v>7810</v>
      </c>
      <c r="AG1753" t="s">
        <v>7811</v>
      </c>
      <c r="AH1753" t="s">
        <v>2191</v>
      </c>
      <c r="AI1753" t="s">
        <v>6951</v>
      </c>
      <c r="AJ1753" t="s">
        <v>2514</v>
      </c>
      <c r="AK1753" t="s">
        <v>77</v>
      </c>
      <c r="AL1753" t="s">
        <v>22</v>
      </c>
      <c r="AM1753" t="s">
        <v>10</v>
      </c>
      <c r="AN1753" t="s">
        <v>717</v>
      </c>
    </row>
    <row r="1754" spans="1:40" hidden="1">
      <c r="A1754">
        <v>1752</v>
      </c>
      <c r="B1754">
        <v>4</v>
      </c>
      <c r="C1754" s="58">
        <v>44986</v>
      </c>
      <c r="D1754" t="s">
        <v>7</v>
      </c>
      <c r="E1754" t="s">
        <v>4409</v>
      </c>
      <c r="F1754">
        <v>3</v>
      </c>
      <c r="G1754">
        <v>4</v>
      </c>
      <c r="H1754">
        <v>422</v>
      </c>
      <c r="I1754">
        <v>3</v>
      </c>
      <c r="J1754">
        <v>74.28</v>
      </c>
      <c r="K1754" t="s">
        <v>15</v>
      </c>
      <c r="L1754">
        <v>5316707.5</v>
      </c>
      <c r="M1754">
        <v>0</v>
      </c>
      <c r="N1754">
        <v>5316707.5</v>
      </c>
      <c r="O1754">
        <v>71576.568389876149</v>
      </c>
      <c r="P1754">
        <v>297120.00000000279</v>
      </c>
      <c r="Q1754">
        <v>5019587.4999999972</v>
      </c>
      <c r="R1754">
        <v>67576.568389876105</v>
      </c>
      <c r="S1754" t="s">
        <v>65</v>
      </c>
      <c r="T1754" t="s">
        <v>2664</v>
      </c>
      <c r="U1754">
        <v>264188.82</v>
      </c>
      <c r="V1754" t="s">
        <v>6312</v>
      </c>
      <c r="W1754">
        <v>44978</v>
      </c>
      <c r="X1754" t="s">
        <v>7812</v>
      </c>
      <c r="Y1754" t="s">
        <v>6</v>
      </c>
      <c r="Z1754" t="s">
        <v>17</v>
      </c>
      <c r="AA1754" t="s">
        <v>6637</v>
      </c>
      <c r="AB1754" t="s">
        <v>2509</v>
      </c>
      <c r="AC1754" t="s">
        <v>2571</v>
      </c>
      <c r="AD1754" t="s">
        <v>717</v>
      </c>
      <c r="AE1754" t="s">
        <v>7813</v>
      </c>
      <c r="AF1754" t="s">
        <v>7814</v>
      </c>
      <c r="AG1754" t="s">
        <v>7815</v>
      </c>
      <c r="AH1754" t="s">
        <v>2191</v>
      </c>
      <c r="AI1754" t="s">
        <v>2621</v>
      </c>
      <c r="AJ1754" t="s">
        <v>2514</v>
      </c>
      <c r="AK1754" t="s">
        <v>77</v>
      </c>
      <c r="AL1754" t="s">
        <v>16</v>
      </c>
      <c r="AM1754" t="s">
        <v>10</v>
      </c>
      <c r="AN1754" t="s">
        <v>6708</v>
      </c>
    </row>
    <row r="1755" spans="1:40" hidden="1">
      <c r="A1755">
        <v>1753</v>
      </c>
      <c r="B1755">
        <v>5</v>
      </c>
      <c r="C1755" s="58">
        <v>44986</v>
      </c>
      <c r="D1755" t="s">
        <v>7</v>
      </c>
      <c r="E1755" t="s">
        <v>4409</v>
      </c>
      <c r="F1755">
        <v>5</v>
      </c>
      <c r="G1755">
        <v>12</v>
      </c>
      <c r="H1755">
        <v>496</v>
      </c>
      <c r="I1755">
        <v>2</v>
      </c>
      <c r="J1755">
        <v>56.04</v>
      </c>
      <c r="K1755" t="s">
        <v>15</v>
      </c>
      <c r="L1755">
        <v>4424314.8499999996</v>
      </c>
      <c r="M1755">
        <v>0</v>
      </c>
      <c r="N1755">
        <v>4424314.8499999996</v>
      </c>
      <c r="O1755">
        <v>78949.230014275527</v>
      </c>
      <c r="P1755">
        <v>224160</v>
      </c>
      <c r="Q1755">
        <v>4200154.8499999996</v>
      </c>
      <c r="R1755">
        <v>74949.230014275527</v>
      </c>
      <c r="S1755" t="s">
        <v>65</v>
      </c>
      <c r="T1755" t="s">
        <v>717</v>
      </c>
      <c r="U1755" t="s">
        <v>717</v>
      </c>
      <c r="V1755" t="s">
        <v>4131</v>
      </c>
      <c r="W1755">
        <v>44978</v>
      </c>
      <c r="X1755" t="s">
        <v>7816</v>
      </c>
      <c r="Y1755" t="s">
        <v>6</v>
      </c>
      <c r="Z1755" t="s">
        <v>17</v>
      </c>
      <c r="AA1755" t="s">
        <v>6637</v>
      </c>
      <c r="AB1755" t="s">
        <v>2509</v>
      </c>
      <c r="AC1755" t="s">
        <v>2571</v>
      </c>
      <c r="AD1755" t="s">
        <v>717</v>
      </c>
      <c r="AE1755" t="s">
        <v>7817</v>
      </c>
      <c r="AF1755" t="s">
        <v>7818</v>
      </c>
      <c r="AG1755" t="s">
        <v>7819</v>
      </c>
      <c r="AH1755" t="s">
        <v>2191</v>
      </c>
      <c r="AI1755" t="s">
        <v>2552</v>
      </c>
      <c r="AJ1755" t="s">
        <v>2514</v>
      </c>
      <c r="AK1755" t="s">
        <v>77</v>
      </c>
      <c r="AL1755" t="s">
        <v>16</v>
      </c>
      <c r="AM1755" t="s">
        <v>10</v>
      </c>
      <c r="AN1755" t="s">
        <v>6708</v>
      </c>
    </row>
    <row r="1756" spans="1:40" hidden="1">
      <c r="A1756">
        <v>1754</v>
      </c>
      <c r="B1756">
        <v>6</v>
      </c>
      <c r="C1756" s="58">
        <v>44986</v>
      </c>
      <c r="D1756" t="s">
        <v>7</v>
      </c>
      <c r="E1756" t="s">
        <v>2506</v>
      </c>
      <c r="F1756">
        <v>6</v>
      </c>
      <c r="G1756">
        <v>11</v>
      </c>
      <c r="H1756">
        <v>198</v>
      </c>
      <c r="I1756">
        <v>1</v>
      </c>
      <c r="J1756">
        <v>36.659999999999997</v>
      </c>
      <c r="K1756" t="s">
        <v>9</v>
      </c>
      <c r="L1756">
        <v>3182602.34</v>
      </c>
      <c r="M1756">
        <v>0</v>
      </c>
      <c r="N1756">
        <v>3182602.34</v>
      </c>
      <c r="O1756">
        <v>86814.030005455541</v>
      </c>
      <c r="P1756">
        <v>0</v>
      </c>
      <c r="Q1756">
        <v>3182602.34</v>
      </c>
      <c r="R1756">
        <v>86814.030005455541</v>
      </c>
      <c r="S1756" t="s">
        <v>65</v>
      </c>
      <c r="T1756" t="s">
        <v>717</v>
      </c>
      <c r="U1756" t="s">
        <v>717</v>
      </c>
      <c r="V1756" t="s">
        <v>4131</v>
      </c>
      <c r="W1756">
        <v>44978</v>
      </c>
      <c r="X1756" t="s">
        <v>7820</v>
      </c>
      <c r="Y1756" t="s">
        <v>6</v>
      </c>
      <c r="Z1756" t="s">
        <v>17</v>
      </c>
      <c r="AA1756" t="s">
        <v>6637</v>
      </c>
      <c r="AB1756" t="s">
        <v>2509</v>
      </c>
      <c r="AC1756" t="s">
        <v>2571</v>
      </c>
      <c r="AD1756" t="s">
        <v>717</v>
      </c>
      <c r="AE1756" t="s">
        <v>7821</v>
      </c>
      <c r="AF1756" t="s">
        <v>7822</v>
      </c>
      <c r="AG1756" t="s">
        <v>7823</v>
      </c>
      <c r="AH1756" t="s">
        <v>2615</v>
      </c>
      <c r="AI1756" t="s">
        <v>2673</v>
      </c>
      <c r="AJ1756" t="s">
        <v>2825</v>
      </c>
      <c r="AK1756" t="s">
        <v>77</v>
      </c>
      <c r="AL1756" t="s">
        <v>16</v>
      </c>
      <c r="AM1756" t="s">
        <v>10</v>
      </c>
      <c r="AN1756" t="s">
        <v>717</v>
      </c>
    </row>
    <row r="1757" spans="1:40" hidden="1">
      <c r="A1757">
        <v>1755</v>
      </c>
      <c r="B1757">
        <v>7</v>
      </c>
      <c r="C1757" s="58">
        <v>44986</v>
      </c>
      <c r="D1757" t="s">
        <v>7</v>
      </c>
      <c r="E1757" t="s">
        <v>2506</v>
      </c>
      <c r="F1757">
        <v>5</v>
      </c>
      <c r="G1757">
        <v>16</v>
      </c>
      <c r="H1757">
        <v>237</v>
      </c>
      <c r="I1757">
        <v>1</v>
      </c>
      <c r="J1757">
        <v>36.700000000000003</v>
      </c>
      <c r="K1757" t="s">
        <v>9</v>
      </c>
      <c r="L1757">
        <v>3217007.5</v>
      </c>
      <c r="M1757">
        <v>0</v>
      </c>
      <c r="N1757">
        <v>3217007.5</v>
      </c>
      <c r="O1757">
        <v>87656.880108991812</v>
      </c>
      <c r="P1757">
        <v>0</v>
      </c>
      <c r="Q1757">
        <v>3217007.5</v>
      </c>
      <c r="R1757">
        <v>87656.880108991812</v>
      </c>
      <c r="S1757" t="s">
        <v>130</v>
      </c>
      <c r="T1757" t="s">
        <v>717</v>
      </c>
      <c r="U1757" t="s">
        <v>717</v>
      </c>
      <c r="V1757" t="s">
        <v>717</v>
      </c>
      <c r="W1757">
        <v>44980</v>
      </c>
      <c r="X1757" t="s">
        <v>7824</v>
      </c>
      <c r="Y1757" t="s">
        <v>6</v>
      </c>
      <c r="Z1757" t="s">
        <v>17</v>
      </c>
      <c r="AA1757" t="s">
        <v>6637</v>
      </c>
      <c r="AB1757" t="s">
        <v>2509</v>
      </c>
      <c r="AC1757" t="s">
        <v>717</v>
      </c>
      <c r="AD1757" t="s">
        <v>717</v>
      </c>
      <c r="AE1757" t="s">
        <v>7825</v>
      </c>
      <c r="AF1757" t="s">
        <v>7826</v>
      </c>
      <c r="AG1757" t="s">
        <v>4278</v>
      </c>
      <c r="AH1757" t="s">
        <v>2615</v>
      </c>
      <c r="AI1757" t="s">
        <v>2600</v>
      </c>
      <c r="AJ1757" t="s">
        <v>3921</v>
      </c>
      <c r="AK1757" t="s">
        <v>73</v>
      </c>
      <c r="AL1757" t="s">
        <v>717</v>
      </c>
      <c r="AM1757" t="s">
        <v>10</v>
      </c>
      <c r="AN1757" t="s">
        <v>717</v>
      </c>
    </row>
    <row r="1758" spans="1:40" hidden="1">
      <c r="A1758">
        <v>1756</v>
      </c>
      <c r="B1758">
        <v>8</v>
      </c>
      <c r="C1758" s="58">
        <v>44986</v>
      </c>
      <c r="D1758" t="s">
        <v>7</v>
      </c>
      <c r="E1758" t="s">
        <v>2515</v>
      </c>
      <c r="F1758">
        <v>5</v>
      </c>
      <c r="G1758">
        <v>8</v>
      </c>
      <c r="H1758">
        <v>53</v>
      </c>
      <c r="I1758">
        <v>2</v>
      </c>
      <c r="J1758">
        <v>54.66</v>
      </c>
      <c r="K1758" t="s">
        <v>15</v>
      </c>
      <c r="L1758">
        <v>4192463.16</v>
      </c>
      <c r="M1758">
        <v>0</v>
      </c>
      <c r="N1758">
        <v>4192463.16</v>
      </c>
      <c r="O1758">
        <v>76700.75301866082</v>
      </c>
      <c r="P1758">
        <v>218640.00000000093</v>
      </c>
      <c r="Q1758">
        <v>3973823.1599999992</v>
      </c>
      <c r="R1758">
        <v>72700.753018660806</v>
      </c>
      <c r="S1758" t="s">
        <v>65</v>
      </c>
      <c r="T1758" t="s">
        <v>2664</v>
      </c>
      <c r="U1758">
        <v>122901.75</v>
      </c>
      <c r="V1758" t="s">
        <v>4131</v>
      </c>
      <c r="W1758">
        <v>44980</v>
      </c>
      <c r="X1758" t="s">
        <v>7827</v>
      </c>
      <c r="Y1758" t="s">
        <v>6</v>
      </c>
      <c r="Z1758" t="s">
        <v>17</v>
      </c>
      <c r="AA1758" t="s">
        <v>6637</v>
      </c>
      <c r="AB1758" t="s">
        <v>2509</v>
      </c>
      <c r="AC1758" t="s">
        <v>2571</v>
      </c>
      <c r="AD1758" t="s">
        <v>717</v>
      </c>
      <c r="AE1758" t="s">
        <v>7828</v>
      </c>
      <c r="AF1758" t="s">
        <v>7829</v>
      </c>
      <c r="AG1758" t="s">
        <v>7830</v>
      </c>
      <c r="AH1758" t="s">
        <v>2191</v>
      </c>
      <c r="AI1758" t="s">
        <v>2538</v>
      </c>
      <c r="AJ1758" t="s">
        <v>2514</v>
      </c>
      <c r="AK1758" t="s">
        <v>77</v>
      </c>
      <c r="AL1758" t="s">
        <v>22</v>
      </c>
      <c r="AM1758" t="s">
        <v>10</v>
      </c>
      <c r="AN1758" t="s">
        <v>6708</v>
      </c>
    </row>
    <row r="1759" spans="1:40" hidden="1">
      <c r="A1759">
        <v>1757</v>
      </c>
      <c r="B1759">
        <v>9</v>
      </c>
      <c r="C1759" s="58">
        <v>44986</v>
      </c>
      <c r="D1759" t="s">
        <v>7</v>
      </c>
      <c r="E1759" t="s">
        <v>2581</v>
      </c>
      <c r="F1759">
        <v>4</v>
      </c>
      <c r="G1759">
        <v>18</v>
      </c>
      <c r="H1759">
        <v>356</v>
      </c>
      <c r="I1759">
        <v>2</v>
      </c>
      <c r="J1759">
        <v>58.55</v>
      </c>
      <c r="K1759" t="s">
        <v>9</v>
      </c>
      <c r="L1759">
        <v>4431299.96</v>
      </c>
      <c r="M1759">
        <v>0</v>
      </c>
      <c r="N1759">
        <v>4431299.96</v>
      </c>
      <c r="O1759">
        <v>75684.030059777971</v>
      </c>
      <c r="P1759">
        <v>0</v>
      </c>
      <c r="Q1759">
        <v>4431299.96</v>
      </c>
      <c r="R1759">
        <v>75684.030059777971</v>
      </c>
      <c r="S1759" t="s">
        <v>65</v>
      </c>
      <c r="T1759" t="s">
        <v>717</v>
      </c>
      <c r="U1759" t="s">
        <v>717</v>
      </c>
      <c r="V1759" t="s">
        <v>4131</v>
      </c>
      <c r="W1759">
        <v>44981</v>
      </c>
      <c r="X1759" t="s">
        <v>7831</v>
      </c>
      <c r="Y1759" t="s">
        <v>6</v>
      </c>
      <c r="Z1759" t="s">
        <v>17</v>
      </c>
      <c r="AA1759" t="s">
        <v>6637</v>
      </c>
      <c r="AB1759" t="s">
        <v>2509</v>
      </c>
      <c r="AC1759" t="s">
        <v>2571</v>
      </c>
      <c r="AD1759" t="s">
        <v>717</v>
      </c>
      <c r="AE1759" t="s">
        <v>7832</v>
      </c>
      <c r="AF1759" t="s">
        <v>7833</v>
      </c>
      <c r="AG1759" t="s">
        <v>7834</v>
      </c>
      <c r="AH1759" t="s">
        <v>2615</v>
      </c>
      <c r="AI1759" t="s">
        <v>2552</v>
      </c>
      <c r="AJ1759" t="s">
        <v>2895</v>
      </c>
      <c r="AK1759" t="s">
        <v>73</v>
      </c>
      <c r="AL1759" t="s">
        <v>16</v>
      </c>
      <c r="AM1759" t="s">
        <v>10</v>
      </c>
      <c r="AN1759" t="s">
        <v>6708</v>
      </c>
    </row>
    <row r="1760" spans="1:40" hidden="1">
      <c r="A1760">
        <v>1758</v>
      </c>
      <c r="B1760">
        <v>10</v>
      </c>
      <c r="C1760" s="58">
        <v>44986</v>
      </c>
      <c r="D1760" t="s">
        <v>7</v>
      </c>
      <c r="E1760" t="s">
        <v>2581</v>
      </c>
      <c r="F1760">
        <v>4</v>
      </c>
      <c r="G1760">
        <v>14</v>
      </c>
      <c r="H1760">
        <v>328</v>
      </c>
      <c r="I1760">
        <v>2</v>
      </c>
      <c r="J1760">
        <v>58.55</v>
      </c>
      <c r="K1760" t="s">
        <v>9</v>
      </c>
      <c r="L1760">
        <v>4431299.96</v>
      </c>
      <c r="M1760">
        <v>0</v>
      </c>
      <c r="N1760">
        <v>4431299.96</v>
      </c>
      <c r="O1760">
        <v>75684.030059777971</v>
      </c>
      <c r="P1760">
        <v>0</v>
      </c>
      <c r="Q1760">
        <v>4431299.96</v>
      </c>
      <c r="R1760">
        <v>75684.030059777971</v>
      </c>
      <c r="S1760" t="s">
        <v>65</v>
      </c>
      <c r="T1760" t="s">
        <v>717</v>
      </c>
      <c r="U1760" t="s">
        <v>717</v>
      </c>
      <c r="V1760" t="s">
        <v>6312</v>
      </c>
      <c r="W1760">
        <v>44982</v>
      </c>
      <c r="X1760" t="s">
        <v>7835</v>
      </c>
      <c r="Y1760" t="s">
        <v>6</v>
      </c>
      <c r="Z1760" t="s">
        <v>17</v>
      </c>
      <c r="AA1760" t="s">
        <v>6637</v>
      </c>
      <c r="AB1760" t="s">
        <v>2509</v>
      </c>
      <c r="AC1760" t="s">
        <v>2571</v>
      </c>
      <c r="AD1760" t="s">
        <v>717</v>
      </c>
      <c r="AE1760" t="s">
        <v>7836</v>
      </c>
      <c r="AF1760" t="s">
        <v>7837</v>
      </c>
      <c r="AG1760" t="s">
        <v>7838</v>
      </c>
      <c r="AH1760" t="s">
        <v>2615</v>
      </c>
      <c r="AI1760" t="s">
        <v>2621</v>
      </c>
      <c r="AJ1760" t="s">
        <v>2569</v>
      </c>
      <c r="AK1760" t="s">
        <v>73</v>
      </c>
      <c r="AL1760" t="s">
        <v>22</v>
      </c>
      <c r="AM1760" t="s">
        <v>10</v>
      </c>
      <c r="AN1760" t="s">
        <v>6708</v>
      </c>
    </row>
    <row r="1761" spans="1:40" hidden="1">
      <c r="A1761">
        <v>1759</v>
      </c>
      <c r="B1761">
        <v>11</v>
      </c>
      <c r="C1761" s="58">
        <v>44986</v>
      </c>
      <c r="D1761" t="s">
        <v>7</v>
      </c>
      <c r="E1761" t="s">
        <v>2515</v>
      </c>
      <c r="F1761">
        <v>3</v>
      </c>
      <c r="G1761">
        <v>10</v>
      </c>
      <c r="H1761">
        <v>67</v>
      </c>
      <c r="I1761">
        <v>1</v>
      </c>
      <c r="J1761">
        <v>35.54</v>
      </c>
      <c r="K1761" t="s">
        <v>15</v>
      </c>
      <c r="L1761">
        <v>3229238.02</v>
      </c>
      <c r="M1761">
        <v>0</v>
      </c>
      <c r="N1761">
        <v>3229238.02</v>
      </c>
      <c r="O1761">
        <v>90862.071468767594</v>
      </c>
      <c r="P1761">
        <v>142160</v>
      </c>
      <c r="Q1761">
        <v>3087078.02</v>
      </c>
      <c r="R1761">
        <v>86862.071468767594</v>
      </c>
      <c r="S1761" t="s">
        <v>65</v>
      </c>
      <c r="T1761" t="s">
        <v>3268</v>
      </c>
      <c r="U1761">
        <v>60000</v>
      </c>
      <c r="V1761" t="s">
        <v>4131</v>
      </c>
      <c r="W1761">
        <v>44982</v>
      </c>
      <c r="X1761" t="s">
        <v>7839</v>
      </c>
      <c r="Y1761" t="s">
        <v>6</v>
      </c>
      <c r="Z1761" t="s">
        <v>17</v>
      </c>
      <c r="AA1761" t="s">
        <v>6637</v>
      </c>
      <c r="AB1761" t="s">
        <v>2509</v>
      </c>
      <c r="AC1761" t="s">
        <v>2571</v>
      </c>
      <c r="AD1761" t="s">
        <v>717</v>
      </c>
      <c r="AE1761" t="s">
        <v>7840</v>
      </c>
      <c r="AF1761" t="s">
        <v>7841</v>
      </c>
      <c r="AG1761" t="s">
        <v>7842</v>
      </c>
      <c r="AH1761" t="s">
        <v>2615</v>
      </c>
      <c r="AI1761" t="s">
        <v>2697</v>
      </c>
      <c r="AJ1761" t="s">
        <v>2662</v>
      </c>
      <c r="AK1761" t="s">
        <v>77</v>
      </c>
      <c r="AL1761" t="s">
        <v>22</v>
      </c>
      <c r="AM1761" t="s">
        <v>10</v>
      </c>
      <c r="AN1761" t="s">
        <v>717</v>
      </c>
    </row>
    <row r="1762" spans="1:40" hidden="1">
      <c r="A1762">
        <v>1760</v>
      </c>
      <c r="B1762">
        <v>12</v>
      </c>
      <c r="C1762" s="58">
        <v>44991</v>
      </c>
      <c r="D1762" t="s">
        <v>7</v>
      </c>
      <c r="E1762" t="s">
        <v>2515</v>
      </c>
      <c r="F1762">
        <v>5</v>
      </c>
      <c r="G1762">
        <v>2</v>
      </c>
      <c r="H1762">
        <v>5</v>
      </c>
      <c r="I1762">
        <v>2</v>
      </c>
      <c r="J1762">
        <v>54.66</v>
      </c>
      <c r="K1762" t="s">
        <v>15</v>
      </c>
      <c r="L1762">
        <v>4271939.3899999997</v>
      </c>
      <c r="M1762">
        <v>0</v>
      </c>
      <c r="N1762">
        <v>4271939.3899999997</v>
      </c>
      <c r="O1762">
        <v>78154.76381266008</v>
      </c>
      <c r="P1762">
        <v>218640</v>
      </c>
      <c r="Q1762">
        <v>4053299.39</v>
      </c>
      <c r="R1762">
        <v>74154.76381266008</v>
      </c>
      <c r="S1762" t="s">
        <v>65</v>
      </c>
      <c r="T1762" t="s">
        <v>4059</v>
      </c>
      <c r="U1762">
        <v>125359.77</v>
      </c>
      <c r="V1762" t="s">
        <v>6312</v>
      </c>
      <c r="W1762">
        <v>44985</v>
      </c>
      <c r="X1762" t="s">
        <v>7843</v>
      </c>
      <c r="Y1762" t="s">
        <v>6</v>
      </c>
      <c r="Z1762" t="s">
        <v>17</v>
      </c>
      <c r="AA1762" t="s">
        <v>6637</v>
      </c>
      <c r="AB1762" t="s">
        <v>2509</v>
      </c>
      <c r="AC1762" t="s">
        <v>2571</v>
      </c>
      <c r="AD1762" t="s">
        <v>717</v>
      </c>
      <c r="AE1762" t="s">
        <v>7844</v>
      </c>
      <c r="AF1762" t="s">
        <v>7845</v>
      </c>
      <c r="AG1762" t="s">
        <v>7846</v>
      </c>
      <c r="AH1762" t="s">
        <v>2552</v>
      </c>
      <c r="AI1762" t="s">
        <v>7847</v>
      </c>
      <c r="AJ1762" t="s">
        <v>2642</v>
      </c>
      <c r="AK1762" t="s">
        <v>77</v>
      </c>
      <c r="AL1762" t="s">
        <v>16</v>
      </c>
      <c r="AM1762" t="s">
        <v>10</v>
      </c>
      <c r="AN1762" t="s">
        <v>6708</v>
      </c>
    </row>
    <row r="1763" spans="1:40" hidden="1">
      <c r="A1763">
        <v>1761</v>
      </c>
      <c r="B1763">
        <v>13</v>
      </c>
      <c r="C1763" s="58">
        <v>44992</v>
      </c>
      <c r="D1763" t="s">
        <v>7</v>
      </c>
      <c r="E1763" t="s">
        <v>4409</v>
      </c>
      <c r="F1763">
        <v>3</v>
      </c>
      <c r="G1763">
        <v>7</v>
      </c>
      <c r="H1763">
        <v>449</v>
      </c>
      <c r="I1763">
        <v>3</v>
      </c>
      <c r="J1763">
        <v>74.28</v>
      </c>
      <c r="K1763" t="s">
        <v>15</v>
      </c>
      <c r="L1763">
        <v>5422383.0300000003</v>
      </c>
      <c r="M1763">
        <v>0</v>
      </c>
      <c r="N1763">
        <v>5422383.0300000003</v>
      </c>
      <c r="O1763">
        <v>72999.233037156708</v>
      </c>
      <c r="P1763">
        <v>297120</v>
      </c>
      <c r="Q1763">
        <v>5125263.03</v>
      </c>
      <c r="R1763">
        <v>68999.233037156708</v>
      </c>
      <c r="S1763" t="s">
        <v>65</v>
      </c>
      <c r="T1763" t="s">
        <v>4059</v>
      </c>
      <c r="U1763">
        <v>158513.29</v>
      </c>
      <c r="V1763" t="s">
        <v>6312</v>
      </c>
      <c r="W1763">
        <v>44978</v>
      </c>
      <c r="X1763" t="s">
        <v>7848</v>
      </c>
      <c r="Y1763" t="s">
        <v>6</v>
      </c>
      <c r="Z1763" t="s">
        <v>17</v>
      </c>
      <c r="AA1763" t="s">
        <v>6637</v>
      </c>
      <c r="AB1763" t="s">
        <v>2509</v>
      </c>
      <c r="AC1763" t="s">
        <v>2571</v>
      </c>
      <c r="AD1763" t="s">
        <v>717</v>
      </c>
      <c r="AE1763" t="s">
        <v>7849</v>
      </c>
      <c r="AF1763" t="s">
        <v>7105</v>
      </c>
      <c r="AG1763" t="s">
        <v>7850</v>
      </c>
      <c r="AH1763" t="s">
        <v>2615</v>
      </c>
      <c r="AI1763" t="s">
        <v>2552</v>
      </c>
      <c r="AJ1763" t="s">
        <v>2895</v>
      </c>
      <c r="AK1763" t="s">
        <v>77</v>
      </c>
      <c r="AL1763" t="s">
        <v>22</v>
      </c>
      <c r="AM1763" t="s">
        <v>10</v>
      </c>
      <c r="AN1763" t="s">
        <v>6708</v>
      </c>
    </row>
    <row r="1764" spans="1:40" hidden="1">
      <c r="A1764">
        <v>1762</v>
      </c>
      <c r="B1764">
        <v>14</v>
      </c>
      <c r="C1764" s="58">
        <v>44992</v>
      </c>
      <c r="D1764" t="s">
        <v>7</v>
      </c>
      <c r="E1764" t="s">
        <v>2581</v>
      </c>
      <c r="F1764">
        <v>1</v>
      </c>
      <c r="G1764">
        <v>8</v>
      </c>
      <c r="H1764">
        <v>283</v>
      </c>
      <c r="I1764">
        <v>0</v>
      </c>
      <c r="J1764">
        <v>29.35</v>
      </c>
      <c r="K1764" t="s">
        <v>15</v>
      </c>
      <c r="L1764">
        <v>2563993.9900000002</v>
      </c>
      <c r="M1764">
        <v>0</v>
      </c>
      <c r="N1764">
        <v>2563993.9900000002</v>
      </c>
      <c r="O1764">
        <v>87359.250085178879</v>
      </c>
      <c r="P1764">
        <v>117399.99999999952</v>
      </c>
      <c r="Q1764">
        <v>2446593.9900000007</v>
      </c>
      <c r="R1764">
        <v>83359.250085178894</v>
      </c>
      <c r="S1764" t="s">
        <v>65</v>
      </c>
      <c r="T1764" t="s">
        <v>717</v>
      </c>
      <c r="U1764" t="s">
        <v>717</v>
      </c>
      <c r="V1764" t="s">
        <v>4131</v>
      </c>
      <c r="W1764">
        <v>44987</v>
      </c>
      <c r="X1764" t="s">
        <v>7851</v>
      </c>
      <c r="Y1764" t="s">
        <v>6</v>
      </c>
      <c r="Z1764" t="s">
        <v>17</v>
      </c>
      <c r="AA1764" t="s">
        <v>6637</v>
      </c>
      <c r="AB1764" t="s">
        <v>2509</v>
      </c>
      <c r="AC1764" t="s">
        <v>2571</v>
      </c>
      <c r="AD1764" t="s">
        <v>717</v>
      </c>
      <c r="AE1764" t="s">
        <v>7852</v>
      </c>
      <c r="AF1764" t="s">
        <v>7853</v>
      </c>
      <c r="AG1764" t="s">
        <v>7854</v>
      </c>
      <c r="AH1764" t="s">
        <v>2615</v>
      </c>
      <c r="AI1764" t="s">
        <v>2847</v>
      </c>
      <c r="AJ1764" t="s">
        <v>2895</v>
      </c>
      <c r="AK1764" t="s">
        <v>1233</v>
      </c>
      <c r="AL1764" t="s">
        <v>22</v>
      </c>
      <c r="AM1764" t="s">
        <v>10</v>
      </c>
      <c r="AN1764" t="s">
        <v>717</v>
      </c>
    </row>
    <row r="1765" spans="1:40" hidden="1">
      <c r="A1765">
        <v>1763</v>
      </c>
      <c r="B1765">
        <v>15</v>
      </c>
      <c r="C1765" s="58">
        <v>44995</v>
      </c>
      <c r="D1765" t="s">
        <v>7</v>
      </c>
      <c r="E1765" t="s">
        <v>2581</v>
      </c>
      <c r="F1765">
        <v>7</v>
      </c>
      <c r="G1765">
        <v>20</v>
      </c>
      <c r="H1765">
        <v>373</v>
      </c>
      <c r="I1765">
        <v>1</v>
      </c>
      <c r="J1765">
        <v>33.840000000000003</v>
      </c>
      <c r="K1765" t="s">
        <v>15</v>
      </c>
      <c r="L1765">
        <v>3317547.49</v>
      </c>
      <c r="M1765">
        <v>0</v>
      </c>
      <c r="N1765">
        <v>3317547.49</v>
      </c>
      <c r="O1765">
        <v>98036.273345153662</v>
      </c>
      <c r="P1765">
        <v>135360</v>
      </c>
      <c r="Q1765">
        <v>3182187.49</v>
      </c>
      <c r="R1765">
        <v>94036.273345153662</v>
      </c>
      <c r="S1765" t="s">
        <v>65</v>
      </c>
      <c r="T1765" t="s">
        <v>3309</v>
      </c>
      <c r="U1765">
        <v>20000</v>
      </c>
      <c r="V1765" t="s">
        <v>4131</v>
      </c>
      <c r="W1765">
        <v>44989</v>
      </c>
      <c r="X1765" t="s">
        <v>7855</v>
      </c>
      <c r="Y1765" t="s">
        <v>6</v>
      </c>
      <c r="Z1765" t="s">
        <v>17</v>
      </c>
      <c r="AA1765" t="s">
        <v>6637</v>
      </c>
      <c r="AB1765" t="s">
        <v>2509</v>
      </c>
      <c r="AC1765" t="s">
        <v>2571</v>
      </c>
      <c r="AD1765" t="s">
        <v>717</v>
      </c>
      <c r="AE1765" t="s">
        <v>7856</v>
      </c>
      <c r="AF1765" t="s">
        <v>7857</v>
      </c>
      <c r="AG1765" t="s">
        <v>7858</v>
      </c>
      <c r="AH1765" t="s">
        <v>2615</v>
      </c>
      <c r="AI1765" t="s">
        <v>2621</v>
      </c>
      <c r="AJ1765" t="s">
        <v>2569</v>
      </c>
      <c r="AK1765" t="s">
        <v>77</v>
      </c>
      <c r="AL1765" t="s">
        <v>16</v>
      </c>
      <c r="AM1765" t="s">
        <v>10</v>
      </c>
      <c r="AN1765" t="s">
        <v>717</v>
      </c>
    </row>
    <row r="1766" spans="1:40" hidden="1">
      <c r="A1766">
        <v>1764</v>
      </c>
      <c r="B1766">
        <v>16</v>
      </c>
      <c r="C1766" s="58">
        <v>44995</v>
      </c>
      <c r="D1766" t="s">
        <v>27</v>
      </c>
      <c r="E1766" t="s">
        <v>2515</v>
      </c>
      <c r="F1766">
        <v>4</v>
      </c>
      <c r="G1766">
        <v>18</v>
      </c>
      <c r="H1766">
        <v>148</v>
      </c>
      <c r="I1766">
        <v>0</v>
      </c>
      <c r="J1766">
        <v>24.39</v>
      </c>
      <c r="K1766" t="s">
        <v>9</v>
      </c>
      <c r="L1766">
        <v>2238568.96</v>
      </c>
      <c r="M1766">
        <v>0</v>
      </c>
      <c r="N1766">
        <v>2238568.96</v>
      </c>
      <c r="O1766">
        <v>91782.245182451821</v>
      </c>
      <c r="P1766">
        <v>0</v>
      </c>
      <c r="Q1766">
        <v>2238568.96</v>
      </c>
      <c r="R1766">
        <v>91782.245182451821</v>
      </c>
      <c r="S1766" t="s">
        <v>65</v>
      </c>
      <c r="T1766" t="s">
        <v>7859</v>
      </c>
      <c r="U1766">
        <v>194658.17</v>
      </c>
      <c r="V1766" t="s">
        <v>6312</v>
      </c>
      <c r="W1766">
        <v>44989</v>
      </c>
      <c r="X1766" t="s">
        <v>7860</v>
      </c>
      <c r="Y1766" t="s">
        <v>6</v>
      </c>
      <c r="Z1766" t="s">
        <v>17</v>
      </c>
      <c r="AA1766" t="s">
        <v>6637</v>
      </c>
      <c r="AB1766" t="s">
        <v>2509</v>
      </c>
      <c r="AC1766" t="s">
        <v>2571</v>
      </c>
      <c r="AD1766" t="s">
        <v>717</v>
      </c>
      <c r="AE1766" t="s">
        <v>7861</v>
      </c>
      <c r="AF1766" t="s">
        <v>7862</v>
      </c>
      <c r="AG1766" t="s">
        <v>7863</v>
      </c>
      <c r="AH1766" t="s">
        <v>2615</v>
      </c>
      <c r="AI1766" t="s">
        <v>3115</v>
      </c>
      <c r="AJ1766" t="s">
        <v>2569</v>
      </c>
      <c r="AK1766" t="s">
        <v>73</v>
      </c>
      <c r="AL1766" t="s">
        <v>16</v>
      </c>
      <c r="AM1766" t="s">
        <v>10</v>
      </c>
      <c r="AN1766" t="s">
        <v>717</v>
      </c>
    </row>
    <row r="1767" spans="1:40" hidden="1">
      <c r="A1767">
        <v>1765</v>
      </c>
      <c r="B1767">
        <v>17</v>
      </c>
      <c r="C1767" s="58">
        <v>44995</v>
      </c>
      <c r="D1767" t="s">
        <v>27</v>
      </c>
      <c r="E1767" t="s">
        <v>2506</v>
      </c>
      <c r="F1767">
        <v>3</v>
      </c>
      <c r="G1767">
        <v>21</v>
      </c>
      <c r="H1767">
        <v>362</v>
      </c>
      <c r="I1767">
        <v>0</v>
      </c>
      <c r="J1767">
        <v>23.54</v>
      </c>
      <c r="K1767" t="s">
        <v>9</v>
      </c>
      <c r="L1767">
        <v>2293213.65</v>
      </c>
      <c r="M1767">
        <v>0</v>
      </c>
      <c r="N1767">
        <v>2293213.65</v>
      </c>
      <c r="O1767">
        <v>97417.742141036535</v>
      </c>
      <c r="P1767">
        <v>0</v>
      </c>
      <c r="Q1767">
        <v>2293213.65</v>
      </c>
      <c r="R1767">
        <v>97417.742141036535</v>
      </c>
      <c r="S1767" t="s">
        <v>65</v>
      </c>
      <c r="T1767" t="s">
        <v>7859</v>
      </c>
      <c r="U1767">
        <v>199409.88</v>
      </c>
      <c r="V1767" t="s">
        <v>6312</v>
      </c>
      <c r="W1767">
        <v>44989</v>
      </c>
      <c r="X1767" t="s">
        <v>7864</v>
      </c>
      <c r="Y1767" t="s">
        <v>6</v>
      </c>
      <c r="Z1767" t="s">
        <v>17</v>
      </c>
      <c r="AA1767" t="s">
        <v>6637</v>
      </c>
      <c r="AB1767" t="s">
        <v>2509</v>
      </c>
      <c r="AC1767" t="s">
        <v>2571</v>
      </c>
      <c r="AD1767" t="s">
        <v>717</v>
      </c>
      <c r="AE1767" t="s">
        <v>7865</v>
      </c>
      <c r="AF1767" t="s">
        <v>7866</v>
      </c>
      <c r="AG1767" t="s">
        <v>7867</v>
      </c>
      <c r="AH1767" t="s">
        <v>2615</v>
      </c>
      <c r="AI1767" t="s">
        <v>2621</v>
      </c>
      <c r="AJ1767" t="s">
        <v>2569</v>
      </c>
      <c r="AK1767" t="s">
        <v>73</v>
      </c>
      <c r="AL1767" t="s">
        <v>16</v>
      </c>
      <c r="AM1767" t="s">
        <v>10</v>
      </c>
      <c r="AN1767" t="s">
        <v>717</v>
      </c>
    </row>
    <row r="1768" spans="1:40" hidden="1">
      <c r="A1768">
        <v>1766</v>
      </c>
      <c r="B1768">
        <v>18</v>
      </c>
      <c r="C1768" s="58">
        <v>44995</v>
      </c>
      <c r="D1768" t="s">
        <v>7</v>
      </c>
      <c r="E1768" t="s">
        <v>4409</v>
      </c>
      <c r="F1768">
        <v>3</v>
      </c>
      <c r="G1768">
        <v>3</v>
      </c>
      <c r="H1768">
        <v>413</v>
      </c>
      <c r="I1768">
        <v>3</v>
      </c>
      <c r="J1768">
        <v>74.28</v>
      </c>
      <c r="K1768" t="s">
        <v>25</v>
      </c>
      <c r="L1768">
        <v>6397976.3200000003</v>
      </c>
      <c r="M1768">
        <v>0</v>
      </c>
      <c r="N1768">
        <v>6397976.3200000003</v>
      </c>
      <c r="O1768">
        <v>86133.229940764679</v>
      </c>
      <c r="P1768">
        <v>1114199.9999999993</v>
      </c>
      <c r="Q1768">
        <v>5283776.3200000012</v>
      </c>
      <c r="R1768">
        <v>71133.229940764693</v>
      </c>
      <c r="S1768" t="s">
        <v>65</v>
      </c>
      <c r="T1768" t="s">
        <v>717</v>
      </c>
      <c r="U1768" t="s">
        <v>717</v>
      </c>
      <c r="V1768" t="s">
        <v>6312</v>
      </c>
      <c r="W1768">
        <v>44992</v>
      </c>
      <c r="X1768" t="s">
        <v>7868</v>
      </c>
      <c r="Y1768" t="s">
        <v>6</v>
      </c>
      <c r="Z1768" t="s">
        <v>17</v>
      </c>
      <c r="AA1768" t="s">
        <v>6637</v>
      </c>
      <c r="AB1768" t="s">
        <v>2509</v>
      </c>
      <c r="AC1768" t="s">
        <v>2571</v>
      </c>
      <c r="AD1768" t="s">
        <v>717</v>
      </c>
      <c r="AE1768" t="s">
        <v>7869</v>
      </c>
      <c r="AF1768" t="s">
        <v>7870</v>
      </c>
      <c r="AG1768" t="s">
        <v>7871</v>
      </c>
      <c r="AH1768" t="s">
        <v>2615</v>
      </c>
      <c r="AI1768" t="s">
        <v>2847</v>
      </c>
      <c r="AJ1768" t="s">
        <v>2940</v>
      </c>
      <c r="AK1768" t="s">
        <v>73</v>
      </c>
      <c r="AL1768" t="s">
        <v>22</v>
      </c>
      <c r="AM1768" t="s">
        <v>10</v>
      </c>
      <c r="AN1768" t="s">
        <v>717</v>
      </c>
    </row>
    <row r="1769" spans="1:40" hidden="1">
      <c r="A1769">
        <v>1767</v>
      </c>
      <c r="B1769">
        <v>19</v>
      </c>
      <c r="C1769" s="58">
        <v>44998</v>
      </c>
      <c r="D1769" t="s">
        <v>7</v>
      </c>
      <c r="E1769" t="s">
        <v>2506</v>
      </c>
      <c r="F1769">
        <v>5</v>
      </c>
      <c r="G1769">
        <v>3</v>
      </c>
      <c r="H1769">
        <v>133</v>
      </c>
      <c r="I1769">
        <v>1</v>
      </c>
      <c r="J1769">
        <v>36.700000000000003</v>
      </c>
      <c r="K1769" t="s">
        <v>15</v>
      </c>
      <c r="L1769">
        <v>3460317.85</v>
      </c>
      <c r="M1769">
        <v>0</v>
      </c>
      <c r="N1769">
        <v>3460317.85</v>
      </c>
      <c r="O1769">
        <v>94286.589918256126</v>
      </c>
      <c r="P1769">
        <v>146800.00000000093</v>
      </c>
      <c r="Q1769">
        <v>3313517.8499999992</v>
      </c>
      <c r="R1769">
        <v>90286.589918256097</v>
      </c>
      <c r="S1769" t="s">
        <v>65</v>
      </c>
      <c r="T1769" t="s">
        <v>717</v>
      </c>
      <c r="U1769" t="s">
        <v>717</v>
      </c>
      <c r="V1769" t="s">
        <v>4131</v>
      </c>
      <c r="W1769">
        <v>44990</v>
      </c>
      <c r="X1769" t="s">
        <v>7872</v>
      </c>
      <c r="Y1769" t="s">
        <v>6</v>
      </c>
      <c r="Z1769" t="s">
        <v>17</v>
      </c>
      <c r="AA1769" t="s">
        <v>6637</v>
      </c>
      <c r="AB1769" t="s">
        <v>2509</v>
      </c>
      <c r="AC1769" t="s">
        <v>2571</v>
      </c>
      <c r="AD1769" t="s">
        <v>717</v>
      </c>
      <c r="AE1769" t="s">
        <v>7873</v>
      </c>
      <c r="AF1769" t="s">
        <v>7874</v>
      </c>
      <c r="AG1769" t="s">
        <v>7875</v>
      </c>
      <c r="AH1769" t="s">
        <v>2615</v>
      </c>
      <c r="AI1769" t="s">
        <v>2552</v>
      </c>
      <c r="AJ1769" t="s">
        <v>2662</v>
      </c>
      <c r="AK1769" t="s">
        <v>8</v>
      </c>
      <c r="AL1769" t="s">
        <v>16</v>
      </c>
      <c r="AM1769" t="s">
        <v>10</v>
      </c>
      <c r="AN1769" t="s">
        <v>717</v>
      </c>
    </row>
    <row r="1770" spans="1:40" hidden="1">
      <c r="A1770">
        <v>1768</v>
      </c>
      <c r="B1770">
        <v>20</v>
      </c>
      <c r="C1770" s="58">
        <v>44998</v>
      </c>
      <c r="D1770" t="s">
        <v>27</v>
      </c>
      <c r="E1770" t="s">
        <v>2515</v>
      </c>
      <c r="F1770">
        <v>5</v>
      </c>
      <c r="G1770">
        <v>20</v>
      </c>
      <c r="H1770">
        <v>167</v>
      </c>
      <c r="I1770">
        <v>0</v>
      </c>
      <c r="J1770">
        <v>24.47</v>
      </c>
      <c r="K1770" t="s">
        <v>9</v>
      </c>
      <c r="L1770">
        <v>2367180.4300000002</v>
      </c>
      <c r="M1770">
        <v>0</v>
      </c>
      <c r="N1770">
        <v>2367180.4300000002</v>
      </c>
      <c r="O1770">
        <v>96738.064160196169</v>
      </c>
      <c r="P1770">
        <v>0</v>
      </c>
      <c r="Q1770">
        <v>2367180.4300000002</v>
      </c>
      <c r="R1770">
        <v>96738.064160196169</v>
      </c>
      <c r="S1770" t="s">
        <v>65</v>
      </c>
      <c r="T1770" t="s">
        <v>7859</v>
      </c>
      <c r="U1770">
        <v>205841.78</v>
      </c>
      <c r="V1770" t="s">
        <v>6312</v>
      </c>
      <c r="W1770">
        <v>44990</v>
      </c>
      <c r="X1770" t="s">
        <v>7876</v>
      </c>
      <c r="Y1770" t="s">
        <v>6</v>
      </c>
      <c r="Z1770" t="s">
        <v>17</v>
      </c>
      <c r="AA1770" t="s">
        <v>6637</v>
      </c>
      <c r="AB1770" t="s">
        <v>2509</v>
      </c>
      <c r="AC1770" t="s">
        <v>2571</v>
      </c>
      <c r="AD1770" t="s">
        <v>717</v>
      </c>
      <c r="AE1770" t="s">
        <v>7877</v>
      </c>
      <c r="AF1770" t="s">
        <v>7878</v>
      </c>
      <c r="AG1770" t="s">
        <v>7879</v>
      </c>
      <c r="AH1770" t="s">
        <v>2615</v>
      </c>
      <c r="AI1770" t="s">
        <v>2621</v>
      </c>
      <c r="AJ1770" t="s">
        <v>2569</v>
      </c>
      <c r="AK1770" t="s">
        <v>73</v>
      </c>
      <c r="AL1770" t="s">
        <v>16</v>
      </c>
      <c r="AM1770" t="s">
        <v>10</v>
      </c>
      <c r="AN1770" t="s">
        <v>717</v>
      </c>
    </row>
    <row r="1771" spans="1:40" hidden="1">
      <c r="A1771">
        <v>1769</v>
      </c>
      <c r="B1771">
        <v>21</v>
      </c>
      <c r="C1771" s="58">
        <v>45000</v>
      </c>
      <c r="D1771" t="s">
        <v>27</v>
      </c>
      <c r="E1771" t="s">
        <v>2515</v>
      </c>
      <c r="F1771">
        <v>8</v>
      </c>
      <c r="G1771">
        <v>23</v>
      </c>
      <c r="H1771">
        <v>197</v>
      </c>
      <c r="I1771">
        <v>1</v>
      </c>
      <c r="J1771">
        <v>37.69</v>
      </c>
      <c r="K1771" t="s">
        <v>25</v>
      </c>
      <c r="L1771">
        <v>4398585.82</v>
      </c>
      <c r="M1771">
        <v>0</v>
      </c>
      <c r="N1771">
        <v>4398585.82</v>
      </c>
      <c r="O1771">
        <v>116704.31997877422</v>
      </c>
      <c r="P1771">
        <v>565350</v>
      </c>
      <c r="Q1771">
        <v>3833235.82</v>
      </c>
      <c r="R1771">
        <v>101704.31997877422</v>
      </c>
      <c r="S1771" t="s">
        <v>65</v>
      </c>
      <c r="T1771" t="s">
        <v>717</v>
      </c>
      <c r="U1771" t="s">
        <v>717</v>
      </c>
      <c r="V1771" t="s">
        <v>4131</v>
      </c>
      <c r="W1771">
        <v>44991</v>
      </c>
      <c r="X1771" t="s">
        <v>7880</v>
      </c>
      <c r="Y1771" t="s">
        <v>6</v>
      </c>
      <c r="Z1771" t="s">
        <v>17</v>
      </c>
      <c r="AA1771" t="s">
        <v>6637</v>
      </c>
      <c r="AB1771" t="s">
        <v>2509</v>
      </c>
      <c r="AC1771" t="s">
        <v>2571</v>
      </c>
      <c r="AD1771" t="s">
        <v>717</v>
      </c>
      <c r="AE1771" t="s">
        <v>7881</v>
      </c>
      <c r="AF1771" t="s">
        <v>7882</v>
      </c>
      <c r="AG1771" t="s">
        <v>7883</v>
      </c>
      <c r="AH1771" t="s">
        <v>2615</v>
      </c>
      <c r="AI1771" t="s">
        <v>6951</v>
      </c>
      <c r="AJ1771" t="s">
        <v>2662</v>
      </c>
      <c r="AK1771" t="s">
        <v>1233</v>
      </c>
      <c r="AL1771" t="s">
        <v>16</v>
      </c>
      <c r="AM1771" t="s">
        <v>10</v>
      </c>
      <c r="AN1771" t="s">
        <v>717</v>
      </c>
    </row>
    <row r="1772" spans="1:40" hidden="1">
      <c r="A1772">
        <v>1770</v>
      </c>
      <c r="B1772">
        <v>22</v>
      </c>
      <c r="C1772" s="58">
        <v>45000</v>
      </c>
      <c r="D1772" t="s">
        <v>7</v>
      </c>
      <c r="E1772" t="s">
        <v>2515</v>
      </c>
      <c r="F1772">
        <v>4</v>
      </c>
      <c r="G1772">
        <v>13</v>
      </c>
      <c r="H1772">
        <v>92</v>
      </c>
      <c r="I1772">
        <v>2</v>
      </c>
      <c r="J1772">
        <v>56.03</v>
      </c>
      <c r="K1772" t="s">
        <v>25</v>
      </c>
      <c r="L1772">
        <v>5123843.21</v>
      </c>
      <c r="M1772">
        <v>0</v>
      </c>
      <c r="N1772">
        <v>5123843.21</v>
      </c>
      <c r="O1772">
        <v>91448.210066036045</v>
      </c>
      <c r="P1772">
        <v>840450</v>
      </c>
      <c r="Q1772">
        <v>4283393.21</v>
      </c>
      <c r="R1772">
        <v>76448.210066036045</v>
      </c>
      <c r="S1772" t="s">
        <v>65</v>
      </c>
      <c r="T1772" t="s">
        <v>717</v>
      </c>
      <c r="U1772" t="s">
        <v>717</v>
      </c>
      <c r="V1772" t="s">
        <v>6312</v>
      </c>
      <c r="W1772">
        <v>44991</v>
      </c>
      <c r="X1772" t="s">
        <v>7884</v>
      </c>
      <c r="Y1772" t="s">
        <v>6</v>
      </c>
      <c r="Z1772" t="s">
        <v>17</v>
      </c>
      <c r="AA1772" t="s">
        <v>6637</v>
      </c>
      <c r="AB1772" t="s">
        <v>2509</v>
      </c>
      <c r="AC1772" t="s">
        <v>2571</v>
      </c>
      <c r="AD1772" t="s">
        <v>717</v>
      </c>
      <c r="AE1772" t="s">
        <v>7885</v>
      </c>
      <c r="AF1772" t="s">
        <v>7886</v>
      </c>
      <c r="AG1772" t="s">
        <v>7887</v>
      </c>
      <c r="AH1772" t="s">
        <v>2615</v>
      </c>
      <c r="AI1772" t="s">
        <v>2552</v>
      </c>
      <c r="AJ1772" t="s">
        <v>2662</v>
      </c>
      <c r="AK1772" t="s">
        <v>77</v>
      </c>
      <c r="AL1772" t="s">
        <v>16</v>
      </c>
      <c r="AM1772" t="s">
        <v>10</v>
      </c>
      <c r="AN1772" t="s">
        <v>717</v>
      </c>
    </row>
    <row r="1773" spans="1:40" hidden="1">
      <c r="A1773">
        <v>1771</v>
      </c>
      <c r="B1773">
        <v>23</v>
      </c>
      <c r="C1773" s="58">
        <v>45000</v>
      </c>
      <c r="D1773" t="s">
        <v>27</v>
      </c>
      <c r="E1773" t="s">
        <v>2506</v>
      </c>
      <c r="F1773">
        <v>5</v>
      </c>
      <c r="G1773">
        <v>24</v>
      </c>
      <c r="H1773">
        <v>388</v>
      </c>
      <c r="I1773">
        <v>0</v>
      </c>
      <c r="J1773">
        <v>23.63</v>
      </c>
      <c r="K1773" t="s">
        <v>9</v>
      </c>
      <c r="L1773">
        <v>2242070.38</v>
      </c>
      <c r="M1773">
        <v>0</v>
      </c>
      <c r="N1773">
        <v>2242070.38</v>
      </c>
      <c r="O1773">
        <v>94882.36902242912</v>
      </c>
      <c r="P1773">
        <v>0</v>
      </c>
      <c r="Q1773">
        <v>2242070.38</v>
      </c>
      <c r="R1773">
        <v>94882.36902242912</v>
      </c>
      <c r="S1773" t="s">
        <v>65</v>
      </c>
      <c r="T1773" t="s">
        <v>7859</v>
      </c>
      <c r="U1773">
        <v>194962.64</v>
      </c>
      <c r="V1773" t="s">
        <v>4131</v>
      </c>
      <c r="W1773">
        <v>44992</v>
      </c>
      <c r="X1773" t="s">
        <v>7888</v>
      </c>
      <c r="Y1773" t="s">
        <v>6</v>
      </c>
      <c r="Z1773" t="s">
        <v>17</v>
      </c>
      <c r="AA1773" t="s">
        <v>6637</v>
      </c>
      <c r="AB1773" t="s">
        <v>2509</v>
      </c>
      <c r="AC1773" t="s">
        <v>2571</v>
      </c>
      <c r="AD1773" t="s">
        <v>717</v>
      </c>
      <c r="AE1773" t="s">
        <v>7889</v>
      </c>
      <c r="AF1773" t="s">
        <v>7890</v>
      </c>
      <c r="AG1773" t="s">
        <v>7891</v>
      </c>
      <c r="AH1773" t="s">
        <v>2615</v>
      </c>
      <c r="AI1773" t="s">
        <v>2538</v>
      </c>
      <c r="AJ1773" t="s">
        <v>3298</v>
      </c>
      <c r="AK1773" t="s">
        <v>77</v>
      </c>
      <c r="AL1773" t="s">
        <v>16</v>
      </c>
      <c r="AM1773" t="s">
        <v>10</v>
      </c>
      <c r="AN1773" t="s">
        <v>717</v>
      </c>
    </row>
    <row r="1774" spans="1:40" hidden="1">
      <c r="A1774">
        <v>1772</v>
      </c>
      <c r="B1774">
        <v>24</v>
      </c>
      <c r="C1774" s="58">
        <v>45001</v>
      </c>
      <c r="D1774" t="s">
        <v>7</v>
      </c>
      <c r="E1774" t="s">
        <v>2515</v>
      </c>
      <c r="F1774">
        <v>4</v>
      </c>
      <c r="G1774">
        <v>8</v>
      </c>
      <c r="H1774">
        <v>52</v>
      </c>
      <c r="I1774">
        <v>2</v>
      </c>
      <c r="J1774">
        <v>56.03</v>
      </c>
      <c r="K1774" t="s">
        <v>15</v>
      </c>
      <c r="L1774">
        <v>4507513.21</v>
      </c>
      <c r="M1774">
        <v>0</v>
      </c>
      <c r="N1774">
        <v>4507513.21</v>
      </c>
      <c r="O1774">
        <v>80448.210066036045</v>
      </c>
      <c r="P1774">
        <v>224120</v>
      </c>
      <c r="Q1774">
        <v>4283393.21</v>
      </c>
      <c r="R1774">
        <v>76448.210066036045</v>
      </c>
      <c r="S1774" t="s">
        <v>65</v>
      </c>
      <c r="T1774" t="s">
        <v>717</v>
      </c>
      <c r="U1774" t="s">
        <v>717</v>
      </c>
      <c r="V1774" t="s">
        <v>4131</v>
      </c>
      <c r="W1774">
        <v>44995</v>
      </c>
      <c r="X1774" t="s">
        <v>7892</v>
      </c>
      <c r="Y1774" t="s">
        <v>6</v>
      </c>
      <c r="Z1774" t="s">
        <v>17</v>
      </c>
      <c r="AA1774" t="s">
        <v>6637</v>
      </c>
      <c r="AB1774" t="s">
        <v>2509</v>
      </c>
      <c r="AC1774" t="s">
        <v>2571</v>
      </c>
      <c r="AD1774" t="s">
        <v>717</v>
      </c>
      <c r="AE1774" t="s">
        <v>7893</v>
      </c>
      <c r="AF1774" t="s">
        <v>7894</v>
      </c>
      <c r="AG1774" t="s">
        <v>7895</v>
      </c>
      <c r="AH1774" t="s">
        <v>2191</v>
      </c>
      <c r="AI1774" t="s">
        <v>2521</v>
      </c>
      <c r="AJ1774" t="s">
        <v>2569</v>
      </c>
      <c r="AK1774" t="s">
        <v>8</v>
      </c>
      <c r="AL1774" t="s">
        <v>22</v>
      </c>
      <c r="AM1774" t="s">
        <v>10</v>
      </c>
      <c r="AN1774" t="s">
        <v>717</v>
      </c>
    </row>
    <row r="1775" spans="1:40" hidden="1">
      <c r="A1775">
        <v>1773</v>
      </c>
      <c r="B1775">
        <v>25</v>
      </c>
      <c r="C1775" s="58">
        <v>45002</v>
      </c>
      <c r="D1775" t="s">
        <v>7</v>
      </c>
      <c r="E1775" t="s">
        <v>4409</v>
      </c>
      <c r="F1775">
        <v>2</v>
      </c>
      <c r="G1775">
        <v>4</v>
      </c>
      <c r="H1775">
        <v>421</v>
      </c>
      <c r="I1775">
        <v>1</v>
      </c>
      <c r="J1775">
        <v>38.6</v>
      </c>
      <c r="K1775" t="s">
        <v>15</v>
      </c>
      <c r="L1775">
        <v>3572441.97</v>
      </c>
      <c r="M1775">
        <v>0</v>
      </c>
      <c r="N1775">
        <v>3572441.97</v>
      </c>
      <c r="O1775">
        <v>92550.310103626951</v>
      </c>
      <c r="P1775">
        <v>154400</v>
      </c>
      <c r="Q1775">
        <v>3418041.97</v>
      </c>
      <c r="R1775">
        <v>88550.310103626951</v>
      </c>
      <c r="S1775" t="s">
        <v>65</v>
      </c>
      <c r="T1775" t="s">
        <v>717</v>
      </c>
      <c r="U1775" t="s">
        <v>717</v>
      </c>
      <c r="V1775" t="s">
        <v>4131</v>
      </c>
      <c r="W1775">
        <v>44989</v>
      </c>
      <c r="X1775" t="s">
        <v>7896</v>
      </c>
      <c r="Y1775" t="s">
        <v>6</v>
      </c>
      <c r="Z1775" t="s">
        <v>17</v>
      </c>
      <c r="AA1775" t="s">
        <v>6637</v>
      </c>
      <c r="AB1775" t="s">
        <v>2509</v>
      </c>
      <c r="AC1775" t="s">
        <v>2571</v>
      </c>
      <c r="AD1775" t="s">
        <v>717</v>
      </c>
      <c r="AE1775" t="s">
        <v>7897</v>
      </c>
      <c r="AF1775" t="s">
        <v>7898</v>
      </c>
      <c r="AG1775" t="s">
        <v>7899</v>
      </c>
      <c r="AH1775" t="s">
        <v>2496</v>
      </c>
      <c r="AI1775" t="s">
        <v>5056</v>
      </c>
      <c r="AJ1775" t="s">
        <v>6169</v>
      </c>
      <c r="AK1775" t="s">
        <v>77</v>
      </c>
      <c r="AL1775" t="s">
        <v>22</v>
      </c>
      <c r="AM1775" t="s">
        <v>10</v>
      </c>
      <c r="AN1775" t="s">
        <v>717</v>
      </c>
    </row>
    <row r="1776" spans="1:40" hidden="1">
      <c r="A1776">
        <v>1774</v>
      </c>
      <c r="B1776">
        <v>26</v>
      </c>
      <c r="C1776" s="58">
        <v>45002</v>
      </c>
      <c r="D1776" t="s">
        <v>7</v>
      </c>
      <c r="E1776" t="s">
        <v>2581</v>
      </c>
      <c r="F1776">
        <v>4</v>
      </c>
      <c r="G1776">
        <v>4</v>
      </c>
      <c r="H1776">
        <v>258</v>
      </c>
      <c r="I1776">
        <v>2</v>
      </c>
      <c r="J1776">
        <v>58.55</v>
      </c>
      <c r="K1776" t="s">
        <v>25</v>
      </c>
      <c r="L1776">
        <v>5262578.1399999997</v>
      </c>
      <c r="M1776">
        <v>0</v>
      </c>
      <c r="N1776">
        <v>5262578.1399999997</v>
      </c>
      <c r="O1776">
        <v>89881.778650725872</v>
      </c>
      <c r="P1776">
        <v>878250</v>
      </c>
      <c r="Q1776">
        <v>4384328.1399999997</v>
      </c>
      <c r="R1776">
        <v>74881.778650725872</v>
      </c>
      <c r="S1776" t="s">
        <v>130</v>
      </c>
      <c r="T1776" t="s">
        <v>2664</v>
      </c>
      <c r="U1776">
        <v>135597.78</v>
      </c>
      <c r="V1776" t="s">
        <v>717</v>
      </c>
      <c r="W1776">
        <v>44998</v>
      </c>
      <c r="X1776" t="s">
        <v>7900</v>
      </c>
      <c r="Y1776" t="s">
        <v>6</v>
      </c>
      <c r="Z1776" t="s">
        <v>17</v>
      </c>
      <c r="AA1776" t="s">
        <v>6637</v>
      </c>
      <c r="AB1776" t="s">
        <v>2509</v>
      </c>
      <c r="AC1776" t="s">
        <v>717</v>
      </c>
      <c r="AD1776" t="s">
        <v>717</v>
      </c>
      <c r="AE1776" t="s">
        <v>7901</v>
      </c>
      <c r="AF1776" t="s">
        <v>7902</v>
      </c>
      <c r="AG1776" t="s">
        <v>7903</v>
      </c>
      <c r="AH1776" t="s">
        <v>2615</v>
      </c>
      <c r="AI1776" t="s">
        <v>2538</v>
      </c>
      <c r="AJ1776" t="s">
        <v>2793</v>
      </c>
      <c r="AK1776" t="s">
        <v>1233</v>
      </c>
      <c r="AL1776" t="s">
        <v>717</v>
      </c>
      <c r="AM1776" t="s">
        <v>10</v>
      </c>
      <c r="AN1776" t="s">
        <v>717</v>
      </c>
    </row>
    <row r="1777" spans="1:40" hidden="1">
      <c r="A1777">
        <v>1775</v>
      </c>
      <c r="B1777">
        <v>27</v>
      </c>
      <c r="C1777" s="58">
        <v>45005</v>
      </c>
      <c r="D1777" t="s">
        <v>7</v>
      </c>
      <c r="E1777" t="s">
        <v>4409</v>
      </c>
      <c r="F1777">
        <v>7</v>
      </c>
      <c r="G1777">
        <v>4</v>
      </c>
      <c r="H1777">
        <v>426</v>
      </c>
      <c r="I1777">
        <v>2</v>
      </c>
      <c r="J1777">
        <v>67.489999999999995</v>
      </c>
      <c r="K1777" t="s">
        <v>15</v>
      </c>
      <c r="L1777">
        <v>5581199.6100000003</v>
      </c>
      <c r="M1777">
        <v>0</v>
      </c>
      <c r="N1777">
        <v>5581199.6100000003</v>
      </c>
      <c r="O1777">
        <v>82696.690028152327</v>
      </c>
      <c r="P1777">
        <v>269960.00000000186</v>
      </c>
      <c r="Q1777">
        <v>5311239.6099999985</v>
      </c>
      <c r="R1777">
        <v>78696.690028152298</v>
      </c>
      <c r="S1777" t="s">
        <v>65</v>
      </c>
      <c r="T1777" t="s">
        <v>717</v>
      </c>
      <c r="U1777" t="s">
        <v>717</v>
      </c>
      <c r="V1777" t="s">
        <v>6312</v>
      </c>
      <c r="W1777">
        <v>44998</v>
      </c>
      <c r="X1777" t="s">
        <v>7904</v>
      </c>
      <c r="Y1777" t="s">
        <v>6</v>
      </c>
      <c r="Z1777" t="s">
        <v>17</v>
      </c>
      <c r="AA1777" t="s">
        <v>6637</v>
      </c>
      <c r="AB1777" t="s">
        <v>2509</v>
      </c>
      <c r="AC1777" t="s">
        <v>2571</v>
      </c>
      <c r="AD1777" t="s">
        <v>717</v>
      </c>
      <c r="AE1777" t="s">
        <v>7905</v>
      </c>
      <c r="AF1777" t="s">
        <v>7906</v>
      </c>
      <c r="AG1777" t="s">
        <v>7907</v>
      </c>
      <c r="AH1777" t="s">
        <v>2615</v>
      </c>
      <c r="AI1777" t="s">
        <v>2552</v>
      </c>
      <c r="AJ1777" t="s">
        <v>2895</v>
      </c>
      <c r="AK1777" t="s">
        <v>1233</v>
      </c>
      <c r="AL1777" t="s">
        <v>16</v>
      </c>
      <c r="AM1777" t="s">
        <v>10</v>
      </c>
      <c r="AN1777" t="s">
        <v>717</v>
      </c>
    </row>
    <row r="1778" spans="1:40" hidden="1">
      <c r="A1778">
        <v>1776</v>
      </c>
      <c r="B1778">
        <v>28</v>
      </c>
      <c r="C1778" s="58">
        <v>45005</v>
      </c>
      <c r="D1778" t="s">
        <v>7</v>
      </c>
      <c r="E1778" t="s">
        <v>4409</v>
      </c>
      <c r="F1778">
        <v>3</v>
      </c>
      <c r="G1778">
        <v>5</v>
      </c>
      <c r="H1778">
        <v>431</v>
      </c>
      <c r="I1778">
        <v>3</v>
      </c>
      <c r="J1778">
        <v>74.28</v>
      </c>
      <c r="K1778" t="s">
        <v>25</v>
      </c>
      <c r="L1778">
        <v>6344340.6200000001</v>
      </c>
      <c r="M1778">
        <v>0</v>
      </c>
      <c r="N1778">
        <v>6344340.6200000001</v>
      </c>
      <c r="O1778">
        <v>85411.155358104486</v>
      </c>
      <c r="P1778">
        <v>1114199.9999999979</v>
      </c>
      <c r="Q1778">
        <v>5230140.620000002</v>
      </c>
      <c r="R1778">
        <v>70411.155358104501</v>
      </c>
      <c r="S1778" t="s">
        <v>65</v>
      </c>
      <c r="T1778" t="s">
        <v>2664</v>
      </c>
      <c r="U1778">
        <v>161756.92639175337</v>
      </c>
      <c r="V1778" t="s">
        <v>6312</v>
      </c>
      <c r="W1778">
        <v>45000</v>
      </c>
      <c r="X1778" t="s">
        <v>7908</v>
      </c>
      <c r="Y1778" t="s">
        <v>6</v>
      </c>
      <c r="Z1778" t="s">
        <v>17</v>
      </c>
      <c r="AA1778" t="s">
        <v>6637</v>
      </c>
      <c r="AB1778" t="s">
        <v>2509</v>
      </c>
      <c r="AC1778" t="s">
        <v>2571</v>
      </c>
      <c r="AD1778" t="s">
        <v>717</v>
      </c>
      <c r="AE1778" t="s">
        <v>7909</v>
      </c>
      <c r="AF1778" t="s">
        <v>7910</v>
      </c>
      <c r="AG1778" t="s">
        <v>7911</v>
      </c>
      <c r="AH1778" t="s">
        <v>2616</v>
      </c>
      <c r="AI1778" t="s">
        <v>2552</v>
      </c>
      <c r="AJ1778" t="s">
        <v>2642</v>
      </c>
      <c r="AK1778" t="s">
        <v>1233</v>
      </c>
      <c r="AL1778" t="s">
        <v>22</v>
      </c>
      <c r="AM1778" t="s">
        <v>10</v>
      </c>
      <c r="AN1778" t="s">
        <v>717</v>
      </c>
    </row>
    <row r="1779" spans="1:40" hidden="1">
      <c r="A1779">
        <v>1777</v>
      </c>
      <c r="B1779">
        <v>29</v>
      </c>
      <c r="C1779" s="58">
        <v>45005</v>
      </c>
      <c r="D1779" t="s">
        <v>7</v>
      </c>
      <c r="E1779" t="s">
        <v>2506</v>
      </c>
      <c r="F1779">
        <v>3</v>
      </c>
      <c r="G1779">
        <v>16</v>
      </c>
      <c r="H1779">
        <v>235</v>
      </c>
      <c r="I1779">
        <v>1</v>
      </c>
      <c r="J1779">
        <v>35.380000000000003</v>
      </c>
      <c r="K1779" t="s">
        <v>15</v>
      </c>
      <c r="L1779">
        <v>3305144.76</v>
      </c>
      <c r="M1779">
        <v>0</v>
      </c>
      <c r="N1779">
        <v>3305144.76</v>
      </c>
      <c r="O1779">
        <v>93418.449971735434</v>
      </c>
      <c r="P1779">
        <v>141520.00000000093</v>
      </c>
      <c r="Q1779">
        <v>3163624.7599999988</v>
      </c>
      <c r="R1779">
        <v>89418.449971735405</v>
      </c>
      <c r="S1779" t="s">
        <v>65</v>
      </c>
      <c r="T1779" t="s">
        <v>717</v>
      </c>
      <c r="U1779" t="s">
        <v>717</v>
      </c>
      <c r="V1779" t="s">
        <v>4131</v>
      </c>
      <c r="W1779">
        <v>45000</v>
      </c>
      <c r="X1779" t="s">
        <v>7912</v>
      </c>
      <c r="Y1779" t="s">
        <v>6</v>
      </c>
      <c r="Z1779" t="s">
        <v>17</v>
      </c>
      <c r="AA1779" t="s">
        <v>6637</v>
      </c>
      <c r="AB1779" t="s">
        <v>2509</v>
      </c>
      <c r="AC1779" t="s">
        <v>2571</v>
      </c>
      <c r="AD1779" t="s">
        <v>717</v>
      </c>
      <c r="AE1779" t="s">
        <v>7913</v>
      </c>
      <c r="AF1779" t="s">
        <v>7914</v>
      </c>
      <c r="AG1779" t="s">
        <v>7915</v>
      </c>
      <c r="AH1779" t="s">
        <v>2191</v>
      </c>
      <c r="AI1779" t="s">
        <v>2552</v>
      </c>
      <c r="AJ1779" t="s">
        <v>2514</v>
      </c>
      <c r="AK1779" t="s">
        <v>8</v>
      </c>
      <c r="AL1779" t="s">
        <v>22</v>
      </c>
      <c r="AM1779" t="s">
        <v>10</v>
      </c>
      <c r="AN1779" t="s">
        <v>717</v>
      </c>
    </row>
    <row r="1780" spans="1:40" hidden="1">
      <c r="A1780">
        <v>1778</v>
      </c>
      <c r="B1780">
        <v>30</v>
      </c>
      <c r="C1780" s="58">
        <v>45005</v>
      </c>
      <c r="D1780" t="s">
        <v>27</v>
      </c>
      <c r="E1780" t="s">
        <v>2506</v>
      </c>
      <c r="F1780">
        <v>3</v>
      </c>
      <c r="G1780">
        <v>1</v>
      </c>
      <c r="H1780">
        <v>7</v>
      </c>
      <c r="I1780" t="s">
        <v>1368</v>
      </c>
      <c r="J1780">
        <v>134.52000000000001</v>
      </c>
      <c r="K1780" t="s">
        <v>9</v>
      </c>
      <c r="L1780">
        <v>12729400</v>
      </c>
      <c r="M1780">
        <v>50000</v>
      </c>
      <c r="N1780">
        <v>12779400</v>
      </c>
      <c r="O1780">
        <v>95000</v>
      </c>
      <c r="P1780">
        <v>0</v>
      </c>
      <c r="Q1780">
        <v>12779400</v>
      </c>
      <c r="R1780">
        <v>95000</v>
      </c>
      <c r="S1780" t="s">
        <v>130</v>
      </c>
      <c r="T1780" t="s">
        <v>717</v>
      </c>
      <c r="U1780" t="s">
        <v>717</v>
      </c>
      <c r="V1780" t="s">
        <v>717</v>
      </c>
      <c r="W1780">
        <v>45005</v>
      </c>
      <c r="X1780" t="s">
        <v>7916</v>
      </c>
      <c r="Y1780" t="s">
        <v>1368</v>
      </c>
      <c r="Z1780" t="s">
        <v>11</v>
      </c>
      <c r="AA1780" t="s">
        <v>717</v>
      </c>
      <c r="AB1780" t="s">
        <v>2509</v>
      </c>
      <c r="AC1780" t="s">
        <v>717</v>
      </c>
      <c r="AD1780" t="s">
        <v>717</v>
      </c>
      <c r="AE1780" t="s">
        <v>7917</v>
      </c>
      <c r="AF1780" t="s">
        <v>7918</v>
      </c>
      <c r="AG1780" t="s">
        <v>7639</v>
      </c>
      <c r="AH1780" t="s">
        <v>2191</v>
      </c>
      <c r="AI1780" t="s">
        <v>2600</v>
      </c>
      <c r="AJ1780" t="s">
        <v>3921</v>
      </c>
      <c r="AK1780" t="s">
        <v>77</v>
      </c>
      <c r="AL1780" t="s">
        <v>717</v>
      </c>
      <c r="AM1780" t="s">
        <v>10</v>
      </c>
      <c r="AN1780" t="s">
        <v>717</v>
      </c>
    </row>
    <row r="1781" spans="1:40" hidden="1">
      <c r="A1781">
        <v>1779</v>
      </c>
      <c r="B1781">
        <v>31</v>
      </c>
      <c r="C1781" s="58">
        <v>45006</v>
      </c>
      <c r="D1781" t="s">
        <v>7</v>
      </c>
      <c r="E1781" t="s">
        <v>2581</v>
      </c>
      <c r="F1781">
        <v>1</v>
      </c>
      <c r="G1781">
        <v>4</v>
      </c>
      <c r="H1781">
        <v>255</v>
      </c>
      <c r="I1781">
        <v>0</v>
      </c>
      <c r="J1781">
        <v>29.35</v>
      </c>
      <c r="K1781" t="s">
        <v>9</v>
      </c>
      <c r="L1781">
        <v>2446593.9900000002</v>
      </c>
      <c r="M1781">
        <v>0</v>
      </c>
      <c r="N1781">
        <v>2446593.9900000002</v>
      </c>
      <c r="O1781">
        <v>83359.250085178879</v>
      </c>
      <c r="P1781">
        <v>0</v>
      </c>
      <c r="Q1781">
        <v>2446593.9900000002</v>
      </c>
      <c r="R1781">
        <v>83359.250085178879</v>
      </c>
      <c r="S1781" t="s">
        <v>65</v>
      </c>
      <c r="T1781" t="s">
        <v>717</v>
      </c>
      <c r="U1781" t="s">
        <v>717</v>
      </c>
      <c r="V1781" t="s">
        <v>6312</v>
      </c>
      <c r="W1781">
        <v>44998</v>
      </c>
      <c r="X1781" t="s">
        <v>7919</v>
      </c>
      <c r="Y1781" t="s">
        <v>6</v>
      </c>
      <c r="Z1781" t="s">
        <v>17</v>
      </c>
      <c r="AA1781" t="s">
        <v>6637</v>
      </c>
      <c r="AB1781" t="s">
        <v>2509</v>
      </c>
      <c r="AC1781" t="s">
        <v>2571</v>
      </c>
      <c r="AD1781" t="s">
        <v>717</v>
      </c>
      <c r="AE1781" t="s">
        <v>7920</v>
      </c>
      <c r="AF1781" t="s">
        <v>7921</v>
      </c>
      <c r="AG1781" t="s">
        <v>7922</v>
      </c>
      <c r="AH1781" t="s">
        <v>2616</v>
      </c>
      <c r="AI1781" t="s">
        <v>2552</v>
      </c>
      <c r="AJ1781" t="s">
        <v>2895</v>
      </c>
      <c r="AK1781" t="s">
        <v>1233</v>
      </c>
      <c r="AL1781" t="s">
        <v>22</v>
      </c>
      <c r="AM1781" t="s">
        <v>10</v>
      </c>
      <c r="AN1781" t="s">
        <v>717</v>
      </c>
    </row>
    <row r="1782" spans="1:40" hidden="1">
      <c r="A1782">
        <v>1780</v>
      </c>
      <c r="B1782">
        <v>32</v>
      </c>
      <c r="C1782" s="58">
        <v>45006</v>
      </c>
      <c r="D1782" t="s">
        <v>7</v>
      </c>
      <c r="E1782" t="s">
        <v>4409</v>
      </c>
      <c r="F1782">
        <v>4</v>
      </c>
      <c r="G1782">
        <v>5</v>
      </c>
      <c r="H1782">
        <v>432</v>
      </c>
      <c r="I1782">
        <v>1</v>
      </c>
      <c r="J1782">
        <v>36.5</v>
      </c>
      <c r="K1782" t="s">
        <v>15</v>
      </c>
      <c r="L1782">
        <v>3336069.35</v>
      </c>
      <c r="M1782">
        <v>0</v>
      </c>
      <c r="N1782">
        <v>3336069.35</v>
      </c>
      <c r="O1782">
        <v>91399.160273972608</v>
      </c>
      <c r="P1782">
        <v>146000.00000000047</v>
      </c>
      <c r="Q1782">
        <v>3190069.3499999996</v>
      </c>
      <c r="R1782">
        <v>87399.160273972593</v>
      </c>
      <c r="S1782" t="s">
        <v>65</v>
      </c>
      <c r="T1782" t="s">
        <v>5768</v>
      </c>
      <c r="U1782">
        <v>203621.45</v>
      </c>
      <c r="V1782" t="s">
        <v>4131</v>
      </c>
      <c r="W1782">
        <v>45001</v>
      </c>
      <c r="X1782" t="s">
        <v>7923</v>
      </c>
      <c r="Y1782" t="s">
        <v>6</v>
      </c>
      <c r="Z1782" t="s">
        <v>17</v>
      </c>
      <c r="AA1782" t="s">
        <v>6637</v>
      </c>
      <c r="AB1782" t="s">
        <v>2509</v>
      </c>
      <c r="AC1782" t="s">
        <v>2571</v>
      </c>
      <c r="AD1782" t="s">
        <v>717</v>
      </c>
      <c r="AE1782" t="s">
        <v>7924</v>
      </c>
      <c r="AF1782" t="s">
        <v>7925</v>
      </c>
      <c r="AG1782" t="s">
        <v>7926</v>
      </c>
      <c r="AH1782" t="s">
        <v>2615</v>
      </c>
      <c r="AI1782" t="s">
        <v>2697</v>
      </c>
      <c r="AJ1782" t="s">
        <v>2895</v>
      </c>
      <c r="AK1782" t="s">
        <v>73</v>
      </c>
      <c r="AL1782" t="s">
        <v>16</v>
      </c>
      <c r="AM1782" t="s">
        <v>10</v>
      </c>
      <c r="AN1782" t="s">
        <v>717</v>
      </c>
    </row>
    <row r="1783" spans="1:40" hidden="1">
      <c r="A1783">
        <v>1781</v>
      </c>
      <c r="B1783">
        <v>33</v>
      </c>
      <c r="C1783" s="58">
        <v>45006</v>
      </c>
      <c r="D1783" t="s">
        <v>7</v>
      </c>
      <c r="E1783" t="s">
        <v>2515</v>
      </c>
      <c r="F1783">
        <v>1</v>
      </c>
      <c r="G1783">
        <v>15</v>
      </c>
      <c r="H1783">
        <v>105</v>
      </c>
      <c r="I1783">
        <v>1</v>
      </c>
      <c r="J1783">
        <v>33.53</v>
      </c>
      <c r="K1783" t="s">
        <v>25</v>
      </c>
      <c r="L1783">
        <v>3442933.16</v>
      </c>
      <c r="M1783">
        <v>0</v>
      </c>
      <c r="N1783">
        <v>3442933.16</v>
      </c>
      <c r="O1783">
        <v>102682.1699970176</v>
      </c>
      <c r="P1783">
        <v>502950</v>
      </c>
      <c r="Q1783">
        <v>2939983.16</v>
      </c>
      <c r="R1783">
        <v>87682.169997017598</v>
      </c>
      <c r="S1783" t="s">
        <v>65</v>
      </c>
      <c r="T1783" t="s">
        <v>717</v>
      </c>
      <c r="U1783" t="s">
        <v>717</v>
      </c>
      <c r="V1783" t="s">
        <v>6312</v>
      </c>
      <c r="W1783">
        <v>45005</v>
      </c>
      <c r="X1783" t="s">
        <v>7927</v>
      </c>
      <c r="Y1783" t="s">
        <v>6</v>
      </c>
      <c r="Z1783" t="s">
        <v>17</v>
      </c>
      <c r="AA1783" t="s">
        <v>6637</v>
      </c>
      <c r="AB1783" t="s">
        <v>2509</v>
      </c>
      <c r="AC1783" t="s">
        <v>2571</v>
      </c>
      <c r="AD1783" t="s">
        <v>717</v>
      </c>
      <c r="AE1783" t="s">
        <v>7928</v>
      </c>
      <c r="AF1783" t="s">
        <v>7929</v>
      </c>
      <c r="AG1783" t="s">
        <v>7930</v>
      </c>
      <c r="AH1783" t="s">
        <v>2615</v>
      </c>
      <c r="AI1783" t="s">
        <v>2552</v>
      </c>
      <c r="AJ1783" t="s">
        <v>2569</v>
      </c>
      <c r="AK1783" t="s">
        <v>1233</v>
      </c>
      <c r="AL1783" t="s">
        <v>16</v>
      </c>
      <c r="AM1783" t="s">
        <v>10</v>
      </c>
      <c r="AN1783" t="s">
        <v>717</v>
      </c>
    </row>
    <row r="1784" spans="1:40" hidden="1">
      <c r="A1784">
        <v>1782</v>
      </c>
      <c r="B1784">
        <v>34</v>
      </c>
      <c r="C1784" s="58">
        <v>45007</v>
      </c>
      <c r="D1784" t="s">
        <v>7</v>
      </c>
      <c r="E1784" t="s">
        <v>2506</v>
      </c>
      <c r="F1784">
        <v>2</v>
      </c>
      <c r="G1784">
        <v>10</v>
      </c>
      <c r="H1784">
        <v>186</v>
      </c>
      <c r="I1784">
        <v>2</v>
      </c>
      <c r="J1784">
        <v>68.75</v>
      </c>
      <c r="K1784" t="s">
        <v>15</v>
      </c>
      <c r="L1784">
        <v>5824980.4400000004</v>
      </c>
      <c r="M1784">
        <v>15000</v>
      </c>
      <c r="N1784">
        <v>5839980.4400000004</v>
      </c>
      <c r="O1784">
        <v>84945.170036363648</v>
      </c>
      <c r="P1784">
        <v>275000</v>
      </c>
      <c r="Q1784">
        <v>5564980.4400000004</v>
      </c>
      <c r="R1784">
        <v>80945.170036363648</v>
      </c>
      <c r="S1784" t="s">
        <v>65</v>
      </c>
      <c r="T1784" t="s">
        <v>717</v>
      </c>
      <c r="U1784" t="s">
        <v>717</v>
      </c>
      <c r="V1784" t="s">
        <v>6488</v>
      </c>
      <c r="W1784">
        <v>44991</v>
      </c>
      <c r="X1784" t="s">
        <v>7931</v>
      </c>
      <c r="Y1784" t="s">
        <v>6</v>
      </c>
      <c r="Z1784" t="s">
        <v>17</v>
      </c>
      <c r="AA1784" t="s">
        <v>6637</v>
      </c>
      <c r="AB1784" t="s">
        <v>2509</v>
      </c>
      <c r="AC1784" t="s">
        <v>2571</v>
      </c>
      <c r="AD1784" t="s">
        <v>717</v>
      </c>
      <c r="AE1784" t="s">
        <v>7932</v>
      </c>
      <c r="AF1784" t="s">
        <v>7933</v>
      </c>
      <c r="AG1784" t="s">
        <v>7934</v>
      </c>
      <c r="AH1784" t="s">
        <v>2615</v>
      </c>
      <c r="AI1784" t="s">
        <v>2552</v>
      </c>
      <c r="AJ1784" t="s">
        <v>2895</v>
      </c>
      <c r="AK1784" t="s">
        <v>1233</v>
      </c>
      <c r="AL1784" t="s">
        <v>16</v>
      </c>
      <c r="AM1784" t="s">
        <v>10</v>
      </c>
      <c r="AN1784" t="s">
        <v>717</v>
      </c>
    </row>
    <row r="1785" spans="1:40" hidden="1">
      <c r="A1785">
        <v>1783</v>
      </c>
      <c r="B1785">
        <v>35</v>
      </c>
      <c r="C1785" s="58">
        <v>45007</v>
      </c>
      <c r="D1785" t="s">
        <v>7</v>
      </c>
      <c r="E1785" t="s">
        <v>2506</v>
      </c>
      <c r="F1785">
        <v>5</v>
      </c>
      <c r="G1785">
        <v>9</v>
      </c>
      <c r="H1785">
        <v>181</v>
      </c>
      <c r="I1785">
        <v>1</v>
      </c>
      <c r="J1785">
        <v>36.700000000000003</v>
      </c>
      <c r="K1785" t="s">
        <v>15</v>
      </c>
      <c r="L1785">
        <v>3460317.85</v>
      </c>
      <c r="M1785">
        <v>0</v>
      </c>
      <c r="N1785">
        <v>3460317.85</v>
      </c>
      <c r="O1785">
        <v>94286.589918256126</v>
      </c>
      <c r="P1785">
        <v>146800</v>
      </c>
      <c r="Q1785">
        <v>3313517.85</v>
      </c>
      <c r="R1785">
        <v>90286.589918256126</v>
      </c>
      <c r="S1785" t="s">
        <v>65</v>
      </c>
      <c r="T1785" t="s">
        <v>717</v>
      </c>
      <c r="U1785" t="s">
        <v>717</v>
      </c>
      <c r="V1785" t="s">
        <v>4131</v>
      </c>
      <c r="W1785">
        <v>45000</v>
      </c>
      <c r="X1785" t="s">
        <v>7935</v>
      </c>
      <c r="Y1785" t="s">
        <v>6</v>
      </c>
      <c r="Z1785" t="s">
        <v>17</v>
      </c>
      <c r="AA1785" t="s">
        <v>6637</v>
      </c>
      <c r="AB1785" t="s">
        <v>2509</v>
      </c>
      <c r="AC1785" t="s">
        <v>2571</v>
      </c>
      <c r="AD1785" t="s">
        <v>717</v>
      </c>
      <c r="AE1785" t="s">
        <v>7936</v>
      </c>
      <c r="AF1785" t="s">
        <v>7937</v>
      </c>
      <c r="AG1785" t="s">
        <v>7938</v>
      </c>
      <c r="AH1785" t="s">
        <v>2615</v>
      </c>
      <c r="AI1785" t="s">
        <v>2538</v>
      </c>
      <c r="AJ1785" t="s">
        <v>2940</v>
      </c>
      <c r="AK1785" t="s">
        <v>8</v>
      </c>
      <c r="AL1785" t="s">
        <v>22</v>
      </c>
      <c r="AM1785" t="s">
        <v>10</v>
      </c>
      <c r="AN1785" t="s">
        <v>717</v>
      </c>
    </row>
    <row r="1786" spans="1:40" hidden="1">
      <c r="A1786">
        <v>1784</v>
      </c>
      <c r="B1786">
        <v>36</v>
      </c>
      <c r="C1786" s="58">
        <v>45007</v>
      </c>
      <c r="D1786" t="s">
        <v>27</v>
      </c>
      <c r="E1786" t="s">
        <v>2515</v>
      </c>
      <c r="F1786">
        <v>5</v>
      </c>
      <c r="G1786">
        <v>21</v>
      </c>
      <c r="H1786">
        <v>176</v>
      </c>
      <c r="I1786">
        <v>0</v>
      </c>
      <c r="J1786">
        <v>24.47</v>
      </c>
      <c r="K1786" t="s">
        <v>9</v>
      </c>
      <c r="L1786">
        <v>2367180.44</v>
      </c>
      <c r="M1786">
        <v>0</v>
      </c>
      <c r="N1786">
        <v>2367180.44</v>
      </c>
      <c r="O1786">
        <v>96738.064568859831</v>
      </c>
      <c r="P1786">
        <v>0</v>
      </c>
      <c r="Q1786">
        <v>2367180.44</v>
      </c>
      <c r="R1786">
        <v>96738.064568859831</v>
      </c>
      <c r="S1786" t="s">
        <v>65</v>
      </c>
      <c r="T1786" t="s">
        <v>7859</v>
      </c>
      <c r="U1786">
        <v>205841.78</v>
      </c>
      <c r="V1786" t="s">
        <v>6312</v>
      </c>
      <c r="W1786">
        <v>45002</v>
      </c>
      <c r="X1786" t="s">
        <v>7939</v>
      </c>
      <c r="Y1786" t="s">
        <v>6</v>
      </c>
      <c r="Z1786" t="s">
        <v>17</v>
      </c>
      <c r="AA1786" t="s">
        <v>5617</v>
      </c>
      <c r="AB1786" t="s">
        <v>2509</v>
      </c>
      <c r="AC1786" t="s">
        <v>5105</v>
      </c>
      <c r="AD1786" t="s">
        <v>717</v>
      </c>
      <c r="AE1786" t="s">
        <v>7940</v>
      </c>
      <c r="AF1786" t="s">
        <v>7941</v>
      </c>
      <c r="AG1786" t="s">
        <v>7942</v>
      </c>
      <c r="AH1786" t="s">
        <v>2615</v>
      </c>
      <c r="AI1786" t="s">
        <v>2621</v>
      </c>
      <c r="AJ1786" t="s">
        <v>2569</v>
      </c>
      <c r="AK1786" t="s">
        <v>73</v>
      </c>
      <c r="AL1786" t="s">
        <v>16</v>
      </c>
      <c r="AM1786" t="s">
        <v>10</v>
      </c>
      <c r="AN1786" t="s">
        <v>717</v>
      </c>
    </row>
    <row r="1787" spans="1:40" hidden="1">
      <c r="A1787">
        <v>1785</v>
      </c>
      <c r="B1787">
        <v>37</v>
      </c>
      <c r="C1787" s="58">
        <v>45007</v>
      </c>
      <c r="D1787" t="s">
        <v>7</v>
      </c>
      <c r="E1787" t="s">
        <v>4409</v>
      </c>
      <c r="F1787">
        <v>6</v>
      </c>
      <c r="G1787">
        <v>5</v>
      </c>
      <c r="H1787">
        <v>434</v>
      </c>
      <c r="I1787">
        <v>2</v>
      </c>
      <c r="J1787">
        <v>58.62</v>
      </c>
      <c r="K1787" t="s">
        <v>15</v>
      </c>
      <c r="L1787">
        <v>4581432.25</v>
      </c>
      <c r="M1787">
        <v>0</v>
      </c>
      <c r="N1787">
        <v>4581432.25</v>
      </c>
      <c r="O1787">
        <v>78154.76373251449</v>
      </c>
      <c r="P1787">
        <v>234480</v>
      </c>
      <c r="Q1787">
        <v>4346952.25</v>
      </c>
      <c r="R1787">
        <v>74154.76373251449</v>
      </c>
      <c r="S1787" t="s">
        <v>65</v>
      </c>
      <c r="T1787" t="s">
        <v>4059</v>
      </c>
      <c r="U1787">
        <v>134441.82</v>
      </c>
      <c r="V1787" t="s">
        <v>6312</v>
      </c>
      <c r="W1787">
        <v>45002</v>
      </c>
      <c r="X1787" t="s">
        <v>7943</v>
      </c>
      <c r="Y1787" t="s">
        <v>6</v>
      </c>
      <c r="Z1787" t="s">
        <v>17</v>
      </c>
      <c r="AA1787" t="s">
        <v>6637</v>
      </c>
      <c r="AB1787" t="s">
        <v>2509</v>
      </c>
      <c r="AC1787" t="s">
        <v>2571</v>
      </c>
      <c r="AD1787" t="s">
        <v>717</v>
      </c>
      <c r="AE1787" t="s">
        <v>7944</v>
      </c>
      <c r="AF1787" t="s">
        <v>7945</v>
      </c>
      <c r="AG1787" t="s">
        <v>7946</v>
      </c>
      <c r="AH1787" t="s">
        <v>2580</v>
      </c>
      <c r="AI1787" t="s">
        <v>2834</v>
      </c>
      <c r="AJ1787" t="s">
        <v>3921</v>
      </c>
      <c r="AK1787" t="s">
        <v>1233</v>
      </c>
      <c r="AL1787" t="s">
        <v>16</v>
      </c>
      <c r="AM1787" t="s">
        <v>10</v>
      </c>
      <c r="AN1787" t="s">
        <v>717</v>
      </c>
    </row>
    <row r="1788" spans="1:40" hidden="1">
      <c r="A1788">
        <v>1786</v>
      </c>
      <c r="B1788">
        <v>38</v>
      </c>
      <c r="C1788" s="58">
        <v>45007</v>
      </c>
      <c r="D1788" t="s">
        <v>7</v>
      </c>
      <c r="E1788" t="s">
        <v>4409</v>
      </c>
      <c r="F1788">
        <v>6</v>
      </c>
      <c r="G1788">
        <v>7</v>
      </c>
      <c r="H1788">
        <v>452</v>
      </c>
      <c r="I1788">
        <v>2</v>
      </c>
      <c r="J1788">
        <v>58.62</v>
      </c>
      <c r="K1788" t="s">
        <v>15</v>
      </c>
      <c r="L1788">
        <v>4624049.87</v>
      </c>
      <c r="M1788">
        <v>0</v>
      </c>
      <c r="N1788">
        <v>4624049.87</v>
      </c>
      <c r="O1788">
        <v>78881.77874445582</v>
      </c>
      <c r="P1788">
        <v>234480.00000000093</v>
      </c>
      <c r="Q1788">
        <v>4389569.8699999992</v>
      </c>
      <c r="R1788">
        <v>74881.778744455805</v>
      </c>
      <c r="S1788" t="s">
        <v>65</v>
      </c>
      <c r="T1788" t="s">
        <v>4059</v>
      </c>
      <c r="U1788">
        <v>135759.89000000001</v>
      </c>
      <c r="V1788" t="s">
        <v>6312</v>
      </c>
      <c r="W1788">
        <v>45002</v>
      </c>
      <c r="X1788" t="s">
        <v>7947</v>
      </c>
      <c r="Y1788" t="s">
        <v>6</v>
      </c>
      <c r="Z1788" t="s">
        <v>17</v>
      </c>
      <c r="AA1788" t="s">
        <v>6637</v>
      </c>
      <c r="AB1788" t="s">
        <v>2509</v>
      </c>
      <c r="AC1788" t="s">
        <v>2571</v>
      </c>
      <c r="AD1788" t="s">
        <v>717</v>
      </c>
      <c r="AE1788" t="s">
        <v>7948</v>
      </c>
      <c r="AF1788" t="s">
        <v>7949</v>
      </c>
      <c r="AG1788" t="s">
        <v>7950</v>
      </c>
      <c r="AH1788" t="s">
        <v>2580</v>
      </c>
      <c r="AI1788" t="s">
        <v>2834</v>
      </c>
      <c r="AJ1788" t="s">
        <v>3921</v>
      </c>
      <c r="AK1788" t="s">
        <v>1233</v>
      </c>
      <c r="AL1788" t="s">
        <v>16</v>
      </c>
      <c r="AM1788" t="s">
        <v>10</v>
      </c>
      <c r="AN1788" t="s">
        <v>717</v>
      </c>
    </row>
    <row r="1789" spans="1:40" hidden="1">
      <c r="A1789">
        <v>1787</v>
      </c>
      <c r="B1789">
        <v>39</v>
      </c>
      <c r="C1789" s="58">
        <v>45008</v>
      </c>
      <c r="D1789" t="s">
        <v>27</v>
      </c>
      <c r="E1789" t="s">
        <v>2515</v>
      </c>
      <c r="F1789">
        <v>5</v>
      </c>
      <c r="G1789">
        <v>24</v>
      </c>
      <c r="H1789">
        <v>203</v>
      </c>
      <c r="I1789">
        <v>0</v>
      </c>
      <c r="J1789">
        <v>24.47</v>
      </c>
      <c r="K1789" t="s">
        <v>9</v>
      </c>
      <c r="L1789">
        <v>2513022.21</v>
      </c>
      <c r="M1789">
        <v>0</v>
      </c>
      <c r="N1789">
        <v>2513022.21</v>
      </c>
      <c r="O1789">
        <v>102698.087862689</v>
      </c>
      <c r="P1789">
        <v>0</v>
      </c>
      <c r="Q1789">
        <v>2513022.21</v>
      </c>
      <c r="R1789">
        <v>102698.087862689</v>
      </c>
      <c r="S1789" t="s">
        <v>65</v>
      </c>
      <c r="T1789" t="s">
        <v>3268</v>
      </c>
      <c r="U1789">
        <v>60000</v>
      </c>
      <c r="V1789" t="s">
        <v>4131</v>
      </c>
      <c r="W1789">
        <v>45002</v>
      </c>
      <c r="X1789" t="s">
        <v>7951</v>
      </c>
      <c r="Y1789" t="s">
        <v>6</v>
      </c>
      <c r="Z1789" t="s">
        <v>17</v>
      </c>
      <c r="AA1789" t="s">
        <v>6637</v>
      </c>
      <c r="AB1789" t="s">
        <v>2509</v>
      </c>
      <c r="AC1789" t="s">
        <v>2571</v>
      </c>
      <c r="AD1789" t="s">
        <v>717</v>
      </c>
      <c r="AE1789" t="s">
        <v>7952</v>
      </c>
      <c r="AF1789" t="s">
        <v>7953</v>
      </c>
      <c r="AG1789" t="s">
        <v>7954</v>
      </c>
      <c r="AH1789" t="s">
        <v>2191</v>
      </c>
      <c r="AI1789" t="s">
        <v>2538</v>
      </c>
      <c r="AJ1789" t="s">
        <v>2514</v>
      </c>
      <c r="AK1789" t="s">
        <v>77</v>
      </c>
      <c r="AL1789" t="s">
        <v>22</v>
      </c>
      <c r="AM1789" t="s">
        <v>10</v>
      </c>
      <c r="AN1789" t="s">
        <v>717</v>
      </c>
    </row>
    <row r="1790" spans="1:40" hidden="1">
      <c r="A1790">
        <v>1788</v>
      </c>
      <c r="B1790">
        <v>40</v>
      </c>
      <c r="C1790" s="58">
        <v>45009</v>
      </c>
      <c r="D1790" t="s">
        <v>7</v>
      </c>
      <c r="E1790" t="s">
        <v>2506</v>
      </c>
      <c r="F1790">
        <v>4</v>
      </c>
      <c r="G1790">
        <v>10</v>
      </c>
      <c r="H1790">
        <v>188</v>
      </c>
      <c r="I1790">
        <v>1</v>
      </c>
      <c r="J1790">
        <v>37.81</v>
      </c>
      <c r="K1790" t="s">
        <v>15</v>
      </c>
      <c r="L1790">
        <v>3564975.97</v>
      </c>
      <c r="M1790">
        <v>0</v>
      </c>
      <c r="N1790">
        <v>3564975.97</v>
      </c>
      <c r="O1790">
        <v>94286.590055540859</v>
      </c>
      <c r="P1790">
        <v>151240</v>
      </c>
      <c r="Q1790">
        <v>3413735.97</v>
      </c>
      <c r="R1790">
        <v>90286.590055540859</v>
      </c>
      <c r="S1790" t="s">
        <v>65</v>
      </c>
      <c r="T1790" t="s">
        <v>717</v>
      </c>
      <c r="U1790" t="s">
        <v>717</v>
      </c>
      <c r="V1790" t="s">
        <v>4131</v>
      </c>
      <c r="W1790">
        <v>45006</v>
      </c>
      <c r="X1790" t="s">
        <v>7955</v>
      </c>
      <c r="Y1790" t="s">
        <v>6</v>
      </c>
      <c r="Z1790" t="s">
        <v>17</v>
      </c>
      <c r="AA1790" t="s">
        <v>6637</v>
      </c>
      <c r="AB1790" t="s">
        <v>2509</v>
      </c>
      <c r="AC1790" t="s">
        <v>2571</v>
      </c>
      <c r="AD1790" t="s">
        <v>717</v>
      </c>
      <c r="AE1790" t="s">
        <v>7956</v>
      </c>
      <c r="AF1790" t="s">
        <v>7957</v>
      </c>
      <c r="AG1790" t="s">
        <v>7958</v>
      </c>
      <c r="AH1790" t="s">
        <v>2191</v>
      </c>
      <c r="AI1790" t="s">
        <v>2538</v>
      </c>
      <c r="AJ1790" t="s">
        <v>2514</v>
      </c>
      <c r="AK1790" t="s">
        <v>8</v>
      </c>
      <c r="AL1790" t="s">
        <v>22</v>
      </c>
      <c r="AM1790" t="s">
        <v>10</v>
      </c>
      <c r="AN1790" t="s">
        <v>717</v>
      </c>
    </row>
    <row r="1791" spans="1:40" hidden="1">
      <c r="A1791">
        <v>1790</v>
      </c>
      <c r="B1791">
        <v>42</v>
      </c>
      <c r="C1791" s="58">
        <v>45015</v>
      </c>
      <c r="D1791" t="s">
        <v>27</v>
      </c>
      <c r="E1791" t="s">
        <v>2515</v>
      </c>
      <c r="F1791">
        <v>5</v>
      </c>
      <c r="G1791">
        <v>23</v>
      </c>
      <c r="H1791">
        <v>194</v>
      </c>
      <c r="I1791">
        <v>0</v>
      </c>
      <c r="J1791">
        <v>24.47</v>
      </c>
      <c r="K1791" t="s">
        <v>9</v>
      </c>
      <c r="L1791">
        <v>2573022.21</v>
      </c>
      <c r="M1791">
        <v>0</v>
      </c>
      <c r="N1791">
        <v>2573022.21</v>
      </c>
      <c r="O1791">
        <v>105150.06988148754</v>
      </c>
      <c r="P1791">
        <v>0</v>
      </c>
      <c r="Q1791">
        <v>2573022.21</v>
      </c>
      <c r="R1791">
        <v>105150.06988148754</v>
      </c>
      <c r="S1791" t="s">
        <v>65</v>
      </c>
      <c r="T1791" t="s">
        <v>717</v>
      </c>
      <c r="U1791" t="s">
        <v>717</v>
      </c>
      <c r="V1791" t="s">
        <v>6312</v>
      </c>
      <c r="W1791">
        <v>45005</v>
      </c>
      <c r="X1791" t="s">
        <v>7959</v>
      </c>
      <c r="Y1791" t="s">
        <v>6</v>
      </c>
      <c r="Z1791" t="s">
        <v>17</v>
      </c>
      <c r="AA1791" t="s">
        <v>6637</v>
      </c>
      <c r="AB1791" t="s">
        <v>2509</v>
      </c>
      <c r="AC1791" t="s">
        <v>2571</v>
      </c>
      <c r="AD1791" t="s">
        <v>717</v>
      </c>
      <c r="AE1791" t="s">
        <v>7960</v>
      </c>
      <c r="AF1791" t="s">
        <v>7961</v>
      </c>
      <c r="AG1791" t="s">
        <v>7962</v>
      </c>
      <c r="AH1791" t="s">
        <v>2191</v>
      </c>
      <c r="AI1791" t="s">
        <v>2552</v>
      </c>
      <c r="AJ1791" t="s">
        <v>2514</v>
      </c>
      <c r="AK1791" t="s">
        <v>77</v>
      </c>
      <c r="AL1791" t="s">
        <v>22</v>
      </c>
      <c r="AM1791" t="s">
        <v>10</v>
      </c>
      <c r="AN1791" t="s">
        <v>717</v>
      </c>
    </row>
    <row r="1792" spans="1:40" hidden="1">
      <c r="A1792">
        <v>1791</v>
      </c>
      <c r="B1792">
        <v>43</v>
      </c>
      <c r="C1792" s="58">
        <v>45015</v>
      </c>
      <c r="D1792" t="s">
        <v>27</v>
      </c>
      <c r="E1792" t="s">
        <v>5456</v>
      </c>
      <c r="F1792">
        <v>8</v>
      </c>
      <c r="G1792">
        <v>10</v>
      </c>
      <c r="H1792">
        <v>910</v>
      </c>
      <c r="I1792">
        <v>0</v>
      </c>
      <c r="J1792">
        <v>23.09</v>
      </c>
      <c r="K1792" t="s">
        <v>9</v>
      </c>
      <c r="L1792">
        <v>2317170.17</v>
      </c>
      <c r="M1792">
        <v>0</v>
      </c>
      <c r="N1792">
        <v>2317170.17</v>
      </c>
      <c r="O1792">
        <v>100353.84019055868</v>
      </c>
      <c r="P1792">
        <v>0</v>
      </c>
      <c r="Q1792">
        <v>2317170.17</v>
      </c>
      <c r="R1792">
        <v>100353.84019055868</v>
      </c>
      <c r="S1792" t="s">
        <v>65</v>
      </c>
      <c r="T1792" t="s">
        <v>717</v>
      </c>
      <c r="U1792" t="s">
        <v>717</v>
      </c>
      <c r="V1792" t="s">
        <v>6312</v>
      </c>
      <c r="W1792">
        <v>45010</v>
      </c>
      <c r="X1792" t="s">
        <v>7963</v>
      </c>
      <c r="Y1792" t="s">
        <v>6</v>
      </c>
      <c r="Z1792" t="s">
        <v>17</v>
      </c>
      <c r="AA1792" t="s">
        <v>6637</v>
      </c>
      <c r="AB1792" t="s">
        <v>2509</v>
      </c>
      <c r="AC1792" t="s">
        <v>2571</v>
      </c>
      <c r="AD1792" t="s">
        <v>717</v>
      </c>
      <c r="AE1792" t="s">
        <v>7964</v>
      </c>
      <c r="AF1792" t="s">
        <v>7965</v>
      </c>
      <c r="AG1792" t="s">
        <v>7966</v>
      </c>
      <c r="AH1792" t="s">
        <v>2580</v>
      </c>
      <c r="AI1792" t="s">
        <v>2621</v>
      </c>
      <c r="AJ1792" t="s">
        <v>3921</v>
      </c>
      <c r="AK1792" t="s">
        <v>73</v>
      </c>
      <c r="AL1792" t="s">
        <v>22</v>
      </c>
      <c r="AM1792" t="s">
        <v>10</v>
      </c>
      <c r="AN1792" t="s">
        <v>717</v>
      </c>
    </row>
    <row r="1793" spans="1:40" hidden="1">
      <c r="A1793">
        <v>1792</v>
      </c>
      <c r="B1793">
        <v>44</v>
      </c>
      <c r="C1793" s="58">
        <v>45016</v>
      </c>
      <c r="D1793" t="s">
        <v>27</v>
      </c>
      <c r="E1793" t="s">
        <v>2506</v>
      </c>
      <c r="F1793">
        <v>3</v>
      </c>
      <c r="G1793">
        <v>20</v>
      </c>
      <c r="H1793">
        <v>354</v>
      </c>
      <c r="I1793">
        <v>0</v>
      </c>
      <c r="J1793">
        <v>23.54</v>
      </c>
      <c r="K1793" t="s">
        <v>15</v>
      </c>
      <c r="L1793">
        <v>2586783.5299999998</v>
      </c>
      <c r="M1793">
        <v>0</v>
      </c>
      <c r="N1793">
        <v>2586783.5299999998</v>
      </c>
      <c r="O1793">
        <v>109888.85004248087</v>
      </c>
      <c r="P1793">
        <v>94160</v>
      </c>
      <c r="Q1793">
        <v>2492623.5299999998</v>
      </c>
      <c r="R1793">
        <v>105888.85004248087</v>
      </c>
      <c r="S1793" t="s">
        <v>65</v>
      </c>
      <c r="T1793" t="s">
        <v>717</v>
      </c>
      <c r="U1793" t="s">
        <v>717</v>
      </c>
      <c r="V1793" t="s">
        <v>4131</v>
      </c>
      <c r="W1793">
        <v>45005</v>
      </c>
      <c r="X1793" t="s">
        <v>7967</v>
      </c>
      <c r="Y1793" t="s">
        <v>6</v>
      </c>
      <c r="Z1793" t="s">
        <v>17</v>
      </c>
      <c r="AA1793" t="s">
        <v>6637</v>
      </c>
      <c r="AB1793" t="s">
        <v>2509</v>
      </c>
      <c r="AC1793" t="s">
        <v>2571</v>
      </c>
      <c r="AD1793" t="s">
        <v>717</v>
      </c>
      <c r="AE1793" t="s">
        <v>7968</v>
      </c>
      <c r="AF1793" t="s">
        <v>7969</v>
      </c>
      <c r="AG1793" t="s">
        <v>7970</v>
      </c>
      <c r="AH1793" t="s">
        <v>2615</v>
      </c>
      <c r="AI1793" t="s">
        <v>5056</v>
      </c>
      <c r="AJ1793" t="s">
        <v>6169</v>
      </c>
      <c r="AK1793" t="s">
        <v>8</v>
      </c>
      <c r="AL1793" t="s">
        <v>16</v>
      </c>
      <c r="AM1793" t="s">
        <v>10</v>
      </c>
      <c r="AN1793" t="s">
        <v>717</v>
      </c>
    </row>
    <row r="1794" spans="1:40" hidden="1">
      <c r="A1794">
        <v>1793</v>
      </c>
      <c r="B1794">
        <v>45</v>
      </c>
      <c r="C1794" s="58">
        <v>45016</v>
      </c>
      <c r="D1794" t="s">
        <v>7</v>
      </c>
      <c r="E1794" t="s">
        <v>2506</v>
      </c>
      <c r="F1794">
        <v>7</v>
      </c>
      <c r="G1794">
        <v>6</v>
      </c>
      <c r="H1794">
        <v>159</v>
      </c>
      <c r="I1794">
        <v>3</v>
      </c>
      <c r="J1794">
        <v>78.73</v>
      </c>
      <c r="K1794" t="s">
        <v>25</v>
      </c>
      <c r="L1794">
        <v>6758817.2800000003</v>
      </c>
      <c r="M1794">
        <v>0</v>
      </c>
      <c r="N1794">
        <v>6758817.2800000003</v>
      </c>
      <c r="O1794">
        <v>85848.053854947284</v>
      </c>
      <c r="P1794">
        <v>1180949.9999999993</v>
      </c>
      <c r="Q1794">
        <v>5577867.2800000012</v>
      </c>
      <c r="R1794">
        <v>70848.053854947299</v>
      </c>
      <c r="S1794" t="s">
        <v>65</v>
      </c>
      <c r="T1794" t="s">
        <v>5768</v>
      </c>
      <c r="U1794">
        <v>356034.08</v>
      </c>
      <c r="V1794" t="s">
        <v>6312</v>
      </c>
      <c r="W1794">
        <v>45012</v>
      </c>
      <c r="X1794" t="s">
        <v>7971</v>
      </c>
      <c r="Y1794" t="s">
        <v>6</v>
      </c>
      <c r="Z1794" t="s">
        <v>17</v>
      </c>
      <c r="AA1794" t="s">
        <v>6637</v>
      </c>
      <c r="AB1794" t="s">
        <v>2509</v>
      </c>
      <c r="AC1794" t="s">
        <v>2571</v>
      </c>
      <c r="AD1794" t="s">
        <v>717</v>
      </c>
      <c r="AE1794" t="s">
        <v>7972</v>
      </c>
      <c r="AF1794" t="s">
        <v>7973</v>
      </c>
      <c r="AG1794" t="s">
        <v>7974</v>
      </c>
      <c r="AH1794" t="s">
        <v>2191</v>
      </c>
      <c r="AI1794" t="s">
        <v>7975</v>
      </c>
      <c r="AJ1794" t="s">
        <v>2514</v>
      </c>
      <c r="AK1794" t="s">
        <v>8</v>
      </c>
      <c r="AL1794" t="s">
        <v>22</v>
      </c>
      <c r="AM1794" t="s">
        <v>10</v>
      </c>
      <c r="AN1794" t="s">
        <v>717</v>
      </c>
    </row>
    <row r="1795" spans="1:40" hidden="1">
      <c r="A1795">
        <v>1794</v>
      </c>
      <c r="B1795">
        <v>46</v>
      </c>
      <c r="C1795" s="58">
        <v>45016</v>
      </c>
      <c r="D1795" t="s">
        <v>7</v>
      </c>
      <c r="E1795" t="s">
        <v>2506</v>
      </c>
      <c r="F1795">
        <v>8</v>
      </c>
      <c r="G1795">
        <v>4</v>
      </c>
      <c r="H1795">
        <v>144</v>
      </c>
      <c r="I1795">
        <v>1</v>
      </c>
      <c r="J1795">
        <v>33.79</v>
      </c>
      <c r="K1795" t="s">
        <v>15</v>
      </c>
      <c r="L1795">
        <v>2920173.69</v>
      </c>
      <c r="M1795">
        <v>0</v>
      </c>
      <c r="N1795">
        <v>2920173.69</v>
      </c>
      <c r="O1795">
        <v>86421.239715892283</v>
      </c>
      <c r="P1795">
        <v>135160</v>
      </c>
      <c r="Q1795">
        <v>2785013.69</v>
      </c>
      <c r="R1795">
        <v>82421.239715892283</v>
      </c>
      <c r="S1795" t="s">
        <v>2507</v>
      </c>
      <c r="T1795" t="s">
        <v>5768</v>
      </c>
      <c r="U1795">
        <v>177766.83</v>
      </c>
      <c r="V1795" t="s">
        <v>717</v>
      </c>
      <c r="W1795">
        <v>45013</v>
      </c>
      <c r="X1795" t="s">
        <v>7976</v>
      </c>
      <c r="Y1795" t="s">
        <v>6</v>
      </c>
      <c r="Z1795" t="s">
        <v>17</v>
      </c>
      <c r="AA1795" t="s">
        <v>6637</v>
      </c>
      <c r="AB1795" t="s">
        <v>2509</v>
      </c>
      <c r="AC1795" t="s">
        <v>717</v>
      </c>
      <c r="AD1795" t="s">
        <v>717</v>
      </c>
      <c r="AE1795" t="s">
        <v>7977</v>
      </c>
      <c r="AF1795" t="s">
        <v>7978</v>
      </c>
      <c r="AG1795" t="s">
        <v>7979</v>
      </c>
      <c r="AH1795" t="s">
        <v>2615</v>
      </c>
      <c r="AI1795" t="s">
        <v>2656</v>
      </c>
      <c r="AJ1795" t="s">
        <v>2569</v>
      </c>
      <c r="AK1795" t="s">
        <v>8</v>
      </c>
      <c r="AL1795" t="s">
        <v>717</v>
      </c>
      <c r="AM1795" t="s">
        <v>10</v>
      </c>
      <c r="AN1795" t="s">
        <v>717</v>
      </c>
    </row>
    <row r="1796" spans="1:40" hidden="1">
      <c r="A1796">
        <v>1795</v>
      </c>
      <c r="B1796">
        <v>1</v>
      </c>
      <c r="C1796" s="58">
        <v>45017</v>
      </c>
      <c r="D1796" t="s">
        <v>7</v>
      </c>
      <c r="E1796" t="s">
        <v>4409</v>
      </c>
      <c r="F1796">
        <v>5</v>
      </c>
      <c r="G1796">
        <v>6</v>
      </c>
      <c r="H1796">
        <v>442</v>
      </c>
      <c r="I1796">
        <v>2</v>
      </c>
      <c r="J1796">
        <v>56.04</v>
      </c>
      <c r="K1796" t="s">
        <v>15</v>
      </c>
      <c r="L1796">
        <v>4508317.6900000004</v>
      </c>
      <c r="M1796">
        <v>0</v>
      </c>
      <c r="N1796">
        <v>4508317.6900000004</v>
      </c>
      <c r="O1796">
        <v>80448.210028551039</v>
      </c>
      <c r="P1796">
        <v>224160</v>
      </c>
      <c r="Q1796">
        <v>4284157.6900000004</v>
      </c>
      <c r="R1796">
        <v>76448.210028551039</v>
      </c>
      <c r="S1796" t="s">
        <v>65</v>
      </c>
      <c r="T1796" t="s">
        <v>717</v>
      </c>
      <c r="U1796" t="s">
        <v>717</v>
      </c>
      <c r="V1796" t="s">
        <v>4131</v>
      </c>
      <c r="W1796">
        <v>45006</v>
      </c>
      <c r="X1796" t="s">
        <v>7980</v>
      </c>
      <c r="Y1796" t="s">
        <v>6</v>
      </c>
      <c r="Z1796" t="s">
        <v>17</v>
      </c>
      <c r="AA1796" t="s">
        <v>6637</v>
      </c>
      <c r="AB1796" t="s">
        <v>2509</v>
      </c>
      <c r="AC1796" t="s">
        <v>2571</v>
      </c>
      <c r="AD1796" t="s">
        <v>717</v>
      </c>
      <c r="AE1796" t="s">
        <v>7981</v>
      </c>
      <c r="AF1796" t="s">
        <v>7982</v>
      </c>
      <c r="AG1796" t="s">
        <v>7983</v>
      </c>
      <c r="AH1796" t="s">
        <v>2615</v>
      </c>
      <c r="AI1796" t="s">
        <v>2847</v>
      </c>
      <c r="AJ1796" t="s">
        <v>2825</v>
      </c>
      <c r="AK1796" t="s">
        <v>1233</v>
      </c>
      <c r="AL1796" t="s">
        <v>22</v>
      </c>
      <c r="AM1796" t="s">
        <v>10</v>
      </c>
      <c r="AN1796" t="s">
        <v>717</v>
      </c>
    </row>
    <row r="1797" spans="1:40" hidden="1">
      <c r="A1797">
        <v>1796</v>
      </c>
      <c r="B1797">
        <v>2</v>
      </c>
      <c r="C1797" s="58">
        <v>45019</v>
      </c>
      <c r="D1797" t="s">
        <v>7</v>
      </c>
      <c r="E1797" t="s">
        <v>2506</v>
      </c>
      <c r="F1797">
        <v>5</v>
      </c>
      <c r="G1797">
        <v>12</v>
      </c>
      <c r="H1797">
        <v>205</v>
      </c>
      <c r="I1797">
        <v>1</v>
      </c>
      <c r="J1797">
        <v>36.700000000000003</v>
      </c>
      <c r="K1797" t="s">
        <v>15</v>
      </c>
      <c r="L1797">
        <v>3460317.85</v>
      </c>
      <c r="M1797">
        <v>0</v>
      </c>
      <c r="N1797">
        <v>3460317.85</v>
      </c>
      <c r="O1797">
        <v>94286.589918256126</v>
      </c>
      <c r="P1797">
        <v>146800</v>
      </c>
      <c r="Q1797">
        <v>3313517.85</v>
      </c>
      <c r="R1797">
        <v>90286.589918256126</v>
      </c>
      <c r="S1797" t="s">
        <v>65</v>
      </c>
      <c r="T1797" t="s">
        <v>717</v>
      </c>
      <c r="U1797" t="s">
        <v>717</v>
      </c>
      <c r="V1797" t="s">
        <v>4131</v>
      </c>
      <c r="W1797">
        <v>45007</v>
      </c>
      <c r="X1797" t="s">
        <v>7984</v>
      </c>
      <c r="Y1797" t="s">
        <v>6</v>
      </c>
      <c r="Z1797" t="s">
        <v>17</v>
      </c>
      <c r="AA1797" t="s">
        <v>6637</v>
      </c>
      <c r="AB1797" t="s">
        <v>2509</v>
      </c>
      <c r="AC1797" t="s">
        <v>2571</v>
      </c>
      <c r="AD1797" t="s">
        <v>717</v>
      </c>
      <c r="AE1797" t="s">
        <v>7985</v>
      </c>
      <c r="AF1797" t="s">
        <v>7986</v>
      </c>
      <c r="AG1797" t="s">
        <v>7987</v>
      </c>
      <c r="AH1797" t="s">
        <v>2616</v>
      </c>
      <c r="AI1797" t="s">
        <v>2552</v>
      </c>
      <c r="AJ1797" t="s">
        <v>2895</v>
      </c>
      <c r="AK1797" t="s">
        <v>1233</v>
      </c>
      <c r="AL1797" t="s">
        <v>16</v>
      </c>
      <c r="AM1797" t="s">
        <v>10</v>
      </c>
      <c r="AN1797" t="s">
        <v>717</v>
      </c>
    </row>
    <row r="1798" spans="1:40" hidden="1">
      <c r="A1798">
        <v>1797</v>
      </c>
      <c r="B1798">
        <v>3</v>
      </c>
      <c r="C1798" s="58">
        <v>45019</v>
      </c>
      <c r="D1798" t="s">
        <v>7</v>
      </c>
      <c r="E1798" t="s">
        <v>2506</v>
      </c>
      <c r="F1798">
        <v>7</v>
      </c>
      <c r="G1798">
        <v>12</v>
      </c>
      <c r="H1798">
        <v>207</v>
      </c>
      <c r="I1798">
        <v>3</v>
      </c>
      <c r="J1798">
        <v>78.73</v>
      </c>
      <c r="K1798" t="s">
        <v>15</v>
      </c>
      <c r="L1798">
        <v>6003948.6500000004</v>
      </c>
      <c r="M1798">
        <v>15000</v>
      </c>
      <c r="N1798">
        <v>6018948.6500000004</v>
      </c>
      <c r="O1798">
        <v>76450.509970786239</v>
      </c>
      <c r="P1798">
        <v>314920.00000000279</v>
      </c>
      <c r="Q1798">
        <v>5704028.6499999976</v>
      </c>
      <c r="R1798">
        <v>72450.509970786195</v>
      </c>
      <c r="S1798" t="s">
        <v>65</v>
      </c>
      <c r="T1798" t="s">
        <v>717</v>
      </c>
      <c r="U1798" t="s">
        <v>717</v>
      </c>
      <c r="V1798" t="s">
        <v>6312</v>
      </c>
      <c r="W1798">
        <v>45014</v>
      </c>
      <c r="X1798" t="s">
        <v>7988</v>
      </c>
      <c r="Y1798" t="s">
        <v>6</v>
      </c>
      <c r="Z1798" t="s">
        <v>17</v>
      </c>
      <c r="AA1798" t="s">
        <v>6637</v>
      </c>
      <c r="AB1798" t="s">
        <v>2509</v>
      </c>
      <c r="AC1798" t="s">
        <v>2571</v>
      </c>
      <c r="AD1798" t="s">
        <v>717</v>
      </c>
      <c r="AE1798" t="s">
        <v>7989</v>
      </c>
      <c r="AF1798" t="s">
        <v>7990</v>
      </c>
      <c r="AG1798" t="s">
        <v>7991</v>
      </c>
      <c r="AH1798" t="s">
        <v>2552</v>
      </c>
      <c r="AI1798" t="s">
        <v>2877</v>
      </c>
      <c r="AJ1798" t="s">
        <v>2657</v>
      </c>
      <c r="AK1798" t="s">
        <v>1233</v>
      </c>
      <c r="AL1798" t="s">
        <v>16</v>
      </c>
      <c r="AM1798" t="s">
        <v>10</v>
      </c>
      <c r="AN1798" t="s">
        <v>6708</v>
      </c>
    </row>
    <row r="1799" spans="1:40" hidden="1">
      <c r="A1799">
        <v>1798</v>
      </c>
      <c r="B1799">
        <v>4</v>
      </c>
      <c r="C1799" s="58">
        <v>45020</v>
      </c>
      <c r="D1799" t="s">
        <v>27</v>
      </c>
      <c r="E1799" t="s">
        <v>2581</v>
      </c>
      <c r="F1799">
        <v>1</v>
      </c>
      <c r="G1799">
        <v>1</v>
      </c>
      <c r="H1799">
        <v>8</v>
      </c>
      <c r="I1799" t="s">
        <v>1368</v>
      </c>
      <c r="J1799">
        <v>78.95</v>
      </c>
      <c r="K1799" t="s">
        <v>9</v>
      </c>
      <c r="L1799">
        <v>7795000</v>
      </c>
      <c r="M1799">
        <v>100000</v>
      </c>
      <c r="N1799">
        <v>7895000</v>
      </c>
      <c r="O1799">
        <v>100000</v>
      </c>
      <c r="P1799">
        <v>0</v>
      </c>
      <c r="Q1799">
        <v>7895000</v>
      </c>
      <c r="R1799">
        <v>100000</v>
      </c>
      <c r="S1799" t="s">
        <v>130</v>
      </c>
      <c r="T1799" t="s">
        <v>717</v>
      </c>
      <c r="U1799" t="s">
        <v>717</v>
      </c>
      <c r="V1799" t="s">
        <v>717</v>
      </c>
      <c r="W1799">
        <v>44988</v>
      </c>
      <c r="X1799" t="s">
        <v>7992</v>
      </c>
      <c r="Y1799" t="s">
        <v>2517</v>
      </c>
      <c r="Z1799" t="s">
        <v>11</v>
      </c>
      <c r="AA1799" t="s">
        <v>717</v>
      </c>
      <c r="AB1799" t="s">
        <v>2509</v>
      </c>
      <c r="AC1799" t="s">
        <v>717</v>
      </c>
      <c r="AD1799">
        <v>45093</v>
      </c>
      <c r="AE1799" t="s">
        <v>7777</v>
      </c>
      <c r="AF1799" t="s">
        <v>7993</v>
      </c>
      <c r="AG1799" t="s">
        <v>717</v>
      </c>
      <c r="AH1799" t="s">
        <v>2580</v>
      </c>
      <c r="AI1799" t="s">
        <v>2847</v>
      </c>
      <c r="AJ1799" t="s">
        <v>3921</v>
      </c>
      <c r="AK1799" t="s">
        <v>73</v>
      </c>
      <c r="AL1799" t="s">
        <v>717</v>
      </c>
      <c r="AM1799" t="s">
        <v>10</v>
      </c>
      <c r="AN1799" t="s">
        <v>717</v>
      </c>
    </row>
    <row r="1800" spans="1:40" hidden="1">
      <c r="A1800">
        <v>1799</v>
      </c>
      <c r="B1800">
        <v>5</v>
      </c>
      <c r="C1800" s="58">
        <v>45020</v>
      </c>
      <c r="D1800" t="s">
        <v>7</v>
      </c>
      <c r="E1800" t="s">
        <v>2515</v>
      </c>
      <c r="F1800">
        <v>7</v>
      </c>
      <c r="G1800">
        <v>5</v>
      </c>
      <c r="H1800">
        <v>31</v>
      </c>
      <c r="I1800">
        <v>0</v>
      </c>
      <c r="J1800">
        <v>21.75</v>
      </c>
      <c r="K1800" t="s">
        <v>25</v>
      </c>
      <c r="L1800">
        <v>2320620.17</v>
      </c>
      <c r="M1800">
        <v>0</v>
      </c>
      <c r="N1800">
        <v>2320620.17</v>
      </c>
      <c r="O1800">
        <v>106695.18022988504</v>
      </c>
      <c r="P1800">
        <v>326250</v>
      </c>
      <c r="Q1800">
        <v>1994370.17</v>
      </c>
      <c r="R1800">
        <v>91695.180229885053</v>
      </c>
      <c r="S1800" t="s">
        <v>130</v>
      </c>
      <c r="T1800" t="s">
        <v>717</v>
      </c>
      <c r="U1800" t="s">
        <v>717</v>
      </c>
      <c r="V1800" t="s">
        <v>717</v>
      </c>
      <c r="W1800">
        <v>45006</v>
      </c>
      <c r="X1800" t="s">
        <v>7994</v>
      </c>
      <c r="Y1800" t="s">
        <v>6</v>
      </c>
      <c r="Z1800" t="s">
        <v>17</v>
      </c>
      <c r="AA1800" t="s">
        <v>6637</v>
      </c>
      <c r="AB1800" t="s">
        <v>2509</v>
      </c>
      <c r="AC1800" t="s">
        <v>717</v>
      </c>
      <c r="AD1800" t="s">
        <v>717</v>
      </c>
      <c r="AE1800" t="s">
        <v>7995</v>
      </c>
      <c r="AF1800" t="s">
        <v>7996</v>
      </c>
      <c r="AG1800" t="s">
        <v>7997</v>
      </c>
      <c r="AH1800" t="s">
        <v>2615</v>
      </c>
      <c r="AI1800" t="s">
        <v>2552</v>
      </c>
      <c r="AJ1800" t="s">
        <v>2642</v>
      </c>
      <c r="AK1800" t="s">
        <v>1233</v>
      </c>
      <c r="AL1800" t="s">
        <v>717</v>
      </c>
      <c r="AM1800" t="s">
        <v>10</v>
      </c>
      <c r="AN1800" t="s">
        <v>717</v>
      </c>
    </row>
    <row r="1801" spans="1:40" hidden="1">
      <c r="A1801">
        <v>1800</v>
      </c>
      <c r="B1801">
        <v>6</v>
      </c>
      <c r="C1801" s="58">
        <v>45020</v>
      </c>
      <c r="D1801" t="s">
        <v>7</v>
      </c>
      <c r="E1801" t="s">
        <v>4409</v>
      </c>
      <c r="F1801">
        <v>5</v>
      </c>
      <c r="G1801">
        <v>2</v>
      </c>
      <c r="H1801">
        <v>406</v>
      </c>
      <c r="I1801">
        <v>2</v>
      </c>
      <c r="J1801">
        <v>56.04</v>
      </c>
      <c r="K1801" t="s">
        <v>15</v>
      </c>
      <c r="L1801">
        <v>4251663.3099999996</v>
      </c>
      <c r="M1801">
        <v>0</v>
      </c>
      <c r="N1801">
        <v>4251663.3099999996</v>
      </c>
      <c r="O1801">
        <v>75868.367416131325</v>
      </c>
      <c r="P1801">
        <v>224160</v>
      </c>
      <c r="Q1801">
        <v>4027503.31</v>
      </c>
      <c r="R1801">
        <v>71868.367416131325</v>
      </c>
      <c r="S1801" t="s">
        <v>65</v>
      </c>
      <c r="T1801" t="s">
        <v>5768</v>
      </c>
      <c r="U1801">
        <v>257074.68</v>
      </c>
      <c r="V1801" t="s">
        <v>4131</v>
      </c>
      <c r="W1801">
        <v>45012</v>
      </c>
      <c r="X1801" t="s">
        <v>7998</v>
      </c>
      <c r="Y1801" t="s">
        <v>6</v>
      </c>
      <c r="Z1801" t="s">
        <v>17</v>
      </c>
      <c r="AA1801" t="s">
        <v>6637</v>
      </c>
      <c r="AB1801" t="s">
        <v>2509</v>
      </c>
      <c r="AC1801" t="s">
        <v>2571</v>
      </c>
      <c r="AD1801" t="s">
        <v>717</v>
      </c>
      <c r="AE1801" t="s">
        <v>7999</v>
      </c>
      <c r="AF1801" t="s">
        <v>8000</v>
      </c>
      <c r="AG1801" t="s">
        <v>8001</v>
      </c>
      <c r="AH1801" t="s">
        <v>2615</v>
      </c>
      <c r="AI1801" t="s">
        <v>3120</v>
      </c>
      <c r="AJ1801" t="s">
        <v>2514</v>
      </c>
      <c r="AK1801" t="s">
        <v>73</v>
      </c>
      <c r="AL1801" t="s">
        <v>22</v>
      </c>
      <c r="AM1801" t="s">
        <v>10</v>
      </c>
      <c r="AN1801" t="s">
        <v>717</v>
      </c>
    </row>
    <row r="1802" spans="1:40" hidden="1">
      <c r="A1802">
        <v>1801</v>
      </c>
      <c r="B1802">
        <v>7</v>
      </c>
      <c r="C1802" s="58">
        <v>45020</v>
      </c>
      <c r="D1802" t="s">
        <v>7</v>
      </c>
      <c r="E1802" t="s">
        <v>2581</v>
      </c>
      <c r="F1802">
        <v>5</v>
      </c>
      <c r="G1802">
        <v>21</v>
      </c>
      <c r="H1802">
        <v>378</v>
      </c>
      <c r="I1802">
        <v>2</v>
      </c>
      <c r="J1802">
        <v>56.7</v>
      </c>
      <c r="K1802" t="s">
        <v>25</v>
      </c>
      <c r="L1802">
        <v>5473237.7999999998</v>
      </c>
      <c r="M1802">
        <v>0</v>
      </c>
      <c r="N1802">
        <v>5473237.7999999998</v>
      </c>
      <c r="O1802">
        <v>96529.767195767185</v>
      </c>
      <c r="P1802">
        <v>850500</v>
      </c>
      <c r="Q1802">
        <v>4622737.8</v>
      </c>
      <c r="R1802">
        <v>81529.767195767185</v>
      </c>
      <c r="S1802" t="s">
        <v>130</v>
      </c>
      <c r="T1802" t="s">
        <v>8002</v>
      </c>
      <c r="U1802">
        <v>94341.59</v>
      </c>
      <c r="V1802" t="s">
        <v>717</v>
      </c>
      <c r="W1802">
        <v>45014</v>
      </c>
      <c r="X1802" t="s">
        <v>8003</v>
      </c>
      <c r="Y1802" t="s">
        <v>6</v>
      </c>
      <c r="Z1802" t="s">
        <v>17</v>
      </c>
      <c r="AA1802" t="s">
        <v>6637</v>
      </c>
      <c r="AB1802" t="s">
        <v>2509</v>
      </c>
      <c r="AC1802" t="s">
        <v>717</v>
      </c>
      <c r="AD1802" t="s">
        <v>717</v>
      </c>
      <c r="AE1802" t="s">
        <v>7995</v>
      </c>
      <c r="AF1802" t="s">
        <v>7996</v>
      </c>
      <c r="AG1802" t="s">
        <v>7997</v>
      </c>
      <c r="AH1802" t="s">
        <v>2580</v>
      </c>
      <c r="AI1802" t="s">
        <v>2552</v>
      </c>
      <c r="AJ1802" t="s">
        <v>3921</v>
      </c>
      <c r="AK1802" t="s">
        <v>1233</v>
      </c>
      <c r="AL1802" t="s">
        <v>717</v>
      </c>
      <c r="AM1802" t="s">
        <v>10</v>
      </c>
      <c r="AN1802" t="s">
        <v>717</v>
      </c>
    </row>
    <row r="1803" spans="1:40" hidden="1">
      <c r="A1803">
        <v>1802</v>
      </c>
      <c r="B1803">
        <v>8</v>
      </c>
      <c r="C1803" s="58">
        <v>45021</v>
      </c>
      <c r="D1803" t="s">
        <v>7</v>
      </c>
      <c r="E1803" t="s">
        <v>2581</v>
      </c>
      <c r="F1803">
        <v>3</v>
      </c>
      <c r="G1803">
        <v>5</v>
      </c>
      <c r="H1803">
        <v>264</v>
      </c>
      <c r="I1803">
        <v>0</v>
      </c>
      <c r="J1803">
        <v>36.450000000000003</v>
      </c>
      <c r="K1803" t="s">
        <v>15</v>
      </c>
      <c r="L1803">
        <v>3245317.37</v>
      </c>
      <c r="M1803">
        <v>0</v>
      </c>
      <c r="N1803">
        <v>3245317.37</v>
      </c>
      <c r="O1803">
        <v>89034.770096021937</v>
      </c>
      <c r="P1803">
        <v>145800</v>
      </c>
      <c r="Q1803">
        <v>3099517.37</v>
      </c>
      <c r="R1803">
        <v>85034.770096021937</v>
      </c>
      <c r="S1803" t="s">
        <v>65</v>
      </c>
      <c r="T1803" t="s">
        <v>717</v>
      </c>
      <c r="U1803" t="s">
        <v>717</v>
      </c>
      <c r="V1803" t="s">
        <v>6312</v>
      </c>
      <c r="W1803">
        <v>45014</v>
      </c>
      <c r="X1803" t="s">
        <v>8004</v>
      </c>
      <c r="Y1803" t="s">
        <v>6</v>
      </c>
      <c r="Z1803" t="s">
        <v>17</v>
      </c>
      <c r="AA1803" t="s">
        <v>6637</v>
      </c>
      <c r="AB1803" t="s">
        <v>2509</v>
      </c>
      <c r="AC1803" t="s">
        <v>2571</v>
      </c>
      <c r="AD1803" t="s">
        <v>717</v>
      </c>
      <c r="AE1803" t="s">
        <v>8005</v>
      </c>
      <c r="AF1803" t="s">
        <v>8006</v>
      </c>
      <c r="AG1803" t="s">
        <v>8007</v>
      </c>
      <c r="AH1803" t="s">
        <v>2191</v>
      </c>
      <c r="AI1803" t="s">
        <v>2538</v>
      </c>
      <c r="AJ1803" t="s">
        <v>2514</v>
      </c>
      <c r="AK1803" t="s">
        <v>77</v>
      </c>
      <c r="AL1803" t="s">
        <v>16</v>
      </c>
      <c r="AM1803" t="s">
        <v>10</v>
      </c>
      <c r="AN1803" t="s">
        <v>717</v>
      </c>
    </row>
    <row r="1804" spans="1:40" hidden="1">
      <c r="A1804">
        <v>1803</v>
      </c>
      <c r="B1804">
        <v>9</v>
      </c>
      <c r="C1804" s="58">
        <v>45021</v>
      </c>
      <c r="D1804" t="s">
        <v>7</v>
      </c>
      <c r="E1804" t="s">
        <v>2581</v>
      </c>
      <c r="F1804">
        <v>1</v>
      </c>
      <c r="G1804">
        <v>20</v>
      </c>
      <c r="H1804">
        <v>367</v>
      </c>
      <c r="I1804">
        <v>0</v>
      </c>
      <c r="J1804">
        <v>29.35</v>
      </c>
      <c r="K1804" t="s">
        <v>15</v>
      </c>
      <c r="L1804">
        <v>2786144.72</v>
      </c>
      <c r="M1804">
        <v>0</v>
      </c>
      <c r="N1804">
        <v>2786144.72</v>
      </c>
      <c r="O1804">
        <v>94928.269846678028</v>
      </c>
      <c r="P1804">
        <v>117400</v>
      </c>
      <c r="Q1804">
        <v>2668744.7200000002</v>
      </c>
      <c r="R1804">
        <v>90928.269846678028</v>
      </c>
      <c r="S1804" t="s">
        <v>65</v>
      </c>
      <c r="T1804" t="s">
        <v>717</v>
      </c>
      <c r="U1804" t="s">
        <v>717</v>
      </c>
      <c r="V1804" t="s">
        <v>4131</v>
      </c>
      <c r="W1804">
        <v>45015</v>
      </c>
      <c r="X1804" t="s">
        <v>8008</v>
      </c>
      <c r="Y1804" t="s">
        <v>6</v>
      </c>
      <c r="Z1804" t="s">
        <v>17</v>
      </c>
      <c r="AA1804" t="s">
        <v>6637</v>
      </c>
      <c r="AB1804" t="s">
        <v>2509</v>
      </c>
      <c r="AC1804" t="s">
        <v>2571</v>
      </c>
      <c r="AD1804" t="s">
        <v>717</v>
      </c>
      <c r="AE1804" t="s">
        <v>8009</v>
      </c>
      <c r="AF1804" t="s">
        <v>8010</v>
      </c>
      <c r="AG1804" t="s">
        <v>8011</v>
      </c>
      <c r="AH1804" t="s">
        <v>2191</v>
      </c>
      <c r="AI1804" t="s">
        <v>2538</v>
      </c>
      <c r="AJ1804" t="s">
        <v>2514</v>
      </c>
      <c r="AK1804" t="s">
        <v>73</v>
      </c>
      <c r="AL1804" t="s">
        <v>22</v>
      </c>
      <c r="AM1804" t="s">
        <v>10</v>
      </c>
      <c r="AN1804" t="s">
        <v>717</v>
      </c>
    </row>
    <row r="1805" spans="1:40" hidden="1">
      <c r="A1805">
        <v>1804</v>
      </c>
      <c r="B1805">
        <v>10</v>
      </c>
      <c r="C1805" s="58">
        <v>45021</v>
      </c>
      <c r="D1805" t="s">
        <v>7</v>
      </c>
      <c r="E1805" t="s">
        <v>4409</v>
      </c>
      <c r="F1805">
        <v>1</v>
      </c>
      <c r="G1805">
        <v>10</v>
      </c>
      <c r="H1805">
        <v>474</v>
      </c>
      <c r="I1805">
        <v>1</v>
      </c>
      <c r="J1805">
        <v>39.74</v>
      </c>
      <c r="K1805" t="s">
        <v>15</v>
      </c>
      <c r="L1805">
        <v>3683139.09</v>
      </c>
      <c r="M1805">
        <v>0</v>
      </c>
      <c r="N1805">
        <v>3683139.09</v>
      </c>
      <c r="O1805">
        <v>92680.903120281844</v>
      </c>
      <c r="P1805">
        <v>158960</v>
      </c>
      <c r="Q1805">
        <v>3524179.09</v>
      </c>
      <c r="R1805">
        <v>88680.90312028183</v>
      </c>
      <c r="S1805" t="s">
        <v>130</v>
      </c>
      <c r="T1805" t="s">
        <v>2815</v>
      </c>
      <c r="U1805">
        <v>30000</v>
      </c>
      <c r="V1805" t="s">
        <v>717</v>
      </c>
      <c r="W1805">
        <v>45020</v>
      </c>
      <c r="X1805" t="s">
        <v>8012</v>
      </c>
      <c r="Y1805" t="s">
        <v>6</v>
      </c>
      <c r="Z1805" t="s">
        <v>17</v>
      </c>
      <c r="AA1805" t="s">
        <v>6637</v>
      </c>
      <c r="AB1805" t="s">
        <v>2509</v>
      </c>
      <c r="AC1805" t="s">
        <v>717</v>
      </c>
      <c r="AD1805" t="s">
        <v>717</v>
      </c>
      <c r="AE1805" t="s">
        <v>8013</v>
      </c>
      <c r="AF1805" t="s">
        <v>8014</v>
      </c>
      <c r="AG1805" t="s">
        <v>8015</v>
      </c>
      <c r="AH1805" t="s">
        <v>2191</v>
      </c>
      <c r="AI1805" t="s">
        <v>2538</v>
      </c>
      <c r="AJ1805" t="s">
        <v>2514</v>
      </c>
      <c r="AK1805" t="s">
        <v>73</v>
      </c>
      <c r="AL1805" t="s">
        <v>717</v>
      </c>
      <c r="AM1805" t="s">
        <v>10</v>
      </c>
      <c r="AN1805" t="s">
        <v>717</v>
      </c>
    </row>
    <row r="1806" spans="1:40" hidden="1">
      <c r="A1806">
        <v>1805</v>
      </c>
      <c r="B1806">
        <v>11</v>
      </c>
      <c r="C1806" s="58">
        <v>45022</v>
      </c>
      <c r="D1806" t="s">
        <v>7</v>
      </c>
      <c r="E1806" t="s">
        <v>2506</v>
      </c>
      <c r="F1806">
        <v>3</v>
      </c>
      <c r="G1806">
        <v>7</v>
      </c>
      <c r="H1806">
        <v>163</v>
      </c>
      <c r="I1806">
        <v>1</v>
      </c>
      <c r="J1806">
        <v>35.380000000000003</v>
      </c>
      <c r="K1806" t="s">
        <v>15</v>
      </c>
      <c r="L1806">
        <v>3336781.2</v>
      </c>
      <c r="M1806">
        <v>0</v>
      </c>
      <c r="N1806">
        <v>3336781.2</v>
      </c>
      <c r="O1806">
        <v>94312.639909553414</v>
      </c>
      <c r="P1806">
        <v>141520.00000000047</v>
      </c>
      <c r="Q1806">
        <v>3195261.1999999997</v>
      </c>
      <c r="R1806">
        <v>90312.6399095534</v>
      </c>
      <c r="S1806" t="s">
        <v>65</v>
      </c>
      <c r="T1806" t="s">
        <v>717</v>
      </c>
      <c r="U1806" t="s">
        <v>717</v>
      </c>
      <c r="V1806" t="s">
        <v>4131</v>
      </c>
      <c r="W1806">
        <v>45016</v>
      </c>
      <c r="X1806" t="s">
        <v>8016</v>
      </c>
      <c r="Y1806" t="s">
        <v>6</v>
      </c>
      <c r="Z1806" t="s">
        <v>17</v>
      </c>
      <c r="AA1806" t="s">
        <v>6637</v>
      </c>
      <c r="AB1806" t="s">
        <v>2509</v>
      </c>
      <c r="AC1806" t="s">
        <v>2571</v>
      </c>
      <c r="AD1806" t="s">
        <v>717</v>
      </c>
      <c r="AE1806" t="s">
        <v>8017</v>
      </c>
      <c r="AF1806" t="s">
        <v>8018</v>
      </c>
      <c r="AG1806" t="s">
        <v>8019</v>
      </c>
      <c r="AH1806" t="s">
        <v>2191</v>
      </c>
      <c r="AI1806" t="s">
        <v>2538</v>
      </c>
      <c r="AJ1806" t="s">
        <v>2514</v>
      </c>
      <c r="AK1806" t="s">
        <v>73</v>
      </c>
      <c r="AL1806" t="s">
        <v>22</v>
      </c>
      <c r="AM1806" t="s">
        <v>10</v>
      </c>
      <c r="AN1806" t="s">
        <v>717</v>
      </c>
    </row>
    <row r="1807" spans="1:40" hidden="1">
      <c r="A1807">
        <v>1806</v>
      </c>
      <c r="B1807">
        <v>12</v>
      </c>
      <c r="C1807" s="58">
        <v>45022</v>
      </c>
      <c r="D1807" t="s">
        <v>7</v>
      </c>
      <c r="E1807" t="s">
        <v>2506</v>
      </c>
      <c r="F1807">
        <v>1</v>
      </c>
      <c r="G1807">
        <v>14</v>
      </c>
      <c r="H1807">
        <v>217</v>
      </c>
      <c r="I1807">
        <v>0</v>
      </c>
      <c r="J1807">
        <v>28.97</v>
      </c>
      <c r="K1807" t="s">
        <v>9</v>
      </c>
      <c r="L1807">
        <v>2419066.5699999998</v>
      </c>
      <c r="M1807">
        <v>0</v>
      </c>
      <c r="N1807">
        <v>2419066.5699999998</v>
      </c>
      <c r="O1807">
        <v>83502.470486710386</v>
      </c>
      <c r="P1807">
        <v>0</v>
      </c>
      <c r="Q1807">
        <v>2419066.5699999998</v>
      </c>
      <c r="R1807">
        <v>83502.470486710386</v>
      </c>
      <c r="S1807" t="s">
        <v>130</v>
      </c>
      <c r="T1807" t="s">
        <v>3309</v>
      </c>
      <c r="U1807">
        <v>20000</v>
      </c>
      <c r="V1807" t="s">
        <v>717</v>
      </c>
      <c r="W1807">
        <v>45019</v>
      </c>
      <c r="X1807" t="s">
        <v>8020</v>
      </c>
      <c r="Y1807" t="s">
        <v>6</v>
      </c>
      <c r="Z1807" t="s">
        <v>17</v>
      </c>
      <c r="AA1807" t="s">
        <v>6637</v>
      </c>
      <c r="AB1807" t="s">
        <v>2509</v>
      </c>
      <c r="AC1807" t="s">
        <v>717</v>
      </c>
      <c r="AD1807" t="s">
        <v>717</v>
      </c>
      <c r="AE1807" t="s">
        <v>8021</v>
      </c>
      <c r="AF1807" t="s">
        <v>8022</v>
      </c>
      <c r="AG1807" t="s">
        <v>8023</v>
      </c>
      <c r="AH1807" t="s">
        <v>2615</v>
      </c>
      <c r="AI1807" t="s">
        <v>2847</v>
      </c>
      <c r="AJ1807" t="s">
        <v>2940</v>
      </c>
      <c r="AK1807" t="s">
        <v>73</v>
      </c>
      <c r="AL1807" t="s">
        <v>717</v>
      </c>
      <c r="AM1807" t="s">
        <v>10</v>
      </c>
      <c r="AN1807" t="s">
        <v>717</v>
      </c>
    </row>
    <row r="1808" spans="1:40" hidden="1">
      <c r="A1808">
        <v>1807</v>
      </c>
      <c r="B1808">
        <v>13</v>
      </c>
      <c r="C1808" s="58">
        <v>45022</v>
      </c>
      <c r="D1808" t="s">
        <v>7</v>
      </c>
      <c r="E1808" t="s">
        <v>2515</v>
      </c>
      <c r="F1808">
        <v>6</v>
      </c>
      <c r="G1808">
        <v>11</v>
      </c>
      <c r="H1808">
        <v>78</v>
      </c>
      <c r="I1808">
        <v>2</v>
      </c>
      <c r="J1808">
        <v>59.87</v>
      </c>
      <c r="K1808" t="s">
        <v>15</v>
      </c>
      <c r="L1808">
        <v>5084009.53</v>
      </c>
      <c r="M1808">
        <v>0</v>
      </c>
      <c r="N1808">
        <v>5084009.53</v>
      </c>
      <c r="O1808">
        <v>84917.48004008687</v>
      </c>
      <c r="P1808">
        <v>239480</v>
      </c>
      <c r="Q1808">
        <v>4844529.53</v>
      </c>
      <c r="R1808">
        <v>80917.48004008687</v>
      </c>
      <c r="S1808" t="s">
        <v>65</v>
      </c>
      <c r="T1808" t="s">
        <v>5443</v>
      </c>
      <c r="U1808">
        <v>239480</v>
      </c>
      <c r="V1808" t="s">
        <v>6312</v>
      </c>
      <c r="W1808">
        <v>45019</v>
      </c>
      <c r="X1808" t="s">
        <v>8024</v>
      </c>
      <c r="Y1808" t="s">
        <v>6</v>
      </c>
      <c r="Z1808" t="s">
        <v>17</v>
      </c>
      <c r="AA1808" t="s">
        <v>6637</v>
      </c>
      <c r="AB1808" t="s">
        <v>2509</v>
      </c>
      <c r="AC1808" t="s">
        <v>2571</v>
      </c>
      <c r="AD1808" t="s">
        <v>717</v>
      </c>
      <c r="AE1808" t="s">
        <v>8025</v>
      </c>
      <c r="AF1808" t="s">
        <v>8026</v>
      </c>
      <c r="AG1808" t="s">
        <v>8027</v>
      </c>
      <c r="AH1808" t="s">
        <v>2191</v>
      </c>
      <c r="AI1808" t="s">
        <v>6951</v>
      </c>
      <c r="AJ1808" t="s">
        <v>2514</v>
      </c>
      <c r="AK1808" t="s">
        <v>8</v>
      </c>
      <c r="AL1808" t="s">
        <v>16</v>
      </c>
      <c r="AM1808" t="s">
        <v>10</v>
      </c>
      <c r="AN1808" t="s">
        <v>717</v>
      </c>
    </row>
    <row r="1809" spans="1:40" hidden="1">
      <c r="A1809">
        <v>1808</v>
      </c>
      <c r="B1809">
        <v>14</v>
      </c>
      <c r="C1809" s="58">
        <v>45023</v>
      </c>
      <c r="D1809" t="s">
        <v>7</v>
      </c>
      <c r="E1809" t="s">
        <v>4409</v>
      </c>
      <c r="F1809">
        <v>3</v>
      </c>
      <c r="G1809">
        <v>10</v>
      </c>
      <c r="H1809">
        <v>476</v>
      </c>
      <c r="I1809">
        <v>3</v>
      </c>
      <c r="J1809">
        <v>74.28</v>
      </c>
      <c r="K1809" t="s">
        <v>15</v>
      </c>
      <c r="L1809">
        <v>5902678.0300000003</v>
      </c>
      <c r="M1809">
        <v>0</v>
      </c>
      <c r="N1809">
        <v>5902678.0300000003</v>
      </c>
      <c r="O1809">
        <v>79465.240037695214</v>
      </c>
      <c r="P1809">
        <v>297120</v>
      </c>
      <c r="Q1809">
        <v>5605558.0300000003</v>
      </c>
      <c r="R1809">
        <v>75465.240037695214</v>
      </c>
      <c r="S1809" t="s">
        <v>65</v>
      </c>
      <c r="T1809" t="s">
        <v>717</v>
      </c>
      <c r="U1809" t="s">
        <v>717</v>
      </c>
      <c r="V1809" t="s">
        <v>6312</v>
      </c>
      <c r="W1809">
        <v>45014</v>
      </c>
      <c r="X1809" t="s">
        <v>8028</v>
      </c>
      <c r="Y1809" t="s">
        <v>6</v>
      </c>
      <c r="Z1809" t="s">
        <v>17</v>
      </c>
      <c r="AA1809" t="s">
        <v>6637</v>
      </c>
      <c r="AB1809" t="s">
        <v>2509</v>
      </c>
      <c r="AC1809" t="s">
        <v>2571</v>
      </c>
      <c r="AD1809" t="s">
        <v>717</v>
      </c>
      <c r="AE1809" t="s">
        <v>8029</v>
      </c>
      <c r="AF1809" t="s">
        <v>8030</v>
      </c>
      <c r="AG1809" t="s">
        <v>8031</v>
      </c>
      <c r="AH1809" t="s">
        <v>2191</v>
      </c>
      <c r="AI1809" t="s">
        <v>2513</v>
      </c>
      <c r="AJ1809" t="s">
        <v>2514</v>
      </c>
      <c r="AK1809" t="s">
        <v>77</v>
      </c>
      <c r="AL1809" t="s">
        <v>16</v>
      </c>
      <c r="AM1809" t="s">
        <v>10</v>
      </c>
      <c r="AN1809" t="s">
        <v>717</v>
      </c>
    </row>
    <row r="1810" spans="1:40" hidden="1">
      <c r="A1810">
        <v>1809</v>
      </c>
      <c r="B1810">
        <v>15</v>
      </c>
      <c r="C1810" s="58">
        <v>45023</v>
      </c>
      <c r="D1810" t="s">
        <v>7</v>
      </c>
      <c r="E1810" t="s">
        <v>2581</v>
      </c>
      <c r="F1810">
        <v>1</v>
      </c>
      <c r="G1810">
        <v>11</v>
      </c>
      <c r="H1810">
        <v>304</v>
      </c>
      <c r="I1810">
        <v>0</v>
      </c>
      <c r="J1810">
        <v>29.35</v>
      </c>
      <c r="K1810" t="s">
        <v>15</v>
      </c>
      <c r="L1810">
        <v>2588459.85</v>
      </c>
      <c r="M1810">
        <v>0</v>
      </c>
      <c r="N1810">
        <v>2588459.85</v>
      </c>
      <c r="O1810">
        <v>88192.839863713802</v>
      </c>
      <c r="P1810">
        <v>117400</v>
      </c>
      <c r="Q1810">
        <v>2471059.85</v>
      </c>
      <c r="R1810">
        <v>84192.839863713802</v>
      </c>
      <c r="S1810" t="s">
        <v>65</v>
      </c>
      <c r="T1810" t="s">
        <v>717</v>
      </c>
      <c r="U1810" t="s">
        <v>717</v>
      </c>
      <c r="V1810" t="s">
        <v>4131</v>
      </c>
      <c r="W1810">
        <v>45016</v>
      </c>
      <c r="X1810" t="s">
        <v>8032</v>
      </c>
      <c r="Y1810" t="s">
        <v>6</v>
      </c>
      <c r="Z1810" t="s">
        <v>17</v>
      </c>
      <c r="AA1810" t="s">
        <v>5617</v>
      </c>
      <c r="AB1810" t="s">
        <v>2509</v>
      </c>
      <c r="AC1810" t="s">
        <v>3300</v>
      </c>
      <c r="AD1810" t="s">
        <v>717</v>
      </c>
      <c r="AE1810" t="s">
        <v>8033</v>
      </c>
      <c r="AF1810" t="s">
        <v>8034</v>
      </c>
      <c r="AG1810" t="s">
        <v>8035</v>
      </c>
      <c r="AH1810" t="s">
        <v>2615</v>
      </c>
      <c r="AI1810" t="s">
        <v>2552</v>
      </c>
      <c r="AJ1810" t="s">
        <v>2940</v>
      </c>
      <c r="AK1810" t="s">
        <v>77</v>
      </c>
      <c r="AL1810" t="s">
        <v>16</v>
      </c>
      <c r="AM1810" t="s">
        <v>10</v>
      </c>
      <c r="AN1810" t="s">
        <v>717</v>
      </c>
    </row>
    <row r="1811" spans="1:40" hidden="1">
      <c r="A1811">
        <v>1810</v>
      </c>
      <c r="B1811">
        <v>16</v>
      </c>
      <c r="C1811" s="58">
        <v>45026</v>
      </c>
      <c r="D1811" t="s">
        <v>7</v>
      </c>
      <c r="E1811" t="s">
        <v>2515</v>
      </c>
      <c r="F1811">
        <v>4</v>
      </c>
      <c r="G1811">
        <v>3</v>
      </c>
      <c r="H1811">
        <v>12</v>
      </c>
      <c r="I1811">
        <v>2</v>
      </c>
      <c r="J1811">
        <v>56.03</v>
      </c>
      <c r="K1811" t="s">
        <v>15</v>
      </c>
      <c r="L1811">
        <v>4550347.58</v>
      </c>
      <c r="M1811">
        <v>0</v>
      </c>
      <c r="N1811">
        <v>4550347.58</v>
      </c>
      <c r="O1811">
        <v>81212.699982152422</v>
      </c>
      <c r="P1811">
        <v>224120</v>
      </c>
      <c r="Q1811">
        <v>4326227.58</v>
      </c>
      <c r="R1811">
        <v>77212.699982152422</v>
      </c>
      <c r="S1811" t="s">
        <v>130</v>
      </c>
      <c r="T1811" t="s">
        <v>717</v>
      </c>
      <c r="U1811" t="s">
        <v>717</v>
      </c>
      <c r="V1811" t="s">
        <v>717</v>
      </c>
      <c r="W1811">
        <v>45020</v>
      </c>
      <c r="X1811" t="s">
        <v>8036</v>
      </c>
      <c r="Y1811" t="s">
        <v>6</v>
      </c>
      <c r="Z1811" t="s">
        <v>17</v>
      </c>
      <c r="AA1811" t="s">
        <v>6637</v>
      </c>
      <c r="AB1811" t="s">
        <v>2509</v>
      </c>
      <c r="AC1811" t="s">
        <v>717</v>
      </c>
      <c r="AD1811" t="s">
        <v>717</v>
      </c>
      <c r="AE1811" t="s">
        <v>8037</v>
      </c>
      <c r="AF1811" t="s">
        <v>8038</v>
      </c>
      <c r="AG1811" t="s">
        <v>8039</v>
      </c>
      <c r="AH1811" t="s">
        <v>2615</v>
      </c>
      <c r="AI1811" t="s">
        <v>2552</v>
      </c>
      <c r="AJ1811" t="s">
        <v>2662</v>
      </c>
      <c r="AK1811" t="s">
        <v>73</v>
      </c>
      <c r="AL1811" t="s">
        <v>717</v>
      </c>
      <c r="AM1811" t="s">
        <v>10</v>
      </c>
      <c r="AN1811" t="s">
        <v>717</v>
      </c>
    </row>
    <row r="1812" spans="1:40" hidden="1">
      <c r="A1812">
        <v>1811</v>
      </c>
      <c r="B1812">
        <v>17</v>
      </c>
      <c r="C1812" s="58">
        <v>45027</v>
      </c>
      <c r="D1812" t="s">
        <v>7</v>
      </c>
      <c r="E1812" t="s">
        <v>2506</v>
      </c>
      <c r="F1812">
        <v>6</v>
      </c>
      <c r="G1812">
        <v>10</v>
      </c>
      <c r="H1812">
        <v>190</v>
      </c>
      <c r="I1812">
        <v>1</v>
      </c>
      <c r="J1812">
        <v>36.659999999999997</v>
      </c>
      <c r="K1812" t="s">
        <v>15</v>
      </c>
      <c r="L1812">
        <v>3489645.6</v>
      </c>
      <c r="M1812">
        <v>0</v>
      </c>
      <c r="N1812">
        <v>3489645.6</v>
      </c>
      <c r="O1812">
        <v>95189.459901800336</v>
      </c>
      <c r="P1812">
        <v>146640</v>
      </c>
      <c r="Q1812">
        <v>3343005.6</v>
      </c>
      <c r="R1812">
        <v>91189.459901800336</v>
      </c>
      <c r="S1812" t="s">
        <v>65</v>
      </c>
      <c r="T1812" t="s">
        <v>717</v>
      </c>
      <c r="U1812" t="s">
        <v>717</v>
      </c>
      <c r="V1812" t="s">
        <v>6312</v>
      </c>
      <c r="W1812">
        <v>45019</v>
      </c>
      <c r="X1812" t="s">
        <v>8040</v>
      </c>
      <c r="Y1812" t="s">
        <v>6</v>
      </c>
      <c r="Z1812" t="s">
        <v>17</v>
      </c>
      <c r="AA1812" t="s">
        <v>6637</v>
      </c>
      <c r="AB1812" t="s">
        <v>2509</v>
      </c>
      <c r="AC1812" t="s">
        <v>2571</v>
      </c>
      <c r="AD1812" t="s">
        <v>717</v>
      </c>
      <c r="AE1812" t="s">
        <v>8041</v>
      </c>
      <c r="AF1812" t="s">
        <v>8042</v>
      </c>
      <c r="AG1812" t="s">
        <v>8043</v>
      </c>
      <c r="AH1812" t="s">
        <v>2191</v>
      </c>
      <c r="AI1812" t="s">
        <v>2538</v>
      </c>
      <c r="AJ1812" t="s">
        <v>2514</v>
      </c>
      <c r="AK1812" t="s">
        <v>1233</v>
      </c>
      <c r="AL1812" t="s">
        <v>22</v>
      </c>
      <c r="AM1812" t="s">
        <v>10</v>
      </c>
      <c r="AN1812" t="s">
        <v>717</v>
      </c>
    </row>
    <row r="1813" spans="1:40" hidden="1">
      <c r="A1813">
        <v>1812</v>
      </c>
      <c r="B1813">
        <v>18</v>
      </c>
      <c r="C1813" s="58">
        <v>45027</v>
      </c>
      <c r="D1813" t="s">
        <v>7</v>
      </c>
      <c r="E1813" t="s">
        <v>4409</v>
      </c>
      <c r="F1813">
        <v>5</v>
      </c>
      <c r="G1813">
        <v>10</v>
      </c>
      <c r="H1813">
        <v>478</v>
      </c>
      <c r="I1813">
        <v>2</v>
      </c>
      <c r="J1813">
        <v>56.04</v>
      </c>
      <c r="K1813" t="s">
        <v>15</v>
      </c>
      <c r="L1813">
        <v>4551159.71</v>
      </c>
      <c r="M1813">
        <v>0</v>
      </c>
      <c r="N1813">
        <v>4551159.71</v>
      </c>
      <c r="O1813">
        <v>81212.700035688787</v>
      </c>
      <c r="P1813">
        <v>224160</v>
      </c>
      <c r="Q1813">
        <v>4326999.71</v>
      </c>
      <c r="R1813">
        <v>77212.700035688787</v>
      </c>
      <c r="S1813" t="s">
        <v>65</v>
      </c>
      <c r="T1813" t="s">
        <v>717</v>
      </c>
      <c r="U1813" t="s">
        <v>717</v>
      </c>
      <c r="V1813" t="s">
        <v>6312</v>
      </c>
      <c r="W1813">
        <v>45019</v>
      </c>
      <c r="X1813" t="s">
        <v>8044</v>
      </c>
      <c r="Y1813" t="s">
        <v>6</v>
      </c>
      <c r="Z1813" t="s">
        <v>17</v>
      </c>
      <c r="AA1813" t="s">
        <v>6637</v>
      </c>
      <c r="AB1813" t="s">
        <v>2509</v>
      </c>
      <c r="AC1813" t="s">
        <v>2571</v>
      </c>
      <c r="AD1813" t="s">
        <v>717</v>
      </c>
      <c r="AE1813" t="s">
        <v>8045</v>
      </c>
      <c r="AF1813" t="s">
        <v>8046</v>
      </c>
      <c r="AG1813" t="s">
        <v>8047</v>
      </c>
      <c r="AH1813" t="s">
        <v>2191</v>
      </c>
      <c r="AI1813" t="s">
        <v>2538</v>
      </c>
      <c r="AJ1813" t="s">
        <v>2514</v>
      </c>
      <c r="AK1813" t="s">
        <v>73</v>
      </c>
      <c r="AL1813" t="s">
        <v>22</v>
      </c>
      <c r="AM1813" t="s">
        <v>10</v>
      </c>
      <c r="AN1813" t="s">
        <v>717</v>
      </c>
    </row>
    <row r="1814" spans="1:40" hidden="1">
      <c r="A1814">
        <v>1813</v>
      </c>
      <c r="B1814">
        <v>19</v>
      </c>
      <c r="C1814" s="58">
        <v>45028</v>
      </c>
      <c r="D1814" t="s">
        <v>7</v>
      </c>
      <c r="E1814" t="s">
        <v>2581</v>
      </c>
      <c r="F1814">
        <v>4</v>
      </c>
      <c r="G1814">
        <v>7</v>
      </c>
      <c r="H1814">
        <v>279</v>
      </c>
      <c r="I1814">
        <v>2</v>
      </c>
      <c r="J1814">
        <v>58.55</v>
      </c>
      <c r="K1814" t="s">
        <v>15</v>
      </c>
      <c r="L1814">
        <v>4664587.5199999996</v>
      </c>
      <c r="M1814">
        <v>0</v>
      </c>
      <c r="N1814">
        <v>4664587.5199999996</v>
      </c>
      <c r="O1814">
        <v>79668.44611443211</v>
      </c>
      <c r="P1814">
        <v>234200</v>
      </c>
      <c r="Q1814">
        <v>4430387.5199999996</v>
      </c>
      <c r="R1814">
        <v>75668.44611443211</v>
      </c>
      <c r="S1814" t="s">
        <v>65</v>
      </c>
      <c r="T1814" t="s">
        <v>2941</v>
      </c>
      <c r="U1814">
        <v>90416.07</v>
      </c>
      <c r="V1814" t="s">
        <v>6312</v>
      </c>
      <c r="W1814">
        <v>45019</v>
      </c>
      <c r="X1814" t="s">
        <v>8048</v>
      </c>
      <c r="Y1814" t="s">
        <v>6</v>
      </c>
      <c r="Z1814" t="s">
        <v>17</v>
      </c>
      <c r="AA1814" t="s">
        <v>6637</v>
      </c>
      <c r="AB1814" t="s">
        <v>2509</v>
      </c>
      <c r="AC1814" t="s">
        <v>2571</v>
      </c>
      <c r="AD1814" t="s">
        <v>717</v>
      </c>
      <c r="AE1814" t="s">
        <v>8049</v>
      </c>
      <c r="AF1814" t="s">
        <v>8050</v>
      </c>
      <c r="AG1814" t="s">
        <v>8051</v>
      </c>
      <c r="AH1814" t="s">
        <v>2615</v>
      </c>
      <c r="AI1814" t="s">
        <v>2621</v>
      </c>
      <c r="AJ1814" t="s">
        <v>2940</v>
      </c>
      <c r="AK1814" t="s">
        <v>73</v>
      </c>
      <c r="AL1814" t="s">
        <v>16</v>
      </c>
      <c r="AM1814" t="s">
        <v>10</v>
      </c>
      <c r="AN1814" t="s">
        <v>717</v>
      </c>
    </row>
    <row r="1815" spans="1:40" hidden="1">
      <c r="A1815">
        <v>1814</v>
      </c>
      <c r="B1815">
        <v>20</v>
      </c>
      <c r="C1815" s="58">
        <v>45028</v>
      </c>
      <c r="D1815" t="s">
        <v>7</v>
      </c>
      <c r="E1815" t="s">
        <v>2515</v>
      </c>
      <c r="F1815">
        <v>3</v>
      </c>
      <c r="G1815">
        <v>7</v>
      </c>
      <c r="H1815">
        <v>43</v>
      </c>
      <c r="I1815">
        <v>1</v>
      </c>
      <c r="J1815">
        <v>35.54</v>
      </c>
      <c r="K1815" t="s">
        <v>25</v>
      </c>
      <c r="L1815">
        <v>3616292.23</v>
      </c>
      <c r="M1815">
        <v>0</v>
      </c>
      <c r="N1815">
        <v>3616292.23</v>
      </c>
      <c r="O1815">
        <v>101752.73579065842</v>
      </c>
      <c r="P1815">
        <v>533100</v>
      </c>
      <c r="Q1815">
        <v>3083192.23</v>
      </c>
      <c r="R1815">
        <v>86752.735790658393</v>
      </c>
      <c r="S1815" t="s">
        <v>130</v>
      </c>
      <c r="T1815" t="s">
        <v>2664</v>
      </c>
      <c r="U1815">
        <v>95356.46</v>
      </c>
      <c r="V1815" t="s">
        <v>717</v>
      </c>
      <c r="W1815">
        <v>45022</v>
      </c>
      <c r="X1815" t="s">
        <v>8052</v>
      </c>
      <c r="Y1815" t="s">
        <v>6</v>
      </c>
      <c r="Z1815" t="s">
        <v>11</v>
      </c>
      <c r="AA1815" t="s">
        <v>717</v>
      </c>
      <c r="AB1815" t="s">
        <v>2509</v>
      </c>
      <c r="AC1815" t="s">
        <v>717</v>
      </c>
      <c r="AD1815" t="s">
        <v>717</v>
      </c>
      <c r="AE1815" t="s">
        <v>1444</v>
      </c>
      <c r="AF1815" t="s">
        <v>8053</v>
      </c>
      <c r="AG1815" t="s">
        <v>8054</v>
      </c>
      <c r="AH1815" t="s">
        <v>2615</v>
      </c>
      <c r="AI1815" t="s">
        <v>2847</v>
      </c>
      <c r="AJ1815" t="s">
        <v>2940</v>
      </c>
      <c r="AK1815" t="s">
        <v>73</v>
      </c>
      <c r="AL1815" t="s">
        <v>717</v>
      </c>
      <c r="AM1815" t="s">
        <v>10</v>
      </c>
      <c r="AN1815" t="s">
        <v>717</v>
      </c>
    </row>
    <row r="1816" spans="1:40" hidden="1">
      <c r="A1816">
        <v>1815</v>
      </c>
      <c r="B1816">
        <v>21</v>
      </c>
      <c r="C1816" s="58">
        <v>45029</v>
      </c>
      <c r="D1816" t="s">
        <v>7</v>
      </c>
      <c r="E1816" t="s">
        <v>2581</v>
      </c>
      <c r="F1816">
        <v>4</v>
      </c>
      <c r="G1816">
        <v>8</v>
      </c>
      <c r="H1816">
        <v>286</v>
      </c>
      <c r="I1816">
        <v>2</v>
      </c>
      <c r="J1816">
        <v>58.55</v>
      </c>
      <c r="K1816" t="s">
        <v>15</v>
      </c>
      <c r="L1816">
        <v>4525417.2699999996</v>
      </c>
      <c r="M1816">
        <v>0</v>
      </c>
      <c r="N1816">
        <v>4525417.2699999996</v>
      </c>
      <c r="O1816">
        <v>77291.499060631933</v>
      </c>
      <c r="P1816">
        <v>234200</v>
      </c>
      <c r="Q1816">
        <v>4291217.2699999996</v>
      </c>
      <c r="R1816">
        <v>73291.499060631933</v>
      </c>
      <c r="S1816" t="s">
        <v>130</v>
      </c>
      <c r="T1816" t="s">
        <v>5768</v>
      </c>
      <c r="U1816">
        <v>273907.49</v>
      </c>
      <c r="V1816" t="s">
        <v>717</v>
      </c>
      <c r="W1816">
        <v>45027</v>
      </c>
      <c r="X1816" t="s">
        <v>8055</v>
      </c>
      <c r="Y1816" t="s">
        <v>6</v>
      </c>
      <c r="Z1816" t="s">
        <v>17</v>
      </c>
      <c r="AA1816" t="s">
        <v>6637</v>
      </c>
      <c r="AB1816" t="s">
        <v>2509</v>
      </c>
      <c r="AC1816" t="s">
        <v>717</v>
      </c>
      <c r="AD1816" t="s">
        <v>717</v>
      </c>
      <c r="AE1816" t="s">
        <v>8056</v>
      </c>
      <c r="AF1816" t="s">
        <v>8057</v>
      </c>
      <c r="AG1816" t="s">
        <v>8058</v>
      </c>
      <c r="AH1816" t="s">
        <v>2191</v>
      </c>
      <c r="AI1816" t="s">
        <v>2521</v>
      </c>
      <c r="AJ1816" t="s">
        <v>2514</v>
      </c>
      <c r="AK1816" t="s">
        <v>8</v>
      </c>
      <c r="AL1816" t="s">
        <v>717</v>
      </c>
      <c r="AM1816" t="s">
        <v>10</v>
      </c>
      <c r="AN1816" t="s">
        <v>717</v>
      </c>
    </row>
    <row r="1817" spans="1:40" hidden="1">
      <c r="A1817">
        <v>1816</v>
      </c>
      <c r="B1817">
        <v>22</v>
      </c>
      <c r="C1817" s="58">
        <v>45030</v>
      </c>
      <c r="D1817" t="s">
        <v>7</v>
      </c>
      <c r="E1817" t="s">
        <v>2581</v>
      </c>
      <c r="F1817">
        <v>1</v>
      </c>
      <c r="G1817">
        <v>23</v>
      </c>
      <c r="H1817">
        <v>388</v>
      </c>
      <c r="I1817">
        <v>0</v>
      </c>
      <c r="J1817">
        <v>29.35</v>
      </c>
      <c r="K1817" t="s">
        <v>25</v>
      </c>
      <c r="L1817">
        <v>3158416.02</v>
      </c>
      <c r="M1817">
        <v>0</v>
      </c>
      <c r="N1817">
        <v>3158416.02</v>
      </c>
      <c r="O1817">
        <v>107612.13015332197</v>
      </c>
      <c r="P1817">
        <v>440249.99999999953</v>
      </c>
      <c r="Q1817">
        <v>2718166.0200000005</v>
      </c>
      <c r="R1817">
        <v>92612.130153321981</v>
      </c>
      <c r="S1817" t="s">
        <v>65</v>
      </c>
      <c r="T1817" t="s">
        <v>717</v>
      </c>
      <c r="U1817" t="s">
        <v>717</v>
      </c>
      <c r="V1817" t="s">
        <v>4131</v>
      </c>
      <c r="W1817">
        <v>45027</v>
      </c>
      <c r="X1817" t="s">
        <v>8059</v>
      </c>
      <c r="Y1817" t="s">
        <v>6</v>
      </c>
      <c r="Z1817" t="s">
        <v>17</v>
      </c>
      <c r="AA1817" t="s">
        <v>6637</v>
      </c>
      <c r="AB1817" t="s">
        <v>2509</v>
      </c>
      <c r="AC1817" t="s">
        <v>2571</v>
      </c>
      <c r="AD1817" t="s">
        <v>717</v>
      </c>
      <c r="AE1817" t="s">
        <v>8060</v>
      </c>
      <c r="AF1817" t="s">
        <v>8061</v>
      </c>
      <c r="AG1817" t="s">
        <v>8062</v>
      </c>
      <c r="AH1817" t="s">
        <v>2615</v>
      </c>
      <c r="AI1817" t="s">
        <v>6951</v>
      </c>
      <c r="AJ1817" t="s">
        <v>2825</v>
      </c>
      <c r="AK1817" t="s">
        <v>8</v>
      </c>
      <c r="AL1817" t="s">
        <v>22</v>
      </c>
      <c r="AM1817" t="s">
        <v>10</v>
      </c>
      <c r="AN1817" t="s">
        <v>717</v>
      </c>
    </row>
    <row r="1818" spans="1:40" hidden="1">
      <c r="A1818">
        <v>1817</v>
      </c>
      <c r="B1818">
        <v>23</v>
      </c>
      <c r="C1818" s="58">
        <v>45033</v>
      </c>
      <c r="D1818" t="s">
        <v>7</v>
      </c>
      <c r="E1818" t="s">
        <v>2506</v>
      </c>
      <c r="F1818">
        <v>5</v>
      </c>
      <c r="G1818">
        <v>7</v>
      </c>
      <c r="H1818">
        <v>165</v>
      </c>
      <c r="I1818">
        <v>1</v>
      </c>
      <c r="J1818">
        <v>36.700000000000003</v>
      </c>
      <c r="K1818" t="s">
        <v>25</v>
      </c>
      <c r="L1818">
        <v>3696353.99</v>
      </c>
      <c r="M1818">
        <v>0</v>
      </c>
      <c r="N1818">
        <v>3696353.99</v>
      </c>
      <c r="O1818">
        <v>100718.09237057219</v>
      </c>
      <c r="P1818">
        <v>550500.00000000047</v>
      </c>
      <c r="Q1818">
        <v>3145853.99</v>
      </c>
      <c r="R1818">
        <v>85718.092370572194</v>
      </c>
      <c r="S1818" t="s">
        <v>65</v>
      </c>
      <c r="T1818" t="s">
        <v>5768</v>
      </c>
      <c r="U1818">
        <v>200799.19</v>
      </c>
      <c r="V1818" t="s">
        <v>6312</v>
      </c>
      <c r="W1818">
        <v>45028</v>
      </c>
      <c r="X1818" t="s">
        <v>8063</v>
      </c>
      <c r="Y1818" t="s">
        <v>6</v>
      </c>
      <c r="Z1818" t="s">
        <v>17</v>
      </c>
      <c r="AA1818" t="s">
        <v>6637</v>
      </c>
      <c r="AB1818" t="s">
        <v>2509</v>
      </c>
      <c r="AC1818" t="s">
        <v>2571</v>
      </c>
      <c r="AD1818" t="s">
        <v>717</v>
      </c>
      <c r="AE1818" t="s">
        <v>8064</v>
      </c>
      <c r="AF1818" t="s">
        <v>8065</v>
      </c>
      <c r="AG1818" t="s">
        <v>8066</v>
      </c>
      <c r="AH1818" t="s">
        <v>2615</v>
      </c>
      <c r="AI1818" t="s">
        <v>2552</v>
      </c>
      <c r="AJ1818" t="s">
        <v>2662</v>
      </c>
      <c r="AK1818" t="s">
        <v>73</v>
      </c>
      <c r="AL1818" t="s">
        <v>22</v>
      </c>
      <c r="AM1818" t="s">
        <v>10</v>
      </c>
      <c r="AN1818" t="s">
        <v>717</v>
      </c>
    </row>
    <row r="1819" spans="1:40" hidden="1">
      <c r="A1819">
        <v>1818</v>
      </c>
      <c r="B1819">
        <v>24</v>
      </c>
      <c r="C1819" s="58">
        <v>45033</v>
      </c>
      <c r="D1819" t="s">
        <v>7</v>
      </c>
      <c r="E1819" t="s">
        <v>4409</v>
      </c>
      <c r="F1819">
        <v>9</v>
      </c>
      <c r="G1819">
        <v>15</v>
      </c>
      <c r="H1819">
        <v>527</v>
      </c>
      <c r="I1819">
        <v>1</v>
      </c>
      <c r="J1819">
        <v>44.37</v>
      </c>
      <c r="K1819" t="s">
        <v>15</v>
      </c>
      <c r="L1819">
        <v>3890457.88</v>
      </c>
      <c r="M1819">
        <v>0</v>
      </c>
      <c r="N1819">
        <v>3890457.88</v>
      </c>
      <c r="O1819">
        <v>87682.169934640522</v>
      </c>
      <c r="P1819">
        <v>177480</v>
      </c>
      <c r="Q1819">
        <v>3712977.88</v>
      </c>
      <c r="R1819">
        <v>83682.169934640522</v>
      </c>
      <c r="S1819" t="s">
        <v>65</v>
      </c>
      <c r="T1819" t="s">
        <v>5443</v>
      </c>
      <c r="U1819">
        <v>177480</v>
      </c>
      <c r="V1819" t="s">
        <v>4131</v>
      </c>
      <c r="W1819">
        <v>45028</v>
      </c>
      <c r="X1819" t="s">
        <v>8067</v>
      </c>
      <c r="Y1819" t="s">
        <v>6</v>
      </c>
      <c r="Z1819" t="s">
        <v>17</v>
      </c>
      <c r="AA1819" t="s">
        <v>6637</v>
      </c>
      <c r="AB1819" t="s">
        <v>2509</v>
      </c>
      <c r="AC1819" t="s">
        <v>2571</v>
      </c>
      <c r="AD1819" t="s">
        <v>717</v>
      </c>
      <c r="AE1819" t="s">
        <v>8068</v>
      </c>
      <c r="AF1819" t="s">
        <v>8069</v>
      </c>
      <c r="AG1819" t="s">
        <v>8070</v>
      </c>
      <c r="AH1819" t="s">
        <v>2191</v>
      </c>
      <c r="AI1819" t="s">
        <v>6951</v>
      </c>
      <c r="AJ1819" t="s">
        <v>2514</v>
      </c>
      <c r="AK1819" t="s">
        <v>8</v>
      </c>
      <c r="AL1819" t="s">
        <v>22</v>
      </c>
      <c r="AM1819" t="s">
        <v>10</v>
      </c>
      <c r="AN1819" t="s">
        <v>717</v>
      </c>
    </row>
    <row r="1820" spans="1:40" hidden="1">
      <c r="A1820">
        <v>1819</v>
      </c>
      <c r="B1820">
        <v>25</v>
      </c>
      <c r="C1820" s="58">
        <v>45034</v>
      </c>
      <c r="D1820" t="s">
        <v>27</v>
      </c>
      <c r="E1820" t="s">
        <v>2515</v>
      </c>
      <c r="F1820">
        <v>4</v>
      </c>
      <c r="G1820">
        <v>21</v>
      </c>
      <c r="H1820">
        <v>175</v>
      </c>
      <c r="I1820">
        <v>0</v>
      </c>
      <c r="J1820">
        <v>24.39</v>
      </c>
      <c r="K1820" t="s">
        <v>25</v>
      </c>
      <c r="L1820">
        <v>2930493.87</v>
      </c>
      <c r="M1820">
        <v>0</v>
      </c>
      <c r="N1820">
        <v>2930493.87</v>
      </c>
      <c r="O1820">
        <v>120151.45018450184</v>
      </c>
      <c r="P1820">
        <v>365850</v>
      </c>
      <c r="Q1820">
        <v>2564643.87</v>
      </c>
      <c r="R1820">
        <v>105151.45018450184</v>
      </c>
      <c r="S1820" t="s">
        <v>65</v>
      </c>
      <c r="T1820" t="s">
        <v>717</v>
      </c>
      <c r="U1820" t="s">
        <v>717</v>
      </c>
      <c r="V1820" t="s">
        <v>6312</v>
      </c>
      <c r="W1820">
        <v>45022</v>
      </c>
      <c r="X1820" t="s">
        <v>8071</v>
      </c>
      <c r="Y1820" t="s">
        <v>6</v>
      </c>
      <c r="Z1820" t="s">
        <v>17</v>
      </c>
      <c r="AA1820" t="s">
        <v>6637</v>
      </c>
      <c r="AB1820" t="s">
        <v>2509</v>
      </c>
      <c r="AC1820" t="s">
        <v>2571</v>
      </c>
      <c r="AD1820" t="s">
        <v>717</v>
      </c>
      <c r="AE1820" t="s">
        <v>8072</v>
      </c>
      <c r="AF1820" t="s">
        <v>8073</v>
      </c>
      <c r="AG1820" t="s">
        <v>8074</v>
      </c>
      <c r="AH1820" t="s">
        <v>2615</v>
      </c>
      <c r="AI1820" t="s">
        <v>2552</v>
      </c>
      <c r="AJ1820" t="s">
        <v>2662</v>
      </c>
      <c r="AK1820" t="s">
        <v>73</v>
      </c>
      <c r="AL1820" t="s">
        <v>16</v>
      </c>
      <c r="AM1820" t="s">
        <v>10</v>
      </c>
      <c r="AN1820" t="s">
        <v>717</v>
      </c>
    </row>
    <row r="1821" spans="1:40" hidden="1">
      <c r="A1821">
        <v>1820</v>
      </c>
      <c r="B1821">
        <v>26</v>
      </c>
      <c r="C1821" s="58">
        <v>45034</v>
      </c>
      <c r="D1821" t="s">
        <v>7</v>
      </c>
      <c r="E1821" t="s">
        <v>4409</v>
      </c>
      <c r="F1821">
        <v>5</v>
      </c>
      <c r="G1821">
        <v>16</v>
      </c>
      <c r="H1821">
        <v>532</v>
      </c>
      <c r="I1821">
        <v>2</v>
      </c>
      <c r="J1821">
        <v>56.04</v>
      </c>
      <c r="K1821" t="s">
        <v>25</v>
      </c>
      <c r="L1821">
        <v>5167599.71</v>
      </c>
      <c r="M1821">
        <v>0</v>
      </c>
      <c r="N1821">
        <v>5167599.71</v>
      </c>
      <c r="O1821">
        <v>92212.700035688787</v>
      </c>
      <c r="P1821">
        <v>840600</v>
      </c>
      <c r="Q1821">
        <v>4326999.71</v>
      </c>
      <c r="R1821">
        <v>77212.700035688787</v>
      </c>
      <c r="S1821" t="s">
        <v>65</v>
      </c>
      <c r="T1821" t="s">
        <v>717</v>
      </c>
      <c r="U1821" t="s">
        <v>717</v>
      </c>
      <c r="V1821" t="s">
        <v>4131</v>
      </c>
      <c r="W1821">
        <v>45030</v>
      </c>
      <c r="X1821" t="s">
        <v>8075</v>
      </c>
      <c r="Y1821" t="s">
        <v>6</v>
      </c>
      <c r="Z1821" t="s">
        <v>17</v>
      </c>
      <c r="AA1821" t="s">
        <v>6637</v>
      </c>
      <c r="AB1821" t="s">
        <v>2509</v>
      </c>
      <c r="AC1821" t="s">
        <v>2571</v>
      </c>
      <c r="AD1821" t="s">
        <v>717</v>
      </c>
      <c r="AE1821" t="s">
        <v>8076</v>
      </c>
      <c r="AF1821" t="s">
        <v>8077</v>
      </c>
      <c r="AG1821" t="s">
        <v>8078</v>
      </c>
      <c r="AH1821" t="s">
        <v>2615</v>
      </c>
      <c r="AI1821" t="s">
        <v>2552</v>
      </c>
      <c r="AJ1821" t="s">
        <v>2642</v>
      </c>
      <c r="AK1821" t="s">
        <v>1233</v>
      </c>
      <c r="AL1821" t="s">
        <v>16</v>
      </c>
      <c r="AM1821" t="s">
        <v>10</v>
      </c>
      <c r="AN1821" t="s">
        <v>717</v>
      </c>
    </row>
    <row r="1822" spans="1:40" hidden="1">
      <c r="A1822">
        <v>1821</v>
      </c>
      <c r="B1822">
        <v>27</v>
      </c>
      <c r="C1822" s="58">
        <v>45035</v>
      </c>
      <c r="D1822" t="s">
        <v>7</v>
      </c>
      <c r="E1822" t="s">
        <v>4409</v>
      </c>
      <c r="F1822">
        <v>9</v>
      </c>
      <c r="G1822">
        <v>9</v>
      </c>
      <c r="H1822">
        <v>473</v>
      </c>
      <c r="I1822">
        <v>1</v>
      </c>
      <c r="J1822">
        <v>44.37</v>
      </c>
      <c r="K1822" t="s">
        <v>15</v>
      </c>
      <c r="L1822">
        <v>3853049.54</v>
      </c>
      <c r="M1822">
        <v>0</v>
      </c>
      <c r="N1822">
        <v>3853049.54</v>
      </c>
      <c r="O1822">
        <v>86839.070092404785</v>
      </c>
      <c r="P1822">
        <v>177480</v>
      </c>
      <c r="Q1822">
        <v>3675569.54</v>
      </c>
      <c r="R1822">
        <v>82839.070092404785</v>
      </c>
      <c r="S1822" t="s">
        <v>65</v>
      </c>
      <c r="T1822" t="s">
        <v>5443</v>
      </c>
      <c r="U1822">
        <v>177480</v>
      </c>
      <c r="V1822" t="s">
        <v>4131</v>
      </c>
      <c r="W1822">
        <v>45021</v>
      </c>
      <c r="X1822" t="s">
        <v>8079</v>
      </c>
      <c r="Y1822" t="s">
        <v>6</v>
      </c>
      <c r="Z1822" t="s">
        <v>17</v>
      </c>
      <c r="AA1822" t="s">
        <v>6637</v>
      </c>
      <c r="AB1822" t="s">
        <v>2509</v>
      </c>
      <c r="AC1822" t="s">
        <v>2571</v>
      </c>
      <c r="AD1822" t="s">
        <v>717</v>
      </c>
      <c r="AE1822" t="s">
        <v>8080</v>
      </c>
      <c r="AF1822" t="s">
        <v>8081</v>
      </c>
      <c r="AG1822" t="s">
        <v>8082</v>
      </c>
      <c r="AH1822" t="s">
        <v>2615</v>
      </c>
      <c r="AI1822" t="s">
        <v>2697</v>
      </c>
      <c r="AJ1822" t="s">
        <v>2642</v>
      </c>
      <c r="AK1822" t="s">
        <v>1233</v>
      </c>
      <c r="AL1822" t="s">
        <v>22</v>
      </c>
      <c r="AM1822" t="s">
        <v>10</v>
      </c>
      <c r="AN1822" t="s">
        <v>717</v>
      </c>
    </row>
    <row r="1823" spans="1:40" hidden="1">
      <c r="A1823">
        <v>1822</v>
      </c>
      <c r="B1823">
        <v>28</v>
      </c>
      <c r="C1823" s="58">
        <v>45035</v>
      </c>
      <c r="D1823" t="s">
        <v>27</v>
      </c>
      <c r="E1823" t="s">
        <v>2581</v>
      </c>
      <c r="F1823">
        <v>5</v>
      </c>
      <c r="G1823">
        <v>16</v>
      </c>
      <c r="H1823">
        <v>508</v>
      </c>
      <c r="I1823">
        <v>0</v>
      </c>
      <c r="J1823">
        <v>23.63</v>
      </c>
      <c r="K1823" t="s">
        <v>25</v>
      </c>
      <c r="L1823">
        <v>2725569.03</v>
      </c>
      <c r="M1823">
        <v>0</v>
      </c>
      <c r="N1823">
        <v>2725569.03</v>
      </c>
      <c r="O1823">
        <v>115343.58992805755</v>
      </c>
      <c r="P1823">
        <v>354450</v>
      </c>
      <c r="Q1823">
        <v>2371119.0299999998</v>
      </c>
      <c r="R1823">
        <v>100343.58992805755</v>
      </c>
      <c r="S1823" t="s">
        <v>65</v>
      </c>
      <c r="T1823" t="s">
        <v>717</v>
      </c>
      <c r="U1823" t="s">
        <v>717</v>
      </c>
      <c r="V1823" t="s">
        <v>4131</v>
      </c>
      <c r="W1823">
        <v>45028</v>
      </c>
      <c r="X1823" t="s">
        <v>8083</v>
      </c>
      <c r="Y1823" t="s">
        <v>6</v>
      </c>
      <c r="Z1823" t="s">
        <v>17</v>
      </c>
      <c r="AA1823" t="s">
        <v>6637</v>
      </c>
      <c r="AB1823" t="s">
        <v>2509</v>
      </c>
      <c r="AC1823" t="s">
        <v>2571</v>
      </c>
      <c r="AD1823" t="s">
        <v>717</v>
      </c>
      <c r="AE1823" t="s">
        <v>8084</v>
      </c>
      <c r="AF1823" t="s">
        <v>8085</v>
      </c>
      <c r="AG1823" t="s">
        <v>8086</v>
      </c>
      <c r="AH1823" t="s">
        <v>2615</v>
      </c>
      <c r="AI1823" t="s">
        <v>2747</v>
      </c>
      <c r="AJ1823" t="s">
        <v>2662</v>
      </c>
      <c r="AK1823" t="s">
        <v>1233</v>
      </c>
      <c r="AL1823" t="s">
        <v>22</v>
      </c>
      <c r="AM1823" t="s">
        <v>10</v>
      </c>
      <c r="AN1823" t="s">
        <v>717</v>
      </c>
    </row>
    <row r="1824" spans="1:40" hidden="1">
      <c r="A1824">
        <v>1823</v>
      </c>
      <c r="B1824">
        <v>29</v>
      </c>
      <c r="C1824" s="58">
        <v>45035</v>
      </c>
      <c r="D1824" t="s">
        <v>7</v>
      </c>
      <c r="E1824" t="s">
        <v>4409</v>
      </c>
      <c r="F1824">
        <v>5</v>
      </c>
      <c r="G1824">
        <v>5</v>
      </c>
      <c r="H1824">
        <v>433</v>
      </c>
      <c r="I1824">
        <v>2</v>
      </c>
      <c r="J1824">
        <v>56.04</v>
      </c>
      <c r="K1824" t="s">
        <v>25</v>
      </c>
      <c r="L1824">
        <v>4868103.3099999996</v>
      </c>
      <c r="M1824">
        <v>0</v>
      </c>
      <c r="N1824">
        <v>4868103.3099999996</v>
      </c>
      <c r="O1824">
        <v>86868.367416131325</v>
      </c>
      <c r="P1824">
        <v>840600</v>
      </c>
      <c r="Q1824">
        <v>4027503.31</v>
      </c>
      <c r="R1824">
        <v>71868.367416131325</v>
      </c>
      <c r="S1824" t="s">
        <v>65</v>
      </c>
      <c r="T1824" t="s">
        <v>5768</v>
      </c>
      <c r="U1824">
        <v>257074.68</v>
      </c>
      <c r="V1824" t="s">
        <v>6312</v>
      </c>
      <c r="W1824">
        <v>45028</v>
      </c>
      <c r="X1824" t="s">
        <v>8087</v>
      </c>
      <c r="Y1824" t="s">
        <v>6</v>
      </c>
      <c r="Z1824" t="s">
        <v>17</v>
      </c>
      <c r="AA1824" t="s">
        <v>6637</v>
      </c>
      <c r="AB1824" t="s">
        <v>2509</v>
      </c>
      <c r="AC1824" t="s">
        <v>2571</v>
      </c>
      <c r="AD1824" t="s">
        <v>717</v>
      </c>
      <c r="AE1824" t="s">
        <v>8088</v>
      </c>
      <c r="AF1824" t="s">
        <v>8089</v>
      </c>
      <c r="AG1824" t="s">
        <v>8090</v>
      </c>
      <c r="AH1824" t="s">
        <v>2615</v>
      </c>
      <c r="AI1824" t="s">
        <v>2847</v>
      </c>
      <c r="AJ1824" t="s">
        <v>2940</v>
      </c>
      <c r="AK1824" t="s">
        <v>8</v>
      </c>
      <c r="AL1824" t="s">
        <v>16</v>
      </c>
      <c r="AM1824" t="s">
        <v>10</v>
      </c>
      <c r="AN1824" t="s">
        <v>717</v>
      </c>
    </row>
    <row r="1825" spans="1:40" hidden="1">
      <c r="A1825">
        <v>1824</v>
      </c>
      <c r="B1825">
        <v>30</v>
      </c>
      <c r="C1825" s="58">
        <v>45036</v>
      </c>
      <c r="D1825" t="s">
        <v>7</v>
      </c>
      <c r="E1825" t="s">
        <v>2581</v>
      </c>
      <c r="F1825">
        <v>1</v>
      </c>
      <c r="G1825">
        <v>13</v>
      </c>
      <c r="H1825">
        <v>318</v>
      </c>
      <c r="I1825">
        <v>0</v>
      </c>
      <c r="J1825">
        <v>29.35</v>
      </c>
      <c r="K1825" t="s">
        <v>25</v>
      </c>
      <c r="L1825">
        <v>2813446.17</v>
      </c>
      <c r="M1825">
        <v>0</v>
      </c>
      <c r="N1825">
        <v>2813446.17</v>
      </c>
      <c r="O1825">
        <v>95858.472572402039</v>
      </c>
      <c r="P1825">
        <v>440250</v>
      </c>
      <c r="Q1825">
        <v>2373196.17</v>
      </c>
      <c r="R1825">
        <v>80858.472572402039</v>
      </c>
      <c r="S1825" t="s">
        <v>130</v>
      </c>
      <c r="T1825" t="s">
        <v>5768</v>
      </c>
      <c r="U1825">
        <v>73397.820000000007</v>
      </c>
      <c r="V1825" t="s">
        <v>717</v>
      </c>
      <c r="W1825">
        <v>45009</v>
      </c>
      <c r="X1825" t="s">
        <v>8091</v>
      </c>
      <c r="Y1825" t="s">
        <v>6</v>
      </c>
      <c r="Z1825" t="s">
        <v>11</v>
      </c>
      <c r="AA1825" t="s">
        <v>717</v>
      </c>
      <c r="AB1825" t="s">
        <v>2509</v>
      </c>
      <c r="AC1825" t="s">
        <v>717</v>
      </c>
      <c r="AD1825" t="s">
        <v>717</v>
      </c>
      <c r="AE1825" t="s">
        <v>8092</v>
      </c>
      <c r="AF1825" t="s">
        <v>8093</v>
      </c>
      <c r="AG1825" t="s">
        <v>8094</v>
      </c>
      <c r="AH1825" t="s">
        <v>2615</v>
      </c>
      <c r="AI1825" t="s">
        <v>2552</v>
      </c>
      <c r="AJ1825" t="s">
        <v>2825</v>
      </c>
      <c r="AK1825" t="s">
        <v>77</v>
      </c>
      <c r="AL1825" t="s">
        <v>717</v>
      </c>
      <c r="AM1825" t="s">
        <v>10</v>
      </c>
      <c r="AN1825" t="s">
        <v>717</v>
      </c>
    </row>
    <row r="1826" spans="1:40" hidden="1">
      <c r="A1826">
        <v>1825</v>
      </c>
      <c r="B1826">
        <v>31</v>
      </c>
      <c r="C1826" s="58">
        <v>45037</v>
      </c>
      <c r="D1826" t="s">
        <v>7</v>
      </c>
      <c r="E1826" t="s">
        <v>2581</v>
      </c>
      <c r="F1826">
        <v>5</v>
      </c>
      <c r="G1826">
        <v>2</v>
      </c>
      <c r="H1826">
        <v>245</v>
      </c>
      <c r="I1826">
        <v>2</v>
      </c>
      <c r="J1826">
        <v>56.7</v>
      </c>
      <c r="K1826" t="s">
        <v>15</v>
      </c>
      <c r="L1826">
        <v>4604760.09</v>
      </c>
      <c r="M1826">
        <v>0</v>
      </c>
      <c r="N1826">
        <v>4604760.09</v>
      </c>
      <c r="O1826">
        <v>81212.7</v>
      </c>
      <c r="P1826">
        <v>226800</v>
      </c>
      <c r="Q1826">
        <v>4377960.09</v>
      </c>
      <c r="R1826">
        <v>77212.7</v>
      </c>
      <c r="S1826" t="s">
        <v>65</v>
      </c>
      <c r="T1826" t="s">
        <v>717</v>
      </c>
      <c r="U1826" t="s">
        <v>717</v>
      </c>
      <c r="V1826" t="s">
        <v>6312</v>
      </c>
      <c r="W1826">
        <v>45033</v>
      </c>
      <c r="X1826" t="s">
        <v>8095</v>
      </c>
      <c r="Y1826" t="s">
        <v>6</v>
      </c>
      <c r="Z1826" t="s">
        <v>17</v>
      </c>
      <c r="AA1826" t="s">
        <v>6637</v>
      </c>
      <c r="AB1826" t="s">
        <v>2509</v>
      </c>
      <c r="AC1826" t="s">
        <v>2571</v>
      </c>
      <c r="AD1826" t="s">
        <v>717</v>
      </c>
      <c r="AE1826" t="s">
        <v>8096</v>
      </c>
      <c r="AF1826" t="s">
        <v>8097</v>
      </c>
      <c r="AG1826" t="s">
        <v>8098</v>
      </c>
      <c r="AH1826" t="s">
        <v>2191</v>
      </c>
      <c r="AI1826" t="s">
        <v>6951</v>
      </c>
      <c r="AJ1826" t="s">
        <v>2514</v>
      </c>
      <c r="AK1826" t="s">
        <v>77</v>
      </c>
      <c r="AL1826" t="s">
        <v>22</v>
      </c>
      <c r="AM1826" t="s">
        <v>10</v>
      </c>
      <c r="AN1826" t="s">
        <v>717</v>
      </c>
    </row>
    <row r="1827" spans="1:40" hidden="1">
      <c r="A1827">
        <v>1826</v>
      </c>
      <c r="B1827">
        <v>32</v>
      </c>
      <c r="C1827" s="58">
        <v>45037</v>
      </c>
      <c r="D1827" t="s">
        <v>7</v>
      </c>
      <c r="E1827" t="s">
        <v>4409</v>
      </c>
      <c r="F1827">
        <v>3</v>
      </c>
      <c r="G1827">
        <v>15</v>
      </c>
      <c r="H1827">
        <v>521</v>
      </c>
      <c r="I1827">
        <v>3</v>
      </c>
      <c r="J1827">
        <v>74.28</v>
      </c>
      <c r="K1827" t="s">
        <v>25</v>
      </c>
      <c r="L1827">
        <v>6382976.3200000003</v>
      </c>
      <c r="M1827">
        <v>15000</v>
      </c>
      <c r="N1827">
        <v>6397976.3200000003</v>
      </c>
      <c r="O1827">
        <v>86133.229940764679</v>
      </c>
      <c r="P1827">
        <v>1114199.9999999993</v>
      </c>
      <c r="Q1827">
        <v>5283776.3200000012</v>
      </c>
      <c r="R1827">
        <v>71133.229940764693</v>
      </c>
      <c r="S1827" t="s">
        <v>65</v>
      </c>
      <c r="T1827" t="s">
        <v>717</v>
      </c>
      <c r="U1827" t="s">
        <v>717</v>
      </c>
      <c r="V1827" t="s">
        <v>1970</v>
      </c>
      <c r="W1827">
        <v>45037</v>
      </c>
      <c r="X1827" t="s">
        <v>8099</v>
      </c>
      <c r="Y1827" t="s">
        <v>6</v>
      </c>
      <c r="Z1827" t="s">
        <v>11</v>
      </c>
      <c r="AA1827" t="s">
        <v>717</v>
      </c>
      <c r="AB1827" t="s">
        <v>2509</v>
      </c>
      <c r="AC1827" t="s">
        <v>2558</v>
      </c>
      <c r="AD1827" t="s">
        <v>717</v>
      </c>
      <c r="AE1827" t="s">
        <v>8100</v>
      </c>
      <c r="AF1827" t="s">
        <v>8101</v>
      </c>
      <c r="AG1827" t="s">
        <v>8102</v>
      </c>
      <c r="AH1827" t="s">
        <v>2615</v>
      </c>
      <c r="AI1827" t="s">
        <v>2552</v>
      </c>
      <c r="AJ1827" t="s">
        <v>2642</v>
      </c>
      <c r="AK1827" t="s">
        <v>73</v>
      </c>
      <c r="AL1827" t="s">
        <v>22</v>
      </c>
      <c r="AM1827" t="s">
        <v>10</v>
      </c>
      <c r="AN1827" t="s">
        <v>717</v>
      </c>
    </row>
    <row r="1828" spans="1:40" hidden="1">
      <c r="A1828">
        <v>1827</v>
      </c>
      <c r="B1828">
        <v>33</v>
      </c>
      <c r="C1828" s="58">
        <v>45038</v>
      </c>
      <c r="D1828" t="s">
        <v>27</v>
      </c>
      <c r="E1828" t="s">
        <v>2515</v>
      </c>
      <c r="F1828">
        <v>4</v>
      </c>
      <c r="G1828">
        <v>24</v>
      </c>
      <c r="H1828">
        <v>202</v>
      </c>
      <c r="I1828">
        <v>0</v>
      </c>
      <c r="J1828">
        <v>24.39</v>
      </c>
      <c r="K1828" t="s">
        <v>15</v>
      </c>
      <c r="L1828">
        <v>2662203.87</v>
      </c>
      <c r="M1828">
        <v>0</v>
      </c>
      <c r="N1828">
        <v>2662203.87</v>
      </c>
      <c r="O1828">
        <v>109151.45018450184</v>
      </c>
      <c r="P1828">
        <v>97559.999999996275</v>
      </c>
      <c r="Q1828">
        <v>2564643.8700000038</v>
      </c>
      <c r="R1828">
        <v>105151.450184502</v>
      </c>
      <c r="S1828" t="s">
        <v>65</v>
      </c>
      <c r="T1828" t="s">
        <v>717</v>
      </c>
      <c r="U1828" t="s">
        <v>717</v>
      </c>
      <c r="V1828" t="s">
        <v>4131</v>
      </c>
      <c r="W1828">
        <v>45033</v>
      </c>
      <c r="X1828" t="s">
        <v>8103</v>
      </c>
      <c r="Y1828" t="s">
        <v>6</v>
      </c>
      <c r="Z1828" t="s">
        <v>17</v>
      </c>
      <c r="AA1828" t="s">
        <v>6637</v>
      </c>
      <c r="AB1828" t="s">
        <v>2509</v>
      </c>
      <c r="AC1828" t="s">
        <v>2571</v>
      </c>
      <c r="AD1828" t="s">
        <v>717</v>
      </c>
      <c r="AE1828" t="s">
        <v>8104</v>
      </c>
      <c r="AF1828" t="s">
        <v>8105</v>
      </c>
      <c r="AG1828" t="s">
        <v>8106</v>
      </c>
      <c r="AH1828" t="s">
        <v>2615</v>
      </c>
      <c r="AI1828" t="s">
        <v>3120</v>
      </c>
      <c r="AJ1828" t="s">
        <v>2569</v>
      </c>
      <c r="AK1828" t="s">
        <v>8</v>
      </c>
      <c r="AL1828" t="s">
        <v>16</v>
      </c>
      <c r="AM1828" t="s">
        <v>10</v>
      </c>
      <c r="AN1828" t="s">
        <v>717</v>
      </c>
    </row>
    <row r="1829" spans="1:40" hidden="1">
      <c r="A1829">
        <v>1828</v>
      </c>
      <c r="B1829">
        <v>34</v>
      </c>
      <c r="C1829" s="58">
        <v>45040</v>
      </c>
      <c r="D1829" t="s">
        <v>7</v>
      </c>
      <c r="E1829" t="s">
        <v>2506</v>
      </c>
      <c r="F1829">
        <v>3</v>
      </c>
      <c r="G1829">
        <v>2</v>
      </c>
      <c r="H1829">
        <v>123</v>
      </c>
      <c r="I1829">
        <v>1</v>
      </c>
      <c r="J1829">
        <v>35.380000000000003</v>
      </c>
      <c r="K1829" t="s">
        <v>15</v>
      </c>
      <c r="L1829">
        <v>3071455.37</v>
      </c>
      <c r="M1829">
        <v>15000</v>
      </c>
      <c r="N1829">
        <v>3086455.37</v>
      </c>
      <c r="O1829">
        <v>87237.291407574899</v>
      </c>
      <c r="P1829">
        <v>141520</v>
      </c>
      <c r="Q1829">
        <v>2944935.37</v>
      </c>
      <c r="R1829">
        <v>83237.291407574899</v>
      </c>
      <c r="S1829" t="s">
        <v>65</v>
      </c>
      <c r="T1829" t="s">
        <v>5768</v>
      </c>
      <c r="U1829">
        <v>187974.6</v>
      </c>
      <c r="V1829" t="s">
        <v>6312</v>
      </c>
      <c r="W1829">
        <v>45012</v>
      </c>
      <c r="X1829" t="s">
        <v>8107</v>
      </c>
      <c r="Y1829" t="s">
        <v>6</v>
      </c>
      <c r="Z1829" t="s">
        <v>17</v>
      </c>
      <c r="AA1829" t="s">
        <v>6637</v>
      </c>
      <c r="AB1829" t="s">
        <v>2509</v>
      </c>
      <c r="AC1829" t="s">
        <v>2571</v>
      </c>
      <c r="AD1829" t="s">
        <v>717</v>
      </c>
      <c r="AE1829" t="s">
        <v>8108</v>
      </c>
      <c r="AF1829" t="s">
        <v>8109</v>
      </c>
      <c r="AG1829" t="s">
        <v>8110</v>
      </c>
      <c r="AH1829" t="s">
        <v>2191</v>
      </c>
      <c r="AI1829" t="s">
        <v>2552</v>
      </c>
      <c r="AJ1829" t="s">
        <v>2514</v>
      </c>
      <c r="AK1829" t="s">
        <v>1233</v>
      </c>
      <c r="AL1829" t="s">
        <v>16</v>
      </c>
      <c r="AM1829" t="s">
        <v>10</v>
      </c>
      <c r="AN1829" t="s">
        <v>717</v>
      </c>
    </row>
    <row r="1830" spans="1:40" hidden="1">
      <c r="A1830">
        <v>1829</v>
      </c>
      <c r="B1830">
        <v>35</v>
      </c>
      <c r="C1830" s="58">
        <v>45040</v>
      </c>
      <c r="D1830" t="s">
        <v>7</v>
      </c>
      <c r="E1830" t="s">
        <v>4409</v>
      </c>
      <c r="F1830">
        <v>4</v>
      </c>
      <c r="G1830">
        <v>16</v>
      </c>
      <c r="H1830">
        <v>531</v>
      </c>
      <c r="I1830">
        <v>1</v>
      </c>
      <c r="J1830">
        <v>36.5</v>
      </c>
      <c r="K1830" t="s">
        <v>25</v>
      </c>
      <c r="L1830">
        <v>4008731.86</v>
      </c>
      <c r="M1830">
        <v>0</v>
      </c>
      <c r="N1830">
        <v>4008731.86</v>
      </c>
      <c r="O1830">
        <v>109828.27013698628</v>
      </c>
      <c r="P1830">
        <v>547499.99999999953</v>
      </c>
      <c r="Q1830">
        <v>3461231.8600000003</v>
      </c>
      <c r="R1830">
        <v>94828.270136986306</v>
      </c>
      <c r="S1830" t="s">
        <v>65</v>
      </c>
      <c r="T1830" t="s">
        <v>717</v>
      </c>
      <c r="U1830" t="s">
        <v>717</v>
      </c>
      <c r="V1830" t="s">
        <v>4131</v>
      </c>
      <c r="W1830">
        <v>45033</v>
      </c>
      <c r="X1830" t="s">
        <v>8111</v>
      </c>
      <c r="Y1830" t="s">
        <v>6</v>
      </c>
      <c r="Z1830" t="s">
        <v>17</v>
      </c>
      <c r="AA1830" t="s">
        <v>6637</v>
      </c>
      <c r="AB1830" t="s">
        <v>2509</v>
      </c>
      <c r="AC1830" t="s">
        <v>2571</v>
      </c>
      <c r="AD1830" t="s">
        <v>717</v>
      </c>
      <c r="AE1830" t="s">
        <v>8112</v>
      </c>
      <c r="AF1830" t="s">
        <v>8113</v>
      </c>
      <c r="AG1830" t="s">
        <v>8114</v>
      </c>
      <c r="AH1830" t="s">
        <v>2615</v>
      </c>
      <c r="AI1830" t="s">
        <v>2847</v>
      </c>
      <c r="AJ1830" t="s">
        <v>3202</v>
      </c>
      <c r="AK1830" t="s">
        <v>73</v>
      </c>
      <c r="AL1830" t="s">
        <v>16</v>
      </c>
      <c r="AM1830" t="s">
        <v>10</v>
      </c>
      <c r="AN1830" t="s">
        <v>717</v>
      </c>
    </row>
    <row r="1831" spans="1:40" hidden="1">
      <c r="A1831">
        <v>1830</v>
      </c>
      <c r="B1831">
        <v>36</v>
      </c>
      <c r="C1831" s="58">
        <v>45040</v>
      </c>
      <c r="D1831" t="s">
        <v>7</v>
      </c>
      <c r="E1831" t="s">
        <v>2581</v>
      </c>
      <c r="F1831">
        <v>6</v>
      </c>
      <c r="G1831">
        <v>17</v>
      </c>
      <c r="H1831">
        <v>351</v>
      </c>
      <c r="I1831">
        <v>3</v>
      </c>
      <c r="J1831">
        <v>72.510000000000005</v>
      </c>
      <c r="K1831" t="s">
        <v>15</v>
      </c>
      <c r="L1831">
        <v>5590138.2800000003</v>
      </c>
      <c r="M1831">
        <v>0</v>
      </c>
      <c r="N1831">
        <v>5590138.2800000003</v>
      </c>
      <c r="O1831">
        <v>77094.721831471514</v>
      </c>
      <c r="P1831">
        <v>290040</v>
      </c>
      <c r="Q1831">
        <v>5300098.28</v>
      </c>
      <c r="R1831">
        <v>73094.721831471514</v>
      </c>
      <c r="S1831" t="s">
        <v>65</v>
      </c>
      <c r="T1831" t="s">
        <v>3309</v>
      </c>
      <c r="U1831">
        <v>165000</v>
      </c>
      <c r="V1831" t="s">
        <v>6312</v>
      </c>
      <c r="W1831">
        <v>45034</v>
      </c>
      <c r="X1831" t="s">
        <v>8115</v>
      </c>
      <c r="Y1831" t="s">
        <v>6</v>
      </c>
      <c r="Z1831" t="s">
        <v>17</v>
      </c>
      <c r="AA1831" t="s">
        <v>6637</v>
      </c>
      <c r="AB1831" t="s">
        <v>2509</v>
      </c>
      <c r="AC1831" t="s">
        <v>2571</v>
      </c>
      <c r="AD1831" t="s">
        <v>717</v>
      </c>
      <c r="AE1831" t="s">
        <v>8116</v>
      </c>
      <c r="AF1831" t="s">
        <v>8117</v>
      </c>
      <c r="AG1831" t="s">
        <v>8118</v>
      </c>
      <c r="AH1831" t="s">
        <v>2615</v>
      </c>
      <c r="AI1831" t="s">
        <v>2847</v>
      </c>
      <c r="AJ1831" t="s">
        <v>2940</v>
      </c>
      <c r="AK1831" t="s">
        <v>73</v>
      </c>
      <c r="AL1831" t="s">
        <v>16</v>
      </c>
      <c r="AM1831" t="s">
        <v>10</v>
      </c>
      <c r="AN1831" t="s">
        <v>717</v>
      </c>
    </row>
    <row r="1832" spans="1:40" hidden="1">
      <c r="A1832">
        <v>1831</v>
      </c>
      <c r="B1832">
        <v>37</v>
      </c>
      <c r="C1832" s="58">
        <v>45040</v>
      </c>
      <c r="D1832" t="s">
        <v>7</v>
      </c>
      <c r="E1832" t="s">
        <v>2515</v>
      </c>
      <c r="F1832">
        <v>4</v>
      </c>
      <c r="G1832">
        <v>11</v>
      </c>
      <c r="H1832">
        <v>76</v>
      </c>
      <c r="I1832">
        <v>2</v>
      </c>
      <c r="J1832">
        <v>56.03</v>
      </c>
      <c r="K1832" t="s">
        <v>15</v>
      </c>
      <c r="L1832">
        <v>4290773.93</v>
      </c>
      <c r="M1832">
        <v>0</v>
      </c>
      <c r="N1832">
        <v>4290773.93</v>
      </c>
      <c r="O1832">
        <v>76579.938068891657</v>
      </c>
      <c r="P1832">
        <v>224120</v>
      </c>
      <c r="Q1832">
        <v>4066653.93</v>
      </c>
      <c r="R1832">
        <v>72579.938068891657</v>
      </c>
      <c r="S1832" t="s">
        <v>65</v>
      </c>
      <c r="T1832" t="s">
        <v>5768</v>
      </c>
      <c r="U1832">
        <v>259573.65</v>
      </c>
      <c r="V1832" t="s">
        <v>6312</v>
      </c>
      <c r="W1832">
        <v>45035</v>
      </c>
      <c r="X1832" t="s">
        <v>8119</v>
      </c>
      <c r="Y1832" t="s">
        <v>6</v>
      </c>
      <c r="Z1832" t="s">
        <v>17</v>
      </c>
      <c r="AA1832" t="s">
        <v>6637</v>
      </c>
      <c r="AB1832" t="s">
        <v>2509</v>
      </c>
      <c r="AC1832" t="s">
        <v>2571</v>
      </c>
      <c r="AD1832" t="s">
        <v>717</v>
      </c>
      <c r="AE1832" t="s">
        <v>8120</v>
      </c>
      <c r="AF1832" t="s">
        <v>8121</v>
      </c>
      <c r="AG1832" t="s">
        <v>8122</v>
      </c>
      <c r="AH1832" t="s">
        <v>2191</v>
      </c>
      <c r="AI1832" t="s">
        <v>2552</v>
      </c>
      <c r="AJ1832" t="s">
        <v>2514</v>
      </c>
      <c r="AK1832" t="s">
        <v>73</v>
      </c>
      <c r="AL1832" t="s">
        <v>22</v>
      </c>
      <c r="AM1832" t="s">
        <v>10</v>
      </c>
      <c r="AN1832" t="s">
        <v>717</v>
      </c>
    </row>
    <row r="1833" spans="1:40" hidden="1">
      <c r="A1833">
        <v>1832</v>
      </c>
      <c r="B1833">
        <v>38</v>
      </c>
      <c r="C1833" s="58">
        <v>45040</v>
      </c>
      <c r="D1833" t="s">
        <v>7</v>
      </c>
      <c r="E1833" t="s">
        <v>2506</v>
      </c>
      <c r="F1833">
        <v>6</v>
      </c>
      <c r="G1833">
        <v>15</v>
      </c>
      <c r="H1833">
        <v>230</v>
      </c>
      <c r="I1833">
        <v>1</v>
      </c>
      <c r="J1833">
        <v>36.659999999999997</v>
      </c>
      <c r="K1833" t="s">
        <v>15</v>
      </c>
      <c r="L1833">
        <v>3489645.6</v>
      </c>
      <c r="M1833">
        <v>0</v>
      </c>
      <c r="N1833">
        <v>3489645.6</v>
      </c>
      <c r="O1833">
        <v>95189.459901800336</v>
      </c>
      <c r="P1833">
        <v>146640</v>
      </c>
      <c r="Q1833">
        <v>3343005.6</v>
      </c>
      <c r="R1833">
        <v>91189.459901800336</v>
      </c>
      <c r="S1833" t="s">
        <v>65</v>
      </c>
      <c r="T1833" t="s">
        <v>717</v>
      </c>
      <c r="U1833" t="s">
        <v>717</v>
      </c>
      <c r="V1833" t="s">
        <v>6312</v>
      </c>
      <c r="W1833">
        <v>45036</v>
      </c>
      <c r="X1833" t="s">
        <v>8123</v>
      </c>
      <c r="Y1833" t="s">
        <v>6</v>
      </c>
      <c r="Z1833" t="s">
        <v>17</v>
      </c>
      <c r="AA1833" t="s">
        <v>6637</v>
      </c>
      <c r="AB1833" t="s">
        <v>2509</v>
      </c>
      <c r="AC1833" t="s">
        <v>2571</v>
      </c>
      <c r="AD1833" t="s">
        <v>717</v>
      </c>
      <c r="AE1833" t="s">
        <v>8124</v>
      </c>
      <c r="AF1833" t="s">
        <v>8125</v>
      </c>
      <c r="AG1833" t="s">
        <v>8126</v>
      </c>
      <c r="AH1833" t="s">
        <v>2191</v>
      </c>
      <c r="AI1833" t="s">
        <v>2538</v>
      </c>
      <c r="AJ1833" t="s">
        <v>2514</v>
      </c>
      <c r="AK1833" t="s">
        <v>73</v>
      </c>
      <c r="AL1833" t="s">
        <v>16</v>
      </c>
      <c r="AM1833" t="s">
        <v>10</v>
      </c>
      <c r="AN1833" t="s">
        <v>717</v>
      </c>
    </row>
    <row r="1834" spans="1:40" hidden="1">
      <c r="A1834">
        <v>1833</v>
      </c>
      <c r="B1834">
        <v>39</v>
      </c>
      <c r="C1834" s="58">
        <v>45041</v>
      </c>
      <c r="D1834" t="s">
        <v>7</v>
      </c>
      <c r="E1834" t="s">
        <v>2506</v>
      </c>
      <c r="F1834">
        <v>2</v>
      </c>
      <c r="G1834">
        <v>3</v>
      </c>
      <c r="H1834">
        <v>130</v>
      </c>
      <c r="I1834">
        <v>2</v>
      </c>
      <c r="J1834">
        <v>68.75</v>
      </c>
      <c r="K1834" t="s">
        <v>15</v>
      </c>
      <c r="L1834">
        <v>5620630.1299999999</v>
      </c>
      <c r="M1834">
        <v>0</v>
      </c>
      <c r="N1834">
        <v>5620630.1299999999</v>
      </c>
      <c r="O1834">
        <v>81754.620072727266</v>
      </c>
      <c r="P1834">
        <v>275000</v>
      </c>
      <c r="Q1834">
        <v>5345630.13</v>
      </c>
      <c r="R1834">
        <v>77754.620072727266</v>
      </c>
      <c r="S1834" t="s">
        <v>65</v>
      </c>
      <c r="T1834" t="s">
        <v>5443</v>
      </c>
      <c r="U1834">
        <v>275000</v>
      </c>
      <c r="V1834" t="s">
        <v>6312</v>
      </c>
      <c r="W1834">
        <v>45029</v>
      </c>
      <c r="X1834" t="s">
        <v>8127</v>
      </c>
      <c r="Y1834" t="s">
        <v>6</v>
      </c>
      <c r="Z1834" t="s">
        <v>17</v>
      </c>
      <c r="AA1834" t="s">
        <v>6637</v>
      </c>
      <c r="AB1834" t="s">
        <v>2509</v>
      </c>
      <c r="AC1834" t="s">
        <v>2571</v>
      </c>
      <c r="AD1834" t="s">
        <v>717</v>
      </c>
      <c r="AE1834" t="s">
        <v>8128</v>
      </c>
      <c r="AF1834" t="s">
        <v>8129</v>
      </c>
      <c r="AG1834" t="s">
        <v>8130</v>
      </c>
      <c r="AH1834" t="s">
        <v>2615</v>
      </c>
      <c r="AI1834" t="s">
        <v>2847</v>
      </c>
      <c r="AJ1834" t="s">
        <v>2940</v>
      </c>
      <c r="AK1834" t="s">
        <v>77</v>
      </c>
      <c r="AL1834" t="s">
        <v>22</v>
      </c>
      <c r="AM1834" t="s">
        <v>10</v>
      </c>
      <c r="AN1834" t="s">
        <v>717</v>
      </c>
    </row>
    <row r="1835" spans="1:40" hidden="1">
      <c r="A1835">
        <v>1834</v>
      </c>
      <c r="B1835">
        <v>40</v>
      </c>
      <c r="C1835" s="58">
        <v>45041</v>
      </c>
      <c r="D1835" t="s">
        <v>7</v>
      </c>
      <c r="E1835" t="s">
        <v>2506</v>
      </c>
      <c r="F1835">
        <v>7</v>
      </c>
      <c r="G1835">
        <v>10</v>
      </c>
      <c r="H1835">
        <v>191</v>
      </c>
      <c r="I1835">
        <v>3</v>
      </c>
      <c r="J1835">
        <v>78.73</v>
      </c>
      <c r="K1835" t="s">
        <v>15</v>
      </c>
      <c r="L1835">
        <v>6248821.3600000003</v>
      </c>
      <c r="M1835">
        <v>0</v>
      </c>
      <c r="N1835">
        <v>6248821.3600000003</v>
      </c>
      <c r="O1835">
        <v>79370.270036834758</v>
      </c>
      <c r="P1835">
        <v>314920</v>
      </c>
      <c r="Q1835">
        <v>5933901.3600000003</v>
      </c>
      <c r="R1835">
        <v>75370.270036834758</v>
      </c>
      <c r="S1835" t="s">
        <v>130</v>
      </c>
      <c r="T1835" t="s">
        <v>717</v>
      </c>
      <c r="U1835" t="s">
        <v>717</v>
      </c>
      <c r="V1835" t="s">
        <v>717</v>
      </c>
      <c r="W1835">
        <v>45037</v>
      </c>
      <c r="X1835" t="s">
        <v>8131</v>
      </c>
      <c r="Y1835" t="s">
        <v>6</v>
      </c>
      <c r="Z1835" t="s">
        <v>17</v>
      </c>
      <c r="AA1835" t="s">
        <v>6637</v>
      </c>
      <c r="AB1835" t="s">
        <v>2509</v>
      </c>
      <c r="AC1835" t="s">
        <v>717</v>
      </c>
      <c r="AD1835" t="s">
        <v>717</v>
      </c>
      <c r="AE1835" t="s">
        <v>8132</v>
      </c>
      <c r="AF1835" t="s">
        <v>8133</v>
      </c>
      <c r="AG1835" t="s">
        <v>8134</v>
      </c>
      <c r="AH1835" t="s">
        <v>6100</v>
      </c>
      <c r="AI1835" t="s">
        <v>5653</v>
      </c>
      <c r="AJ1835" t="s">
        <v>31</v>
      </c>
      <c r="AK1835" t="s">
        <v>1233</v>
      </c>
      <c r="AL1835" t="s">
        <v>717</v>
      </c>
      <c r="AM1835" t="s">
        <v>5654</v>
      </c>
      <c r="AN1835" t="s">
        <v>717</v>
      </c>
    </row>
    <row r="1836" spans="1:40" hidden="1">
      <c r="A1836">
        <v>1835</v>
      </c>
      <c r="B1836">
        <v>41</v>
      </c>
      <c r="C1836" s="58">
        <v>45042</v>
      </c>
      <c r="D1836" t="s">
        <v>121</v>
      </c>
      <c r="E1836" t="s">
        <v>2515</v>
      </c>
      <c r="F1836">
        <v>3</v>
      </c>
      <c r="G1836">
        <v>5</v>
      </c>
      <c r="H1836">
        <v>24</v>
      </c>
      <c r="I1836">
        <v>3</v>
      </c>
      <c r="J1836">
        <v>78.599999999999994</v>
      </c>
      <c r="K1836" t="s">
        <v>15</v>
      </c>
      <c r="L1836">
        <v>4600000</v>
      </c>
      <c r="M1836">
        <v>0</v>
      </c>
      <c r="N1836">
        <v>4600000</v>
      </c>
      <c r="O1836">
        <v>58524.173027989826</v>
      </c>
      <c r="P1836">
        <v>432299.99999999994</v>
      </c>
      <c r="Q1836">
        <v>4167700</v>
      </c>
      <c r="R1836">
        <v>53024.173027989826</v>
      </c>
      <c r="S1836" t="s">
        <v>65</v>
      </c>
      <c r="T1836" t="s">
        <v>2941</v>
      </c>
      <c r="U1836">
        <v>1803200.09</v>
      </c>
      <c r="V1836" t="s">
        <v>6312</v>
      </c>
      <c r="W1836">
        <v>45034</v>
      </c>
      <c r="X1836" t="s">
        <v>8135</v>
      </c>
      <c r="Y1836" t="s">
        <v>6</v>
      </c>
      <c r="Z1836" t="s">
        <v>17</v>
      </c>
      <c r="AA1836" t="s">
        <v>6637</v>
      </c>
      <c r="AB1836" t="s">
        <v>326</v>
      </c>
      <c r="AC1836" t="s">
        <v>2571</v>
      </c>
      <c r="AD1836" t="s">
        <v>717</v>
      </c>
      <c r="AE1836" t="s">
        <v>8136</v>
      </c>
      <c r="AF1836" t="s">
        <v>8137</v>
      </c>
      <c r="AG1836" t="s">
        <v>8138</v>
      </c>
      <c r="AH1836" t="s">
        <v>2191</v>
      </c>
      <c r="AI1836" t="s">
        <v>2621</v>
      </c>
      <c r="AJ1836" t="s">
        <v>2514</v>
      </c>
      <c r="AK1836" t="s">
        <v>77</v>
      </c>
      <c r="AL1836" t="s">
        <v>22</v>
      </c>
      <c r="AM1836" t="s">
        <v>10</v>
      </c>
      <c r="AN1836" t="s">
        <v>717</v>
      </c>
    </row>
    <row r="1837" spans="1:40" hidden="1">
      <c r="A1837">
        <v>1836</v>
      </c>
      <c r="B1837">
        <v>42</v>
      </c>
      <c r="C1837" s="58">
        <v>45042</v>
      </c>
      <c r="D1837" t="s">
        <v>7</v>
      </c>
      <c r="E1837" t="s">
        <v>2515</v>
      </c>
      <c r="F1837">
        <v>2</v>
      </c>
      <c r="G1837">
        <v>15</v>
      </c>
      <c r="H1837">
        <v>106</v>
      </c>
      <c r="I1837">
        <v>2</v>
      </c>
      <c r="J1837">
        <v>61.76</v>
      </c>
      <c r="K1837" t="s">
        <v>15</v>
      </c>
      <c r="L1837">
        <v>5205479.2699999996</v>
      </c>
      <c r="M1837">
        <v>0</v>
      </c>
      <c r="N1837">
        <v>5205479.2699999996</v>
      </c>
      <c r="O1837">
        <v>84285.609941709845</v>
      </c>
      <c r="P1837">
        <v>247040</v>
      </c>
      <c r="Q1837">
        <v>4958439.2699999996</v>
      </c>
      <c r="R1837">
        <v>80285.609941709845</v>
      </c>
      <c r="S1837" t="s">
        <v>65</v>
      </c>
      <c r="T1837" t="s">
        <v>717</v>
      </c>
      <c r="U1837" t="s">
        <v>717</v>
      </c>
      <c r="V1837" t="s">
        <v>4131</v>
      </c>
      <c r="W1837">
        <v>45040</v>
      </c>
      <c r="X1837" t="s">
        <v>8139</v>
      </c>
      <c r="Y1837" t="s">
        <v>6</v>
      </c>
      <c r="Z1837" t="s">
        <v>17</v>
      </c>
      <c r="AA1837" t="s">
        <v>6637</v>
      </c>
      <c r="AB1837" t="s">
        <v>2509</v>
      </c>
      <c r="AC1837" t="s">
        <v>2571</v>
      </c>
      <c r="AD1837" t="s">
        <v>717</v>
      </c>
      <c r="AE1837" t="s">
        <v>8140</v>
      </c>
      <c r="AF1837" t="s">
        <v>8141</v>
      </c>
      <c r="AG1837" t="s">
        <v>8142</v>
      </c>
      <c r="AH1837" t="s">
        <v>2615</v>
      </c>
      <c r="AI1837" t="s">
        <v>2673</v>
      </c>
      <c r="AJ1837" t="s">
        <v>2662</v>
      </c>
      <c r="AK1837" t="s">
        <v>8</v>
      </c>
      <c r="AL1837" t="s">
        <v>16</v>
      </c>
      <c r="AM1837" t="s">
        <v>10</v>
      </c>
      <c r="AN1837" t="s">
        <v>717</v>
      </c>
    </row>
    <row r="1838" spans="1:40" hidden="1">
      <c r="A1838">
        <v>1837</v>
      </c>
      <c r="B1838">
        <v>43</v>
      </c>
      <c r="C1838" s="58">
        <v>45042</v>
      </c>
      <c r="D1838" t="s">
        <v>7</v>
      </c>
      <c r="E1838" t="s">
        <v>4409</v>
      </c>
      <c r="F1838">
        <v>1</v>
      </c>
      <c r="G1838">
        <v>3</v>
      </c>
      <c r="H1838">
        <v>411</v>
      </c>
      <c r="I1838">
        <v>1</v>
      </c>
      <c r="J1838">
        <v>39.74</v>
      </c>
      <c r="K1838" t="s">
        <v>25</v>
      </c>
      <c r="L1838">
        <v>3937028.34</v>
      </c>
      <c r="M1838">
        <v>0</v>
      </c>
      <c r="N1838">
        <v>3937028.34</v>
      </c>
      <c r="O1838">
        <v>99069.661298439853</v>
      </c>
      <c r="P1838">
        <v>596100</v>
      </c>
      <c r="Q1838">
        <v>3340928.34</v>
      </c>
      <c r="R1838">
        <v>84069.661298439853</v>
      </c>
      <c r="S1838" t="s">
        <v>130</v>
      </c>
      <c r="T1838" t="s">
        <v>5768</v>
      </c>
      <c r="U1838">
        <v>213250.75</v>
      </c>
      <c r="V1838" t="s">
        <v>717</v>
      </c>
      <c r="W1838">
        <v>45041</v>
      </c>
      <c r="X1838" t="s">
        <v>8143</v>
      </c>
      <c r="Y1838" t="s">
        <v>6</v>
      </c>
      <c r="Z1838" t="s">
        <v>17</v>
      </c>
      <c r="AA1838" t="s">
        <v>6637</v>
      </c>
      <c r="AB1838" t="s">
        <v>2509</v>
      </c>
      <c r="AC1838" t="s">
        <v>717</v>
      </c>
      <c r="AD1838" t="s">
        <v>717</v>
      </c>
      <c r="AE1838" t="s">
        <v>8144</v>
      </c>
      <c r="AF1838" t="s">
        <v>8145</v>
      </c>
      <c r="AG1838" t="s">
        <v>8146</v>
      </c>
      <c r="AH1838" t="s">
        <v>2191</v>
      </c>
      <c r="AI1838" t="s">
        <v>6951</v>
      </c>
      <c r="AJ1838" t="s">
        <v>2514</v>
      </c>
      <c r="AK1838" t="s">
        <v>8</v>
      </c>
      <c r="AL1838" t="s">
        <v>717</v>
      </c>
      <c r="AM1838" t="s">
        <v>10</v>
      </c>
      <c r="AN1838" t="s">
        <v>717</v>
      </c>
    </row>
    <row r="1839" spans="1:40" hidden="1">
      <c r="A1839">
        <v>1838</v>
      </c>
      <c r="B1839">
        <v>44</v>
      </c>
      <c r="C1839" s="58">
        <v>45043</v>
      </c>
      <c r="D1839" t="s">
        <v>7</v>
      </c>
      <c r="E1839" t="s">
        <v>4409</v>
      </c>
      <c r="F1839">
        <v>9</v>
      </c>
      <c r="G1839">
        <v>2</v>
      </c>
      <c r="H1839">
        <v>410</v>
      </c>
      <c r="I1839">
        <v>1</v>
      </c>
      <c r="J1839">
        <v>44.64</v>
      </c>
      <c r="K1839" t="s">
        <v>15</v>
      </c>
      <c r="L1839">
        <v>3876496.08</v>
      </c>
      <c r="M1839">
        <v>0</v>
      </c>
      <c r="N1839">
        <v>3876496.08</v>
      </c>
      <c r="O1839">
        <v>86839.069892473126</v>
      </c>
      <c r="P1839">
        <v>178560</v>
      </c>
      <c r="Q1839">
        <v>3697936.08</v>
      </c>
      <c r="R1839">
        <v>82839.069892473126</v>
      </c>
      <c r="S1839" t="s">
        <v>65</v>
      </c>
      <c r="T1839" t="s">
        <v>5443</v>
      </c>
      <c r="U1839">
        <v>178560</v>
      </c>
      <c r="V1839" t="s">
        <v>4131</v>
      </c>
      <c r="W1839">
        <v>45035</v>
      </c>
      <c r="X1839" t="s">
        <v>8147</v>
      </c>
      <c r="Y1839" t="s">
        <v>6</v>
      </c>
      <c r="Z1839" t="s">
        <v>17</v>
      </c>
      <c r="AA1839" t="s">
        <v>6637</v>
      </c>
      <c r="AB1839" t="s">
        <v>2509</v>
      </c>
      <c r="AC1839" t="s">
        <v>2571</v>
      </c>
      <c r="AD1839" t="s">
        <v>717</v>
      </c>
      <c r="AE1839" t="s">
        <v>8148</v>
      </c>
      <c r="AF1839" t="s">
        <v>8149</v>
      </c>
      <c r="AG1839" t="s">
        <v>8150</v>
      </c>
      <c r="AH1839" t="s">
        <v>2191</v>
      </c>
      <c r="AI1839" t="s">
        <v>2552</v>
      </c>
      <c r="AJ1839" t="s">
        <v>2514</v>
      </c>
      <c r="AK1839" t="s">
        <v>77</v>
      </c>
      <c r="AL1839" t="s">
        <v>16</v>
      </c>
      <c r="AM1839" t="s">
        <v>10</v>
      </c>
      <c r="AN1839" t="s">
        <v>717</v>
      </c>
    </row>
    <row r="1840" spans="1:40" hidden="1">
      <c r="A1840">
        <v>1839</v>
      </c>
      <c r="B1840">
        <v>45</v>
      </c>
      <c r="C1840" s="58">
        <v>45043</v>
      </c>
      <c r="D1840" t="s">
        <v>7</v>
      </c>
      <c r="E1840" t="s">
        <v>2581</v>
      </c>
      <c r="F1840">
        <v>3</v>
      </c>
      <c r="G1840">
        <v>11</v>
      </c>
      <c r="H1840">
        <v>306</v>
      </c>
      <c r="I1840">
        <v>0</v>
      </c>
      <c r="J1840">
        <v>36.450000000000003</v>
      </c>
      <c r="K1840" t="s">
        <v>25</v>
      </c>
      <c r="L1840">
        <v>3646267.37</v>
      </c>
      <c r="M1840">
        <v>0</v>
      </c>
      <c r="N1840">
        <v>3646267.37</v>
      </c>
      <c r="O1840">
        <v>100034.77009602194</v>
      </c>
      <c r="P1840">
        <v>546750</v>
      </c>
      <c r="Q1840">
        <v>3099517.37</v>
      </c>
      <c r="R1840">
        <v>85034.770096021937</v>
      </c>
      <c r="S1840" t="s">
        <v>65</v>
      </c>
      <c r="T1840" t="s">
        <v>717</v>
      </c>
      <c r="U1840" t="s">
        <v>717</v>
      </c>
      <c r="V1840" t="s">
        <v>4131</v>
      </c>
      <c r="W1840">
        <v>45038</v>
      </c>
      <c r="X1840" t="s">
        <v>8151</v>
      </c>
      <c r="Y1840" t="s">
        <v>6</v>
      </c>
      <c r="Z1840" t="s">
        <v>17</v>
      </c>
      <c r="AA1840" t="s">
        <v>6637</v>
      </c>
      <c r="AB1840" t="s">
        <v>2509</v>
      </c>
      <c r="AC1840" t="s">
        <v>2571</v>
      </c>
      <c r="AD1840" t="s">
        <v>717</v>
      </c>
      <c r="AE1840" t="s">
        <v>8152</v>
      </c>
      <c r="AF1840" t="s">
        <v>8153</v>
      </c>
      <c r="AG1840" t="s">
        <v>8154</v>
      </c>
      <c r="AH1840" t="s">
        <v>2191</v>
      </c>
      <c r="AI1840" t="s">
        <v>6951</v>
      </c>
      <c r="AJ1840" t="s">
        <v>2514</v>
      </c>
      <c r="AK1840" t="s">
        <v>77</v>
      </c>
      <c r="AL1840" t="s">
        <v>22</v>
      </c>
      <c r="AM1840" t="s">
        <v>10</v>
      </c>
      <c r="AN1840" t="s">
        <v>717</v>
      </c>
    </row>
    <row r="1841" spans="1:40" hidden="1">
      <c r="A1841">
        <v>1840</v>
      </c>
      <c r="B1841">
        <v>46</v>
      </c>
      <c r="C1841" s="58">
        <v>45043</v>
      </c>
      <c r="D1841" t="s">
        <v>7</v>
      </c>
      <c r="E1841" t="s">
        <v>4409</v>
      </c>
      <c r="F1841">
        <v>5</v>
      </c>
      <c r="G1841">
        <v>13</v>
      </c>
      <c r="H1841">
        <v>505</v>
      </c>
      <c r="I1841">
        <v>2</v>
      </c>
      <c r="J1841">
        <v>56.04</v>
      </c>
      <c r="K1841" t="s">
        <v>15</v>
      </c>
      <c r="L1841">
        <v>4291539.7300000004</v>
      </c>
      <c r="M1841">
        <v>0</v>
      </c>
      <c r="N1841">
        <v>4291539.7300000004</v>
      </c>
      <c r="O1841">
        <v>76579.938079942905</v>
      </c>
      <c r="P1841">
        <v>224160</v>
      </c>
      <c r="Q1841">
        <v>4067379.73</v>
      </c>
      <c r="R1841">
        <v>72579.938079942905</v>
      </c>
      <c r="S1841" t="s">
        <v>130</v>
      </c>
      <c r="T1841" t="s">
        <v>5768</v>
      </c>
      <c r="U1841">
        <v>259619.98</v>
      </c>
      <c r="V1841" t="s">
        <v>717</v>
      </c>
      <c r="W1841">
        <v>45040</v>
      </c>
      <c r="X1841" t="s">
        <v>8155</v>
      </c>
      <c r="Y1841" t="s">
        <v>6</v>
      </c>
      <c r="Z1841" t="s">
        <v>17</v>
      </c>
      <c r="AA1841" t="s">
        <v>6637</v>
      </c>
      <c r="AB1841" t="s">
        <v>2509</v>
      </c>
      <c r="AC1841" t="s">
        <v>717</v>
      </c>
      <c r="AD1841" t="s">
        <v>717</v>
      </c>
      <c r="AE1841" t="s">
        <v>8156</v>
      </c>
      <c r="AF1841" t="s">
        <v>8157</v>
      </c>
      <c r="AG1841" t="s">
        <v>8158</v>
      </c>
      <c r="AH1841" t="s">
        <v>2552</v>
      </c>
      <c r="AI1841" t="s">
        <v>2877</v>
      </c>
      <c r="AJ1841" t="s">
        <v>3098</v>
      </c>
      <c r="AK1841" t="s">
        <v>1233</v>
      </c>
      <c r="AL1841" t="s">
        <v>717</v>
      </c>
      <c r="AM1841" t="s">
        <v>10</v>
      </c>
      <c r="AN1841" t="s">
        <v>717</v>
      </c>
    </row>
    <row r="1842" spans="1:40" hidden="1">
      <c r="A1842">
        <v>1841</v>
      </c>
      <c r="B1842">
        <v>47</v>
      </c>
      <c r="C1842" s="58">
        <v>45043</v>
      </c>
      <c r="D1842" t="s">
        <v>7</v>
      </c>
      <c r="E1842" t="s">
        <v>2581</v>
      </c>
      <c r="F1842">
        <v>3</v>
      </c>
      <c r="G1842">
        <v>20</v>
      </c>
      <c r="H1842">
        <v>369</v>
      </c>
      <c r="I1842">
        <v>0</v>
      </c>
      <c r="J1842">
        <v>36.450000000000003</v>
      </c>
      <c r="K1842" t="s">
        <v>15</v>
      </c>
      <c r="L1842">
        <v>3490823.79</v>
      </c>
      <c r="M1842">
        <v>0</v>
      </c>
      <c r="N1842">
        <v>3490823.79</v>
      </c>
      <c r="O1842">
        <v>95770.2</v>
      </c>
      <c r="P1842">
        <v>145800</v>
      </c>
      <c r="Q1842">
        <v>3345023.79</v>
      </c>
      <c r="R1842">
        <v>91770.2</v>
      </c>
      <c r="S1842" t="s">
        <v>130</v>
      </c>
      <c r="T1842" t="s">
        <v>717</v>
      </c>
      <c r="U1842" t="s">
        <v>717</v>
      </c>
      <c r="V1842" t="s">
        <v>717</v>
      </c>
      <c r="W1842">
        <v>45042</v>
      </c>
      <c r="X1842" t="s">
        <v>8159</v>
      </c>
      <c r="Y1842" t="s">
        <v>6</v>
      </c>
      <c r="Z1842" t="s">
        <v>17</v>
      </c>
      <c r="AA1842" t="s">
        <v>6637</v>
      </c>
      <c r="AB1842" t="s">
        <v>2509</v>
      </c>
      <c r="AC1842" t="s">
        <v>717</v>
      </c>
      <c r="AD1842" t="s">
        <v>717</v>
      </c>
      <c r="AE1842" t="s">
        <v>8160</v>
      </c>
      <c r="AF1842" t="s">
        <v>8161</v>
      </c>
      <c r="AG1842" t="s">
        <v>8162</v>
      </c>
      <c r="AH1842" t="s">
        <v>2615</v>
      </c>
      <c r="AI1842" t="s">
        <v>2552</v>
      </c>
      <c r="AJ1842" t="s">
        <v>2642</v>
      </c>
      <c r="AK1842" t="s">
        <v>8</v>
      </c>
      <c r="AL1842" t="s">
        <v>717</v>
      </c>
      <c r="AM1842" t="s">
        <v>10</v>
      </c>
      <c r="AN1842" t="s">
        <v>717</v>
      </c>
    </row>
    <row r="1843" spans="1:40" hidden="1">
      <c r="A1843">
        <v>1842</v>
      </c>
      <c r="B1843">
        <v>48</v>
      </c>
      <c r="C1843" s="58">
        <v>45045</v>
      </c>
      <c r="D1843" t="s">
        <v>7</v>
      </c>
      <c r="E1843" t="s">
        <v>2581</v>
      </c>
      <c r="F1843">
        <v>6</v>
      </c>
      <c r="G1843">
        <v>4</v>
      </c>
      <c r="H1843">
        <v>260</v>
      </c>
      <c r="I1843">
        <v>3</v>
      </c>
      <c r="J1843">
        <v>72.510000000000005</v>
      </c>
      <c r="K1843" t="s">
        <v>9</v>
      </c>
      <c r="L1843">
        <v>5465098.2800000003</v>
      </c>
      <c r="M1843">
        <v>0</v>
      </c>
      <c r="N1843">
        <v>5465098.2800000003</v>
      </c>
      <c r="O1843">
        <v>75370.27003171976</v>
      </c>
      <c r="P1843">
        <v>0</v>
      </c>
      <c r="Q1843">
        <v>5465098.2800000003</v>
      </c>
      <c r="R1843">
        <v>75370.27003171976</v>
      </c>
      <c r="S1843" t="s">
        <v>65</v>
      </c>
      <c r="T1843" t="s">
        <v>717</v>
      </c>
      <c r="U1843" t="s">
        <v>717</v>
      </c>
      <c r="V1843" t="s">
        <v>4131</v>
      </c>
      <c r="W1843">
        <v>45043</v>
      </c>
      <c r="X1843" t="s">
        <v>8163</v>
      </c>
      <c r="Y1843" t="s">
        <v>6</v>
      </c>
      <c r="Z1843" t="s">
        <v>17</v>
      </c>
      <c r="AA1843" t="s">
        <v>6637</v>
      </c>
      <c r="AB1843" t="s">
        <v>2509</v>
      </c>
      <c r="AC1843" t="s">
        <v>2571</v>
      </c>
      <c r="AD1843" t="s">
        <v>717</v>
      </c>
      <c r="AE1843" t="s">
        <v>8164</v>
      </c>
      <c r="AF1843" t="s">
        <v>8165</v>
      </c>
      <c r="AG1843" t="s">
        <v>8166</v>
      </c>
      <c r="AH1843" t="s">
        <v>2552</v>
      </c>
      <c r="AI1843" t="s">
        <v>2547</v>
      </c>
      <c r="AJ1843" t="s">
        <v>2855</v>
      </c>
      <c r="AK1843" t="s">
        <v>1233</v>
      </c>
      <c r="AL1843" t="s">
        <v>22</v>
      </c>
      <c r="AM1843" t="s">
        <v>10</v>
      </c>
      <c r="AN1843" t="s">
        <v>717</v>
      </c>
    </row>
    <row r="1844" spans="1:40" hidden="1">
      <c r="A1844">
        <v>1843</v>
      </c>
      <c r="B1844">
        <v>49</v>
      </c>
      <c r="C1844" s="58">
        <v>45044</v>
      </c>
      <c r="D1844" t="s">
        <v>7</v>
      </c>
      <c r="E1844" t="s">
        <v>2506</v>
      </c>
      <c r="F1844">
        <v>4</v>
      </c>
      <c r="G1844">
        <v>15</v>
      </c>
      <c r="H1844">
        <v>228</v>
      </c>
      <c r="I1844">
        <v>1</v>
      </c>
      <c r="J1844">
        <v>37.81</v>
      </c>
      <c r="K1844" t="s">
        <v>25</v>
      </c>
      <c r="L1844">
        <v>4015023.48</v>
      </c>
      <c r="M1844">
        <v>0</v>
      </c>
      <c r="N1844">
        <v>4015023.48</v>
      </c>
      <c r="O1844">
        <v>106189.45993123512</v>
      </c>
      <c r="P1844">
        <v>567150.00000000047</v>
      </c>
      <c r="Q1844">
        <v>3447873.4799999995</v>
      </c>
      <c r="R1844">
        <v>91189.459931235106</v>
      </c>
      <c r="S1844" t="s">
        <v>65</v>
      </c>
      <c r="T1844" t="s">
        <v>717</v>
      </c>
      <c r="U1844" t="s">
        <v>717</v>
      </c>
      <c r="V1844" t="s">
        <v>4131</v>
      </c>
      <c r="W1844">
        <v>45035</v>
      </c>
      <c r="X1844" t="s">
        <v>8167</v>
      </c>
      <c r="Y1844" t="s">
        <v>6</v>
      </c>
      <c r="Z1844" t="s">
        <v>17</v>
      </c>
      <c r="AA1844" t="s">
        <v>6637</v>
      </c>
      <c r="AB1844" t="s">
        <v>2509</v>
      </c>
      <c r="AC1844" t="s">
        <v>2571</v>
      </c>
      <c r="AD1844" t="s">
        <v>717</v>
      </c>
      <c r="AE1844" t="s">
        <v>8168</v>
      </c>
      <c r="AF1844" t="s">
        <v>8169</v>
      </c>
      <c r="AG1844" t="s">
        <v>8170</v>
      </c>
      <c r="AH1844" t="s">
        <v>2552</v>
      </c>
      <c r="AI1844" t="s">
        <v>2552</v>
      </c>
      <c r="AJ1844" t="s">
        <v>2642</v>
      </c>
      <c r="AK1844" t="s">
        <v>8</v>
      </c>
      <c r="AL1844" t="s">
        <v>16</v>
      </c>
      <c r="AM1844" t="s">
        <v>10</v>
      </c>
      <c r="AN1844" t="s">
        <v>717</v>
      </c>
    </row>
    <row r="1845" spans="1:40" hidden="1">
      <c r="A1845">
        <v>1844</v>
      </c>
      <c r="B1845">
        <v>50</v>
      </c>
      <c r="C1845" s="58">
        <v>45044</v>
      </c>
      <c r="D1845" t="s">
        <v>7</v>
      </c>
      <c r="E1845" t="s">
        <v>2581</v>
      </c>
      <c r="F1845">
        <v>7</v>
      </c>
      <c r="G1845">
        <v>3</v>
      </c>
      <c r="H1845">
        <v>254</v>
      </c>
      <c r="I1845">
        <v>1</v>
      </c>
      <c r="J1845">
        <v>33.840000000000003</v>
      </c>
      <c r="K1845" t="s">
        <v>15</v>
      </c>
      <c r="L1845">
        <v>3191539.74</v>
      </c>
      <c r="M1845">
        <v>0</v>
      </c>
      <c r="N1845">
        <v>3191539.74</v>
      </c>
      <c r="O1845">
        <v>94312.640070921989</v>
      </c>
      <c r="P1845">
        <v>135359.99999999953</v>
      </c>
      <c r="Q1845">
        <v>3056179.7400000007</v>
      </c>
      <c r="R1845">
        <v>90312.640070922003</v>
      </c>
      <c r="S1845" t="s">
        <v>65</v>
      </c>
      <c r="T1845" t="s">
        <v>717</v>
      </c>
      <c r="U1845" t="s">
        <v>717</v>
      </c>
      <c r="V1845" t="s">
        <v>4131</v>
      </c>
      <c r="W1845">
        <v>45037</v>
      </c>
      <c r="X1845" t="s">
        <v>8171</v>
      </c>
      <c r="Y1845" t="s">
        <v>6</v>
      </c>
      <c r="Z1845" t="s">
        <v>17</v>
      </c>
      <c r="AA1845" t="s">
        <v>6637</v>
      </c>
      <c r="AB1845" t="s">
        <v>2509</v>
      </c>
      <c r="AC1845" t="s">
        <v>2571</v>
      </c>
      <c r="AD1845" t="s">
        <v>717</v>
      </c>
      <c r="AE1845" t="s">
        <v>8172</v>
      </c>
      <c r="AF1845" t="s">
        <v>8173</v>
      </c>
      <c r="AG1845" t="s">
        <v>8174</v>
      </c>
      <c r="AH1845" t="s">
        <v>2191</v>
      </c>
      <c r="AI1845" t="s">
        <v>4375</v>
      </c>
      <c r="AJ1845" t="s">
        <v>2514</v>
      </c>
      <c r="AK1845" t="s">
        <v>1233</v>
      </c>
      <c r="AL1845" t="s">
        <v>22</v>
      </c>
      <c r="AM1845" t="s">
        <v>10</v>
      </c>
      <c r="AN1845" t="s">
        <v>717</v>
      </c>
    </row>
    <row r="1846" spans="1:40" hidden="1">
      <c r="A1846">
        <v>1845</v>
      </c>
      <c r="B1846">
        <v>51</v>
      </c>
      <c r="C1846" s="58">
        <v>45044</v>
      </c>
      <c r="D1846" t="s">
        <v>7</v>
      </c>
      <c r="E1846" t="s">
        <v>2506</v>
      </c>
      <c r="F1846">
        <v>7</v>
      </c>
      <c r="G1846">
        <v>8</v>
      </c>
      <c r="H1846">
        <v>175</v>
      </c>
      <c r="I1846">
        <v>3</v>
      </c>
      <c r="J1846">
        <v>78.73</v>
      </c>
      <c r="K1846" t="s">
        <v>25</v>
      </c>
      <c r="L1846">
        <v>7060906.3499999996</v>
      </c>
      <c r="M1846">
        <v>0</v>
      </c>
      <c r="N1846">
        <v>7060906.3499999996</v>
      </c>
      <c r="O1846">
        <v>89685.08002032261</v>
      </c>
      <c r="P1846">
        <v>1180950.0000000007</v>
      </c>
      <c r="Q1846">
        <v>5879956.3499999987</v>
      </c>
      <c r="R1846">
        <v>74685.080020322595</v>
      </c>
      <c r="S1846" t="s">
        <v>65</v>
      </c>
      <c r="T1846" t="s">
        <v>717</v>
      </c>
      <c r="U1846" t="s">
        <v>717</v>
      </c>
      <c r="V1846" t="s">
        <v>6312</v>
      </c>
      <c r="W1846">
        <v>45040</v>
      </c>
      <c r="X1846" t="s">
        <v>8175</v>
      </c>
      <c r="Y1846" t="s">
        <v>6</v>
      </c>
      <c r="Z1846" t="s">
        <v>17</v>
      </c>
      <c r="AA1846" t="s">
        <v>6637</v>
      </c>
      <c r="AB1846" t="s">
        <v>2509</v>
      </c>
      <c r="AC1846" t="s">
        <v>2571</v>
      </c>
      <c r="AD1846" t="s">
        <v>717</v>
      </c>
      <c r="AE1846" t="s">
        <v>8176</v>
      </c>
      <c r="AF1846" t="s">
        <v>8177</v>
      </c>
      <c r="AG1846" t="s">
        <v>8178</v>
      </c>
      <c r="AH1846" t="s">
        <v>2615</v>
      </c>
      <c r="AI1846" t="s">
        <v>2552</v>
      </c>
      <c r="AJ1846" t="s">
        <v>2662</v>
      </c>
      <c r="AK1846" t="s">
        <v>8</v>
      </c>
      <c r="AL1846" t="s">
        <v>16</v>
      </c>
      <c r="AM1846" t="s">
        <v>10</v>
      </c>
      <c r="AN1846" t="s">
        <v>717</v>
      </c>
    </row>
    <row r="1847" spans="1:40" hidden="1">
      <c r="A1847">
        <v>1846</v>
      </c>
      <c r="B1847">
        <v>52</v>
      </c>
      <c r="C1847" s="58">
        <v>45044</v>
      </c>
      <c r="D1847" t="s">
        <v>7</v>
      </c>
      <c r="E1847" t="s">
        <v>2581</v>
      </c>
      <c r="F1847">
        <v>4</v>
      </c>
      <c r="G1847">
        <v>12</v>
      </c>
      <c r="H1847">
        <v>314</v>
      </c>
      <c r="I1847">
        <v>2</v>
      </c>
      <c r="J1847">
        <v>58.55</v>
      </c>
      <c r="K1847" t="s">
        <v>9</v>
      </c>
      <c r="L1847">
        <v>4550124.76</v>
      </c>
      <c r="M1847">
        <v>15000</v>
      </c>
      <c r="N1847">
        <v>4565124.76</v>
      </c>
      <c r="O1847">
        <v>77969.679931682316</v>
      </c>
      <c r="P1847">
        <v>0</v>
      </c>
      <c r="Q1847">
        <v>4565124.76</v>
      </c>
      <c r="R1847">
        <v>77969.679931682316</v>
      </c>
      <c r="S1847" t="s">
        <v>65</v>
      </c>
      <c r="T1847" t="s">
        <v>717</v>
      </c>
      <c r="U1847" t="s">
        <v>717</v>
      </c>
      <c r="V1847" t="s">
        <v>6312</v>
      </c>
      <c r="W1847">
        <v>45044</v>
      </c>
      <c r="X1847" t="s">
        <v>8179</v>
      </c>
      <c r="Y1847" t="s">
        <v>6</v>
      </c>
      <c r="Z1847" t="s">
        <v>17</v>
      </c>
      <c r="AA1847" t="s">
        <v>6637</v>
      </c>
      <c r="AB1847" t="s">
        <v>2509</v>
      </c>
      <c r="AC1847" t="s">
        <v>2571</v>
      </c>
      <c r="AD1847" t="s">
        <v>717</v>
      </c>
      <c r="AE1847" t="s">
        <v>8180</v>
      </c>
      <c r="AF1847" t="s">
        <v>8181</v>
      </c>
      <c r="AG1847" t="s">
        <v>8182</v>
      </c>
      <c r="AH1847" t="s">
        <v>2191</v>
      </c>
      <c r="AI1847" t="s">
        <v>2552</v>
      </c>
      <c r="AJ1847" t="s">
        <v>2514</v>
      </c>
      <c r="AK1847" t="s">
        <v>8</v>
      </c>
      <c r="AL1847" t="s">
        <v>16</v>
      </c>
      <c r="AM1847" t="s">
        <v>10</v>
      </c>
      <c r="AN1847" t="s">
        <v>717</v>
      </c>
    </row>
    <row r="1848" spans="1:40" hidden="1">
      <c r="A1848">
        <v>1847</v>
      </c>
      <c r="B1848">
        <v>1</v>
      </c>
      <c r="C1848" s="58">
        <v>45048</v>
      </c>
      <c r="D1848" t="s">
        <v>7</v>
      </c>
      <c r="E1848" t="s">
        <v>2515</v>
      </c>
      <c r="F1848">
        <v>4</v>
      </c>
      <c r="G1848">
        <v>14</v>
      </c>
      <c r="H1848">
        <v>100</v>
      </c>
      <c r="I1848">
        <v>2</v>
      </c>
      <c r="J1848">
        <v>56.03</v>
      </c>
      <c r="K1848" t="s">
        <v>15</v>
      </c>
      <c r="L1848">
        <v>4550347.58</v>
      </c>
      <c r="M1848">
        <v>0</v>
      </c>
      <c r="N1848">
        <v>4550347.58</v>
      </c>
      <c r="O1848">
        <v>81212.699982152422</v>
      </c>
      <c r="P1848">
        <v>224120</v>
      </c>
      <c r="Q1848">
        <v>4326227.58</v>
      </c>
      <c r="R1848">
        <v>77212.699982152422</v>
      </c>
      <c r="S1848" t="s">
        <v>65</v>
      </c>
      <c r="T1848" t="s">
        <v>717</v>
      </c>
      <c r="U1848" t="s">
        <v>717</v>
      </c>
      <c r="V1848" t="s">
        <v>4131</v>
      </c>
      <c r="W1848">
        <v>45042</v>
      </c>
      <c r="X1848" t="s">
        <v>8183</v>
      </c>
      <c r="Y1848" t="s">
        <v>6</v>
      </c>
      <c r="Z1848" t="s">
        <v>17</v>
      </c>
      <c r="AA1848" t="s">
        <v>5617</v>
      </c>
      <c r="AB1848" t="s">
        <v>2509</v>
      </c>
      <c r="AC1848" t="s">
        <v>2558</v>
      </c>
      <c r="AD1848" t="s">
        <v>717</v>
      </c>
      <c r="AE1848" t="s">
        <v>8184</v>
      </c>
      <c r="AF1848" t="s">
        <v>8185</v>
      </c>
      <c r="AG1848" t="s">
        <v>8186</v>
      </c>
      <c r="AH1848" t="s">
        <v>2615</v>
      </c>
      <c r="AI1848" t="s">
        <v>2538</v>
      </c>
      <c r="AJ1848" t="s">
        <v>2895</v>
      </c>
      <c r="AK1848" t="s">
        <v>77</v>
      </c>
      <c r="AL1848" t="s">
        <v>22</v>
      </c>
      <c r="AM1848" t="s">
        <v>10</v>
      </c>
      <c r="AN1848" t="s">
        <v>717</v>
      </c>
    </row>
    <row r="1849" spans="1:40" hidden="1">
      <c r="A1849">
        <v>1848</v>
      </c>
      <c r="B1849">
        <v>2</v>
      </c>
      <c r="C1849" s="58">
        <v>45056</v>
      </c>
      <c r="D1849" t="s">
        <v>7</v>
      </c>
      <c r="E1849" t="s">
        <v>2506</v>
      </c>
      <c r="F1849">
        <v>4</v>
      </c>
      <c r="G1849">
        <v>3</v>
      </c>
      <c r="H1849">
        <v>132</v>
      </c>
      <c r="I1849">
        <v>1</v>
      </c>
      <c r="J1849">
        <v>37.81</v>
      </c>
      <c r="K1849" t="s">
        <v>15</v>
      </c>
      <c r="L1849">
        <v>3599113.48</v>
      </c>
      <c r="M1849">
        <v>0</v>
      </c>
      <c r="N1849">
        <v>3599113.48</v>
      </c>
      <c r="O1849">
        <v>95189.45993123512</v>
      </c>
      <c r="P1849">
        <v>151240.00000000047</v>
      </c>
      <c r="Q1849">
        <v>3447873.4799999995</v>
      </c>
      <c r="R1849">
        <v>91189.459931235106</v>
      </c>
      <c r="S1849" t="s">
        <v>65</v>
      </c>
      <c r="T1849" t="s">
        <v>717</v>
      </c>
      <c r="U1849" t="s">
        <v>717</v>
      </c>
      <c r="V1849" t="s">
        <v>6312</v>
      </c>
      <c r="W1849">
        <v>45048</v>
      </c>
      <c r="X1849" t="s">
        <v>8187</v>
      </c>
      <c r="Y1849" t="s">
        <v>6</v>
      </c>
      <c r="Z1849" t="s">
        <v>17</v>
      </c>
      <c r="AA1849" t="s">
        <v>6637</v>
      </c>
      <c r="AB1849" t="s">
        <v>2509</v>
      </c>
      <c r="AC1849" t="s">
        <v>2571</v>
      </c>
      <c r="AD1849" t="s">
        <v>717</v>
      </c>
      <c r="AE1849" t="s">
        <v>8188</v>
      </c>
      <c r="AF1849" t="s">
        <v>8189</v>
      </c>
      <c r="AG1849" t="s">
        <v>8190</v>
      </c>
      <c r="AH1849" t="s">
        <v>2191</v>
      </c>
      <c r="AI1849" t="s">
        <v>2538</v>
      </c>
      <c r="AJ1849" t="s">
        <v>2825</v>
      </c>
      <c r="AK1849" t="s">
        <v>8</v>
      </c>
      <c r="AL1849" t="s">
        <v>16</v>
      </c>
      <c r="AM1849" t="s">
        <v>10</v>
      </c>
      <c r="AN1849" t="s">
        <v>717</v>
      </c>
    </row>
    <row r="1850" spans="1:40" hidden="1">
      <c r="A1850">
        <v>1849</v>
      </c>
      <c r="B1850">
        <v>3</v>
      </c>
      <c r="C1850" s="58">
        <v>45056</v>
      </c>
      <c r="D1850" t="s">
        <v>7</v>
      </c>
      <c r="E1850" t="s">
        <v>2506</v>
      </c>
      <c r="F1850">
        <v>5</v>
      </c>
      <c r="G1850">
        <v>15</v>
      </c>
      <c r="H1850">
        <v>229</v>
      </c>
      <c r="I1850">
        <v>1</v>
      </c>
      <c r="J1850">
        <v>36.700000000000003</v>
      </c>
      <c r="K1850" t="s">
        <v>15</v>
      </c>
      <c r="L1850">
        <v>3493453.18</v>
      </c>
      <c r="M1850">
        <v>0</v>
      </c>
      <c r="N1850">
        <v>3493453.18</v>
      </c>
      <c r="O1850">
        <v>95189.459945504103</v>
      </c>
      <c r="P1850">
        <v>146799.99999999953</v>
      </c>
      <c r="Q1850">
        <v>3346653.1800000006</v>
      </c>
      <c r="R1850">
        <v>91189.459945504103</v>
      </c>
      <c r="S1850" t="s">
        <v>65</v>
      </c>
      <c r="T1850" t="s">
        <v>717</v>
      </c>
      <c r="U1850" t="s">
        <v>717</v>
      </c>
      <c r="V1850" t="s">
        <v>6312</v>
      </c>
      <c r="W1850">
        <v>45049</v>
      </c>
      <c r="X1850" t="s">
        <v>8191</v>
      </c>
      <c r="Y1850" t="s">
        <v>6</v>
      </c>
      <c r="Z1850" t="s">
        <v>17</v>
      </c>
      <c r="AA1850" t="s">
        <v>6637</v>
      </c>
      <c r="AB1850" t="s">
        <v>2509</v>
      </c>
      <c r="AC1850" t="s">
        <v>2571</v>
      </c>
      <c r="AD1850" t="s">
        <v>717</v>
      </c>
      <c r="AE1850" t="s">
        <v>8192</v>
      </c>
      <c r="AF1850" t="s">
        <v>8193</v>
      </c>
      <c r="AG1850" t="s">
        <v>8194</v>
      </c>
      <c r="AH1850" t="s">
        <v>2615</v>
      </c>
      <c r="AI1850" t="s">
        <v>6951</v>
      </c>
      <c r="AJ1850" t="s">
        <v>2569</v>
      </c>
      <c r="AK1850" t="s">
        <v>8</v>
      </c>
      <c r="AL1850" t="s">
        <v>16</v>
      </c>
      <c r="AM1850" t="s">
        <v>10</v>
      </c>
      <c r="AN1850" t="s">
        <v>717</v>
      </c>
    </row>
    <row r="1851" spans="1:40" hidden="1">
      <c r="A1851">
        <v>1850</v>
      </c>
      <c r="B1851">
        <v>4</v>
      </c>
      <c r="C1851" s="58">
        <v>45057</v>
      </c>
      <c r="D1851" t="s">
        <v>7</v>
      </c>
      <c r="E1851" t="s">
        <v>2581</v>
      </c>
      <c r="F1851">
        <v>6</v>
      </c>
      <c r="G1851">
        <v>8</v>
      </c>
      <c r="H1851">
        <v>288</v>
      </c>
      <c r="I1851">
        <v>3</v>
      </c>
      <c r="J1851">
        <v>72.510000000000005</v>
      </c>
      <c r="K1851" t="s">
        <v>15</v>
      </c>
      <c r="L1851">
        <v>5755138.2800000003</v>
      </c>
      <c r="M1851">
        <v>0</v>
      </c>
      <c r="N1851">
        <v>5755138.2800000003</v>
      </c>
      <c r="O1851">
        <v>79370.27003171976</v>
      </c>
      <c r="P1851">
        <v>290040</v>
      </c>
      <c r="Q1851">
        <v>5465098.2800000003</v>
      </c>
      <c r="R1851">
        <v>75370.27003171976</v>
      </c>
      <c r="S1851" t="s">
        <v>65</v>
      </c>
      <c r="T1851" t="s">
        <v>717</v>
      </c>
      <c r="U1851" t="s">
        <v>717</v>
      </c>
      <c r="V1851" t="s">
        <v>6312</v>
      </c>
      <c r="W1851">
        <v>45049</v>
      </c>
      <c r="X1851" t="s">
        <v>8195</v>
      </c>
      <c r="Y1851" t="s">
        <v>6</v>
      </c>
      <c r="Z1851" t="s">
        <v>17</v>
      </c>
      <c r="AA1851" t="s">
        <v>6637</v>
      </c>
      <c r="AB1851" t="s">
        <v>2509</v>
      </c>
      <c r="AC1851" t="s">
        <v>2571</v>
      </c>
      <c r="AD1851" t="s">
        <v>717</v>
      </c>
      <c r="AE1851" t="s">
        <v>8196</v>
      </c>
      <c r="AF1851" t="s">
        <v>8197</v>
      </c>
      <c r="AG1851" t="s">
        <v>8198</v>
      </c>
      <c r="AH1851" t="s">
        <v>2615</v>
      </c>
      <c r="AI1851" t="s">
        <v>2552</v>
      </c>
      <c r="AJ1851" t="s">
        <v>2825</v>
      </c>
      <c r="AK1851" t="s">
        <v>1233</v>
      </c>
      <c r="AL1851" t="s">
        <v>22</v>
      </c>
      <c r="AM1851" t="s">
        <v>10</v>
      </c>
      <c r="AN1851" t="s">
        <v>717</v>
      </c>
    </row>
    <row r="1852" spans="1:40" hidden="1">
      <c r="A1852">
        <v>1851</v>
      </c>
      <c r="B1852">
        <v>5</v>
      </c>
      <c r="C1852" s="58">
        <v>45058</v>
      </c>
      <c r="D1852" t="s">
        <v>7</v>
      </c>
      <c r="E1852" t="s">
        <v>2581</v>
      </c>
      <c r="F1852">
        <v>6</v>
      </c>
      <c r="G1852">
        <v>9</v>
      </c>
      <c r="H1852">
        <v>295</v>
      </c>
      <c r="I1852">
        <v>3</v>
      </c>
      <c r="J1852">
        <v>72.510000000000005</v>
      </c>
      <c r="K1852" t="s">
        <v>25</v>
      </c>
      <c r="L1852">
        <v>6611373.3399999999</v>
      </c>
      <c r="M1852">
        <v>0</v>
      </c>
      <c r="N1852">
        <v>6611373.3399999999</v>
      </c>
      <c r="O1852">
        <v>91178.78003034064</v>
      </c>
      <c r="P1852">
        <v>1087650.0000000028</v>
      </c>
      <c r="Q1852">
        <v>5523723.3399999971</v>
      </c>
      <c r="R1852">
        <v>76178.780030340597</v>
      </c>
      <c r="S1852" t="s">
        <v>65</v>
      </c>
      <c r="T1852" t="s">
        <v>717</v>
      </c>
      <c r="U1852" t="s">
        <v>717</v>
      </c>
      <c r="V1852" t="s">
        <v>6312</v>
      </c>
      <c r="W1852">
        <v>45057</v>
      </c>
      <c r="X1852" t="s">
        <v>8199</v>
      </c>
      <c r="Y1852" t="s">
        <v>6</v>
      </c>
      <c r="Z1852" t="s">
        <v>17</v>
      </c>
      <c r="AA1852" t="s">
        <v>6637</v>
      </c>
      <c r="AB1852" t="s">
        <v>2509</v>
      </c>
      <c r="AC1852" t="s">
        <v>2571</v>
      </c>
      <c r="AD1852" t="s">
        <v>717</v>
      </c>
      <c r="AE1852" t="s">
        <v>8200</v>
      </c>
      <c r="AF1852" t="s">
        <v>8201</v>
      </c>
      <c r="AG1852" t="s">
        <v>8202</v>
      </c>
      <c r="AH1852" t="s">
        <v>6100</v>
      </c>
      <c r="AI1852" t="s">
        <v>5653</v>
      </c>
      <c r="AJ1852" t="s">
        <v>31</v>
      </c>
      <c r="AK1852" t="s">
        <v>77</v>
      </c>
      <c r="AL1852" t="s">
        <v>22</v>
      </c>
      <c r="AM1852" t="s">
        <v>5654</v>
      </c>
      <c r="AN1852" t="s">
        <v>717</v>
      </c>
    </row>
    <row r="1853" spans="1:40" hidden="1">
      <c r="A1853">
        <v>1852</v>
      </c>
      <c r="B1853">
        <v>6</v>
      </c>
      <c r="C1853" s="58">
        <v>45058</v>
      </c>
      <c r="D1853" t="s">
        <v>7</v>
      </c>
      <c r="E1853" t="s">
        <v>4409</v>
      </c>
      <c r="F1853">
        <v>5</v>
      </c>
      <c r="G1853">
        <v>4</v>
      </c>
      <c r="H1853">
        <v>424</v>
      </c>
      <c r="I1853">
        <v>2</v>
      </c>
      <c r="J1853">
        <v>56.04</v>
      </c>
      <c r="K1853" t="s">
        <v>15</v>
      </c>
      <c r="L1853">
        <v>4637699.4800000004</v>
      </c>
      <c r="M1853">
        <v>0</v>
      </c>
      <c r="N1853">
        <v>4637699.4800000004</v>
      </c>
      <c r="O1853">
        <v>82756.950035688802</v>
      </c>
      <c r="P1853">
        <v>224160</v>
      </c>
      <c r="Q1853">
        <v>4413539.4800000004</v>
      </c>
      <c r="R1853">
        <v>78756.950035688802</v>
      </c>
      <c r="S1853" t="s">
        <v>65</v>
      </c>
      <c r="T1853" t="s">
        <v>717</v>
      </c>
      <c r="U1853" t="s">
        <v>717</v>
      </c>
      <c r="V1853" t="s">
        <v>4131</v>
      </c>
      <c r="W1853">
        <v>45057</v>
      </c>
      <c r="X1853" t="s">
        <v>8203</v>
      </c>
      <c r="Y1853" t="s">
        <v>6</v>
      </c>
      <c r="Z1853" t="s">
        <v>17</v>
      </c>
      <c r="AA1853" t="s">
        <v>6637</v>
      </c>
      <c r="AB1853" t="s">
        <v>2509</v>
      </c>
      <c r="AC1853" t="s">
        <v>2571</v>
      </c>
      <c r="AD1853" t="s">
        <v>717</v>
      </c>
      <c r="AE1853" t="s">
        <v>8204</v>
      </c>
      <c r="AF1853" t="s">
        <v>8205</v>
      </c>
      <c r="AG1853" t="s">
        <v>8206</v>
      </c>
      <c r="AH1853" t="s">
        <v>2615</v>
      </c>
      <c r="AI1853" t="s">
        <v>2847</v>
      </c>
      <c r="AJ1853" t="s">
        <v>2940</v>
      </c>
      <c r="AK1853" t="s">
        <v>77</v>
      </c>
      <c r="AL1853" t="s">
        <v>16</v>
      </c>
      <c r="AM1853" t="s">
        <v>10</v>
      </c>
      <c r="AN1853" t="s">
        <v>717</v>
      </c>
    </row>
    <row r="1854" spans="1:40" hidden="1">
      <c r="A1854">
        <v>1853</v>
      </c>
      <c r="B1854">
        <v>7</v>
      </c>
      <c r="C1854" s="58">
        <v>45062</v>
      </c>
      <c r="D1854" t="s">
        <v>7</v>
      </c>
      <c r="E1854" t="s">
        <v>4409</v>
      </c>
      <c r="F1854">
        <v>9</v>
      </c>
      <c r="G1854">
        <v>14</v>
      </c>
      <c r="H1854">
        <v>518</v>
      </c>
      <c r="I1854">
        <v>1</v>
      </c>
      <c r="J1854">
        <v>44.37</v>
      </c>
      <c r="K1854" t="s">
        <v>25</v>
      </c>
      <c r="L1854">
        <v>4595660.46</v>
      </c>
      <c r="M1854">
        <v>0</v>
      </c>
      <c r="N1854">
        <v>4595660.46</v>
      </c>
      <c r="O1854">
        <v>103575.84989858013</v>
      </c>
      <c r="P1854">
        <v>665550</v>
      </c>
      <c r="Q1854">
        <v>3930110.46</v>
      </c>
      <c r="R1854">
        <v>88575.849898580127</v>
      </c>
      <c r="S1854" t="s">
        <v>65</v>
      </c>
      <c r="T1854" t="s">
        <v>717</v>
      </c>
      <c r="U1854" t="s">
        <v>717</v>
      </c>
      <c r="V1854" t="s">
        <v>6312</v>
      </c>
      <c r="W1854">
        <v>45056</v>
      </c>
      <c r="X1854" t="s">
        <v>8207</v>
      </c>
      <c r="Y1854" t="s">
        <v>6</v>
      </c>
      <c r="Z1854" t="s">
        <v>17</v>
      </c>
      <c r="AA1854" t="s">
        <v>6637</v>
      </c>
      <c r="AB1854" t="s">
        <v>2509</v>
      </c>
      <c r="AC1854" t="s">
        <v>2571</v>
      </c>
      <c r="AD1854" t="s">
        <v>717</v>
      </c>
      <c r="AE1854" t="s">
        <v>8208</v>
      </c>
      <c r="AF1854" t="s">
        <v>8209</v>
      </c>
      <c r="AG1854" t="s">
        <v>8210</v>
      </c>
      <c r="AH1854" t="s">
        <v>2615</v>
      </c>
      <c r="AI1854" t="s">
        <v>2552</v>
      </c>
      <c r="AJ1854" t="s">
        <v>3289</v>
      </c>
      <c r="AK1854" t="s">
        <v>8</v>
      </c>
      <c r="AL1854" t="s">
        <v>22</v>
      </c>
      <c r="AM1854" t="s">
        <v>10</v>
      </c>
      <c r="AN1854" t="s">
        <v>717</v>
      </c>
    </row>
    <row r="1855" spans="1:40" hidden="1">
      <c r="A1855">
        <v>1854</v>
      </c>
      <c r="B1855">
        <v>8</v>
      </c>
      <c r="C1855" s="58">
        <v>45062</v>
      </c>
      <c r="D1855" t="s">
        <v>7</v>
      </c>
      <c r="E1855" t="s">
        <v>2515</v>
      </c>
      <c r="F1855">
        <v>4</v>
      </c>
      <c r="G1855">
        <v>9</v>
      </c>
      <c r="H1855">
        <v>60</v>
      </c>
      <c r="I1855">
        <v>2</v>
      </c>
      <c r="J1855">
        <v>56.03</v>
      </c>
      <c r="K1855" t="s">
        <v>25</v>
      </c>
      <c r="L1855">
        <v>5166677.58</v>
      </c>
      <c r="M1855">
        <v>0</v>
      </c>
      <c r="N1855">
        <v>5166677.58</v>
      </c>
      <c r="O1855">
        <v>92212.699982152422</v>
      </c>
      <c r="P1855">
        <v>840450</v>
      </c>
      <c r="Q1855">
        <v>4326227.58</v>
      </c>
      <c r="R1855">
        <v>77212.699982152422</v>
      </c>
      <c r="S1855" t="s">
        <v>65</v>
      </c>
      <c r="T1855" t="s">
        <v>717</v>
      </c>
      <c r="U1855" t="s">
        <v>717</v>
      </c>
      <c r="V1855" t="s">
        <v>6312</v>
      </c>
      <c r="W1855">
        <v>45062</v>
      </c>
      <c r="X1855" t="s">
        <v>8211</v>
      </c>
      <c r="Y1855" t="s">
        <v>6</v>
      </c>
      <c r="Z1855" t="s">
        <v>17</v>
      </c>
      <c r="AA1855" t="s">
        <v>6637</v>
      </c>
      <c r="AB1855" t="s">
        <v>2509</v>
      </c>
      <c r="AC1855" t="s">
        <v>2571</v>
      </c>
      <c r="AD1855" t="s">
        <v>717</v>
      </c>
      <c r="AE1855" t="s">
        <v>8212</v>
      </c>
      <c r="AF1855" t="s">
        <v>8213</v>
      </c>
      <c r="AG1855" t="s">
        <v>8214</v>
      </c>
      <c r="AH1855" t="s">
        <v>2191</v>
      </c>
      <c r="AI1855" t="s">
        <v>2538</v>
      </c>
      <c r="AJ1855" t="s">
        <v>2514</v>
      </c>
      <c r="AK1855" t="s">
        <v>77</v>
      </c>
      <c r="AL1855" t="s">
        <v>22</v>
      </c>
      <c r="AM1855" t="s">
        <v>10</v>
      </c>
      <c r="AN1855" t="s">
        <v>717</v>
      </c>
    </row>
    <row r="1856" spans="1:40" hidden="1">
      <c r="A1856">
        <v>1855</v>
      </c>
      <c r="B1856">
        <v>9</v>
      </c>
      <c r="C1856" s="58">
        <v>45063</v>
      </c>
      <c r="D1856" t="s">
        <v>7</v>
      </c>
      <c r="E1856" t="s">
        <v>4409</v>
      </c>
      <c r="F1856">
        <v>9</v>
      </c>
      <c r="G1856">
        <v>16</v>
      </c>
      <c r="H1856">
        <v>536</v>
      </c>
      <c r="I1856">
        <v>1</v>
      </c>
      <c r="J1856">
        <v>44.37</v>
      </c>
      <c r="K1856" t="s">
        <v>15</v>
      </c>
      <c r="L1856">
        <v>4145746.89</v>
      </c>
      <c r="M1856">
        <v>0</v>
      </c>
      <c r="N1856">
        <v>4145746.89</v>
      </c>
      <c r="O1856">
        <v>93435.810006761327</v>
      </c>
      <c r="P1856">
        <v>177480</v>
      </c>
      <c r="Q1856">
        <v>3968266.89</v>
      </c>
      <c r="R1856">
        <v>89435.810006761327</v>
      </c>
      <c r="S1856" t="s">
        <v>65</v>
      </c>
      <c r="T1856" t="s">
        <v>717</v>
      </c>
      <c r="U1856" t="s">
        <v>717</v>
      </c>
      <c r="V1856" t="s">
        <v>4131</v>
      </c>
      <c r="W1856">
        <v>45056</v>
      </c>
      <c r="X1856" t="s">
        <v>8215</v>
      </c>
      <c r="Y1856" t="s">
        <v>6</v>
      </c>
      <c r="Z1856" t="s">
        <v>17</v>
      </c>
      <c r="AA1856" t="s">
        <v>6637</v>
      </c>
      <c r="AB1856" t="s">
        <v>2509</v>
      </c>
      <c r="AC1856" t="s">
        <v>2571</v>
      </c>
      <c r="AD1856" t="s">
        <v>717</v>
      </c>
      <c r="AE1856" t="s">
        <v>8216</v>
      </c>
      <c r="AF1856" t="s">
        <v>8217</v>
      </c>
      <c r="AG1856" t="s">
        <v>8218</v>
      </c>
      <c r="AH1856" t="s">
        <v>2616</v>
      </c>
      <c r="AI1856" t="s">
        <v>2552</v>
      </c>
      <c r="AJ1856" t="s">
        <v>2895</v>
      </c>
      <c r="AK1856" t="s">
        <v>8</v>
      </c>
      <c r="AL1856" t="s">
        <v>22</v>
      </c>
      <c r="AM1856" t="s">
        <v>10</v>
      </c>
      <c r="AN1856" t="s">
        <v>717</v>
      </c>
    </row>
    <row r="1857" spans="1:40" hidden="1">
      <c r="A1857">
        <v>1856</v>
      </c>
      <c r="B1857">
        <v>10</v>
      </c>
      <c r="C1857" s="58">
        <v>45064</v>
      </c>
      <c r="D1857" t="s">
        <v>7</v>
      </c>
      <c r="E1857" t="s">
        <v>4409</v>
      </c>
      <c r="F1857">
        <v>8</v>
      </c>
      <c r="G1857">
        <v>11</v>
      </c>
      <c r="H1857">
        <v>490</v>
      </c>
      <c r="I1857">
        <v>2</v>
      </c>
      <c r="J1857">
        <v>63.74</v>
      </c>
      <c r="K1857" t="s">
        <v>15</v>
      </c>
      <c r="L1857">
        <v>5069183.5599999996</v>
      </c>
      <c r="M1857">
        <v>0</v>
      </c>
      <c r="N1857">
        <v>5069183.5599999996</v>
      </c>
      <c r="O1857">
        <v>79529.080012550985</v>
      </c>
      <c r="P1857">
        <v>254960</v>
      </c>
      <c r="Q1857">
        <v>4814223.5599999996</v>
      </c>
      <c r="R1857">
        <v>75529.080012550985</v>
      </c>
      <c r="S1857" t="s">
        <v>130</v>
      </c>
      <c r="T1857" t="s">
        <v>5443</v>
      </c>
      <c r="U1857">
        <v>254960</v>
      </c>
      <c r="V1857" t="s">
        <v>717</v>
      </c>
      <c r="W1857">
        <v>45062</v>
      </c>
      <c r="X1857" t="s">
        <v>8219</v>
      </c>
      <c r="Y1857" t="s">
        <v>6</v>
      </c>
      <c r="Z1857" t="s">
        <v>17</v>
      </c>
      <c r="AA1857" t="s">
        <v>5617</v>
      </c>
      <c r="AB1857" t="s">
        <v>2509</v>
      </c>
      <c r="AC1857" t="s">
        <v>717</v>
      </c>
      <c r="AD1857" t="s">
        <v>717</v>
      </c>
      <c r="AE1857" t="s">
        <v>8220</v>
      </c>
      <c r="AF1857" t="s">
        <v>8221</v>
      </c>
      <c r="AG1857" t="s">
        <v>8222</v>
      </c>
      <c r="AH1857" t="s">
        <v>2191</v>
      </c>
      <c r="AI1857" t="s">
        <v>2538</v>
      </c>
      <c r="AJ1857" t="s">
        <v>2514</v>
      </c>
      <c r="AK1857" t="s">
        <v>1233</v>
      </c>
      <c r="AL1857" t="s">
        <v>717</v>
      </c>
      <c r="AM1857" t="s">
        <v>10</v>
      </c>
      <c r="AN1857" t="s">
        <v>717</v>
      </c>
    </row>
    <row r="1858" spans="1:40" hidden="1">
      <c r="A1858">
        <v>1857</v>
      </c>
      <c r="B1858">
        <v>11</v>
      </c>
      <c r="C1858" s="58">
        <v>45064</v>
      </c>
      <c r="D1858" t="s">
        <v>7</v>
      </c>
      <c r="E1858" t="s">
        <v>2515</v>
      </c>
      <c r="F1858">
        <v>2</v>
      </c>
      <c r="G1858">
        <v>16</v>
      </c>
      <c r="H1858">
        <v>114</v>
      </c>
      <c r="I1858">
        <v>2</v>
      </c>
      <c r="J1858">
        <v>61.76</v>
      </c>
      <c r="K1858" t="s">
        <v>15</v>
      </c>
      <c r="L1858">
        <v>5403817.1900000004</v>
      </c>
      <c r="M1858">
        <v>0</v>
      </c>
      <c r="N1858">
        <v>5403817.1900000004</v>
      </c>
      <c r="O1858">
        <v>87497.039993523329</v>
      </c>
      <c r="P1858">
        <v>247040</v>
      </c>
      <c r="Q1858">
        <v>5156777.1900000004</v>
      </c>
      <c r="R1858">
        <v>83497.039993523329</v>
      </c>
      <c r="S1858" t="s">
        <v>65</v>
      </c>
      <c r="T1858" t="s">
        <v>717</v>
      </c>
      <c r="U1858" t="s">
        <v>717</v>
      </c>
      <c r="V1858" t="s">
        <v>6312</v>
      </c>
      <c r="W1858">
        <v>45062</v>
      </c>
      <c r="X1858" t="s">
        <v>8223</v>
      </c>
      <c r="Y1858" t="s">
        <v>6</v>
      </c>
      <c r="Z1858" t="s">
        <v>17</v>
      </c>
      <c r="AA1858" t="s">
        <v>6637</v>
      </c>
      <c r="AB1858" t="s">
        <v>2509</v>
      </c>
      <c r="AC1858" t="s">
        <v>2571</v>
      </c>
      <c r="AD1858" t="s">
        <v>717</v>
      </c>
      <c r="AE1858" t="s">
        <v>8224</v>
      </c>
      <c r="AF1858" t="s">
        <v>8225</v>
      </c>
      <c r="AG1858" t="s">
        <v>8226</v>
      </c>
      <c r="AH1858" t="s">
        <v>6100</v>
      </c>
      <c r="AI1858" t="s">
        <v>5653</v>
      </c>
      <c r="AJ1858" t="s">
        <v>31</v>
      </c>
      <c r="AK1858" t="s">
        <v>77</v>
      </c>
      <c r="AL1858" t="s">
        <v>16</v>
      </c>
      <c r="AM1858" t="s">
        <v>5654</v>
      </c>
      <c r="AN1858" t="s">
        <v>717</v>
      </c>
    </row>
    <row r="1859" spans="1:40" hidden="1">
      <c r="A1859">
        <v>1858</v>
      </c>
      <c r="B1859">
        <v>12</v>
      </c>
      <c r="C1859" s="58">
        <v>45065</v>
      </c>
      <c r="D1859" t="s">
        <v>7</v>
      </c>
      <c r="E1859" t="s">
        <v>4409</v>
      </c>
      <c r="F1859">
        <v>5</v>
      </c>
      <c r="G1859">
        <v>7</v>
      </c>
      <c r="H1859">
        <v>451</v>
      </c>
      <c r="I1859">
        <v>2</v>
      </c>
      <c r="J1859">
        <v>56.04</v>
      </c>
      <c r="K1859" t="s">
        <v>15</v>
      </c>
      <c r="L1859">
        <v>4637699.4800000004</v>
      </c>
      <c r="M1859">
        <v>0</v>
      </c>
      <c r="N1859">
        <v>4637699.4800000004</v>
      </c>
      <c r="O1859">
        <v>82756.950035688802</v>
      </c>
      <c r="P1859">
        <v>224160</v>
      </c>
      <c r="Q1859">
        <v>4413539.4800000004</v>
      </c>
      <c r="R1859">
        <v>78756.950035688802</v>
      </c>
      <c r="S1859" t="s">
        <v>65</v>
      </c>
      <c r="T1859" t="s">
        <v>717</v>
      </c>
      <c r="U1859" t="s">
        <v>717</v>
      </c>
      <c r="V1859" t="s">
        <v>8227</v>
      </c>
      <c r="W1859">
        <v>45057</v>
      </c>
      <c r="X1859" t="s">
        <v>8228</v>
      </c>
      <c r="Y1859" t="s">
        <v>6</v>
      </c>
      <c r="Z1859" t="s">
        <v>11</v>
      </c>
      <c r="AA1859" t="s">
        <v>717</v>
      </c>
      <c r="AB1859" t="s">
        <v>2509</v>
      </c>
      <c r="AC1859" t="s">
        <v>8229</v>
      </c>
      <c r="AD1859" t="s">
        <v>717</v>
      </c>
      <c r="AE1859" t="s">
        <v>8230</v>
      </c>
      <c r="AF1859" t="s">
        <v>8231</v>
      </c>
      <c r="AG1859" t="s">
        <v>8232</v>
      </c>
      <c r="AH1859" t="s">
        <v>2191</v>
      </c>
      <c r="AI1859" t="s">
        <v>2706</v>
      </c>
      <c r="AJ1859" t="s">
        <v>2514</v>
      </c>
      <c r="AK1859" t="s">
        <v>77</v>
      </c>
      <c r="AL1859" t="s">
        <v>16</v>
      </c>
      <c r="AM1859" t="s">
        <v>10</v>
      </c>
      <c r="AN1859" t="s">
        <v>717</v>
      </c>
    </row>
    <row r="1860" spans="1:40" hidden="1">
      <c r="A1860">
        <v>1859</v>
      </c>
      <c r="B1860">
        <v>13</v>
      </c>
      <c r="C1860" s="58">
        <v>45065</v>
      </c>
      <c r="D1860" t="s">
        <v>7</v>
      </c>
      <c r="E1860" t="s">
        <v>2581</v>
      </c>
      <c r="F1860">
        <v>3</v>
      </c>
      <c r="G1860">
        <v>15</v>
      </c>
      <c r="H1860">
        <v>334</v>
      </c>
      <c r="I1860">
        <v>0</v>
      </c>
      <c r="J1860">
        <v>36.450000000000003</v>
      </c>
      <c r="K1860" t="s">
        <v>9</v>
      </c>
      <c r="L1860">
        <v>2971817.41</v>
      </c>
      <c r="M1860">
        <v>0</v>
      </c>
      <c r="N1860">
        <v>2971817.41</v>
      </c>
      <c r="O1860">
        <v>81531.341838134438</v>
      </c>
      <c r="P1860">
        <v>0</v>
      </c>
      <c r="Q1860">
        <v>2971817.41</v>
      </c>
      <c r="R1860">
        <v>81531.341838134438</v>
      </c>
      <c r="S1860" t="s">
        <v>130</v>
      </c>
      <c r="T1860" t="s">
        <v>5768</v>
      </c>
      <c r="U1860">
        <v>189690.47</v>
      </c>
      <c r="V1860" t="s">
        <v>717</v>
      </c>
      <c r="W1860">
        <v>45064</v>
      </c>
      <c r="X1860" t="s">
        <v>8233</v>
      </c>
      <c r="Y1860" t="s">
        <v>6</v>
      </c>
      <c r="Z1860" t="s">
        <v>17</v>
      </c>
      <c r="AA1860" t="s">
        <v>5617</v>
      </c>
      <c r="AB1860" t="s">
        <v>2509</v>
      </c>
      <c r="AC1860" t="s">
        <v>717</v>
      </c>
      <c r="AD1860" t="s">
        <v>717</v>
      </c>
      <c r="AE1860" t="s">
        <v>8234</v>
      </c>
      <c r="AF1860" t="s">
        <v>8235</v>
      </c>
      <c r="AG1860" t="s">
        <v>8236</v>
      </c>
      <c r="AH1860" t="s">
        <v>2191</v>
      </c>
      <c r="AI1860" t="s">
        <v>2538</v>
      </c>
      <c r="AJ1860" t="s">
        <v>2514</v>
      </c>
      <c r="AK1860" t="s">
        <v>77</v>
      </c>
      <c r="AL1860" t="s">
        <v>717</v>
      </c>
      <c r="AM1860" t="s">
        <v>10</v>
      </c>
      <c r="AN1860" t="s">
        <v>717</v>
      </c>
    </row>
    <row r="1861" spans="1:40" hidden="1">
      <c r="A1861">
        <v>1860</v>
      </c>
      <c r="B1861">
        <v>14</v>
      </c>
      <c r="C1861" s="58">
        <v>45069</v>
      </c>
      <c r="D1861" t="s">
        <v>7</v>
      </c>
      <c r="E1861" t="s">
        <v>4409</v>
      </c>
      <c r="F1861">
        <v>6</v>
      </c>
      <c r="G1861">
        <v>3</v>
      </c>
      <c r="H1861">
        <v>416</v>
      </c>
      <c r="I1861">
        <v>2</v>
      </c>
      <c r="J1861">
        <v>58.62</v>
      </c>
      <c r="K1861" t="s">
        <v>15</v>
      </c>
      <c r="L1861">
        <v>4896474.67</v>
      </c>
      <c r="M1861">
        <v>0</v>
      </c>
      <c r="N1861">
        <v>4896474.67</v>
      </c>
      <c r="O1861">
        <v>83529.080006823613</v>
      </c>
      <c r="P1861">
        <v>234480</v>
      </c>
      <c r="Q1861">
        <v>4661994.67</v>
      </c>
      <c r="R1861">
        <v>79529.080006823613</v>
      </c>
      <c r="S1861" t="s">
        <v>65</v>
      </c>
      <c r="T1861" t="s">
        <v>717</v>
      </c>
      <c r="U1861" t="s">
        <v>717</v>
      </c>
      <c r="V1861" t="s">
        <v>6312</v>
      </c>
      <c r="W1861">
        <v>45051</v>
      </c>
      <c r="X1861" t="s">
        <v>8237</v>
      </c>
      <c r="Y1861" t="s">
        <v>6</v>
      </c>
      <c r="Z1861" t="s">
        <v>17</v>
      </c>
      <c r="AA1861" t="s">
        <v>5617</v>
      </c>
      <c r="AB1861" t="s">
        <v>2509</v>
      </c>
      <c r="AC1861" t="s">
        <v>2564</v>
      </c>
      <c r="AD1861" t="s">
        <v>717</v>
      </c>
      <c r="AE1861" t="s">
        <v>8238</v>
      </c>
      <c r="AF1861" t="s">
        <v>8239</v>
      </c>
      <c r="AG1861" t="s">
        <v>8240</v>
      </c>
      <c r="AH1861" t="s">
        <v>2616</v>
      </c>
      <c r="AI1861" t="s">
        <v>2552</v>
      </c>
      <c r="AJ1861" t="s">
        <v>2662</v>
      </c>
      <c r="AK1861" t="s">
        <v>8</v>
      </c>
      <c r="AL1861" t="s">
        <v>16</v>
      </c>
      <c r="AM1861" t="s">
        <v>10</v>
      </c>
      <c r="AN1861" t="s">
        <v>717</v>
      </c>
    </row>
    <row r="1862" spans="1:40" hidden="1">
      <c r="A1862">
        <v>1861</v>
      </c>
      <c r="B1862">
        <v>15</v>
      </c>
      <c r="C1862" s="58">
        <v>45069</v>
      </c>
      <c r="D1862" t="s">
        <v>7</v>
      </c>
      <c r="E1862" t="s">
        <v>2506</v>
      </c>
      <c r="F1862">
        <v>1</v>
      </c>
      <c r="G1862">
        <v>10</v>
      </c>
      <c r="H1862">
        <v>185</v>
      </c>
      <c r="I1862">
        <v>0</v>
      </c>
      <c r="J1862">
        <v>28.97</v>
      </c>
      <c r="K1862" t="s">
        <v>15</v>
      </c>
      <c r="L1862">
        <v>2603728</v>
      </c>
      <c r="M1862">
        <v>0</v>
      </c>
      <c r="N1862">
        <v>2603728</v>
      </c>
      <c r="O1862">
        <v>89876.700034518464</v>
      </c>
      <c r="P1862">
        <v>115879.99999999952</v>
      </c>
      <c r="Q1862">
        <v>2487848.0000000005</v>
      </c>
      <c r="R1862">
        <v>85876.700034518493</v>
      </c>
      <c r="S1862" t="s">
        <v>65</v>
      </c>
      <c r="T1862" t="s">
        <v>717</v>
      </c>
      <c r="U1862" t="s">
        <v>717</v>
      </c>
      <c r="V1862" t="s">
        <v>4131</v>
      </c>
      <c r="W1862">
        <v>45064</v>
      </c>
      <c r="X1862" t="s">
        <v>8241</v>
      </c>
      <c r="Y1862" t="s">
        <v>6</v>
      </c>
      <c r="Z1862" t="s">
        <v>17</v>
      </c>
      <c r="AA1862" t="s">
        <v>6637</v>
      </c>
      <c r="AB1862" t="s">
        <v>2509</v>
      </c>
      <c r="AC1862" t="s">
        <v>2571</v>
      </c>
      <c r="AD1862" t="s">
        <v>717</v>
      </c>
      <c r="AE1862" t="s">
        <v>8242</v>
      </c>
      <c r="AF1862" t="s">
        <v>8243</v>
      </c>
      <c r="AG1862" t="s">
        <v>8244</v>
      </c>
      <c r="AH1862" t="s">
        <v>2615</v>
      </c>
      <c r="AI1862" t="s">
        <v>6951</v>
      </c>
      <c r="AJ1862" t="s">
        <v>2569</v>
      </c>
      <c r="AK1862" t="s">
        <v>8</v>
      </c>
      <c r="AL1862" t="s">
        <v>16</v>
      </c>
      <c r="AM1862" t="s">
        <v>10</v>
      </c>
      <c r="AN1862" t="s">
        <v>717</v>
      </c>
    </row>
    <row r="1863" spans="1:40" hidden="1">
      <c r="A1863">
        <v>1862</v>
      </c>
      <c r="B1863">
        <v>16</v>
      </c>
      <c r="C1863" s="58">
        <v>45070</v>
      </c>
      <c r="D1863" t="s">
        <v>7</v>
      </c>
      <c r="E1863" t="s">
        <v>2506</v>
      </c>
      <c r="F1863">
        <v>5</v>
      </c>
      <c r="G1863">
        <v>11</v>
      </c>
      <c r="H1863">
        <v>197</v>
      </c>
      <c r="I1863">
        <v>1</v>
      </c>
      <c r="J1863">
        <v>36.700000000000003</v>
      </c>
      <c r="K1863" t="s">
        <v>9</v>
      </c>
      <c r="L1863">
        <v>3380763.26</v>
      </c>
      <c r="M1863">
        <v>0</v>
      </c>
      <c r="N1863">
        <v>3380763.26</v>
      </c>
      <c r="O1863">
        <v>92118.889918256114</v>
      </c>
      <c r="P1863">
        <v>0</v>
      </c>
      <c r="Q1863">
        <v>3380763.26</v>
      </c>
      <c r="R1863">
        <v>92118.889918256114</v>
      </c>
      <c r="S1863" t="s">
        <v>65</v>
      </c>
      <c r="T1863" t="s">
        <v>717</v>
      </c>
      <c r="U1863" t="s">
        <v>717</v>
      </c>
      <c r="V1863" t="s">
        <v>4131</v>
      </c>
      <c r="W1863">
        <v>45064</v>
      </c>
      <c r="X1863" t="s">
        <v>8245</v>
      </c>
      <c r="Y1863" t="s">
        <v>6</v>
      </c>
      <c r="Z1863" t="s">
        <v>17</v>
      </c>
      <c r="AA1863" t="s">
        <v>6637</v>
      </c>
      <c r="AB1863" t="s">
        <v>2509</v>
      </c>
      <c r="AC1863" t="s">
        <v>2571</v>
      </c>
      <c r="AD1863" t="s">
        <v>717</v>
      </c>
      <c r="AE1863" t="s">
        <v>8246</v>
      </c>
      <c r="AF1863" t="s">
        <v>8247</v>
      </c>
      <c r="AG1863" t="s">
        <v>8248</v>
      </c>
      <c r="AH1863" t="s">
        <v>2615</v>
      </c>
      <c r="AI1863" t="s">
        <v>2538</v>
      </c>
      <c r="AJ1863" t="s">
        <v>2662</v>
      </c>
      <c r="AK1863" t="s">
        <v>77</v>
      </c>
      <c r="AL1863" t="s">
        <v>16</v>
      </c>
      <c r="AM1863" t="s">
        <v>10</v>
      </c>
      <c r="AN1863" t="s">
        <v>717</v>
      </c>
    </row>
    <row r="1864" spans="1:40" hidden="1">
      <c r="A1864">
        <v>1863</v>
      </c>
      <c r="B1864">
        <v>17</v>
      </c>
      <c r="C1864" s="58">
        <v>45070</v>
      </c>
      <c r="D1864" t="s">
        <v>7</v>
      </c>
      <c r="E1864" t="s">
        <v>2506</v>
      </c>
      <c r="F1864">
        <v>7</v>
      </c>
      <c r="G1864">
        <v>14</v>
      </c>
      <c r="H1864">
        <v>223</v>
      </c>
      <c r="I1864">
        <v>3</v>
      </c>
      <c r="J1864">
        <v>78.73</v>
      </c>
      <c r="K1864" t="s">
        <v>9</v>
      </c>
      <c r="L1864">
        <v>5817628.6900000004</v>
      </c>
      <c r="M1864">
        <v>0</v>
      </c>
      <c r="N1864">
        <v>5817628.6900000004</v>
      </c>
      <c r="O1864">
        <v>73893.416613743175</v>
      </c>
      <c r="P1864">
        <v>0</v>
      </c>
      <c r="Q1864">
        <v>5817628.6900000004</v>
      </c>
      <c r="R1864">
        <v>73893.416613743175</v>
      </c>
      <c r="S1864" t="s">
        <v>65</v>
      </c>
      <c r="T1864" t="s">
        <v>2664</v>
      </c>
      <c r="U1864">
        <v>179926.66</v>
      </c>
      <c r="V1864" t="s">
        <v>6312</v>
      </c>
      <c r="W1864">
        <v>45068</v>
      </c>
      <c r="X1864" t="s">
        <v>8249</v>
      </c>
      <c r="Y1864" t="s">
        <v>6</v>
      </c>
      <c r="Z1864" t="s">
        <v>17</v>
      </c>
      <c r="AA1864" t="s">
        <v>6637</v>
      </c>
      <c r="AB1864" t="s">
        <v>2509</v>
      </c>
      <c r="AC1864" t="s">
        <v>2571</v>
      </c>
      <c r="AD1864" t="s">
        <v>717</v>
      </c>
      <c r="AE1864" t="s">
        <v>8250</v>
      </c>
      <c r="AF1864" t="s">
        <v>8251</v>
      </c>
      <c r="AG1864" t="s">
        <v>8252</v>
      </c>
      <c r="AH1864" t="s">
        <v>2615</v>
      </c>
      <c r="AI1864" t="s">
        <v>2621</v>
      </c>
      <c r="AJ1864" t="s">
        <v>2662</v>
      </c>
      <c r="AK1864" t="s">
        <v>8</v>
      </c>
      <c r="AL1864" t="s">
        <v>16</v>
      </c>
      <c r="AM1864" t="s">
        <v>10</v>
      </c>
      <c r="AN1864" t="s">
        <v>717</v>
      </c>
    </row>
    <row r="1865" spans="1:40" hidden="1">
      <c r="A1865">
        <v>1864</v>
      </c>
      <c r="B1865">
        <v>18</v>
      </c>
      <c r="C1865" s="58">
        <v>45070</v>
      </c>
      <c r="D1865" t="s">
        <v>74</v>
      </c>
      <c r="E1865" t="s">
        <v>2515</v>
      </c>
      <c r="F1865">
        <v>5</v>
      </c>
      <c r="G1865">
        <v>1</v>
      </c>
      <c r="H1865">
        <v>5</v>
      </c>
      <c r="I1865" t="s">
        <v>1368</v>
      </c>
      <c r="J1865">
        <v>79.2</v>
      </c>
      <c r="K1865" t="s">
        <v>9</v>
      </c>
      <c r="L1865">
        <v>9108000</v>
      </c>
      <c r="M1865">
        <v>0</v>
      </c>
      <c r="N1865">
        <v>9108000</v>
      </c>
      <c r="O1865">
        <v>115000</v>
      </c>
      <c r="P1865">
        <v>0</v>
      </c>
      <c r="Q1865">
        <v>9108000</v>
      </c>
      <c r="R1865">
        <v>115000</v>
      </c>
      <c r="S1865" t="s">
        <v>2507</v>
      </c>
      <c r="T1865" t="s">
        <v>717</v>
      </c>
      <c r="U1865" t="s">
        <v>717</v>
      </c>
      <c r="V1865" t="s">
        <v>717</v>
      </c>
      <c r="W1865">
        <v>45070</v>
      </c>
      <c r="X1865" t="s">
        <v>8253</v>
      </c>
      <c r="Y1865" t="s">
        <v>1368</v>
      </c>
      <c r="Z1865" t="s">
        <v>17</v>
      </c>
      <c r="AA1865" t="s">
        <v>6637</v>
      </c>
      <c r="AB1865" t="s">
        <v>326</v>
      </c>
      <c r="AC1865" t="s">
        <v>717</v>
      </c>
      <c r="AD1865" t="s">
        <v>717</v>
      </c>
      <c r="AE1865" t="s">
        <v>7612</v>
      </c>
      <c r="AF1865" t="s">
        <v>7613</v>
      </c>
      <c r="AG1865" t="s">
        <v>7614</v>
      </c>
      <c r="AH1865" t="s">
        <v>2615</v>
      </c>
      <c r="AI1865" t="s">
        <v>2531</v>
      </c>
      <c r="AJ1865" t="s">
        <v>2569</v>
      </c>
      <c r="AK1865" t="s">
        <v>29</v>
      </c>
      <c r="AL1865" t="s">
        <v>717</v>
      </c>
      <c r="AM1865" t="s">
        <v>10</v>
      </c>
      <c r="AN1865" t="s">
        <v>717</v>
      </c>
    </row>
    <row r="1866" spans="1:40" hidden="1">
      <c r="A1866">
        <v>1865</v>
      </c>
      <c r="B1866">
        <v>19</v>
      </c>
      <c r="C1866" s="58">
        <v>45071</v>
      </c>
      <c r="D1866" t="s">
        <v>7</v>
      </c>
      <c r="E1866" t="s">
        <v>2515</v>
      </c>
      <c r="F1866">
        <v>7</v>
      </c>
      <c r="G1866">
        <v>10</v>
      </c>
      <c r="H1866">
        <v>71</v>
      </c>
      <c r="I1866">
        <v>0</v>
      </c>
      <c r="J1866">
        <v>21.75</v>
      </c>
      <c r="K1866" t="s">
        <v>25</v>
      </c>
      <c r="L1866">
        <v>2462619.17</v>
      </c>
      <c r="M1866">
        <v>0</v>
      </c>
      <c r="N1866">
        <v>2462619.17</v>
      </c>
      <c r="O1866">
        <v>113223.86988505747</v>
      </c>
      <c r="P1866">
        <v>326250</v>
      </c>
      <c r="Q1866">
        <v>2136369.17</v>
      </c>
      <c r="R1866">
        <v>98223.869885057473</v>
      </c>
      <c r="S1866" t="s">
        <v>65</v>
      </c>
      <c r="T1866" t="s">
        <v>717</v>
      </c>
      <c r="U1866" t="s">
        <v>717</v>
      </c>
      <c r="V1866" t="s">
        <v>4131</v>
      </c>
      <c r="W1866">
        <v>45068</v>
      </c>
      <c r="X1866" t="s">
        <v>8254</v>
      </c>
      <c r="Y1866" t="s">
        <v>6</v>
      </c>
      <c r="Z1866" t="s">
        <v>17</v>
      </c>
      <c r="AA1866" t="s">
        <v>6637</v>
      </c>
      <c r="AB1866" t="s">
        <v>2509</v>
      </c>
      <c r="AC1866" t="s">
        <v>2571</v>
      </c>
      <c r="AD1866" t="s">
        <v>717</v>
      </c>
      <c r="AE1866" t="s">
        <v>8255</v>
      </c>
      <c r="AF1866" t="s">
        <v>8256</v>
      </c>
      <c r="AG1866" t="s">
        <v>8257</v>
      </c>
      <c r="AH1866" t="s">
        <v>2616</v>
      </c>
      <c r="AI1866" t="s">
        <v>2552</v>
      </c>
      <c r="AJ1866" t="s">
        <v>2569</v>
      </c>
      <c r="AK1866" t="s">
        <v>77</v>
      </c>
      <c r="AL1866" t="s">
        <v>16</v>
      </c>
      <c r="AM1866" t="s">
        <v>10</v>
      </c>
      <c r="AN1866" t="s">
        <v>717</v>
      </c>
    </row>
    <row r="1867" spans="1:40" hidden="1">
      <c r="A1867">
        <v>1866</v>
      </c>
      <c r="B1867">
        <v>20</v>
      </c>
      <c r="C1867" s="58">
        <v>45071</v>
      </c>
      <c r="D1867" t="s">
        <v>7</v>
      </c>
      <c r="E1867" t="s">
        <v>4409</v>
      </c>
      <c r="F1867">
        <v>8</v>
      </c>
      <c r="G1867">
        <v>3</v>
      </c>
      <c r="H1867">
        <v>418</v>
      </c>
      <c r="I1867">
        <v>2</v>
      </c>
      <c r="J1867">
        <v>63.74</v>
      </c>
      <c r="K1867" t="s">
        <v>15</v>
      </c>
      <c r="L1867">
        <v>5069183.5599999996</v>
      </c>
      <c r="M1867">
        <v>0</v>
      </c>
      <c r="N1867">
        <v>5069183.5599999996</v>
      </c>
      <c r="O1867">
        <v>79529.080012550985</v>
      </c>
      <c r="P1867">
        <v>254960</v>
      </c>
      <c r="Q1867">
        <v>4814223.5599999996</v>
      </c>
      <c r="R1867">
        <v>75529.080012550985</v>
      </c>
      <c r="S1867" t="s">
        <v>65</v>
      </c>
      <c r="T1867" t="s">
        <v>5443</v>
      </c>
      <c r="U1867">
        <v>254960</v>
      </c>
      <c r="V1867" t="s">
        <v>6312</v>
      </c>
      <c r="W1867">
        <v>45068</v>
      </c>
      <c r="X1867" t="s">
        <v>8258</v>
      </c>
      <c r="Y1867" t="s">
        <v>6</v>
      </c>
      <c r="Z1867" t="s">
        <v>17</v>
      </c>
      <c r="AA1867" t="s">
        <v>6637</v>
      </c>
      <c r="AB1867" t="s">
        <v>2509</v>
      </c>
      <c r="AC1867" t="s">
        <v>2571</v>
      </c>
      <c r="AD1867" t="s">
        <v>717</v>
      </c>
      <c r="AE1867" t="s">
        <v>8259</v>
      </c>
      <c r="AF1867" t="s">
        <v>8260</v>
      </c>
      <c r="AG1867" t="s">
        <v>8261</v>
      </c>
      <c r="AH1867" t="s">
        <v>2615</v>
      </c>
      <c r="AI1867" t="s">
        <v>2552</v>
      </c>
      <c r="AJ1867" t="s">
        <v>2825</v>
      </c>
      <c r="AK1867" t="s">
        <v>8</v>
      </c>
      <c r="AL1867" t="s">
        <v>16</v>
      </c>
      <c r="AM1867" t="s">
        <v>10</v>
      </c>
      <c r="AN1867" t="s">
        <v>717</v>
      </c>
    </row>
    <row r="1868" spans="1:40" hidden="1">
      <c r="A1868">
        <v>1867</v>
      </c>
      <c r="B1868">
        <v>21</v>
      </c>
      <c r="C1868" s="58">
        <v>45072</v>
      </c>
      <c r="D1868" t="s">
        <v>7</v>
      </c>
      <c r="E1868" t="s">
        <v>2515</v>
      </c>
      <c r="F1868">
        <v>5</v>
      </c>
      <c r="G1868">
        <v>16</v>
      </c>
      <c r="H1868">
        <v>117</v>
      </c>
      <c r="I1868">
        <v>2</v>
      </c>
      <c r="J1868">
        <v>54.66</v>
      </c>
      <c r="K1868" t="s">
        <v>25</v>
      </c>
      <c r="L1868">
        <v>4801013.3499999996</v>
      </c>
      <c r="M1868">
        <v>25000</v>
      </c>
      <c r="N1868">
        <v>4826013.3499999996</v>
      </c>
      <c r="O1868">
        <v>88291.499268203435</v>
      </c>
      <c r="P1868">
        <v>819900</v>
      </c>
      <c r="Q1868">
        <v>4006113.35</v>
      </c>
      <c r="R1868">
        <v>73291.499268203435</v>
      </c>
      <c r="S1868" t="s">
        <v>65</v>
      </c>
      <c r="T1868" t="s">
        <v>5768</v>
      </c>
      <c r="U1868">
        <v>255709.36</v>
      </c>
      <c r="V1868" t="s">
        <v>1970</v>
      </c>
      <c r="W1868">
        <v>45040</v>
      </c>
      <c r="X1868" t="s">
        <v>8262</v>
      </c>
      <c r="Y1868" t="s">
        <v>6</v>
      </c>
      <c r="Z1868" t="s">
        <v>11</v>
      </c>
      <c r="AA1868" t="s">
        <v>717</v>
      </c>
      <c r="AB1868" t="s">
        <v>2509</v>
      </c>
      <c r="AC1868" t="s">
        <v>5105</v>
      </c>
      <c r="AD1868" t="s">
        <v>717</v>
      </c>
      <c r="AE1868" t="s">
        <v>8263</v>
      </c>
      <c r="AF1868" t="s">
        <v>8264</v>
      </c>
      <c r="AG1868" t="s">
        <v>8265</v>
      </c>
      <c r="AH1868" t="s">
        <v>2191</v>
      </c>
      <c r="AI1868" t="s">
        <v>2538</v>
      </c>
      <c r="AJ1868" t="s">
        <v>2514</v>
      </c>
      <c r="AK1868" t="s">
        <v>1233</v>
      </c>
      <c r="AL1868" t="s">
        <v>16</v>
      </c>
      <c r="AM1868" t="s">
        <v>10</v>
      </c>
      <c r="AN1868" t="s">
        <v>717</v>
      </c>
    </row>
    <row r="1869" spans="1:40" hidden="1">
      <c r="A1869">
        <v>1868</v>
      </c>
      <c r="B1869">
        <v>22</v>
      </c>
      <c r="C1869" s="58">
        <v>45072</v>
      </c>
      <c r="D1869" t="s">
        <v>7</v>
      </c>
      <c r="E1869" t="s">
        <v>4409</v>
      </c>
      <c r="F1869">
        <v>1</v>
      </c>
      <c r="G1869">
        <v>16</v>
      </c>
      <c r="H1869">
        <v>528</v>
      </c>
      <c r="I1869">
        <v>1</v>
      </c>
      <c r="J1869">
        <v>39.74</v>
      </c>
      <c r="K1869" t="s">
        <v>15</v>
      </c>
      <c r="L1869">
        <v>3660804.69</v>
      </c>
      <c r="M1869">
        <v>0</v>
      </c>
      <c r="N1869">
        <v>3660804.69</v>
      </c>
      <c r="O1869">
        <v>92118.890035228978</v>
      </c>
      <c r="P1869">
        <v>158959.99999999953</v>
      </c>
      <c r="Q1869">
        <v>3501844.6900000004</v>
      </c>
      <c r="R1869">
        <v>88118.890035228993</v>
      </c>
      <c r="S1869" t="s">
        <v>65</v>
      </c>
      <c r="T1869" t="s">
        <v>5443</v>
      </c>
      <c r="U1869">
        <v>158960</v>
      </c>
      <c r="V1869" t="s">
        <v>6312</v>
      </c>
      <c r="W1869">
        <v>45068</v>
      </c>
      <c r="X1869" t="s">
        <v>8266</v>
      </c>
      <c r="Y1869" t="s">
        <v>6</v>
      </c>
      <c r="Z1869" t="s">
        <v>17</v>
      </c>
      <c r="AA1869" t="s">
        <v>6637</v>
      </c>
      <c r="AB1869" t="s">
        <v>2509</v>
      </c>
      <c r="AC1869" t="s">
        <v>2571</v>
      </c>
      <c r="AD1869" t="s">
        <v>717</v>
      </c>
      <c r="AE1869" t="s">
        <v>8267</v>
      </c>
      <c r="AF1869" t="s">
        <v>8268</v>
      </c>
      <c r="AG1869" t="s">
        <v>8269</v>
      </c>
      <c r="AH1869" t="s">
        <v>2615</v>
      </c>
      <c r="AI1869" t="s">
        <v>2552</v>
      </c>
      <c r="AJ1869" t="s">
        <v>2825</v>
      </c>
      <c r="AK1869" t="s">
        <v>8</v>
      </c>
      <c r="AL1869" t="s">
        <v>16</v>
      </c>
      <c r="AM1869" t="s">
        <v>10</v>
      </c>
      <c r="AN1869" t="s">
        <v>717</v>
      </c>
    </row>
    <row r="1870" spans="1:40" hidden="1">
      <c r="A1870">
        <v>1869</v>
      </c>
      <c r="B1870">
        <v>23</v>
      </c>
      <c r="C1870" s="58">
        <v>45076</v>
      </c>
      <c r="D1870" t="s">
        <v>7</v>
      </c>
      <c r="E1870" t="s">
        <v>2581</v>
      </c>
      <c r="F1870">
        <v>6</v>
      </c>
      <c r="G1870">
        <v>24</v>
      </c>
      <c r="H1870">
        <v>400</v>
      </c>
      <c r="I1870">
        <v>3</v>
      </c>
      <c r="J1870">
        <v>72.510000000000005</v>
      </c>
      <c r="K1870" t="s">
        <v>15</v>
      </c>
      <c r="L1870">
        <v>5911061.8799999999</v>
      </c>
      <c r="M1870">
        <v>0</v>
      </c>
      <c r="N1870">
        <v>5911061.8799999999</v>
      </c>
      <c r="O1870">
        <v>81520.643773272634</v>
      </c>
      <c r="P1870">
        <v>290040</v>
      </c>
      <c r="Q1870">
        <v>5621021.8799999999</v>
      </c>
      <c r="R1870">
        <v>77520.643773272634</v>
      </c>
      <c r="S1870" t="s">
        <v>65</v>
      </c>
      <c r="T1870" t="s">
        <v>5768</v>
      </c>
      <c r="U1870">
        <v>358788.63</v>
      </c>
      <c r="V1870" t="s">
        <v>6312</v>
      </c>
      <c r="W1870">
        <v>45065</v>
      </c>
      <c r="X1870" t="s">
        <v>8270</v>
      </c>
      <c r="Y1870" t="s">
        <v>6</v>
      </c>
      <c r="Z1870" t="s">
        <v>11</v>
      </c>
      <c r="AA1870" t="s">
        <v>717</v>
      </c>
      <c r="AB1870" t="s">
        <v>2509</v>
      </c>
      <c r="AC1870" t="s">
        <v>2571</v>
      </c>
      <c r="AD1870" t="s">
        <v>717</v>
      </c>
      <c r="AE1870" t="s">
        <v>8271</v>
      </c>
      <c r="AF1870" t="s">
        <v>8272</v>
      </c>
      <c r="AG1870" t="s">
        <v>8273</v>
      </c>
      <c r="AH1870" t="s">
        <v>2615</v>
      </c>
      <c r="AI1870" t="s">
        <v>2552</v>
      </c>
      <c r="AJ1870" t="s">
        <v>2662</v>
      </c>
      <c r="AK1870" t="s">
        <v>1233</v>
      </c>
      <c r="AL1870" t="s">
        <v>16</v>
      </c>
      <c r="AM1870" t="s">
        <v>10</v>
      </c>
      <c r="AN1870" t="s">
        <v>717</v>
      </c>
    </row>
    <row r="1871" spans="1:40" hidden="1">
      <c r="A1871">
        <v>1870</v>
      </c>
      <c r="B1871">
        <v>24</v>
      </c>
      <c r="C1871" s="58">
        <v>45076</v>
      </c>
      <c r="D1871" t="s">
        <v>7</v>
      </c>
      <c r="E1871" t="s">
        <v>2515</v>
      </c>
      <c r="F1871">
        <v>3</v>
      </c>
      <c r="G1871">
        <v>11</v>
      </c>
      <c r="H1871">
        <v>75</v>
      </c>
      <c r="I1871">
        <v>1</v>
      </c>
      <c r="J1871">
        <v>35.54</v>
      </c>
      <c r="K1871" t="s">
        <v>15</v>
      </c>
      <c r="L1871">
        <v>3349913.3</v>
      </c>
      <c r="M1871">
        <v>0</v>
      </c>
      <c r="N1871">
        <v>3349913.3</v>
      </c>
      <c r="O1871">
        <v>94257.549240292647</v>
      </c>
      <c r="P1871">
        <v>142160</v>
      </c>
      <c r="Q1871">
        <v>3207753.3</v>
      </c>
      <c r="R1871">
        <v>90257.549240292647</v>
      </c>
      <c r="S1871" t="s">
        <v>2507</v>
      </c>
      <c r="T1871" t="s">
        <v>2664</v>
      </c>
      <c r="U1871">
        <v>99208.87</v>
      </c>
      <c r="V1871" t="s">
        <v>717</v>
      </c>
      <c r="W1871">
        <v>45076</v>
      </c>
      <c r="X1871" t="s">
        <v>8274</v>
      </c>
      <c r="Y1871" t="s">
        <v>6</v>
      </c>
      <c r="Z1871" t="s">
        <v>17</v>
      </c>
      <c r="AA1871" t="s">
        <v>5617</v>
      </c>
      <c r="AB1871" t="s">
        <v>2509</v>
      </c>
      <c r="AC1871" t="s">
        <v>717</v>
      </c>
      <c r="AD1871" t="s">
        <v>717</v>
      </c>
      <c r="AE1871" t="s">
        <v>8275</v>
      </c>
      <c r="AF1871" t="s">
        <v>8276</v>
      </c>
      <c r="AG1871" t="s">
        <v>8277</v>
      </c>
      <c r="AH1871" t="s">
        <v>2615</v>
      </c>
      <c r="AI1871" t="s">
        <v>2552</v>
      </c>
      <c r="AJ1871" t="s">
        <v>2642</v>
      </c>
      <c r="AK1871" t="s">
        <v>1233</v>
      </c>
      <c r="AL1871" t="s">
        <v>717</v>
      </c>
      <c r="AM1871" t="s">
        <v>10</v>
      </c>
      <c r="AN1871" t="s">
        <v>717</v>
      </c>
    </row>
    <row r="1872" spans="1:40" hidden="1">
      <c r="A1872">
        <v>1871</v>
      </c>
      <c r="B1872">
        <v>25</v>
      </c>
      <c r="C1872" s="58">
        <v>45077</v>
      </c>
      <c r="D1872" t="s">
        <v>7</v>
      </c>
      <c r="E1872" t="s">
        <v>2515</v>
      </c>
      <c r="F1872">
        <v>5</v>
      </c>
      <c r="G1872">
        <v>13</v>
      </c>
      <c r="H1872">
        <v>93</v>
      </c>
      <c r="I1872">
        <v>2</v>
      </c>
      <c r="J1872">
        <v>54.66</v>
      </c>
      <c r="K1872" t="s">
        <v>15</v>
      </c>
      <c r="L1872">
        <v>4523494.8899999997</v>
      </c>
      <c r="M1872">
        <v>0</v>
      </c>
      <c r="N1872">
        <v>4523494.8899999997</v>
      </c>
      <c r="O1872">
        <v>82756.950054884743</v>
      </c>
      <c r="P1872">
        <v>218640</v>
      </c>
      <c r="Q1872">
        <v>4304854.8899999997</v>
      </c>
      <c r="R1872">
        <v>78756.950054884743</v>
      </c>
      <c r="S1872" t="s">
        <v>65</v>
      </c>
      <c r="T1872" t="s">
        <v>717</v>
      </c>
      <c r="U1872" t="s">
        <v>717</v>
      </c>
      <c r="V1872" t="s">
        <v>6312</v>
      </c>
      <c r="W1872">
        <v>45064</v>
      </c>
      <c r="X1872" t="s">
        <v>8278</v>
      </c>
      <c r="Y1872" t="s">
        <v>6</v>
      </c>
      <c r="Z1872" t="s">
        <v>17</v>
      </c>
      <c r="AA1872" t="s">
        <v>5617</v>
      </c>
      <c r="AB1872" t="s">
        <v>2509</v>
      </c>
      <c r="AC1872" t="s">
        <v>2558</v>
      </c>
      <c r="AD1872" t="s">
        <v>717</v>
      </c>
      <c r="AE1872" t="s">
        <v>8279</v>
      </c>
      <c r="AF1872" t="s">
        <v>8280</v>
      </c>
      <c r="AG1872" t="s">
        <v>8281</v>
      </c>
      <c r="AH1872" t="s">
        <v>2191</v>
      </c>
      <c r="AI1872" t="s">
        <v>2538</v>
      </c>
      <c r="AJ1872" t="s">
        <v>2514</v>
      </c>
      <c r="AK1872" t="s">
        <v>8</v>
      </c>
      <c r="AL1872" t="s">
        <v>16</v>
      </c>
      <c r="AM1872" t="s">
        <v>10</v>
      </c>
      <c r="AN1872" t="s">
        <v>717</v>
      </c>
    </row>
    <row r="1873" spans="1:40" hidden="1">
      <c r="A1873">
        <v>1872</v>
      </c>
      <c r="B1873">
        <v>26</v>
      </c>
      <c r="C1873" s="58">
        <v>45077</v>
      </c>
      <c r="D1873" t="s">
        <v>7</v>
      </c>
      <c r="E1873" t="s">
        <v>4409</v>
      </c>
      <c r="F1873">
        <v>1</v>
      </c>
      <c r="G1873">
        <v>12</v>
      </c>
      <c r="H1873">
        <v>492</v>
      </c>
      <c r="I1873">
        <v>1</v>
      </c>
      <c r="J1873">
        <v>39.74</v>
      </c>
      <c r="K1873" t="s">
        <v>15</v>
      </c>
      <c r="L1873">
        <v>3660804.69</v>
      </c>
      <c r="M1873">
        <v>0</v>
      </c>
      <c r="N1873">
        <v>3660804.69</v>
      </c>
      <c r="O1873">
        <v>92118.890035228978</v>
      </c>
      <c r="P1873">
        <v>158959.99999999953</v>
      </c>
      <c r="Q1873">
        <v>3501844.6900000004</v>
      </c>
      <c r="R1873">
        <v>88118.890035228993</v>
      </c>
      <c r="S1873" t="s">
        <v>65</v>
      </c>
      <c r="T1873" t="s">
        <v>5443</v>
      </c>
      <c r="U1873">
        <v>158959.99999999953</v>
      </c>
      <c r="V1873" t="s">
        <v>6312</v>
      </c>
      <c r="W1873">
        <v>45064</v>
      </c>
      <c r="X1873" t="s">
        <v>8282</v>
      </c>
      <c r="Y1873" t="s">
        <v>6</v>
      </c>
      <c r="Z1873" t="s">
        <v>17</v>
      </c>
      <c r="AA1873" t="s">
        <v>6637</v>
      </c>
      <c r="AB1873" t="s">
        <v>2509</v>
      </c>
      <c r="AC1873" t="s">
        <v>2571</v>
      </c>
      <c r="AD1873" t="s">
        <v>717</v>
      </c>
      <c r="AE1873" t="s">
        <v>8283</v>
      </c>
      <c r="AF1873" t="s">
        <v>8284</v>
      </c>
      <c r="AG1873" t="s">
        <v>8285</v>
      </c>
      <c r="AH1873" t="s">
        <v>2615</v>
      </c>
      <c r="AI1873" t="s">
        <v>2552</v>
      </c>
      <c r="AJ1873" t="s">
        <v>2825</v>
      </c>
      <c r="AK1873" t="s">
        <v>8</v>
      </c>
      <c r="AL1873" t="s">
        <v>16</v>
      </c>
      <c r="AM1873" t="s">
        <v>10</v>
      </c>
      <c r="AN1873" t="s">
        <v>717</v>
      </c>
    </row>
    <row r="1874" spans="1:40" hidden="1">
      <c r="A1874">
        <v>1873</v>
      </c>
      <c r="B1874">
        <v>27</v>
      </c>
      <c r="C1874" s="58">
        <v>45077</v>
      </c>
      <c r="D1874" t="s">
        <v>7</v>
      </c>
      <c r="E1874" t="s">
        <v>4409</v>
      </c>
      <c r="F1874">
        <v>5</v>
      </c>
      <c r="G1874">
        <v>8</v>
      </c>
      <c r="H1874">
        <v>460</v>
      </c>
      <c r="I1874">
        <v>2</v>
      </c>
      <c r="J1874">
        <v>56.04</v>
      </c>
      <c r="K1874" t="s">
        <v>25</v>
      </c>
      <c r="L1874">
        <v>5341977.6900000004</v>
      </c>
      <c r="M1874">
        <v>0</v>
      </c>
      <c r="N1874">
        <v>5341977.6900000004</v>
      </c>
      <c r="O1874">
        <v>95324.369914346898</v>
      </c>
      <c r="P1874">
        <v>840600</v>
      </c>
      <c r="Q1874">
        <v>4501377.6900000004</v>
      </c>
      <c r="R1874">
        <v>80324.369914346898</v>
      </c>
      <c r="S1874" t="s">
        <v>65</v>
      </c>
      <c r="T1874" t="s">
        <v>717</v>
      </c>
      <c r="U1874" t="s">
        <v>717</v>
      </c>
      <c r="V1874" t="s">
        <v>6312</v>
      </c>
      <c r="W1874">
        <v>45075</v>
      </c>
      <c r="X1874" t="s">
        <v>8286</v>
      </c>
      <c r="Y1874" t="s">
        <v>6</v>
      </c>
      <c r="Z1874" t="s">
        <v>17</v>
      </c>
      <c r="AA1874" t="s">
        <v>6637</v>
      </c>
      <c r="AB1874" t="s">
        <v>2509</v>
      </c>
      <c r="AC1874" t="s">
        <v>2571</v>
      </c>
      <c r="AD1874" t="s">
        <v>717</v>
      </c>
      <c r="AE1874" t="s">
        <v>8287</v>
      </c>
      <c r="AF1874" t="s">
        <v>8288</v>
      </c>
      <c r="AG1874" t="s">
        <v>8289</v>
      </c>
      <c r="AH1874" t="s">
        <v>2191</v>
      </c>
      <c r="AI1874" t="s">
        <v>2538</v>
      </c>
      <c r="AJ1874" t="s">
        <v>2514</v>
      </c>
      <c r="AK1874" t="s">
        <v>77</v>
      </c>
      <c r="AL1874" t="s">
        <v>16</v>
      </c>
      <c r="AM1874" t="s">
        <v>10</v>
      </c>
      <c r="AN1874" t="s">
        <v>717</v>
      </c>
    </row>
    <row r="1875" spans="1:40" hidden="1">
      <c r="A1875">
        <v>1874</v>
      </c>
      <c r="B1875">
        <v>28</v>
      </c>
      <c r="C1875" s="58">
        <v>45077</v>
      </c>
      <c r="D1875" t="s">
        <v>7</v>
      </c>
      <c r="E1875" t="s">
        <v>2515</v>
      </c>
      <c r="F1875">
        <v>1</v>
      </c>
      <c r="G1875">
        <v>5</v>
      </c>
      <c r="H1875">
        <v>25</v>
      </c>
      <c r="I1875">
        <v>1</v>
      </c>
      <c r="J1875">
        <v>33.53</v>
      </c>
      <c r="K1875" t="s">
        <v>15</v>
      </c>
      <c r="L1875">
        <v>3346416.05</v>
      </c>
      <c r="M1875">
        <v>0</v>
      </c>
      <c r="N1875">
        <v>3346416.05</v>
      </c>
      <c r="O1875">
        <v>99803.640023859218</v>
      </c>
      <c r="P1875">
        <v>134120.00000000047</v>
      </c>
      <c r="Q1875">
        <v>3212296.0499999993</v>
      </c>
      <c r="R1875">
        <v>95803.640023859203</v>
      </c>
      <c r="S1875" t="s">
        <v>65</v>
      </c>
      <c r="T1875" t="s">
        <v>717</v>
      </c>
      <c r="U1875" t="s">
        <v>717</v>
      </c>
      <c r="V1875" t="s">
        <v>6312</v>
      </c>
      <c r="W1875">
        <v>45075</v>
      </c>
      <c r="X1875" t="s">
        <v>8290</v>
      </c>
      <c r="Y1875" t="s">
        <v>6</v>
      </c>
      <c r="Z1875" t="s">
        <v>17</v>
      </c>
      <c r="AA1875" t="s">
        <v>6637</v>
      </c>
      <c r="AB1875" t="s">
        <v>2509</v>
      </c>
      <c r="AC1875" t="s">
        <v>2571</v>
      </c>
      <c r="AD1875" t="s">
        <v>717</v>
      </c>
      <c r="AE1875" t="s">
        <v>8291</v>
      </c>
      <c r="AF1875" t="s">
        <v>8292</v>
      </c>
      <c r="AG1875" t="s">
        <v>8293</v>
      </c>
      <c r="AH1875" t="s">
        <v>2615</v>
      </c>
      <c r="AI1875" t="s">
        <v>3120</v>
      </c>
      <c r="AJ1875" t="s">
        <v>3202</v>
      </c>
      <c r="AK1875" t="s">
        <v>77</v>
      </c>
      <c r="AL1875" t="s">
        <v>16</v>
      </c>
      <c r="AM1875" t="s">
        <v>10</v>
      </c>
      <c r="AN1875" t="s">
        <v>717</v>
      </c>
    </row>
    <row r="1876" spans="1:40" hidden="1">
      <c r="A1876">
        <v>1875</v>
      </c>
      <c r="B1876">
        <v>29</v>
      </c>
      <c r="C1876" s="58">
        <v>45077</v>
      </c>
      <c r="D1876" t="s">
        <v>7</v>
      </c>
      <c r="E1876" t="s">
        <v>2581</v>
      </c>
      <c r="F1876">
        <v>2</v>
      </c>
      <c r="G1876">
        <v>10</v>
      </c>
      <c r="H1876">
        <v>298</v>
      </c>
      <c r="I1876">
        <v>2</v>
      </c>
      <c r="J1876">
        <v>67.95</v>
      </c>
      <c r="K1876" t="s">
        <v>15</v>
      </c>
      <c r="L1876">
        <v>5613865.2400000002</v>
      </c>
      <c r="M1876">
        <v>0</v>
      </c>
      <c r="N1876">
        <v>5613865.2400000002</v>
      </c>
      <c r="O1876">
        <v>82617.589992641646</v>
      </c>
      <c r="P1876">
        <v>271800.00000000279</v>
      </c>
      <c r="Q1876">
        <v>5342065.2399999974</v>
      </c>
      <c r="R1876">
        <v>78617.589992641602</v>
      </c>
      <c r="S1876" t="s">
        <v>130</v>
      </c>
      <c r="T1876" t="s">
        <v>5443</v>
      </c>
      <c r="U1876">
        <v>271800</v>
      </c>
      <c r="V1876" t="s">
        <v>717</v>
      </c>
      <c r="W1876">
        <v>45075</v>
      </c>
      <c r="X1876" t="s">
        <v>8294</v>
      </c>
      <c r="Y1876" t="s">
        <v>6</v>
      </c>
      <c r="Z1876" t="s">
        <v>17</v>
      </c>
      <c r="AA1876" t="s">
        <v>6637</v>
      </c>
      <c r="AB1876" t="s">
        <v>2509</v>
      </c>
      <c r="AC1876" t="s">
        <v>717</v>
      </c>
      <c r="AD1876" t="s">
        <v>717</v>
      </c>
      <c r="AE1876" t="s">
        <v>8295</v>
      </c>
      <c r="AF1876" t="s">
        <v>8296</v>
      </c>
      <c r="AG1876" t="s">
        <v>8297</v>
      </c>
      <c r="AH1876" t="s">
        <v>2191</v>
      </c>
      <c r="AI1876" t="s">
        <v>2538</v>
      </c>
      <c r="AJ1876" t="s">
        <v>2514</v>
      </c>
      <c r="AK1876" t="s">
        <v>1233</v>
      </c>
      <c r="AL1876" t="s">
        <v>717</v>
      </c>
      <c r="AM1876" t="s">
        <v>10</v>
      </c>
      <c r="AN1876" t="s">
        <v>717</v>
      </c>
    </row>
    <row r="1877" spans="1:40" hidden="1">
      <c r="A1877">
        <v>1876</v>
      </c>
      <c r="B1877">
        <v>30</v>
      </c>
      <c r="C1877" s="58">
        <v>45077</v>
      </c>
      <c r="D1877" t="s">
        <v>7</v>
      </c>
      <c r="E1877" t="s">
        <v>2506</v>
      </c>
      <c r="F1877">
        <v>1</v>
      </c>
      <c r="G1877">
        <v>12</v>
      </c>
      <c r="H1877">
        <v>201</v>
      </c>
      <c r="I1877">
        <v>0</v>
      </c>
      <c r="J1877">
        <v>28.97</v>
      </c>
      <c r="K1877" t="s">
        <v>15</v>
      </c>
      <c r="L1877">
        <v>2728120.54</v>
      </c>
      <c r="M1877">
        <v>0</v>
      </c>
      <c r="N1877">
        <v>2728120.54</v>
      </c>
      <c r="O1877">
        <v>94170.539868829845</v>
      </c>
      <c r="P1877">
        <v>115880.00000000092</v>
      </c>
      <c r="Q1877">
        <v>2612240.5399999991</v>
      </c>
      <c r="R1877">
        <v>90170.539868829801</v>
      </c>
      <c r="S1877" t="s">
        <v>130</v>
      </c>
      <c r="T1877" t="s">
        <v>717</v>
      </c>
      <c r="U1877" t="s">
        <v>717</v>
      </c>
      <c r="V1877" t="s">
        <v>717</v>
      </c>
      <c r="W1877">
        <v>45076</v>
      </c>
      <c r="X1877" t="s">
        <v>8298</v>
      </c>
      <c r="Y1877" t="s">
        <v>6</v>
      </c>
      <c r="Z1877" t="s">
        <v>17</v>
      </c>
      <c r="AA1877" t="s">
        <v>5617</v>
      </c>
      <c r="AB1877" t="s">
        <v>2509</v>
      </c>
      <c r="AC1877" t="s">
        <v>717</v>
      </c>
      <c r="AD1877" t="s">
        <v>717</v>
      </c>
      <c r="AE1877" t="s">
        <v>8299</v>
      </c>
      <c r="AF1877" t="s">
        <v>8300</v>
      </c>
      <c r="AG1877" t="s">
        <v>8301</v>
      </c>
      <c r="AH1877" t="s">
        <v>2615</v>
      </c>
      <c r="AI1877" t="s">
        <v>2621</v>
      </c>
      <c r="AJ1877" t="s">
        <v>2569</v>
      </c>
      <c r="AK1877" t="s">
        <v>8</v>
      </c>
      <c r="AL1877" t="s">
        <v>717</v>
      </c>
      <c r="AM1877" t="s">
        <v>10</v>
      </c>
      <c r="AN1877" t="s">
        <v>717</v>
      </c>
    </row>
    <row r="1878" spans="1:40" hidden="1">
      <c r="A1878">
        <v>1877</v>
      </c>
      <c r="B1878">
        <v>1</v>
      </c>
      <c r="C1878" s="58">
        <v>45078</v>
      </c>
      <c r="D1878" t="s">
        <v>7</v>
      </c>
      <c r="E1878" t="s">
        <v>2581</v>
      </c>
      <c r="F1878">
        <v>3</v>
      </c>
      <c r="G1878">
        <v>8</v>
      </c>
      <c r="H1878">
        <v>285</v>
      </c>
      <c r="I1878">
        <v>0</v>
      </c>
      <c r="J1878">
        <v>36.450000000000003</v>
      </c>
      <c r="K1878" t="s">
        <v>15</v>
      </c>
      <c r="L1878">
        <v>3465383.15</v>
      </c>
      <c r="M1878">
        <v>0</v>
      </c>
      <c r="N1878">
        <v>3465383.15</v>
      </c>
      <c r="O1878">
        <v>95072.240054869675</v>
      </c>
      <c r="P1878">
        <v>145800</v>
      </c>
      <c r="Q1878">
        <v>3319583.15</v>
      </c>
      <c r="R1878">
        <v>91072.240054869675</v>
      </c>
      <c r="S1878" t="s">
        <v>130</v>
      </c>
      <c r="T1878" t="s">
        <v>717</v>
      </c>
      <c r="U1878" t="s">
        <v>717</v>
      </c>
      <c r="V1878" t="s">
        <v>717</v>
      </c>
      <c r="W1878">
        <v>45076</v>
      </c>
      <c r="X1878" t="s">
        <v>8302</v>
      </c>
      <c r="Y1878" t="s">
        <v>6</v>
      </c>
      <c r="Z1878" t="s">
        <v>17</v>
      </c>
      <c r="AA1878" t="s">
        <v>5617</v>
      </c>
      <c r="AB1878" t="s">
        <v>2509</v>
      </c>
      <c r="AC1878" t="s">
        <v>717</v>
      </c>
      <c r="AD1878" t="s">
        <v>717</v>
      </c>
      <c r="AE1878" t="s">
        <v>8303</v>
      </c>
      <c r="AF1878" t="s">
        <v>8304</v>
      </c>
      <c r="AG1878" t="s">
        <v>8305</v>
      </c>
      <c r="AH1878" t="s">
        <v>2191</v>
      </c>
      <c r="AI1878" t="s">
        <v>2538</v>
      </c>
      <c r="AJ1878" t="s">
        <v>2514</v>
      </c>
      <c r="AK1878" t="s">
        <v>77</v>
      </c>
      <c r="AL1878" t="s">
        <v>717</v>
      </c>
      <c r="AM1878" t="s">
        <v>10</v>
      </c>
      <c r="AN1878" t="s">
        <v>717</v>
      </c>
    </row>
    <row r="1879" spans="1:40" hidden="1">
      <c r="A1879">
        <v>1878</v>
      </c>
      <c r="B1879">
        <v>2</v>
      </c>
      <c r="C1879" s="58">
        <v>45078</v>
      </c>
      <c r="D1879" t="s">
        <v>7</v>
      </c>
      <c r="E1879" t="s">
        <v>2515</v>
      </c>
      <c r="F1879">
        <v>1</v>
      </c>
      <c r="G1879">
        <v>11</v>
      </c>
      <c r="H1879">
        <v>73</v>
      </c>
      <c r="I1879">
        <v>1</v>
      </c>
      <c r="J1879">
        <v>33.53</v>
      </c>
      <c r="K1879" t="s">
        <v>25</v>
      </c>
      <c r="L1879">
        <v>3522508.29</v>
      </c>
      <c r="M1879">
        <v>0</v>
      </c>
      <c r="N1879">
        <v>3522508.29</v>
      </c>
      <c r="O1879">
        <v>105055.42171189981</v>
      </c>
      <c r="P1879">
        <v>502949.99999999953</v>
      </c>
      <c r="Q1879">
        <v>3019558.2900000005</v>
      </c>
      <c r="R1879">
        <v>90055.421711899806</v>
      </c>
      <c r="S1879" t="s">
        <v>65</v>
      </c>
      <c r="T1879" t="s">
        <v>5768</v>
      </c>
      <c r="U1879">
        <v>192737.76</v>
      </c>
      <c r="V1879" t="s">
        <v>6312</v>
      </c>
      <c r="W1879">
        <v>45076</v>
      </c>
      <c r="X1879" t="s">
        <v>8306</v>
      </c>
      <c r="Y1879" t="s">
        <v>6</v>
      </c>
      <c r="Z1879" t="s">
        <v>17</v>
      </c>
      <c r="AA1879" t="s">
        <v>6637</v>
      </c>
      <c r="AB1879" t="s">
        <v>2509</v>
      </c>
      <c r="AC1879" t="s">
        <v>2571</v>
      </c>
      <c r="AD1879" t="s">
        <v>717</v>
      </c>
      <c r="AE1879" t="s">
        <v>8307</v>
      </c>
      <c r="AF1879" t="s">
        <v>8308</v>
      </c>
      <c r="AG1879" t="s">
        <v>8309</v>
      </c>
      <c r="AH1879" t="s">
        <v>2552</v>
      </c>
      <c r="AI1879" t="s">
        <v>2877</v>
      </c>
      <c r="AJ1879" t="s">
        <v>3098</v>
      </c>
      <c r="AK1879" t="s">
        <v>77</v>
      </c>
      <c r="AL1879" t="s">
        <v>16</v>
      </c>
      <c r="AM1879" t="s">
        <v>10</v>
      </c>
      <c r="AN1879" t="s">
        <v>717</v>
      </c>
    </row>
    <row r="1880" spans="1:40" hidden="1">
      <c r="A1880">
        <v>1879</v>
      </c>
      <c r="B1880">
        <v>3</v>
      </c>
      <c r="C1880" s="58">
        <v>45079</v>
      </c>
      <c r="D1880" t="s">
        <v>7</v>
      </c>
      <c r="E1880" t="s">
        <v>2515</v>
      </c>
      <c r="F1880">
        <v>4</v>
      </c>
      <c r="G1880">
        <v>15</v>
      </c>
      <c r="H1880">
        <v>108</v>
      </c>
      <c r="I1880">
        <v>2</v>
      </c>
      <c r="J1880">
        <v>56.03</v>
      </c>
      <c r="K1880" t="s">
        <v>15</v>
      </c>
      <c r="L1880">
        <v>4693814.6500000004</v>
      </c>
      <c r="M1880">
        <v>0</v>
      </c>
      <c r="N1880">
        <v>4693814.6500000004</v>
      </c>
      <c r="O1880">
        <v>83773.240228449053</v>
      </c>
      <c r="P1880">
        <v>224120</v>
      </c>
      <c r="Q1880">
        <v>4469694.6500000004</v>
      </c>
      <c r="R1880">
        <v>79773.240228449053</v>
      </c>
      <c r="S1880" t="s">
        <v>65</v>
      </c>
      <c r="T1880" t="s">
        <v>3268</v>
      </c>
      <c r="U1880">
        <v>120000</v>
      </c>
      <c r="V1880" t="s">
        <v>4131</v>
      </c>
      <c r="W1880">
        <v>45076</v>
      </c>
      <c r="X1880" t="s">
        <v>8310</v>
      </c>
      <c r="Y1880" t="s">
        <v>6</v>
      </c>
      <c r="Z1880" t="s">
        <v>17</v>
      </c>
      <c r="AA1880" t="s">
        <v>6637</v>
      </c>
      <c r="AB1880" t="s">
        <v>2509</v>
      </c>
      <c r="AC1880" t="s">
        <v>2571</v>
      </c>
      <c r="AD1880" t="s">
        <v>717</v>
      </c>
      <c r="AE1880" t="s">
        <v>8311</v>
      </c>
      <c r="AF1880" t="s">
        <v>8312</v>
      </c>
      <c r="AG1880" t="s">
        <v>8313</v>
      </c>
      <c r="AH1880" t="s">
        <v>2191</v>
      </c>
      <c r="AI1880" t="s">
        <v>2621</v>
      </c>
      <c r="AJ1880" t="s">
        <v>2514</v>
      </c>
      <c r="AK1880" t="s">
        <v>77</v>
      </c>
      <c r="AL1880" t="s">
        <v>16</v>
      </c>
      <c r="AM1880" t="s">
        <v>10</v>
      </c>
      <c r="AN1880" t="s">
        <v>717</v>
      </c>
    </row>
    <row r="1881" spans="1:40" hidden="1">
      <c r="A1881">
        <v>1880</v>
      </c>
      <c r="B1881">
        <v>4</v>
      </c>
      <c r="C1881" s="58">
        <v>45083</v>
      </c>
      <c r="D1881" t="s">
        <v>7</v>
      </c>
      <c r="E1881" t="s">
        <v>2581</v>
      </c>
      <c r="F1881">
        <v>4</v>
      </c>
      <c r="G1881">
        <v>11</v>
      </c>
      <c r="H1881">
        <v>307</v>
      </c>
      <c r="I1881">
        <v>2</v>
      </c>
      <c r="J1881">
        <v>58.55</v>
      </c>
      <c r="K1881" t="s">
        <v>9</v>
      </c>
      <c r="L1881">
        <v>4796120.32</v>
      </c>
      <c r="M1881">
        <v>0</v>
      </c>
      <c r="N1881">
        <v>4796120.32</v>
      </c>
      <c r="O1881">
        <v>81914.949957301462</v>
      </c>
      <c r="P1881">
        <v>0</v>
      </c>
      <c r="Q1881">
        <v>4796120.32</v>
      </c>
      <c r="R1881">
        <v>81914.949957301462</v>
      </c>
      <c r="S1881" t="s">
        <v>65</v>
      </c>
      <c r="T1881" t="s">
        <v>717</v>
      </c>
      <c r="U1881" t="s">
        <v>717</v>
      </c>
      <c r="V1881" t="s">
        <v>6312</v>
      </c>
      <c r="W1881">
        <v>45063</v>
      </c>
      <c r="X1881" t="s">
        <v>8314</v>
      </c>
      <c r="Y1881" t="s">
        <v>6</v>
      </c>
      <c r="Z1881" t="s">
        <v>11</v>
      </c>
      <c r="AA1881" t="s">
        <v>717</v>
      </c>
      <c r="AB1881" t="s">
        <v>2509</v>
      </c>
      <c r="AC1881" t="s">
        <v>2571</v>
      </c>
      <c r="AD1881" t="s">
        <v>717</v>
      </c>
      <c r="AE1881" t="s">
        <v>8315</v>
      </c>
      <c r="AF1881" t="s">
        <v>8316</v>
      </c>
      <c r="AG1881" t="s">
        <v>8317</v>
      </c>
      <c r="AH1881" t="s">
        <v>2615</v>
      </c>
      <c r="AI1881" t="s">
        <v>2847</v>
      </c>
      <c r="AJ1881" t="s">
        <v>2940</v>
      </c>
      <c r="AK1881" t="s">
        <v>8</v>
      </c>
      <c r="AL1881" t="s">
        <v>22</v>
      </c>
      <c r="AM1881" t="s">
        <v>10</v>
      </c>
      <c r="AN1881" t="s">
        <v>717</v>
      </c>
    </row>
    <row r="1882" spans="1:40" hidden="1">
      <c r="A1882">
        <v>1881</v>
      </c>
      <c r="B1882">
        <v>5</v>
      </c>
      <c r="C1882" s="58">
        <v>45084</v>
      </c>
      <c r="D1882" t="s">
        <v>7</v>
      </c>
      <c r="E1882" t="s">
        <v>2581</v>
      </c>
      <c r="F1882">
        <v>6</v>
      </c>
      <c r="G1882">
        <v>23</v>
      </c>
      <c r="H1882">
        <v>393</v>
      </c>
      <c r="I1882">
        <v>3</v>
      </c>
      <c r="J1882">
        <v>72.510000000000005</v>
      </c>
      <c r="K1882" t="s">
        <v>9</v>
      </c>
      <c r="L1882">
        <v>5979810.5099999998</v>
      </c>
      <c r="M1882">
        <v>0</v>
      </c>
      <c r="N1882">
        <v>5979810.5099999998</v>
      </c>
      <c r="O1882">
        <v>82468.769962763748</v>
      </c>
      <c r="P1882">
        <v>0</v>
      </c>
      <c r="Q1882">
        <v>5979810.5099999998</v>
      </c>
      <c r="R1882">
        <v>82468.769962763748</v>
      </c>
      <c r="S1882" t="s">
        <v>130</v>
      </c>
      <c r="T1882" t="s">
        <v>717</v>
      </c>
      <c r="U1882" t="s">
        <v>717</v>
      </c>
      <c r="V1882" t="s">
        <v>717</v>
      </c>
      <c r="W1882">
        <v>45082</v>
      </c>
      <c r="X1882" t="s">
        <v>8318</v>
      </c>
      <c r="Y1882" t="s">
        <v>6</v>
      </c>
      <c r="Z1882" t="s">
        <v>17</v>
      </c>
      <c r="AA1882" t="s">
        <v>5617</v>
      </c>
      <c r="AB1882" t="s">
        <v>2509</v>
      </c>
      <c r="AC1882" t="s">
        <v>717</v>
      </c>
      <c r="AD1882" t="s">
        <v>717</v>
      </c>
      <c r="AE1882" t="s">
        <v>8319</v>
      </c>
      <c r="AF1882" t="s">
        <v>8320</v>
      </c>
      <c r="AG1882" t="s">
        <v>8321</v>
      </c>
      <c r="AH1882" t="s">
        <v>2616</v>
      </c>
      <c r="AI1882" t="s">
        <v>2552</v>
      </c>
      <c r="AJ1882" t="s">
        <v>2895</v>
      </c>
      <c r="AK1882" t="s">
        <v>77</v>
      </c>
      <c r="AL1882" t="s">
        <v>717</v>
      </c>
      <c r="AM1882" t="s">
        <v>10</v>
      </c>
      <c r="AN1882" t="s">
        <v>717</v>
      </c>
    </row>
    <row r="1883" spans="1:40" hidden="1">
      <c r="A1883">
        <v>1882</v>
      </c>
      <c r="B1883">
        <v>6</v>
      </c>
      <c r="C1883" s="58">
        <v>45084</v>
      </c>
      <c r="D1883" t="s">
        <v>7</v>
      </c>
      <c r="E1883" t="s">
        <v>2581</v>
      </c>
      <c r="F1883">
        <v>7</v>
      </c>
      <c r="G1883">
        <v>23</v>
      </c>
      <c r="H1883">
        <v>394</v>
      </c>
      <c r="I1883">
        <v>1</v>
      </c>
      <c r="J1883">
        <v>33.840000000000003</v>
      </c>
      <c r="K1883" t="s">
        <v>9</v>
      </c>
      <c r="L1883">
        <v>3460268.18</v>
      </c>
      <c r="M1883">
        <v>0</v>
      </c>
      <c r="N1883">
        <v>3460268.18</v>
      </c>
      <c r="O1883">
        <v>102253.7878250591</v>
      </c>
      <c r="P1883">
        <v>0</v>
      </c>
      <c r="Q1883">
        <v>3460268.18</v>
      </c>
      <c r="R1883">
        <v>102253.7878250591</v>
      </c>
      <c r="S1883" t="s">
        <v>130</v>
      </c>
      <c r="T1883" t="s">
        <v>8002</v>
      </c>
      <c r="U1883">
        <v>70617.72</v>
      </c>
      <c r="V1883" t="s">
        <v>717</v>
      </c>
      <c r="W1883">
        <v>45082</v>
      </c>
      <c r="X1883" t="s">
        <v>8322</v>
      </c>
      <c r="Y1883" t="s">
        <v>6</v>
      </c>
      <c r="Z1883" t="s">
        <v>17</v>
      </c>
      <c r="AA1883" t="s">
        <v>5617</v>
      </c>
      <c r="AB1883" t="s">
        <v>2509</v>
      </c>
      <c r="AC1883" t="s">
        <v>717</v>
      </c>
      <c r="AD1883" t="s">
        <v>717</v>
      </c>
      <c r="AE1883" t="s">
        <v>8319</v>
      </c>
      <c r="AF1883" t="s">
        <v>8320</v>
      </c>
      <c r="AG1883" t="s">
        <v>8321</v>
      </c>
      <c r="AH1883" t="s">
        <v>2580</v>
      </c>
      <c r="AI1883" t="s">
        <v>2552</v>
      </c>
      <c r="AJ1883" t="s">
        <v>3921</v>
      </c>
      <c r="AK1883" t="s">
        <v>77</v>
      </c>
      <c r="AL1883" t="s">
        <v>717</v>
      </c>
      <c r="AM1883" t="s">
        <v>10</v>
      </c>
      <c r="AN1883" t="s">
        <v>717</v>
      </c>
    </row>
    <row r="1884" spans="1:40" hidden="1">
      <c r="A1884">
        <v>1883</v>
      </c>
      <c r="B1884">
        <v>7</v>
      </c>
      <c r="C1884" s="58">
        <v>45085</v>
      </c>
      <c r="D1884" t="s">
        <v>7</v>
      </c>
      <c r="E1884" t="s">
        <v>2506</v>
      </c>
      <c r="F1884">
        <v>5</v>
      </c>
      <c r="G1884">
        <v>2</v>
      </c>
      <c r="H1884">
        <v>125</v>
      </c>
      <c r="I1884">
        <v>1</v>
      </c>
      <c r="J1884">
        <v>36.700000000000003</v>
      </c>
      <c r="K1884" t="s">
        <v>25</v>
      </c>
      <c r="L1884">
        <v>3651105.46</v>
      </c>
      <c r="M1884">
        <v>15000</v>
      </c>
      <c r="N1884">
        <v>3666105.46</v>
      </c>
      <c r="O1884">
        <v>99893.881743869206</v>
      </c>
      <c r="P1884">
        <v>550500</v>
      </c>
      <c r="Q1884">
        <v>3115605.46</v>
      </c>
      <c r="R1884">
        <v>84893.881743869206</v>
      </c>
      <c r="S1884" t="s">
        <v>65</v>
      </c>
      <c r="T1884" t="s">
        <v>5768</v>
      </c>
      <c r="U1884">
        <v>198868.43</v>
      </c>
      <c r="V1884" t="s">
        <v>6312</v>
      </c>
      <c r="W1884">
        <v>45056</v>
      </c>
      <c r="X1884" t="s">
        <v>8323</v>
      </c>
      <c r="Y1884" t="s">
        <v>6</v>
      </c>
      <c r="Z1884" t="s">
        <v>17</v>
      </c>
      <c r="AA1884" t="s">
        <v>6637</v>
      </c>
      <c r="AB1884" t="s">
        <v>2509</v>
      </c>
      <c r="AC1884" t="s">
        <v>2571</v>
      </c>
      <c r="AD1884" t="s">
        <v>717</v>
      </c>
      <c r="AE1884" t="s">
        <v>8324</v>
      </c>
      <c r="AF1884" t="s">
        <v>8325</v>
      </c>
      <c r="AG1884" t="s">
        <v>8326</v>
      </c>
      <c r="AH1884" t="s">
        <v>2552</v>
      </c>
      <c r="AI1884" t="s">
        <v>2877</v>
      </c>
      <c r="AJ1884" t="s">
        <v>3098</v>
      </c>
      <c r="AK1884" t="s">
        <v>77</v>
      </c>
      <c r="AL1884" t="s">
        <v>16</v>
      </c>
      <c r="AM1884" t="s">
        <v>10</v>
      </c>
      <c r="AN1884" t="s">
        <v>717</v>
      </c>
    </row>
    <row r="1885" spans="1:40" hidden="1">
      <c r="A1885">
        <v>1884</v>
      </c>
      <c r="B1885">
        <v>8</v>
      </c>
      <c r="C1885" s="58">
        <v>45085</v>
      </c>
      <c r="D1885" t="s">
        <v>7</v>
      </c>
      <c r="E1885" t="s">
        <v>2515</v>
      </c>
      <c r="F1885">
        <v>4</v>
      </c>
      <c r="G1885">
        <v>4</v>
      </c>
      <c r="H1885">
        <v>20</v>
      </c>
      <c r="I1885">
        <v>2</v>
      </c>
      <c r="J1885">
        <v>56.03</v>
      </c>
      <c r="K1885" t="s">
        <v>25</v>
      </c>
      <c r="L1885">
        <v>5385584.5499999998</v>
      </c>
      <c r="M1885">
        <v>0</v>
      </c>
      <c r="N1885">
        <v>5385584.5499999998</v>
      </c>
      <c r="O1885">
        <v>96119.660003569516</v>
      </c>
      <c r="P1885">
        <v>840450</v>
      </c>
      <c r="Q1885">
        <v>4545134.55</v>
      </c>
      <c r="R1885">
        <v>81119.660003569516</v>
      </c>
      <c r="S1885" t="s">
        <v>65</v>
      </c>
      <c r="T1885" t="s">
        <v>717</v>
      </c>
      <c r="U1885" t="s">
        <v>717</v>
      </c>
      <c r="V1885" t="s">
        <v>6312</v>
      </c>
      <c r="W1885">
        <v>45076</v>
      </c>
      <c r="X1885" t="s">
        <v>8327</v>
      </c>
      <c r="Y1885" t="s">
        <v>6</v>
      </c>
      <c r="Z1885" t="s">
        <v>17</v>
      </c>
      <c r="AA1885" t="s">
        <v>6637</v>
      </c>
      <c r="AB1885" t="s">
        <v>2509</v>
      </c>
      <c r="AC1885" t="s">
        <v>2571</v>
      </c>
      <c r="AD1885" t="s">
        <v>717</v>
      </c>
      <c r="AE1885" t="s">
        <v>8328</v>
      </c>
      <c r="AF1885" t="s">
        <v>8329</v>
      </c>
      <c r="AG1885" t="s">
        <v>8330</v>
      </c>
      <c r="AH1885" t="s">
        <v>2552</v>
      </c>
      <c r="AI1885" t="s">
        <v>2877</v>
      </c>
      <c r="AJ1885" t="s">
        <v>3098</v>
      </c>
      <c r="AK1885" t="s">
        <v>77</v>
      </c>
      <c r="AL1885" t="s">
        <v>22</v>
      </c>
      <c r="AM1885" t="s">
        <v>10</v>
      </c>
      <c r="AN1885" t="s">
        <v>717</v>
      </c>
    </row>
    <row r="1886" spans="1:40" hidden="1">
      <c r="A1886">
        <v>1885</v>
      </c>
      <c r="B1886">
        <v>9</v>
      </c>
      <c r="C1886" s="58">
        <v>45090</v>
      </c>
      <c r="D1886" t="s">
        <v>7</v>
      </c>
      <c r="E1886" t="s">
        <v>4409</v>
      </c>
      <c r="F1886">
        <v>6</v>
      </c>
      <c r="G1886">
        <v>11</v>
      </c>
      <c r="H1886">
        <v>488</v>
      </c>
      <c r="I1886">
        <v>2</v>
      </c>
      <c r="J1886">
        <v>58.62</v>
      </c>
      <c r="K1886" t="s">
        <v>15</v>
      </c>
      <c r="L1886">
        <v>4851212.41</v>
      </c>
      <c r="M1886">
        <v>0</v>
      </c>
      <c r="N1886">
        <v>4851212.41</v>
      </c>
      <c r="O1886">
        <v>82756.950017059047</v>
      </c>
      <c r="P1886">
        <v>234480</v>
      </c>
      <c r="Q1886">
        <v>4616732.41</v>
      </c>
      <c r="R1886">
        <v>78756.950017059047</v>
      </c>
      <c r="S1886" t="s">
        <v>65</v>
      </c>
      <c r="T1886" t="s">
        <v>717</v>
      </c>
      <c r="U1886" t="s">
        <v>717</v>
      </c>
      <c r="V1886" t="s">
        <v>1970</v>
      </c>
      <c r="W1886">
        <v>45051</v>
      </c>
      <c r="X1886" t="s">
        <v>8331</v>
      </c>
      <c r="Y1886" t="s">
        <v>6</v>
      </c>
      <c r="Z1886" t="s">
        <v>11</v>
      </c>
      <c r="AA1886" t="s">
        <v>717</v>
      </c>
      <c r="AB1886" t="s">
        <v>2509</v>
      </c>
      <c r="AC1886" t="s">
        <v>5105</v>
      </c>
      <c r="AD1886" t="s">
        <v>717</v>
      </c>
      <c r="AE1886" t="s">
        <v>8332</v>
      </c>
      <c r="AF1886" t="s">
        <v>8333</v>
      </c>
      <c r="AG1886" t="s">
        <v>8334</v>
      </c>
      <c r="AH1886" t="s">
        <v>2191</v>
      </c>
      <c r="AI1886" t="s">
        <v>2538</v>
      </c>
      <c r="AJ1886" t="s">
        <v>2514</v>
      </c>
      <c r="AK1886" t="s">
        <v>1233</v>
      </c>
      <c r="AL1886" t="s">
        <v>22</v>
      </c>
      <c r="AM1886" t="s">
        <v>10</v>
      </c>
      <c r="AN1886" t="s">
        <v>717</v>
      </c>
    </row>
    <row r="1887" spans="1:40" hidden="1">
      <c r="A1887">
        <v>1886</v>
      </c>
      <c r="B1887">
        <v>10</v>
      </c>
      <c r="C1887" s="58">
        <v>45090</v>
      </c>
      <c r="D1887" t="s">
        <v>7</v>
      </c>
      <c r="E1887" t="s">
        <v>2581</v>
      </c>
      <c r="F1887">
        <v>7</v>
      </c>
      <c r="G1887">
        <v>22</v>
      </c>
      <c r="H1887">
        <v>387</v>
      </c>
      <c r="I1887">
        <v>1</v>
      </c>
      <c r="J1887">
        <v>33.840000000000003</v>
      </c>
      <c r="K1887" t="s">
        <v>9</v>
      </c>
      <c r="L1887">
        <v>3460268.18</v>
      </c>
      <c r="M1887">
        <v>0</v>
      </c>
      <c r="N1887">
        <v>3460268.18</v>
      </c>
      <c r="O1887">
        <v>102253.7878250591</v>
      </c>
      <c r="P1887">
        <v>0</v>
      </c>
      <c r="Q1887">
        <v>3460268.18</v>
      </c>
      <c r="R1887">
        <v>102253.7878250591</v>
      </c>
      <c r="S1887" t="s">
        <v>65</v>
      </c>
      <c r="T1887" t="s">
        <v>2941</v>
      </c>
      <c r="U1887">
        <v>70617.72</v>
      </c>
      <c r="V1887" t="s">
        <v>4131</v>
      </c>
      <c r="W1887">
        <v>45083</v>
      </c>
      <c r="X1887" t="s">
        <v>8335</v>
      </c>
      <c r="Y1887" t="s">
        <v>6</v>
      </c>
      <c r="Z1887" t="s">
        <v>17</v>
      </c>
      <c r="AA1887" t="s">
        <v>6637</v>
      </c>
      <c r="AB1887" t="s">
        <v>2509</v>
      </c>
      <c r="AC1887" t="s">
        <v>2571</v>
      </c>
      <c r="AD1887" t="s">
        <v>717</v>
      </c>
      <c r="AE1887" t="s">
        <v>8336</v>
      </c>
      <c r="AF1887" t="s">
        <v>8337</v>
      </c>
      <c r="AG1887" t="s">
        <v>8338</v>
      </c>
      <c r="AH1887" t="s">
        <v>2191</v>
      </c>
      <c r="AI1887" t="s">
        <v>2600</v>
      </c>
      <c r="AJ1887" t="s">
        <v>3921</v>
      </c>
      <c r="AK1887" t="s">
        <v>77</v>
      </c>
      <c r="AL1887" t="s">
        <v>16</v>
      </c>
      <c r="AM1887" t="s">
        <v>10</v>
      </c>
      <c r="AN1887" t="s">
        <v>717</v>
      </c>
    </row>
    <row r="1888" spans="1:40" hidden="1">
      <c r="A1888">
        <v>1887</v>
      </c>
      <c r="B1888">
        <v>11</v>
      </c>
      <c r="C1888" s="58">
        <v>45092</v>
      </c>
      <c r="D1888" t="s">
        <v>7</v>
      </c>
      <c r="E1888" t="s">
        <v>2506</v>
      </c>
      <c r="F1888">
        <v>6</v>
      </c>
      <c r="G1888">
        <v>4</v>
      </c>
      <c r="H1888">
        <v>142</v>
      </c>
      <c r="I1888">
        <v>1</v>
      </c>
      <c r="J1888">
        <v>36.659999999999997</v>
      </c>
      <c r="K1888" t="s">
        <v>9</v>
      </c>
      <c r="L1888">
        <v>3478062.88</v>
      </c>
      <c r="M1888">
        <v>0</v>
      </c>
      <c r="N1888">
        <v>3478062.88</v>
      </c>
      <c r="O1888">
        <v>94873.510092744138</v>
      </c>
      <c r="P1888">
        <v>0</v>
      </c>
      <c r="Q1888">
        <v>3478062.88</v>
      </c>
      <c r="R1888">
        <v>94873.510092744138</v>
      </c>
      <c r="S1888" t="s">
        <v>65</v>
      </c>
      <c r="T1888" t="s">
        <v>717</v>
      </c>
      <c r="U1888" t="s">
        <v>717</v>
      </c>
      <c r="V1888" t="s">
        <v>4131</v>
      </c>
      <c r="W1888">
        <v>45085</v>
      </c>
      <c r="X1888" t="s">
        <v>8339</v>
      </c>
      <c r="Y1888" t="s">
        <v>6</v>
      </c>
      <c r="Z1888" t="s">
        <v>17</v>
      </c>
      <c r="AA1888" t="s">
        <v>6637</v>
      </c>
      <c r="AB1888" t="s">
        <v>2509</v>
      </c>
      <c r="AC1888" t="s">
        <v>2571</v>
      </c>
      <c r="AD1888" t="s">
        <v>717</v>
      </c>
      <c r="AE1888" t="s">
        <v>8340</v>
      </c>
      <c r="AF1888" t="s">
        <v>8341</v>
      </c>
      <c r="AG1888" t="s">
        <v>8342</v>
      </c>
      <c r="AH1888" t="s">
        <v>2191</v>
      </c>
      <c r="AI1888" t="s">
        <v>2538</v>
      </c>
      <c r="AJ1888" t="s">
        <v>2514</v>
      </c>
      <c r="AK1888" t="s">
        <v>1233</v>
      </c>
      <c r="AL1888" t="s">
        <v>22</v>
      </c>
      <c r="AM1888" t="s">
        <v>10</v>
      </c>
      <c r="AN1888" t="s">
        <v>717</v>
      </c>
    </row>
    <row r="1889" spans="1:40" hidden="1">
      <c r="A1889">
        <v>1888</v>
      </c>
      <c r="B1889">
        <v>12</v>
      </c>
      <c r="C1889" s="58">
        <v>45096</v>
      </c>
      <c r="D1889" t="s">
        <v>7</v>
      </c>
      <c r="E1889" t="s">
        <v>2506</v>
      </c>
      <c r="F1889">
        <v>5</v>
      </c>
      <c r="G1889">
        <v>14</v>
      </c>
      <c r="H1889">
        <v>221</v>
      </c>
      <c r="I1889">
        <v>1</v>
      </c>
      <c r="J1889">
        <v>36.700000000000003</v>
      </c>
      <c r="K1889" t="s">
        <v>25</v>
      </c>
      <c r="L1889">
        <v>3998878.61</v>
      </c>
      <c r="M1889">
        <v>0</v>
      </c>
      <c r="N1889">
        <v>3998878.61</v>
      </c>
      <c r="O1889">
        <v>108961.27002724794</v>
      </c>
      <c r="P1889">
        <v>550500</v>
      </c>
      <c r="Q1889">
        <v>3448378.61</v>
      </c>
      <c r="R1889">
        <v>93961.270027247941</v>
      </c>
      <c r="S1889" t="s">
        <v>65</v>
      </c>
      <c r="T1889" t="s">
        <v>717</v>
      </c>
      <c r="U1889" t="s">
        <v>717</v>
      </c>
      <c r="V1889" t="s">
        <v>6312</v>
      </c>
      <c r="W1889">
        <v>45091</v>
      </c>
      <c r="X1889" t="s">
        <v>8343</v>
      </c>
      <c r="Y1889" t="s">
        <v>6</v>
      </c>
      <c r="Z1889" t="s">
        <v>17</v>
      </c>
      <c r="AA1889" t="s">
        <v>6637</v>
      </c>
      <c r="AB1889" t="s">
        <v>2509</v>
      </c>
      <c r="AC1889" t="s">
        <v>2571</v>
      </c>
      <c r="AD1889" t="s">
        <v>717</v>
      </c>
      <c r="AE1889" t="s">
        <v>8344</v>
      </c>
      <c r="AF1889" t="s">
        <v>8345</v>
      </c>
      <c r="AG1889" t="s">
        <v>8346</v>
      </c>
      <c r="AH1889" t="s">
        <v>2615</v>
      </c>
      <c r="AI1889" t="s">
        <v>2552</v>
      </c>
      <c r="AJ1889" t="s">
        <v>3202</v>
      </c>
      <c r="AK1889" t="s">
        <v>77</v>
      </c>
      <c r="AL1889" t="s">
        <v>22</v>
      </c>
      <c r="AM1889" t="s">
        <v>10</v>
      </c>
      <c r="AN1889" t="s">
        <v>717</v>
      </c>
    </row>
    <row r="1890" spans="1:40" hidden="1">
      <c r="A1890">
        <v>1889</v>
      </c>
      <c r="B1890">
        <v>13</v>
      </c>
      <c r="C1890" s="58">
        <v>45097</v>
      </c>
      <c r="D1890" t="s">
        <v>7</v>
      </c>
      <c r="E1890" t="s">
        <v>2581</v>
      </c>
      <c r="F1890">
        <v>5</v>
      </c>
      <c r="G1890">
        <v>17</v>
      </c>
      <c r="H1890">
        <v>350</v>
      </c>
      <c r="I1890">
        <v>2</v>
      </c>
      <c r="J1890">
        <v>56.7</v>
      </c>
      <c r="K1890" t="s">
        <v>25</v>
      </c>
      <c r="L1890">
        <v>5344798.84</v>
      </c>
      <c r="M1890">
        <v>15000</v>
      </c>
      <c r="N1890">
        <v>5359798.84</v>
      </c>
      <c r="O1890">
        <v>94529.080070546726</v>
      </c>
      <c r="P1890">
        <v>850500</v>
      </c>
      <c r="Q1890">
        <v>4509298.84</v>
      </c>
      <c r="R1890">
        <v>79529.080070546726</v>
      </c>
      <c r="S1890" t="s">
        <v>65</v>
      </c>
      <c r="T1890" t="s">
        <v>717</v>
      </c>
      <c r="U1890" t="s">
        <v>717</v>
      </c>
      <c r="V1890" t="s">
        <v>4131</v>
      </c>
      <c r="W1890">
        <v>45074</v>
      </c>
      <c r="X1890" t="s">
        <v>8347</v>
      </c>
      <c r="Y1890" t="s">
        <v>6</v>
      </c>
      <c r="Z1890" t="s">
        <v>17</v>
      </c>
      <c r="AA1890" t="s">
        <v>6637</v>
      </c>
      <c r="AB1890" t="s">
        <v>2509</v>
      </c>
      <c r="AC1890" t="s">
        <v>2571</v>
      </c>
      <c r="AD1890" t="s">
        <v>717</v>
      </c>
      <c r="AE1890" t="s">
        <v>8348</v>
      </c>
      <c r="AF1890" t="s">
        <v>8349</v>
      </c>
      <c r="AG1890" t="s">
        <v>8350</v>
      </c>
      <c r="AH1890" t="s">
        <v>2615</v>
      </c>
      <c r="AI1890" t="s">
        <v>6951</v>
      </c>
      <c r="AJ1890" t="s">
        <v>2940</v>
      </c>
      <c r="AK1890" t="s">
        <v>8</v>
      </c>
      <c r="AL1890" t="s">
        <v>22</v>
      </c>
      <c r="AM1890" t="s">
        <v>10</v>
      </c>
      <c r="AN1890" t="s">
        <v>717</v>
      </c>
    </row>
    <row r="1891" spans="1:40" hidden="1">
      <c r="A1891">
        <v>1890</v>
      </c>
      <c r="B1891">
        <v>14</v>
      </c>
      <c r="C1891" s="58">
        <v>45097</v>
      </c>
      <c r="D1891" t="s">
        <v>7</v>
      </c>
      <c r="E1891" t="s">
        <v>2515</v>
      </c>
      <c r="F1891">
        <v>7</v>
      </c>
      <c r="G1891">
        <v>12</v>
      </c>
      <c r="H1891">
        <v>87</v>
      </c>
      <c r="I1891">
        <v>0</v>
      </c>
      <c r="J1891">
        <v>21.75</v>
      </c>
      <c r="K1891" t="s">
        <v>15</v>
      </c>
      <c r="L1891">
        <v>2330187.77</v>
      </c>
      <c r="M1891">
        <v>0</v>
      </c>
      <c r="N1891">
        <v>2330187.77</v>
      </c>
      <c r="O1891">
        <v>107135.06988505748</v>
      </c>
      <c r="P1891">
        <v>87000</v>
      </c>
      <c r="Q1891">
        <v>2243187.77</v>
      </c>
      <c r="R1891">
        <v>103135.06988505748</v>
      </c>
      <c r="S1891" t="s">
        <v>65</v>
      </c>
      <c r="T1891" t="s">
        <v>717</v>
      </c>
      <c r="U1891" t="s">
        <v>717</v>
      </c>
      <c r="V1891" t="s">
        <v>6312</v>
      </c>
      <c r="W1891">
        <v>45086</v>
      </c>
      <c r="X1891" t="s">
        <v>8351</v>
      </c>
      <c r="Y1891" t="s">
        <v>6</v>
      </c>
      <c r="Z1891" t="s">
        <v>17</v>
      </c>
      <c r="AA1891" t="s">
        <v>6637</v>
      </c>
      <c r="AB1891" t="s">
        <v>2509</v>
      </c>
      <c r="AC1891" t="s">
        <v>2571</v>
      </c>
      <c r="AD1891" t="s">
        <v>717</v>
      </c>
      <c r="AE1891" t="s">
        <v>8352</v>
      </c>
      <c r="AF1891" t="s">
        <v>8353</v>
      </c>
      <c r="AG1891" t="s">
        <v>8354</v>
      </c>
      <c r="AH1891" t="s">
        <v>2615</v>
      </c>
      <c r="AI1891" t="s">
        <v>2552</v>
      </c>
      <c r="AJ1891" t="s">
        <v>2662</v>
      </c>
      <c r="AK1891" t="s">
        <v>8</v>
      </c>
      <c r="AL1891" t="s">
        <v>22</v>
      </c>
      <c r="AM1891" t="s">
        <v>10</v>
      </c>
      <c r="AN1891" t="s">
        <v>717</v>
      </c>
    </row>
    <row r="1892" spans="1:40" hidden="1">
      <c r="A1892">
        <v>1891</v>
      </c>
      <c r="B1892">
        <v>15</v>
      </c>
      <c r="C1892" s="58">
        <v>45097</v>
      </c>
      <c r="D1892" t="s">
        <v>7</v>
      </c>
      <c r="E1892" t="s">
        <v>2581</v>
      </c>
      <c r="F1892">
        <v>4</v>
      </c>
      <c r="G1892">
        <v>3</v>
      </c>
      <c r="H1892">
        <v>251</v>
      </c>
      <c r="I1892">
        <v>2</v>
      </c>
      <c r="J1892">
        <v>58.55</v>
      </c>
      <c r="K1892" t="s">
        <v>15</v>
      </c>
      <c r="L1892">
        <v>4943756.09</v>
      </c>
      <c r="M1892">
        <v>0</v>
      </c>
      <c r="N1892">
        <v>4943756.09</v>
      </c>
      <c r="O1892">
        <v>84436.483176771988</v>
      </c>
      <c r="P1892">
        <v>234200</v>
      </c>
      <c r="Q1892">
        <v>4709556.09</v>
      </c>
      <c r="R1892">
        <v>80436.483176771988</v>
      </c>
      <c r="S1892" t="s">
        <v>130</v>
      </c>
      <c r="T1892" t="s">
        <v>2815</v>
      </c>
      <c r="U1892">
        <v>40000</v>
      </c>
      <c r="V1892" t="s">
        <v>717</v>
      </c>
      <c r="W1892">
        <v>45093</v>
      </c>
      <c r="X1892" t="s">
        <v>8355</v>
      </c>
      <c r="Y1892" t="s">
        <v>6</v>
      </c>
      <c r="Z1892" t="s">
        <v>17</v>
      </c>
      <c r="AA1892" t="s">
        <v>5617</v>
      </c>
      <c r="AB1892" t="s">
        <v>2509</v>
      </c>
      <c r="AC1892" t="s">
        <v>717</v>
      </c>
      <c r="AD1892" t="s">
        <v>717</v>
      </c>
      <c r="AE1892" t="s">
        <v>8356</v>
      </c>
      <c r="AF1892" t="s">
        <v>8357</v>
      </c>
      <c r="AG1892" t="s">
        <v>8134</v>
      </c>
      <c r="AH1892" t="s">
        <v>2615</v>
      </c>
      <c r="AI1892" t="s">
        <v>2600</v>
      </c>
      <c r="AJ1892" t="s">
        <v>3921</v>
      </c>
      <c r="AK1892" t="s">
        <v>8</v>
      </c>
      <c r="AL1892" t="s">
        <v>717</v>
      </c>
      <c r="AM1892" t="s">
        <v>10</v>
      </c>
      <c r="AN1892" t="s">
        <v>717</v>
      </c>
    </row>
    <row r="1893" spans="1:40" hidden="1">
      <c r="A1893">
        <v>1892</v>
      </c>
      <c r="B1893">
        <v>16</v>
      </c>
      <c r="C1893" s="58">
        <v>45098</v>
      </c>
      <c r="D1893" t="s">
        <v>7</v>
      </c>
      <c r="E1893" t="s">
        <v>2515</v>
      </c>
      <c r="F1893">
        <v>3</v>
      </c>
      <c r="G1893">
        <v>9</v>
      </c>
      <c r="H1893">
        <v>59</v>
      </c>
      <c r="I1893">
        <v>1</v>
      </c>
      <c r="J1893">
        <v>35.54</v>
      </c>
      <c r="K1893" t="s">
        <v>15</v>
      </c>
      <c r="L1893">
        <v>3369279.8</v>
      </c>
      <c r="M1893">
        <v>15000</v>
      </c>
      <c r="N1893">
        <v>3384279.8</v>
      </c>
      <c r="O1893">
        <v>95224.530106921782</v>
      </c>
      <c r="P1893">
        <v>142160</v>
      </c>
      <c r="Q1893">
        <v>3242119.8</v>
      </c>
      <c r="R1893">
        <v>91224.530106921782</v>
      </c>
      <c r="S1893" t="s">
        <v>65</v>
      </c>
      <c r="T1893" t="s">
        <v>717</v>
      </c>
      <c r="U1893" t="s">
        <v>717</v>
      </c>
      <c r="V1893" t="s">
        <v>6312</v>
      </c>
      <c r="W1893">
        <v>45072</v>
      </c>
      <c r="X1893" t="s">
        <v>8358</v>
      </c>
      <c r="Y1893" t="s">
        <v>6</v>
      </c>
      <c r="Z1893" t="s">
        <v>17</v>
      </c>
      <c r="AA1893" t="s">
        <v>6637</v>
      </c>
      <c r="AB1893" t="s">
        <v>2509</v>
      </c>
      <c r="AC1893" t="s">
        <v>2571</v>
      </c>
      <c r="AD1893" t="s">
        <v>717</v>
      </c>
      <c r="AE1893" t="s">
        <v>8359</v>
      </c>
      <c r="AF1893" t="s">
        <v>8360</v>
      </c>
      <c r="AG1893" t="s">
        <v>8361</v>
      </c>
      <c r="AH1893" t="s">
        <v>6100</v>
      </c>
      <c r="AI1893" t="s">
        <v>5653</v>
      </c>
      <c r="AJ1893" t="s">
        <v>31</v>
      </c>
      <c r="AK1893" t="s">
        <v>77</v>
      </c>
      <c r="AL1893" t="s">
        <v>16</v>
      </c>
      <c r="AM1893" t="s">
        <v>5654</v>
      </c>
      <c r="AN1893" t="s">
        <v>717</v>
      </c>
    </row>
    <row r="1894" spans="1:40" hidden="1">
      <c r="A1894">
        <v>1893</v>
      </c>
      <c r="B1894">
        <v>17</v>
      </c>
      <c r="C1894" s="58">
        <v>45098</v>
      </c>
      <c r="D1894" t="s">
        <v>7</v>
      </c>
      <c r="E1894" t="s">
        <v>2515</v>
      </c>
      <c r="F1894">
        <v>8</v>
      </c>
      <c r="G1894">
        <v>5</v>
      </c>
      <c r="H1894">
        <v>32</v>
      </c>
      <c r="I1894">
        <v>0</v>
      </c>
      <c r="J1894">
        <v>21.73</v>
      </c>
      <c r="K1894" t="s">
        <v>25</v>
      </c>
      <c r="L1894">
        <v>2567075.0699999998</v>
      </c>
      <c r="M1894">
        <v>0</v>
      </c>
      <c r="N1894">
        <v>2567075.0699999998</v>
      </c>
      <c r="O1894">
        <v>118135.06994937873</v>
      </c>
      <c r="P1894">
        <v>325950</v>
      </c>
      <c r="Q1894">
        <v>2241125.0699999998</v>
      </c>
      <c r="R1894">
        <v>103135.06994937873</v>
      </c>
      <c r="S1894" t="s">
        <v>65</v>
      </c>
      <c r="T1894" t="s">
        <v>717</v>
      </c>
      <c r="U1894" t="s">
        <v>717</v>
      </c>
      <c r="V1894" t="s">
        <v>6312</v>
      </c>
      <c r="W1894">
        <v>45091</v>
      </c>
      <c r="X1894" t="s">
        <v>8362</v>
      </c>
      <c r="Y1894" t="s">
        <v>6</v>
      </c>
      <c r="Z1894" t="s">
        <v>17</v>
      </c>
      <c r="AA1894" t="s">
        <v>6637</v>
      </c>
      <c r="AB1894" t="s">
        <v>2509</v>
      </c>
      <c r="AC1894" t="s">
        <v>2571</v>
      </c>
      <c r="AD1894" t="s">
        <v>717</v>
      </c>
      <c r="AE1894" t="s">
        <v>8363</v>
      </c>
      <c r="AF1894" t="s">
        <v>8364</v>
      </c>
      <c r="AG1894" t="s">
        <v>8365</v>
      </c>
      <c r="AH1894" t="s">
        <v>2615</v>
      </c>
      <c r="AI1894" t="s">
        <v>2621</v>
      </c>
      <c r="AJ1894" t="s">
        <v>2514</v>
      </c>
      <c r="AK1894" t="s">
        <v>1233</v>
      </c>
      <c r="AL1894" t="s">
        <v>16</v>
      </c>
      <c r="AM1894" t="s">
        <v>10</v>
      </c>
      <c r="AN1894" t="s">
        <v>717</v>
      </c>
    </row>
    <row r="1895" spans="1:40" hidden="1">
      <c r="A1895">
        <v>1894</v>
      </c>
      <c r="B1895">
        <v>18</v>
      </c>
      <c r="C1895" s="58">
        <v>45098</v>
      </c>
      <c r="D1895" t="s">
        <v>7</v>
      </c>
      <c r="E1895" t="s">
        <v>4409</v>
      </c>
      <c r="F1895">
        <v>8</v>
      </c>
      <c r="G1895">
        <v>9</v>
      </c>
      <c r="H1895">
        <v>472</v>
      </c>
      <c r="I1895">
        <v>2</v>
      </c>
      <c r="J1895">
        <v>63.74</v>
      </c>
      <c r="K1895" t="s">
        <v>15</v>
      </c>
      <c r="L1895">
        <v>5069183.5599999996</v>
      </c>
      <c r="M1895">
        <v>0</v>
      </c>
      <c r="N1895">
        <v>5069183.5599999996</v>
      </c>
      <c r="O1895">
        <v>79529.080012550985</v>
      </c>
      <c r="P1895">
        <v>254960</v>
      </c>
      <c r="Q1895">
        <v>4814223.5599999996</v>
      </c>
      <c r="R1895">
        <v>75529.080012550985</v>
      </c>
      <c r="S1895" t="s">
        <v>65</v>
      </c>
      <c r="T1895" t="s">
        <v>5443</v>
      </c>
      <c r="U1895">
        <v>254960</v>
      </c>
      <c r="V1895" t="s">
        <v>6312</v>
      </c>
      <c r="W1895">
        <v>45093</v>
      </c>
      <c r="X1895" t="s">
        <v>8366</v>
      </c>
      <c r="Y1895" t="s">
        <v>6</v>
      </c>
      <c r="Z1895" t="s">
        <v>17</v>
      </c>
      <c r="AA1895" t="s">
        <v>6637</v>
      </c>
      <c r="AB1895" t="s">
        <v>2509</v>
      </c>
      <c r="AC1895" t="s">
        <v>2571</v>
      </c>
      <c r="AD1895" t="s">
        <v>717</v>
      </c>
      <c r="AE1895" t="s">
        <v>8367</v>
      </c>
      <c r="AF1895" t="s">
        <v>8368</v>
      </c>
      <c r="AG1895" t="s">
        <v>8369</v>
      </c>
      <c r="AH1895" t="s">
        <v>2191</v>
      </c>
      <c r="AI1895" t="s">
        <v>2538</v>
      </c>
      <c r="AJ1895" t="s">
        <v>2514</v>
      </c>
      <c r="AK1895" t="s">
        <v>1233</v>
      </c>
      <c r="AL1895" t="s">
        <v>16</v>
      </c>
      <c r="AM1895" t="s">
        <v>10</v>
      </c>
      <c r="AN1895" t="s">
        <v>717</v>
      </c>
    </row>
    <row r="1896" spans="1:40" hidden="1">
      <c r="A1896">
        <v>1895</v>
      </c>
      <c r="B1896">
        <v>19</v>
      </c>
      <c r="C1896" s="58">
        <v>45098</v>
      </c>
      <c r="D1896" t="s">
        <v>7</v>
      </c>
      <c r="E1896" t="s">
        <v>2515</v>
      </c>
      <c r="F1896">
        <v>8</v>
      </c>
      <c r="G1896">
        <v>8</v>
      </c>
      <c r="H1896">
        <v>56</v>
      </c>
      <c r="I1896">
        <v>0</v>
      </c>
      <c r="J1896">
        <v>21.73</v>
      </c>
      <c r="K1896" t="s">
        <v>25</v>
      </c>
      <c r="L1896">
        <v>2567075.0699999998</v>
      </c>
      <c r="M1896">
        <v>0</v>
      </c>
      <c r="N1896">
        <v>2567075.0699999998</v>
      </c>
      <c r="O1896">
        <v>118135.06994937873</v>
      </c>
      <c r="P1896">
        <v>325950</v>
      </c>
      <c r="Q1896">
        <v>2241125.0699999998</v>
      </c>
      <c r="R1896">
        <v>103135.06994937873</v>
      </c>
      <c r="S1896" t="s">
        <v>65</v>
      </c>
      <c r="T1896" t="s">
        <v>717</v>
      </c>
      <c r="U1896" t="s">
        <v>717</v>
      </c>
      <c r="V1896" t="s">
        <v>4131</v>
      </c>
      <c r="W1896">
        <v>45093</v>
      </c>
      <c r="X1896" t="s">
        <v>8370</v>
      </c>
      <c r="Y1896" t="s">
        <v>6</v>
      </c>
      <c r="Z1896" t="s">
        <v>17</v>
      </c>
      <c r="AA1896" t="s">
        <v>6637</v>
      </c>
      <c r="AB1896" t="s">
        <v>2509</v>
      </c>
      <c r="AC1896" t="s">
        <v>2571</v>
      </c>
      <c r="AD1896" t="s">
        <v>717</v>
      </c>
      <c r="AE1896" t="s">
        <v>8371</v>
      </c>
      <c r="AF1896" t="s">
        <v>8372</v>
      </c>
      <c r="AG1896" t="s">
        <v>8373</v>
      </c>
      <c r="AH1896" t="s">
        <v>2191</v>
      </c>
      <c r="AI1896" t="s">
        <v>2872</v>
      </c>
      <c r="AJ1896" t="s">
        <v>2514</v>
      </c>
      <c r="AK1896" t="s">
        <v>8</v>
      </c>
      <c r="AL1896" t="s">
        <v>16</v>
      </c>
      <c r="AM1896" t="s">
        <v>10</v>
      </c>
      <c r="AN1896" t="s">
        <v>717</v>
      </c>
    </row>
    <row r="1897" spans="1:40" hidden="1">
      <c r="A1897">
        <v>1896</v>
      </c>
      <c r="B1897">
        <v>20</v>
      </c>
      <c r="C1897" s="58">
        <v>45099</v>
      </c>
      <c r="D1897" t="s">
        <v>7</v>
      </c>
      <c r="E1897" t="s">
        <v>4409</v>
      </c>
      <c r="F1897">
        <v>2</v>
      </c>
      <c r="G1897">
        <v>7</v>
      </c>
      <c r="H1897">
        <v>448</v>
      </c>
      <c r="I1897">
        <v>1</v>
      </c>
      <c r="J1897">
        <v>38.6</v>
      </c>
      <c r="K1897" t="s">
        <v>15</v>
      </c>
      <c r="L1897">
        <v>3746092.17</v>
      </c>
      <c r="M1897">
        <v>0</v>
      </c>
      <c r="N1897">
        <v>3746092.17</v>
      </c>
      <c r="O1897">
        <v>97049.019948186527</v>
      </c>
      <c r="P1897">
        <v>154400</v>
      </c>
      <c r="Q1897">
        <v>3591692.17</v>
      </c>
      <c r="R1897">
        <v>93049.019948186527</v>
      </c>
      <c r="S1897" t="s">
        <v>65</v>
      </c>
      <c r="T1897" t="s">
        <v>717</v>
      </c>
      <c r="U1897" t="s">
        <v>717</v>
      </c>
      <c r="V1897" t="s">
        <v>4131</v>
      </c>
      <c r="W1897">
        <v>45098</v>
      </c>
      <c r="X1897" t="s">
        <v>8374</v>
      </c>
      <c r="Y1897" t="s">
        <v>6</v>
      </c>
      <c r="Z1897" t="s">
        <v>17</v>
      </c>
      <c r="AA1897" t="s">
        <v>6637</v>
      </c>
      <c r="AB1897" t="s">
        <v>2509</v>
      </c>
      <c r="AC1897" t="s">
        <v>2571</v>
      </c>
      <c r="AD1897" t="s">
        <v>717</v>
      </c>
      <c r="AE1897" t="s">
        <v>8375</v>
      </c>
      <c r="AF1897" t="s">
        <v>8376</v>
      </c>
      <c r="AG1897" t="s">
        <v>8377</v>
      </c>
      <c r="AH1897" t="s">
        <v>2615</v>
      </c>
      <c r="AI1897" t="s">
        <v>2552</v>
      </c>
      <c r="AJ1897" t="s">
        <v>2825</v>
      </c>
      <c r="AK1897" t="s">
        <v>77</v>
      </c>
      <c r="AL1897" t="s">
        <v>16</v>
      </c>
      <c r="AM1897" t="s">
        <v>10</v>
      </c>
      <c r="AN1897" t="s">
        <v>717</v>
      </c>
    </row>
    <row r="1898" spans="1:40" hidden="1">
      <c r="A1898">
        <v>1897</v>
      </c>
      <c r="B1898">
        <v>21</v>
      </c>
      <c r="C1898" s="58">
        <v>45101</v>
      </c>
      <c r="D1898" t="s">
        <v>7</v>
      </c>
      <c r="E1898" t="s">
        <v>2581</v>
      </c>
      <c r="F1898">
        <v>6</v>
      </c>
      <c r="G1898">
        <v>21</v>
      </c>
      <c r="H1898">
        <v>379</v>
      </c>
      <c r="I1898">
        <v>3</v>
      </c>
      <c r="J1898">
        <v>72.510000000000005</v>
      </c>
      <c r="K1898" t="s">
        <v>15</v>
      </c>
      <c r="L1898">
        <v>6269850.5099999998</v>
      </c>
      <c r="M1898">
        <v>0</v>
      </c>
      <c r="N1898">
        <v>6269850.5099999998</v>
      </c>
      <c r="O1898">
        <v>86468.769962763748</v>
      </c>
      <c r="P1898">
        <v>290040</v>
      </c>
      <c r="Q1898">
        <v>5979810.5099999998</v>
      </c>
      <c r="R1898">
        <v>82468.769962763748</v>
      </c>
      <c r="S1898" t="s">
        <v>65</v>
      </c>
      <c r="T1898" t="s">
        <v>717</v>
      </c>
      <c r="U1898" t="s">
        <v>717</v>
      </c>
      <c r="V1898" t="s">
        <v>6312</v>
      </c>
      <c r="W1898">
        <v>45090</v>
      </c>
      <c r="X1898" t="s">
        <v>8378</v>
      </c>
      <c r="Y1898" t="s">
        <v>6</v>
      </c>
      <c r="Z1898" t="s">
        <v>17</v>
      </c>
      <c r="AA1898" t="s">
        <v>6637</v>
      </c>
      <c r="AB1898" t="s">
        <v>2509</v>
      </c>
      <c r="AC1898" t="s">
        <v>2571</v>
      </c>
      <c r="AD1898" t="s">
        <v>717</v>
      </c>
      <c r="AE1898" t="s">
        <v>8379</v>
      </c>
      <c r="AF1898" t="s">
        <v>8380</v>
      </c>
      <c r="AG1898" t="s">
        <v>8381</v>
      </c>
      <c r="AH1898" t="s">
        <v>2615</v>
      </c>
      <c r="AI1898" t="s">
        <v>2706</v>
      </c>
      <c r="AJ1898" t="s">
        <v>2569</v>
      </c>
      <c r="AK1898" t="s">
        <v>1233</v>
      </c>
      <c r="AL1898" t="s">
        <v>22</v>
      </c>
      <c r="AM1898" t="s">
        <v>10</v>
      </c>
      <c r="AN1898" t="s">
        <v>717</v>
      </c>
    </row>
    <row r="1899" spans="1:40" hidden="1">
      <c r="A1899">
        <v>1898</v>
      </c>
      <c r="B1899">
        <v>22</v>
      </c>
      <c r="C1899" s="58">
        <v>45103</v>
      </c>
      <c r="D1899" t="s">
        <v>7</v>
      </c>
      <c r="E1899" t="s">
        <v>4409</v>
      </c>
      <c r="F1899">
        <v>4</v>
      </c>
      <c r="G1899">
        <v>3</v>
      </c>
      <c r="H1899">
        <v>414</v>
      </c>
      <c r="I1899">
        <v>1</v>
      </c>
      <c r="J1899">
        <v>36.5</v>
      </c>
      <c r="K1899" t="s">
        <v>15</v>
      </c>
      <c r="L1899">
        <v>3531001.62</v>
      </c>
      <c r="M1899">
        <v>0</v>
      </c>
      <c r="N1899">
        <v>3531001.62</v>
      </c>
      <c r="O1899">
        <v>96739.770410958925</v>
      </c>
      <c r="P1899">
        <v>146000.00000000047</v>
      </c>
      <c r="Q1899">
        <v>3385001.6199999996</v>
      </c>
      <c r="R1899">
        <v>92739.770410958896</v>
      </c>
      <c r="S1899" t="s">
        <v>130</v>
      </c>
      <c r="T1899" t="s">
        <v>5768</v>
      </c>
      <c r="U1899">
        <v>216063.93</v>
      </c>
      <c r="V1899" t="s">
        <v>717</v>
      </c>
      <c r="W1899">
        <v>45096</v>
      </c>
      <c r="X1899" t="s">
        <v>8382</v>
      </c>
      <c r="Y1899" t="s">
        <v>6</v>
      </c>
      <c r="Z1899" t="s">
        <v>17</v>
      </c>
      <c r="AA1899" t="s">
        <v>5617</v>
      </c>
      <c r="AB1899" t="s">
        <v>2509</v>
      </c>
      <c r="AC1899" t="s">
        <v>717</v>
      </c>
      <c r="AD1899" t="s">
        <v>717</v>
      </c>
      <c r="AE1899" t="s">
        <v>8383</v>
      </c>
      <c r="AF1899" t="s">
        <v>8384</v>
      </c>
      <c r="AG1899" t="s">
        <v>8385</v>
      </c>
      <c r="AH1899" t="s">
        <v>2191</v>
      </c>
      <c r="AI1899" t="s">
        <v>2538</v>
      </c>
      <c r="AJ1899" t="s">
        <v>2514</v>
      </c>
      <c r="AK1899" t="s">
        <v>8</v>
      </c>
      <c r="AL1899" t="s">
        <v>717</v>
      </c>
      <c r="AM1899" t="s">
        <v>10</v>
      </c>
      <c r="AN1899" t="s">
        <v>717</v>
      </c>
    </row>
    <row r="1900" spans="1:40" hidden="1">
      <c r="A1900">
        <v>1899</v>
      </c>
      <c r="B1900">
        <v>23</v>
      </c>
      <c r="C1900" s="58">
        <v>45103</v>
      </c>
      <c r="D1900" t="s">
        <v>7</v>
      </c>
      <c r="E1900" t="s">
        <v>2581</v>
      </c>
      <c r="F1900">
        <v>6</v>
      </c>
      <c r="G1900">
        <v>11</v>
      </c>
      <c r="H1900">
        <v>309</v>
      </c>
      <c r="I1900">
        <v>3</v>
      </c>
      <c r="J1900">
        <v>72.510000000000005</v>
      </c>
      <c r="K1900" t="s">
        <v>15</v>
      </c>
      <c r="L1900">
        <v>5864439.8499999996</v>
      </c>
      <c r="M1900">
        <v>0</v>
      </c>
      <c r="N1900">
        <v>5864439.8499999996</v>
      </c>
      <c r="O1900">
        <v>80877.669976554942</v>
      </c>
      <c r="P1900">
        <v>290040</v>
      </c>
      <c r="Q1900">
        <v>5574399.8499999996</v>
      </c>
      <c r="R1900">
        <v>76877.669976554942</v>
      </c>
      <c r="S1900" t="s">
        <v>65</v>
      </c>
      <c r="T1900" t="s">
        <v>717</v>
      </c>
      <c r="U1900" t="s">
        <v>717</v>
      </c>
      <c r="V1900" t="s">
        <v>6312</v>
      </c>
      <c r="W1900">
        <v>45099</v>
      </c>
      <c r="X1900" t="s">
        <v>8386</v>
      </c>
      <c r="Y1900" t="s">
        <v>6</v>
      </c>
      <c r="Z1900" t="s">
        <v>17</v>
      </c>
      <c r="AA1900" t="s">
        <v>6637</v>
      </c>
      <c r="AB1900" t="s">
        <v>2509</v>
      </c>
      <c r="AC1900" t="s">
        <v>2571</v>
      </c>
      <c r="AD1900" t="s">
        <v>717</v>
      </c>
      <c r="AE1900" t="s">
        <v>8387</v>
      </c>
      <c r="AF1900" t="s">
        <v>8388</v>
      </c>
      <c r="AG1900" t="s">
        <v>8389</v>
      </c>
      <c r="AH1900" t="s">
        <v>2191</v>
      </c>
      <c r="AI1900" t="s">
        <v>2538</v>
      </c>
      <c r="AJ1900" t="s">
        <v>2514</v>
      </c>
      <c r="AK1900" t="s">
        <v>8</v>
      </c>
      <c r="AL1900" t="s">
        <v>22</v>
      </c>
      <c r="AM1900" t="s">
        <v>10</v>
      </c>
      <c r="AN1900" t="s">
        <v>717</v>
      </c>
    </row>
    <row r="1901" spans="1:40" hidden="1">
      <c r="A1901">
        <v>1900</v>
      </c>
      <c r="B1901">
        <v>24</v>
      </c>
      <c r="C1901" s="58">
        <v>45103</v>
      </c>
      <c r="D1901" t="s">
        <v>27</v>
      </c>
      <c r="E1901" t="s">
        <v>5456</v>
      </c>
      <c r="F1901">
        <v>1</v>
      </c>
      <c r="G1901">
        <v>1</v>
      </c>
      <c r="H1901">
        <v>20</v>
      </c>
      <c r="I1901" t="s">
        <v>1368</v>
      </c>
      <c r="J1901">
        <v>121.3</v>
      </c>
      <c r="K1901" t="s">
        <v>9</v>
      </c>
      <c r="L1901">
        <v>14556000</v>
      </c>
      <c r="M1901">
        <v>0</v>
      </c>
      <c r="N1901">
        <v>14556000</v>
      </c>
      <c r="O1901">
        <v>120000</v>
      </c>
      <c r="P1901">
        <v>0</v>
      </c>
      <c r="Q1901">
        <v>14556000</v>
      </c>
      <c r="R1901">
        <v>120000</v>
      </c>
      <c r="S1901" t="s">
        <v>2507</v>
      </c>
      <c r="T1901" t="s">
        <v>717</v>
      </c>
      <c r="U1901" t="s">
        <v>717</v>
      </c>
      <c r="V1901" t="s">
        <v>717</v>
      </c>
      <c r="W1901">
        <v>45099</v>
      </c>
      <c r="X1901" t="s">
        <v>8390</v>
      </c>
      <c r="Y1901" t="s">
        <v>1368</v>
      </c>
      <c r="Z1901" t="s">
        <v>17</v>
      </c>
      <c r="AA1901" t="s">
        <v>5617</v>
      </c>
      <c r="AB1901" t="s">
        <v>326</v>
      </c>
      <c r="AC1901" t="s">
        <v>717</v>
      </c>
      <c r="AD1901" t="s">
        <v>717</v>
      </c>
      <c r="AE1901" t="s">
        <v>8391</v>
      </c>
      <c r="AF1901" t="s">
        <v>8392</v>
      </c>
      <c r="AG1901" t="s">
        <v>8393</v>
      </c>
      <c r="AH1901" t="s">
        <v>2615</v>
      </c>
      <c r="AI1901" t="s">
        <v>2688</v>
      </c>
      <c r="AJ1901" t="s">
        <v>2662</v>
      </c>
      <c r="AK1901" t="s">
        <v>1233</v>
      </c>
      <c r="AL1901" t="s">
        <v>717</v>
      </c>
      <c r="AM1901" t="s">
        <v>10</v>
      </c>
      <c r="AN1901" t="s">
        <v>717</v>
      </c>
    </row>
    <row r="1902" spans="1:40" hidden="1">
      <c r="A1902">
        <v>1901</v>
      </c>
      <c r="B1902">
        <v>25</v>
      </c>
      <c r="C1902" s="58">
        <v>45104</v>
      </c>
      <c r="D1902" t="s">
        <v>7</v>
      </c>
      <c r="E1902" t="s">
        <v>2581</v>
      </c>
      <c r="F1902">
        <v>1</v>
      </c>
      <c r="G1902">
        <v>7</v>
      </c>
      <c r="H1902">
        <v>276</v>
      </c>
      <c r="I1902">
        <v>0</v>
      </c>
      <c r="J1902">
        <v>29.35</v>
      </c>
      <c r="K1902" t="s">
        <v>25</v>
      </c>
      <c r="L1902">
        <v>3086755.35</v>
      </c>
      <c r="M1902">
        <v>0</v>
      </c>
      <c r="N1902">
        <v>3086755.35</v>
      </c>
      <c r="O1902">
        <v>105170.54003407154</v>
      </c>
      <c r="P1902">
        <v>440250.0000000014</v>
      </c>
      <c r="Q1902">
        <v>2646505.3499999987</v>
      </c>
      <c r="R1902">
        <v>90170.540034071499</v>
      </c>
      <c r="S1902" t="s">
        <v>130</v>
      </c>
      <c r="T1902" t="s">
        <v>717</v>
      </c>
      <c r="U1902" t="s">
        <v>717</v>
      </c>
      <c r="V1902" t="s">
        <v>717</v>
      </c>
      <c r="W1902">
        <v>45093</v>
      </c>
      <c r="X1902" t="s">
        <v>8394</v>
      </c>
      <c r="Y1902" t="s">
        <v>6</v>
      </c>
      <c r="Z1902" t="s">
        <v>17</v>
      </c>
      <c r="AA1902" t="s">
        <v>5617</v>
      </c>
      <c r="AB1902" t="s">
        <v>2509</v>
      </c>
      <c r="AC1902" t="s">
        <v>118</v>
      </c>
      <c r="AD1902" t="s">
        <v>717</v>
      </c>
      <c r="AE1902" t="s">
        <v>8395</v>
      </c>
      <c r="AF1902" t="s">
        <v>8396</v>
      </c>
      <c r="AG1902" t="s">
        <v>8397</v>
      </c>
      <c r="AH1902" t="s">
        <v>2615</v>
      </c>
      <c r="AI1902" t="s">
        <v>8398</v>
      </c>
      <c r="AJ1902" t="s">
        <v>3304</v>
      </c>
      <c r="AK1902" t="s">
        <v>8</v>
      </c>
      <c r="AL1902" t="s">
        <v>717</v>
      </c>
      <c r="AM1902" t="s">
        <v>10</v>
      </c>
      <c r="AN1902" t="s">
        <v>717</v>
      </c>
    </row>
    <row r="1903" spans="1:40" hidden="1">
      <c r="A1903">
        <v>1902</v>
      </c>
      <c r="B1903">
        <v>26</v>
      </c>
      <c r="C1903" s="58">
        <v>45105</v>
      </c>
      <c r="D1903" t="s">
        <v>7</v>
      </c>
      <c r="E1903" t="s">
        <v>2581</v>
      </c>
      <c r="F1903">
        <v>2</v>
      </c>
      <c r="G1903">
        <v>16</v>
      </c>
      <c r="H1903">
        <v>340</v>
      </c>
      <c r="I1903">
        <v>2</v>
      </c>
      <c r="J1903">
        <v>67.95</v>
      </c>
      <c r="K1903" t="s">
        <v>15</v>
      </c>
      <c r="L1903">
        <v>5613865.2400000002</v>
      </c>
      <c r="M1903">
        <v>0</v>
      </c>
      <c r="N1903">
        <v>5613865.2400000002</v>
      </c>
      <c r="O1903">
        <v>82617.589992641646</v>
      </c>
      <c r="P1903">
        <v>271800</v>
      </c>
      <c r="Q1903">
        <v>5342065.24</v>
      </c>
      <c r="R1903">
        <v>78617.589992641646</v>
      </c>
      <c r="S1903" t="s">
        <v>65</v>
      </c>
      <c r="T1903" t="s">
        <v>5443</v>
      </c>
      <c r="U1903">
        <v>271800</v>
      </c>
      <c r="V1903" t="s">
        <v>4131</v>
      </c>
      <c r="W1903">
        <v>45095</v>
      </c>
      <c r="X1903" t="s">
        <v>8399</v>
      </c>
      <c r="Y1903" t="s">
        <v>6</v>
      </c>
      <c r="Z1903" t="s">
        <v>17</v>
      </c>
      <c r="AA1903" t="s">
        <v>6637</v>
      </c>
      <c r="AB1903" t="s">
        <v>2509</v>
      </c>
      <c r="AC1903" t="s">
        <v>2571</v>
      </c>
      <c r="AD1903" t="s">
        <v>717</v>
      </c>
      <c r="AE1903" t="s">
        <v>8400</v>
      </c>
      <c r="AF1903" t="s">
        <v>8401</v>
      </c>
      <c r="AG1903" t="s">
        <v>8402</v>
      </c>
      <c r="AH1903" t="s">
        <v>2615</v>
      </c>
      <c r="AI1903" t="s">
        <v>2847</v>
      </c>
      <c r="AJ1903" t="s">
        <v>2569</v>
      </c>
      <c r="AK1903" t="s">
        <v>8</v>
      </c>
      <c r="AL1903" t="s">
        <v>22</v>
      </c>
      <c r="AM1903" t="s">
        <v>10</v>
      </c>
      <c r="AN1903" t="s">
        <v>717</v>
      </c>
    </row>
    <row r="1904" spans="1:40" hidden="1">
      <c r="A1904">
        <v>1903</v>
      </c>
      <c r="B1904">
        <v>27</v>
      </c>
      <c r="C1904" s="58">
        <v>45105</v>
      </c>
      <c r="D1904" t="s">
        <v>7</v>
      </c>
      <c r="E1904" t="s">
        <v>2515</v>
      </c>
      <c r="F1904">
        <v>5</v>
      </c>
      <c r="G1904">
        <v>5</v>
      </c>
      <c r="H1904">
        <v>29</v>
      </c>
      <c r="I1904">
        <v>2</v>
      </c>
      <c r="J1904">
        <v>54.66</v>
      </c>
      <c r="K1904" t="s">
        <v>25</v>
      </c>
      <c r="L1904">
        <v>5253900.62</v>
      </c>
      <c r="M1904">
        <v>0</v>
      </c>
      <c r="N1904">
        <v>5253900.62</v>
      </c>
      <c r="O1904">
        <v>96119.660080497633</v>
      </c>
      <c r="P1904">
        <v>819900</v>
      </c>
      <c r="Q1904">
        <v>4434000.62</v>
      </c>
      <c r="R1904">
        <v>81119.660080497633</v>
      </c>
      <c r="S1904" t="s">
        <v>65</v>
      </c>
      <c r="T1904" t="s">
        <v>717</v>
      </c>
      <c r="U1904" t="s">
        <v>717</v>
      </c>
      <c r="V1904" t="s">
        <v>4131</v>
      </c>
      <c r="W1904">
        <v>45096</v>
      </c>
      <c r="X1904" t="s">
        <v>8403</v>
      </c>
      <c r="Y1904" t="s">
        <v>6</v>
      </c>
      <c r="Z1904" t="s">
        <v>17</v>
      </c>
      <c r="AA1904" t="s">
        <v>6637</v>
      </c>
      <c r="AB1904" t="s">
        <v>2509</v>
      </c>
      <c r="AC1904" t="s">
        <v>2571</v>
      </c>
      <c r="AD1904" t="s">
        <v>717</v>
      </c>
      <c r="AE1904" t="s">
        <v>8404</v>
      </c>
      <c r="AF1904" t="s">
        <v>8405</v>
      </c>
      <c r="AG1904" t="s">
        <v>8406</v>
      </c>
      <c r="AH1904" t="s">
        <v>2615</v>
      </c>
      <c r="AI1904" t="s">
        <v>6951</v>
      </c>
      <c r="AJ1904" t="s">
        <v>2662</v>
      </c>
      <c r="AK1904" t="s">
        <v>77</v>
      </c>
      <c r="AL1904" t="s">
        <v>22</v>
      </c>
      <c r="AM1904" t="s">
        <v>10</v>
      </c>
      <c r="AN1904" t="s">
        <v>717</v>
      </c>
    </row>
    <row r="1905" spans="1:40" hidden="1">
      <c r="A1905">
        <v>1904</v>
      </c>
      <c r="B1905">
        <v>28</v>
      </c>
      <c r="C1905" s="58">
        <v>45106</v>
      </c>
      <c r="D1905" t="s">
        <v>7</v>
      </c>
      <c r="E1905" t="s">
        <v>2581</v>
      </c>
      <c r="F1905">
        <v>3</v>
      </c>
      <c r="G1905">
        <v>22</v>
      </c>
      <c r="H1905">
        <v>383</v>
      </c>
      <c r="I1905">
        <v>0</v>
      </c>
      <c r="J1905">
        <v>36.450000000000003</v>
      </c>
      <c r="K1905" t="s">
        <v>9</v>
      </c>
      <c r="L1905">
        <v>3356369.12</v>
      </c>
      <c r="M1905">
        <v>0</v>
      </c>
      <c r="N1905">
        <v>3356369.12</v>
      </c>
      <c r="O1905">
        <v>92081.457338820299</v>
      </c>
      <c r="P1905">
        <v>0</v>
      </c>
      <c r="Q1905">
        <v>3356369.12</v>
      </c>
      <c r="R1905">
        <v>92081.457338820299</v>
      </c>
      <c r="S1905" t="s">
        <v>65</v>
      </c>
      <c r="T1905" t="s">
        <v>3309</v>
      </c>
      <c r="U1905">
        <v>55555</v>
      </c>
      <c r="V1905" t="s">
        <v>4131</v>
      </c>
      <c r="W1905">
        <v>45093</v>
      </c>
      <c r="X1905" t="s">
        <v>8407</v>
      </c>
      <c r="Y1905" t="s">
        <v>6</v>
      </c>
      <c r="Z1905" t="s">
        <v>17</v>
      </c>
      <c r="AA1905" t="s">
        <v>6637</v>
      </c>
      <c r="AB1905" t="s">
        <v>2509</v>
      </c>
      <c r="AC1905" t="s">
        <v>2571</v>
      </c>
      <c r="AD1905" t="s">
        <v>717</v>
      </c>
      <c r="AE1905" t="s">
        <v>8408</v>
      </c>
      <c r="AF1905" t="s">
        <v>8409</v>
      </c>
      <c r="AG1905" t="s">
        <v>8410</v>
      </c>
      <c r="AH1905" t="s">
        <v>2615</v>
      </c>
      <c r="AI1905" t="s">
        <v>2552</v>
      </c>
      <c r="AJ1905" t="s">
        <v>2825</v>
      </c>
      <c r="AK1905" t="s">
        <v>1233</v>
      </c>
      <c r="AL1905" t="s">
        <v>22</v>
      </c>
      <c r="AM1905" t="s">
        <v>10</v>
      </c>
      <c r="AN1905" t="s">
        <v>717</v>
      </c>
    </row>
    <row r="1906" spans="1:40" hidden="1">
      <c r="A1906">
        <v>1905</v>
      </c>
      <c r="B1906">
        <v>29</v>
      </c>
      <c r="C1906" s="58">
        <v>45106</v>
      </c>
      <c r="D1906" t="s">
        <v>7</v>
      </c>
      <c r="E1906" t="s">
        <v>2581</v>
      </c>
      <c r="F1906">
        <v>1</v>
      </c>
      <c r="G1906">
        <v>16</v>
      </c>
      <c r="H1906">
        <v>339</v>
      </c>
      <c r="I1906">
        <v>0</v>
      </c>
      <c r="J1906">
        <v>29.35</v>
      </c>
      <c r="K1906" t="s">
        <v>25</v>
      </c>
      <c r="L1906">
        <v>3086755.35</v>
      </c>
      <c r="M1906">
        <v>0</v>
      </c>
      <c r="N1906">
        <v>3086755.35</v>
      </c>
      <c r="O1906">
        <v>105170.54003407154</v>
      </c>
      <c r="P1906">
        <v>440250</v>
      </c>
      <c r="Q1906">
        <v>2646505.35</v>
      </c>
      <c r="R1906">
        <v>90170.540034071542</v>
      </c>
      <c r="S1906" t="s">
        <v>65</v>
      </c>
      <c r="T1906" t="s">
        <v>717</v>
      </c>
      <c r="U1906" t="s">
        <v>717</v>
      </c>
      <c r="V1906" t="s">
        <v>4131</v>
      </c>
      <c r="W1906">
        <v>45102</v>
      </c>
      <c r="X1906" t="s">
        <v>8411</v>
      </c>
      <c r="Y1906" t="s">
        <v>6</v>
      </c>
      <c r="Z1906" t="s">
        <v>17</v>
      </c>
      <c r="AA1906" t="s">
        <v>6637</v>
      </c>
      <c r="AB1906" t="s">
        <v>2509</v>
      </c>
      <c r="AC1906" t="s">
        <v>2571</v>
      </c>
      <c r="AD1906" t="s">
        <v>717</v>
      </c>
      <c r="AE1906" t="s">
        <v>8412</v>
      </c>
      <c r="AF1906" t="s">
        <v>8413</v>
      </c>
      <c r="AG1906" t="s">
        <v>8414</v>
      </c>
      <c r="AH1906" t="s">
        <v>2615</v>
      </c>
      <c r="AI1906" t="s">
        <v>2552</v>
      </c>
      <c r="AJ1906" t="s">
        <v>2895</v>
      </c>
      <c r="AK1906" t="s">
        <v>8</v>
      </c>
      <c r="AL1906" t="s">
        <v>22</v>
      </c>
      <c r="AM1906" t="s">
        <v>10</v>
      </c>
      <c r="AN1906" t="s">
        <v>717</v>
      </c>
    </row>
    <row r="1907" spans="1:40" hidden="1">
      <c r="A1907">
        <v>1906</v>
      </c>
      <c r="B1907">
        <v>30</v>
      </c>
      <c r="C1907" s="58">
        <v>45106</v>
      </c>
      <c r="D1907" t="s">
        <v>7</v>
      </c>
      <c r="E1907" t="s">
        <v>2581</v>
      </c>
      <c r="F1907">
        <v>1</v>
      </c>
      <c r="G1907">
        <v>2</v>
      </c>
      <c r="H1907">
        <v>241</v>
      </c>
      <c r="I1907">
        <v>0</v>
      </c>
      <c r="J1907">
        <v>29.35</v>
      </c>
      <c r="K1907" t="s">
        <v>25</v>
      </c>
      <c r="L1907">
        <v>3086755.35</v>
      </c>
      <c r="M1907">
        <v>0</v>
      </c>
      <c r="N1907">
        <v>3086755.35</v>
      </c>
      <c r="O1907">
        <v>105170.54003407154</v>
      </c>
      <c r="P1907">
        <v>440250.0000000014</v>
      </c>
      <c r="Q1907">
        <v>2646505.3499999987</v>
      </c>
      <c r="R1907">
        <v>90170.540034071499</v>
      </c>
      <c r="S1907" t="s">
        <v>65</v>
      </c>
      <c r="T1907" t="s">
        <v>717</v>
      </c>
      <c r="U1907" t="s">
        <v>717</v>
      </c>
      <c r="V1907" t="s">
        <v>6312</v>
      </c>
      <c r="W1907">
        <v>45102</v>
      </c>
      <c r="X1907" t="s">
        <v>8415</v>
      </c>
      <c r="Y1907" t="s">
        <v>6</v>
      </c>
      <c r="Z1907" t="s">
        <v>17</v>
      </c>
      <c r="AA1907" t="s">
        <v>6637</v>
      </c>
      <c r="AB1907" t="s">
        <v>2509</v>
      </c>
      <c r="AC1907" t="s">
        <v>2571</v>
      </c>
      <c r="AD1907" t="s">
        <v>717</v>
      </c>
      <c r="AE1907" t="s">
        <v>8416</v>
      </c>
      <c r="AF1907" t="s">
        <v>8417</v>
      </c>
      <c r="AG1907" t="s">
        <v>8418</v>
      </c>
      <c r="AH1907" t="s">
        <v>2615</v>
      </c>
      <c r="AI1907" t="s">
        <v>2552</v>
      </c>
      <c r="AJ1907" t="s">
        <v>2662</v>
      </c>
      <c r="AK1907" t="s">
        <v>1233</v>
      </c>
      <c r="AL1907" t="s">
        <v>16</v>
      </c>
      <c r="AM1907" t="s">
        <v>10</v>
      </c>
      <c r="AN1907" t="s">
        <v>717</v>
      </c>
    </row>
    <row r="1908" spans="1:40" hidden="1">
      <c r="A1908">
        <v>1907</v>
      </c>
      <c r="B1908">
        <v>31</v>
      </c>
      <c r="C1908" s="58">
        <v>45106</v>
      </c>
      <c r="D1908" t="s">
        <v>7</v>
      </c>
      <c r="E1908" t="s">
        <v>2581</v>
      </c>
      <c r="F1908">
        <v>2</v>
      </c>
      <c r="G1908">
        <v>21</v>
      </c>
      <c r="H1908">
        <v>375</v>
      </c>
      <c r="I1908">
        <v>2</v>
      </c>
      <c r="J1908">
        <v>67.95</v>
      </c>
      <c r="K1908" t="s">
        <v>15</v>
      </c>
      <c r="L1908">
        <v>6033593.0700000003</v>
      </c>
      <c r="M1908">
        <v>0</v>
      </c>
      <c r="N1908">
        <v>6033593.0700000003</v>
      </c>
      <c r="O1908">
        <v>88794.6</v>
      </c>
      <c r="P1908">
        <v>271800</v>
      </c>
      <c r="Q1908">
        <v>5761793.0700000003</v>
      </c>
      <c r="R1908">
        <v>84794.6</v>
      </c>
      <c r="S1908" t="s">
        <v>130</v>
      </c>
      <c r="T1908" t="s">
        <v>5443</v>
      </c>
      <c r="U1908">
        <v>271800</v>
      </c>
      <c r="V1908" t="s">
        <v>717</v>
      </c>
      <c r="W1908">
        <v>45104</v>
      </c>
      <c r="X1908" t="s">
        <v>8419</v>
      </c>
      <c r="Y1908" t="s">
        <v>6</v>
      </c>
      <c r="Z1908" t="s">
        <v>17</v>
      </c>
      <c r="AA1908" t="s">
        <v>6637</v>
      </c>
      <c r="AB1908" t="s">
        <v>2509</v>
      </c>
      <c r="AC1908" t="s">
        <v>717</v>
      </c>
      <c r="AD1908" t="s">
        <v>717</v>
      </c>
      <c r="AE1908" t="s">
        <v>5081</v>
      </c>
      <c r="AF1908" t="s">
        <v>5082</v>
      </c>
      <c r="AG1908" t="s">
        <v>5083</v>
      </c>
      <c r="AH1908" t="s">
        <v>2191</v>
      </c>
      <c r="AI1908" t="s">
        <v>2600</v>
      </c>
      <c r="AJ1908" t="s">
        <v>3921</v>
      </c>
      <c r="AK1908" t="s">
        <v>8</v>
      </c>
      <c r="AL1908" t="s">
        <v>717</v>
      </c>
      <c r="AM1908" t="s">
        <v>10</v>
      </c>
      <c r="AN1908" t="s">
        <v>717</v>
      </c>
    </row>
    <row r="1909" spans="1:40" hidden="1">
      <c r="A1909">
        <v>1908</v>
      </c>
      <c r="B1909">
        <v>32</v>
      </c>
      <c r="C1909" s="58">
        <v>45106</v>
      </c>
      <c r="D1909" t="s">
        <v>7</v>
      </c>
      <c r="E1909" t="s">
        <v>4409</v>
      </c>
      <c r="F1909">
        <v>6</v>
      </c>
      <c r="G1909">
        <v>1</v>
      </c>
      <c r="H1909">
        <v>18</v>
      </c>
      <c r="I1909" t="s">
        <v>1368</v>
      </c>
      <c r="J1909">
        <v>96.35</v>
      </c>
      <c r="K1909" t="s">
        <v>9</v>
      </c>
      <c r="L1909">
        <v>11080250</v>
      </c>
      <c r="M1909">
        <v>0</v>
      </c>
      <c r="N1909">
        <v>11080250</v>
      </c>
      <c r="O1909">
        <v>115000</v>
      </c>
      <c r="P1909">
        <v>0</v>
      </c>
      <c r="Q1909">
        <v>11080250</v>
      </c>
      <c r="R1909">
        <v>115000</v>
      </c>
      <c r="S1909" t="s">
        <v>130</v>
      </c>
      <c r="T1909" t="s">
        <v>717</v>
      </c>
      <c r="U1909" t="s">
        <v>717</v>
      </c>
      <c r="V1909" t="s">
        <v>717</v>
      </c>
      <c r="W1909">
        <v>45104</v>
      </c>
      <c r="X1909" t="s">
        <v>8420</v>
      </c>
      <c r="Y1909" t="s">
        <v>1368</v>
      </c>
      <c r="Z1909" t="s">
        <v>17</v>
      </c>
      <c r="AA1909" t="s">
        <v>6637</v>
      </c>
      <c r="AB1909" t="s">
        <v>2509</v>
      </c>
      <c r="AC1909" t="s">
        <v>717</v>
      </c>
      <c r="AD1909" t="s">
        <v>717</v>
      </c>
      <c r="AE1909" t="s">
        <v>7612</v>
      </c>
      <c r="AF1909" t="s">
        <v>7613</v>
      </c>
      <c r="AG1909" t="s">
        <v>7614</v>
      </c>
      <c r="AH1909" t="s">
        <v>2580</v>
      </c>
      <c r="AI1909" t="s">
        <v>2600</v>
      </c>
      <c r="AJ1909" t="s">
        <v>3921</v>
      </c>
      <c r="AK1909" t="s">
        <v>29</v>
      </c>
      <c r="AL1909" t="s">
        <v>717</v>
      </c>
      <c r="AM1909" t="s">
        <v>10</v>
      </c>
      <c r="AN1909" t="s">
        <v>717</v>
      </c>
    </row>
    <row r="1910" spans="1:40" hidden="1">
      <c r="A1910">
        <v>1909</v>
      </c>
      <c r="B1910">
        <v>33</v>
      </c>
      <c r="C1910" s="58">
        <v>45106</v>
      </c>
      <c r="D1910" t="s">
        <v>7</v>
      </c>
      <c r="E1910" t="s">
        <v>2506</v>
      </c>
      <c r="F1910">
        <v>6</v>
      </c>
      <c r="G1910">
        <v>8</v>
      </c>
      <c r="H1910">
        <v>174</v>
      </c>
      <c r="I1910">
        <v>1</v>
      </c>
      <c r="J1910">
        <v>36.659999999999997</v>
      </c>
      <c r="K1910" t="s">
        <v>15</v>
      </c>
      <c r="L1910">
        <v>3591260.1600000001</v>
      </c>
      <c r="M1910">
        <v>0</v>
      </c>
      <c r="N1910">
        <v>3591260.1600000001</v>
      </c>
      <c r="O1910">
        <v>97961.270049099854</v>
      </c>
      <c r="P1910">
        <v>146640</v>
      </c>
      <c r="Q1910">
        <v>3444620.16</v>
      </c>
      <c r="R1910">
        <v>93961.270049099854</v>
      </c>
      <c r="S1910" t="s">
        <v>2507</v>
      </c>
      <c r="T1910" t="s">
        <v>717</v>
      </c>
      <c r="U1910" t="s">
        <v>717</v>
      </c>
      <c r="V1910" t="s">
        <v>717</v>
      </c>
      <c r="W1910">
        <v>45105</v>
      </c>
      <c r="X1910" t="s">
        <v>8421</v>
      </c>
      <c r="Y1910" t="s">
        <v>6</v>
      </c>
      <c r="Z1910" t="s">
        <v>17</v>
      </c>
      <c r="AA1910" t="s">
        <v>5617</v>
      </c>
      <c r="AB1910" t="s">
        <v>2509</v>
      </c>
      <c r="AC1910" t="s">
        <v>717</v>
      </c>
      <c r="AD1910" t="s">
        <v>717</v>
      </c>
      <c r="AE1910" t="s">
        <v>8422</v>
      </c>
      <c r="AF1910" t="s">
        <v>8423</v>
      </c>
      <c r="AG1910" t="s">
        <v>8424</v>
      </c>
      <c r="AH1910" t="s">
        <v>2616</v>
      </c>
      <c r="AI1910" t="s">
        <v>2552</v>
      </c>
      <c r="AJ1910" t="s">
        <v>2642</v>
      </c>
      <c r="AK1910" t="s">
        <v>8</v>
      </c>
      <c r="AL1910" t="s">
        <v>717</v>
      </c>
      <c r="AM1910" t="s">
        <v>10</v>
      </c>
      <c r="AN1910" t="s">
        <v>717</v>
      </c>
    </row>
    <row r="1911" spans="1:40" hidden="1">
      <c r="A1911">
        <v>1910</v>
      </c>
      <c r="B1911">
        <v>34</v>
      </c>
      <c r="C1911" s="58">
        <v>45107</v>
      </c>
      <c r="D1911" t="s">
        <v>7</v>
      </c>
      <c r="E1911" t="s">
        <v>4409</v>
      </c>
      <c r="F1911">
        <v>1</v>
      </c>
      <c r="G1911">
        <v>7</v>
      </c>
      <c r="H1911">
        <v>447</v>
      </c>
      <c r="I1911">
        <v>1</v>
      </c>
      <c r="J1911">
        <v>39.74</v>
      </c>
      <c r="K1911" t="s">
        <v>15</v>
      </c>
      <c r="L1911">
        <v>3625262.82</v>
      </c>
      <c r="M1911">
        <v>0</v>
      </c>
      <c r="N1911">
        <v>3625262.82</v>
      </c>
      <c r="O1911">
        <v>91224.529944640148</v>
      </c>
      <c r="P1911">
        <v>158960</v>
      </c>
      <c r="Q1911">
        <v>3466302.82</v>
      </c>
      <c r="R1911">
        <v>87224.529944640148</v>
      </c>
      <c r="S1911" t="s">
        <v>65</v>
      </c>
      <c r="T1911" t="s">
        <v>5443</v>
      </c>
      <c r="U1911">
        <v>158960</v>
      </c>
      <c r="V1911" t="s">
        <v>6312</v>
      </c>
      <c r="W1911">
        <v>45093</v>
      </c>
      <c r="X1911" t="s">
        <v>8425</v>
      </c>
      <c r="Y1911" t="s">
        <v>6</v>
      </c>
      <c r="Z1911" t="s">
        <v>17</v>
      </c>
      <c r="AA1911" t="s">
        <v>6637</v>
      </c>
      <c r="AB1911" t="s">
        <v>2509</v>
      </c>
      <c r="AC1911" t="s">
        <v>2571</v>
      </c>
      <c r="AD1911" t="s">
        <v>717</v>
      </c>
      <c r="AE1911" t="s">
        <v>8426</v>
      </c>
      <c r="AF1911" t="s">
        <v>8427</v>
      </c>
      <c r="AG1911" t="s">
        <v>8428</v>
      </c>
      <c r="AH1911" t="s">
        <v>2552</v>
      </c>
      <c r="AI1911" t="s">
        <v>2877</v>
      </c>
      <c r="AJ1911" t="s">
        <v>2569</v>
      </c>
      <c r="AK1911" t="s">
        <v>1233</v>
      </c>
      <c r="AL1911" t="s">
        <v>22</v>
      </c>
      <c r="AM1911" t="s">
        <v>10</v>
      </c>
      <c r="AN1911" t="s">
        <v>717</v>
      </c>
    </row>
    <row r="1912" spans="1:40" hidden="1">
      <c r="A1912">
        <v>1911</v>
      </c>
      <c r="B1912">
        <v>35</v>
      </c>
      <c r="C1912" s="58">
        <v>45107</v>
      </c>
      <c r="D1912" t="s">
        <v>7</v>
      </c>
      <c r="E1912" t="s">
        <v>4409</v>
      </c>
      <c r="F1912">
        <v>2</v>
      </c>
      <c r="G1912">
        <v>1</v>
      </c>
      <c r="H1912">
        <v>14</v>
      </c>
      <c r="I1912" t="s">
        <v>1368</v>
      </c>
      <c r="J1912">
        <v>91.41</v>
      </c>
      <c r="K1912" t="s">
        <v>9</v>
      </c>
      <c r="L1912">
        <v>10301907</v>
      </c>
      <c r="M1912">
        <v>0</v>
      </c>
      <c r="N1912">
        <v>10301907</v>
      </c>
      <c r="O1912">
        <v>112700</v>
      </c>
      <c r="P1912">
        <v>0</v>
      </c>
      <c r="Q1912">
        <v>10301907</v>
      </c>
      <c r="R1912">
        <v>112700</v>
      </c>
      <c r="S1912" t="s">
        <v>130</v>
      </c>
      <c r="T1912" t="s">
        <v>8002</v>
      </c>
      <c r="U1912">
        <v>210243</v>
      </c>
      <c r="V1912" t="s">
        <v>717</v>
      </c>
      <c r="W1912">
        <v>45096</v>
      </c>
      <c r="X1912" t="s">
        <v>8429</v>
      </c>
      <c r="Y1912" t="s">
        <v>1368</v>
      </c>
      <c r="Z1912" t="s">
        <v>17</v>
      </c>
      <c r="AA1912" t="s">
        <v>5617</v>
      </c>
      <c r="AB1912" t="s">
        <v>2509</v>
      </c>
      <c r="AC1912" t="s">
        <v>717</v>
      </c>
      <c r="AD1912" t="s">
        <v>717</v>
      </c>
      <c r="AE1912" t="s">
        <v>7781</v>
      </c>
      <c r="AF1912" t="s">
        <v>7782</v>
      </c>
      <c r="AG1912" t="s">
        <v>7783</v>
      </c>
      <c r="AH1912" t="s">
        <v>2580</v>
      </c>
      <c r="AI1912" t="s">
        <v>2600</v>
      </c>
      <c r="AJ1912" t="s">
        <v>3921</v>
      </c>
      <c r="AK1912" t="s">
        <v>77</v>
      </c>
      <c r="AL1912" t="s">
        <v>717</v>
      </c>
      <c r="AM1912" t="s">
        <v>10</v>
      </c>
      <c r="AN1912" t="s">
        <v>717</v>
      </c>
    </row>
    <row r="1913" spans="1:40" hidden="1">
      <c r="A1913">
        <v>1912</v>
      </c>
      <c r="B1913">
        <v>36</v>
      </c>
      <c r="C1913" s="58">
        <v>45107</v>
      </c>
      <c r="D1913" t="s">
        <v>7</v>
      </c>
      <c r="E1913" t="s">
        <v>2515</v>
      </c>
      <c r="F1913">
        <v>1</v>
      </c>
      <c r="G1913">
        <v>6</v>
      </c>
      <c r="H1913">
        <v>33</v>
      </c>
      <c r="I1913">
        <v>1</v>
      </c>
      <c r="J1913">
        <v>33.53</v>
      </c>
      <c r="K1913" t="s">
        <v>25</v>
      </c>
      <c r="L1913">
        <v>3715246.05</v>
      </c>
      <c r="M1913">
        <v>0</v>
      </c>
      <c r="N1913">
        <v>3715246.05</v>
      </c>
      <c r="O1913">
        <v>110803.64002385922</v>
      </c>
      <c r="P1913">
        <v>502950.00000000047</v>
      </c>
      <c r="Q1913">
        <v>3212296.0499999993</v>
      </c>
      <c r="R1913">
        <v>95803.640023859203</v>
      </c>
      <c r="S1913" t="s">
        <v>65</v>
      </c>
      <c r="T1913" t="s">
        <v>717</v>
      </c>
      <c r="U1913" t="s">
        <v>717</v>
      </c>
      <c r="V1913" t="s">
        <v>4131</v>
      </c>
      <c r="W1913">
        <v>45100</v>
      </c>
      <c r="X1913" t="s">
        <v>8430</v>
      </c>
      <c r="Y1913" t="s">
        <v>6</v>
      </c>
      <c r="Z1913" t="s">
        <v>17</v>
      </c>
      <c r="AA1913" t="s">
        <v>6637</v>
      </c>
      <c r="AB1913" t="s">
        <v>2509</v>
      </c>
      <c r="AC1913" t="s">
        <v>2571</v>
      </c>
      <c r="AD1913" t="s">
        <v>717</v>
      </c>
      <c r="AE1913" t="s">
        <v>4456</v>
      </c>
      <c r="AF1913" t="s">
        <v>8431</v>
      </c>
      <c r="AG1913" t="s">
        <v>4458</v>
      </c>
      <c r="AH1913" t="s">
        <v>2615</v>
      </c>
      <c r="AI1913" t="s">
        <v>2600</v>
      </c>
      <c r="AJ1913" t="s">
        <v>3921</v>
      </c>
      <c r="AK1913" t="s">
        <v>77</v>
      </c>
      <c r="AL1913" t="s">
        <v>16</v>
      </c>
      <c r="AM1913" t="s">
        <v>10</v>
      </c>
      <c r="AN1913" t="s">
        <v>717</v>
      </c>
    </row>
    <row r="1914" spans="1:40" hidden="1">
      <c r="A1914">
        <v>1913</v>
      </c>
      <c r="B1914">
        <v>37</v>
      </c>
      <c r="C1914" s="58">
        <v>45107</v>
      </c>
      <c r="D1914" t="s">
        <v>7</v>
      </c>
      <c r="E1914" t="s">
        <v>2581</v>
      </c>
      <c r="F1914">
        <v>1</v>
      </c>
      <c r="G1914">
        <v>9</v>
      </c>
      <c r="H1914">
        <v>290</v>
      </c>
      <c r="I1914">
        <v>0</v>
      </c>
      <c r="J1914">
        <v>29.35</v>
      </c>
      <c r="K1914" t="s">
        <v>25</v>
      </c>
      <c r="L1914">
        <v>3086755.35</v>
      </c>
      <c r="M1914">
        <v>0</v>
      </c>
      <c r="N1914">
        <v>3086755.35</v>
      </c>
      <c r="O1914">
        <v>105170.54003407154</v>
      </c>
      <c r="P1914">
        <v>440250</v>
      </c>
      <c r="Q1914">
        <v>2646505.35</v>
      </c>
      <c r="R1914">
        <v>90170.540034071542</v>
      </c>
      <c r="S1914" t="s">
        <v>65</v>
      </c>
      <c r="T1914" t="s">
        <v>717</v>
      </c>
      <c r="U1914" t="s">
        <v>717</v>
      </c>
      <c r="V1914" t="s">
        <v>6312</v>
      </c>
      <c r="W1914">
        <v>45102</v>
      </c>
      <c r="X1914" t="s">
        <v>8432</v>
      </c>
      <c r="Y1914" t="s">
        <v>6</v>
      </c>
      <c r="Z1914" t="s">
        <v>17</v>
      </c>
      <c r="AA1914" t="s">
        <v>6637</v>
      </c>
      <c r="AB1914" t="s">
        <v>2509</v>
      </c>
      <c r="AC1914" t="s">
        <v>2571</v>
      </c>
      <c r="AD1914" t="s">
        <v>717</v>
      </c>
      <c r="AE1914" t="s">
        <v>8433</v>
      </c>
      <c r="AF1914" t="s">
        <v>8434</v>
      </c>
      <c r="AG1914" t="s">
        <v>8435</v>
      </c>
      <c r="AH1914" t="s">
        <v>2615</v>
      </c>
      <c r="AI1914" t="s">
        <v>2538</v>
      </c>
      <c r="AJ1914" t="s">
        <v>2793</v>
      </c>
      <c r="AK1914" t="s">
        <v>8</v>
      </c>
      <c r="AL1914" t="s">
        <v>22</v>
      </c>
      <c r="AM1914" t="s">
        <v>10</v>
      </c>
      <c r="AN1914" t="s">
        <v>717</v>
      </c>
    </row>
    <row r="1915" spans="1:40" hidden="1">
      <c r="A1915">
        <v>1914</v>
      </c>
      <c r="B1915">
        <v>38</v>
      </c>
      <c r="C1915" s="58">
        <v>45107</v>
      </c>
      <c r="D1915" t="s">
        <v>7</v>
      </c>
      <c r="E1915" t="s">
        <v>4409</v>
      </c>
      <c r="F1915">
        <v>2</v>
      </c>
      <c r="G1915">
        <v>14</v>
      </c>
      <c r="H1915">
        <v>511</v>
      </c>
      <c r="I1915">
        <v>1</v>
      </c>
      <c r="J1915">
        <v>38.6</v>
      </c>
      <c r="K1915" t="s">
        <v>15</v>
      </c>
      <c r="L1915">
        <v>3591692.17</v>
      </c>
      <c r="M1915">
        <v>0</v>
      </c>
      <c r="N1915">
        <v>3591692.17</v>
      </c>
      <c r="O1915">
        <v>93049.019948186527</v>
      </c>
      <c r="P1915">
        <v>154400</v>
      </c>
      <c r="Q1915">
        <v>3437292.17</v>
      </c>
      <c r="R1915">
        <v>89049.019948186527</v>
      </c>
      <c r="S1915" t="s">
        <v>65</v>
      </c>
      <c r="T1915" t="s">
        <v>5443</v>
      </c>
      <c r="U1915">
        <v>154400</v>
      </c>
      <c r="V1915" t="s">
        <v>4131</v>
      </c>
      <c r="W1915">
        <v>45103</v>
      </c>
      <c r="X1915" t="s">
        <v>8436</v>
      </c>
      <c r="Y1915" t="s">
        <v>6</v>
      </c>
      <c r="Z1915" t="s">
        <v>17</v>
      </c>
      <c r="AA1915" t="s">
        <v>6637</v>
      </c>
      <c r="AB1915" t="s">
        <v>2509</v>
      </c>
      <c r="AC1915" t="s">
        <v>2571</v>
      </c>
      <c r="AD1915" t="s">
        <v>717</v>
      </c>
      <c r="AE1915" t="s">
        <v>8437</v>
      </c>
      <c r="AF1915" t="s">
        <v>8438</v>
      </c>
      <c r="AG1915" t="s">
        <v>8439</v>
      </c>
      <c r="AH1915" t="s">
        <v>2616</v>
      </c>
      <c r="AI1915" t="s">
        <v>2552</v>
      </c>
      <c r="AJ1915" t="s">
        <v>2569</v>
      </c>
      <c r="AK1915" t="s">
        <v>77</v>
      </c>
      <c r="AL1915" t="s">
        <v>16</v>
      </c>
      <c r="AM1915" t="s">
        <v>10</v>
      </c>
      <c r="AN1915" t="s">
        <v>717</v>
      </c>
    </row>
    <row r="1916" spans="1:40" hidden="1">
      <c r="A1916">
        <v>1915</v>
      </c>
      <c r="B1916">
        <v>39</v>
      </c>
      <c r="C1916" s="58">
        <v>45107</v>
      </c>
      <c r="D1916" t="s">
        <v>7</v>
      </c>
      <c r="E1916" t="s">
        <v>2515</v>
      </c>
      <c r="F1916">
        <v>6</v>
      </c>
      <c r="G1916">
        <v>5</v>
      </c>
      <c r="H1916">
        <v>30</v>
      </c>
      <c r="I1916">
        <v>2</v>
      </c>
      <c r="J1916">
        <v>59.87</v>
      </c>
      <c r="K1916" t="s">
        <v>25</v>
      </c>
      <c r="L1916">
        <v>6185419.96</v>
      </c>
      <c r="M1916">
        <v>0</v>
      </c>
      <c r="N1916">
        <v>6185419.96</v>
      </c>
      <c r="O1916">
        <v>103314.18005678972</v>
      </c>
      <c r="P1916">
        <v>898050</v>
      </c>
      <c r="Q1916">
        <v>5287369.96</v>
      </c>
      <c r="R1916">
        <v>88314.180056789715</v>
      </c>
      <c r="S1916" t="s">
        <v>65</v>
      </c>
      <c r="T1916" t="s">
        <v>717</v>
      </c>
      <c r="U1916" t="s">
        <v>717</v>
      </c>
      <c r="V1916" t="s">
        <v>4131</v>
      </c>
      <c r="W1916">
        <v>45104</v>
      </c>
      <c r="X1916" t="s">
        <v>8440</v>
      </c>
      <c r="Y1916" t="s">
        <v>6</v>
      </c>
      <c r="Z1916" t="s">
        <v>17</v>
      </c>
      <c r="AA1916" t="s">
        <v>6637</v>
      </c>
      <c r="AB1916" t="s">
        <v>2509</v>
      </c>
      <c r="AC1916" t="s">
        <v>2571</v>
      </c>
      <c r="AD1916" t="s">
        <v>717</v>
      </c>
      <c r="AE1916" t="s">
        <v>8441</v>
      </c>
      <c r="AF1916" t="s">
        <v>8442</v>
      </c>
      <c r="AG1916" t="s">
        <v>8443</v>
      </c>
      <c r="AH1916" t="s">
        <v>2191</v>
      </c>
      <c r="AI1916" t="s">
        <v>2538</v>
      </c>
      <c r="AJ1916" t="s">
        <v>2514</v>
      </c>
      <c r="AK1916" t="s">
        <v>77</v>
      </c>
      <c r="AL1916" t="s">
        <v>22</v>
      </c>
      <c r="AM1916" t="s">
        <v>10</v>
      </c>
      <c r="AN1916" t="s">
        <v>717</v>
      </c>
    </row>
    <row r="1917" spans="1:40" hidden="1">
      <c r="A1917">
        <v>1916</v>
      </c>
      <c r="B1917">
        <v>40</v>
      </c>
      <c r="C1917" s="58">
        <v>45107</v>
      </c>
      <c r="D1917" t="s">
        <v>7</v>
      </c>
      <c r="E1917" t="s">
        <v>4409</v>
      </c>
      <c r="F1917">
        <v>1</v>
      </c>
      <c r="G1917">
        <v>1</v>
      </c>
      <c r="H1917">
        <v>13</v>
      </c>
      <c r="I1917" t="s">
        <v>1368</v>
      </c>
      <c r="J1917">
        <v>77.55</v>
      </c>
      <c r="K1917" t="s">
        <v>9</v>
      </c>
      <c r="L1917">
        <v>8739885</v>
      </c>
      <c r="M1917">
        <v>0</v>
      </c>
      <c r="N1917">
        <v>8739885</v>
      </c>
      <c r="O1917">
        <v>112700</v>
      </c>
      <c r="P1917">
        <v>0</v>
      </c>
      <c r="Q1917">
        <v>8739885</v>
      </c>
      <c r="R1917">
        <v>112700</v>
      </c>
      <c r="S1917" t="s">
        <v>130</v>
      </c>
      <c r="T1917" t="s">
        <v>8002</v>
      </c>
      <c r="U1917">
        <v>178365</v>
      </c>
      <c r="V1917" t="s">
        <v>717</v>
      </c>
      <c r="W1917">
        <v>45104</v>
      </c>
      <c r="X1917" t="s">
        <v>8444</v>
      </c>
      <c r="Y1917" t="s">
        <v>1368</v>
      </c>
      <c r="Z1917" t="s">
        <v>17</v>
      </c>
      <c r="AA1917" t="s">
        <v>5617</v>
      </c>
      <c r="AB1917" t="s">
        <v>2509</v>
      </c>
      <c r="AC1917" t="s">
        <v>717</v>
      </c>
      <c r="AD1917" t="s">
        <v>717</v>
      </c>
      <c r="AE1917" t="s">
        <v>7781</v>
      </c>
      <c r="AF1917" t="s">
        <v>7782</v>
      </c>
      <c r="AG1917" t="s">
        <v>7783</v>
      </c>
      <c r="AH1917" t="s">
        <v>2615</v>
      </c>
      <c r="AI1917" t="s">
        <v>2600</v>
      </c>
      <c r="AJ1917" t="s">
        <v>3921</v>
      </c>
      <c r="AK1917" t="s">
        <v>77</v>
      </c>
      <c r="AL1917" t="s">
        <v>717</v>
      </c>
      <c r="AM1917" t="s">
        <v>10</v>
      </c>
      <c r="AN1917" t="s">
        <v>717</v>
      </c>
    </row>
    <row r="1918" spans="1:40" hidden="1">
      <c r="A1918">
        <v>1917</v>
      </c>
      <c r="B1918">
        <v>41</v>
      </c>
      <c r="C1918" s="58">
        <v>45107</v>
      </c>
      <c r="D1918" t="s">
        <v>7</v>
      </c>
      <c r="E1918" t="s">
        <v>4409</v>
      </c>
      <c r="F1918">
        <v>4</v>
      </c>
      <c r="G1918">
        <v>1</v>
      </c>
      <c r="H1918">
        <v>16</v>
      </c>
      <c r="I1918" t="s">
        <v>1368</v>
      </c>
      <c r="J1918">
        <v>75.98</v>
      </c>
      <c r="K1918" t="s">
        <v>9</v>
      </c>
      <c r="L1918">
        <v>8737700</v>
      </c>
      <c r="M1918">
        <v>0</v>
      </c>
      <c r="N1918">
        <v>8737700</v>
      </c>
      <c r="O1918">
        <v>115000</v>
      </c>
      <c r="P1918">
        <v>0</v>
      </c>
      <c r="Q1918">
        <v>8737700</v>
      </c>
      <c r="R1918">
        <v>115000</v>
      </c>
      <c r="S1918" t="s">
        <v>130</v>
      </c>
      <c r="T1918" t="s">
        <v>717</v>
      </c>
      <c r="U1918" t="s">
        <v>717</v>
      </c>
      <c r="V1918" t="s">
        <v>717</v>
      </c>
      <c r="W1918">
        <v>45105</v>
      </c>
      <c r="X1918" t="s">
        <v>8445</v>
      </c>
      <c r="Y1918" t="s">
        <v>1368</v>
      </c>
      <c r="Z1918" t="s">
        <v>17</v>
      </c>
      <c r="AA1918" t="s">
        <v>5617</v>
      </c>
      <c r="AB1918" t="s">
        <v>2509</v>
      </c>
      <c r="AC1918" t="s">
        <v>717</v>
      </c>
      <c r="AD1918" t="s">
        <v>717</v>
      </c>
      <c r="AE1918" t="s">
        <v>8446</v>
      </c>
      <c r="AF1918" t="s">
        <v>8447</v>
      </c>
      <c r="AG1918" t="s">
        <v>8448</v>
      </c>
      <c r="AH1918" t="s">
        <v>2191</v>
      </c>
      <c r="AI1918" t="s">
        <v>2552</v>
      </c>
      <c r="AJ1918" t="s">
        <v>2514</v>
      </c>
      <c r="AK1918" t="s">
        <v>8</v>
      </c>
      <c r="AL1918" t="s">
        <v>717</v>
      </c>
      <c r="AM1918" t="s">
        <v>10</v>
      </c>
      <c r="AN1918" t="s">
        <v>717</v>
      </c>
    </row>
    <row r="1919" spans="1:40" hidden="1">
      <c r="A1919">
        <v>1918</v>
      </c>
      <c r="B1919">
        <v>42</v>
      </c>
      <c r="C1919" s="58">
        <v>45107</v>
      </c>
      <c r="D1919" t="s">
        <v>7</v>
      </c>
      <c r="E1919" t="s">
        <v>2515</v>
      </c>
      <c r="F1919">
        <v>6</v>
      </c>
      <c r="G1919">
        <v>14</v>
      </c>
      <c r="H1919">
        <v>102</v>
      </c>
      <c r="I1919">
        <v>2</v>
      </c>
      <c r="J1919">
        <v>59.87</v>
      </c>
      <c r="K1919" t="s">
        <v>15</v>
      </c>
      <c r="L1919">
        <v>5287369.96</v>
      </c>
      <c r="M1919">
        <v>0</v>
      </c>
      <c r="N1919">
        <v>5287369.96</v>
      </c>
      <c r="O1919">
        <v>88314.180056789715</v>
      </c>
      <c r="P1919">
        <v>239480.00000000093</v>
      </c>
      <c r="Q1919">
        <v>5047889.959999999</v>
      </c>
      <c r="R1919">
        <v>84314.180056789701</v>
      </c>
      <c r="S1919" t="s">
        <v>65</v>
      </c>
      <c r="T1919" t="s">
        <v>5443</v>
      </c>
      <c r="U1919">
        <v>239480</v>
      </c>
      <c r="V1919" t="s">
        <v>6488</v>
      </c>
      <c r="W1919">
        <v>45105</v>
      </c>
      <c r="X1919" t="s">
        <v>8449</v>
      </c>
      <c r="Y1919" t="s">
        <v>6</v>
      </c>
      <c r="Z1919" t="s">
        <v>17</v>
      </c>
      <c r="AA1919" t="s">
        <v>6637</v>
      </c>
      <c r="AB1919" t="s">
        <v>2509</v>
      </c>
      <c r="AC1919" t="s">
        <v>2571</v>
      </c>
      <c r="AD1919" t="s">
        <v>717</v>
      </c>
      <c r="AE1919" t="s">
        <v>8450</v>
      </c>
      <c r="AF1919" t="s">
        <v>8451</v>
      </c>
      <c r="AG1919" t="s">
        <v>8452</v>
      </c>
      <c r="AH1919" t="s">
        <v>2191</v>
      </c>
      <c r="AI1919" t="s">
        <v>2552</v>
      </c>
      <c r="AJ1919" t="s">
        <v>2514</v>
      </c>
      <c r="AK1919" t="s">
        <v>8</v>
      </c>
      <c r="AL1919" t="s">
        <v>22</v>
      </c>
      <c r="AM1919" t="s">
        <v>10</v>
      </c>
      <c r="AN1919" t="s">
        <v>717</v>
      </c>
    </row>
    <row r="1920" spans="1:40" hidden="1">
      <c r="A1920">
        <v>1919</v>
      </c>
      <c r="B1920">
        <v>43</v>
      </c>
      <c r="C1920" s="58">
        <v>45107</v>
      </c>
      <c r="D1920" t="s">
        <v>7</v>
      </c>
      <c r="E1920" t="s">
        <v>4409</v>
      </c>
      <c r="F1920">
        <v>3</v>
      </c>
      <c r="G1920">
        <v>1</v>
      </c>
      <c r="H1920">
        <v>15</v>
      </c>
      <c r="I1920" t="s">
        <v>1368</v>
      </c>
      <c r="J1920">
        <v>91.9</v>
      </c>
      <c r="K1920" t="s">
        <v>9</v>
      </c>
      <c r="L1920">
        <v>10568500</v>
      </c>
      <c r="M1920">
        <v>0</v>
      </c>
      <c r="N1920">
        <v>10568500</v>
      </c>
      <c r="O1920">
        <v>115000</v>
      </c>
      <c r="P1920">
        <v>0</v>
      </c>
      <c r="Q1920">
        <v>10568500</v>
      </c>
      <c r="R1920">
        <v>115000</v>
      </c>
      <c r="S1920" t="s">
        <v>130</v>
      </c>
      <c r="T1920" t="s">
        <v>717</v>
      </c>
      <c r="U1920" t="s">
        <v>717</v>
      </c>
      <c r="V1920" t="s">
        <v>717</v>
      </c>
      <c r="W1920">
        <v>45106</v>
      </c>
      <c r="X1920" t="s">
        <v>8453</v>
      </c>
      <c r="Y1920" t="s">
        <v>1368</v>
      </c>
      <c r="Z1920" t="s">
        <v>17</v>
      </c>
      <c r="AA1920" t="s">
        <v>5617</v>
      </c>
      <c r="AB1920" t="s">
        <v>2509</v>
      </c>
      <c r="AC1920" t="s">
        <v>717</v>
      </c>
      <c r="AD1920" t="s">
        <v>717</v>
      </c>
      <c r="AE1920" t="s">
        <v>1517</v>
      </c>
      <c r="AF1920" t="s">
        <v>8454</v>
      </c>
      <c r="AG1920" t="s">
        <v>8455</v>
      </c>
      <c r="AH1920" t="s">
        <v>2615</v>
      </c>
      <c r="AI1920" t="s">
        <v>2552</v>
      </c>
      <c r="AJ1920" t="s">
        <v>2825</v>
      </c>
      <c r="AK1920" t="s">
        <v>1233</v>
      </c>
      <c r="AL1920" t="s">
        <v>717</v>
      </c>
      <c r="AM1920" t="s">
        <v>10</v>
      </c>
      <c r="AN1920" t="s">
        <v>717</v>
      </c>
    </row>
    <row r="1921" spans="1:40" hidden="1">
      <c r="A1921">
        <v>1920</v>
      </c>
      <c r="B1921">
        <v>1</v>
      </c>
      <c r="C1921" s="58">
        <v>45108</v>
      </c>
      <c r="D1921" t="s">
        <v>27</v>
      </c>
      <c r="E1921" t="s">
        <v>5079</v>
      </c>
      <c r="F1921">
        <v>2</v>
      </c>
      <c r="G1921">
        <v>1</v>
      </c>
      <c r="H1921">
        <v>17</v>
      </c>
      <c r="I1921" t="s">
        <v>1368</v>
      </c>
      <c r="J1921">
        <v>101.7</v>
      </c>
      <c r="K1921" t="s">
        <v>9</v>
      </c>
      <c r="L1921">
        <v>12712500</v>
      </c>
      <c r="M1921">
        <v>0</v>
      </c>
      <c r="N1921">
        <v>12712500</v>
      </c>
      <c r="O1921">
        <v>125000</v>
      </c>
      <c r="P1921">
        <v>0</v>
      </c>
      <c r="Q1921">
        <v>12712500</v>
      </c>
      <c r="R1921">
        <v>125000</v>
      </c>
      <c r="S1921" t="s">
        <v>2507</v>
      </c>
      <c r="T1921" t="s">
        <v>717</v>
      </c>
      <c r="U1921" t="s">
        <v>717</v>
      </c>
      <c r="V1921" t="s">
        <v>717</v>
      </c>
      <c r="W1921">
        <v>45108</v>
      </c>
      <c r="X1921" t="s">
        <v>8456</v>
      </c>
      <c r="Y1921" t="s">
        <v>1368</v>
      </c>
      <c r="Z1921" t="s">
        <v>17</v>
      </c>
      <c r="AA1921" t="s">
        <v>5617</v>
      </c>
      <c r="AB1921" t="s">
        <v>326</v>
      </c>
      <c r="AC1921" t="s">
        <v>717</v>
      </c>
      <c r="AD1921" t="s">
        <v>717</v>
      </c>
      <c r="AE1921" t="s">
        <v>8457</v>
      </c>
      <c r="AF1921" t="s">
        <v>8458</v>
      </c>
      <c r="AG1921" t="s">
        <v>8459</v>
      </c>
      <c r="AH1921" t="s">
        <v>2615</v>
      </c>
      <c r="AI1921" t="s">
        <v>2552</v>
      </c>
      <c r="AJ1921" t="s">
        <v>2569</v>
      </c>
      <c r="AK1921" t="s">
        <v>8</v>
      </c>
      <c r="AL1921" t="s">
        <v>717</v>
      </c>
      <c r="AM1921" t="s">
        <v>10</v>
      </c>
      <c r="AN1921" t="s">
        <v>717</v>
      </c>
    </row>
    <row r="1922" spans="1:40" hidden="1">
      <c r="A1922">
        <v>1921</v>
      </c>
      <c r="B1922">
        <v>2</v>
      </c>
      <c r="C1922" s="58">
        <v>45111</v>
      </c>
      <c r="D1922" t="s">
        <v>7</v>
      </c>
      <c r="E1922" t="s">
        <v>2506</v>
      </c>
      <c r="F1922">
        <v>6</v>
      </c>
      <c r="G1922">
        <v>2</v>
      </c>
      <c r="H1922">
        <v>126</v>
      </c>
      <c r="I1922">
        <v>1</v>
      </c>
      <c r="J1922">
        <v>36.659999999999997</v>
      </c>
      <c r="K1922" t="s">
        <v>25</v>
      </c>
      <c r="L1922">
        <v>3925627.76</v>
      </c>
      <c r="M1922">
        <v>0</v>
      </c>
      <c r="N1922">
        <v>3925627.76</v>
      </c>
      <c r="O1922">
        <v>107082.04473540644</v>
      </c>
      <c r="P1922">
        <v>549900</v>
      </c>
      <c r="Q1922">
        <v>3375727.76</v>
      </c>
      <c r="R1922">
        <v>92082.044735406438</v>
      </c>
      <c r="S1922" t="s">
        <v>130</v>
      </c>
      <c r="T1922" t="s">
        <v>8002</v>
      </c>
      <c r="U1922">
        <v>68892.399999999994</v>
      </c>
      <c r="V1922" t="s">
        <v>717</v>
      </c>
      <c r="W1922">
        <v>45104</v>
      </c>
      <c r="X1922" t="s">
        <v>8460</v>
      </c>
      <c r="Y1922" t="s">
        <v>6</v>
      </c>
      <c r="Z1922" t="s">
        <v>17</v>
      </c>
      <c r="AA1922" t="s">
        <v>5617</v>
      </c>
      <c r="AB1922" t="s">
        <v>2509</v>
      </c>
      <c r="AC1922" t="s">
        <v>717</v>
      </c>
      <c r="AD1922" t="s">
        <v>717</v>
      </c>
      <c r="AE1922" t="s">
        <v>8461</v>
      </c>
      <c r="AF1922" t="s">
        <v>8462</v>
      </c>
      <c r="AG1922" t="s">
        <v>5340</v>
      </c>
      <c r="AH1922" t="s">
        <v>2191</v>
      </c>
      <c r="AI1922" t="s">
        <v>2600</v>
      </c>
      <c r="AJ1922" t="s">
        <v>3921</v>
      </c>
      <c r="AK1922" t="s">
        <v>77</v>
      </c>
      <c r="AL1922" t="s">
        <v>717</v>
      </c>
      <c r="AM1922" t="s">
        <v>10</v>
      </c>
      <c r="AN1922" t="s">
        <v>717</v>
      </c>
    </row>
    <row r="1923" spans="1:40" hidden="1">
      <c r="A1923">
        <v>1922</v>
      </c>
      <c r="B1923">
        <v>3</v>
      </c>
      <c r="C1923" s="58">
        <v>45112</v>
      </c>
      <c r="D1923" t="s">
        <v>7</v>
      </c>
      <c r="E1923" t="s">
        <v>2515</v>
      </c>
      <c r="F1923">
        <v>8</v>
      </c>
      <c r="G1923">
        <v>14</v>
      </c>
      <c r="H1923">
        <v>104</v>
      </c>
      <c r="I1923">
        <v>0</v>
      </c>
      <c r="J1923">
        <v>21.73</v>
      </c>
      <c r="K1923" t="s">
        <v>25</v>
      </c>
      <c r="L1923">
        <v>2567075.0699999998</v>
      </c>
      <c r="M1923">
        <v>0</v>
      </c>
      <c r="N1923">
        <v>2567075.0699999998</v>
      </c>
      <c r="O1923">
        <v>118135.06994937873</v>
      </c>
      <c r="P1923">
        <v>325950</v>
      </c>
      <c r="Q1923">
        <v>2241125.0699999998</v>
      </c>
      <c r="R1923">
        <v>103135.06994937873</v>
      </c>
      <c r="S1923" t="s">
        <v>130</v>
      </c>
      <c r="T1923" t="s">
        <v>717</v>
      </c>
      <c r="U1923" t="s">
        <v>717</v>
      </c>
      <c r="V1923" t="s">
        <v>717</v>
      </c>
      <c r="W1923">
        <v>45109</v>
      </c>
      <c r="X1923" t="s">
        <v>8463</v>
      </c>
      <c r="Y1923" t="s">
        <v>6</v>
      </c>
      <c r="Z1923" t="s">
        <v>17</v>
      </c>
      <c r="AA1923" t="s">
        <v>5617</v>
      </c>
      <c r="AB1923" t="s">
        <v>2509</v>
      </c>
      <c r="AC1923" t="s">
        <v>717</v>
      </c>
      <c r="AD1923" t="s">
        <v>717</v>
      </c>
      <c r="AE1923" t="s">
        <v>8464</v>
      </c>
      <c r="AF1923" t="s">
        <v>8465</v>
      </c>
      <c r="AG1923" t="s">
        <v>8466</v>
      </c>
      <c r="AH1923" t="s">
        <v>2615</v>
      </c>
      <c r="AI1923" t="s">
        <v>2552</v>
      </c>
      <c r="AJ1923" t="s">
        <v>2940</v>
      </c>
      <c r="AK1923" t="s">
        <v>1233</v>
      </c>
      <c r="AL1923" t="s">
        <v>717</v>
      </c>
      <c r="AM1923" t="s">
        <v>10</v>
      </c>
      <c r="AN1923" t="s">
        <v>717</v>
      </c>
    </row>
    <row r="1924" spans="1:40" hidden="1">
      <c r="A1924">
        <v>1923</v>
      </c>
      <c r="B1924">
        <v>4</v>
      </c>
      <c r="C1924" s="58">
        <v>45113</v>
      </c>
      <c r="D1924" t="s">
        <v>7</v>
      </c>
      <c r="E1924" t="s">
        <v>4409</v>
      </c>
      <c r="F1924">
        <v>9</v>
      </c>
      <c r="G1924">
        <v>12</v>
      </c>
      <c r="H1924">
        <v>500</v>
      </c>
      <c r="I1924">
        <v>1</v>
      </c>
      <c r="J1924">
        <v>44.37</v>
      </c>
      <c r="K1924" t="s">
        <v>15</v>
      </c>
      <c r="L1924">
        <v>4225112.4000000004</v>
      </c>
      <c r="M1924">
        <v>0</v>
      </c>
      <c r="N1924">
        <v>4225112.4000000004</v>
      </c>
      <c r="O1924">
        <v>95224.530087897248</v>
      </c>
      <c r="P1924">
        <v>177480</v>
      </c>
      <c r="Q1924">
        <v>4047632.4</v>
      </c>
      <c r="R1924">
        <v>91224.530087897248</v>
      </c>
      <c r="S1924" t="s">
        <v>65</v>
      </c>
      <c r="T1924" t="s">
        <v>717</v>
      </c>
      <c r="U1924" t="s">
        <v>717</v>
      </c>
      <c r="V1924" t="s">
        <v>4131</v>
      </c>
      <c r="W1924">
        <v>45109</v>
      </c>
      <c r="X1924" t="s">
        <v>8467</v>
      </c>
      <c r="Y1924" t="s">
        <v>6</v>
      </c>
      <c r="Z1924" t="s">
        <v>17</v>
      </c>
      <c r="AA1924" t="s">
        <v>6637</v>
      </c>
      <c r="AB1924" t="s">
        <v>2509</v>
      </c>
      <c r="AC1924" t="s">
        <v>2571</v>
      </c>
      <c r="AD1924" t="s">
        <v>717</v>
      </c>
      <c r="AE1924" t="s">
        <v>8468</v>
      </c>
      <c r="AF1924" t="s">
        <v>8469</v>
      </c>
      <c r="AG1924" t="s">
        <v>8470</v>
      </c>
      <c r="AH1924" t="s">
        <v>2616</v>
      </c>
      <c r="AI1924" t="s">
        <v>2552</v>
      </c>
      <c r="AJ1924" t="s">
        <v>2895</v>
      </c>
      <c r="AK1924" t="s">
        <v>1233</v>
      </c>
      <c r="AL1924" t="s">
        <v>16</v>
      </c>
      <c r="AM1924" t="s">
        <v>10</v>
      </c>
      <c r="AN1924" t="s">
        <v>717</v>
      </c>
    </row>
    <row r="1925" spans="1:40" hidden="1">
      <c r="A1925">
        <v>1924</v>
      </c>
      <c r="B1925">
        <v>5</v>
      </c>
      <c r="C1925" s="58">
        <v>45113</v>
      </c>
      <c r="D1925" t="s">
        <v>7</v>
      </c>
      <c r="E1925" t="s">
        <v>2506</v>
      </c>
      <c r="F1925">
        <v>8</v>
      </c>
      <c r="G1925">
        <v>10</v>
      </c>
      <c r="H1925">
        <v>192</v>
      </c>
      <c r="I1925">
        <v>1</v>
      </c>
      <c r="J1925">
        <v>33.79</v>
      </c>
      <c r="K1925" t="s">
        <v>15</v>
      </c>
      <c r="L1925">
        <v>3469481.17</v>
      </c>
      <c r="M1925">
        <v>0</v>
      </c>
      <c r="N1925">
        <v>3469481.17</v>
      </c>
      <c r="O1925">
        <v>102677.7499260136</v>
      </c>
      <c r="P1925">
        <v>135160.00000000047</v>
      </c>
      <c r="Q1925">
        <v>3334321.1699999995</v>
      </c>
      <c r="R1925">
        <v>98677.749926013596</v>
      </c>
      <c r="S1925" t="s">
        <v>65</v>
      </c>
      <c r="T1925" t="s">
        <v>717</v>
      </c>
      <c r="U1925" t="s">
        <v>717</v>
      </c>
      <c r="V1925" t="s">
        <v>4131</v>
      </c>
      <c r="W1925">
        <v>45110</v>
      </c>
      <c r="X1925" t="s">
        <v>8471</v>
      </c>
      <c r="Y1925" t="s">
        <v>6</v>
      </c>
      <c r="Z1925" t="s">
        <v>17</v>
      </c>
      <c r="AA1925" t="s">
        <v>6637</v>
      </c>
      <c r="AB1925" t="s">
        <v>2509</v>
      </c>
      <c r="AC1925" t="s">
        <v>2571</v>
      </c>
      <c r="AD1925" t="s">
        <v>717</v>
      </c>
      <c r="AE1925" t="s">
        <v>8472</v>
      </c>
      <c r="AF1925" t="s">
        <v>8473</v>
      </c>
      <c r="AG1925" t="s">
        <v>8474</v>
      </c>
      <c r="AH1925" t="s">
        <v>2191</v>
      </c>
      <c r="AI1925" t="s">
        <v>2656</v>
      </c>
      <c r="AJ1925" t="s">
        <v>2514</v>
      </c>
      <c r="AK1925" t="s">
        <v>1233</v>
      </c>
      <c r="AL1925" t="s">
        <v>22</v>
      </c>
      <c r="AM1925" t="s">
        <v>10</v>
      </c>
      <c r="AN1925" t="s">
        <v>717</v>
      </c>
    </row>
    <row r="1926" spans="1:40" hidden="1">
      <c r="A1926">
        <v>1925</v>
      </c>
      <c r="B1926">
        <v>6</v>
      </c>
      <c r="C1926" s="58">
        <v>45114</v>
      </c>
      <c r="D1926" t="s">
        <v>7</v>
      </c>
      <c r="E1926" t="s">
        <v>2506</v>
      </c>
      <c r="F1926">
        <v>7</v>
      </c>
      <c r="G1926">
        <v>3</v>
      </c>
      <c r="H1926">
        <v>135</v>
      </c>
      <c r="I1926">
        <v>3</v>
      </c>
      <c r="J1926">
        <v>78.73</v>
      </c>
      <c r="K1926" t="s">
        <v>9</v>
      </c>
      <c r="L1926">
        <v>5689424.2199999997</v>
      </c>
      <c r="M1926">
        <v>0</v>
      </c>
      <c r="N1926">
        <v>5689424.2199999997</v>
      </c>
      <c r="O1926">
        <v>72265.009780261651</v>
      </c>
      <c r="P1926">
        <v>0</v>
      </c>
      <c r="Q1926">
        <v>5689424.2199999997</v>
      </c>
      <c r="R1926">
        <v>72265.009780261651</v>
      </c>
      <c r="S1926" t="s">
        <v>65</v>
      </c>
      <c r="T1926" t="s">
        <v>5768</v>
      </c>
      <c r="U1926">
        <v>363154.74</v>
      </c>
      <c r="V1926" t="s">
        <v>1970</v>
      </c>
      <c r="W1926">
        <v>45061</v>
      </c>
      <c r="X1926" t="s">
        <v>8475</v>
      </c>
      <c r="Y1926" t="s">
        <v>6</v>
      </c>
      <c r="Z1926" t="s">
        <v>11</v>
      </c>
      <c r="AA1926" t="s">
        <v>717</v>
      </c>
      <c r="AB1926" t="s">
        <v>2509</v>
      </c>
      <c r="AC1926" t="s">
        <v>5105</v>
      </c>
      <c r="AD1926" t="s">
        <v>717</v>
      </c>
      <c r="AE1926" t="s">
        <v>8476</v>
      </c>
      <c r="AF1926" t="s">
        <v>8477</v>
      </c>
      <c r="AG1926" t="s">
        <v>8478</v>
      </c>
      <c r="AH1926" t="s">
        <v>2615</v>
      </c>
      <c r="AI1926" t="s">
        <v>2688</v>
      </c>
      <c r="AJ1926" t="s">
        <v>3289</v>
      </c>
      <c r="AK1926" t="s">
        <v>77</v>
      </c>
      <c r="AL1926" t="s">
        <v>16</v>
      </c>
      <c r="AM1926" t="s">
        <v>10</v>
      </c>
      <c r="AN1926" t="s">
        <v>717</v>
      </c>
    </row>
    <row r="1927" spans="1:40" hidden="1">
      <c r="A1927">
        <v>1926</v>
      </c>
      <c r="B1927">
        <v>7</v>
      </c>
      <c r="C1927" s="58">
        <v>45117</v>
      </c>
      <c r="D1927" t="s">
        <v>7</v>
      </c>
      <c r="E1927" t="s">
        <v>2581</v>
      </c>
      <c r="F1927">
        <v>4</v>
      </c>
      <c r="G1927">
        <v>22</v>
      </c>
      <c r="H1927">
        <v>384</v>
      </c>
      <c r="I1927">
        <v>2</v>
      </c>
      <c r="J1927">
        <v>58.55</v>
      </c>
      <c r="K1927" t="s">
        <v>15</v>
      </c>
      <c r="L1927">
        <v>5402834.7400000002</v>
      </c>
      <c r="M1927">
        <v>0</v>
      </c>
      <c r="N1927">
        <v>5402834.7400000002</v>
      </c>
      <c r="O1927">
        <v>92277.279931682337</v>
      </c>
      <c r="P1927">
        <v>234200</v>
      </c>
      <c r="Q1927">
        <v>5168634.74</v>
      </c>
      <c r="R1927">
        <v>88277.279931682337</v>
      </c>
      <c r="S1927" t="s">
        <v>65</v>
      </c>
      <c r="T1927" t="s">
        <v>717</v>
      </c>
      <c r="U1927" t="s">
        <v>717</v>
      </c>
      <c r="V1927" t="s">
        <v>4131</v>
      </c>
      <c r="W1927">
        <v>45105</v>
      </c>
      <c r="X1927" t="s">
        <v>8479</v>
      </c>
      <c r="Y1927" t="s">
        <v>6</v>
      </c>
      <c r="Z1927" t="s">
        <v>17</v>
      </c>
      <c r="AA1927" t="s">
        <v>6637</v>
      </c>
      <c r="AB1927" t="s">
        <v>2509</v>
      </c>
      <c r="AC1927" t="s">
        <v>2571</v>
      </c>
      <c r="AD1927" t="s">
        <v>717</v>
      </c>
      <c r="AE1927" t="s">
        <v>8480</v>
      </c>
      <c r="AF1927" t="s">
        <v>8481</v>
      </c>
      <c r="AG1927" t="s">
        <v>8482</v>
      </c>
      <c r="AH1927" t="s">
        <v>2191</v>
      </c>
      <c r="AI1927" t="s">
        <v>2538</v>
      </c>
      <c r="AJ1927" t="s">
        <v>2514</v>
      </c>
      <c r="AK1927" t="s">
        <v>77</v>
      </c>
      <c r="AL1927" t="s">
        <v>22</v>
      </c>
      <c r="AM1927" t="s">
        <v>10</v>
      </c>
      <c r="AN1927" t="s">
        <v>717</v>
      </c>
    </row>
    <row r="1928" spans="1:40" hidden="1">
      <c r="A1928">
        <v>1927</v>
      </c>
      <c r="B1928">
        <v>8</v>
      </c>
      <c r="C1928" s="58">
        <v>45118</v>
      </c>
      <c r="D1928" t="s">
        <v>7</v>
      </c>
      <c r="E1928" t="s">
        <v>2515</v>
      </c>
      <c r="F1928">
        <v>6</v>
      </c>
      <c r="G1928">
        <v>7</v>
      </c>
      <c r="H1928">
        <v>46</v>
      </c>
      <c r="I1928">
        <v>2</v>
      </c>
      <c r="J1928">
        <v>59.87</v>
      </c>
      <c r="K1928" t="s">
        <v>15</v>
      </c>
      <c r="L1928">
        <v>5445990.7300000004</v>
      </c>
      <c r="M1928">
        <v>0</v>
      </c>
      <c r="N1928">
        <v>5445990.7300000004</v>
      </c>
      <c r="O1928">
        <v>90963.599966594295</v>
      </c>
      <c r="P1928">
        <v>239480</v>
      </c>
      <c r="Q1928">
        <v>5206510.7300000004</v>
      </c>
      <c r="R1928">
        <v>86963.599966594295</v>
      </c>
      <c r="S1928" t="s">
        <v>65</v>
      </c>
      <c r="T1928" t="s">
        <v>5443</v>
      </c>
      <c r="U1928">
        <v>239480</v>
      </c>
      <c r="V1928" t="s">
        <v>6312</v>
      </c>
      <c r="W1928">
        <v>45110</v>
      </c>
      <c r="X1928" t="s">
        <v>8483</v>
      </c>
      <c r="Y1928" t="s">
        <v>6</v>
      </c>
      <c r="Z1928" t="s">
        <v>17</v>
      </c>
      <c r="AA1928" t="s">
        <v>6637</v>
      </c>
      <c r="AB1928" t="s">
        <v>2509</v>
      </c>
      <c r="AC1928" t="s">
        <v>2571</v>
      </c>
      <c r="AD1928" t="s">
        <v>717</v>
      </c>
      <c r="AE1928" t="s">
        <v>8484</v>
      </c>
      <c r="AF1928" t="s">
        <v>3016</v>
      </c>
      <c r="AG1928" t="s">
        <v>8485</v>
      </c>
      <c r="AH1928" t="s">
        <v>2191</v>
      </c>
      <c r="AI1928" t="s">
        <v>2600</v>
      </c>
      <c r="AJ1928" t="s">
        <v>2514</v>
      </c>
      <c r="AK1928" t="s">
        <v>8</v>
      </c>
      <c r="AL1928" t="s">
        <v>22</v>
      </c>
      <c r="AM1928" t="s">
        <v>10</v>
      </c>
      <c r="AN1928" t="s">
        <v>717</v>
      </c>
    </row>
    <row r="1929" spans="1:40" hidden="1">
      <c r="A1929">
        <v>1928</v>
      </c>
      <c r="B1929">
        <v>9</v>
      </c>
      <c r="C1929" s="58">
        <v>45118</v>
      </c>
      <c r="D1929" t="s">
        <v>7</v>
      </c>
      <c r="E1929" t="s">
        <v>4409</v>
      </c>
      <c r="F1929">
        <v>7</v>
      </c>
      <c r="G1929">
        <v>15</v>
      </c>
      <c r="H1929">
        <v>525</v>
      </c>
      <c r="I1929">
        <v>2</v>
      </c>
      <c r="J1929">
        <v>67.489999999999995</v>
      </c>
      <c r="K1929" t="s">
        <v>15</v>
      </c>
      <c r="L1929">
        <v>6027513</v>
      </c>
      <c r="M1929">
        <v>0</v>
      </c>
      <c r="N1929">
        <v>6027513</v>
      </c>
      <c r="O1929">
        <v>89309.719958512374</v>
      </c>
      <c r="P1929">
        <v>269960</v>
      </c>
      <c r="Q1929">
        <v>5757553</v>
      </c>
      <c r="R1929">
        <v>85309.719958512374</v>
      </c>
      <c r="S1929" t="s">
        <v>65</v>
      </c>
      <c r="T1929" t="s">
        <v>5443</v>
      </c>
      <c r="U1929">
        <v>269960</v>
      </c>
      <c r="V1929" t="s">
        <v>4131</v>
      </c>
      <c r="W1929">
        <v>45110</v>
      </c>
      <c r="X1929" t="s">
        <v>8486</v>
      </c>
      <c r="Y1929" t="s">
        <v>6</v>
      </c>
      <c r="Z1929" t="s">
        <v>17</v>
      </c>
      <c r="AA1929" t="s">
        <v>6637</v>
      </c>
      <c r="AB1929" t="s">
        <v>2509</v>
      </c>
      <c r="AC1929" t="s">
        <v>2571</v>
      </c>
      <c r="AD1929" t="s">
        <v>717</v>
      </c>
      <c r="AE1929" t="s">
        <v>8487</v>
      </c>
      <c r="AF1929" t="s">
        <v>8488</v>
      </c>
      <c r="AG1929" t="s">
        <v>8489</v>
      </c>
      <c r="AH1929" t="s">
        <v>2616</v>
      </c>
      <c r="AI1929" t="s">
        <v>2552</v>
      </c>
      <c r="AJ1929" t="s">
        <v>2895</v>
      </c>
      <c r="AK1929" t="s">
        <v>77</v>
      </c>
      <c r="AL1929" t="s">
        <v>16</v>
      </c>
      <c r="AM1929" t="s">
        <v>10</v>
      </c>
      <c r="AN1929" t="s">
        <v>717</v>
      </c>
    </row>
    <row r="1930" spans="1:40" hidden="1">
      <c r="A1930">
        <v>1929</v>
      </c>
      <c r="B1930">
        <v>10</v>
      </c>
      <c r="C1930" s="58">
        <v>45119</v>
      </c>
      <c r="D1930" t="s">
        <v>7</v>
      </c>
      <c r="E1930" t="s">
        <v>4409</v>
      </c>
      <c r="F1930">
        <v>3</v>
      </c>
      <c r="G1930">
        <v>12</v>
      </c>
      <c r="H1930">
        <v>494</v>
      </c>
      <c r="I1930">
        <v>3</v>
      </c>
      <c r="J1930">
        <v>74.28</v>
      </c>
      <c r="K1930" t="s">
        <v>15</v>
      </c>
      <c r="L1930">
        <v>6301794.1200000001</v>
      </c>
      <c r="M1930">
        <v>0</v>
      </c>
      <c r="N1930">
        <v>6301794.1200000001</v>
      </c>
      <c r="O1930">
        <v>84838.36995153474</v>
      </c>
      <c r="P1930">
        <v>297120</v>
      </c>
      <c r="Q1930">
        <v>6004674.1200000001</v>
      </c>
      <c r="R1930">
        <v>80838.36995153474</v>
      </c>
      <c r="S1930" t="s">
        <v>65</v>
      </c>
      <c r="T1930" t="s">
        <v>717</v>
      </c>
      <c r="U1930" t="s">
        <v>717</v>
      </c>
      <c r="V1930" t="s">
        <v>6488</v>
      </c>
      <c r="W1930">
        <v>45113</v>
      </c>
      <c r="X1930" t="s">
        <v>8490</v>
      </c>
      <c r="Y1930" t="s">
        <v>6</v>
      </c>
      <c r="Z1930" t="s">
        <v>17</v>
      </c>
      <c r="AA1930" t="s">
        <v>6637</v>
      </c>
      <c r="AB1930" t="s">
        <v>2509</v>
      </c>
      <c r="AC1930" t="s">
        <v>2571</v>
      </c>
      <c r="AD1930" t="s">
        <v>717</v>
      </c>
      <c r="AE1930" t="s">
        <v>8491</v>
      </c>
      <c r="AF1930" t="s">
        <v>8492</v>
      </c>
      <c r="AG1930" t="s">
        <v>8493</v>
      </c>
      <c r="AH1930" t="s">
        <v>2191</v>
      </c>
      <c r="AI1930" t="s">
        <v>2538</v>
      </c>
      <c r="AJ1930" t="s">
        <v>2514</v>
      </c>
      <c r="AK1930" t="s">
        <v>77</v>
      </c>
      <c r="AL1930" t="s">
        <v>22</v>
      </c>
      <c r="AM1930" t="s">
        <v>10</v>
      </c>
      <c r="AN1930" t="s">
        <v>717</v>
      </c>
    </row>
    <row r="1931" spans="1:40" hidden="1">
      <c r="A1931">
        <v>1930</v>
      </c>
      <c r="B1931">
        <v>11</v>
      </c>
      <c r="C1931" s="58">
        <v>45119</v>
      </c>
      <c r="D1931" t="s">
        <v>7</v>
      </c>
      <c r="E1931" t="s">
        <v>2581</v>
      </c>
      <c r="F1931">
        <v>7</v>
      </c>
      <c r="G1931">
        <v>17</v>
      </c>
      <c r="H1931">
        <v>352</v>
      </c>
      <c r="I1931">
        <v>1</v>
      </c>
      <c r="J1931">
        <v>33.840000000000003</v>
      </c>
      <c r="K1931" t="s">
        <v>15</v>
      </c>
      <c r="L1931">
        <v>3377355.18</v>
      </c>
      <c r="M1931">
        <v>0</v>
      </c>
      <c r="N1931">
        <v>3377355.18</v>
      </c>
      <c r="O1931">
        <v>99803.640070921974</v>
      </c>
      <c r="P1931">
        <v>135360</v>
      </c>
      <c r="Q1931">
        <v>3241995.18</v>
      </c>
      <c r="R1931">
        <v>95803.640070921974</v>
      </c>
      <c r="S1931" t="s">
        <v>65</v>
      </c>
      <c r="T1931" t="s">
        <v>717</v>
      </c>
      <c r="U1931" t="s">
        <v>717</v>
      </c>
      <c r="V1931" t="s">
        <v>4131</v>
      </c>
      <c r="W1931">
        <v>45113</v>
      </c>
      <c r="X1931" t="s">
        <v>8494</v>
      </c>
      <c r="Y1931" t="s">
        <v>6</v>
      </c>
      <c r="Z1931" t="s">
        <v>17</v>
      </c>
      <c r="AA1931" t="s">
        <v>6637</v>
      </c>
      <c r="AB1931" t="s">
        <v>2509</v>
      </c>
      <c r="AC1931" t="s">
        <v>2571</v>
      </c>
      <c r="AD1931" t="s">
        <v>717</v>
      </c>
      <c r="AE1931" t="s">
        <v>8495</v>
      </c>
      <c r="AF1931" t="s">
        <v>8496</v>
      </c>
      <c r="AG1931" t="s">
        <v>8497</v>
      </c>
      <c r="AH1931" t="s">
        <v>2616</v>
      </c>
      <c r="AI1931" t="s">
        <v>2552</v>
      </c>
      <c r="AJ1931" t="s">
        <v>2895</v>
      </c>
      <c r="AK1931" t="s">
        <v>77</v>
      </c>
      <c r="AL1931" t="s">
        <v>22</v>
      </c>
      <c r="AM1931" t="s">
        <v>10</v>
      </c>
      <c r="AN1931" t="s">
        <v>717</v>
      </c>
    </row>
    <row r="1932" spans="1:40" hidden="1">
      <c r="A1932">
        <v>1931</v>
      </c>
      <c r="B1932">
        <v>12</v>
      </c>
      <c r="C1932" s="58">
        <v>45120</v>
      </c>
      <c r="D1932" t="s">
        <v>7</v>
      </c>
      <c r="E1932" t="s">
        <v>2581</v>
      </c>
      <c r="F1932">
        <v>1</v>
      </c>
      <c r="G1932">
        <v>22</v>
      </c>
      <c r="H1932">
        <v>381</v>
      </c>
      <c r="I1932">
        <v>0</v>
      </c>
      <c r="J1932">
        <v>29.35</v>
      </c>
      <c r="K1932" t="s">
        <v>25</v>
      </c>
      <c r="L1932">
        <v>3438740.51</v>
      </c>
      <c r="M1932">
        <v>0</v>
      </c>
      <c r="N1932">
        <v>3438740.51</v>
      </c>
      <c r="O1932">
        <v>117163.22010221463</v>
      </c>
      <c r="P1932">
        <v>440250</v>
      </c>
      <c r="Q1932">
        <v>2998490.51</v>
      </c>
      <c r="R1932">
        <v>102163.22010221463</v>
      </c>
      <c r="S1932" t="s">
        <v>65</v>
      </c>
      <c r="T1932" t="s">
        <v>717</v>
      </c>
      <c r="U1932" t="s">
        <v>717</v>
      </c>
      <c r="V1932" t="s">
        <v>4131</v>
      </c>
      <c r="W1932">
        <v>45118</v>
      </c>
      <c r="X1932" t="s">
        <v>8498</v>
      </c>
      <c r="Y1932" t="s">
        <v>6</v>
      </c>
      <c r="Z1932" t="s">
        <v>17</v>
      </c>
      <c r="AA1932" t="s">
        <v>6637</v>
      </c>
      <c r="AB1932" t="s">
        <v>2509</v>
      </c>
      <c r="AC1932" t="s">
        <v>2571</v>
      </c>
      <c r="AD1932" t="s">
        <v>717</v>
      </c>
      <c r="AE1932" t="s">
        <v>8499</v>
      </c>
      <c r="AF1932" t="s">
        <v>8500</v>
      </c>
      <c r="AG1932" t="s">
        <v>8501</v>
      </c>
      <c r="AH1932" t="s">
        <v>2615</v>
      </c>
      <c r="AI1932" t="s">
        <v>6951</v>
      </c>
      <c r="AJ1932" t="s">
        <v>2895</v>
      </c>
      <c r="AK1932" t="s">
        <v>8</v>
      </c>
      <c r="AL1932" t="s">
        <v>16</v>
      </c>
      <c r="AM1932" t="s">
        <v>10</v>
      </c>
      <c r="AN1932" t="s">
        <v>717</v>
      </c>
    </row>
    <row r="1933" spans="1:40" hidden="1">
      <c r="A1933">
        <v>1932</v>
      </c>
      <c r="B1933">
        <v>13</v>
      </c>
      <c r="C1933" s="58">
        <v>45121</v>
      </c>
      <c r="D1933" t="s">
        <v>7</v>
      </c>
      <c r="E1933" t="s">
        <v>4409</v>
      </c>
      <c r="F1933">
        <v>6</v>
      </c>
      <c r="G1933">
        <v>6</v>
      </c>
      <c r="H1933">
        <v>443</v>
      </c>
      <c r="I1933">
        <v>2</v>
      </c>
      <c r="J1933">
        <v>58.62</v>
      </c>
      <c r="K1933" t="s">
        <v>15</v>
      </c>
      <c r="L1933">
        <v>4733223.1100000003</v>
      </c>
      <c r="M1933">
        <v>15000</v>
      </c>
      <c r="N1933">
        <v>4748223.1100000003</v>
      </c>
      <c r="O1933">
        <v>81000.053053565338</v>
      </c>
      <c r="P1933">
        <v>234480</v>
      </c>
      <c r="Q1933">
        <v>4513743.1100000003</v>
      </c>
      <c r="R1933">
        <v>77000.053053565338</v>
      </c>
      <c r="S1933" t="s">
        <v>65</v>
      </c>
      <c r="T1933" t="s">
        <v>5768</v>
      </c>
      <c r="U1933">
        <v>288111.2622</v>
      </c>
      <c r="V1933" t="s">
        <v>1970</v>
      </c>
      <c r="W1933">
        <v>45090</v>
      </c>
      <c r="X1933" t="s">
        <v>8502</v>
      </c>
      <c r="Y1933" t="s">
        <v>6</v>
      </c>
      <c r="Z1933" t="s">
        <v>11</v>
      </c>
      <c r="AA1933" t="s">
        <v>717</v>
      </c>
      <c r="AB1933" t="s">
        <v>2509</v>
      </c>
      <c r="AC1933" t="s">
        <v>5105</v>
      </c>
      <c r="AD1933" t="s">
        <v>717</v>
      </c>
      <c r="AE1933" t="s">
        <v>8503</v>
      </c>
      <c r="AF1933" t="s">
        <v>8504</v>
      </c>
      <c r="AG1933" t="s">
        <v>8505</v>
      </c>
      <c r="AH1933" t="s">
        <v>2191</v>
      </c>
      <c r="AI1933" t="s">
        <v>2552</v>
      </c>
      <c r="AJ1933" t="s">
        <v>2514</v>
      </c>
      <c r="AK1933" t="s">
        <v>1233</v>
      </c>
      <c r="AL1933" t="s">
        <v>22</v>
      </c>
      <c r="AM1933" t="s">
        <v>10</v>
      </c>
      <c r="AN1933" t="s">
        <v>717</v>
      </c>
    </row>
    <row r="1934" spans="1:40" hidden="1">
      <c r="A1934">
        <v>1933</v>
      </c>
      <c r="B1934">
        <v>14</v>
      </c>
      <c r="C1934" s="58">
        <v>45125</v>
      </c>
      <c r="D1934" t="s">
        <v>27</v>
      </c>
      <c r="E1934" t="s">
        <v>5456</v>
      </c>
      <c r="F1934">
        <v>2</v>
      </c>
      <c r="G1934">
        <v>1</v>
      </c>
      <c r="H1934">
        <v>21</v>
      </c>
      <c r="I1934" t="s">
        <v>1368</v>
      </c>
      <c r="J1934">
        <v>96.4</v>
      </c>
      <c r="K1934" t="s">
        <v>9</v>
      </c>
      <c r="L1934">
        <v>11568000</v>
      </c>
      <c r="M1934">
        <v>0</v>
      </c>
      <c r="N1934">
        <v>11568000</v>
      </c>
      <c r="O1934">
        <v>120000</v>
      </c>
      <c r="P1934">
        <v>0</v>
      </c>
      <c r="Q1934">
        <v>11568000</v>
      </c>
      <c r="R1934">
        <v>120000</v>
      </c>
      <c r="S1934" t="s">
        <v>2507</v>
      </c>
      <c r="T1934" t="s">
        <v>717</v>
      </c>
      <c r="U1934" t="s">
        <v>717</v>
      </c>
      <c r="V1934" t="s">
        <v>717</v>
      </c>
      <c r="W1934">
        <v>45121</v>
      </c>
      <c r="X1934" t="s">
        <v>8506</v>
      </c>
      <c r="Y1934" t="s">
        <v>1368</v>
      </c>
      <c r="Z1934" t="s">
        <v>17</v>
      </c>
      <c r="AA1934" t="s">
        <v>5617</v>
      </c>
      <c r="AB1934" t="s">
        <v>326</v>
      </c>
      <c r="AC1934" t="s">
        <v>717</v>
      </c>
      <c r="AD1934" t="s">
        <v>717</v>
      </c>
      <c r="AE1934" t="s">
        <v>8507</v>
      </c>
      <c r="AF1934" t="s">
        <v>8508</v>
      </c>
      <c r="AG1934" t="s">
        <v>8509</v>
      </c>
      <c r="AH1934" t="s">
        <v>2615</v>
      </c>
      <c r="AI1934" t="s">
        <v>2521</v>
      </c>
      <c r="AJ1934" t="s">
        <v>2825</v>
      </c>
      <c r="AK1934" t="s">
        <v>77</v>
      </c>
      <c r="AL1934" t="s">
        <v>717</v>
      </c>
      <c r="AM1934" t="s">
        <v>10</v>
      </c>
      <c r="AN1934" t="s">
        <v>717</v>
      </c>
    </row>
    <row r="1935" spans="1:40" hidden="1">
      <c r="A1935">
        <v>1934</v>
      </c>
      <c r="B1935">
        <v>15</v>
      </c>
      <c r="C1935" s="58">
        <v>45127</v>
      </c>
      <c r="D1935" t="s">
        <v>7</v>
      </c>
      <c r="E1935" t="s">
        <v>4409</v>
      </c>
      <c r="F1935">
        <v>1</v>
      </c>
      <c r="G1935">
        <v>2</v>
      </c>
      <c r="H1935">
        <v>402</v>
      </c>
      <c r="I1935">
        <v>1</v>
      </c>
      <c r="J1935">
        <v>39.74</v>
      </c>
      <c r="K1935" t="s">
        <v>15</v>
      </c>
      <c r="L1935">
        <v>3610262.82</v>
      </c>
      <c r="M1935">
        <v>15000</v>
      </c>
      <c r="N1935">
        <v>3625262.82</v>
      </c>
      <c r="O1935">
        <v>91224.529944640148</v>
      </c>
      <c r="P1935">
        <v>158960</v>
      </c>
      <c r="Q1935">
        <v>3466302.82</v>
      </c>
      <c r="R1935">
        <v>87224.529944640148</v>
      </c>
      <c r="S1935" t="s">
        <v>65</v>
      </c>
      <c r="T1935" t="s">
        <v>5443</v>
      </c>
      <c r="U1935">
        <v>158960</v>
      </c>
      <c r="V1935" t="s">
        <v>6312</v>
      </c>
      <c r="W1935">
        <v>45107</v>
      </c>
      <c r="X1935" t="s">
        <v>8510</v>
      </c>
      <c r="Y1935" t="s">
        <v>6</v>
      </c>
      <c r="Z1935" t="s">
        <v>17</v>
      </c>
      <c r="AA1935" t="s">
        <v>6637</v>
      </c>
      <c r="AB1935" t="s">
        <v>2509</v>
      </c>
      <c r="AC1935" t="s">
        <v>2571</v>
      </c>
      <c r="AD1935" t="s">
        <v>717</v>
      </c>
      <c r="AE1935" t="s">
        <v>8511</v>
      </c>
      <c r="AF1935" t="s">
        <v>8512</v>
      </c>
      <c r="AG1935" t="s">
        <v>8513</v>
      </c>
      <c r="AH1935" t="s">
        <v>2616</v>
      </c>
      <c r="AI1935" t="s">
        <v>2552</v>
      </c>
      <c r="AJ1935" t="s">
        <v>2895</v>
      </c>
      <c r="AK1935" t="s">
        <v>1233</v>
      </c>
      <c r="AL1935" t="s">
        <v>16</v>
      </c>
      <c r="AM1935" t="s">
        <v>10</v>
      </c>
      <c r="AN1935" t="s">
        <v>717</v>
      </c>
    </row>
    <row r="1936" spans="1:40" hidden="1">
      <c r="A1936">
        <v>1935</v>
      </c>
      <c r="B1936">
        <v>16</v>
      </c>
      <c r="C1936" s="58">
        <v>45127</v>
      </c>
      <c r="D1936" t="s">
        <v>7</v>
      </c>
      <c r="E1936" t="s">
        <v>2515</v>
      </c>
      <c r="F1936">
        <v>1</v>
      </c>
      <c r="G1936">
        <v>10</v>
      </c>
      <c r="H1936">
        <v>65</v>
      </c>
      <c r="I1936">
        <v>1</v>
      </c>
      <c r="J1936">
        <v>33.53</v>
      </c>
      <c r="K1936" t="s">
        <v>15</v>
      </c>
      <c r="L1936">
        <v>3442784.96</v>
      </c>
      <c r="M1936">
        <v>0</v>
      </c>
      <c r="N1936">
        <v>3442784.96</v>
      </c>
      <c r="O1936">
        <v>102677.75007456008</v>
      </c>
      <c r="P1936">
        <v>134119.99999999953</v>
      </c>
      <c r="Q1936">
        <v>3308664.9600000004</v>
      </c>
      <c r="R1936">
        <v>98677.750074560099</v>
      </c>
      <c r="S1936" t="s">
        <v>130</v>
      </c>
      <c r="T1936" t="s">
        <v>717</v>
      </c>
      <c r="U1936" t="s">
        <v>717</v>
      </c>
      <c r="V1936" t="s">
        <v>717</v>
      </c>
      <c r="W1936">
        <v>45125</v>
      </c>
      <c r="X1936" t="s">
        <v>8514</v>
      </c>
      <c r="Y1936" t="s">
        <v>6</v>
      </c>
      <c r="Z1936" t="s">
        <v>17</v>
      </c>
      <c r="AA1936" t="s">
        <v>5617</v>
      </c>
      <c r="AB1936" t="s">
        <v>2509</v>
      </c>
      <c r="AC1936" t="s">
        <v>717</v>
      </c>
      <c r="AD1936" t="s">
        <v>717</v>
      </c>
      <c r="AE1936" t="s">
        <v>8515</v>
      </c>
      <c r="AF1936" t="s">
        <v>8516</v>
      </c>
      <c r="AG1936" t="s">
        <v>8517</v>
      </c>
      <c r="AH1936" t="s">
        <v>2191</v>
      </c>
      <c r="AI1936" t="s">
        <v>2538</v>
      </c>
      <c r="AJ1936" t="s">
        <v>2514</v>
      </c>
      <c r="AK1936" t="s">
        <v>8</v>
      </c>
      <c r="AL1936" t="s">
        <v>717</v>
      </c>
      <c r="AM1936" t="s">
        <v>10</v>
      </c>
      <c r="AN1936" t="s">
        <v>717</v>
      </c>
    </row>
    <row r="1937" spans="1:40" hidden="1">
      <c r="A1937">
        <v>1936</v>
      </c>
      <c r="B1937">
        <v>17</v>
      </c>
      <c r="C1937" s="58">
        <v>45128</v>
      </c>
      <c r="D1937" t="s">
        <v>7</v>
      </c>
      <c r="E1937" t="s">
        <v>2506</v>
      </c>
      <c r="F1937">
        <v>2</v>
      </c>
      <c r="G1937">
        <v>8</v>
      </c>
      <c r="H1937">
        <v>170</v>
      </c>
      <c r="I1937">
        <v>2</v>
      </c>
      <c r="J1937">
        <v>68.75</v>
      </c>
      <c r="K1937" t="s">
        <v>15</v>
      </c>
      <c r="L1937">
        <v>5850357.5599999996</v>
      </c>
      <c r="M1937">
        <v>0</v>
      </c>
      <c r="N1937">
        <v>5850357.5599999996</v>
      </c>
      <c r="O1937">
        <v>85096.109963636351</v>
      </c>
      <c r="P1937">
        <v>275000</v>
      </c>
      <c r="Q1937">
        <v>5575357.5599999996</v>
      </c>
      <c r="R1937">
        <v>81096.109963636351</v>
      </c>
      <c r="S1937" t="s">
        <v>65</v>
      </c>
      <c r="T1937" t="s">
        <v>5443</v>
      </c>
      <c r="U1937">
        <v>275000</v>
      </c>
      <c r="V1937" t="s">
        <v>4131</v>
      </c>
      <c r="W1937">
        <v>45109</v>
      </c>
      <c r="X1937" t="s">
        <v>8518</v>
      </c>
      <c r="Y1937" t="s">
        <v>6</v>
      </c>
      <c r="Z1937" t="s">
        <v>17</v>
      </c>
      <c r="AA1937" t="s">
        <v>6637</v>
      </c>
      <c r="AB1937" t="s">
        <v>2509</v>
      </c>
      <c r="AC1937" t="s">
        <v>2571</v>
      </c>
      <c r="AD1937" t="s">
        <v>717</v>
      </c>
      <c r="AE1937" t="s">
        <v>8519</v>
      </c>
      <c r="AF1937" t="s">
        <v>8520</v>
      </c>
      <c r="AG1937" t="s">
        <v>8521</v>
      </c>
      <c r="AH1937" t="s">
        <v>2191</v>
      </c>
      <c r="AI1937" t="s">
        <v>2552</v>
      </c>
      <c r="AJ1937" t="s">
        <v>2514</v>
      </c>
      <c r="AK1937" t="s">
        <v>8</v>
      </c>
      <c r="AL1937" t="s">
        <v>16</v>
      </c>
      <c r="AM1937" t="s">
        <v>10</v>
      </c>
      <c r="AN1937" t="s">
        <v>717</v>
      </c>
    </row>
    <row r="1938" spans="1:40" hidden="1">
      <c r="A1938">
        <v>1937</v>
      </c>
      <c r="B1938">
        <v>18</v>
      </c>
      <c r="C1938" s="58">
        <v>45128</v>
      </c>
      <c r="D1938" t="s">
        <v>7</v>
      </c>
      <c r="E1938" t="s">
        <v>2581</v>
      </c>
      <c r="F1938">
        <v>2</v>
      </c>
      <c r="G1938">
        <v>12</v>
      </c>
      <c r="H1938">
        <v>312</v>
      </c>
      <c r="I1938">
        <v>2</v>
      </c>
      <c r="J1938">
        <v>67.95</v>
      </c>
      <c r="K1938" t="s">
        <v>15</v>
      </c>
      <c r="L1938">
        <v>6054080.6699999999</v>
      </c>
      <c r="M1938">
        <v>0</v>
      </c>
      <c r="N1938">
        <v>6054080.6699999999</v>
      </c>
      <c r="O1938">
        <v>89096.109933774831</v>
      </c>
      <c r="P1938">
        <v>271800.00000000186</v>
      </c>
      <c r="Q1938">
        <v>5782280.6699999981</v>
      </c>
      <c r="R1938">
        <v>85096.109933774802</v>
      </c>
      <c r="S1938" t="s">
        <v>65</v>
      </c>
      <c r="T1938" t="s">
        <v>717</v>
      </c>
      <c r="U1938" t="s">
        <v>717</v>
      </c>
      <c r="V1938" t="s">
        <v>4131</v>
      </c>
      <c r="W1938">
        <v>45125</v>
      </c>
      <c r="X1938" t="s">
        <v>8522</v>
      </c>
      <c r="Y1938" t="s">
        <v>6</v>
      </c>
      <c r="Z1938" t="s">
        <v>17</v>
      </c>
      <c r="AA1938" t="s">
        <v>6637</v>
      </c>
      <c r="AB1938" t="s">
        <v>2509</v>
      </c>
      <c r="AC1938" t="s">
        <v>2571</v>
      </c>
      <c r="AD1938" t="s">
        <v>717</v>
      </c>
      <c r="AE1938" t="s">
        <v>8523</v>
      </c>
      <c r="AF1938" t="s">
        <v>8524</v>
      </c>
      <c r="AG1938" t="s">
        <v>8525</v>
      </c>
      <c r="AH1938" t="s">
        <v>2615</v>
      </c>
      <c r="AI1938" t="s">
        <v>2552</v>
      </c>
      <c r="AJ1938" t="s">
        <v>2662</v>
      </c>
      <c r="AK1938" t="s">
        <v>77</v>
      </c>
      <c r="AL1938" t="s">
        <v>16</v>
      </c>
      <c r="AM1938" t="s">
        <v>10</v>
      </c>
      <c r="AN1938" t="s">
        <v>717</v>
      </c>
    </row>
    <row r="1939" spans="1:40" hidden="1">
      <c r="A1939">
        <v>1938</v>
      </c>
      <c r="B1939">
        <v>19</v>
      </c>
      <c r="C1939" s="58">
        <v>45132</v>
      </c>
      <c r="D1939" t="s">
        <v>7</v>
      </c>
      <c r="E1939" t="s">
        <v>2581</v>
      </c>
      <c r="F1939">
        <v>3</v>
      </c>
      <c r="G1939">
        <v>4</v>
      </c>
      <c r="H1939">
        <v>257</v>
      </c>
      <c r="I1939">
        <v>0</v>
      </c>
      <c r="J1939">
        <v>36.450000000000003</v>
      </c>
      <c r="K1939" t="s">
        <v>9</v>
      </c>
      <c r="L1939">
        <v>3419170.74</v>
      </c>
      <c r="M1939">
        <v>0</v>
      </c>
      <c r="N1939">
        <v>3419170.74</v>
      </c>
      <c r="O1939">
        <v>93804.409876543214</v>
      </c>
      <c r="P1939">
        <v>0</v>
      </c>
      <c r="Q1939">
        <v>3419170.74</v>
      </c>
      <c r="R1939">
        <v>93804.409876543214</v>
      </c>
      <c r="S1939" t="s">
        <v>65</v>
      </c>
      <c r="T1939" t="s">
        <v>717</v>
      </c>
      <c r="U1939" t="s">
        <v>717</v>
      </c>
      <c r="V1939" t="s">
        <v>4131</v>
      </c>
      <c r="W1939">
        <v>45124</v>
      </c>
      <c r="X1939" t="s">
        <v>8526</v>
      </c>
      <c r="Y1939" t="s">
        <v>6</v>
      </c>
      <c r="Z1939" t="s">
        <v>17</v>
      </c>
      <c r="AA1939" t="s">
        <v>6637</v>
      </c>
      <c r="AB1939" t="s">
        <v>2509</v>
      </c>
      <c r="AC1939" t="s">
        <v>2571</v>
      </c>
      <c r="AD1939" t="s">
        <v>717</v>
      </c>
      <c r="AE1939" t="s">
        <v>8527</v>
      </c>
      <c r="AF1939" t="s">
        <v>8528</v>
      </c>
      <c r="AG1939" t="s">
        <v>8529</v>
      </c>
      <c r="AH1939" t="s">
        <v>2615</v>
      </c>
      <c r="AI1939" t="s">
        <v>2552</v>
      </c>
      <c r="AJ1939" t="s">
        <v>2825</v>
      </c>
      <c r="AK1939" t="s">
        <v>1233</v>
      </c>
      <c r="AL1939" t="s">
        <v>16</v>
      </c>
      <c r="AM1939" t="s">
        <v>10</v>
      </c>
      <c r="AN1939" t="s">
        <v>717</v>
      </c>
    </row>
    <row r="1940" spans="1:40" hidden="1">
      <c r="A1940">
        <v>1939</v>
      </c>
      <c r="B1940">
        <v>20</v>
      </c>
      <c r="C1940" s="58">
        <v>45132</v>
      </c>
      <c r="D1940" t="s">
        <v>7</v>
      </c>
      <c r="E1940" t="s">
        <v>2506</v>
      </c>
      <c r="F1940">
        <v>5</v>
      </c>
      <c r="G1940">
        <v>8</v>
      </c>
      <c r="H1940">
        <v>173</v>
      </c>
      <c r="I1940">
        <v>1</v>
      </c>
      <c r="J1940">
        <v>36.700000000000003</v>
      </c>
      <c r="K1940" t="s">
        <v>9</v>
      </c>
      <c r="L1940">
        <v>3551829.67</v>
      </c>
      <c r="M1940">
        <v>0</v>
      </c>
      <c r="N1940">
        <v>3551829.67</v>
      </c>
      <c r="O1940">
        <v>96780.099999999991</v>
      </c>
      <c r="P1940">
        <v>0</v>
      </c>
      <c r="Q1940">
        <v>3551829.67</v>
      </c>
      <c r="R1940">
        <v>96780.099999999991</v>
      </c>
      <c r="S1940" t="s">
        <v>65</v>
      </c>
      <c r="T1940" t="s">
        <v>717</v>
      </c>
      <c r="U1940" t="s">
        <v>717</v>
      </c>
      <c r="V1940" t="s">
        <v>6312</v>
      </c>
      <c r="W1940">
        <v>45126</v>
      </c>
      <c r="X1940" t="s">
        <v>8530</v>
      </c>
      <c r="Y1940" t="s">
        <v>6</v>
      </c>
      <c r="Z1940" t="s">
        <v>17</v>
      </c>
      <c r="AA1940" t="s">
        <v>6637</v>
      </c>
      <c r="AB1940" t="s">
        <v>2509</v>
      </c>
      <c r="AC1940" t="s">
        <v>2571</v>
      </c>
      <c r="AD1940" t="s">
        <v>717</v>
      </c>
      <c r="AE1940" t="s">
        <v>8531</v>
      </c>
      <c r="AF1940" t="s">
        <v>8532</v>
      </c>
      <c r="AG1940" t="s">
        <v>8533</v>
      </c>
      <c r="AH1940" t="s">
        <v>2615</v>
      </c>
      <c r="AI1940" t="s">
        <v>2538</v>
      </c>
      <c r="AJ1940" t="s">
        <v>2895</v>
      </c>
      <c r="AK1940" t="s">
        <v>77</v>
      </c>
      <c r="AL1940" t="s">
        <v>16</v>
      </c>
      <c r="AM1940" t="s">
        <v>10</v>
      </c>
      <c r="AN1940" t="s">
        <v>717</v>
      </c>
    </row>
    <row r="1941" spans="1:40" hidden="1">
      <c r="A1941">
        <v>1940</v>
      </c>
      <c r="B1941">
        <v>21</v>
      </c>
      <c r="C1941" s="58">
        <v>45134</v>
      </c>
      <c r="D1941" t="s">
        <v>7</v>
      </c>
      <c r="E1941" t="s">
        <v>4409</v>
      </c>
      <c r="F1941">
        <v>8</v>
      </c>
      <c r="G1941">
        <v>13</v>
      </c>
      <c r="H1941">
        <v>508</v>
      </c>
      <c r="I1941">
        <v>2</v>
      </c>
      <c r="J1941">
        <v>63.74</v>
      </c>
      <c r="K1941" t="s">
        <v>15</v>
      </c>
      <c r="L1941">
        <v>5271950.7</v>
      </c>
      <c r="M1941">
        <v>0</v>
      </c>
      <c r="N1941">
        <v>5271950.7</v>
      </c>
      <c r="O1941">
        <v>82710.240037652969</v>
      </c>
      <c r="P1941">
        <v>254960</v>
      </c>
      <c r="Q1941">
        <v>5016990.7</v>
      </c>
      <c r="R1941">
        <v>78710.240037652969</v>
      </c>
      <c r="S1941" t="s">
        <v>65</v>
      </c>
      <c r="T1941" t="s">
        <v>5443</v>
      </c>
      <c r="U1941">
        <v>254960</v>
      </c>
      <c r="V1941" t="s">
        <v>6312</v>
      </c>
      <c r="W1941">
        <v>45125</v>
      </c>
      <c r="X1941" t="s">
        <v>8534</v>
      </c>
      <c r="Y1941" t="s">
        <v>6</v>
      </c>
      <c r="Z1941" t="s">
        <v>17</v>
      </c>
      <c r="AA1941" t="s">
        <v>6637</v>
      </c>
      <c r="AB1941" t="s">
        <v>2509</v>
      </c>
      <c r="AC1941" t="s">
        <v>2571</v>
      </c>
      <c r="AD1941" t="s">
        <v>717</v>
      </c>
      <c r="AE1941" t="s">
        <v>8535</v>
      </c>
      <c r="AF1941" t="s">
        <v>8536</v>
      </c>
      <c r="AG1941" t="s">
        <v>8537</v>
      </c>
      <c r="AH1941" t="s">
        <v>2191</v>
      </c>
      <c r="AI1941" t="s">
        <v>2552</v>
      </c>
      <c r="AJ1941" t="s">
        <v>2514</v>
      </c>
      <c r="AK1941" t="s">
        <v>77</v>
      </c>
      <c r="AL1941" t="s">
        <v>16</v>
      </c>
      <c r="AM1941" t="s">
        <v>10</v>
      </c>
      <c r="AN1941" t="s">
        <v>717</v>
      </c>
    </row>
    <row r="1942" spans="1:40" hidden="1">
      <c r="A1942">
        <v>1941</v>
      </c>
      <c r="B1942">
        <v>22</v>
      </c>
      <c r="C1942" s="58">
        <v>45134</v>
      </c>
      <c r="D1942" t="s">
        <v>7</v>
      </c>
      <c r="E1942" t="s">
        <v>2515</v>
      </c>
      <c r="F1942">
        <v>3</v>
      </c>
      <c r="G1942">
        <v>14</v>
      </c>
      <c r="H1942">
        <v>99</v>
      </c>
      <c r="I1942">
        <v>1</v>
      </c>
      <c r="J1942">
        <v>35.54</v>
      </c>
      <c r="K1942" t="s">
        <v>15</v>
      </c>
      <c r="L1942">
        <v>3566101.01</v>
      </c>
      <c r="M1942">
        <v>0</v>
      </c>
      <c r="N1942">
        <v>3566101.01</v>
      </c>
      <c r="O1942">
        <v>100340.48987056836</v>
      </c>
      <c r="P1942">
        <v>159930</v>
      </c>
      <c r="Q1942">
        <v>3406171.01</v>
      </c>
      <c r="R1942">
        <v>95840.489870568374</v>
      </c>
      <c r="S1942" t="s">
        <v>65</v>
      </c>
      <c r="T1942" t="s">
        <v>717</v>
      </c>
      <c r="U1942" t="s">
        <v>717</v>
      </c>
      <c r="V1942" t="s">
        <v>4131</v>
      </c>
      <c r="W1942">
        <v>45129</v>
      </c>
      <c r="X1942" t="s">
        <v>8538</v>
      </c>
      <c r="Y1942" t="s">
        <v>6</v>
      </c>
      <c r="Z1942" t="s">
        <v>17</v>
      </c>
      <c r="AA1942" t="s">
        <v>6637</v>
      </c>
      <c r="AB1942" t="s">
        <v>2509</v>
      </c>
      <c r="AC1942" t="s">
        <v>2571</v>
      </c>
      <c r="AD1942" t="s">
        <v>717</v>
      </c>
      <c r="AE1942" t="s">
        <v>8539</v>
      </c>
      <c r="AF1942" t="s">
        <v>8540</v>
      </c>
      <c r="AG1942" t="s">
        <v>8541</v>
      </c>
      <c r="AH1942" t="s">
        <v>2615</v>
      </c>
      <c r="AI1942" t="s">
        <v>2521</v>
      </c>
      <c r="AJ1942" t="s">
        <v>2642</v>
      </c>
      <c r="AK1942" t="s">
        <v>77</v>
      </c>
      <c r="AL1942" t="s">
        <v>22</v>
      </c>
      <c r="AM1942" t="s">
        <v>10</v>
      </c>
      <c r="AN1942" t="s">
        <v>717</v>
      </c>
    </row>
    <row r="1943" spans="1:40" hidden="1">
      <c r="A1943">
        <v>1942</v>
      </c>
      <c r="B1943">
        <v>23</v>
      </c>
      <c r="C1943" s="58">
        <v>45135</v>
      </c>
      <c r="D1943" t="s">
        <v>7</v>
      </c>
      <c r="E1943" t="s">
        <v>4409</v>
      </c>
      <c r="F1943">
        <v>1</v>
      </c>
      <c r="G1943">
        <v>5</v>
      </c>
      <c r="H1943">
        <v>429</v>
      </c>
      <c r="I1943">
        <v>1</v>
      </c>
      <c r="J1943">
        <v>39.74</v>
      </c>
      <c r="K1943" t="s">
        <v>15</v>
      </c>
      <c r="L1943">
        <v>3808701.07</v>
      </c>
      <c r="M1943">
        <v>0</v>
      </c>
      <c r="N1943">
        <v>3808701.07</v>
      </c>
      <c r="O1943">
        <v>95840.489934574725</v>
      </c>
      <c r="P1943">
        <v>178830</v>
      </c>
      <c r="Q1943">
        <v>3629871.07</v>
      </c>
      <c r="R1943">
        <v>91340.489934574725</v>
      </c>
      <c r="S1943" t="s">
        <v>130</v>
      </c>
      <c r="T1943" t="s">
        <v>5443</v>
      </c>
      <c r="U1943">
        <v>178830</v>
      </c>
      <c r="V1943" t="s">
        <v>717</v>
      </c>
      <c r="W1943">
        <v>45133</v>
      </c>
      <c r="X1943" t="s">
        <v>8542</v>
      </c>
      <c r="Y1943" t="s">
        <v>6</v>
      </c>
      <c r="Z1943" t="s">
        <v>17</v>
      </c>
      <c r="AA1943" t="s">
        <v>5617</v>
      </c>
      <c r="AB1943" t="s">
        <v>2509</v>
      </c>
      <c r="AC1943" t="s">
        <v>717</v>
      </c>
      <c r="AD1943" t="s">
        <v>717</v>
      </c>
      <c r="AE1943" t="s">
        <v>8543</v>
      </c>
      <c r="AF1943" t="s">
        <v>8544</v>
      </c>
      <c r="AG1943" t="s">
        <v>8545</v>
      </c>
      <c r="AH1943" t="s">
        <v>2191</v>
      </c>
      <c r="AI1943" t="s">
        <v>2538</v>
      </c>
      <c r="AJ1943" t="s">
        <v>2514</v>
      </c>
      <c r="AK1943" t="s">
        <v>77</v>
      </c>
      <c r="AL1943" t="s">
        <v>717</v>
      </c>
      <c r="AM1943" t="s">
        <v>10</v>
      </c>
      <c r="AN1943" t="s">
        <v>717</v>
      </c>
    </row>
    <row r="1944" spans="1:40" hidden="1">
      <c r="A1944">
        <v>1943</v>
      </c>
      <c r="B1944">
        <v>24</v>
      </c>
      <c r="C1944" s="58">
        <v>45138</v>
      </c>
      <c r="D1944" t="s">
        <v>7</v>
      </c>
      <c r="E1944" t="s">
        <v>4409</v>
      </c>
      <c r="F1944">
        <v>1</v>
      </c>
      <c r="G1944">
        <v>8</v>
      </c>
      <c r="H1944">
        <v>456</v>
      </c>
      <c r="I1944">
        <v>1</v>
      </c>
      <c r="J1944">
        <v>39.74</v>
      </c>
      <c r="K1944" t="s">
        <v>25</v>
      </c>
      <c r="L1944">
        <v>4330120.87</v>
      </c>
      <c r="M1944">
        <v>0</v>
      </c>
      <c r="N1944">
        <v>4330120.87</v>
      </c>
      <c r="O1944">
        <v>108961.27000503273</v>
      </c>
      <c r="P1944">
        <v>596100</v>
      </c>
      <c r="Q1944">
        <v>3734020.87</v>
      </c>
      <c r="R1944">
        <v>93961.270005032711</v>
      </c>
      <c r="S1944" t="s">
        <v>65</v>
      </c>
      <c r="T1944" t="s">
        <v>717</v>
      </c>
      <c r="U1944" t="s">
        <v>717</v>
      </c>
      <c r="V1944" t="s">
        <v>6312</v>
      </c>
      <c r="W1944">
        <v>45127</v>
      </c>
      <c r="X1944" t="s">
        <v>8546</v>
      </c>
      <c r="Y1944" t="s">
        <v>6</v>
      </c>
      <c r="Z1944" t="s">
        <v>17</v>
      </c>
      <c r="AA1944" t="s">
        <v>6637</v>
      </c>
      <c r="AB1944" t="s">
        <v>2509</v>
      </c>
      <c r="AC1944" t="s">
        <v>2571</v>
      </c>
      <c r="AD1944" t="s">
        <v>717</v>
      </c>
      <c r="AE1944" t="s">
        <v>8547</v>
      </c>
      <c r="AF1944" t="s">
        <v>8548</v>
      </c>
      <c r="AG1944" t="s">
        <v>8549</v>
      </c>
      <c r="AH1944" t="s">
        <v>2615</v>
      </c>
      <c r="AI1944" t="s">
        <v>6951</v>
      </c>
      <c r="AJ1944" t="s">
        <v>4799</v>
      </c>
      <c r="AK1944" t="s">
        <v>77</v>
      </c>
      <c r="AL1944" t="s">
        <v>22</v>
      </c>
      <c r="AM1944" t="s">
        <v>10</v>
      </c>
      <c r="AN1944" t="s">
        <v>717</v>
      </c>
    </row>
    <row r="1945" spans="1:40" hidden="1">
      <c r="A1945">
        <v>1944</v>
      </c>
      <c r="B1945">
        <v>25</v>
      </c>
      <c r="C1945" s="58">
        <v>45138</v>
      </c>
      <c r="D1945" t="s">
        <v>7</v>
      </c>
      <c r="E1945" t="s">
        <v>2581</v>
      </c>
      <c r="F1945">
        <v>6</v>
      </c>
      <c r="G1945">
        <v>22</v>
      </c>
      <c r="H1945">
        <v>386</v>
      </c>
      <c r="I1945">
        <v>3</v>
      </c>
      <c r="J1945">
        <v>72.510000000000005</v>
      </c>
      <c r="K1945" t="s">
        <v>25</v>
      </c>
      <c r="L1945">
        <v>7467886.1100000003</v>
      </c>
      <c r="M1945">
        <v>0</v>
      </c>
      <c r="N1945">
        <v>7467886.1100000003</v>
      </c>
      <c r="O1945">
        <v>102991.11998345055</v>
      </c>
      <c r="P1945">
        <v>1123905</v>
      </c>
      <c r="Q1945">
        <v>6343981.1100000003</v>
      </c>
      <c r="R1945">
        <v>87491.119983450553</v>
      </c>
      <c r="S1945" t="s">
        <v>65</v>
      </c>
      <c r="T1945" t="s">
        <v>717</v>
      </c>
      <c r="U1945" t="s">
        <v>717</v>
      </c>
      <c r="V1945" t="s">
        <v>6312</v>
      </c>
      <c r="W1945">
        <v>45128</v>
      </c>
      <c r="X1945" t="s">
        <v>8550</v>
      </c>
      <c r="Y1945" t="s">
        <v>6</v>
      </c>
      <c r="Z1945" t="s">
        <v>17</v>
      </c>
      <c r="AA1945" t="s">
        <v>6637</v>
      </c>
      <c r="AB1945" t="s">
        <v>2509</v>
      </c>
      <c r="AC1945" t="s">
        <v>2571</v>
      </c>
      <c r="AD1945" t="s">
        <v>717</v>
      </c>
      <c r="AE1945" t="s">
        <v>8551</v>
      </c>
      <c r="AF1945" t="s">
        <v>8552</v>
      </c>
      <c r="AG1945" t="s">
        <v>8553</v>
      </c>
      <c r="AH1945" t="s">
        <v>2615</v>
      </c>
      <c r="AI1945" t="s">
        <v>2521</v>
      </c>
      <c r="AJ1945" t="s">
        <v>3289</v>
      </c>
      <c r="AK1945" t="s">
        <v>8</v>
      </c>
      <c r="AL1945" t="s">
        <v>16</v>
      </c>
      <c r="AM1945" t="s">
        <v>10</v>
      </c>
      <c r="AN1945" t="s">
        <v>717</v>
      </c>
    </row>
    <row r="1946" spans="1:40" hidden="1">
      <c r="A1946">
        <v>1945</v>
      </c>
      <c r="B1946">
        <v>26</v>
      </c>
      <c r="C1946" s="58">
        <v>45138</v>
      </c>
      <c r="D1946" t="s">
        <v>7</v>
      </c>
      <c r="E1946" t="s">
        <v>4409</v>
      </c>
      <c r="F1946">
        <v>7</v>
      </c>
      <c r="G1946">
        <v>10</v>
      </c>
      <c r="H1946">
        <v>480</v>
      </c>
      <c r="I1946">
        <v>2</v>
      </c>
      <c r="J1946">
        <v>67.489999999999995</v>
      </c>
      <c r="K1946" t="s">
        <v>15</v>
      </c>
      <c r="L1946">
        <v>6027513</v>
      </c>
      <c r="M1946">
        <v>0</v>
      </c>
      <c r="N1946">
        <v>6027513</v>
      </c>
      <c r="O1946">
        <v>89309.719958512374</v>
      </c>
      <c r="P1946">
        <v>269960</v>
      </c>
      <c r="Q1946">
        <v>5757553</v>
      </c>
      <c r="R1946">
        <v>85309.719958512374</v>
      </c>
      <c r="S1946" t="s">
        <v>65</v>
      </c>
      <c r="T1946" t="s">
        <v>5443</v>
      </c>
      <c r="U1946">
        <v>269960</v>
      </c>
      <c r="V1946" t="s">
        <v>6312</v>
      </c>
      <c r="W1946">
        <v>45129</v>
      </c>
      <c r="X1946" t="s">
        <v>8554</v>
      </c>
      <c r="Y1946" t="s">
        <v>6</v>
      </c>
      <c r="Z1946" t="s">
        <v>17</v>
      </c>
      <c r="AA1946" t="s">
        <v>6637</v>
      </c>
      <c r="AB1946" t="s">
        <v>2509</v>
      </c>
      <c r="AC1946" t="s">
        <v>2571</v>
      </c>
      <c r="AD1946" t="s">
        <v>717</v>
      </c>
      <c r="AE1946" t="s">
        <v>8555</v>
      </c>
      <c r="AF1946" t="s">
        <v>8556</v>
      </c>
      <c r="AG1946" t="s">
        <v>8557</v>
      </c>
      <c r="AH1946" t="s">
        <v>2615</v>
      </c>
      <c r="AI1946" t="s">
        <v>2552</v>
      </c>
      <c r="AJ1946" t="s">
        <v>2642</v>
      </c>
      <c r="AK1946" t="s">
        <v>77</v>
      </c>
      <c r="AL1946" t="s">
        <v>22</v>
      </c>
      <c r="AM1946" t="s">
        <v>10</v>
      </c>
      <c r="AN1946" t="s">
        <v>717</v>
      </c>
    </row>
    <row r="1947" spans="1:40" hidden="1">
      <c r="A1947">
        <v>1946</v>
      </c>
      <c r="B1947">
        <v>27</v>
      </c>
      <c r="C1947" s="58">
        <v>45138</v>
      </c>
      <c r="D1947" t="s">
        <v>7</v>
      </c>
      <c r="E1947" t="s">
        <v>2581</v>
      </c>
      <c r="F1947">
        <v>6</v>
      </c>
      <c r="G1947">
        <v>18</v>
      </c>
      <c r="H1947">
        <v>358</v>
      </c>
      <c r="I1947">
        <v>3</v>
      </c>
      <c r="J1947">
        <v>72.510000000000005</v>
      </c>
      <c r="K1947" t="s">
        <v>9</v>
      </c>
      <c r="L1947">
        <v>5741631.8399999999</v>
      </c>
      <c r="M1947">
        <v>0</v>
      </c>
      <c r="N1947">
        <v>5741631.8399999999</v>
      </c>
      <c r="O1947">
        <v>79183.999999999985</v>
      </c>
      <c r="P1947">
        <v>0</v>
      </c>
      <c r="Q1947">
        <v>5741631.8399999999</v>
      </c>
      <c r="R1947">
        <v>79183.999999999985</v>
      </c>
      <c r="S1947" t="s">
        <v>65</v>
      </c>
      <c r="T1947" t="s">
        <v>717</v>
      </c>
      <c r="U1947" t="s">
        <v>717</v>
      </c>
      <c r="V1947" t="s">
        <v>6312</v>
      </c>
      <c r="W1947">
        <v>45131</v>
      </c>
      <c r="X1947" t="s">
        <v>8558</v>
      </c>
      <c r="Y1947" t="s">
        <v>6</v>
      </c>
      <c r="Z1947" t="s">
        <v>17</v>
      </c>
      <c r="AA1947" t="s">
        <v>6637</v>
      </c>
      <c r="AB1947" t="s">
        <v>2509</v>
      </c>
      <c r="AC1947" t="s">
        <v>2571</v>
      </c>
      <c r="AD1947" t="s">
        <v>717</v>
      </c>
      <c r="AE1947" t="s">
        <v>8559</v>
      </c>
      <c r="AF1947" t="s">
        <v>8560</v>
      </c>
      <c r="AG1947" t="s">
        <v>8561</v>
      </c>
      <c r="AH1947" t="s">
        <v>2615</v>
      </c>
      <c r="AI1947" t="s">
        <v>2552</v>
      </c>
      <c r="AJ1947" t="s">
        <v>2895</v>
      </c>
      <c r="AK1947" t="s">
        <v>8</v>
      </c>
      <c r="AL1947" t="s">
        <v>22</v>
      </c>
      <c r="AM1947" t="s">
        <v>10</v>
      </c>
      <c r="AN1947" t="s">
        <v>717</v>
      </c>
    </row>
    <row r="1948" spans="1:40" hidden="1">
      <c r="A1948">
        <v>1947</v>
      </c>
      <c r="B1948">
        <v>28</v>
      </c>
      <c r="C1948" s="58">
        <v>45138</v>
      </c>
      <c r="D1948" t="s">
        <v>7</v>
      </c>
      <c r="E1948" t="s">
        <v>2506</v>
      </c>
      <c r="F1948">
        <v>5</v>
      </c>
      <c r="G1948">
        <v>6</v>
      </c>
      <c r="H1948">
        <v>157</v>
      </c>
      <c r="I1948">
        <v>1</v>
      </c>
      <c r="J1948">
        <v>36.700000000000003</v>
      </c>
      <c r="K1948" t="s">
        <v>15</v>
      </c>
      <c r="L1948">
        <v>3751463.72</v>
      </c>
      <c r="M1948">
        <v>0</v>
      </c>
      <c r="N1948">
        <v>3751463.72</v>
      </c>
      <c r="O1948">
        <v>102219.71989100818</v>
      </c>
      <c r="P1948">
        <v>165150</v>
      </c>
      <c r="Q1948">
        <v>3586313.72</v>
      </c>
      <c r="R1948">
        <v>97719.719891008179</v>
      </c>
      <c r="S1948" t="s">
        <v>65</v>
      </c>
      <c r="T1948" t="s">
        <v>717</v>
      </c>
      <c r="U1948" t="s">
        <v>717</v>
      </c>
      <c r="V1948" t="s">
        <v>4131</v>
      </c>
      <c r="W1948">
        <v>45132</v>
      </c>
      <c r="X1948" t="s">
        <v>8562</v>
      </c>
      <c r="Y1948" t="s">
        <v>6</v>
      </c>
      <c r="Z1948" t="s">
        <v>17</v>
      </c>
      <c r="AA1948" t="s">
        <v>6637</v>
      </c>
      <c r="AB1948" t="s">
        <v>2509</v>
      </c>
      <c r="AC1948" t="s">
        <v>2571</v>
      </c>
      <c r="AD1948" t="s">
        <v>717</v>
      </c>
      <c r="AE1948" t="s">
        <v>8563</v>
      </c>
      <c r="AF1948" t="s">
        <v>8564</v>
      </c>
      <c r="AG1948" t="s">
        <v>8565</v>
      </c>
      <c r="AH1948" t="s">
        <v>2615</v>
      </c>
      <c r="AI1948" t="s">
        <v>2552</v>
      </c>
      <c r="AJ1948" t="s">
        <v>2895</v>
      </c>
      <c r="AK1948" t="s">
        <v>1233</v>
      </c>
      <c r="AL1948" t="s">
        <v>16</v>
      </c>
      <c r="AM1948" t="s">
        <v>10</v>
      </c>
      <c r="AN1948" t="s">
        <v>717</v>
      </c>
    </row>
    <row r="1949" spans="1:40" hidden="1">
      <c r="A1949">
        <v>1948</v>
      </c>
      <c r="B1949">
        <v>29</v>
      </c>
      <c r="C1949" s="58">
        <v>45138</v>
      </c>
      <c r="D1949" t="s">
        <v>7</v>
      </c>
      <c r="E1949" t="s">
        <v>2506</v>
      </c>
      <c r="F1949">
        <v>5</v>
      </c>
      <c r="G1949">
        <v>1</v>
      </c>
      <c r="H1949">
        <v>9</v>
      </c>
      <c r="I1949" t="s">
        <v>1368</v>
      </c>
      <c r="J1949">
        <v>86.5</v>
      </c>
      <c r="K1949" t="s">
        <v>9</v>
      </c>
      <c r="L1949">
        <v>10350291</v>
      </c>
      <c r="M1949">
        <v>0</v>
      </c>
      <c r="N1949">
        <v>10350291</v>
      </c>
      <c r="O1949">
        <v>119656.54335260116</v>
      </c>
      <c r="P1949">
        <v>0</v>
      </c>
      <c r="Q1949">
        <v>10350291</v>
      </c>
      <c r="R1949">
        <v>119656.54335260116</v>
      </c>
      <c r="S1949" t="s">
        <v>130</v>
      </c>
      <c r="T1949" t="s">
        <v>2941</v>
      </c>
      <c r="U1949">
        <v>94584.1</v>
      </c>
      <c r="V1949" t="s">
        <v>717</v>
      </c>
      <c r="W1949">
        <v>45133</v>
      </c>
      <c r="X1949" t="s">
        <v>8566</v>
      </c>
      <c r="Y1949" t="s">
        <v>1368</v>
      </c>
      <c r="Z1949" t="s">
        <v>17</v>
      </c>
      <c r="AA1949" t="s">
        <v>5617</v>
      </c>
      <c r="AB1949" t="s">
        <v>2509</v>
      </c>
      <c r="AC1949" t="s">
        <v>717</v>
      </c>
      <c r="AD1949" t="s">
        <v>717</v>
      </c>
      <c r="AE1949" t="s">
        <v>8567</v>
      </c>
      <c r="AF1949" t="s">
        <v>8568</v>
      </c>
      <c r="AG1949" t="s">
        <v>8569</v>
      </c>
      <c r="AH1949" t="s">
        <v>2615</v>
      </c>
      <c r="AI1949" t="s">
        <v>2552</v>
      </c>
      <c r="AJ1949" t="s">
        <v>2793</v>
      </c>
      <c r="AK1949" t="s">
        <v>1233</v>
      </c>
      <c r="AL1949" t="s">
        <v>717</v>
      </c>
      <c r="AM1949" t="s">
        <v>10</v>
      </c>
      <c r="AN1949" t="s">
        <v>717</v>
      </c>
    </row>
    <row r="1950" spans="1:40" hidden="1">
      <c r="A1950">
        <v>1949</v>
      </c>
      <c r="B1950">
        <v>30</v>
      </c>
      <c r="C1950" s="58">
        <v>45138</v>
      </c>
      <c r="D1950" t="s">
        <v>7</v>
      </c>
      <c r="E1950" t="s">
        <v>2515</v>
      </c>
      <c r="F1950">
        <v>1</v>
      </c>
      <c r="G1950">
        <v>8</v>
      </c>
      <c r="H1950">
        <v>49</v>
      </c>
      <c r="I1950">
        <v>1</v>
      </c>
      <c r="J1950">
        <v>33.53</v>
      </c>
      <c r="K1950" t="s">
        <v>15</v>
      </c>
      <c r="L1950">
        <v>3459549.96</v>
      </c>
      <c r="M1950">
        <v>0</v>
      </c>
      <c r="N1950">
        <v>3459549.96</v>
      </c>
      <c r="O1950">
        <v>103177.75007456008</v>
      </c>
      <c r="P1950">
        <v>150885</v>
      </c>
      <c r="Q1950">
        <v>3308664.96</v>
      </c>
      <c r="R1950">
        <v>98677.750074560085</v>
      </c>
      <c r="S1950" t="s">
        <v>65</v>
      </c>
      <c r="T1950" t="s">
        <v>717</v>
      </c>
      <c r="U1950" t="s">
        <v>717</v>
      </c>
      <c r="V1950" t="s">
        <v>4131</v>
      </c>
      <c r="W1950">
        <v>45133</v>
      </c>
      <c r="X1950" t="s">
        <v>8570</v>
      </c>
      <c r="Y1950" t="s">
        <v>6</v>
      </c>
      <c r="Z1950" t="s">
        <v>17</v>
      </c>
      <c r="AA1950" t="s">
        <v>6637</v>
      </c>
      <c r="AB1950" t="s">
        <v>2509</v>
      </c>
      <c r="AC1950" t="s">
        <v>2571</v>
      </c>
      <c r="AD1950" t="s">
        <v>717</v>
      </c>
      <c r="AE1950" t="s">
        <v>8571</v>
      </c>
      <c r="AF1950" t="s">
        <v>8572</v>
      </c>
      <c r="AG1950" t="s">
        <v>8573</v>
      </c>
      <c r="AH1950" t="s">
        <v>2191</v>
      </c>
      <c r="AI1950" t="s">
        <v>2552</v>
      </c>
      <c r="AJ1950" t="s">
        <v>2514</v>
      </c>
      <c r="AK1950" t="s">
        <v>77</v>
      </c>
      <c r="AL1950" t="s">
        <v>16</v>
      </c>
      <c r="AM1950" t="s">
        <v>10</v>
      </c>
      <c r="AN1950" t="s">
        <v>717</v>
      </c>
    </row>
    <row r="1951" spans="1:40" hidden="1">
      <c r="A1951">
        <v>1950</v>
      </c>
      <c r="B1951">
        <v>31</v>
      </c>
      <c r="C1951" s="58">
        <v>45138</v>
      </c>
      <c r="D1951" t="s">
        <v>7</v>
      </c>
      <c r="E1951" t="s">
        <v>2506</v>
      </c>
      <c r="F1951">
        <v>8</v>
      </c>
      <c r="G1951">
        <v>11</v>
      </c>
      <c r="H1951">
        <v>200</v>
      </c>
      <c r="I1951">
        <v>1</v>
      </c>
      <c r="J1951">
        <v>33.79</v>
      </c>
      <c r="K1951" t="s">
        <v>25</v>
      </c>
      <c r="L1951">
        <v>3858066.17</v>
      </c>
      <c r="M1951">
        <v>0</v>
      </c>
      <c r="N1951">
        <v>3858066.17</v>
      </c>
      <c r="O1951">
        <v>114177.7499260136</v>
      </c>
      <c r="P1951">
        <v>523745</v>
      </c>
      <c r="Q1951">
        <v>3334321.17</v>
      </c>
      <c r="R1951">
        <v>98677.749926013596</v>
      </c>
      <c r="S1951" t="s">
        <v>130</v>
      </c>
      <c r="T1951" t="s">
        <v>717</v>
      </c>
      <c r="U1951" t="s">
        <v>717</v>
      </c>
      <c r="V1951" t="s">
        <v>717</v>
      </c>
      <c r="W1951">
        <v>45133</v>
      </c>
      <c r="X1951" t="s">
        <v>8574</v>
      </c>
      <c r="Y1951" t="s">
        <v>6</v>
      </c>
      <c r="Z1951" t="s">
        <v>17</v>
      </c>
      <c r="AA1951" t="s">
        <v>5617</v>
      </c>
      <c r="AB1951" t="s">
        <v>2509</v>
      </c>
      <c r="AC1951" t="s">
        <v>717</v>
      </c>
      <c r="AD1951" t="s">
        <v>717</v>
      </c>
      <c r="AE1951" t="s">
        <v>8575</v>
      </c>
      <c r="AF1951" t="s">
        <v>8576</v>
      </c>
      <c r="AG1951" t="s">
        <v>8577</v>
      </c>
      <c r="AH1951" t="s">
        <v>6100</v>
      </c>
      <c r="AI1951" t="s">
        <v>5653</v>
      </c>
      <c r="AJ1951" t="s">
        <v>31</v>
      </c>
      <c r="AK1951" t="s">
        <v>77</v>
      </c>
      <c r="AL1951" t="s">
        <v>717</v>
      </c>
      <c r="AM1951" t="s">
        <v>5654</v>
      </c>
      <c r="AN1951" t="s">
        <v>717</v>
      </c>
    </row>
    <row r="1952" spans="1:40" hidden="1">
      <c r="A1952">
        <v>1951</v>
      </c>
      <c r="B1952">
        <v>32</v>
      </c>
      <c r="C1952" s="58">
        <v>45138</v>
      </c>
      <c r="D1952" t="s">
        <v>7</v>
      </c>
      <c r="E1952" t="s">
        <v>2515</v>
      </c>
      <c r="F1952">
        <v>7</v>
      </c>
      <c r="G1952">
        <v>16</v>
      </c>
      <c r="H1952">
        <v>119</v>
      </c>
      <c r="I1952">
        <v>0</v>
      </c>
      <c r="J1952">
        <v>21.75</v>
      </c>
      <c r="K1952" t="s">
        <v>25</v>
      </c>
      <c r="L1952">
        <v>2647608.36</v>
      </c>
      <c r="M1952">
        <v>0</v>
      </c>
      <c r="N1952">
        <v>2647608.36</v>
      </c>
      <c r="O1952">
        <v>121729.12</v>
      </c>
      <c r="P1952">
        <v>337125</v>
      </c>
      <c r="Q1952">
        <v>2310483.36</v>
      </c>
      <c r="R1952">
        <v>106229.12</v>
      </c>
      <c r="S1952" t="s">
        <v>65</v>
      </c>
      <c r="T1952" t="s">
        <v>717</v>
      </c>
      <c r="U1952" t="s">
        <v>717</v>
      </c>
      <c r="V1952" t="s">
        <v>717</v>
      </c>
      <c r="W1952">
        <v>45133</v>
      </c>
      <c r="X1952" t="s">
        <v>8578</v>
      </c>
      <c r="Y1952" t="s">
        <v>6</v>
      </c>
      <c r="Z1952" t="s">
        <v>17</v>
      </c>
      <c r="AA1952" t="s">
        <v>5617</v>
      </c>
      <c r="AB1952" t="s">
        <v>2509</v>
      </c>
      <c r="AC1952" t="s">
        <v>2564</v>
      </c>
      <c r="AD1952" t="s">
        <v>717</v>
      </c>
      <c r="AE1952" t="s">
        <v>8579</v>
      </c>
      <c r="AF1952" t="s">
        <v>8580</v>
      </c>
      <c r="AG1952" t="s">
        <v>8581</v>
      </c>
      <c r="AH1952" t="s">
        <v>2191</v>
      </c>
      <c r="AI1952" t="s">
        <v>6951</v>
      </c>
      <c r="AJ1952" t="s">
        <v>2514</v>
      </c>
      <c r="AK1952" t="s">
        <v>8</v>
      </c>
      <c r="AL1952" t="s">
        <v>16</v>
      </c>
      <c r="AM1952" t="s">
        <v>10</v>
      </c>
      <c r="AN1952" t="s">
        <v>717</v>
      </c>
    </row>
    <row r="1953" spans="1:40" hidden="1">
      <c r="A1953">
        <v>1952</v>
      </c>
      <c r="B1953">
        <v>33</v>
      </c>
      <c r="C1953" s="58">
        <v>45138</v>
      </c>
      <c r="D1953" t="s">
        <v>7</v>
      </c>
      <c r="E1953" t="s">
        <v>2581</v>
      </c>
      <c r="F1953">
        <v>3</v>
      </c>
      <c r="G1953">
        <v>3</v>
      </c>
      <c r="H1953">
        <v>250</v>
      </c>
      <c r="I1953">
        <v>0</v>
      </c>
      <c r="J1953">
        <v>36.450000000000003</v>
      </c>
      <c r="K1953" t="s">
        <v>25</v>
      </c>
      <c r="L1953">
        <v>3984145.74</v>
      </c>
      <c r="M1953">
        <v>0</v>
      </c>
      <c r="N1953">
        <v>3984145.74</v>
      </c>
      <c r="O1953">
        <v>109304.4098765432</v>
      </c>
      <c r="P1953">
        <v>564975</v>
      </c>
      <c r="Q1953">
        <v>3419170.74</v>
      </c>
      <c r="R1953">
        <v>93804.409876543214</v>
      </c>
      <c r="S1953" t="s">
        <v>65</v>
      </c>
      <c r="T1953" t="s">
        <v>717</v>
      </c>
      <c r="U1953" t="s">
        <v>717</v>
      </c>
      <c r="V1953" t="s">
        <v>6312</v>
      </c>
      <c r="W1953">
        <v>45134</v>
      </c>
      <c r="X1953" t="s">
        <v>8582</v>
      </c>
      <c r="Y1953" t="s">
        <v>6</v>
      </c>
      <c r="Z1953" t="s">
        <v>17</v>
      </c>
      <c r="AA1953" t="s">
        <v>6637</v>
      </c>
      <c r="AB1953" t="s">
        <v>2509</v>
      </c>
      <c r="AC1953" t="s">
        <v>2571</v>
      </c>
      <c r="AD1953" t="s">
        <v>717</v>
      </c>
      <c r="AE1953" t="s">
        <v>8583</v>
      </c>
      <c r="AF1953" t="s">
        <v>8584</v>
      </c>
      <c r="AG1953" t="s">
        <v>8585</v>
      </c>
      <c r="AH1953" t="s">
        <v>2191</v>
      </c>
      <c r="AI1953" t="s">
        <v>2706</v>
      </c>
      <c r="AJ1953" t="s">
        <v>2514</v>
      </c>
      <c r="AK1953" t="s">
        <v>77</v>
      </c>
      <c r="AL1953" t="s">
        <v>22</v>
      </c>
      <c r="AM1953" t="s">
        <v>10</v>
      </c>
      <c r="AN1953" t="s">
        <v>717</v>
      </c>
    </row>
    <row r="1954" spans="1:40" hidden="1">
      <c r="A1954">
        <v>1953</v>
      </c>
      <c r="B1954">
        <v>34</v>
      </c>
      <c r="C1954" s="58">
        <v>45138</v>
      </c>
      <c r="D1954" t="s">
        <v>7</v>
      </c>
      <c r="E1954" t="s">
        <v>2581</v>
      </c>
      <c r="F1954">
        <v>3</v>
      </c>
      <c r="G1954">
        <v>7</v>
      </c>
      <c r="H1954">
        <v>278</v>
      </c>
      <c r="I1954">
        <v>0</v>
      </c>
      <c r="J1954">
        <v>36.450000000000003</v>
      </c>
      <c r="K1954" t="s">
        <v>15</v>
      </c>
      <c r="L1954">
        <v>3450383.15</v>
      </c>
      <c r="M1954">
        <v>15000</v>
      </c>
      <c r="N1954">
        <v>3465383.15</v>
      </c>
      <c r="O1954">
        <v>95072.240054869675</v>
      </c>
      <c r="P1954">
        <v>145800</v>
      </c>
      <c r="Q1954">
        <v>3319583.15</v>
      </c>
      <c r="R1954">
        <v>91072.240054869675</v>
      </c>
      <c r="S1954" t="s">
        <v>130</v>
      </c>
      <c r="T1954" t="s">
        <v>717</v>
      </c>
      <c r="U1954" t="s">
        <v>717</v>
      </c>
      <c r="V1954" t="s">
        <v>717</v>
      </c>
      <c r="W1954">
        <v>45135</v>
      </c>
      <c r="X1954" t="s">
        <v>8586</v>
      </c>
      <c r="Y1954" t="s">
        <v>6</v>
      </c>
      <c r="Z1954" t="s">
        <v>17</v>
      </c>
      <c r="AA1954" t="s">
        <v>5617</v>
      </c>
      <c r="AB1954" t="s">
        <v>2509</v>
      </c>
      <c r="AC1954" t="s">
        <v>717</v>
      </c>
      <c r="AD1954" t="s">
        <v>717</v>
      </c>
      <c r="AE1954" t="s">
        <v>8587</v>
      </c>
      <c r="AF1954" t="s">
        <v>8588</v>
      </c>
      <c r="AG1954" t="s">
        <v>8589</v>
      </c>
      <c r="AH1954" t="s">
        <v>6100</v>
      </c>
      <c r="AI1954" t="s">
        <v>5653</v>
      </c>
      <c r="AJ1954" t="s">
        <v>31</v>
      </c>
      <c r="AK1954" t="s">
        <v>77</v>
      </c>
      <c r="AL1954" t="s">
        <v>717</v>
      </c>
      <c r="AM1954" t="s">
        <v>5654</v>
      </c>
      <c r="AN1954" t="s">
        <v>717</v>
      </c>
    </row>
    <row r="1955" spans="1:40" hidden="1">
      <c r="A1955">
        <v>1954</v>
      </c>
      <c r="B1955">
        <v>35</v>
      </c>
      <c r="C1955" s="58">
        <v>45138</v>
      </c>
      <c r="D1955" t="s">
        <v>7</v>
      </c>
      <c r="E1955" t="s">
        <v>2515</v>
      </c>
      <c r="F1955">
        <v>7</v>
      </c>
      <c r="G1955">
        <v>9</v>
      </c>
      <c r="H1955">
        <v>63</v>
      </c>
      <c r="I1955">
        <v>0</v>
      </c>
      <c r="J1955">
        <v>21.75</v>
      </c>
      <c r="K1955" t="s">
        <v>15</v>
      </c>
      <c r="L1955">
        <v>2408358.36</v>
      </c>
      <c r="M1955">
        <v>0</v>
      </c>
      <c r="N1955">
        <v>2408358.36</v>
      </c>
      <c r="O1955">
        <v>110729.12</v>
      </c>
      <c r="P1955">
        <v>97875</v>
      </c>
      <c r="Q1955">
        <v>2310483.36</v>
      </c>
      <c r="R1955">
        <v>106229.12</v>
      </c>
      <c r="S1955" t="s">
        <v>130</v>
      </c>
      <c r="T1955" t="s">
        <v>717</v>
      </c>
      <c r="U1955" t="s">
        <v>717</v>
      </c>
      <c r="V1955" t="s">
        <v>717</v>
      </c>
      <c r="W1955">
        <v>45136</v>
      </c>
      <c r="X1955" t="s">
        <v>8590</v>
      </c>
      <c r="Y1955" t="s">
        <v>6</v>
      </c>
      <c r="Z1955" t="s">
        <v>17</v>
      </c>
      <c r="AA1955" t="s">
        <v>5617</v>
      </c>
      <c r="AB1955" t="s">
        <v>2509</v>
      </c>
      <c r="AC1955" t="s">
        <v>717</v>
      </c>
      <c r="AD1955" t="s">
        <v>717</v>
      </c>
      <c r="AE1955" t="s">
        <v>8591</v>
      </c>
      <c r="AF1955" t="s">
        <v>8592</v>
      </c>
      <c r="AG1955" t="s">
        <v>8593</v>
      </c>
      <c r="AH1955" t="s">
        <v>2615</v>
      </c>
      <c r="AI1955" t="s">
        <v>2538</v>
      </c>
      <c r="AJ1955" t="s">
        <v>2825</v>
      </c>
      <c r="AK1955" t="s">
        <v>20</v>
      </c>
      <c r="AL1955" t="s">
        <v>717</v>
      </c>
      <c r="AM1955" t="s">
        <v>10</v>
      </c>
      <c r="AN1955" t="s">
        <v>717</v>
      </c>
    </row>
    <row r="1956" spans="1:40" hidden="1">
      <c r="A1956">
        <v>1955</v>
      </c>
      <c r="B1956">
        <v>36</v>
      </c>
      <c r="C1956" s="58">
        <v>45138</v>
      </c>
      <c r="D1956" t="s">
        <v>7</v>
      </c>
      <c r="E1956" t="s">
        <v>2515</v>
      </c>
      <c r="F1956">
        <v>2</v>
      </c>
      <c r="G1956">
        <v>8</v>
      </c>
      <c r="H1956">
        <v>50</v>
      </c>
      <c r="I1956">
        <v>2</v>
      </c>
      <c r="J1956">
        <v>61.76</v>
      </c>
      <c r="K1956" t="s">
        <v>25</v>
      </c>
      <c r="L1956">
        <v>6255500.8600000003</v>
      </c>
      <c r="M1956">
        <v>0</v>
      </c>
      <c r="N1956">
        <v>6255500.8600000003</v>
      </c>
      <c r="O1956">
        <v>101287.25485751296</v>
      </c>
      <c r="P1956">
        <v>957280</v>
      </c>
      <c r="Q1956">
        <v>5298220.8600000003</v>
      </c>
      <c r="R1956">
        <v>85787.254857512962</v>
      </c>
      <c r="S1956" t="s">
        <v>65</v>
      </c>
      <c r="T1956" t="s">
        <v>3268</v>
      </c>
      <c r="U1956">
        <v>120000</v>
      </c>
      <c r="V1956" t="s">
        <v>6312</v>
      </c>
      <c r="W1956">
        <v>45137</v>
      </c>
      <c r="X1956" t="s">
        <v>8594</v>
      </c>
      <c r="Y1956" t="s">
        <v>6</v>
      </c>
      <c r="Z1956" t="s">
        <v>17</v>
      </c>
      <c r="AA1956" t="s">
        <v>6637</v>
      </c>
      <c r="AB1956" t="s">
        <v>2509</v>
      </c>
      <c r="AC1956" t="s">
        <v>2571</v>
      </c>
      <c r="AD1956" t="s">
        <v>717</v>
      </c>
      <c r="AE1956" t="s">
        <v>8595</v>
      </c>
      <c r="AF1956" t="s">
        <v>8596</v>
      </c>
      <c r="AG1956" t="s">
        <v>8597</v>
      </c>
      <c r="AH1956" t="s">
        <v>2191</v>
      </c>
      <c r="AI1956" t="s">
        <v>2688</v>
      </c>
      <c r="AJ1956" t="s">
        <v>2514</v>
      </c>
      <c r="AK1956" t="s">
        <v>1233</v>
      </c>
      <c r="AL1956" t="s">
        <v>16</v>
      </c>
      <c r="AM1956" t="s">
        <v>10</v>
      </c>
      <c r="AN1956" t="s">
        <v>717</v>
      </c>
    </row>
    <row r="1957" spans="1:40" hidden="1">
      <c r="A1957">
        <v>1956</v>
      </c>
      <c r="B1957">
        <v>1</v>
      </c>
      <c r="C1957" s="58">
        <v>45142</v>
      </c>
      <c r="D1957" t="s">
        <v>27</v>
      </c>
      <c r="E1957" t="s">
        <v>2581</v>
      </c>
      <c r="F1957">
        <v>3</v>
      </c>
      <c r="G1957">
        <v>1</v>
      </c>
      <c r="H1957">
        <v>10</v>
      </c>
      <c r="I1957" t="s">
        <v>1368</v>
      </c>
      <c r="J1957">
        <v>137.30000000000001</v>
      </c>
      <c r="K1957" t="s">
        <v>9</v>
      </c>
      <c r="L1957">
        <v>17007084</v>
      </c>
      <c r="M1957">
        <v>0</v>
      </c>
      <c r="N1957">
        <v>17007084</v>
      </c>
      <c r="O1957">
        <v>123868.05535324108</v>
      </c>
      <c r="P1957">
        <v>0</v>
      </c>
      <c r="Q1957">
        <v>17007084</v>
      </c>
      <c r="R1957">
        <v>123868.05535324108</v>
      </c>
      <c r="S1957" t="s">
        <v>130</v>
      </c>
      <c r="T1957" t="s">
        <v>2941</v>
      </c>
      <c r="U1957">
        <v>155415.9</v>
      </c>
      <c r="V1957" t="s">
        <v>717</v>
      </c>
      <c r="W1957">
        <v>45134</v>
      </c>
      <c r="X1957" t="s">
        <v>8598</v>
      </c>
      <c r="Y1957" t="s">
        <v>1368</v>
      </c>
      <c r="Z1957" t="s">
        <v>17</v>
      </c>
      <c r="AA1957" t="s">
        <v>6637</v>
      </c>
      <c r="AB1957" t="s">
        <v>326</v>
      </c>
      <c r="AC1957" t="s">
        <v>717</v>
      </c>
      <c r="AD1957" t="s">
        <v>717</v>
      </c>
      <c r="AE1957" t="s">
        <v>8567</v>
      </c>
      <c r="AF1957" t="s">
        <v>8568</v>
      </c>
      <c r="AG1957" t="s">
        <v>8569</v>
      </c>
      <c r="AH1957" t="s">
        <v>2580</v>
      </c>
      <c r="AI1957" t="s">
        <v>2521</v>
      </c>
      <c r="AJ1957" t="s">
        <v>3921</v>
      </c>
      <c r="AK1957" t="s">
        <v>1233</v>
      </c>
      <c r="AL1957" t="s">
        <v>717</v>
      </c>
      <c r="AM1957" t="s">
        <v>10</v>
      </c>
      <c r="AN1957" t="s">
        <v>717</v>
      </c>
    </row>
    <row r="1958" spans="1:40" hidden="1">
      <c r="A1958">
        <v>1957</v>
      </c>
      <c r="B1958">
        <v>2</v>
      </c>
      <c r="C1958" s="58">
        <v>45145</v>
      </c>
      <c r="D1958" t="s">
        <v>7</v>
      </c>
      <c r="E1958" t="s">
        <v>2581</v>
      </c>
      <c r="F1958">
        <v>1</v>
      </c>
      <c r="G1958">
        <v>15</v>
      </c>
      <c r="H1958">
        <v>332</v>
      </c>
      <c r="I1958">
        <v>0</v>
      </c>
      <c r="J1958">
        <v>29.35</v>
      </c>
      <c r="K1958" t="s">
        <v>9</v>
      </c>
      <c r="L1958">
        <v>2705900.33</v>
      </c>
      <c r="M1958">
        <v>0</v>
      </c>
      <c r="N1958">
        <v>2705900.33</v>
      </c>
      <c r="O1958">
        <v>92194.219080068142</v>
      </c>
      <c r="P1958">
        <v>0</v>
      </c>
      <c r="Q1958">
        <v>2705900.33</v>
      </c>
      <c r="R1958">
        <v>92194.219080068142</v>
      </c>
      <c r="S1958" t="s">
        <v>65</v>
      </c>
      <c r="T1958" t="s">
        <v>3309</v>
      </c>
      <c r="U1958">
        <v>20000</v>
      </c>
      <c r="V1958" t="s">
        <v>4131</v>
      </c>
      <c r="W1958">
        <v>45141</v>
      </c>
      <c r="X1958" t="s">
        <v>8599</v>
      </c>
      <c r="Y1958" t="s">
        <v>6</v>
      </c>
      <c r="Z1958" t="s">
        <v>17</v>
      </c>
      <c r="AA1958" t="s">
        <v>6637</v>
      </c>
      <c r="AB1958" t="s">
        <v>2509</v>
      </c>
      <c r="AC1958" t="s">
        <v>2571</v>
      </c>
      <c r="AD1958" t="s">
        <v>717</v>
      </c>
      <c r="AE1958" t="s">
        <v>8600</v>
      </c>
      <c r="AF1958" t="s">
        <v>8601</v>
      </c>
      <c r="AG1958" t="s">
        <v>8602</v>
      </c>
      <c r="AH1958" t="s">
        <v>2615</v>
      </c>
      <c r="AI1958" t="s">
        <v>2706</v>
      </c>
      <c r="AJ1958" t="s">
        <v>2569</v>
      </c>
      <c r="AK1958" t="s">
        <v>77</v>
      </c>
      <c r="AL1958" t="s">
        <v>22</v>
      </c>
      <c r="AM1958" t="s">
        <v>10</v>
      </c>
      <c r="AN1958" t="s">
        <v>717</v>
      </c>
    </row>
    <row r="1959" spans="1:40" hidden="1">
      <c r="A1959">
        <v>1958</v>
      </c>
      <c r="B1959">
        <v>3</v>
      </c>
      <c r="C1959" s="58">
        <v>45149</v>
      </c>
      <c r="D1959" t="s">
        <v>7</v>
      </c>
      <c r="E1959" t="s">
        <v>2581</v>
      </c>
      <c r="F1959">
        <v>4</v>
      </c>
      <c r="G1959">
        <v>6</v>
      </c>
      <c r="H1959">
        <v>272</v>
      </c>
      <c r="I1959">
        <v>2</v>
      </c>
      <c r="J1959">
        <v>58.55</v>
      </c>
      <c r="K1959" t="s">
        <v>15</v>
      </c>
      <c r="L1959">
        <v>5203479.0199999996</v>
      </c>
      <c r="M1959">
        <v>0</v>
      </c>
      <c r="N1959">
        <v>5203479.0199999996</v>
      </c>
      <c r="O1959">
        <v>88872.4</v>
      </c>
      <c r="P1959">
        <v>263475</v>
      </c>
      <c r="Q1959">
        <v>4940004.0199999996</v>
      </c>
      <c r="R1959">
        <v>84372.4</v>
      </c>
      <c r="S1959" t="s">
        <v>65</v>
      </c>
      <c r="T1959" t="s">
        <v>717</v>
      </c>
      <c r="U1959" t="s">
        <v>717</v>
      </c>
      <c r="V1959" t="s">
        <v>6312</v>
      </c>
      <c r="W1959">
        <v>45141</v>
      </c>
      <c r="X1959" t="s">
        <v>8603</v>
      </c>
      <c r="Y1959" t="s">
        <v>6</v>
      </c>
      <c r="Z1959" t="s">
        <v>17</v>
      </c>
      <c r="AA1959" t="s">
        <v>6637</v>
      </c>
      <c r="AB1959" t="s">
        <v>2509</v>
      </c>
      <c r="AC1959" t="s">
        <v>2571</v>
      </c>
      <c r="AD1959" t="s">
        <v>717</v>
      </c>
      <c r="AE1959" t="s">
        <v>8604</v>
      </c>
      <c r="AF1959" t="s">
        <v>8605</v>
      </c>
      <c r="AG1959" t="s">
        <v>8606</v>
      </c>
      <c r="AH1959" t="s">
        <v>2552</v>
      </c>
      <c r="AI1959" t="s">
        <v>2547</v>
      </c>
      <c r="AJ1959" t="s">
        <v>2855</v>
      </c>
      <c r="AK1959" t="s">
        <v>77</v>
      </c>
      <c r="AL1959" t="s">
        <v>22</v>
      </c>
      <c r="AM1959" t="s">
        <v>10</v>
      </c>
      <c r="AN1959" t="s">
        <v>717</v>
      </c>
    </row>
    <row r="1960" spans="1:40" hidden="1">
      <c r="A1960">
        <v>1959</v>
      </c>
      <c r="B1960">
        <v>4</v>
      </c>
      <c r="C1960" s="58">
        <v>45152</v>
      </c>
      <c r="D1960" t="s">
        <v>7</v>
      </c>
      <c r="E1960" t="s">
        <v>2581</v>
      </c>
      <c r="F1960">
        <v>6</v>
      </c>
      <c r="G1960">
        <v>20</v>
      </c>
      <c r="H1960">
        <v>372</v>
      </c>
      <c r="I1960">
        <v>3</v>
      </c>
      <c r="J1960">
        <v>72.510000000000005</v>
      </c>
      <c r="K1960" t="s">
        <v>15</v>
      </c>
      <c r="L1960">
        <v>6064693.0099999998</v>
      </c>
      <c r="M1960">
        <v>15000</v>
      </c>
      <c r="N1960">
        <v>6079693.0099999998</v>
      </c>
      <c r="O1960">
        <v>83846.269617983722</v>
      </c>
      <c r="P1960">
        <v>290040</v>
      </c>
      <c r="Q1960">
        <v>5789653.0099999998</v>
      </c>
      <c r="R1960">
        <v>79846.269617983722</v>
      </c>
      <c r="S1960" t="s">
        <v>65</v>
      </c>
      <c r="T1960" t="s">
        <v>5768</v>
      </c>
      <c r="U1960">
        <v>369552.32</v>
      </c>
      <c r="V1960" t="s">
        <v>1970</v>
      </c>
      <c r="W1960">
        <v>45125</v>
      </c>
      <c r="X1960" t="s">
        <v>8607</v>
      </c>
      <c r="Y1960" t="s">
        <v>6</v>
      </c>
      <c r="Z1960" t="s">
        <v>11</v>
      </c>
      <c r="AA1960" t="s">
        <v>717</v>
      </c>
      <c r="AB1960" t="s">
        <v>2509</v>
      </c>
      <c r="AC1960" t="s">
        <v>5105</v>
      </c>
      <c r="AD1960" t="s">
        <v>717</v>
      </c>
      <c r="AE1960" t="s">
        <v>8608</v>
      </c>
      <c r="AF1960" t="s">
        <v>8609</v>
      </c>
      <c r="AG1960" t="s">
        <v>8610</v>
      </c>
      <c r="AH1960" t="s">
        <v>2191</v>
      </c>
      <c r="AI1960" t="s">
        <v>2621</v>
      </c>
      <c r="AJ1960" t="s">
        <v>2514</v>
      </c>
      <c r="AK1960" t="s">
        <v>77</v>
      </c>
      <c r="AL1960" t="s">
        <v>16</v>
      </c>
      <c r="AM1960" t="s">
        <v>10</v>
      </c>
      <c r="AN1960" t="s">
        <v>717</v>
      </c>
    </row>
    <row r="1961" spans="1:40" hidden="1">
      <c r="A1961">
        <v>1960</v>
      </c>
      <c r="B1961">
        <v>5</v>
      </c>
      <c r="C1961" s="58">
        <v>45153</v>
      </c>
      <c r="D1961" t="s">
        <v>7</v>
      </c>
      <c r="E1961" t="s">
        <v>2506</v>
      </c>
      <c r="F1961">
        <v>2</v>
      </c>
      <c r="G1961">
        <v>4</v>
      </c>
      <c r="H1961">
        <v>138</v>
      </c>
      <c r="I1961">
        <v>2</v>
      </c>
      <c r="J1961">
        <v>68.75</v>
      </c>
      <c r="K1961" t="s">
        <v>15</v>
      </c>
      <c r="L1961">
        <v>6214408.75</v>
      </c>
      <c r="M1961">
        <v>0</v>
      </c>
      <c r="N1961">
        <v>6214408.75</v>
      </c>
      <c r="O1961">
        <v>90391.4</v>
      </c>
      <c r="P1961">
        <v>309375</v>
      </c>
      <c r="Q1961">
        <v>5905033.75</v>
      </c>
      <c r="R1961">
        <v>85891.4</v>
      </c>
      <c r="S1961" t="s">
        <v>65</v>
      </c>
      <c r="T1961" t="s">
        <v>717</v>
      </c>
      <c r="U1961" t="s">
        <v>717</v>
      </c>
      <c r="V1961" t="s">
        <v>6312</v>
      </c>
      <c r="W1961">
        <v>45138</v>
      </c>
      <c r="X1961" t="s">
        <v>8611</v>
      </c>
      <c r="Y1961" t="s">
        <v>6</v>
      </c>
      <c r="Z1961" t="s">
        <v>17</v>
      </c>
      <c r="AA1961" t="s">
        <v>6637</v>
      </c>
      <c r="AB1961" t="s">
        <v>2509</v>
      </c>
      <c r="AC1961" t="s">
        <v>2571</v>
      </c>
      <c r="AD1961" t="s">
        <v>717</v>
      </c>
      <c r="AE1961" t="s">
        <v>8612</v>
      </c>
      <c r="AF1961" t="s">
        <v>8613</v>
      </c>
      <c r="AG1961" t="s">
        <v>8614</v>
      </c>
      <c r="AH1961" t="s">
        <v>2191</v>
      </c>
      <c r="AI1961" t="s">
        <v>2847</v>
      </c>
      <c r="AJ1961" t="s">
        <v>2514</v>
      </c>
      <c r="AK1961" t="s">
        <v>8</v>
      </c>
      <c r="AL1961" t="s">
        <v>22</v>
      </c>
      <c r="AM1961" t="s">
        <v>10</v>
      </c>
      <c r="AN1961" t="s">
        <v>717</v>
      </c>
    </row>
    <row r="1962" spans="1:40" hidden="1">
      <c r="A1962">
        <v>1961</v>
      </c>
      <c r="B1962">
        <v>6</v>
      </c>
      <c r="C1962" s="58">
        <v>45153</v>
      </c>
      <c r="D1962" t="s">
        <v>7</v>
      </c>
      <c r="E1962" t="s">
        <v>4409</v>
      </c>
      <c r="F1962">
        <v>5</v>
      </c>
      <c r="G1962">
        <v>1</v>
      </c>
      <c r="H1962">
        <v>17</v>
      </c>
      <c r="I1962" t="s">
        <v>1368</v>
      </c>
      <c r="J1962">
        <v>49.57</v>
      </c>
      <c r="K1962" t="s">
        <v>9</v>
      </c>
      <c r="L1962">
        <v>7435500</v>
      </c>
      <c r="M1962">
        <v>0</v>
      </c>
      <c r="N1962">
        <v>7435500</v>
      </c>
      <c r="O1962">
        <v>150000</v>
      </c>
      <c r="P1962">
        <v>0</v>
      </c>
      <c r="Q1962">
        <v>7435500</v>
      </c>
      <c r="R1962">
        <v>150000</v>
      </c>
      <c r="S1962" t="s">
        <v>130</v>
      </c>
      <c r="T1962" t="s">
        <v>717</v>
      </c>
      <c r="U1962" t="s">
        <v>717</v>
      </c>
      <c r="V1962" t="s">
        <v>717</v>
      </c>
      <c r="W1962">
        <v>45147</v>
      </c>
      <c r="X1962" t="s">
        <v>8615</v>
      </c>
      <c r="Y1962" t="s">
        <v>1368</v>
      </c>
      <c r="Z1962" t="s">
        <v>17</v>
      </c>
      <c r="AA1962" t="s">
        <v>5617</v>
      </c>
      <c r="AB1962" t="s">
        <v>2509</v>
      </c>
      <c r="AC1962" t="s">
        <v>717</v>
      </c>
      <c r="AD1962" t="s">
        <v>717</v>
      </c>
      <c r="AE1962" t="s">
        <v>8616</v>
      </c>
      <c r="AF1962" t="s">
        <v>8617</v>
      </c>
      <c r="AG1962" t="s">
        <v>8618</v>
      </c>
      <c r="AH1962" t="s">
        <v>2615</v>
      </c>
      <c r="AI1962" t="s">
        <v>2552</v>
      </c>
      <c r="AJ1962" t="s">
        <v>4799</v>
      </c>
      <c r="AK1962" t="s">
        <v>1233</v>
      </c>
      <c r="AL1962" t="s">
        <v>717</v>
      </c>
      <c r="AM1962" t="s">
        <v>10</v>
      </c>
      <c r="AN1962" t="s">
        <v>717</v>
      </c>
    </row>
    <row r="1963" spans="1:40" hidden="1">
      <c r="A1963">
        <v>1962</v>
      </c>
      <c r="B1963">
        <v>7</v>
      </c>
      <c r="C1963" s="58">
        <v>45155</v>
      </c>
      <c r="D1963" t="s">
        <v>7</v>
      </c>
      <c r="E1963" t="s">
        <v>2515</v>
      </c>
      <c r="F1963">
        <v>3</v>
      </c>
      <c r="G1963">
        <v>2</v>
      </c>
      <c r="H1963">
        <v>3</v>
      </c>
      <c r="I1963">
        <v>1</v>
      </c>
      <c r="J1963">
        <v>35.54</v>
      </c>
      <c r="K1963" t="s">
        <v>25</v>
      </c>
      <c r="L1963">
        <v>3957041.01</v>
      </c>
      <c r="M1963">
        <v>0</v>
      </c>
      <c r="N1963">
        <v>3957041.01</v>
      </c>
      <c r="O1963">
        <v>111340.48987056836</v>
      </c>
      <c r="P1963">
        <v>550870</v>
      </c>
      <c r="Q1963">
        <v>3406171.01</v>
      </c>
      <c r="R1963">
        <v>95840.489870568374</v>
      </c>
      <c r="S1963" t="s">
        <v>65</v>
      </c>
      <c r="T1963" t="s">
        <v>717</v>
      </c>
      <c r="U1963" t="s">
        <v>717</v>
      </c>
      <c r="V1963" t="s">
        <v>6312</v>
      </c>
      <c r="W1963">
        <v>45151</v>
      </c>
      <c r="X1963" t="s">
        <v>8619</v>
      </c>
      <c r="Y1963" t="s">
        <v>6</v>
      </c>
      <c r="Z1963" t="s">
        <v>17</v>
      </c>
      <c r="AA1963" t="s">
        <v>6637</v>
      </c>
      <c r="AB1963" t="s">
        <v>2509</v>
      </c>
      <c r="AC1963" t="s">
        <v>2571</v>
      </c>
      <c r="AD1963" t="s">
        <v>717</v>
      </c>
      <c r="AE1963" t="s">
        <v>8620</v>
      </c>
      <c r="AF1963" t="s">
        <v>8621</v>
      </c>
      <c r="AG1963" t="s">
        <v>8622</v>
      </c>
      <c r="AH1963" t="s">
        <v>2615</v>
      </c>
      <c r="AI1963" t="s">
        <v>2552</v>
      </c>
      <c r="AJ1963" t="s">
        <v>2940</v>
      </c>
      <c r="AK1963" t="s">
        <v>73</v>
      </c>
      <c r="AL1963" t="s">
        <v>22</v>
      </c>
      <c r="AM1963" t="s">
        <v>10</v>
      </c>
      <c r="AN1963" t="s">
        <v>717</v>
      </c>
    </row>
    <row r="1964" spans="1:40" hidden="1">
      <c r="A1964">
        <v>1963</v>
      </c>
      <c r="B1964">
        <v>8</v>
      </c>
      <c r="C1964" s="58">
        <v>45157</v>
      </c>
      <c r="D1964" t="s">
        <v>7</v>
      </c>
      <c r="E1964" t="s">
        <v>2506</v>
      </c>
      <c r="F1964">
        <v>8</v>
      </c>
      <c r="G1964">
        <v>14</v>
      </c>
      <c r="H1964">
        <v>224</v>
      </c>
      <c r="I1964">
        <v>1</v>
      </c>
      <c r="J1964">
        <v>33.79</v>
      </c>
      <c r="K1964" t="s">
        <v>25</v>
      </c>
      <c r="L1964">
        <v>3791379.75</v>
      </c>
      <c r="M1964">
        <v>0</v>
      </c>
      <c r="N1964">
        <v>3791379.75</v>
      </c>
      <c r="O1964">
        <v>112204.19502811485</v>
      </c>
      <c r="P1964">
        <v>523745</v>
      </c>
      <c r="Q1964">
        <v>3267634.75</v>
      </c>
      <c r="R1964">
        <v>96704.195028114831</v>
      </c>
      <c r="S1964" t="s">
        <v>65</v>
      </c>
      <c r="T1964" t="s">
        <v>8002</v>
      </c>
      <c r="U1964">
        <v>66686.42</v>
      </c>
      <c r="V1964" t="s">
        <v>4131</v>
      </c>
      <c r="W1964">
        <v>45152</v>
      </c>
      <c r="X1964" t="s">
        <v>8623</v>
      </c>
      <c r="Y1964" t="s">
        <v>6</v>
      </c>
      <c r="Z1964" t="s">
        <v>17</v>
      </c>
      <c r="AA1964" t="s">
        <v>6637</v>
      </c>
      <c r="AB1964" t="s">
        <v>2509</v>
      </c>
      <c r="AC1964" t="s">
        <v>2571</v>
      </c>
      <c r="AD1964" t="s">
        <v>717</v>
      </c>
      <c r="AE1964" t="s">
        <v>2659</v>
      </c>
      <c r="AF1964" t="s">
        <v>2660</v>
      </c>
      <c r="AG1964" t="s">
        <v>2661</v>
      </c>
      <c r="AH1964" t="s">
        <v>2191</v>
      </c>
      <c r="AI1964" t="s">
        <v>2600</v>
      </c>
      <c r="AJ1964" t="s">
        <v>3921</v>
      </c>
      <c r="AK1964" t="s">
        <v>73</v>
      </c>
      <c r="AL1964" t="s">
        <v>16</v>
      </c>
      <c r="AM1964" t="s">
        <v>10</v>
      </c>
      <c r="AN1964" t="s">
        <v>717</v>
      </c>
    </row>
    <row r="1965" spans="1:40" hidden="1">
      <c r="A1965">
        <v>1964</v>
      </c>
      <c r="B1965">
        <v>9</v>
      </c>
      <c r="C1965" s="58">
        <v>45156</v>
      </c>
      <c r="D1965" t="s">
        <v>7</v>
      </c>
      <c r="E1965" t="s">
        <v>2581</v>
      </c>
      <c r="F1965">
        <v>4</v>
      </c>
      <c r="G1965">
        <v>10</v>
      </c>
      <c r="H1965">
        <v>300</v>
      </c>
      <c r="I1965">
        <v>2</v>
      </c>
      <c r="J1965">
        <v>58.55</v>
      </c>
      <c r="K1965" t="s">
        <v>15</v>
      </c>
      <c r="L1965">
        <v>5203479.0199999996</v>
      </c>
      <c r="M1965">
        <v>0</v>
      </c>
      <c r="N1965">
        <v>5203479.0199999996</v>
      </c>
      <c r="O1965">
        <v>88872.4</v>
      </c>
      <c r="P1965">
        <v>263475</v>
      </c>
      <c r="Q1965">
        <v>4940004.0199999996</v>
      </c>
      <c r="R1965">
        <v>84372.4</v>
      </c>
      <c r="S1965" t="s">
        <v>65</v>
      </c>
      <c r="T1965" t="s">
        <v>717</v>
      </c>
      <c r="U1965" t="s">
        <v>717</v>
      </c>
      <c r="V1965" t="s">
        <v>4131</v>
      </c>
      <c r="W1965">
        <v>45150</v>
      </c>
      <c r="X1965" t="s">
        <v>8624</v>
      </c>
      <c r="Y1965" t="s">
        <v>6</v>
      </c>
      <c r="Z1965" t="s">
        <v>17</v>
      </c>
      <c r="AA1965" t="s">
        <v>6637</v>
      </c>
      <c r="AB1965" t="s">
        <v>2509</v>
      </c>
      <c r="AC1965" t="s">
        <v>2571</v>
      </c>
      <c r="AD1965" t="s">
        <v>717</v>
      </c>
      <c r="AE1965" t="s">
        <v>8625</v>
      </c>
      <c r="AF1965" t="s">
        <v>8626</v>
      </c>
      <c r="AG1965" t="s">
        <v>8627</v>
      </c>
      <c r="AH1965" t="s">
        <v>2615</v>
      </c>
      <c r="AI1965" t="s">
        <v>2538</v>
      </c>
      <c r="AJ1965" t="s">
        <v>2662</v>
      </c>
      <c r="AK1965" t="s">
        <v>20</v>
      </c>
      <c r="AL1965" t="s">
        <v>16</v>
      </c>
      <c r="AM1965" t="s">
        <v>10</v>
      </c>
      <c r="AN1965" t="s">
        <v>717</v>
      </c>
    </row>
    <row r="1966" spans="1:40" hidden="1">
      <c r="A1966">
        <v>1965</v>
      </c>
      <c r="B1966">
        <v>10</v>
      </c>
      <c r="C1966" s="58">
        <v>45156</v>
      </c>
      <c r="D1966" t="s">
        <v>7</v>
      </c>
      <c r="E1966" t="s">
        <v>2581</v>
      </c>
      <c r="F1966">
        <v>3</v>
      </c>
      <c r="G1966">
        <v>21</v>
      </c>
      <c r="H1966">
        <v>376</v>
      </c>
      <c r="I1966">
        <v>0</v>
      </c>
      <c r="J1966">
        <v>36.450000000000003</v>
      </c>
      <c r="K1966" t="s">
        <v>15</v>
      </c>
      <c r="L1966">
        <v>3326878.73</v>
      </c>
      <c r="M1966">
        <v>0</v>
      </c>
      <c r="N1966">
        <v>3326878.73</v>
      </c>
      <c r="O1966">
        <v>91272.393141289431</v>
      </c>
      <c r="P1966">
        <v>164025</v>
      </c>
      <c r="Q1966">
        <v>3162853.73</v>
      </c>
      <c r="R1966">
        <v>86772.393141289431</v>
      </c>
      <c r="S1966" t="s">
        <v>65</v>
      </c>
      <c r="T1966" t="s">
        <v>3414</v>
      </c>
      <c r="U1966">
        <v>351428.19</v>
      </c>
      <c r="V1966" t="s">
        <v>6312</v>
      </c>
      <c r="W1966">
        <v>45155</v>
      </c>
      <c r="X1966" t="s">
        <v>8628</v>
      </c>
      <c r="Y1966" t="s">
        <v>6</v>
      </c>
      <c r="Z1966" t="s">
        <v>17</v>
      </c>
      <c r="AA1966" t="s">
        <v>6637</v>
      </c>
      <c r="AB1966" t="s">
        <v>2509</v>
      </c>
      <c r="AC1966" t="s">
        <v>2571</v>
      </c>
      <c r="AD1966" t="s">
        <v>717</v>
      </c>
      <c r="AE1966" t="s">
        <v>8629</v>
      </c>
      <c r="AF1966" t="s">
        <v>8630</v>
      </c>
      <c r="AG1966" t="s">
        <v>8631</v>
      </c>
      <c r="AH1966" t="s">
        <v>2496</v>
      </c>
      <c r="AI1966" t="s">
        <v>5056</v>
      </c>
      <c r="AJ1966" t="s">
        <v>6169</v>
      </c>
      <c r="AK1966" t="s">
        <v>73</v>
      </c>
      <c r="AL1966" t="s">
        <v>16</v>
      </c>
      <c r="AM1966" t="s">
        <v>10</v>
      </c>
      <c r="AN1966" t="s">
        <v>717</v>
      </c>
    </row>
    <row r="1967" spans="1:40" hidden="1">
      <c r="A1967">
        <v>1966</v>
      </c>
      <c r="B1967">
        <v>11</v>
      </c>
      <c r="C1967" s="58">
        <v>45159</v>
      </c>
      <c r="D1967" t="s">
        <v>7</v>
      </c>
      <c r="E1967" t="s">
        <v>4409</v>
      </c>
      <c r="F1967">
        <v>1</v>
      </c>
      <c r="G1967">
        <v>15</v>
      </c>
      <c r="H1967">
        <v>519</v>
      </c>
      <c r="I1967">
        <v>1</v>
      </c>
      <c r="J1967">
        <v>39.74</v>
      </c>
      <c r="K1967" t="s">
        <v>25</v>
      </c>
      <c r="L1967">
        <v>4386598.5599999996</v>
      </c>
      <c r="M1967">
        <v>0</v>
      </c>
      <c r="N1967">
        <v>4386598.5599999996</v>
      </c>
      <c r="O1967">
        <v>110382.44992450927</v>
      </c>
      <c r="P1967">
        <v>615970</v>
      </c>
      <c r="Q1967">
        <v>3770628.56</v>
      </c>
      <c r="R1967">
        <v>94882.449924509274</v>
      </c>
      <c r="S1967" t="s">
        <v>65</v>
      </c>
      <c r="T1967" t="s">
        <v>717</v>
      </c>
      <c r="U1967" t="s">
        <v>717</v>
      </c>
      <c r="V1967" t="s">
        <v>6312</v>
      </c>
      <c r="W1967">
        <v>45150</v>
      </c>
      <c r="X1967" t="s">
        <v>8632</v>
      </c>
      <c r="Y1967" t="s">
        <v>6</v>
      </c>
      <c r="Z1967" t="s">
        <v>17</v>
      </c>
      <c r="AA1967" t="s">
        <v>6637</v>
      </c>
      <c r="AB1967" t="s">
        <v>2509</v>
      </c>
      <c r="AC1967" t="s">
        <v>2571</v>
      </c>
      <c r="AD1967" t="s">
        <v>717</v>
      </c>
      <c r="AE1967" t="s">
        <v>8633</v>
      </c>
      <c r="AF1967" t="s">
        <v>8634</v>
      </c>
      <c r="AG1967" t="s">
        <v>8635</v>
      </c>
      <c r="AH1967" t="s">
        <v>2615</v>
      </c>
      <c r="AI1967" t="s">
        <v>2552</v>
      </c>
      <c r="AJ1967" t="s">
        <v>2662</v>
      </c>
      <c r="AK1967" t="s">
        <v>8</v>
      </c>
      <c r="AL1967" t="s">
        <v>16</v>
      </c>
      <c r="AM1967" t="s">
        <v>10</v>
      </c>
      <c r="AN1967" t="s">
        <v>717</v>
      </c>
    </row>
    <row r="1968" spans="1:40" hidden="1">
      <c r="A1968">
        <v>1967</v>
      </c>
      <c r="B1968">
        <v>12</v>
      </c>
      <c r="C1968" s="58">
        <v>45161</v>
      </c>
      <c r="D1968" t="s">
        <v>7</v>
      </c>
      <c r="E1968" t="s">
        <v>2581</v>
      </c>
      <c r="F1968">
        <v>5</v>
      </c>
      <c r="G1968">
        <v>24</v>
      </c>
      <c r="H1968">
        <v>399</v>
      </c>
      <c r="I1968">
        <v>2</v>
      </c>
      <c r="J1968">
        <v>56.7</v>
      </c>
      <c r="K1968" t="s">
        <v>25</v>
      </c>
      <c r="L1968">
        <v>6034330.9500000002</v>
      </c>
      <c r="M1968">
        <v>0</v>
      </c>
      <c r="N1968">
        <v>6034330.9500000002</v>
      </c>
      <c r="O1968">
        <v>106425.58994708996</v>
      </c>
      <c r="P1968">
        <v>878850</v>
      </c>
      <c r="Q1968">
        <v>5155480.95</v>
      </c>
      <c r="R1968">
        <v>90925.589947089946</v>
      </c>
      <c r="S1968" t="s">
        <v>65</v>
      </c>
      <c r="T1968" t="s">
        <v>717</v>
      </c>
      <c r="U1968" t="s">
        <v>717</v>
      </c>
      <c r="V1968" t="s">
        <v>6312</v>
      </c>
      <c r="W1968">
        <v>45147</v>
      </c>
      <c r="X1968" t="s">
        <v>8636</v>
      </c>
      <c r="Y1968" t="s">
        <v>6</v>
      </c>
      <c r="Z1968" t="s">
        <v>17</v>
      </c>
      <c r="AA1968" t="s">
        <v>6637</v>
      </c>
      <c r="AB1968" t="s">
        <v>2509</v>
      </c>
      <c r="AC1968" t="s">
        <v>2571</v>
      </c>
      <c r="AD1968" t="s">
        <v>717</v>
      </c>
      <c r="AE1968" t="s">
        <v>8637</v>
      </c>
      <c r="AF1968" t="s">
        <v>8638</v>
      </c>
      <c r="AG1968" t="s">
        <v>8639</v>
      </c>
      <c r="AH1968" t="s">
        <v>2615</v>
      </c>
      <c r="AI1968" t="s">
        <v>2552</v>
      </c>
      <c r="AJ1968" t="s">
        <v>2895</v>
      </c>
      <c r="AK1968" t="s">
        <v>1233</v>
      </c>
      <c r="AL1968" t="s">
        <v>16</v>
      </c>
      <c r="AM1968" t="s">
        <v>10</v>
      </c>
      <c r="AN1968" t="s">
        <v>717</v>
      </c>
    </row>
    <row r="1969" spans="1:40" hidden="1">
      <c r="A1969">
        <v>1968</v>
      </c>
      <c r="B1969">
        <v>13</v>
      </c>
      <c r="C1969" s="58">
        <v>45161</v>
      </c>
      <c r="D1969" t="s">
        <v>7</v>
      </c>
      <c r="E1969" t="s">
        <v>2581</v>
      </c>
      <c r="F1969">
        <v>1</v>
      </c>
      <c r="G1969">
        <v>19</v>
      </c>
      <c r="H1969">
        <v>360</v>
      </c>
      <c r="I1969">
        <v>0</v>
      </c>
      <c r="J1969">
        <v>29.35</v>
      </c>
      <c r="K1969" t="s">
        <v>25</v>
      </c>
      <c r="L1969">
        <v>3273506.08</v>
      </c>
      <c r="M1969">
        <v>0</v>
      </c>
      <c r="N1969">
        <v>3273506.08</v>
      </c>
      <c r="O1969">
        <v>111533.4269165247</v>
      </c>
      <c r="P1969">
        <v>454925</v>
      </c>
      <c r="Q1969">
        <v>2818581.08</v>
      </c>
      <c r="R1969">
        <v>96033.426916524695</v>
      </c>
      <c r="S1969" t="s">
        <v>65</v>
      </c>
      <c r="T1969" t="s">
        <v>5768</v>
      </c>
      <c r="U1969">
        <v>179909.43063829793</v>
      </c>
      <c r="V1969" t="s">
        <v>6312</v>
      </c>
      <c r="W1969">
        <v>45149</v>
      </c>
      <c r="X1969" t="s">
        <v>8640</v>
      </c>
      <c r="Y1969" t="s">
        <v>6</v>
      </c>
      <c r="Z1969" t="s">
        <v>17</v>
      </c>
      <c r="AA1969" t="s">
        <v>6637</v>
      </c>
      <c r="AB1969" t="s">
        <v>2509</v>
      </c>
      <c r="AC1969" t="s">
        <v>2571</v>
      </c>
      <c r="AD1969" t="s">
        <v>717</v>
      </c>
      <c r="AE1969" t="s">
        <v>8641</v>
      </c>
      <c r="AF1969" t="s">
        <v>8642</v>
      </c>
      <c r="AG1969" t="s">
        <v>8643</v>
      </c>
      <c r="AH1969" t="s">
        <v>2191</v>
      </c>
      <c r="AI1969" t="s">
        <v>2538</v>
      </c>
      <c r="AJ1969" t="s">
        <v>2514</v>
      </c>
      <c r="AK1969" t="s">
        <v>20</v>
      </c>
      <c r="AL1969" t="s">
        <v>16</v>
      </c>
      <c r="AM1969" t="s">
        <v>10</v>
      </c>
      <c r="AN1969" t="s">
        <v>717</v>
      </c>
    </row>
    <row r="1970" spans="1:40" hidden="1">
      <c r="A1970">
        <v>1969</v>
      </c>
      <c r="B1970">
        <v>14</v>
      </c>
      <c r="C1970" s="58">
        <v>45162</v>
      </c>
      <c r="D1970" t="s">
        <v>7</v>
      </c>
      <c r="E1970" t="s">
        <v>2506</v>
      </c>
      <c r="F1970">
        <v>6</v>
      </c>
      <c r="G1970">
        <v>5</v>
      </c>
      <c r="H1970">
        <v>150</v>
      </c>
      <c r="I1970">
        <v>1</v>
      </c>
      <c r="J1970">
        <v>36.659999999999997</v>
      </c>
      <c r="K1970" t="s">
        <v>9</v>
      </c>
      <c r="L1970">
        <v>3547958.47</v>
      </c>
      <c r="M1970">
        <v>0</v>
      </c>
      <c r="N1970">
        <v>3547958.47</v>
      </c>
      <c r="O1970">
        <v>96780.100109110761</v>
      </c>
      <c r="P1970">
        <v>0</v>
      </c>
      <c r="Q1970">
        <v>3547958.47</v>
      </c>
      <c r="R1970">
        <v>96780.100109110761</v>
      </c>
      <c r="S1970" t="s">
        <v>65</v>
      </c>
      <c r="T1970" t="s">
        <v>717</v>
      </c>
      <c r="U1970" t="s">
        <v>717</v>
      </c>
      <c r="V1970" t="s">
        <v>4131</v>
      </c>
      <c r="W1970">
        <v>45144</v>
      </c>
      <c r="X1970" t="s">
        <v>8644</v>
      </c>
      <c r="Y1970" t="s">
        <v>6</v>
      </c>
      <c r="Z1970" t="s">
        <v>17</v>
      </c>
      <c r="AA1970" t="s">
        <v>6637</v>
      </c>
      <c r="AB1970" t="s">
        <v>2509</v>
      </c>
      <c r="AC1970" t="s">
        <v>2571</v>
      </c>
      <c r="AD1970" t="s">
        <v>717</v>
      </c>
      <c r="AE1970" t="s">
        <v>8645</v>
      </c>
      <c r="AF1970" t="s">
        <v>8646</v>
      </c>
      <c r="AG1970" t="s">
        <v>8647</v>
      </c>
      <c r="AH1970" t="s">
        <v>2191</v>
      </c>
      <c r="AI1970" t="s">
        <v>2802</v>
      </c>
      <c r="AJ1970" t="s">
        <v>2514</v>
      </c>
      <c r="AK1970" t="s">
        <v>8</v>
      </c>
      <c r="AL1970" t="s">
        <v>16</v>
      </c>
      <c r="AM1970" t="s">
        <v>10</v>
      </c>
      <c r="AN1970" t="s">
        <v>717</v>
      </c>
    </row>
    <row r="1971" spans="1:40" hidden="1">
      <c r="A1971">
        <v>1970</v>
      </c>
      <c r="B1971">
        <v>15</v>
      </c>
      <c r="C1971" s="58">
        <v>45162</v>
      </c>
      <c r="D1971" t="s">
        <v>27</v>
      </c>
      <c r="E1971" t="s">
        <v>2581</v>
      </c>
      <c r="F1971">
        <v>1</v>
      </c>
      <c r="G1971">
        <v>1</v>
      </c>
      <c r="H1971">
        <v>8</v>
      </c>
      <c r="I1971" t="s">
        <v>1368</v>
      </c>
      <c r="J1971">
        <v>84.7</v>
      </c>
      <c r="K1971" t="s">
        <v>9</v>
      </c>
      <c r="L1971">
        <v>11011000</v>
      </c>
      <c r="M1971">
        <v>0</v>
      </c>
      <c r="N1971">
        <v>11011000</v>
      </c>
      <c r="O1971">
        <v>130000</v>
      </c>
      <c r="P1971">
        <v>0</v>
      </c>
      <c r="Q1971">
        <v>11011000</v>
      </c>
      <c r="R1971">
        <v>130000</v>
      </c>
      <c r="S1971" t="s">
        <v>2507</v>
      </c>
      <c r="T1971" t="s">
        <v>717</v>
      </c>
      <c r="U1971" t="s">
        <v>717</v>
      </c>
      <c r="V1971" t="s">
        <v>717</v>
      </c>
      <c r="W1971">
        <v>45148</v>
      </c>
      <c r="X1971" t="s">
        <v>7992</v>
      </c>
      <c r="Y1971" t="s">
        <v>1368</v>
      </c>
      <c r="Z1971" t="s">
        <v>17</v>
      </c>
      <c r="AA1971" t="s">
        <v>5617</v>
      </c>
      <c r="AB1971" t="s">
        <v>326</v>
      </c>
      <c r="AC1971" t="s">
        <v>717</v>
      </c>
      <c r="AD1971" t="s">
        <v>717</v>
      </c>
      <c r="AE1971" t="s">
        <v>8616</v>
      </c>
      <c r="AF1971" t="s">
        <v>8617</v>
      </c>
      <c r="AG1971" t="s">
        <v>8618</v>
      </c>
      <c r="AH1971" t="s">
        <v>2580</v>
      </c>
      <c r="AI1971" t="s">
        <v>2552</v>
      </c>
      <c r="AJ1971" t="s">
        <v>3921</v>
      </c>
      <c r="AK1971" t="s">
        <v>1233</v>
      </c>
      <c r="AL1971" t="s">
        <v>717</v>
      </c>
      <c r="AM1971" t="s">
        <v>10</v>
      </c>
      <c r="AN1971" t="s">
        <v>717</v>
      </c>
    </row>
    <row r="1972" spans="1:40" hidden="1">
      <c r="A1972">
        <v>1971</v>
      </c>
      <c r="B1972">
        <v>16</v>
      </c>
      <c r="C1972" s="58">
        <v>45162</v>
      </c>
      <c r="D1972" t="s">
        <v>7</v>
      </c>
      <c r="E1972" t="s">
        <v>4409</v>
      </c>
      <c r="F1972">
        <v>1</v>
      </c>
      <c r="G1972">
        <v>4</v>
      </c>
      <c r="H1972">
        <v>420</v>
      </c>
      <c r="I1972">
        <v>1</v>
      </c>
      <c r="J1972">
        <v>39.74</v>
      </c>
      <c r="K1972" t="s">
        <v>25</v>
      </c>
      <c r="L1972">
        <v>4349990.87</v>
      </c>
      <c r="M1972">
        <v>0</v>
      </c>
      <c r="N1972">
        <v>4349990.87</v>
      </c>
      <c r="O1972">
        <v>109461.27000503273</v>
      </c>
      <c r="P1972">
        <v>615970</v>
      </c>
      <c r="Q1972">
        <v>3734020.87</v>
      </c>
      <c r="R1972">
        <v>93961.270005032711</v>
      </c>
      <c r="S1972" t="s">
        <v>65</v>
      </c>
      <c r="T1972" t="s">
        <v>717</v>
      </c>
      <c r="U1972" t="s">
        <v>717</v>
      </c>
      <c r="V1972" t="s">
        <v>6312</v>
      </c>
      <c r="W1972">
        <v>45155</v>
      </c>
      <c r="X1972" t="s">
        <v>8648</v>
      </c>
      <c r="Y1972" t="s">
        <v>6</v>
      </c>
      <c r="Z1972" t="s">
        <v>17</v>
      </c>
      <c r="AA1972" t="s">
        <v>6637</v>
      </c>
      <c r="AB1972" t="s">
        <v>2509</v>
      </c>
      <c r="AC1972" t="s">
        <v>2571</v>
      </c>
      <c r="AD1972" t="s">
        <v>717</v>
      </c>
      <c r="AE1972" t="s">
        <v>8649</v>
      </c>
      <c r="AF1972" t="s">
        <v>8650</v>
      </c>
      <c r="AG1972" t="s">
        <v>8651</v>
      </c>
      <c r="AH1972" t="s">
        <v>2615</v>
      </c>
      <c r="AI1972" t="s">
        <v>2552</v>
      </c>
      <c r="AJ1972" t="s">
        <v>2895</v>
      </c>
      <c r="AK1972" t="s">
        <v>20</v>
      </c>
      <c r="AL1972" t="s">
        <v>22</v>
      </c>
      <c r="AM1972" t="s">
        <v>10</v>
      </c>
      <c r="AN1972" t="s">
        <v>717</v>
      </c>
    </row>
    <row r="1973" spans="1:40" hidden="1">
      <c r="A1973">
        <v>1972</v>
      </c>
      <c r="B1973">
        <v>17</v>
      </c>
      <c r="C1973" s="58">
        <v>45162</v>
      </c>
      <c r="D1973" t="s">
        <v>7</v>
      </c>
      <c r="E1973" t="s">
        <v>4409</v>
      </c>
      <c r="F1973">
        <v>6</v>
      </c>
      <c r="G1973">
        <v>4</v>
      </c>
      <c r="H1973">
        <v>425</v>
      </c>
      <c r="I1973">
        <v>2</v>
      </c>
      <c r="J1973">
        <v>58.62</v>
      </c>
      <c r="K1973" t="s">
        <v>25</v>
      </c>
      <c r="L1973">
        <v>5706142.79</v>
      </c>
      <c r="M1973">
        <v>0</v>
      </c>
      <c r="N1973">
        <v>5706142.79</v>
      </c>
      <c r="O1973">
        <v>97341.22807915388</v>
      </c>
      <c r="P1973">
        <v>908610</v>
      </c>
      <c r="Q1973">
        <v>4797532.79</v>
      </c>
      <c r="R1973">
        <v>81841.22807915388</v>
      </c>
      <c r="S1973" t="s">
        <v>65</v>
      </c>
      <c r="T1973" t="s">
        <v>2664</v>
      </c>
      <c r="U1973">
        <v>148377.29999999999</v>
      </c>
      <c r="V1973" t="s">
        <v>4131</v>
      </c>
      <c r="W1973">
        <v>45156</v>
      </c>
      <c r="X1973" t="s">
        <v>8652</v>
      </c>
      <c r="Y1973" t="s">
        <v>6</v>
      </c>
      <c r="Z1973" t="s">
        <v>17</v>
      </c>
      <c r="AA1973" t="s">
        <v>6637</v>
      </c>
      <c r="AB1973" t="s">
        <v>2509</v>
      </c>
      <c r="AC1973" t="s">
        <v>2571</v>
      </c>
      <c r="AD1973" t="s">
        <v>717</v>
      </c>
      <c r="AE1973" t="s">
        <v>8653</v>
      </c>
      <c r="AF1973" t="s">
        <v>8654</v>
      </c>
      <c r="AG1973" t="s">
        <v>8655</v>
      </c>
      <c r="AH1973" t="s">
        <v>2191</v>
      </c>
      <c r="AI1973" t="s">
        <v>2706</v>
      </c>
      <c r="AJ1973" t="s">
        <v>2514</v>
      </c>
      <c r="AK1973" t="s">
        <v>8</v>
      </c>
      <c r="AL1973" t="s">
        <v>16</v>
      </c>
      <c r="AM1973" t="s">
        <v>10</v>
      </c>
      <c r="AN1973" t="s">
        <v>717</v>
      </c>
    </row>
    <row r="1974" spans="1:40" hidden="1">
      <c r="A1974">
        <v>1973</v>
      </c>
      <c r="B1974">
        <v>18</v>
      </c>
      <c r="C1974" s="58">
        <v>45162</v>
      </c>
      <c r="D1974" t="s">
        <v>7</v>
      </c>
      <c r="E1974" t="s">
        <v>2581</v>
      </c>
      <c r="F1974">
        <v>1</v>
      </c>
      <c r="G1974">
        <v>12</v>
      </c>
      <c r="H1974">
        <v>311</v>
      </c>
      <c r="I1974">
        <v>0</v>
      </c>
      <c r="J1974">
        <v>29.35</v>
      </c>
      <c r="K1974" t="s">
        <v>15</v>
      </c>
      <c r="L1974">
        <v>2822538.83</v>
      </c>
      <c r="M1974">
        <v>0</v>
      </c>
      <c r="N1974">
        <v>2822538.83</v>
      </c>
      <c r="O1974">
        <v>96168.273594548547</v>
      </c>
      <c r="P1974">
        <v>132075</v>
      </c>
      <c r="Q1974">
        <v>2690463.83</v>
      </c>
      <c r="R1974">
        <v>91668.273594548547</v>
      </c>
      <c r="S1974" t="s">
        <v>65</v>
      </c>
      <c r="T1974" t="s">
        <v>5768</v>
      </c>
      <c r="U1974">
        <v>171731.73360000001</v>
      </c>
      <c r="V1974" t="s">
        <v>6312</v>
      </c>
      <c r="W1974">
        <v>45160</v>
      </c>
      <c r="X1974" t="s">
        <v>8656</v>
      </c>
      <c r="Y1974" t="s">
        <v>6</v>
      </c>
      <c r="Z1974" t="s">
        <v>17</v>
      </c>
      <c r="AA1974" t="s">
        <v>6637</v>
      </c>
      <c r="AB1974" t="s">
        <v>2509</v>
      </c>
      <c r="AC1974" t="s">
        <v>2571</v>
      </c>
      <c r="AD1974" t="s">
        <v>717</v>
      </c>
      <c r="AE1974" t="s">
        <v>8657</v>
      </c>
      <c r="AF1974" t="s">
        <v>8658</v>
      </c>
      <c r="AG1974" t="s">
        <v>8659</v>
      </c>
      <c r="AH1974" t="s">
        <v>2191</v>
      </c>
      <c r="AI1974" t="s">
        <v>2538</v>
      </c>
      <c r="AJ1974" t="s">
        <v>2514</v>
      </c>
      <c r="AK1974" t="s">
        <v>73</v>
      </c>
      <c r="AL1974" t="s">
        <v>16</v>
      </c>
      <c r="AM1974" t="s">
        <v>10</v>
      </c>
      <c r="AN1974" t="s">
        <v>717</v>
      </c>
    </row>
    <row r="1975" spans="1:40" hidden="1">
      <c r="A1975">
        <v>1974</v>
      </c>
      <c r="B1975">
        <v>19</v>
      </c>
      <c r="C1975" s="58">
        <v>45162</v>
      </c>
      <c r="D1975" t="s">
        <v>7</v>
      </c>
      <c r="E1975" t="s">
        <v>2581</v>
      </c>
      <c r="F1975">
        <v>6</v>
      </c>
      <c r="G1975">
        <v>19</v>
      </c>
      <c r="H1975">
        <v>365</v>
      </c>
      <c r="I1975">
        <v>3</v>
      </c>
      <c r="J1975">
        <v>72.510000000000005</v>
      </c>
      <c r="K1975" t="s">
        <v>15</v>
      </c>
      <c r="L1975">
        <v>6115948.0099999998</v>
      </c>
      <c r="M1975">
        <v>0</v>
      </c>
      <c r="N1975">
        <v>6115948.0099999998</v>
      </c>
      <c r="O1975">
        <v>84346.269617983722</v>
      </c>
      <c r="P1975">
        <v>326295</v>
      </c>
      <c r="Q1975">
        <v>5789653.0099999998</v>
      </c>
      <c r="R1975">
        <v>79846.269617983722</v>
      </c>
      <c r="S1975" t="s">
        <v>65</v>
      </c>
      <c r="T1975" t="s">
        <v>5768</v>
      </c>
      <c r="U1975">
        <v>369552.32</v>
      </c>
      <c r="V1975" t="s">
        <v>6312</v>
      </c>
      <c r="W1975">
        <v>45159</v>
      </c>
      <c r="X1975" t="s">
        <v>8660</v>
      </c>
      <c r="Y1975" t="s">
        <v>6</v>
      </c>
      <c r="Z1975" t="s">
        <v>17</v>
      </c>
      <c r="AA1975" t="s">
        <v>6637</v>
      </c>
      <c r="AB1975" t="s">
        <v>2509</v>
      </c>
      <c r="AC1975" t="s">
        <v>2571</v>
      </c>
      <c r="AD1975" t="s">
        <v>717</v>
      </c>
      <c r="AE1975" t="s">
        <v>8661</v>
      </c>
      <c r="AF1975" t="s">
        <v>8662</v>
      </c>
      <c r="AG1975" t="s">
        <v>8663</v>
      </c>
      <c r="AH1975" t="s">
        <v>2615</v>
      </c>
      <c r="AI1975" t="s">
        <v>2847</v>
      </c>
      <c r="AJ1975" t="s">
        <v>2657</v>
      </c>
      <c r="AK1975" t="s">
        <v>77</v>
      </c>
      <c r="AL1975" t="s">
        <v>22</v>
      </c>
      <c r="AM1975" t="s">
        <v>10</v>
      </c>
      <c r="AN1975" t="s">
        <v>717</v>
      </c>
    </row>
    <row r="1976" spans="1:40" hidden="1">
      <c r="A1976">
        <v>1975</v>
      </c>
      <c r="B1976">
        <v>20</v>
      </c>
      <c r="C1976" s="58">
        <v>45163</v>
      </c>
      <c r="D1976" t="s">
        <v>7</v>
      </c>
      <c r="E1976" t="s">
        <v>4409</v>
      </c>
      <c r="F1976">
        <v>2</v>
      </c>
      <c r="G1976">
        <v>6</v>
      </c>
      <c r="H1976">
        <v>439</v>
      </c>
      <c r="I1976">
        <v>1</v>
      </c>
      <c r="J1976">
        <v>38.6</v>
      </c>
      <c r="K1976" t="s">
        <v>25</v>
      </c>
      <c r="L1976">
        <v>4278442.91</v>
      </c>
      <c r="M1976">
        <v>0</v>
      </c>
      <c r="N1976">
        <v>4278442.91</v>
      </c>
      <c r="O1976">
        <v>110840.48989637304</v>
      </c>
      <c r="P1976">
        <v>579000</v>
      </c>
      <c r="Q1976">
        <v>3699442.91</v>
      </c>
      <c r="R1976">
        <v>95840.489896373052</v>
      </c>
      <c r="S1976" t="s">
        <v>65</v>
      </c>
      <c r="T1976" t="s">
        <v>717</v>
      </c>
      <c r="U1976" t="s">
        <v>717</v>
      </c>
      <c r="V1976" t="s">
        <v>6312</v>
      </c>
      <c r="W1976">
        <v>45156</v>
      </c>
      <c r="X1976" t="s">
        <v>8664</v>
      </c>
      <c r="Y1976" t="s">
        <v>6</v>
      </c>
      <c r="Z1976" t="s">
        <v>17</v>
      </c>
      <c r="AA1976" t="s">
        <v>6637</v>
      </c>
      <c r="AB1976" t="s">
        <v>2509</v>
      </c>
      <c r="AC1976" t="s">
        <v>2571</v>
      </c>
      <c r="AD1976" t="s">
        <v>717</v>
      </c>
      <c r="AE1976" t="s">
        <v>8665</v>
      </c>
      <c r="AF1976" t="s">
        <v>8666</v>
      </c>
      <c r="AG1976" t="s">
        <v>8667</v>
      </c>
      <c r="AH1976" t="s">
        <v>2552</v>
      </c>
      <c r="AI1976" t="s">
        <v>2877</v>
      </c>
      <c r="AJ1976" t="s">
        <v>3098</v>
      </c>
      <c r="AK1976" t="s">
        <v>73</v>
      </c>
      <c r="AL1976" t="s">
        <v>22</v>
      </c>
      <c r="AM1976" t="s">
        <v>10</v>
      </c>
      <c r="AN1976" t="s">
        <v>717</v>
      </c>
    </row>
    <row r="1977" spans="1:40" hidden="1">
      <c r="A1977">
        <v>1976</v>
      </c>
      <c r="B1977">
        <v>21</v>
      </c>
      <c r="C1977" s="58">
        <v>45163</v>
      </c>
      <c r="D1977" t="s">
        <v>7</v>
      </c>
      <c r="E1977" t="s">
        <v>4409</v>
      </c>
      <c r="F1977">
        <v>8</v>
      </c>
      <c r="G1977">
        <v>2</v>
      </c>
      <c r="H1977">
        <v>409</v>
      </c>
      <c r="I1977">
        <v>2</v>
      </c>
      <c r="J1977">
        <v>63.74</v>
      </c>
      <c r="K1977" t="s">
        <v>9</v>
      </c>
      <c r="L1977">
        <v>5221258.91</v>
      </c>
      <c r="M1977">
        <v>0</v>
      </c>
      <c r="N1977">
        <v>5221258.91</v>
      </c>
      <c r="O1977">
        <v>81914.949952933792</v>
      </c>
      <c r="P1977">
        <v>0</v>
      </c>
      <c r="Q1977">
        <v>5221258.91</v>
      </c>
      <c r="R1977">
        <v>81914.949952933792</v>
      </c>
      <c r="S1977" t="s">
        <v>65</v>
      </c>
      <c r="T1977" t="s">
        <v>717</v>
      </c>
      <c r="U1977" t="s">
        <v>717</v>
      </c>
      <c r="V1977" t="s">
        <v>6312</v>
      </c>
      <c r="W1977">
        <v>45159</v>
      </c>
      <c r="X1977" t="s">
        <v>8668</v>
      </c>
      <c r="Y1977" t="s">
        <v>6</v>
      </c>
      <c r="Z1977" t="s">
        <v>17</v>
      </c>
      <c r="AA1977" t="s">
        <v>6637</v>
      </c>
      <c r="AB1977" t="s">
        <v>2509</v>
      </c>
      <c r="AC1977" t="s">
        <v>2571</v>
      </c>
      <c r="AD1977" t="s">
        <v>717</v>
      </c>
      <c r="AE1977" t="s">
        <v>8669</v>
      </c>
      <c r="AF1977" t="s">
        <v>8670</v>
      </c>
      <c r="AG1977" t="s">
        <v>8671</v>
      </c>
      <c r="AH1977" t="s">
        <v>2191</v>
      </c>
      <c r="AI1977" t="s">
        <v>2538</v>
      </c>
      <c r="AJ1977" t="s">
        <v>2514</v>
      </c>
      <c r="AK1977" t="s">
        <v>73</v>
      </c>
      <c r="AL1977" t="s">
        <v>16</v>
      </c>
      <c r="AM1977" t="s">
        <v>10</v>
      </c>
      <c r="AN1977" t="s">
        <v>717</v>
      </c>
    </row>
    <row r="1978" spans="1:40" hidden="1">
      <c r="A1978">
        <v>1977</v>
      </c>
      <c r="B1978">
        <v>22</v>
      </c>
      <c r="C1978" s="58">
        <v>45163</v>
      </c>
      <c r="D1978" t="s">
        <v>7</v>
      </c>
      <c r="E1978" t="s">
        <v>2515</v>
      </c>
      <c r="F1978">
        <v>5</v>
      </c>
      <c r="G1978">
        <v>3</v>
      </c>
      <c r="H1978">
        <v>13</v>
      </c>
      <c r="I1978">
        <v>2</v>
      </c>
      <c r="J1978">
        <v>54.66</v>
      </c>
      <c r="K1978" t="s">
        <v>25</v>
      </c>
      <c r="L1978">
        <v>5642601.54</v>
      </c>
      <c r="M1978">
        <v>0</v>
      </c>
      <c r="N1978">
        <v>5642601.54</v>
      </c>
      <c r="O1978">
        <v>103230.90998902306</v>
      </c>
      <c r="P1978">
        <v>847230</v>
      </c>
      <c r="Q1978">
        <v>4795371.54</v>
      </c>
      <c r="R1978">
        <v>87730.909989023057</v>
      </c>
      <c r="S1978" t="s">
        <v>65</v>
      </c>
      <c r="T1978" t="s">
        <v>717</v>
      </c>
      <c r="U1978" t="s">
        <v>717</v>
      </c>
      <c r="V1978" t="s">
        <v>6312</v>
      </c>
      <c r="W1978">
        <v>45161</v>
      </c>
      <c r="X1978" t="s">
        <v>8672</v>
      </c>
      <c r="Y1978" t="s">
        <v>6</v>
      </c>
      <c r="Z1978" t="s">
        <v>17</v>
      </c>
      <c r="AA1978" t="s">
        <v>6637</v>
      </c>
      <c r="AB1978" t="s">
        <v>2509</v>
      </c>
      <c r="AC1978" t="s">
        <v>2571</v>
      </c>
      <c r="AD1978" t="s">
        <v>717</v>
      </c>
      <c r="AE1978" t="s">
        <v>8673</v>
      </c>
      <c r="AF1978" t="s">
        <v>8674</v>
      </c>
      <c r="AG1978" t="s">
        <v>8675</v>
      </c>
      <c r="AH1978" t="s">
        <v>2615</v>
      </c>
      <c r="AI1978" t="s">
        <v>6951</v>
      </c>
      <c r="AJ1978" t="s">
        <v>2662</v>
      </c>
      <c r="AK1978" t="s">
        <v>1233</v>
      </c>
      <c r="AL1978" t="s">
        <v>22</v>
      </c>
      <c r="AM1978" t="s">
        <v>10</v>
      </c>
      <c r="AN1978" t="s">
        <v>717</v>
      </c>
    </row>
    <row r="1979" spans="1:40" hidden="1">
      <c r="A1979">
        <v>1978</v>
      </c>
      <c r="B1979">
        <v>23</v>
      </c>
      <c r="C1979" s="58">
        <v>45166</v>
      </c>
      <c r="D1979" t="s">
        <v>7</v>
      </c>
      <c r="E1979" t="s">
        <v>4409</v>
      </c>
      <c r="F1979">
        <v>6</v>
      </c>
      <c r="G1979">
        <v>2</v>
      </c>
      <c r="H1979">
        <v>407</v>
      </c>
      <c r="I1979">
        <v>2</v>
      </c>
      <c r="J1979">
        <v>58.62</v>
      </c>
      <c r="K1979" t="s">
        <v>25</v>
      </c>
      <c r="L1979">
        <v>5806501.5199999996</v>
      </c>
      <c r="M1979">
        <v>0</v>
      </c>
      <c r="N1979">
        <v>5806501.5199999996</v>
      </c>
      <c r="O1979">
        <v>99053.25008529512</v>
      </c>
      <c r="P1979">
        <v>908610</v>
      </c>
      <c r="Q1979">
        <v>4897891.5199999996</v>
      </c>
      <c r="R1979">
        <v>83553.25008529512</v>
      </c>
      <c r="S1979" t="s">
        <v>65</v>
      </c>
      <c r="T1979" t="s">
        <v>717</v>
      </c>
      <c r="U1979" t="s">
        <v>717</v>
      </c>
      <c r="V1979" t="s">
        <v>4131</v>
      </c>
      <c r="W1979">
        <v>45157</v>
      </c>
      <c r="X1979" t="s">
        <v>8676</v>
      </c>
      <c r="Y1979" t="s">
        <v>6</v>
      </c>
      <c r="Z1979" t="s">
        <v>17</v>
      </c>
      <c r="AA1979" t="s">
        <v>6637</v>
      </c>
      <c r="AB1979" t="s">
        <v>2509</v>
      </c>
      <c r="AC1979" t="s">
        <v>2571</v>
      </c>
      <c r="AD1979" t="s">
        <v>717</v>
      </c>
      <c r="AE1979" t="s">
        <v>8677</v>
      </c>
      <c r="AF1979" t="s">
        <v>8678</v>
      </c>
      <c r="AG1979" t="s">
        <v>8679</v>
      </c>
      <c r="AH1979" t="s">
        <v>2616</v>
      </c>
      <c r="AI1979" t="s">
        <v>2552</v>
      </c>
      <c r="AJ1979" t="s">
        <v>2895</v>
      </c>
      <c r="AK1979" t="s">
        <v>77</v>
      </c>
      <c r="AL1979" t="s">
        <v>16</v>
      </c>
      <c r="AM1979" t="s">
        <v>10</v>
      </c>
      <c r="AN1979" t="s">
        <v>8680</v>
      </c>
    </row>
    <row r="1980" spans="1:40" hidden="1">
      <c r="A1980">
        <v>1979</v>
      </c>
      <c r="B1980">
        <v>24</v>
      </c>
      <c r="C1980" s="58">
        <v>45166</v>
      </c>
      <c r="D1980" t="s">
        <v>7</v>
      </c>
      <c r="E1980" t="s">
        <v>2506</v>
      </c>
      <c r="F1980">
        <v>6</v>
      </c>
      <c r="G1980">
        <v>13</v>
      </c>
      <c r="H1980">
        <v>214</v>
      </c>
      <c r="I1980">
        <v>1</v>
      </c>
      <c r="J1980">
        <v>36.659999999999997</v>
      </c>
      <c r="K1980" t="s">
        <v>15</v>
      </c>
      <c r="L1980">
        <v>3747374.94</v>
      </c>
      <c r="M1980">
        <v>0</v>
      </c>
      <c r="N1980">
        <v>3747374.94</v>
      </c>
      <c r="O1980">
        <v>102219.72013093292</v>
      </c>
      <c r="P1980">
        <v>164969.99999999997</v>
      </c>
      <c r="Q1980">
        <v>3582404.94</v>
      </c>
      <c r="R1980">
        <v>97719.720130932925</v>
      </c>
      <c r="S1980" t="s">
        <v>65</v>
      </c>
      <c r="T1980" t="s">
        <v>717</v>
      </c>
      <c r="U1980" t="s">
        <v>717</v>
      </c>
      <c r="V1980" t="s">
        <v>4131</v>
      </c>
      <c r="W1980">
        <v>45158</v>
      </c>
      <c r="X1980" t="s">
        <v>8681</v>
      </c>
      <c r="Y1980" t="s">
        <v>6</v>
      </c>
      <c r="Z1980" t="s">
        <v>17</v>
      </c>
      <c r="AA1980" t="s">
        <v>6637</v>
      </c>
      <c r="AB1980" t="s">
        <v>2509</v>
      </c>
      <c r="AC1980" t="s">
        <v>2571</v>
      </c>
      <c r="AD1980" t="s">
        <v>717</v>
      </c>
      <c r="AE1980" t="s">
        <v>8682</v>
      </c>
      <c r="AF1980" t="s">
        <v>8683</v>
      </c>
      <c r="AG1980" t="s">
        <v>8684</v>
      </c>
      <c r="AH1980" t="s">
        <v>2191</v>
      </c>
      <c r="AI1980" t="s">
        <v>2552</v>
      </c>
      <c r="AJ1980" t="s">
        <v>2514</v>
      </c>
      <c r="AK1980" t="s">
        <v>8</v>
      </c>
      <c r="AL1980" t="s">
        <v>22</v>
      </c>
      <c r="AM1980" t="s">
        <v>10</v>
      </c>
      <c r="AN1980" t="s">
        <v>717</v>
      </c>
    </row>
    <row r="1981" spans="1:40" hidden="1">
      <c r="A1981">
        <v>1980</v>
      </c>
      <c r="B1981">
        <v>25</v>
      </c>
      <c r="C1981" s="58">
        <v>45166</v>
      </c>
      <c r="D1981" t="s">
        <v>7</v>
      </c>
      <c r="E1981" t="s">
        <v>4409</v>
      </c>
      <c r="F1981">
        <v>6</v>
      </c>
      <c r="G1981">
        <v>12</v>
      </c>
      <c r="H1981">
        <v>497</v>
      </c>
      <c r="I1981">
        <v>2</v>
      </c>
      <c r="J1981">
        <v>58.62</v>
      </c>
      <c r="K1981" t="s">
        <v>9</v>
      </c>
      <c r="L1981">
        <v>5193205.59</v>
      </c>
      <c r="M1981">
        <v>0</v>
      </c>
      <c r="N1981">
        <v>5193205.59</v>
      </c>
      <c r="O1981">
        <v>88591.019959058336</v>
      </c>
      <c r="P1981">
        <v>0</v>
      </c>
      <c r="Q1981">
        <v>5193205.59</v>
      </c>
      <c r="R1981">
        <v>88591.019959058336</v>
      </c>
      <c r="S1981" t="s">
        <v>65</v>
      </c>
      <c r="T1981" t="s">
        <v>717</v>
      </c>
      <c r="U1981" t="s">
        <v>717</v>
      </c>
      <c r="V1981" t="s">
        <v>4131</v>
      </c>
      <c r="W1981">
        <v>45159</v>
      </c>
      <c r="X1981" t="s">
        <v>8685</v>
      </c>
      <c r="Y1981" t="s">
        <v>2517</v>
      </c>
      <c r="Z1981" t="s">
        <v>17</v>
      </c>
      <c r="AA1981" t="s">
        <v>6637</v>
      </c>
      <c r="AB1981" t="s">
        <v>2509</v>
      </c>
      <c r="AC1981" t="s">
        <v>2571</v>
      </c>
      <c r="AD1981">
        <v>45260</v>
      </c>
      <c r="AE1981" t="s">
        <v>8686</v>
      </c>
      <c r="AF1981" t="s">
        <v>8687</v>
      </c>
      <c r="AG1981" t="s">
        <v>8688</v>
      </c>
      <c r="AH1981" t="s">
        <v>2191</v>
      </c>
      <c r="AI1981" t="s">
        <v>2552</v>
      </c>
      <c r="AJ1981" t="s">
        <v>2514</v>
      </c>
      <c r="AK1981" t="s">
        <v>77</v>
      </c>
      <c r="AL1981" t="s">
        <v>22</v>
      </c>
      <c r="AM1981" t="s">
        <v>10</v>
      </c>
      <c r="AN1981" t="s">
        <v>717</v>
      </c>
    </row>
    <row r="1982" spans="1:40" hidden="1">
      <c r="A1982">
        <v>1981</v>
      </c>
      <c r="B1982">
        <v>26</v>
      </c>
      <c r="C1982" s="58">
        <v>45166</v>
      </c>
      <c r="D1982" t="s">
        <v>7</v>
      </c>
      <c r="E1982" t="s">
        <v>2581</v>
      </c>
      <c r="F1982">
        <v>3</v>
      </c>
      <c r="G1982">
        <v>13</v>
      </c>
      <c r="H1982">
        <v>320</v>
      </c>
      <c r="I1982">
        <v>0</v>
      </c>
      <c r="J1982">
        <v>36.450000000000003</v>
      </c>
      <c r="K1982" t="s">
        <v>15</v>
      </c>
      <c r="L1982">
        <v>3583195.74</v>
      </c>
      <c r="M1982">
        <v>0</v>
      </c>
      <c r="N1982">
        <v>3583195.74</v>
      </c>
      <c r="O1982">
        <v>98304.409876543214</v>
      </c>
      <c r="P1982">
        <v>164025</v>
      </c>
      <c r="Q1982">
        <v>3419170.74</v>
      </c>
      <c r="R1982">
        <v>93804.409876543214</v>
      </c>
      <c r="S1982" t="s">
        <v>65</v>
      </c>
      <c r="T1982" t="s">
        <v>717</v>
      </c>
      <c r="U1982" t="s">
        <v>717</v>
      </c>
      <c r="V1982" t="s">
        <v>4131</v>
      </c>
      <c r="W1982">
        <v>45161</v>
      </c>
      <c r="X1982" t="s">
        <v>8689</v>
      </c>
      <c r="Y1982" t="s">
        <v>6</v>
      </c>
      <c r="Z1982" t="s">
        <v>17</v>
      </c>
      <c r="AA1982" t="s">
        <v>6637</v>
      </c>
      <c r="AB1982" t="s">
        <v>2509</v>
      </c>
      <c r="AC1982" t="s">
        <v>2571</v>
      </c>
      <c r="AD1982" t="s">
        <v>717</v>
      </c>
      <c r="AE1982" t="s">
        <v>8690</v>
      </c>
      <c r="AF1982" t="s">
        <v>8691</v>
      </c>
      <c r="AG1982" t="s">
        <v>8692</v>
      </c>
      <c r="AH1982" t="s">
        <v>2191</v>
      </c>
      <c r="AI1982" t="s">
        <v>2552</v>
      </c>
      <c r="AJ1982" t="s">
        <v>2514</v>
      </c>
      <c r="AK1982" t="s">
        <v>8</v>
      </c>
      <c r="AL1982" t="s">
        <v>16</v>
      </c>
      <c r="AM1982" t="s">
        <v>10</v>
      </c>
      <c r="AN1982" t="s">
        <v>717</v>
      </c>
    </row>
    <row r="1983" spans="1:40" hidden="1">
      <c r="A1983">
        <v>1982</v>
      </c>
      <c r="B1983">
        <v>27</v>
      </c>
      <c r="C1983" s="58">
        <v>45167</v>
      </c>
      <c r="D1983" t="s">
        <v>7</v>
      </c>
      <c r="E1983" t="s">
        <v>2506</v>
      </c>
      <c r="F1983">
        <v>7</v>
      </c>
      <c r="G1983">
        <v>11</v>
      </c>
      <c r="H1983">
        <v>199</v>
      </c>
      <c r="I1983">
        <v>3</v>
      </c>
      <c r="J1983">
        <v>78.73</v>
      </c>
      <c r="K1983" t="s">
        <v>25</v>
      </c>
      <c r="L1983">
        <v>7583121.6500000004</v>
      </c>
      <c r="M1983">
        <v>0</v>
      </c>
      <c r="N1983">
        <v>7583121.6500000004</v>
      </c>
      <c r="O1983">
        <v>96318.069986028204</v>
      </c>
      <c r="P1983">
        <v>1220315</v>
      </c>
      <c r="Q1983">
        <v>6362806.6500000004</v>
      </c>
      <c r="R1983">
        <v>80818.069986028204</v>
      </c>
      <c r="S1983" t="s">
        <v>65</v>
      </c>
      <c r="T1983" t="s">
        <v>717</v>
      </c>
      <c r="U1983" t="s">
        <v>717</v>
      </c>
      <c r="V1983" t="s">
        <v>6312</v>
      </c>
      <c r="W1983">
        <v>45158</v>
      </c>
      <c r="X1983" t="s">
        <v>8693</v>
      </c>
      <c r="Y1983" t="s">
        <v>6</v>
      </c>
      <c r="Z1983" t="s">
        <v>17</v>
      </c>
      <c r="AA1983" t="s">
        <v>6637</v>
      </c>
      <c r="AB1983" t="s">
        <v>2509</v>
      </c>
      <c r="AC1983" t="s">
        <v>2571</v>
      </c>
      <c r="AD1983" t="s">
        <v>717</v>
      </c>
      <c r="AE1983" t="s">
        <v>8694</v>
      </c>
      <c r="AF1983" t="s">
        <v>8695</v>
      </c>
      <c r="AG1983" t="s">
        <v>8696</v>
      </c>
      <c r="AH1983" t="s">
        <v>2615</v>
      </c>
      <c r="AI1983" t="s">
        <v>2552</v>
      </c>
      <c r="AJ1983" t="s">
        <v>2662</v>
      </c>
      <c r="AK1983" t="s">
        <v>8</v>
      </c>
      <c r="AL1983" t="s">
        <v>22</v>
      </c>
      <c r="AM1983" t="s">
        <v>10</v>
      </c>
      <c r="AN1983" t="s">
        <v>717</v>
      </c>
    </row>
    <row r="1984" spans="1:40" hidden="1">
      <c r="A1984">
        <v>1983</v>
      </c>
      <c r="B1984">
        <v>28</v>
      </c>
      <c r="C1984" s="58">
        <v>45167</v>
      </c>
      <c r="D1984" t="s">
        <v>7</v>
      </c>
      <c r="E1984" t="s">
        <v>4409</v>
      </c>
      <c r="F1984">
        <v>2</v>
      </c>
      <c r="G1984">
        <v>2</v>
      </c>
      <c r="H1984">
        <v>403</v>
      </c>
      <c r="I1984">
        <v>1</v>
      </c>
      <c r="J1984">
        <v>38.6</v>
      </c>
      <c r="K1984" t="s">
        <v>25</v>
      </c>
      <c r="L1984">
        <v>4297742.91</v>
      </c>
      <c r="M1984">
        <v>0</v>
      </c>
      <c r="N1984">
        <v>4297742.91</v>
      </c>
      <c r="O1984">
        <v>111340.48989637304</v>
      </c>
      <c r="P1984">
        <v>598300</v>
      </c>
      <c r="Q1984">
        <v>3699442.91</v>
      </c>
      <c r="R1984">
        <v>95840.489896373052</v>
      </c>
      <c r="S1984" t="s">
        <v>65</v>
      </c>
      <c r="T1984" t="s">
        <v>717</v>
      </c>
      <c r="U1984" t="s">
        <v>717</v>
      </c>
      <c r="V1984" t="s">
        <v>6312</v>
      </c>
      <c r="W1984">
        <v>45160</v>
      </c>
      <c r="X1984" t="s">
        <v>8697</v>
      </c>
      <c r="Y1984" t="s">
        <v>6</v>
      </c>
      <c r="Z1984" t="s">
        <v>17</v>
      </c>
      <c r="AA1984" t="s">
        <v>6637</v>
      </c>
      <c r="AB1984" t="s">
        <v>2509</v>
      </c>
      <c r="AC1984" t="s">
        <v>2571</v>
      </c>
      <c r="AD1984" t="s">
        <v>717</v>
      </c>
      <c r="AE1984" t="s">
        <v>8698</v>
      </c>
      <c r="AF1984" t="s">
        <v>8699</v>
      </c>
      <c r="AG1984" t="s">
        <v>8700</v>
      </c>
      <c r="AH1984" t="s">
        <v>2191</v>
      </c>
      <c r="AI1984" t="s">
        <v>2552</v>
      </c>
      <c r="AJ1984" t="s">
        <v>2514</v>
      </c>
      <c r="AK1984" t="s">
        <v>20</v>
      </c>
      <c r="AL1984" t="s">
        <v>16</v>
      </c>
      <c r="AM1984" t="s">
        <v>10</v>
      </c>
      <c r="AN1984" t="s">
        <v>717</v>
      </c>
    </row>
    <row r="1985" spans="1:40" hidden="1">
      <c r="A1985">
        <v>1984</v>
      </c>
      <c r="B1985">
        <v>29</v>
      </c>
      <c r="C1985" s="58">
        <v>45167</v>
      </c>
      <c r="D1985" t="s">
        <v>7</v>
      </c>
      <c r="E1985" t="s">
        <v>2515</v>
      </c>
      <c r="F1985">
        <v>8</v>
      </c>
      <c r="G1985">
        <v>10</v>
      </c>
      <c r="H1985">
        <v>72</v>
      </c>
      <c r="I1985">
        <v>0</v>
      </c>
      <c r="J1985">
        <v>21.73</v>
      </c>
      <c r="K1985" t="s">
        <v>25</v>
      </c>
      <c r="L1985">
        <v>2760591.8</v>
      </c>
      <c r="M1985">
        <v>0</v>
      </c>
      <c r="N1985">
        <v>2760591.8</v>
      </c>
      <c r="O1985">
        <v>127040.57984353427</v>
      </c>
      <c r="P1985">
        <v>336815</v>
      </c>
      <c r="Q1985">
        <v>2423776.7999999998</v>
      </c>
      <c r="R1985">
        <v>111540.57984353427</v>
      </c>
      <c r="S1985" t="s">
        <v>65</v>
      </c>
      <c r="T1985" t="s">
        <v>717</v>
      </c>
      <c r="U1985" t="s">
        <v>717</v>
      </c>
      <c r="V1985" t="s">
        <v>4131</v>
      </c>
      <c r="W1985">
        <v>45160</v>
      </c>
      <c r="X1985" t="s">
        <v>8701</v>
      </c>
      <c r="Y1985" t="s">
        <v>6</v>
      </c>
      <c r="Z1985" t="s">
        <v>17</v>
      </c>
      <c r="AA1985" t="s">
        <v>6637</v>
      </c>
      <c r="AB1985" t="s">
        <v>2509</v>
      </c>
      <c r="AC1985" t="s">
        <v>2571</v>
      </c>
      <c r="AD1985" t="s">
        <v>717</v>
      </c>
      <c r="AE1985" t="s">
        <v>8702</v>
      </c>
      <c r="AF1985" t="s">
        <v>8703</v>
      </c>
      <c r="AG1985" t="s">
        <v>8704</v>
      </c>
      <c r="AH1985" t="s">
        <v>2191</v>
      </c>
      <c r="AI1985" t="s">
        <v>2552</v>
      </c>
      <c r="AJ1985" t="s">
        <v>2514</v>
      </c>
      <c r="AK1985" t="s">
        <v>20</v>
      </c>
      <c r="AL1985" t="s">
        <v>16</v>
      </c>
      <c r="AM1985" t="s">
        <v>10</v>
      </c>
      <c r="AN1985" t="s">
        <v>717</v>
      </c>
    </row>
    <row r="1986" spans="1:40" hidden="1">
      <c r="A1986">
        <v>1985</v>
      </c>
      <c r="B1986">
        <v>30</v>
      </c>
      <c r="C1986" s="58">
        <v>45167</v>
      </c>
      <c r="D1986" t="s">
        <v>7</v>
      </c>
      <c r="E1986" t="s">
        <v>2515</v>
      </c>
      <c r="F1986">
        <v>6</v>
      </c>
      <c r="G1986">
        <v>10</v>
      </c>
      <c r="H1986">
        <v>70</v>
      </c>
      <c r="I1986">
        <v>2</v>
      </c>
      <c r="J1986">
        <v>59.87</v>
      </c>
      <c r="K1986" t="s">
        <v>25</v>
      </c>
      <c r="L1986">
        <v>6373975.7300000004</v>
      </c>
      <c r="M1986">
        <v>0</v>
      </c>
      <c r="N1986">
        <v>6373975.7300000004</v>
      </c>
      <c r="O1986">
        <v>106463.59996659428</v>
      </c>
      <c r="P1986">
        <v>927985</v>
      </c>
      <c r="Q1986">
        <v>5445990.7300000004</v>
      </c>
      <c r="R1986">
        <v>90963.599966594295</v>
      </c>
      <c r="S1986" t="s">
        <v>65</v>
      </c>
      <c r="T1986" t="s">
        <v>717</v>
      </c>
      <c r="U1986" t="s">
        <v>717</v>
      </c>
      <c r="V1986" t="s">
        <v>6312</v>
      </c>
      <c r="W1986">
        <v>45160</v>
      </c>
      <c r="X1986" t="s">
        <v>8705</v>
      </c>
      <c r="Y1986" t="s">
        <v>6</v>
      </c>
      <c r="Z1986" t="s">
        <v>17</v>
      </c>
      <c r="AA1986" t="s">
        <v>6637</v>
      </c>
      <c r="AB1986" t="s">
        <v>2509</v>
      </c>
      <c r="AC1986" t="s">
        <v>2571</v>
      </c>
      <c r="AD1986" t="s">
        <v>717</v>
      </c>
      <c r="AE1986" t="s">
        <v>8706</v>
      </c>
      <c r="AF1986" t="s">
        <v>8707</v>
      </c>
      <c r="AG1986" t="s">
        <v>8708</v>
      </c>
      <c r="AH1986" t="s">
        <v>2615</v>
      </c>
      <c r="AI1986" t="s">
        <v>2552</v>
      </c>
      <c r="AJ1986" t="s">
        <v>2895</v>
      </c>
      <c r="AK1986" t="s">
        <v>20</v>
      </c>
      <c r="AL1986" t="s">
        <v>22</v>
      </c>
      <c r="AM1986" t="s">
        <v>10</v>
      </c>
      <c r="AN1986" t="s">
        <v>717</v>
      </c>
    </row>
    <row r="1987" spans="1:40" hidden="1">
      <c r="A1987">
        <v>1986</v>
      </c>
      <c r="B1987">
        <v>31</v>
      </c>
      <c r="C1987" s="58">
        <v>45169</v>
      </c>
      <c r="D1987" t="s">
        <v>7</v>
      </c>
      <c r="E1987" t="s">
        <v>2506</v>
      </c>
      <c r="F1987">
        <v>7</v>
      </c>
      <c r="G1987">
        <v>15</v>
      </c>
      <c r="H1987">
        <v>231</v>
      </c>
      <c r="I1987">
        <v>3</v>
      </c>
      <c r="J1987">
        <v>78.73</v>
      </c>
      <c r="K1987" t="s">
        <v>9</v>
      </c>
      <c r="L1987">
        <v>5674424.2199999997</v>
      </c>
      <c r="M1987">
        <v>15000</v>
      </c>
      <c r="N1987">
        <v>5689424.2199999997</v>
      </c>
      <c r="O1987">
        <v>72265.009780261651</v>
      </c>
      <c r="P1987">
        <v>0</v>
      </c>
      <c r="Q1987">
        <v>5689424.2199999997</v>
      </c>
      <c r="R1987">
        <v>72265.009780261651</v>
      </c>
      <c r="S1987" t="s">
        <v>65</v>
      </c>
      <c r="T1987" t="s">
        <v>5768</v>
      </c>
      <c r="U1987">
        <v>363154.74</v>
      </c>
      <c r="V1987" t="s">
        <v>1970</v>
      </c>
      <c r="W1987">
        <v>45133</v>
      </c>
      <c r="X1987" t="s">
        <v>8709</v>
      </c>
      <c r="Y1987" t="s">
        <v>6</v>
      </c>
      <c r="Z1987" t="s">
        <v>11</v>
      </c>
      <c r="AA1987" t="s">
        <v>717</v>
      </c>
      <c r="AB1987" t="s">
        <v>2509</v>
      </c>
      <c r="AC1987" t="s">
        <v>5105</v>
      </c>
      <c r="AD1987" t="s">
        <v>717</v>
      </c>
      <c r="AE1987" t="s">
        <v>8710</v>
      </c>
      <c r="AF1987" t="s">
        <v>8711</v>
      </c>
      <c r="AG1987" t="s">
        <v>8712</v>
      </c>
      <c r="AH1987" t="s">
        <v>2615</v>
      </c>
      <c r="AI1987" t="s">
        <v>2621</v>
      </c>
      <c r="AJ1987" t="s">
        <v>2569</v>
      </c>
      <c r="AK1987" t="s">
        <v>77</v>
      </c>
      <c r="AL1987" t="s">
        <v>16</v>
      </c>
      <c r="AM1987" t="s">
        <v>10</v>
      </c>
      <c r="AN1987" t="s">
        <v>717</v>
      </c>
    </row>
    <row r="1988" spans="1:40" hidden="1">
      <c r="A1988">
        <v>1987</v>
      </c>
      <c r="B1988">
        <v>32</v>
      </c>
      <c r="C1988" s="58">
        <v>45169</v>
      </c>
      <c r="D1988" t="s">
        <v>7</v>
      </c>
      <c r="E1988" t="s">
        <v>4409</v>
      </c>
      <c r="F1988">
        <v>1</v>
      </c>
      <c r="G1988">
        <v>11</v>
      </c>
      <c r="H1988">
        <v>483</v>
      </c>
      <c r="I1988">
        <v>1</v>
      </c>
      <c r="J1988">
        <v>39.74</v>
      </c>
      <c r="K1988" t="s">
        <v>25</v>
      </c>
      <c r="L1988">
        <v>4349990.87</v>
      </c>
      <c r="M1988">
        <v>0</v>
      </c>
      <c r="N1988">
        <v>4349990.87</v>
      </c>
      <c r="O1988">
        <v>109461.27000503273</v>
      </c>
      <c r="P1988">
        <v>615970</v>
      </c>
      <c r="Q1988">
        <v>3734020.87</v>
      </c>
      <c r="R1988">
        <v>93961.270005032711</v>
      </c>
      <c r="S1988" t="s">
        <v>65</v>
      </c>
      <c r="T1988" t="s">
        <v>717</v>
      </c>
      <c r="U1988" t="s">
        <v>717</v>
      </c>
      <c r="V1988" t="s">
        <v>6312</v>
      </c>
      <c r="W1988">
        <v>45153</v>
      </c>
      <c r="X1988" t="s">
        <v>8713</v>
      </c>
      <c r="Y1988" t="s">
        <v>6</v>
      </c>
      <c r="Z1988" t="s">
        <v>17</v>
      </c>
      <c r="AA1988" t="s">
        <v>6637</v>
      </c>
      <c r="AB1988" t="s">
        <v>2509</v>
      </c>
      <c r="AC1988" t="s">
        <v>2571</v>
      </c>
      <c r="AD1988" t="s">
        <v>717</v>
      </c>
      <c r="AE1988" t="s">
        <v>8714</v>
      </c>
      <c r="AF1988" t="s">
        <v>8715</v>
      </c>
      <c r="AG1988" t="s">
        <v>8716</v>
      </c>
      <c r="AH1988" t="s">
        <v>2616</v>
      </c>
      <c r="AI1988" t="s">
        <v>2552</v>
      </c>
      <c r="AJ1988" t="s">
        <v>4799</v>
      </c>
      <c r="AK1988" t="s">
        <v>73</v>
      </c>
      <c r="AL1988" t="s">
        <v>22</v>
      </c>
      <c r="AM1988" t="s">
        <v>10</v>
      </c>
      <c r="AN1988" t="s">
        <v>717</v>
      </c>
    </row>
    <row r="1989" spans="1:40" hidden="1">
      <c r="A1989">
        <v>1988</v>
      </c>
      <c r="B1989">
        <v>33</v>
      </c>
      <c r="C1989" s="58">
        <v>45169</v>
      </c>
      <c r="D1989" t="s">
        <v>7</v>
      </c>
      <c r="E1989" t="s">
        <v>2581</v>
      </c>
      <c r="F1989">
        <v>6</v>
      </c>
      <c r="G1989">
        <v>5</v>
      </c>
      <c r="H1989">
        <v>267</v>
      </c>
      <c r="I1989">
        <v>3</v>
      </c>
      <c r="J1989">
        <v>72.510000000000005</v>
      </c>
      <c r="K1989" t="s">
        <v>9</v>
      </c>
      <c r="L1989">
        <v>5348069.3899999997</v>
      </c>
      <c r="M1989">
        <v>0</v>
      </c>
      <c r="N1989">
        <v>5348069.3899999997</v>
      </c>
      <c r="O1989">
        <v>73756.301061922481</v>
      </c>
      <c r="P1989">
        <v>0</v>
      </c>
      <c r="Q1989">
        <v>5348069.3899999997</v>
      </c>
      <c r="R1989">
        <v>73756.301061922481</v>
      </c>
      <c r="S1989" t="s">
        <v>65</v>
      </c>
      <c r="T1989" t="s">
        <v>5768</v>
      </c>
      <c r="U1989">
        <v>341366.13</v>
      </c>
      <c r="V1989" t="s">
        <v>6312</v>
      </c>
      <c r="W1989">
        <v>45156</v>
      </c>
      <c r="X1989" t="s">
        <v>8717</v>
      </c>
      <c r="Y1989" t="s">
        <v>6</v>
      </c>
      <c r="Z1989" t="s">
        <v>17</v>
      </c>
      <c r="AA1989" t="s">
        <v>6637</v>
      </c>
      <c r="AB1989" t="s">
        <v>2509</v>
      </c>
      <c r="AC1989" t="s">
        <v>2571</v>
      </c>
      <c r="AD1989" t="s">
        <v>717</v>
      </c>
      <c r="AE1989" t="s">
        <v>8718</v>
      </c>
      <c r="AF1989" t="s">
        <v>8719</v>
      </c>
      <c r="AG1989" t="s">
        <v>8720</v>
      </c>
      <c r="AH1989" t="s">
        <v>2615</v>
      </c>
      <c r="AI1989" t="s">
        <v>6951</v>
      </c>
      <c r="AJ1989" t="s">
        <v>8721</v>
      </c>
      <c r="AK1989" t="s">
        <v>77</v>
      </c>
      <c r="AL1989" t="s">
        <v>16</v>
      </c>
      <c r="AM1989" t="s">
        <v>10</v>
      </c>
      <c r="AN1989" t="s">
        <v>8722</v>
      </c>
    </row>
    <row r="1990" spans="1:40" hidden="1">
      <c r="A1990">
        <v>1989</v>
      </c>
      <c r="B1990">
        <v>34</v>
      </c>
      <c r="C1990" s="58">
        <v>45169</v>
      </c>
      <c r="D1990" t="s">
        <v>7</v>
      </c>
      <c r="E1990" t="s">
        <v>4409</v>
      </c>
      <c r="F1990">
        <v>4</v>
      </c>
      <c r="G1990">
        <v>14</v>
      </c>
      <c r="H1990">
        <v>513</v>
      </c>
      <c r="I1990">
        <v>1</v>
      </c>
      <c r="J1990">
        <v>36.5</v>
      </c>
      <c r="K1990" t="s">
        <v>9</v>
      </c>
      <c r="L1990">
        <v>3673086.98</v>
      </c>
      <c r="M1990">
        <v>0</v>
      </c>
      <c r="N1990">
        <v>3673086.98</v>
      </c>
      <c r="O1990">
        <v>100632.52</v>
      </c>
      <c r="P1990">
        <v>0</v>
      </c>
      <c r="Q1990">
        <v>3673086.98</v>
      </c>
      <c r="R1990">
        <v>100632.52</v>
      </c>
      <c r="S1990" t="s">
        <v>65</v>
      </c>
      <c r="T1990" t="s">
        <v>717</v>
      </c>
      <c r="U1990" t="s">
        <v>717</v>
      </c>
      <c r="V1990" t="s">
        <v>6312</v>
      </c>
      <c r="W1990">
        <v>45157</v>
      </c>
      <c r="X1990" t="s">
        <v>8723</v>
      </c>
      <c r="Y1990" t="s">
        <v>6</v>
      </c>
      <c r="Z1990" t="s">
        <v>17</v>
      </c>
      <c r="AA1990" t="s">
        <v>6637</v>
      </c>
      <c r="AB1990" t="s">
        <v>2509</v>
      </c>
      <c r="AC1990" t="s">
        <v>2571</v>
      </c>
      <c r="AD1990" t="s">
        <v>717</v>
      </c>
      <c r="AE1990" t="s">
        <v>8724</v>
      </c>
      <c r="AF1990" t="s">
        <v>8725</v>
      </c>
      <c r="AG1990" t="s">
        <v>8726</v>
      </c>
      <c r="AH1990" t="s">
        <v>2191</v>
      </c>
      <c r="AI1990" t="s">
        <v>2552</v>
      </c>
      <c r="AJ1990" t="s">
        <v>2514</v>
      </c>
      <c r="AK1990" t="s">
        <v>1233</v>
      </c>
      <c r="AL1990" t="s">
        <v>22</v>
      </c>
      <c r="AM1990" t="s">
        <v>10</v>
      </c>
      <c r="AN1990" t="s">
        <v>717</v>
      </c>
    </row>
    <row r="1991" spans="1:40" hidden="1">
      <c r="A1991">
        <v>1990</v>
      </c>
      <c r="B1991">
        <v>35</v>
      </c>
      <c r="C1991" s="58">
        <v>45169</v>
      </c>
      <c r="D1991" t="s">
        <v>7</v>
      </c>
      <c r="E1991" t="s">
        <v>4409</v>
      </c>
      <c r="F1991">
        <v>2</v>
      </c>
      <c r="G1991">
        <v>10</v>
      </c>
      <c r="H1991">
        <v>475</v>
      </c>
      <c r="I1991">
        <v>1</v>
      </c>
      <c r="J1991">
        <v>38.6</v>
      </c>
      <c r="K1991" t="s">
        <v>25</v>
      </c>
      <c r="L1991">
        <v>4297742.91</v>
      </c>
      <c r="M1991">
        <v>0</v>
      </c>
      <c r="N1991">
        <v>4297742.91</v>
      </c>
      <c r="O1991">
        <v>111340.48989637304</v>
      </c>
      <c r="P1991">
        <v>598300</v>
      </c>
      <c r="Q1991">
        <v>3699442.91</v>
      </c>
      <c r="R1991">
        <v>95840.489896373052</v>
      </c>
      <c r="S1991" t="s">
        <v>65</v>
      </c>
      <c r="T1991" t="s">
        <v>717</v>
      </c>
      <c r="U1991" t="s">
        <v>717</v>
      </c>
      <c r="V1991" t="s">
        <v>6312</v>
      </c>
      <c r="W1991">
        <v>45159</v>
      </c>
      <c r="X1991" t="s">
        <v>8727</v>
      </c>
      <c r="Y1991" t="s">
        <v>6</v>
      </c>
      <c r="Z1991" t="s">
        <v>17</v>
      </c>
      <c r="AA1991" t="s">
        <v>6637</v>
      </c>
      <c r="AB1991" t="s">
        <v>2509</v>
      </c>
      <c r="AC1991" t="s">
        <v>2571</v>
      </c>
      <c r="AD1991" t="s">
        <v>717</v>
      </c>
      <c r="AE1991" t="s">
        <v>8728</v>
      </c>
      <c r="AF1991" t="s">
        <v>8729</v>
      </c>
      <c r="AG1991" t="s">
        <v>8730</v>
      </c>
      <c r="AH1991" t="s">
        <v>2191</v>
      </c>
      <c r="AI1991" t="s">
        <v>2538</v>
      </c>
      <c r="AJ1991" t="s">
        <v>2514</v>
      </c>
      <c r="AK1991" t="s">
        <v>77</v>
      </c>
      <c r="AL1991" t="s">
        <v>16</v>
      </c>
      <c r="AM1991" t="s">
        <v>10</v>
      </c>
      <c r="AN1991" t="s">
        <v>717</v>
      </c>
    </row>
    <row r="1992" spans="1:40" hidden="1">
      <c r="A1992">
        <v>1991</v>
      </c>
      <c r="B1992">
        <v>36</v>
      </c>
      <c r="C1992" s="58">
        <v>45169</v>
      </c>
      <c r="D1992" t="s">
        <v>7</v>
      </c>
      <c r="E1992" t="s">
        <v>4409</v>
      </c>
      <c r="F1992">
        <v>2</v>
      </c>
      <c r="G1992">
        <v>8</v>
      </c>
      <c r="H1992">
        <v>457</v>
      </c>
      <c r="I1992">
        <v>1</v>
      </c>
      <c r="J1992">
        <v>38.6</v>
      </c>
      <c r="K1992" t="s">
        <v>9</v>
      </c>
      <c r="L1992">
        <v>3699442.91</v>
      </c>
      <c r="M1992">
        <v>0</v>
      </c>
      <c r="N1992">
        <v>3699442.91</v>
      </c>
      <c r="O1992">
        <v>95840.489896373052</v>
      </c>
      <c r="P1992">
        <v>0</v>
      </c>
      <c r="Q1992">
        <v>3699442.91</v>
      </c>
      <c r="R1992">
        <v>95840.489896373052</v>
      </c>
      <c r="S1992" t="s">
        <v>65</v>
      </c>
      <c r="T1992" t="s">
        <v>717</v>
      </c>
      <c r="U1992" t="s">
        <v>717</v>
      </c>
      <c r="V1992" t="s">
        <v>4131</v>
      </c>
      <c r="W1992">
        <v>45160</v>
      </c>
      <c r="X1992" t="s">
        <v>8731</v>
      </c>
      <c r="Y1992" t="s">
        <v>6</v>
      </c>
      <c r="Z1992" t="s">
        <v>17</v>
      </c>
      <c r="AA1992" t="s">
        <v>6637</v>
      </c>
      <c r="AB1992" t="s">
        <v>2509</v>
      </c>
      <c r="AC1992" t="s">
        <v>2571</v>
      </c>
      <c r="AD1992" t="s">
        <v>717</v>
      </c>
      <c r="AE1992" t="s">
        <v>8732</v>
      </c>
      <c r="AF1992" t="s">
        <v>8733</v>
      </c>
      <c r="AG1992" t="s">
        <v>8734</v>
      </c>
      <c r="AH1992" t="s">
        <v>6100</v>
      </c>
      <c r="AI1992" t="s">
        <v>5653</v>
      </c>
      <c r="AJ1992" t="s">
        <v>31</v>
      </c>
      <c r="AK1992" t="s">
        <v>77</v>
      </c>
      <c r="AL1992" t="s">
        <v>16</v>
      </c>
      <c r="AM1992" t="s">
        <v>5654</v>
      </c>
      <c r="AN1992" t="s">
        <v>717</v>
      </c>
    </row>
    <row r="1993" spans="1:40" hidden="1">
      <c r="A1993">
        <v>1992</v>
      </c>
      <c r="B1993">
        <v>37</v>
      </c>
      <c r="C1993" s="58">
        <v>45169</v>
      </c>
      <c r="D1993" t="s">
        <v>7</v>
      </c>
      <c r="E1993" t="s">
        <v>2515</v>
      </c>
      <c r="F1993">
        <v>1</v>
      </c>
      <c r="G1993">
        <v>12</v>
      </c>
      <c r="H1993">
        <v>81</v>
      </c>
      <c r="I1993">
        <v>1</v>
      </c>
      <c r="J1993">
        <v>33.53</v>
      </c>
      <c r="K1993" t="s">
        <v>25</v>
      </c>
      <c r="L1993">
        <v>4098036.26</v>
      </c>
      <c r="M1993">
        <v>0</v>
      </c>
      <c r="N1993">
        <v>4098036.26</v>
      </c>
      <c r="O1993">
        <v>122219.98985982699</v>
      </c>
      <c r="P1993">
        <v>519715</v>
      </c>
      <c r="Q1993">
        <v>3578321.26</v>
      </c>
      <c r="R1993">
        <v>106719.98985982699</v>
      </c>
      <c r="S1993" t="s">
        <v>65</v>
      </c>
      <c r="T1993" t="s">
        <v>717</v>
      </c>
      <c r="U1993" t="s">
        <v>717</v>
      </c>
      <c r="V1993" t="s">
        <v>4131</v>
      </c>
      <c r="W1993">
        <v>45161</v>
      </c>
      <c r="X1993" t="s">
        <v>8735</v>
      </c>
      <c r="Y1993" t="s">
        <v>2611</v>
      </c>
      <c r="Z1993" t="s">
        <v>17</v>
      </c>
      <c r="AA1993" t="s">
        <v>6637</v>
      </c>
      <c r="AB1993" t="s">
        <v>2509</v>
      </c>
      <c r="AC1993" t="s">
        <v>2571</v>
      </c>
      <c r="AD1993">
        <v>45376</v>
      </c>
      <c r="AE1993" t="s">
        <v>8736</v>
      </c>
      <c r="AF1993" t="s">
        <v>8737</v>
      </c>
      <c r="AG1993" t="s">
        <v>8738</v>
      </c>
      <c r="AH1993" t="s">
        <v>6100</v>
      </c>
      <c r="AI1993" t="s">
        <v>5653</v>
      </c>
      <c r="AJ1993" t="s">
        <v>31</v>
      </c>
      <c r="AK1993" t="s">
        <v>77</v>
      </c>
      <c r="AL1993" t="s">
        <v>16</v>
      </c>
      <c r="AM1993" t="s">
        <v>5654</v>
      </c>
      <c r="AN1993" t="s">
        <v>8722</v>
      </c>
    </row>
    <row r="1994" spans="1:40" hidden="1">
      <c r="A1994">
        <v>1993</v>
      </c>
      <c r="B1994">
        <v>38</v>
      </c>
      <c r="C1994" s="58">
        <v>45169</v>
      </c>
      <c r="D1994" t="s">
        <v>7</v>
      </c>
      <c r="E1994" t="s">
        <v>2506</v>
      </c>
      <c r="F1994">
        <v>4</v>
      </c>
      <c r="G1994">
        <v>13</v>
      </c>
      <c r="H1994">
        <v>212</v>
      </c>
      <c r="I1994">
        <v>1</v>
      </c>
      <c r="J1994">
        <v>37.81</v>
      </c>
      <c r="K1994" t="s">
        <v>15</v>
      </c>
      <c r="L1994">
        <v>3864927.61</v>
      </c>
      <c r="M1994">
        <v>0</v>
      </c>
      <c r="N1994">
        <v>3864927.61</v>
      </c>
      <c r="O1994">
        <v>102219.7199153663</v>
      </c>
      <c r="P1994">
        <v>170145</v>
      </c>
      <c r="Q1994">
        <v>3694782.61</v>
      </c>
      <c r="R1994">
        <v>97719.719915366295</v>
      </c>
      <c r="S1994" t="s">
        <v>65</v>
      </c>
      <c r="T1994" t="s">
        <v>717</v>
      </c>
      <c r="U1994" t="s">
        <v>717</v>
      </c>
      <c r="V1994" t="s">
        <v>4131</v>
      </c>
      <c r="W1994">
        <v>45161</v>
      </c>
      <c r="X1994" t="s">
        <v>8739</v>
      </c>
      <c r="Y1994" t="s">
        <v>6</v>
      </c>
      <c r="Z1994" t="s">
        <v>17</v>
      </c>
      <c r="AA1994" t="s">
        <v>6637</v>
      </c>
      <c r="AB1994" t="s">
        <v>2509</v>
      </c>
      <c r="AC1994" t="s">
        <v>2571</v>
      </c>
      <c r="AD1994" t="s">
        <v>717</v>
      </c>
      <c r="AE1994" t="s">
        <v>8740</v>
      </c>
      <c r="AF1994" t="s">
        <v>8741</v>
      </c>
      <c r="AG1994" t="s">
        <v>8742</v>
      </c>
      <c r="AH1994" t="s">
        <v>2191</v>
      </c>
      <c r="AI1994" t="s">
        <v>2847</v>
      </c>
      <c r="AJ1994" t="s">
        <v>2514</v>
      </c>
      <c r="AK1994" t="s">
        <v>77</v>
      </c>
      <c r="AL1994" t="s">
        <v>22</v>
      </c>
      <c r="AM1994" t="s">
        <v>10</v>
      </c>
      <c r="AN1994" t="s">
        <v>8722</v>
      </c>
    </row>
    <row r="1995" spans="1:40" hidden="1">
      <c r="A1995">
        <v>1994</v>
      </c>
      <c r="B1995">
        <v>39</v>
      </c>
      <c r="C1995" s="58">
        <v>45169</v>
      </c>
      <c r="D1995" t="s">
        <v>7</v>
      </c>
      <c r="E1995" t="s">
        <v>4409</v>
      </c>
      <c r="F1995">
        <v>1</v>
      </c>
      <c r="G1995">
        <v>13</v>
      </c>
      <c r="H1995">
        <v>501</v>
      </c>
      <c r="I1995">
        <v>1</v>
      </c>
      <c r="J1995">
        <v>39.74</v>
      </c>
      <c r="K1995" t="s">
        <v>15</v>
      </c>
      <c r="L1995">
        <v>3889458.56</v>
      </c>
      <c r="M1995">
        <v>0</v>
      </c>
      <c r="N1995">
        <v>3889458.56</v>
      </c>
      <c r="O1995">
        <v>97872.636134876695</v>
      </c>
      <c r="P1995">
        <v>178830</v>
      </c>
      <c r="Q1995">
        <v>3710628.56</v>
      </c>
      <c r="R1995">
        <v>93372.636134876695</v>
      </c>
      <c r="S1995" t="s">
        <v>65</v>
      </c>
      <c r="T1995" t="s">
        <v>3268</v>
      </c>
      <c r="U1995">
        <v>60000</v>
      </c>
      <c r="V1995" t="s">
        <v>6312</v>
      </c>
      <c r="W1995">
        <v>45162</v>
      </c>
      <c r="X1995" t="s">
        <v>8743</v>
      </c>
      <c r="Y1995" t="s">
        <v>6</v>
      </c>
      <c r="Z1995" t="s">
        <v>17</v>
      </c>
      <c r="AA1995" t="s">
        <v>6637</v>
      </c>
      <c r="AB1995" t="s">
        <v>2509</v>
      </c>
      <c r="AC1995" t="s">
        <v>2571</v>
      </c>
      <c r="AD1995" t="s">
        <v>717</v>
      </c>
      <c r="AE1995" t="s">
        <v>8744</v>
      </c>
      <c r="AF1995" t="s">
        <v>8745</v>
      </c>
      <c r="AG1995" t="s">
        <v>8746</v>
      </c>
      <c r="AH1995" t="s">
        <v>6100</v>
      </c>
      <c r="AI1995" t="s">
        <v>5653</v>
      </c>
      <c r="AJ1995" t="s">
        <v>31</v>
      </c>
      <c r="AK1995" t="s">
        <v>20</v>
      </c>
      <c r="AL1995" t="s">
        <v>22</v>
      </c>
      <c r="AM1995" t="s">
        <v>5654</v>
      </c>
      <c r="AN1995" t="s">
        <v>717</v>
      </c>
    </row>
    <row r="1996" spans="1:40" hidden="1">
      <c r="A1996">
        <v>1995</v>
      </c>
      <c r="B1996">
        <v>40</v>
      </c>
      <c r="C1996" s="58">
        <v>45169</v>
      </c>
      <c r="D1996" t="s">
        <v>7</v>
      </c>
      <c r="E1996" t="s">
        <v>2506</v>
      </c>
      <c r="F1996">
        <v>4</v>
      </c>
      <c r="G1996">
        <v>6</v>
      </c>
      <c r="H1996">
        <v>156</v>
      </c>
      <c r="I1996">
        <v>1</v>
      </c>
      <c r="J1996">
        <v>37.81</v>
      </c>
      <c r="K1996" t="s">
        <v>15</v>
      </c>
      <c r="L1996">
        <v>3975771.03</v>
      </c>
      <c r="M1996">
        <v>0</v>
      </c>
      <c r="N1996">
        <v>3975771.03</v>
      </c>
      <c r="O1996">
        <v>105151.30997090715</v>
      </c>
      <c r="P1996">
        <v>170145</v>
      </c>
      <c r="Q1996">
        <v>3805626.03</v>
      </c>
      <c r="R1996">
        <v>100651.30997090715</v>
      </c>
      <c r="S1996" t="s">
        <v>65</v>
      </c>
      <c r="T1996" t="s">
        <v>717</v>
      </c>
      <c r="U1996" t="s">
        <v>717</v>
      </c>
      <c r="V1996" t="s">
        <v>6312</v>
      </c>
      <c r="W1996">
        <v>45162</v>
      </c>
      <c r="X1996" t="s">
        <v>8747</v>
      </c>
      <c r="Y1996" t="s">
        <v>6</v>
      </c>
      <c r="Z1996" t="s">
        <v>17</v>
      </c>
      <c r="AA1996" t="s">
        <v>6637</v>
      </c>
      <c r="AB1996" t="s">
        <v>2509</v>
      </c>
      <c r="AC1996" t="s">
        <v>2571</v>
      </c>
      <c r="AD1996" t="s">
        <v>717</v>
      </c>
      <c r="AE1996" t="s">
        <v>8748</v>
      </c>
      <c r="AF1996" t="s">
        <v>8749</v>
      </c>
      <c r="AG1996" t="s">
        <v>8750</v>
      </c>
      <c r="AH1996" t="s">
        <v>2615</v>
      </c>
      <c r="AI1996" t="s">
        <v>2552</v>
      </c>
      <c r="AJ1996" t="s">
        <v>2662</v>
      </c>
      <c r="AK1996" t="s">
        <v>1233</v>
      </c>
      <c r="AL1996" t="s">
        <v>22</v>
      </c>
      <c r="AM1996" t="s">
        <v>10</v>
      </c>
      <c r="AN1996" t="s">
        <v>717</v>
      </c>
    </row>
    <row r="1997" spans="1:40" hidden="1">
      <c r="A1997">
        <v>1996</v>
      </c>
      <c r="B1997">
        <v>41</v>
      </c>
      <c r="C1997" s="58">
        <v>45169</v>
      </c>
      <c r="D1997" t="s">
        <v>7</v>
      </c>
      <c r="E1997" t="s">
        <v>4409</v>
      </c>
      <c r="F1997">
        <v>8</v>
      </c>
      <c r="G1997">
        <v>7</v>
      </c>
      <c r="H1997">
        <v>454</v>
      </c>
      <c r="I1997">
        <v>2</v>
      </c>
      <c r="J1997">
        <v>63.74</v>
      </c>
      <c r="K1997" t="s">
        <v>15</v>
      </c>
      <c r="L1997">
        <v>5664726.7800000003</v>
      </c>
      <c r="M1997">
        <v>0</v>
      </c>
      <c r="N1997">
        <v>5664726.7800000003</v>
      </c>
      <c r="O1997">
        <v>88872.400062754939</v>
      </c>
      <c r="P1997">
        <v>286830</v>
      </c>
      <c r="Q1997">
        <v>5377896.7800000003</v>
      </c>
      <c r="R1997">
        <v>84372.400062754939</v>
      </c>
      <c r="S1997" t="s">
        <v>65</v>
      </c>
      <c r="T1997" t="s">
        <v>717</v>
      </c>
      <c r="U1997" t="s">
        <v>717</v>
      </c>
      <c r="V1997" t="s">
        <v>6312</v>
      </c>
      <c r="W1997">
        <v>45166</v>
      </c>
      <c r="X1997" t="s">
        <v>8751</v>
      </c>
      <c r="Y1997" t="s">
        <v>6</v>
      </c>
      <c r="Z1997" t="s">
        <v>17</v>
      </c>
      <c r="AA1997" t="s">
        <v>6637</v>
      </c>
      <c r="AB1997" t="s">
        <v>2509</v>
      </c>
      <c r="AC1997" t="s">
        <v>2571</v>
      </c>
      <c r="AD1997" t="s">
        <v>717</v>
      </c>
      <c r="AE1997" t="s">
        <v>8752</v>
      </c>
      <c r="AF1997" t="s">
        <v>8753</v>
      </c>
      <c r="AG1997" t="s">
        <v>8754</v>
      </c>
      <c r="AH1997" t="s">
        <v>2616</v>
      </c>
      <c r="AI1997" t="s">
        <v>2552</v>
      </c>
      <c r="AJ1997" t="s">
        <v>2662</v>
      </c>
      <c r="AK1997" t="s">
        <v>77</v>
      </c>
      <c r="AL1997" t="s">
        <v>16</v>
      </c>
      <c r="AM1997" t="s">
        <v>10</v>
      </c>
      <c r="AN1997" t="s">
        <v>717</v>
      </c>
    </row>
    <row r="1998" spans="1:40" hidden="1">
      <c r="A1998">
        <v>1997</v>
      </c>
      <c r="B1998">
        <v>42</v>
      </c>
      <c r="C1998" s="58">
        <v>45169</v>
      </c>
      <c r="D1998" t="s">
        <v>7</v>
      </c>
      <c r="E1998" t="s">
        <v>2581</v>
      </c>
      <c r="F1998">
        <v>1</v>
      </c>
      <c r="G1998">
        <v>24</v>
      </c>
      <c r="H1998">
        <v>395</v>
      </c>
      <c r="I1998">
        <v>0</v>
      </c>
      <c r="J1998">
        <v>29.35</v>
      </c>
      <c r="K1998" t="s">
        <v>15</v>
      </c>
      <c r="L1998">
        <v>3130565.51</v>
      </c>
      <c r="M1998">
        <v>0</v>
      </c>
      <c r="N1998">
        <v>3130565.51</v>
      </c>
      <c r="O1998">
        <v>106663.22010221463</v>
      </c>
      <c r="P1998">
        <v>132075</v>
      </c>
      <c r="Q1998">
        <v>2998490.51</v>
      </c>
      <c r="R1998">
        <v>102163.22010221463</v>
      </c>
      <c r="S1998" t="s">
        <v>65</v>
      </c>
      <c r="T1998" t="s">
        <v>717</v>
      </c>
      <c r="U1998" t="s">
        <v>717</v>
      </c>
      <c r="V1998" t="s">
        <v>6312</v>
      </c>
      <c r="W1998">
        <v>45166</v>
      </c>
      <c r="X1998" t="s">
        <v>8755</v>
      </c>
      <c r="Y1998" t="s">
        <v>6</v>
      </c>
      <c r="Z1998" t="s">
        <v>17</v>
      </c>
      <c r="AA1998" t="s">
        <v>6637</v>
      </c>
      <c r="AB1998" t="s">
        <v>2509</v>
      </c>
      <c r="AC1998" t="s">
        <v>2571</v>
      </c>
      <c r="AD1998" t="s">
        <v>717</v>
      </c>
      <c r="AE1998" t="s">
        <v>8756</v>
      </c>
      <c r="AF1998" t="s">
        <v>8757</v>
      </c>
      <c r="AG1998" t="s">
        <v>8758</v>
      </c>
      <c r="AH1998" t="s">
        <v>2191</v>
      </c>
      <c r="AI1998" t="s">
        <v>2552</v>
      </c>
      <c r="AJ1998" t="s">
        <v>2514</v>
      </c>
      <c r="AK1998" t="s">
        <v>77</v>
      </c>
      <c r="AL1998" t="s">
        <v>22</v>
      </c>
      <c r="AM1998" t="s">
        <v>10</v>
      </c>
      <c r="AN1998" t="s">
        <v>717</v>
      </c>
    </row>
    <row r="1999" spans="1:40" hidden="1">
      <c r="A1999">
        <v>1998</v>
      </c>
      <c r="B1999">
        <v>1</v>
      </c>
      <c r="C1999" s="58">
        <v>45170</v>
      </c>
      <c r="D1999" t="s">
        <v>7</v>
      </c>
      <c r="E1999" t="s">
        <v>4409</v>
      </c>
      <c r="F1999">
        <v>2</v>
      </c>
      <c r="G1999">
        <v>16</v>
      </c>
      <c r="H1999">
        <v>529</v>
      </c>
      <c r="I1999">
        <v>1</v>
      </c>
      <c r="J1999">
        <v>38.6</v>
      </c>
      <c r="K1999" t="s">
        <v>15</v>
      </c>
      <c r="L1999">
        <v>4021483.49</v>
      </c>
      <c r="M1999">
        <v>0</v>
      </c>
      <c r="N1999">
        <v>4021483.49</v>
      </c>
      <c r="O1999">
        <v>104183.51010362696</v>
      </c>
      <c r="P1999">
        <v>173700</v>
      </c>
      <c r="Q1999">
        <v>3847783.49</v>
      </c>
      <c r="R1999">
        <v>99683.510103626948</v>
      </c>
      <c r="S1999" t="s">
        <v>65</v>
      </c>
      <c r="T1999" t="s">
        <v>717</v>
      </c>
      <c r="U1999" t="s">
        <v>717</v>
      </c>
      <c r="V1999" t="s">
        <v>4131</v>
      </c>
      <c r="W1999">
        <v>45166</v>
      </c>
      <c r="X1999" t="s">
        <v>8759</v>
      </c>
      <c r="Y1999" t="s">
        <v>6</v>
      </c>
      <c r="Z1999" t="s">
        <v>17</v>
      </c>
      <c r="AA1999" t="s">
        <v>6637</v>
      </c>
      <c r="AB1999" t="s">
        <v>2509</v>
      </c>
      <c r="AC1999" t="s">
        <v>2571</v>
      </c>
      <c r="AD1999" t="s">
        <v>717</v>
      </c>
      <c r="AE1999" t="s">
        <v>8760</v>
      </c>
      <c r="AF1999" t="s">
        <v>8761</v>
      </c>
      <c r="AG1999" t="s">
        <v>8762</v>
      </c>
      <c r="AH1999" t="s">
        <v>2191</v>
      </c>
      <c r="AI1999" t="s">
        <v>2552</v>
      </c>
      <c r="AJ1999" t="s">
        <v>2514</v>
      </c>
      <c r="AK1999" t="s">
        <v>20</v>
      </c>
      <c r="AL1999" t="s">
        <v>16</v>
      </c>
      <c r="AM1999" t="s">
        <v>10</v>
      </c>
      <c r="AN1999" t="s">
        <v>717</v>
      </c>
    </row>
    <row r="2000" spans="1:40" hidden="1">
      <c r="A2000">
        <v>1999</v>
      </c>
      <c r="B2000">
        <v>2</v>
      </c>
      <c r="C2000" s="58">
        <v>45173</v>
      </c>
      <c r="D2000" t="s">
        <v>7</v>
      </c>
      <c r="E2000" t="s">
        <v>2581</v>
      </c>
      <c r="F2000">
        <v>6</v>
      </c>
      <c r="G2000">
        <v>14</v>
      </c>
      <c r="H2000">
        <v>330</v>
      </c>
      <c r="I2000">
        <v>3</v>
      </c>
      <c r="J2000">
        <v>72.510000000000005</v>
      </c>
      <c r="K2000" t="s">
        <v>9</v>
      </c>
      <c r="L2000">
        <v>5382133.9299999997</v>
      </c>
      <c r="M2000">
        <v>15000</v>
      </c>
      <c r="N2000">
        <v>5397133.9299999997</v>
      </c>
      <c r="O2000">
        <v>74432.960005516477</v>
      </c>
      <c r="P2000">
        <v>0</v>
      </c>
      <c r="Q2000">
        <v>5397133.9299999997</v>
      </c>
      <c r="R2000">
        <v>74432.960005516477</v>
      </c>
      <c r="S2000" t="s">
        <v>65</v>
      </c>
      <c r="T2000" t="s">
        <v>5768</v>
      </c>
      <c r="U2000">
        <v>344497.91</v>
      </c>
      <c r="V2000" t="s">
        <v>1970</v>
      </c>
      <c r="W2000">
        <v>45146</v>
      </c>
      <c r="X2000" t="s">
        <v>8763</v>
      </c>
      <c r="Y2000" t="s">
        <v>6</v>
      </c>
      <c r="Z2000" t="s">
        <v>11</v>
      </c>
      <c r="AA2000" t="s">
        <v>717</v>
      </c>
      <c r="AB2000" t="s">
        <v>2509</v>
      </c>
      <c r="AC2000" t="s">
        <v>5105</v>
      </c>
      <c r="AD2000" t="s">
        <v>717</v>
      </c>
      <c r="AE2000" t="s">
        <v>8764</v>
      </c>
      <c r="AF2000" t="s">
        <v>8765</v>
      </c>
      <c r="AG2000" t="s">
        <v>8766</v>
      </c>
      <c r="AH2000" t="s">
        <v>2191</v>
      </c>
      <c r="AI2000" t="s">
        <v>2621</v>
      </c>
      <c r="AJ2000" t="s">
        <v>2514</v>
      </c>
      <c r="AK2000" t="s">
        <v>20</v>
      </c>
      <c r="AL2000" t="s">
        <v>22</v>
      </c>
      <c r="AM2000" t="s">
        <v>10</v>
      </c>
      <c r="AN2000" t="s">
        <v>717</v>
      </c>
    </row>
    <row r="2001" spans="1:40" hidden="1">
      <c r="A2001">
        <v>2000</v>
      </c>
      <c r="B2001">
        <v>3</v>
      </c>
      <c r="C2001" s="58">
        <v>45173</v>
      </c>
      <c r="D2001" t="s">
        <v>7</v>
      </c>
      <c r="E2001" t="s">
        <v>4409</v>
      </c>
      <c r="F2001">
        <v>8</v>
      </c>
      <c r="G2001">
        <v>5</v>
      </c>
      <c r="H2001">
        <v>436</v>
      </c>
      <c r="I2001">
        <v>2</v>
      </c>
      <c r="J2001">
        <v>63.74</v>
      </c>
      <c r="K2001" t="s">
        <v>9</v>
      </c>
      <c r="L2001">
        <v>5377896.7800000003</v>
      </c>
      <c r="M2001">
        <v>0</v>
      </c>
      <c r="N2001">
        <v>5377896.7800000003</v>
      </c>
      <c r="O2001">
        <v>84372.400062754939</v>
      </c>
      <c r="P2001">
        <v>0</v>
      </c>
      <c r="Q2001">
        <v>5377896.7800000003</v>
      </c>
      <c r="R2001">
        <v>84372.400062754939</v>
      </c>
      <c r="S2001" t="s">
        <v>65</v>
      </c>
      <c r="T2001" t="s">
        <v>717</v>
      </c>
      <c r="U2001" t="s">
        <v>717</v>
      </c>
      <c r="V2001" t="s">
        <v>6312</v>
      </c>
      <c r="W2001">
        <v>45167</v>
      </c>
      <c r="X2001" t="s">
        <v>8767</v>
      </c>
      <c r="Y2001" t="s">
        <v>6</v>
      </c>
      <c r="Z2001" t="s">
        <v>17</v>
      </c>
      <c r="AA2001" t="s">
        <v>6637</v>
      </c>
      <c r="AB2001" t="s">
        <v>2509</v>
      </c>
      <c r="AC2001" t="s">
        <v>2571</v>
      </c>
      <c r="AD2001" t="s">
        <v>717</v>
      </c>
      <c r="AE2001" t="s">
        <v>8768</v>
      </c>
      <c r="AF2001" t="s">
        <v>8769</v>
      </c>
      <c r="AG2001" t="s">
        <v>8770</v>
      </c>
      <c r="AH2001" t="s">
        <v>2191</v>
      </c>
      <c r="AI2001" t="s">
        <v>2706</v>
      </c>
      <c r="AJ2001" t="s">
        <v>2514</v>
      </c>
      <c r="AK2001" t="s">
        <v>20</v>
      </c>
      <c r="AL2001" t="s">
        <v>16</v>
      </c>
      <c r="AM2001" t="s">
        <v>10</v>
      </c>
      <c r="AN2001" t="s">
        <v>717</v>
      </c>
    </row>
    <row r="2002" spans="1:40" hidden="1">
      <c r="A2002">
        <v>2001</v>
      </c>
      <c r="B2002">
        <v>4</v>
      </c>
      <c r="C2002" s="58">
        <v>45174</v>
      </c>
      <c r="D2002" t="s">
        <v>7</v>
      </c>
      <c r="E2002" t="s">
        <v>2506</v>
      </c>
      <c r="F2002">
        <v>7</v>
      </c>
      <c r="G2002">
        <v>2</v>
      </c>
      <c r="H2002">
        <v>127</v>
      </c>
      <c r="I2002">
        <v>3</v>
      </c>
      <c r="J2002">
        <v>78.73</v>
      </c>
      <c r="K2002" t="s">
        <v>9</v>
      </c>
      <c r="L2002">
        <v>7148372.9699999997</v>
      </c>
      <c r="M2002">
        <v>0</v>
      </c>
      <c r="N2002">
        <v>7148372.9699999997</v>
      </c>
      <c r="O2002">
        <v>90796.049409373794</v>
      </c>
      <c r="P2002">
        <v>0</v>
      </c>
      <c r="Q2002">
        <v>7148372.9699999997</v>
      </c>
      <c r="R2002">
        <v>90796.049409373794</v>
      </c>
      <c r="S2002" t="s">
        <v>130</v>
      </c>
      <c r="T2002" t="s">
        <v>3897</v>
      </c>
      <c r="U2002">
        <v>145885.16</v>
      </c>
      <c r="V2002" t="s">
        <v>717</v>
      </c>
      <c r="W2002">
        <v>45169</v>
      </c>
      <c r="X2002" t="s">
        <v>8771</v>
      </c>
      <c r="Y2002" t="s">
        <v>6</v>
      </c>
      <c r="Z2002" t="s">
        <v>17</v>
      </c>
      <c r="AA2002" t="s">
        <v>5617</v>
      </c>
      <c r="AB2002" t="s">
        <v>2509</v>
      </c>
      <c r="AC2002" t="s">
        <v>717</v>
      </c>
      <c r="AD2002" t="s">
        <v>717</v>
      </c>
      <c r="AE2002" t="s">
        <v>8772</v>
      </c>
      <c r="AF2002" t="s">
        <v>8773</v>
      </c>
      <c r="AG2002" t="s">
        <v>8774</v>
      </c>
      <c r="AH2002" t="s">
        <v>2191</v>
      </c>
      <c r="AI2002" t="s">
        <v>2538</v>
      </c>
      <c r="AJ2002" t="s">
        <v>2514</v>
      </c>
      <c r="AK2002" t="s">
        <v>8</v>
      </c>
      <c r="AL2002" t="s">
        <v>717</v>
      </c>
      <c r="AM2002" t="s">
        <v>10</v>
      </c>
      <c r="AN2002" t="s">
        <v>717</v>
      </c>
    </row>
    <row r="2003" spans="1:40" hidden="1">
      <c r="A2003">
        <v>2002</v>
      </c>
      <c r="B2003">
        <v>5</v>
      </c>
      <c r="C2003" s="58">
        <v>45176</v>
      </c>
      <c r="D2003" t="s">
        <v>7</v>
      </c>
      <c r="E2003" t="s">
        <v>2581</v>
      </c>
      <c r="F2003">
        <v>2</v>
      </c>
      <c r="G2003">
        <v>6</v>
      </c>
      <c r="H2003">
        <v>270</v>
      </c>
      <c r="I2003">
        <v>2</v>
      </c>
      <c r="J2003">
        <v>67.95</v>
      </c>
      <c r="K2003" t="s">
        <v>15</v>
      </c>
      <c r="L2003">
        <v>6261524.5499999998</v>
      </c>
      <c r="M2003">
        <v>0</v>
      </c>
      <c r="N2003">
        <v>6261524.5499999998</v>
      </c>
      <c r="O2003">
        <v>92149</v>
      </c>
      <c r="P2003">
        <v>305775</v>
      </c>
      <c r="Q2003">
        <v>5955749.5499999998</v>
      </c>
      <c r="R2003">
        <v>87649</v>
      </c>
      <c r="S2003" t="s">
        <v>65</v>
      </c>
      <c r="T2003" t="s">
        <v>717</v>
      </c>
      <c r="U2003" t="s">
        <v>717</v>
      </c>
      <c r="V2003" t="s">
        <v>6312</v>
      </c>
      <c r="W2003">
        <v>45170</v>
      </c>
      <c r="X2003" t="s">
        <v>8775</v>
      </c>
      <c r="Y2003" t="s">
        <v>6</v>
      </c>
      <c r="Z2003" t="s">
        <v>17</v>
      </c>
      <c r="AA2003" t="s">
        <v>6637</v>
      </c>
      <c r="AB2003" t="s">
        <v>2509</v>
      </c>
      <c r="AC2003" t="s">
        <v>2571</v>
      </c>
      <c r="AD2003" t="s">
        <v>717</v>
      </c>
      <c r="AE2003" t="s">
        <v>8776</v>
      </c>
      <c r="AF2003" t="s">
        <v>8777</v>
      </c>
      <c r="AG2003" t="s">
        <v>8778</v>
      </c>
      <c r="AH2003" t="s">
        <v>6100</v>
      </c>
      <c r="AI2003" t="s">
        <v>5653</v>
      </c>
      <c r="AJ2003" t="s">
        <v>31</v>
      </c>
      <c r="AK2003" t="s">
        <v>77</v>
      </c>
      <c r="AL2003" t="s">
        <v>16</v>
      </c>
      <c r="AM2003" t="s">
        <v>5654</v>
      </c>
      <c r="AN2003" t="s">
        <v>717</v>
      </c>
    </row>
    <row r="2004" spans="1:40" hidden="1">
      <c r="A2004">
        <v>2003</v>
      </c>
      <c r="B2004">
        <v>6</v>
      </c>
      <c r="C2004" s="58">
        <v>45177</v>
      </c>
      <c r="D2004" t="s">
        <v>7</v>
      </c>
      <c r="E2004" t="s">
        <v>2515</v>
      </c>
      <c r="F2004">
        <v>6</v>
      </c>
      <c r="G2004">
        <v>6</v>
      </c>
      <c r="H2004">
        <v>38</v>
      </c>
      <c r="I2004">
        <v>2</v>
      </c>
      <c r="J2004">
        <v>59.87</v>
      </c>
      <c r="K2004" t="s">
        <v>25</v>
      </c>
      <c r="L2004">
        <v>6537355.5700000003</v>
      </c>
      <c r="M2004">
        <v>0</v>
      </c>
      <c r="N2004">
        <v>6537355.5700000003</v>
      </c>
      <c r="O2004">
        <v>109192.50993819944</v>
      </c>
      <c r="P2004">
        <v>927985</v>
      </c>
      <c r="Q2004">
        <v>5609370.5700000003</v>
      </c>
      <c r="R2004">
        <v>93692.509938199437</v>
      </c>
      <c r="S2004" t="s">
        <v>65</v>
      </c>
      <c r="T2004" t="s">
        <v>717</v>
      </c>
      <c r="U2004" t="s">
        <v>717</v>
      </c>
      <c r="V2004" t="s">
        <v>4131</v>
      </c>
      <c r="W2004">
        <v>45169</v>
      </c>
      <c r="X2004" t="s">
        <v>8779</v>
      </c>
      <c r="Y2004" t="s">
        <v>6</v>
      </c>
      <c r="Z2004" t="s">
        <v>17</v>
      </c>
      <c r="AA2004" t="s">
        <v>6637</v>
      </c>
      <c r="AB2004" t="s">
        <v>2509</v>
      </c>
      <c r="AC2004" t="s">
        <v>2571</v>
      </c>
      <c r="AD2004" t="s">
        <v>717</v>
      </c>
      <c r="AE2004" t="s">
        <v>8780</v>
      </c>
      <c r="AF2004" t="s">
        <v>8781</v>
      </c>
      <c r="AG2004" t="s">
        <v>8782</v>
      </c>
      <c r="AH2004" t="s">
        <v>2191</v>
      </c>
      <c r="AI2004" t="s">
        <v>2538</v>
      </c>
      <c r="AJ2004" t="s">
        <v>2514</v>
      </c>
      <c r="AK2004" t="s">
        <v>73</v>
      </c>
      <c r="AL2004" t="s">
        <v>16</v>
      </c>
      <c r="AM2004" t="s">
        <v>10</v>
      </c>
      <c r="AN2004" t="s">
        <v>717</v>
      </c>
    </row>
    <row r="2005" spans="1:40" hidden="1">
      <c r="A2005">
        <v>2004</v>
      </c>
      <c r="B2005">
        <v>7</v>
      </c>
      <c r="C2005" s="58">
        <v>45180</v>
      </c>
      <c r="D2005" t="s">
        <v>7</v>
      </c>
      <c r="E2005" t="s">
        <v>2506</v>
      </c>
      <c r="F2005">
        <v>8</v>
      </c>
      <c r="G2005">
        <v>15</v>
      </c>
      <c r="H2005">
        <v>232</v>
      </c>
      <c r="I2005">
        <v>1</v>
      </c>
      <c r="J2005">
        <v>33.79</v>
      </c>
      <c r="K2005" t="s">
        <v>15</v>
      </c>
      <c r="L2005">
        <v>3792466.94</v>
      </c>
      <c r="M2005">
        <v>0</v>
      </c>
      <c r="N2005">
        <v>3792466.94</v>
      </c>
      <c r="O2005">
        <v>112236.36993193252</v>
      </c>
      <c r="P2005">
        <v>152055</v>
      </c>
      <c r="Q2005">
        <v>3640411.94</v>
      </c>
      <c r="R2005">
        <v>107736.36993193252</v>
      </c>
      <c r="S2005" t="s">
        <v>65</v>
      </c>
      <c r="T2005" t="s">
        <v>717</v>
      </c>
      <c r="U2005" t="s">
        <v>717</v>
      </c>
      <c r="V2005" t="s">
        <v>4131</v>
      </c>
      <c r="W2005">
        <v>45167</v>
      </c>
      <c r="X2005" t="s">
        <v>8783</v>
      </c>
      <c r="Y2005" t="s">
        <v>6</v>
      </c>
      <c r="Z2005" t="s">
        <v>17</v>
      </c>
      <c r="AA2005" t="s">
        <v>6637</v>
      </c>
      <c r="AB2005" t="s">
        <v>2509</v>
      </c>
      <c r="AC2005" t="s">
        <v>2571</v>
      </c>
      <c r="AD2005" t="s">
        <v>717</v>
      </c>
      <c r="AE2005" t="s">
        <v>8784</v>
      </c>
      <c r="AF2005" t="s">
        <v>8785</v>
      </c>
      <c r="AG2005" t="s">
        <v>8786</v>
      </c>
      <c r="AH2005" t="s">
        <v>2615</v>
      </c>
      <c r="AI2005" t="s">
        <v>2552</v>
      </c>
      <c r="AJ2005" t="s">
        <v>2825</v>
      </c>
      <c r="AK2005" t="s">
        <v>73</v>
      </c>
      <c r="AL2005" t="s">
        <v>22</v>
      </c>
      <c r="AM2005" t="s">
        <v>10</v>
      </c>
      <c r="AN2005" t="s">
        <v>717</v>
      </c>
    </row>
    <row r="2006" spans="1:40" hidden="1">
      <c r="A2006">
        <v>2005</v>
      </c>
      <c r="B2006">
        <v>8</v>
      </c>
      <c r="C2006" s="58">
        <v>45181</v>
      </c>
      <c r="D2006" t="s">
        <v>7</v>
      </c>
      <c r="E2006" t="s">
        <v>2581</v>
      </c>
      <c r="F2006">
        <v>3</v>
      </c>
      <c r="G2006">
        <v>18</v>
      </c>
      <c r="H2006">
        <v>355</v>
      </c>
      <c r="I2006">
        <v>0</v>
      </c>
      <c r="J2006">
        <v>36.450000000000003</v>
      </c>
      <c r="K2006" t="s">
        <v>25</v>
      </c>
      <c r="L2006">
        <v>4086720.78</v>
      </c>
      <c r="M2006">
        <v>0</v>
      </c>
      <c r="N2006">
        <v>4086720.78</v>
      </c>
      <c r="O2006">
        <v>112118.53991769544</v>
      </c>
      <c r="P2006">
        <v>564975</v>
      </c>
      <c r="Q2006">
        <v>3521745.78</v>
      </c>
      <c r="R2006">
        <v>96618.539917695467</v>
      </c>
      <c r="S2006" t="s">
        <v>65</v>
      </c>
      <c r="T2006" t="s">
        <v>717</v>
      </c>
      <c r="U2006" t="s">
        <v>717</v>
      </c>
      <c r="V2006" t="s">
        <v>6312</v>
      </c>
      <c r="W2006">
        <v>45167</v>
      </c>
      <c r="X2006" t="s">
        <v>8787</v>
      </c>
      <c r="Y2006" t="s">
        <v>6</v>
      </c>
      <c r="Z2006" t="s">
        <v>17</v>
      </c>
      <c r="AA2006" t="s">
        <v>6637</v>
      </c>
      <c r="AB2006" t="s">
        <v>2509</v>
      </c>
      <c r="AC2006" t="s">
        <v>2571</v>
      </c>
      <c r="AD2006" t="s">
        <v>717</v>
      </c>
      <c r="AE2006" t="s">
        <v>8788</v>
      </c>
      <c r="AF2006" t="s">
        <v>8789</v>
      </c>
      <c r="AG2006" t="s">
        <v>8790</v>
      </c>
      <c r="AH2006" t="s">
        <v>2191</v>
      </c>
      <c r="AI2006" t="s">
        <v>2802</v>
      </c>
      <c r="AJ2006" t="s">
        <v>2514</v>
      </c>
      <c r="AK2006" t="s">
        <v>8</v>
      </c>
      <c r="AL2006" t="s">
        <v>16</v>
      </c>
      <c r="AM2006" t="s">
        <v>10</v>
      </c>
      <c r="AN2006" t="s">
        <v>717</v>
      </c>
    </row>
    <row r="2007" spans="1:40" hidden="1">
      <c r="A2007">
        <v>2006</v>
      </c>
      <c r="B2007">
        <v>9</v>
      </c>
      <c r="C2007" s="58">
        <v>45183</v>
      </c>
      <c r="D2007" t="s">
        <v>7</v>
      </c>
      <c r="E2007" t="s">
        <v>4409</v>
      </c>
      <c r="F2007">
        <v>2</v>
      </c>
      <c r="G2007">
        <v>13</v>
      </c>
      <c r="H2007">
        <v>502</v>
      </c>
      <c r="I2007">
        <v>1</v>
      </c>
      <c r="J2007">
        <v>38.6</v>
      </c>
      <c r="K2007" t="s">
        <v>25</v>
      </c>
      <c r="L2007">
        <v>4369127.82</v>
      </c>
      <c r="M2007">
        <v>0</v>
      </c>
      <c r="N2007">
        <v>4369127.82</v>
      </c>
      <c r="O2007">
        <v>113189.83989637306</v>
      </c>
      <c r="P2007">
        <v>598300</v>
      </c>
      <c r="Q2007">
        <v>3770827.82</v>
      </c>
      <c r="R2007">
        <v>97689.839896373058</v>
      </c>
      <c r="S2007" t="s">
        <v>65</v>
      </c>
      <c r="T2007" t="s">
        <v>8002</v>
      </c>
      <c r="U2007">
        <v>76955.67</v>
      </c>
      <c r="V2007" t="s">
        <v>4131</v>
      </c>
      <c r="W2007">
        <v>45180</v>
      </c>
      <c r="X2007" t="s">
        <v>8791</v>
      </c>
      <c r="Y2007" t="s">
        <v>6</v>
      </c>
      <c r="Z2007" t="s">
        <v>17</v>
      </c>
      <c r="AA2007" t="s">
        <v>6637</v>
      </c>
      <c r="AB2007" t="s">
        <v>2509</v>
      </c>
      <c r="AC2007" t="s">
        <v>2571</v>
      </c>
      <c r="AD2007" t="s">
        <v>717</v>
      </c>
      <c r="AE2007" t="s">
        <v>4398</v>
      </c>
      <c r="AF2007" t="s">
        <v>4399</v>
      </c>
      <c r="AG2007" t="s">
        <v>8792</v>
      </c>
      <c r="AH2007" t="s">
        <v>2615</v>
      </c>
      <c r="AI2007" t="s">
        <v>2552</v>
      </c>
      <c r="AJ2007" t="s">
        <v>2895</v>
      </c>
      <c r="AK2007" t="s">
        <v>20</v>
      </c>
      <c r="AL2007" t="s">
        <v>22</v>
      </c>
      <c r="AM2007" t="s">
        <v>10</v>
      </c>
      <c r="AN2007" t="s">
        <v>717</v>
      </c>
    </row>
    <row r="2008" spans="1:40" hidden="1">
      <c r="A2008">
        <v>2007</v>
      </c>
      <c r="B2008" t="s">
        <v>717</v>
      </c>
      <c r="C2008" s="58">
        <v>45065</v>
      </c>
      <c r="D2008" t="s">
        <v>27</v>
      </c>
      <c r="E2008" t="s">
        <v>2515</v>
      </c>
      <c r="F2008">
        <v>6</v>
      </c>
      <c r="G2008">
        <v>23</v>
      </c>
      <c r="H2008">
        <v>195</v>
      </c>
      <c r="I2008">
        <v>2</v>
      </c>
      <c r="J2008">
        <v>55.9</v>
      </c>
      <c r="K2008" t="s">
        <v>25</v>
      </c>
      <c r="L2008">
        <v>4855921.2</v>
      </c>
      <c r="M2008">
        <v>0</v>
      </c>
      <c r="N2008">
        <v>4855921.2</v>
      </c>
      <c r="O2008">
        <v>86868</v>
      </c>
      <c r="P2008">
        <v>0</v>
      </c>
      <c r="Q2008">
        <v>4855921.2</v>
      </c>
      <c r="R2008">
        <v>86868</v>
      </c>
      <c r="S2008" t="s">
        <v>2507</v>
      </c>
      <c r="T2008" t="s">
        <v>717</v>
      </c>
      <c r="U2008" t="s">
        <v>717</v>
      </c>
      <c r="V2008" t="s">
        <v>717</v>
      </c>
      <c r="W2008">
        <v>45065</v>
      </c>
      <c r="X2008" t="s">
        <v>8793</v>
      </c>
      <c r="Y2008" t="s">
        <v>6642</v>
      </c>
      <c r="Z2008" t="s">
        <v>17</v>
      </c>
      <c r="AA2008" t="s">
        <v>717</v>
      </c>
      <c r="AB2008" t="s">
        <v>326</v>
      </c>
      <c r="AC2008" t="s">
        <v>118</v>
      </c>
      <c r="AD2008" t="s">
        <v>717</v>
      </c>
      <c r="AE2008" t="s">
        <v>8794</v>
      </c>
      <c r="AF2008" t="s">
        <v>717</v>
      </c>
      <c r="AG2008" t="s">
        <v>717</v>
      </c>
      <c r="AH2008" t="s">
        <v>717</v>
      </c>
      <c r="AI2008" t="s">
        <v>6644</v>
      </c>
      <c r="AJ2008" t="s">
        <v>6645</v>
      </c>
      <c r="AK2008" t="s">
        <v>29</v>
      </c>
      <c r="AL2008" t="s">
        <v>717</v>
      </c>
      <c r="AM2008" t="s">
        <v>10</v>
      </c>
      <c r="AN2008" t="s">
        <v>717</v>
      </c>
    </row>
    <row r="2009" spans="1:40" hidden="1">
      <c r="A2009">
        <v>2008</v>
      </c>
      <c r="B2009" t="s">
        <v>717</v>
      </c>
      <c r="C2009" s="58">
        <v>45134</v>
      </c>
      <c r="D2009" t="s">
        <v>27</v>
      </c>
      <c r="E2009" t="s">
        <v>2515</v>
      </c>
      <c r="F2009">
        <v>8</v>
      </c>
      <c r="G2009">
        <v>20</v>
      </c>
      <c r="H2009">
        <v>170</v>
      </c>
      <c r="I2009">
        <v>1</v>
      </c>
      <c r="J2009">
        <v>36.4</v>
      </c>
      <c r="K2009" t="s">
        <v>25</v>
      </c>
      <c r="L2009">
        <v>3161995.2</v>
      </c>
      <c r="M2009">
        <v>0</v>
      </c>
      <c r="N2009">
        <v>3161995.2</v>
      </c>
      <c r="O2009">
        <v>86868.000000000015</v>
      </c>
      <c r="P2009">
        <v>0</v>
      </c>
      <c r="Q2009">
        <v>3161995.2</v>
      </c>
      <c r="R2009">
        <v>86868.000000000015</v>
      </c>
      <c r="S2009" t="s">
        <v>2507</v>
      </c>
      <c r="T2009" t="s">
        <v>717</v>
      </c>
      <c r="U2009" t="s">
        <v>717</v>
      </c>
      <c r="V2009" t="s">
        <v>717</v>
      </c>
      <c r="W2009">
        <v>45134</v>
      </c>
      <c r="X2009" t="s">
        <v>8795</v>
      </c>
      <c r="Y2009" t="s">
        <v>6642</v>
      </c>
      <c r="Z2009" t="s">
        <v>17</v>
      </c>
      <c r="AA2009" t="s">
        <v>717</v>
      </c>
      <c r="AB2009" t="s">
        <v>326</v>
      </c>
      <c r="AC2009" t="s">
        <v>118</v>
      </c>
      <c r="AD2009" t="s">
        <v>717</v>
      </c>
      <c r="AE2009" t="s">
        <v>8794</v>
      </c>
      <c r="AF2009" t="s">
        <v>717</v>
      </c>
      <c r="AG2009" t="s">
        <v>717</v>
      </c>
      <c r="AH2009" t="s">
        <v>717</v>
      </c>
      <c r="AI2009" t="s">
        <v>6644</v>
      </c>
      <c r="AJ2009" t="s">
        <v>6645</v>
      </c>
      <c r="AK2009" t="s">
        <v>29</v>
      </c>
      <c r="AL2009" t="s">
        <v>717</v>
      </c>
      <c r="AM2009" t="s">
        <v>10</v>
      </c>
      <c r="AN2009" t="s">
        <v>717</v>
      </c>
    </row>
    <row r="2010" spans="1:40" hidden="1">
      <c r="A2010">
        <v>2009</v>
      </c>
      <c r="B2010">
        <v>10</v>
      </c>
      <c r="C2010" s="58">
        <v>45185</v>
      </c>
      <c r="D2010" t="s">
        <v>13</v>
      </c>
      <c r="E2010" t="s">
        <v>2506</v>
      </c>
      <c r="F2010">
        <v>7</v>
      </c>
      <c r="G2010">
        <v>2</v>
      </c>
      <c r="H2010">
        <v>124</v>
      </c>
      <c r="I2010">
        <v>1</v>
      </c>
      <c r="J2010">
        <v>42.28</v>
      </c>
      <c r="K2010" t="s">
        <v>15</v>
      </c>
      <c r="L2010">
        <v>3759021.04</v>
      </c>
      <c r="M2010">
        <v>15000</v>
      </c>
      <c r="N2010">
        <v>3774021.04</v>
      </c>
      <c r="O2010">
        <v>89262.560075685906</v>
      </c>
      <c r="P2010">
        <v>190260</v>
      </c>
      <c r="Q2010">
        <v>3583761.04</v>
      </c>
      <c r="R2010">
        <v>84762.560075685906</v>
      </c>
      <c r="S2010" t="s">
        <v>65</v>
      </c>
      <c r="T2010" t="s">
        <v>717</v>
      </c>
      <c r="U2010" t="s">
        <v>717</v>
      </c>
      <c r="V2010" t="s">
        <v>6312</v>
      </c>
      <c r="W2010">
        <v>45150</v>
      </c>
      <c r="X2010" t="s">
        <v>8796</v>
      </c>
      <c r="Y2010" t="s">
        <v>6</v>
      </c>
      <c r="Z2010" t="s">
        <v>17</v>
      </c>
      <c r="AA2010" t="s">
        <v>6637</v>
      </c>
      <c r="AB2010" t="s">
        <v>2509</v>
      </c>
      <c r="AC2010" t="s">
        <v>2571</v>
      </c>
      <c r="AD2010" t="s">
        <v>717</v>
      </c>
      <c r="AE2010" t="s">
        <v>8797</v>
      </c>
      <c r="AF2010" t="s">
        <v>8798</v>
      </c>
      <c r="AG2010" t="s">
        <v>8799</v>
      </c>
      <c r="AH2010" t="s">
        <v>6100</v>
      </c>
      <c r="AI2010" t="s">
        <v>5653</v>
      </c>
      <c r="AJ2010" t="s">
        <v>31</v>
      </c>
      <c r="AK2010" t="s">
        <v>20</v>
      </c>
      <c r="AL2010" t="s">
        <v>16</v>
      </c>
      <c r="AM2010" t="s">
        <v>5654</v>
      </c>
      <c r="AN2010" t="s">
        <v>717</v>
      </c>
    </row>
    <row r="2011" spans="1:40" hidden="1">
      <c r="A2011">
        <v>2010</v>
      </c>
      <c r="B2011">
        <v>11</v>
      </c>
      <c r="C2011" s="58">
        <v>45185</v>
      </c>
      <c r="D2011" t="s">
        <v>13</v>
      </c>
      <c r="E2011" t="s">
        <v>2506</v>
      </c>
      <c r="F2011">
        <v>7</v>
      </c>
      <c r="G2011">
        <v>3</v>
      </c>
      <c r="H2011">
        <v>131</v>
      </c>
      <c r="I2011">
        <v>1</v>
      </c>
      <c r="J2011">
        <v>42.28</v>
      </c>
      <c r="K2011" t="s">
        <v>15</v>
      </c>
      <c r="L2011">
        <v>3759021.04</v>
      </c>
      <c r="M2011">
        <v>15000</v>
      </c>
      <c r="N2011">
        <v>3774021.04</v>
      </c>
      <c r="O2011">
        <v>89262.560075685906</v>
      </c>
      <c r="P2011">
        <v>190260</v>
      </c>
      <c r="Q2011">
        <v>3583761.04</v>
      </c>
      <c r="R2011">
        <v>84762.560075685906</v>
      </c>
      <c r="S2011" t="s">
        <v>65</v>
      </c>
      <c r="T2011" t="s">
        <v>717</v>
      </c>
      <c r="U2011" t="s">
        <v>717</v>
      </c>
      <c r="V2011" t="s">
        <v>6312</v>
      </c>
      <c r="W2011">
        <v>45150</v>
      </c>
      <c r="X2011" t="s">
        <v>8800</v>
      </c>
      <c r="Y2011" t="s">
        <v>6</v>
      </c>
      <c r="Z2011" t="s">
        <v>17</v>
      </c>
      <c r="AA2011" t="s">
        <v>6637</v>
      </c>
      <c r="AB2011" t="s">
        <v>2509</v>
      </c>
      <c r="AC2011" t="s">
        <v>2571</v>
      </c>
      <c r="AD2011" t="s">
        <v>717</v>
      </c>
      <c r="AE2011" t="s">
        <v>8801</v>
      </c>
      <c r="AF2011" t="s">
        <v>8802</v>
      </c>
      <c r="AG2011" t="s">
        <v>8803</v>
      </c>
      <c r="AH2011" t="s">
        <v>6100</v>
      </c>
      <c r="AI2011" t="s">
        <v>5653</v>
      </c>
      <c r="AJ2011" t="s">
        <v>31</v>
      </c>
      <c r="AK2011" t="s">
        <v>20</v>
      </c>
      <c r="AL2011" t="s">
        <v>16</v>
      </c>
      <c r="AM2011" t="s">
        <v>5654</v>
      </c>
      <c r="AN2011" t="s">
        <v>717</v>
      </c>
    </row>
    <row r="2012" spans="1:40" hidden="1">
      <c r="A2012">
        <v>2011</v>
      </c>
      <c r="B2012">
        <v>12</v>
      </c>
      <c r="C2012" s="58">
        <v>45185</v>
      </c>
      <c r="D2012" t="s">
        <v>13</v>
      </c>
      <c r="E2012" t="s">
        <v>2506</v>
      </c>
      <c r="F2012">
        <v>5</v>
      </c>
      <c r="G2012">
        <v>10</v>
      </c>
      <c r="H2012">
        <v>178</v>
      </c>
      <c r="I2012">
        <v>1</v>
      </c>
      <c r="J2012">
        <v>37.86</v>
      </c>
      <c r="K2012" t="s">
        <v>15</v>
      </c>
      <c r="L2012">
        <v>3533381.18</v>
      </c>
      <c r="M2012">
        <v>15000</v>
      </c>
      <c r="N2012">
        <v>3548381.18</v>
      </c>
      <c r="O2012">
        <v>93723.750132065514</v>
      </c>
      <c r="P2012">
        <v>170370</v>
      </c>
      <c r="Q2012">
        <v>3378011.18</v>
      </c>
      <c r="R2012">
        <v>89223.750132065514</v>
      </c>
      <c r="S2012" t="s">
        <v>65</v>
      </c>
      <c r="T2012" t="s">
        <v>717</v>
      </c>
      <c r="U2012" t="s">
        <v>717</v>
      </c>
      <c r="V2012" t="s">
        <v>4131</v>
      </c>
      <c r="W2012">
        <v>45155</v>
      </c>
      <c r="X2012" t="s">
        <v>8804</v>
      </c>
      <c r="Y2012" t="s">
        <v>6</v>
      </c>
      <c r="Z2012" t="s">
        <v>17</v>
      </c>
      <c r="AA2012" t="s">
        <v>6637</v>
      </c>
      <c r="AB2012" t="s">
        <v>2509</v>
      </c>
      <c r="AC2012" t="s">
        <v>2571</v>
      </c>
      <c r="AD2012" t="s">
        <v>717</v>
      </c>
      <c r="AE2012" t="s">
        <v>2528</v>
      </c>
      <c r="AF2012" t="s">
        <v>2529</v>
      </c>
      <c r="AG2012" t="s">
        <v>2530</v>
      </c>
      <c r="AH2012" t="s">
        <v>2191</v>
      </c>
      <c r="AI2012" t="s">
        <v>2706</v>
      </c>
      <c r="AJ2012" t="s">
        <v>2514</v>
      </c>
      <c r="AK2012" t="s">
        <v>20</v>
      </c>
      <c r="AL2012" t="s">
        <v>16</v>
      </c>
      <c r="AM2012" t="s">
        <v>10</v>
      </c>
      <c r="AN2012" t="s">
        <v>717</v>
      </c>
    </row>
    <row r="2013" spans="1:40" hidden="1">
      <c r="A2013">
        <v>2012</v>
      </c>
      <c r="B2013">
        <v>13</v>
      </c>
      <c r="C2013" s="58">
        <v>45185</v>
      </c>
      <c r="D2013" t="s">
        <v>7</v>
      </c>
      <c r="E2013" t="s">
        <v>4409</v>
      </c>
      <c r="F2013">
        <v>5</v>
      </c>
      <c r="G2013">
        <v>11</v>
      </c>
      <c r="H2013">
        <v>487</v>
      </c>
      <c r="I2013">
        <v>2</v>
      </c>
      <c r="J2013">
        <v>56.04</v>
      </c>
      <c r="K2013" t="s">
        <v>9</v>
      </c>
      <c r="L2013">
        <v>4868239.63</v>
      </c>
      <c r="M2013">
        <v>0</v>
      </c>
      <c r="N2013">
        <v>4868239.63</v>
      </c>
      <c r="O2013">
        <v>86870.799964311213</v>
      </c>
      <c r="P2013">
        <v>0</v>
      </c>
      <c r="Q2013">
        <v>4868239.63</v>
      </c>
      <c r="R2013">
        <v>86870.799964311213</v>
      </c>
      <c r="S2013" t="s">
        <v>65</v>
      </c>
      <c r="T2013" t="s">
        <v>717</v>
      </c>
      <c r="U2013" t="s">
        <v>717</v>
      </c>
      <c r="V2013" t="s">
        <v>6312</v>
      </c>
      <c r="W2013">
        <v>45162</v>
      </c>
      <c r="X2013" t="s">
        <v>8805</v>
      </c>
      <c r="Y2013" t="s">
        <v>6</v>
      </c>
      <c r="Z2013" t="s">
        <v>17</v>
      </c>
      <c r="AA2013" t="s">
        <v>6637</v>
      </c>
      <c r="AB2013" t="s">
        <v>2509</v>
      </c>
      <c r="AC2013" t="s">
        <v>2571</v>
      </c>
      <c r="AD2013" t="s">
        <v>717</v>
      </c>
      <c r="AE2013" t="s">
        <v>8806</v>
      </c>
      <c r="AF2013" t="s">
        <v>8807</v>
      </c>
      <c r="AG2013" t="s">
        <v>8808</v>
      </c>
      <c r="AH2013" t="s">
        <v>2615</v>
      </c>
      <c r="AI2013" t="s">
        <v>2552</v>
      </c>
      <c r="AJ2013" t="s">
        <v>2825</v>
      </c>
      <c r="AK2013" t="s">
        <v>8</v>
      </c>
      <c r="AL2013" t="s">
        <v>22</v>
      </c>
      <c r="AM2013" t="s">
        <v>10</v>
      </c>
      <c r="AN2013" t="s">
        <v>717</v>
      </c>
    </row>
    <row r="2014" spans="1:40" hidden="1">
      <c r="A2014">
        <v>2013</v>
      </c>
      <c r="B2014">
        <v>14</v>
      </c>
      <c r="C2014" s="58">
        <v>45184</v>
      </c>
      <c r="D2014" t="s">
        <v>13</v>
      </c>
      <c r="E2014" t="s">
        <v>2506</v>
      </c>
      <c r="F2014">
        <v>5</v>
      </c>
      <c r="G2014">
        <v>14</v>
      </c>
      <c r="H2014">
        <v>206</v>
      </c>
      <c r="I2014">
        <v>1</v>
      </c>
      <c r="J2014">
        <v>37.86</v>
      </c>
      <c r="K2014" t="s">
        <v>15</v>
      </c>
      <c r="L2014">
        <v>3533381.18</v>
      </c>
      <c r="M2014">
        <v>15000</v>
      </c>
      <c r="N2014">
        <v>3548381.18</v>
      </c>
      <c r="O2014">
        <v>93723.750132065514</v>
      </c>
      <c r="P2014">
        <v>170370</v>
      </c>
      <c r="Q2014">
        <v>3378011.18</v>
      </c>
      <c r="R2014">
        <v>89223.750132065514</v>
      </c>
      <c r="S2014" t="s">
        <v>65</v>
      </c>
      <c r="T2014" t="s">
        <v>717</v>
      </c>
      <c r="U2014" t="s">
        <v>717</v>
      </c>
      <c r="V2014" t="s">
        <v>6312</v>
      </c>
      <c r="W2014">
        <v>45156</v>
      </c>
      <c r="X2014" t="s">
        <v>8809</v>
      </c>
      <c r="Y2014" t="s">
        <v>6</v>
      </c>
      <c r="Z2014" t="s">
        <v>17</v>
      </c>
      <c r="AA2014" t="s">
        <v>6637</v>
      </c>
      <c r="AB2014" t="s">
        <v>2509</v>
      </c>
      <c r="AC2014" t="s">
        <v>2571</v>
      </c>
      <c r="AD2014" t="s">
        <v>717</v>
      </c>
      <c r="AE2014" t="s">
        <v>8810</v>
      </c>
      <c r="AF2014" t="s">
        <v>8811</v>
      </c>
      <c r="AG2014" t="s">
        <v>8812</v>
      </c>
      <c r="AH2014" t="s">
        <v>2191</v>
      </c>
      <c r="AI2014" t="s">
        <v>2552</v>
      </c>
      <c r="AJ2014" t="s">
        <v>2514</v>
      </c>
      <c r="AK2014" t="s">
        <v>20</v>
      </c>
      <c r="AL2014" t="s">
        <v>22</v>
      </c>
      <c r="AM2014" t="s">
        <v>10</v>
      </c>
      <c r="AN2014" t="s">
        <v>717</v>
      </c>
    </row>
    <row r="2015" spans="1:40" hidden="1">
      <c r="A2015">
        <v>2014</v>
      </c>
      <c r="B2015">
        <v>15</v>
      </c>
      <c r="C2015" s="58">
        <v>45184</v>
      </c>
      <c r="D2015" t="s">
        <v>13</v>
      </c>
      <c r="E2015" t="s">
        <v>4409</v>
      </c>
      <c r="F2015">
        <v>5</v>
      </c>
      <c r="G2015">
        <v>8</v>
      </c>
      <c r="H2015">
        <v>449</v>
      </c>
      <c r="I2015">
        <v>2</v>
      </c>
      <c r="J2015">
        <v>57.8</v>
      </c>
      <c r="K2015" t="s">
        <v>25</v>
      </c>
      <c r="L2015">
        <v>5455745.7199999997</v>
      </c>
      <c r="M2015">
        <v>15000</v>
      </c>
      <c r="N2015">
        <v>5470745.7199999997</v>
      </c>
      <c r="O2015">
        <v>94649.579930795851</v>
      </c>
      <c r="P2015">
        <v>895900</v>
      </c>
      <c r="Q2015">
        <v>4574845.72</v>
      </c>
      <c r="R2015">
        <v>79149.579930795851</v>
      </c>
      <c r="S2015" t="s">
        <v>65</v>
      </c>
      <c r="T2015" t="s">
        <v>717</v>
      </c>
      <c r="U2015" t="s">
        <v>717</v>
      </c>
      <c r="V2015" t="s">
        <v>6312</v>
      </c>
      <c r="W2015">
        <v>45156</v>
      </c>
      <c r="X2015" t="s">
        <v>8813</v>
      </c>
      <c r="Y2015" t="s">
        <v>6</v>
      </c>
      <c r="Z2015" t="s">
        <v>17</v>
      </c>
      <c r="AA2015" t="s">
        <v>6637</v>
      </c>
      <c r="AB2015" t="s">
        <v>2509</v>
      </c>
      <c r="AC2015" t="s">
        <v>2571</v>
      </c>
      <c r="AD2015" t="s">
        <v>717</v>
      </c>
      <c r="AE2015" t="s">
        <v>8814</v>
      </c>
      <c r="AF2015" t="s">
        <v>8815</v>
      </c>
      <c r="AG2015" t="s">
        <v>8816</v>
      </c>
      <c r="AH2015" t="s">
        <v>2191</v>
      </c>
      <c r="AI2015" t="s">
        <v>2552</v>
      </c>
      <c r="AJ2015" t="s">
        <v>2514</v>
      </c>
      <c r="AK2015" t="s">
        <v>20</v>
      </c>
      <c r="AL2015" t="s">
        <v>22</v>
      </c>
      <c r="AM2015" t="s">
        <v>10</v>
      </c>
      <c r="AN2015" t="s">
        <v>717</v>
      </c>
    </row>
    <row r="2016" spans="1:40" hidden="1">
      <c r="A2016">
        <v>2015</v>
      </c>
      <c r="B2016">
        <v>16</v>
      </c>
      <c r="C2016" s="58">
        <v>45184</v>
      </c>
      <c r="D2016" t="s">
        <v>13</v>
      </c>
      <c r="E2016" t="s">
        <v>2515</v>
      </c>
      <c r="F2016">
        <v>3</v>
      </c>
      <c r="G2016">
        <v>14</v>
      </c>
      <c r="H2016">
        <v>93</v>
      </c>
      <c r="I2016">
        <v>1</v>
      </c>
      <c r="J2016">
        <v>37.729999999999997</v>
      </c>
      <c r="K2016" t="s">
        <v>9</v>
      </c>
      <c r="L2016">
        <v>3290204.6</v>
      </c>
      <c r="M2016">
        <v>15000</v>
      </c>
      <c r="N2016">
        <v>3305204.6</v>
      </c>
      <c r="O2016">
        <v>87601.500132520538</v>
      </c>
      <c r="P2016">
        <v>0</v>
      </c>
      <c r="Q2016">
        <v>3305204.6</v>
      </c>
      <c r="R2016">
        <v>87601.500132520538</v>
      </c>
      <c r="S2016" t="s">
        <v>65</v>
      </c>
      <c r="T2016" t="s">
        <v>717</v>
      </c>
      <c r="U2016" t="s">
        <v>717</v>
      </c>
      <c r="V2016" t="s">
        <v>6312</v>
      </c>
      <c r="W2016">
        <v>45156</v>
      </c>
      <c r="X2016" t="s">
        <v>8817</v>
      </c>
      <c r="Y2016" t="s">
        <v>6</v>
      </c>
      <c r="Z2016" t="s">
        <v>17</v>
      </c>
      <c r="AA2016" t="s">
        <v>6637</v>
      </c>
      <c r="AB2016" t="s">
        <v>2509</v>
      </c>
      <c r="AC2016" t="s">
        <v>2571</v>
      </c>
      <c r="AD2016" t="s">
        <v>717</v>
      </c>
      <c r="AE2016" t="s">
        <v>8818</v>
      </c>
      <c r="AF2016" t="s">
        <v>8819</v>
      </c>
      <c r="AG2016" t="s">
        <v>8820</v>
      </c>
      <c r="AH2016" t="s">
        <v>2615</v>
      </c>
      <c r="AI2016" t="s">
        <v>2847</v>
      </c>
      <c r="AJ2016" t="s">
        <v>2825</v>
      </c>
      <c r="AK2016" t="s">
        <v>20</v>
      </c>
      <c r="AL2016" t="s">
        <v>22</v>
      </c>
      <c r="AM2016" t="s">
        <v>10</v>
      </c>
      <c r="AN2016" t="s">
        <v>717</v>
      </c>
    </row>
    <row r="2017" spans="1:40" hidden="1">
      <c r="A2017">
        <v>2016</v>
      </c>
      <c r="B2017">
        <v>17</v>
      </c>
      <c r="C2017" s="58">
        <v>45184</v>
      </c>
      <c r="D2017" t="s">
        <v>13</v>
      </c>
      <c r="E2017" t="s">
        <v>2515</v>
      </c>
      <c r="F2017">
        <v>5</v>
      </c>
      <c r="G2017">
        <v>4</v>
      </c>
      <c r="H2017">
        <v>25</v>
      </c>
      <c r="I2017">
        <v>2</v>
      </c>
      <c r="J2017">
        <v>62.17</v>
      </c>
      <c r="K2017" t="s">
        <v>25</v>
      </c>
      <c r="L2017">
        <v>5989382.3300000001</v>
      </c>
      <c r="M2017">
        <v>15000</v>
      </c>
      <c r="N2017">
        <v>6004382.3300000001</v>
      </c>
      <c r="O2017">
        <v>96580.059996783006</v>
      </c>
      <c r="P2017">
        <v>963635</v>
      </c>
      <c r="Q2017">
        <v>5040747.33</v>
      </c>
      <c r="R2017">
        <v>81080.05999678302</v>
      </c>
      <c r="S2017" t="s">
        <v>65</v>
      </c>
      <c r="T2017" t="s">
        <v>717</v>
      </c>
      <c r="U2017" t="s">
        <v>717</v>
      </c>
      <c r="V2017" t="s">
        <v>6312</v>
      </c>
      <c r="W2017">
        <v>45157</v>
      </c>
      <c r="X2017" t="s">
        <v>8821</v>
      </c>
      <c r="Y2017" t="s">
        <v>6</v>
      </c>
      <c r="Z2017" t="s">
        <v>17</v>
      </c>
      <c r="AA2017" t="s">
        <v>6637</v>
      </c>
      <c r="AB2017" t="s">
        <v>2509</v>
      </c>
      <c r="AC2017" t="s">
        <v>2571</v>
      </c>
      <c r="AD2017" t="s">
        <v>717</v>
      </c>
      <c r="AE2017" t="s">
        <v>8822</v>
      </c>
      <c r="AF2017" t="s">
        <v>8823</v>
      </c>
      <c r="AG2017" t="s">
        <v>8824</v>
      </c>
      <c r="AH2017" t="s">
        <v>2191</v>
      </c>
      <c r="AI2017" t="s">
        <v>2538</v>
      </c>
      <c r="AJ2017" t="s">
        <v>2514</v>
      </c>
      <c r="AK2017" t="s">
        <v>1233</v>
      </c>
      <c r="AL2017" t="s">
        <v>16</v>
      </c>
      <c r="AM2017" t="s">
        <v>10</v>
      </c>
      <c r="AN2017" t="s">
        <v>717</v>
      </c>
    </row>
    <row r="2018" spans="1:40" hidden="1">
      <c r="A2018">
        <v>2017</v>
      </c>
      <c r="B2018">
        <v>18</v>
      </c>
      <c r="C2018" s="58">
        <v>45184</v>
      </c>
      <c r="D2018" t="s">
        <v>13</v>
      </c>
      <c r="E2018" t="s">
        <v>2506</v>
      </c>
      <c r="F2018">
        <v>3</v>
      </c>
      <c r="G2018">
        <v>14</v>
      </c>
      <c r="H2018">
        <v>204</v>
      </c>
      <c r="I2018">
        <v>2</v>
      </c>
      <c r="J2018">
        <v>57.6</v>
      </c>
      <c r="K2018" t="s">
        <v>25</v>
      </c>
      <c r="L2018">
        <v>5778619.7800000003</v>
      </c>
      <c r="M2018">
        <v>0</v>
      </c>
      <c r="N2018">
        <v>5778619.7800000003</v>
      </c>
      <c r="O2018">
        <v>100323.26006944444</v>
      </c>
      <c r="P2018">
        <v>921600</v>
      </c>
      <c r="Q2018">
        <v>4857019.78</v>
      </c>
      <c r="R2018">
        <v>84323.260069444441</v>
      </c>
      <c r="S2018" t="s">
        <v>65</v>
      </c>
      <c r="T2018" t="s">
        <v>717</v>
      </c>
      <c r="U2018" t="s">
        <v>717</v>
      </c>
      <c r="V2018" t="s">
        <v>6312</v>
      </c>
      <c r="W2018">
        <v>45167</v>
      </c>
      <c r="X2018" t="s">
        <v>8825</v>
      </c>
      <c r="Y2018" t="s">
        <v>6</v>
      </c>
      <c r="Z2018" t="s">
        <v>17</v>
      </c>
      <c r="AA2018" t="s">
        <v>6637</v>
      </c>
      <c r="AB2018" t="s">
        <v>2509</v>
      </c>
      <c r="AC2018" t="s">
        <v>2571</v>
      </c>
      <c r="AD2018" t="s">
        <v>717</v>
      </c>
      <c r="AE2018" t="s">
        <v>8826</v>
      </c>
      <c r="AF2018" t="s">
        <v>8827</v>
      </c>
      <c r="AG2018" t="s">
        <v>8828</v>
      </c>
      <c r="AH2018" t="s">
        <v>2191</v>
      </c>
      <c r="AI2018" t="s">
        <v>2552</v>
      </c>
      <c r="AJ2018" t="s">
        <v>2514</v>
      </c>
      <c r="AK2018" t="s">
        <v>20</v>
      </c>
      <c r="AL2018" t="s">
        <v>22</v>
      </c>
      <c r="AM2018" t="s">
        <v>10</v>
      </c>
      <c r="AN2018" t="s">
        <v>717</v>
      </c>
    </row>
    <row r="2019" spans="1:40" hidden="1">
      <c r="A2019">
        <v>2018</v>
      </c>
      <c r="B2019">
        <v>19</v>
      </c>
      <c r="C2019" s="58">
        <v>45184</v>
      </c>
      <c r="D2019" t="s">
        <v>13</v>
      </c>
      <c r="E2019" t="s">
        <v>2581</v>
      </c>
      <c r="F2019">
        <v>7</v>
      </c>
      <c r="G2019">
        <v>13</v>
      </c>
      <c r="H2019">
        <v>312</v>
      </c>
      <c r="I2019">
        <v>1</v>
      </c>
      <c r="J2019">
        <v>34.81</v>
      </c>
      <c r="K2019" t="s">
        <v>9</v>
      </c>
      <c r="L2019">
        <v>3350610.44</v>
      </c>
      <c r="M2019">
        <v>0</v>
      </c>
      <c r="N2019">
        <v>3350610.44</v>
      </c>
      <c r="O2019">
        <v>96254.249928181554</v>
      </c>
      <c r="P2019">
        <v>0</v>
      </c>
      <c r="Q2019">
        <v>3350610.44</v>
      </c>
      <c r="R2019">
        <v>96254.249928181554</v>
      </c>
      <c r="S2019" t="s">
        <v>65</v>
      </c>
      <c r="T2019" t="s">
        <v>717</v>
      </c>
      <c r="U2019" t="s">
        <v>717</v>
      </c>
      <c r="V2019" t="s">
        <v>4131</v>
      </c>
      <c r="W2019">
        <v>45176</v>
      </c>
      <c r="X2019" t="s">
        <v>8829</v>
      </c>
      <c r="Y2019" t="s">
        <v>6</v>
      </c>
      <c r="Z2019" t="s">
        <v>17</v>
      </c>
      <c r="AA2019" t="s">
        <v>6637</v>
      </c>
      <c r="AB2019" t="s">
        <v>2509</v>
      </c>
      <c r="AC2019" t="s">
        <v>2571</v>
      </c>
      <c r="AD2019" t="s">
        <v>717</v>
      </c>
      <c r="AE2019" t="s">
        <v>8830</v>
      </c>
      <c r="AF2019" t="s">
        <v>8831</v>
      </c>
      <c r="AG2019" t="s">
        <v>8832</v>
      </c>
      <c r="AH2019" t="s">
        <v>6100</v>
      </c>
      <c r="AI2019" t="s">
        <v>5653</v>
      </c>
      <c r="AJ2019" t="s">
        <v>31</v>
      </c>
      <c r="AK2019" t="s">
        <v>1233</v>
      </c>
      <c r="AL2019" t="s">
        <v>16</v>
      </c>
      <c r="AM2019" t="s">
        <v>5654</v>
      </c>
      <c r="AN2019" t="s">
        <v>717</v>
      </c>
    </row>
    <row r="2020" spans="1:40" hidden="1">
      <c r="A2020">
        <v>2019</v>
      </c>
      <c r="B2020">
        <v>20</v>
      </c>
      <c r="C2020" s="58">
        <v>45184</v>
      </c>
      <c r="D2020" t="s">
        <v>13</v>
      </c>
      <c r="E2020" t="s">
        <v>4409</v>
      </c>
      <c r="F2020">
        <v>7</v>
      </c>
      <c r="G2020">
        <v>10</v>
      </c>
      <c r="H2020">
        <v>467</v>
      </c>
      <c r="I2020">
        <v>3</v>
      </c>
      <c r="J2020">
        <v>79.44</v>
      </c>
      <c r="K2020" t="s">
        <v>15</v>
      </c>
      <c r="L2020">
        <v>6958955.1200000001</v>
      </c>
      <c r="M2020">
        <v>0</v>
      </c>
      <c r="N2020">
        <v>6958955.1200000001</v>
      </c>
      <c r="O2020">
        <v>87600.139979859014</v>
      </c>
      <c r="P2020">
        <v>397200</v>
      </c>
      <c r="Q2020">
        <v>6561755.1200000001</v>
      </c>
      <c r="R2020">
        <v>82600.139979859014</v>
      </c>
      <c r="S2020" t="s">
        <v>65</v>
      </c>
      <c r="T2020" t="s">
        <v>717</v>
      </c>
      <c r="U2020" t="s">
        <v>717</v>
      </c>
      <c r="V2020" t="s">
        <v>6488</v>
      </c>
      <c r="W2020">
        <v>45181</v>
      </c>
      <c r="X2020" t="s">
        <v>8833</v>
      </c>
      <c r="Y2020" t="s">
        <v>6</v>
      </c>
      <c r="Z2020" t="s">
        <v>17</v>
      </c>
      <c r="AA2020" t="s">
        <v>6637</v>
      </c>
      <c r="AB2020" t="s">
        <v>2509</v>
      </c>
      <c r="AC2020" t="s">
        <v>2571</v>
      </c>
      <c r="AD2020" t="s">
        <v>717</v>
      </c>
      <c r="AE2020" t="s">
        <v>8834</v>
      </c>
      <c r="AF2020" t="s">
        <v>8835</v>
      </c>
      <c r="AG2020" t="s">
        <v>8836</v>
      </c>
      <c r="AH2020" t="s">
        <v>2191</v>
      </c>
      <c r="AI2020" t="s">
        <v>2706</v>
      </c>
      <c r="AJ2020" t="s">
        <v>2514</v>
      </c>
      <c r="AK2020" t="s">
        <v>1233</v>
      </c>
      <c r="AL2020" t="s">
        <v>16</v>
      </c>
      <c r="AM2020" t="s">
        <v>10</v>
      </c>
      <c r="AN2020" t="s">
        <v>717</v>
      </c>
    </row>
    <row r="2021" spans="1:40" hidden="1">
      <c r="A2021">
        <v>2020</v>
      </c>
      <c r="B2021">
        <v>21</v>
      </c>
      <c r="C2021" s="58">
        <v>45184</v>
      </c>
      <c r="D2021" t="s">
        <v>7</v>
      </c>
      <c r="E2021" t="s">
        <v>2515</v>
      </c>
      <c r="F2021">
        <v>1</v>
      </c>
      <c r="G2021">
        <v>14</v>
      </c>
      <c r="H2021">
        <v>97</v>
      </c>
      <c r="I2021">
        <v>1</v>
      </c>
      <c r="J2021">
        <v>33.53</v>
      </c>
      <c r="K2021" t="s">
        <v>25</v>
      </c>
      <c r="L2021">
        <v>4303099.33</v>
      </c>
      <c r="M2021">
        <v>0</v>
      </c>
      <c r="N2021">
        <v>4303099.33</v>
      </c>
      <c r="O2021">
        <v>128335.79868774232</v>
      </c>
      <c r="P2021">
        <v>737660</v>
      </c>
      <c r="Q2021">
        <v>3565439.33</v>
      </c>
      <c r="R2021">
        <v>106335.79868774232</v>
      </c>
      <c r="S2021" t="s">
        <v>130</v>
      </c>
      <c r="T2021" t="s">
        <v>5768</v>
      </c>
      <c r="U2021">
        <v>227581.23</v>
      </c>
      <c r="V2021" t="s">
        <v>717</v>
      </c>
      <c r="W2021">
        <v>45182</v>
      </c>
      <c r="X2021" t="s">
        <v>8837</v>
      </c>
      <c r="Y2021" t="s">
        <v>6</v>
      </c>
      <c r="Z2021" t="s">
        <v>17</v>
      </c>
      <c r="AA2021" t="s">
        <v>5617</v>
      </c>
      <c r="AB2021" t="s">
        <v>2509</v>
      </c>
      <c r="AC2021" t="s">
        <v>717</v>
      </c>
      <c r="AD2021" t="s">
        <v>717</v>
      </c>
      <c r="AE2021" t="s">
        <v>8838</v>
      </c>
      <c r="AF2021" t="s">
        <v>8839</v>
      </c>
      <c r="AG2021" t="s">
        <v>8840</v>
      </c>
      <c r="AH2021" t="s">
        <v>2615</v>
      </c>
      <c r="AI2021" t="s">
        <v>3120</v>
      </c>
      <c r="AJ2021" t="s">
        <v>3202</v>
      </c>
      <c r="AK2021" t="s">
        <v>77</v>
      </c>
      <c r="AL2021" t="s">
        <v>717</v>
      </c>
      <c r="AM2021" t="s">
        <v>10</v>
      </c>
      <c r="AN2021" t="s">
        <v>717</v>
      </c>
    </row>
    <row r="2022" spans="1:40" hidden="1">
      <c r="A2022">
        <v>2021</v>
      </c>
      <c r="B2022">
        <v>22</v>
      </c>
      <c r="C2022" s="58">
        <v>45184</v>
      </c>
      <c r="D2022" t="s">
        <v>13</v>
      </c>
      <c r="E2022" t="s">
        <v>2506</v>
      </c>
      <c r="F2022">
        <v>3</v>
      </c>
      <c r="G2022">
        <v>7</v>
      </c>
      <c r="H2022">
        <v>155</v>
      </c>
      <c r="I2022">
        <v>2</v>
      </c>
      <c r="J2022">
        <v>57.6</v>
      </c>
      <c r="K2022" t="s">
        <v>9</v>
      </c>
      <c r="L2022">
        <v>4786524.0999999996</v>
      </c>
      <c r="M2022">
        <v>0</v>
      </c>
      <c r="N2022">
        <v>4786524.0999999996</v>
      </c>
      <c r="O2022">
        <v>83099.376736111109</v>
      </c>
      <c r="P2022">
        <v>0</v>
      </c>
      <c r="Q2022">
        <v>4786524.0999999996</v>
      </c>
      <c r="R2022">
        <v>83099.376736111109</v>
      </c>
      <c r="S2022" t="s">
        <v>65</v>
      </c>
      <c r="T2022" t="s">
        <v>3268</v>
      </c>
      <c r="U2022">
        <v>120000</v>
      </c>
      <c r="V2022" t="s">
        <v>4131</v>
      </c>
      <c r="W2022">
        <v>45182</v>
      </c>
      <c r="X2022" t="s">
        <v>8841</v>
      </c>
      <c r="Y2022" t="s">
        <v>6</v>
      </c>
      <c r="Z2022" t="s">
        <v>17</v>
      </c>
      <c r="AA2022" t="s">
        <v>6637</v>
      </c>
      <c r="AB2022" t="s">
        <v>2509</v>
      </c>
      <c r="AC2022" t="s">
        <v>2571</v>
      </c>
      <c r="AD2022" t="s">
        <v>717</v>
      </c>
      <c r="AE2022" t="s">
        <v>8842</v>
      </c>
      <c r="AF2022" t="s">
        <v>8843</v>
      </c>
      <c r="AG2022" t="s">
        <v>8844</v>
      </c>
      <c r="AH2022" t="s">
        <v>2615</v>
      </c>
      <c r="AI2022" t="s">
        <v>2552</v>
      </c>
      <c r="AJ2022" t="s">
        <v>2642</v>
      </c>
      <c r="AK2022" t="s">
        <v>8</v>
      </c>
      <c r="AL2022" t="s">
        <v>16</v>
      </c>
      <c r="AM2022" t="s">
        <v>10</v>
      </c>
      <c r="AN2022" t="s">
        <v>717</v>
      </c>
    </row>
    <row r="2023" spans="1:40" hidden="1">
      <c r="A2023">
        <v>2022</v>
      </c>
      <c r="B2023">
        <v>23</v>
      </c>
      <c r="C2023" s="58">
        <v>45184</v>
      </c>
      <c r="D2023" t="s">
        <v>13</v>
      </c>
      <c r="E2023" t="s">
        <v>2506</v>
      </c>
      <c r="F2023">
        <v>2</v>
      </c>
      <c r="G2023">
        <v>5</v>
      </c>
      <c r="H2023">
        <v>140</v>
      </c>
      <c r="I2023">
        <v>0</v>
      </c>
      <c r="J2023">
        <v>24.28</v>
      </c>
      <c r="K2023" t="s">
        <v>9</v>
      </c>
      <c r="L2023">
        <v>2190773.4700000002</v>
      </c>
      <c r="M2023">
        <v>0</v>
      </c>
      <c r="N2023">
        <v>2190773.4700000002</v>
      </c>
      <c r="O2023">
        <v>90229.549835255355</v>
      </c>
      <c r="P2023">
        <v>0</v>
      </c>
      <c r="Q2023">
        <v>2190773.4700000002</v>
      </c>
      <c r="R2023">
        <v>90229.549835255355</v>
      </c>
      <c r="S2023" t="s">
        <v>130</v>
      </c>
      <c r="T2023" t="s">
        <v>717</v>
      </c>
      <c r="U2023" t="s">
        <v>717</v>
      </c>
      <c r="V2023" t="s">
        <v>717</v>
      </c>
      <c r="W2023">
        <v>45187</v>
      </c>
      <c r="X2023" t="s">
        <v>8845</v>
      </c>
      <c r="Y2023" t="s">
        <v>2517</v>
      </c>
      <c r="Z2023" t="s">
        <v>17</v>
      </c>
      <c r="AA2023" t="s">
        <v>6637</v>
      </c>
      <c r="AB2023" t="s">
        <v>2509</v>
      </c>
      <c r="AC2023" t="s">
        <v>717</v>
      </c>
      <c r="AD2023">
        <v>45764</v>
      </c>
      <c r="AE2023" t="s">
        <v>2518</v>
      </c>
      <c r="AF2023" t="s">
        <v>2519</v>
      </c>
      <c r="AG2023" t="s">
        <v>2520</v>
      </c>
      <c r="AH2023" t="s">
        <v>2580</v>
      </c>
      <c r="AI2023" t="s">
        <v>2521</v>
      </c>
      <c r="AJ2023" t="s">
        <v>3921</v>
      </c>
      <c r="AK2023" t="s">
        <v>29</v>
      </c>
      <c r="AL2023" t="s">
        <v>717</v>
      </c>
      <c r="AM2023" t="s">
        <v>10</v>
      </c>
      <c r="AN2023" t="s">
        <v>8846</v>
      </c>
    </row>
    <row r="2024" spans="1:40" hidden="1">
      <c r="A2024">
        <v>2023</v>
      </c>
      <c r="B2024">
        <v>24</v>
      </c>
      <c r="C2024" s="58">
        <v>45187</v>
      </c>
      <c r="D2024" t="s">
        <v>13</v>
      </c>
      <c r="E2024" t="s">
        <v>4409</v>
      </c>
      <c r="F2024">
        <v>1</v>
      </c>
      <c r="G2024">
        <v>6</v>
      </c>
      <c r="H2024">
        <v>429</v>
      </c>
      <c r="I2024">
        <v>0</v>
      </c>
      <c r="J2024">
        <v>29.4</v>
      </c>
      <c r="K2024" t="s">
        <v>15</v>
      </c>
      <c r="L2024">
        <v>2744293.78</v>
      </c>
      <c r="M2024">
        <v>15000</v>
      </c>
      <c r="N2024">
        <v>2759293.78</v>
      </c>
      <c r="O2024">
        <v>93853.529931972793</v>
      </c>
      <c r="P2024">
        <v>132300</v>
      </c>
      <c r="Q2024">
        <v>2626993.7799999998</v>
      </c>
      <c r="R2024">
        <v>89353.529931972793</v>
      </c>
      <c r="S2024" t="s">
        <v>65</v>
      </c>
      <c r="T2024" t="s">
        <v>717</v>
      </c>
      <c r="U2024" t="s">
        <v>717</v>
      </c>
      <c r="V2024" t="s">
        <v>4131</v>
      </c>
      <c r="W2024">
        <v>45129</v>
      </c>
      <c r="X2024" t="s">
        <v>8847</v>
      </c>
      <c r="Y2024" t="s">
        <v>6</v>
      </c>
      <c r="Z2024" t="s">
        <v>17</v>
      </c>
      <c r="AA2024" t="s">
        <v>6637</v>
      </c>
      <c r="AB2024" t="s">
        <v>2509</v>
      </c>
      <c r="AC2024" t="s">
        <v>2571</v>
      </c>
      <c r="AD2024" t="s">
        <v>717</v>
      </c>
      <c r="AE2024" t="s">
        <v>7407</v>
      </c>
      <c r="AF2024" t="s">
        <v>7408</v>
      </c>
      <c r="AG2024" t="s">
        <v>7409</v>
      </c>
      <c r="AH2024" t="s">
        <v>2615</v>
      </c>
      <c r="AI2024" t="s">
        <v>2600</v>
      </c>
      <c r="AJ2024" t="s">
        <v>3921</v>
      </c>
      <c r="AK2024" t="s">
        <v>8</v>
      </c>
      <c r="AL2024" t="s">
        <v>16</v>
      </c>
      <c r="AM2024" t="s">
        <v>10</v>
      </c>
      <c r="AN2024" t="s">
        <v>717</v>
      </c>
    </row>
    <row r="2025" spans="1:40" hidden="1">
      <c r="A2025">
        <v>2024</v>
      </c>
      <c r="B2025">
        <v>25</v>
      </c>
      <c r="C2025" s="58">
        <v>45187</v>
      </c>
      <c r="D2025" t="s">
        <v>13</v>
      </c>
      <c r="E2025" t="s">
        <v>4409</v>
      </c>
      <c r="F2025">
        <v>3</v>
      </c>
      <c r="G2025">
        <v>11</v>
      </c>
      <c r="H2025">
        <v>471</v>
      </c>
      <c r="I2025">
        <v>0</v>
      </c>
      <c r="J2025">
        <v>24.5</v>
      </c>
      <c r="K2025" t="s">
        <v>9</v>
      </c>
      <c r="L2025">
        <v>2217086.2200000002</v>
      </c>
      <c r="M2025">
        <v>15000</v>
      </c>
      <c r="N2025">
        <v>2232086.2200000002</v>
      </c>
      <c r="O2025">
        <v>91105.560000000012</v>
      </c>
      <c r="P2025">
        <v>0</v>
      </c>
      <c r="Q2025">
        <v>2232086.2200000002</v>
      </c>
      <c r="R2025">
        <v>91105.560000000012</v>
      </c>
      <c r="S2025" t="s">
        <v>65</v>
      </c>
      <c r="T2025" t="s">
        <v>717</v>
      </c>
      <c r="U2025" t="s">
        <v>717</v>
      </c>
      <c r="V2025" t="s">
        <v>6312</v>
      </c>
      <c r="W2025">
        <v>45135</v>
      </c>
      <c r="X2025" t="s">
        <v>8848</v>
      </c>
      <c r="Y2025" t="s">
        <v>6</v>
      </c>
      <c r="Z2025" t="s">
        <v>17</v>
      </c>
      <c r="AA2025" t="s">
        <v>6637</v>
      </c>
      <c r="AB2025" t="s">
        <v>2509</v>
      </c>
      <c r="AC2025" t="s">
        <v>2571</v>
      </c>
      <c r="AD2025" t="s">
        <v>717</v>
      </c>
      <c r="AE2025" t="s">
        <v>8849</v>
      </c>
      <c r="AF2025" t="s">
        <v>8850</v>
      </c>
      <c r="AG2025" t="s">
        <v>8851</v>
      </c>
      <c r="AH2025" t="s">
        <v>6100</v>
      </c>
      <c r="AI2025" t="s">
        <v>5653</v>
      </c>
      <c r="AJ2025" t="s">
        <v>31</v>
      </c>
      <c r="AK2025" t="s">
        <v>77</v>
      </c>
      <c r="AL2025" t="s">
        <v>22</v>
      </c>
      <c r="AM2025" t="s">
        <v>5654</v>
      </c>
      <c r="AN2025" t="s">
        <v>717</v>
      </c>
    </row>
    <row r="2026" spans="1:40" hidden="1">
      <c r="A2026">
        <v>2025</v>
      </c>
      <c r="B2026">
        <v>26</v>
      </c>
      <c r="C2026" s="58">
        <v>45187</v>
      </c>
      <c r="D2026" t="s">
        <v>13</v>
      </c>
      <c r="E2026" t="s">
        <v>4409</v>
      </c>
      <c r="F2026">
        <v>5</v>
      </c>
      <c r="G2026">
        <v>4</v>
      </c>
      <c r="H2026">
        <v>417</v>
      </c>
      <c r="I2026">
        <v>2</v>
      </c>
      <c r="J2026">
        <v>57.8</v>
      </c>
      <c r="K2026" t="s">
        <v>9</v>
      </c>
      <c r="L2026">
        <v>4604478.3099999996</v>
      </c>
      <c r="M2026">
        <v>15000</v>
      </c>
      <c r="N2026">
        <v>4619478.3099999996</v>
      </c>
      <c r="O2026">
        <v>79921.770069204154</v>
      </c>
      <c r="P2026">
        <v>0</v>
      </c>
      <c r="Q2026">
        <v>4619478.3099999996</v>
      </c>
      <c r="R2026">
        <v>79921.770069204154</v>
      </c>
      <c r="S2026" t="s">
        <v>65</v>
      </c>
      <c r="T2026" t="s">
        <v>717</v>
      </c>
      <c r="U2026" t="s">
        <v>717</v>
      </c>
      <c r="V2026" t="s">
        <v>4131</v>
      </c>
      <c r="W2026">
        <v>45150</v>
      </c>
      <c r="X2026" t="s">
        <v>8852</v>
      </c>
      <c r="Y2026" t="s">
        <v>6</v>
      </c>
      <c r="Z2026" t="s">
        <v>17</v>
      </c>
      <c r="AA2026" t="s">
        <v>6637</v>
      </c>
      <c r="AB2026" t="s">
        <v>2509</v>
      </c>
      <c r="AC2026" t="s">
        <v>2571</v>
      </c>
      <c r="AD2026" t="s">
        <v>717</v>
      </c>
      <c r="AE2026" t="s">
        <v>8853</v>
      </c>
      <c r="AF2026" t="s">
        <v>8854</v>
      </c>
      <c r="AG2026" t="s">
        <v>8855</v>
      </c>
      <c r="AH2026" t="s">
        <v>2615</v>
      </c>
      <c r="AI2026" t="s">
        <v>2621</v>
      </c>
      <c r="AJ2026" t="s">
        <v>2940</v>
      </c>
      <c r="AK2026" t="s">
        <v>8</v>
      </c>
      <c r="AL2026" t="s">
        <v>16</v>
      </c>
      <c r="AM2026" t="s">
        <v>10</v>
      </c>
      <c r="AN2026" t="s">
        <v>717</v>
      </c>
    </row>
    <row r="2027" spans="1:40" hidden="1">
      <c r="A2027">
        <v>2026</v>
      </c>
      <c r="B2027">
        <v>27</v>
      </c>
      <c r="C2027" s="58">
        <v>45187</v>
      </c>
      <c r="D2027" t="s">
        <v>13</v>
      </c>
      <c r="E2027" t="s">
        <v>2515</v>
      </c>
      <c r="F2027">
        <v>4</v>
      </c>
      <c r="G2027">
        <v>5</v>
      </c>
      <c r="H2027">
        <v>31</v>
      </c>
      <c r="I2027">
        <v>2</v>
      </c>
      <c r="J2027">
        <v>59.09</v>
      </c>
      <c r="K2027" t="s">
        <v>15</v>
      </c>
      <c r="L2027">
        <v>4996296.45</v>
      </c>
      <c r="M2027">
        <v>15000</v>
      </c>
      <c r="N2027">
        <v>5011296.45</v>
      </c>
      <c r="O2027">
        <v>84807.86004400067</v>
      </c>
      <c r="P2027">
        <v>265905</v>
      </c>
      <c r="Q2027">
        <v>4745391.45</v>
      </c>
      <c r="R2027">
        <v>80307.86004400067</v>
      </c>
      <c r="S2027" t="s">
        <v>65</v>
      </c>
      <c r="T2027" t="s">
        <v>717</v>
      </c>
      <c r="U2027" t="s">
        <v>717</v>
      </c>
      <c r="V2027" t="s">
        <v>6312</v>
      </c>
      <c r="W2027">
        <v>45152</v>
      </c>
      <c r="X2027" t="s">
        <v>8856</v>
      </c>
      <c r="Y2027" t="s">
        <v>6</v>
      </c>
      <c r="Z2027" t="s">
        <v>17</v>
      </c>
      <c r="AA2027" t="s">
        <v>6637</v>
      </c>
      <c r="AB2027" t="s">
        <v>2509</v>
      </c>
      <c r="AC2027" t="s">
        <v>2571</v>
      </c>
      <c r="AD2027" t="s">
        <v>717</v>
      </c>
      <c r="AE2027" t="s">
        <v>8857</v>
      </c>
      <c r="AF2027" t="s">
        <v>8858</v>
      </c>
      <c r="AG2027" t="s">
        <v>8859</v>
      </c>
      <c r="AH2027" t="s">
        <v>2616</v>
      </c>
      <c r="AI2027" t="s">
        <v>2552</v>
      </c>
      <c r="AJ2027" t="s">
        <v>2895</v>
      </c>
      <c r="AK2027" t="s">
        <v>8</v>
      </c>
      <c r="AL2027" t="s">
        <v>16</v>
      </c>
      <c r="AM2027" t="s">
        <v>10</v>
      </c>
      <c r="AN2027" t="s">
        <v>717</v>
      </c>
    </row>
    <row r="2028" spans="1:40" hidden="1">
      <c r="A2028">
        <v>2027</v>
      </c>
      <c r="B2028">
        <v>28</v>
      </c>
      <c r="C2028" s="58">
        <v>45187</v>
      </c>
      <c r="D2028" t="s">
        <v>13</v>
      </c>
      <c r="E2028" t="s">
        <v>4409</v>
      </c>
      <c r="F2028">
        <v>3</v>
      </c>
      <c r="G2028">
        <v>2</v>
      </c>
      <c r="H2028">
        <v>399</v>
      </c>
      <c r="I2028">
        <v>0</v>
      </c>
      <c r="J2028">
        <v>24.5</v>
      </c>
      <c r="K2028" t="s">
        <v>25</v>
      </c>
      <c r="L2028">
        <v>2618298.71</v>
      </c>
      <c r="M2028">
        <v>15000</v>
      </c>
      <c r="N2028">
        <v>2633298.71</v>
      </c>
      <c r="O2028">
        <v>107481.58</v>
      </c>
      <c r="P2028">
        <v>379750</v>
      </c>
      <c r="Q2028">
        <v>2253548.71</v>
      </c>
      <c r="R2028">
        <v>91981.58</v>
      </c>
      <c r="S2028" t="s">
        <v>65</v>
      </c>
      <c r="T2028" t="s">
        <v>717</v>
      </c>
      <c r="U2028" t="s">
        <v>717</v>
      </c>
      <c r="V2028" t="s">
        <v>4131</v>
      </c>
      <c r="W2028">
        <v>45153</v>
      </c>
      <c r="X2028" t="s">
        <v>8860</v>
      </c>
      <c r="Y2028" t="s">
        <v>6</v>
      </c>
      <c r="Z2028" t="s">
        <v>17</v>
      </c>
      <c r="AA2028" t="s">
        <v>6637</v>
      </c>
      <c r="AB2028" t="s">
        <v>2509</v>
      </c>
      <c r="AC2028" t="s">
        <v>2571</v>
      </c>
      <c r="AD2028" t="s">
        <v>717</v>
      </c>
      <c r="AE2028" t="s">
        <v>8861</v>
      </c>
      <c r="AF2028" t="s">
        <v>8862</v>
      </c>
      <c r="AG2028" t="s">
        <v>8863</v>
      </c>
      <c r="AH2028" t="s">
        <v>2615</v>
      </c>
      <c r="AI2028" t="s">
        <v>2538</v>
      </c>
      <c r="AJ2028" t="s">
        <v>2642</v>
      </c>
      <c r="AK2028" t="s">
        <v>8</v>
      </c>
      <c r="AL2028" t="s">
        <v>22</v>
      </c>
      <c r="AM2028" t="s">
        <v>10</v>
      </c>
      <c r="AN2028" t="s">
        <v>717</v>
      </c>
    </row>
    <row r="2029" spans="1:40" hidden="1">
      <c r="A2029">
        <v>2028</v>
      </c>
      <c r="B2029">
        <v>29</v>
      </c>
      <c r="C2029" s="58">
        <v>45187</v>
      </c>
      <c r="D2029" t="s">
        <v>7</v>
      </c>
      <c r="E2029" t="s">
        <v>2581</v>
      </c>
      <c r="F2029">
        <v>2</v>
      </c>
      <c r="G2029">
        <v>9</v>
      </c>
      <c r="H2029">
        <v>291</v>
      </c>
      <c r="I2029">
        <v>2</v>
      </c>
      <c r="J2029">
        <v>67.95</v>
      </c>
      <c r="K2029" t="s">
        <v>15</v>
      </c>
      <c r="L2029">
        <v>6261524.5499999998</v>
      </c>
      <c r="M2029">
        <v>0</v>
      </c>
      <c r="N2029">
        <v>6261524.5499999998</v>
      </c>
      <c r="O2029">
        <v>92149</v>
      </c>
      <c r="P2029">
        <v>305775</v>
      </c>
      <c r="Q2029">
        <v>5955749.5499999998</v>
      </c>
      <c r="R2029">
        <v>87649</v>
      </c>
      <c r="S2029" t="s">
        <v>65</v>
      </c>
      <c r="T2029" t="s">
        <v>717</v>
      </c>
      <c r="U2029" t="s">
        <v>717</v>
      </c>
      <c r="V2029" t="s">
        <v>4131</v>
      </c>
      <c r="W2029">
        <v>45165</v>
      </c>
      <c r="X2029" t="s">
        <v>8864</v>
      </c>
      <c r="Y2029" t="s">
        <v>6</v>
      </c>
      <c r="Z2029" t="s">
        <v>17</v>
      </c>
      <c r="AA2029" t="s">
        <v>6637</v>
      </c>
      <c r="AB2029" t="s">
        <v>2509</v>
      </c>
      <c r="AC2029" t="s">
        <v>2571</v>
      </c>
      <c r="AD2029" t="s">
        <v>717</v>
      </c>
      <c r="AE2029" t="s">
        <v>8865</v>
      </c>
      <c r="AF2029" t="s">
        <v>8866</v>
      </c>
      <c r="AG2029" t="s">
        <v>8867</v>
      </c>
      <c r="AH2029" t="s">
        <v>2191</v>
      </c>
      <c r="AI2029" t="s">
        <v>2552</v>
      </c>
      <c r="AJ2029" t="s">
        <v>2514</v>
      </c>
      <c r="AK2029" t="s">
        <v>8</v>
      </c>
      <c r="AL2029" t="s">
        <v>16</v>
      </c>
      <c r="AM2029" t="s">
        <v>10</v>
      </c>
      <c r="AN2029" t="s">
        <v>717</v>
      </c>
    </row>
    <row r="2030" spans="1:40" hidden="1">
      <c r="A2030">
        <v>2029</v>
      </c>
      <c r="B2030">
        <v>30</v>
      </c>
      <c r="C2030" s="58">
        <v>45187</v>
      </c>
      <c r="D2030" t="s">
        <v>13</v>
      </c>
      <c r="E2030" t="s">
        <v>4409</v>
      </c>
      <c r="F2030">
        <v>6</v>
      </c>
      <c r="G2030">
        <v>6</v>
      </c>
      <c r="H2030">
        <v>434</v>
      </c>
      <c r="I2030">
        <v>1</v>
      </c>
      <c r="J2030">
        <v>38.299999999999997</v>
      </c>
      <c r="K2030" t="s">
        <v>9</v>
      </c>
      <c r="L2030">
        <v>3522894.51</v>
      </c>
      <c r="M2030">
        <v>0</v>
      </c>
      <c r="N2030">
        <v>3522894.51</v>
      </c>
      <c r="O2030">
        <v>91981.579895561357</v>
      </c>
      <c r="P2030">
        <v>0</v>
      </c>
      <c r="Q2030">
        <v>3522894.51</v>
      </c>
      <c r="R2030">
        <v>91981.579895561357</v>
      </c>
      <c r="S2030" t="s">
        <v>65</v>
      </c>
      <c r="T2030" t="s">
        <v>717</v>
      </c>
      <c r="U2030" t="s">
        <v>717</v>
      </c>
      <c r="V2030" t="s">
        <v>4131</v>
      </c>
      <c r="W2030">
        <v>45166</v>
      </c>
      <c r="X2030" t="s">
        <v>8868</v>
      </c>
      <c r="Y2030" t="s">
        <v>6</v>
      </c>
      <c r="Z2030" t="s">
        <v>17</v>
      </c>
      <c r="AA2030" t="s">
        <v>6637</v>
      </c>
      <c r="AB2030" t="s">
        <v>2509</v>
      </c>
      <c r="AC2030" t="s">
        <v>2571</v>
      </c>
      <c r="AD2030" t="s">
        <v>717</v>
      </c>
      <c r="AE2030" t="s">
        <v>8869</v>
      </c>
      <c r="AF2030" t="s">
        <v>8870</v>
      </c>
      <c r="AG2030" t="s">
        <v>8871</v>
      </c>
      <c r="AH2030" t="s">
        <v>2615</v>
      </c>
      <c r="AI2030" t="s">
        <v>2600</v>
      </c>
      <c r="AJ2030" t="s">
        <v>3921</v>
      </c>
      <c r="AK2030" t="s">
        <v>77</v>
      </c>
      <c r="AL2030" t="s">
        <v>16</v>
      </c>
      <c r="AM2030" t="s">
        <v>10</v>
      </c>
      <c r="AN2030" t="s">
        <v>717</v>
      </c>
    </row>
    <row r="2031" spans="1:40" hidden="1">
      <c r="A2031">
        <v>2030</v>
      </c>
      <c r="B2031">
        <v>31</v>
      </c>
      <c r="C2031" s="58">
        <v>45187</v>
      </c>
      <c r="D2031" t="s">
        <v>13</v>
      </c>
      <c r="E2031" t="s">
        <v>2581</v>
      </c>
      <c r="F2031">
        <v>3</v>
      </c>
      <c r="G2031">
        <v>13</v>
      </c>
      <c r="H2031">
        <v>308</v>
      </c>
      <c r="I2031">
        <v>2</v>
      </c>
      <c r="J2031">
        <v>56.58</v>
      </c>
      <c r="K2031" t="s">
        <v>9</v>
      </c>
      <c r="L2031">
        <v>4771010.05</v>
      </c>
      <c r="M2031">
        <v>0</v>
      </c>
      <c r="N2031">
        <v>4771010.05</v>
      </c>
      <c r="O2031">
        <v>84323.259985860743</v>
      </c>
      <c r="P2031">
        <v>0</v>
      </c>
      <c r="Q2031">
        <v>4771010.05</v>
      </c>
      <c r="R2031">
        <v>84323.259985860743</v>
      </c>
      <c r="S2031" t="s">
        <v>65</v>
      </c>
      <c r="T2031" t="s">
        <v>717</v>
      </c>
      <c r="U2031" t="s">
        <v>717</v>
      </c>
      <c r="V2031" t="s">
        <v>6312</v>
      </c>
      <c r="W2031">
        <v>45167</v>
      </c>
      <c r="X2031" t="s">
        <v>8872</v>
      </c>
      <c r="Y2031" t="s">
        <v>6</v>
      </c>
      <c r="Z2031" t="s">
        <v>17</v>
      </c>
      <c r="AA2031" t="s">
        <v>6637</v>
      </c>
      <c r="AB2031" t="s">
        <v>2509</v>
      </c>
      <c r="AC2031" t="s">
        <v>2571</v>
      </c>
      <c r="AD2031" t="s">
        <v>717</v>
      </c>
      <c r="AE2031" t="s">
        <v>8873</v>
      </c>
      <c r="AF2031" t="s">
        <v>8874</v>
      </c>
      <c r="AG2031" t="s">
        <v>8875</v>
      </c>
      <c r="AH2031" t="s">
        <v>2191</v>
      </c>
      <c r="AI2031" t="s">
        <v>2552</v>
      </c>
      <c r="AJ2031" t="s">
        <v>2514</v>
      </c>
      <c r="AK2031" t="s">
        <v>77</v>
      </c>
      <c r="AL2031" t="s">
        <v>16</v>
      </c>
      <c r="AM2031" t="s">
        <v>10</v>
      </c>
      <c r="AN2031" t="s">
        <v>717</v>
      </c>
    </row>
    <row r="2032" spans="1:40" hidden="1">
      <c r="A2032">
        <v>2031</v>
      </c>
      <c r="B2032">
        <v>32</v>
      </c>
      <c r="C2032" s="58">
        <v>45187</v>
      </c>
      <c r="D2032" t="s">
        <v>13</v>
      </c>
      <c r="E2032" t="s">
        <v>2515</v>
      </c>
      <c r="F2032">
        <v>1</v>
      </c>
      <c r="G2032">
        <v>1</v>
      </c>
      <c r="H2032">
        <v>1</v>
      </c>
      <c r="I2032">
        <v>1</v>
      </c>
      <c r="J2032">
        <v>34.39</v>
      </c>
      <c r="K2032" t="s">
        <v>15</v>
      </c>
      <c r="L2032">
        <v>3305906.92</v>
      </c>
      <c r="M2032">
        <v>0</v>
      </c>
      <c r="N2032">
        <v>3305906.92</v>
      </c>
      <c r="O2032">
        <v>96129.890084326835</v>
      </c>
      <c r="P2032">
        <v>171950</v>
      </c>
      <c r="Q2032">
        <v>3133956.92</v>
      </c>
      <c r="R2032">
        <v>91129.890084326835</v>
      </c>
      <c r="S2032" t="s">
        <v>65</v>
      </c>
      <c r="T2032" t="s">
        <v>717</v>
      </c>
      <c r="U2032" t="s">
        <v>717</v>
      </c>
      <c r="V2032" t="s">
        <v>4131</v>
      </c>
      <c r="W2032">
        <v>45169</v>
      </c>
      <c r="X2032" t="s">
        <v>8876</v>
      </c>
      <c r="Y2032" t="s">
        <v>6</v>
      </c>
      <c r="Z2032" t="s">
        <v>17</v>
      </c>
      <c r="AA2032" t="s">
        <v>6637</v>
      </c>
      <c r="AB2032" t="s">
        <v>2509</v>
      </c>
      <c r="AC2032" t="s">
        <v>2571</v>
      </c>
      <c r="AD2032" t="s">
        <v>717</v>
      </c>
      <c r="AE2032" t="s">
        <v>8877</v>
      </c>
      <c r="AF2032" t="s">
        <v>8878</v>
      </c>
      <c r="AG2032" t="s">
        <v>8879</v>
      </c>
      <c r="AH2032" t="s">
        <v>2615</v>
      </c>
      <c r="AI2032" t="s">
        <v>2824</v>
      </c>
      <c r="AJ2032" t="s">
        <v>2569</v>
      </c>
      <c r="AK2032" t="s">
        <v>20</v>
      </c>
      <c r="AL2032" t="s">
        <v>22</v>
      </c>
      <c r="AM2032" t="s">
        <v>10</v>
      </c>
      <c r="AN2032" t="s">
        <v>717</v>
      </c>
    </row>
    <row r="2033" spans="1:40" hidden="1">
      <c r="A2033">
        <v>2032</v>
      </c>
      <c r="B2033">
        <v>33</v>
      </c>
      <c r="C2033" s="58">
        <v>45187</v>
      </c>
      <c r="D2033" t="s">
        <v>7</v>
      </c>
      <c r="E2033" t="s">
        <v>2581</v>
      </c>
      <c r="F2033">
        <v>1</v>
      </c>
      <c r="G2033">
        <v>21</v>
      </c>
      <c r="H2033">
        <v>374</v>
      </c>
      <c r="I2033">
        <v>0</v>
      </c>
      <c r="J2033">
        <v>29.35</v>
      </c>
      <c r="K2033" t="s">
        <v>15</v>
      </c>
      <c r="L2033">
        <v>3405826.83</v>
      </c>
      <c r="M2033">
        <v>0</v>
      </c>
      <c r="N2033">
        <v>3405826.83</v>
      </c>
      <c r="O2033">
        <v>116041.8</v>
      </c>
      <c r="P2033">
        <v>132075</v>
      </c>
      <c r="Q2033">
        <v>3273751.83</v>
      </c>
      <c r="R2033">
        <v>111541.8</v>
      </c>
      <c r="S2033" t="s">
        <v>65</v>
      </c>
      <c r="T2033" t="s">
        <v>717</v>
      </c>
      <c r="U2033" t="s">
        <v>717</v>
      </c>
      <c r="V2033" t="s">
        <v>4131</v>
      </c>
      <c r="W2033">
        <v>45174</v>
      </c>
      <c r="X2033" t="s">
        <v>8880</v>
      </c>
      <c r="Y2033" t="s">
        <v>6</v>
      </c>
      <c r="Z2033" t="s">
        <v>17</v>
      </c>
      <c r="AA2033" t="s">
        <v>6637</v>
      </c>
      <c r="AB2033" t="s">
        <v>2509</v>
      </c>
      <c r="AC2033" t="s">
        <v>2571</v>
      </c>
      <c r="AD2033" t="s">
        <v>717</v>
      </c>
      <c r="AE2033" t="s">
        <v>8881</v>
      </c>
      <c r="AF2033" t="s">
        <v>8882</v>
      </c>
      <c r="AG2033" t="s">
        <v>8883</v>
      </c>
      <c r="AH2033" t="s">
        <v>2191</v>
      </c>
      <c r="AI2033" t="s">
        <v>2552</v>
      </c>
      <c r="AJ2033" t="s">
        <v>2514</v>
      </c>
      <c r="AK2033" t="s">
        <v>73</v>
      </c>
      <c r="AL2033" t="s">
        <v>16</v>
      </c>
      <c r="AM2033" t="s">
        <v>10</v>
      </c>
      <c r="AN2033" t="s">
        <v>717</v>
      </c>
    </row>
    <row r="2034" spans="1:40" hidden="1">
      <c r="A2034">
        <v>2033</v>
      </c>
      <c r="B2034">
        <v>34</v>
      </c>
      <c r="C2034" s="58">
        <v>45187</v>
      </c>
      <c r="D2034" t="s">
        <v>7</v>
      </c>
      <c r="E2034" t="s">
        <v>4409</v>
      </c>
      <c r="F2034">
        <v>9</v>
      </c>
      <c r="G2034">
        <v>11</v>
      </c>
      <c r="H2034">
        <v>491</v>
      </c>
      <c r="I2034">
        <v>1</v>
      </c>
      <c r="J2034">
        <v>44.37</v>
      </c>
      <c r="K2034" t="s">
        <v>9</v>
      </c>
      <c r="L2034">
        <v>4192843.65</v>
      </c>
      <c r="M2034">
        <v>0</v>
      </c>
      <c r="N2034">
        <v>4192843.65</v>
      </c>
      <c r="O2034">
        <v>94497.265043948617</v>
      </c>
      <c r="P2034">
        <v>0</v>
      </c>
      <c r="Q2034">
        <v>4192843.65</v>
      </c>
      <c r="R2034">
        <v>94497.265043948617</v>
      </c>
      <c r="S2034" t="s">
        <v>65</v>
      </c>
      <c r="T2034" t="s">
        <v>3268</v>
      </c>
      <c r="U2034">
        <v>60000</v>
      </c>
      <c r="V2034" t="s">
        <v>4131</v>
      </c>
      <c r="W2034">
        <v>45179</v>
      </c>
      <c r="X2034" t="s">
        <v>8884</v>
      </c>
      <c r="Y2034" t="s">
        <v>6</v>
      </c>
      <c r="Z2034" t="s">
        <v>17</v>
      </c>
      <c r="AA2034" t="s">
        <v>5617</v>
      </c>
      <c r="AB2034" t="s">
        <v>2509</v>
      </c>
      <c r="AC2034" t="s">
        <v>3300</v>
      </c>
      <c r="AD2034" t="s">
        <v>717</v>
      </c>
      <c r="AE2034" t="s">
        <v>8885</v>
      </c>
      <c r="AF2034" t="s">
        <v>8886</v>
      </c>
      <c r="AG2034" t="s">
        <v>8887</v>
      </c>
      <c r="AH2034" t="s">
        <v>6100</v>
      </c>
      <c r="AI2034" t="s">
        <v>5653</v>
      </c>
      <c r="AJ2034" t="s">
        <v>31</v>
      </c>
      <c r="AK2034" t="s">
        <v>1233</v>
      </c>
      <c r="AL2034" t="s">
        <v>16</v>
      </c>
      <c r="AM2034" t="s">
        <v>5654</v>
      </c>
      <c r="AN2034" t="s">
        <v>717</v>
      </c>
    </row>
    <row r="2035" spans="1:40" hidden="1">
      <c r="A2035">
        <v>2034</v>
      </c>
      <c r="B2035">
        <v>35</v>
      </c>
      <c r="C2035" s="58">
        <v>45187</v>
      </c>
      <c r="D2035" t="s">
        <v>7</v>
      </c>
      <c r="E2035" t="s">
        <v>4409</v>
      </c>
      <c r="F2035">
        <v>8</v>
      </c>
      <c r="G2035">
        <v>10</v>
      </c>
      <c r="H2035">
        <v>481</v>
      </c>
      <c r="I2035">
        <v>2</v>
      </c>
      <c r="J2035">
        <v>63.74</v>
      </c>
      <c r="K2035" t="s">
        <v>9</v>
      </c>
      <c r="L2035">
        <v>5377896.7800000003</v>
      </c>
      <c r="M2035">
        <v>0</v>
      </c>
      <c r="N2035">
        <v>5377896.7800000003</v>
      </c>
      <c r="O2035">
        <v>84372.400062754939</v>
      </c>
      <c r="P2035">
        <v>0</v>
      </c>
      <c r="Q2035">
        <v>5377896.7800000003</v>
      </c>
      <c r="R2035">
        <v>84372.400062754939</v>
      </c>
      <c r="S2035" t="s">
        <v>65</v>
      </c>
      <c r="T2035" t="s">
        <v>717</v>
      </c>
      <c r="U2035" t="s">
        <v>717</v>
      </c>
      <c r="V2035" t="s">
        <v>4131</v>
      </c>
      <c r="W2035">
        <v>45183</v>
      </c>
      <c r="X2035" t="s">
        <v>8888</v>
      </c>
      <c r="Y2035" t="s">
        <v>6</v>
      </c>
      <c r="Z2035" t="s">
        <v>17</v>
      </c>
      <c r="AA2035" t="s">
        <v>6637</v>
      </c>
      <c r="AB2035" t="s">
        <v>2509</v>
      </c>
      <c r="AC2035" t="s">
        <v>2571</v>
      </c>
      <c r="AD2035" t="s">
        <v>717</v>
      </c>
      <c r="AE2035" t="s">
        <v>8889</v>
      </c>
      <c r="AF2035" t="s">
        <v>8890</v>
      </c>
      <c r="AG2035" t="s">
        <v>8891</v>
      </c>
      <c r="AH2035" t="s">
        <v>2191</v>
      </c>
      <c r="AI2035" t="s">
        <v>2513</v>
      </c>
      <c r="AJ2035" t="s">
        <v>2514</v>
      </c>
      <c r="AK2035" t="s">
        <v>1233</v>
      </c>
      <c r="AL2035" t="s">
        <v>16</v>
      </c>
      <c r="AM2035" t="s">
        <v>10</v>
      </c>
      <c r="AN2035" t="s">
        <v>717</v>
      </c>
    </row>
    <row r="2036" spans="1:40" hidden="1">
      <c r="A2036">
        <v>2035</v>
      </c>
      <c r="B2036">
        <v>36</v>
      </c>
      <c r="C2036" s="58">
        <v>45187</v>
      </c>
      <c r="D2036" t="s">
        <v>13</v>
      </c>
      <c r="E2036" t="s">
        <v>2506</v>
      </c>
      <c r="F2036">
        <v>2</v>
      </c>
      <c r="G2036">
        <v>6</v>
      </c>
      <c r="H2036">
        <v>147</v>
      </c>
      <c r="I2036">
        <v>0</v>
      </c>
      <c r="J2036">
        <v>24.28</v>
      </c>
      <c r="K2036" t="s">
        <v>15</v>
      </c>
      <c r="L2036">
        <v>2312572.7599999998</v>
      </c>
      <c r="M2036">
        <v>30000</v>
      </c>
      <c r="N2036">
        <v>2342572.7599999998</v>
      </c>
      <c r="O2036">
        <v>96481.579901153207</v>
      </c>
      <c r="P2036">
        <v>109260</v>
      </c>
      <c r="Q2036">
        <v>2233312.7599999998</v>
      </c>
      <c r="R2036">
        <v>91981.579901153207</v>
      </c>
      <c r="S2036" t="s">
        <v>130</v>
      </c>
      <c r="T2036" t="s">
        <v>717</v>
      </c>
      <c r="U2036" t="s">
        <v>717</v>
      </c>
      <c r="V2036" t="s">
        <v>717</v>
      </c>
      <c r="W2036">
        <v>45183</v>
      </c>
      <c r="X2036" t="s">
        <v>8892</v>
      </c>
      <c r="Y2036" t="s">
        <v>6</v>
      </c>
      <c r="Z2036" t="s">
        <v>17</v>
      </c>
      <c r="AA2036" t="s">
        <v>5617</v>
      </c>
      <c r="AB2036" t="s">
        <v>2509</v>
      </c>
      <c r="AC2036" t="s">
        <v>717</v>
      </c>
      <c r="AD2036" t="s">
        <v>717</v>
      </c>
      <c r="AE2036" t="s">
        <v>8893</v>
      </c>
      <c r="AF2036" t="s">
        <v>8894</v>
      </c>
      <c r="AG2036" t="s">
        <v>8895</v>
      </c>
      <c r="AH2036" t="s">
        <v>2616</v>
      </c>
      <c r="AI2036" t="s">
        <v>2552</v>
      </c>
      <c r="AJ2036" t="s">
        <v>2895</v>
      </c>
      <c r="AK2036" t="s">
        <v>8</v>
      </c>
      <c r="AL2036" t="s">
        <v>717</v>
      </c>
      <c r="AM2036" t="s">
        <v>10</v>
      </c>
      <c r="AN2036" t="s">
        <v>717</v>
      </c>
    </row>
    <row r="2037" spans="1:40" hidden="1">
      <c r="A2037">
        <v>2036</v>
      </c>
      <c r="B2037">
        <v>37</v>
      </c>
      <c r="C2037" s="58">
        <v>45187</v>
      </c>
      <c r="D2037" t="s">
        <v>7</v>
      </c>
      <c r="E2037" t="s">
        <v>2515</v>
      </c>
      <c r="F2037">
        <v>4</v>
      </c>
      <c r="G2037">
        <v>10</v>
      </c>
      <c r="H2037">
        <v>68</v>
      </c>
      <c r="I2037">
        <v>2</v>
      </c>
      <c r="J2037">
        <v>56.03</v>
      </c>
      <c r="K2037" t="s">
        <v>15</v>
      </c>
      <c r="L2037">
        <v>5483254.9299999997</v>
      </c>
      <c r="M2037">
        <v>0</v>
      </c>
      <c r="N2037">
        <v>5483254.9299999997</v>
      </c>
      <c r="O2037">
        <v>97862.840085668387</v>
      </c>
      <c r="P2037">
        <v>420225</v>
      </c>
      <c r="Q2037">
        <v>5063029.93</v>
      </c>
      <c r="R2037">
        <v>90362.840085668387</v>
      </c>
      <c r="S2037" t="s">
        <v>65</v>
      </c>
      <c r="T2037" t="s">
        <v>717</v>
      </c>
      <c r="U2037" t="s">
        <v>717</v>
      </c>
      <c r="V2037" t="s">
        <v>6312</v>
      </c>
      <c r="W2037">
        <v>45183</v>
      </c>
      <c r="X2037" t="s">
        <v>8896</v>
      </c>
      <c r="Y2037" t="s">
        <v>6</v>
      </c>
      <c r="Z2037" t="s">
        <v>17</v>
      </c>
      <c r="AA2037" t="s">
        <v>6637</v>
      </c>
      <c r="AB2037" t="s">
        <v>2509</v>
      </c>
      <c r="AC2037" t="s">
        <v>2571</v>
      </c>
      <c r="AD2037" t="s">
        <v>717</v>
      </c>
      <c r="AE2037" t="s">
        <v>8897</v>
      </c>
      <c r="AF2037" t="s">
        <v>8898</v>
      </c>
      <c r="AG2037" t="s">
        <v>8899</v>
      </c>
      <c r="AH2037" t="s">
        <v>2615</v>
      </c>
      <c r="AI2037" t="s">
        <v>2538</v>
      </c>
      <c r="AJ2037" t="s">
        <v>2569</v>
      </c>
      <c r="AK2037" t="s">
        <v>8</v>
      </c>
      <c r="AL2037" t="s">
        <v>16</v>
      </c>
      <c r="AM2037" t="s">
        <v>10</v>
      </c>
      <c r="AN2037" t="s">
        <v>717</v>
      </c>
    </row>
    <row r="2038" spans="1:40" hidden="1">
      <c r="A2038">
        <v>2037</v>
      </c>
      <c r="B2038">
        <v>38</v>
      </c>
      <c r="C2038" s="58">
        <v>45188</v>
      </c>
      <c r="D2038" t="s">
        <v>13</v>
      </c>
      <c r="E2038" t="s">
        <v>2515</v>
      </c>
      <c r="F2038">
        <v>3</v>
      </c>
      <c r="G2038">
        <v>6</v>
      </c>
      <c r="H2038">
        <v>37</v>
      </c>
      <c r="I2038">
        <v>1</v>
      </c>
      <c r="J2038">
        <v>37.729999999999997</v>
      </c>
      <c r="K2038" t="s">
        <v>25</v>
      </c>
      <c r="L2038">
        <v>3841154.6</v>
      </c>
      <c r="M2038">
        <v>30000</v>
      </c>
      <c r="N2038">
        <v>3871154.6</v>
      </c>
      <c r="O2038">
        <v>102601.50013252057</v>
      </c>
      <c r="P2038">
        <v>565950</v>
      </c>
      <c r="Q2038">
        <v>3305204.6</v>
      </c>
      <c r="R2038">
        <v>87601.500132520538</v>
      </c>
      <c r="S2038" t="s">
        <v>65</v>
      </c>
      <c r="T2038" t="s">
        <v>717</v>
      </c>
      <c r="U2038" t="s">
        <v>717</v>
      </c>
      <c r="V2038" t="s">
        <v>4131</v>
      </c>
      <c r="W2038">
        <v>45131</v>
      </c>
      <c r="X2038" t="s">
        <v>8900</v>
      </c>
      <c r="Y2038" t="s">
        <v>6</v>
      </c>
      <c r="Z2038" t="s">
        <v>17</v>
      </c>
      <c r="AA2038" t="s">
        <v>6637</v>
      </c>
      <c r="AB2038" t="s">
        <v>2509</v>
      </c>
      <c r="AC2038" t="s">
        <v>2571</v>
      </c>
      <c r="AD2038" t="s">
        <v>717</v>
      </c>
      <c r="AE2038" t="s">
        <v>8901</v>
      </c>
      <c r="AF2038" t="s">
        <v>8902</v>
      </c>
      <c r="AG2038" t="s">
        <v>8903</v>
      </c>
      <c r="AH2038" t="s">
        <v>2615</v>
      </c>
      <c r="AI2038" t="s">
        <v>2538</v>
      </c>
      <c r="AJ2038" t="s">
        <v>2569</v>
      </c>
      <c r="AK2038" t="s">
        <v>77</v>
      </c>
      <c r="AL2038" t="s">
        <v>16</v>
      </c>
      <c r="AM2038" t="s">
        <v>10</v>
      </c>
      <c r="AN2038" t="s">
        <v>717</v>
      </c>
    </row>
    <row r="2039" spans="1:40" hidden="1">
      <c r="A2039">
        <v>2038</v>
      </c>
      <c r="B2039">
        <v>39</v>
      </c>
      <c r="C2039" s="58">
        <v>45188</v>
      </c>
      <c r="D2039" t="s">
        <v>13</v>
      </c>
      <c r="E2039" t="s">
        <v>4409</v>
      </c>
      <c r="F2039">
        <v>3</v>
      </c>
      <c r="G2039">
        <v>3</v>
      </c>
      <c r="H2039">
        <v>407</v>
      </c>
      <c r="I2039">
        <v>0</v>
      </c>
      <c r="J2039">
        <v>24.5</v>
      </c>
      <c r="K2039" t="s">
        <v>9</v>
      </c>
      <c r="L2039">
        <v>2223548.71</v>
      </c>
      <c r="M2039">
        <v>30000</v>
      </c>
      <c r="N2039">
        <v>2253548.71</v>
      </c>
      <c r="O2039">
        <v>91981.58</v>
      </c>
      <c r="P2039">
        <v>0</v>
      </c>
      <c r="Q2039">
        <v>2253548.71</v>
      </c>
      <c r="R2039">
        <v>91981.58</v>
      </c>
      <c r="S2039" t="s">
        <v>65</v>
      </c>
      <c r="T2039" t="s">
        <v>717</v>
      </c>
      <c r="U2039" t="s">
        <v>717</v>
      </c>
      <c r="V2039" t="s">
        <v>4131</v>
      </c>
      <c r="W2039">
        <v>45134</v>
      </c>
      <c r="X2039" t="s">
        <v>8904</v>
      </c>
      <c r="Y2039" t="s">
        <v>6</v>
      </c>
      <c r="Z2039" t="s">
        <v>17</v>
      </c>
      <c r="AA2039" t="s">
        <v>6637</v>
      </c>
      <c r="AB2039" t="s">
        <v>2509</v>
      </c>
      <c r="AC2039" t="s">
        <v>2571</v>
      </c>
      <c r="AD2039" t="s">
        <v>717</v>
      </c>
      <c r="AE2039" t="s">
        <v>8905</v>
      </c>
      <c r="AF2039" t="s">
        <v>8906</v>
      </c>
      <c r="AG2039" t="s">
        <v>8907</v>
      </c>
      <c r="AH2039" t="s">
        <v>2615</v>
      </c>
      <c r="AI2039" t="s">
        <v>2552</v>
      </c>
      <c r="AJ2039" t="s">
        <v>2662</v>
      </c>
      <c r="AK2039" t="s">
        <v>77</v>
      </c>
      <c r="AL2039" t="s">
        <v>16</v>
      </c>
      <c r="AM2039" t="s">
        <v>10</v>
      </c>
      <c r="AN2039" t="s">
        <v>717</v>
      </c>
    </row>
    <row r="2040" spans="1:40" hidden="1">
      <c r="A2040">
        <v>2039</v>
      </c>
      <c r="B2040">
        <v>40</v>
      </c>
      <c r="C2040" s="58">
        <v>45188</v>
      </c>
      <c r="D2040" t="s">
        <v>13</v>
      </c>
      <c r="E2040" t="s">
        <v>2506</v>
      </c>
      <c r="F2040">
        <v>5</v>
      </c>
      <c r="G2040">
        <v>7</v>
      </c>
      <c r="H2040">
        <v>157</v>
      </c>
      <c r="I2040">
        <v>1</v>
      </c>
      <c r="J2040">
        <v>37.86</v>
      </c>
      <c r="K2040" t="s">
        <v>9</v>
      </c>
      <c r="L2040">
        <v>3102597.22</v>
      </c>
      <c r="M2040">
        <v>15000</v>
      </c>
      <c r="N2040">
        <v>3117597.22</v>
      </c>
      <c r="O2040">
        <v>82345.40993132595</v>
      </c>
      <c r="P2040">
        <v>0</v>
      </c>
      <c r="Q2040">
        <v>3117597.22</v>
      </c>
      <c r="R2040">
        <v>82345.40993132595</v>
      </c>
      <c r="S2040" t="s">
        <v>130</v>
      </c>
      <c r="T2040" t="s">
        <v>5768</v>
      </c>
      <c r="U2040">
        <v>198995.57</v>
      </c>
      <c r="V2040" t="s">
        <v>717</v>
      </c>
      <c r="W2040">
        <v>45148</v>
      </c>
      <c r="X2040" t="s">
        <v>8908</v>
      </c>
      <c r="Y2040" t="s">
        <v>6</v>
      </c>
      <c r="Z2040" t="s">
        <v>17</v>
      </c>
      <c r="AA2040" t="s">
        <v>5617</v>
      </c>
      <c r="AB2040" t="s">
        <v>2509</v>
      </c>
      <c r="AC2040" t="s">
        <v>717</v>
      </c>
      <c r="AD2040" t="s">
        <v>717</v>
      </c>
      <c r="AE2040" t="s">
        <v>8909</v>
      </c>
      <c r="AF2040" t="s">
        <v>8910</v>
      </c>
      <c r="AG2040" t="s">
        <v>8911</v>
      </c>
      <c r="AH2040" t="s">
        <v>2191</v>
      </c>
      <c r="AI2040" t="s">
        <v>2538</v>
      </c>
      <c r="AJ2040" t="s">
        <v>2514</v>
      </c>
      <c r="AK2040" t="s">
        <v>73</v>
      </c>
      <c r="AL2040" t="s">
        <v>717</v>
      </c>
      <c r="AM2040" t="s">
        <v>10</v>
      </c>
      <c r="AN2040" t="s">
        <v>717</v>
      </c>
    </row>
    <row r="2041" spans="1:40" hidden="1">
      <c r="A2041">
        <v>2040</v>
      </c>
      <c r="B2041">
        <v>41</v>
      </c>
      <c r="C2041" s="58">
        <v>45188</v>
      </c>
      <c r="D2041" t="s">
        <v>13</v>
      </c>
      <c r="E2041" t="s">
        <v>2506</v>
      </c>
      <c r="F2041">
        <v>5</v>
      </c>
      <c r="G2041">
        <v>3</v>
      </c>
      <c r="H2041">
        <v>129</v>
      </c>
      <c r="I2041">
        <v>1</v>
      </c>
      <c r="J2041">
        <v>37.86</v>
      </c>
      <c r="K2041" t="s">
        <v>9</v>
      </c>
      <c r="L2041">
        <v>3131464.04</v>
      </c>
      <c r="M2041">
        <v>15000</v>
      </c>
      <c r="N2041">
        <v>3146464.04</v>
      </c>
      <c r="O2041">
        <v>83107.872160591651</v>
      </c>
      <c r="P2041">
        <v>0</v>
      </c>
      <c r="Q2041">
        <v>3146464.04</v>
      </c>
      <c r="R2041">
        <v>83107.872160591651</v>
      </c>
      <c r="S2041" t="s">
        <v>2507</v>
      </c>
      <c r="T2041" t="s">
        <v>5768</v>
      </c>
      <c r="U2041">
        <v>200838.13</v>
      </c>
      <c r="V2041" t="s">
        <v>717</v>
      </c>
      <c r="W2041">
        <v>45148</v>
      </c>
      <c r="X2041" t="s">
        <v>8912</v>
      </c>
      <c r="Y2041" t="s">
        <v>6</v>
      </c>
      <c r="Z2041" t="s">
        <v>17</v>
      </c>
      <c r="AA2041" t="s">
        <v>5617</v>
      </c>
      <c r="AB2041" t="s">
        <v>2509</v>
      </c>
      <c r="AC2041" t="s">
        <v>717</v>
      </c>
      <c r="AD2041" t="s">
        <v>717</v>
      </c>
      <c r="AE2041" t="s">
        <v>8909</v>
      </c>
      <c r="AF2041" t="s">
        <v>8910</v>
      </c>
      <c r="AG2041" t="s">
        <v>8911</v>
      </c>
      <c r="AH2041" t="s">
        <v>2580</v>
      </c>
      <c r="AI2041" t="s">
        <v>2538</v>
      </c>
      <c r="AJ2041" t="s">
        <v>3921</v>
      </c>
      <c r="AK2041" t="s">
        <v>73</v>
      </c>
      <c r="AL2041" t="s">
        <v>717</v>
      </c>
      <c r="AM2041" t="s">
        <v>10</v>
      </c>
      <c r="AN2041" t="s">
        <v>717</v>
      </c>
    </row>
    <row r="2042" spans="1:40" hidden="1">
      <c r="A2042">
        <v>2041</v>
      </c>
      <c r="B2042">
        <v>42</v>
      </c>
      <c r="C2042" s="58">
        <v>45188</v>
      </c>
      <c r="D2042" t="s">
        <v>13</v>
      </c>
      <c r="E2042" t="s">
        <v>4409</v>
      </c>
      <c r="F2042">
        <v>2</v>
      </c>
      <c r="G2042">
        <v>3</v>
      </c>
      <c r="H2042">
        <v>406</v>
      </c>
      <c r="I2042">
        <v>1</v>
      </c>
      <c r="J2042">
        <v>43.21</v>
      </c>
      <c r="K2042" t="s">
        <v>25</v>
      </c>
      <c r="L2042">
        <v>4147008.59</v>
      </c>
      <c r="M2042">
        <v>15000</v>
      </c>
      <c r="N2042">
        <v>4162008.59</v>
      </c>
      <c r="O2042">
        <v>96320.495024299918</v>
      </c>
      <c r="P2042">
        <v>669755</v>
      </c>
      <c r="Q2042">
        <v>3492253.59</v>
      </c>
      <c r="R2042">
        <v>80820.495024299918</v>
      </c>
      <c r="S2042" t="s">
        <v>65</v>
      </c>
      <c r="T2042" t="s">
        <v>5768</v>
      </c>
      <c r="U2042">
        <v>222909.8</v>
      </c>
      <c r="V2042" t="s">
        <v>6312</v>
      </c>
      <c r="W2042">
        <v>45149</v>
      </c>
      <c r="X2042" t="s">
        <v>8913</v>
      </c>
      <c r="Y2042" t="s">
        <v>6</v>
      </c>
      <c r="Z2042" t="s">
        <v>17</v>
      </c>
      <c r="AA2042" t="s">
        <v>6637</v>
      </c>
      <c r="AB2042" t="s">
        <v>2509</v>
      </c>
      <c r="AC2042" t="s">
        <v>2571</v>
      </c>
      <c r="AD2042" t="s">
        <v>717</v>
      </c>
      <c r="AE2042" t="s">
        <v>8914</v>
      </c>
      <c r="AF2042" t="s">
        <v>8915</v>
      </c>
      <c r="AG2042" t="s">
        <v>8916</v>
      </c>
      <c r="AH2042" t="s">
        <v>2552</v>
      </c>
      <c r="AI2042" t="s">
        <v>2877</v>
      </c>
      <c r="AJ2042" t="s">
        <v>3098</v>
      </c>
      <c r="AK2042" t="s">
        <v>73</v>
      </c>
      <c r="AL2042" t="s">
        <v>16</v>
      </c>
      <c r="AM2042" t="s">
        <v>10</v>
      </c>
      <c r="AN2042" t="s">
        <v>717</v>
      </c>
    </row>
    <row r="2043" spans="1:40" hidden="1">
      <c r="A2043">
        <v>2042</v>
      </c>
      <c r="B2043">
        <v>43</v>
      </c>
      <c r="C2043" s="58">
        <v>45188</v>
      </c>
      <c r="D2043" t="s">
        <v>13</v>
      </c>
      <c r="E2043" t="s">
        <v>2506</v>
      </c>
      <c r="F2043">
        <v>3</v>
      </c>
      <c r="G2043">
        <v>10</v>
      </c>
      <c r="H2043">
        <v>176</v>
      </c>
      <c r="I2043">
        <v>2</v>
      </c>
      <c r="J2043">
        <v>57.6</v>
      </c>
      <c r="K2043" t="s">
        <v>25</v>
      </c>
      <c r="L2043">
        <v>5503532.7400000002</v>
      </c>
      <c r="M2043">
        <v>15000</v>
      </c>
      <c r="N2043">
        <v>5518532.7400000002</v>
      </c>
      <c r="O2043">
        <v>95807.860069444447</v>
      </c>
      <c r="P2043">
        <v>892800</v>
      </c>
      <c r="Q2043">
        <v>4625732.74</v>
      </c>
      <c r="R2043">
        <v>80307.860069444447</v>
      </c>
      <c r="S2043" t="s">
        <v>65</v>
      </c>
      <c r="T2043" t="s">
        <v>717</v>
      </c>
      <c r="U2043" t="s">
        <v>717</v>
      </c>
      <c r="V2043" t="s">
        <v>6312</v>
      </c>
      <c r="W2043">
        <v>45150</v>
      </c>
      <c r="X2043" t="s">
        <v>8917</v>
      </c>
      <c r="Y2043" t="s">
        <v>6</v>
      </c>
      <c r="Z2043" t="s">
        <v>17</v>
      </c>
      <c r="AA2043" t="s">
        <v>6637</v>
      </c>
      <c r="AB2043" t="s">
        <v>2509</v>
      </c>
      <c r="AC2043" t="s">
        <v>2571</v>
      </c>
      <c r="AD2043" t="s">
        <v>717</v>
      </c>
      <c r="AE2043" t="s">
        <v>7683</v>
      </c>
      <c r="AF2043" t="s">
        <v>7684</v>
      </c>
      <c r="AG2043" t="s">
        <v>7685</v>
      </c>
      <c r="AH2043" t="s">
        <v>2615</v>
      </c>
      <c r="AI2043" t="s">
        <v>2600</v>
      </c>
      <c r="AJ2043" t="s">
        <v>3921</v>
      </c>
      <c r="AK2043" t="s">
        <v>8</v>
      </c>
      <c r="AL2043" t="s">
        <v>16</v>
      </c>
      <c r="AM2043" t="s">
        <v>10</v>
      </c>
      <c r="AN2043" t="s">
        <v>717</v>
      </c>
    </row>
    <row r="2044" spans="1:40" hidden="1">
      <c r="A2044">
        <v>2043</v>
      </c>
      <c r="B2044">
        <v>44</v>
      </c>
      <c r="C2044" s="58">
        <v>45188</v>
      </c>
      <c r="D2044" t="s">
        <v>13</v>
      </c>
      <c r="E2044" t="s">
        <v>2581</v>
      </c>
      <c r="F2044">
        <v>5</v>
      </c>
      <c r="G2044">
        <v>8</v>
      </c>
      <c r="H2044">
        <v>275</v>
      </c>
      <c r="I2044">
        <v>1</v>
      </c>
      <c r="J2044">
        <v>37.81</v>
      </c>
      <c r="K2044" t="s">
        <v>25</v>
      </c>
      <c r="L2044">
        <v>3975273.81</v>
      </c>
      <c r="M2044">
        <v>15000</v>
      </c>
      <c r="N2044">
        <v>3990273.81</v>
      </c>
      <c r="O2044">
        <v>105534.87992594553</v>
      </c>
      <c r="P2044">
        <v>586055</v>
      </c>
      <c r="Q2044">
        <v>3404218.81</v>
      </c>
      <c r="R2044">
        <v>90034.879925945497</v>
      </c>
      <c r="S2044" t="s">
        <v>65</v>
      </c>
      <c r="T2044" t="s">
        <v>717</v>
      </c>
      <c r="U2044" t="s">
        <v>717</v>
      </c>
      <c r="V2044" t="s">
        <v>6312</v>
      </c>
      <c r="W2044">
        <v>45151</v>
      </c>
      <c r="X2044" t="s">
        <v>8918</v>
      </c>
      <c r="Y2044" t="s">
        <v>6</v>
      </c>
      <c r="Z2044" t="s">
        <v>17</v>
      </c>
      <c r="AA2044" t="s">
        <v>6637</v>
      </c>
      <c r="AB2044" t="s">
        <v>2509</v>
      </c>
      <c r="AC2044" t="s">
        <v>2571</v>
      </c>
      <c r="AD2044" t="s">
        <v>717</v>
      </c>
      <c r="AE2044" t="s">
        <v>8919</v>
      </c>
      <c r="AF2044" t="s">
        <v>3242</v>
      </c>
      <c r="AG2044" t="s">
        <v>3243</v>
      </c>
      <c r="AH2044" t="s">
        <v>2191</v>
      </c>
      <c r="AI2044" t="s">
        <v>2600</v>
      </c>
      <c r="AJ2044" t="s">
        <v>3921</v>
      </c>
      <c r="AK2044" t="s">
        <v>8</v>
      </c>
      <c r="AL2044" t="s">
        <v>16</v>
      </c>
      <c r="AM2044" t="s">
        <v>10</v>
      </c>
      <c r="AN2044" t="s">
        <v>717</v>
      </c>
    </row>
    <row r="2045" spans="1:40" hidden="1">
      <c r="A2045">
        <v>2044</v>
      </c>
      <c r="B2045">
        <v>45</v>
      </c>
      <c r="C2045" s="58">
        <v>45188</v>
      </c>
      <c r="D2045" t="s">
        <v>13</v>
      </c>
      <c r="E2045" t="s">
        <v>4409</v>
      </c>
      <c r="F2045">
        <v>1</v>
      </c>
      <c r="G2045">
        <v>2</v>
      </c>
      <c r="H2045">
        <v>397</v>
      </c>
      <c r="I2045">
        <v>0</v>
      </c>
      <c r="J2045">
        <v>29.4</v>
      </c>
      <c r="K2045" t="s">
        <v>15</v>
      </c>
      <c r="L2045">
        <v>2770048.77</v>
      </c>
      <c r="M2045">
        <v>15000</v>
      </c>
      <c r="N2045">
        <v>2785048.77</v>
      </c>
      <c r="O2045">
        <v>94729.55</v>
      </c>
      <c r="P2045">
        <v>132300</v>
      </c>
      <c r="Q2045">
        <v>2652748.77</v>
      </c>
      <c r="R2045">
        <v>90229.55</v>
      </c>
      <c r="S2045" t="s">
        <v>65</v>
      </c>
      <c r="T2045" t="s">
        <v>717</v>
      </c>
      <c r="U2045" t="s">
        <v>717</v>
      </c>
      <c r="V2045" t="s">
        <v>6312</v>
      </c>
      <c r="W2045">
        <v>45152</v>
      </c>
      <c r="X2045" t="s">
        <v>8920</v>
      </c>
      <c r="Y2045" t="s">
        <v>6</v>
      </c>
      <c r="Z2045" t="s">
        <v>17</v>
      </c>
      <c r="AA2045" t="s">
        <v>6637</v>
      </c>
      <c r="AB2045" t="s">
        <v>2509</v>
      </c>
      <c r="AC2045" t="s">
        <v>2571</v>
      </c>
      <c r="AD2045" t="s">
        <v>717</v>
      </c>
      <c r="AE2045" t="s">
        <v>8921</v>
      </c>
      <c r="AF2045" t="s">
        <v>8922</v>
      </c>
      <c r="AG2045" t="s">
        <v>8923</v>
      </c>
      <c r="AH2045" t="s">
        <v>2615</v>
      </c>
      <c r="AI2045" t="s">
        <v>2824</v>
      </c>
      <c r="AJ2045" t="s">
        <v>2895</v>
      </c>
      <c r="AK2045" t="s">
        <v>8</v>
      </c>
      <c r="AL2045" t="s">
        <v>22</v>
      </c>
      <c r="AM2045" t="s">
        <v>10</v>
      </c>
      <c r="AN2045" t="s">
        <v>717</v>
      </c>
    </row>
    <row r="2046" spans="1:40" hidden="1">
      <c r="A2046">
        <v>2045</v>
      </c>
      <c r="B2046">
        <v>46</v>
      </c>
      <c r="C2046" s="58">
        <v>45188</v>
      </c>
      <c r="D2046" t="s">
        <v>13</v>
      </c>
      <c r="E2046" t="s">
        <v>2506</v>
      </c>
      <c r="F2046">
        <v>2</v>
      </c>
      <c r="G2046">
        <v>12</v>
      </c>
      <c r="H2046">
        <v>189</v>
      </c>
      <c r="I2046">
        <v>0</v>
      </c>
      <c r="J2046">
        <v>24.28</v>
      </c>
      <c r="K2046" t="s">
        <v>9</v>
      </c>
      <c r="L2046">
        <v>2218312.7599999998</v>
      </c>
      <c r="M2046">
        <v>15000</v>
      </c>
      <c r="N2046">
        <v>2233312.7599999998</v>
      </c>
      <c r="O2046">
        <v>91981.579901153207</v>
      </c>
      <c r="P2046">
        <v>0</v>
      </c>
      <c r="Q2046">
        <v>2233312.7599999998</v>
      </c>
      <c r="R2046">
        <v>91981.579901153207</v>
      </c>
      <c r="S2046" t="s">
        <v>65</v>
      </c>
      <c r="T2046" t="s">
        <v>717</v>
      </c>
      <c r="U2046" t="s">
        <v>717</v>
      </c>
      <c r="V2046" t="s">
        <v>4131</v>
      </c>
      <c r="W2046">
        <v>45153</v>
      </c>
      <c r="X2046" t="s">
        <v>8924</v>
      </c>
      <c r="Y2046" t="s">
        <v>6</v>
      </c>
      <c r="Z2046" t="s">
        <v>17</v>
      </c>
      <c r="AA2046" t="s">
        <v>6637</v>
      </c>
      <c r="AB2046" t="s">
        <v>2509</v>
      </c>
      <c r="AC2046" t="s">
        <v>2571</v>
      </c>
      <c r="AD2046" t="s">
        <v>717</v>
      </c>
      <c r="AE2046" t="s">
        <v>8925</v>
      </c>
      <c r="AF2046" t="s">
        <v>8926</v>
      </c>
      <c r="AG2046" t="s">
        <v>8927</v>
      </c>
      <c r="AH2046" t="s">
        <v>2191</v>
      </c>
      <c r="AI2046" t="s">
        <v>2552</v>
      </c>
      <c r="AJ2046" t="s">
        <v>2514</v>
      </c>
      <c r="AK2046" t="s">
        <v>1233</v>
      </c>
      <c r="AL2046" t="s">
        <v>22</v>
      </c>
      <c r="AM2046" t="s">
        <v>10</v>
      </c>
      <c r="AN2046" t="s">
        <v>717</v>
      </c>
    </row>
    <row r="2047" spans="1:40" hidden="1">
      <c r="A2047">
        <v>2046</v>
      </c>
      <c r="B2047">
        <v>47</v>
      </c>
      <c r="C2047" s="58">
        <v>45188</v>
      </c>
      <c r="D2047" t="s">
        <v>13</v>
      </c>
      <c r="E2047" t="s">
        <v>4409</v>
      </c>
      <c r="F2047">
        <v>1</v>
      </c>
      <c r="G2047">
        <v>4</v>
      </c>
      <c r="H2047">
        <v>413</v>
      </c>
      <c r="I2047">
        <v>0</v>
      </c>
      <c r="J2047">
        <v>29.4</v>
      </c>
      <c r="K2047" t="s">
        <v>15</v>
      </c>
      <c r="L2047">
        <v>2770048.77</v>
      </c>
      <c r="M2047">
        <v>15000</v>
      </c>
      <c r="N2047">
        <v>2785048.77</v>
      </c>
      <c r="O2047">
        <v>94729.55</v>
      </c>
      <c r="P2047">
        <v>132300</v>
      </c>
      <c r="Q2047">
        <v>2652748.77</v>
      </c>
      <c r="R2047">
        <v>90229.55</v>
      </c>
      <c r="S2047" t="s">
        <v>65</v>
      </c>
      <c r="T2047" t="s">
        <v>717</v>
      </c>
      <c r="U2047" t="s">
        <v>717</v>
      </c>
      <c r="V2047" t="s">
        <v>4131</v>
      </c>
      <c r="W2047">
        <v>45155</v>
      </c>
      <c r="X2047" t="s">
        <v>8928</v>
      </c>
      <c r="Y2047" t="s">
        <v>6</v>
      </c>
      <c r="Z2047" t="s">
        <v>17</v>
      </c>
      <c r="AA2047" t="s">
        <v>6637</v>
      </c>
      <c r="AB2047" t="s">
        <v>2509</v>
      </c>
      <c r="AC2047" t="s">
        <v>2571</v>
      </c>
      <c r="AD2047" t="s">
        <v>717</v>
      </c>
      <c r="AE2047" t="s">
        <v>8929</v>
      </c>
      <c r="AF2047" t="s">
        <v>8930</v>
      </c>
      <c r="AG2047" t="s">
        <v>8931</v>
      </c>
      <c r="AH2047" t="s">
        <v>6100</v>
      </c>
      <c r="AI2047" t="s">
        <v>5653</v>
      </c>
      <c r="AJ2047" t="s">
        <v>31</v>
      </c>
      <c r="AK2047" t="s">
        <v>73</v>
      </c>
      <c r="AL2047" t="s">
        <v>22</v>
      </c>
      <c r="AM2047" t="s">
        <v>5654</v>
      </c>
      <c r="AN2047" t="s">
        <v>717</v>
      </c>
    </row>
    <row r="2048" spans="1:40" hidden="1">
      <c r="A2048">
        <v>2047</v>
      </c>
      <c r="B2048">
        <v>48</v>
      </c>
      <c r="C2048" s="58">
        <v>45188</v>
      </c>
      <c r="D2048" t="s">
        <v>13</v>
      </c>
      <c r="E2048" t="s">
        <v>2515</v>
      </c>
      <c r="F2048">
        <v>3</v>
      </c>
      <c r="G2048">
        <v>3</v>
      </c>
      <c r="H2048">
        <v>16</v>
      </c>
      <c r="I2048">
        <v>1</v>
      </c>
      <c r="J2048">
        <v>37.729999999999997</v>
      </c>
      <c r="K2048" t="s">
        <v>15</v>
      </c>
      <c r="L2048">
        <v>3490593.53</v>
      </c>
      <c r="M2048">
        <v>15000</v>
      </c>
      <c r="N2048">
        <v>3505593.53</v>
      </c>
      <c r="O2048">
        <v>92912.630002650418</v>
      </c>
      <c r="P2048">
        <v>169785</v>
      </c>
      <c r="Q2048">
        <v>3335808.53</v>
      </c>
      <c r="R2048">
        <v>88412.630002650418</v>
      </c>
      <c r="S2048" t="s">
        <v>65</v>
      </c>
      <c r="T2048" t="s">
        <v>717</v>
      </c>
      <c r="U2048" t="s">
        <v>717</v>
      </c>
      <c r="V2048" t="s">
        <v>4131</v>
      </c>
      <c r="W2048">
        <v>45155</v>
      </c>
      <c r="X2048" t="s">
        <v>8932</v>
      </c>
      <c r="Y2048" t="s">
        <v>6</v>
      </c>
      <c r="Z2048" t="s">
        <v>17</v>
      </c>
      <c r="AA2048" t="s">
        <v>6637</v>
      </c>
      <c r="AB2048" t="s">
        <v>2509</v>
      </c>
      <c r="AC2048" t="s">
        <v>2571</v>
      </c>
      <c r="AD2048" t="s">
        <v>717</v>
      </c>
      <c r="AE2048" t="s">
        <v>8933</v>
      </c>
      <c r="AF2048" t="s">
        <v>8934</v>
      </c>
      <c r="AG2048" t="s">
        <v>8935</v>
      </c>
      <c r="AH2048" t="s">
        <v>2616</v>
      </c>
      <c r="AI2048" t="s">
        <v>2552</v>
      </c>
      <c r="AJ2048" t="s">
        <v>2895</v>
      </c>
      <c r="AK2048" t="s">
        <v>8</v>
      </c>
      <c r="AL2048" t="s">
        <v>16</v>
      </c>
      <c r="AM2048" t="s">
        <v>10</v>
      </c>
      <c r="AN2048" t="s">
        <v>717</v>
      </c>
    </row>
    <row r="2049" spans="1:40" hidden="1">
      <c r="A2049">
        <v>2048</v>
      </c>
      <c r="B2049">
        <v>49</v>
      </c>
      <c r="C2049" s="58">
        <v>45188</v>
      </c>
      <c r="D2049" t="s">
        <v>13</v>
      </c>
      <c r="E2049" t="s">
        <v>2515</v>
      </c>
      <c r="F2049">
        <v>5</v>
      </c>
      <c r="G2049">
        <v>1</v>
      </c>
      <c r="H2049">
        <v>5</v>
      </c>
      <c r="I2049">
        <v>2</v>
      </c>
      <c r="J2049">
        <v>58.27</v>
      </c>
      <c r="K2049" t="s">
        <v>15</v>
      </c>
      <c r="L2049">
        <v>4904256.54</v>
      </c>
      <c r="M2049">
        <v>15000</v>
      </c>
      <c r="N2049">
        <v>4919256.54</v>
      </c>
      <c r="O2049">
        <v>84421.770036039117</v>
      </c>
      <c r="P2049">
        <v>262215</v>
      </c>
      <c r="Q2049">
        <v>4657041.54</v>
      </c>
      <c r="R2049">
        <v>79921.770036039132</v>
      </c>
      <c r="S2049" t="s">
        <v>65</v>
      </c>
      <c r="T2049" t="s">
        <v>717</v>
      </c>
      <c r="U2049" t="s">
        <v>717</v>
      </c>
      <c r="V2049" t="s">
        <v>6312</v>
      </c>
      <c r="W2049">
        <v>45157</v>
      </c>
      <c r="X2049" t="s">
        <v>8936</v>
      </c>
      <c r="Y2049" t="s">
        <v>6</v>
      </c>
      <c r="Z2049" t="s">
        <v>17</v>
      </c>
      <c r="AA2049" t="s">
        <v>6637</v>
      </c>
      <c r="AB2049" t="s">
        <v>2509</v>
      </c>
      <c r="AC2049" t="s">
        <v>2571</v>
      </c>
      <c r="AD2049" t="s">
        <v>717</v>
      </c>
      <c r="AE2049" t="s">
        <v>8937</v>
      </c>
      <c r="AF2049" t="s">
        <v>8938</v>
      </c>
      <c r="AG2049" t="s">
        <v>8939</v>
      </c>
      <c r="AH2049" t="s">
        <v>2191</v>
      </c>
      <c r="AI2049" t="s">
        <v>3115</v>
      </c>
      <c r="AJ2049" t="s">
        <v>2514</v>
      </c>
      <c r="AK2049" t="s">
        <v>20</v>
      </c>
      <c r="AL2049" t="s">
        <v>16</v>
      </c>
      <c r="AM2049" t="s">
        <v>10</v>
      </c>
      <c r="AN2049" t="s">
        <v>717</v>
      </c>
    </row>
    <row r="2050" spans="1:40" hidden="1">
      <c r="A2050">
        <v>2049</v>
      </c>
      <c r="B2050">
        <v>50</v>
      </c>
      <c r="C2050" s="58">
        <v>45188</v>
      </c>
      <c r="D2050" t="s">
        <v>13</v>
      </c>
      <c r="E2050" t="s">
        <v>4409</v>
      </c>
      <c r="F2050">
        <v>1</v>
      </c>
      <c r="G2050">
        <v>13</v>
      </c>
      <c r="H2050">
        <v>485</v>
      </c>
      <c r="I2050">
        <v>0</v>
      </c>
      <c r="J2050">
        <v>29.4</v>
      </c>
      <c r="K2050" t="s">
        <v>9</v>
      </c>
      <c r="L2050">
        <v>2611993.7799999998</v>
      </c>
      <c r="M2050">
        <v>15000</v>
      </c>
      <c r="N2050">
        <v>2626993.7799999998</v>
      </c>
      <c r="O2050">
        <v>89353.529931972793</v>
      </c>
      <c r="P2050">
        <v>0</v>
      </c>
      <c r="Q2050">
        <v>2626993.7799999998</v>
      </c>
      <c r="R2050">
        <v>89353.529931972793</v>
      </c>
      <c r="S2050" t="s">
        <v>65</v>
      </c>
      <c r="T2050" t="s">
        <v>717</v>
      </c>
      <c r="U2050" t="s">
        <v>717</v>
      </c>
      <c r="V2050" t="s">
        <v>6312</v>
      </c>
      <c r="W2050">
        <v>45157</v>
      </c>
      <c r="X2050" t="s">
        <v>8940</v>
      </c>
      <c r="Y2050" t="s">
        <v>6</v>
      </c>
      <c r="Z2050" t="s">
        <v>17</v>
      </c>
      <c r="AA2050" t="s">
        <v>6637</v>
      </c>
      <c r="AB2050" t="s">
        <v>2509</v>
      </c>
      <c r="AC2050" t="s">
        <v>2571</v>
      </c>
      <c r="AD2050" t="s">
        <v>717</v>
      </c>
      <c r="AE2050" t="s">
        <v>8941</v>
      </c>
      <c r="AF2050" t="s">
        <v>8942</v>
      </c>
      <c r="AG2050" t="s">
        <v>8943</v>
      </c>
      <c r="AH2050" t="s">
        <v>2191</v>
      </c>
      <c r="AI2050" t="s">
        <v>2552</v>
      </c>
      <c r="AJ2050" t="s">
        <v>2514</v>
      </c>
      <c r="AK2050" t="s">
        <v>1233</v>
      </c>
      <c r="AL2050" t="s">
        <v>16</v>
      </c>
      <c r="AM2050" t="s">
        <v>10</v>
      </c>
      <c r="AN2050" t="s">
        <v>717</v>
      </c>
    </row>
    <row r="2051" spans="1:40" hidden="1">
      <c r="A2051">
        <v>2050</v>
      </c>
      <c r="B2051">
        <v>51</v>
      </c>
      <c r="C2051" s="58">
        <v>45188</v>
      </c>
      <c r="D2051" t="s">
        <v>13</v>
      </c>
      <c r="E2051" t="s">
        <v>2506</v>
      </c>
      <c r="F2051">
        <v>2</v>
      </c>
      <c r="G2051">
        <v>4</v>
      </c>
      <c r="H2051">
        <v>133</v>
      </c>
      <c r="I2051">
        <v>0</v>
      </c>
      <c r="J2051">
        <v>24.28</v>
      </c>
      <c r="K2051" t="s">
        <v>15</v>
      </c>
      <c r="L2051">
        <v>2348842.29</v>
      </c>
      <c r="M2051">
        <v>15000</v>
      </c>
      <c r="N2051">
        <v>2363842.29</v>
      </c>
      <c r="O2051">
        <v>97357.590197693571</v>
      </c>
      <c r="P2051">
        <v>109260</v>
      </c>
      <c r="Q2051">
        <v>2254582.29</v>
      </c>
      <c r="R2051">
        <v>92857.590197693571</v>
      </c>
      <c r="S2051" t="s">
        <v>65</v>
      </c>
      <c r="T2051" t="s">
        <v>717</v>
      </c>
      <c r="U2051" t="s">
        <v>717</v>
      </c>
      <c r="V2051" t="s">
        <v>4131</v>
      </c>
      <c r="W2051">
        <v>45157</v>
      </c>
      <c r="X2051" t="s">
        <v>8944</v>
      </c>
      <c r="Y2051" t="s">
        <v>6</v>
      </c>
      <c r="Z2051" t="s">
        <v>17</v>
      </c>
      <c r="AA2051" t="s">
        <v>6637</v>
      </c>
      <c r="AB2051" t="s">
        <v>2509</v>
      </c>
      <c r="AC2051" t="s">
        <v>2571</v>
      </c>
      <c r="AD2051" t="s">
        <v>717</v>
      </c>
      <c r="AE2051" t="s">
        <v>8945</v>
      </c>
      <c r="AF2051" t="s">
        <v>8946</v>
      </c>
      <c r="AG2051" t="s">
        <v>8947</v>
      </c>
      <c r="AH2051" t="s">
        <v>2616</v>
      </c>
      <c r="AI2051" t="s">
        <v>2552</v>
      </c>
      <c r="AJ2051" t="s">
        <v>2662</v>
      </c>
      <c r="AK2051" t="s">
        <v>1233</v>
      </c>
      <c r="AL2051" t="s">
        <v>16</v>
      </c>
      <c r="AM2051" t="s">
        <v>10</v>
      </c>
      <c r="AN2051" t="s">
        <v>717</v>
      </c>
    </row>
    <row r="2052" spans="1:40" hidden="1">
      <c r="A2052">
        <v>2051</v>
      </c>
      <c r="B2052">
        <v>52</v>
      </c>
      <c r="C2052" s="58">
        <v>45188</v>
      </c>
      <c r="D2052" t="s">
        <v>13</v>
      </c>
      <c r="E2052" t="s">
        <v>2581</v>
      </c>
      <c r="F2052">
        <v>2</v>
      </c>
      <c r="G2052">
        <v>1</v>
      </c>
      <c r="H2052">
        <v>224</v>
      </c>
      <c r="I2052">
        <v>0</v>
      </c>
      <c r="J2052">
        <v>24.53</v>
      </c>
      <c r="K2052" t="s">
        <v>9</v>
      </c>
      <c r="L2052">
        <v>2557191.27</v>
      </c>
      <c r="M2052">
        <v>15000</v>
      </c>
      <c r="N2052">
        <v>2572191.27</v>
      </c>
      <c r="O2052">
        <v>104859</v>
      </c>
      <c r="P2052">
        <v>0</v>
      </c>
      <c r="Q2052">
        <v>2572191.27</v>
      </c>
      <c r="R2052">
        <v>104859</v>
      </c>
      <c r="S2052" t="s">
        <v>65</v>
      </c>
      <c r="T2052" t="s">
        <v>717</v>
      </c>
      <c r="U2052" t="s">
        <v>717</v>
      </c>
      <c r="V2052" t="s">
        <v>6312</v>
      </c>
      <c r="W2052">
        <v>45158</v>
      </c>
      <c r="X2052" t="s">
        <v>8948</v>
      </c>
      <c r="Y2052" t="s">
        <v>6</v>
      </c>
      <c r="Z2052" t="s">
        <v>17</v>
      </c>
      <c r="AA2052" t="s">
        <v>6637</v>
      </c>
      <c r="AB2052" t="s">
        <v>2509</v>
      </c>
      <c r="AC2052" t="s">
        <v>2571</v>
      </c>
      <c r="AD2052" t="s">
        <v>717</v>
      </c>
      <c r="AE2052" t="s">
        <v>8433</v>
      </c>
      <c r="AF2052" t="s">
        <v>8434</v>
      </c>
      <c r="AG2052" t="s">
        <v>8435</v>
      </c>
      <c r="AH2052" t="s">
        <v>2615</v>
      </c>
      <c r="AI2052" t="s">
        <v>2600</v>
      </c>
      <c r="AJ2052" t="s">
        <v>3921</v>
      </c>
      <c r="AK2052" t="s">
        <v>8</v>
      </c>
      <c r="AL2052" t="s">
        <v>16</v>
      </c>
      <c r="AM2052" t="s">
        <v>10</v>
      </c>
      <c r="AN2052" t="s">
        <v>717</v>
      </c>
    </row>
    <row r="2053" spans="1:40" hidden="1">
      <c r="A2053">
        <v>2052</v>
      </c>
      <c r="B2053">
        <v>53</v>
      </c>
      <c r="C2053" s="58">
        <v>45188</v>
      </c>
      <c r="D2053" t="s">
        <v>13</v>
      </c>
      <c r="E2053" t="s">
        <v>2581</v>
      </c>
      <c r="F2053">
        <v>2</v>
      </c>
      <c r="G2053">
        <v>2</v>
      </c>
      <c r="H2053">
        <v>230</v>
      </c>
      <c r="I2053">
        <v>0</v>
      </c>
      <c r="J2053">
        <v>24.53</v>
      </c>
      <c r="K2053" t="s">
        <v>25</v>
      </c>
      <c r="L2053">
        <v>2621523.16</v>
      </c>
      <c r="M2053">
        <v>15000</v>
      </c>
      <c r="N2053">
        <v>2636523.16</v>
      </c>
      <c r="O2053">
        <v>107481.58010599266</v>
      </c>
      <c r="P2053">
        <v>380215</v>
      </c>
      <c r="Q2053">
        <v>2256308.16</v>
      </c>
      <c r="R2053">
        <v>91981.58010599266</v>
      </c>
      <c r="S2053" t="s">
        <v>65</v>
      </c>
      <c r="T2053" t="s">
        <v>717</v>
      </c>
      <c r="U2053" t="s">
        <v>717</v>
      </c>
      <c r="V2053" t="s">
        <v>6312</v>
      </c>
      <c r="W2053">
        <v>45159</v>
      </c>
      <c r="X2053" t="s">
        <v>8949</v>
      </c>
      <c r="Y2053" t="s">
        <v>6</v>
      </c>
      <c r="Z2053" t="s">
        <v>17</v>
      </c>
      <c r="AA2053" t="s">
        <v>6637</v>
      </c>
      <c r="AB2053" t="s">
        <v>2509</v>
      </c>
      <c r="AC2053" t="s">
        <v>2571</v>
      </c>
      <c r="AD2053" t="s">
        <v>717</v>
      </c>
      <c r="AE2053" t="s">
        <v>8950</v>
      </c>
      <c r="AF2053" t="s">
        <v>8951</v>
      </c>
      <c r="AG2053" t="s">
        <v>8952</v>
      </c>
      <c r="AH2053" t="s">
        <v>2615</v>
      </c>
      <c r="AI2053" t="s">
        <v>2747</v>
      </c>
      <c r="AJ2053" t="s">
        <v>2569</v>
      </c>
      <c r="AK2053" t="s">
        <v>77</v>
      </c>
      <c r="AL2053" t="s">
        <v>22</v>
      </c>
      <c r="AM2053" t="s">
        <v>10</v>
      </c>
      <c r="AN2053" t="s">
        <v>717</v>
      </c>
    </row>
    <row r="2054" spans="1:40" hidden="1">
      <c r="A2054">
        <v>2053</v>
      </c>
      <c r="B2054">
        <v>54</v>
      </c>
      <c r="C2054" s="58">
        <v>45188</v>
      </c>
      <c r="D2054" t="s">
        <v>13</v>
      </c>
      <c r="E2054" t="s">
        <v>2506</v>
      </c>
      <c r="F2054">
        <v>2</v>
      </c>
      <c r="G2054">
        <v>1</v>
      </c>
      <c r="H2054">
        <v>113</v>
      </c>
      <c r="I2054">
        <v>0</v>
      </c>
      <c r="J2054">
        <v>24.28</v>
      </c>
      <c r="K2054" t="s">
        <v>9</v>
      </c>
      <c r="L2054">
        <v>2508643.29</v>
      </c>
      <c r="M2054">
        <v>15000</v>
      </c>
      <c r="N2054">
        <v>2523643.29</v>
      </c>
      <c r="O2054">
        <v>103939.17998352554</v>
      </c>
      <c r="P2054">
        <v>0</v>
      </c>
      <c r="Q2054">
        <v>2523643.29</v>
      </c>
      <c r="R2054">
        <v>103939.17998352554</v>
      </c>
      <c r="S2054" t="s">
        <v>65</v>
      </c>
      <c r="T2054" t="s">
        <v>717</v>
      </c>
      <c r="U2054" t="s">
        <v>717</v>
      </c>
      <c r="V2054" t="s">
        <v>4131</v>
      </c>
      <c r="W2054">
        <v>45160</v>
      </c>
      <c r="X2054" t="s">
        <v>8953</v>
      </c>
      <c r="Y2054" t="s">
        <v>6</v>
      </c>
      <c r="Z2054" t="s">
        <v>17</v>
      </c>
      <c r="AA2054" t="s">
        <v>6637</v>
      </c>
      <c r="AB2054" t="s">
        <v>2509</v>
      </c>
      <c r="AC2054" t="s">
        <v>2571</v>
      </c>
      <c r="AD2054" t="s">
        <v>717</v>
      </c>
      <c r="AE2054" t="s">
        <v>8954</v>
      </c>
      <c r="AF2054" t="s">
        <v>8955</v>
      </c>
      <c r="AG2054" t="s">
        <v>8956</v>
      </c>
      <c r="AH2054" t="s">
        <v>2552</v>
      </c>
      <c r="AI2054" t="s">
        <v>2621</v>
      </c>
      <c r="AJ2054" t="s">
        <v>2569</v>
      </c>
      <c r="AK2054" t="s">
        <v>8</v>
      </c>
      <c r="AL2054" t="s">
        <v>16</v>
      </c>
      <c r="AM2054" t="s">
        <v>10</v>
      </c>
      <c r="AN2054" t="s">
        <v>717</v>
      </c>
    </row>
    <row r="2055" spans="1:40" hidden="1">
      <c r="A2055">
        <v>2054</v>
      </c>
      <c r="B2055">
        <v>55</v>
      </c>
      <c r="C2055" s="58">
        <v>45188</v>
      </c>
      <c r="D2055" t="s">
        <v>13</v>
      </c>
      <c r="E2055" t="s">
        <v>4409</v>
      </c>
      <c r="F2055">
        <v>4</v>
      </c>
      <c r="G2055">
        <v>8</v>
      </c>
      <c r="H2055">
        <v>448</v>
      </c>
      <c r="I2055">
        <v>2</v>
      </c>
      <c r="J2055">
        <v>58.24</v>
      </c>
      <c r="K2055" t="s">
        <v>15</v>
      </c>
      <c r="L2055">
        <v>4879237.42</v>
      </c>
      <c r="M2055">
        <v>15000</v>
      </c>
      <c r="N2055">
        <v>4894237.42</v>
      </c>
      <c r="O2055">
        <v>84035.669986263732</v>
      </c>
      <c r="P2055">
        <v>262080</v>
      </c>
      <c r="Q2055">
        <v>4632157.42</v>
      </c>
      <c r="R2055">
        <v>79535.669986263732</v>
      </c>
      <c r="S2055" t="s">
        <v>65</v>
      </c>
      <c r="T2055" t="s">
        <v>717</v>
      </c>
      <c r="U2055" t="s">
        <v>717</v>
      </c>
      <c r="V2055" t="s">
        <v>4131</v>
      </c>
      <c r="W2055">
        <v>45160</v>
      </c>
      <c r="X2055" t="s">
        <v>8957</v>
      </c>
      <c r="Y2055" t="s">
        <v>6</v>
      </c>
      <c r="Z2055" t="s">
        <v>17</v>
      </c>
      <c r="AA2055" t="s">
        <v>6637</v>
      </c>
      <c r="AB2055" t="s">
        <v>2509</v>
      </c>
      <c r="AC2055" t="s">
        <v>2571</v>
      </c>
      <c r="AD2055" t="s">
        <v>717</v>
      </c>
      <c r="AE2055" t="s">
        <v>8958</v>
      </c>
      <c r="AF2055" t="s">
        <v>8959</v>
      </c>
      <c r="AG2055" t="s">
        <v>8960</v>
      </c>
      <c r="AH2055" t="s">
        <v>6100</v>
      </c>
      <c r="AI2055" t="s">
        <v>5653</v>
      </c>
      <c r="AJ2055" t="s">
        <v>31</v>
      </c>
      <c r="AK2055" t="s">
        <v>20</v>
      </c>
      <c r="AL2055" t="s">
        <v>22</v>
      </c>
      <c r="AM2055" t="s">
        <v>5654</v>
      </c>
      <c r="AN2055" t="s">
        <v>717</v>
      </c>
    </row>
    <row r="2056" spans="1:40" hidden="1">
      <c r="A2056">
        <v>2055</v>
      </c>
      <c r="B2056">
        <v>56</v>
      </c>
      <c r="C2056" s="58">
        <v>45188</v>
      </c>
      <c r="D2056" t="s">
        <v>13</v>
      </c>
      <c r="E2056" t="s">
        <v>2581</v>
      </c>
      <c r="F2056">
        <v>2</v>
      </c>
      <c r="G2056">
        <v>3</v>
      </c>
      <c r="H2056">
        <v>237</v>
      </c>
      <c r="I2056">
        <v>0</v>
      </c>
      <c r="J2056">
        <v>24.53</v>
      </c>
      <c r="K2056" t="s">
        <v>9</v>
      </c>
      <c r="L2056">
        <v>2369123.34</v>
      </c>
      <c r="M2056">
        <v>0</v>
      </c>
      <c r="N2056">
        <v>2369123.34</v>
      </c>
      <c r="O2056">
        <v>96580.649816551158</v>
      </c>
      <c r="P2056">
        <v>0</v>
      </c>
      <c r="Q2056">
        <v>2369123.34</v>
      </c>
      <c r="R2056">
        <v>96580.649816551158</v>
      </c>
      <c r="S2056" t="s">
        <v>65</v>
      </c>
      <c r="T2056" t="s">
        <v>717</v>
      </c>
      <c r="U2056" t="s">
        <v>717</v>
      </c>
      <c r="V2056" t="s">
        <v>4131</v>
      </c>
      <c r="W2056">
        <v>45161</v>
      </c>
      <c r="X2056" t="s">
        <v>8961</v>
      </c>
      <c r="Y2056" t="s">
        <v>6</v>
      </c>
      <c r="Z2056" t="s">
        <v>17</v>
      </c>
      <c r="AA2056" t="s">
        <v>6637</v>
      </c>
      <c r="AB2056" t="s">
        <v>2509</v>
      </c>
      <c r="AC2056" t="s">
        <v>2571</v>
      </c>
      <c r="AD2056" t="s">
        <v>717</v>
      </c>
      <c r="AE2056" t="s">
        <v>8962</v>
      </c>
      <c r="AF2056" t="s">
        <v>7105</v>
      </c>
      <c r="AG2056" t="s">
        <v>8963</v>
      </c>
      <c r="AH2056" t="s">
        <v>2552</v>
      </c>
      <c r="AI2056" t="s">
        <v>2547</v>
      </c>
      <c r="AJ2056" t="s">
        <v>2855</v>
      </c>
      <c r="AK2056" t="s">
        <v>73</v>
      </c>
      <c r="AL2056" t="s">
        <v>16</v>
      </c>
      <c r="AM2056" t="s">
        <v>10</v>
      </c>
      <c r="AN2056" t="s">
        <v>717</v>
      </c>
    </row>
    <row r="2057" spans="1:40" hidden="1">
      <c r="A2057">
        <v>2056</v>
      </c>
      <c r="B2057">
        <v>57</v>
      </c>
      <c r="C2057" s="58">
        <v>45188</v>
      </c>
      <c r="D2057" t="s">
        <v>13</v>
      </c>
      <c r="E2057" t="s">
        <v>2515</v>
      </c>
      <c r="F2057">
        <v>1</v>
      </c>
      <c r="G2057">
        <v>3</v>
      </c>
      <c r="H2057">
        <v>14</v>
      </c>
      <c r="I2057">
        <v>1</v>
      </c>
      <c r="J2057">
        <v>34.39</v>
      </c>
      <c r="K2057" t="s">
        <v>9</v>
      </c>
      <c r="L2057">
        <v>3016799.82</v>
      </c>
      <c r="M2057">
        <v>0</v>
      </c>
      <c r="N2057">
        <v>3016799.82</v>
      </c>
      <c r="O2057">
        <v>87723.170107589409</v>
      </c>
      <c r="P2057">
        <v>0</v>
      </c>
      <c r="Q2057">
        <v>3016799.82</v>
      </c>
      <c r="R2057">
        <v>87723.170107589409</v>
      </c>
      <c r="S2057" t="s">
        <v>65</v>
      </c>
      <c r="T2057" t="s">
        <v>717</v>
      </c>
      <c r="U2057" t="s">
        <v>717</v>
      </c>
      <c r="V2057" t="s">
        <v>6312</v>
      </c>
      <c r="W2057">
        <v>45162</v>
      </c>
      <c r="X2057" t="s">
        <v>8964</v>
      </c>
      <c r="Y2057" t="s">
        <v>6</v>
      </c>
      <c r="Z2057" t="s">
        <v>17</v>
      </c>
      <c r="AA2057" t="s">
        <v>6637</v>
      </c>
      <c r="AB2057" t="s">
        <v>2509</v>
      </c>
      <c r="AC2057" t="s">
        <v>2571</v>
      </c>
      <c r="AD2057" t="s">
        <v>717</v>
      </c>
      <c r="AE2057" t="s">
        <v>8965</v>
      </c>
      <c r="AF2057" t="s">
        <v>8966</v>
      </c>
      <c r="AG2057" t="s">
        <v>8967</v>
      </c>
      <c r="AH2057" t="s">
        <v>2615</v>
      </c>
      <c r="AI2057" t="s">
        <v>2847</v>
      </c>
      <c r="AJ2057" t="s">
        <v>2940</v>
      </c>
      <c r="AK2057" t="s">
        <v>77</v>
      </c>
      <c r="AL2057" t="s">
        <v>22</v>
      </c>
      <c r="AM2057" t="s">
        <v>10</v>
      </c>
      <c r="AN2057" t="s">
        <v>717</v>
      </c>
    </row>
    <row r="2058" spans="1:40" hidden="1">
      <c r="A2058">
        <v>2057</v>
      </c>
      <c r="B2058">
        <v>58</v>
      </c>
      <c r="C2058" s="58">
        <v>45188</v>
      </c>
      <c r="D2058" t="s">
        <v>13</v>
      </c>
      <c r="E2058" t="s">
        <v>4409</v>
      </c>
      <c r="F2058">
        <v>3</v>
      </c>
      <c r="G2058">
        <v>10</v>
      </c>
      <c r="H2058">
        <v>463</v>
      </c>
      <c r="I2058">
        <v>0</v>
      </c>
      <c r="J2058">
        <v>24.5</v>
      </c>
      <c r="K2058" t="s">
        <v>9</v>
      </c>
      <c r="L2058">
        <v>2343690.58</v>
      </c>
      <c r="M2058">
        <v>0</v>
      </c>
      <c r="N2058">
        <v>2343690.58</v>
      </c>
      <c r="O2058">
        <v>95660.84</v>
      </c>
      <c r="P2058">
        <v>0</v>
      </c>
      <c r="Q2058">
        <v>2343690.58</v>
      </c>
      <c r="R2058">
        <v>95660.84</v>
      </c>
      <c r="S2058" t="s">
        <v>65</v>
      </c>
      <c r="T2058" t="s">
        <v>717</v>
      </c>
      <c r="U2058" t="s">
        <v>717</v>
      </c>
      <c r="V2058" t="s">
        <v>6312</v>
      </c>
      <c r="W2058">
        <v>45163</v>
      </c>
      <c r="X2058" t="s">
        <v>8968</v>
      </c>
      <c r="Y2058" t="s">
        <v>6</v>
      </c>
      <c r="Z2058" t="s">
        <v>17</v>
      </c>
      <c r="AA2058" t="s">
        <v>6637</v>
      </c>
      <c r="AB2058" t="s">
        <v>2509</v>
      </c>
      <c r="AC2058" t="s">
        <v>2571</v>
      </c>
      <c r="AD2058" t="s">
        <v>717</v>
      </c>
      <c r="AE2058" t="s">
        <v>8969</v>
      </c>
      <c r="AF2058" t="s">
        <v>8970</v>
      </c>
      <c r="AG2058" t="s">
        <v>8971</v>
      </c>
      <c r="AH2058" t="s">
        <v>2615</v>
      </c>
      <c r="AI2058" t="s">
        <v>2552</v>
      </c>
      <c r="AJ2058" t="s">
        <v>3298</v>
      </c>
      <c r="AK2058" t="s">
        <v>73</v>
      </c>
      <c r="AL2058" t="s">
        <v>16</v>
      </c>
      <c r="AM2058" t="s">
        <v>10</v>
      </c>
      <c r="AN2058" t="s">
        <v>717</v>
      </c>
    </row>
    <row r="2059" spans="1:40" hidden="1">
      <c r="A2059">
        <v>2058</v>
      </c>
      <c r="B2059">
        <v>59</v>
      </c>
      <c r="C2059" s="58">
        <v>45188</v>
      </c>
      <c r="D2059" t="s">
        <v>13</v>
      </c>
      <c r="E2059" t="s">
        <v>4409</v>
      </c>
      <c r="F2059">
        <v>6</v>
      </c>
      <c r="G2059">
        <v>10</v>
      </c>
      <c r="H2059">
        <v>466</v>
      </c>
      <c r="I2059">
        <v>1</v>
      </c>
      <c r="J2059">
        <v>38.299999999999997</v>
      </c>
      <c r="K2059" t="s">
        <v>9</v>
      </c>
      <c r="L2059">
        <v>3522894.51</v>
      </c>
      <c r="M2059">
        <v>0</v>
      </c>
      <c r="N2059">
        <v>3522894.51</v>
      </c>
      <c r="O2059">
        <v>91981.579895561357</v>
      </c>
      <c r="P2059">
        <v>0</v>
      </c>
      <c r="Q2059">
        <v>3522894.51</v>
      </c>
      <c r="R2059">
        <v>91981.579895561357</v>
      </c>
      <c r="S2059" t="s">
        <v>65</v>
      </c>
      <c r="T2059" t="s">
        <v>717</v>
      </c>
      <c r="U2059" t="s">
        <v>717</v>
      </c>
      <c r="V2059" t="s">
        <v>6312</v>
      </c>
      <c r="W2059">
        <v>45163</v>
      </c>
      <c r="X2059" t="s">
        <v>8972</v>
      </c>
      <c r="Y2059" t="s">
        <v>6</v>
      </c>
      <c r="Z2059" t="s">
        <v>17</v>
      </c>
      <c r="AA2059" t="s">
        <v>6637</v>
      </c>
      <c r="AB2059" t="s">
        <v>2509</v>
      </c>
      <c r="AC2059" t="s">
        <v>2571</v>
      </c>
      <c r="AD2059" t="s">
        <v>717</v>
      </c>
      <c r="AE2059" t="s">
        <v>8973</v>
      </c>
      <c r="AF2059" t="s">
        <v>8974</v>
      </c>
      <c r="AG2059" t="s">
        <v>8975</v>
      </c>
      <c r="AH2059" t="s">
        <v>2191</v>
      </c>
      <c r="AI2059" t="s">
        <v>2706</v>
      </c>
      <c r="AJ2059" t="s">
        <v>2514</v>
      </c>
      <c r="AK2059" t="s">
        <v>77</v>
      </c>
      <c r="AL2059" t="s">
        <v>16</v>
      </c>
      <c r="AM2059" t="s">
        <v>10</v>
      </c>
      <c r="AN2059" t="s">
        <v>717</v>
      </c>
    </row>
    <row r="2060" spans="1:40" hidden="1">
      <c r="A2060">
        <v>2059</v>
      </c>
      <c r="B2060">
        <v>60</v>
      </c>
      <c r="C2060" s="58">
        <v>45188</v>
      </c>
      <c r="D2060" t="s">
        <v>13</v>
      </c>
      <c r="E2060" t="s">
        <v>2506</v>
      </c>
      <c r="F2060">
        <v>5</v>
      </c>
      <c r="G2060">
        <v>4</v>
      </c>
      <c r="H2060">
        <v>136</v>
      </c>
      <c r="I2060">
        <v>1</v>
      </c>
      <c r="J2060">
        <v>37.86</v>
      </c>
      <c r="K2060" t="s">
        <v>9</v>
      </c>
      <c r="L2060">
        <v>3507573.3</v>
      </c>
      <c r="M2060">
        <v>0</v>
      </c>
      <c r="N2060">
        <v>3507573.3</v>
      </c>
      <c r="O2060">
        <v>92645.887480190169</v>
      </c>
      <c r="P2060">
        <v>0</v>
      </c>
      <c r="Q2060">
        <v>3507573.3</v>
      </c>
      <c r="R2060">
        <v>92645.887480190169</v>
      </c>
      <c r="S2060" t="s">
        <v>65</v>
      </c>
      <c r="T2060" t="s">
        <v>8002</v>
      </c>
      <c r="U2060">
        <v>71583.13</v>
      </c>
      <c r="V2060" t="s">
        <v>6312</v>
      </c>
      <c r="W2060">
        <v>45167</v>
      </c>
      <c r="X2060" t="s">
        <v>8976</v>
      </c>
      <c r="Y2060" t="s">
        <v>6</v>
      </c>
      <c r="Z2060" t="s">
        <v>17</v>
      </c>
      <c r="AA2060" t="s">
        <v>6637</v>
      </c>
      <c r="AB2060" t="s">
        <v>2509</v>
      </c>
      <c r="AC2060" t="s">
        <v>2571</v>
      </c>
      <c r="AD2060" t="s">
        <v>717</v>
      </c>
      <c r="AE2060" t="s">
        <v>6521</v>
      </c>
      <c r="AF2060" t="s">
        <v>6522</v>
      </c>
      <c r="AG2060" t="s">
        <v>6523</v>
      </c>
      <c r="AH2060" t="s">
        <v>2191</v>
      </c>
      <c r="AI2060" t="s">
        <v>2600</v>
      </c>
      <c r="AJ2060" t="s">
        <v>3921</v>
      </c>
      <c r="AK2060" t="s">
        <v>77</v>
      </c>
      <c r="AL2060" t="s">
        <v>16</v>
      </c>
      <c r="AM2060" t="s">
        <v>10</v>
      </c>
      <c r="AN2060" t="s">
        <v>717</v>
      </c>
    </row>
    <row r="2061" spans="1:40" hidden="1">
      <c r="A2061">
        <v>2060</v>
      </c>
      <c r="B2061">
        <v>61</v>
      </c>
      <c r="C2061" s="58">
        <v>45188</v>
      </c>
      <c r="D2061" t="s">
        <v>13</v>
      </c>
      <c r="E2061" t="s">
        <v>4409</v>
      </c>
      <c r="F2061">
        <v>8</v>
      </c>
      <c r="G2061">
        <v>3</v>
      </c>
      <c r="H2061">
        <v>412</v>
      </c>
      <c r="I2061">
        <v>1</v>
      </c>
      <c r="J2061">
        <v>39.69</v>
      </c>
      <c r="K2061" t="s">
        <v>9</v>
      </c>
      <c r="L2061">
        <v>3673227.74</v>
      </c>
      <c r="M2061">
        <v>0</v>
      </c>
      <c r="N2061">
        <v>3673227.74</v>
      </c>
      <c r="O2061">
        <v>92547.940035273379</v>
      </c>
      <c r="P2061">
        <v>0</v>
      </c>
      <c r="Q2061">
        <v>3673227.74</v>
      </c>
      <c r="R2061">
        <v>92547.940035273379</v>
      </c>
      <c r="S2061" t="s">
        <v>65</v>
      </c>
      <c r="T2061" t="s">
        <v>717</v>
      </c>
      <c r="U2061" t="s">
        <v>717</v>
      </c>
      <c r="V2061" t="s">
        <v>6312</v>
      </c>
      <c r="W2061">
        <v>45175</v>
      </c>
      <c r="X2061" t="s">
        <v>8977</v>
      </c>
      <c r="Y2061" t="s">
        <v>6</v>
      </c>
      <c r="Z2061" t="s">
        <v>17</v>
      </c>
      <c r="AA2061" t="s">
        <v>6637</v>
      </c>
      <c r="AB2061" t="s">
        <v>2509</v>
      </c>
      <c r="AC2061" t="s">
        <v>2571</v>
      </c>
      <c r="AD2061" t="s">
        <v>717</v>
      </c>
      <c r="AE2061" t="s">
        <v>8978</v>
      </c>
      <c r="AF2061" t="s">
        <v>8979</v>
      </c>
      <c r="AG2061" t="s">
        <v>8980</v>
      </c>
      <c r="AH2061" t="s">
        <v>2615</v>
      </c>
      <c r="AI2061" t="s">
        <v>2688</v>
      </c>
      <c r="AJ2061" t="s">
        <v>3289</v>
      </c>
      <c r="AK2061" t="s">
        <v>1233</v>
      </c>
      <c r="AL2061" t="s">
        <v>16</v>
      </c>
      <c r="AM2061" t="s">
        <v>10</v>
      </c>
      <c r="AN2061" t="s">
        <v>717</v>
      </c>
    </row>
    <row r="2062" spans="1:40" hidden="1">
      <c r="A2062">
        <v>2061</v>
      </c>
      <c r="B2062">
        <v>62</v>
      </c>
      <c r="C2062" s="58">
        <v>45188</v>
      </c>
      <c r="D2062" t="s">
        <v>13</v>
      </c>
      <c r="E2062" t="s">
        <v>4409</v>
      </c>
      <c r="F2062">
        <v>3</v>
      </c>
      <c r="G2062">
        <v>1</v>
      </c>
      <c r="H2062">
        <v>392</v>
      </c>
      <c r="I2062">
        <v>0</v>
      </c>
      <c r="J2062">
        <v>24.5</v>
      </c>
      <c r="K2062" t="s">
        <v>15</v>
      </c>
      <c r="L2062">
        <v>2768616.87</v>
      </c>
      <c r="M2062">
        <v>0</v>
      </c>
      <c r="N2062">
        <v>2768616.87</v>
      </c>
      <c r="O2062">
        <v>113004.77020408164</v>
      </c>
      <c r="P2062">
        <v>122500</v>
      </c>
      <c r="Q2062">
        <v>2646116.87</v>
      </c>
      <c r="R2062">
        <v>108004.77020408164</v>
      </c>
      <c r="S2062" t="s">
        <v>65</v>
      </c>
      <c r="T2062" t="s">
        <v>717</v>
      </c>
      <c r="U2062" t="s">
        <v>717</v>
      </c>
      <c r="V2062" t="s">
        <v>6312</v>
      </c>
      <c r="W2062">
        <v>45176</v>
      </c>
      <c r="X2062" t="s">
        <v>8981</v>
      </c>
      <c r="Y2062" t="s">
        <v>6</v>
      </c>
      <c r="Z2062" t="s">
        <v>17</v>
      </c>
      <c r="AA2062" t="s">
        <v>6637</v>
      </c>
      <c r="AB2062" t="s">
        <v>2509</v>
      </c>
      <c r="AC2062" t="s">
        <v>2571</v>
      </c>
      <c r="AD2062" t="s">
        <v>717</v>
      </c>
      <c r="AE2062" t="s">
        <v>8982</v>
      </c>
      <c r="AF2062" t="s">
        <v>8983</v>
      </c>
      <c r="AG2062" t="s">
        <v>8984</v>
      </c>
      <c r="AH2062" t="s">
        <v>6100</v>
      </c>
      <c r="AI2062" t="s">
        <v>5653</v>
      </c>
      <c r="AJ2062" t="s">
        <v>31</v>
      </c>
      <c r="AK2062" t="s">
        <v>20</v>
      </c>
      <c r="AL2062" t="s">
        <v>16</v>
      </c>
      <c r="AM2062" t="s">
        <v>5654</v>
      </c>
      <c r="AN2062" t="s">
        <v>717</v>
      </c>
    </row>
    <row r="2063" spans="1:40" hidden="1">
      <c r="A2063">
        <v>2062</v>
      </c>
      <c r="B2063">
        <v>63</v>
      </c>
      <c r="C2063" s="58">
        <v>45188</v>
      </c>
      <c r="D2063" t="s">
        <v>13</v>
      </c>
      <c r="E2063" t="s">
        <v>4409</v>
      </c>
      <c r="F2063">
        <v>6</v>
      </c>
      <c r="G2063">
        <v>4</v>
      </c>
      <c r="H2063">
        <v>418</v>
      </c>
      <c r="I2063">
        <v>1</v>
      </c>
      <c r="J2063">
        <v>38.299999999999997</v>
      </c>
      <c r="K2063" t="s">
        <v>9</v>
      </c>
      <c r="L2063">
        <v>3662178.98</v>
      </c>
      <c r="M2063">
        <v>0</v>
      </c>
      <c r="N2063">
        <v>3662178.98</v>
      </c>
      <c r="O2063">
        <v>95618.250130548317</v>
      </c>
      <c r="P2063">
        <v>0</v>
      </c>
      <c r="Q2063">
        <v>3662178.98</v>
      </c>
      <c r="R2063">
        <v>95618.250130548317</v>
      </c>
      <c r="S2063" t="s">
        <v>65</v>
      </c>
      <c r="T2063" t="s">
        <v>717</v>
      </c>
      <c r="U2063" t="s">
        <v>717</v>
      </c>
      <c r="V2063" t="s">
        <v>6312</v>
      </c>
      <c r="W2063">
        <v>45181</v>
      </c>
      <c r="X2063" t="s">
        <v>8985</v>
      </c>
      <c r="Y2063" t="s">
        <v>6</v>
      </c>
      <c r="Z2063" t="s">
        <v>17</v>
      </c>
      <c r="AA2063" t="s">
        <v>6637</v>
      </c>
      <c r="AB2063" t="s">
        <v>2509</v>
      </c>
      <c r="AC2063" t="s">
        <v>2571</v>
      </c>
      <c r="AD2063" t="s">
        <v>717</v>
      </c>
      <c r="AE2063" t="s">
        <v>8986</v>
      </c>
      <c r="AF2063" t="s">
        <v>8987</v>
      </c>
      <c r="AG2063" t="s">
        <v>8988</v>
      </c>
      <c r="AH2063" t="s">
        <v>2191</v>
      </c>
      <c r="AI2063" t="s">
        <v>6951</v>
      </c>
      <c r="AJ2063" t="s">
        <v>2514</v>
      </c>
      <c r="AK2063" t="s">
        <v>77</v>
      </c>
      <c r="AL2063" t="s">
        <v>16</v>
      </c>
      <c r="AM2063" t="s">
        <v>10</v>
      </c>
      <c r="AN2063" t="s">
        <v>717</v>
      </c>
    </row>
    <row r="2064" spans="1:40" hidden="1">
      <c r="A2064">
        <v>2063</v>
      </c>
      <c r="B2064">
        <v>64</v>
      </c>
      <c r="C2064" s="58">
        <v>45188</v>
      </c>
      <c r="D2064" t="s">
        <v>13</v>
      </c>
      <c r="E2064" t="s">
        <v>2581</v>
      </c>
      <c r="F2064">
        <v>5</v>
      </c>
      <c r="G2064">
        <v>3</v>
      </c>
      <c r="H2064">
        <v>240</v>
      </c>
      <c r="I2064">
        <v>1</v>
      </c>
      <c r="J2064">
        <v>37.81</v>
      </c>
      <c r="K2064" t="s">
        <v>9</v>
      </c>
      <c r="L2064">
        <v>3471383.03</v>
      </c>
      <c r="M2064">
        <v>0</v>
      </c>
      <c r="N2064">
        <v>3471383.03</v>
      </c>
      <c r="O2064">
        <v>91811.241206030143</v>
      </c>
      <c r="P2064">
        <v>0</v>
      </c>
      <c r="Q2064">
        <v>3471383.03</v>
      </c>
      <c r="R2064">
        <v>91811.241206030143</v>
      </c>
      <c r="S2064" t="s">
        <v>130</v>
      </c>
      <c r="T2064" t="s">
        <v>8002</v>
      </c>
      <c r="U2064">
        <v>70844.55</v>
      </c>
      <c r="V2064" t="s">
        <v>717</v>
      </c>
      <c r="W2064">
        <v>45181</v>
      </c>
      <c r="X2064" t="s">
        <v>8989</v>
      </c>
      <c r="Y2064" t="s">
        <v>6</v>
      </c>
      <c r="Z2064" t="s">
        <v>17</v>
      </c>
      <c r="AA2064" t="s">
        <v>5617</v>
      </c>
      <c r="AB2064" t="s">
        <v>2509</v>
      </c>
      <c r="AC2064" t="s">
        <v>717</v>
      </c>
      <c r="AD2064" t="s">
        <v>717</v>
      </c>
      <c r="AE2064" t="s">
        <v>8990</v>
      </c>
      <c r="AF2064" t="s">
        <v>8987</v>
      </c>
      <c r="AG2064" t="s">
        <v>8988</v>
      </c>
      <c r="AH2064" t="s">
        <v>2580</v>
      </c>
      <c r="AI2064" t="s">
        <v>6951</v>
      </c>
      <c r="AJ2064" t="s">
        <v>3921</v>
      </c>
      <c r="AK2064" t="s">
        <v>77</v>
      </c>
      <c r="AL2064" t="s">
        <v>717</v>
      </c>
      <c r="AM2064" t="s">
        <v>10</v>
      </c>
      <c r="AN2064" t="s">
        <v>717</v>
      </c>
    </row>
    <row r="2065" spans="1:40" hidden="1">
      <c r="A2065">
        <v>2064</v>
      </c>
      <c r="B2065">
        <v>65</v>
      </c>
      <c r="C2065" s="58">
        <v>45188</v>
      </c>
      <c r="D2065" t="s">
        <v>13</v>
      </c>
      <c r="E2065" t="s">
        <v>4409</v>
      </c>
      <c r="F2065">
        <v>8</v>
      </c>
      <c r="G2065">
        <v>15</v>
      </c>
      <c r="H2065">
        <v>508</v>
      </c>
      <c r="I2065">
        <v>1</v>
      </c>
      <c r="J2065">
        <v>39.69</v>
      </c>
      <c r="K2065" t="s">
        <v>25</v>
      </c>
      <c r="L2065">
        <v>4328085</v>
      </c>
      <c r="M2065">
        <v>15000</v>
      </c>
      <c r="N2065">
        <v>4343085</v>
      </c>
      <c r="O2065">
        <v>109425.17006802722</v>
      </c>
      <c r="P2065">
        <v>635040</v>
      </c>
      <c r="Q2065">
        <v>3708045</v>
      </c>
      <c r="R2065">
        <v>93425.170068027219</v>
      </c>
      <c r="S2065" t="s">
        <v>65</v>
      </c>
      <c r="T2065" t="s">
        <v>717</v>
      </c>
      <c r="U2065" t="s">
        <v>717</v>
      </c>
      <c r="V2065" t="s">
        <v>4131</v>
      </c>
      <c r="W2065">
        <v>45182</v>
      </c>
      <c r="X2065" t="s">
        <v>8991</v>
      </c>
      <c r="Y2065" t="s">
        <v>6</v>
      </c>
      <c r="Z2065" t="s">
        <v>17</v>
      </c>
      <c r="AA2065" t="s">
        <v>6637</v>
      </c>
      <c r="AB2065" t="s">
        <v>2509</v>
      </c>
      <c r="AC2065" t="s">
        <v>2571</v>
      </c>
      <c r="AD2065" t="s">
        <v>717</v>
      </c>
      <c r="AE2065" t="s">
        <v>8992</v>
      </c>
      <c r="AF2065" t="s">
        <v>8993</v>
      </c>
      <c r="AG2065" t="s">
        <v>8994</v>
      </c>
      <c r="AH2065" t="s">
        <v>2615</v>
      </c>
      <c r="AI2065" t="s">
        <v>2552</v>
      </c>
      <c r="AJ2065" t="s">
        <v>2895</v>
      </c>
      <c r="AK2065" t="s">
        <v>1233</v>
      </c>
      <c r="AL2065" t="s">
        <v>22</v>
      </c>
      <c r="AM2065" t="s">
        <v>10</v>
      </c>
      <c r="AN2065" t="s">
        <v>717</v>
      </c>
    </row>
    <row r="2066" spans="1:40" hidden="1">
      <c r="A2066">
        <v>2065</v>
      </c>
      <c r="B2066">
        <v>66</v>
      </c>
      <c r="C2066" s="58">
        <v>45188</v>
      </c>
      <c r="D2066" t="s">
        <v>13</v>
      </c>
      <c r="E2066" t="s">
        <v>2506</v>
      </c>
      <c r="F2066">
        <v>6</v>
      </c>
      <c r="G2066">
        <v>4</v>
      </c>
      <c r="H2066">
        <v>137</v>
      </c>
      <c r="I2066">
        <v>3</v>
      </c>
      <c r="J2066">
        <v>84.99</v>
      </c>
      <c r="K2066" t="s">
        <v>15</v>
      </c>
      <c r="L2066">
        <v>7256081.8300000001</v>
      </c>
      <c r="M2066">
        <v>0</v>
      </c>
      <c r="N2066">
        <v>7256081.8300000001</v>
      </c>
      <c r="O2066">
        <v>85375.712789739977</v>
      </c>
      <c r="P2066">
        <v>637425</v>
      </c>
      <c r="Q2066">
        <v>6618656.8300000001</v>
      </c>
      <c r="R2066">
        <v>77875.712789739977</v>
      </c>
      <c r="S2066" t="s">
        <v>65</v>
      </c>
      <c r="T2066" t="s">
        <v>4379</v>
      </c>
      <c r="U2066">
        <v>204700.73</v>
      </c>
      <c r="V2066" t="s">
        <v>6312</v>
      </c>
      <c r="W2066">
        <v>45182</v>
      </c>
      <c r="X2066" t="s">
        <v>8995</v>
      </c>
      <c r="Y2066" t="s">
        <v>6</v>
      </c>
      <c r="Z2066" t="s">
        <v>17</v>
      </c>
      <c r="AA2066" t="s">
        <v>6637</v>
      </c>
      <c r="AB2066" t="s">
        <v>2509</v>
      </c>
      <c r="AC2066" t="s">
        <v>2571</v>
      </c>
      <c r="AD2066" t="s">
        <v>717</v>
      </c>
      <c r="AE2066" t="s">
        <v>8996</v>
      </c>
      <c r="AF2066" t="s">
        <v>8997</v>
      </c>
      <c r="AG2066" t="s">
        <v>8998</v>
      </c>
      <c r="AH2066" t="s">
        <v>2191</v>
      </c>
      <c r="AI2066" t="s">
        <v>2552</v>
      </c>
      <c r="AJ2066" t="s">
        <v>2514</v>
      </c>
      <c r="AK2066" t="s">
        <v>20</v>
      </c>
      <c r="AL2066" t="s">
        <v>16</v>
      </c>
      <c r="AM2066" t="s">
        <v>10</v>
      </c>
      <c r="AN2066" t="s">
        <v>717</v>
      </c>
    </row>
    <row r="2067" spans="1:40" hidden="1">
      <c r="A2067">
        <v>2066</v>
      </c>
      <c r="B2067">
        <v>67</v>
      </c>
      <c r="C2067" s="58">
        <v>45188</v>
      </c>
      <c r="D2067" t="s">
        <v>13</v>
      </c>
      <c r="E2067" t="s">
        <v>4409</v>
      </c>
      <c r="F2067">
        <v>2</v>
      </c>
      <c r="G2067">
        <v>4</v>
      </c>
      <c r="H2067">
        <v>414</v>
      </c>
      <c r="I2067">
        <v>1</v>
      </c>
      <c r="J2067">
        <v>43.21</v>
      </c>
      <c r="K2067" t="s">
        <v>9</v>
      </c>
      <c r="L2067">
        <v>4058128.51</v>
      </c>
      <c r="M2067">
        <v>0</v>
      </c>
      <c r="N2067">
        <v>4058128.51</v>
      </c>
      <c r="O2067">
        <v>93916.420041657024</v>
      </c>
      <c r="P2067">
        <v>0</v>
      </c>
      <c r="Q2067">
        <v>4058128.51</v>
      </c>
      <c r="R2067">
        <v>93916.420041657024</v>
      </c>
      <c r="S2067" t="s">
        <v>65</v>
      </c>
      <c r="T2067" t="s">
        <v>717</v>
      </c>
      <c r="U2067" t="s">
        <v>717</v>
      </c>
      <c r="V2067" t="s">
        <v>6312</v>
      </c>
      <c r="W2067">
        <v>45187</v>
      </c>
      <c r="X2067" t="s">
        <v>8999</v>
      </c>
      <c r="Y2067" t="s">
        <v>6</v>
      </c>
      <c r="Z2067" t="s">
        <v>17</v>
      </c>
      <c r="AA2067" t="s">
        <v>6637</v>
      </c>
      <c r="AB2067" t="s">
        <v>2509</v>
      </c>
      <c r="AC2067" t="s">
        <v>2571</v>
      </c>
      <c r="AD2067" t="s">
        <v>717</v>
      </c>
      <c r="AE2067" t="s">
        <v>1713</v>
      </c>
      <c r="AF2067" t="s">
        <v>9000</v>
      </c>
      <c r="AG2067" t="s">
        <v>9001</v>
      </c>
      <c r="AH2067" t="s">
        <v>2615</v>
      </c>
      <c r="AI2067" t="s">
        <v>6951</v>
      </c>
      <c r="AJ2067" t="s">
        <v>2895</v>
      </c>
      <c r="AK2067" t="s">
        <v>14</v>
      </c>
      <c r="AL2067" t="s">
        <v>16</v>
      </c>
      <c r="AM2067" t="s">
        <v>10</v>
      </c>
      <c r="AN2067" t="s">
        <v>717</v>
      </c>
    </row>
    <row r="2068" spans="1:40" hidden="1">
      <c r="A2068">
        <v>2067</v>
      </c>
      <c r="B2068">
        <v>68</v>
      </c>
      <c r="C2068" s="58">
        <v>45188</v>
      </c>
      <c r="D2068" t="s">
        <v>13</v>
      </c>
      <c r="E2068" t="s">
        <v>4409</v>
      </c>
      <c r="F2068">
        <v>2</v>
      </c>
      <c r="G2068">
        <v>9</v>
      </c>
      <c r="H2068">
        <v>454</v>
      </c>
      <c r="I2068">
        <v>1</v>
      </c>
      <c r="J2068">
        <v>43.21</v>
      </c>
      <c r="K2068" t="s">
        <v>9</v>
      </c>
      <c r="L2068">
        <v>3665114.9</v>
      </c>
      <c r="M2068">
        <v>15000</v>
      </c>
      <c r="N2068">
        <v>3680114.9</v>
      </c>
      <c r="O2068">
        <v>85168.130062485536</v>
      </c>
      <c r="P2068">
        <v>0</v>
      </c>
      <c r="Q2068">
        <v>3680114.9</v>
      </c>
      <c r="R2068">
        <v>85168.130062485536</v>
      </c>
      <c r="S2068" t="s">
        <v>65</v>
      </c>
      <c r="T2068" t="s">
        <v>717</v>
      </c>
      <c r="U2068" t="s">
        <v>717</v>
      </c>
      <c r="V2068" t="s">
        <v>4131</v>
      </c>
      <c r="W2068">
        <v>45188</v>
      </c>
      <c r="X2068" t="s">
        <v>9002</v>
      </c>
      <c r="Y2068" t="s">
        <v>6</v>
      </c>
      <c r="Z2068" t="s">
        <v>17</v>
      </c>
      <c r="AA2068" t="s">
        <v>6637</v>
      </c>
      <c r="AB2068" t="s">
        <v>2509</v>
      </c>
      <c r="AC2068" t="s">
        <v>2571</v>
      </c>
      <c r="AD2068" t="s">
        <v>717</v>
      </c>
      <c r="AE2068" t="s">
        <v>6961</v>
      </c>
      <c r="AF2068" t="s">
        <v>6962</v>
      </c>
      <c r="AG2068" t="s">
        <v>6963</v>
      </c>
      <c r="AH2068" t="s">
        <v>2615</v>
      </c>
      <c r="AI2068" t="s">
        <v>2600</v>
      </c>
      <c r="AJ2068" t="s">
        <v>3921</v>
      </c>
      <c r="AK2068" t="s">
        <v>1233</v>
      </c>
      <c r="AL2068" t="s">
        <v>22</v>
      </c>
      <c r="AM2068" t="s">
        <v>10</v>
      </c>
      <c r="AN2068" t="s">
        <v>717</v>
      </c>
    </row>
    <row r="2069" spans="1:40" hidden="1">
      <c r="A2069">
        <v>2068</v>
      </c>
      <c r="B2069">
        <v>69</v>
      </c>
      <c r="C2069" s="58">
        <v>45189</v>
      </c>
      <c r="D2069" t="s">
        <v>13</v>
      </c>
      <c r="E2069" t="s">
        <v>2581</v>
      </c>
      <c r="F2069">
        <v>6</v>
      </c>
      <c r="G2069">
        <v>1</v>
      </c>
      <c r="H2069">
        <v>228</v>
      </c>
      <c r="I2069">
        <v>1</v>
      </c>
      <c r="J2069">
        <v>34.76</v>
      </c>
      <c r="K2069" t="s">
        <v>25</v>
      </c>
      <c r="L2069">
        <v>3521722.9</v>
      </c>
      <c r="M2069">
        <v>15000</v>
      </c>
      <c r="N2069">
        <v>3536722.9</v>
      </c>
      <c r="O2069">
        <v>101746.91887226698</v>
      </c>
      <c r="P2069">
        <v>538780</v>
      </c>
      <c r="Q2069">
        <v>2997942.9</v>
      </c>
      <c r="R2069">
        <v>86246.918872266979</v>
      </c>
      <c r="S2069" t="s">
        <v>65</v>
      </c>
      <c r="T2069" t="s">
        <v>3897</v>
      </c>
      <c r="U2069">
        <v>61182.51</v>
      </c>
      <c r="V2069" t="s">
        <v>6312</v>
      </c>
      <c r="W2069">
        <v>45148</v>
      </c>
      <c r="X2069" t="s">
        <v>9003</v>
      </c>
      <c r="Y2069" t="s">
        <v>6</v>
      </c>
      <c r="Z2069" t="s">
        <v>17</v>
      </c>
      <c r="AA2069" t="s">
        <v>6637</v>
      </c>
      <c r="AB2069" t="s">
        <v>2509</v>
      </c>
      <c r="AC2069" t="s">
        <v>2571</v>
      </c>
      <c r="AD2069" t="s">
        <v>717</v>
      </c>
      <c r="AE2069" t="s">
        <v>9004</v>
      </c>
      <c r="AF2069" t="s">
        <v>9005</v>
      </c>
      <c r="AG2069" t="s">
        <v>9006</v>
      </c>
      <c r="AH2069" t="s">
        <v>2191</v>
      </c>
      <c r="AI2069" t="s">
        <v>2538</v>
      </c>
      <c r="AJ2069" t="s">
        <v>2514</v>
      </c>
      <c r="AK2069" t="s">
        <v>73</v>
      </c>
      <c r="AL2069" t="s">
        <v>22</v>
      </c>
      <c r="AM2069" t="s">
        <v>10</v>
      </c>
      <c r="AN2069" t="s">
        <v>717</v>
      </c>
    </row>
    <row r="2070" spans="1:40" hidden="1">
      <c r="A2070">
        <v>2069</v>
      </c>
      <c r="B2070">
        <v>70</v>
      </c>
      <c r="C2070" s="58">
        <v>45189</v>
      </c>
      <c r="D2070" t="s">
        <v>13</v>
      </c>
      <c r="E2070" t="s">
        <v>4409</v>
      </c>
      <c r="F2070">
        <v>1</v>
      </c>
      <c r="G2070">
        <v>23</v>
      </c>
      <c r="H2070">
        <v>565</v>
      </c>
      <c r="I2070">
        <v>0</v>
      </c>
      <c r="J2070">
        <v>29.4</v>
      </c>
      <c r="K2070" t="s">
        <v>9</v>
      </c>
      <c r="L2070">
        <v>3063924.53</v>
      </c>
      <c r="M2070">
        <v>0</v>
      </c>
      <c r="N2070">
        <v>3063924.53</v>
      </c>
      <c r="O2070">
        <v>104215.12006802722</v>
      </c>
      <c r="P2070">
        <v>0</v>
      </c>
      <c r="Q2070">
        <v>3063924.53</v>
      </c>
      <c r="R2070">
        <v>104215.12006802722</v>
      </c>
      <c r="S2070" t="s">
        <v>65</v>
      </c>
      <c r="T2070" t="s">
        <v>717</v>
      </c>
      <c r="U2070" t="s">
        <v>717</v>
      </c>
      <c r="V2070" t="s">
        <v>4131</v>
      </c>
      <c r="W2070">
        <v>45181</v>
      </c>
      <c r="X2070" t="s">
        <v>9007</v>
      </c>
      <c r="Y2070" t="s">
        <v>6</v>
      </c>
      <c r="Z2070" t="s">
        <v>17</v>
      </c>
      <c r="AA2070" t="s">
        <v>6637</v>
      </c>
      <c r="AB2070" t="s">
        <v>2509</v>
      </c>
      <c r="AC2070" t="s">
        <v>2571</v>
      </c>
      <c r="AD2070" t="s">
        <v>717</v>
      </c>
      <c r="AE2070" t="s">
        <v>9008</v>
      </c>
      <c r="AF2070" t="s">
        <v>9009</v>
      </c>
      <c r="AG2070" t="s">
        <v>9010</v>
      </c>
      <c r="AH2070" t="s">
        <v>2615</v>
      </c>
      <c r="AI2070" t="s">
        <v>2521</v>
      </c>
      <c r="AJ2070" t="s">
        <v>3202</v>
      </c>
      <c r="AK2070" t="s">
        <v>73</v>
      </c>
      <c r="AL2070" t="s">
        <v>16</v>
      </c>
      <c r="AM2070" t="s">
        <v>10</v>
      </c>
      <c r="AN2070" t="s">
        <v>717</v>
      </c>
    </row>
    <row r="2071" spans="1:40" hidden="1">
      <c r="A2071">
        <v>2070</v>
      </c>
      <c r="B2071">
        <v>71</v>
      </c>
      <c r="C2071" s="58">
        <v>45189</v>
      </c>
      <c r="D2071" t="s">
        <v>13</v>
      </c>
      <c r="E2071" t="s">
        <v>2515</v>
      </c>
      <c r="F2071">
        <v>3</v>
      </c>
      <c r="G2071">
        <v>16</v>
      </c>
      <c r="H2071">
        <v>107</v>
      </c>
      <c r="I2071">
        <v>1</v>
      </c>
      <c r="J2071">
        <v>37.729999999999997</v>
      </c>
      <c r="K2071" t="s">
        <v>15</v>
      </c>
      <c r="L2071">
        <v>3426124.6</v>
      </c>
      <c r="M2071">
        <v>30000</v>
      </c>
      <c r="N2071">
        <v>3456124.6</v>
      </c>
      <c r="O2071">
        <v>91601.500132520538</v>
      </c>
      <c r="P2071">
        <v>150920</v>
      </c>
      <c r="Q2071">
        <v>3305204.6</v>
      </c>
      <c r="R2071">
        <v>87601.500132520538</v>
      </c>
      <c r="S2071" t="s">
        <v>2507</v>
      </c>
      <c r="T2071" t="s">
        <v>717</v>
      </c>
      <c r="U2071" t="s">
        <v>717</v>
      </c>
      <c r="V2071" t="s">
        <v>717</v>
      </c>
      <c r="W2071">
        <v>45135</v>
      </c>
      <c r="X2071" t="s">
        <v>9011</v>
      </c>
      <c r="Y2071" t="s">
        <v>6</v>
      </c>
      <c r="Z2071" t="s">
        <v>17</v>
      </c>
      <c r="AA2071" t="s">
        <v>5617</v>
      </c>
      <c r="AB2071" t="s">
        <v>2509</v>
      </c>
      <c r="AC2071" t="s">
        <v>717</v>
      </c>
      <c r="AD2071" t="s">
        <v>717</v>
      </c>
      <c r="AE2071" t="s">
        <v>3986</v>
      </c>
      <c r="AF2071" t="s">
        <v>3987</v>
      </c>
      <c r="AG2071" t="s">
        <v>3988</v>
      </c>
      <c r="AH2071" t="s">
        <v>2191</v>
      </c>
      <c r="AI2071" t="s">
        <v>2600</v>
      </c>
      <c r="AJ2071" t="s">
        <v>3921</v>
      </c>
      <c r="AK2071" t="s">
        <v>77</v>
      </c>
      <c r="AL2071" t="s">
        <v>717</v>
      </c>
      <c r="AM2071" t="s">
        <v>10</v>
      </c>
      <c r="AN2071" t="s">
        <v>717</v>
      </c>
    </row>
    <row r="2072" spans="1:40" hidden="1">
      <c r="A2072">
        <v>2071</v>
      </c>
      <c r="B2072">
        <v>72</v>
      </c>
      <c r="C2072" s="58">
        <v>45190</v>
      </c>
      <c r="D2072" t="s">
        <v>13</v>
      </c>
      <c r="E2072" t="s">
        <v>2581</v>
      </c>
      <c r="F2072">
        <v>6</v>
      </c>
      <c r="G2072">
        <v>16</v>
      </c>
      <c r="H2072">
        <v>332</v>
      </c>
      <c r="I2072">
        <v>3</v>
      </c>
      <c r="J2072">
        <v>80.97</v>
      </c>
      <c r="K2072" t="s">
        <v>9</v>
      </c>
      <c r="L2072">
        <v>6121938.7800000003</v>
      </c>
      <c r="M2072">
        <v>0</v>
      </c>
      <c r="N2072">
        <v>6121938.7800000003</v>
      </c>
      <c r="O2072">
        <v>75607.493886624681</v>
      </c>
      <c r="P2072">
        <v>0</v>
      </c>
      <c r="Q2072">
        <v>6121938.7800000003</v>
      </c>
      <c r="R2072">
        <v>75607.493886624681</v>
      </c>
      <c r="S2072" t="s">
        <v>65</v>
      </c>
      <c r="T2072" t="s">
        <v>4059</v>
      </c>
      <c r="U2072">
        <v>189338.31</v>
      </c>
      <c r="V2072" t="s">
        <v>6312</v>
      </c>
      <c r="W2072">
        <v>45167</v>
      </c>
      <c r="X2072" t="s">
        <v>9012</v>
      </c>
      <c r="Y2072" t="s">
        <v>6</v>
      </c>
      <c r="Z2072" t="s">
        <v>17</v>
      </c>
      <c r="AA2072" t="s">
        <v>6637</v>
      </c>
      <c r="AB2072" t="s">
        <v>2509</v>
      </c>
      <c r="AC2072" t="s">
        <v>2571</v>
      </c>
      <c r="AD2072" t="s">
        <v>717</v>
      </c>
      <c r="AE2072" t="s">
        <v>9013</v>
      </c>
      <c r="AF2072" t="s">
        <v>9014</v>
      </c>
      <c r="AG2072" t="s">
        <v>9015</v>
      </c>
      <c r="AH2072" t="s">
        <v>2615</v>
      </c>
      <c r="AI2072" t="s">
        <v>2552</v>
      </c>
      <c r="AJ2072" t="s">
        <v>2642</v>
      </c>
      <c r="AK2072" t="s">
        <v>1233</v>
      </c>
      <c r="AL2072" t="s">
        <v>16</v>
      </c>
      <c r="AM2072" t="s">
        <v>10</v>
      </c>
      <c r="AN2072" t="s">
        <v>717</v>
      </c>
    </row>
    <row r="2073" spans="1:40" hidden="1">
      <c r="A2073">
        <v>2072</v>
      </c>
      <c r="B2073">
        <v>73</v>
      </c>
      <c r="C2073" s="58">
        <v>45190</v>
      </c>
      <c r="D2073" t="s">
        <v>7</v>
      </c>
      <c r="E2073" t="s">
        <v>2515</v>
      </c>
      <c r="F2073">
        <v>6</v>
      </c>
      <c r="G2073">
        <v>12</v>
      </c>
      <c r="H2073">
        <v>86</v>
      </c>
      <c r="I2073">
        <v>2</v>
      </c>
      <c r="J2073">
        <v>59.87</v>
      </c>
      <c r="K2073" t="s">
        <v>15</v>
      </c>
      <c r="L2073">
        <v>6058395.5700000003</v>
      </c>
      <c r="M2073">
        <v>0</v>
      </c>
      <c r="N2073">
        <v>6058395.5700000003</v>
      </c>
      <c r="O2073">
        <v>101192.50993819944</v>
      </c>
      <c r="P2073">
        <v>449025</v>
      </c>
      <c r="Q2073">
        <v>5609370.5700000003</v>
      </c>
      <c r="R2073">
        <v>93692.509938199437</v>
      </c>
      <c r="S2073" t="s">
        <v>65</v>
      </c>
      <c r="T2073" t="s">
        <v>717</v>
      </c>
      <c r="U2073" t="s">
        <v>717</v>
      </c>
      <c r="V2073" t="s">
        <v>6312</v>
      </c>
      <c r="W2073">
        <v>45184</v>
      </c>
      <c r="X2073" t="s">
        <v>9016</v>
      </c>
      <c r="Y2073" t="s">
        <v>6</v>
      </c>
      <c r="Z2073" t="s">
        <v>17</v>
      </c>
      <c r="AA2073" t="s">
        <v>6637</v>
      </c>
      <c r="AB2073" t="s">
        <v>2509</v>
      </c>
      <c r="AC2073" t="s">
        <v>2571</v>
      </c>
      <c r="AD2073" t="s">
        <v>717</v>
      </c>
      <c r="AE2073" t="s">
        <v>9017</v>
      </c>
      <c r="AF2073" t="s">
        <v>9018</v>
      </c>
      <c r="AG2073" t="s">
        <v>9019</v>
      </c>
      <c r="AH2073" t="s">
        <v>2615</v>
      </c>
      <c r="AI2073" t="s">
        <v>2538</v>
      </c>
      <c r="AJ2073" t="s">
        <v>2940</v>
      </c>
      <c r="AK2073" t="s">
        <v>20</v>
      </c>
      <c r="AL2073" t="s">
        <v>16</v>
      </c>
      <c r="AM2073" t="s">
        <v>10</v>
      </c>
      <c r="AN2073" t="s">
        <v>717</v>
      </c>
    </row>
    <row r="2074" spans="1:40" hidden="1">
      <c r="A2074">
        <v>2073</v>
      </c>
      <c r="B2074">
        <v>74</v>
      </c>
      <c r="C2074" s="58">
        <v>45191</v>
      </c>
      <c r="D2074" t="s">
        <v>13</v>
      </c>
      <c r="E2074" t="s">
        <v>2515</v>
      </c>
      <c r="F2074">
        <v>1</v>
      </c>
      <c r="G2074">
        <v>10</v>
      </c>
      <c r="H2074">
        <v>63</v>
      </c>
      <c r="I2074">
        <v>1</v>
      </c>
      <c r="J2074">
        <v>34.39</v>
      </c>
      <c r="K2074" t="s">
        <v>25</v>
      </c>
      <c r="L2074">
        <v>3192578.17</v>
      </c>
      <c r="M2074">
        <v>15000</v>
      </c>
      <c r="N2074">
        <v>3207578.17</v>
      </c>
      <c r="O2074">
        <v>93270.665018900836</v>
      </c>
      <c r="P2074">
        <v>533045</v>
      </c>
      <c r="Q2074">
        <v>2674533.17</v>
      </c>
      <c r="R2074">
        <v>77770.665018900836</v>
      </c>
      <c r="S2074" t="s">
        <v>65</v>
      </c>
      <c r="T2074" t="s">
        <v>5768</v>
      </c>
      <c r="U2074">
        <v>170714.88</v>
      </c>
      <c r="V2074" t="s">
        <v>6312</v>
      </c>
      <c r="W2074">
        <v>45145</v>
      </c>
      <c r="X2074" t="s">
        <v>9020</v>
      </c>
      <c r="Y2074" t="s">
        <v>6</v>
      </c>
      <c r="Z2074" t="s">
        <v>17</v>
      </c>
      <c r="AA2074" t="s">
        <v>6637</v>
      </c>
      <c r="AB2074" t="s">
        <v>2509</v>
      </c>
      <c r="AC2074" t="s">
        <v>2571</v>
      </c>
      <c r="AD2074" t="s">
        <v>717</v>
      </c>
      <c r="AE2074" t="s">
        <v>9021</v>
      </c>
      <c r="AF2074" t="s">
        <v>9022</v>
      </c>
      <c r="AG2074" t="s">
        <v>9023</v>
      </c>
      <c r="AH2074" t="s">
        <v>2191</v>
      </c>
      <c r="AI2074" t="s">
        <v>2552</v>
      </c>
      <c r="AJ2074" t="s">
        <v>2514</v>
      </c>
      <c r="AK2074" t="s">
        <v>1233</v>
      </c>
      <c r="AL2074" t="s">
        <v>16</v>
      </c>
      <c r="AM2074" t="s">
        <v>10</v>
      </c>
      <c r="AN2074" t="s">
        <v>717</v>
      </c>
    </row>
    <row r="2075" spans="1:40" hidden="1">
      <c r="A2075">
        <v>2074</v>
      </c>
      <c r="B2075">
        <v>75</v>
      </c>
      <c r="C2075" s="58">
        <v>45191</v>
      </c>
      <c r="D2075" t="s">
        <v>13</v>
      </c>
      <c r="E2075" t="s">
        <v>2581</v>
      </c>
      <c r="F2075">
        <v>2</v>
      </c>
      <c r="G2075">
        <v>5</v>
      </c>
      <c r="H2075">
        <v>251</v>
      </c>
      <c r="I2075">
        <v>0</v>
      </c>
      <c r="J2075">
        <v>24.53</v>
      </c>
      <c r="K2075" t="s">
        <v>9</v>
      </c>
      <c r="L2075">
        <v>2199819.39</v>
      </c>
      <c r="M2075">
        <v>15000</v>
      </c>
      <c r="N2075">
        <v>2214819.39</v>
      </c>
      <c r="O2075">
        <v>90290.231960864243</v>
      </c>
      <c r="P2075">
        <v>0</v>
      </c>
      <c r="Q2075">
        <v>2214819.39</v>
      </c>
      <c r="R2075">
        <v>90290.231960864243</v>
      </c>
      <c r="S2075" t="s">
        <v>130</v>
      </c>
      <c r="T2075" t="s">
        <v>3309</v>
      </c>
      <c r="U2075">
        <v>20000</v>
      </c>
      <c r="V2075" t="s">
        <v>717</v>
      </c>
      <c r="W2075">
        <v>45169</v>
      </c>
      <c r="X2075" t="s">
        <v>9024</v>
      </c>
      <c r="Y2075" t="s">
        <v>6</v>
      </c>
      <c r="Z2075" t="s">
        <v>17</v>
      </c>
      <c r="AA2075" t="s">
        <v>5617</v>
      </c>
      <c r="AB2075" t="s">
        <v>2509</v>
      </c>
      <c r="AC2075" t="s">
        <v>717</v>
      </c>
      <c r="AD2075" t="s">
        <v>717</v>
      </c>
      <c r="AE2075" t="s">
        <v>9025</v>
      </c>
      <c r="AF2075" t="s">
        <v>9026</v>
      </c>
      <c r="AG2075" t="s">
        <v>9027</v>
      </c>
      <c r="AH2075" t="s">
        <v>2615</v>
      </c>
      <c r="AI2075" t="s">
        <v>2552</v>
      </c>
      <c r="AJ2075" t="s">
        <v>2569</v>
      </c>
      <c r="AK2075" t="s">
        <v>20</v>
      </c>
      <c r="AL2075" t="s">
        <v>717</v>
      </c>
      <c r="AM2075" t="s">
        <v>10</v>
      </c>
      <c r="AN2075" t="s">
        <v>717</v>
      </c>
    </row>
    <row r="2076" spans="1:40" hidden="1">
      <c r="A2076">
        <v>2075</v>
      </c>
      <c r="B2076">
        <v>76</v>
      </c>
      <c r="C2076" s="58">
        <v>45191</v>
      </c>
      <c r="D2076" t="s">
        <v>13</v>
      </c>
      <c r="E2076" t="s">
        <v>2581</v>
      </c>
      <c r="F2076">
        <v>3</v>
      </c>
      <c r="G2076">
        <v>3</v>
      </c>
      <c r="H2076">
        <v>238</v>
      </c>
      <c r="I2076">
        <v>2</v>
      </c>
      <c r="J2076">
        <v>56.58</v>
      </c>
      <c r="K2076" t="s">
        <v>15</v>
      </c>
      <c r="L2076">
        <v>5338489.91</v>
      </c>
      <c r="M2076">
        <v>0</v>
      </c>
      <c r="N2076">
        <v>5338489.91</v>
      </c>
      <c r="O2076">
        <v>94352.949982325925</v>
      </c>
      <c r="P2076">
        <v>424350</v>
      </c>
      <c r="Q2076">
        <v>4914139.91</v>
      </c>
      <c r="R2076">
        <v>86852.94998232591</v>
      </c>
      <c r="S2076" t="s">
        <v>65</v>
      </c>
      <c r="T2076" t="s">
        <v>717</v>
      </c>
      <c r="U2076" t="s">
        <v>717</v>
      </c>
      <c r="V2076" t="s">
        <v>4131</v>
      </c>
      <c r="W2076">
        <v>45187</v>
      </c>
      <c r="X2076" t="s">
        <v>9028</v>
      </c>
      <c r="Y2076" t="s">
        <v>6</v>
      </c>
      <c r="Z2076" t="s">
        <v>17</v>
      </c>
      <c r="AA2076" t="s">
        <v>6637</v>
      </c>
      <c r="AB2076" t="s">
        <v>2509</v>
      </c>
      <c r="AC2076" t="s">
        <v>2571</v>
      </c>
      <c r="AD2076" t="s">
        <v>717</v>
      </c>
      <c r="AE2076" t="s">
        <v>9029</v>
      </c>
      <c r="AF2076" t="s">
        <v>9030</v>
      </c>
      <c r="AG2076" t="s">
        <v>9031</v>
      </c>
      <c r="AH2076" t="s">
        <v>2615</v>
      </c>
      <c r="AI2076" t="s">
        <v>2538</v>
      </c>
      <c r="AJ2076" t="s">
        <v>3330</v>
      </c>
      <c r="AK2076" t="s">
        <v>20</v>
      </c>
      <c r="AL2076" t="s">
        <v>22</v>
      </c>
      <c r="AM2076" t="s">
        <v>10</v>
      </c>
      <c r="AN2076" t="s">
        <v>717</v>
      </c>
    </row>
    <row r="2077" spans="1:40" hidden="1">
      <c r="A2077">
        <v>2076</v>
      </c>
      <c r="B2077">
        <v>77</v>
      </c>
      <c r="C2077" s="58">
        <v>45191</v>
      </c>
      <c r="D2077" t="s">
        <v>7</v>
      </c>
      <c r="E2077" t="s">
        <v>2581</v>
      </c>
      <c r="F2077">
        <v>3</v>
      </c>
      <c r="G2077">
        <v>24</v>
      </c>
      <c r="H2077">
        <v>397</v>
      </c>
      <c r="I2077">
        <v>0</v>
      </c>
      <c r="J2077">
        <v>36.450000000000003</v>
      </c>
      <c r="K2077" t="s">
        <v>9</v>
      </c>
      <c r="L2077">
        <v>3499281.92</v>
      </c>
      <c r="M2077">
        <v>15000</v>
      </c>
      <c r="N2077">
        <v>3514281.92</v>
      </c>
      <c r="O2077">
        <v>96413.770096021937</v>
      </c>
      <c r="P2077">
        <v>0</v>
      </c>
      <c r="Q2077">
        <v>3514281.92</v>
      </c>
      <c r="R2077">
        <v>96413.770096021937</v>
      </c>
      <c r="S2077" t="s">
        <v>130</v>
      </c>
      <c r="T2077" t="s">
        <v>717</v>
      </c>
      <c r="U2077" t="s">
        <v>717</v>
      </c>
      <c r="V2077" t="s">
        <v>717</v>
      </c>
      <c r="W2077">
        <v>45188</v>
      </c>
      <c r="X2077" t="s">
        <v>9032</v>
      </c>
      <c r="Y2077" t="s">
        <v>6</v>
      </c>
      <c r="Z2077" t="s">
        <v>17</v>
      </c>
      <c r="AA2077" t="s">
        <v>5617</v>
      </c>
      <c r="AB2077" t="s">
        <v>2509</v>
      </c>
      <c r="AC2077" t="s">
        <v>717</v>
      </c>
      <c r="AD2077" t="s">
        <v>717</v>
      </c>
      <c r="AE2077" t="s">
        <v>9033</v>
      </c>
      <c r="AF2077" t="s">
        <v>9034</v>
      </c>
      <c r="AG2077" t="s">
        <v>9035</v>
      </c>
      <c r="AH2077" t="s">
        <v>2191</v>
      </c>
      <c r="AI2077" t="s">
        <v>2538</v>
      </c>
      <c r="AJ2077" t="s">
        <v>2514</v>
      </c>
      <c r="AK2077" t="s">
        <v>1233</v>
      </c>
      <c r="AL2077" t="s">
        <v>717</v>
      </c>
      <c r="AM2077" t="s">
        <v>10</v>
      </c>
      <c r="AN2077" t="s">
        <v>717</v>
      </c>
    </row>
    <row r="2078" spans="1:40" hidden="1">
      <c r="A2078">
        <v>2077</v>
      </c>
      <c r="B2078">
        <v>78</v>
      </c>
      <c r="C2078" s="58">
        <v>45191</v>
      </c>
      <c r="D2078" t="s">
        <v>7</v>
      </c>
      <c r="E2078" t="s">
        <v>2581</v>
      </c>
      <c r="F2078">
        <v>2</v>
      </c>
      <c r="G2078">
        <v>1</v>
      </c>
      <c r="H2078">
        <v>11</v>
      </c>
      <c r="I2078" t="s">
        <v>1368</v>
      </c>
      <c r="J2078">
        <v>52.8</v>
      </c>
      <c r="K2078" t="s">
        <v>9</v>
      </c>
      <c r="L2078">
        <v>6915000</v>
      </c>
      <c r="M2078">
        <v>15000</v>
      </c>
      <c r="N2078">
        <v>6930000</v>
      </c>
      <c r="O2078">
        <v>131250</v>
      </c>
      <c r="P2078">
        <v>0</v>
      </c>
      <c r="Q2078">
        <v>6930000</v>
      </c>
      <c r="R2078">
        <v>131250</v>
      </c>
      <c r="S2078" t="s">
        <v>2507</v>
      </c>
      <c r="T2078" t="s">
        <v>717</v>
      </c>
      <c r="U2078" t="s">
        <v>717</v>
      </c>
      <c r="V2078" t="s">
        <v>717</v>
      </c>
      <c r="W2078">
        <v>45188</v>
      </c>
      <c r="X2078" t="s">
        <v>9036</v>
      </c>
      <c r="Y2078" t="s">
        <v>1368</v>
      </c>
      <c r="Z2078" t="s">
        <v>17</v>
      </c>
      <c r="AA2078" t="s">
        <v>5617</v>
      </c>
      <c r="AB2078" t="s">
        <v>2509</v>
      </c>
      <c r="AC2078" t="s">
        <v>717</v>
      </c>
      <c r="AD2078" t="s">
        <v>717</v>
      </c>
      <c r="AE2078" t="s">
        <v>9037</v>
      </c>
      <c r="AF2078" t="s">
        <v>9038</v>
      </c>
      <c r="AG2078" t="s">
        <v>9039</v>
      </c>
      <c r="AH2078" t="s">
        <v>2615</v>
      </c>
      <c r="AI2078" t="s">
        <v>2521</v>
      </c>
      <c r="AJ2078" t="s">
        <v>4799</v>
      </c>
      <c r="AK2078" t="s">
        <v>20</v>
      </c>
      <c r="AL2078" t="s">
        <v>717</v>
      </c>
      <c r="AM2078" t="s">
        <v>10</v>
      </c>
      <c r="AN2078" t="s">
        <v>717</v>
      </c>
    </row>
    <row r="2079" spans="1:40" hidden="1">
      <c r="A2079">
        <v>2078</v>
      </c>
      <c r="B2079">
        <v>79</v>
      </c>
      <c r="C2079" s="58">
        <v>45194</v>
      </c>
      <c r="D2079" t="s">
        <v>13</v>
      </c>
      <c r="E2079" t="s">
        <v>2581</v>
      </c>
      <c r="F2079">
        <v>2</v>
      </c>
      <c r="G2079">
        <v>12</v>
      </c>
      <c r="H2079">
        <v>300</v>
      </c>
      <c r="I2079">
        <v>0</v>
      </c>
      <c r="J2079">
        <v>24.53</v>
      </c>
      <c r="K2079" t="s">
        <v>9</v>
      </c>
      <c r="L2079">
        <v>2247796.6800000002</v>
      </c>
      <c r="M2079">
        <v>30000</v>
      </c>
      <c r="N2079">
        <v>2277796.6800000002</v>
      </c>
      <c r="O2079">
        <v>92857.589889930707</v>
      </c>
      <c r="P2079">
        <v>0</v>
      </c>
      <c r="Q2079">
        <v>2277796.6800000002</v>
      </c>
      <c r="R2079">
        <v>92857.589889930707</v>
      </c>
      <c r="S2079" t="s">
        <v>130</v>
      </c>
      <c r="T2079" t="s">
        <v>717</v>
      </c>
      <c r="U2079" t="s">
        <v>717</v>
      </c>
      <c r="V2079" t="s">
        <v>717</v>
      </c>
      <c r="W2079">
        <v>45107</v>
      </c>
      <c r="X2079" t="s">
        <v>9040</v>
      </c>
      <c r="Y2079" t="s">
        <v>6</v>
      </c>
      <c r="Z2079" t="s">
        <v>17</v>
      </c>
      <c r="AA2079" t="s">
        <v>5617</v>
      </c>
      <c r="AB2079" t="s">
        <v>2509</v>
      </c>
      <c r="AC2079" t="s">
        <v>717</v>
      </c>
      <c r="AD2079" t="s">
        <v>717</v>
      </c>
      <c r="AE2079" t="s">
        <v>9041</v>
      </c>
      <c r="AF2079" t="s">
        <v>9042</v>
      </c>
      <c r="AG2079" t="s">
        <v>9043</v>
      </c>
      <c r="AH2079" t="s">
        <v>2615</v>
      </c>
      <c r="AI2079" t="s">
        <v>2600</v>
      </c>
      <c r="AJ2079" t="s">
        <v>3921</v>
      </c>
      <c r="AK2079" t="s">
        <v>77</v>
      </c>
      <c r="AL2079" t="s">
        <v>717</v>
      </c>
      <c r="AM2079" t="s">
        <v>10</v>
      </c>
      <c r="AN2079" t="s">
        <v>717</v>
      </c>
    </row>
    <row r="2080" spans="1:40" hidden="1">
      <c r="A2080">
        <v>2079</v>
      </c>
      <c r="B2080">
        <v>80</v>
      </c>
      <c r="C2080" s="58">
        <v>45194</v>
      </c>
      <c r="D2080" t="s">
        <v>13</v>
      </c>
      <c r="E2080" t="s">
        <v>2515</v>
      </c>
      <c r="F2080">
        <v>1</v>
      </c>
      <c r="G2080">
        <v>2</v>
      </c>
      <c r="H2080">
        <v>7</v>
      </c>
      <c r="I2080">
        <v>1</v>
      </c>
      <c r="J2080">
        <v>34.39</v>
      </c>
      <c r="K2080" t="s">
        <v>9</v>
      </c>
      <c r="L2080">
        <v>2823142.81</v>
      </c>
      <c r="M2080">
        <v>30000</v>
      </c>
      <c r="N2080">
        <v>2853142.81</v>
      </c>
      <c r="O2080">
        <v>82964.315498691474</v>
      </c>
      <c r="P2080">
        <v>0</v>
      </c>
      <c r="Q2080">
        <v>2853142.81</v>
      </c>
      <c r="R2080">
        <v>82964.315498691474</v>
      </c>
      <c r="S2080" t="s">
        <v>130</v>
      </c>
      <c r="T2080" t="s">
        <v>3309</v>
      </c>
      <c r="U2080">
        <v>20000</v>
      </c>
      <c r="V2080" t="s">
        <v>717</v>
      </c>
      <c r="W2080">
        <v>45139</v>
      </c>
      <c r="X2080" t="s">
        <v>9044</v>
      </c>
      <c r="Y2080" t="s">
        <v>2611</v>
      </c>
      <c r="Z2080" t="s">
        <v>17</v>
      </c>
      <c r="AA2080" t="s">
        <v>5617</v>
      </c>
      <c r="AB2080" t="s">
        <v>2509</v>
      </c>
      <c r="AC2080" t="s">
        <v>717</v>
      </c>
      <c r="AD2080">
        <v>45742</v>
      </c>
      <c r="AE2080" t="s">
        <v>11541</v>
      </c>
      <c r="AF2080" t="s">
        <v>11542</v>
      </c>
      <c r="AG2080" t="s">
        <v>11543</v>
      </c>
      <c r="AH2080" t="s">
        <v>2615</v>
      </c>
      <c r="AI2080" t="s">
        <v>2600</v>
      </c>
      <c r="AJ2080" t="s">
        <v>3921</v>
      </c>
      <c r="AK2080" t="s">
        <v>8</v>
      </c>
      <c r="AL2080" t="s">
        <v>717</v>
      </c>
      <c r="AM2080" t="s">
        <v>10</v>
      </c>
      <c r="AN2080" t="s">
        <v>717</v>
      </c>
    </row>
    <row r="2081" spans="1:40" hidden="1">
      <c r="A2081">
        <v>2080</v>
      </c>
      <c r="B2081">
        <v>81</v>
      </c>
      <c r="C2081" s="58">
        <v>45194</v>
      </c>
      <c r="D2081" t="s">
        <v>13</v>
      </c>
      <c r="E2081" t="s">
        <v>4409</v>
      </c>
      <c r="F2081">
        <v>3</v>
      </c>
      <c r="G2081">
        <v>6</v>
      </c>
      <c r="H2081">
        <v>431</v>
      </c>
      <c r="I2081">
        <v>0</v>
      </c>
      <c r="J2081">
        <v>24.5</v>
      </c>
      <c r="K2081" t="s">
        <v>9</v>
      </c>
      <c r="L2081">
        <v>1867086.22</v>
      </c>
      <c r="M2081">
        <v>15000</v>
      </c>
      <c r="N2081">
        <v>1882086.22</v>
      </c>
      <c r="O2081">
        <v>76819.845714285708</v>
      </c>
      <c r="P2081">
        <v>0</v>
      </c>
      <c r="Q2081">
        <v>1882086.22</v>
      </c>
      <c r="R2081">
        <v>76819.845714285708</v>
      </c>
      <c r="S2081" t="s">
        <v>65</v>
      </c>
      <c r="T2081" t="s">
        <v>9045</v>
      </c>
      <c r="U2081">
        <v>350000</v>
      </c>
      <c r="V2081" t="s">
        <v>4131</v>
      </c>
      <c r="W2081">
        <v>45157</v>
      </c>
      <c r="X2081" t="s">
        <v>9046</v>
      </c>
      <c r="Y2081" t="s">
        <v>6</v>
      </c>
      <c r="Z2081" t="s">
        <v>17</v>
      </c>
      <c r="AA2081" t="s">
        <v>5617</v>
      </c>
      <c r="AB2081" t="s">
        <v>2509</v>
      </c>
      <c r="AC2081" t="s">
        <v>2564</v>
      </c>
      <c r="AD2081" t="s">
        <v>717</v>
      </c>
      <c r="AE2081" t="s">
        <v>9047</v>
      </c>
      <c r="AF2081" t="s">
        <v>9048</v>
      </c>
      <c r="AG2081" t="s">
        <v>9049</v>
      </c>
      <c r="AH2081" t="s">
        <v>2615</v>
      </c>
      <c r="AI2081" t="s">
        <v>2847</v>
      </c>
      <c r="AJ2081" t="s">
        <v>2940</v>
      </c>
      <c r="AK2081" t="s">
        <v>1233</v>
      </c>
      <c r="AL2081" t="s">
        <v>16</v>
      </c>
      <c r="AM2081" t="s">
        <v>10</v>
      </c>
      <c r="AN2081" t="s">
        <v>717</v>
      </c>
    </row>
    <row r="2082" spans="1:40" hidden="1">
      <c r="A2082">
        <v>2081</v>
      </c>
      <c r="B2082">
        <v>82</v>
      </c>
      <c r="C2082" s="58">
        <v>45194</v>
      </c>
      <c r="D2082" t="s">
        <v>7</v>
      </c>
      <c r="E2082" t="s">
        <v>2506</v>
      </c>
      <c r="F2082">
        <v>6</v>
      </c>
      <c r="G2082">
        <v>7</v>
      </c>
      <c r="H2082">
        <v>166</v>
      </c>
      <c r="I2082">
        <v>1</v>
      </c>
      <c r="J2082">
        <v>36.659999999999997</v>
      </c>
      <c r="K2082" t="s">
        <v>15</v>
      </c>
      <c r="L2082">
        <v>3732374.94</v>
      </c>
      <c r="M2082">
        <v>15000</v>
      </c>
      <c r="N2082">
        <v>3747374.94</v>
      </c>
      <c r="O2082">
        <v>102219.72013093292</v>
      </c>
      <c r="P2082">
        <v>164969.99999999997</v>
      </c>
      <c r="Q2082">
        <v>3582404.94</v>
      </c>
      <c r="R2082">
        <v>97719.720130932925</v>
      </c>
      <c r="S2082" t="s">
        <v>65</v>
      </c>
      <c r="T2082" t="s">
        <v>717</v>
      </c>
      <c r="U2082" t="s">
        <v>717</v>
      </c>
      <c r="V2082" t="s">
        <v>4131</v>
      </c>
      <c r="W2082">
        <v>45160</v>
      </c>
      <c r="X2082" t="s">
        <v>9050</v>
      </c>
      <c r="Y2082" t="s">
        <v>6</v>
      </c>
      <c r="Z2082" t="s">
        <v>17</v>
      </c>
      <c r="AA2082" t="s">
        <v>6637</v>
      </c>
      <c r="AB2082" t="s">
        <v>2509</v>
      </c>
      <c r="AC2082" t="s">
        <v>2571</v>
      </c>
      <c r="AD2082" t="s">
        <v>717</v>
      </c>
      <c r="AE2082" t="s">
        <v>9051</v>
      </c>
      <c r="AF2082" t="s">
        <v>9052</v>
      </c>
      <c r="AG2082" t="s">
        <v>9053</v>
      </c>
      <c r="AH2082" t="s">
        <v>2615</v>
      </c>
      <c r="AI2082" t="s">
        <v>2552</v>
      </c>
      <c r="AJ2082" t="s">
        <v>2642</v>
      </c>
      <c r="AK2082" t="s">
        <v>77</v>
      </c>
      <c r="AL2082" t="s">
        <v>16</v>
      </c>
      <c r="AM2082" t="s">
        <v>10</v>
      </c>
      <c r="AN2082" t="s">
        <v>717</v>
      </c>
    </row>
    <row r="2083" spans="1:40" hidden="1">
      <c r="A2083">
        <v>2082</v>
      </c>
      <c r="B2083">
        <v>83</v>
      </c>
      <c r="C2083" s="58">
        <v>45194</v>
      </c>
      <c r="D2083" t="s">
        <v>13</v>
      </c>
      <c r="E2083" t="s">
        <v>2506</v>
      </c>
      <c r="F2083">
        <v>7</v>
      </c>
      <c r="G2083">
        <v>14</v>
      </c>
      <c r="H2083">
        <v>208</v>
      </c>
      <c r="I2083">
        <v>1</v>
      </c>
      <c r="J2083">
        <v>42.28</v>
      </c>
      <c r="K2083" t="s">
        <v>9</v>
      </c>
      <c r="L2083">
        <v>3788495.9</v>
      </c>
      <c r="M2083">
        <v>0</v>
      </c>
      <c r="N2083">
        <v>3788495.9</v>
      </c>
      <c r="O2083">
        <v>89604.917218543036</v>
      </c>
      <c r="P2083">
        <v>0</v>
      </c>
      <c r="Q2083">
        <v>3788495.9</v>
      </c>
      <c r="R2083">
        <v>89604.917218543036</v>
      </c>
      <c r="S2083" t="s">
        <v>65</v>
      </c>
      <c r="T2083" t="s">
        <v>5768</v>
      </c>
      <c r="U2083">
        <v>241818.89</v>
      </c>
      <c r="V2083" t="s">
        <v>4131</v>
      </c>
      <c r="W2083">
        <v>45188</v>
      </c>
      <c r="X2083" t="s">
        <v>9054</v>
      </c>
      <c r="Y2083" t="s">
        <v>6</v>
      </c>
      <c r="Z2083" t="s">
        <v>17</v>
      </c>
      <c r="AA2083" t="s">
        <v>6637</v>
      </c>
      <c r="AB2083" t="s">
        <v>2509</v>
      </c>
      <c r="AC2083" t="s">
        <v>2571</v>
      </c>
      <c r="AD2083" t="s">
        <v>717</v>
      </c>
      <c r="AE2083" t="s">
        <v>9055</v>
      </c>
      <c r="AF2083" t="s">
        <v>9056</v>
      </c>
      <c r="AG2083" t="s">
        <v>9057</v>
      </c>
      <c r="AH2083" t="s">
        <v>2191</v>
      </c>
      <c r="AI2083" t="s">
        <v>2802</v>
      </c>
      <c r="AJ2083" t="s">
        <v>2514</v>
      </c>
      <c r="AK2083" t="s">
        <v>8</v>
      </c>
      <c r="AL2083" t="s">
        <v>16</v>
      </c>
      <c r="AM2083" t="s">
        <v>10</v>
      </c>
      <c r="AN2083" t="s">
        <v>717</v>
      </c>
    </row>
    <row r="2084" spans="1:40" hidden="1">
      <c r="A2084">
        <v>2083</v>
      </c>
      <c r="B2084">
        <v>84</v>
      </c>
      <c r="C2084" s="58">
        <v>45195</v>
      </c>
      <c r="D2084" t="s">
        <v>13</v>
      </c>
      <c r="E2084" t="s">
        <v>4409</v>
      </c>
      <c r="F2084">
        <v>7</v>
      </c>
      <c r="G2084">
        <v>20</v>
      </c>
      <c r="H2084">
        <v>547</v>
      </c>
      <c r="I2084">
        <v>3</v>
      </c>
      <c r="J2084">
        <v>79.44</v>
      </c>
      <c r="K2084" t="s">
        <v>25</v>
      </c>
      <c r="L2084">
        <v>7850626.8799999999</v>
      </c>
      <c r="M2084">
        <v>15000</v>
      </c>
      <c r="N2084">
        <v>7865626.8799999999</v>
      </c>
      <c r="O2084">
        <v>99013.4300100705</v>
      </c>
      <c r="P2084">
        <v>1231320</v>
      </c>
      <c r="Q2084">
        <v>6634306.8799999999</v>
      </c>
      <c r="R2084">
        <v>83513.4300100705</v>
      </c>
      <c r="S2084" t="s">
        <v>65</v>
      </c>
      <c r="T2084" t="s">
        <v>717</v>
      </c>
      <c r="U2084" t="s">
        <v>717</v>
      </c>
      <c r="V2084" t="s">
        <v>4131</v>
      </c>
      <c r="W2084">
        <v>45127</v>
      </c>
      <c r="X2084" t="s">
        <v>9058</v>
      </c>
      <c r="Y2084" t="s">
        <v>6</v>
      </c>
      <c r="Z2084" t="s">
        <v>17</v>
      </c>
      <c r="AA2084" t="s">
        <v>6637</v>
      </c>
      <c r="AB2084" t="s">
        <v>2509</v>
      </c>
      <c r="AC2084" t="s">
        <v>2571</v>
      </c>
      <c r="AD2084" t="s">
        <v>717</v>
      </c>
      <c r="AE2084" t="s">
        <v>9059</v>
      </c>
      <c r="AF2084" t="s">
        <v>9060</v>
      </c>
      <c r="AG2084" t="s">
        <v>9061</v>
      </c>
      <c r="AH2084" t="s">
        <v>2191</v>
      </c>
      <c r="AI2084" t="s">
        <v>2552</v>
      </c>
      <c r="AJ2084" t="s">
        <v>2514</v>
      </c>
      <c r="AK2084" t="s">
        <v>1233</v>
      </c>
      <c r="AL2084" t="s">
        <v>16</v>
      </c>
      <c r="AM2084" t="s">
        <v>10</v>
      </c>
      <c r="AN2084" t="s">
        <v>717</v>
      </c>
    </row>
    <row r="2085" spans="1:40" hidden="1">
      <c r="A2085">
        <v>2084</v>
      </c>
      <c r="B2085">
        <v>85</v>
      </c>
      <c r="C2085" s="58">
        <v>45195</v>
      </c>
      <c r="D2085" t="s">
        <v>13</v>
      </c>
      <c r="E2085" t="s">
        <v>2581</v>
      </c>
      <c r="F2085">
        <v>7</v>
      </c>
      <c r="G2085">
        <v>7</v>
      </c>
      <c r="H2085">
        <v>270</v>
      </c>
      <c r="I2085">
        <v>1</v>
      </c>
      <c r="J2085">
        <v>34.81</v>
      </c>
      <c r="K2085" t="s">
        <v>15</v>
      </c>
      <c r="L2085">
        <v>3039824.71</v>
      </c>
      <c r="M2085">
        <v>30000</v>
      </c>
      <c r="N2085">
        <v>3069824.71</v>
      </c>
      <c r="O2085">
        <v>88188.012352772188</v>
      </c>
      <c r="P2085">
        <v>139240</v>
      </c>
      <c r="Q2085">
        <v>2930584.71</v>
      </c>
      <c r="R2085">
        <v>84188.012352772188</v>
      </c>
      <c r="S2085" t="s">
        <v>65</v>
      </c>
      <c r="T2085" t="s">
        <v>3309</v>
      </c>
      <c r="U2085">
        <v>20000</v>
      </c>
      <c r="V2085" t="s">
        <v>4131</v>
      </c>
      <c r="W2085">
        <v>45139</v>
      </c>
      <c r="X2085" t="s">
        <v>9062</v>
      </c>
      <c r="Y2085" t="s">
        <v>6</v>
      </c>
      <c r="Z2085" t="s">
        <v>17</v>
      </c>
      <c r="AA2085" t="s">
        <v>6637</v>
      </c>
      <c r="AB2085" t="s">
        <v>2509</v>
      </c>
      <c r="AC2085" t="s">
        <v>2571</v>
      </c>
      <c r="AD2085" t="s">
        <v>717</v>
      </c>
      <c r="AE2085" t="s">
        <v>9063</v>
      </c>
      <c r="AF2085" t="s">
        <v>9064</v>
      </c>
      <c r="AG2085" t="s">
        <v>9065</v>
      </c>
      <c r="AH2085" t="s">
        <v>2615</v>
      </c>
      <c r="AI2085" t="s">
        <v>2621</v>
      </c>
      <c r="AJ2085" t="s">
        <v>2569</v>
      </c>
      <c r="AK2085" t="s">
        <v>8</v>
      </c>
      <c r="AL2085" t="s">
        <v>22</v>
      </c>
      <c r="AM2085" t="s">
        <v>10</v>
      </c>
      <c r="AN2085" t="s">
        <v>717</v>
      </c>
    </row>
    <row r="2086" spans="1:40" hidden="1">
      <c r="A2086">
        <v>2085</v>
      </c>
      <c r="B2086">
        <v>86</v>
      </c>
      <c r="C2086" s="58">
        <v>45195</v>
      </c>
      <c r="D2086" t="s">
        <v>13</v>
      </c>
      <c r="E2086" t="s">
        <v>2506</v>
      </c>
      <c r="F2086">
        <v>2</v>
      </c>
      <c r="G2086">
        <v>2</v>
      </c>
      <c r="H2086">
        <v>119</v>
      </c>
      <c r="I2086">
        <v>0</v>
      </c>
      <c r="J2086">
        <v>24.28</v>
      </c>
      <c r="K2086" t="s">
        <v>25</v>
      </c>
      <c r="L2086">
        <v>2573383</v>
      </c>
      <c r="M2086">
        <v>15000</v>
      </c>
      <c r="N2086">
        <v>2588383</v>
      </c>
      <c r="O2086">
        <v>106605.56013179572</v>
      </c>
      <c r="P2086">
        <v>376340</v>
      </c>
      <c r="Q2086">
        <v>2212043</v>
      </c>
      <c r="R2086">
        <v>91105.560131795719</v>
      </c>
      <c r="S2086" t="s">
        <v>65</v>
      </c>
      <c r="T2086" t="s">
        <v>717</v>
      </c>
      <c r="U2086" t="s">
        <v>717</v>
      </c>
      <c r="V2086" t="s">
        <v>4131</v>
      </c>
      <c r="W2086">
        <v>45152</v>
      </c>
      <c r="X2086" t="s">
        <v>9066</v>
      </c>
      <c r="Y2086" t="s">
        <v>6</v>
      </c>
      <c r="Z2086" t="s">
        <v>17</v>
      </c>
      <c r="AA2086" t="s">
        <v>6637</v>
      </c>
      <c r="AB2086" t="s">
        <v>2509</v>
      </c>
      <c r="AC2086" t="s">
        <v>2571</v>
      </c>
      <c r="AD2086" t="s">
        <v>717</v>
      </c>
      <c r="AE2086" t="s">
        <v>9067</v>
      </c>
      <c r="AF2086" t="s">
        <v>9068</v>
      </c>
      <c r="AG2086" t="s">
        <v>9069</v>
      </c>
      <c r="AH2086" t="s">
        <v>2552</v>
      </c>
      <c r="AI2086" t="s">
        <v>2547</v>
      </c>
      <c r="AJ2086" t="s">
        <v>2855</v>
      </c>
      <c r="AK2086" t="s">
        <v>77</v>
      </c>
      <c r="AL2086" t="s">
        <v>16</v>
      </c>
      <c r="AM2086" t="s">
        <v>10</v>
      </c>
      <c r="AN2086" t="s">
        <v>717</v>
      </c>
    </row>
    <row r="2087" spans="1:40" hidden="1">
      <c r="A2087">
        <v>2086</v>
      </c>
      <c r="B2087">
        <v>87</v>
      </c>
      <c r="C2087" s="58">
        <v>45195</v>
      </c>
      <c r="D2087" t="s">
        <v>13</v>
      </c>
      <c r="E2087" t="s">
        <v>2581</v>
      </c>
      <c r="F2087">
        <v>2</v>
      </c>
      <c r="G2087">
        <v>24</v>
      </c>
      <c r="H2087">
        <v>384</v>
      </c>
      <c r="I2087">
        <v>0</v>
      </c>
      <c r="J2087">
        <v>24.53</v>
      </c>
      <c r="K2087" t="s">
        <v>25</v>
      </c>
      <c r="L2087">
        <v>2814920.87</v>
      </c>
      <c r="M2087">
        <v>15000</v>
      </c>
      <c r="N2087">
        <v>2829920.87</v>
      </c>
      <c r="O2087">
        <v>115365.71015083572</v>
      </c>
      <c r="P2087">
        <v>380215</v>
      </c>
      <c r="Q2087">
        <v>2449705.87</v>
      </c>
      <c r="R2087">
        <v>99865.710150835715</v>
      </c>
      <c r="S2087" t="s">
        <v>65</v>
      </c>
      <c r="T2087" t="s">
        <v>717</v>
      </c>
      <c r="U2087" t="s">
        <v>717</v>
      </c>
      <c r="V2087" t="s">
        <v>6312</v>
      </c>
      <c r="W2087">
        <v>45159</v>
      </c>
      <c r="X2087" t="s">
        <v>9070</v>
      </c>
      <c r="Y2087" t="s">
        <v>6</v>
      </c>
      <c r="Z2087" t="s">
        <v>11</v>
      </c>
      <c r="AA2087" t="s">
        <v>717</v>
      </c>
      <c r="AB2087" t="s">
        <v>2509</v>
      </c>
      <c r="AC2087" t="s">
        <v>2571</v>
      </c>
      <c r="AD2087" t="s">
        <v>717</v>
      </c>
      <c r="AE2087" t="s">
        <v>8271</v>
      </c>
      <c r="AF2087" t="s">
        <v>8272</v>
      </c>
      <c r="AG2087" t="s">
        <v>8273</v>
      </c>
      <c r="AH2087" t="s">
        <v>2615</v>
      </c>
      <c r="AI2087" t="s">
        <v>2600</v>
      </c>
      <c r="AJ2087" t="s">
        <v>3921</v>
      </c>
      <c r="AK2087" t="s">
        <v>1233</v>
      </c>
      <c r="AL2087" t="s">
        <v>16</v>
      </c>
      <c r="AM2087" t="s">
        <v>10</v>
      </c>
      <c r="AN2087" t="s">
        <v>717</v>
      </c>
    </row>
    <row r="2088" spans="1:40" hidden="1">
      <c r="A2088">
        <v>2087</v>
      </c>
      <c r="B2088">
        <v>88</v>
      </c>
      <c r="C2088" s="58">
        <v>45195</v>
      </c>
      <c r="D2088" t="s">
        <v>13</v>
      </c>
      <c r="E2088" t="s">
        <v>4409</v>
      </c>
      <c r="F2088">
        <v>1</v>
      </c>
      <c r="G2088">
        <v>9</v>
      </c>
      <c r="H2088">
        <v>453</v>
      </c>
      <c r="I2088">
        <v>0</v>
      </c>
      <c r="J2088">
        <v>29.4</v>
      </c>
      <c r="K2088" t="s">
        <v>9</v>
      </c>
      <c r="L2088">
        <v>2611993.7799999998</v>
      </c>
      <c r="M2088">
        <v>15000</v>
      </c>
      <c r="N2088">
        <v>2626993.7799999998</v>
      </c>
      <c r="O2088">
        <v>89353.529931972793</v>
      </c>
      <c r="P2088">
        <v>0</v>
      </c>
      <c r="Q2088">
        <v>2626993.7799999998</v>
      </c>
      <c r="R2088">
        <v>89353.529931972793</v>
      </c>
      <c r="S2088" t="s">
        <v>2507</v>
      </c>
      <c r="T2088" t="s">
        <v>717</v>
      </c>
      <c r="U2088" t="s">
        <v>717</v>
      </c>
      <c r="V2088" t="s">
        <v>717</v>
      </c>
      <c r="W2088">
        <v>45180</v>
      </c>
      <c r="X2088" t="s">
        <v>9071</v>
      </c>
      <c r="Y2088" t="s">
        <v>6</v>
      </c>
      <c r="Z2088" t="s">
        <v>17</v>
      </c>
      <c r="AA2088" t="s">
        <v>6637</v>
      </c>
      <c r="AB2088" t="s">
        <v>2509</v>
      </c>
      <c r="AC2088" t="s">
        <v>717</v>
      </c>
      <c r="AD2088" t="s">
        <v>717</v>
      </c>
      <c r="AE2088" t="s">
        <v>9072</v>
      </c>
      <c r="AF2088" t="s">
        <v>9073</v>
      </c>
      <c r="AG2088" t="s">
        <v>9074</v>
      </c>
      <c r="AH2088" t="s">
        <v>2615</v>
      </c>
      <c r="AI2088" t="s">
        <v>2847</v>
      </c>
      <c r="AJ2088" t="s">
        <v>2569</v>
      </c>
      <c r="AK2088" t="s">
        <v>1233</v>
      </c>
      <c r="AL2088" t="s">
        <v>717</v>
      </c>
      <c r="AM2088" t="s">
        <v>10</v>
      </c>
      <c r="AN2088" t="s">
        <v>717</v>
      </c>
    </row>
    <row r="2089" spans="1:40" hidden="1">
      <c r="A2089">
        <v>2088</v>
      </c>
      <c r="B2089">
        <v>89</v>
      </c>
      <c r="C2089" s="58">
        <v>45197</v>
      </c>
      <c r="D2089" t="s">
        <v>13</v>
      </c>
      <c r="E2089" t="s">
        <v>4409</v>
      </c>
      <c r="F2089">
        <v>8</v>
      </c>
      <c r="G2089">
        <v>17</v>
      </c>
      <c r="H2089">
        <v>524</v>
      </c>
      <c r="I2089">
        <v>1</v>
      </c>
      <c r="J2089">
        <v>39.69</v>
      </c>
      <c r="K2089" t="s">
        <v>9</v>
      </c>
      <c r="L2089">
        <v>3797409.16</v>
      </c>
      <c r="M2089">
        <v>0</v>
      </c>
      <c r="N2089">
        <v>3797409.16</v>
      </c>
      <c r="O2089">
        <v>95676.723607961714</v>
      </c>
      <c r="P2089">
        <v>0</v>
      </c>
      <c r="Q2089">
        <v>3797409.16</v>
      </c>
      <c r="R2089">
        <v>95676.723607961714</v>
      </c>
      <c r="S2089" t="s">
        <v>130</v>
      </c>
      <c r="T2089" t="s">
        <v>4059</v>
      </c>
      <c r="U2089">
        <v>77498.149999999994</v>
      </c>
      <c r="V2089" t="s">
        <v>717</v>
      </c>
      <c r="W2089">
        <v>45196</v>
      </c>
      <c r="X2089" t="s">
        <v>9075</v>
      </c>
      <c r="Y2089" t="s">
        <v>6</v>
      </c>
      <c r="Z2089" t="s">
        <v>17</v>
      </c>
      <c r="AA2089" t="s">
        <v>5617</v>
      </c>
      <c r="AB2089" t="s">
        <v>2509</v>
      </c>
      <c r="AC2089" t="s">
        <v>717</v>
      </c>
      <c r="AD2089" t="s">
        <v>717</v>
      </c>
      <c r="AE2089" t="s">
        <v>9076</v>
      </c>
      <c r="AF2089" t="s">
        <v>9077</v>
      </c>
      <c r="AG2089" t="s">
        <v>9078</v>
      </c>
      <c r="AH2089" t="s">
        <v>2191</v>
      </c>
      <c r="AI2089" t="s">
        <v>6951</v>
      </c>
      <c r="AJ2089" t="s">
        <v>2514</v>
      </c>
      <c r="AK2089" t="s">
        <v>8</v>
      </c>
      <c r="AL2089" t="s">
        <v>717</v>
      </c>
      <c r="AM2089" t="s">
        <v>10</v>
      </c>
      <c r="AN2089" t="s">
        <v>717</v>
      </c>
    </row>
    <row r="2090" spans="1:40" hidden="1">
      <c r="A2090">
        <v>2089</v>
      </c>
      <c r="B2090">
        <v>90</v>
      </c>
      <c r="C2090" s="58">
        <v>45198</v>
      </c>
      <c r="D2090" t="s">
        <v>13</v>
      </c>
      <c r="E2090" t="s">
        <v>2581</v>
      </c>
      <c r="F2090">
        <v>7</v>
      </c>
      <c r="G2090">
        <v>3</v>
      </c>
      <c r="H2090">
        <v>242</v>
      </c>
      <c r="I2090">
        <v>1</v>
      </c>
      <c r="J2090">
        <v>34.81</v>
      </c>
      <c r="K2090" t="s">
        <v>9</v>
      </c>
      <c r="L2090">
        <v>2948820.15</v>
      </c>
      <c r="M2090">
        <v>30000</v>
      </c>
      <c r="N2090">
        <v>2978820.15</v>
      </c>
      <c r="O2090">
        <v>85573.690031600112</v>
      </c>
      <c r="P2090">
        <v>0</v>
      </c>
      <c r="Q2090">
        <v>2978820.15</v>
      </c>
      <c r="R2090">
        <v>85573.690031600112</v>
      </c>
      <c r="S2090" t="s">
        <v>130</v>
      </c>
      <c r="T2090" t="s">
        <v>717</v>
      </c>
      <c r="U2090" t="s">
        <v>717</v>
      </c>
      <c r="V2090" t="s">
        <v>717</v>
      </c>
      <c r="W2090">
        <v>45107</v>
      </c>
      <c r="X2090" t="s">
        <v>9079</v>
      </c>
      <c r="Y2090" t="s">
        <v>6</v>
      </c>
      <c r="Z2090" t="s">
        <v>17</v>
      </c>
      <c r="AA2090" t="s">
        <v>5617</v>
      </c>
      <c r="AB2090" t="s">
        <v>2509</v>
      </c>
      <c r="AC2090" t="s">
        <v>717</v>
      </c>
      <c r="AD2090" t="s">
        <v>717</v>
      </c>
      <c r="AE2090" t="s">
        <v>9080</v>
      </c>
      <c r="AF2090" t="s">
        <v>9081</v>
      </c>
      <c r="AG2090" t="s">
        <v>9082</v>
      </c>
      <c r="AH2090" t="s">
        <v>2615</v>
      </c>
      <c r="AI2090" t="s">
        <v>2538</v>
      </c>
      <c r="AJ2090" t="s">
        <v>2825</v>
      </c>
      <c r="AK2090" t="s">
        <v>77</v>
      </c>
      <c r="AL2090" t="s">
        <v>717</v>
      </c>
      <c r="AM2090" t="s">
        <v>10</v>
      </c>
      <c r="AN2090" t="s">
        <v>717</v>
      </c>
    </row>
    <row r="2091" spans="1:40" hidden="1">
      <c r="A2091">
        <v>2090</v>
      </c>
      <c r="B2091">
        <v>91</v>
      </c>
      <c r="C2091" s="58">
        <v>45199</v>
      </c>
      <c r="D2091" t="s">
        <v>13</v>
      </c>
      <c r="E2091" t="s">
        <v>4409</v>
      </c>
      <c r="F2091">
        <v>4</v>
      </c>
      <c r="G2091">
        <v>15</v>
      </c>
      <c r="H2091">
        <v>504</v>
      </c>
      <c r="I2091">
        <v>2</v>
      </c>
      <c r="J2091">
        <v>58.24</v>
      </c>
      <c r="K2091" t="s">
        <v>25</v>
      </c>
      <c r="L2091">
        <v>6290958.4199999999</v>
      </c>
      <c r="M2091">
        <v>0</v>
      </c>
      <c r="N2091">
        <v>6290958.4199999999</v>
      </c>
      <c r="O2091">
        <v>108017.83001373624</v>
      </c>
      <c r="P2091">
        <v>1281280</v>
      </c>
      <c r="Q2091">
        <v>5009678.42</v>
      </c>
      <c r="R2091">
        <v>86017.830013736253</v>
      </c>
      <c r="S2091" t="s">
        <v>65</v>
      </c>
      <c r="T2091" t="s">
        <v>717</v>
      </c>
      <c r="U2091" t="s">
        <v>717</v>
      </c>
      <c r="V2091" t="s">
        <v>6312</v>
      </c>
      <c r="W2091">
        <v>45189</v>
      </c>
      <c r="X2091" t="s">
        <v>9083</v>
      </c>
      <c r="Y2091" t="s">
        <v>6</v>
      </c>
      <c r="Z2091" t="s">
        <v>17</v>
      </c>
      <c r="AA2091" t="s">
        <v>6637</v>
      </c>
      <c r="AB2091" t="s">
        <v>2509</v>
      </c>
      <c r="AC2091" t="s">
        <v>2571</v>
      </c>
      <c r="AD2091" t="s">
        <v>717</v>
      </c>
      <c r="AE2091" t="s">
        <v>9084</v>
      </c>
      <c r="AF2091" t="s">
        <v>9085</v>
      </c>
      <c r="AG2091" t="s">
        <v>9086</v>
      </c>
      <c r="AH2091" t="s">
        <v>2615</v>
      </c>
      <c r="AI2091" t="s">
        <v>2538</v>
      </c>
      <c r="AJ2091" t="s">
        <v>2825</v>
      </c>
      <c r="AK2091" t="s">
        <v>20</v>
      </c>
      <c r="AL2091" t="s">
        <v>22</v>
      </c>
      <c r="AM2091" t="s">
        <v>10</v>
      </c>
      <c r="AN2091" t="s">
        <v>717</v>
      </c>
    </row>
    <row r="2092" spans="1:40" hidden="1">
      <c r="A2092">
        <v>2091</v>
      </c>
      <c r="B2092">
        <v>92</v>
      </c>
      <c r="C2092" s="58">
        <v>45199</v>
      </c>
      <c r="D2092" t="s">
        <v>13</v>
      </c>
      <c r="E2092" t="s">
        <v>2506</v>
      </c>
      <c r="F2092">
        <v>7</v>
      </c>
      <c r="G2092">
        <v>6</v>
      </c>
      <c r="H2092">
        <v>152</v>
      </c>
      <c r="I2092">
        <v>1</v>
      </c>
      <c r="J2092">
        <v>42.28</v>
      </c>
      <c r="K2092" t="s">
        <v>9</v>
      </c>
      <c r="L2092">
        <v>4030314.79</v>
      </c>
      <c r="M2092">
        <v>0</v>
      </c>
      <c r="N2092">
        <v>4030314.79</v>
      </c>
      <c r="O2092">
        <v>95324.380085146637</v>
      </c>
      <c r="P2092">
        <v>0</v>
      </c>
      <c r="Q2092">
        <v>4030314.79</v>
      </c>
      <c r="R2092">
        <v>95324.380085146637</v>
      </c>
      <c r="S2092" t="s">
        <v>65</v>
      </c>
      <c r="T2092" t="s">
        <v>717</v>
      </c>
      <c r="U2092" t="s">
        <v>717</v>
      </c>
      <c r="V2092" t="s">
        <v>6312</v>
      </c>
      <c r="W2092">
        <v>45194</v>
      </c>
      <c r="X2092" t="s">
        <v>9087</v>
      </c>
      <c r="Y2092" t="s">
        <v>6</v>
      </c>
      <c r="Z2092" t="s">
        <v>17</v>
      </c>
      <c r="AA2092" t="s">
        <v>6637</v>
      </c>
      <c r="AB2092" t="s">
        <v>2509</v>
      </c>
      <c r="AC2092" t="s">
        <v>2571</v>
      </c>
      <c r="AD2092" t="s">
        <v>717</v>
      </c>
      <c r="AE2092" t="s">
        <v>9088</v>
      </c>
      <c r="AF2092" t="s">
        <v>9089</v>
      </c>
      <c r="AG2092" t="s">
        <v>9090</v>
      </c>
      <c r="AH2092" t="s">
        <v>2615</v>
      </c>
      <c r="AI2092" t="s">
        <v>2552</v>
      </c>
      <c r="AJ2092" t="s">
        <v>4799</v>
      </c>
      <c r="AK2092" t="s">
        <v>20</v>
      </c>
      <c r="AL2092" t="s">
        <v>16</v>
      </c>
      <c r="AM2092" t="s">
        <v>10</v>
      </c>
      <c r="AN2092" t="s">
        <v>717</v>
      </c>
    </row>
    <row r="2093" spans="1:40" hidden="1">
      <c r="A2093">
        <v>2092</v>
      </c>
      <c r="B2093">
        <v>93</v>
      </c>
      <c r="C2093" s="58">
        <v>45199</v>
      </c>
      <c r="D2093" t="s">
        <v>7</v>
      </c>
      <c r="E2093" t="s">
        <v>2581</v>
      </c>
      <c r="F2093">
        <v>7</v>
      </c>
      <c r="G2093">
        <v>21</v>
      </c>
      <c r="H2093">
        <v>380</v>
      </c>
      <c r="I2093">
        <v>1</v>
      </c>
      <c r="J2093">
        <v>33.840000000000003</v>
      </c>
      <c r="K2093" t="s">
        <v>15</v>
      </c>
      <c r="L2093">
        <v>4224471.9000000004</v>
      </c>
      <c r="M2093">
        <v>0</v>
      </c>
      <c r="N2093">
        <v>4224471.9000000004</v>
      </c>
      <c r="O2093">
        <v>124836.640070922</v>
      </c>
      <c r="P2093">
        <v>253800.00000000003</v>
      </c>
      <c r="Q2093">
        <v>3970671.9</v>
      </c>
      <c r="R2093">
        <v>117336.640070922</v>
      </c>
      <c r="S2093" t="s">
        <v>65</v>
      </c>
      <c r="T2093" t="s">
        <v>717</v>
      </c>
      <c r="U2093" t="s">
        <v>717</v>
      </c>
      <c r="V2093" t="s">
        <v>4131</v>
      </c>
      <c r="W2093">
        <v>45194</v>
      </c>
      <c r="X2093" t="s">
        <v>9091</v>
      </c>
      <c r="Y2093" t="s">
        <v>6</v>
      </c>
      <c r="Z2093" t="s">
        <v>17</v>
      </c>
      <c r="AA2093" t="s">
        <v>6637</v>
      </c>
      <c r="AB2093" t="s">
        <v>2509</v>
      </c>
      <c r="AC2093" t="s">
        <v>2571</v>
      </c>
      <c r="AD2093" t="s">
        <v>717</v>
      </c>
      <c r="AE2093" t="s">
        <v>9092</v>
      </c>
      <c r="AF2093" t="s">
        <v>9093</v>
      </c>
      <c r="AG2093" t="s">
        <v>9094</v>
      </c>
      <c r="AH2093" t="s">
        <v>2616</v>
      </c>
      <c r="AI2093" t="s">
        <v>2552</v>
      </c>
      <c r="AJ2093" t="s">
        <v>2895</v>
      </c>
      <c r="AK2093" t="s">
        <v>73</v>
      </c>
      <c r="AL2093" t="s">
        <v>16</v>
      </c>
      <c r="AM2093" t="s">
        <v>10</v>
      </c>
      <c r="AN2093" t="s">
        <v>717</v>
      </c>
    </row>
    <row r="2094" spans="1:40" hidden="1">
      <c r="A2094">
        <v>2093</v>
      </c>
      <c r="B2094">
        <v>1</v>
      </c>
      <c r="C2094" s="58">
        <v>45202</v>
      </c>
      <c r="D2094" t="s">
        <v>13</v>
      </c>
      <c r="E2094" t="s">
        <v>4409</v>
      </c>
      <c r="F2094">
        <v>6</v>
      </c>
      <c r="G2094">
        <v>8</v>
      </c>
      <c r="H2094">
        <v>450</v>
      </c>
      <c r="I2094">
        <v>1</v>
      </c>
      <c r="J2094">
        <v>38.299999999999997</v>
      </c>
      <c r="K2094" t="s">
        <v>9</v>
      </c>
      <c r="L2094">
        <v>3591569.53</v>
      </c>
      <c r="M2094">
        <v>0</v>
      </c>
      <c r="N2094">
        <v>3591569.53</v>
      </c>
      <c r="O2094">
        <v>93774.661357702353</v>
      </c>
      <c r="P2094">
        <v>0</v>
      </c>
      <c r="Q2094">
        <v>3591569.53</v>
      </c>
      <c r="R2094">
        <v>93774.661357702353</v>
      </c>
      <c r="S2094" t="s">
        <v>65</v>
      </c>
      <c r="T2094" t="s">
        <v>8002</v>
      </c>
      <c r="U2094">
        <v>73297.337346938919</v>
      </c>
      <c r="V2094" t="s">
        <v>6312</v>
      </c>
      <c r="W2094">
        <v>45197</v>
      </c>
      <c r="X2094" t="s">
        <v>9095</v>
      </c>
      <c r="Y2094" t="s">
        <v>6</v>
      </c>
      <c r="Z2094" t="s">
        <v>17</v>
      </c>
      <c r="AA2094" t="s">
        <v>6637</v>
      </c>
      <c r="AB2094" t="s">
        <v>2509</v>
      </c>
      <c r="AC2094" t="s">
        <v>2571</v>
      </c>
      <c r="AD2094" t="s">
        <v>717</v>
      </c>
      <c r="AE2094" t="s">
        <v>6791</v>
      </c>
      <c r="AF2094" t="s">
        <v>6792</v>
      </c>
      <c r="AG2094" t="s">
        <v>6793</v>
      </c>
      <c r="AH2094" t="s">
        <v>2615</v>
      </c>
      <c r="AI2094" t="s">
        <v>2538</v>
      </c>
      <c r="AJ2094" t="s">
        <v>3921</v>
      </c>
      <c r="AK2094" t="s">
        <v>73</v>
      </c>
      <c r="AL2094" t="s">
        <v>16</v>
      </c>
      <c r="AM2094" t="s">
        <v>10</v>
      </c>
      <c r="AN2094" t="s">
        <v>717</v>
      </c>
    </row>
    <row r="2095" spans="1:40" hidden="1">
      <c r="A2095">
        <v>2094</v>
      </c>
      <c r="B2095">
        <v>2</v>
      </c>
      <c r="C2095" s="58">
        <v>45211</v>
      </c>
      <c r="D2095" t="s">
        <v>13</v>
      </c>
      <c r="E2095" t="s">
        <v>4409</v>
      </c>
      <c r="F2095">
        <v>5</v>
      </c>
      <c r="G2095">
        <v>1</v>
      </c>
      <c r="H2095">
        <v>394</v>
      </c>
      <c r="I2095">
        <v>1</v>
      </c>
      <c r="J2095">
        <v>51.71</v>
      </c>
      <c r="K2095" t="s">
        <v>9</v>
      </c>
      <c r="L2095">
        <v>4810603.0199999996</v>
      </c>
      <c r="M2095">
        <v>0</v>
      </c>
      <c r="N2095">
        <v>4810603.0199999996</v>
      </c>
      <c r="O2095">
        <v>93030.420034809504</v>
      </c>
      <c r="P2095">
        <v>0</v>
      </c>
      <c r="Q2095">
        <v>4810603.0199999996</v>
      </c>
      <c r="R2095">
        <v>93030.420034809504</v>
      </c>
      <c r="S2095" t="s">
        <v>65</v>
      </c>
      <c r="T2095" t="s">
        <v>717</v>
      </c>
      <c r="U2095" t="s">
        <v>717</v>
      </c>
      <c r="V2095" t="s">
        <v>6312</v>
      </c>
      <c r="W2095">
        <v>45204</v>
      </c>
      <c r="X2095" t="s">
        <v>9096</v>
      </c>
      <c r="Y2095" t="s">
        <v>6</v>
      </c>
      <c r="Z2095" t="s">
        <v>17</v>
      </c>
      <c r="AA2095" t="s">
        <v>6637</v>
      </c>
      <c r="AB2095" t="s">
        <v>2509</v>
      </c>
      <c r="AC2095" t="s">
        <v>2571</v>
      </c>
      <c r="AD2095" t="s">
        <v>717</v>
      </c>
      <c r="AE2095" t="s">
        <v>9097</v>
      </c>
      <c r="AF2095" t="s">
        <v>9098</v>
      </c>
      <c r="AG2095" t="s">
        <v>9099</v>
      </c>
      <c r="AH2095" t="s">
        <v>2552</v>
      </c>
      <c r="AI2095" t="s">
        <v>2877</v>
      </c>
      <c r="AJ2095" t="s">
        <v>3098</v>
      </c>
      <c r="AK2095" t="s">
        <v>20</v>
      </c>
      <c r="AL2095" t="s">
        <v>16</v>
      </c>
      <c r="AM2095" t="s">
        <v>10</v>
      </c>
      <c r="AN2095" t="s">
        <v>717</v>
      </c>
    </row>
    <row r="2096" spans="1:40" hidden="1">
      <c r="A2096">
        <v>2095</v>
      </c>
      <c r="B2096">
        <v>3</v>
      </c>
      <c r="C2096" s="58">
        <v>45211</v>
      </c>
      <c r="D2096" t="s">
        <v>7</v>
      </c>
      <c r="E2096" t="s">
        <v>2581</v>
      </c>
      <c r="F2096">
        <v>1</v>
      </c>
      <c r="G2096">
        <v>1</v>
      </c>
      <c r="H2096">
        <v>10</v>
      </c>
      <c r="I2096" t="s">
        <v>1368</v>
      </c>
      <c r="J2096">
        <v>96.31</v>
      </c>
      <c r="K2096" t="s">
        <v>9</v>
      </c>
      <c r="L2096">
        <v>11629433</v>
      </c>
      <c r="M2096">
        <v>0</v>
      </c>
      <c r="N2096">
        <v>11629433</v>
      </c>
      <c r="O2096">
        <v>120750.0051915689</v>
      </c>
      <c r="P2096">
        <v>0</v>
      </c>
      <c r="Q2096">
        <v>11629433</v>
      </c>
      <c r="R2096">
        <v>120750.0051915689</v>
      </c>
      <c r="S2096" t="s">
        <v>130</v>
      </c>
      <c r="T2096" t="s">
        <v>717</v>
      </c>
      <c r="U2096" t="s">
        <v>717</v>
      </c>
      <c r="V2096" t="s">
        <v>717</v>
      </c>
      <c r="W2096">
        <v>45210</v>
      </c>
      <c r="X2096" t="s">
        <v>9100</v>
      </c>
      <c r="Y2096" t="s">
        <v>1368</v>
      </c>
      <c r="Z2096" t="s">
        <v>17</v>
      </c>
      <c r="AA2096" t="s">
        <v>5617</v>
      </c>
      <c r="AB2096" t="s">
        <v>2509</v>
      </c>
      <c r="AC2096" t="s">
        <v>717</v>
      </c>
      <c r="AD2096" t="s">
        <v>717</v>
      </c>
      <c r="AE2096" t="s">
        <v>9101</v>
      </c>
      <c r="AF2096" t="s">
        <v>9102</v>
      </c>
      <c r="AG2096" t="s">
        <v>9103</v>
      </c>
      <c r="AH2096" t="s">
        <v>2191</v>
      </c>
      <c r="AI2096" t="s">
        <v>2538</v>
      </c>
      <c r="AJ2096" t="s">
        <v>2514</v>
      </c>
      <c r="AK2096" t="s">
        <v>1233</v>
      </c>
      <c r="AL2096" t="s">
        <v>717</v>
      </c>
      <c r="AM2096" t="s">
        <v>10</v>
      </c>
      <c r="AN2096" t="s">
        <v>717</v>
      </c>
    </row>
    <row r="2097" spans="1:40" hidden="1">
      <c r="A2097">
        <v>2096</v>
      </c>
      <c r="B2097">
        <v>4</v>
      </c>
      <c r="C2097" s="58">
        <v>45211</v>
      </c>
      <c r="D2097" t="s">
        <v>27</v>
      </c>
      <c r="E2097" t="s">
        <v>2581</v>
      </c>
      <c r="F2097">
        <v>2</v>
      </c>
      <c r="G2097">
        <v>1</v>
      </c>
      <c r="H2097">
        <v>9</v>
      </c>
      <c r="I2097" t="s">
        <v>1368</v>
      </c>
      <c r="J2097">
        <v>149.19999999999999</v>
      </c>
      <c r="K2097" t="s">
        <v>9</v>
      </c>
      <c r="L2097">
        <v>17904000</v>
      </c>
      <c r="M2097">
        <v>0</v>
      </c>
      <c r="N2097">
        <v>17904000</v>
      </c>
      <c r="O2097">
        <v>120000</v>
      </c>
      <c r="P2097">
        <v>0</v>
      </c>
      <c r="Q2097">
        <v>17904000</v>
      </c>
      <c r="R2097">
        <v>120000</v>
      </c>
      <c r="S2097" t="s">
        <v>2507</v>
      </c>
      <c r="T2097" t="s">
        <v>717</v>
      </c>
      <c r="U2097" t="s">
        <v>717</v>
      </c>
      <c r="V2097" t="s">
        <v>717</v>
      </c>
      <c r="W2097">
        <v>45210</v>
      </c>
      <c r="X2097" t="s">
        <v>9104</v>
      </c>
      <c r="Y2097" t="s">
        <v>1368</v>
      </c>
      <c r="Z2097" t="s">
        <v>17</v>
      </c>
      <c r="AA2097" t="s">
        <v>5617</v>
      </c>
      <c r="AB2097" t="s">
        <v>326</v>
      </c>
      <c r="AC2097" t="s">
        <v>717</v>
      </c>
      <c r="AD2097" t="s">
        <v>717</v>
      </c>
      <c r="AE2097" t="s">
        <v>9105</v>
      </c>
      <c r="AF2097" t="s">
        <v>9106</v>
      </c>
      <c r="AG2097" t="s">
        <v>9107</v>
      </c>
      <c r="AH2097" t="s">
        <v>2615</v>
      </c>
      <c r="AI2097" t="s">
        <v>2600</v>
      </c>
      <c r="AJ2097" t="s">
        <v>3921</v>
      </c>
      <c r="AK2097" t="s">
        <v>1233</v>
      </c>
      <c r="AL2097" t="s">
        <v>717</v>
      </c>
      <c r="AM2097" t="s">
        <v>10</v>
      </c>
      <c r="AN2097" t="s">
        <v>717</v>
      </c>
    </row>
    <row r="2098" spans="1:40" hidden="1">
      <c r="A2098">
        <v>2097</v>
      </c>
      <c r="B2098">
        <v>5</v>
      </c>
      <c r="C2098" s="58">
        <v>45212</v>
      </c>
      <c r="D2098" t="s">
        <v>7</v>
      </c>
      <c r="E2098" t="s">
        <v>2581</v>
      </c>
      <c r="F2098">
        <v>2</v>
      </c>
      <c r="G2098">
        <v>18</v>
      </c>
      <c r="H2098">
        <v>354</v>
      </c>
      <c r="I2098">
        <v>2</v>
      </c>
      <c r="J2098">
        <v>67.95</v>
      </c>
      <c r="K2098" t="s">
        <v>25</v>
      </c>
      <c r="L2098">
        <v>7150649.5499999998</v>
      </c>
      <c r="M2098">
        <v>0</v>
      </c>
      <c r="N2098">
        <v>7150649.5499999998</v>
      </c>
      <c r="O2098">
        <v>105233.9889624724</v>
      </c>
      <c r="P2098">
        <v>1494900</v>
      </c>
      <c r="Q2098">
        <v>5655749.5499999998</v>
      </c>
      <c r="R2098">
        <v>83233.988962472402</v>
      </c>
      <c r="S2098" t="s">
        <v>65</v>
      </c>
      <c r="T2098" t="s">
        <v>2941</v>
      </c>
      <c r="U2098">
        <v>300000</v>
      </c>
      <c r="V2098" t="s">
        <v>4131</v>
      </c>
      <c r="W2098">
        <v>45205</v>
      </c>
      <c r="X2098" t="s">
        <v>9108</v>
      </c>
      <c r="Y2098" t="s">
        <v>6</v>
      </c>
      <c r="Z2098" t="s">
        <v>17</v>
      </c>
      <c r="AA2098" t="s">
        <v>6637</v>
      </c>
      <c r="AB2098" t="s">
        <v>2509</v>
      </c>
      <c r="AC2098" t="s">
        <v>2571</v>
      </c>
      <c r="AD2098" t="s">
        <v>717</v>
      </c>
      <c r="AE2098" t="s">
        <v>9109</v>
      </c>
      <c r="AF2098" t="s">
        <v>9110</v>
      </c>
      <c r="AG2098" t="s">
        <v>9111</v>
      </c>
      <c r="AH2098" t="s">
        <v>2191</v>
      </c>
      <c r="AI2098" t="s">
        <v>2552</v>
      </c>
      <c r="AJ2098" t="s">
        <v>2514</v>
      </c>
      <c r="AK2098" t="s">
        <v>20</v>
      </c>
      <c r="AL2098" t="s">
        <v>16</v>
      </c>
      <c r="AM2098" t="s">
        <v>10</v>
      </c>
      <c r="AN2098" t="s">
        <v>717</v>
      </c>
    </row>
    <row r="2099" spans="1:40" hidden="1">
      <c r="A2099">
        <v>2098</v>
      </c>
      <c r="B2099">
        <v>6</v>
      </c>
      <c r="C2099" s="58">
        <v>45212</v>
      </c>
      <c r="D2099" t="s">
        <v>13</v>
      </c>
      <c r="E2099" t="s">
        <v>2581</v>
      </c>
      <c r="F2099">
        <v>3</v>
      </c>
      <c r="G2099">
        <v>24</v>
      </c>
      <c r="H2099">
        <v>385</v>
      </c>
      <c r="I2099">
        <v>2</v>
      </c>
      <c r="J2099">
        <v>56.58</v>
      </c>
      <c r="K2099" t="s">
        <v>15</v>
      </c>
      <c r="L2099">
        <v>5443388.4000000004</v>
      </c>
      <c r="M2099">
        <v>0</v>
      </c>
      <c r="N2099">
        <v>5443388.4000000004</v>
      </c>
      <c r="O2099">
        <v>96206.935312831396</v>
      </c>
      <c r="P2099">
        <v>424350</v>
      </c>
      <c r="Q2099">
        <v>5019038.4000000004</v>
      </c>
      <c r="R2099">
        <v>88706.935312831396</v>
      </c>
      <c r="S2099" t="s">
        <v>65</v>
      </c>
      <c r="T2099" t="s">
        <v>5768</v>
      </c>
      <c r="U2099">
        <v>320364.15000000002</v>
      </c>
      <c r="V2099" t="s">
        <v>4131</v>
      </c>
      <c r="W2099">
        <v>45210</v>
      </c>
      <c r="X2099" t="s">
        <v>9112</v>
      </c>
      <c r="Y2099" t="s">
        <v>6</v>
      </c>
      <c r="Z2099" t="s">
        <v>17</v>
      </c>
      <c r="AA2099" t="s">
        <v>6637</v>
      </c>
      <c r="AB2099" t="s">
        <v>2509</v>
      </c>
      <c r="AC2099" t="s">
        <v>2571</v>
      </c>
      <c r="AD2099" t="s">
        <v>717</v>
      </c>
      <c r="AE2099" t="s">
        <v>9113</v>
      </c>
      <c r="AF2099" t="s">
        <v>9114</v>
      </c>
      <c r="AG2099" t="s">
        <v>9115</v>
      </c>
      <c r="AH2099" t="s">
        <v>2615</v>
      </c>
      <c r="AI2099" t="s">
        <v>2552</v>
      </c>
      <c r="AJ2099" t="s">
        <v>2662</v>
      </c>
      <c r="AK2099" t="s">
        <v>8</v>
      </c>
      <c r="AL2099" t="s">
        <v>22</v>
      </c>
      <c r="AM2099" t="s">
        <v>10</v>
      </c>
      <c r="AN2099" t="s">
        <v>717</v>
      </c>
    </row>
    <row r="2100" spans="1:40" hidden="1">
      <c r="A2100">
        <v>2099</v>
      </c>
      <c r="B2100">
        <v>7</v>
      </c>
      <c r="C2100" s="58">
        <v>45216</v>
      </c>
      <c r="D2100" t="s">
        <v>13</v>
      </c>
      <c r="E2100" t="s">
        <v>2581</v>
      </c>
      <c r="F2100">
        <v>4</v>
      </c>
      <c r="G2100">
        <v>2</v>
      </c>
      <c r="H2100">
        <v>232</v>
      </c>
      <c r="I2100">
        <v>1</v>
      </c>
      <c r="J2100">
        <v>59.68</v>
      </c>
      <c r="K2100" t="s">
        <v>9</v>
      </c>
      <c r="L2100">
        <v>5076164.76</v>
      </c>
      <c r="M2100">
        <v>0</v>
      </c>
      <c r="N2100">
        <v>5076164.76</v>
      </c>
      <c r="O2100">
        <v>85056.380026809653</v>
      </c>
      <c r="P2100">
        <v>0</v>
      </c>
      <c r="Q2100">
        <v>5076164.76</v>
      </c>
      <c r="R2100">
        <v>85056.380026809653</v>
      </c>
      <c r="S2100" t="s">
        <v>65</v>
      </c>
      <c r="T2100" t="s">
        <v>717</v>
      </c>
      <c r="U2100" t="s">
        <v>717</v>
      </c>
      <c r="V2100" t="s">
        <v>6312</v>
      </c>
      <c r="W2100">
        <v>45211</v>
      </c>
      <c r="X2100" t="s">
        <v>9116</v>
      </c>
      <c r="Y2100" t="s">
        <v>6</v>
      </c>
      <c r="Z2100" t="s">
        <v>17</v>
      </c>
      <c r="AA2100" t="s">
        <v>6637</v>
      </c>
      <c r="AB2100" t="s">
        <v>2509</v>
      </c>
      <c r="AC2100" t="s">
        <v>2571</v>
      </c>
      <c r="AD2100" t="s">
        <v>717</v>
      </c>
      <c r="AE2100" t="s">
        <v>1728</v>
      </c>
      <c r="AF2100" t="s">
        <v>9117</v>
      </c>
      <c r="AG2100" t="s">
        <v>9118</v>
      </c>
      <c r="AH2100" t="s">
        <v>2552</v>
      </c>
      <c r="AI2100" t="s">
        <v>2877</v>
      </c>
      <c r="AJ2100" t="s">
        <v>3098</v>
      </c>
      <c r="AK2100" t="s">
        <v>14</v>
      </c>
      <c r="AL2100" t="s">
        <v>16</v>
      </c>
      <c r="AM2100" t="s">
        <v>10</v>
      </c>
      <c r="AN2100" t="s">
        <v>717</v>
      </c>
    </row>
    <row r="2101" spans="1:40" hidden="1">
      <c r="A2101">
        <v>2100</v>
      </c>
      <c r="B2101">
        <v>8</v>
      </c>
      <c r="C2101" s="58">
        <v>45217</v>
      </c>
      <c r="D2101" t="s">
        <v>13</v>
      </c>
      <c r="E2101" t="s">
        <v>2581</v>
      </c>
      <c r="F2101">
        <v>6</v>
      </c>
      <c r="G2101">
        <v>12</v>
      </c>
      <c r="H2101">
        <v>304</v>
      </c>
      <c r="I2101">
        <v>3</v>
      </c>
      <c r="J2101">
        <v>80.97</v>
      </c>
      <c r="K2101" t="s">
        <v>9</v>
      </c>
      <c r="L2101">
        <v>6480614.9100000001</v>
      </c>
      <c r="M2101">
        <v>0</v>
      </c>
      <c r="N2101">
        <v>6480614.9100000001</v>
      </c>
      <c r="O2101">
        <v>80037.234901815493</v>
      </c>
      <c r="P2101">
        <v>0</v>
      </c>
      <c r="Q2101">
        <v>6480614.9100000001</v>
      </c>
      <c r="R2101">
        <v>80037.234901815493</v>
      </c>
      <c r="S2101" t="s">
        <v>65</v>
      </c>
      <c r="T2101" t="s">
        <v>3309</v>
      </c>
      <c r="U2101">
        <v>20000</v>
      </c>
      <c r="V2101" t="s">
        <v>6312</v>
      </c>
      <c r="W2101">
        <v>45209</v>
      </c>
      <c r="X2101" t="s">
        <v>9119</v>
      </c>
      <c r="Y2101" t="s">
        <v>6</v>
      </c>
      <c r="Z2101" t="s">
        <v>17</v>
      </c>
      <c r="AA2101" t="s">
        <v>6637</v>
      </c>
      <c r="AB2101" t="s">
        <v>2509</v>
      </c>
      <c r="AC2101" t="s">
        <v>2571</v>
      </c>
      <c r="AD2101" t="s">
        <v>717</v>
      </c>
      <c r="AE2101" t="s">
        <v>9120</v>
      </c>
      <c r="AF2101" t="s">
        <v>9121</v>
      </c>
      <c r="AG2101" t="s">
        <v>9122</v>
      </c>
      <c r="AH2101" t="s">
        <v>6100</v>
      </c>
      <c r="AI2101" t="s">
        <v>5653</v>
      </c>
      <c r="AJ2101" t="s">
        <v>31</v>
      </c>
      <c r="AK2101" t="s">
        <v>20</v>
      </c>
      <c r="AL2101" t="s">
        <v>16</v>
      </c>
      <c r="AM2101" t="s">
        <v>5654</v>
      </c>
      <c r="AN2101" t="s">
        <v>717</v>
      </c>
    </row>
    <row r="2102" spans="1:40" hidden="1">
      <c r="A2102">
        <v>2101</v>
      </c>
      <c r="B2102">
        <v>9</v>
      </c>
      <c r="C2102" s="58">
        <v>45217</v>
      </c>
      <c r="D2102" t="s">
        <v>7</v>
      </c>
      <c r="E2102" t="s">
        <v>2515</v>
      </c>
      <c r="F2102">
        <v>4</v>
      </c>
      <c r="G2102">
        <v>1</v>
      </c>
      <c r="H2102">
        <v>4</v>
      </c>
      <c r="I2102" t="s">
        <v>1368</v>
      </c>
      <c r="J2102">
        <v>89.2</v>
      </c>
      <c r="K2102" t="s">
        <v>9</v>
      </c>
      <c r="L2102">
        <v>10720900</v>
      </c>
      <c r="M2102">
        <v>50000</v>
      </c>
      <c r="N2102">
        <v>10770900</v>
      </c>
      <c r="O2102">
        <v>120750</v>
      </c>
      <c r="P2102">
        <v>0</v>
      </c>
      <c r="Q2102">
        <v>10770900</v>
      </c>
      <c r="R2102">
        <v>120750</v>
      </c>
      <c r="S2102" t="s">
        <v>130</v>
      </c>
      <c r="T2102" t="s">
        <v>717</v>
      </c>
      <c r="U2102" t="s">
        <v>717</v>
      </c>
      <c r="V2102" t="s">
        <v>717</v>
      </c>
      <c r="W2102">
        <v>45212</v>
      </c>
      <c r="X2102" t="s">
        <v>9123</v>
      </c>
      <c r="Y2102" t="s">
        <v>1368</v>
      </c>
      <c r="Z2102" t="s">
        <v>17</v>
      </c>
      <c r="AA2102" t="s">
        <v>5617</v>
      </c>
      <c r="AB2102" t="s">
        <v>2509</v>
      </c>
      <c r="AC2102" t="s">
        <v>717</v>
      </c>
      <c r="AD2102" t="s">
        <v>717</v>
      </c>
      <c r="AE2102" t="s">
        <v>9124</v>
      </c>
      <c r="AF2102" t="s">
        <v>9125</v>
      </c>
      <c r="AG2102" t="s">
        <v>9126</v>
      </c>
      <c r="AH2102" t="s">
        <v>2615</v>
      </c>
      <c r="AI2102" t="s">
        <v>2521</v>
      </c>
      <c r="AJ2102" t="s">
        <v>2825</v>
      </c>
      <c r="AK2102" t="s">
        <v>73</v>
      </c>
      <c r="AL2102" t="s">
        <v>717</v>
      </c>
      <c r="AM2102" t="s">
        <v>10</v>
      </c>
      <c r="AN2102" t="s">
        <v>717</v>
      </c>
    </row>
    <row r="2103" spans="1:40" hidden="1">
      <c r="A2103">
        <v>2102</v>
      </c>
      <c r="B2103">
        <v>10</v>
      </c>
      <c r="C2103" s="58">
        <v>45217</v>
      </c>
      <c r="D2103" t="s">
        <v>13</v>
      </c>
      <c r="E2103" t="s">
        <v>2581</v>
      </c>
      <c r="F2103">
        <v>7</v>
      </c>
      <c r="G2103">
        <v>23</v>
      </c>
      <c r="H2103">
        <v>382</v>
      </c>
      <c r="I2103">
        <v>1</v>
      </c>
      <c r="J2103">
        <v>34.81</v>
      </c>
      <c r="K2103" t="s">
        <v>15</v>
      </c>
      <c r="L2103">
        <v>3494340.21</v>
      </c>
      <c r="M2103">
        <v>15000</v>
      </c>
      <c r="N2103">
        <v>3509340.21</v>
      </c>
      <c r="O2103">
        <v>100814.1399023269</v>
      </c>
      <c r="P2103">
        <v>174050</v>
      </c>
      <c r="Q2103">
        <v>3335290.21</v>
      </c>
      <c r="R2103">
        <v>95814.139902326919</v>
      </c>
      <c r="S2103" t="s">
        <v>65</v>
      </c>
      <c r="T2103" t="s">
        <v>717</v>
      </c>
      <c r="U2103" t="s">
        <v>717</v>
      </c>
      <c r="V2103" t="s">
        <v>4131</v>
      </c>
      <c r="W2103">
        <v>45212</v>
      </c>
      <c r="X2103" t="s">
        <v>9127</v>
      </c>
      <c r="Y2103" t="s">
        <v>6</v>
      </c>
      <c r="Z2103" t="s">
        <v>17</v>
      </c>
      <c r="AA2103" t="s">
        <v>6637</v>
      </c>
      <c r="AB2103" t="s">
        <v>2509</v>
      </c>
      <c r="AC2103" t="s">
        <v>2571</v>
      </c>
      <c r="AD2103" t="s">
        <v>717</v>
      </c>
      <c r="AE2103" t="s">
        <v>9128</v>
      </c>
      <c r="AF2103" t="s">
        <v>9129</v>
      </c>
      <c r="AG2103" t="s">
        <v>9130</v>
      </c>
      <c r="AH2103" t="s">
        <v>2552</v>
      </c>
      <c r="AI2103" t="s">
        <v>2547</v>
      </c>
      <c r="AJ2103" t="s">
        <v>2855</v>
      </c>
      <c r="AK2103" t="s">
        <v>20</v>
      </c>
      <c r="AL2103" t="s">
        <v>16</v>
      </c>
      <c r="AM2103" t="s">
        <v>10</v>
      </c>
      <c r="AN2103" t="s">
        <v>717</v>
      </c>
    </row>
    <row r="2104" spans="1:40" hidden="1">
      <c r="A2104">
        <v>2103</v>
      </c>
      <c r="B2104">
        <v>11</v>
      </c>
      <c r="C2104" s="58">
        <v>45217</v>
      </c>
      <c r="D2104" t="s">
        <v>7</v>
      </c>
      <c r="E2104" t="s">
        <v>2515</v>
      </c>
      <c r="F2104">
        <v>1</v>
      </c>
      <c r="G2104">
        <v>1</v>
      </c>
      <c r="H2104">
        <v>1</v>
      </c>
      <c r="I2104" t="s">
        <v>1368</v>
      </c>
      <c r="J2104">
        <v>90.98</v>
      </c>
      <c r="K2104" t="s">
        <v>9</v>
      </c>
      <c r="L2104">
        <v>10985835</v>
      </c>
      <c r="M2104">
        <v>0</v>
      </c>
      <c r="N2104">
        <v>10985835</v>
      </c>
      <c r="O2104">
        <v>120750</v>
      </c>
      <c r="P2104">
        <v>0</v>
      </c>
      <c r="Q2104">
        <v>10985835</v>
      </c>
      <c r="R2104">
        <v>120750</v>
      </c>
      <c r="S2104" t="s">
        <v>130</v>
      </c>
      <c r="T2104" t="s">
        <v>717</v>
      </c>
      <c r="U2104" t="s">
        <v>717</v>
      </c>
      <c r="V2104" t="s">
        <v>717</v>
      </c>
      <c r="W2104">
        <v>45216</v>
      </c>
      <c r="X2104" t="s">
        <v>9131</v>
      </c>
      <c r="Y2104" t="s">
        <v>1368</v>
      </c>
      <c r="Z2104" t="s">
        <v>17</v>
      </c>
      <c r="AA2104" t="s">
        <v>5617</v>
      </c>
      <c r="AB2104" t="s">
        <v>2509</v>
      </c>
      <c r="AC2104" t="s">
        <v>717</v>
      </c>
      <c r="AD2104" t="s">
        <v>717</v>
      </c>
      <c r="AE2104" t="s">
        <v>9132</v>
      </c>
      <c r="AF2104" t="s">
        <v>9133</v>
      </c>
      <c r="AG2104" t="s">
        <v>9134</v>
      </c>
      <c r="AH2104" t="s">
        <v>2580</v>
      </c>
      <c r="AI2104" t="s">
        <v>2600</v>
      </c>
      <c r="AJ2104" t="s">
        <v>3921</v>
      </c>
      <c r="AK2104" t="s">
        <v>1233</v>
      </c>
      <c r="AL2104" t="s">
        <v>717</v>
      </c>
      <c r="AM2104" t="s">
        <v>10</v>
      </c>
      <c r="AN2104" t="s">
        <v>717</v>
      </c>
    </row>
    <row r="2105" spans="1:40" hidden="1">
      <c r="A2105">
        <v>2104</v>
      </c>
      <c r="B2105">
        <v>12</v>
      </c>
      <c r="C2105" s="58">
        <v>45217</v>
      </c>
      <c r="D2105" t="s">
        <v>7</v>
      </c>
      <c r="E2105" t="s">
        <v>2515</v>
      </c>
      <c r="F2105">
        <v>2</v>
      </c>
      <c r="G2105">
        <v>1</v>
      </c>
      <c r="H2105">
        <v>2</v>
      </c>
      <c r="I2105" t="s">
        <v>1368</v>
      </c>
      <c r="J2105">
        <v>88.73</v>
      </c>
      <c r="K2105" t="s">
        <v>9</v>
      </c>
      <c r="L2105">
        <v>10714148</v>
      </c>
      <c r="M2105">
        <v>0</v>
      </c>
      <c r="N2105">
        <v>10714148</v>
      </c>
      <c r="O2105">
        <v>120750.00563507268</v>
      </c>
      <c r="P2105">
        <v>0</v>
      </c>
      <c r="Q2105">
        <v>10714148</v>
      </c>
      <c r="R2105">
        <v>120750.00563507268</v>
      </c>
      <c r="S2105" t="s">
        <v>130</v>
      </c>
      <c r="T2105" t="s">
        <v>717</v>
      </c>
      <c r="U2105" t="s">
        <v>717</v>
      </c>
      <c r="V2105" t="s">
        <v>717</v>
      </c>
      <c r="W2105">
        <v>45216</v>
      </c>
      <c r="X2105" t="s">
        <v>9135</v>
      </c>
      <c r="Y2105" t="s">
        <v>1368</v>
      </c>
      <c r="Z2105" t="s">
        <v>17</v>
      </c>
      <c r="AA2105" t="s">
        <v>5617</v>
      </c>
      <c r="AB2105" t="s">
        <v>2509</v>
      </c>
      <c r="AC2105" t="s">
        <v>717</v>
      </c>
      <c r="AD2105" t="s">
        <v>717</v>
      </c>
      <c r="AE2105" t="s">
        <v>9132</v>
      </c>
      <c r="AF2105" t="s">
        <v>9102</v>
      </c>
      <c r="AG2105" t="s">
        <v>9134</v>
      </c>
      <c r="AH2105" t="s">
        <v>2580</v>
      </c>
      <c r="AI2105" t="s">
        <v>2538</v>
      </c>
      <c r="AJ2105" t="s">
        <v>3921</v>
      </c>
      <c r="AK2105" t="s">
        <v>1233</v>
      </c>
      <c r="AL2105" t="s">
        <v>717</v>
      </c>
      <c r="AM2105" t="s">
        <v>10</v>
      </c>
      <c r="AN2105" t="s">
        <v>717</v>
      </c>
    </row>
    <row r="2106" spans="1:40" hidden="1">
      <c r="A2106">
        <v>2105</v>
      </c>
      <c r="B2106">
        <v>13</v>
      </c>
      <c r="C2106" s="58">
        <v>45219</v>
      </c>
      <c r="D2106" t="s">
        <v>7</v>
      </c>
      <c r="E2106" t="s">
        <v>2515</v>
      </c>
      <c r="F2106">
        <v>3</v>
      </c>
      <c r="G2106">
        <v>1</v>
      </c>
      <c r="H2106">
        <v>3</v>
      </c>
      <c r="I2106" t="s">
        <v>1368</v>
      </c>
      <c r="J2106">
        <v>100.75</v>
      </c>
      <c r="K2106" t="s">
        <v>9</v>
      </c>
      <c r="L2106">
        <v>12165563</v>
      </c>
      <c r="M2106">
        <v>0</v>
      </c>
      <c r="N2106">
        <v>12165563</v>
      </c>
      <c r="O2106">
        <v>120750.00496277916</v>
      </c>
      <c r="P2106">
        <v>0</v>
      </c>
      <c r="Q2106">
        <v>12165563</v>
      </c>
      <c r="R2106">
        <v>120750.00496277916</v>
      </c>
      <c r="S2106" t="s">
        <v>130</v>
      </c>
      <c r="T2106" t="s">
        <v>717</v>
      </c>
      <c r="U2106" t="s">
        <v>717</v>
      </c>
      <c r="V2106" t="s">
        <v>717</v>
      </c>
      <c r="W2106">
        <v>45216</v>
      </c>
      <c r="X2106" t="s">
        <v>9136</v>
      </c>
      <c r="Y2106" t="s">
        <v>1368</v>
      </c>
      <c r="Z2106" t="s">
        <v>17</v>
      </c>
      <c r="AA2106" t="s">
        <v>5617</v>
      </c>
      <c r="AB2106" t="s">
        <v>2509</v>
      </c>
      <c r="AC2106" t="s">
        <v>717</v>
      </c>
      <c r="AD2106" t="s">
        <v>717</v>
      </c>
      <c r="AE2106" t="s">
        <v>9137</v>
      </c>
      <c r="AF2106" t="s">
        <v>9138</v>
      </c>
      <c r="AG2106" t="s">
        <v>9139</v>
      </c>
      <c r="AH2106" t="s">
        <v>2615</v>
      </c>
      <c r="AI2106" t="s">
        <v>2552</v>
      </c>
      <c r="AJ2106" t="s">
        <v>3202</v>
      </c>
      <c r="AK2106" t="s">
        <v>73</v>
      </c>
      <c r="AL2106" t="s">
        <v>717</v>
      </c>
      <c r="AM2106" t="s">
        <v>10</v>
      </c>
      <c r="AN2106" t="s">
        <v>717</v>
      </c>
    </row>
    <row r="2107" spans="1:40" hidden="1">
      <c r="A2107">
        <v>2106</v>
      </c>
      <c r="B2107">
        <v>14</v>
      </c>
      <c r="C2107" s="58">
        <v>45222</v>
      </c>
      <c r="D2107" t="s">
        <v>7</v>
      </c>
      <c r="E2107" t="s">
        <v>4409</v>
      </c>
      <c r="F2107">
        <v>4</v>
      </c>
      <c r="G2107">
        <v>9</v>
      </c>
      <c r="H2107">
        <v>468</v>
      </c>
      <c r="I2107">
        <v>1</v>
      </c>
      <c r="J2107">
        <v>36.5</v>
      </c>
      <c r="K2107" t="s">
        <v>25</v>
      </c>
      <c r="L2107">
        <v>4852592.51</v>
      </c>
      <c r="M2107">
        <v>0</v>
      </c>
      <c r="N2107">
        <v>4852592.51</v>
      </c>
      <c r="O2107">
        <v>132947.74</v>
      </c>
      <c r="P2107">
        <v>803000</v>
      </c>
      <c r="Q2107">
        <v>4049592.51</v>
      </c>
      <c r="R2107">
        <v>110947.74</v>
      </c>
      <c r="S2107" t="s">
        <v>65</v>
      </c>
      <c r="T2107" t="s">
        <v>717</v>
      </c>
      <c r="U2107" t="s">
        <v>717</v>
      </c>
      <c r="V2107" t="s">
        <v>4131</v>
      </c>
      <c r="W2107">
        <v>45216</v>
      </c>
      <c r="X2107" t="s">
        <v>9140</v>
      </c>
      <c r="Y2107" t="s">
        <v>6</v>
      </c>
      <c r="Z2107" t="s">
        <v>17</v>
      </c>
      <c r="AA2107" t="s">
        <v>6637</v>
      </c>
      <c r="AB2107" t="s">
        <v>2509</v>
      </c>
      <c r="AC2107" t="s">
        <v>2571</v>
      </c>
      <c r="AD2107" t="s">
        <v>717</v>
      </c>
      <c r="AE2107" t="s">
        <v>9141</v>
      </c>
      <c r="AF2107" t="s">
        <v>9142</v>
      </c>
      <c r="AG2107" t="s">
        <v>9143</v>
      </c>
      <c r="AH2107" t="s">
        <v>2615</v>
      </c>
      <c r="AI2107" t="s">
        <v>2552</v>
      </c>
      <c r="AJ2107" t="s">
        <v>2569</v>
      </c>
      <c r="AK2107" t="s">
        <v>1233</v>
      </c>
      <c r="AL2107" t="s">
        <v>16</v>
      </c>
      <c r="AM2107" t="s">
        <v>10</v>
      </c>
      <c r="AN2107" t="s">
        <v>717</v>
      </c>
    </row>
    <row r="2108" spans="1:40" hidden="1">
      <c r="A2108">
        <v>2107</v>
      </c>
      <c r="B2108">
        <v>15</v>
      </c>
      <c r="C2108" s="58">
        <v>45222</v>
      </c>
      <c r="D2108" t="s">
        <v>13</v>
      </c>
      <c r="E2108" t="s">
        <v>2581</v>
      </c>
      <c r="F2108">
        <v>4</v>
      </c>
      <c r="G2108">
        <v>17</v>
      </c>
      <c r="H2108">
        <v>337</v>
      </c>
      <c r="I2108">
        <v>2</v>
      </c>
      <c r="J2108">
        <v>60.24</v>
      </c>
      <c r="K2108" t="s">
        <v>15</v>
      </c>
      <c r="L2108">
        <v>5541702.3799999999</v>
      </c>
      <c r="M2108">
        <v>0</v>
      </c>
      <c r="N2108">
        <v>5541702.3799999999</v>
      </c>
      <c r="O2108">
        <v>91993.731407702522</v>
      </c>
      <c r="P2108">
        <v>451800</v>
      </c>
      <c r="Q2108">
        <v>5089902.38</v>
      </c>
      <c r="R2108">
        <v>84493.731407702522</v>
      </c>
      <c r="S2108" t="s">
        <v>65</v>
      </c>
      <c r="T2108" t="s">
        <v>5768</v>
      </c>
      <c r="U2108">
        <v>267889.59999999998</v>
      </c>
      <c r="V2108" t="s">
        <v>6312</v>
      </c>
      <c r="W2108">
        <v>45217</v>
      </c>
      <c r="X2108" t="s">
        <v>9144</v>
      </c>
      <c r="Y2108" t="s">
        <v>6</v>
      </c>
      <c r="Z2108" t="s">
        <v>17</v>
      </c>
      <c r="AA2108" t="s">
        <v>6637</v>
      </c>
      <c r="AB2108" t="s">
        <v>2509</v>
      </c>
      <c r="AC2108" t="s">
        <v>2571</v>
      </c>
      <c r="AD2108" t="s">
        <v>717</v>
      </c>
      <c r="AE2108" t="s">
        <v>9145</v>
      </c>
      <c r="AF2108" t="s">
        <v>9146</v>
      </c>
      <c r="AG2108" t="s">
        <v>9147</v>
      </c>
      <c r="AH2108" t="s">
        <v>2615</v>
      </c>
      <c r="AI2108" t="s">
        <v>2552</v>
      </c>
      <c r="AJ2108" t="s">
        <v>4799</v>
      </c>
      <c r="AK2108" t="s">
        <v>8</v>
      </c>
      <c r="AL2108" t="s">
        <v>16</v>
      </c>
      <c r="AM2108" t="s">
        <v>10</v>
      </c>
      <c r="AN2108" t="s">
        <v>717</v>
      </c>
    </row>
    <row r="2109" spans="1:40" hidden="1">
      <c r="A2109">
        <v>2108</v>
      </c>
      <c r="B2109">
        <v>16</v>
      </c>
      <c r="C2109" s="58">
        <v>45223</v>
      </c>
      <c r="D2109" t="s">
        <v>13</v>
      </c>
      <c r="E2109" t="s">
        <v>2515</v>
      </c>
      <c r="F2109">
        <v>6</v>
      </c>
      <c r="G2109">
        <v>1</v>
      </c>
      <c r="H2109">
        <v>6</v>
      </c>
      <c r="I2109">
        <v>1</v>
      </c>
      <c r="J2109">
        <v>42.75</v>
      </c>
      <c r="K2109" t="s">
        <v>25</v>
      </c>
      <c r="L2109">
        <v>4962178.16</v>
      </c>
      <c r="M2109">
        <v>15000</v>
      </c>
      <c r="N2109">
        <v>4977178.16</v>
      </c>
      <c r="O2109">
        <v>116425.22011695908</v>
      </c>
      <c r="P2109">
        <v>940500</v>
      </c>
      <c r="Q2109">
        <v>4036678.16</v>
      </c>
      <c r="R2109">
        <v>94425.220116959084</v>
      </c>
      <c r="S2109" t="s">
        <v>65</v>
      </c>
      <c r="T2109" t="s">
        <v>717</v>
      </c>
      <c r="U2109" t="s">
        <v>717</v>
      </c>
      <c r="V2109" t="s">
        <v>1970</v>
      </c>
      <c r="W2109">
        <v>45190</v>
      </c>
      <c r="X2109" t="s">
        <v>9148</v>
      </c>
      <c r="Y2109" t="s">
        <v>6</v>
      </c>
      <c r="Z2109" t="s">
        <v>11</v>
      </c>
      <c r="AA2109" t="s">
        <v>717</v>
      </c>
      <c r="AB2109" t="s">
        <v>2509</v>
      </c>
      <c r="AC2109" t="s">
        <v>5105</v>
      </c>
      <c r="AD2109" t="s">
        <v>717</v>
      </c>
      <c r="AE2109" t="s">
        <v>9149</v>
      </c>
      <c r="AF2109" t="s">
        <v>9150</v>
      </c>
      <c r="AG2109" t="s">
        <v>9151</v>
      </c>
      <c r="AH2109" t="s">
        <v>2615</v>
      </c>
      <c r="AI2109" t="s">
        <v>2552</v>
      </c>
      <c r="AJ2109" t="s">
        <v>2940</v>
      </c>
      <c r="AK2109" t="s">
        <v>77</v>
      </c>
      <c r="AL2109" t="s">
        <v>16</v>
      </c>
      <c r="AM2109" t="s">
        <v>10</v>
      </c>
      <c r="AN2109" t="s">
        <v>717</v>
      </c>
    </row>
    <row r="2110" spans="1:40" hidden="1">
      <c r="A2110">
        <v>2109</v>
      </c>
      <c r="B2110">
        <v>17</v>
      </c>
      <c r="C2110" s="58">
        <v>45224</v>
      </c>
      <c r="D2110" t="s">
        <v>7</v>
      </c>
      <c r="E2110" t="s">
        <v>4409</v>
      </c>
      <c r="F2110">
        <v>9</v>
      </c>
      <c r="G2110">
        <v>7</v>
      </c>
      <c r="H2110">
        <v>455</v>
      </c>
      <c r="I2110">
        <v>1</v>
      </c>
      <c r="J2110">
        <v>44.37</v>
      </c>
      <c r="K2110" t="s">
        <v>9</v>
      </c>
      <c r="L2110">
        <v>4237843.6500000004</v>
      </c>
      <c r="M2110">
        <v>15000</v>
      </c>
      <c r="N2110">
        <v>4252843.6500000004</v>
      </c>
      <c r="O2110">
        <v>95849.530087897248</v>
      </c>
      <c r="P2110">
        <v>0</v>
      </c>
      <c r="Q2110">
        <v>4252843.6500000004</v>
      </c>
      <c r="R2110">
        <v>95849.530087897248</v>
      </c>
      <c r="S2110" t="s">
        <v>65</v>
      </c>
      <c r="T2110" t="s">
        <v>717</v>
      </c>
      <c r="U2110" t="s">
        <v>717</v>
      </c>
      <c r="V2110" t="s">
        <v>6312</v>
      </c>
      <c r="W2110">
        <v>45209</v>
      </c>
      <c r="X2110" t="s">
        <v>9152</v>
      </c>
      <c r="Y2110" t="s">
        <v>6</v>
      </c>
      <c r="Z2110" t="s">
        <v>17</v>
      </c>
      <c r="AA2110" t="s">
        <v>6637</v>
      </c>
      <c r="AB2110" t="s">
        <v>2509</v>
      </c>
      <c r="AC2110" t="s">
        <v>2571</v>
      </c>
      <c r="AD2110" t="s">
        <v>717</v>
      </c>
      <c r="AE2110" t="s">
        <v>9153</v>
      </c>
      <c r="AF2110" t="s">
        <v>9154</v>
      </c>
      <c r="AG2110" t="s">
        <v>9155</v>
      </c>
      <c r="AH2110" t="s">
        <v>2191</v>
      </c>
      <c r="AI2110" t="s">
        <v>2538</v>
      </c>
      <c r="AJ2110" t="s">
        <v>2514</v>
      </c>
      <c r="AK2110" t="s">
        <v>73</v>
      </c>
      <c r="AL2110" t="s">
        <v>22</v>
      </c>
      <c r="AM2110" t="s">
        <v>10</v>
      </c>
      <c r="AN2110" t="s">
        <v>717</v>
      </c>
    </row>
    <row r="2111" spans="1:40" hidden="1">
      <c r="A2111">
        <v>2110</v>
      </c>
      <c r="B2111">
        <v>18</v>
      </c>
      <c r="C2111" s="58">
        <v>45224</v>
      </c>
      <c r="D2111" t="s">
        <v>13</v>
      </c>
      <c r="E2111" t="s">
        <v>2515</v>
      </c>
      <c r="F2111">
        <v>7</v>
      </c>
      <c r="G2111">
        <v>15</v>
      </c>
      <c r="H2111">
        <v>104</v>
      </c>
      <c r="I2111">
        <v>1</v>
      </c>
      <c r="J2111">
        <v>42.75</v>
      </c>
      <c r="K2111" t="s">
        <v>25</v>
      </c>
      <c r="L2111">
        <v>4977178.16</v>
      </c>
      <c r="M2111">
        <v>0</v>
      </c>
      <c r="N2111">
        <v>4977178.16</v>
      </c>
      <c r="O2111">
        <v>116425.22011695908</v>
      </c>
      <c r="P2111">
        <v>940500</v>
      </c>
      <c r="Q2111">
        <v>4036678.16</v>
      </c>
      <c r="R2111">
        <v>94425.220116959084</v>
      </c>
      <c r="S2111" t="s">
        <v>65</v>
      </c>
      <c r="T2111" t="s">
        <v>717</v>
      </c>
      <c r="U2111" t="s">
        <v>717</v>
      </c>
      <c r="V2111" t="s">
        <v>6312</v>
      </c>
      <c r="W2111">
        <v>45222</v>
      </c>
      <c r="X2111" t="s">
        <v>9156</v>
      </c>
      <c r="Y2111" t="s">
        <v>6</v>
      </c>
      <c r="Z2111" t="s">
        <v>17</v>
      </c>
      <c r="AA2111" t="s">
        <v>6637</v>
      </c>
      <c r="AB2111" t="s">
        <v>2509</v>
      </c>
      <c r="AC2111" t="s">
        <v>2571</v>
      </c>
      <c r="AD2111" t="s">
        <v>717</v>
      </c>
      <c r="AE2111" t="s">
        <v>9157</v>
      </c>
      <c r="AF2111" t="s">
        <v>9158</v>
      </c>
      <c r="AG2111" t="s">
        <v>9159</v>
      </c>
      <c r="AH2111" t="s">
        <v>2191</v>
      </c>
      <c r="AI2111" t="s">
        <v>2656</v>
      </c>
      <c r="AJ2111" t="s">
        <v>2514</v>
      </c>
      <c r="AK2111" t="s">
        <v>8</v>
      </c>
      <c r="AL2111" t="s">
        <v>16</v>
      </c>
      <c r="AM2111" t="s">
        <v>10</v>
      </c>
      <c r="AN2111" t="s">
        <v>717</v>
      </c>
    </row>
    <row r="2112" spans="1:40" hidden="1">
      <c r="A2112">
        <v>2111</v>
      </c>
      <c r="B2112">
        <v>19</v>
      </c>
      <c r="C2112" s="58">
        <v>45225</v>
      </c>
      <c r="D2112" t="s">
        <v>13</v>
      </c>
      <c r="E2112" t="s">
        <v>2515</v>
      </c>
      <c r="F2112">
        <v>5</v>
      </c>
      <c r="G2112">
        <v>14</v>
      </c>
      <c r="H2112">
        <v>95</v>
      </c>
      <c r="I2112">
        <v>2</v>
      </c>
      <c r="J2112">
        <v>62.17</v>
      </c>
      <c r="K2112" t="s">
        <v>15</v>
      </c>
      <c r="L2112">
        <v>5757929.9400000004</v>
      </c>
      <c r="M2112">
        <v>0</v>
      </c>
      <c r="N2112">
        <v>5757929.9400000004</v>
      </c>
      <c r="O2112">
        <v>92615.890944185303</v>
      </c>
      <c r="P2112">
        <v>466275</v>
      </c>
      <c r="Q2112">
        <v>5291654.9400000004</v>
      </c>
      <c r="R2112">
        <v>85115.890944185303</v>
      </c>
      <c r="S2112" t="s">
        <v>65</v>
      </c>
      <c r="T2112" t="s">
        <v>2664</v>
      </c>
      <c r="U2112">
        <v>107992.96000000001</v>
      </c>
      <c r="V2112" t="s">
        <v>6312</v>
      </c>
      <c r="W2112">
        <v>45224</v>
      </c>
      <c r="X2112" t="s">
        <v>9160</v>
      </c>
      <c r="Y2112" t="s">
        <v>6</v>
      </c>
      <c r="Z2112" t="s">
        <v>17</v>
      </c>
      <c r="AA2112" t="s">
        <v>5617</v>
      </c>
      <c r="AB2112" t="s">
        <v>2509</v>
      </c>
      <c r="AC2112" t="s">
        <v>5105</v>
      </c>
      <c r="AD2112" t="s">
        <v>717</v>
      </c>
      <c r="AE2112" t="s">
        <v>9161</v>
      </c>
      <c r="AF2112" t="s">
        <v>9162</v>
      </c>
      <c r="AG2112" t="s">
        <v>9163</v>
      </c>
      <c r="AH2112" t="s">
        <v>2615</v>
      </c>
      <c r="AI2112" t="s">
        <v>2552</v>
      </c>
      <c r="AJ2112" t="s">
        <v>2825</v>
      </c>
      <c r="AK2112" t="s">
        <v>20</v>
      </c>
      <c r="AL2112" t="s">
        <v>22</v>
      </c>
      <c r="AM2112" t="s">
        <v>10</v>
      </c>
      <c r="AN2112" t="s">
        <v>717</v>
      </c>
    </row>
    <row r="2113" spans="1:40" hidden="1">
      <c r="A2113">
        <v>2112</v>
      </c>
      <c r="B2113">
        <v>20</v>
      </c>
      <c r="C2113" s="58">
        <v>45226</v>
      </c>
      <c r="D2113" t="s">
        <v>7</v>
      </c>
      <c r="E2113" t="s">
        <v>2506</v>
      </c>
      <c r="F2113">
        <v>4</v>
      </c>
      <c r="G2113">
        <v>5</v>
      </c>
      <c r="H2113">
        <v>148</v>
      </c>
      <c r="I2113">
        <v>1</v>
      </c>
      <c r="J2113">
        <v>37.81</v>
      </c>
      <c r="K2113" t="s">
        <v>9</v>
      </c>
      <c r="L2113">
        <v>3995175.5</v>
      </c>
      <c r="M2113">
        <v>0</v>
      </c>
      <c r="N2113">
        <v>3995175.5</v>
      </c>
      <c r="O2113">
        <v>105664.51996826236</v>
      </c>
      <c r="P2113">
        <v>0</v>
      </c>
      <c r="Q2113">
        <v>3995175.5</v>
      </c>
      <c r="R2113">
        <v>105664.51996826236</v>
      </c>
      <c r="S2113" t="s">
        <v>65</v>
      </c>
      <c r="T2113" t="s">
        <v>717</v>
      </c>
      <c r="U2113" t="s">
        <v>717</v>
      </c>
      <c r="V2113" t="s">
        <v>4131</v>
      </c>
      <c r="W2113">
        <v>45216</v>
      </c>
      <c r="X2113" t="s">
        <v>9164</v>
      </c>
      <c r="Y2113" t="s">
        <v>6</v>
      </c>
      <c r="Z2113" t="s">
        <v>17</v>
      </c>
      <c r="AA2113" t="s">
        <v>6637</v>
      </c>
      <c r="AB2113" t="s">
        <v>2509</v>
      </c>
      <c r="AC2113" t="s">
        <v>2571</v>
      </c>
      <c r="AD2113" t="s">
        <v>717</v>
      </c>
      <c r="AE2113" t="s">
        <v>9165</v>
      </c>
      <c r="AF2113" t="s">
        <v>9166</v>
      </c>
      <c r="AG2113" t="s">
        <v>9167</v>
      </c>
      <c r="AH2113" t="s">
        <v>2615</v>
      </c>
      <c r="AI2113" t="s">
        <v>2706</v>
      </c>
      <c r="AJ2113" t="s">
        <v>2940</v>
      </c>
      <c r="AK2113" t="s">
        <v>20</v>
      </c>
      <c r="AL2113" t="s">
        <v>22</v>
      </c>
      <c r="AM2113" t="s">
        <v>10</v>
      </c>
      <c r="AN2113" t="s">
        <v>717</v>
      </c>
    </row>
    <row r="2114" spans="1:40" hidden="1">
      <c r="A2114">
        <v>2113</v>
      </c>
      <c r="B2114">
        <v>21</v>
      </c>
      <c r="C2114" s="58">
        <v>45226</v>
      </c>
      <c r="D2114" t="s">
        <v>7</v>
      </c>
      <c r="E2114" t="s">
        <v>2506</v>
      </c>
      <c r="F2114">
        <v>6</v>
      </c>
      <c r="G2114">
        <v>12</v>
      </c>
      <c r="H2114">
        <v>206</v>
      </c>
      <c r="I2114">
        <v>1</v>
      </c>
      <c r="J2114">
        <v>36.659999999999997</v>
      </c>
      <c r="K2114" t="s">
        <v>9</v>
      </c>
      <c r="L2114">
        <v>4106833.2</v>
      </c>
      <c r="M2114">
        <v>0</v>
      </c>
      <c r="N2114">
        <v>4106833.2</v>
      </c>
      <c r="O2114">
        <v>112024.90998363341</v>
      </c>
      <c r="P2114">
        <v>0</v>
      </c>
      <c r="Q2114">
        <v>4106833.2</v>
      </c>
      <c r="R2114">
        <v>112024.90998363341</v>
      </c>
      <c r="S2114" t="s">
        <v>65</v>
      </c>
      <c r="T2114" t="s">
        <v>717</v>
      </c>
      <c r="U2114" t="s">
        <v>717</v>
      </c>
      <c r="V2114" t="s">
        <v>6312</v>
      </c>
      <c r="W2114">
        <v>45222</v>
      </c>
      <c r="X2114" t="s">
        <v>9168</v>
      </c>
      <c r="Y2114" t="s">
        <v>6</v>
      </c>
      <c r="Z2114" t="s">
        <v>17</v>
      </c>
      <c r="AA2114" t="s">
        <v>6637</v>
      </c>
      <c r="AB2114" t="s">
        <v>2509</v>
      </c>
      <c r="AC2114" t="s">
        <v>2571</v>
      </c>
      <c r="AD2114" t="s">
        <v>717</v>
      </c>
      <c r="AE2114" t="s">
        <v>9169</v>
      </c>
      <c r="AF2114" t="s">
        <v>9170</v>
      </c>
      <c r="AG2114" t="s">
        <v>9171</v>
      </c>
      <c r="AH2114" t="s">
        <v>2615</v>
      </c>
      <c r="AI2114" t="s">
        <v>2552</v>
      </c>
      <c r="AJ2114" t="s">
        <v>2642</v>
      </c>
      <c r="AK2114" t="s">
        <v>1233</v>
      </c>
      <c r="AL2114" t="s">
        <v>16</v>
      </c>
      <c r="AM2114" t="s">
        <v>10</v>
      </c>
      <c r="AN2114" t="s">
        <v>717</v>
      </c>
    </row>
    <row r="2115" spans="1:40" hidden="1">
      <c r="A2115">
        <v>2114</v>
      </c>
      <c r="B2115">
        <v>22</v>
      </c>
      <c r="C2115" s="58">
        <v>45226</v>
      </c>
      <c r="D2115" t="s">
        <v>7</v>
      </c>
      <c r="E2115" t="s">
        <v>2581</v>
      </c>
      <c r="F2115">
        <v>4</v>
      </c>
      <c r="G2115">
        <v>9</v>
      </c>
      <c r="H2115">
        <v>293</v>
      </c>
      <c r="I2115">
        <v>2</v>
      </c>
      <c r="J2115">
        <v>58.55</v>
      </c>
      <c r="K2115" t="s">
        <v>15</v>
      </c>
      <c r="L2115">
        <v>5624054.3899999997</v>
      </c>
      <c r="M2115">
        <v>0</v>
      </c>
      <c r="N2115">
        <v>5624054.3899999997</v>
      </c>
      <c r="O2115">
        <v>96055.583091374894</v>
      </c>
      <c r="P2115">
        <v>439125</v>
      </c>
      <c r="Q2115">
        <v>5184929.3899999997</v>
      </c>
      <c r="R2115">
        <v>88555.583091374894</v>
      </c>
      <c r="S2115" t="s">
        <v>65</v>
      </c>
      <c r="T2115" t="s">
        <v>2664</v>
      </c>
      <c r="U2115">
        <v>105814.89</v>
      </c>
      <c r="V2115" t="s">
        <v>6312</v>
      </c>
      <c r="W2115">
        <v>45223</v>
      </c>
      <c r="X2115" t="s">
        <v>9172</v>
      </c>
      <c r="Y2115" t="s">
        <v>6</v>
      </c>
      <c r="Z2115" t="s">
        <v>17</v>
      </c>
      <c r="AA2115" t="s">
        <v>6637</v>
      </c>
      <c r="AB2115" t="s">
        <v>2509</v>
      </c>
      <c r="AC2115" t="s">
        <v>2571</v>
      </c>
      <c r="AD2115" t="s">
        <v>717</v>
      </c>
      <c r="AE2115" t="s">
        <v>9173</v>
      </c>
      <c r="AF2115" t="s">
        <v>9174</v>
      </c>
      <c r="AG2115" t="s">
        <v>9175</v>
      </c>
      <c r="AH2115" t="s">
        <v>2615</v>
      </c>
      <c r="AI2115" t="s">
        <v>2552</v>
      </c>
      <c r="AJ2115" t="s">
        <v>2662</v>
      </c>
      <c r="AK2115" t="s">
        <v>8</v>
      </c>
      <c r="AL2115" t="s">
        <v>16</v>
      </c>
      <c r="AM2115" t="s">
        <v>10</v>
      </c>
      <c r="AN2115" t="s">
        <v>717</v>
      </c>
    </row>
    <row r="2116" spans="1:40" hidden="1">
      <c r="A2116">
        <v>2115</v>
      </c>
      <c r="B2116">
        <v>23</v>
      </c>
      <c r="C2116" s="58">
        <v>45229</v>
      </c>
      <c r="D2116" t="s">
        <v>7</v>
      </c>
      <c r="E2116" t="s">
        <v>4409</v>
      </c>
      <c r="F2116">
        <v>7</v>
      </c>
      <c r="G2116">
        <v>3</v>
      </c>
      <c r="H2116">
        <v>417</v>
      </c>
      <c r="I2116">
        <v>2</v>
      </c>
      <c r="J2116">
        <v>67.489999999999995</v>
      </c>
      <c r="K2116" t="s">
        <v>15</v>
      </c>
      <c r="L2116">
        <v>5923471.0099999998</v>
      </c>
      <c r="M2116">
        <v>15000</v>
      </c>
      <c r="N2116">
        <v>5938471.0099999998</v>
      </c>
      <c r="O2116">
        <v>87990.383908727221</v>
      </c>
      <c r="P2116">
        <v>506174.99999999994</v>
      </c>
      <c r="Q2116">
        <v>5432296.0099999998</v>
      </c>
      <c r="R2116">
        <v>80490.383908727221</v>
      </c>
      <c r="S2116" t="s">
        <v>65</v>
      </c>
      <c r="T2116" t="s">
        <v>5768</v>
      </c>
      <c r="U2116">
        <v>603588.44999999995</v>
      </c>
      <c r="V2116" t="s">
        <v>1970</v>
      </c>
      <c r="W2116">
        <v>45197</v>
      </c>
      <c r="X2116" t="s">
        <v>9176</v>
      </c>
      <c r="Y2116" t="s">
        <v>6</v>
      </c>
      <c r="Z2116" t="s">
        <v>11</v>
      </c>
      <c r="AA2116" t="s">
        <v>717</v>
      </c>
      <c r="AB2116" t="s">
        <v>2509</v>
      </c>
      <c r="AC2116" t="s">
        <v>5105</v>
      </c>
      <c r="AD2116" t="s">
        <v>717</v>
      </c>
      <c r="AE2116" t="s">
        <v>9177</v>
      </c>
      <c r="AF2116" t="s">
        <v>9178</v>
      </c>
      <c r="AG2116" t="s">
        <v>9179</v>
      </c>
      <c r="AH2116" t="s">
        <v>2191</v>
      </c>
      <c r="AI2116" t="s">
        <v>2706</v>
      </c>
      <c r="AJ2116" t="s">
        <v>2514</v>
      </c>
      <c r="AK2116" t="s">
        <v>8</v>
      </c>
      <c r="AL2116" t="s">
        <v>16</v>
      </c>
      <c r="AM2116" t="s">
        <v>10</v>
      </c>
      <c r="AN2116" t="s">
        <v>717</v>
      </c>
    </row>
    <row r="2117" spans="1:40" hidden="1">
      <c r="A2117">
        <v>2116</v>
      </c>
      <c r="B2117">
        <v>24</v>
      </c>
      <c r="C2117" s="58">
        <v>45229</v>
      </c>
      <c r="D2117" t="s">
        <v>13</v>
      </c>
      <c r="E2117" t="s">
        <v>4409</v>
      </c>
      <c r="F2117">
        <v>7</v>
      </c>
      <c r="G2117">
        <v>13</v>
      </c>
      <c r="H2117">
        <v>491</v>
      </c>
      <c r="I2117">
        <v>3</v>
      </c>
      <c r="J2117">
        <v>79.44</v>
      </c>
      <c r="K2117" t="s">
        <v>9</v>
      </c>
      <c r="L2117">
        <v>6561755.1200000001</v>
      </c>
      <c r="M2117">
        <v>0</v>
      </c>
      <c r="N2117">
        <v>6561755.1200000001</v>
      </c>
      <c r="O2117">
        <v>82600.139979859014</v>
      </c>
      <c r="P2117">
        <v>0</v>
      </c>
      <c r="Q2117">
        <v>6561755.1200000001</v>
      </c>
      <c r="R2117">
        <v>82600.139979859014</v>
      </c>
      <c r="S2117" t="s">
        <v>65</v>
      </c>
      <c r="T2117" t="s">
        <v>717</v>
      </c>
      <c r="U2117" t="s">
        <v>717</v>
      </c>
      <c r="V2117" t="s">
        <v>6312</v>
      </c>
      <c r="W2117">
        <v>45215</v>
      </c>
      <c r="X2117" t="s">
        <v>9180</v>
      </c>
      <c r="Y2117" t="s">
        <v>6</v>
      </c>
      <c r="Z2117" t="s">
        <v>17</v>
      </c>
      <c r="AA2117" t="s">
        <v>6637</v>
      </c>
      <c r="AB2117" t="s">
        <v>2509</v>
      </c>
      <c r="AC2117" t="s">
        <v>2571</v>
      </c>
      <c r="AD2117" t="s">
        <v>717</v>
      </c>
      <c r="AE2117" t="s">
        <v>9181</v>
      </c>
      <c r="AF2117" t="s">
        <v>9182</v>
      </c>
      <c r="AG2117" t="s">
        <v>9183</v>
      </c>
      <c r="AH2117" t="s">
        <v>2615</v>
      </c>
      <c r="AI2117" t="s">
        <v>2552</v>
      </c>
      <c r="AJ2117" t="s">
        <v>2825</v>
      </c>
      <c r="AK2117" t="s">
        <v>14</v>
      </c>
      <c r="AL2117" t="s">
        <v>16</v>
      </c>
      <c r="AM2117" t="s">
        <v>10</v>
      </c>
      <c r="AN2117" t="s">
        <v>717</v>
      </c>
    </row>
    <row r="2118" spans="1:40" hidden="1">
      <c r="A2118">
        <v>2117</v>
      </c>
      <c r="B2118">
        <v>25</v>
      </c>
      <c r="C2118" s="58">
        <v>45229</v>
      </c>
      <c r="D2118" t="s">
        <v>7</v>
      </c>
      <c r="E2118" t="s">
        <v>4409</v>
      </c>
      <c r="F2118">
        <v>8</v>
      </c>
      <c r="G2118">
        <v>12</v>
      </c>
      <c r="H2118">
        <v>499</v>
      </c>
      <c r="I2118">
        <v>2</v>
      </c>
      <c r="J2118">
        <v>63.74</v>
      </c>
      <c r="K2118" t="s">
        <v>25</v>
      </c>
      <c r="L2118">
        <v>6723787.21</v>
      </c>
      <c r="M2118">
        <v>0</v>
      </c>
      <c r="N2118">
        <v>6723787.21</v>
      </c>
      <c r="O2118">
        <v>105487.7190147474</v>
      </c>
      <c r="P2118">
        <v>1402280</v>
      </c>
      <c r="Q2118">
        <v>5321507.21</v>
      </c>
      <c r="R2118">
        <v>83487.719014747403</v>
      </c>
      <c r="S2118" t="s">
        <v>65</v>
      </c>
      <c r="T2118" t="s">
        <v>2664</v>
      </c>
      <c r="U2118">
        <v>108602.19</v>
      </c>
      <c r="V2118" t="s">
        <v>4131</v>
      </c>
      <c r="W2118">
        <v>45222</v>
      </c>
      <c r="X2118" t="s">
        <v>9184</v>
      </c>
      <c r="Y2118" t="s">
        <v>6</v>
      </c>
      <c r="Z2118" t="s">
        <v>17</v>
      </c>
      <c r="AA2118" t="s">
        <v>6637</v>
      </c>
      <c r="AB2118" t="s">
        <v>2509</v>
      </c>
      <c r="AC2118" t="s">
        <v>2571</v>
      </c>
      <c r="AD2118" t="s">
        <v>717</v>
      </c>
      <c r="AE2118" t="s">
        <v>9185</v>
      </c>
      <c r="AF2118" t="s">
        <v>9186</v>
      </c>
      <c r="AG2118" t="s">
        <v>9187</v>
      </c>
      <c r="AH2118" t="s">
        <v>6100</v>
      </c>
      <c r="AI2118" t="s">
        <v>5653</v>
      </c>
      <c r="AJ2118" t="s">
        <v>31</v>
      </c>
      <c r="AK2118" t="s">
        <v>1233</v>
      </c>
      <c r="AL2118" t="s">
        <v>22</v>
      </c>
      <c r="AM2118" t="s">
        <v>5654</v>
      </c>
      <c r="AN2118" t="s">
        <v>717</v>
      </c>
    </row>
    <row r="2119" spans="1:40" hidden="1">
      <c r="A2119">
        <v>2118</v>
      </c>
      <c r="B2119">
        <v>26</v>
      </c>
      <c r="C2119" s="58">
        <v>45229</v>
      </c>
      <c r="D2119" t="s">
        <v>7</v>
      </c>
      <c r="E2119" t="s">
        <v>4409</v>
      </c>
      <c r="F2119">
        <v>8</v>
      </c>
      <c r="G2119">
        <v>6</v>
      </c>
      <c r="H2119">
        <v>445</v>
      </c>
      <c r="I2119">
        <v>2</v>
      </c>
      <c r="J2119">
        <v>63.74</v>
      </c>
      <c r="K2119" t="s">
        <v>15</v>
      </c>
      <c r="L2119">
        <v>5855946.7800000003</v>
      </c>
      <c r="M2119">
        <v>0</v>
      </c>
      <c r="N2119">
        <v>5855946.7800000003</v>
      </c>
      <c r="O2119">
        <v>91872.400062754939</v>
      </c>
      <c r="P2119">
        <v>478050</v>
      </c>
      <c r="Q2119">
        <v>5377896.7800000003</v>
      </c>
      <c r="R2119">
        <v>84372.400062754939</v>
      </c>
      <c r="S2119" t="s">
        <v>65</v>
      </c>
      <c r="T2119" t="s">
        <v>717</v>
      </c>
      <c r="U2119" t="s">
        <v>717</v>
      </c>
      <c r="V2119" t="s">
        <v>4131</v>
      </c>
      <c r="W2119">
        <v>45226</v>
      </c>
      <c r="X2119" t="s">
        <v>9188</v>
      </c>
      <c r="Y2119" t="s">
        <v>6</v>
      </c>
      <c r="Z2119" t="s">
        <v>17</v>
      </c>
      <c r="AA2119" t="s">
        <v>6637</v>
      </c>
      <c r="AB2119" t="s">
        <v>2509</v>
      </c>
      <c r="AC2119" t="s">
        <v>2571</v>
      </c>
      <c r="AD2119" t="s">
        <v>717</v>
      </c>
      <c r="AE2119" t="s">
        <v>9189</v>
      </c>
      <c r="AF2119" t="s">
        <v>9190</v>
      </c>
      <c r="AG2119" t="s">
        <v>9191</v>
      </c>
      <c r="AH2119" t="s">
        <v>2615</v>
      </c>
      <c r="AI2119" t="s">
        <v>2521</v>
      </c>
      <c r="AJ2119" t="s">
        <v>2662</v>
      </c>
      <c r="AK2119" t="s">
        <v>20</v>
      </c>
      <c r="AL2119" t="s">
        <v>22</v>
      </c>
      <c r="AM2119" t="s">
        <v>10</v>
      </c>
      <c r="AN2119" t="s">
        <v>717</v>
      </c>
    </row>
    <row r="2120" spans="1:40" hidden="1">
      <c r="A2120">
        <v>2119</v>
      </c>
      <c r="B2120">
        <v>27</v>
      </c>
      <c r="C2120" s="58">
        <v>45229</v>
      </c>
      <c r="D2120" t="s">
        <v>7</v>
      </c>
      <c r="E2120" t="s">
        <v>4409</v>
      </c>
      <c r="F2120">
        <v>2</v>
      </c>
      <c r="G2120">
        <v>5</v>
      </c>
      <c r="H2120">
        <v>430</v>
      </c>
      <c r="I2120">
        <v>1</v>
      </c>
      <c r="J2120">
        <v>38.6</v>
      </c>
      <c r="K2120" t="s">
        <v>25</v>
      </c>
      <c r="L2120">
        <v>4416000.83</v>
      </c>
      <c r="M2120">
        <v>15000</v>
      </c>
      <c r="N2120">
        <v>4431000.83</v>
      </c>
      <c r="O2120">
        <v>114792.76761658031</v>
      </c>
      <c r="P2120">
        <v>849200</v>
      </c>
      <c r="Q2120">
        <v>3581800.83</v>
      </c>
      <c r="R2120">
        <v>92792.767616580313</v>
      </c>
      <c r="S2120" t="s">
        <v>65</v>
      </c>
      <c r="T2120" t="s">
        <v>5768</v>
      </c>
      <c r="U2120">
        <v>228625.58</v>
      </c>
      <c r="V2120" t="s">
        <v>6312</v>
      </c>
      <c r="W2120">
        <v>45229</v>
      </c>
      <c r="X2120" t="s">
        <v>9192</v>
      </c>
      <c r="Y2120" t="s">
        <v>6</v>
      </c>
      <c r="Z2120" t="s">
        <v>17</v>
      </c>
      <c r="AA2120" t="s">
        <v>6637</v>
      </c>
      <c r="AB2120" t="s">
        <v>2509</v>
      </c>
      <c r="AC2120" t="s">
        <v>2571</v>
      </c>
      <c r="AD2120" t="s">
        <v>717</v>
      </c>
      <c r="AE2120" t="s">
        <v>9193</v>
      </c>
      <c r="AF2120" t="s">
        <v>9194</v>
      </c>
      <c r="AG2120" t="s">
        <v>9195</v>
      </c>
      <c r="AH2120" t="s">
        <v>2552</v>
      </c>
      <c r="AI2120" t="s">
        <v>2877</v>
      </c>
      <c r="AJ2120" t="s">
        <v>3098</v>
      </c>
      <c r="AK2120" t="s">
        <v>20</v>
      </c>
      <c r="AL2120" t="s">
        <v>16</v>
      </c>
      <c r="AM2120" t="s">
        <v>10</v>
      </c>
      <c r="AN2120" t="s">
        <v>717</v>
      </c>
    </row>
    <row r="2121" spans="1:40" hidden="1">
      <c r="A2121">
        <v>2120</v>
      </c>
      <c r="B2121">
        <v>28</v>
      </c>
      <c r="C2121" s="58">
        <v>45230</v>
      </c>
      <c r="D2121" t="s">
        <v>13</v>
      </c>
      <c r="E2121" t="s">
        <v>4409</v>
      </c>
      <c r="F2121">
        <v>5</v>
      </c>
      <c r="G2121">
        <v>18</v>
      </c>
      <c r="H2121">
        <v>529</v>
      </c>
      <c r="I2121">
        <v>2</v>
      </c>
      <c r="J2121">
        <v>57.8</v>
      </c>
      <c r="K2121" t="s">
        <v>15</v>
      </c>
      <c r="L2121">
        <v>5232764.74</v>
      </c>
      <c r="M2121">
        <v>0</v>
      </c>
      <c r="N2121">
        <v>5232764.74</v>
      </c>
      <c r="O2121">
        <v>90532.261937716277</v>
      </c>
      <c r="P2121">
        <v>433500</v>
      </c>
      <c r="Q2121">
        <v>4799264.74</v>
      </c>
      <c r="R2121">
        <v>83032.261937716277</v>
      </c>
      <c r="S2121" t="s">
        <v>65</v>
      </c>
      <c r="T2121" t="s">
        <v>4059</v>
      </c>
      <c r="U2121">
        <v>148430.87</v>
      </c>
      <c r="V2121" t="s">
        <v>6312</v>
      </c>
      <c r="W2121">
        <v>45225</v>
      </c>
      <c r="X2121" t="s">
        <v>9196</v>
      </c>
      <c r="Y2121" t="s">
        <v>2611</v>
      </c>
      <c r="Z2121" t="s">
        <v>17</v>
      </c>
      <c r="AA2121" t="s">
        <v>6637</v>
      </c>
      <c r="AB2121" t="s">
        <v>2509</v>
      </c>
      <c r="AC2121" t="s">
        <v>2571</v>
      </c>
      <c r="AD2121">
        <v>45414</v>
      </c>
      <c r="AE2121" t="s">
        <v>9197</v>
      </c>
      <c r="AF2121" t="s">
        <v>9198</v>
      </c>
      <c r="AG2121" t="s">
        <v>9199</v>
      </c>
      <c r="AH2121" t="s">
        <v>2191</v>
      </c>
      <c r="AI2121" t="s">
        <v>2552</v>
      </c>
      <c r="AJ2121" t="s">
        <v>2514</v>
      </c>
      <c r="AK2121" t="s">
        <v>1233</v>
      </c>
      <c r="AL2121" t="s">
        <v>22</v>
      </c>
      <c r="AM2121" t="s">
        <v>10</v>
      </c>
      <c r="AN2121" t="s">
        <v>11544</v>
      </c>
    </row>
    <row r="2122" spans="1:40" hidden="1">
      <c r="A2122">
        <v>2121</v>
      </c>
      <c r="B2122">
        <v>29</v>
      </c>
      <c r="C2122" s="58">
        <v>45230</v>
      </c>
      <c r="D2122" t="s">
        <v>13</v>
      </c>
      <c r="E2122" t="s">
        <v>4409</v>
      </c>
      <c r="F2122">
        <v>5</v>
      </c>
      <c r="G2122">
        <v>13</v>
      </c>
      <c r="H2122">
        <v>489</v>
      </c>
      <c r="I2122">
        <v>2</v>
      </c>
      <c r="J2122">
        <v>57.8</v>
      </c>
      <c r="K2122" t="s">
        <v>25</v>
      </c>
      <c r="L2122">
        <v>6120341.7000000002</v>
      </c>
      <c r="M2122">
        <v>0</v>
      </c>
      <c r="N2122">
        <v>6120341.7000000002</v>
      </c>
      <c r="O2122">
        <v>105888.26470588236</v>
      </c>
      <c r="P2122">
        <v>1271600</v>
      </c>
      <c r="Q2122">
        <v>4848741.7</v>
      </c>
      <c r="R2122">
        <v>83888.264705882364</v>
      </c>
      <c r="S2122" t="s">
        <v>65</v>
      </c>
      <c r="T2122" t="s">
        <v>2664</v>
      </c>
      <c r="U2122">
        <v>98953.91</v>
      </c>
      <c r="V2122" t="s">
        <v>6312</v>
      </c>
      <c r="W2122">
        <v>45226</v>
      </c>
      <c r="X2122" t="s">
        <v>9200</v>
      </c>
      <c r="Y2122" t="s">
        <v>6</v>
      </c>
      <c r="Z2122" t="s">
        <v>17</v>
      </c>
      <c r="AA2122" t="s">
        <v>6637</v>
      </c>
      <c r="AB2122" t="s">
        <v>2509</v>
      </c>
      <c r="AC2122" t="s">
        <v>2571</v>
      </c>
      <c r="AD2122" t="s">
        <v>717</v>
      </c>
      <c r="AE2122" t="s">
        <v>9201</v>
      </c>
      <c r="AF2122" t="s">
        <v>9202</v>
      </c>
      <c r="AG2122" t="s">
        <v>9203</v>
      </c>
      <c r="AH2122" t="s">
        <v>2552</v>
      </c>
      <c r="AI2122" t="s">
        <v>2552</v>
      </c>
      <c r="AJ2122" t="s">
        <v>2662</v>
      </c>
      <c r="AK2122" t="s">
        <v>8</v>
      </c>
      <c r="AL2122" t="s">
        <v>16</v>
      </c>
      <c r="AM2122" t="s">
        <v>10</v>
      </c>
      <c r="AN2122" t="s">
        <v>717</v>
      </c>
    </row>
    <row r="2123" spans="1:40" hidden="1">
      <c r="A2123">
        <v>2122</v>
      </c>
      <c r="B2123">
        <v>30</v>
      </c>
      <c r="C2123" s="58">
        <v>45230</v>
      </c>
      <c r="D2123" t="s">
        <v>13</v>
      </c>
      <c r="E2123" t="s">
        <v>4409</v>
      </c>
      <c r="F2123">
        <v>4</v>
      </c>
      <c r="G2123">
        <v>11</v>
      </c>
      <c r="H2123">
        <v>472</v>
      </c>
      <c r="I2123">
        <v>2</v>
      </c>
      <c r="J2123">
        <v>58.24</v>
      </c>
      <c r="K2123" t="s">
        <v>9</v>
      </c>
      <c r="L2123">
        <v>4759194.5</v>
      </c>
      <c r="M2123">
        <v>0</v>
      </c>
      <c r="N2123">
        <v>4759194.5</v>
      </c>
      <c r="O2123">
        <v>81716.938530219777</v>
      </c>
      <c r="P2123">
        <v>0</v>
      </c>
      <c r="Q2123">
        <v>4759194.5</v>
      </c>
      <c r="R2123">
        <v>81716.938530219777</v>
      </c>
      <c r="S2123" t="s">
        <v>65</v>
      </c>
      <c r="T2123" t="s">
        <v>5768</v>
      </c>
      <c r="U2123">
        <v>250483.92</v>
      </c>
      <c r="V2123" t="s">
        <v>4131</v>
      </c>
      <c r="W2123">
        <v>45226</v>
      </c>
      <c r="X2123" t="s">
        <v>9204</v>
      </c>
      <c r="Y2123" t="s">
        <v>6</v>
      </c>
      <c r="Z2123" t="s">
        <v>17</v>
      </c>
      <c r="AA2123" t="s">
        <v>6637</v>
      </c>
      <c r="AB2123" t="s">
        <v>2509</v>
      </c>
      <c r="AC2123" t="s">
        <v>2571</v>
      </c>
      <c r="AD2123" t="s">
        <v>717</v>
      </c>
      <c r="AE2123" t="s">
        <v>9205</v>
      </c>
      <c r="AF2123" t="s">
        <v>9206</v>
      </c>
      <c r="AG2123" t="s">
        <v>9207</v>
      </c>
      <c r="AH2123" t="s">
        <v>2191</v>
      </c>
      <c r="AI2123" t="s">
        <v>6951</v>
      </c>
      <c r="AJ2123" t="s">
        <v>2514</v>
      </c>
      <c r="AK2123" t="s">
        <v>8</v>
      </c>
      <c r="AL2123" t="s">
        <v>22</v>
      </c>
      <c r="AM2123" t="s">
        <v>10</v>
      </c>
      <c r="AN2123" t="s">
        <v>717</v>
      </c>
    </row>
    <row r="2124" spans="1:40" hidden="1">
      <c r="A2124">
        <v>2123</v>
      </c>
      <c r="B2124">
        <v>31</v>
      </c>
      <c r="C2124" s="58">
        <v>45230</v>
      </c>
      <c r="D2124" t="s">
        <v>13</v>
      </c>
      <c r="E2124" t="s">
        <v>2515</v>
      </c>
      <c r="F2124">
        <v>7</v>
      </c>
      <c r="G2124">
        <v>4</v>
      </c>
      <c r="H2124">
        <v>27</v>
      </c>
      <c r="I2124">
        <v>1</v>
      </c>
      <c r="J2124">
        <v>42.75</v>
      </c>
      <c r="K2124" t="s">
        <v>9</v>
      </c>
      <c r="L2124">
        <v>4075679.84</v>
      </c>
      <c r="M2124">
        <v>0</v>
      </c>
      <c r="N2124">
        <v>4075679.84</v>
      </c>
      <c r="O2124">
        <v>95337.540116959062</v>
      </c>
      <c r="P2124">
        <v>0</v>
      </c>
      <c r="Q2124">
        <v>4075679.84</v>
      </c>
      <c r="R2124">
        <v>95337.540116959062</v>
      </c>
      <c r="S2124" t="s">
        <v>65</v>
      </c>
      <c r="T2124" t="s">
        <v>717</v>
      </c>
      <c r="U2124" t="s">
        <v>717</v>
      </c>
      <c r="V2124" t="s">
        <v>6312</v>
      </c>
      <c r="W2124">
        <v>45226</v>
      </c>
      <c r="X2124" t="s">
        <v>9208</v>
      </c>
      <c r="Y2124" t="s">
        <v>6</v>
      </c>
      <c r="Z2124" t="s">
        <v>17</v>
      </c>
      <c r="AA2124" t="s">
        <v>6637</v>
      </c>
      <c r="AB2124" t="s">
        <v>2509</v>
      </c>
      <c r="AC2124" t="s">
        <v>2571</v>
      </c>
      <c r="AD2124" t="s">
        <v>717</v>
      </c>
      <c r="AE2124" t="s">
        <v>9209</v>
      </c>
      <c r="AF2124" t="s">
        <v>9210</v>
      </c>
      <c r="AG2124" t="s">
        <v>9211</v>
      </c>
      <c r="AH2124" t="s">
        <v>2615</v>
      </c>
      <c r="AI2124" t="s">
        <v>3115</v>
      </c>
      <c r="AJ2124" t="s">
        <v>2569</v>
      </c>
      <c r="AK2124" t="s">
        <v>1233</v>
      </c>
      <c r="AL2124" t="s">
        <v>22</v>
      </c>
      <c r="AM2124" t="s">
        <v>10</v>
      </c>
      <c r="AN2124" t="s">
        <v>717</v>
      </c>
    </row>
    <row r="2125" spans="1:40" hidden="1">
      <c r="A2125">
        <v>2124</v>
      </c>
      <c r="B2125">
        <v>32</v>
      </c>
      <c r="C2125" s="58">
        <v>45230</v>
      </c>
      <c r="D2125" t="s">
        <v>13</v>
      </c>
      <c r="E2125" t="s">
        <v>2506</v>
      </c>
      <c r="F2125">
        <v>4</v>
      </c>
      <c r="G2125">
        <v>4</v>
      </c>
      <c r="H2125">
        <v>135</v>
      </c>
      <c r="I2125">
        <v>2</v>
      </c>
      <c r="J2125">
        <v>58.31</v>
      </c>
      <c r="K2125" t="s">
        <v>25</v>
      </c>
      <c r="L2125">
        <v>6365233.5700000003</v>
      </c>
      <c r="M2125">
        <v>0</v>
      </c>
      <c r="N2125">
        <v>6365233.5700000003</v>
      </c>
      <c r="O2125">
        <v>109161.95455324987</v>
      </c>
      <c r="P2125">
        <v>1282820</v>
      </c>
      <c r="Q2125">
        <v>5082413.57</v>
      </c>
      <c r="R2125">
        <v>87161.954553249874</v>
      </c>
      <c r="S2125" t="s">
        <v>65</v>
      </c>
      <c r="T2125" t="s">
        <v>2664</v>
      </c>
      <c r="U2125">
        <v>103722.73</v>
      </c>
      <c r="V2125" t="s">
        <v>4131</v>
      </c>
      <c r="W2125">
        <v>45227</v>
      </c>
      <c r="X2125" t="s">
        <v>9212</v>
      </c>
      <c r="Y2125" t="s">
        <v>6</v>
      </c>
      <c r="Z2125" t="s">
        <v>17</v>
      </c>
      <c r="AA2125" t="s">
        <v>6637</v>
      </c>
      <c r="AB2125" t="s">
        <v>2509</v>
      </c>
      <c r="AC2125" t="s">
        <v>2571</v>
      </c>
      <c r="AD2125" t="s">
        <v>717</v>
      </c>
      <c r="AE2125" t="s">
        <v>9213</v>
      </c>
      <c r="AF2125" t="s">
        <v>9214</v>
      </c>
      <c r="AG2125" t="s">
        <v>9215</v>
      </c>
      <c r="AH2125" t="s">
        <v>2580</v>
      </c>
      <c r="AI2125" t="s">
        <v>2552</v>
      </c>
      <c r="AJ2125" t="s">
        <v>3921</v>
      </c>
      <c r="AK2125" t="s">
        <v>1233</v>
      </c>
      <c r="AL2125" t="s">
        <v>16</v>
      </c>
      <c r="AM2125" t="s">
        <v>10</v>
      </c>
      <c r="AN2125" t="s">
        <v>717</v>
      </c>
    </row>
    <row r="2126" spans="1:40" hidden="1">
      <c r="A2126">
        <v>2125</v>
      </c>
      <c r="B2126">
        <v>33</v>
      </c>
      <c r="C2126" s="58">
        <v>45230</v>
      </c>
      <c r="D2126" t="s">
        <v>7</v>
      </c>
      <c r="E2126" t="s">
        <v>2581</v>
      </c>
      <c r="F2126">
        <v>5</v>
      </c>
      <c r="G2126">
        <v>20</v>
      </c>
      <c r="H2126">
        <v>371</v>
      </c>
      <c r="I2126">
        <v>2</v>
      </c>
      <c r="J2126">
        <v>56.7</v>
      </c>
      <c r="K2126" t="s">
        <v>9</v>
      </c>
      <c r="L2126">
        <v>5575652.9000000004</v>
      </c>
      <c r="M2126">
        <v>0</v>
      </c>
      <c r="N2126">
        <v>5575652.9000000004</v>
      </c>
      <c r="O2126">
        <v>98336.029982363325</v>
      </c>
      <c r="P2126">
        <v>0</v>
      </c>
      <c r="Q2126">
        <v>5575652.9000000004</v>
      </c>
      <c r="R2126">
        <v>98336.029982363325</v>
      </c>
      <c r="S2126" t="s">
        <v>65</v>
      </c>
      <c r="T2126" t="s">
        <v>717</v>
      </c>
      <c r="U2126" t="s">
        <v>717</v>
      </c>
      <c r="V2126" t="s">
        <v>4131</v>
      </c>
      <c r="W2126">
        <v>45227</v>
      </c>
      <c r="X2126" t="s">
        <v>9216</v>
      </c>
      <c r="Y2126" t="s">
        <v>6</v>
      </c>
      <c r="Z2126" t="s">
        <v>17</v>
      </c>
      <c r="AA2126" t="s">
        <v>6637</v>
      </c>
      <c r="AB2126" t="s">
        <v>2509</v>
      </c>
      <c r="AC2126" t="s">
        <v>2571</v>
      </c>
      <c r="AD2126" t="s">
        <v>717</v>
      </c>
      <c r="AE2126" t="s">
        <v>9217</v>
      </c>
      <c r="AF2126" t="s">
        <v>9218</v>
      </c>
      <c r="AG2126" t="s">
        <v>9219</v>
      </c>
      <c r="AH2126" t="s">
        <v>2191</v>
      </c>
      <c r="AI2126" t="s">
        <v>2656</v>
      </c>
      <c r="AJ2126" t="s">
        <v>2514</v>
      </c>
      <c r="AK2126" t="s">
        <v>1233</v>
      </c>
      <c r="AL2126" t="s">
        <v>16</v>
      </c>
      <c r="AM2126" t="s">
        <v>10</v>
      </c>
      <c r="AN2126" t="s">
        <v>717</v>
      </c>
    </row>
    <row r="2127" spans="1:40" hidden="1">
      <c r="A2127">
        <v>2126</v>
      </c>
      <c r="B2127">
        <v>34</v>
      </c>
      <c r="C2127" s="58">
        <v>45230</v>
      </c>
      <c r="D2127" t="s">
        <v>13</v>
      </c>
      <c r="E2127" t="s">
        <v>2506</v>
      </c>
      <c r="F2127">
        <v>7</v>
      </c>
      <c r="G2127">
        <v>11</v>
      </c>
      <c r="H2127">
        <v>187</v>
      </c>
      <c r="I2127">
        <v>1</v>
      </c>
      <c r="J2127">
        <v>42.28</v>
      </c>
      <c r="K2127" t="s">
        <v>9</v>
      </c>
      <c r="L2127">
        <v>3953910.6</v>
      </c>
      <c r="M2127">
        <v>0</v>
      </c>
      <c r="N2127">
        <v>3953910.6</v>
      </c>
      <c r="O2127">
        <v>93517.280037842953</v>
      </c>
      <c r="P2127">
        <v>0</v>
      </c>
      <c r="Q2127">
        <v>3953910.6</v>
      </c>
      <c r="R2127">
        <v>93517.280037842953</v>
      </c>
      <c r="S2127" t="s">
        <v>65</v>
      </c>
      <c r="T2127" t="s">
        <v>717</v>
      </c>
      <c r="U2127" t="s">
        <v>717</v>
      </c>
      <c r="V2127" t="s">
        <v>4131</v>
      </c>
      <c r="W2127">
        <v>45229</v>
      </c>
      <c r="X2127" t="s">
        <v>9220</v>
      </c>
      <c r="Y2127" t="s">
        <v>6</v>
      </c>
      <c r="Z2127" t="s">
        <v>17</v>
      </c>
      <c r="AA2127" t="s">
        <v>6637</v>
      </c>
      <c r="AB2127" t="s">
        <v>2509</v>
      </c>
      <c r="AC2127" t="s">
        <v>2571</v>
      </c>
      <c r="AD2127" t="s">
        <v>717</v>
      </c>
      <c r="AE2127" t="s">
        <v>9221</v>
      </c>
      <c r="AF2127" t="s">
        <v>9222</v>
      </c>
      <c r="AG2127" t="s">
        <v>9223</v>
      </c>
      <c r="AH2127" t="s">
        <v>2191</v>
      </c>
      <c r="AI2127" t="s">
        <v>2552</v>
      </c>
      <c r="AJ2127" t="s">
        <v>2514</v>
      </c>
      <c r="AK2127" t="s">
        <v>20</v>
      </c>
      <c r="AL2127" t="s">
        <v>22</v>
      </c>
      <c r="AM2127" t="s">
        <v>10</v>
      </c>
      <c r="AN2127" t="s">
        <v>717</v>
      </c>
    </row>
    <row r="2128" spans="1:40" hidden="1">
      <c r="A2128">
        <v>2127</v>
      </c>
      <c r="B2128">
        <v>35</v>
      </c>
      <c r="C2128" s="58">
        <v>45230</v>
      </c>
      <c r="D2128" t="s">
        <v>7</v>
      </c>
      <c r="E2128" t="s">
        <v>2581</v>
      </c>
      <c r="F2128">
        <v>2</v>
      </c>
      <c r="G2128">
        <v>11</v>
      </c>
      <c r="H2128">
        <v>305</v>
      </c>
      <c r="I2128">
        <v>2</v>
      </c>
      <c r="J2128">
        <v>67.95</v>
      </c>
      <c r="K2128" t="s">
        <v>15</v>
      </c>
      <c r="L2128">
        <v>6335992.5999999996</v>
      </c>
      <c r="M2128">
        <v>15000</v>
      </c>
      <c r="N2128">
        <v>6350992.5999999996</v>
      </c>
      <c r="O2128">
        <v>93465.674760853566</v>
      </c>
      <c r="P2128">
        <v>509625</v>
      </c>
      <c r="Q2128">
        <v>5841367.5999999996</v>
      </c>
      <c r="R2128">
        <v>85965.674760853566</v>
      </c>
      <c r="S2128" t="s">
        <v>65</v>
      </c>
      <c r="T2128" t="s">
        <v>9224</v>
      </c>
      <c r="U2128">
        <v>114381.95</v>
      </c>
      <c r="V2128" t="s">
        <v>4131</v>
      </c>
      <c r="W2128">
        <v>45229</v>
      </c>
      <c r="X2128" t="s">
        <v>9225</v>
      </c>
      <c r="Y2128" t="s">
        <v>6</v>
      </c>
      <c r="Z2128" t="s">
        <v>17</v>
      </c>
      <c r="AA2128" t="s">
        <v>6637</v>
      </c>
      <c r="AB2128" t="s">
        <v>2509</v>
      </c>
      <c r="AC2128" t="s">
        <v>2571</v>
      </c>
      <c r="AD2128" t="s">
        <v>717</v>
      </c>
      <c r="AE2128" t="s">
        <v>9226</v>
      </c>
      <c r="AF2128" t="s">
        <v>9227</v>
      </c>
      <c r="AG2128" t="s">
        <v>9228</v>
      </c>
      <c r="AH2128" t="s">
        <v>2191</v>
      </c>
      <c r="AI2128" t="s">
        <v>2538</v>
      </c>
      <c r="AJ2128" t="s">
        <v>2514</v>
      </c>
      <c r="AK2128" t="s">
        <v>73</v>
      </c>
      <c r="AL2128" t="s">
        <v>22</v>
      </c>
      <c r="AM2128" t="s">
        <v>10</v>
      </c>
      <c r="AN2128" t="s">
        <v>717</v>
      </c>
    </row>
    <row r="2129" spans="1:40" hidden="1">
      <c r="A2129">
        <v>2128</v>
      </c>
      <c r="B2129">
        <v>36</v>
      </c>
      <c r="C2129" s="58">
        <v>45230</v>
      </c>
      <c r="D2129" t="s">
        <v>13</v>
      </c>
      <c r="E2129" t="s">
        <v>2506</v>
      </c>
      <c r="F2129">
        <v>2</v>
      </c>
      <c r="G2129">
        <v>7</v>
      </c>
      <c r="H2129">
        <v>154</v>
      </c>
      <c r="I2129">
        <v>0</v>
      </c>
      <c r="J2129">
        <v>24.28</v>
      </c>
      <c r="K2129" t="s">
        <v>9</v>
      </c>
      <c r="L2129">
        <v>2642977.98</v>
      </c>
      <c r="M2129">
        <v>0</v>
      </c>
      <c r="N2129">
        <v>2642977.98</v>
      </c>
      <c r="O2129">
        <v>108854.11779242172</v>
      </c>
      <c r="P2129">
        <v>0</v>
      </c>
      <c r="Q2129">
        <v>2642977.98</v>
      </c>
      <c r="R2129">
        <v>108854.11779242172</v>
      </c>
      <c r="S2129" t="s">
        <v>2507</v>
      </c>
      <c r="T2129" t="s">
        <v>9229</v>
      </c>
      <c r="U2129">
        <v>81741.58709999999</v>
      </c>
      <c r="V2129" t="s">
        <v>717</v>
      </c>
      <c r="W2129">
        <v>45230</v>
      </c>
      <c r="X2129" t="s">
        <v>9230</v>
      </c>
      <c r="Y2129" t="s">
        <v>2611</v>
      </c>
      <c r="Z2129" t="s">
        <v>17</v>
      </c>
      <c r="AA2129" t="s">
        <v>6637</v>
      </c>
      <c r="AB2129" t="s">
        <v>2509</v>
      </c>
      <c r="AC2129" t="s">
        <v>717</v>
      </c>
      <c r="AD2129">
        <v>45841</v>
      </c>
      <c r="AE2129" t="s">
        <v>11504</v>
      </c>
      <c r="AF2129" t="s">
        <v>11505</v>
      </c>
      <c r="AG2129" t="s">
        <v>11506</v>
      </c>
      <c r="AH2129" t="s">
        <v>3775</v>
      </c>
      <c r="AI2129" t="s">
        <v>2531</v>
      </c>
      <c r="AJ2129" t="s">
        <v>5785</v>
      </c>
      <c r="AK2129" t="s">
        <v>29</v>
      </c>
      <c r="AL2129" t="s">
        <v>717</v>
      </c>
      <c r="AM2129" t="s">
        <v>10</v>
      </c>
      <c r="AN2129" t="s">
        <v>717</v>
      </c>
    </row>
    <row r="2130" spans="1:40" hidden="1">
      <c r="A2130">
        <v>2129</v>
      </c>
      <c r="B2130">
        <v>37</v>
      </c>
      <c r="C2130" s="58">
        <v>45230</v>
      </c>
      <c r="D2130" t="s">
        <v>13</v>
      </c>
      <c r="E2130" t="s">
        <v>4409</v>
      </c>
      <c r="F2130">
        <v>8</v>
      </c>
      <c r="G2130">
        <v>12</v>
      </c>
      <c r="H2130">
        <v>484</v>
      </c>
      <c r="I2130">
        <v>1</v>
      </c>
      <c r="J2130">
        <v>39.69</v>
      </c>
      <c r="K2130" t="s">
        <v>9</v>
      </c>
      <c r="L2130">
        <v>3874907.31</v>
      </c>
      <c r="M2130">
        <v>0</v>
      </c>
      <c r="N2130">
        <v>3874907.31</v>
      </c>
      <c r="O2130">
        <v>97629.309901738481</v>
      </c>
      <c r="P2130">
        <v>0</v>
      </c>
      <c r="Q2130">
        <v>3874907.31</v>
      </c>
      <c r="R2130">
        <v>97629.309901738481</v>
      </c>
      <c r="S2130" t="s">
        <v>65</v>
      </c>
      <c r="T2130" t="s">
        <v>717</v>
      </c>
      <c r="U2130" t="s">
        <v>717</v>
      </c>
      <c r="V2130" t="s">
        <v>6312</v>
      </c>
      <c r="W2130">
        <v>45229</v>
      </c>
      <c r="X2130" t="s">
        <v>9231</v>
      </c>
      <c r="Y2130" t="s">
        <v>6</v>
      </c>
      <c r="Z2130" t="s">
        <v>17</v>
      </c>
      <c r="AA2130" t="s">
        <v>6637</v>
      </c>
      <c r="AB2130" t="s">
        <v>2509</v>
      </c>
      <c r="AC2130" t="s">
        <v>2571</v>
      </c>
      <c r="AD2130" t="s">
        <v>717</v>
      </c>
      <c r="AE2130" t="s">
        <v>9232</v>
      </c>
      <c r="AF2130" t="s">
        <v>9233</v>
      </c>
      <c r="AG2130" t="s">
        <v>9234</v>
      </c>
      <c r="AH2130" t="s">
        <v>2615</v>
      </c>
      <c r="AI2130" t="s">
        <v>2552</v>
      </c>
      <c r="AJ2130" t="s">
        <v>2662</v>
      </c>
      <c r="AK2130" t="s">
        <v>8</v>
      </c>
      <c r="AL2130" t="s">
        <v>22</v>
      </c>
      <c r="AM2130" t="s">
        <v>10</v>
      </c>
      <c r="AN2130" t="s">
        <v>9235</v>
      </c>
    </row>
    <row r="2131" spans="1:40" hidden="1">
      <c r="A2131">
        <v>2130</v>
      </c>
      <c r="B2131">
        <v>1</v>
      </c>
      <c r="C2131" s="58">
        <v>45236</v>
      </c>
      <c r="D2131" t="s">
        <v>7</v>
      </c>
      <c r="E2131" t="s">
        <v>2581</v>
      </c>
      <c r="F2131">
        <v>5</v>
      </c>
      <c r="G2131">
        <v>22</v>
      </c>
      <c r="H2131">
        <v>385</v>
      </c>
      <c r="I2131">
        <v>2</v>
      </c>
      <c r="J2131">
        <v>56.7</v>
      </c>
      <c r="K2131" t="s">
        <v>15</v>
      </c>
      <c r="L2131">
        <v>5889389.8399999999</v>
      </c>
      <c r="M2131">
        <v>0</v>
      </c>
      <c r="N2131">
        <v>5889389.8399999999</v>
      </c>
      <c r="O2131">
        <v>103869.30934744269</v>
      </c>
      <c r="P2131">
        <v>425250</v>
      </c>
      <c r="Q2131">
        <v>5464139.8399999999</v>
      </c>
      <c r="R2131">
        <v>96369.309347442671</v>
      </c>
      <c r="S2131" t="s">
        <v>65</v>
      </c>
      <c r="T2131" t="s">
        <v>2664</v>
      </c>
      <c r="U2131">
        <v>111513.06</v>
      </c>
      <c r="V2131" t="s">
        <v>4131</v>
      </c>
      <c r="W2131">
        <v>45205</v>
      </c>
      <c r="X2131" t="s">
        <v>9236</v>
      </c>
      <c r="Y2131" t="s">
        <v>6</v>
      </c>
      <c r="Z2131" t="s">
        <v>17</v>
      </c>
      <c r="AA2131" t="s">
        <v>6637</v>
      </c>
      <c r="AB2131" t="s">
        <v>2509</v>
      </c>
      <c r="AC2131" t="s">
        <v>2571</v>
      </c>
      <c r="AD2131" t="s">
        <v>717</v>
      </c>
      <c r="AE2131" t="s">
        <v>9237</v>
      </c>
      <c r="AF2131" t="s">
        <v>9238</v>
      </c>
      <c r="AG2131" t="s">
        <v>9239</v>
      </c>
      <c r="AH2131" t="s">
        <v>2615</v>
      </c>
      <c r="AI2131" t="s">
        <v>2552</v>
      </c>
      <c r="AJ2131" t="s">
        <v>2642</v>
      </c>
      <c r="AK2131" t="s">
        <v>73</v>
      </c>
      <c r="AL2131" t="s">
        <v>22</v>
      </c>
      <c r="AM2131" t="s">
        <v>10</v>
      </c>
      <c r="AN2131" t="s">
        <v>717</v>
      </c>
    </row>
    <row r="2132" spans="1:40" hidden="1">
      <c r="A2132">
        <v>2131</v>
      </c>
      <c r="B2132">
        <v>2</v>
      </c>
      <c r="C2132" s="58">
        <v>45233</v>
      </c>
      <c r="D2132" t="s">
        <v>13</v>
      </c>
      <c r="E2132" t="s">
        <v>4409</v>
      </c>
      <c r="F2132">
        <v>5</v>
      </c>
      <c r="G2132">
        <v>14</v>
      </c>
      <c r="H2132">
        <v>497</v>
      </c>
      <c r="I2132">
        <v>2</v>
      </c>
      <c r="J2132">
        <v>57.8</v>
      </c>
      <c r="K2132" t="s">
        <v>9</v>
      </c>
      <c r="L2132">
        <v>4848741.7</v>
      </c>
      <c r="M2132">
        <v>0</v>
      </c>
      <c r="N2132">
        <v>4848741.7</v>
      </c>
      <c r="O2132">
        <v>83888.264705882364</v>
      </c>
      <c r="P2132">
        <v>0</v>
      </c>
      <c r="Q2132">
        <v>4848741.7</v>
      </c>
      <c r="R2132">
        <v>83888.264705882364</v>
      </c>
      <c r="S2132" t="s">
        <v>65</v>
      </c>
      <c r="T2132" t="s">
        <v>2664</v>
      </c>
      <c r="U2132">
        <v>98953.91</v>
      </c>
      <c r="V2132" t="s">
        <v>6312</v>
      </c>
      <c r="W2132">
        <v>45230</v>
      </c>
      <c r="X2132" t="s">
        <v>9240</v>
      </c>
      <c r="Y2132" t="s">
        <v>6</v>
      </c>
      <c r="Z2132" t="s">
        <v>17</v>
      </c>
      <c r="AA2132" t="s">
        <v>6637</v>
      </c>
      <c r="AB2132" t="s">
        <v>2509</v>
      </c>
      <c r="AC2132" t="s">
        <v>2571</v>
      </c>
      <c r="AD2132" t="s">
        <v>717</v>
      </c>
      <c r="AE2132" t="s">
        <v>9241</v>
      </c>
      <c r="AF2132" t="s">
        <v>9242</v>
      </c>
      <c r="AG2132" t="s">
        <v>9243</v>
      </c>
      <c r="AH2132" t="s">
        <v>2615</v>
      </c>
      <c r="AI2132" t="s">
        <v>2538</v>
      </c>
      <c r="AJ2132" t="s">
        <v>2569</v>
      </c>
      <c r="AK2132" t="s">
        <v>8</v>
      </c>
      <c r="AL2132" t="s">
        <v>16</v>
      </c>
      <c r="AM2132" t="s">
        <v>10</v>
      </c>
      <c r="AN2132" t="s">
        <v>717</v>
      </c>
    </row>
    <row r="2133" spans="1:40" hidden="1">
      <c r="A2133">
        <v>2132</v>
      </c>
      <c r="B2133">
        <v>3</v>
      </c>
      <c r="C2133" s="58">
        <v>45233</v>
      </c>
      <c r="D2133" t="s">
        <v>13</v>
      </c>
      <c r="E2133" t="s">
        <v>2581</v>
      </c>
      <c r="F2133">
        <v>7</v>
      </c>
      <c r="G2133">
        <v>2</v>
      </c>
      <c r="H2133">
        <v>235</v>
      </c>
      <c r="I2133">
        <v>1</v>
      </c>
      <c r="J2133">
        <v>34.81</v>
      </c>
      <c r="K2133" t="s">
        <v>9</v>
      </c>
      <c r="L2133">
        <v>3637805.47</v>
      </c>
      <c r="M2133">
        <v>0</v>
      </c>
      <c r="N2133">
        <v>3637805.47</v>
      </c>
      <c r="O2133">
        <v>104504.60988221776</v>
      </c>
      <c r="P2133">
        <v>0</v>
      </c>
      <c r="Q2133">
        <v>3637805.47</v>
      </c>
      <c r="R2133">
        <v>104504.60988221776</v>
      </c>
      <c r="S2133" t="s">
        <v>65</v>
      </c>
      <c r="T2133" t="s">
        <v>717</v>
      </c>
      <c r="U2133" t="s">
        <v>717</v>
      </c>
      <c r="V2133" t="s">
        <v>6488</v>
      </c>
      <c r="W2133">
        <v>45232</v>
      </c>
      <c r="X2133" t="s">
        <v>9244</v>
      </c>
      <c r="Y2133" t="s">
        <v>6</v>
      </c>
      <c r="Z2133" t="s">
        <v>17</v>
      </c>
      <c r="AA2133" t="s">
        <v>6637</v>
      </c>
      <c r="AB2133" t="s">
        <v>2509</v>
      </c>
      <c r="AC2133" t="s">
        <v>2571</v>
      </c>
      <c r="AD2133" t="s">
        <v>717</v>
      </c>
      <c r="AE2133" t="s">
        <v>9245</v>
      </c>
      <c r="AF2133" t="s">
        <v>9246</v>
      </c>
      <c r="AG2133" t="s">
        <v>9247</v>
      </c>
      <c r="AH2133" t="s">
        <v>2615</v>
      </c>
      <c r="AI2133" t="s">
        <v>2847</v>
      </c>
      <c r="AJ2133" t="s">
        <v>2940</v>
      </c>
      <c r="AK2133" t="s">
        <v>8</v>
      </c>
      <c r="AL2133" t="s">
        <v>22</v>
      </c>
      <c r="AM2133" t="s">
        <v>10</v>
      </c>
      <c r="AN2133" t="s">
        <v>8722</v>
      </c>
    </row>
    <row r="2134" spans="1:40" hidden="1">
      <c r="A2134">
        <v>2133</v>
      </c>
      <c r="B2134">
        <v>4</v>
      </c>
      <c r="C2134" s="58">
        <v>45237</v>
      </c>
      <c r="D2134" t="s">
        <v>7</v>
      </c>
      <c r="E2134" t="s">
        <v>2515</v>
      </c>
      <c r="F2134">
        <v>8</v>
      </c>
      <c r="G2134">
        <v>7</v>
      </c>
      <c r="H2134">
        <v>48</v>
      </c>
      <c r="I2134">
        <v>0</v>
      </c>
      <c r="J2134">
        <v>21.73</v>
      </c>
      <c r="K2134" t="s">
        <v>15</v>
      </c>
      <c r="L2134">
        <v>2970412.77</v>
      </c>
      <c r="M2134">
        <v>0</v>
      </c>
      <c r="N2134">
        <v>2970412.77</v>
      </c>
      <c r="O2134">
        <v>136696.39990796134</v>
      </c>
      <c r="P2134">
        <v>162975</v>
      </c>
      <c r="Q2134">
        <v>2807437.77</v>
      </c>
      <c r="R2134">
        <v>129196.39990796134</v>
      </c>
      <c r="S2134" t="s">
        <v>65</v>
      </c>
      <c r="T2134" t="s">
        <v>717</v>
      </c>
      <c r="U2134" t="s">
        <v>717</v>
      </c>
      <c r="V2134" t="s">
        <v>4131</v>
      </c>
      <c r="W2134">
        <v>45231</v>
      </c>
      <c r="X2134" t="s">
        <v>9248</v>
      </c>
      <c r="Y2134" t="s">
        <v>6</v>
      </c>
      <c r="Z2134" t="s">
        <v>17</v>
      </c>
      <c r="AA2134" t="s">
        <v>6637</v>
      </c>
      <c r="AB2134" t="s">
        <v>2509</v>
      </c>
      <c r="AC2134" t="s">
        <v>2571</v>
      </c>
      <c r="AD2134" t="s">
        <v>717</v>
      </c>
      <c r="AE2134" t="s">
        <v>9249</v>
      </c>
      <c r="AF2134" t="s">
        <v>9250</v>
      </c>
      <c r="AG2134" t="s">
        <v>9251</v>
      </c>
      <c r="AH2134" t="s">
        <v>2191</v>
      </c>
      <c r="AI2134" t="s">
        <v>2552</v>
      </c>
      <c r="AJ2134" t="s">
        <v>2514</v>
      </c>
      <c r="AK2134" t="s">
        <v>20</v>
      </c>
      <c r="AL2134" t="s">
        <v>22</v>
      </c>
      <c r="AM2134" t="s">
        <v>10</v>
      </c>
      <c r="AN2134" t="s">
        <v>717</v>
      </c>
    </row>
    <row r="2135" spans="1:40" hidden="1">
      <c r="A2135">
        <v>2134</v>
      </c>
      <c r="B2135">
        <v>5</v>
      </c>
      <c r="C2135" s="58">
        <v>45238</v>
      </c>
      <c r="D2135" t="s">
        <v>13</v>
      </c>
      <c r="E2135" t="s">
        <v>4409</v>
      </c>
      <c r="F2135">
        <v>7</v>
      </c>
      <c r="G2135">
        <v>8</v>
      </c>
      <c r="H2135">
        <v>451</v>
      </c>
      <c r="I2135">
        <v>3</v>
      </c>
      <c r="J2135">
        <v>79.44</v>
      </c>
      <c r="K2135" t="s">
        <v>9</v>
      </c>
      <c r="L2135">
        <v>6283339.8799999999</v>
      </c>
      <c r="M2135">
        <v>0</v>
      </c>
      <c r="N2135">
        <v>6283339.8799999999</v>
      </c>
      <c r="O2135">
        <v>79095.416414904335</v>
      </c>
      <c r="P2135">
        <v>0</v>
      </c>
      <c r="Q2135">
        <v>6283339.8799999999</v>
      </c>
      <c r="R2135">
        <v>79095.416414904335</v>
      </c>
      <c r="S2135" t="s">
        <v>65</v>
      </c>
      <c r="T2135" t="s">
        <v>5768</v>
      </c>
      <c r="U2135">
        <v>401064.25</v>
      </c>
      <c r="V2135" t="s">
        <v>1970</v>
      </c>
      <c r="W2135">
        <v>45238</v>
      </c>
      <c r="X2135" t="s">
        <v>9252</v>
      </c>
      <c r="Y2135" t="s">
        <v>6</v>
      </c>
      <c r="Z2135" t="s">
        <v>11</v>
      </c>
      <c r="AA2135" t="s">
        <v>717</v>
      </c>
      <c r="AB2135" t="s">
        <v>2509</v>
      </c>
      <c r="AC2135" t="s">
        <v>5105</v>
      </c>
      <c r="AD2135" t="s">
        <v>717</v>
      </c>
      <c r="AE2135" t="s">
        <v>1761</v>
      </c>
      <c r="AF2135" t="s">
        <v>9253</v>
      </c>
      <c r="AG2135" t="s">
        <v>9254</v>
      </c>
      <c r="AH2135" t="s">
        <v>2191</v>
      </c>
      <c r="AI2135" t="s">
        <v>2552</v>
      </c>
      <c r="AJ2135" t="s">
        <v>2514</v>
      </c>
      <c r="AK2135" t="s">
        <v>14</v>
      </c>
      <c r="AL2135" t="s">
        <v>16</v>
      </c>
      <c r="AM2135" t="s">
        <v>10</v>
      </c>
      <c r="AN2135" t="s">
        <v>717</v>
      </c>
    </row>
    <row r="2136" spans="1:40" hidden="1">
      <c r="A2136">
        <v>2135</v>
      </c>
      <c r="B2136">
        <v>6</v>
      </c>
      <c r="C2136" s="58">
        <v>45239</v>
      </c>
      <c r="D2136" t="s">
        <v>7</v>
      </c>
      <c r="E2136" t="s">
        <v>2506</v>
      </c>
      <c r="F2136">
        <v>8</v>
      </c>
      <c r="G2136">
        <v>6</v>
      </c>
      <c r="H2136">
        <v>160</v>
      </c>
      <c r="I2136">
        <v>1</v>
      </c>
      <c r="J2136">
        <v>33.79</v>
      </c>
      <c r="K2136" t="s">
        <v>15</v>
      </c>
      <c r="L2136">
        <v>4075857.59</v>
      </c>
      <c r="M2136">
        <v>0</v>
      </c>
      <c r="N2136">
        <v>4075857.59</v>
      </c>
      <c r="O2136">
        <v>120623.18999704056</v>
      </c>
      <c r="P2136">
        <v>253425</v>
      </c>
      <c r="Q2136">
        <v>3822432.59</v>
      </c>
      <c r="R2136">
        <v>113123.18999704056</v>
      </c>
      <c r="S2136" t="s">
        <v>65</v>
      </c>
      <c r="T2136" t="s">
        <v>717</v>
      </c>
      <c r="U2136" t="s">
        <v>717</v>
      </c>
      <c r="V2136" t="s">
        <v>6312</v>
      </c>
      <c r="W2136">
        <v>45238</v>
      </c>
      <c r="X2136" t="s">
        <v>9255</v>
      </c>
      <c r="Y2136" t="s">
        <v>6</v>
      </c>
      <c r="Z2136" t="s">
        <v>17</v>
      </c>
      <c r="AA2136" t="s">
        <v>6637</v>
      </c>
      <c r="AB2136" t="s">
        <v>2509</v>
      </c>
      <c r="AC2136" t="s">
        <v>2571</v>
      </c>
      <c r="AD2136" t="s">
        <v>717</v>
      </c>
      <c r="AE2136" t="s">
        <v>9256</v>
      </c>
      <c r="AF2136" t="s">
        <v>9257</v>
      </c>
      <c r="AG2136" t="s">
        <v>9258</v>
      </c>
      <c r="AH2136" t="s">
        <v>2552</v>
      </c>
      <c r="AI2136" t="s">
        <v>2552</v>
      </c>
      <c r="AJ2136" t="s">
        <v>2855</v>
      </c>
      <c r="AK2136" t="s">
        <v>8</v>
      </c>
      <c r="AL2136" t="s">
        <v>16</v>
      </c>
      <c r="AM2136" t="s">
        <v>10</v>
      </c>
      <c r="AN2136" t="s">
        <v>717</v>
      </c>
    </row>
    <row r="2137" spans="1:40" hidden="1">
      <c r="A2137">
        <v>2136</v>
      </c>
      <c r="B2137">
        <v>7</v>
      </c>
      <c r="C2137" s="58">
        <v>45241</v>
      </c>
      <c r="D2137" t="s">
        <v>13</v>
      </c>
      <c r="E2137" t="s">
        <v>2515</v>
      </c>
      <c r="F2137">
        <v>6</v>
      </c>
      <c r="G2137">
        <v>12</v>
      </c>
      <c r="H2137">
        <v>82</v>
      </c>
      <c r="I2137">
        <v>2</v>
      </c>
      <c r="J2137">
        <v>58.16</v>
      </c>
      <c r="K2137" t="s">
        <v>25</v>
      </c>
      <c r="L2137">
        <v>6403744.0199999996</v>
      </c>
      <c r="M2137">
        <v>0</v>
      </c>
      <c r="N2137">
        <v>6403744.0199999996</v>
      </c>
      <c r="O2137">
        <v>110105.63995873452</v>
      </c>
      <c r="P2137">
        <v>1279520</v>
      </c>
      <c r="Q2137">
        <v>5124224.0199999996</v>
      </c>
      <c r="R2137">
        <v>88105.639958734522</v>
      </c>
      <c r="S2137" t="s">
        <v>65</v>
      </c>
      <c r="T2137" t="s">
        <v>717</v>
      </c>
      <c r="U2137" t="s">
        <v>717</v>
      </c>
      <c r="V2137" t="s">
        <v>6488</v>
      </c>
      <c r="W2137">
        <v>45237</v>
      </c>
      <c r="X2137" t="s">
        <v>9259</v>
      </c>
      <c r="Y2137" t="s">
        <v>6</v>
      </c>
      <c r="Z2137" t="s">
        <v>17</v>
      </c>
      <c r="AA2137" t="s">
        <v>6637</v>
      </c>
      <c r="AB2137" t="s">
        <v>2509</v>
      </c>
      <c r="AC2137" t="s">
        <v>2571</v>
      </c>
      <c r="AD2137" t="s">
        <v>717</v>
      </c>
      <c r="AE2137" t="s">
        <v>9260</v>
      </c>
      <c r="AF2137" t="s">
        <v>9261</v>
      </c>
      <c r="AG2137" t="s">
        <v>9262</v>
      </c>
      <c r="AH2137" t="s">
        <v>2191</v>
      </c>
      <c r="AI2137" t="s">
        <v>2552</v>
      </c>
      <c r="AJ2137" t="s">
        <v>2514</v>
      </c>
      <c r="AK2137" t="s">
        <v>14</v>
      </c>
      <c r="AL2137" t="s">
        <v>16</v>
      </c>
      <c r="AM2137" t="s">
        <v>10</v>
      </c>
      <c r="AN2137" t="s">
        <v>717</v>
      </c>
    </row>
    <row r="2138" spans="1:40" hidden="1">
      <c r="A2138">
        <v>2137</v>
      </c>
      <c r="B2138">
        <v>8</v>
      </c>
      <c r="C2138" s="58">
        <v>45241</v>
      </c>
      <c r="D2138" t="s">
        <v>13</v>
      </c>
      <c r="E2138" t="s">
        <v>2581</v>
      </c>
      <c r="F2138">
        <v>6</v>
      </c>
      <c r="G2138">
        <v>5</v>
      </c>
      <c r="H2138">
        <v>255</v>
      </c>
      <c r="I2138">
        <v>3</v>
      </c>
      <c r="J2138">
        <v>80.97</v>
      </c>
      <c r="K2138" t="s">
        <v>25</v>
      </c>
      <c r="L2138">
        <v>6835802.7000000002</v>
      </c>
      <c r="M2138">
        <v>15000</v>
      </c>
      <c r="N2138">
        <v>6850802.7000000002</v>
      </c>
      <c r="O2138">
        <v>84609.147832530565</v>
      </c>
      <c r="P2138">
        <v>1255035</v>
      </c>
      <c r="Q2138">
        <v>5595767.7000000002</v>
      </c>
      <c r="R2138">
        <v>69109.147832530565</v>
      </c>
      <c r="S2138" t="s">
        <v>65</v>
      </c>
      <c r="T2138" t="s">
        <v>5768</v>
      </c>
      <c r="U2138">
        <v>357176.66</v>
      </c>
      <c r="V2138" t="s">
        <v>1970</v>
      </c>
      <c r="W2138">
        <v>45145</v>
      </c>
      <c r="X2138" t="s">
        <v>9263</v>
      </c>
      <c r="Y2138" t="s">
        <v>6</v>
      </c>
      <c r="Z2138" t="s">
        <v>11</v>
      </c>
      <c r="AA2138" t="s">
        <v>717</v>
      </c>
      <c r="AB2138" t="s">
        <v>2509</v>
      </c>
      <c r="AC2138" t="s">
        <v>5105</v>
      </c>
      <c r="AD2138" t="s">
        <v>717</v>
      </c>
      <c r="AE2138" t="s">
        <v>9264</v>
      </c>
      <c r="AF2138" t="s">
        <v>9265</v>
      </c>
      <c r="AG2138" t="s">
        <v>9266</v>
      </c>
      <c r="AH2138" t="s">
        <v>2191</v>
      </c>
      <c r="AI2138" t="s">
        <v>2538</v>
      </c>
      <c r="AJ2138" t="s">
        <v>2514</v>
      </c>
      <c r="AK2138" t="s">
        <v>1233</v>
      </c>
      <c r="AL2138" t="s">
        <v>16</v>
      </c>
      <c r="AM2138" t="s">
        <v>10</v>
      </c>
      <c r="AN2138" t="s">
        <v>717</v>
      </c>
    </row>
    <row r="2139" spans="1:40" hidden="1">
      <c r="A2139">
        <v>2138</v>
      </c>
      <c r="B2139">
        <v>9</v>
      </c>
      <c r="C2139" s="58">
        <v>45243</v>
      </c>
      <c r="D2139" t="s">
        <v>7</v>
      </c>
      <c r="E2139" t="s">
        <v>4409</v>
      </c>
      <c r="F2139">
        <v>6</v>
      </c>
      <c r="G2139">
        <v>16</v>
      </c>
      <c r="H2139">
        <v>533</v>
      </c>
      <c r="I2139">
        <v>2</v>
      </c>
      <c r="J2139">
        <v>58.62</v>
      </c>
      <c r="K2139" t="s">
        <v>9</v>
      </c>
      <c r="L2139">
        <v>5349001.7300000004</v>
      </c>
      <c r="M2139">
        <v>0</v>
      </c>
      <c r="N2139">
        <v>5349001.7300000004</v>
      </c>
      <c r="O2139">
        <v>91248.750085295134</v>
      </c>
      <c r="P2139">
        <v>0</v>
      </c>
      <c r="Q2139">
        <v>5349001.7300000004</v>
      </c>
      <c r="R2139">
        <v>91248.750085295134</v>
      </c>
      <c r="S2139" t="s">
        <v>65</v>
      </c>
      <c r="T2139" t="s">
        <v>717</v>
      </c>
      <c r="U2139" t="s">
        <v>717</v>
      </c>
      <c r="V2139" t="s">
        <v>6312</v>
      </c>
      <c r="W2139">
        <v>45232</v>
      </c>
      <c r="X2139" t="s">
        <v>9267</v>
      </c>
      <c r="Y2139" t="s">
        <v>6</v>
      </c>
      <c r="Z2139" t="s">
        <v>17</v>
      </c>
      <c r="AA2139" t="s">
        <v>6637</v>
      </c>
      <c r="AB2139" t="s">
        <v>2509</v>
      </c>
      <c r="AC2139" t="s">
        <v>2571</v>
      </c>
      <c r="AD2139" t="s">
        <v>717</v>
      </c>
      <c r="AE2139" t="s">
        <v>9268</v>
      </c>
      <c r="AF2139" t="s">
        <v>9269</v>
      </c>
      <c r="AG2139" t="s">
        <v>9270</v>
      </c>
      <c r="AH2139" t="s">
        <v>2191</v>
      </c>
      <c r="AI2139" t="s">
        <v>2697</v>
      </c>
      <c r="AJ2139" t="s">
        <v>2514</v>
      </c>
      <c r="AK2139" t="s">
        <v>8</v>
      </c>
      <c r="AL2139" t="s">
        <v>22</v>
      </c>
      <c r="AM2139" t="s">
        <v>10</v>
      </c>
      <c r="AN2139" t="s">
        <v>717</v>
      </c>
    </row>
    <row r="2140" spans="1:40" hidden="1">
      <c r="A2140">
        <v>2139</v>
      </c>
      <c r="B2140">
        <v>10</v>
      </c>
      <c r="C2140" s="58">
        <v>45243</v>
      </c>
      <c r="D2140" t="s">
        <v>7</v>
      </c>
      <c r="E2140" t="s">
        <v>4409</v>
      </c>
      <c r="F2140">
        <v>2</v>
      </c>
      <c r="G2140">
        <v>12</v>
      </c>
      <c r="H2140">
        <v>493</v>
      </c>
      <c r="I2140">
        <v>1</v>
      </c>
      <c r="J2140">
        <v>38.6</v>
      </c>
      <c r="K2140" t="s">
        <v>15</v>
      </c>
      <c r="L2140">
        <v>4291194.8099999996</v>
      </c>
      <c r="M2140">
        <v>0</v>
      </c>
      <c r="N2140">
        <v>4291194.8099999996</v>
      </c>
      <c r="O2140">
        <v>111170.85</v>
      </c>
      <c r="P2140">
        <v>289500</v>
      </c>
      <c r="Q2140">
        <v>4001694.81</v>
      </c>
      <c r="R2140">
        <v>103670.85</v>
      </c>
      <c r="S2140" t="s">
        <v>65</v>
      </c>
      <c r="T2140" t="s">
        <v>717</v>
      </c>
      <c r="U2140" t="s">
        <v>717</v>
      </c>
      <c r="V2140" t="s">
        <v>4131</v>
      </c>
      <c r="W2140">
        <v>45237</v>
      </c>
      <c r="X2140" t="s">
        <v>6878</v>
      </c>
      <c r="Y2140" t="s">
        <v>6</v>
      </c>
      <c r="Z2140" t="s">
        <v>17</v>
      </c>
      <c r="AA2140" t="s">
        <v>6637</v>
      </c>
      <c r="AB2140" t="s">
        <v>2509</v>
      </c>
      <c r="AC2140" t="s">
        <v>2571</v>
      </c>
      <c r="AD2140" t="s">
        <v>717</v>
      </c>
      <c r="AE2140" t="s">
        <v>9271</v>
      </c>
      <c r="AF2140" t="s">
        <v>9272</v>
      </c>
      <c r="AG2140" t="s">
        <v>9273</v>
      </c>
      <c r="AH2140" t="s">
        <v>2191</v>
      </c>
      <c r="AI2140" t="s">
        <v>2552</v>
      </c>
      <c r="AJ2140" t="s">
        <v>2514</v>
      </c>
      <c r="AK2140" t="s">
        <v>20</v>
      </c>
      <c r="AL2140" t="s">
        <v>16</v>
      </c>
      <c r="AM2140" t="s">
        <v>10</v>
      </c>
      <c r="AN2140" t="s">
        <v>717</v>
      </c>
    </row>
    <row r="2141" spans="1:40" hidden="1">
      <c r="A2141">
        <v>2140</v>
      </c>
      <c r="B2141">
        <v>11</v>
      </c>
      <c r="C2141" s="58">
        <v>45243</v>
      </c>
      <c r="D2141" t="s">
        <v>13</v>
      </c>
      <c r="E2141" t="s">
        <v>2515</v>
      </c>
      <c r="F2141">
        <v>3</v>
      </c>
      <c r="G2141">
        <v>13</v>
      </c>
      <c r="H2141">
        <v>86</v>
      </c>
      <c r="I2141">
        <v>1</v>
      </c>
      <c r="J2141">
        <v>37.729999999999997</v>
      </c>
      <c r="K2141" t="s">
        <v>9</v>
      </c>
      <c r="L2141">
        <v>3824799.14</v>
      </c>
      <c r="M2141">
        <v>0</v>
      </c>
      <c r="N2141">
        <v>3824799.14</v>
      </c>
      <c r="O2141">
        <v>101372.89000795124</v>
      </c>
      <c r="P2141">
        <v>0</v>
      </c>
      <c r="Q2141">
        <v>3824799.14</v>
      </c>
      <c r="R2141">
        <v>101372.89000795124</v>
      </c>
      <c r="S2141" t="s">
        <v>65</v>
      </c>
      <c r="T2141" t="s">
        <v>717</v>
      </c>
      <c r="U2141" t="s">
        <v>717</v>
      </c>
      <c r="V2141" t="s">
        <v>6312</v>
      </c>
      <c r="W2141">
        <v>45237</v>
      </c>
      <c r="X2141" t="s">
        <v>9274</v>
      </c>
      <c r="Y2141" t="s">
        <v>6</v>
      </c>
      <c r="Z2141" t="s">
        <v>17</v>
      </c>
      <c r="AA2141" t="s">
        <v>6637</v>
      </c>
      <c r="AB2141" t="s">
        <v>2509</v>
      </c>
      <c r="AC2141" t="s">
        <v>2571</v>
      </c>
      <c r="AD2141" t="s">
        <v>717</v>
      </c>
      <c r="AE2141" t="s">
        <v>9275</v>
      </c>
      <c r="AF2141" t="s">
        <v>9276</v>
      </c>
      <c r="AG2141" t="s">
        <v>9277</v>
      </c>
      <c r="AH2141" t="s">
        <v>2615</v>
      </c>
      <c r="AI2141" t="s">
        <v>2538</v>
      </c>
      <c r="AJ2141" t="s">
        <v>2895</v>
      </c>
      <c r="AK2141" t="s">
        <v>14</v>
      </c>
      <c r="AL2141" t="s">
        <v>16</v>
      </c>
      <c r="AM2141" t="s">
        <v>10</v>
      </c>
      <c r="AN2141" t="s">
        <v>717</v>
      </c>
    </row>
    <row r="2142" spans="1:40" hidden="1">
      <c r="A2142">
        <v>2141</v>
      </c>
      <c r="B2142">
        <v>12</v>
      </c>
      <c r="C2142" s="58">
        <v>45243</v>
      </c>
      <c r="D2142" t="s">
        <v>13</v>
      </c>
      <c r="E2142" t="s">
        <v>2581</v>
      </c>
      <c r="F2142">
        <v>5</v>
      </c>
      <c r="G2142">
        <v>5</v>
      </c>
      <c r="H2142">
        <v>254</v>
      </c>
      <c r="I2142">
        <v>1</v>
      </c>
      <c r="J2142">
        <v>37.81</v>
      </c>
      <c r="K2142" t="s">
        <v>25</v>
      </c>
      <c r="L2142">
        <v>4609836.03</v>
      </c>
      <c r="M2142">
        <v>0</v>
      </c>
      <c r="N2142">
        <v>4609836.03</v>
      </c>
      <c r="O2142">
        <v>121921.07987304946</v>
      </c>
      <c r="P2142">
        <v>831820</v>
      </c>
      <c r="Q2142">
        <v>3778016.03</v>
      </c>
      <c r="R2142">
        <v>99921.079873049457</v>
      </c>
      <c r="S2142" t="s">
        <v>65</v>
      </c>
      <c r="T2142" t="s">
        <v>717</v>
      </c>
      <c r="U2142" t="s">
        <v>717</v>
      </c>
      <c r="V2142" t="s">
        <v>6488</v>
      </c>
      <c r="W2142">
        <v>45237</v>
      </c>
      <c r="X2142" t="s">
        <v>9278</v>
      </c>
      <c r="Y2142" t="s">
        <v>6</v>
      </c>
      <c r="Z2142" t="s">
        <v>17</v>
      </c>
      <c r="AA2142" t="s">
        <v>6637</v>
      </c>
      <c r="AB2142" t="s">
        <v>2509</v>
      </c>
      <c r="AC2142" t="s">
        <v>2571</v>
      </c>
      <c r="AD2142" t="s">
        <v>717</v>
      </c>
      <c r="AE2142" t="s">
        <v>9279</v>
      </c>
      <c r="AF2142" t="s">
        <v>9280</v>
      </c>
      <c r="AG2142" t="s">
        <v>9281</v>
      </c>
      <c r="AH2142" t="s">
        <v>2615</v>
      </c>
      <c r="AI2142" t="s">
        <v>2521</v>
      </c>
      <c r="AJ2142" t="s">
        <v>2825</v>
      </c>
      <c r="AK2142" t="s">
        <v>20</v>
      </c>
      <c r="AL2142" t="s">
        <v>16</v>
      </c>
      <c r="AM2142" t="s">
        <v>10</v>
      </c>
      <c r="AN2142" t="s">
        <v>717</v>
      </c>
    </row>
    <row r="2143" spans="1:40" hidden="1">
      <c r="A2143">
        <v>2142</v>
      </c>
      <c r="B2143">
        <v>13</v>
      </c>
      <c r="C2143" s="58">
        <v>45243</v>
      </c>
      <c r="D2143" t="s">
        <v>7</v>
      </c>
      <c r="E2143" t="s">
        <v>4409</v>
      </c>
      <c r="F2143">
        <v>9</v>
      </c>
      <c r="G2143">
        <v>13</v>
      </c>
      <c r="H2143">
        <v>509</v>
      </c>
      <c r="I2143">
        <v>1</v>
      </c>
      <c r="J2143">
        <v>44.37</v>
      </c>
      <c r="K2143" t="s">
        <v>15</v>
      </c>
      <c r="L2143">
        <v>4626908.04</v>
      </c>
      <c r="M2143">
        <v>0</v>
      </c>
      <c r="N2143">
        <v>4626908.04</v>
      </c>
      <c r="O2143">
        <v>104280.10006761324</v>
      </c>
      <c r="P2143">
        <v>332775</v>
      </c>
      <c r="Q2143">
        <v>4294133.04</v>
      </c>
      <c r="R2143">
        <v>96780.100067613253</v>
      </c>
      <c r="S2143" t="s">
        <v>65</v>
      </c>
      <c r="T2143" t="s">
        <v>717</v>
      </c>
      <c r="U2143" t="s">
        <v>717</v>
      </c>
      <c r="V2143" t="s">
        <v>4131</v>
      </c>
      <c r="W2143">
        <v>45237</v>
      </c>
      <c r="X2143" t="s">
        <v>9282</v>
      </c>
      <c r="Y2143" t="s">
        <v>6</v>
      </c>
      <c r="Z2143" t="s">
        <v>17</v>
      </c>
      <c r="AA2143" t="s">
        <v>6637</v>
      </c>
      <c r="AB2143" t="s">
        <v>2509</v>
      </c>
      <c r="AC2143" t="s">
        <v>2571</v>
      </c>
      <c r="AD2143" t="s">
        <v>717</v>
      </c>
      <c r="AE2143" t="s">
        <v>9283</v>
      </c>
      <c r="AF2143" t="s">
        <v>9284</v>
      </c>
      <c r="AG2143" t="s">
        <v>9285</v>
      </c>
      <c r="AH2143" t="s">
        <v>2615</v>
      </c>
      <c r="AI2143" t="s">
        <v>2521</v>
      </c>
      <c r="AJ2143" t="s">
        <v>2642</v>
      </c>
      <c r="AK2143" t="s">
        <v>8</v>
      </c>
      <c r="AL2143" t="s">
        <v>22</v>
      </c>
      <c r="AM2143" t="s">
        <v>10</v>
      </c>
      <c r="AN2143" t="s">
        <v>717</v>
      </c>
    </row>
    <row r="2144" spans="1:40" hidden="1">
      <c r="A2144">
        <v>2143</v>
      </c>
      <c r="B2144">
        <v>14</v>
      </c>
      <c r="C2144" s="58">
        <v>45244</v>
      </c>
      <c r="D2144" t="s">
        <v>7</v>
      </c>
      <c r="E2144" t="s">
        <v>2506</v>
      </c>
      <c r="F2144">
        <v>2</v>
      </c>
      <c r="G2144">
        <v>12</v>
      </c>
      <c r="H2144">
        <v>202</v>
      </c>
      <c r="I2144">
        <v>2</v>
      </c>
      <c r="J2144">
        <v>68.75</v>
      </c>
      <c r="K2144" t="s">
        <v>15</v>
      </c>
      <c r="L2144">
        <v>6278701.04</v>
      </c>
      <c r="M2144">
        <v>15000</v>
      </c>
      <c r="N2144">
        <v>6293701.04</v>
      </c>
      <c r="O2144">
        <v>91544.742400000003</v>
      </c>
      <c r="P2144">
        <v>515625</v>
      </c>
      <c r="Q2144">
        <v>5778076.04</v>
      </c>
      <c r="R2144">
        <v>84044.742400000003</v>
      </c>
      <c r="S2144" t="s">
        <v>65</v>
      </c>
      <c r="T2144" t="s">
        <v>5768</v>
      </c>
      <c r="U2144">
        <v>304109.27</v>
      </c>
      <c r="V2144" t="s">
        <v>4131</v>
      </c>
      <c r="W2144">
        <v>45218</v>
      </c>
      <c r="X2144" t="s">
        <v>9286</v>
      </c>
      <c r="Y2144" t="s">
        <v>6</v>
      </c>
      <c r="Z2144" t="s">
        <v>17</v>
      </c>
      <c r="AA2144" t="s">
        <v>6637</v>
      </c>
      <c r="AB2144" t="s">
        <v>2509</v>
      </c>
      <c r="AC2144" t="s">
        <v>2571</v>
      </c>
      <c r="AD2144" t="s">
        <v>717</v>
      </c>
      <c r="AE2144" t="s">
        <v>9287</v>
      </c>
      <c r="AF2144" t="s">
        <v>9288</v>
      </c>
      <c r="AG2144" t="s">
        <v>9289</v>
      </c>
      <c r="AH2144" t="s">
        <v>2552</v>
      </c>
      <c r="AI2144" t="s">
        <v>2877</v>
      </c>
      <c r="AJ2144" t="s">
        <v>3098</v>
      </c>
      <c r="AK2144" t="s">
        <v>8</v>
      </c>
      <c r="AL2144" t="s">
        <v>22</v>
      </c>
      <c r="AM2144" t="s">
        <v>10</v>
      </c>
      <c r="AN2144" t="s">
        <v>717</v>
      </c>
    </row>
    <row r="2145" spans="1:40" hidden="1">
      <c r="A2145">
        <v>2144</v>
      </c>
      <c r="B2145">
        <v>15</v>
      </c>
      <c r="C2145" s="58">
        <v>45244</v>
      </c>
      <c r="D2145" t="s">
        <v>7</v>
      </c>
      <c r="E2145" t="s">
        <v>2581</v>
      </c>
      <c r="F2145">
        <v>2</v>
      </c>
      <c r="G2145">
        <v>4</v>
      </c>
      <c r="H2145">
        <v>256</v>
      </c>
      <c r="I2145">
        <v>2</v>
      </c>
      <c r="J2145">
        <v>67.95</v>
      </c>
      <c r="K2145" t="s">
        <v>15</v>
      </c>
      <c r="L2145">
        <v>6346259.5589999994</v>
      </c>
      <c r="M2145">
        <v>0</v>
      </c>
      <c r="N2145">
        <v>6346259.5589999994</v>
      </c>
      <c r="O2145">
        <v>93396.02</v>
      </c>
      <c r="P2145">
        <v>509625</v>
      </c>
      <c r="Q2145">
        <v>5836634.5589999994</v>
      </c>
      <c r="R2145">
        <v>85896.01999999999</v>
      </c>
      <c r="S2145" t="s">
        <v>65</v>
      </c>
      <c r="T2145" t="s">
        <v>2664</v>
      </c>
      <c r="U2145">
        <v>119114.99</v>
      </c>
      <c r="V2145" t="s">
        <v>6312</v>
      </c>
      <c r="W2145">
        <v>45238</v>
      </c>
      <c r="X2145" t="s">
        <v>9290</v>
      </c>
      <c r="Y2145" t="s">
        <v>6</v>
      </c>
      <c r="Z2145" t="s">
        <v>17</v>
      </c>
      <c r="AA2145" t="s">
        <v>6637</v>
      </c>
      <c r="AB2145" t="s">
        <v>2509</v>
      </c>
      <c r="AC2145" t="s">
        <v>2571</v>
      </c>
      <c r="AD2145" t="s">
        <v>717</v>
      </c>
      <c r="AE2145" t="s">
        <v>9291</v>
      </c>
      <c r="AF2145" t="s">
        <v>9292</v>
      </c>
      <c r="AG2145" t="s">
        <v>9293</v>
      </c>
      <c r="AH2145" t="s">
        <v>2191</v>
      </c>
      <c r="AI2145" t="s">
        <v>2552</v>
      </c>
      <c r="AJ2145" t="s">
        <v>2514</v>
      </c>
      <c r="AK2145" t="s">
        <v>8</v>
      </c>
      <c r="AL2145" t="s">
        <v>16</v>
      </c>
      <c r="AM2145" t="s">
        <v>10</v>
      </c>
      <c r="AN2145" t="s">
        <v>717</v>
      </c>
    </row>
    <row r="2146" spans="1:40" hidden="1">
      <c r="A2146">
        <v>2145</v>
      </c>
      <c r="B2146">
        <v>16</v>
      </c>
      <c r="C2146" s="58">
        <v>45245</v>
      </c>
      <c r="D2146" t="s">
        <v>7</v>
      </c>
      <c r="E2146" t="s">
        <v>2581</v>
      </c>
      <c r="F2146">
        <v>2</v>
      </c>
      <c r="G2146">
        <v>2</v>
      </c>
      <c r="H2146">
        <v>242</v>
      </c>
      <c r="I2146">
        <v>2</v>
      </c>
      <c r="J2146">
        <v>67.95</v>
      </c>
      <c r="K2146" t="s">
        <v>9</v>
      </c>
      <c r="L2146">
        <v>5836634.5599999996</v>
      </c>
      <c r="M2146">
        <v>0</v>
      </c>
      <c r="N2146">
        <v>5836634.5599999996</v>
      </c>
      <c r="O2146">
        <v>85896.020014716691</v>
      </c>
      <c r="P2146">
        <v>0</v>
      </c>
      <c r="Q2146">
        <v>5836634.5599999996</v>
      </c>
      <c r="R2146">
        <v>85896.020014716691</v>
      </c>
      <c r="S2146" t="s">
        <v>65</v>
      </c>
      <c r="T2146" t="s">
        <v>2664</v>
      </c>
      <c r="U2146">
        <v>119114.99102040846</v>
      </c>
      <c r="V2146" t="s">
        <v>6312</v>
      </c>
      <c r="W2146">
        <v>45238</v>
      </c>
      <c r="X2146" t="s">
        <v>9294</v>
      </c>
      <c r="Y2146" t="s">
        <v>6</v>
      </c>
      <c r="Z2146" t="s">
        <v>17</v>
      </c>
      <c r="AA2146" t="s">
        <v>6637</v>
      </c>
      <c r="AB2146" t="s">
        <v>2509</v>
      </c>
      <c r="AC2146" t="s">
        <v>2571</v>
      </c>
      <c r="AD2146" t="s">
        <v>717</v>
      </c>
      <c r="AE2146" t="s">
        <v>9295</v>
      </c>
      <c r="AF2146" t="s">
        <v>9296</v>
      </c>
      <c r="AG2146" t="s">
        <v>9297</v>
      </c>
      <c r="AH2146" t="s">
        <v>2615</v>
      </c>
      <c r="AI2146" t="s">
        <v>2538</v>
      </c>
      <c r="AJ2146" t="s">
        <v>2825</v>
      </c>
      <c r="AK2146" t="s">
        <v>14</v>
      </c>
      <c r="AL2146" t="s">
        <v>16</v>
      </c>
      <c r="AM2146" t="s">
        <v>10</v>
      </c>
      <c r="AN2146" t="s">
        <v>717</v>
      </c>
    </row>
    <row r="2147" spans="1:40" hidden="1">
      <c r="A2147">
        <v>2146</v>
      </c>
      <c r="B2147">
        <v>17</v>
      </c>
      <c r="C2147" s="58">
        <v>45246</v>
      </c>
      <c r="D2147" t="s">
        <v>13</v>
      </c>
      <c r="E2147" t="s">
        <v>2581</v>
      </c>
      <c r="F2147">
        <v>4</v>
      </c>
      <c r="G2147">
        <v>11</v>
      </c>
      <c r="H2147">
        <v>295</v>
      </c>
      <c r="I2147">
        <v>2</v>
      </c>
      <c r="J2147">
        <v>60.24</v>
      </c>
      <c r="K2147" t="s">
        <v>9</v>
      </c>
      <c r="L2147">
        <v>5089902.38</v>
      </c>
      <c r="M2147">
        <v>0</v>
      </c>
      <c r="N2147">
        <v>5089902.38</v>
      </c>
      <c r="O2147">
        <v>84493.731407702522</v>
      </c>
      <c r="P2147">
        <v>0</v>
      </c>
      <c r="Q2147">
        <v>5089902.38</v>
      </c>
      <c r="R2147">
        <v>84493.731407702522</v>
      </c>
      <c r="S2147" t="s">
        <v>65</v>
      </c>
      <c r="T2147" t="s">
        <v>5768</v>
      </c>
      <c r="U2147">
        <v>267889.59999999998</v>
      </c>
      <c r="V2147" t="s">
        <v>4131</v>
      </c>
      <c r="W2147">
        <v>45229</v>
      </c>
      <c r="X2147" t="s">
        <v>9298</v>
      </c>
      <c r="Y2147" t="s">
        <v>6</v>
      </c>
      <c r="Z2147" t="s">
        <v>17</v>
      </c>
      <c r="AA2147" t="s">
        <v>6637</v>
      </c>
      <c r="AB2147" t="s">
        <v>2509</v>
      </c>
      <c r="AC2147" t="s">
        <v>2571</v>
      </c>
      <c r="AD2147" t="s">
        <v>717</v>
      </c>
      <c r="AE2147" t="s">
        <v>9299</v>
      </c>
      <c r="AF2147" t="s">
        <v>9300</v>
      </c>
      <c r="AG2147" t="s">
        <v>9301</v>
      </c>
      <c r="AH2147" t="s">
        <v>2191</v>
      </c>
      <c r="AI2147" t="s">
        <v>2706</v>
      </c>
      <c r="AJ2147" t="s">
        <v>2514</v>
      </c>
      <c r="AK2147" t="s">
        <v>20</v>
      </c>
      <c r="AL2147" t="s">
        <v>22</v>
      </c>
      <c r="AM2147" t="s">
        <v>10</v>
      </c>
      <c r="AN2147" t="s">
        <v>717</v>
      </c>
    </row>
    <row r="2148" spans="1:40" hidden="1">
      <c r="A2148">
        <v>2147</v>
      </c>
      <c r="B2148">
        <v>18</v>
      </c>
      <c r="C2148" s="58">
        <v>45246</v>
      </c>
      <c r="D2148" t="s">
        <v>13</v>
      </c>
      <c r="E2148" t="s">
        <v>2515</v>
      </c>
      <c r="F2148">
        <v>6</v>
      </c>
      <c r="G2148">
        <v>2</v>
      </c>
      <c r="H2148">
        <v>12</v>
      </c>
      <c r="I2148">
        <v>2</v>
      </c>
      <c r="J2148">
        <v>58.16</v>
      </c>
      <c r="K2148" t="s">
        <v>15</v>
      </c>
      <c r="L2148">
        <v>5608995.1799999997</v>
      </c>
      <c r="M2148">
        <v>0</v>
      </c>
      <c r="N2148">
        <v>5608995.1799999997</v>
      </c>
      <c r="O2148">
        <v>96440.769944979373</v>
      </c>
      <c r="P2148">
        <v>436200</v>
      </c>
      <c r="Q2148">
        <v>5172795.18</v>
      </c>
      <c r="R2148">
        <v>88940.769944979373</v>
      </c>
      <c r="S2148" t="s">
        <v>65</v>
      </c>
      <c r="T2148" t="s">
        <v>717</v>
      </c>
      <c r="U2148" t="s">
        <v>717</v>
      </c>
      <c r="V2148" t="s">
        <v>6312</v>
      </c>
      <c r="W2148">
        <v>45243</v>
      </c>
      <c r="X2148" t="s">
        <v>9302</v>
      </c>
      <c r="Y2148" t="s">
        <v>6</v>
      </c>
      <c r="Z2148" t="s">
        <v>17</v>
      </c>
      <c r="AA2148" t="s">
        <v>6637</v>
      </c>
      <c r="AB2148" t="s">
        <v>2509</v>
      </c>
      <c r="AC2148" t="s">
        <v>2571</v>
      </c>
      <c r="AD2148" t="s">
        <v>717</v>
      </c>
      <c r="AE2148" t="s">
        <v>9303</v>
      </c>
      <c r="AF2148" t="s">
        <v>9304</v>
      </c>
      <c r="AG2148" t="s">
        <v>9305</v>
      </c>
      <c r="AH2148" t="s">
        <v>6100</v>
      </c>
      <c r="AI2148" t="s">
        <v>5653</v>
      </c>
      <c r="AJ2148" t="s">
        <v>31</v>
      </c>
      <c r="AK2148" t="s">
        <v>8</v>
      </c>
      <c r="AL2148" t="s">
        <v>22</v>
      </c>
      <c r="AM2148" t="s">
        <v>5654</v>
      </c>
      <c r="AN2148" t="s">
        <v>717</v>
      </c>
    </row>
    <row r="2149" spans="1:40" hidden="1">
      <c r="A2149">
        <v>2148</v>
      </c>
      <c r="B2149">
        <v>19</v>
      </c>
      <c r="C2149" s="58">
        <v>45246</v>
      </c>
      <c r="D2149" t="s">
        <v>7</v>
      </c>
      <c r="E2149" t="s">
        <v>2515</v>
      </c>
      <c r="F2149">
        <v>4</v>
      </c>
      <c r="G2149">
        <v>12</v>
      </c>
      <c r="H2149">
        <v>84</v>
      </c>
      <c r="I2149">
        <v>2</v>
      </c>
      <c r="J2149">
        <v>56.03</v>
      </c>
      <c r="K2149" t="s">
        <v>25</v>
      </c>
      <c r="L2149">
        <v>6194429.3300000001</v>
      </c>
      <c r="M2149">
        <v>0</v>
      </c>
      <c r="N2149">
        <v>6194429.3300000001</v>
      </c>
      <c r="O2149">
        <v>110555.5832589684</v>
      </c>
      <c r="P2149">
        <v>1232660</v>
      </c>
      <c r="Q2149">
        <v>4961769.33</v>
      </c>
      <c r="R2149">
        <v>88555.583258968414</v>
      </c>
      <c r="S2149" t="s">
        <v>65</v>
      </c>
      <c r="T2149" t="s">
        <v>2664</v>
      </c>
      <c r="U2149">
        <v>101260.6</v>
      </c>
      <c r="V2149" t="s">
        <v>6312</v>
      </c>
      <c r="W2149">
        <v>45243</v>
      </c>
      <c r="X2149" t="s">
        <v>9306</v>
      </c>
      <c r="Y2149" t="s">
        <v>6</v>
      </c>
      <c r="Z2149" t="s">
        <v>17</v>
      </c>
      <c r="AA2149" t="s">
        <v>6637</v>
      </c>
      <c r="AB2149" t="s">
        <v>2509</v>
      </c>
      <c r="AC2149" t="s">
        <v>2571</v>
      </c>
      <c r="AD2149" t="s">
        <v>717</v>
      </c>
      <c r="AE2149" t="s">
        <v>9307</v>
      </c>
      <c r="AF2149" t="s">
        <v>9308</v>
      </c>
      <c r="AG2149" t="s">
        <v>9309</v>
      </c>
      <c r="AH2149" t="s">
        <v>6100</v>
      </c>
      <c r="AI2149" t="s">
        <v>5653</v>
      </c>
      <c r="AJ2149" t="s">
        <v>31</v>
      </c>
      <c r="AK2149" t="s">
        <v>8</v>
      </c>
      <c r="AL2149" t="s">
        <v>22</v>
      </c>
      <c r="AM2149" t="s">
        <v>5654</v>
      </c>
      <c r="AN2149" t="s">
        <v>717</v>
      </c>
    </row>
    <row r="2150" spans="1:40" hidden="1">
      <c r="A2150">
        <v>2149</v>
      </c>
      <c r="B2150">
        <v>20</v>
      </c>
      <c r="C2150" s="58">
        <v>45247</v>
      </c>
      <c r="D2150" t="s">
        <v>7</v>
      </c>
      <c r="E2150" t="s">
        <v>2506</v>
      </c>
      <c r="F2150">
        <v>2</v>
      </c>
      <c r="G2150">
        <v>16</v>
      </c>
      <c r="H2150">
        <v>234</v>
      </c>
      <c r="I2150">
        <v>2</v>
      </c>
      <c r="J2150">
        <v>68.75</v>
      </c>
      <c r="K2150" t="s">
        <v>15</v>
      </c>
      <c r="L2150">
        <v>6476166.5999999996</v>
      </c>
      <c r="M2150">
        <v>0</v>
      </c>
      <c r="N2150">
        <v>6476166.5999999996</v>
      </c>
      <c r="O2150">
        <v>94198.786909090908</v>
      </c>
      <c r="P2150">
        <v>515625</v>
      </c>
      <c r="Q2150">
        <v>5960541.5999999996</v>
      </c>
      <c r="R2150">
        <v>86698.786909090908</v>
      </c>
      <c r="S2150" t="s">
        <v>65</v>
      </c>
      <c r="T2150" t="s">
        <v>2664</v>
      </c>
      <c r="U2150">
        <v>121643.71</v>
      </c>
      <c r="V2150" t="s">
        <v>4131</v>
      </c>
      <c r="W2150">
        <v>45242</v>
      </c>
      <c r="X2150" t="s">
        <v>9310</v>
      </c>
      <c r="Y2150" t="s">
        <v>6</v>
      </c>
      <c r="Z2150" t="s">
        <v>17</v>
      </c>
      <c r="AA2150" t="s">
        <v>6637</v>
      </c>
      <c r="AB2150" t="s">
        <v>2509</v>
      </c>
      <c r="AC2150" t="s">
        <v>2571</v>
      </c>
      <c r="AD2150" t="s">
        <v>717</v>
      </c>
      <c r="AE2150" t="s">
        <v>9311</v>
      </c>
      <c r="AF2150" t="s">
        <v>9312</v>
      </c>
      <c r="AG2150" t="s">
        <v>9313</v>
      </c>
      <c r="AH2150" t="s">
        <v>2191</v>
      </c>
      <c r="AI2150" t="s">
        <v>2521</v>
      </c>
      <c r="AJ2150" t="s">
        <v>2514</v>
      </c>
      <c r="AK2150" t="s">
        <v>14</v>
      </c>
      <c r="AL2150" t="s">
        <v>22</v>
      </c>
      <c r="AM2150" t="s">
        <v>10</v>
      </c>
      <c r="AN2150" t="s">
        <v>717</v>
      </c>
    </row>
    <row r="2151" spans="1:40" hidden="1">
      <c r="A2151">
        <v>2150</v>
      </c>
      <c r="B2151">
        <v>21</v>
      </c>
      <c r="C2151" s="58">
        <v>45247</v>
      </c>
      <c r="D2151" t="s">
        <v>13</v>
      </c>
      <c r="E2151" t="s">
        <v>2506</v>
      </c>
      <c r="F2151">
        <v>4</v>
      </c>
      <c r="G2151">
        <v>15</v>
      </c>
      <c r="H2151">
        <v>212</v>
      </c>
      <c r="I2151">
        <v>2</v>
      </c>
      <c r="J2151">
        <v>58.31</v>
      </c>
      <c r="K2151" t="s">
        <v>9</v>
      </c>
      <c r="L2151">
        <v>4920047.59</v>
      </c>
      <c r="M2151">
        <v>0</v>
      </c>
      <c r="N2151">
        <v>4920047.59</v>
      </c>
      <c r="O2151">
        <v>84377.423941004963</v>
      </c>
      <c r="P2151">
        <v>0</v>
      </c>
      <c r="Q2151">
        <v>4920047.59</v>
      </c>
      <c r="R2151">
        <v>84377.423941004963</v>
      </c>
      <c r="S2151" t="s">
        <v>65</v>
      </c>
      <c r="T2151" t="s">
        <v>3268</v>
      </c>
      <c r="U2151">
        <v>120000</v>
      </c>
      <c r="V2151" t="s">
        <v>4131</v>
      </c>
      <c r="W2151">
        <v>45243</v>
      </c>
      <c r="X2151" t="s">
        <v>9314</v>
      </c>
      <c r="Y2151" t="s">
        <v>6</v>
      </c>
      <c r="Z2151" t="s">
        <v>17</v>
      </c>
      <c r="AA2151" t="s">
        <v>6637</v>
      </c>
      <c r="AB2151" t="s">
        <v>2509</v>
      </c>
      <c r="AC2151" t="s">
        <v>2571</v>
      </c>
      <c r="AD2151" t="s">
        <v>717</v>
      </c>
      <c r="AE2151" t="s">
        <v>9315</v>
      </c>
      <c r="AF2151" t="s">
        <v>9316</v>
      </c>
      <c r="AG2151" t="s">
        <v>9317</v>
      </c>
      <c r="AH2151" t="s">
        <v>2191</v>
      </c>
      <c r="AI2151" t="s">
        <v>2552</v>
      </c>
      <c r="AJ2151" t="s">
        <v>2514</v>
      </c>
      <c r="AK2151" t="s">
        <v>20</v>
      </c>
      <c r="AL2151" t="s">
        <v>16</v>
      </c>
      <c r="AM2151" t="s">
        <v>10</v>
      </c>
      <c r="AN2151" t="s">
        <v>717</v>
      </c>
    </row>
    <row r="2152" spans="1:40" hidden="1">
      <c r="A2152">
        <v>2151</v>
      </c>
      <c r="B2152">
        <v>22</v>
      </c>
      <c r="C2152" s="58">
        <v>45247</v>
      </c>
      <c r="D2152" t="s">
        <v>13</v>
      </c>
      <c r="E2152" t="s">
        <v>2506</v>
      </c>
      <c r="F2152">
        <v>4</v>
      </c>
      <c r="G2152">
        <v>9</v>
      </c>
      <c r="H2152">
        <v>170</v>
      </c>
      <c r="I2152">
        <v>2</v>
      </c>
      <c r="J2152">
        <v>58.31</v>
      </c>
      <c r="K2152" t="s">
        <v>15</v>
      </c>
      <c r="L2152">
        <v>5376571.6399999997</v>
      </c>
      <c r="M2152">
        <v>0</v>
      </c>
      <c r="N2152">
        <v>5376571.6399999997</v>
      </c>
      <c r="O2152">
        <v>92206.682215743436</v>
      </c>
      <c r="P2152">
        <v>437325</v>
      </c>
      <c r="Q2152">
        <v>4939246.6399999997</v>
      </c>
      <c r="R2152">
        <v>84706.682215743436</v>
      </c>
      <c r="S2152" t="s">
        <v>65</v>
      </c>
      <c r="T2152" t="s">
        <v>2664</v>
      </c>
      <c r="U2152">
        <v>100800.95</v>
      </c>
      <c r="V2152" t="s">
        <v>6312</v>
      </c>
      <c r="W2152">
        <v>45244</v>
      </c>
      <c r="X2152" t="s">
        <v>9318</v>
      </c>
      <c r="Y2152" t="s">
        <v>6</v>
      </c>
      <c r="Z2152" t="s">
        <v>17</v>
      </c>
      <c r="AA2152" t="s">
        <v>5617</v>
      </c>
      <c r="AB2152" t="s">
        <v>2509</v>
      </c>
      <c r="AC2152" t="s">
        <v>5105</v>
      </c>
      <c r="AD2152" t="s">
        <v>717</v>
      </c>
      <c r="AE2152" t="s">
        <v>9319</v>
      </c>
      <c r="AF2152" t="s">
        <v>9320</v>
      </c>
      <c r="AG2152" t="s">
        <v>9163</v>
      </c>
      <c r="AH2152" t="s">
        <v>2580</v>
      </c>
      <c r="AI2152" t="s">
        <v>2600</v>
      </c>
      <c r="AJ2152" t="s">
        <v>3921</v>
      </c>
      <c r="AK2152" t="s">
        <v>20</v>
      </c>
      <c r="AL2152" t="s">
        <v>22</v>
      </c>
      <c r="AM2152" t="s">
        <v>10</v>
      </c>
      <c r="AN2152" t="s">
        <v>717</v>
      </c>
    </row>
    <row r="2153" spans="1:40" hidden="1">
      <c r="A2153">
        <v>2152</v>
      </c>
      <c r="B2153">
        <v>23</v>
      </c>
      <c r="C2153" s="58">
        <v>45248</v>
      </c>
      <c r="D2153" t="s">
        <v>13</v>
      </c>
      <c r="E2153" t="s">
        <v>4409</v>
      </c>
      <c r="F2153">
        <v>6</v>
      </c>
      <c r="G2153">
        <v>23</v>
      </c>
      <c r="H2153">
        <v>570</v>
      </c>
      <c r="I2153">
        <v>1</v>
      </c>
      <c r="J2153">
        <v>38.299999999999997</v>
      </c>
      <c r="K2153" t="s">
        <v>15</v>
      </c>
      <c r="L2153">
        <v>4144861.65</v>
      </c>
      <c r="M2153">
        <v>0</v>
      </c>
      <c r="N2153">
        <v>4144861.65</v>
      </c>
      <c r="O2153">
        <v>108220.93080939948</v>
      </c>
      <c r="P2153">
        <v>287250</v>
      </c>
      <c r="Q2153">
        <v>3857611.65</v>
      </c>
      <c r="R2153">
        <v>100720.93080939948</v>
      </c>
      <c r="S2153" t="s">
        <v>65</v>
      </c>
      <c r="T2153" t="s">
        <v>8002</v>
      </c>
      <c r="U2153">
        <v>78726.77</v>
      </c>
      <c r="V2153" t="s">
        <v>6312</v>
      </c>
      <c r="W2153">
        <v>45238</v>
      </c>
      <c r="X2153" t="s">
        <v>9321</v>
      </c>
      <c r="Y2153" t="s">
        <v>6</v>
      </c>
      <c r="Z2153" t="s">
        <v>17</v>
      </c>
      <c r="AA2153" t="s">
        <v>6637</v>
      </c>
      <c r="AB2153" t="s">
        <v>2509</v>
      </c>
      <c r="AC2153" t="s">
        <v>2571</v>
      </c>
      <c r="AD2153" t="s">
        <v>717</v>
      </c>
      <c r="AE2153" t="s">
        <v>8810</v>
      </c>
      <c r="AF2153" t="s">
        <v>8811</v>
      </c>
      <c r="AG2153" t="s">
        <v>8812</v>
      </c>
      <c r="AH2153" t="s">
        <v>2616</v>
      </c>
      <c r="AI2153" t="s">
        <v>2600</v>
      </c>
      <c r="AJ2153" t="s">
        <v>3921</v>
      </c>
      <c r="AK2153" t="s">
        <v>8</v>
      </c>
      <c r="AL2153" t="s">
        <v>22</v>
      </c>
      <c r="AM2153" t="s">
        <v>10</v>
      </c>
      <c r="AN2153" t="s">
        <v>717</v>
      </c>
    </row>
    <row r="2154" spans="1:40" hidden="1">
      <c r="A2154">
        <v>2153</v>
      </c>
      <c r="B2154">
        <v>24</v>
      </c>
      <c r="C2154" s="58">
        <v>45250</v>
      </c>
      <c r="D2154" t="s">
        <v>7</v>
      </c>
      <c r="E2154" t="s">
        <v>2515</v>
      </c>
      <c r="F2154">
        <v>2</v>
      </c>
      <c r="G2154">
        <v>11</v>
      </c>
      <c r="H2154">
        <v>74</v>
      </c>
      <c r="I2154">
        <v>2</v>
      </c>
      <c r="J2154">
        <v>61.76</v>
      </c>
      <c r="K2154" t="s">
        <v>25</v>
      </c>
      <c r="L2154">
        <v>6604641.5599999996</v>
      </c>
      <c r="M2154">
        <v>0</v>
      </c>
      <c r="N2154">
        <v>6604641.5599999996</v>
      </c>
      <c r="O2154">
        <v>106940.43976683938</v>
      </c>
      <c r="P2154">
        <v>1358720</v>
      </c>
      <c r="Q2154">
        <v>5245921.5599999996</v>
      </c>
      <c r="R2154">
        <v>84940.439766839379</v>
      </c>
      <c r="S2154" t="s">
        <v>65</v>
      </c>
      <c r="T2154" t="s">
        <v>5768</v>
      </c>
      <c r="U2154">
        <v>334846.06</v>
      </c>
      <c r="V2154" t="s">
        <v>1970</v>
      </c>
      <c r="W2154">
        <v>45188</v>
      </c>
      <c r="X2154" t="s">
        <v>9322</v>
      </c>
      <c r="Y2154" t="s">
        <v>6</v>
      </c>
      <c r="Z2154" t="s">
        <v>11</v>
      </c>
      <c r="AA2154" t="s">
        <v>717</v>
      </c>
      <c r="AB2154" t="s">
        <v>2509</v>
      </c>
      <c r="AC2154" t="s">
        <v>5105</v>
      </c>
      <c r="AD2154" t="s">
        <v>717</v>
      </c>
      <c r="AE2154" t="s">
        <v>9323</v>
      </c>
      <c r="AF2154" t="s">
        <v>9324</v>
      </c>
      <c r="AG2154" t="s">
        <v>9325</v>
      </c>
      <c r="AH2154" t="s">
        <v>2191</v>
      </c>
      <c r="AI2154" t="s">
        <v>9326</v>
      </c>
      <c r="AJ2154" t="s">
        <v>2514</v>
      </c>
      <c r="AK2154" t="s">
        <v>8</v>
      </c>
      <c r="AL2154" t="s">
        <v>16</v>
      </c>
      <c r="AM2154" t="s">
        <v>10</v>
      </c>
      <c r="AN2154" t="s">
        <v>717</v>
      </c>
    </row>
    <row r="2155" spans="1:40" hidden="1">
      <c r="A2155">
        <v>2154</v>
      </c>
      <c r="B2155">
        <v>25</v>
      </c>
      <c r="C2155" s="58">
        <v>45251</v>
      </c>
      <c r="D2155" t="s">
        <v>13</v>
      </c>
      <c r="E2155" t="s">
        <v>2515</v>
      </c>
      <c r="F2155">
        <v>7</v>
      </c>
      <c r="G2155">
        <v>11</v>
      </c>
      <c r="H2155">
        <v>76</v>
      </c>
      <c r="I2155">
        <v>1</v>
      </c>
      <c r="J2155">
        <v>42.75</v>
      </c>
      <c r="K2155" t="s">
        <v>15</v>
      </c>
      <c r="L2155">
        <v>4276569.5999999996</v>
      </c>
      <c r="M2155">
        <v>0</v>
      </c>
      <c r="N2155">
        <v>4276569.5999999996</v>
      </c>
      <c r="O2155">
        <v>100036.71578947367</v>
      </c>
      <c r="P2155">
        <v>320625</v>
      </c>
      <c r="Q2155">
        <v>3955944.6</v>
      </c>
      <c r="R2155">
        <v>92536.715789473674</v>
      </c>
      <c r="S2155" t="s">
        <v>2507</v>
      </c>
      <c r="T2155" t="s">
        <v>2941</v>
      </c>
      <c r="U2155">
        <v>80733.56</v>
      </c>
      <c r="V2155" t="s">
        <v>717</v>
      </c>
      <c r="W2155">
        <v>45243</v>
      </c>
      <c r="X2155" t="s">
        <v>9327</v>
      </c>
      <c r="Y2155" t="s">
        <v>6</v>
      </c>
      <c r="Z2155" t="s">
        <v>17</v>
      </c>
      <c r="AA2155" t="s">
        <v>5617</v>
      </c>
      <c r="AB2155" t="s">
        <v>2509</v>
      </c>
      <c r="AC2155" t="s">
        <v>717</v>
      </c>
      <c r="AD2155" t="s">
        <v>717</v>
      </c>
      <c r="AE2155" t="s">
        <v>9328</v>
      </c>
      <c r="AF2155" t="s">
        <v>9329</v>
      </c>
      <c r="AG2155" t="s">
        <v>9330</v>
      </c>
      <c r="AH2155" t="s">
        <v>2191</v>
      </c>
      <c r="AI2155" t="s">
        <v>2538</v>
      </c>
      <c r="AJ2155" t="s">
        <v>2514</v>
      </c>
      <c r="AK2155" t="s">
        <v>14</v>
      </c>
      <c r="AL2155" t="s">
        <v>717</v>
      </c>
      <c r="AM2155" t="s">
        <v>10</v>
      </c>
      <c r="AN2155" t="s">
        <v>717</v>
      </c>
    </row>
    <row r="2156" spans="1:40" hidden="1">
      <c r="A2156">
        <v>2155</v>
      </c>
      <c r="B2156">
        <v>26</v>
      </c>
      <c r="C2156" s="58">
        <v>45251</v>
      </c>
      <c r="D2156" t="s">
        <v>7</v>
      </c>
      <c r="E2156" t="s">
        <v>2515</v>
      </c>
      <c r="F2156">
        <v>6</v>
      </c>
      <c r="G2156">
        <v>13</v>
      </c>
      <c r="H2156">
        <v>94</v>
      </c>
      <c r="I2156">
        <v>2</v>
      </c>
      <c r="J2156">
        <v>59.87</v>
      </c>
      <c r="K2156" t="s">
        <v>15</v>
      </c>
      <c r="L2156">
        <v>6058395.5700000003</v>
      </c>
      <c r="M2156">
        <v>0</v>
      </c>
      <c r="N2156">
        <v>6058395.5700000003</v>
      </c>
      <c r="O2156">
        <v>101192.50993819944</v>
      </c>
      <c r="P2156">
        <v>449025</v>
      </c>
      <c r="Q2156">
        <v>5609370.5700000003</v>
      </c>
      <c r="R2156">
        <v>93692.509938199437</v>
      </c>
      <c r="S2156" t="s">
        <v>65</v>
      </c>
      <c r="T2156" t="s">
        <v>717</v>
      </c>
      <c r="U2156" t="s">
        <v>717</v>
      </c>
      <c r="V2156" t="s">
        <v>6312</v>
      </c>
      <c r="W2156">
        <v>45244</v>
      </c>
      <c r="X2156" t="s">
        <v>9331</v>
      </c>
      <c r="Y2156" t="s">
        <v>6</v>
      </c>
      <c r="Z2156" t="s">
        <v>17</v>
      </c>
      <c r="AA2156" t="s">
        <v>6637</v>
      </c>
      <c r="AB2156" t="s">
        <v>2509</v>
      </c>
      <c r="AC2156" t="s">
        <v>2571</v>
      </c>
      <c r="AD2156" t="s">
        <v>717</v>
      </c>
      <c r="AE2156" t="s">
        <v>9332</v>
      </c>
      <c r="AF2156" t="s">
        <v>9333</v>
      </c>
      <c r="AG2156" t="s">
        <v>9334</v>
      </c>
      <c r="AH2156" t="s">
        <v>2191</v>
      </c>
      <c r="AI2156" t="s">
        <v>2656</v>
      </c>
      <c r="AJ2156" t="s">
        <v>2514</v>
      </c>
      <c r="AK2156" t="s">
        <v>8</v>
      </c>
      <c r="AL2156" t="s">
        <v>16</v>
      </c>
      <c r="AM2156" t="s">
        <v>10</v>
      </c>
      <c r="AN2156" t="s">
        <v>717</v>
      </c>
    </row>
    <row r="2157" spans="1:40" hidden="1">
      <c r="A2157">
        <v>2156</v>
      </c>
      <c r="B2157">
        <v>27</v>
      </c>
      <c r="C2157" s="58">
        <v>45252</v>
      </c>
      <c r="D2157" t="s">
        <v>7</v>
      </c>
      <c r="E2157" t="s">
        <v>4409</v>
      </c>
      <c r="F2157">
        <v>2</v>
      </c>
      <c r="G2157">
        <v>15</v>
      </c>
      <c r="H2157">
        <v>520</v>
      </c>
      <c r="I2157">
        <v>1</v>
      </c>
      <c r="J2157">
        <v>38.6</v>
      </c>
      <c r="K2157" t="s">
        <v>15</v>
      </c>
      <c r="L2157">
        <v>4291194.8099999996</v>
      </c>
      <c r="M2157">
        <v>0</v>
      </c>
      <c r="N2157">
        <v>4291194.8099999996</v>
      </c>
      <c r="O2157">
        <v>111170.85</v>
      </c>
      <c r="P2157">
        <v>289500</v>
      </c>
      <c r="Q2157">
        <v>4001694.81</v>
      </c>
      <c r="R2157">
        <v>103670.85</v>
      </c>
      <c r="S2157" t="s">
        <v>65</v>
      </c>
      <c r="T2157" t="s">
        <v>717</v>
      </c>
      <c r="U2157" t="s">
        <v>717</v>
      </c>
      <c r="V2157" t="s">
        <v>4131</v>
      </c>
      <c r="W2157">
        <v>45243</v>
      </c>
      <c r="X2157" t="s">
        <v>9335</v>
      </c>
      <c r="Y2157" t="s">
        <v>6</v>
      </c>
      <c r="Z2157" t="s">
        <v>17</v>
      </c>
      <c r="AA2157" t="s">
        <v>6637</v>
      </c>
      <c r="AB2157" t="s">
        <v>2509</v>
      </c>
      <c r="AC2157" t="s">
        <v>2571</v>
      </c>
      <c r="AD2157" t="s">
        <v>717</v>
      </c>
      <c r="AE2157" t="s">
        <v>9336</v>
      </c>
      <c r="AF2157" t="s">
        <v>9337</v>
      </c>
      <c r="AG2157" t="s">
        <v>9338</v>
      </c>
      <c r="AH2157" t="s">
        <v>2552</v>
      </c>
      <c r="AI2157" t="s">
        <v>2877</v>
      </c>
      <c r="AJ2157" t="s">
        <v>3098</v>
      </c>
      <c r="AK2157" t="s">
        <v>14</v>
      </c>
      <c r="AL2157" t="s">
        <v>16</v>
      </c>
      <c r="AM2157" t="s">
        <v>10</v>
      </c>
      <c r="AN2157" t="s">
        <v>717</v>
      </c>
    </row>
    <row r="2158" spans="1:40" hidden="1">
      <c r="A2158">
        <v>2157</v>
      </c>
      <c r="B2158">
        <v>28</v>
      </c>
      <c r="C2158" s="58">
        <v>45252</v>
      </c>
      <c r="D2158" t="s">
        <v>7</v>
      </c>
      <c r="E2158" t="s">
        <v>2581</v>
      </c>
      <c r="F2158">
        <v>3</v>
      </c>
      <c r="G2158">
        <v>12</v>
      </c>
      <c r="H2158">
        <v>313</v>
      </c>
      <c r="I2158">
        <v>0</v>
      </c>
      <c r="J2158">
        <v>36.450000000000003</v>
      </c>
      <c r="K2158" t="s">
        <v>15</v>
      </c>
      <c r="L2158">
        <v>3971208.18</v>
      </c>
      <c r="M2158">
        <v>0</v>
      </c>
      <c r="N2158">
        <v>3971208.18</v>
      </c>
      <c r="O2158">
        <v>108949.46995884774</v>
      </c>
      <c r="P2158">
        <v>273375</v>
      </c>
      <c r="Q2158">
        <v>3697833.18</v>
      </c>
      <c r="R2158">
        <v>101449.46995884774</v>
      </c>
      <c r="S2158" t="s">
        <v>65</v>
      </c>
      <c r="T2158" t="s">
        <v>717</v>
      </c>
      <c r="U2158" t="s">
        <v>717</v>
      </c>
      <c r="V2158" t="s">
        <v>4131</v>
      </c>
      <c r="W2158">
        <v>45246</v>
      </c>
      <c r="X2158" t="s">
        <v>9339</v>
      </c>
      <c r="Y2158" t="s">
        <v>6</v>
      </c>
      <c r="Z2158" t="s">
        <v>17</v>
      </c>
      <c r="AA2158" t="s">
        <v>6637</v>
      </c>
      <c r="AB2158" t="s">
        <v>2509</v>
      </c>
      <c r="AC2158" t="s">
        <v>2571</v>
      </c>
      <c r="AD2158" t="s">
        <v>717</v>
      </c>
      <c r="AE2158" t="s">
        <v>9340</v>
      </c>
      <c r="AF2158" t="s">
        <v>9341</v>
      </c>
      <c r="AG2158" t="s">
        <v>9342</v>
      </c>
      <c r="AH2158" t="s">
        <v>2616</v>
      </c>
      <c r="AI2158" t="s">
        <v>2552</v>
      </c>
      <c r="AJ2158" t="s">
        <v>2662</v>
      </c>
      <c r="AK2158" t="s">
        <v>20</v>
      </c>
      <c r="AL2158" t="s">
        <v>22</v>
      </c>
      <c r="AM2158" t="s">
        <v>10</v>
      </c>
      <c r="AN2158" t="s">
        <v>717</v>
      </c>
    </row>
    <row r="2159" spans="1:40" hidden="1">
      <c r="A2159">
        <v>2158</v>
      </c>
      <c r="B2159">
        <v>29</v>
      </c>
      <c r="C2159" s="58">
        <v>45253</v>
      </c>
      <c r="D2159" t="s">
        <v>13</v>
      </c>
      <c r="E2159" t="s">
        <v>4409</v>
      </c>
      <c r="F2159">
        <v>5</v>
      </c>
      <c r="G2159">
        <v>15</v>
      </c>
      <c r="H2159">
        <v>505</v>
      </c>
      <c r="I2159">
        <v>2</v>
      </c>
      <c r="J2159">
        <v>57.8</v>
      </c>
      <c r="K2159" t="s">
        <v>9</v>
      </c>
      <c r="L2159">
        <v>4799264.74</v>
      </c>
      <c r="M2159">
        <v>0</v>
      </c>
      <c r="N2159">
        <v>4799264.74</v>
      </c>
      <c r="O2159">
        <v>83032.261937716277</v>
      </c>
      <c r="P2159">
        <v>0</v>
      </c>
      <c r="Q2159">
        <v>4799264.74</v>
      </c>
      <c r="R2159">
        <v>83032.261937716277</v>
      </c>
      <c r="S2159" t="s">
        <v>65</v>
      </c>
      <c r="T2159" t="s">
        <v>4059</v>
      </c>
      <c r="U2159">
        <v>148430.87</v>
      </c>
      <c r="V2159" t="s">
        <v>6312</v>
      </c>
      <c r="W2159">
        <v>45250</v>
      </c>
      <c r="X2159" t="s">
        <v>9343</v>
      </c>
      <c r="Y2159" t="s">
        <v>6</v>
      </c>
      <c r="Z2159" t="s">
        <v>17</v>
      </c>
      <c r="AA2159" t="s">
        <v>6637</v>
      </c>
      <c r="AB2159" t="s">
        <v>2509</v>
      </c>
      <c r="AC2159" t="s">
        <v>2571</v>
      </c>
      <c r="AD2159" t="s">
        <v>717</v>
      </c>
      <c r="AE2159" t="s">
        <v>9344</v>
      </c>
      <c r="AF2159" t="s">
        <v>9345</v>
      </c>
      <c r="AG2159" t="s">
        <v>9346</v>
      </c>
      <c r="AH2159" t="s">
        <v>2552</v>
      </c>
      <c r="AI2159" t="s">
        <v>2552</v>
      </c>
      <c r="AJ2159" t="s">
        <v>2662</v>
      </c>
      <c r="AK2159" t="s">
        <v>8</v>
      </c>
      <c r="AL2159" t="s">
        <v>22</v>
      </c>
      <c r="AM2159" t="s">
        <v>10</v>
      </c>
      <c r="AN2159" t="s">
        <v>717</v>
      </c>
    </row>
    <row r="2160" spans="1:40" hidden="1">
      <c r="A2160">
        <v>2159</v>
      </c>
      <c r="B2160">
        <v>30</v>
      </c>
      <c r="C2160" s="58">
        <v>45253</v>
      </c>
      <c r="D2160" t="s">
        <v>13</v>
      </c>
      <c r="E2160" t="s">
        <v>4409</v>
      </c>
      <c r="F2160">
        <v>1</v>
      </c>
      <c r="G2160">
        <v>12</v>
      </c>
      <c r="H2160">
        <v>477</v>
      </c>
      <c r="I2160">
        <v>0</v>
      </c>
      <c r="J2160">
        <v>29.4</v>
      </c>
      <c r="K2160" t="s">
        <v>9</v>
      </c>
      <c r="L2160">
        <v>3096792.26</v>
      </c>
      <c r="M2160">
        <v>0</v>
      </c>
      <c r="N2160">
        <v>3096792.26</v>
      </c>
      <c r="O2160">
        <v>105333.0700680272</v>
      </c>
      <c r="P2160">
        <v>0</v>
      </c>
      <c r="Q2160">
        <v>3096792.26</v>
      </c>
      <c r="R2160">
        <v>105333.0700680272</v>
      </c>
      <c r="S2160" t="s">
        <v>65</v>
      </c>
      <c r="T2160" t="s">
        <v>717</v>
      </c>
      <c r="U2160" t="s">
        <v>717</v>
      </c>
      <c r="V2160" t="s">
        <v>6312</v>
      </c>
      <c r="W2160">
        <v>45251</v>
      </c>
      <c r="X2160" t="s">
        <v>9347</v>
      </c>
      <c r="Y2160" t="s">
        <v>6</v>
      </c>
      <c r="Z2160" t="s">
        <v>17</v>
      </c>
      <c r="AA2160" t="s">
        <v>6637</v>
      </c>
      <c r="AB2160" t="s">
        <v>2509</v>
      </c>
      <c r="AC2160" t="s">
        <v>2571</v>
      </c>
      <c r="AD2160" t="s">
        <v>717</v>
      </c>
      <c r="AE2160" t="s">
        <v>9348</v>
      </c>
      <c r="AF2160" t="s">
        <v>9349</v>
      </c>
      <c r="AG2160" t="s">
        <v>9350</v>
      </c>
      <c r="AH2160" t="s">
        <v>6100</v>
      </c>
      <c r="AI2160" t="s">
        <v>6554</v>
      </c>
      <c r="AJ2160" t="s">
        <v>9351</v>
      </c>
      <c r="AK2160" t="s">
        <v>20</v>
      </c>
      <c r="AL2160" t="s">
        <v>22</v>
      </c>
      <c r="AM2160" t="s">
        <v>5654</v>
      </c>
      <c r="AN2160" t="s">
        <v>717</v>
      </c>
    </row>
    <row r="2161" spans="1:40" hidden="1">
      <c r="A2161">
        <v>2160</v>
      </c>
      <c r="B2161">
        <v>31</v>
      </c>
      <c r="C2161" s="58">
        <v>45254</v>
      </c>
      <c r="D2161" t="s">
        <v>13</v>
      </c>
      <c r="E2161" t="s">
        <v>2581</v>
      </c>
      <c r="F2161">
        <v>3</v>
      </c>
      <c r="G2161">
        <v>4</v>
      </c>
      <c r="H2161">
        <v>245</v>
      </c>
      <c r="I2161">
        <v>2</v>
      </c>
      <c r="J2161">
        <v>56.58</v>
      </c>
      <c r="K2161" t="s">
        <v>25</v>
      </c>
      <c r="L2161">
        <v>6060617.1100000003</v>
      </c>
      <c r="M2161">
        <v>0</v>
      </c>
      <c r="N2161">
        <v>6060617.1100000003</v>
      </c>
      <c r="O2161">
        <v>107115.89095086604</v>
      </c>
      <c r="P2161">
        <v>1244760</v>
      </c>
      <c r="Q2161">
        <v>4815857.1100000003</v>
      </c>
      <c r="R2161">
        <v>85115.890950866044</v>
      </c>
      <c r="S2161" t="s">
        <v>65</v>
      </c>
      <c r="T2161" t="s">
        <v>2664</v>
      </c>
      <c r="U2161">
        <v>98282.8</v>
      </c>
      <c r="V2161" t="s">
        <v>6312</v>
      </c>
      <c r="W2161">
        <v>45243</v>
      </c>
      <c r="X2161" t="s">
        <v>9352</v>
      </c>
      <c r="Y2161" t="s">
        <v>6</v>
      </c>
      <c r="Z2161" t="s">
        <v>17</v>
      </c>
      <c r="AA2161" t="s">
        <v>6637</v>
      </c>
      <c r="AB2161" t="s">
        <v>2509</v>
      </c>
      <c r="AC2161" t="s">
        <v>2571</v>
      </c>
      <c r="AD2161" t="s">
        <v>717</v>
      </c>
      <c r="AE2161" t="s">
        <v>4114</v>
      </c>
      <c r="AF2161" t="s">
        <v>4115</v>
      </c>
      <c r="AG2161" t="s">
        <v>4116</v>
      </c>
      <c r="AH2161" t="s">
        <v>2191</v>
      </c>
      <c r="AI2161" t="s">
        <v>2706</v>
      </c>
      <c r="AJ2161" t="s">
        <v>2514</v>
      </c>
      <c r="AK2161" t="s">
        <v>8</v>
      </c>
      <c r="AL2161" t="s">
        <v>22</v>
      </c>
      <c r="AM2161" t="s">
        <v>10</v>
      </c>
      <c r="AN2161" t="s">
        <v>717</v>
      </c>
    </row>
    <row r="2162" spans="1:40" hidden="1">
      <c r="A2162">
        <v>2161</v>
      </c>
      <c r="B2162">
        <v>32</v>
      </c>
      <c r="C2162" s="58">
        <v>45254</v>
      </c>
      <c r="D2162" t="s">
        <v>13</v>
      </c>
      <c r="E2162" t="s">
        <v>2506</v>
      </c>
      <c r="F2162">
        <v>3</v>
      </c>
      <c r="G2162">
        <v>8</v>
      </c>
      <c r="H2162">
        <v>162</v>
      </c>
      <c r="I2162">
        <v>2</v>
      </c>
      <c r="J2162">
        <v>57.6</v>
      </c>
      <c r="K2162" t="s">
        <v>15</v>
      </c>
      <c r="L2162">
        <v>5334675.32</v>
      </c>
      <c r="M2162">
        <v>0</v>
      </c>
      <c r="N2162">
        <v>5334675.32</v>
      </c>
      <c r="O2162">
        <v>92615.890972222231</v>
      </c>
      <c r="P2162">
        <v>432000</v>
      </c>
      <c r="Q2162">
        <v>4902675.32</v>
      </c>
      <c r="R2162">
        <v>85115.890972222231</v>
      </c>
      <c r="S2162" t="s">
        <v>65</v>
      </c>
      <c r="T2162" t="s">
        <v>2664</v>
      </c>
      <c r="U2162">
        <v>100054.6</v>
      </c>
      <c r="V2162" t="s">
        <v>6312</v>
      </c>
      <c r="W2162">
        <v>45243</v>
      </c>
      <c r="X2162" t="s">
        <v>9353</v>
      </c>
      <c r="Y2162" t="s">
        <v>6</v>
      </c>
      <c r="Z2162" t="s">
        <v>17</v>
      </c>
      <c r="AA2162" t="s">
        <v>6637</v>
      </c>
      <c r="AB2162" t="s">
        <v>2509</v>
      </c>
      <c r="AC2162" t="s">
        <v>2571</v>
      </c>
      <c r="AD2162" t="s">
        <v>717</v>
      </c>
      <c r="AE2162" t="s">
        <v>9354</v>
      </c>
      <c r="AF2162" t="s">
        <v>9355</v>
      </c>
      <c r="AG2162" t="s">
        <v>9356</v>
      </c>
      <c r="AH2162" t="s">
        <v>2191</v>
      </c>
      <c r="AI2162" t="s">
        <v>2552</v>
      </c>
      <c r="AJ2162" t="s">
        <v>2514</v>
      </c>
      <c r="AK2162" t="s">
        <v>20</v>
      </c>
      <c r="AL2162" t="s">
        <v>22</v>
      </c>
      <c r="AM2162" t="s">
        <v>10</v>
      </c>
      <c r="AN2162" t="s">
        <v>717</v>
      </c>
    </row>
    <row r="2163" spans="1:40" hidden="1">
      <c r="A2163">
        <v>2162</v>
      </c>
      <c r="B2163">
        <v>33</v>
      </c>
      <c r="C2163" s="58">
        <v>45254</v>
      </c>
      <c r="D2163" t="s">
        <v>13</v>
      </c>
      <c r="E2163" t="s">
        <v>2581</v>
      </c>
      <c r="F2163">
        <v>3</v>
      </c>
      <c r="G2163">
        <v>9</v>
      </c>
      <c r="H2163">
        <v>280</v>
      </c>
      <c r="I2163">
        <v>2</v>
      </c>
      <c r="J2163">
        <v>56.58</v>
      </c>
      <c r="K2163" t="s">
        <v>25</v>
      </c>
      <c r="L2163">
        <v>6060617.1100000003</v>
      </c>
      <c r="M2163">
        <v>0</v>
      </c>
      <c r="N2163">
        <v>6060617.1100000003</v>
      </c>
      <c r="O2163">
        <v>107115.89095086604</v>
      </c>
      <c r="P2163">
        <v>1244760</v>
      </c>
      <c r="Q2163">
        <v>4815857.1100000003</v>
      </c>
      <c r="R2163">
        <v>85115.890950866044</v>
      </c>
      <c r="S2163" t="s">
        <v>65</v>
      </c>
      <c r="T2163" t="s">
        <v>2664</v>
      </c>
      <c r="U2163">
        <v>98282.8</v>
      </c>
      <c r="V2163" t="s">
        <v>6312</v>
      </c>
      <c r="W2163">
        <v>45246</v>
      </c>
      <c r="X2163" t="s">
        <v>9357</v>
      </c>
      <c r="Y2163" t="s">
        <v>6</v>
      </c>
      <c r="Z2163" t="s">
        <v>17</v>
      </c>
      <c r="AA2163" t="s">
        <v>6637</v>
      </c>
      <c r="AB2163" t="s">
        <v>2509</v>
      </c>
      <c r="AC2163" t="s">
        <v>2571</v>
      </c>
      <c r="AD2163" t="s">
        <v>717</v>
      </c>
      <c r="AE2163" t="s">
        <v>9358</v>
      </c>
      <c r="AF2163" t="s">
        <v>9359</v>
      </c>
      <c r="AG2163" t="s">
        <v>9360</v>
      </c>
      <c r="AH2163" t="s">
        <v>6100</v>
      </c>
      <c r="AI2163" t="s">
        <v>5653</v>
      </c>
      <c r="AJ2163" t="s">
        <v>31</v>
      </c>
      <c r="AK2163" t="s">
        <v>8</v>
      </c>
      <c r="AL2163" t="s">
        <v>22</v>
      </c>
      <c r="AM2163" t="s">
        <v>5654</v>
      </c>
      <c r="AN2163" t="s">
        <v>717</v>
      </c>
    </row>
    <row r="2164" spans="1:40" hidden="1">
      <c r="A2164">
        <v>2163</v>
      </c>
      <c r="B2164">
        <v>34</v>
      </c>
      <c r="C2164" s="58">
        <v>45255</v>
      </c>
      <c r="D2164" t="s">
        <v>7</v>
      </c>
      <c r="E2164" t="s">
        <v>2581</v>
      </c>
      <c r="F2164">
        <v>5</v>
      </c>
      <c r="G2164">
        <v>16</v>
      </c>
      <c r="H2164">
        <v>343</v>
      </c>
      <c r="I2164">
        <v>2</v>
      </c>
      <c r="J2164">
        <v>56.7</v>
      </c>
      <c r="K2164" t="s">
        <v>25</v>
      </c>
      <c r="L2164">
        <v>6162513.9199999999</v>
      </c>
      <c r="M2164">
        <v>0</v>
      </c>
      <c r="N2164">
        <v>6162513.9199999999</v>
      </c>
      <c r="O2164">
        <v>108686.31252204585</v>
      </c>
      <c r="P2164">
        <v>1247400</v>
      </c>
      <c r="Q2164">
        <v>4915113.92</v>
      </c>
      <c r="R2164">
        <v>86686.312522045846</v>
      </c>
      <c r="S2164" t="s">
        <v>65</v>
      </c>
      <c r="T2164" t="s">
        <v>5768</v>
      </c>
      <c r="U2164">
        <v>258690.21</v>
      </c>
      <c r="V2164" t="s">
        <v>4131</v>
      </c>
      <c r="W2164">
        <v>45247</v>
      </c>
      <c r="X2164" t="s">
        <v>9361</v>
      </c>
      <c r="Y2164" t="s">
        <v>6</v>
      </c>
      <c r="Z2164" t="s">
        <v>17</v>
      </c>
      <c r="AA2164" t="s">
        <v>6637</v>
      </c>
      <c r="AB2164" t="s">
        <v>2509</v>
      </c>
      <c r="AC2164" t="s">
        <v>2571</v>
      </c>
      <c r="AD2164" t="s">
        <v>717</v>
      </c>
      <c r="AE2164" t="s">
        <v>9362</v>
      </c>
      <c r="AF2164" t="s">
        <v>9363</v>
      </c>
      <c r="AG2164" t="s">
        <v>9364</v>
      </c>
      <c r="AH2164" t="s">
        <v>2191</v>
      </c>
      <c r="AI2164" t="s">
        <v>2552</v>
      </c>
      <c r="AJ2164" t="s">
        <v>2514</v>
      </c>
      <c r="AK2164" t="s">
        <v>14</v>
      </c>
      <c r="AL2164" t="s">
        <v>16</v>
      </c>
      <c r="AM2164" t="s">
        <v>10</v>
      </c>
      <c r="AN2164" t="s">
        <v>717</v>
      </c>
    </row>
    <row r="2165" spans="1:40" hidden="1">
      <c r="A2165">
        <v>2164</v>
      </c>
      <c r="B2165">
        <v>35</v>
      </c>
      <c r="C2165" s="58">
        <v>45257</v>
      </c>
      <c r="D2165" t="s">
        <v>7</v>
      </c>
      <c r="E2165" t="s">
        <v>2515</v>
      </c>
      <c r="F2165">
        <v>2</v>
      </c>
      <c r="G2165">
        <v>7</v>
      </c>
      <c r="H2165">
        <v>42</v>
      </c>
      <c r="I2165">
        <v>2</v>
      </c>
      <c r="J2165">
        <v>61.76</v>
      </c>
      <c r="K2165" t="s">
        <v>9</v>
      </c>
      <c r="L2165">
        <v>5454152.2699999996</v>
      </c>
      <c r="M2165">
        <v>15000</v>
      </c>
      <c r="N2165">
        <v>5469152.2699999996</v>
      </c>
      <c r="O2165">
        <v>88554.9266515544</v>
      </c>
      <c r="P2165">
        <v>0</v>
      </c>
      <c r="Q2165">
        <v>5469152.2699999996</v>
      </c>
      <c r="R2165">
        <v>88554.9266515544</v>
      </c>
      <c r="S2165" t="s">
        <v>65</v>
      </c>
      <c r="T2165" t="s">
        <v>2664</v>
      </c>
      <c r="U2165">
        <v>111615.35</v>
      </c>
      <c r="V2165" t="s">
        <v>4131</v>
      </c>
      <c r="W2165">
        <v>45233</v>
      </c>
      <c r="X2165" t="s">
        <v>9365</v>
      </c>
      <c r="Y2165" t="s">
        <v>6</v>
      </c>
      <c r="Z2165" t="s">
        <v>17</v>
      </c>
      <c r="AA2165" t="s">
        <v>5617</v>
      </c>
      <c r="AB2165" t="s">
        <v>2509</v>
      </c>
      <c r="AC2165" t="s">
        <v>2558</v>
      </c>
      <c r="AD2165" t="s">
        <v>717</v>
      </c>
      <c r="AE2165" t="s">
        <v>9366</v>
      </c>
      <c r="AF2165" t="s">
        <v>9367</v>
      </c>
      <c r="AG2165" t="s">
        <v>9368</v>
      </c>
      <c r="AH2165" t="s">
        <v>6100</v>
      </c>
      <c r="AI2165" t="s">
        <v>6554</v>
      </c>
      <c r="AJ2165" t="s">
        <v>9351</v>
      </c>
      <c r="AK2165" t="s">
        <v>8</v>
      </c>
      <c r="AL2165" t="s">
        <v>717</v>
      </c>
      <c r="AM2165" t="s">
        <v>5654</v>
      </c>
      <c r="AN2165" t="s">
        <v>717</v>
      </c>
    </row>
    <row r="2166" spans="1:40" hidden="1">
      <c r="A2166">
        <v>2165</v>
      </c>
      <c r="B2166">
        <v>36</v>
      </c>
      <c r="C2166" s="58">
        <v>45257</v>
      </c>
      <c r="D2166" t="s">
        <v>7</v>
      </c>
      <c r="E2166" t="s">
        <v>2515</v>
      </c>
      <c r="F2166">
        <v>6</v>
      </c>
      <c r="G2166">
        <v>15</v>
      </c>
      <c r="H2166">
        <v>110</v>
      </c>
      <c r="I2166">
        <v>2</v>
      </c>
      <c r="J2166">
        <v>59.87</v>
      </c>
      <c r="K2166" t="s">
        <v>9</v>
      </c>
      <c r="L2166">
        <v>5482183.1600000001</v>
      </c>
      <c r="M2166">
        <v>15000</v>
      </c>
      <c r="N2166">
        <v>5497183.1600000001</v>
      </c>
      <c r="O2166">
        <v>91818.659762819443</v>
      </c>
      <c r="P2166">
        <v>0</v>
      </c>
      <c r="Q2166">
        <v>5497183.1600000001</v>
      </c>
      <c r="R2166">
        <v>91818.659762819443</v>
      </c>
      <c r="S2166" t="s">
        <v>65</v>
      </c>
      <c r="T2166" t="s">
        <v>2664</v>
      </c>
      <c r="U2166">
        <v>112187.41</v>
      </c>
      <c r="V2166" t="s">
        <v>4131</v>
      </c>
      <c r="W2166">
        <v>45245</v>
      </c>
      <c r="X2166" t="s">
        <v>9369</v>
      </c>
      <c r="Y2166" t="s">
        <v>6</v>
      </c>
      <c r="Z2166" t="s">
        <v>17</v>
      </c>
      <c r="AA2166" t="s">
        <v>6637</v>
      </c>
      <c r="AB2166" t="s">
        <v>2509</v>
      </c>
      <c r="AC2166" t="s">
        <v>2571</v>
      </c>
      <c r="AD2166" t="s">
        <v>717</v>
      </c>
      <c r="AE2166" t="s">
        <v>9370</v>
      </c>
      <c r="AF2166" t="s">
        <v>9371</v>
      </c>
      <c r="AG2166" t="s">
        <v>9372</v>
      </c>
      <c r="AH2166" t="s">
        <v>2191</v>
      </c>
      <c r="AI2166" t="s">
        <v>2538</v>
      </c>
      <c r="AJ2166" t="s">
        <v>2514</v>
      </c>
      <c r="AK2166" t="s">
        <v>8</v>
      </c>
      <c r="AL2166" t="s">
        <v>16</v>
      </c>
      <c r="AM2166" t="s">
        <v>10</v>
      </c>
      <c r="AN2166" t="s">
        <v>717</v>
      </c>
    </row>
    <row r="2167" spans="1:40" hidden="1">
      <c r="A2167">
        <v>2166</v>
      </c>
      <c r="B2167">
        <v>37</v>
      </c>
      <c r="C2167" s="58">
        <v>45257</v>
      </c>
      <c r="D2167" t="s">
        <v>7</v>
      </c>
      <c r="E2167" t="s">
        <v>4409</v>
      </c>
      <c r="F2167">
        <v>9</v>
      </c>
      <c r="G2167">
        <v>4</v>
      </c>
      <c r="H2167">
        <v>428</v>
      </c>
      <c r="I2167">
        <v>1</v>
      </c>
      <c r="J2167">
        <v>44.37</v>
      </c>
      <c r="K2167" t="s">
        <v>9</v>
      </c>
      <c r="L2167">
        <v>4252843.6500000004</v>
      </c>
      <c r="M2167">
        <v>0</v>
      </c>
      <c r="N2167">
        <v>4252843.6500000004</v>
      </c>
      <c r="O2167">
        <v>95849.530087897248</v>
      </c>
      <c r="P2167">
        <v>0</v>
      </c>
      <c r="Q2167">
        <v>4252843.6500000004</v>
      </c>
      <c r="R2167">
        <v>95849.530087897248</v>
      </c>
      <c r="S2167" t="s">
        <v>65</v>
      </c>
      <c r="T2167" t="s">
        <v>717</v>
      </c>
      <c r="U2167" t="s">
        <v>717</v>
      </c>
      <c r="V2167" t="s">
        <v>6312</v>
      </c>
      <c r="W2167">
        <v>45250</v>
      </c>
      <c r="X2167" t="s">
        <v>9373</v>
      </c>
      <c r="Y2167" t="s">
        <v>6</v>
      </c>
      <c r="Z2167" t="s">
        <v>17</v>
      </c>
      <c r="AA2167" t="s">
        <v>6637</v>
      </c>
      <c r="AB2167" t="s">
        <v>2509</v>
      </c>
      <c r="AC2167" t="s">
        <v>2571</v>
      </c>
      <c r="AD2167" t="s">
        <v>717</v>
      </c>
      <c r="AE2167" t="s">
        <v>9374</v>
      </c>
      <c r="AF2167" t="s">
        <v>9375</v>
      </c>
      <c r="AG2167" t="s">
        <v>9376</v>
      </c>
      <c r="AH2167" t="s">
        <v>2191</v>
      </c>
      <c r="AI2167" t="s">
        <v>6951</v>
      </c>
      <c r="AJ2167" t="s">
        <v>2514</v>
      </c>
      <c r="AK2167" t="s">
        <v>8</v>
      </c>
      <c r="AL2167" t="s">
        <v>22</v>
      </c>
      <c r="AM2167" t="s">
        <v>10</v>
      </c>
      <c r="AN2167" t="s">
        <v>717</v>
      </c>
    </row>
    <row r="2168" spans="1:40" hidden="1">
      <c r="A2168">
        <v>2167</v>
      </c>
      <c r="B2168">
        <v>38</v>
      </c>
      <c r="C2168" s="58">
        <v>45257</v>
      </c>
      <c r="D2168" t="s">
        <v>7</v>
      </c>
      <c r="E2168" t="s">
        <v>4409</v>
      </c>
      <c r="F2168">
        <v>9</v>
      </c>
      <c r="G2168">
        <v>6</v>
      </c>
      <c r="H2168">
        <v>446</v>
      </c>
      <c r="I2168">
        <v>1</v>
      </c>
      <c r="J2168">
        <v>44.37</v>
      </c>
      <c r="K2168" t="s">
        <v>9</v>
      </c>
      <c r="L2168">
        <v>4252843.6500000004</v>
      </c>
      <c r="M2168">
        <v>0</v>
      </c>
      <c r="N2168">
        <v>4252843.6500000004</v>
      </c>
      <c r="O2168">
        <v>95849.530087897248</v>
      </c>
      <c r="P2168">
        <v>0</v>
      </c>
      <c r="Q2168">
        <v>4252843.6500000004</v>
      </c>
      <c r="R2168">
        <v>95849.530087897248</v>
      </c>
      <c r="S2168" t="s">
        <v>65</v>
      </c>
      <c r="T2168" t="s">
        <v>717</v>
      </c>
      <c r="U2168" t="s">
        <v>717</v>
      </c>
      <c r="V2168" t="s">
        <v>4131</v>
      </c>
      <c r="W2168">
        <v>45251</v>
      </c>
      <c r="X2168" t="s">
        <v>9377</v>
      </c>
      <c r="Y2168" t="s">
        <v>6</v>
      </c>
      <c r="Z2168" t="s">
        <v>17</v>
      </c>
      <c r="AA2168" t="s">
        <v>6637</v>
      </c>
      <c r="AB2168" t="s">
        <v>2509</v>
      </c>
      <c r="AC2168" t="s">
        <v>2571</v>
      </c>
      <c r="AD2168" t="s">
        <v>717</v>
      </c>
      <c r="AE2168" t="s">
        <v>9378</v>
      </c>
      <c r="AF2168" t="s">
        <v>9379</v>
      </c>
      <c r="AG2168" t="s">
        <v>9380</v>
      </c>
      <c r="AH2168" t="s">
        <v>2616</v>
      </c>
      <c r="AI2168" t="s">
        <v>2552</v>
      </c>
      <c r="AJ2168" t="s">
        <v>2895</v>
      </c>
      <c r="AK2168" t="s">
        <v>20</v>
      </c>
      <c r="AL2168" t="s">
        <v>22</v>
      </c>
      <c r="AM2168" t="s">
        <v>10</v>
      </c>
      <c r="AN2168" t="s">
        <v>717</v>
      </c>
    </row>
    <row r="2169" spans="1:40" hidden="1">
      <c r="A2169">
        <v>2168</v>
      </c>
      <c r="B2169">
        <v>39</v>
      </c>
      <c r="C2169" s="58">
        <v>45257</v>
      </c>
      <c r="D2169" t="s">
        <v>7</v>
      </c>
      <c r="E2169" t="s">
        <v>2581</v>
      </c>
      <c r="F2169">
        <v>3</v>
      </c>
      <c r="G2169">
        <v>2</v>
      </c>
      <c r="H2169">
        <v>243</v>
      </c>
      <c r="I2169">
        <v>0</v>
      </c>
      <c r="J2169">
        <v>36.450000000000003</v>
      </c>
      <c r="K2169" t="s">
        <v>9</v>
      </c>
      <c r="L2169">
        <v>3697833.18</v>
      </c>
      <c r="M2169">
        <v>0</v>
      </c>
      <c r="N2169">
        <v>3697833.18</v>
      </c>
      <c r="O2169">
        <v>101449.46995884774</v>
      </c>
      <c r="P2169">
        <v>0</v>
      </c>
      <c r="Q2169">
        <v>3697833.18</v>
      </c>
      <c r="R2169">
        <v>101449.46995884774</v>
      </c>
      <c r="S2169" t="s">
        <v>65</v>
      </c>
      <c r="T2169" t="s">
        <v>717</v>
      </c>
      <c r="U2169" t="s">
        <v>717</v>
      </c>
      <c r="V2169" t="s">
        <v>6488</v>
      </c>
      <c r="W2169">
        <v>45252</v>
      </c>
      <c r="X2169" t="s">
        <v>9381</v>
      </c>
      <c r="Y2169" t="s">
        <v>6</v>
      </c>
      <c r="Z2169" t="s">
        <v>17</v>
      </c>
      <c r="AA2169" t="s">
        <v>6637</v>
      </c>
      <c r="AB2169" t="s">
        <v>2509</v>
      </c>
      <c r="AC2169" t="s">
        <v>2571</v>
      </c>
      <c r="AD2169" t="s">
        <v>717</v>
      </c>
      <c r="AE2169" t="s">
        <v>9382</v>
      </c>
      <c r="AF2169" t="s">
        <v>9383</v>
      </c>
      <c r="AG2169" t="s">
        <v>9384</v>
      </c>
      <c r="AH2169" t="s">
        <v>2616</v>
      </c>
      <c r="AI2169" t="s">
        <v>2552</v>
      </c>
      <c r="AJ2169" t="s">
        <v>2662</v>
      </c>
      <c r="AK2169" t="s">
        <v>8</v>
      </c>
      <c r="AL2169" t="s">
        <v>22</v>
      </c>
      <c r="AM2169" t="s">
        <v>10</v>
      </c>
      <c r="AN2169" t="s">
        <v>717</v>
      </c>
    </row>
    <row r="2170" spans="1:40" hidden="1">
      <c r="A2170">
        <v>2169</v>
      </c>
      <c r="B2170">
        <v>40</v>
      </c>
      <c r="C2170" s="58">
        <v>45258</v>
      </c>
      <c r="D2170" t="s">
        <v>7</v>
      </c>
      <c r="E2170" t="s">
        <v>2506</v>
      </c>
      <c r="F2170">
        <v>2</v>
      </c>
      <c r="G2170">
        <v>14</v>
      </c>
      <c r="H2170">
        <v>218</v>
      </c>
      <c r="I2170">
        <v>2</v>
      </c>
      <c r="J2170">
        <v>68.75</v>
      </c>
      <c r="K2170" t="s">
        <v>9</v>
      </c>
      <c r="L2170">
        <v>6010868.75</v>
      </c>
      <c r="M2170">
        <v>15000</v>
      </c>
      <c r="N2170">
        <v>6025868.75</v>
      </c>
      <c r="O2170">
        <v>87649</v>
      </c>
      <c r="P2170">
        <v>0</v>
      </c>
      <c r="Q2170">
        <v>6025868.75</v>
      </c>
      <c r="R2170">
        <v>87649</v>
      </c>
      <c r="S2170" t="s">
        <v>65</v>
      </c>
      <c r="T2170" t="s">
        <v>717</v>
      </c>
      <c r="U2170" t="s">
        <v>717</v>
      </c>
      <c r="V2170" t="s">
        <v>6312</v>
      </c>
      <c r="W2170">
        <v>45237</v>
      </c>
      <c r="X2170" t="s">
        <v>9385</v>
      </c>
      <c r="Y2170" t="s">
        <v>6</v>
      </c>
      <c r="Z2170" t="s">
        <v>17</v>
      </c>
      <c r="AA2170" t="s">
        <v>6637</v>
      </c>
      <c r="AB2170" t="s">
        <v>2509</v>
      </c>
      <c r="AC2170" t="s">
        <v>2571</v>
      </c>
      <c r="AD2170" t="s">
        <v>717</v>
      </c>
      <c r="AE2170" t="s">
        <v>9386</v>
      </c>
      <c r="AF2170" t="s">
        <v>9387</v>
      </c>
      <c r="AG2170" t="s">
        <v>9388</v>
      </c>
      <c r="AH2170" t="s">
        <v>2615</v>
      </c>
      <c r="AI2170" t="s">
        <v>2706</v>
      </c>
      <c r="AJ2170" t="s">
        <v>2569</v>
      </c>
      <c r="AK2170" t="s">
        <v>8</v>
      </c>
      <c r="AL2170" t="s">
        <v>16</v>
      </c>
      <c r="AM2170" t="s">
        <v>10</v>
      </c>
      <c r="AN2170" t="s">
        <v>717</v>
      </c>
    </row>
    <row r="2171" spans="1:40" hidden="1">
      <c r="A2171">
        <v>2170</v>
      </c>
      <c r="B2171">
        <v>41</v>
      </c>
      <c r="C2171" s="58">
        <v>45258</v>
      </c>
      <c r="D2171" t="s">
        <v>7</v>
      </c>
      <c r="E2171" t="s">
        <v>4409</v>
      </c>
      <c r="F2171">
        <v>7</v>
      </c>
      <c r="G2171">
        <v>11</v>
      </c>
      <c r="H2171">
        <v>489</v>
      </c>
      <c r="I2171">
        <v>2</v>
      </c>
      <c r="J2171">
        <v>67.489999999999995</v>
      </c>
      <c r="K2171" t="s">
        <v>9</v>
      </c>
      <c r="L2171">
        <v>6027836.6100000003</v>
      </c>
      <c r="M2171">
        <v>0</v>
      </c>
      <c r="N2171">
        <v>6027836.6100000003</v>
      </c>
      <c r="O2171">
        <v>89314.514891094994</v>
      </c>
      <c r="P2171">
        <v>0</v>
      </c>
      <c r="Q2171">
        <v>6027836.6100000003</v>
      </c>
      <c r="R2171">
        <v>89314.514891094994</v>
      </c>
      <c r="S2171" t="s">
        <v>65</v>
      </c>
      <c r="T2171" t="s">
        <v>2664</v>
      </c>
      <c r="U2171">
        <v>123017.07</v>
      </c>
      <c r="V2171" t="s">
        <v>6312</v>
      </c>
      <c r="W2171">
        <v>45252</v>
      </c>
      <c r="X2171" t="s">
        <v>9389</v>
      </c>
      <c r="Y2171" t="s">
        <v>6</v>
      </c>
      <c r="Z2171" t="s">
        <v>17</v>
      </c>
      <c r="AA2171" t="s">
        <v>6637</v>
      </c>
      <c r="AB2171" t="s">
        <v>2509</v>
      </c>
      <c r="AC2171" t="s">
        <v>2571</v>
      </c>
      <c r="AD2171" t="s">
        <v>717</v>
      </c>
      <c r="AE2171" t="s">
        <v>9390</v>
      </c>
      <c r="AF2171" t="s">
        <v>9391</v>
      </c>
      <c r="AG2171" t="s">
        <v>9392</v>
      </c>
      <c r="AH2171" t="s">
        <v>2191</v>
      </c>
      <c r="AI2171" t="s">
        <v>2538</v>
      </c>
      <c r="AJ2171" t="s">
        <v>2514</v>
      </c>
      <c r="AK2171" t="s">
        <v>14</v>
      </c>
      <c r="AL2171" t="s">
        <v>22</v>
      </c>
      <c r="AM2171" t="s">
        <v>10</v>
      </c>
      <c r="AN2171" t="s">
        <v>717</v>
      </c>
    </row>
    <row r="2172" spans="1:40" hidden="1">
      <c r="A2172">
        <v>2171</v>
      </c>
      <c r="B2172">
        <v>42</v>
      </c>
      <c r="C2172" s="58">
        <v>45258</v>
      </c>
      <c r="D2172" t="s">
        <v>13</v>
      </c>
      <c r="E2172" t="s">
        <v>2506</v>
      </c>
      <c r="F2172">
        <v>5</v>
      </c>
      <c r="G2172">
        <v>1</v>
      </c>
      <c r="H2172">
        <v>116</v>
      </c>
      <c r="I2172">
        <v>2</v>
      </c>
      <c r="J2172">
        <v>65.05</v>
      </c>
      <c r="K2172" t="s">
        <v>9</v>
      </c>
      <c r="L2172">
        <v>5403692.9100000001</v>
      </c>
      <c r="M2172">
        <v>0</v>
      </c>
      <c r="N2172">
        <v>5403692.9100000001</v>
      </c>
      <c r="O2172">
        <v>83069.837202152194</v>
      </c>
      <c r="P2172">
        <v>0</v>
      </c>
      <c r="Q2172">
        <v>5403692.9100000001</v>
      </c>
      <c r="R2172">
        <v>83069.837202152194</v>
      </c>
      <c r="S2172" t="s">
        <v>65</v>
      </c>
      <c r="T2172" t="s">
        <v>2664</v>
      </c>
      <c r="U2172">
        <v>110279.45</v>
      </c>
      <c r="V2172" t="s">
        <v>4131</v>
      </c>
      <c r="W2172">
        <v>45252</v>
      </c>
      <c r="X2172" t="s">
        <v>9393</v>
      </c>
      <c r="Y2172" t="s">
        <v>6</v>
      </c>
      <c r="Z2172" t="s">
        <v>17</v>
      </c>
      <c r="AA2172" t="s">
        <v>6637</v>
      </c>
      <c r="AB2172" t="s">
        <v>2509</v>
      </c>
      <c r="AC2172" t="s">
        <v>2571</v>
      </c>
      <c r="AD2172" t="s">
        <v>717</v>
      </c>
      <c r="AE2172" t="s">
        <v>9394</v>
      </c>
      <c r="AF2172" t="s">
        <v>9395</v>
      </c>
      <c r="AG2172" t="s">
        <v>9396</v>
      </c>
      <c r="AH2172" t="s">
        <v>2615</v>
      </c>
      <c r="AI2172" t="s">
        <v>9397</v>
      </c>
      <c r="AJ2172" t="s">
        <v>2569</v>
      </c>
      <c r="AK2172" t="s">
        <v>8</v>
      </c>
      <c r="AL2172" t="s">
        <v>16</v>
      </c>
      <c r="AM2172" t="s">
        <v>10</v>
      </c>
      <c r="AN2172" t="s">
        <v>717</v>
      </c>
    </row>
    <row r="2173" spans="1:40" hidden="1">
      <c r="A2173">
        <v>2172</v>
      </c>
      <c r="B2173">
        <v>43</v>
      </c>
      <c r="C2173" s="58">
        <v>45258</v>
      </c>
      <c r="D2173" t="s">
        <v>7</v>
      </c>
      <c r="E2173" t="s">
        <v>2506</v>
      </c>
      <c r="F2173">
        <v>4</v>
      </c>
      <c r="G2173">
        <v>11</v>
      </c>
      <c r="H2173">
        <v>196</v>
      </c>
      <c r="I2173">
        <v>1</v>
      </c>
      <c r="J2173">
        <v>37.81</v>
      </c>
      <c r="K2173" t="s">
        <v>15</v>
      </c>
      <c r="L2173">
        <v>4278775</v>
      </c>
      <c r="M2173">
        <v>0</v>
      </c>
      <c r="N2173">
        <v>4278775</v>
      </c>
      <c r="O2173">
        <v>113165.16794498808</v>
      </c>
      <c r="P2173">
        <v>283575</v>
      </c>
      <c r="Q2173">
        <v>3995200</v>
      </c>
      <c r="R2173">
        <v>105665.16794498808</v>
      </c>
      <c r="S2173" t="s">
        <v>65</v>
      </c>
      <c r="T2173" t="s">
        <v>717</v>
      </c>
      <c r="U2173" t="s">
        <v>717</v>
      </c>
      <c r="V2173" t="s">
        <v>4131</v>
      </c>
      <c r="W2173">
        <v>45257</v>
      </c>
      <c r="X2173" t="s">
        <v>9398</v>
      </c>
      <c r="Y2173" t="s">
        <v>6</v>
      </c>
      <c r="Z2173" t="s">
        <v>17</v>
      </c>
      <c r="AA2173" t="s">
        <v>6637</v>
      </c>
      <c r="AB2173" t="s">
        <v>2509</v>
      </c>
      <c r="AC2173" t="s">
        <v>2571</v>
      </c>
      <c r="AD2173" t="s">
        <v>717</v>
      </c>
      <c r="AE2173" t="s">
        <v>9399</v>
      </c>
      <c r="AF2173" t="s">
        <v>9400</v>
      </c>
      <c r="AG2173" t="s">
        <v>9401</v>
      </c>
      <c r="AH2173" t="s">
        <v>6100</v>
      </c>
      <c r="AI2173" t="s">
        <v>5653</v>
      </c>
      <c r="AJ2173" t="s">
        <v>31</v>
      </c>
      <c r="AK2173" t="s">
        <v>14</v>
      </c>
      <c r="AL2173" t="s">
        <v>22</v>
      </c>
      <c r="AM2173" t="s">
        <v>5654</v>
      </c>
      <c r="AN2173" t="s">
        <v>717</v>
      </c>
    </row>
    <row r="2174" spans="1:40" hidden="1">
      <c r="A2174">
        <v>2173</v>
      </c>
      <c r="B2174">
        <v>44</v>
      </c>
      <c r="C2174" s="58">
        <v>45259</v>
      </c>
      <c r="D2174" t="s">
        <v>7</v>
      </c>
      <c r="E2174" t="s">
        <v>2515</v>
      </c>
      <c r="F2174">
        <v>6</v>
      </c>
      <c r="G2174">
        <v>8</v>
      </c>
      <c r="H2174">
        <v>54</v>
      </c>
      <c r="I2174">
        <v>2</v>
      </c>
      <c r="J2174">
        <v>59.87</v>
      </c>
      <c r="K2174" t="s">
        <v>15</v>
      </c>
      <c r="L2174">
        <v>5946208.1600000001</v>
      </c>
      <c r="M2174">
        <v>0</v>
      </c>
      <c r="N2174">
        <v>5946208.1600000001</v>
      </c>
      <c r="O2174">
        <v>99318.659762819443</v>
      </c>
      <c r="P2174">
        <v>449025</v>
      </c>
      <c r="Q2174">
        <v>5497183.1600000001</v>
      </c>
      <c r="R2174">
        <v>91818.659762819443</v>
      </c>
      <c r="S2174" t="s">
        <v>65</v>
      </c>
      <c r="T2174" t="s">
        <v>2664</v>
      </c>
      <c r="U2174">
        <v>112187.41</v>
      </c>
      <c r="V2174" t="s">
        <v>4131</v>
      </c>
      <c r="W2174">
        <v>45252</v>
      </c>
      <c r="X2174" t="s">
        <v>9402</v>
      </c>
      <c r="Y2174" t="s">
        <v>6</v>
      </c>
      <c r="Z2174" t="s">
        <v>17</v>
      </c>
      <c r="AA2174" t="s">
        <v>6637</v>
      </c>
      <c r="AB2174" t="s">
        <v>2509</v>
      </c>
      <c r="AC2174" t="s">
        <v>2571</v>
      </c>
      <c r="AD2174" t="s">
        <v>717</v>
      </c>
      <c r="AE2174" t="s">
        <v>9403</v>
      </c>
      <c r="AF2174" t="s">
        <v>9404</v>
      </c>
      <c r="AG2174" t="s">
        <v>9405</v>
      </c>
      <c r="AH2174" t="s">
        <v>2552</v>
      </c>
      <c r="AI2174" t="s">
        <v>2877</v>
      </c>
      <c r="AJ2174" t="s">
        <v>3098</v>
      </c>
      <c r="AK2174" t="s">
        <v>14</v>
      </c>
      <c r="AL2174" t="s">
        <v>16</v>
      </c>
      <c r="AM2174" t="s">
        <v>10</v>
      </c>
      <c r="AN2174" t="s">
        <v>717</v>
      </c>
    </row>
    <row r="2175" spans="1:40" hidden="1">
      <c r="A2175">
        <v>2174</v>
      </c>
      <c r="B2175">
        <v>45</v>
      </c>
      <c r="C2175" s="58">
        <v>45259</v>
      </c>
      <c r="D2175" t="s">
        <v>13</v>
      </c>
      <c r="E2175" t="s">
        <v>4409</v>
      </c>
      <c r="F2175">
        <v>5</v>
      </c>
      <c r="G2175">
        <v>6</v>
      </c>
      <c r="H2175">
        <v>433</v>
      </c>
      <c r="I2175">
        <v>2</v>
      </c>
      <c r="J2175">
        <v>57.8</v>
      </c>
      <c r="K2175" t="s">
        <v>15</v>
      </c>
      <c r="L2175">
        <v>5282246</v>
      </c>
      <c r="M2175">
        <v>0</v>
      </c>
      <c r="N2175">
        <v>5282246</v>
      </c>
      <c r="O2175">
        <v>91388.339100346027</v>
      </c>
      <c r="P2175">
        <v>433500</v>
      </c>
      <c r="Q2175">
        <v>4848746</v>
      </c>
      <c r="R2175">
        <v>83888.339100346027</v>
      </c>
      <c r="S2175" t="s">
        <v>65</v>
      </c>
      <c r="T2175" t="s">
        <v>2664</v>
      </c>
      <c r="U2175">
        <v>98954</v>
      </c>
      <c r="V2175" t="s">
        <v>4131</v>
      </c>
      <c r="W2175">
        <v>45259</v>
      </c>
      <c r="X2175" t="s">
        <v>9406</v>
      </c>
      <c r="Y2175" t="s">
        <v>6</v>
      </c>
      <c r="Z2175" t="s">
        <v>17</v>
      </c>
      <c r="AA2175" t="s">
        <v>6637</v>
      </c>
      <c r="AB2175" t="s">
        <v>2509</v>
      </c>
      <c r="AC2175" t="s">
        <v>2571</v>
      </c>
      <c r="AD2175" t="s">
        <v>717</v>
      </c>
      <c r="AE2175" t="s">
        <v>9407</v>
      </c>
      <c r="AF2175" t="s">
        <v>9408</v>
      </c>
      <c r="AG2175" t="s">
        <v>9409</v>
      </c>
      <c r="AH2175" t="s">
        <v>2191</v>
      </c>
      <c r="AI2175" t="s">
        <v>2538</v>
      </c>
      <c r="AJ2175" t="s">
        <v>2514</v>
      </c>
      <c r="AK2175" t="s">
        <v>8</v>
      </c>
      <c r="AL2175" t="s">
        <v>22</v>
      </c>
      <c r="AM2175" t="s">
        <v>10</v>
      </c>
      <c r="AN2175" t="s">
        <v>717</v>
      </c>
    </row>
    <row r="2176" spans="1:40" hidden="1">
      <c r="A2176">
        <v>2175</v>
      </c>
      <c r="B2176">
        <v>46</v>
      </c>
      <c r="C2176" s="58">
        <v>45260</v>
      </c>
      <c r="D2176" t="s">
        <v>13</v>
      </c>
      <c r="E2176" t="s">
        <v>2515</v>
      </c>
      <c r="F2176">
        <v>4</v>
      </c>
      <c r="G2176">
        <v>1</v>
      </c>
      <c r="H2176">
        <v>4</v>
      </c>
      <c r="I2176">
        <v>2</v>
      </c>
      <c r="J2176">
        <v>73.02</v>
      </c>
      <c r="K2176" t="s">
        <v>15</v>
      </c>
      <c r="L2176">
        <v>6762812.3600000003</v>
      </c>
      <c r="M2176">
        <v>0</v>
      </c>
      <c r="N2176">
        <v>6762812.3600000003</v>
      </c>
      <c r="O2176">
        <v>92615.890988770203</v>
      </c>
      <c r="P2176">
        <v>547650</v>
      </c>
      <c r="Q2176">
        <v>6215162.3600000003</v>
      </c>
      <c r="R2176">
        <v>85115.890988770203</v>
      </c>
      <c r="S2176" t="s">
        <v>65</v>
      </c>
      <c r="T2176" t="s">
        <v>2664</v>
      </c>
      <c r="U2176">
        <v>126840.05</v>
      </c>
      <c r="V2176" t="s">
        <v>4131</v>
      </c>
      <c r="W2176">
        <v>45252</v>
      </c>
      <c r="X2176" t="s">
        <v>9410</v>
      </c>
      <c r="Y2176" t="s">
        <v>6</v>
      </c>
      <c r="Z2176" t="s">
        <v>17</v>
      </c>
      <c r="AA2176" t="s">
        <v>5617</v>
      </c>
      <c r="AB2176" t="s">
        <v>2509</v>
      </c>
      <c r="AC2176" t="s">
        <v>5105</v>
      </c>
      <c r="AD2176" t="s">
        <v>717</v>
      </c>
      <c r="AE2176" t="s">
        <v>9411</v>
      </c>
      <c r="AF2176" t="s">
        <v>9412</v>
      </c>
      <c r="AG2176" t="s">
        <v>9413</v>
      </c>
      <c r="AH2176" t="s">
        <v>2580</v>
      </c>
      <c r="AI2176" t="s">
        <v>2706</v>
      </c>
      <c r="AJ2176" t="s">
        <v>3921</v>
      </c>
      <c r="AK2176" t="s">
        <v>20</v>
      </c>
      <c r="AL2176" t="s">
        <v>22</v>
      </c>
      <c r="AM2176" t="s">
        <v>10</v>
      </c>
      <c r="AN2176" t="s">
        <v>717</v>
      </c>
    </row>
    <row r="2177" spans="1:40" hidden="1">
      <c r="A2177">
        <v>2176</v>
      </c>
      <c r="B2177">
        <v>47</v>
      </c>
      <c r="C2177" s="58">
        <v>45260</v>
      </c>
      <c r="D2177" t="s">
        <v>13</v>
      </c>
      <c r="E2177" t="s">
        <v>4409</v>
      </c>
      <c r="F2177">
        <v>2</v>
      </c>
      <c r="G2177">
        <v>7</v>
      </c>
      <c r="H2177">
        <v>438</v>
      </c>
      <c r="I2177">
        <v>1</v>
      </c>
      <c r="J2177">
        <v>43.21</v>
      </c>
      <c r="K2177" t="s">
        <v>9</v>
      </c>
      <c r="L2177">
        <v>4220900</v>
      </c>
      <c r="M2177">
        <v>0</v>
      </c>
      <c r="N2177">
        <v>4220900</v>
      </c>
      <c r="O2177">
        <v>97683.406618838228</v>
      </c>
      <c r="P2177">
        <v>0</v>
      </c>
      <c r="Q2177">
        <v>4220900</v>
      </c>
      <c r="R2177">
        <v>97683.406618838228</v>
      </c>
      <c r="S2177" t="s">
        <v>65</v>
      </c>
      <c r="T2177" t="s">
        <v>717</v>
      </c>
      <c r="U2177" t="s">
        <v>717</v>
      </c>
      <c r="V2177" t="s">
        <v>4131</v>
      </c>
      <c r="W2177">
        <v>45256</v>
      </c>
      <c r="X2177" t="s">
        <v>9414</v>
      </c>
      <c r="Y2177" t="s">
        <v>6</v>
      </c>
      <c r="Z2177" t="s">
        <v>17</v>
      </c>
      <c r="AA2177" t="s">
        <v>5617</v>
      </c>
      <c r="AB2177" t="s">
        <v>2509</v>
      </c>
      <c r="AC2177" t="s">
        <v>2564</v>
      </c>
      <c r="AD2177" t="s">
        <v>717</v>
      </c>
      <c r="AE2177" t="s">
        <v>9415</v>
      </c>
      <c r="AF2177" t="s">
        <v>9416</v>
      </c>
      <c r="AG2177" t="s">
        <v>9417</v>
      </c>
      <c r="AH2177" t="s">
        <v>2191</v>
      </c>
      <c r="AI2177" t="s">
        <v>2621</v>
      </c>
      <c r="AJ2177" t="s">
        <v>2514</v>
      </c>
      <c r="AK2177" t="s">
        <v>8</v>
      </c>
      <c r="AL2177" t="s">
        <v>22</v>
      </c>
      <c r="AM2177" t="s">
        <v>10</v>
      </c>
      <c r="AN2177" t="s">
        <v>717</v>
      </c>
    </row>
    <row r="2178" spans="1:40" hidden="1">
      <c r="A2178">
        <v>2177</v>
      </c>
      <c r="B2178">
        <v>48</v>
      </c>
      <c r="C2178" s="58">
        <v>45260</v>
      </c>
      <c r="D2178" t="s">
        <v>7</v>
      </c>
      <c r="E2178" t="s">
        <v>2506</v>
      </c>
      <c r="F2178">
        <v>3</v>
      </c>
      <c r="G2178">
        <v>15</v>
      </c>
      <c r="H2178">
        <v>227</v>
      </c>
      <c r="I2178">
        <v>1</v>
      </c>
      <c r="J2178">
        <v>35.380000000000003</v>
      </c>
      <c r="K2178" t="s">
        <v>25</v>
      </c>
      <c r="L2178">
        <v>4683691.04</v>
      </c>
      <c r="M2178">
        <v>0</v>
      </c>
      <c r="N2178">
        <v>4683691.04</v>
      </c>
      <c r="O2178">
        <v>132382.44884115318</v>
      </c>
      <c r="P2178">
        <v>778360.00000000047</v>
      </c>
      <c r="Q2178">
        <v>3905331.04</v>
      </c>
      <c r="R2178">
        <v>110382.44884115318</v>
      </c>
      <c r="S2178" t="s">
        <v>65</v>
      </c>
      <c r="T2178" t="s">
        <v>3309</v>
      </c>
      <c r="U2178">
        <v>20000</v>
      </c>
      <c r="V2178" t="s">
        <v>4131</v>
      </c>
      <c r="W2178">
        <v>45257</v>
      </c>
      <c r="X2178" t="s">
        <v>9418</v>
      </c>
      <c r="Y2178" t="s">
        <v>6</v>
      </c>
      <c r="Z2178" t="s">
        <v>17</v>
      </c>
      <c r="AA2178" t="s">
        <v>6637</v>
      </c>
      <c r="AB2178" t="s">
        <v>2509</v>
      </c>
      <c r="AC2178" t="s">
        <v>2571</v>
      </c>
      <c r="AD2178" t="s">
        <v>717</v>
      </c>
      <c r="AE2178" t="s">
        <v>9419</v>
      </c>
      <c r="AF2178" t="s">
        <v>9420</v>
      </c>
      <c r="AG2178" t="s">
        <v>9421</v>
      </c>
      <c r="AH2178" t="s">
        <v>2552</v>
      </c>
      <c r="AI2178" t="s">
        <v>2552</v>
      </c>
      <c r="AJ2178" t="s">
        <v>2662</v>
      </c>
      <c r="AK2178" t="s">
        <v>14</v>
      </c>
      <c r="AL2178" t="s">
        <v>22</v>
      </c>
      <c r="AM2178" t="s">
        <v>10</v>
      </c>
      <c r="AN2178" t="s">
        <v>717</v>
      </c>
    </row>
    <row r="2179" spans="1:40" hidden="1">
      <c r="A2179">
        <v>2178</v>
      </c>
      <c r="B2179">
        <v>49</v>
      </c>
      <c r="C2179" s="58">
        <v>45260</v>
      </c>
      <c r="D2179" t="s">
        <v>13</v>
      </c>
      <c r="E2179" t="s">
        <v>4409</v>
      </c>
      <c r="F2179">
        <v>2</v>
      </c>
      <c r="G2179">
        <v>22</v>
      </c>
      <c r="H2179">
        <v>558</v>
      </c>
      <c r="I2179">
        <v>1</v>
      </c>
      <c r="J2179">
        <v>43.21</v>
      </c>
      <c r="K2179" t="s">
        <v>25</v>
      </c>
      <c r="L2179">
        <v>5175145</v>
      </c>
      <c r="M2179">
        <v>0</v>
      </c>
      <c r="N2179">
        <v>5175145</v>
      </c>
      <c r="O2179">
        <v>119767.29923628789</v>
      </c>
      <c r="P2179">
        <v>950620</v>
      </c>
      <c r="Q2179">
        <v>4224525</v>
      </c>
      <c r="R2179">
        <v>97767.299236287901</v>
      </c>
      <c r="S2179" t="s">
        <v>130</v>
      </c>
      <c r="T2179" t="s">
        <v>2941</v>
      </c>
      <c r="U2179">
        <v>317975</v>
      </c>
      <c r="V2179" t="s">
        <v>717</v>
      </c>
      <c r="W2179">
        <v>45260</v>
      </c>
      <c r="X2179" t="s">
        <v>9422</v>
      </c>
      <c r="Y2179" t="s">
        <v>6</v>
      </c>
      <c r="Z2179" t="s">
        <v>17</v>
      </c>
      <c r="AA2179" t="s">
        <v>6637</v>
      </c>
      <c r="AB2179" t="s">
        <v>2509</v>
      </c>
      <c r="AC2179" t="s">
        <v>717</v>
      </c>
      <c r="AD2179" t="s">
        <v>717</v>
      </c>
      <c r="AE2179" t="s">
        <v>9423</v>
      </c>
      <c r="AF2179" t="s">
        <v>9424</v>
      </c>
      <c r="AG2179" t="s">
        <v>9425</v>
      </c>
      <c r="AH2179" t="s">
        <v>2615</v>
      </c>
      <c r="AI2179" t="s">
        <v>3115</v>
      </c>
      <c r="AJ2179" t="s">
        <v>2569</v>
      </c>
      <c r="AK2179" t="s">
        <v>20</v>
      </c>
      <c r="AL2179" t="s">
        <v>717</v>
      </c>
      <c r="AM2179" t="s">
        <v>10</v>
      </c>
      <c r="AN2179" t="s">
        <v>717</v>
      </c>
    </row>
    <row r="2180" spans="1:40" hidden="1">
      <c r="A2180">
        <v>2179</v>
      </c>
      <c r="B2180">
        <v>1</v>
      </c>
      <c r="C2180" s="58">
        <v>45261</v>
      </c>
      <c r="D2180" t="s">
        <v>13</v>
      </c>
      <c r="E2180" t="s">
        <v>4409</v>
      </c>
      <c r="F2180">
        <v>4</v>
      </c>
      <c r="G2180">
        <v>5</v>
      </c>
      <c r="H2180">
        <v>424</v>
      </c>
      <c r="I2180">
        <v>2</v>
      </c>
      <c r="J2180">
        <v>58.24</v>
      </c>
      <c r="K2180" t="s">
        <v>15</v>
      </c>
      <c r="L2180">
        <v>5346284.8499999996</v>
      </c>
      <c r="M2180">
        <v>0</v>
      </c>
      <c r="N2180">
        <v>5346284.8499999996</v>
      </c>
      <c r="O2180">
        <v>91797.473385988997</v>
      </c>
      <c r="P2180">
        <v>436800</v>
      </c>
      <c r="Q2180">
        <v>4909484.8499999996</v>
      </c>
      <c r="R2180">
        <v>84297.473385988997</v>
      </c>
      <c r="S2180" t="s">
        <v>65</v>
      </c>
      <c r="T2180" t="s">
        <v>2664</v>
      </c>
      <c r="U2180">
        <v>100193.57</v>
      </c>
      <c r="V2180" t="s">
        <v>6312</v>
      </c>
      <c r="W2180">
        <v>45246</v>
      </c>
      <c r="X2180" t="s">
        <v>9426</v>
      </c>
      <c r="Y2180" t="s">
        <v>6</v>
      </c>
      <c r="Z2180" t="s">
        <v>17</v>
      </c>
      <c r="AA2180" t="s">
        <v>6637</v>
      </c>
      <c r="AB2180" t="s">
        <v>2509</v>
      </c>
      <c r="AC2180" t="s">
        <v>2571</v>
      </c>
      <c r="AD2180" t="s">
        <v>717</v>
      </c>
      <c r="AE2180" t="s">
        <v>9427</v>
      </c>
      <c r="AF2180" t="s">
        <v>9428</v>
      </c>
      <c r="AG2180" t="s">
        <v>9429</v>
      </c>
      <c r="AH2180" t="s">
        <v>2191</v>
      </c>
      <c r="AI2180" t="s">
        <v>2552</v>
      </c>
      <c r="AJ2180" t="s">
        <v>2514</v>
      </c>
      <c r="AK2180" t="s">
        <v>20</v>
      </c>
      <c r="AL2180" t="s">
        <v>16</v>
      </c>
      <c r="AM2180" t="s">
        <v>10</v>
      </c>
      <c r="AN2180" t="s">
        <v>717</v>
      </c>
    </row>
    <row r="2181" spans="1:40" hidden="1">
      <c r="A2181">
        <v>2180</v>
      </c>
      <c r="B2181">
        <v>2</v>
      </c>
      <c r="C2181" s="58">
        <v>45265</v>
      </c>
      <c r="D2181" t="s">
        <v>7</v>
      </c>
      <c r="E2181" t="s">
        <v>2581</v>
      </c>
      <c r="F2181">
        <v>3</v>
      </c>
      <c r="G2181">
        <v>17</v>
      </c>
      <c r="H2181">
        <v>348</v>
      </c>
      <c r="I2181">
        <v>0</v>
      </c>
      <c r="J2181">
        <v>36.450000000000003</v>
      </c>
      <c r="K2181" t="s">
        <v>9</v>
      </c>
      <c r="L2181">
        <v>3627278.18</v>
      </c>
      <c r="M2181">
        <v>15000</v>
      </c>
      <c r="N2181">
        <v>3642278.18</v>
      </c>
      <c r="O2181">
        <v>99925.327297668031</v>
      </c>
      <c r="P2181">
        <v>0</v>
      </c>
      <c r="Q2181">
        <v>3642278.18</v>
      </c>
      <c r="R2181">
        <v>99925.327297668031</v>
      </c>
      <c r="S2181" t="s">
        <v>65</v>
      </c>
      <c r="T2181" t="s">
        <v>3309</v>
      </c>
      <c r="U2181">
        <v>55555</v>
      </c>
      <c r="V2181" t="s">
        <v>4131</v>
      </c>
      <c r="W2181">
        <v>45251</v>
      </c>
      <c r="X2181" t="s">
        <v>9430</v>
      </c>
      <c r="Y2181" t="s">
        <v>6</v>
      </c>
      <c r="Z2181" t="s">
        <v>17</v>
      </c>
      <c r="AA2181" t="s">
        <v>6637</v>
      </c>
      <c r="AB2181" t="s">
        <v>2509</v>
      </c>
      <c r="AC2181" t="s">
        <v>2571</v>
      </c>
      <c r="AD2181" t="s">
        <v>717</v>
      </c>
      <c r="AE2181" t="s">
        <v>9431</v>
      </c>
      <c r="AF2181" t="s">
        <v>9432</v>
      </c>
      <c r="AG2181" t="s">
        <v>9433</v>
      </c>
      <c r="AH2181" t="s">
        <v>2615</v>
      </c>
      <c r="AI2181" t="s">
        <v>2552</v>
      </c>
      <c r="AJ2181" t="s">
        <v>4799</v>
      </c>
      <c r="AK2181" t="s">
        <v>20</v>
      </c>
      <c r="AL2181" t="s">
        <v>16</v>
      </c>
      <c r="AM2181" t="s">
        <v>10</v>
      </c>
      <c r="AN2181" t="s">
        <v>717</v>
      </c>
    </row>
    <row r="2182" spans="1:40" hidden="1">
      <c r="A2182">
        <v>2181</v>
      </c>
      <c r="B2182">
        <v>3</v>
      </c>
      <c r="C2182" s="58">
        <v>45267</v>
      </c>
      <c r="D2182" t="s">
        <v>7</v>
      </c>
      <c r="E2182" t="s">
        <v>2581</v>
      </c>
      <c r="F2182">
        <v>1</v>
      </c>
      <c r="G2182">
        <v>10</v>
      </c>
      <c r="H2182">
        <v>297</v>
      </c>
      <c r="I2182">
        <v>0</v>
      </c>
      <c r="J2182">
        <v>29.35</v>
      </c>
      <c r="K2182" t="s">
        <v>15</v>
      </c>
      <c r="L2182">
        <v>3438825</v>
      </c>
      <c r="M2182">
        <v>0</v>
      </c>
      <c r="N2182">
        <v>3438825</v>
      </c>
      <c r="O2182">
        <v>117166.09880749574</v>
      </c>
      <c r="P2182">
        <v>220125</v>
      </c>
      <c r="Q2182">
        <v>3218700</v>
      </c>
      <c r="R2182">
        <v>109666.09880749574</v>
      </c>
      <c r="S2182" t="s">
        <v>65</v>
      </c>
      <c r="T2182" t="s">
        <v>717</v>
      </c>
      <c r="U2182" t="s">
        <v>717</v>
      </c>
      <c r="V2182" t="s">
        <v>4131</v>
      </c>
      <c r="W2182">
        <v>45266</v>
      </c>
      <c r="X2182" t="s">
        <v>9434</v>
      </c>
      <c r="Y2182" t="s">
        <v>6</v>
      </c>
      <c r="Z2182" t="s">
        <v>17</v>
      </c>
      <c r="AA2182" t="s">
        <v>6637</v>
      </c>
      <c r="AB2182" t="s">
        <v>2509</v>
      </c>
      <c r="AC2182" t="s">
        <v>2571</v>
      </c>
      <c r="AD2182" t="s">
        <v>717</v>
      </c>
      <c r="AE2182" t="s">
        <v>9435</v>
      </c>
      <c r="AF2182" t="s">
        <v>9436</v>
      </c>
      <c r="AG2182" t="s">
        <v>9437</v>
      </c>
      <c r="AH2182" t="s">
        <v>6100</v>
      </c>
      <c r="AI2182" t="s">
        <v>5653</v>
      </c>
      <c r="AJ2182" t="s">
        <v>31</v>
      </c>
      <c r="AK2182" t="s">
        <v>14</v>
      </c>
      <c r="AL2182" t="s">
        <v>16</v>
      </c>
      <c r="AM2182" t="s">
        <v>5654</v>
      </c>
      <c r="AN2182" t="s">
        <v>717</v>
      </c>
    </row>
    <row r="2183" spans="1:40" hidden="1">
      <c r="A2183">
        <v>2182</v>
      </c>
      <c r="B2183">
        <v>4</v>
      </c>
      <c r="C2183" s="58">
        <v>45269</v>
      </c>
      <c r="D2183" t="s">
        <v>13</v>
      </c>
      <c r="E2183" t="s">
        <v>2581</v>
      </c>
      <c r="F2183">
        <v>1</v>
      </c>
      <c r="G2183">
        <v>12</v>
      </c>
      <c r="H2183">
        <v>299</v>
      </c>
      <c r="I2183">
        <v>2</v>
      </c>
      <c r="J2183">
        <v>73.7</v>
      </c>
      <c r="K2183" t="s">
        <v>9</v>
      </c>
      <c r="L2183">
        <v>6273078</v>
      </c>
      <c r="M2183">
        <v>0</v>
      </c>
      <c r="N2183">
        <v>6273078</v>
      </c>
      <c r="O2183">
        <v>85116.390773405699</v>
      </c>
      <c r="P2183">
        <v>0</v>
      </c>
      <c r="Q2183">
        <v>6273078</v>
      </c>
      <c r="R2183">
        <v>85116.390773405699</v>
      </c>
      <c r="S2183" t="s">
        <v>65</v>
      </c>
      <c r="T2183" t="s">
        <v>2664</v>
      </c>
      <c r="U2183">
        <v>128022</v>
      </c>
      <c r="V2183" t="s">
        <v>6488</v>
      </c>
      <c r="W2183">
        <v>45264</v>
      </c>
      <c r="X2183" t="s">
        <v>9438</v>
      </c>
      <c r="Y2183" t="s">
        <v>6</v>
      </c>
      <c r="Z2183" t="s">
        <v>17</v>
      </c>
      <c r="AA2183" t="s">
        <v>6637</v>
      </c>
      <c r="AB2183" t="s">
        <v>2509</v>
      </c>
      <c r="AC2183" t="s">
        <v>2571</v>
      </c>
      <c r="AD2183" t="s">
        <v>717</v>
      </c>
      <c r="AE2183" t="s">
        <v>9439</v>
      </c>
      <c r="AF2183" t="s">
        <v>9440</v>
      </c>
      <c r="AG2183" t="s">
        <v>9441</v>
      </c>
      <c r="AH2183" t="s">
        <v>2615</v>
      </c>
      <c r="AI2183" t="s">
        <v>2552</v>
      </c>
      <c r="AJ2183" t="s">
        <v>2895</v>
      </c>
      <c r="AK2183" t="s">
        <v>8</v>
      </c>
      <c r="AL2183" t="s">
        <v>22</v>
      </c>
      <c r="AM2183" t="s">
        <v>10</v>
      </c>
      <c r="AN2183" t="s">
        <v>717</v>
      </c>
    </row>
    <row r="2184" spans="1:40" hidden="1">
      <c r="A2184">
        <v>2183</v>
      </c>
      <c r="B2184">
        <v>5</v>
      </c>
      <c r="C2184" s="58">
        <v>45268</v>
      </c>
      <c r="D2184" t="s">
        <v>13</v>
      </c>
      <c r="E2184" t="s">
        <v>4409</v>
      </c>
      <c r="F2184">
        <v>3</v>
      </c>
      <c r="G2184">
        <v>16</v>
      </c>
      <c r="H2184">
        <v>511</v>
      </c>
      <c r="I2184">
        <v>0</v>
      </c>
      <c r="J2184">
        <v>24.5</v>
      </c>
      <c r="K2184" t="s">
        <v>15</v>
      </c>
      <c r="L2184">
        <v>2815050</v>
      </c>
      <c r="M2184">
        <v>0</v>
      </c>
      <c r="N2184">
        <v>2815050</v>
      </c>
      <c r="O2184">
        <v>114900</v>
      </c>
      <c r="P2184">
        <v>183750</v>
      </c>
      <c r="Q2184">
        <v>2631300</v>
      </c>
      <c r="R2184">
        <v>107400</v>
      </c>
      <c r="S2184" t="s">
        <v>65</v>
      </c>
      <c r="T2184" t="s">
        <v>717</v>
      </c>
      <c r="U2184" t="s">
        <v>717</v>
      </c>
      <c r="V2184" t="s">
        <v>6312</v>
      </c>
      <c r="W2184">
        <v>45266</v>
      </c>
      <c r="X2184" t="s">
        <v>9442</v>
      </c>
      <c r="Y2184" t="s">
        <v>6</v>
      </c>
      <c r="Z2184" t="s">
        <v>17</v>
      </c>
      <c r="AA2184" t="s">
        <v>6637</v>
      </c>
      <c r="AB2184" t="s">
        <v>2509</v>
      </c>
      <c r="AC2184" t="s">
        <v>2571</v>
      </c>
      <c r="AD2184" t="s">
        <v>717</v>
      </c>
      <c r="AE2184" t="s">
        <v>9443</v>
      </c>
      <c r="AF2184" t="s">
        <v>9444</v>
      </c>
      <c r="AG2184" t="s">
        <v>9445</v>
      </c>
      <c r="AH2184" t="s">
        <v>6100</v>
      </c>
      <c r="AI2184" t="s">
        <v>5653</v>
      </c>
      <c r="AJ2184" t="s">
        <v>31</v>
      </c>
      <c r="AK2184" t="s">
        <v>20</v>
      </c>
      <c r="AL2184" t="s">
        <v>16</v>
      </c>
      <c r="AM2184" t="s">
        <v>5654</v>
      </c>
      <c r="AN2184" t="s">
        <v>717</v>
      </c>
    </row>
    <row r="2185" spans="1:40" hidden="1">
      <c r="A2185">
        <v>2184</v>
      </c>
      <c r="B2185">
        <v>6</v>
      </c>
      <c r="C2185" s="58">
        <v>45268</v>
      </c>
      <c r="D2185" t="s">
        <v>7</v>
      </c>
      <c r="E2185" t="s">
        <v>4409</v>
      </c>
      <c r="F2185">
        <v>9</v>
      </c>
      <c r="G2185">
        <v>3</v>
      </c>
      <c r="H2185">
        <v>419</v>
      </c>
      <c r="I2185">
        <v>1</v>
      </c>
      <c r="J2185">
        <v>44.37</v>
      </c>
      <c r="K2185" t="s">
        <v>15</v>
      </c>
      <c r="L2185">
        <v>4502775</v>
      </c>
      <c r="M2185">
        <v>0</v>
      </c>
      <c r="N2185">
        <v>4502775</v>
      </c>
      <c r="O2185">
        <v>101482.42055442868</v>
      </c>
      <c r="P2185">
        <v>332775.00000000047</v>
      </c>
      <c r="Q2185">
        <v>4169999.9999999991</v>
      </c>
      <c r="R2185">
        <v>93982.420554428667</v>
      </c>
      <c r="S2185" t="s">
        <v>65</v>
      </c>
      <c r="T2185" t="s">
        <v>5386</v>
      </c>
      <c r="U2185">
        <v>120000</v>
      </c>
      <c r="V2185" t="s">
        <v>6312</v>
      </c>
      <c r="W2185">
        <v>45265</v>
      </c>
      <c r="X2185" t="s">
        <v>9446</v>
      </c>
      <c r="Y2185" t="s">
        <v>2611</v>
      </c>
      <c r="Z2185" t="s">
        <v>17</v>
      </c>
      <c r="AA2185" t="s">
        <v>6637</v>
      </c>
      <c r="AB2185" t="s">
        <v>2509</v>
      </c>
      <c r="AC2185" t="s">
        <v>2571</v>
      </c>
      <c r="AD2185">
        <v>45376</v>
      </c>
      <c r="AE2185" t="s">
        <v>9447</v>
      </c>
      <c r="AF2185" t="s">
        <v>9448</v>
      </c>
      <c r="AG2185" t="s">
        <v>9449</v>
      </c>
      <c r="AH2185" t="s">
        <v>6100</v>
      </c>
      <c r="AI2185" t="s">
        <v>9450</v>
      </c>
      <c r="AJ2185" t="s">
        <v>33</v>
      </c>
      <c r="AK2185" t="s">
        <v>8</v>
      </c>
      <c r="AL2185" t="s">
        <v>16</v>
      </c>
      <c r="AM2185" t="s">
        <v>5654</v>
      </c>
      <c r="AN2185" t="s">
        <v>717</v>
      </c>
    </row>
    <row r="2186" spans="1:40" hidden="1">
      <c r="A2186">
        <v>2185</v>
      </c>
      <c r="B2186">
        <v>7</v>
      </c>
      <c r="C2186" s="58">
        <v>45271</v>
      </c>
      <c r="D2186" t="s">
        <v>7</v>
      </c>
      <c r="E2186" t="s">
        <v>2581</v>
      </c>
      <c r="F2186">
        <v>2</v>
      </c>
      <c r="G2186">
        <v>13</v>
      </c>
      <c r="H2186">
        <v>319</v>
      </c>
      <c r="I2186">
        <v>2</v>
      </c>
      <c r="J2186">
        <v>67.95</v>
      </c>
      <c r="K2186" t="s">
        <v>25</v>
      </c>
      <c r="L2186">
        <v>7450700</v>
      </c>
      <c r="M2186">
        <v>0</v>
      </c>
      <c r="N2186">
        <v>7450700</v>
      </c>
      <c r="O2186">
        <v>109649.74245768948</v>
      </c>
      <c r="P2186">
        <v>1494900</v>
      </c>
      <c r="Q2186">
        <v>5955800</v>
      </c>
      <c r="R2186">
        <v>87649.74245768947</v>
      </c>
      <c r="S2186" t="s">
        <v>65</v>
      </c>
      <c r="T2186" t="s">
        <v>717</v>
      </c>
      <c r="U2186" t="s">
        <v>717</v>
      </c>
      <c r="V2186" t="s">
        <v>6312</v>
      </c>
      <c r="W2186">
        <v>45267</v>
      </c>
      <c r="X2186" t="s">
        <v>9451</v>
      </c>
      <c r="Y2186" t="s">
        <v>6</v>
      </c>
      <c r="Z2186" t="s">
        <v>17</v>
      </c>
      <c r="AA2186" t="s">
        <v>6637</v>
      </c>
      <c r="AB2186" t="s">
        <v>2509</v>
      </c>
      <c r="AC2186" t="s">
        <v>2571</v>
      </c>
      <c r="AD2186" t="s">
        <v>717</v>
      </c>
      <c r="AE2186" t="s">
        <v>9452</v>
      </c>
      <c r="AF2186" t="s">
        <v>9453</v>
      </c>
      <c r="AG2186" t="s">
        <v>9454</v>
      </c>
      <c r="AH2186" t="s">
        <v>2191</v>
      </c>
      <c r="AI2186" t="s">
        <v>2552</v>
      </c>
      <c r="AJ2186" t="s">
        <v>2514</v>
      </c>
      <c r="AK2186" t="s">
        <v>20</v>
      </c>
      <c r="AL2186" t="s">
        <v>22</v>
      </c>
      <c r="AM2186" t="s">
        <v>10</v>
      </c>
      <c r="AN2186" t="s">
        <v>717</v>
      </c>
    </row>
    <row r="2187" spans="1:40" hidden="1">
      <c r="A2187">
        <v>2186</v>
      </c>
      <c r="B2187">
        <v>8</v>
      </c>
      <c r="C2187" s="58">
        <v>45272</v>
      </c>
      <c r="D2187" t="s">
        <v>13</v>
      </c>
      <c r="E2187" t="s">
        <v>2515</v>
      </c>
      <c r="F2187">
        <v>5</v>
      </c>
      <c r="G2187">
        <v>7</v>
      </c>
      <c r="H2187">
        <v>46</v>
      </c>
      <c r="I2187">
        <v>2</v>
      </c>
      <c r="J2187">
        <v>62.17</v>
      </c>
      <c r="K2187" t="s">
        <v>25</v>
      </c>
      <c r="L2187">
        <v>6737440</v>
      </c>
      <c r="M2187">
        <v>0</v>
      </c>
      <c r="N2187">
        <v>6737440</v>
      </c>
      <c r="O2187">
        <v>108371.24014798134</v>
      </c>
      <c r="P2187">
        <v>1367740</v>
      </c>
      <c r="Q2187">
        <v>5369700</v>
      </c>
      <c r="R2187">
        <v>86371.240147981342</v>
      </c>
      <c r="S2187" t="s">
        <v>65</v>
      </c>
      <c r="T2187" t="s">
        <v>9455</v>
      </c>
      <c r="U2187">
        <v>30000</v>
      </c>
      <c r="V2187" t="s">
        <v>6312</v>
      </c>
      <c r="W2187">
        <v>45266</v>
      </c>
      <c r="X2187" t="s">
        <v>9456</v>
      </c>
      <c r="Y2187" t="s">
        <v>6</v>
      </c>
      <c r="Z2187" t="s">
        <v>17</v>
      </c>
      <c r="AA2187" t="s">
        <v>6637</v>
      </c>
      <c r="AB2187" t="s">
        <v>2509</v>
      </c>
      <c r="AC2187" t="s">
        <v>2571</v>
      </c>
      <c r="AD2187" t="s">
        <v>717</v>
      </c>
      <c r="AE2187" t="s">
        <v>9457</v>
      </c>
      <c r="AF2187" t="s">
        <v>9458</v>
      </c>
      <c r="AG2187" t="s">
        <v>9459</v>
      </c>
      <c r="AH2187" t="s">
        <v>2191</v>
      </c>
      <c r="AI2187" t="s">
        <v>2552</v>
      </c>
      <c r="AJ2187" t="s">
        <v>2514</v>
      </c>
      <c r="AK2187" t="s">
        <v>20</v>
      </c>
      <c r="AL2187" t="s">
        <v>16</v>
      </c>
      <c r="AM2187" t="s">
        <v>10</v>
      </c>
      <c r="AN2187" t="s">
        <v>717</v>
      </c>
    </row>
    <row r="2188" spans="1:40" hidden="1">
      <c r="A2188">
        <v>2187</v>
      </c>
      <c r="B2188">
        <v>9</v>
      </c>
      <c r="C2188" s="58">
        <v>45272</v>
      </c>
      <c r="D2188" t="s">
        <v>7</v>
      </c>
      <c r="E2188" t="s">
        <v>2506</v>
      </c>
      <c r="F2188">
        <v>2</v>
      </c>
      <c r="G2188">
        <v>11</v>
      </c>
      <c r="H2188">
        <v>194</v>
      </c>
      <c r="I2188">
        <v>2</v>
      </c>
      <c r="J2188">
        <v>68.75</v>
      </c>
      <c r="K2188" t="s">
        <v>9</v>
      </c>
      <c r="L2188">
        <v>5905382</v>
      </c>
      <c r="M2188">
        <v>0</v>
      </c>
      <c r="N2188">
        <v>5905382</v>
      </c>
      <c r="O2188">
        <v>85896.465454545454</v>
      </c>
      <c r="P2188">
        <v>0</v>
      </c>
      <c r="Q2188">
        <v>5905382</v>
      </c>
      <c r="R2188">
        <v>85896.465454545454</v>
      </c>
      <c r="S2188" t="s">
        <v>65</v>
      </c>
      <c r="T2188" t="s">
        <v>2664</v>
      </c>
      <c r="U2188">
        <v>120518</v>
      </c>
      <c r="V2188" t="s">
        <v>4131</v>
      </c>
      <c r="W2188">
        <v>45267</v>
      </c>
      <c r="X2188" t="s">
        <v>9460</v>
      </c>
      <c r="Y2188" t="s">
        <v>6</v>
      </c>
      <c r="Z2188" t="s">
        <v>17</v>
      </c>
      <c r="AA2188" t="s">
        <v>6637</v>
      </c>
      <c r="AB2188" t="s">
        <v>2509</v>
      </c>
      <c r="AC2188" t="s">
        <v>2571</v>
      </c>
      <c r="AD2188" t="s">
        <v>717</v>
      </c>
      <c r="AE2188" t="s">
        <v>9461</v>
      </c>
      <c r="AF2188" t="s">
        <v>9462</v>
      </c>
      <c r="AG2188" t="s">
        <v>9463</v>
      </c>
      <c r="AH2188" t="s">
        <v>2191</v>
      </c>
      <c r="AI2188" t="s">
        <v>2706</v>
      </c>
      <c r="AJ2188" t="s">
        <v>2514</v>
      </c>
      <c r="AK2188" t="s">
        <v>20</v>
      </c>
      <c r="AL2188" t="s">
        <v>22</v>
      </c>
      <c r="AM2188" t="s">
        <v>10</v>
      </c>
      <c r="AN2188" t="s">
        <v>717</v>
      </c>
    </row>
    <row r="2189" spans="1:40" hidden="1">
      <c r="A2189">
        <v>2188</v>
      </c>
      <c r="B2189">
        <v>10</v>
      </c>
      <c r="C2189" s="58">
        <v>45273</v>
      </c>
      <c r="D2189" t="s">
        <v>7</v>
      </c>
      <c r="E2189" t="s">
        <v>2581</v>
      </c>
      <c r="F2189">
        <v>2</v>
      </c>
      <c r="G2189">
        <v>14</v>
      </c>
      <c r="H2189">
        <v>326</v>
      </c>
      <c r="I2189">
        <v>2</v>
      </c>
      <c r="J2189">
        <v>67.95</v>
      </c>
      <c r="K2189" t="s">
        <v>15</v>
      </c>
      <c r="L2189">
        <v>6435374.5499999998</v>
      </c>
      <c r="M2189">
        <v>30000</v>
      </c>
      <c r="N2189">
        <v>6465374.5499999998</v>
      </c>
      <c r="O2189">
        <v>95149</v>
      </c>
      <c r="P2189">
        <v>509625</v>
      </c>
      <c r="Q2189">
        <v>5955749.5499999998</v>
      </c>
      <c r="R2189">
        <v>87649</v>
      </c>
      <c r="S2189" t="s">
        <v>65</v>
      </c>
      <c r="T2189" t="s">
        <v>717</v>
      </c>
      <c r="U2189" t="s">
        <v>717</v>
      </c>
      <c r="V2189" t="s">
        <v>6312</v>
      </c>
      <c r="W2189">
        <v>45261</v>
      </c>
      <c r="X2189" t="s">
        <v>9464</v>
      </c>
      <c r="Y2189" t="s">
        <v>6</v>
      </c>
      <c r="Z2189" t="s">
        <v>17</v>
      </c>
      <c r="AA2189" t="s">
        <v>6637</v>
      </c>
      <c r="AB2189" t="s">
        <v>2509</v>
      </c>
      <c r="AC2189" t="s">
        <v>2571</v>
      </c>
      <c r="AD2189" t="s">
        <v>717</v>
      </c>
      <c r="AE2189" t="s">
        <v>9465</v>
      </c>
      <c r="AF2189" t="s">
        <v>9466</v>
      </c>
      <c r="AG2189" t="s">
        <v>9467</v>
      </c>
      <c r="AH2189" t="s">
        <v>2191</v>
      </c>
      <c r="AI2189" t="s">
        <v>2538</v>
      </c>
      <c r="AJ2189" t="s">
        <v>2514</v>
      </c>
      <c r="AK2189" t="s">
        <v>14</v>
      </c>
      <c r="AL2189" t="s">
        <v>16</v>
      </c>
      <c r="AM2189" t="s">
        <v>10</v>
      </c>
      <c r="AN2189" t="s">
        <v>717</v>
      </c>
    </row>
    <row r="2190" spans="1:40" hidden="1">
      <c r="A2190">
        <v>2189</v>
      </c>
      <c r="B2190">
        <v>11</v>
      </c>
      <c r="C2190" s="58">
        <v>45273</v>
      </c>
      <c r="D2190" t="s">
        <v>13</v>
      </c>
      <c r="E2190" t="s">
        <v>2581</v>
      </c>
      <c r="F2190">
        <v>3</v>
      </c>
      <c r="G2190">
        <v>11</v>
      </c>
      <c r="H2190">
        <v>294</v>
      </c>
      <c r="I2190">
        <v>2</v>
      </c>
      <c r="J2190">
        <v>56.58</v>
      </c>
      <c r="K2190" t="s">
        <v>15</v>
      </c>
      <c r="L2190">
        <v>5240266</v>
      </c>
      <c r="M2190">
        <v>0</v>
      </c>
      <c r="N2190">
        <v>5240266</v>
      </c>
      <c r="O2190">
        <v>92616.931778013444</v>
      </c>
      <c r="P2190">
        <v>424350</v>
      </c>
      <c r="Q2190">
        <v>4815916</v>
      </c>
      <c r="R2190">
        <v>85116.93177801343</v>
      </c>
      <c r="S2190" t="s">
        <v>65</v>
      </c>
      <c r="T2190" t="s">
        <v>2664</v>
      </c>
      <c r="U2190">
        <v>98284</v>
      </c>
      <c r="V2190" t="s">
        <v>6312</v>
      </c>
      <c r="W2190">
        <v>45266</v>
      </c>
      <c r="X2190" t="s">
        <v>9468</v>
      </c>
      <c r="Y2190" t="s">
        <v>6</v>
      </c>
      <c r="Z2190" t="s">
        <v>17</v>
      </c>
      <c r="AA2190" t="s">
        <v>6637</v>
      </c>
      <c r="AB2190" t="s">
        <v>2509</v>
      </c>
      <c r="AC2190" t="s">
        <v>2571</v>
      </c>
      <c r="AD2190" t="s">
        <v>717</v>
      </c>
      <c r="AE2190" t="s">
        <v>9469</v>
      </c>
      <c r="AF2190" t="s">
        <v>9470</v>
      </c>
      <c r="AG2190" t="s">
        <v>9471</v>
      </c>
      <c r="AH2190" t="s">
        <v>2191</v>
      </c>
      <c r="AI2190" t="s">
        <v>2538</v>
      </c>
      <c r="AJ2190" t="s">
        <v>2514</v>
      </c>
      <c r="AK2190" t="s">
        <v>14</v>
      </c>
      <c r="AL2190" t="s">
        <v>16</v>
      </c>
      <c r="AM2190" t="s">
        <v>10</v>
      </c>
      <c r="AN2190" t="s">
        <v>717</v>
      </c>
    </row>
    <row r="2191" spans="1:40" hidden="1">
      <c r="A2191">
        <v>2190</v>
      </c>
      <c r="B2191">
        <v>12</v>
      </c>
      <c r="C2191" s="58">
        <v>45273</v>
      </c>
      <c r="D2191" t="s">
        <v>13</v>
      </c>
      <c r="E2191" t="s">
        <v>2515</v>
      </c>
      <c r="F2191">
        <v>6</v>
      </c>
      <c r="G2191">
        <v>15</v>
      </c>
      <c r="H2191">
        <v>103</v>
      </c>
      <c r="I2191">
        <v>2</v>
      </c>
      <c r="J2191">
        <v>58.16</v>
      </c>
      <c r="K2191" t="s">
        <v>25</v>
      </c>
      <c r="L2191">
        <v>6301334</v>
      </c>
      <c r="M2191">
        <v>0</v>
      </c>
      <c r="N2191">
        <v>6301334</v>
      </c>
      <c r="O2191">
        <v>108344.80742778545</v>
      </c>
      <c r="P2191">
        <v>1279520</v>
      </c>
      <c r="Q2191">
        <v>5021814</v>
      </c>
      <c r="R2191">
        <v>86344.807427785418</v>
      </c>
      <c r="S2191" t="s">
        <v>65</v>
      </c>
      <c r="T2191" t="s">
        <v>2664</v>
      </c>
      <c r="U2191">
        <v>102486</v>
      </c>
      <c r="V2191" t="s">
        <v>6312</v>
      </c>
      <c r="W2191">
        <v>45271</v>
      </c>
      <c r="X2191" t="s">
        <v>9472</v>
      </c>
      <c r="Y2191" t="s">
        <v>6</v>
      </c>
      <c r="Z2191" t="s">
        <v>17</v>
      </c>
      <c r="AA2191" t="s">
        <v>6637</v>
      </c>
      <c r="AB2191" t="s">
        <v>2509</v>
      </c>
      <c r="AC2191" t="s">
        <v>2571</v>
      </c>
      <c r="AD2191" t="s">
        <v>717</v>
      </c>
      <c r="AE2191" t="s">
        <v>9473</v>
      </c>
      <c r="AF2191" t="s">
        <v>9474</v>
      </c>
      <c r="AG2191" t="s">
        <v>9475</v>
      </c>
      <c r="AH2191" t="s">
        <v>2552</v>
      </c>
      <c r="AI2191" t="s">
        <v>2877</v>
      </c>
      <c r="AJ2191" t="s">
        <v>3098</v>
      </c>
      <c r="AK2191" t="s">
        <v>8</v>
      </c>
      <c r="AL2191" t="s">
        <v>16</v>
      </c>
      <c r="AM2191" t="s">
        <v>10</v>
      </c>
      <c r="AN2191" t="s">
        <v>717</v>
      </c>
    </row>
    <row r="2192" spans="1:40" hidden="1">
      <c r="A2192">
        <v>2191</v>
      </c>
      <c r="B2192">
        <v>13</v>
      </c>
      <c r="C2192" s="58">
        <v>45273</v>
      </c>
      <c r="D2192" t="s">
        <v>13</v>
      </c>
      <c r="E2192" t="s">
        <v>2515</v>
      </c>
      <c r="F2192">
        <v>4</v>
      </c>
      <c r="G2192">
        <v>9</v>
      </c>
      <c r="H2192">
        <v>59</v>
      </c>
      <c r="I2192">
        <v>2</v>
      </c>
      <c r="J2192">
        <v>59.09</v>
      </c>
      <c r="K2192" t="s">
        <v>9</v>
      </c>
      <c r="L2192">
        <v>5132200</v>
      </c>
      <c r="M2192">
        <v>0</v>
      </c>
      <c r="N2192">
        <v>5132200</v>
      </c>
      <c r="O2192">
        <v>86853.951599255364</v>
      </c>
      <c r="P2192">
        <v>0</v>
      </c>
      <c r="Q2192">
        <v>5132200</v>
      </c>
      <c r="R2192">
        <v>86853.951599255364</v>
      </c>
      <c r="S2192" t="s">
        <v>65</v>
      </c>
      <c r="T2192" t="s">
        <v>717</v>
      </c>
      <c r="U2192" t="s">
        <v>717</v>
      </c>
      <c r="V2192" t="s">
        <v>6312</v>
      </c>
      <c r="W2192">
        <v>45271</v>
      </c>
      <c r="X2192" t="s">
        <v>9476</v>
      </c>
      <c r="Y2192" t="s">
        <v>6</v>
      </c>
      <c r="Z2192" t="s">
        <v>17</v>
      </c>
      <c r="AA2192" t="s">
        <v>6637</v>
      </c>
      <c r="AB2192" t="s">
        <v>2509</v>
      </c>
      <c r="AC2192" t="s">
        <v>2571</v>
      </c>
      <c r="AD2192" t="s">
        <v>717</v>
      </c>
      <c r="AE2192" t="s">
        <v>9477</v>
      </c>
      <c r="AF2192" t="s">
        <v>9478</v>
      </c>
      <c r="AG2192" t="s">
        <v>11628</v>
      </c>
      <c r="AH2192" t="s">
        <v>2191</v>
      </c>
      <c r="AI2192" t="s">
        <v>6951</v>
      </c>
      <c r="AJ2192" t="s">
        <v>2514</v>
      </c>
      <c r="AK2192" t="s">
        <v>14</v>
      </c>
      <c r="AL2192" t="s">
        <v>22</v>
      </c>
      <c r="AM2192" t="s">
        <v>10</v>
      </c>
      <c r="AN2192" t="s">
        <v>717</v>
      </c>
    </row>
    <row r="2193" spans="1:40" hidden="1">
      <c r="A2193">
        <v>2192</v>
      </c>
      <c r="B2193">
        <v>14</v>
      </c>
      <c r="C2193" s="58">
        <v>45273</v>
      </c>
      <c r="D2193" t="s">
        <v>13</v>
      </c>
      <c r="E2193" t="s">
        <v>2581</v>
      </c>
      <c r="F2193">
        <v>6</v>
      </c>
      <c r="G2193">
        <v>10</v>
      </c>
      <c r="H2193">
        <v>290</v>
      </c>
      <c r="I2193">
        <v>3</v>
      </c>
      <c r="J2193">
        <v>80.97</v>
      </c>
      <c r="K2193" t="s">
        <v>15</v>
      </c>
      <c r="L2193">
        <v>7097975</v>
      </c>
      <c r="M2193">
        <v>0</v>
      </c>
      <c r="N2193">
        <v>7097975</v>
      </c>
      <c r="O2193">
        <v>87661.788316660473</v>
      </c>
      <c r="P2193">
        <v>607275</v>
      </c>
      <c r="Q2193">
        <v>6490700</v>
      </c>
      <c r="R2193">
        <v>80161.788316660473</v>
      </c>
      <c r="S2193" t="s">
        <v>65</v>
      </c>
      <c r="T2193" t="s">
        <v>9455</v>
      </c>
      <c r="U2193">
        <v>10000</v>
      </c>
      <c r="V2193" t="s">
        <v>4131</v>
      </c>
      <c r="W2193">
        <v>45272</v>
      </c>
      <c r="X2193" t="s">
        <v>9479</v>
      </c>
      <c r="Y2193" t="s">
        <v>6</v>
      </c>
      <c r="Z2193" t="s">
        <v>17</v>
      </c>
      <c r="AA2193" t="s">
        <v>6637</v>
      </c>
      <c r="AB2193" t="s">
        <v>2509</v>
      </c>
      <c r="AC2193" t="s">
        <v>2571</v>
      </c>
      <c r="AD2193" t="s">
        <v>717</v>
      </c>
      <c r="AE2193" t="s">
        <v>9480</v>
      </c>
      <c r="AF2193" t="s">
        <v>9481</v>
      </c>
      <c r="AG2193" t="s">
        <v>9482</v>
      </c>
      <c r="AH2193" t="s">
        <v>2615</v>
      </c>
      <c r="AI2193" t="s">
        <v>2538</v>
      </c>
      <c r="AJ2193" t="s">
        <v>2662</v>
      </c>
      <c r="AK2193" t="s">
        <v>20</v>
      </c>
      <c r="AL2193" t="s">
        <v>16</v>
      </c>
      <c r="AM2193" t="s">
        <v>10</v>
      </c>
      <c r="AN2193" t="s">
        <v>717</v>
      </c>
    </row>
    <row r="2194" spans="1:40" hidden="1">
      <c r="A2194">
        <v>2193</v>
      </c>
      <c r="B2194">
        <v>15</v>
      </c>
      <c r="C2194" s="58">
        <v>45274</v>
      </c>
      <c r="D2194" t="s">
        <v>13</v>
      </c>
      <c r="E2194" t="s">
        <v>2515</v>
      </c>
      <c r="F2194">
        <v>4</v>
      </c>
      <c r="G2194">
        <v>12</v>
      </c>
      <c r="H2194">
        <v>80</v>
      </c>
      <c r="I2194">
        <v>2</v>
      </c>
      <c r="J2194">
        <v>59.09</v>
      </c>
      <c r="K2194" t="s">
        <v>15</v>
      </c>
      <c r="L2194">
        <v>5475375</v>
      </c>
      <c r="M2194">
        <v>0</v>
      </c>
      <c r="N2194">
        <v>5475375</v>
      </c>
      <c r="O2194">
        <v>92661.61787104416</v>
      </c>
      <c r="P2194">
        <v>443175</v>
      </c>
      <c r="Q2194">
        <v>5032200</v>
      </c>
      <c r="R2194">
        <v>85161.61787104416</v>
      </c>
      <c r="S2194" t="s">
        <v>65</v>
      </c>
      <c r="T2194" t="s">
        <v>9455</v>
      </c>
      <c r="U2194">
        <v>100000</v>
      </c>
      <c r="V2194" t="s">
        <v>4131</v>
      </c>
      <c r="W2194">
        <v>45266</v>
      </c>
      <c r="X2194" t="s">
        <v>9483</v>
      </c>
      <c r="Y2194" t="s">
        <v>6</v>
      </c>
      <c r="Z2194" t="s">
        <v>17</v>
      </c>
      <c r="AA2194" t="s">
        <v>6637</v>
      </c>
      <c r="AB2194" t="s">
        <v>2509</v>
      </c>
      <c r="AC2194" t="s">
        <v>2571</v>
      </c>
      <c r="AD2194" t="s">
        <v>717</v>
      </c>
      <c r="AE2194" t="s">
        <v>9484</v>
      </c>
      <c r="AF2194" t="s">
        <v>9485</v>
      </c>
      <c r="AG2194" t="s">
        <v>9486</v>
      </c>
      <c r="AH2194" t="s">
        <v>2191</v>
      </c>
      <c r="AI2194" t="s">
        <v>2706</v>
      </c>
      <c r="AJ2194" t="s">
        <v>2514</v>
      </c>
      <c r="AK2194" t="s">
        <v>14</v>
      </c>
      <c r="AL2194" t="s">
        <v>22</v>
      </c>
      <c r="AM2194" t="s">
        <v>10</v>
      </c>
      <c r="AN2194" t="s">
        <v>717</v>
      </c>
    </row>
    <row r="2195" spans="1:40" hidden="1">
      <c r="A2195">
        <v>2194</v>
      </c>
      <c r="B2195">
        <v>16</v>
      </c>
      <c r="C2195" s="58">
        <v>45274</v>
      </c>
      <c r="D2195" t="s">
        <v>13</v>
      </c>
      <c r="E2195" t="s">
        <v>4409</v>
      </c>
      <c r="F2195">
        <v>6</v>
      </c>
      <c r="G2195">
        <v>17</v>
      </c>
      <c r="H2195">
        <v>522</v>
      </c>
      <c r="I2195">
        <v>1</v>
      </c>
      <c r="J2195">
        <v>38.299999999999997</v>
      </c>
      <c r="K2195" t="s">
        <v>15</v>
      </c>
      <c r="L2195">
        <v>4058486</v>
      </c>
      <c r="M2195">
        <v>0</v>
      </c>
      <c r="N2195">
        <v>4058486</v>
      </c>
      <c r="O2195">
        <v>105965.69190600525</v>
      </c>
      <c r="P2195">
        <v>287250</v>
      </c>
      <c r="Q2195">
        <v>3771236</v>
      </c>
      <c r="R2195">
        <v>98465.691906005231</v>
      </c>
      <c r="S2195" t="s">
        <v>65</v>
      </c>
      <c r="T2195" t="s">
        <v>8002</v>
      </c>
      <c r="U2195">
        <v>76964</v>
      </c>
      <c r="V2195" t="s">
        <v>6312</v>
      </c>
      <c r="W2195">
        <v>45268</v>
      </c>
      <c r="X2195" t="s">
        <v>9487</v>
      </c>
      <c r="Y2195" t="s">
        <v>6</v>
      </c>
      <c r="Z2195" t="s">
        <v>17</v>
      </c>
      <c r="AA2195" t="s">
        <v>6637</v>
      </c>
      <c r="AB2195" t="s">
        <v>2509</v>
      </c>
      <c r="AC2195" t="s">
        <v>2571</v>
      </c>
      <c r="AD2195" t="s">
        <v>717</v>
      </c>
      <c r="AE2195" t="s">
        <v>9488</v>
      </c>
      <c r="AF2195" t="s">
        <v>9489</v>
      </c>
      <c r="AG2195" t="s">
        <v>9490</v>
      </c>
      <c r="AH2195" t="s">
        <v>2552</v>
      </c>
      <c r="AI2195" t="s">
        <v>2552</v>
      </c>
      <c r="AJ2195" t="s">
        <v>2522</v>
      </c>
      <c r="AK2195" t="s">
        <v>8</v>
      </c>
      <c r="AL2195" t="s">
        <v>16</v>
      </c>
      <c r="AM2195" t="s">
        <v>10</v>
      </c>
      <c r="AN2195" t="s">
        <v>717</v>
      </c>
    </row>
    <row r="2196" spans="1:40" hidden="1">
      <c r="A2196">
        <v>2195</v>
      </c>
      <c r="B2196">
        <v>17</v>
      </c>
      <c r="C2196" s="58">
        <v>45275</v>
      </c>
      <c r="D2196" t="s">
        <v>13</v>
      </c>
      <c r="E2196" t="s">
        <v>2515</v>
      </c>
      <c r="F2196">
        <v>7</v>
      </c>
      <c r="G2196">
        <v>2</v>
      </c>
      <c r="H2196">
        <v>13</v>
      </c>
      <c r="I2196">
        <v>1</v>
      </c>
      <c r="J2196">
        <v>42.75</v>
      </c>
      <c r="K2196" t="s">
        <v>15</v>
      </c>
      <c r="L2196">
        <v>4381304.84</v>
      </c>
      <c r="M2196">
        <v>15000</v>
      </c>
      <c r="N2196">
        <v>4396304.84</v>
      </c>
      <c r="O2196">
        <v>102837.54011695906</v>
      </c>
      <c r="P2196">
        <v>320625</v>
      </c>
      <c r="Q2196">
        <v>4075679.84</v>
      </c>
      <c r="R2196">
        <v>95337.540116959062</v>
      </c>
      <c r="S2196" t="s">
        <v>65</v>
      </c>
      <c r="T2196" t="s">
        <v>717</v>
      </c>
      <c r="U2196" t="s">
        <v>717</v>
      </c>
      <c r="V2196" t="s">
        <v>4131</v>
      </c>
      <c r="W2196">
        <v>45240</v>
      </c>
      <c r="X2196" t="s">
        <v>9491</v>
      </c>
      <c r="Y2196" t="s">
        <v>6</v>
      </c>
      <c r="Z2196" t="s">
        <v>17</v>
      </c>
      <c r="AA2196" t="s">
        <v>6637</v>
      </c>
      <c r="AB2196" t="s">
        <v>2509</v>
      </c>
      <c r="AC2196" t="s">
        <v>2571</v>
      </c>
      <c r="AD2196" t="s">
        <v>717</v>
      </c>
      <c r="AE2196" t="s">
        <v>9492</v>
      </c>
      <c r="AF2196" t="s">
        <v>9493</v>
      </c>
      <c r="AG2196" t="s">
        <v>9494</v>
      </c>
      <c r="AH2196" t="s">
        <v>2616</v>
      </c>
      <c r="AI2196" t="s">
        <v>2552</v>
      </c>
      <c r="AJ2196" t="s">
        <v>2662</v>
      </c>
      <c r="AK2196" t="s">
        <v>8</v>
      </c>
      <c r="AL2196" t="s">
        <v>22</v>
      </c>
      <c r="AM2196" t="s">
        <v>10</v>
      </c>
      <c r="AN2196" t="s">
        <v>717</v>
      </c>
    </row>
    <row r="2197" spans="1:40" hidden="1">
      <c r="A2197">
        <v>2196</v>
      </c>
      <c r="B2197">
        <v>18</v>
      </c>
      <c r="C2197" s="58">
        <v>45275</v>
      </c>
      <c r="D2197" t="s">
        <v>13</v>
      </c>
      <c r="E2197" t="s">
        <v>2581</v>
      </c>
      <c r="F2197">
        <v>1</v>
      </c>
      <c r="G2197">
        <v>16</v>
      </c>
      <c r="H2197">
        <v>327</v>
      </c>
      <c r="I2197">
        <v>2</v>
      </c>
      <c r="J2197">
        <v>73.7</v>
      </c>
      <c r="K2197" t="s">
        <v>9</v>
      </c>
      <c r="L2197">
        <v>6273078</v>
      </c>
      <c r="M2197">
        <v>0</v>
      </c>
      <c r="N2197">
        <v>6273078</v>
      </c>
      <c r="O2197">
        <v>85116.390773405699</v>
      </c>
      <c r="P2197">
        <v>0</v>
      </c>
      <c r="Q2197">
        <v>6273078</v>
      </c>
      <c r="R2197">
        <v>85116.390773405699</v>
      </c>
      <c r="S2197" t="s">
        <v>65</v>
      </c>
      <c r="T2197" t="s">
        <v>2664</v>
      </c>
      <c r="U2197">
        <v>128022</v>
      </c>
      <c r="V2197" t="s">
        <v>4131</v>
      </c>
      <c r="W2197">
        <v>45271</v>
      </c>
      <c r="X2197" t="s">
        <v>9495</v>
      </c>
      <c r="Y2197" t="s">
        <v>6</v>
      </c>
      <c r="Z2197" t="s">
        <v>17</v>
      </c>
      <c r="AA2197" t="s">
        <v>6637</v>
      </c>
      <c r="AB2197" t="s">
        <v>2509</v>
      </c>
      <c r="AC2197" t="s">
        <v>2571</v>
      </c>
      <c r="AD2197" t="s">
        <v>717</v>
      </c>
      <c r="AE2197" t="s">
        <v>9496</v>
      </c>
      <c r="AF2197" t="s">
        <v>9497</v>
      </c>
      <c r="AG2197" t="s">
        <v>9498</v>
      </c>
      <c r="AH2197" t="s">
        <v>2615</v>
      </c>
      <c r="AI2197" t="s">
        <v>2552</v>
      </c>
      <c r="AJ2197" t="s">
        <v>2662</v>
      </c>
      <c r="AK2197" t="s">
        <v>14</v>
      </c>
      <c r="AL2197" t="s">
        <v>22</v>
      </c>
      <c r="AM2197" t="s">
        <v>10</v>
      </c>
      <c r="AN2197" t="s">
        <v>717</v>
      </c>
    </row>
    <row r="2198" spans="1:40" hidden="1">
      <c r="A2198">
        <v>2197</v>
      </c>
      <c r="B2198">
        <v>19</v>
      </c>
      <c r="C2198" s="58">
        <v>45275</v>
      </c>
      <c r="D2198" t="s">
        <v>13</v>
      </c>
      <c r="E2198" t="s">
        <v>2506</v>
      </c>
      <c r="F2198">
        <v>4</v>
      </c>
      <c r="G2198">
        <v>14</v>
      </c>
      <c r="H2198">
        <v>205</v>
      </c>
      <c r="I2198">
        <v>2</v>
      </c>
      <c r="J2198">
        <v>58.31</v>
      </c>
      <c r="K2198" t="s">
        <v>25</v>
      </c>
      <c r="L2198">
        <v>5317950</v>
      </c>
      <c r="M2198">
        <v>0</v>
      </c>
      <c r="N2198">
        <v>5317950</v>
      </c>
      <c r="O2198">
        <v>91201.337677928313</v>
      </c>
      <c r="P2198">
        <v>437325</v>
      </c>
      <c r="Q2198">
        <v>4880625</v>
      </c>
      <c r="R2198">
        <v>83701.337677928313</v>
      </c>
      <c r="S2198" t="s">
        <v>65</v>
      </c>
      <c r="T2198" t="s">
        <v>5768</v>
      </c>
      <c r="U2198">
        <v>256875</v>
      </c>
      <c r="V2198" t="s">
        <v>4131</v>
      </c>
      <c r="W2198">
        <v>45273</v>
      </c>
      <c r="X2198" t="s">
        <v>9499</v>
      </c>
      <c r="Y2198" t="s">
        <v>6</v>
      </c>
      <c r="Z2198" t="s">
        <v>17</v>
      </c>
      <c r="AA2198" t="s">
        <v>6637</v>
      </c>
      <c r="AB2198" t="s">
        <v>2509</v>
      </c>
      <c r="AC2198" t="s">
        <v>2571</v>
      </c>
      <c r="AD2198" t="s">
        <v>717</v>
      </c>
      <c r="AE2198" t="s">
        <v>9500</v>
      </c>
      <c r="AF2198" t="s">
        <v>9501</v>
      </c>
      <c r="AG2198" t="s">
        <v>9502</v>
      </c>
      <c r="AH2198" t="s">
        <v>2191</v>
      </c>
      <c r="AI2198" t="s">
        <v>6951</v>
      </c>
      <c r="AJ2198" t="s">
        <v>2514</v>
      </c>
      <c r="AK2198" t="s">
        <v>8</v>
      </c>
      <c r="AL2198" t="s">
        <v>16</v>
      </c>
      <c r="AM2198" t="s">
        <v>10</v>
      </c>
      <c r="AN2198" t="s">
        <v>7539</v>
      </c>
    </row>
    <row r="2199" spans="1:40" hidden="1">
      <c r="A2199">
        <v>2198</v>
      </c>
      <c r="B2199">
        <v>20</v>
      </c>
      <c r="C2199" s="58">
        <v>45275</v>
      </c>
      <c r="D2199" t="s">
        <v>7</v>
      </c>
      <c r="E2199" t="s">
        <v>4409</v>
      </c>
      <c r="F2199">
        <v>9</v>
      </c>
      <c r="G2199">
        <v>10</v>
      </c>
      <c r="H2199">
        <v>482</v>
      </c>
      <c r="I2199">
        <v>1</v>
      </c>
      <c r="J2199">
        <v>44.37</v>
      </c>
      <c r="K2199" t="s">
        <v>25</v>
      </c>
      <c r="L2199">
        <v>5246140</v>
      </c>
      <c r="M2199">
        <v>0</v>
      </c>
      <c r="N2199">
        <v>5246140</v>
      </c>
      <c r="O2199">
        <v>118236.19562767637</v>
      </c>
      <c r="P2199">
        <v>976140</v>
      </c>
      <c r="Q2199">
        <v>4270000</v>
      </c>
      <c r="R2199">
        <v>96236.195627676367</v>
      </c>
      <c r="S2199" t="s">
        <v>65</v>
      </c>
      <c r="T2199" t="s">
        <v>9455</v>
      </c>
      <c r="U2199">
        <v>20000</v>
      </c>
      <c r="V2199" t="s">
        <v>6312</v>
      </c>
      <c r="W2199">
        <v>45274</v>
      </c>
      <c r="X2199" t="s">
        <v>9503</v>
      </c>
      <c r="Y2199" t="s">
        <v>6</v>
      </c>
      <c r="Z2199" t="s">
        <v>17</v>
      </c>
      <c r="AA2199" t="s">
        <v>6637</v>
      </c>
      <c r="AB2199" t="s">
        <v>2509</v>
      </c>
      <c r="AC2199" t="s">
        <v>2571</v>
      </c>
      <c r="AD2199" t="s">
        <v>717</v>
      </c>
      <c r="AE2199" t="s">
        <v>9504</v>
      </c>
      <c r="AF2199" t="s">
        <v>9505</v>
      </c>
      <c r="AG2199" t="s">
        <v>9506</v>
      </c>
      <c r="AH2199" t="s">
        <v>2580</v>
      </c>
      <c r="AI2199" t="s">
        <v>5653</v>
      </c>
      <c r="AJ2199" t="s">
        <v>31</v>
      </c>
      <c r="AK2199" t="s">
        <v>20</v>
      </c>
      <c r="AL2199" t="s">
        <v>16</v>
      </c>
      <c r="AM2199" t="s">
        <v>5654</v>
      </c>
      <c r="AN2199" t="s">
        <v>717</v>
      </c>
    </row>
    <row r="2200" spans="1:40" hidden="1">
      <c r="A2200">
        <v>2199</v>
      </c>
      <c r="B2200">
        <v>21</v>
      </c>
      <c r="C2200" s="58">
        <v>45278</v>
      </c>
      <c r="D2200" t="s">
        <v>7</v>
      </c>
      <c r="E2200" t="s">
        <v>4409</v>
      </c>
      <c r="F2200">
        <v>7</v>
      </c>
      <c r="G2200">
        <v>14</v>
      </c>
      <c r="H2200">
        <v>516</v>
      </c>
      <c r="I2200">
        <v>2</v>
      </c>
      <c r="J2200">
        <v>67.489999999999995</v>
      </c>
      <c r="K2200" t="s">
        <v>9</v>
      </c>
      <c r="L2200">
        <v>6000900</v>
      </c>
      <c r="M2200">
        <v>0</v>
      </c>
      <c r="N2200">
        <v>6000900</v>
      </c>
      <c r="O2200">
        <v>88915.394873314566</v>
      </c>
      <c r="P2200">
        <v>0</v>
      </c>
      <c r="Q2200">
        <v>6000900</v>
      </c>
      <c r="R2200">
        <v>88915.394873314566</v>
      </c>
      <c r="S2200" t="s">
        <v>65</v>
      </c>
      <c r="T2200" t="s">
        <v>5386</v>
      </c>
      <c r="U2200">
        <v>150000</v>
      </c>
      <c r="V2200" t="s">
        <v>6312</v>
      </c>
      <c r="W2200">
        <v>45271</v>
      </c>
      <c r="X2200" t="s">
        <v>9507</v>
      </c>
      <c r="Y2200" t="s">
        <v>6</v>
      </c>
      <c r="Z2200" t="s">
        <v>17</v>
      </c>
      <c r="AA2200" t="s">
        <v>6637</v>
      </c>
      <c r="AB2200" t="s">
        <v>2509</v>
      </c>
      <c r="AC2200" t="s">
        <v>2571</v>
      </c>
      <c r="AD2200" t="s">
        <v>717</v>
      </c>
      <c r="AE2200" t="s">
        <v>9508</v>
      </c>
      <c r="AF2200" t="s">
        <v>9509</v>
      </c>
      <c r="AG2200" t="s">
        <v>9510</v>
      </c>
      <c r="AH2200" t="s">
        <v>2616</v>
      </c>
      <c r="AI2200" t="s">
        <v>2552</v>
      </c>
      <c r="AJ2200" t="s">
        <v>2895</v>
      </c>
      <c r="AK2200" t="s">
        <v>20</v>
      </c>
      <c r="AL2200" t="s">
        <v>22</v>
      </c>
      <c r="AM2200" t="s">
        <v>10</v>
      </c>
      <c r="AN2200" t="s">
        <v>717</v>
      </c>
    </row>
    <row r="2201" spans="1:40" hidden="1">
      <c r="A2201">
        <v>2200</v>
      </c>
      <c r="B2201">
        <v>22</v>
      </c>
      <c r="C2201" s="58">
        <v>45278</v>
      </c>
      <c r="D2201" t="s">
        <v>7</v>
      </c>
      <c r="E2201" t="s">
        <v>2581</v>
      </c>
      <c r="F2201">
        <v>6</v>
      </c>
      <c r="G2201">
        <v>15</v>
      </c>
      <c r="H2201">
        <v>337</v>
      </c>
      <c r="I2201">
        <v>3</v>
      </c>
      <c r="J2201">
        <v>72.510000000000005</v>
      </c>
      <c r="K2201" t="s">
        <v>9</v>
      </c>
      <c r="L2201">
        <v>6480500</v>
      </c>
      <c r="M2201">
        <v>0</v>
      </c>
      <c r="N2201">
        <v>6480500</v>
      </c>
      <c r="O2201">
        <v>89373.879464901387</v>
      </c>
      <c r="P2201">
        <v>0</v>
      </c>
      <c r="Q2201">
        <v>6480500</v>
      </c>
      <c r="R2201">
        <v>89373.879464901387</v>
      </c>
      <c r="S2201" t="s">
        <v>65</v>
      </c>
      <c r="T2201" t="s">
        <v>5386</v>
      </c>
      <c r="U2201">
        <v>170000</v>
      </c>
      <c r="V2201" t="s">
        <v>6488</v>
      </c>
      <c r="W2201">
        <v>45273</v>
      </c>
      <c r="X2201" t="s">
        <v>9511</v>
      </c>
      <c r="Y2201" t="s">
        <v>6</v>
      </c>
      <c r="Z2201" t="s">
        <v>17</v>
      </c>
      <c r="AA2201" t="s">
        <v>6637</v>
      </c>
      <c r="AB2201" t="s">
        <v>2509</v>
      </c>
      <c r="AC2201" t="s">
        <v>2571</v>
      </c>
      <c r="AD2201" t="s">
        <v>717</v>
      </c>
      <c r="AE2201" t="s">
        <v>9512</v>
      </c>
      <c r="AF2201" t="s">
        <v>9513</v>
      </c>
      <c r="AG2201" t="s">
        <v>9514</v>
      </c>
      <c r="AH2201" t="s">
        <v>2191</v>
      </c>
      <c r="AI2201" t="s">
        <v>2552</v>
      </c>
      <c r="AJ2201" t="s">
        <v>2514</v>
      </c>
      <c r="AK2201" t="s">
        <v>14</v>
      </c>
      <c r="AL2201" t="s">
        <v>16</v>
      </c>
      <c r="AM2201" t="s">
        <v>10</v>
      </c>
      <c r="AN2201" t="s">
        <v>717</v>
      </c>
    </row>
    <row r="2202" spans="1:40" hidden="1">
      <c r="A2202">
        <v>2201</v>
      </c>
      <c r="B2202">
        <v>23</v>
      </c>
      <c r="C2202" s="58">
        <v>45278</v>
      </c>
      <c r="D2202" t="s">
        <v>7</v>
      </c>
      <c r="E2202" t="s">
        <v>2581</v>
      </c>
      <c r="F2202">
        <v>2</v>
      </c>
      <c r="G2202">
        <v>19</v>
      </c>
      <c r="H2202">
        <v>361</v>
      </c>
      <c r="I2202">
        <v>2</v>
      </c>
      <c r="J2202">
        <v>67.95</v>
      </c>
      <c r="K2202" t="s">
        <v>15</v>
      </c>
      <c r="L2202">
        <v>6604950</v>
      </c>
      <c r="M2202">
        <v>0</v>
      </c>
      <c r="N2202">
        <v>6604950</v>
      </c>
      <c r="O2202">
        <v>97203.090507726272</v>
      </c>
      <c r="P2202">
        <v>509625</v>
      </c>
      <c r="Q2202">
        <v>6095325</v>
      </c>
      <c r="R2202">
        <v>89703.090507726272</v>
      </c>
      <c r="S2202" t="s">
        <v>65</v>
      </c>
      <c r="T2202" t="s">
        <v>5443</v>
      </c>
      <c r="U2202">
        <v>305775</v>
      </c>
      <c r="V2202" t="s">
        <v>6312</v>
      </c>
      <c r="W2202">
        <v>45274</v>
      </c>
      <c r="X2202" t="s">
        <v>9515</v>
      </c>
      <c r="Y2202" t="s">
        <v>6</v>
      </c>
      <c r="Z2202" t="s">
        <v>17</v>
      </c>
      <c r="AA2202" t="s">
        <v>6637</v>
      </c>
      <c r="AB2202" t="s">
        <v>2509</v>
      </c>
      <c r="AC2202" t="s">
        <v>2571</v>
      </c>
      <c r="AD2202" t="s">
        <v>717</v>
      </c>
      <c r="AE2202" t="s">
        <v>9516</v>
      </c>
      <c r="AF2202" t="s">
        <v>9517</v>
      </c>
      <c r="AG2202" t="s">
        <v>9518</v>
      </c>
      <c r="AH2202" t="s">
        <v>2191</v>
      </c>
      <c r="AI2202" t="s">
        <v>2538</v>
      </c>
      <c r="AJ2202" t="s">
        <v>2514</v>
      </c>
      <c r="AK2202" t="s">
        <v>14</v>
      </c>
      <c r="AL2202" t="s">
        <v>22</v>
      </c>
      <c r="AM2202" t="s">
        <v>10</v>
      </c>
      <c r="AN2202" t="s">
        <v>717</v>
      </c>
    </row>
    <row r="2203" spans="1:40" hidden="1">
      <c r="A2203">
        <v>2202</v>
      </c>
      <c r="B2203">
        <v>24</v>
      </c>
      <c r="C2203" s="58">
        <v>45279</v>
      </c>
      <c r="D2203" t="s">
        <v>13</v>
      </c>
      <c r="E2203" t="s">
        <v>2506</v>
      </c>
      <c r="F2203">
        <v>7</v>
      </c>
      <c r="G2203">
        <v>7</v>
      </c>
      <c r="H2203">
        <v>159</v>
      </c>
      <c r="I2203">
        <v>1</v>
      </c>
      <c r="J2203">
        <v>42.28</v>
      </c>
      <c r="K2203" t="s">
        <v>15</v>
      </c>
      <c r="L2203">
        <v>4468800</v>
      </c>
      <c r="M2203">
        <v>0</v>
      </c>
      <c r="N2203">
        <v>4468800</v>
      </c>
      <c r="O2203">
        <v>105695.36423841061</v>
      </c>
      <c r="P2203">
        <v>317100</v>
      </c>
      <c r="Q2203">
        <v>4151700</v>
      </c>
      <c r="R2203">
        <v>98195.364238410591</v>
      </c>
      <c r="S2203" t="s">
        <v>65</v>
      </c>
      <c r="T2203" t="s">
        <v>717</v>
      </c>
      <c r="U2203" t="s">
        <v>717</v>
      </c>
      <c r="V2203" t="s">
        <v>4131</v>
      </c>
      <c r="W2203">
        <v>45278</v>
      </c>
      <c r="X2203" t="s">
        <v>9519</v>
      </c>
      <c r="Y2203" t="s">
        <v>6</v>
      </c>
      <c r="Z2203" t="s">
        <v>17</v>
      </c>
      <c r="AA2203" t="s">
        <v>6637</v>
      </c>
      <c r="AB2203" t="s">
        <v>2509</v>
      </c>
      <c r="AC2203" t="s">
        <v>2571</v>
      </c>
      <c r="AD2203" t="s">
        <v>717</v>
      </c>
      <c r="AE2203" t="s">
        <v>9520</v>
      </c>
      <c r="AF2203" t="s">
        <v>9521</v>
      </c>
      <c r="AG2203" t="s">
        <v>9522</v>
      </c>
      <c r="AH2203" t="s">
        <v>2552</v>
      </c>
      <c r="AI2203" t="s">
        <v>2547</v>
      </c>
      <c r="AJ2203" t="s">
        <v>2855</v>
      </c>
      <c r="AK2203" t="s">
        <v>20</v>
      </c>
      <c r="AL2203" t="s">
        <v>22</v>
      </c>
      <c r="AM2203" t="s">
        <v>10</v>
      </c>
      <c r="AN2203" t="s">
        <v>717</v>
      </c>
    </row>
    <row r="2204" spans="1:40" hidden="1">
      <c r="A2204">
        <v>2203</v>
      </c>
      <c r="B2204">
        <v>25</v>
      </c>
      <c r="C2204" s="58">
        <v>45280</v>
      </c>
      <c r="D2204" t="s">
        <v>7</v>
      </c>
      <c r="E2204" t="s">
        <v>4409</v>
      </c>
      <c r="F2204">
        <v>7</v>
      </c>
      <c r="G2204">
        <v>9</v>
      </c>
      <c r="H2204">
        <v>471</v>
      </c>
      <c r="I2204">
        <v>2</v>
      </c>
      <c r="J2204">
        <v>67.489999999999995</v>
      </c>
      <c r="K2204" t="s">
        <v>15</v>
      </c>
      <c r="L2204">
        <v>6410870</v>
      </c>
      <c r="M2204">
        <v>0</v>
      </c>
      <c r="N2204">
        <v>6410870</v>
      </c>
      <c r="O2204">
        <v>94989.924433249369</v>
      </c>
      <c r="P2204">
        <v>506174.99999999994</v>
      </c>
      <c r="Q2204">
        <v>5904695</v>
      </c>
      <c r="R2204">
        <v>87489.924433249369</v>
      </c>
      <c r="S2204" t="s">
        <v>65</v>
      </c>
      <c r="T2204" t="s">
        <v>5443</v>
      </c>
      <c r="U2204">
        <v>303705</v>
      </c>
      <c r="V2204" t="s">
        <v>4131</v>
      </c>
      <c r="W2204">
        <v>45274</v>
      </c>
      <c r="X2204" t="s">
        <v>9523</v>
      </c>
      <c r="Y2204" t="s">
        <v>6</v>
      </c>
      <c r="Z2204" t="s">
        <v>17</v>
      </c>
      <c r="AA2204" t="s">
        <v>6637</v>
      </c>
      <c r="AB2204" t="s">
        <v>2509</v>
      </c>
      <c r="AC2204" t="s">
        <v>2571</v>
      </c>
      <c r="AD2204" t="s">
        <v>717</v>
      </c>
      <c r="AE2204" t="s">
        <v>9524</v>
      </c>
      <c r="AF2204" t="s">
        <v>9525</v>
      </c>
      <c r="AG2204" t="s">
        <v>9526</v>
      </c>
      <c r="AH2204" t="s">
        <v>2615</v>
      </c>
      <c r="AI2204" t="s">
        <v>2552</v>
      </c>
      <c r="AJ2204" t="s">
        <v>2662</v>
      </c>
      <c r="AK2204" t="s">
        <v>20</v>
      </c>
      <c r="AL2204" t="s">
        <v>22</v>
      </c>
      <c r="AM2204" t="s">
        <v>10</v>
      </c>
      <c r="AN2204" t="s">
        <v>717</v>
      </c>
    </row>
    <row r="2205" spans="1:40" hidden="1">
      <c r="A2205">
        <v>2204</v>
      </c>
      <c r="B2205">
        <v>26</v>
      </c>
      <c r="C2205" s="58">
        <v>45281</v>
      </c>
      <c r="D2205" t="s">
        <v>13</v>
      </c>
      <c r="E2205" t="s">
        <v>2506</v>
      </c>
      <c r="F2205">
        <v>3</v>
      </c>
      <c r="G2205">
        <v>5</v>
      </c>
      <c r="H2205">
        <v>141</v>
      </c>
      <c r="I2205">
        <v>2</v>
      </c>
      <c r="J2205">
        <v>57.6</v>
      </c>
      <c r="K2205" t="s">
        <v>9</v>
      </c>
      <c r="L2205">
        <v>4876600</v>
      </c>
      <c r="M2205">
        <v>0</v>
      </c>
      <c r="N2205">
        <v>4876600</v>
      </c>
      <c r="O2205">
        <v>84663.194444444438</v>
      </c>
      <c r="P2205">
        <v>0</v>
      </c>
      <c r="Q2205">
        <v>4876600</v>
      </c>
      <c r="R2205">
        <v>84663.194444444438</v>
      </c>
      <c r="S2205" t="s">
        <v>65</v>
      </c>
      <c r="T2205" t="s">
        <v>9455</v>
      </c>
      <c r="U2205">
        <v>30000</v>
      </c>
      <c r="V2205" t="s">
        <v>4131</v>
      </c>
      <c r="W2205">
        <v>45278</v>
      </c>
      <c r="X2205" t="s">
        <v>9527</v>
      </c>
      <c r="Y2205" t="s">
        <v>6</v>
      </c>
      <c r="Z2205" t="s">
        <v>17</v>
      </c>
      <c r="AA2205" t="s">
        <v>6637</v>
      </c>
      <c r="AB2205" t="s">
        <v>2509</v>
      </c>
      <c r="AC2205" t="s">
        <v>2571</v>
      </c>
      <c r="AD2205" t="s">
        <v>717</v>
      </c>
      <c r="AE2205" t="s">
        <v>9528</v>
      </c>
      <c r="AF2205" t="s">
        <v>9529</v>
      </c>
      <c r="AG2205" t="s">
        <v>9530</v>
      </c>
      <c r="AH2205" t="s">
        <v>2615</v>
      </c>
      <c r="AI2205" t="s">
        <v>6951</v>
      </c>
      <c r="AJ2205" t="s">
        <v>3202</v>
      </c>
      <c r="AK2205" t="s">
        <v>14</v>
      </c>
      <c r="AL2205" t="s">
        <v>16</v>
      </c>
      <c r="AM2205" t="s">
        <v>10</v>
      </c>
      <c r="AN2205" t="s">
        <v>717</v>
      </c>
    </row>
    <row r="2206" spans="1:40" hidden="1">
      <c r="A2206">
        <v>2205</v>
      </c>
      <c r="B2206">
        <v>27</v>
      </c>
      <c r="C2206" s="58">
        <v>45281</v>
      </c>
      <c r="D2206" t="s">
        <v>13</v>
      </c>
      <c r="E2206" t="s">
        <v>4409</v>
      </c>
      <c r="F2206">
        <v>2</v>
      </c>
      <c r="G2206">
        <v>14</v>
      </c>
      <c r="H2206">
        <v>494</v>
      </c>
      <c r="I2206">
        <v>1</v>
      </c>
      <c r="J2206">
        <v>43.21</v>
      </c>
      <c r="K2206" t="s">
        <v>9</v>
      </c>
      <c r="L2206">
        <v>4136482</v>
      </c>
      <c r="M2206">
        <v>0</v>
      </c>
      <c r="N2206">
        <v>4136482</v>
      </c>
      <c r="O2206">
        <v>95729.738486461472</v>
      </c>
      <c r="P2206">
        <v>0</v>
      </c>
      <c r="Q2206">
        <v>4136482</v>
      </c>
      <c r="R2206">
        <v>95729.738486461472</v>
      </c>
      <c r="S2206" t="s">
        <v>2507</v>
      </c>
      <c r="T2206" t="s">
        <v>9531</v>
      </c>
      <c r="U2206">
        <v>84418</v>
      </c>
      <c r="V2206" t="s">
        <v>717</v>
      </c>
      <c r="W2206">
        <v>45278</v>
      </c>
      <c r="X2206" t="s">
        <v>9532</v>
      </c>
      <c r="Y2206" t="s">
        <v>6</v>
      </c>
      <c r="Z2206" t="s">
        <v>17</v>
      </c>
      <c r="AA2206" t="s">
        <v>6637</v>
      </c>
      <c r="AB2206" t="s">
        <v>2509</v>
      </c>
      <c r="AC2206" t="s">
        <v>717</v>
      </c>
      <c r="AD2206" t="s">
        <v>717</v>
      </c>
      <c r="AE2206" t="s">
        <v>9533</v>
      </c>
      <c r="AF2206" t="s">
        <v>9534</v>
      </c>
      <c r="AG2206" t="s">
        <v>9535</v>
      </c>
      <c r="AH2206" t="s">
        <v>2191</v>
      </c>
      <c r="AI2206" t="s">
        <v>2538</v>
      </c>
      <c r="AJ2206" t="s">
        <v>2514</v>
      </c>
      <c r="AK2206" t="s">
        <v>8</v>
      </c>
      <c r="AL2206" t="s">
        <v>717</v>
      </c>
      <c r="AM2206" t="s">
        <v>10</v>
      </c>
      <c r="AN2206" t="s">
        <v>717</v>
      </c>
    </row>
    <row r="2207" spans="1:40" hidden="1">
      <c r="A2207">
        <v>2206</v>
      </c>
      <c r="B2207">
        <v>28</v>
      </c>
      <c r="C2207" s="58">
        <v>45281</v>
      </c>
      <c r="D2207" t="s">
        <v>13</v>
      </c>
      <c r="E2207" t="s">
        <v>4409</v>
      </c>
      <c r="F2207">
        <v>6</v>
      </c>
      <c r="G2207">
        <v>3</v>
      </c>
      <c r="H2207">
        <v>410</v>
      </c>
      <c r="I2207">
        <v>1</v>
      </c>
      <c r="J2207">
        <v>38.299999999999997</v>
      </c>
      <c r="K2207" t="s">
        <v>15</v>
      </c>
      <c r="L2207">
        <v>4121050</v>
      </c>
      <c r="M2207">
        <v>0</v>
      </c>
      <c r="N2207">
        <v>4121050</v>
      </c>
      <c r="O2207">
        <v>107599.21671018278</v>
      </c>
      <c r="P2207">
        <v>287250</v>
      </c>
      <c r="Q2207">
        <v>3833800</v>
      </c>
      <c r="R2207">
        <v>100099.21671018278</v>
      </c>
      <c r="S2207" t="s">
        <v>65</v>
      </c>
      <c r="T2207" t="s">
        <v>9455</v>
      </c>
      <c r="U2207">
        <v>50000</v>
      </c>
      <c r="V2207" t="s">
        <v>6312</v>
      </c>
      <c r="W2207">
        <v>45279</v>
      </c>
      <c r="X2207" t="s">
        <v>9536</v>
      </c>
      <c r="Y2207" t="s">
        <v>6</v>
      </c>
      <c r="Z2207" t="s">
        <v>17</v>
      </c>
      <c r="AA2207" t="s">
        <v>6637</v>
      </c>
      <c r="AB2207" t="s">
        <v>2509</v>
      </c>
      <c r="AC2207" t="s">
        <v>2571</v>
      </c>
      <c r="AD2207" t="s">
        <v>717</v>
      </c>
      <c r="AE2207" t="s">
        <v>9537</v>
      </c>
      <c r="AF2207" t="s">
        <v>9538</v>
      </c>
      <c r="AG2207" t="s">
        <v>9539</v>
      </c>
      <c r="AH2207" t="s">
        <v>2191</v>
      </c>
      <c r="AI2207" t="s">
        <v>2552</v>
      </c>
      <c r="AJ2207" t="s">
        <v>2514</v>
      </c>
      <c r="AK2207" t="s">
        <v>20</v>
      </c>
      <c r="AL2207" t="s">
        <v>16</v>
      </c>
      <c r="AM2207" t="s">
        <v>10</v>
      </c>
      <c r="AN2207" t="s">
        <v>717</v>
      </c>
    </row>
    <row r="2208" spans="1:40" hidden="1">
      <c r="A2208">
        <v>2207</v>
      </c>
      <c r="B2208">
        <v>29</v>
      </c>
      <c r="C2208" s="58">
        <v>45282</v>
      </c>
      <c r="D2208" t="s">
        <v>13</v>
      </c>
      <c r="E2208" t="s">
        <v>2506</v>
      </c>
      <c r="F2208">
        <v>6</v>
      </c>
      <c r="G2208">
        <v>8</v>
      </c>
      <c r="H2208">
        <v>165</v>
      </c>
      <c r="I2208">
        <v>3</v>
      </c>
      <c r="J2208">
        <v>84.99</v>
      </c>
      <c r="K2208" t="s">
        <v>15</v>
      </c>
      <c r="L2208">
        <v>7365173.6799999997</v>
      </c>
      <c r="M2208">
        <v>30000</v>
      </c>
      <c r="N2208">
        <v>7395173.6799999997</v>
      </c>
      <c r="O2208">
        <v>87012.280032945055</v>
      </c>
      <c r="P2208">
        <v>637425</v>
      </c>
      <c r="Q2208">
        <v>6757748.6799999997</v>
      </c>
      <c r="R2208">
        <v>79512.280032945055</v>
      </c>
      <c r="S2208" t="s">
        <v>65</v>
      </c>
      <c r="T2208" t="s">
        <v>717</v>
      </c>
      <c r="U2208" t="s">
        <v>717</v>
      </c>
      <c r="V2208" t="s">
        <v>6312</v>
      </c>
      <c r="W2208">
        <v>45238</v>
      </c>
      <c r="X2208" t="s">
        <v>9540</v>
      </c>
      <c r="Y2208" t="s">
        <v>6</v>
      </c>
      <c r="Z2208" t="s">
        <v>17</v>
      </c>
      <c r="AA2208" t="s">
        <v>6637</v>
      </c>
      <c r="AB2208" t="s">
        <v>2509</v>
      </c>
      <c r="AC2208" t="s">
        <v>2571</v>
      </c>
      <c r="AD2208" t="s">
        <v>717</v>
      </c>
      <c r="AE2208" t="s">
        <v>9541</v>
      </c>
      <c r="AF2208" t="s">
        <v>9542</v>
      </c>
      <c r="AG2208" t="s">
        <v>9543</v>
      </c>
      <c r="AH2208" t="s">
        <v>6100</v>
      </c>
      <c r="AI2208" t="s">
        <v>5653</v>
      </c>
      <c r="AJ2208" t="s">
        <v>31</v>
      </c>
      <c r="AK2208" t="s">
        <v>14</v>
      </c>
      <c r="AL2208" t="s">
        <v>16</v>
      </c>
      <c r="AM2208" t="s">
        <v>5654</v>
      </c>
      <c r="AN2208" t="s">
        <v>717</v>
      </c>
    </row>
    <row r="2209" spans="1:40" hidden="1">
      <c r="A2209">
        <v>2208</v>
      </c>
      <c r="B2209">
        <v>30</v>
      </c>
      <c r="C2209" s="58">
        <v>45282</v>
      </c>
      <c r="D2209" t="s">
        <v>13</v>
      </c>
      <c r="E2209" t="s">
        <v>4409</v>
      </c>
      <c r="F2209">
        <v>4</v>
      </c>
      <c r="G2209">
        <v>23</v>
      </c>
      <c r="H2209">
        <v>568</v>
      </c>
      <c r="I2209">
        <v>2</v>
      </c>
      <c r="J2209">
        <v>58.24</v>
      </c>
      <c r="K2209" t="s">
        <v>25</v>
      </c>
      <c r="L2209">
        <v>6572104</v>
      </c>
      <c r="M2209">
        <v>0</v>
      </c>
      <c r="N2209">
        <v>6572104</v>
      </c>
      <c r="O2209">
        <v>112845.1923076923</v>
      </c>
      <c r="P2209">
        <v>1281280</v>
      </c>
      <c r="Q2209">
        <v>5290824</v>
      </c>
      <c r="R2209">
        <v>90845.192307692298</v>
      </c>
      <c r="S2209" t="s">
        <v>65</v>
      </c>
      <c r="T2209" t="s">
        <v>2664</v>
      </c>
      <c r="U2209">
        <v>107976</v>
      </c>
      <c r="V2209" t="s">
        <v>6312</v>
      </c>
      <c r="W2209">
        <v>45280</v>
      </c>
      <c r="X2209" t="s">
        <v>9544</v>
      </c>
      <c r="Y2209" t="s">
        <v>6</v>
      </c>
      <c r="Z2209" t="s">
        <v>17</v>
      </c>
      <c r="AA2209" t="s">
        <v>6637</v>
      </c>
      <c r="AB2209" t="s">
        <v>2509</v>
      </c>
      <c r="AC2209" t="s">
        <v>2571</v>
      </c>
      <c r="AD2209" t="s">
        <v>717</v>
      </c>
      <c r="AE2209" t="s">
        <v>9545</v>
      </c>
      <c r="AF2209" t="s">
        <v>9546</v>
      </c>
      <c r="AG2209" t="s">
        <v>9547</v>
      </c>
      <c r="AH2209" t="s">
        <v>6100</v>
      </c>
      <c r="AI2209" t="s">
        <v>9548</v>
      </c>
      <c r="AJ2209" t="s">
        <v>34</v>
      </c>
      <c r="AK2209" t="s">
        <v>20</v>
      </c>
      <c r="AL2209" t="s">
        <v>16</v>
      </c>
      <c r="AM2209" t="s">
        <v>5654</v>
      </c>
      <c r="AN2209" t="s">
        <v>717</v>
      </c>
    </row>
    <row r="2210" spans="1:40" hidden="1">
      <c r="A2210">
        <v>2209</v>
      </c>
      <c r="B2210">
        <v>31</v>
      </c>
      <c r="C2210" s="58">
        <v>45282</v>
      </c>
      <c r="D2210" t="s">
        <v>7</v>
      </c>
      <c r="E2210" t="s">
        <v>4409</v>
      </c>
      <c r="F2210">
        <v>6</v>
      </c>
      <c r="G2210">
        <v>12</v>
      </c>
      <c r="H2210">
        <v>497</v>
      </c>
      <c r="I2210">
        <v>2</v>
      </c>
      <c r="J2210">
        <v>58.62</v>
      </c>
      <c r="K2210" t="s">
        <v>9</v>
      </c>
      <c r="L2210">
        <v>5329100</v>
      </c>
      <c r="M2210">
        <v>0</v>
      </c>
      <c r="N2210">
        <v>5329100</v>
      </c>
      <c r="O2210">
        <v>90909.245991129312</v>
      </c>
      <c r="P2210">
        <v>0</v>
      </c>
      <c r="Q2210">
        <v>5329100</v>
      </c>
      <c r="R2210">
        <v>90909.245991129312</v>
      </c>
      <c r="S2210" t="s">
        <v>65</v>
      </c>
      <c r="T2210" t="s">
        <v>3309</v>
      </c>
      <c r="U2210">
        <v>20000</v>
      </c>
      <c r="V2210" t="s">
        <v>4131</v>
      </c>
      <c r="W2210">
        <v>45280</v>
      </c>
      <c r="X2210" t="s">
        <v>8685</v>
      </c>
      <c r="Y2210" t="s">
        <v>6</v>
      </c>
      <c r="Z2210" t="s">
        <v>17</v>
      </c>
      <c r="AA2210" t="s">
        <v>6637</v>
      </c>
      <c r="AB2210" t="s">
        <v>2509</v>
      </c>
      <c r="AC2210" t="s">
        <v>2571</v>
      </c>
      <c r="AD2210" t="s">
        <v>717</v>
      </c>
      <c r="AE2210" t="s">
        <v>9549</v>
      </c>
      <c r="AF2210" t="s">
        <v>9550</v>
      </c>
      <c r="AG2210" t="s">
        <v>9551</v>
      </c>
      <c r="AH2210" t="s">
        <v>2552</v>
      </c>
      <c r="AI2210" t="s">
        <v>2552</v>
      </c>
      <c r="AJ2210" t="s">
        <v>2662</v>
      </c>
      <c r="AK2210" t="s">
        <v>8</v>
      </c>
      <c r="AL2210" t="s">
        <v>16</v>
      </c>
      <c r="AM2210" t="s">
        <v>10</v>
      </c>
      <c r="AN2210" t="s">
        <v>717</v>
      </c>
    </row>
    <row r="2211" spans="1:40" hidden="1">
      <c r="A2211">
        <v>2210</v>
      </c>
      <c r="B2211">
        <v>32</v>
      </c>
      <c r="C2211" s="58">
        <v>45282</v>
      </c>
      <c r="D2211" t="s">
        <v>13</v>
      </c>
      <c r="E2211" t="s">
        <v>2581</v>
      </c>
      <c r="F2211">
        <v>7</v>
      </c>
      <c r="G2211">
        <v>9</v>
      </c>
      <c r="H2211">
        <v>284</v>
      </c>
      <c r="I2211">
        <v>1</v>
      </c>
      <c r="J2211">
        <v>34.81</v>
      </c>
      <c r="K2211" t="s">
        <v>15</v>
      </c>
      <c r="L2211">
        <v>4030775</v>
      </c>
      <c r="M2211">
        <v>0</v>
      </c>
      <c r="N2211">
        <v>4030775</v>
      </c>
      <c r="O2211">
        <v>115793.59379488652</v>
      </c>
      <c r="P2211">
        <v>261075</v>
      </c>
      <c r="Q2211">
        <v>3769700</v>
      </c>
      <c r="R2211">
        <v>108293.59379488652</v>
      </c>
      <c r="S2211" t="s">
        <v>65</v>
      </c>
      <c r="T2211" t="s">
        <v>9455</v>
      </c>
      <c r="U2211">
        <v>50000</v>
      </c>
      <c r="V2211" t="s">
        <v>4131</v>
      </c>
      <c r="W2211">
        <v>45281</v>
      </c>
      <c r="X2211" t="s">
        <v>9552</v>
      </c>
      <c r="Y2211" t="s">
        <v>6</v>
      </c>
      <c r="Z2211" t="s">
        <v>17</v>
      </c>
      <c r="AA2211" t="s">
        <v>6637</v>
      </c>
      <c r="AB2211" t="s">
        <v>2509</v>
      </c>
      <c r="AC2211" t="s">
        <v>2571</v>
      </c>
      <c r="AD2211" t="s">
        <v>717</v>
      </c>
      <c r="AE2211" t="s">
        <v>9553</v>
      </c>
      <c r="AF2211" t="s">
        <v>9554</v>
      </c>
      <c r="AG2211" t="s">
        <v>9490</v>
      </c>
      <c r="AH2211" t="s">
        <v>2552</v>
      </c>
      <c r="AI2211" t="s">
        <v>2552</v>
      </c>
      <c r="AJ2211" t="s">
        <v>2522</v>
      </c>
      <c r="AK2211" t="s">
        <v>8</v>
      </c>
      <c r="AL2211" t="s">
        <v>16</v>
      </c>
      <c r="AM2211" t="s">
        <v>10</v>
      </c>
      <c r="AN2211" t="s">
        <v>717</v>
      </c>
    </row>
    <row r="2212" spans="1:40" hidden="1">
      <c r="A2212">
        <v>2211</v>
      </c>
      <c r="B2212">
        <v>33</v>
      </c>
      <c r="C2212" s="58">
        <v>45285</v>
      </c>
      <c r="D2212" t="s">
        <v>13</v>
      </c>
      <c r="E2212" t="s">
        <v>2515</v>
      </c>
      <c r="F2212">
        <v>6</v>
      </c>
      <c r="G2212">
        <v>8</v>
      </c>
      <c r="H2212">
        <v>54</v>
      </c>
      <c r="I2212">
        <v>2</v>
      </c>
      <c r="J2212">
        <v>58.16</v>
      </c>
      <c r="K2212" t="s">
        <v>25</v>
      </c>
      <c r="L2212">
        <v>6301334</v>
      </c>
      <c r="M2212">
        <v>0</v>
      </c>
      <c r="N2212">
        <v>6301334</v>
      </c>
      <c r="O2212">
        <v>108344.80742778545</v>
      </c>
      <c r="P2212">
        <v>1279520</v>
      </c>
      <c r="Q2212">
        <v>5021814</v>
      </c>
      <c r="R2212">
        <v>86344.807427785418</v>
      </c>
      <c r="S2212" t="s">
        <v>65</v>
      </c>
      <c r="T2212" t="s">
        <v>2664</v>
      </c>
      <c r="U2212">
        <v>102486</v>
      </c>
      <c r="V2212" t="s">
        <v>4131</v>
      </c>
      <c r="W2212">
        <v>45275</v>
      </c>
      <c r="X2212" t="s">
        <v>9555</v>
      </c>
      <c r="Y2212" t="s">
        <v>6</v>
      </c>
      <c r="Z2212" t="s">
        <v>17</v>
      </c>
      <c r="AA2212" t="s">
        <v>6637</v>
      </c>
      <c r="AB2212" t="s">
        <v>2509</v>
      </c>
      <c r="AC2212" t="s">
        <v>2571</v>
      </c>
      <c r="AD2212" t="s">
        <v>717</v>
      </c>
      <c r="AE2212" t="s">
        <v>9556</v>
      </c>
      <c r="AF2212" t="s">
        <v>9557</v>
      </c>
      <c r="AG2212" t="s">
        <v>9558</v>
      </c>
      <c r="AH2212" t="s">
        <v>2615</v>
      </c>
      <c r="AI2212" t="s">
        <v>2847</v>
      </c>
      <c r="AJ2212" t="s">
        <v>3289</v>
      </c>
      <c r="AK2212" t="s">
        <v>8</v>
      </c>
      <c r="AL2212" t="s">
        <v>22</v>
      </c>
      <c r="AM2212" t="s">
        <v>10</v>
      </c>
      <c r="AN2212" t="s">
        <v>717</v>
      </c>
    </row>
    <row r="2213" spans="1:40" hidden="1">
      <c r="A2213">
        <v>2212</v>
      </c>
      <c r="B2213">
        <v>34</v>
      </c>
      <c r="C2213" s="58">
        <v>45285</v>
      </c>
      <c r="D2213" t="s">
        <v>13</v>
      </c>
      <c r="E2213" t="s">
        <v>2581</v>
      </c>
      <c r="F2213">
        <v>1</v>
      </c>
      <c r="G2213">
        <v>6</v>
      </c>
      <c r="H2213">
        <v>257</v>
      </c>
      <c r="I2213">
        <v>2</v>
      </c>
      <c r="J2213">
        <v>73.7</v>
      </c>
      <c r="K2213" t="s">
        <v>25</v>
      </c>
      <c r="L2213">
        <v>7894478</v>
      </c>
      <c r="M2213">
        <v>0</v>
      </c>
      <c r="N2213">
        <v>7894478</v>
      </c>
      <c r="O2213">
        <v>107116.3907734057</v>
      </c>
      <c r="P2213">
        <v>1621400</v>
      </c>
      <c r="Q2213">
        <v>6273078</v>
      </c>
      <c r="R2213">
        <v>85116.390773405699</v>
      </c>
      <c r="S2213" t="s">
        <v>2507</v>
      </c>
      <c r="T2213" t="s">
        <v>2664</v>
      </c>
      <c r="U2213">
        <v>128022</v>
      </c>
      <c r="V2213" t="s">
        <v>717</v>
      </c>
      <c r="W2213">
        <v>45275</v>
      </c>
      <c r="X2213" t="s">
        <v>9559</v>
      </c>
      <c r="Y2213" t="s">
        <v>6</v>
      </c>
      <c r="Z2213" t="s">
        <v>17</v>
      </c>
      <c r="AA2213" t="s">
        <v>6637</v>
      </c>
      <c r="AB2213" t="s">
        <v>2509</v>
      </c>
      <c r="AC2213" t="s">
        <v>717</v>
      </c>
      <c r="AD2213" t="s">
        <v>717</v>
      </c>
      <c r="AE2213" t="s">
        <v>9560</v>
      </c>
      <c r="AF2213" t="s">
        <v>9561</v>
      </c>
      <c r="AG2213" t="s">
        <v>9562</v>
      </c>
      <c r="AH2213" t="s">
        <v>2615</v>
      </c>
      <c r="AI2213" t="s">
        <v>2552</v>
      </c>
      <c r="AJ2213" t="s">
        <v>2895</v>
      </c>
      <c r="AK2213" t="s">
        <v>8</v>
      </c>
      <c r="AL2213" t="s">
        <v>717</v>
      </c>
      <c r="AM2213" t="s">
        <v>10</v>
      </c>
      <c r="AN2213" t="s">
        <v>717</v>
      </c>
    </row>
    <row r="2214" spans="1:40" hidden="1">
      <c r="A2214">
        <v>2213</v>
      </c>
      <c r="B2214">
        <v>35</v>
      </c>
      <c r="C2214" s="58">
        <v>45285</v>
      </c>
      <c r="D2214" t="s">
        <v>7</v>
      </c>
      <c r="E2214" t="s">
        <v>4409</v>
      </c>
      <c r="F2214">
        <v>8</v>
      </c>
      <c r="G2214">
        <v>4</v>
      </c>
      <c r="H2214">
        <v>427</v>
      </c>
      <c r="I2214">
        <v>2</v>
      </c>
      <c r="J2214">
        <v>63.74</v>
      </c>
      <c r="K2214" t="s">
        <v>15</v>
      </c>
      <c r="L2214">
        <v>5825950</v>
      </c>
      <c r="M2214">
        <v>0</v>
      </c>
      <c r="N2214">
        <v>5825950</v>
      </c>
      <c r="O2214">
        <v>91401.788515845619</v>
      </c>
      <c r="P2214">
        <v>478050</v>
      </c>
      <c r="Q2214">
        <v>5347900</v>
      </c>
      <c r="R2214">
        <v>83901.788515845619</v>
      </c>
      <c r="S2214" t="s">
        <v>65</v>
      </c>
      <c r="T2214" t="s">
        <v>9455</v>
      </c>
      <c r="U2214">
        <v>30000</v>
      </c>
      <c r="V2214" t="s">
        <v>4131</v>
      </c>
      <c r="W2214">
        <v>45280</v>
      </c>
      <c r="X2214" t="s">
        <v>9563</v>
      </c>
      <c r="Y2214" t="s">
        <v>6</v>
      </c>
      <c r="Z2214" t="s">
        <v>17</v>
      </c>
      <c r="AA2214" t="s">
        <v>6637</v>
      </c>
      <c r="AB2214" t="s">
        <v>2509</v>
      </c>
      <c r="AC2214" t="s">
        <v>2571</v>
      </c>
      <c r="AD2214" t="s">
        <v>717</v>
      </c>
      <c r="AE2214" t="s">
        <v>9564</v>
      </c>
      <c r="AF2214" t="s">
        <v>9565</v>
      </c>
      <c r="AG2214" t="s">
        <v>9566</v>
      </c>
      <c r="AH2214" t="s">
        <v>2191</v>
      </c>
      <c r="AI2214" t="s">
        <v>2552</v>
      </c>
      <c r="AJ2214" t="s">
        <v>2514</v>
      </c>
      <c r="AK2214" t="s">
        <v>14</v>
      </c>
      <c r="AL2214" t="s">
        <v>16</v>
      </c>
      <c r="AM2214" t="s">
        <v>10</v>
      </c>
      <c r="AN2214" t="s">
        <v>717</v>
      </c>
    </row>
    <row r="2215" spans="1:40" hidden="1">
      <c r="A2215">
        <v>2214</v>
      </c>
      <c r="B2215">
        <v>36</v>
      </c>
      <c r="C2215" s="58">
        <v>45285</v>
      </c>
      <c r="D2215" t="s">
        <v>7</v>
      </c>
      <c r="E2215" t="s">
        <v>4409</v>
      </c>
      <c r="F2215">
        <v>4</v>
      </c>
      <c r="G2215">
        <v>2</v>
      </c>
      <c r="H2215">
        <v>405</v>
      </c>
      <c r="I2215">
        <v>1</v>
      </c>
      <c r="J2215">
        <v>36.5</v>
      </c>
      <c r="K2215" t="s">
        <v>25</v>
      </c>
      <c r="L2215">
        <v>4813300</v>
      </c>
      <c r="M2215">
        <v>0</v>
      </c>
      <c r="N2215">
        <v>4813300</v>
      </c>
      <c r="O2215">
        <v>131871.23287671234</v>
      </c>
      <c r="P2215">
        <v>803000</v>
      </c>
      <c r="Q2215">
        <v>4010300</v>
      </c>
      <c r="R2215">
        <v>109871.23287671233</v>
      </c>
      <c r="S2215" t="s">
        <v>65</v>
      </c>
      <c r="T2215" t="s">
        <v>717</v>
      </c>
      <c r="U2215" t="s">
        <v>717</v>
      </c>
      <c r="V2215" t="s">
        <v>6312</v>
      </c>
      <c r="W2215">
        <v>45282</v>
      </c>
      <c r="X2215" t="s">
        <v>9567</v>
      </c>
      <c r="Y2215" t="s">
        <v>6</v>
      </c>
      <c r="Z2215" t="s">
        <v>17</v>
      </c>
      <c r="AA2215" t="s">
        <v>6637</v>
      </c>
      <c r="AB2215" t="s">
        <v>2509</v>
      </c>
      <c r="AC2215" t="s">
        <v>2571</v>
      </c>
      <c r="AD2215" t="s">
        <v>717</v>
      </c>
      <c r="AE2215" t="s">
        <v>9568</v>
      </c>
      <c r="AF2215" t="s">
        <v>9569</v>
      </c>
      <c r="AG2215" t="s">
        <v>9570</v>
      </c>
      <c r="AH2215" t="s">
        <v>2615</v>
      </c>
      <c r="AI2215" t="s">
        <v>2521</v>
      </c>
      <c r="AJ2215" t="s">
        <v>2662</v>
      </c>
      <c r="AK2215" t="s">
        <v>8</v>
      </c>
      <c r="AL2215" t="s">
        <v>16</v>
      </c>
      <c r="AM2215" t="s">
        <v>10</v>
      </c>
      <c r="AN2215" t="s">
        <v>717</v>
      </c>
    </row>
    <row r="2216" spans="1:40" hidden="1">
      <c r="A2216">
        <v>2215</v>
      </c>
      <c r="B2216">
        <v>37</v>
      </c>
      <c r="C2216" s="58">
        <v>45287</v>
      </c>
      <c r="D2216" t="s">
        <v>13</v>
      </c>
      <c r="E2216" t="s">
        <v>2581</v>
      </c>
      <c r="F2216">
        <v>7</v>
      </c>
      <c r="G2216">
        <v>22</v>
      </c>
      <c r="H2216">
        <v>375</v>
      </c>
      <c r="I2216">
        <v>1</v>
      </c>
      <c r="J2216">
        <v>34.81</v>
      </c>
      <c r="K2216" t="s">
        <v>25</v>
      </c>
      <c r="L2216">
        <v>4707085</v>
      </c>
      <c r="M2216">
        <v>0</v>
      </c>
      <c r="N2216">
        <v>4707085</v>
      </c>
      <c r="O2216">
        <v>135222.20626256822</v>
      </c>
      <c r="P2216">
        <v>765820</v>
      </c>
      <c r="Q2216">
        <v>3941265</v>
      </c>
      <c r="R2216">
        <v>113222.20626256822</v>
      </c>
      <c r="S2216" t="s">
        <v>130</v>
      </c>
      <c r="T2216" t="s">
        <v>5768</v>
      </c>
      <c r="U2216">
        <v>207435</v>
      </c>
      <c r="V2216" t="s">
        <v>717</v>
      </c>
      <c r="W2216">
        <v>45285</v>
      </c>
      <c r="X2216" t="s">
        <v>9571</v>
      </c>
      <c r="Y2216" t="s">
        <v>6</v>
      </c>
      <c r="Z2216" t="s">
        <v>17</v>
      </c>
      <c r="AA2216" t="s">
        <v>6637</v>
      </c>
      <c r="AB2216" t="s">
        <v>2509</v>
      </c>
      <c r="AC2216" t="s">
        <v>717</v>
      </c>
      <c r="AD2216" t="s">
        <v>717</v>
      </c>
      <c r="AE2216" t="s">
        <v>8838</v>
      </c>
      <c r="AF2216" t="s">
        <v>8839</v>
      </c>
      <c r="AG2216" t="s">
        <v>9572</v>
      </c>
      <c r="AH2216" t="s">
        <v>2191</v>
      </c>
      <c r="AI2216" t="s">
        <v>2600</v>
      </c>
      <c r="AJ2216" t="s">
        <v>3921</v>
      </c>
      <c r="AK2216" t="s">
        <v>14</v>
      </c>
      <c r="AL2216" t="s">
        <v>717</v>
      </c>
      <c r="AM2216" t="s">
        <v>10</v>
      </c>
      <c r="AN2216" t="s">
        <v>717</v>
      </c>
    </row>
    <row r="2217" spans="1:40" hidden="1">
      <c r="A2217">
        <v>2216</v>
      </c>
      <c r="B2217">
        <v>38</v>
      </c>
      <c r="C2217" s="58">
        <v>45288</v>
      </c>
      <c r="D2217" t="s">
        <v>13</v>
      </c>
      <c r="E2217" t="s">
        <v>2581</v>
      </c>
      <c r="F2217">
        <v>2</v>
      </c>
      <c r="G2217">
        <v>13</v>
      </c>
      <c r="H2217">
        <v>307</v>
      </c>
      <c r="I2217">
        <v>0</v>
      </c>
      <c r="J2217">
        <v>24.53</v>
      </c>
      <c r="K2217" t="s">
        <v>9</v>
      </c>
      <c r="L2217">
        <v>2768342.55</v>
      </c>
      <c r="M2217">
        <v>15000</v>
      </c>
      <c r="N2217">
        <v>2783342.55</v>
      </c>
      <c r="O2217">
        <v>113466.87933143089</v>
      </c>
      <c r="P2217">
        <v>0</v>
      </c>
      <c r="Q2217">
        <v>2783342.55</v>
      </c>
      <c r="R2217">
        <v>113466.87933143089</v>
      </c>
      <c r="S2217" t="s">
        <v>130</v>
      </c>
      <c r="T2217" t="s">
        <v>8002</v>
      </c>
      <c r="U2217">
        <v>56802.91</v>
      </c>
      <c r="V2217" t="s">
        <v>717</v>
      </c>
      <c r="W2217">
        <v>45262</v>
      </c>
      <c r="X2217" t="s">
        <v>9573</v>
      </c>
      <c r="Y2217" t="s">
        <v>6</v>
      </c>
      <c r="Z2217" t="s">
        <v>17</v>
      </c>
      <c r="AA2217" t="s">
        <v>6637</v>
      </c>
      <c r="AB2217" t="s">
        <v>2509</v>
      </c>
      <c r="AC2217" t="s">
        <v>717</v>
      </c>
      <c r="AD2217" t="s">
        <v>717</v>
      </c>
      <c r="AE2217" t="s">
        <v>4101</v>
      </c>
      <c r="AF2217" t="s">
        <v>4102</v>
      </c>
      <c r="AG2217" t="s">
        <v>4103</v>
      </c>
      <c r="AH2217" t="s">
        <v>2615</v>
      </c>
      <c r="AI2217" t="s">
        <v>2600</v>
      </c>
      <c r="AJ2217" t="s">
        <v>3921</v>
      </c>
      <c r="AK2217" t="s">
        <v>14</v>
      </c>
      <c r="AL2217" t="s">
        <v>717</v>
      </c>
      <c r="AM2217" t="s">
        <v>10</v>
      </c>
      <c r="AN2217" t="s">
        <v>717</v>
      </c>
    </row>
    <row r="2218" spans="1:40" hidden="1">
      <c r="A2218">
        <v>2217</v>
      </c>
      <c r="B2218">
        <v>39</v>
      </c>
      <c r="C2218" s="58">
        <v>45288</v>
      </c>
      <c r="D2218" t="s">
        <v>7</v>
      </c>
      <c r="E2218" t="s">
        <v>2506</v>
      </c>
      <c r="F2218">
        <v>2</v>
      </c>
      <c r="G2218">
        <v>5</v>
      </c>
      <c r="H2218">
        <v>146</v>
      </c>
      <c r="I2218">
        <v>2</v>
      </c>
      <c r="J2218">
        <v>68.75</v>
      </c>
      <c r="K2218" t="s">
        <v>9</v>
      </c>
      <c r="L2218">
        <v>6010868.75</v>
      </c>
      <c r="M2218">
        <v>15000</v>
      </c>
      <c r="N2218">
        <v>6025868.75</v>
      </c>
      <c r="O2218">
        <v>87649</v>
      </c>
      <c r="P2218">
        <v>0</v>
      </c>
      <c r="Q2218">
        <v>6025868.75</v>
      </c>
      <c r="R2218">
        <v>87649</v>
      </c>
      <c r="S2218" t="s">
        <v>65</v>
      </c>
      <c r="T2218" t="s">
        <v>717</v>
      </c>
      <c r="U2218" t="s">
        <v>717</v>
      </c>
      <c r="V2218" t="s">
        <v>6312</v>
      </c>
      <c r="W2218">
        <v>45275</v>
      </c>
      <c r="X2218" t="s">
        <v>9574</v>
      </c>
      <c r="Y2218" t="s">
        <v>6</v>
      </c>
      <c r="Z2218" t="s">
        <v>17</v>
      </c>
      <c r="AA2218" t="s">
        <v>6637</v>
      </c>
      <c r="AB2218" t="s">
        <v>2509</v>
      </c>
      <c r="AC2218" t="s">
        <v>2571</v>
      </c>
      <c r="AD2218" t="s">
        <v>717</v>
      </c>
      <c r="AE2218" t="s">
        <v>9575</v>
      </c>
      <c r="AF2218" t="s">
        <v>9576</v>
      </c>
      <c r="AG2218" t="s">
        <v>9577</v>
      </c>
      <c r="AH2218" t="s">
        <v>6100</v>
      </c>
      <c r="AI2218" t="s">
        <v>6554</v>
      </c>
      <c r="AJ2218" t="s">
        <v>9351</v>
      </c>
      <c r="AK2218" t="s">
        <v>20</v>
      </c>
      <c r="AL2218" t="s">
        <v>16</v>
      </c>
      <c r="AM2218" t="s">
        <v>5654</v>
      </c>
      <c r="AN2218" t="s">
        <v>717</v>
      </c>
    </row>
    <row r="2219" spans="1:40" hidden="1">
      <c r="A2219">
        <v>2218</v>
      </c>
      <c r="B2219">
        <v>40</v>
      </c>
      <c r="C2219" s="58">
        <v>45288</v>
      </c>
      <c r="D2219" t="s">
        <v>7</v>
      </c>
      <c r="E2219" t="s">
        <v>2515</v>
      </c>
      <c r="F2219">
        <v>5</v>
      </c>
      <c r="G2219">
        <v>15</v>
      </c>
      <c r="H2219">
        <v>109</v>
      </c>
      <c r="I2219">
        <v>2</v>
      </c>
      <c r="J2219">
        <v>54.66</v>
      </c>
      <c r="K2219" t="s">
        <v>15</v>
      </c>
      <c r="L2219">
        <v>5176724</v>
      </c>
      <c r="M2219">
        <v>0</v>
      </c>
      <c r="N2219">
        <v>5176724</v>
      </c>
      <c r="O2219">
        <v>94707.720453713875</v>
      </c>
      <c r="P2219">
        <v>409950</v>
      </c>
      <c r="Q2219">
        <v>4766774</v>
      </c>
      <c r="R2219">
        <v>87207.720453713875</v>
      </c>
      <c r="S2219" t="s">
        <v>65</v>
      </c>
      <c r="T2219" t="s">
        <v>4379</v>
      </c>
      <c r="U2219">
        <v>147426</v>
      </c>
      <c r="V2219" t="s">
        <v>6312</v>
      </c>
      <c r="W2219">
        <v>45285</v>
      </c>
      <c r="X2219" t="s">
        <v>9578</v>
      </c>
      <c r="Y2219" t="s">
        <v>6</v>
      </c>
      <c r="Z2219" t="s">
        <v>17</v>
      </c>
      <c r="AA2219" t="s">
        <v>6637</v>
      </c>
      <c r="AB2219" t="s">
        <v>2509</v>
      </c>
      <c r="AC2219" t="s">
        <v>2571</v>
      </c>
      <c r="AD2219" t="s">
        <v>717</v>
      </c>
      <c r="AE2219" t="s">
        <v>9579</v>
      </c>
      <c r="AF2219" t="s">
        <v>6796</v>
      </c>
      <c r="AG2219" t="s">
        <v>6797</v>
      </c>
      <c r="AH2219" t="s">
        <v>2191</v>
      </c>
      <c r="AI2219" t="s">
        <v>2600</v>
      </c>
      <c r="AJ2219" t="s">
        <v>3921</v>
      </c>
      <c r="AK2219" t="s">
        <v>14</v>
      </c>
      <c r="AL2219" t="s">
        <v>22</v>
      </c>
      <c r="AM2219" t="s">
        <v>10</v>
      </c>
      <c r="AN2219" t="s">
        <v>717</v>
      </c>
    </row>
    <row r="2220" spans="1:40" hidden="1">
      <c r="A2220">
        <v>2219</v>
      </c>
      <c r="B2220">
        <v>41</v>
      </c>
      <c r="C2220" s="58">
        <v>45288</v>
      </c>
      <c r="D2220" t="s">
        <v>7</v>
      </c>
      <c r="E2220" t="s">
        <v>4409</v>
      </c>
      <c r="F2220">
        <v>4</v>
      </c>
      <c r="G2220">
        <v>10</v>
      </c>
      <c r="H2220">
        <v>477</v>
      </c>
      <c r="I2220">
        <v>1</v>
      </c>
      <c r="J2220">
        <v>36.5</v>
      </c>
      <c r="K2220" t="s">
        <v>9</v>
      </c>
      <c r="L2220">
        <v>3847120</v>
      </c>
      <c r="M2220">
        <v>0</v>
      </c>
      <c r="N2220">
        <v>3847120</v>
      </c>
      <c r="O2220">
        <v>105400.54794520549</v>
      </c>
      <c r="P2220">
        <v>0</v>
      </c>
      <c r="Q2220">
        <v>3847120</v>
      </c>
      <c r="R2220">
        <v>105400.54794520549</v>
      </c>
      <c r="S2220" t="s">
        <v>65</v>
      </c>
      <c r="T2220" t="s">
        <v>5768</v>
      </c>
      <c r="U2220">
        <v>202480.00000000047</v>
      </c>
      <c r="V2220" t="s">
        <v>6312</v>
      </c>
      <c r="W2220">
        <v>45286</v>
      </c>
      <c r="X2220" t="s">
        <v>9580</v>
      </c>
      <c r="Y2220" t="s">
        <v>6</v>
      </c>
      <c r="Z2220" t="s">
        <v>17</v>
      </c>
      <c r="AA2220" t="s">
        <v>6637</v>
      </c>
      <c r="AB2220" t="s">
        <v>2509</v>
      </c>
      <c r="AC2220" t="s">
        <v>2571</v>
      </c>
      <c r="AD2220" t="s">
        <v>717</v>
      </c>
      <c r="AE2220" t="s">
        <v>9581</v>
      </c>
      <c r="AF2220" t="s">
        <v>9582</v>
      </c>
      <c r="AG2220" t="s">
        <v>9583</v>
      </c>
      <c r="AH2220" t="s">
        <v>2615</v>
      </c>
      <c r="AI2220" t="s">
        <v>6951</v>
      </c>
      <c r="AJ2220" t="s">
        <v>2569</v>
      </c>
      <c r="AK2220" t="s">
        <v>77</v>
      </c>
      <c r="AL2220" t="s">
        <v>16</v>
      </c>
      <c r="AM2220" t="s">
        <v>10</v>
      </c>
      <c r="AN2220" t="s">
        <v>717</v>
      </c>
    </row>
    <row r="2221" spans="1:40" hidden="1">
      <c r="A2221">
        <v>2220</v>
      </c>
      <c r="B2221">
        <v>42</v>
      </c>
      <c r="C2221" s="58">
        <v>45288</v>
      </c>
      <c r="D2221" t="s">
        <v>13</v>
      </c>
      <c r="E2221" t="s">
        <v>4409</v>
      </c>
      <c r="F2221">
        <v>6</v>
      </c>
      <c r="G2221">
        <v>11</v>
      </c>
      <c r="H2221">
        <v>474</v>
      </c>
      <c r="I2221">
        <v>1</v>
      </c>
      <c r="J2221">
        <v>38.299999999999997</v>
      </c>
      <c r="K2221" t="s">
        <v>25</v>
      </c>
      <c r="L2221">
        <v>4498390</v>
      </c>
      <c r="M2221">
        <v>0</v>
      </c>
      <c r="N2221">
        <v>4498390</v>
      </c>
      <c r="O2221">
        <v>117451.4360313316</v>
      </c>
      <c r="P2221">
        <v>842599.99999999988</v>
      </c>
      <c r="Q2221">
        <v>3655790</v>
      </c>
      <c r="R2221">
        <v>95451.436031331599</v>
      </c>
      <c r="S2221" t="s">
        <v>2507</v>
      </c>
      <c r="T2221" t="s">
        <v>5768</v>
      </c>
      <c r="U2221">
        <v>192410</v>
      </c>
      <c r="V2221" t="s">
        <v>717</v>
      </c>
      <c r="W2221">
        <v>45287</v>
      </c>
      <c r="X2221" t="s">
        <v>9584</v>
      </c>
      <c r="Y2221" t="s">
        <v>6</v>
      </c>
      <c r="Z2221" t="s">
        <v>17</v>
      </c>
      <c r="AA2221" t="s">
        <v>6637</v>
      </c>
      <c r="AB2221" t="s">
        <v>2509</v>
      </c>
      <c r="AC2221" t="s">
        <v>717</v>
      </c>
      <c r="AD2221" t="s">
        <v>717</v>
      </c>
      <c r="AE2221" t="s">
        <v>9585</v>
      </c>
      <c r="AF2221" t="s">
        <v>9586</v>
      </c>
      <c r="AG2221" t="s">
        <v>9587</v>
      </c>
      <c r="AH2221" t="s">
        <v>2616</v>
      </c>
      <c r="AI2221" t="s">
        <v>2552</v>
      </c>
      <c r="AJ2221" t="s">
        <v>2895</v>
      </c>
      <c r="AK2221" t="s">
        <v>14</v>
      </c>
      <c r="AL2221" t="s">
        <v>717</v>
      </c>
      <c r="AM2221" t="s">
        <v>10</v>
      </c>
      <c r="AN2221" t="s">
        <v>717</v>
      </c>
    </row>
    <row r="2222" spans="1:40" hidden="1">
      <c r="A2222">
        <v>2221</v>
      </c>
      <c r="B2222">
        <v>43</v>
      </c>
      <c r="C2222" s="58">
        <v>45289</v>
      </c>
      <c r="D2222" t="s">
        <v>13</v>
      </c>
      <c r="E2222" t="s">
        <v>2506</v>
      </c>
      <c r="F2222">
        <v>5</v>
      </c>
      <c r="G2222">
        <v>11</v>
      </c>
      <c r="H2222">
        <v>185</v>
      </c>
      <c r="I2222">
        <v>1</v>
      </c>
      <c r="J2222">
        <v>37.86</v>
      </c>
      <c r="K2222" t="s">
        <v>25</v>
      </c>
      <c r="L2222">
        <v>4768720</v>
      </c>
      <c r="M2222">
        <v>0</v>
      </c>
      <c r="N2222">
        <v>4768720</v>
      </c>
      <c r="O2222">
        <v>125956.6825145272</v>
      </c>
      <c r="P2222">
        <v>832920</v>
      </c>
      <c r="Q2222">
        <v>3935800</v>
      </c>
      <c r="R2222">
        <v>103956.6825145272</v>
      </c>
      <c r="S2222" t="s">
        <v>65</v>
      </c>
      <c r="T2222" t="s">
        <v>717</v>
      </c>
      <c r="U2222" t="s">
        <v>717</v>
      </c>
      <c r="V2222" t="s">
        <v>6312</v>
      </c>
      <c r="W2222">
        <v>45286</v>
      </c>
      <c r="X2222" t="s">
        <v>9588</v>
      </c>
      <c r="Y2222" t="s">
        <v>6</v>
      </c>
      <c r="Z2222" t="s">
        <v>17</v>
      </c>
      <c r="AA2222" t="s">
        <v>6637</v>
      </c>
      <c r="AB2222" t="s">
        <v>2509</v>
      </c>
      <c r="AC2222" t="s">
        <v>2571</v>
      </c>
      <c r="AD2222" t="s">
        <v>717</v>
      </c>
      <c r="AE2222" t="s">
        <v>9589</v>
      </c>
      <c r="AF2222" t="s">
        <v>9590</v>
      </c>
      <c r="AG2222" t="s">
        <v>9591</v>
      </c>
      <c r="AH2222" t="s">
        <v>2615</v>
      </c>
      <c r="AI2222" t="s">
        <v>2538</v>
      </c>
      <c r="AJ2222" t="s">
        <v>2895</v>
      </c>
      <c r="AK2222" t="s">
        <v>20</v>
      </c>
      <c r="AL2222" t="s">
        <v>22</v>
      </c>
      <c r="AM2222" t="s">
        <v>10</v>
      </c>
      <c r="AN2222" t="s">
        <v>717</v>
      </c>
    </row>
    <row r="2223" spans="1:40" hidden="1">
      <c r="A2223">
        <v>2222</v>
      </c>
      <c r="B2223">
        <v>44</v>
      </c>
      <c r="C2223" s="58">
        <v>45289</v>
      </c>
      <c r="D2223" t="s">
        <v>13</v>
      </c>
      <c r="E2223" t="s">
        <v>2506</v>
      </c>
      <c r="F2223">
        <v>6</v>
      </c>
      <c r="G2223">
        <v>12</v>
      </c>
      <c r="H2223">
        <v>193</v>
      </c>
      <c r="I2223">
        <v>3</v>
      </c>
      <c r="J2223">
        <v>84.99</v>
      </c>
      <c r="K2223" t="s">
        <v>9</v>
      </c>
      <c r="L2223">
        <v>6419910</v>
      </c>
      <c r="M2223">
        <v>0</v>
      </c>
      <c r="N2223">
        <v>6419910</v>
      </c>
      <c r="O2223">
        <v>75537.239675255914</v>
      </c>
      <c r="P2223">
        <v>0</v>
      </c>
      <c r="Q2223">
        <v>6419910</v>
      </c>
      <c r="R2223">
        <v>75537.239675255914</v>
      </c>
      <c r="S2223" t="s">
        <v>65</v>
      </c>
      <c r="T2223" t="s">
        <v>5768</v>
      </c>
      <c r="U2223">
        <v>337890</v>
      </c>
      <c r="V2223" t="s">
        <v>6312</v>
      </c>
      <c r="W2223">
        <v>45286</v>
      </c>
      <c r="X2223" t="s">
        <v>9592</v>
      </c>
      <c r="Y2223" t="s">
        <v>6</v>
      </c>
      <c r="Z2223" t="s">
        <v>17</v>
      </c>
      <c r="AA2223" t="s">
        <v>6637</v>
      </c>
      <c r="AB2223" t="s">
        <v>2509</v>
      </c>
      <c r="AC2223" t="s">
        <v>2571</v>
      </c>
      <c r="AD2223" t="s">
        <v>717</v>
      </c>
      <c r="AE2223" t="s">
        <v>9593</v>
      </c>
      <c r="AF2223" t="s">
        <v>9594</v>
      </c>
      <c r="AG2223" t="s">
        <v>9595</v>
      </c>
      <c r="AH2223" t="s">
        <v>2191</v>
      </c>
      <c r="AI2223" t="s">
        <v>2538</v>
      </c>
      <c r="AJ2223" t="s">
        <v>2514</v>
      </c>
      <c r="AK2223" t="s">
        <v>8</v>
      </c>
      <c r="AL2223" t="s">
        <v>16</v>
      </c>
      <c r="AM2223" t="s">
        <v>10</v>
      </c>
      <c r="AN2223" t="s">
        <v>717</v>
      </c>
    </row>
    <row r="2224" spans="1:40" hidden="1">
      <c r="A2224">
        <v>2223</v>
      </c>
      <c r="B2224">
        <v>45</v>
      </c>
      <c r="C2224" s="58">
        <v>45289</v>
      </c>
      <c r="D2224" t="s">
        <v>13</v>
      </c>
      <c r="E2224" t="s">
        <v>2515</v>
      </c>
      <c r="F2224">
        <v>5</v>
      </c>
      <c r="G2224">
        <v>3</v>
      </c>
      <c r="H2224">
        <v>18</v>
      </c>
      <c r="I2224">
        <v>2</v>
      </c>
      <c r="J2224">
        <v>62.17</v>
      </c>
      <c r="K2224" t="s">
        <v>15</v>
      </c>
      <c r="L2224">
        <v>5887875</v>
      </c>
      <c r="M2224">
        <v>0</v>
      </c>
      <c r="N2224">
        <v>5887875</v>
      </c>
      <c r="O2224">
        <v>94706.047933086695</v>
      </c>
      <c r="P2224">
        <v>466275</v>
      </c>
      <c r="Q2224">
        <v>5421600</v>
      </c>
      <c r="R2224">
        <v>87206.047933086695</v>
      </c>
      <c r="S2224" t="s">
        <v>65</v>
      </c>
      <c r="T2224" t="s">
        <v>9455</v>
      </c>
      <c r="U2224">
        <v>30000</v>
      </c>
      <c r="V2224" t="s">
        <v>6312</v>
      </c>
      <c r="W2224">
        <v>45287</v>
      </c>
      <c r="X2224" t="s">
        <v>9596</v>
      </c>
      <c r="Y2224" t="s">
        <v>6</v>
      </c>
      <c r="Z2224" t="s">
        <v>17</v>
      </c>
      <c r="AA2224" t="s">
        <v>6637</v>
      </c>
      <c r="AB2224" t="s">
        <v>2509</v>
      </c>
      <c r="AC2224" t="s">
        <v>2571</v>
      </c>
      <c r="AD2224" t="s">
        <v>717</v>
      </c>
      <c r="AE2224" t="s">
        <v>9597</v>
      </c>
      <c r="AF2224" t="s">
        <v>9598</v>
      </c>
      <c r="AG2224" t="s">
        <v>9599</v>
      </c>
      <c r="AH2224" t="s">
        <v>6100</v>
      </c>
      <c r="AI2224" t="s">
        <v>6554</v>
      </c>
      <c r="AJ2224" t="s">
        <v>9351</v>
      </c>
      <c r="AK2224" t="s">
        <v>8</v>
      </c>
      <c r="AL2224" t="s">
        <v>16</v>
      </c>
      <c r="AM2224" t="s">
        <v>5654</v>
      </c>
      <c r="AN2224" t="s">
        <v>717</v>
      </c>
    </row>
    <row r="2225" spans="1:40" hidden="1">
      <c r="A2225">
        <v>2224</v>
      </c>
      <c r="B2225">
        <v>46</v>
      </c>
      <c r="C2225" s="58">
        <v>45289</v>
      </c>
      <c r="D2225" t="s">
        <v>7</v>
      </c>
      <c r="E2225" t="s">
        <v>2506</v>
      </c>
      <c r="F2225">
        <v>4</v>
      </c>
      <c r="G2225">
        <v>14</v>
      </c>
      <c r="H2225">
        <v>220</v>
      </c>
      <c r="I2225">
        <v>1</v>
      </c>
      <c r="J2225">
        <v>37.81</v>
      </c>
      <c r="K2225" t="s">
        <v>15</v>
      </c>
      <c r="L2225">
        <v>4344775</v>
      </c>
      <c r="M2225">
        <v>0</v>
      </c>
      <c r="N2225">
        <v>4344775</v>
      </c>
      <c r="O2225">
        <v>114910.73790002643</v>
      </c>
      <c r="P2225">
        <v>283575</v>
      </c>
      <c r="Q2225">
        <v>4061200</v>
      </c>
      <c r="R2225">
        <v>107410.73790002643</v>
      </c>
      <c r="S2225" t="s">
        <v>65</v>
      </c>
      <c r="T2225" t="s">
        <v>717</v>
      </c>
      <c r="U2225" t="s">
        <v>717</v>
      </c>
      <c r="V2225" t="s">
        <v>4131</v>
      </c>
      <c r="W2225">
        <v>45287</v>
      </c>
      <c r="X2225" t="s">
        <v>9600</v>
      </c>
      <c r="Y2225" t="s">
        <v>6</v>
      </c>
      <c r="Z2225" t="s">
        <v>17</v>
      </c>
      <c r="AA2225" t="s">
        <v>6637</v>
      </c>
      <c r="AB2225" t="s">
        <v>2509</v>
      </c>
      <c r="AC2225" t="s">
        <v>2571</v>
      </c>
      <c r="AD2225" t="s">
        <v>717</v>
      </c>
      <c r="AE2225" t="s">
        <v>9601</v>
      </c>
      <c r="AF2225" t="s">
        <v>9602</v>
      </c>
      <c r="AG2225" t="s">
        <v>9603</v>
      </c>
      <c r="AH2225" t="s">
        <v>2552</v>
      </c>
      <c r="AI2225" t="s">
        <v>2547</v>
      </c>
      <c r="AJ2225" t="s">
        <v>2855</v>
      </c>
      <c r="AK2225" t="s">
        <v>8</v>
      </c>
      <c r="AL2225" t="s">
        <v>16</v>
      </c>
      <c r="AM2225" t="s">
        <v>10</v>
      </c>
      <c r="AN2225" t="s">
        <v>717</v>
      </c>
    </row>
    <row r="2226" spans="1:40" hidden="1">
      <c r="A2226">
        <v>2225</v>
      </c>
      <c r="B2226">
        <v>47</v>
      </c>
      <c r="C2226" s="58">
        <v>45289</v>
      </c>
      <c r="D2226" t="s">
        <v>7</v>
      </c>
      <c r="E2226" t="s">
        <v>4409</v>
      </c>
      <c r="F2226">
        <v>1</v>
      </c>
      <c r="G2226">
        <v>14</v>
      </c>
      <c r="H2226">
        <v>510</v>
      </c>
      <c r="I2226">
        <v>1</v>
      </c>
      <c r="J2226">
        <v>39.74</v>
      </c>
      <c r="K2226" t="s">
        <v>9</v>
      </c>
      <c r="L2226">
        <v>4066665</v>
      </c>
      <c r="M2226">
        <v>0</v>
      </c>
      <c r="N2226">
        <v>4066665</v>
      </c>
      <c r="O2226">
        <v>102331.78158027177</v>
      </c>
      <c r="P2226">
        <v>0</v>
      </c>
      <c r="Q2226">
        <v>4066665</v>
      </c>
      <c r="R2226">
        <v>102331.78158027177</v>
      </c>
      <c r="S2226" t="s">
        <v>65</v>
      </c>
      <c r="T2226" t="s">
        <v>5768</v>
      </c>
      <c r="U2226">
        <v>214035</v>
      </c>
      <c r="V2226" t="s">
        <v>4131</v>
      </c>
      <c r="W2226">
        <v>45287</v>
      </c>
      <c r="X2226" t="s">
        <v>9604</v>
      </c>
      <c r="Y2226" t="s">
        <v>6</v>
      </c>
      <c r="Z2226" t="s">
        <v>17</v>
      </c>
      <c r="AA2226" t="s">
        <v>6637</v>
      </c>
      <c r="AB2226" t="s">
        <v>2509</v>
      </c>
      <c r="AC2226" t="s">
        <v>2571</v>
      </c>
      <c r="AD2226" t="s">
        <v>717</v>
      </c>
      <c r="AE2226" t="s">
        <v>9605</v>
      </c>
      <c r="AF2226" t="s">
        <v>9606</v>
      </c>
      <c r="AG2226" t="s">
        <v>9607</v>
      </c>
      <c r="AH2226" t="s">
        <v>2615</v>
      </c>
      <c r="AI2226" t="s">
        <v>6951</v>
      </c>
      <c r="AJ2226" t="s">
        <v>2569</v>
      </c>
      <c r="AK2226" t="s">
        <v>77</v>
      </c>
      <c r="AL2226" t="s">
        <v>16</v>
      </c>
      <c r="AM2226" t="s">
        <v>10</v>
      </c>
      <c r="AN2226" t="s">
        <v>717</v>
      </c>
    </row>
    <row r="2227" spans="1:40" hidden="1">
      <c r="A2227">
        <v>2226</v>
      </c>
      <c r="B2227">
        <v>48</v>
      </c>
      <c r="C2227" s="58">
        <v>45290</v>
      </c>
      <c r="D2227" t="s">
        <v>7</v>
      </c>
      <c r="E2227" t="s">
        <v>4409</v>
      </c>
      <c r="F2227">
        <v>7</v>
      </c>
      <c r="G2227">
        <v>12</v>
      </c>
      <c r="H2227">
        <v>498</v>
      </c>
      <c r="I2227">
        <v>2</v>
      </c>
      <c r="J2227">
        <v>67.489999999999995</v>
      </c>
      <c r="K2227" t="s">
        <v>25</v>
      </c>
      <c r="L2227">
        <v>7569012</v>
      </c>
      <c r="M2227">
        <v>0</v>
      </c>
      <c r="N2227">
        <v>7569012</v>
      </c>
      <c r="O2227">
        <v>112150.1259445844</v>
      </c>
      <c r="P2227">
        <v>1484780</v>
      </c>
      <c r="Q2227">
        <v>6084232</v>
      </c>
      <c r="R2227">
        <v>90150.125944584404</v>
      </c>
      <c r="S2227" t="s">
        <v>65</v>
      </c>
      <c r="T2227" t="s">
        <v>2941</v>
      </c>
      <c r="U2227">
        <v>124168</v>
      </c>
      <c r="V2227" t="s">
        <v>6312</v>
      </c>
      <c r="W2227">
        <v>45286</v>
      </c>
      <c r="X2227" t="s">
        <v>9608</v>
      </c>
      <c r="Y2227" t="s">
        <v>6</v>
      </c>
      <c r="Z2227" t="s">
        <v>17</v>
      </c>
      <c r="AA2227" t="s">
        <v>6637</v>
      </c>
      <c r="AB2227" t="s">
        <v>2509</v>
      </c>
      <c r="AC2227" t="s">
        <v>2571</v>
      </c>
      <c r="AD2227" t="s">
        <v>717</v>
      </c>
      <c r="AE2227" t="s">
        <v>9609</v>
      </c>
      <c r="AF2227" t="s">
        <v>9610</v>
      </c>
      <c r="AG2227" t="s">
        <v>9611</v>
      </c>
      <c r="AH2227" t="s">
        <v>2191</v>
      </c>
      <c r="AI2227" t="s">
        <v>2552</v>
      </c>
      <c r="AJ2227" t="s">
        <v>2514</v>
      </c>
      <c r="AK2227" t="s">
        <v>20</v>
      </c>
      <c r="AL2227" t="s">
        <v>16</v>
      </c>
      <c r="AM2227" t="s">
        <v>10</v>
      </c>
      <c r="AN2227" t="s">
        <v>717</v>
      </c>
    </row>
    <row r="2228" spans="1:40" hidden="1">
      <c r="A2228">
        <v>2227</v>
      </c>
      <c r="B2228">
        <v>49</v>
      </c>
      <c r="C2228" s="58">
        <v>45290</v>
      </c>
      <c r="D2228" t="s">
        <v>13</v>
      </c>
      <c r="E2228" t="s">
        <v>4409</v>
      </c>
      <c r="F2228">
        <v>8</v>
      </c>
      <c r="G2228">
        <v>9</v>
      </c>
      <c r="H2228">
        <v>460</v>
      </c>
      <c r="I2228">
        <v>1</v>
      </c>
      <c r="J2228">
        <v>39.69</v>
      </c>
      <c r="K2228" t="s">
        <v>25</v>
      </c>
      <c r="L2228">
        <v>4738445</v>
      </c>
      <c r="M2228">
        <v>0</v>
      </c>
      <c r="N2228">
        <v>4738445</v>
      </c>
      <c r="O2228">
        <v>119386.36936255984</v>
      </c>
      <c r="P2228">
        <v>873180</v>
      </c>
      <c r="Q2228">
        <v>3865265</v>
      </c>
      <c r="R2228">
        <v>97386.369362559839</v>
      </c>
      <c r="S2228" t="s">
        <v>65</v>
      </c>
      <c r="T2228" t="s">
        <v>5768</v>
      </c>
      <c r="U2228">
        <v>203435</v>
      </c>
      <c r="V2228" t="s">
        <v>4131</v>
      </c>
      <c r="W2228">
        <v>45287</v>
      </c>
      <c r="X2228" t="s">
        <v>9612</v>
      </c>
      <c r="Y2228" t="s">
        <v>6</v>
      </c>
      <c r="Z2228" t="s">
        <v>17</v>
      </c>
      <c r="AA2228" t="s">
        <v>6637</v>
      </c>
      <c r="AB2228" t="s">
        <v>2509</v>
      </c>
      <c r="AC2228" t="s">
        <v>2571</v>
      </c>
      <c r="AD2228" t="s">
        <v>717</v>
      </c>
      <c r="AE2228" t="s">
        <v>9613</v>
      </c>
      <c r="AF2228" t="s">
        <v>9614</v>
      </c>
      <c r="AG2228" t="s">
        <v>9615</v>
      </c>
      <c r="AH2228" t="s">
        <v>2191</v>
      </c>
      <c r="AI2228" t="s">
        <v>2552</v>
      </c>
      <c r="AJ2228" t="s">
        <v>2514</v>
      </c>
      <c r="AK2228" t="s">
        <v>14</v>
      </c>
      <c r="AL2228" t="s">
        <v>16</v>
      </c>
      <c r="AM2228" t="s">
        <v>10</v>
      </c>
      <c r="AN2228" t="s">
        <v>717</v>
      </c>
    </row>
    <row r="2229" spans="1:40" hidden="1">
      <c r="A2229">
        <v>2228</v>
      </c>
      <c r="B2229">
        <v>1</v>
      </c>
      <c r="C2229" s="58">
        <v>45309</v>
      </c>
      <c r="D2229" t="s">
        <v>13</v>
      </c>
      <c r="E2229" t="s">
        <v>2581</v>
      </c>
      <c r="F2229">
        <v>5</v>
      </c>
      <c r="G2229">
        <v>19</v>
      </c>
      <c r="H2229">
        <v>352</v>
      </c>
      <c r="I2229">
        <v>1</v>
      </c>
      <c r="J2229">
        <v>37.81</v>
      </c>
      <c r="K2229" t="s">
        <v>25</v>
      </c>
      <c r="L2229">
        <v>5285700</v>
      </c>
      <c r="M2229">
        <v>0</v>
      </c>
      <c r="N2229">
        <v>5285700</v>
      </c>
      <c r="O2229">
        <v>139796.35017191217</v>
      </c>
      <c r="P2229">
        <v>756200</v>
      </c>
      <c r="Q2229">
        <v>4529500</v>
      </c>
      <c r="R2229">
        <v>119796.3501719122</v>
      </c>
      <c r="S2229" t="s">
        <v>65</v>
      </c>
      <c r="T2229" t="s">
        <v>717</v>
      </c>
      <c r="U2229" t="s">
        <v>717</v>
      </c>
      <c r="V2229" t="s">
        <v>4131</v>
      </c>
      <c r="W2229">
        <v>45306</v>
      </c>
      <c r="X2229" t="s">
        <v>9616</v>
      </c>
      <c r="Y2229" t="s">
        <v>6</v>
      </c>
      <c r="Z2229" t="s">
        <v>17</v>
      </c>
      <c r="AA2229" t="s">
        <v>6637</v>
      </c>
      <c r="AB2229" t="s">
        <v>2509</v>
      </c>
      <c r="AC2229" t="s">
        <v>2571</v>
      </c>
      <c r="AD2229" t="s">
        <v>717</v>
      </c>
      <c r="AE2229" t="s">
        <v>9617</v>
      </c>
      <c r="AF2229" t="s">
        <v>9618</v>
      </c>
      <c r="AG2229" t="s">
        <v>9619</v>
      </c>
      <c r="AH2229" t="s">
        <v>2615</v>
      </c>
      <c r="AI2229" t="s">
        <v>2538</v>
      </c>
      <c r="AJ2229" t="s">
        <v>3298</v>
      </c>
      <c r="AK2229" t="s">
        <v>14</v>
      </c>
      <c r="AL2229" t="s">
        <v>16</v>
      </c>
      <c r="AM2229" t="s">
        <v>10</v>
      </c>
      <c r="AN2229" t="s">
        <v>717</v>
      </c>
    </row>
    <row r="2230" spans="1:40" hidden="1">
      <c r="A2230">
        <v>2229</v>
      </c>
      <c r="B2230">
        <v>2</v>
      </c>
      <c r="C2230" s="58">
        <v>45309</v>
      </c>
      <c r="D2230" t="s">
        <v>13</v>
      </c>
      <c r="E2230" t="s">
        <v>4409</v>
      </c>
      <c r="F2230">
        <v>4</v>
      </c>
      <c r="G2230">
        <v>6</v>
      </c>
      <c r="H2230">
        <v>432</v>
      </c>
      <c r="I2230">
        <v>2</v>
      </c>
      <c r="J2230">
        <v>58.24</v>
      </c>
      <c r="K2230" t="s">
        <v>21</v>
      </c>
      <c r="L2230">
        <v>5614224</v>
      </c>
      <c r="M2230">
        <v>0</v>
      </c>
      <c r="N2230">
        <v>5614224</v>
      </c>
      <c r="O2230">
        <v>96398.076923076922</v>
      </c>
      <c r="P2230">
        <v>407680</v>
      </c>
      <c r="Q2230">
        <v>5206544</v>
      </c>
      <c r="R2230">
        <v>89398.076923076922</v>
      </c>
      <c r="S2230" t="s">
        <v>65</v>
      </c>
      <c r="T2230" t="s">
        <v>2664</v>
      </c>
      <c r="U2230">
        <v>106256.00000000092</v>
      </c>
      <c r="V2230" t="s">
        <v>6312</v>
      </c>
      <c r="W2230">
        <v>45306</v>
      </c>
      <c r="X2230" t="s">
        <v>9620</v>
      </c>
      <c r="Y2230" t="s">
        <v>6</v>
      </c>
      <c r="Z2230" t="s">
        <v>17</v>
      </c>
      <c r="AA2230" t="s">
        <v>6637</v>
      </c>
      <c r="AB2230" t="s">
        <v>2509</v>
      </c>
      <c r="AC2230" t="s">
        <v>2571</v>
      </c>
      <c r="AD2230" t="s">
        <v>717</v>
      </c>
      <c r="AE2230" t="s">
        <v>9621</v>
      </c>
      <c r="AF2230" t="s">
        <v>9622</v>
      </c>
      <c r="AG2230" t="s">
        <v>9623</v>
      </c>
      <c r="AH2230" t="s">
        <v>2615</v>
      </c>
      <c r="AI2230" t="s">
        <v>2552</v>
      </c>
      <c r="AJ2230" t="s">
        <v>2895</v>
      </c>
      <c r="AK2230" t="s">
        <v>14</v>
      </c>
      <c r="AL2230" t="s">
        <v>16</v>
      </c>
      <c r="AM2230" t="s">
        <v>10</v>
      </c>
      <c r="AN2230" t="s">
        <v>717</v>
      </c>
    </row>
    <row r="2231" spans="1:40" hidden="1">
      <c r="A2231">
        <v>2230</v>
      </c>
      <c r="B2231">
        <v>3</v>
      </c>
      <c r="C2231" s="58">
        <v>45310</v>
      </c>
      <c r="D2231" t="s">
        <v>7</v>
      </c>
      <c r="E2231" t="s">
        <v>2506</v>
      </c>
      <c r="F2231">
        <v>3</v>
      </c>
      <c r="G2231">
        <v>9</v>
      </c>
      <c r="H2231">
        <v>179</v>
      </c>
      <c r="I2231">
        <v>1</v>
      </c>
      <c r="J2231">
        <v>35.380000000000003</v>
      </c>
      <c r="K2231" t="s">
        <v>15</v>
      </c>
      <c r="L2231">
        <v>4386950</v>
      </c>
      <c r="M2231">
        <v>0</v>
      </c>
      <c r="N2231">
        <v>4386950</v>
      </c>
      <c r="O2231">
        <v>123995.19502543808</v>
      </c>
      <c r="P2231">
        <v>265350</v>
      </c>
      <c r="Q2231">
        <v>4121600</v>
      </c>
      <c r="R2231">
        <v>116495.19502543808</v>
      </c>
      <c r="S2231" t="s">
        <v>65</v>
      </c>
      <c r="T2231" t="s">
        <v>717</v>
      </c>
      <c r="U2231" t="s">
        <v>717</v>
      </c>
      <c r="V2231" t="s">
        <v>4131</v>
      </c>
      <c r="W2231">
        <v>45306</v>
      </c>
      <c r="X2231" t="s">
        <v>9624</v>
      </c>
      <c r="Y2231" t="s">
        <v>6</v>
      </c>
      <c r="Z2231" t="s">
        <v>17</v>
      </c>
      <c r="AA2231" t="s">
        <v>6637</v>
      </c>
      <c r="AB2231" t="s">
        <v>2509</v>
      </c>
      <c r="AC2231" t="s">
        <v>2571</v>
      </c>
      <c r="AD2231" t="s">
        <v>717</v>
      </c>
      <c r="AE2231" t="s">
        <v>9625</v>
      </c>
      <c r="AF2231" t="s">
        <v>9626</v>
      </c>
      <c r="AG2231" t="s">
        <v>9627</v>
      </c>
      <c r="AH2231" t="s">
        <v>6100</v>
      </c>
      <c r="AI2231" t="s">
        <v>6554</v>
      </c>
      <c r="AJ2231" t="s">
        <v>9351</v>
      </c>
      <c r="AK2231" t="s">
        <v>20</v>
      </c>
      <c r="AL2231" t="s">
        <v>16</v>
      </c>
      <c r="AM2231" t="s">
        <v>5654</v>
      </c>
      <c r="AN2231" t="s">
        <v>717</v>
      </c>
    </row>
    <row r="2232" spans="1:40" hidden="1">
      <c r="A2232">
        <v>2231</v>
      </c>
      <c r="B2232">
        <v>4</v>
      </c>
      <c r="C2232" s="58">
        <v>45310</v>
      </c>
      <c r="D2232" t="s">
        <v>7</v>
      </c>
      <c r="E2232" t="s">
        <v>4409</v>
      </c>
      <c r="F2232">
        <v>5</v>
      </c>
      <c r="G2232">
        <v>3</v>
      </c>
      <c r="H2232">
        <v>415</v>
      </c>
      <c r="I2232">
        <v>2</v>
      </c>
      <c r="J2232">
        <v>56.04</v>
      </c>
      <c r="K2232" t="s">
        <v>15</v>
      </c>
      <c r="L2232">
        <v>5503585</v>
      </c>
      <c r="M2232">
        <v>0</v>
      </c>
      <c r="N2232">
        <v>5503585</v>
      </c>
      <c r="O2232">
        <v>98208.154889364741</v>
      </c>
      <c r="P2232">
        <v>420300</v>
      </c>
      <c r="Q2232">
        <v>5083285</v>
      </c>
      <c r="R2232">
        <v>90708.154889364741</v>
      </c>
      <c r="S2232" t="s">
        <v>2507</v>
      </c>
      <c r="T2232" t="s">
        <v>9628</v>
      </c>
      <c r="U2232">
        <v>157215</v>
      </c>
      <c r="V2232" t="s">
        <v>717</v>
      </c>
      <c r="W2232">
        <v>45306</v>
      </c>
      <c r="X2232" t="s">
        <v>9629</v>
      </c>
      <c r="Y2232" t="s">
        <v>6</v>
      </c>
      <c r="Z2232" t="s">
        <v>17</v>
      </c>
      <c r="AA2232" t="s">
        <v>6637</v>
      </c>
      <c r="AB2232" t="s">
        <v>2509</v>
      </c>
      <c r="AC2232" t="s">
        <v>717</v>
      </c>
      <c r="AD2232" t="s">
        <v>717</v>
      </c>
      <c r="AE2232" t="s">
        <v>9630</v>
      </c>
      <c r="AF2232" t="s">
        <v>9631</v>
      </c>
      <c r="AG2232" t="s">
        <v>9632</v>
      </c>
      <c r="AH2232" t="s">
        <v>2191</v>
      </c>
      <c r="AI2232" t="s">
        <v>2552</v>
      </c>
      <c r="AJ2232" t="s">
        <v>2514</v>
      </c>
      <c r="AK2232" t="s">
        <v>20</v>
      </c>
      <c r="AL2232" t="s">
        <v>717</v>
      </c>
      <c r="AM2232" t="s">
        <v>10</v>
      </c>
      <c r="AN2232" t="s">
        <v>717</v>
      </c>
    </row>
    <row r="2233" spans="1:40" hidden="1">
      <c r="A2233">
        <v>2232</v>
      </c>
      <c r="B2233">
        <v>5</v>
      </c>
      <c r="C2233" s="58">
        <v>45310</v>
      </c>
      <c r="D2233" t="s">
        <v>7</v>
      </c>
      <c r="E2233" t="s">
        <v>2581</v>
      </c>
      <c r="F2233">
        <v>3</v>
      </c>
      <c r="G2233">
        <v>14</v>
      </c>
      <c r="H2233">
        <v>327</v>
      </c>
      <c r="I2233">
        <v>0</v>
      </c>
      <c r="J2233">
        <v>36.450000000000003</v>
      </c>
      <c r="K2233" t="s">
        <v>9</v>
      </c>
      <c r="L2233">
        <v>3882800</v>
      </c>
      <c r="M2233">
        <v>0</v>
      </c>
      <c r="N2233">
        <v>3882800</v>
      </c>
      <c r="O2233">
        <v>106524.00548696844</v>
      </c>
      <c r="P2233">
        <v>0</v>
      </c>
      <c r="Q2233">
        <v>3882800</v>
      </c>
      <c r="R2233">
        <v>106524.00548696844</v>
      </c>
      <c r="S2233" t="s">
        <v>65</v>
      </c>
      <c r="T2233" t="s">
        <v>717</v>
      </c>
      <c r="U2233" t="s">
        <v>717</v>
      </c>
      <c r="V2233" t="s">
        <v>6312</v>
      </c>
      <c r="W2233">
        <v>45306</v>
      </c>
      <c r="X2233" t="s">
        <v>9633</v>
      </c>
      <c r="Y2233" t="s">
        <v>6</v>
      </c>
      <c r="Z2233" t="s">
        <v>17</v>
      </c>
      <c r="AA2233" t="s">
        <v>6637</v>
      </c>
      <c r="AB2233" t="s">
        <v>2509</v>
      </c>
      <c r="AC2233" t="s">
        <v>2571</v>
      </c>
      <c r="AD2233" t="s">
        <v>717</v>
      </c>
      <c r="AE2233" t="s">
        <v>9634</v>
      </c>
      <c r="AF2233" t="s">
        <v>9635</v>
      </c>
      <c r="AG2233" t="s">
        <v>9636</v>
      </c>
      <c r="AH2233" t="s">
        <v>2615</v>
      </c>
      <c r="AI2233" t="s">
        <v>2538</v>
      </c>
      <c r="AJ2233" t="s">
        <v>2569</v>
      </c>
      <c r="AK2233" t="s">
        <v>14</v>
      </c>
      <c r="AL2233" t="s">
        <v>16</v>
      </c>
      <c r="AM2233" t="s">
        <v>10</v>
      </c>
      <c r="AN2233" t="s">
        <v>717</v>
      </c>
    </row>
    <row r="2234" spans="1:40" hidden="1">
      <c r="A2234">
        <v>2233</v>
      </c>
      <c r="B2234">
        <v>6</v>
      </c>
      <c r="C2234" s="58">
        <v>45311</v>
      </c>
      <c r="D2234" t="s">
        <v>7</v>
      </c>
      <c r="E2234" t="s">
        <v>2506</v>
      </c>
      <c r="F2234">
        <v>4</v>
      </c>
      <c r="G2234">
        <v>12</v>
      </c>
      <c r="H2234">
        <v>204</v>
      </c>
      <c r="I2234">
        <v>1</v>
      </c>
      <c r="J2234">
        <v>37.81</v>
      </c>
      <c r="K2234" t="s">
        <v>15</v>
      </c>
      <c r="L2234">
        <v>4588575</v>
      </c>
      <c r="M2234">
        <v>0</v>
      </c>
      <c r="N2234">
        <v>4588575</v>
      </c>
      <c r="O2234">
        <v>121358.76752181962</v>
      </c>
      <c r="P2234">
        <v>283575</v>
      </c>
      <c r="Q2234">
        <v>4305000</v>
      </c>
      <c r="R2234">
        <v>113858.76752181962</v>
      </c>
      <c r="S2234" t="s">
        <v>65</v>
      </c>
      <c r="T2234" t="s">
        <v>717</v>
      </c>
      <c r="U2234" t="s">
        <v>717</v>
      </c>
      <c r="V2234" t="s">
        <v>4131</v>
      </c>
      <c r="W2234">
        <v>45306</v>
      </c>
      <c r="X2234" t="s">
        <v>9637</v>
      </c>
      <c r="Y2234" t="s">
        <v>6</v>
      </c>
      <c r="Z2234" t="s">
        <v>17</v>
      </c>
      <c r="AA2234" t="s">
        <v>6637</v>
      </c>
      <c r="AB2234" t="s">
        <v>2509</v>
      </c>
      <c r="AC2234" t="s">
        <v>2571</v>
      </c>
      <c r="AD2234" t="s">
        <v>717</v>
      </c>
      <c r="AE2234" t="s">
        <v>9638</v>
      </c>
      <c r="AF2234" t="s">
        <v>9639</v>
      </c>
      <c r="AG2234" t="s">
        <v>9640</v>
      </c>
      <c r="AH2234" t="s">
        <v>2615</v>
      </c>
      <c r="AI2234" t="s">
        <v>2538</v>
      </c>
      <c r="AJ2234" t="s">
        <v>2825</v>
      </c>
      <c r="AK2234" t="s">
        <v>20</v>
      </c>
      <c r="AL2234" t="s">
        <v>16</v>
      </c>
      <c r="AM2234" t="s">
        <v>10</v>
      </c>
      <c r="AN2234" t="s">
        <v>717</v>
      </c>
    </row>
    <row r="2235" spans="1:40" hidden="1">
      <c r="A2235">
        <v>2234</v>
      </c>
      <c r="B2235">
        <v>7</v>
      </c>
      <c r="C2235" s="58">
        <v>45311</v>
      </c>
      <c r="D2235" t="s">
        <v>7</v>
      </c>
      <c r="E2235" t="s">
        <v>2506</v>
      </c>
      <c r="F2235">
        <v>7</v>
      </c>
      <c r="G2235">
        <v>16</v>
      </c>
      <c r="H2235">
        <v>239</v>
      </c>
      <c r="I2235">
        <v>3</v>
      </c>
      <c r="J2235">
        <v>78.73</v>
      </c>
      <c r="K2235" t="s">
        <v>9</v>
      </c>
      <c r="L2235">
        <v>7374061.5</v>
      </c>
      <c r="M2235">
        <v>0</v>
      </c>
      <c r="N2235">
        <v>7374061.5</v>
      </c>
      <c r="O2235">
        <v>93662.663533595827</v>
      </c>
      <c r="P2235">
        <v>0</v>
      </c>
      <c r="Q2235">
        <v>7374061.5</v>
      </c>
      <c r="R2235">
        <v>93662.663533595827</v>
      </c>
      <c r="S2235" t="s">
        <v>2507</v>
      </c>
      <c r="T2235" t="s">
        <v>5768</v>
      </c>
      <c r="U2235">
        <v>587138.5</v>
      </c>
      <c r="V2235" t="s">
        <v>717</v>
      </c>
      <c r="W2235">
        <v>45309</v>
      </c>
      <c r="X2235" t="s">
        <v>9641</v>
      </c>
      <c r="Y2235" t="s">
        <v>6</v>
      </c>
      <c r="Z2235" t="s">
        <v>17</v>
      </c>
      <c r="AA2235" t="s">
        <v>6637</v>
      </c>
      <c r="AB2235" t="s">
        <v>2509</v>
      </c>
      <c r="AC2235" t="s">
        <v>717</v>
      </c>
      <c r="AD2235" t="s">
        <v>717</v>
      </c>
      <c r="AE2235" t="s">
        <v>9642</v>
      </c>
      <c r="AF2235" t="s">
        <v>9643</v>
      </c>
      <c r="AG2235" t="s">
        <v>9644</v>
      </c>
      <c r="AH2235" t="s">
        <v>2615</v>
      </c>
      <c r="AI2235" t="s">
        <v>2847</v>
      </c>
      <c r="AJ2235" t="s">
        <v>2940</v>
      </c>
      <c r="AK2235" t="s">
        <v>8</v>
      </c>
      <c r="AL2235" t="s">
        <v>717</v>
      </c>
      <c r="AM2235" t="s">
        <v>10</v>
      </c>
      <c r="AN2235" t="s">
        <v>717</v>
      </c>
    </row>
    <row r="2236" spans="1:40" hidden="1">
      <c r="A2236">
        <v>2235</v>
      </c>
      <c r="B2236">
        <v>8</v>
      </c>
      <c r="C2236" s="58">
        <v>45315</v>
      </c>
      <c r="D2236" t="s">
        <v>13</v>
      </c>
      <c r="E2236" t="s">
        <v>4409</v>
      </c>
      <c r="F2236">
        <v>7</v>
      </c>
      <c r="G2236">
        <v>18</v>
      </c>
      <c r="H2236">
        <v>531</v>
      </c>
      <c r="I2236">
        <v>3</v>
      </c>
      <c r="J2236">
        <v>79.44</v>
      </c>
      <c r="K2236" t="s">
        <v>21</v>
      </c>
      <c r="L2236">
        <v>7644980</v>
      </c>
      <c r="M2236">
        <v>0</v>
      </c>
      <c r="N2236">
        <v>7644980</v>
      </c>
      <c r="O2236">
        <v>96235.901309164154</v>
      </c>
      <c r="P2236">
        <v>556080</v>
      </c>
      <c r="Q2236">
        <v>7088900</v>
      </c>
      <c r="R2236">
        <v>89235.901309164154</v>
      </c>
      <c r="S2236" t="s">
        <v>65</v>
      </c>
      <c r="T2236" t="s">
        <v>717</v>
      </c>
      <c r="U2236" t="s">
        <v>717</v>
      </c>
      <c r="V2236" t="s">
        <v>6312</v>
      </c>
      <c r="W2236">
        <v>45306</v>
      </c>
      <c r="X2236" t="s">
        <v>9645</v>
      </c>
      <c r="Y2236" t="s">
        <v>6</v>
      </c>
      <c r="Z2236" t="s">
        <v>17</v>
      </c>
      <c r="AA2236" t="s">
        <v>6637</v>
      </c>
      <c r="AB2236" t="s">
        <v>2509</v>
      </c>
      <c r="AC2236" t="s">
        <v>2571</v>
      </c>
      <c r="AD2236" t="s">
        <v>717</v>
      </c>
      <c r="AE2236" t="s">
        <v>9646</v>
      </c>
      <c r="AF2236" t="s">
        <v>9647</v>
      </c>
      <c r="AG2236" t="s">
        <v>9648</v>
      </c>
      <c r="AH2236" t="s">
        <v>2615</v>
      </c>
      <c r="AI2236" t="s">
        <v>2847</v>
      </c>
      <c r="AJ2236" t="s">
        <v>2940</v>
      </c>
      <c r="AK2236" t="s">
        <v>1867</v>
      </c>
      <c r="AL2236" t="s">
        <v>16</v>
      </c>
      <c r="AM2236" t="s">
        <v>10</v>
      </c>
      <c r="AN2236" t="s">
        <v>717</v>
      </c>
    </row>
    <row r="2237" spans="1:40" hidden="1">
      <c r="A2237">
        <v>2236</v>
      </c>
      <c r="B2237">
        <v>9</v>
      </c>
      <c r="C2237" s="58">
        <v>45315</v>
      </c>
      <c r="D2237" t="s">
        <v>13</v>
      </c>
      <c r="E2237" t="s">
        <v>2506</v>
      </c>
      <c r="F2237">
        <v>6</v>
      </c>
      <c r="G2237">
        <v>6</v>
      </c>
      <c r="H2237">
        <v>151</v>
      </c>
      <c r="I2237">
        <v>3</v>
      </c>
      <c r="J2237">
        <v>84.99</v>
      </c>
      <c r="K2237" t="s">
        <v>21</v>
      </c>
      <c r="L2237">
        <v>7474866</v>
      </c>
      <c r="M2237">
        <v>0</v>
      </c>
      <c r="N2237">
        <v>7474866</v>
      </c>
      <c r="O2237">
        <v>87949.947052594434</v>
      </c>
      <c r="P2237">
        <v>594930</v>
      </c>
      <c r="Q2237">
        <v>6879936</v>
      </c>
      <c r="R2237">
        <v>80949.947052594434</v>
      </c>
      <c r="S2237" t="s">
        <v>65</v>
      </c>
      <c r="T2237" t="s">
        <v>5768</v>
      </c>
      <c r="U2237">
        <v>286664</v>
      </c>
      <c r="V2237" t="s">
        <v>6312</v>
      </c>
      <c r="W2237">
        <v>45313</v>
      </c>
      <c r="X2237" t="s">
        <v>9649</v>
      </c>
      <c r="Y2237" t="s">
        <v>6</v>
      </c>
      <c r="Z2237" t="s">
        <v>17</v>
      </c>
      <c r="AA2237" t="s">
        <v>6637</v>
      </c>
      <c r="AB2237" t="s">
        <v>2509</v>
      </c>
      <c r="AC2237" t="s">
        <v>2571</v>
      </c>
      <c r="AD2237" t="s">
        <v>717</v>
      </c>
      <c r="AE2237" t="s">
        <v>9650</v>
      </c>
      <c r="AF2237" t="s">
        <v>9651</v>
      </c>
      <c r="AG2237" t="s">
        <v>9652</v>
      </c>
      <c r="AH2237" t="s">
        <v>2191</v>
      </c>
      <c r="AI2237" t="s">
        <v>2552</v>
      </c>
      <c r="AJ2237" t="s">
        <v>2514</v>
      </c>
      <c r="AK2237" t="s">
        <v>20</v>
      </c>
      <c r="AL2237" t="s">
        <v>22</v>
      </c>
      <c r="AM2237" t="s">
        <v>10</v>
      </c>
      <c r="AN2237" t="s">
        <v>717</v>
      </c>
    </row>
    <row r="2238" spans="1:40" hidden="1">
      <c r="A2238">
        <v>2237</v>
      </c>
      <c r="B2238">
        <v>10</v>
      </c>
      <c r="C2238" s="58">
        <v>45315</v>
      </c>
      <c r="D2238" t="s">
        <v>7</v>
      </c>
      <c r="E2238" t="s">
        <v>2581</v>
      </c>
      <c r="F2238">
        <v>2</v>
      </c>
      <c r="G2238">
        <v>3</v>
      </c>
      <c r="H2238">
        <v>249</v>
      </c>
      <c r="I2238">
        <v>2</v>
      </c>
      <c r="J2238">
        <v>67.95</v>
      </c>
      <c r="K2238" t="s">
        <v>15</v>
      </c>
      <c r="L2238">
        <v>6563225</v>
      </c>
      <c r="M2238">
        <v>0</v>
      </c>
      <c r="N2238">
        <v>6563225</v>
      </c>
      <c r="O2238">
        <v>96589.036055923469</v>
      </c>
      <c r="P2238">
        <v>509625</v>
      </c>
      <c r="Q2238">
        <v>6053600</v>
      </c>
      <c r="R2238">
        <v>89089.036055923469</v>
      </c>
      <c r="S2238" t="s">
        <v>2507</v>
      </c>
      <c r="T2238" t="s">
        <v>2941</v>
      </c>
      <c r="U2238">
        <v>200000</v>
      </c>
      <c r="V2238" t="s">
        <v>717</v>
      </c>
      <c r="W2238">
        <v>45313</v>
      </c>
      <c r="X2238" t="s">
        <v>9653</v>
      </c>
      <c r="Y2238" t="s">
        <v>6</v>
      </c>
      <c r="Z2238" t="s">
        <v>17</v>
      </c>
      <c r="AA2238" t="s">
        <v>6637</v>
      </c>
      <c r="AB2238" t="s">
        <v>2509</v>
      </c>
      <c r="AC2238" t="s">
        <v>717</v>
      </c>
      <c r="AD2238" t="s">
        <v>717</v>
      </c>
      <c r="AE2238" t="s">
        <v>9654</v>
      </c>
      <c r="AF2238" t="s">
        <v>9655</v>
      </c>
      <c r="AG2238" t="s">
        <v>9656</v>
      </c>
      <c r="AH2238" t="s">
        <v>2191</v>
      </c>
      <c r="AI2238" t="s">
        <v>2538</v>
      </c>
      <c r="AJ2238" t="s">
        <v>2514</v>
      </c>
      <c r="AK2238" t="s">
        <v>1867</v>
      </c>
      <c r="AL2238" t="s">
        <v>717</v>
      </c>
      <c r="AM2238" t="s">
        <v>10</v>
      </c>
      <c r="AN2238" t="s">
        <v>717</v>
      </c>
    </row>
    <row r="2239" spans="1:40" hidden="1">
      <c r="A2239">
        <v>2238</v>
      </c>
      <c r="B2239">
        <v>11</v>
      </c>
      <c r="C2239" s="58">
        <v>45316</v>
      </c>
      <c r="D2239" t="s">
        <v>7</v>
      </c>
      <c r="E2239" t="s">
        <v>2506</v>
      </c>
      <c r="F2239">
        <v>2</v>
      </c>
      <c r="G2239">
        <v>2</v>
      </c>
      <c r="H2239">
        <v>122</v>
      </c>
      <c r="I2239">
        <v>2</v>
      </c>
      <c r="J2239">
        <v>68.75</v>
      </c>
      <c r="K2239" t="s">
        <v>15</v>
      </c>
      <c r="L2239">
        <v>6533450</v>
      </c>
      <c r="M2239">
        <v>0</v>
      </c>
      <c r="N2239">
        <v>6533450</v>
      </c>
      <c r="O2239">
        <v>95032</v>
      </c>
      <c r="P2239">
        <v>515625</v>
      </c>
      <c r="Q2239">
        <v>6017825</v>
      </c>
      <c r="R2239">
        <v>87532</v>
      </c>
      <c r="S2239" t="s">
        <v>65</v>
      </c>
      <c r="T2239" t="s">
        <v>5443</v>
      </c>
      <c r="U2239">
        <v>309375</v>
      </c>
      <c r="V2239" t="s">
        <v>6312</v>
      </c>
      <c r="W2239">
        <v>45309</v>
      </c>
      <c r="X2239" t="s">
        <v>9657</v>
      </c>
      <c r="Y2239" t="s">
        <v>6</v>
      </c>
      <c r="Z2239" t="s">
        <v>17</v>
      </c>
      <c r="AA2239" t="s">
        <v>6637</v>
      </c>
      <c r="AB2239" t="s">
        <v>2509</v>
      </c>
      <c r="AC2239" t="s">
        <v>2571</v>
      </c>
      <c r="AD2239" t="s">
        <v>717</v>
      </c>
      <c r="AE2239" t="s">
        <v>9658</v>
      </c>
      <c r="AF2239" t="s">
        <v>9659</v>
      </c>
      <c r="AG2239" t="s">
        <v>9660</v>
      </c>
      <c r="AH2239" t="s">
        <v>2552</v>
      </c>
      <c r="AI2239" t="s">
        <v>2547</v>
      </c>
      <c r="AJ2239" t="s">
        <v>2855</v>
      </c>
      <c r="AK2239" t="s">
        <v>14</v>
      </c>
      <c r="AL2239" t="s">
        <v>22</v>
      </c>
      <c r="AM2239" t="s">
        <v>10</v>
      </c>
      <c r="AN2239" t="s">
        <v>717</v>
      </c>
    </row>
    <row r="2240" spans="1:40" hidden="1">
      <c r="A2240">
        <v>2239</v>
      </c>
      <c r="B2240">
        <v>12</v>
      </c>
      <c r="C2240" s="58">
        <v>45316</v>
      </c>
      <c r="D2240" t="s">
        <v>7</v>
      </c>
      <c r="E2240" t="s">
        <v>2506</v>
      </c>
      <c r="F2240">
        <v>6</v>
      </c>
      <c r="G2240">
        <v>9</v>
      </c>
      <c r="H2240">
        <v>182</v>
      </c>
      <c r="I2240">
        <v>1</v>
      </c>
      <c r="J2240">
        <v>36.659999999999997</v>
      </c>
      <c r="K2240" t="s">
        <v>25</v>
      </c>
      <c r="L2240">
        <v>5118720</v>
      </c>
      <c r="M2240">
        <v>0</v>
      </c>
      <c r="N2240">
        <v>5118720</v>
      </c>
      <c r="O2240">
        <v>139626.84124386252</v>
      </c>
      <c r="P2240">
        <v>806520</v>
      </c>
      <c r="Q2240">
        <v>4312200</v>
      </c>
      <c r="R2240">
        <v>117626.84124386254</v>
      </c>
      <c r="S2240" t="s">
        <v>65</v>
      </c>
      <c r="T2240" t="s">
        <v>717</v>
      </c>
      <c r="U2240" t="s">
        <v>717</v>
      </c>
      <c r="V2240" t="s">
        <v>6312</v>
      </c>
      <c r="W2240">
        <v>45309</v>
      </c>
      <c r="X2240" t="s">
        <v>9661</v>
      </c>
      <c r="Y2240" t="s">
        <v>6</v>
      </c>
      <c r="Z2240" t="s">
        <v>17</v>
      </c>
      <c r="AA2240" t="s">
        <v>6637</v>
      </c>
      <c r="AB2240" t="s">
        <v>2509</v>
      </c>
      <c r="AC2240" t="s">
        <v>2571</v>
      </c>
      <c r="AD2240" t="s">
        <v>717</v>
      </c>
      <c r="AE2240" t="s">
        <v>9662</v>
      </c>
      <c r="AF2240" t="s">
        <v>9663</v>
      </c>
      <c r="AG2240" t="s">
        <v>9664</v>
      </c>
      <c r="AH2240" t="s">
        <v>2552</v>
      </c>
      <c r="AI2240" t="s">
        <v>2877</v>
      </c>
      <c r="AJ2240" t="s">
        <v>3098</v>
      </c>
      <c r="AK2240" t="s">
        <v>77</v>
      </c>
      <c r="AL2240" t="s">
        <v>16</v>
      </c>
      <c r="AM2240" t="s">
        <v>10</v>
      </c>
      <c r="AN2240" t="s">
        <v>717</v>
      </c>
    </row>
    <row r="2241" spans="1:40" hidden="1">
      <c r="A2241">
        <v>2240</v>
      </c>
      <c r="B2241">
        <v>13</v>
      </c>
      <c r="C2241" s="58">
        <v>45320</v>
      </c>
      <c r="D2241" t="s">
        <v>7</v>
      </c>
      <c r="E2241" t="s">
        <v>4409</v>
      </c>
      <c r="F2241">
        <v>7</v>
      </c>
      <c r="G2241">
        <v>5</v>
      </c>
      <c r="H2241">
        <v>435</v>
      </c>
      <c r="I2241">
        <v>2</v>
      </c>
      <c r="J2241">
        <v>67.489999999999995</v>
      </c>
      <c r="K2241" t="s">
        <v>9</v>
      </c>
      <c r="L2241">
        <v>6458400</v>
      </c>
      <c r="M2241">
        <v>0</v>
      </c>
      <c r="N2241">
        <v>6458400</v>
      </c>
      <c r="O2241">
        <v>95694.176915098535</v>
      </c>
      <c r="P2241">
        <v>0</v>
      </c>
      <c r="Q2241">
        <v>6458400</v>
      </c>
      <c r="R2241">
        <v>95694.176915098535</v>
      </c>
      <c r="S2241" t="s">
        <v>65</v>
      </c>
      <c r="T2241" t="s">
        <v>717</v>
      </c>
      <c r="U2241" t="s">
        <v>717</v>
      </c>
      <c r="V2241" t="s">
        <v>6312</v>
      </c>
      <c r="W2241">
        <v>45309</v>
      </c>
      <c r="X2241" t="s">
        <v>9665</v>
      </c>
      <c r="Y2241" t="s">
        <v>6</v>
      </c>
      <c r="Z2241" t="s">
        <v>17</v>
      </c>
      <c r="AA2241" t="s">
        <v>6637</v>
      </c>
      <c r="AB2241" t="s">
        <v>2509</v>
      </c>
      <c r="AC2241" t="s">
        <v>2571</v>
      </c>
      <c r="AD2241" t="s">
        <v>717</v>
      </c>
      <c r="AE2241" t="s">
        <v>9666</v>
      </c>
      <c r="AF2241" t="s">
        <v>9667</v>
      </c>
      <c r="AG2241" t="s">
        <v>9668</v>
      </c>
      <c r="AH2241" t="s">
        <v>2615</v>
      </c>
      <c r="AI2241" t="s">
        <v>2706</v>
      </c>
      <c r="AJ2241" t="s">
        <v>3289</v>
      </c>
      <c r="AK2241" t="s">
        <v>8</v>
      </c>
      <c r="AL2241" t="s">
        <v>16</v>
      </c>
      <c r="AM2241" t="s">
        <v>10</v>
      </c>
      <c r="AN2241" t="s">
        <v>717</v>
      </c>
    </row>
    <row r="2242" spans="1:40" hidden="1">
      <c r="A2242">
        <v>2241</v>
      </c>
      <c r="B2242">
        <v>14</v>
      </c>
      <c r="C2242" s="58">
        <v>45320</v>
      </c>
      <c r="D2242" t="s">
        <v>7</v>
      </c>
      <c r="E2242" t="s">
        <v>2506</v>
      </c>
      <c r="F2242">
        <v>4</v>
      </c>
      <c r="G2242">
        <v>7</v>
      </c>
      <c r="H2242">
        <v>164</v>
      </c>
      <c r="I2242">
        <v>1</v>
      </c>
      <c r="J2242">
        <v>37.81</v>
      </c>
      <c r="K2242" t="s">
        <v>9</v>
      </c>
      <c r="L2242">
        <v>4304939.22</v>
      </c>
      <c r="M2242">
        <v>0</v>
      </c>
      <c r="N2242">
        <v>4304939.22</v>
      </c>
      <c r="O2242">
        <v>113857.1600105792</v>
      </c>
      <c r="P2242">
        <v>0</v>
      </c>
      <c r="Q2242">
        <v>4304939.22</v>
      </c>
      <c r="R2242">
        <v>113857.1600105792</v>
      </c>
      <c r="S2242" t="s">
        <v>65</v>
      </c>
      <c r="T2242" t="s">
        <v>717</v>
      </c>
      <c r="U2242" t="s">
        <v>717</v>
      </c>
      <c r="V2242" t="s">
        <v>4131</v>
      </c>
      <c r="W2242">
        <v>45310</v>
      </c>
      <c r="X2242" t="s">
        <v>9669</v>
      </c>
      <c r="Y2242" t="s">
        <v>6</v>
      </c>
      <c r="Z2242" t="s">
        <v>17</v>
      </c>
      <c r="AA2242" t="s">
        <v>6637</v>
      </c>
      <c r="AB2242" t="s">
        <v>2509</v>
      </c>
      <c r="AC2242" t="s">
        <v>2571</v>
      </c>
      <c r="AD2242" t="s">
        <v>717</v>
      </c>
      <c r="AE2242" t="s">
        <v>9670</v>
      </c>
      <c r="AF2242" t="s">
        <v>9671</v>
      </c>
      <c r="AG2242" t="s">
        <v>9672</v>
      </c>
      <c r="AH2242" t="s">
        <v>2615</v>
      </c>
      <c r="AI2242" t="s">
        <v>2521</v>
      </c>
      <c r="AJ2242" t="s">
        <v>4799</v>
      </c>
      <c r="AK2242" t="s">
        <v>8</v>
      </c>
      <c r="AL2242" t="s">
        <v>16</v>
      </c>
      <c r="AM2242" t="s">
        <v>10</v>
      </c>
      <c r="AN2242" t="s">
        <v>717</v>
      </c>
    </row>
    <row r="2243" spans="1:40" hidden="1">
      <c r="A2243">
        <v>2242</v>
      </c>
      <c r="B2243">
        <v>15</v>
      </c>
      <c r="C2243" s="58">
        <v>45321</v>
      </c>
      <c r="D2243" t="s">
        <v>13</v>
      </c>
      <c r="E2243" t="s">
        <v>2581</v>
      </c>
      <c r="F2243">
        <v>2</v>
      </c>
      <c r="G2243">
        <v>4</v>
      </c>
      <c r="H2243">
        <v>244</v>
      </c>
      <c r="I2243">
        <v>0</v>
      </c>
      <c r="J2243">
        <v>24.53</v>
      </c>
      <c r="K2243" t="s">
        <v>25</v>
      </c>
      <c r="L2243">
        <v>3510360</v>
      </c>
      <c r="M2243">
        <v>0</v>
      </c>
      <c r="N2243">
        <v>3510360</v>
      </c>
      <c r="O2243">
        <v>143104.76966979209</v>
      </c>
      <c r="P2243">
        <v>588720</v>
      </c>
      <c r="Q2243">
        <v>2921640</v>
      </c>
      <c r="R2243">
        <v>119104.76966979208</v>
      </c>
      <c r="S2243" t="s">
        <v>65</v>
      </c>
      <c r="T2243" t="s">
        <v>4059</v>
      </c>
      <c r="U2243">
        <v>90360</v>
      </c>
      <c r="V2243" t="s">
        <v>6312</v>
      </c>
      <c r="W2243">
        <v>45315</v>
      </c>
      <c r="X2243" t="s">
        <v>9673</v>
      </c>
      <c r="Y2243" t="s">
        <v>6</v>
      </c>
      <c r="Z2243" t="s">
        <v>17</v>
      </c>
      <c r="AA2243" t="s">
        <v>6637</v>
      </c>
      <c r="AB2243" t="s">
        <v>2509</v>
      </c>
      <c r="AC2243" t="s">
        <v>2571</v>
      </c>
      <c r="AD2243" t="s">
        <v>717</v>
      </c>
      <c r="AE2243" t="s">
        <v>9674</v>
      </c>
      <c r="AF2243" t="s">
        <v>9675</v>
      </c>
      <c r="AG2243" t="s">
        <v>9676</v>
      </c>
      <c r="AH2243" t="s">
        <v>6100</v>
      </c>
      <c r="AI2243" t="s">
        <v>5653</v>
      </c>
      <c r="AJ2243" t="s">
        <v>31</v>
      </c>
      <c r="AK2243" t="s">
        <v>20</v>
      </c>
      <c r="AL2243" t="s">
        <v>16</v>
      </c>
      <c r="AM2243" t="s">
        <v>5654</v>
      </c>
      <c r="AN2243" t="s">
        <v>7539</v>
      </c>
    </row>
    <row r="2244" spans="1:40" hidden="1">
      <c r="A2244">
        <v>2243</v>
      </c>
      <c r="B2244">
        <v>16</v>
      </c>
      <c r="C2244" s="58">
        <v>45321</v>
      </c>
      <c r="D2244" t="s">
        <v>13</v>
      </c>
      <c r="E2244" t="s">
        <v>2581</v>
      </c>
      <c r="F2244">
        <v>2</v>
      </c>
      <c r="G2244">
        <v>16</v>
      </c>
      <c r="H2244">
        <v>328</v>
      </c>
      <c r="I2244">
        <v>0</v>
      </c>
      <c r="J2244">
        <v>24.53</v>
      </c>
      <c r="K2244" t="s">
        <v>25</v>
      </c>
      <c r="L2244">
        <v>3409672</v>
      </c>
      <c r="M2244">
        <v>0</v>
      </c>
      <c r="N2244">
        <v>3409672</v>
      </c>
      <c r="O2244">
        <v>139000.08153281696</v>
      </c>
      <c r="P2244">
        <v>490600</v>
      </c>
      <c r="Q2244">
        <v>2919072</v>
      </c>
      <c r="R2244">
        <v>119000.08153281696</v>
      </c>
      <c r="S2244" t="s">
        <v>65</v>
      </c>
      <c r="T2244" t="s">
        <v>5768</v>
      </c>
      <c r="U2244">
        <v>121628.00000000048</v>
      </c>
      <c r="V2244" t="s">
        <v>6312</v>
      </c>
      <c r="W2244">
        <v>45320</v>
      </c>
      <c r="X2244" t="s">
        <v>9677</v>
      </c>
      <c r="Y2244" t="s">
        <v>6</v>
      </c>
      <c r="Z2244" t="s">
        <v>17</v>
      </c>
      <c r="AA2244" t="s">
        <v>6637</v>
      </c>
      <c r="AB2244" t="s">
        <v>2509</v>
      </c>
      <c r="AC2244" t="s">
        <v>2571</v>
      </c>
      <c r="AD2244" t="s">
        <v>717</v>
      </c>
      <c r="AE2244" t="s">
        <v>9678</v>
      </c>
      <c r="AF2244" t="s">
        <v>9679</v>
      </c>
      <c r="AG2244" t="s">
        <v>9680</v>
      </c>
      <c r="AH2244" t="s">
        <v>2191</v>
      </c>
      <c r="AI2244" t="s">
        <v>2656</v>
      </c>
      <c r="AJ2244" t="s">
        <v>2514</v>
      </c>
      <c r="AK2244" t="s">
        <v>14</v>
      </c>
      <c r="AL2244" t="s">
        <v>16</v>
      </c>
      <c r="AM2244" t="s">
        <v>10</v>
      </c>
      <c r="AN2244" t="s">
        <v>717</v>
      </c>
    </row>
    <row r="2245" spans="1:40" hidden="1">
      <c r="A2245">
        <v>2244</v>
      </c>
      <c r="B2245">
        <v>1</v>
      </c>
      <c r="C2245" s="58">
        <v>45328</v>
      </c>
      <c r="D2245" t="s">
        <v>13</v>
      </c>
      <c r="E2245" t="s">
        <v>4409</v>
      </c>
      <c r="F2245">
        <v>2</v>
      </c>
      <c r="G2245">
        <v>1</v>
      </c>
      <c r="H2245">
        <v>391</v>
      </c>
      <c r="I2245">
        <v>1</v>
      </c>
      <c r="J2245">
        <v>43.21</v>
      </c>
      <c r="K2245" t="s">
        <v>15</v>
      </c>
      <c r="L2245">
        <v>3638753.01</v>
      </c>
      <c r="M2245">
        <v>15000</v>
      </c>
      <c r="N2245">
        <v>3653753.01</v>
      </c>
      <c r="O2245">
        <v>84558.042351307566</v>
      </c>
      <c r="P2245">
        <v>194445</v>
      </c>
      <c r="Q2245">
        <v>3459308.01</v>
      </c>
      <c r="R2245">
        <v>80058.042351307566</v>
      </c>
      <c r="S2245" t="s">
        <v>65</v>
      </c>
      <c r="T2245" t="s">
        <v>5768</v>
      </c>
      <c r="U2245">
        <v>220806.89425531961</v>
      </c>
      <c r="V2245" t="s">
        <v>1970</v>
      </c>
      <c r="W2245">
        <v>45230</v>
      </c>
      <c r="X2245" t="s">
        <v>9681</v>
      </c>
      <c r="Y2245" t="s">
        <v>6</v>
      </c>
      <c r="Z2245" t="s">
        <v>17</v>
      </c>
      <c r="AA2245" t="s">
        <v>5617</v>
      </c>
      <c r="AB2245" t="s">
        <v>2509</v>
      </c>
      <c r="AC2245" t="s">
        <v>2558</v>
      </c>
      <c r="AD2245" t="s">
        <v>717</v>
      </c>
      <c r="AE2245" t="s">
        <v>9682</v>
      </c>
      <c r="AF2245" t="s">
        <v>9683</v>
      </c>
      <c r="AG2245" t="s">
        <v>9684</v>
      </c>
      <c r="AH2245" t="s">
        <v>2615</v>
      </c>
      <c r="AI2245" t="s">
        <v>2552</v>
      </c>
      <c r="AJ2245" t="s">
        <v>2662</v>
      </c>
      <c r="AK2245" t="s">
        <v>20</v>
      </c>
      <c r="AL2245" t="s">
        <v>16</v>
      </c>
      <c r="AM2245" t="s">
        <v>10</v>
      </c>
      <c r="AN2245" t="s">
        <v>717</v>
      </c>
    </row>
    <row r="2246" spans="1:40" hidden="1">
      <c r="A2246">
        <v>2245</v>
      </c>
      <c r="B2246">
        <v>2</v>
      </c>
      <c r="C2246" s="58">
        <v>45328</v>
      </c>
      <c r="D2246" t="s">
        <v>74</v>
      </c>
      <c r="E2246" t="s">
        <v>2515</v>
      </c>
      <c r="F2246">
        <v>1</v>
      </c>
      <c r="G2246">
        <v>1</v>
      </c>
      <c r="H2246">
        <v>1</v>
      </c>
      <c r="I2246">
        <v>1</v>
      </c>
      <c r="J2246">
        <v>89.8</v>
      </c>
      <c r="K2246" t="s">
        <v>9</v>
      </c>
      <c r="L2246">
        <v>8531000</v>
      </c>
      <c r="M2246">
        <v>0</v>
      </c>
      <c r="N2246">
        <v>8531000</v>
      </c>
      <c r="O2246">
        <v>95000</v>
      </c>
      <c r="P2246">
        <v>0</v>
      </c>
      <c r="Q2246">
        <v>8531000</v>
      </c>
      <c r="R2246">
        <v>95000</v>
      </c>
      <c r="S2246" t="s">
        <v>2507</v>
      </c>
      <c r="T2246" t="s">
        <v>2941</v>
      </c>
      <c r="U2246">
        <v>449000</v>
      </c>
      <c r="V2246" t="s">
        <v>717</v>
      </c>
      <c r="W2246">
        <v>45328</v>
      </c>
      <c r="X2246" t="s">
        <v>9685</v>
      </c>
      <c r="Y2246" t="s">
        <v>1368</v>
      </c>
      <c r="Z2246" t="s">
        <v>17</v>
      </c>
      <c r="AA2246" t="s">
        <v>6637</v>
      </c>
      <c r="AB2246" t="s">
        <v>326</v>
      </c>
      <c r="AC2246" t="s">
        <v>717</v>
      </c>
      <c r="AD2246" t="s">
        <v>717</v>
      </c>
      <c r="AE2246" t="s">
        <v>9686</v>
      </c>
      <c r="AF2246" t="s">
        <v>9687</v>
      </c>
      <c r="AG2246" t="s">
        <v>9688</v>
      </c>
      <c r="AH2246" t="s">
        <v>2191</v>
      </c>
      <c r="AI2246" t="s">
        <v>2531</v>
      </c>
      <c r="AJ2246" t="s">
        <v>2514</v>
      </c>
      <c r="AK2246" t="s">
        <v>29</v>
      </c>
      <c r="AL2246" t="s">
        <v>717</v>
      </c>
      <c r="AM2246" t="s">
        <v>10</v>
      </c>
      <c r="AN2246" t="s">
        <v>717</v>
      </c>
    </row>
    <row r="2247" spans="1:40" hidden="1">
      <c r="A2247">
        <v>2246</v>
      </c>
      <c r="B2247">
        <v>3</v>
      </c>
      <c r="C2247" s="58">
        <v>45329</v>
      </c>
      <c r="D2247" t="s">
        <v>7</v>
      </c>
      <c r="E2247" t="s">
        <v>2515</v>
      </c>
      <c r="F2247">
        <v>7</v>
      </c>
      <c r="G2247">
        <v>8</v>
      </c>
      <c r="H2247">
        <v>55</v>
      </c>
      <c r="I2247">
        <v>0</v>
      </c>
      <c r="J2247">
        <v>21.75</v>
      </c>
      <c r="K2247" t="s">
        <v>15</v>
      </c>
      <c r="L2247">
        <v>3171025</v>
      </c>
      <c r="M2247">
        <v>0</v>
      </c>
      <c r="N2247">
        <v>3171025</v>
      </c>
      <c r="O2247">
        <v>145794.25287356321</v>
      </c>
      <c r="P2247">
        <v>163125</v>
      </c>
      <c r="Q2247">
        <v>3007900</v>
      </c>
      <c r="R2247">
        <v>138294.25287356321</v>
      </c>
      <c r="S2247" t="s">
        <v>65</v>
      </c>
      <c r="T2247" t="s">
        <v>717</v>
      </c>
      <c r="U2247" t="s">
        <v>717</v>
      </c>
      <c r="V2247" t="s">
        <v>6312</v>
      </c>
      <c r="W2247">
        <v>45321</v>
      </c>
      <c r="X2247" t="s">
        <v>9689</v>
      </c>
      <c r="Y2247" t="s">
        <v>6</v>
      </c>
      <c r="Z2247" t="s">
        <v>17</v>
      </c>
      <c r="AA2247" t="s">
        <v>5617</v>
      </c>
      <c r="AB2247" t="s">
        <v>2509</v>
      </c>
      <c r="AC2247" t="s">
        <v>2558</v>
      </c>
      <c r="AD2247" t="s">
        <v>717</v>
      </c>
      <c r="AE2247" t="s">
        <v>9690</v>
      </c>
      <c r="AF2247" t="s">
        <v>9691</v>
      </c>
      <c r="AG2247" t="s">
        <v>9692</v>
      </c>
      <c r="AH2247" t="s">
        <v>2615</v>
      </c>
      <c r="AI2247" t="s">
        <v>2552</v>
      </c>
      <c r="AJ2247" t="s">
        <v>2895</v>
      </c>
      <c r="AK2247" t="s">
        <v>20</v>
      </c>
      <c r="AL2247" t="s">
        <v>16</v>
      </c>
      <c r="AM2247" t="s">
        <v>10</v>
      </c>
      <c r="AN2247" t="s">
        <v>717</v>
      </c>
    </row>
    <row r="2248" spans="1:40" hidden="1">
      <c r="A2248">
        <v>2247</v>
      </c>
      <c r="B2248">
        <v>4</v>
      </c>
      <c r="C2248" s="58">
        <v>45332</v>
      </c>
      <c r="D2248" t="s">
        <v>7</v>
      </c>
      <c r="E2248" t="s">
        <v>4409</v>
      </c>
      <c r="F2248">
        <v>2</v>
      </c>
      <c r="G2248">
        <v>9</v>
      </c>
      <c r="H2248">
        <v>466</v>
      </c>
      <c r="I2248">
        <v>1</v>
      </c>
      <c r="J2248">
        <v>38.6</v>
      </c>
      <c r="K2248" t="s">
        <v>9</v>
      </c>
      <c r="L2248">
        <v>4036170</v>
      </c>
      <c r="M2248">
        <v>0</v>
      </c>
      <c r="N2248">
        <v>4036170</v>
      </c>
      <c r="O2248">
        <v>104563.9896373057</v>
      </c>
      <c r="P2248">
        <v>0</v>
      </c>
      <c r="Q2248">
        <v>4036170</v>
      </c>
      <c r="R2248">
        <v>104563.9896373057</v>
      </c>
      <c r="S2248" t="s">
        <v>130</v>
      </c>
      <c r="T2248" t="s">
        <v>5768</v>
      </c>
      <c r="U2248">
        <v>124830.00000000048</v>
      </c>
      <c r="V2248" t="s">
        <v>717</v>
      </c>
      <c r="W2248">
        <v>45329</v>
      </c>
      <c r="X2248" t="s">
        <v>9693</v>
      </c>
      <c r="Y2248" t="s">
        <v>6</v>
      </c>
      <c r="Z2248" t="s">
        <v>17</v>
      </c>
      <c r="AA2248" t="s">
        <v>6637</v>
      </c>
      <c r="AB2248" t="s">
        <v>2509</v>
      </c>
      <c r="AC2248" t="s">
        <v>717</v>
      </c>
      <c r="AD2248" t="s">
        <v>717</v>
      </c>
      <c r="AE2248" t="s">
        <v>9694</v>
      </c>
      <c r="AF2248" t="s">
        <v>9695</v>
      </c>
      <c r="AG2248" t="s">
        <v>9696</v>
      </c>
      <c r="AH2248" t="s">
        <v>6100</v>
      </c>
      <c r="AI2248" t="s">
        <v>5653</v>
      </c>
      <c r="AJ2248" t="s">
        <v>31</v>
      </c>
      <c r="AK2248" t="s">
        <v>8</v>
      </c>
      <c r="AL2248" t="s">
        <v>717</v>
      </c>
      <c r="AM2248" t="s">
        <v>5654</v>
      </c>
      <c r="AN2248" t="s">
        <v>717</v>
      </c>
    </row>
    <row r="2249" spans="1:40" hidden="1">
      <c r="A2249">
        <v>2248</v>
      </c>
      <c r="B2249">
        <v>5</v>
      </c>
      <c r="C2249" s="58">
        <v>45336</v>
      </c>
      <c r="D2249" t="s">
        <v>13</v>
      </c>
      <c r="E2249" t="s">
        <v>4409</v>
      </c>
      <c r="F2249">
        <v>5</v>
      </c>
      <c r="G2249">
        <v>11</v>
      </c>
      <c r="H2249">
        <v>473</v>
      </c>
      <c r="I2249">
        <v>2</v>
      </c>
      <c r="J2249">
        <v>57.8</v>
      </c>
      <c r="K2249" t="s">
        <v>21</v>
      </c>
      <c r="L2249">
        <v>5546758</v>
      </c>
      <c r="M2249">
        <v>0</v>
      </c>
      <c r="N2249">
        <v>5546758</v>
      </c>
      <c r="O2249">
        <v>95964.671280276816</v>
      </c>
      <c r="P2249">
        <v>404600</v>
      </c>
      <c r="Q2249">
        <v>5142158</v>
      </c>
      <c r="R2249">
        <v>88964.671280276816</v>
      </c>
      <c r="S2249" t="s">
        <v>65</v>
      </c>
      <c r="T2249" t="s">
        <v>2664</v>
      </c>
      <c r="U2249">
        <v>104942</v>
      </c>
      <c r="V2249" t="s">
        <v>4131</v>
      </c>
      <c r="W2249">
        <v>45329</v>
      </c>
      <c r="X2249" t="s">
        <v>9697</v>
      </c>
      <c r="Y2249" t="s">
        <v>6</v>
      </c>
      <c r="Z2249" t="s">
        <v>17</v>
      </c>
      <c r="AA2249" t="s">
        <v>6637</v>
      </c>
      <c r="AB2249" t="s">
        <v>2509</v>
      </c>
      <c r="AC2249" t="s">
        <v>2571</v>
      </c>
      <c r="AD2249" t="s">
        <v>717</v>
      </c>
      <c r="AE2249" t="s">
        <v>9698</v>
      </c>
      <c r="AF2249" t="s">
        <v>9699</v>
      </c>
      <c r="AG2249" t="s">
        <v>9700</v>
      </c>
      <c r="AH2249" t="s">
        <v>2191</v>
      </c>
      <c r="AI2249" t="s">
        <v>2538</v>
      </c>
      <c r="AJ2249" t="s">
        <v>2514</v>
      </c>
      <c r="AK2249" t="s">
        <v>8</v>
      </c>
      <c r="AL2249" t="s">
        <v>22</v>
      </c>
      <c r="AM2249" t="s">
        <v>10</v>
      </c>
      <c r="AN2249" t="s">
        <v>717</v>
      </c>
    </row>
    <row r="2250" spans="1:40" hidden="1">
      <c r="A2250">
        <v>2249</v>
      </c>
      <c r="B2250">
        <v>6</v>
      </c>
      <c r="C2250" s="58">
        <v>45341</v>
      </c>
      <c r="D2250" t="s">
        <v>7</v>
      </c>
      <c r="E2250" t="s">
        <v>4409</v>
      </c>
      <c r="F2250">
        <v>9</v>
      </c>
      <c r="G2250">
        <v>8</v>
      </c>
      <c r="H2250">
        <v>464</v>
      </c>
      <c r="I2250">
        <v>1</v>
      </c>
      <c r="J2250">
        <v>44.37</v>
      </c>
      <c r="K2250" t="s">
        <v>25</v>
      </c>
      <c r="L2250">
        <v>5036640</v>
      </c>
      <c r="M2250">
        <v>15000</v>
      </c>
      <c r="N2250">
        <v>5051640</v>
      </c>
      <c r="O2250">
        <v>113852.6031102096</v>
      </c>
      <c r="P2250">
        <v>976140</v>
      </c>
      <c r="Q2250">
        <v>4075500</v>
      </c>
      <c r="R2250">
        <v>91852.603110209602</v>
      </c>
      <c r="S2250" t="s">
        <v>65</v>
      </c>
      <c r="T2250" t="s">
        <v>5768</v>
      </c>
      <c r="U2250">
        <v>214500</v>
      </c>
      <c r="V2250" t="s">
        <v>1970</v>
      </c>
      <c r="W2250">
        <v>45287</v>
      </c>
      <c r="X2250" t="s">
        <v>9701</v>
      </c>
      <c r="Y2250" t="s">
        <v>6</v>
      </c>
      <c r="Z2250" t="s">
        <v>17</v>
      </c>
      <c r="AA2250" t="s">
        <v>5617</v>
      </c>
      <c r="AB2250" t="s">
        <v>2509</v>
      </c>
      <c r="AC2250" t="s">
        <v>5105</v>
      </c>
      <c r="AD2250" t="s">
        <v>717</v>
      </c>
      <c r="AE2250" t="s">
        <v>8657</v>
      </c>
      <c r="AF2250" t="s">
        <v>8658</v>
      </c>
      <c r="AG2250" t="s">
        <v>8659</v>
      </c>
      <c r="AH2250" t="s">
        <v>2191</v>
      </c>
      <c r="AI2250" t="s">
        <v>2600</v>
      </c>
      <c r="AJ2250" t="s">
        <v>2514</v>
      </c>
      <c r="AK2250" t="s">
        <v>8</v>
      </c>
      <c r="AL2250" t="s">
        <v>16</v>
      </c>
      <c r="AM2250" t="s">
        <v>10</v>
      </c>
      <c r="AN2250" t="s">
        <v>717</v>
      </c>
    </row>
    <row r="2251" spans="1:40" hidden="1">
      <c r="A2251">
        <v>2250</v>
      </c>
      <c r="B2251">
        <v>7</v>
      </c>
      <c r="C2251" s="58">
        <v>45344</v>
      </c>
      <c r="D2251" t="s">
        <v>13</v>
      </c>
      <c r="E2251" t="s">
        <v>2506</v>
      </c>
      <c r="F2251">
        <v>1</v>
      </c>
      <c r="G2251">
        <v>4</v>
      </c>
      <c r="H2251">
        <v>132</v>
      </c>
      <c r="I2251">
        <v>2</v>
      </c>
      <c r="J2251">
        <v>60.22</v>
      </c>
      <c r="K2251" t="s">
        <v>25</v>
      </c>
      <c r="L2251">
        <v>6739995.9972999999</v>
      </c>
      <c r="M2251">
        <v>0</v>
      </c>
      <c r="N2251">
        <v>6739995.9972999999</v>
      </c>
      <c r="O2251">
        <v>111922.882718366</v>
      </c>
      <c r="P2251">
        <v>1204400</v>
      </c>
      <c r="Q2251">
        <v>5535595.9972999999</v>
      </c>
      <c r="R2251">
        <v>91922.882718365989</v>
      </c>
      <c r="S2251" t="s">
        <v>65</v>
      </c>
      <c r="T2251" t="s">
        <v>5768</v>
      </c>
      <c r="U2251">
        <v>171203.99991649482</v>
      </c>
      <c r="V2251" t="s">
        <v>4131</v>
      </c>
      <c r="W2251">
        <v>45341</v>
      </c>
      <c r="X2251" t="s">
        <v>9702</v>
      </c>
      <c r="Y2251" t="s">
        <v>6</v>
      </c>
      <c r="Z2251" t="s">
        <v>17</v>
      </c>
      <c r="AA2251" t="s">
        <v>6637</v>
      </c>
      <c r="AB2251" t="s">
        <v>2509</v>
      </c>
      <c r="AC2251" t="s">
        <v>2571</v>
      </c>
      <c r="AD2251" t="s">
        <v>717</v>
      </c>
      <c r="AE2251" t="s">
        <v>9703</v>
      </c>
      <c r="AF2251" t="s">
        <v>9704</v>
      </c>
      <c r="AG2251" t="s">
        <v>9705</v>
      </c>
      <c r="AH2251" t="s">
        <v>2191</v>
      </c>
      <c r="AI2251" t="s">
        <v>6951</v>
      </c>
      <c r="AJ2251" t="s">
        <v>2514</v>
      </c>
      <c r="AK2251" t="s">
        <v>8</v>
      </c>
      <c r="AL2251" t="s">
        <v>22</v>
      </c>
      <c r="AM2251" t="s">
        <v>10</v>
      </c>
      <c r="AN2251" t="s">
        <v>717</v>
      </c>
    </row>
    <row r="2252" spans="1:40" hidden="1">
      <c r="A2252">
        <v>2251</v>
      </c>
      <c r="B2252">
        <v>8</v>
      </c>
      <c r="C2252" s="58">
        <v>45344</v>
      </c>
      <c r="D2252" t="s">
        <v>13</v>
      </c>
      <c r="E2252" t="s">
        <v>4409</v>
      </c>
      <c r="F2252">
        <v>3</v>
      </c>
      <c r="G2252">
        <v>17</v>
      </c>
      <c r="H2252">
        <v>519</v>
      </c>
      <c r="I2252">
        <v>0</v>
      </c>
      <c r="J2252">
        <v>24.5</v>
      </c>
      <c r="K2252" t="s">
        <v>25</v>
      </c>
      <c r="L2252">
        <v>3280500</v>
      </c>
      <c r="M2252">
        <v>0</v>
      </c>
      <c r="N2252">
        <v>3280500</v>
      </c>
      <c r="O2252">
        <v>133897.95918367346</v>
      </c>
      <c r="P2252">
        <v>490000.00000000047</v>
      </c>
      <c r="Q2252">
        <v>2790499.9999999995</v>
      </c>
      <c r="R2252">
        <v>113897.95918367345</v>
      </c>
      <c r="S2252" t="s">
        <v>65</v>
      </c>
      <c r="T2252" t="s">
        <v>717</v>
      </c>
      <c r="U2252" t="s">
        <v>717</v>
      </c>
      <c r="V2252" t="s">
        <v>6312</v>
      </c>
      <c r="W2252">
        <v>45342</v>
      </c>
      <c r="X2252" t="s">
        <v>9706</v>
      </c>
      <c r="Y2252" t="s">
        <v>6</v>
      </c>
      <c r="Z2252" t="s">
        <v>17</v>
      </c>
      <c r="AA2252" t="s">
        <v>5617</v>
      </c>
      <c r="AB2252" t="s">
        <v>2509</v>
      </c>
      <c r="AC2252" t="s">
        <v>2564</v>
      </c>
      <c r="AD2252" t="s">
        <v>717</v>
      </c>
      <c r="AE2252" t="s">
        <v>9707</v>
      </c>
      <c r="AF2252" t="s">
        <v>9708</v>
      </c>
      <c r="AG2252" t="s">
        <v>9709</v>
      </c>
      <c r="AH2252" t="s">
        <v>2552</v>
      </c>
      <c r="AI2252" t="s">
        <v>2552</v>
      </c>
      <c r="AJ2252" t="s">
        <v>2895</v>
      </c>
      <c r="AK2252" t="s">
        <v>8</v>
      </c>
      <c r="AL2252" t="s">
        <v>16</v>
      </c>
      <c r="AM2252" t="s">
        <v>10</v>
      </c>
      <c r="AN2252" t="s">
        <v>717</v>
      </c>
    </row>
    <row r="2253" spans="1:40" hidden="1">
      <c r="A2253">
        <v>2252</v>
      </c>
      <c r="B2253">
        <v>9</v>
      </c>
      <c r="C2253" s="58">
        <v>45348</v>
      </c>
      <c r="D2253" t="s">
        <v>7</v>
      </c>
      <c r="E2253" t="s">
        <v>2515</v>
      </c>
      <c r="F2253">
        <v>2</v>
      </c>
      <c r="G2253">
        <v>14</v>
      </c>
      <c r="H2253">
        <v>98</v>
      </c>
      <c r="I2253">
        <v>2</v>
      </c>
      <c r="J2253">
        <v>61.76</v>
      </c>
      <c r="K2253" t="s">
        <v>9</v>
      </c>
      <c r="L2253">
        <v>5791206</v>
      </c>
      <c r="M2253">
        <v>15000</v>
      </c>
      <c r="N2253">
        <v>5806206</v>
      </c>
      <c r="O2253">
        <v>94012.402849740931</v>
      </c>
      <c r="P2253">
        <v>0</v>
      </c>
      <c r="Q2253">
        <v>5806206</v>
      </c>
      <c r="R2253">
        <v>94012.402849740931</v>
      </c>
      <c r="S2253" t="s">
        <v>65</v>
      </c>
      <c r="T2253" t="s">
        <v>2664</v>
      </c>
      <c r="U2253">
        <v>118494</v>
      </c>
      <c r="V2253" t="s">
        <v>6312</v>
      </c>
      <c r="W2253">
        <v>45317</v>
      </c>
      <c r="X2253" t="s">
        <v>9710</v>
      </c>
      <c r="Y2253" t="s">
        <v>6</v>
      </c>
      <c r="Z2253" t="s">
        <v>17</v>
      </c>
      <c r="AA2253" t="s">
        <v>6637</v>
      </c>
      <c r="AB2253" t="s">
        <v>2509</v>
      </c>
      <c r="AC2253" t="s">
        <v>2571</v>
      </c>
      <c r="AD2253" t="s">
        <v>717</v>
      </c>
      <c r="AE2253" t="s">
        <v>9711</v>
      </c>
      <c r="AF2253" t="s">
        <v>9712</v>
      </c>
      <c r="AG2253" t="s">
        <v>9713</v>
      </c>
      <c r="AH2253" t="s">
        <v>2615</v>
      </c>
      <c r="AI2253" t="s">
        <v>2600</v>
      </c>
      <c r="AJ2253" t="s">
        <v>3921</v>
      </c>
      <c r="AK2253" t="s">
        <v>8</v>
      </c>
      <c r="AL2253" t="s">
        <v>22</v>
      </c>
      <c r="AM2253" t="s">
        <v>10</v>
      </c>
      <c r="AN2253" t="s">
        <v>717</v>
      </c>
    </row>
    <row r="2254" spans="1:40" hidden="1">
      <c r="A2254">
        <v>2253</v>
      </c>
      <c r="B2254">
        <v>10</v>
      </c>
      <c r="C2254" s="58">
        <v>45348</v>
      </c>
      <c r="D2254" t="s">
        <v>7</v>
      </c>
      <c r="E2254" t="s">
        <v>4409</v>
      </c>
      <c r="F2254">
        <v>8</v>
      </c>
      <c r="G2254">
        <v>15</v>
      </c>
      <c r="H2254">
        <v>526</v>
      </c>
      <c r="I2254">
        <v>2</v>
      </c>
      <c r="J2254">
        <v>63.74</v>
      </c>
      <c r="K2254" t="s">
        <v>9</v>
      </c>
      <c r="L2254">
        <v>5784352</v>
      </c>
      <c r="M2254">
        <v>0</v>
      </c>
      <c r="N2254">
        <v>5784352</v>
      </c>
      <c r="O2254">
        <v>90749.168497019142</v>
      </c>
      <c r="P2254">
        <v>0</v>
      </c>
      <c r="Q2254">
        <v>5784352</v>
      </c>
      <c r="R2254">
        <v>90749.168497019142</v>
      </c>
      <c r="S2254" t="s">
        <v>65</v>
      </c>
      <c r="T2254" t="s">
        <v>2664</v>
      </c>
      <c r="U2254">
        <v>118048</v>
      </c>
      <c r="V2254" t="s">
        <v>6312</v>
      </c>
      <c r="W2254">
        <v>45336</v>
      </c>
      <c r="X2254" t="s">
        <v>9714</v>
      </c>
      <c r="Y2254" t="s">
        <v>6</v>
      </c>
      <c r="Z2254" t="s">
        <v>17</v>
      </c>
      <c r="AA2254" t="s">
        <v>6637</v>
      </c>
      <c r="AB2254" t="s">
        <v>2509</v>
      </c>
      <c r="AC2254" t="s">
        <v>2571</v>
      </c>
      <c r="AD2254" t="s">
        <v>717</v>
      </c>
      <c r="AE2254" t="s">
        <v>9715</v>
      </c>
      <c r="AF2254" t="s">
        <v>9716</v>
      </c>
      <c r="AG2254" t="s">
        <v>9717</v>
      </c>
      <c r="AH2254" t="s">
        <v>2615</v>
      </c>
      <c r="AI2254" t="s">
        <v>2552</v>
      </c>
      <c r="AJ2254" t="s">
        <v>2895</v>
      </c>
      <c r="AK2254" t="s">
        <v>20</v>
      </c>
      <c r="AL2254" t="s">
        <v>16</v>
      </c>
      <c r="AM2254" t="s">
        <v>10</v>
      </c>
      <c r="AN2254" t="s">
        <v>717</v>
      </c>
    </row>
    <row r="2255" spans="1:40" hidden="1">
      <c r="A2255">
        <v>2254</v>
      </c>
      <c r="B2255">
        <v>11</v>
      </c>
      <c r="C2255" s="58">
        <v>45348</v>
      </c>
      <c r="D2255" t="s">
        <v>7</v>
      </c>
      <c r="E2255" t="s">
        <v>2506</v>
      </c>
      <c r="F2255">
        <v>4</v>
      </c>
      <c r="G2255">
        <v>9</v>
      </c>
      <c r="H2255">
        <v>180</v>
      </c>
      <c r="I2255">
        <v>1</v>
      </c>
      <c r="J2255">
        <v>37.81</v>
      </c>
      <c r="K2255" t="s">
        <v>25</v>
      </c>
      <c r="L2255">
        <v>5136820</v>
      </c>
      <c r="M2255">
        <v>0</v>
      </c>
      <c r="N2255">
        <v>5136820</v>
      </c>
      <c r="O2255">
        <v>135858.76752181962</v>
      </c>
      <c r="P2255">
        <v>831820</v>
      </c>
      <c r="Q2255">
        <v>4305000</v>
      </c>
      <c r="R2255">
        <v>113858.76752181962</v>
      </c>
      <c r="S2255" t="s">
        <v>65</v>
      </c>
      <c r="T2255" t="s">
        <v>717</v>
      </c>
      <c r="U2255" t="s">
        <v>717</v>
      </c>
      <c r="V2255" t="s">
        <v>4131</v>
      </c>
      <c r="W2255">
        <v>45341</v>
      </c>
      <c r="X2255" t="s">
        <v>9718</v>
      </c>
      <c r="Y2255" t="s">
        <v>6</v>
      </c>
      <c r="Z2255" t="s">
        <v>17</v>
      </c>
      <c r="AA2255" t="s">
        <v>6637</v>
      </c>
      <c r="AB2255" t="s">
        <v>2509</v>
      </c>
      <c r="AC2255" t="s">
        <v>2571</v>
      </c>
      <c r="AD2255" t="s">
        <v>717</v>
      </c>
      <c r="AE2255" t="s">
        <v>9719</v>
      </c>
      <c r="AF2255" t="s">
        <v>9720</v>
      </c>
      <c r="AG2255" t="s">
        <v>9721</v>
      </c>
      <c r="AH2255" t="s">
        <v>2615</v>
      </c>
      <c r="AI2255" t="s">
        <v>6951</v>
      </c>
      <c r="AJ2255" t="s">
        <v>2662</v>
      </c>
      <c r="AK2255" t="s">
        <v>20</v>
      </c>
      <c r="AL2255" t="s">
        <v>22</v>
      </c>
      <c r="AM2255" t="s">
        <v>10</v>
      </c>
      <c r="AN2255" t="s">
        <v>717</v>
      </c>
    </row>
    <row r="2256" spans="1:40" hidden="1">
      <c r="A2256">
        <v>2255</v>
      </c>
      <c r="B2256">
        <v>12</v>
      </c>
      <c r="C2256" s="58">
        <v>45348</v>
      </c>
      <c r="D2256" t="s">
        <v>13</v>
      </c>
      <c r="E2256" t="s">
        <v>4409</v>
      </c>
      <c r="F2256">
        <v>7</v>
      </c>
      <c r="G2256">
        <v>14</v>
      </c>
      <c r="H2256">
        <v>499</v>
      </c>
      <c r="I2256">
        <v>3</v>
      </c>
      <c r="J2256">
        <v>79.44</v>
      </c>
      <c r="K2256" t="s">
        <v>9</v>
      </c>
      <c r="L2256">
        <v>6876233</v>
      </c>
      <c r="M2256">
        <v>0</v>
      </c>
      <c r="N2256">
        <v>6876233</v>
      </c>
      <c r="O2256">
        <v>86558.824269889228</v>
      </c>
      <c r="P2256">
        <v>0</v>
      </c>
      <c r="Q2256">
        <v>6876233</v>
      </c>
      <c r="R2256">
        <v>86558.824269889228</v>
      </c>
      <c r="S2256" t="s">
        <v>65</v>
      </c>
      <c r="T2256" t="s">
        <v>4059</v>
      </c>
      <c r="U2256">
        <v>212667</v>
      </c>
      <c r="V2256" t="s">
        <v>6312</v>
      </c>
      <c r="W2256">
        <v>45341</v>
      </c>
      <c r="X2256" t="s">
        <v>9722</v>
      </c>
      <c r="Y2256" t="s">
        <v>6</v>
      </c>
      <c r="Z2256" t="s">
        <v>17</v>
      </c>
      <c r="AA2256" t="s">
        <v>6637</v>
      </c>
      <c r="AB2256" t="s">
        <v>2509</v>
      </c>
      <c r="AC2256" t="s">
        <v>2571</v>
      </c>
      <c r="AD2256" t="s">
        <v>717</v>
      </c>
      <c r="AE2256" t="s">
        <v>9723</v>
      </c>
      <c r="AF2256" t="s">
        <v>9724</v>
      </c>
      <c r="AG2256" t="s">
        <v>9725</v>
      </c>
      <c r="AH2256" t="s">
        <v>2615</v>
      </c>
      <c r="AI2256" t="s">
        <v>3120</v>
      </c>
      <c r="AJ2256" t="s">
        <v>2895</v>
      </c>
      <c r="AK2256" t="s">
        <v>8</v>
      </c>
      <c r="AL2256" t="s">
        <v>22</v>
      </c>
      <c r="AM2256" t="s">
        <v>10</v>
      </c>
      <c r="AN2256" t="s">
        <v>717</v>
      </c>
    </row>
    <row r="2257" spans="1:40" hidden="1">
      <c r="A2257">
        <v>2256</v>
      </c>
      <c r="B2257">
        <v>13</v>
      </c>
      <c r="C2257" s="58">
        <v>45349</v>
      </c>
      <c r="D2257" t="s">
        <v>13</v>
      </c>
      <c r="E2257" t="s">
        <v>2506</v>
      </c>
      <c r="F2257">
        <v>1</v>
      </c>
      <c r="G2257">
        <v>13</v>
      </c>
      <c r="H2257">
        <v>195</v>
      </c>
      <c r="I2257">
        <v>2</v>
      </c>
      <c r="J2257">
        <v>60.22</v>
      </c>
      <c r="K2257" t="s">
        <v>9</v>
      </c>
      <c r="L2257">
        <v>5546800</v>
      </c>
      <c r="M2257">
        <v>0</v>
      </c>
      <c r="N2257">
        <v>5546800</v>
      </c>
      <c r="O2257">
        <v>92108.933909000334</v>
      </c>
      <c r="P2257">
        <v>0</v>
      </c>
      <c r="Q2257">
        <v>5546800</v>
      </c>
      <c r="R2257">
        <v>92108.933909000334</v>
      </c>
      <c r="S2257" t="s">
        <v>65</v>
      </c>
      <c r="T2257" t="s">
        <v>717</v>
      </c>
      <c r="U2257" t="s">
        <v>717</v>
      </c>
      <c r="V2257" t="s">
        <v>6312</v>
      </c>
      <c r="W2257">
        <v>45348</v>
      </c>
      <c r="X2257" t="s">
        <v>9726</v>
      </c>
      <c r="Y2257" t="s">
        <v>6</v>
      </c>
      <c r="Z2257" t="s">
        <v>17</v>
      </c>
      <c r="AA2257" t="s">
        <v>6637</v>
      </c>
      <c r="AB2257" t="s">
        <v>2509</v>
      </c>
      <c r="AC2257" t="s">
        <v>2571</v>
      </c>
      <c r="AD2257" t="s">
        <v>717</v>
      </c>
      <c r="AE2257" t="s">
        <v>9727</v>
      </c>
      <c r="AF2257" t="s">
        <v>6824</v>
      </c>
      <c r="AG2257" t="s">
        <v>6825</v>
      </c>
      <c r="AH2257" t="s">
        <v>2552</v>
      </c>
      <c r="AI2257" t="s">
        <v>2552</v>
      </c>
      <c r="AJ2257" t="s">
        <v>2662</v>
      </c>
      <c r="AK2257" t="s">
        <v>14</v>
      </c>
      <c r="AL2257" t="s">
        <v>16</v>
      </c>
      <c r="AM2257" t="s">
        <v>10</v>
      </c>
      <c r="AN2257" t="s">
        <v>717</v>
      </c>
    </row>
    <row r="2258" spans="1:40" hidden="1">
      <c r="A2258">
        <v>2257</v>
      </c>
      <c r="B2258">
        <v>14</v>
      </c>
      <c r="C2258" s="58">
        <v>45349</v>
      </c>
      <c r="D2258" t="s">
        <v>13</v>
      </c>
      <c r="E2258" t="s">
        <v>2515</v>
      </c>
      <c r="F2258">
        <v>1</v>
      </c>
      <c r="G2258">
        <v>7</v>
      </c>
      <c r="H2258">
        <v>42</v>
      </c>
      <c r="I2258">
        <v>1</v>
      </c>
      <c r="J2258">
        <v>34.39</v>
      </c>
      <c r="K2258" t="s">
        <v>25</v>
      </c>
      <c r="L2258">
        <v>4476814</v>
      </c>
      <c r="M2258">
        <v>0</v>
      </c>
      <c r="N2258">
        <v>4476814</v>
      </c>
      <c r="O2258">
        <v>130177.78423960452</v>
      </c>
      <c r="P2258">
        <v>687800</v>
      </c>
      <c r="Q2258">
        <v>3789014</v>
      </c>
      <c r="R2258">
        <v>110177.78423960452</v>
      </c>
      <c r="S2258" t="s">
        <v>65</v>
      </c>
      <c r="T2258" t="s">
        <v>5768</v>
      </c>
      <c r="U2258">
        <v>117186</v>
      </c>
      <c r="V2258" t="s">
        <v>6312</v>
      </c>
      <c r="W2258">
        <v>45349</v>
      </c>
      <c r="X2258" t="s">
        <v>9728</v>
      </c>
      <c r="Y2258" t="s">
        <v>6</v>
      </c>
      <c r="Z2258" t="s">
        <v>17</v>
      </c>
      <c r="AA2258" t="s">
        <v>6637</v>
      </c>
      <c r="AB2258" t="s">
        <v>2509</v>
      </c>
      <c r="AC2258" t="s">
        <v>2571</v>
      </c>
      <c r="AD2258" t="s">
        <v>717</v>
      </c>
      <c r="AE2258" t="s">
        <v>9729</v>
      </c>
      <c r="AF2258" t="s">
        <v>9730</v>
      </c>
      <c r="AG2258" t="s">
        <v>9731</v>
      </c>
      <c r="AH2258" t="s">
        <v>2615</v>
      </c>
      <c r="AI2258" t="s">
        <v>3120</v>
      </c>
      <c r="AJ2258" t="s">
        <v>3202</v>
      </c>
      <c r="AK2258" t="s">
        <v>14</v>
      </c>
      <c r="AL2258" t="s">
        <v>16</v>
      </c>
      <c r="AM2258" t="s">
        <v>10</v>
      </c>
      <c r="AN2258" t="s">
        <v>717</v>
      </c>
    </row>
    <row r="2259" spans="1:40" hidden="1">
      <c r="A2259">
        <v>2258</v>
      </c>
      <c r="B2259">
        <v>15</v>
      </c>
      <c r="C2259" s="58">
        <v>45350</v>
      </c>
      <c r="D2259" t="s">
        <v>74</v>
      </c>
      <c r="E2259" t="s">
        <v>2581</v>
      </c>
      <c r="F2259">
        <v>1</v>
      </c>
      <c r="G2259">
        <v>1</v>
      </c>
      <c r="H2259">
        <v>9</v>
      </c>
      <c r="I2259" t="s">
        <v>1368</v>
      </c>
      <c r="J2259">
        <v>242.4</v>
      </c>
      <c r="K2259" t="s">
        <v>9</v>
      </c>
      <c r="L2259">
        <v>30516640</v>
      </c>
      <c r="M2259">
        <v>50000</v>
      </c>
      <c r="N2259">
        <v>30566640</v>
      </c>
      <c r="O2259">
        <v>126100</v>
      </c>
      <c r="P2259">
        <v>0</v>
      </c>
      <c r="Q2259">
        <v>30566640</v>
      </c>
      <c r="R2259">
        <v>126100</v>
      </c>
      <c r="S2259" t="s">
        <v>65</v>
      </c>
      <c r="T2259" t="s">
        <v>2941</v>
      </c>
      <c r="U2259">
        <v>945360</v>
      </c>
      <c r="V2259" t="s">
        <v>9732</v>
      </c>
      <c r="W2259">
        <v>45341</v>
      </c>
      <c r="X2259" t="s">
        <v>9733</v>
      </c>
      <c r="Y2259" t="s">
        <v>1368</v>
      </c>
      <c r="Z2259" t="s">
        <v>17</v>
      </c>
      <c r="AA2259" t="s">
        <v>5617</v>
      </c>
      <c r="AB2259" t="s">
        <v>326</v>
      </c>
      <c r="AC2259" t="s">
        <v>2564</v>
      </c>
      <c r="AD2259" t="s">
        <v>717</v>
      </c>
      <c r="AE2259" t="s">
        <v>9734</v>
      </c>
      <c r="AF2259" t="s">
        <v>7782</v>
      </c>
      <c r="AG2259" t="s">
        <v>7783</v>
      </c>
      <c r="AH2259" t="s">
        <v>2615</v>
      </c>
      <c r="AI2259" t="s">
        <v>2600</v>
      </c>
      <c r="AJ2259" t="s">
        <v>3921</v>
      </c>
      <c r="AK2259" t="s">
        <v>77</v>
      </c>
      <c r="AL2259" t="s">
        <v>16</v>
      </c>
      <c r="AM2259" t="s">
        <v>10</v>
      </c>
      <c r="AN2259" t="s">
        <v>717</v>
      </c>
    </row>
    <row r="2260" spans="1:40" hidden="1">
      <c r="A2260">
        <v>2259</v>
      </c>
      <c r="B2260">
        <v>16</v>
      </c>
      <c r="C2260" s="58">
        <v>45350</v>
      </c>
      <c r="D2260" t="s">
        <v>74</v>
      </c>
      <c r="E2260" t="s">
        <v>2581</v>
      </c>
      <c r="F2260">
        <v>2</v>
      </c>
      <c r="G2260">
        <v>1</v>
      </c>
      <c r="H2260">
        <v>10</v>
      </c>
      <c r="I2260" t="s">
        <v>1368</v>
      </c>
      <c r="J2260">
        <v>335.9</v>
      </c>
      <c r="K2260" t="s">
        <v>9</v>
      </c>
      <c r="L2260">
        <v>42306990</v>
      </c>
      <c r="M2260">
        <v>50000</v>
      </c>
      <c r="N2260">
        <v>42356990</v>
      </c>
      <c r="O2260">
        <v>126100</v>
      </c>
      <c r="P2260">
        <v>0</v>
      </c>
      <c r="Q2260">
        <v>42356990</v>
      </c>
      <c r="R2260">
        <v>126100</v>
      </c>
      <c r="S2260" t="s">
        <v>2507</v>
      </c>
      <c r="T2260" t="s">
        <v>2941</v>
      </c>
      <c r="U2260">
        <v>1310010</v>
      </c>
      <c r="V2260" t="s">
        <v>717</v>
      </c>
      <c r="W2260">
        <v>45341</v>
      </c>
      <c r="X2260" t="s">
        <v>9735</v>
      </c>
      <c r="Y2260" t="s">
        <v>1368</v>
      </c>
      <c r="Z2260" t="s">
        <v>17</v>
      </c>
      <c r="AA2260" t="s">
        <v>5617</v>
      </c>
      <c r="AB2260" t="s">
        <v>326</v>
      </c>
      <c r="AC2260" t="s">
        <v>717</v>
      </c>
      <c r="AD2260" t="s">
        <v>717</v>
      </c>
      <c r="AE2260" t="s">
        <v>9734</v>
      </c>
      <c r="AF2260" t="s">
        <v>7782</v>
      </c>
      <c r="AG2260" t="s">
        <v>7783</v>
      </c>
      <c r="AH2260" t="s">
        <v>2580</v>
      </c>
      <c r="AI2260" t="s">
        <v>2600</v>
      </c>
      <c r="AJ2260" t="s">
        <v>3921</v>
      </c>
      <c r="AK2260" t="s">
        <v>77</v>
      </c>
      <c r="AL2260" t="s">
        <v>717</v>
      </c>
      <c r="AM2260" t="s">
        <v>10</v>
      </c>
      <c r="AN2260" t="s">
        <v>717</v>
      </c>
    </row>
    <row r="2261" spans="1:40" hidden="1">
      <c r="A2261">
        <v>2260</v>
      </c>
      <c r="B2261">
        <v>17</v>
      </c>
      <c r="C2261" s="58">
        <v>45351</v>
      </c>
      <c r="D2261" t="s">
        <v>7</v>
      </c>
      <c r="E2261" t="s">
        <v>2506</v>
      </c>
      <c r="F2261">
        <v>2</v>
      </c>
      <c r="G2261">
        <v>13</v>
      </c>
      <c r="H2261">
        <v>210</v>
      </c>
      <c r="I2261">
        <v>2</v>
      </c>
      <c r="J2261">
        <v>68.75</v>
      </c>
      <c r="K2261" t="s">
        <v>9</v>
      </c>
      <c r="L2261">
        <v>6261447</v>
      </c>
      <c r="M2261">
        <v>0</v>
      </c>
      <c r="N2261">
        <v>6261447</v>
      </c>
      <c r="O2261">
        <v>91075.592727272742</v>
      </c>
      <c r="P2261">
        <v>0</v>
      </c>
      <c r="Q2261">
        <v>6261447</v>
      </c>
      <c r="R2261">
        <v>91075.592727272742</v>
      </c>
      <c r="S2261" t="s">
        <v>65</v>
      </c>
      <c r="T2261" t="s">
        <v>5768</v>
      </c>
      <c r="U2261">
        <v>193653</v>
      </c>
      <c r="V2261" t="s">
        <v>6312</v>
      </c>
      <c r="W2261">
        <v>45338</v>
      </c>
      <c r="X2261" t="s">
        <v>9736</v>
      </c>
      <c r="Y2261" t="s">
        <v>6</v>
      </c>
      <c r="Z2261" t="s">
        <v>17</v>
      </c>
      <c r="AA2261" t="s">
        <v>6637</v>
      </c>
      <c r="AB2261" t="s">
        <v>2509</v>
      </c>
      <c r="AC2261" t="s">
        <v>2571</v>
      </c>
      <c r="AD2261" t="s">
        <v>717</v>
      </c>
      <c r="AE2261" t="s">
        <v>9737</v>
      </c>
      <c r="AF2261" t="s">
        <v>9738</v>
      </c>
      <c r="AG2261" t="s">
        <v>9739</v>
      </c>
      <c r="AH2261" t="s">
        <v>2615</v>
      </c>
      <c r="AI2261" t="s">
        <v>6951</v>
      </c>
      <c r="AJ2261" t="s">
        <v>2642</v>
      </c>
      <c r="AK2261" t="s">
        <v>8</v>
      </c>
      <c r="AL2261" t="s">
        <v>16</v>
      </c>
      <c r="AM2261" t="s">
        <v>10</v>
      </c>
      <c r="AN2261" t="s">
        <v>717</v>
      </c>
    </row>
    <row r="2262" spans="1:40" hidden="1">
      <c r="A2262">
        <v>2261</v>
      </c>
      <c r="B2262">
        <v>18</v>
      </c>
      <c r="C2262" s="58">
        <v>45351</v>
      </c>
      <c r="D2262" t="s">
        <v>13</v>
      </c>
      <c r="E2262" t="s">
        <v>2506</v>
      </c>
      <c r="F2262">
        <v>1</v>
      </c>
      <c r="G2262">
        <v>7</v>
      </c>
      <c r="H2262">
        <v>153</v>
      </c>
      <c r="I2262">
        <v>2</v>
      </c>
      <c r="J2262">
        <v>60.22</v>
      </c>
      <c r="K2262" t="s">
        <v>25</v>
      </c>
      <c r="L2262">
        <v>6584796</v>
      </c>
      <c r="M2262">
        <v>0</v>
      </c>
      <c r="N2262">
        <v>6584796</v>
      </c>
      <c r="O2262">
        <v>109345.66589173031</v>
      </c>
      <c r="P2262">
        <v>1204400</v>
      </c>
      <c r="Q2262">
        <v>5380396</v>
      </c>
      <c r="R2262">
        <v>89345.665891730343</v>
      </c>
      <c r="S2262" t="s">
        <v>65</v>
      </c>
      <c r="T2262" t="s">
        <v>5768</v>
      </c>
      <c r="U2262">
        <v>166404</v>
      </c>
      <c r="V2262" t="s">
        <v>4131</v>
      </c>
      <c r="W2262">
        <v>45344</v>
      </c>
      <c r="X2262" t="s">
        <v>9740</v>
      </c>
      <c r="Y2262" t="s">
        <v>6</v>
      </c>
      <c r="Z2262" t="s">
        <v>17</v>
      </c>
      <c r="AA2262" t="s">
        <v>6637</v>
      </c>
      <c r="AB2262" t="s">
        <v>2509</v>
      </c>
      <c r="AC2262" t="s">
        <v>2571</v>
      </c>
      <c r="AD2262" t="s">
        <v>717</v>
      </c>
      <c r="AE2262" t="s">
        <v>9741</v>
      </c>
      <c r="AF2262" t="s">
        <v>9742</v>
      </c>
      <c r="AG2262" t="s">
        <v>9743</v>
      </c>
      <c r="AH2262" t="s">
        <v>2615</v>
      </c>
      <c r="AI2262" t="s">
        <v>6951</v>
      </c>
      <c r="AJ2262" t="s">
        <v>2895</v>
      </c>
      <c r="AK2262" t="s">
        <v>8</v>
      </c>
      <c r="AL2262" t="s">
        <v>16</v>
      </c>
      <c r="AM2262" t="s">
        <v>10</v>
      </c>
      <c r="AN2262" t="s">
        <v>717</v>
      </c>
    </row>
    <row r="2263" spans="1:40" hidden="1">
      <c r="A2263">
        <v>2262</v>
      </c>
      <c r="B2263">
        <v>19</v>
      </c>
      <c r="C2263" s="58">
        <v>45351</v>
      </c>
      <c r="D2263" t="s">
        <v>13</v>
      </c>
      <c r="E2263" t="s">
        <v>4409</v>
      </c>
      <c r="F2263">
        <v>6</v>
      </c>
      <c r="G2263">
        <v>7</v>
      </c>
      <c r="H2263">
        <v>442</v>
      </c>
      <c r="I2263">
        <v>1</v>
      </c>
      <c r="J2263">
        <v>38.299999999999997</v>
      </c>
      <c r="K2263" t="s">
        <v>21</v>
      </c>
      <c r="L2263">
        <v>4349100</v>
      </c>
      <c r="M2263">
        <v>0</v>
      </c>
      <c r="N2263">
        <v>4349100</v>
      </c>
      <c r="O2263">
        <v>113553.52480417756</v>
      </c>
      <c r="P2263">
        <v>268100</v>
      </c>
      <c r="Q2263">
        <v>4081000</v>
      </c>
      <c r="R2263">
        <v>106553.52480417756</v>
      </c>
      <c r="S2263" t="s">
        <v>65</v>
      </c>
      <c r="T2263" t="s">
        <v>717</v>
      </c>
      <c r="U2263" t="s">
        <v>717</v>
      </c>
      <c r="V2263" t="s">
        <v>6312</v>
      </c>
      <c r="W2263">
        <v>45348</v>
      </c>
      <c r="X2263" t="s">
        <v>9744</v>
      </c>
      <c r="Y2263" t="s">
        <v>6</v>
      </c>
      <c r="Z2263" t="s">
        <v>17</v>
      </c>
      <c r="AA2263" t="s">
        <v>6637</v>
      </c>
      <c r="AB2263" t="s">
        <v>2509</v>
      </c>
      <c r="AC2263" t="s">
        <v>2571</v>
      </c>
      <c r="AD2263" t="s">
        <v>717</v>
      </c>
      <c r="AE2263" t="s">
        <v>9745</v>
      </c>
      <c r="AF2263" t="s">
        <v>9746</v>
      </c>
      <c r="AG2263" t="s">
        <v>9747</v>
      </c>
      <c r="AH2263" t="s">
        <v>2191</v>
      </c>
      <c r="AI2263" t="s">
        <v>2538</v>
      </c>
      <c r="AJ2263" t="s">
        <v>2514</v>
      </c>
      <c r="AK2263" t="s">
        <v>14</v>
      </c>
      <c r="AL2263" t="s">
        <v>22</v>
      </c>
      <c r="AM2263" t="s">
        <v>10</v>
      </c>
      <c r="AN2263" t="s">
        <v>717</v>
      </c>
    </row>
    <row r="2264" spans="1:40" hidden="1">
      <c r="A2264">
        <v>2263</v>
      </c>
      <c r="B2264">
        <v>20</v>
      </c>
      <c r="C2264" s="58">
        <v>45351</v>
      </c>
      <c r="D2264" t="s">
        <v>13</v>
      </c>
      <c r="E2264" t="s">
        <v>2506</v>
      </c>
      <c r="F2264">
        <v>1</v>
      </c>
      <c r="G2264">
        <v>16</v>
      </c>
      <c r="H2264">
        <v>216</v>
      </c>
      <c r="I2264">
        <v>2</v>
      </c>
      <c r="J2264">
        <v>60.22</v>
      </c>
      <c r="K2264" t="s">
        <v>9</v>
      </c>
      <c r="L2264">
        <v>5653400</v>
      </c>
      <c r="M2264">
        <v>0</v>
      </c>
      <c r="N2264">
        <v>5653400</v>
      </c>
      <c r="O2264">
        <v>93879.109930255727</v>
      </c>
      <c r="P2264">
        <v>0</v>
      </c>
      <c r="Q2264">
        <v>5653400</v>
      </c>
      <c r="R2264">
        <v>93879.109930255727</v>
      </c>
      <c r="S2264" t="s">
        <v>65</v>
      </c>
      <c r="T2264" t="s">
        <v>717</v>
      </c>
      <c r="U2264" t="s">
        <v>717</v>
      </c>
      <c r="V2264" t="s">
        <v>4131</v>
      </c>
      <c r="W2264">
        <v>45348</v>
      </c>
      <c r="X2264" t="s">
        <v>9748</v>
      </c>
      <c r="Y2264" t="s">
        <v>6</v>
      </c>
      <c r="Z2264" t="s">
        <v>17</v>
      </c>
      <c r="AA2264" t="s">
        <v>6637</v>
      </c>
      <c r="AB2264" t="s">
        <v>2509</v>
      </c>
      <c r="AC2264" t="s">
        <v>2571</v>
      </c>
      <c r="AD2264" t="s">
        <v>717</v>
      </c>
      <c r="AE2264" t="s">
        <v>9749</v>
      </c>
      <c r="AF2264" t="s">
        <v>9750</v>
      </c>
      <c r="AG2264" t="s">
        <v>9751</v>
      </c>
      <c r="AH2264" t="s">
        <v>2552</v>
      </c>
      <c r="AI2264" t="s">
        <v>2552</v>
      </c>
      <c r="AJ2264" t="s">
        <v>2895</v>
      </c>
      <c r="AK2264" t="s">
        <v>20</v>
      </c>
      <c r="AL2264" t="s">
        <v>16</v>
      </c>
      <c r="AM2264" t="s">
        <v>10</v>
      </c>
      <c r="AN2264" t="s">
        <v>717</v>
      </c>
    </row>
    <row r="2265" spans="1:40" hidden="1">
      <c r="A2265">
        <v>2264</v>
      </c>
      <c r="B2265">
        <v>21</v>
      </c>
      <c r="C2265" s="58">
        <v>45351</v>
      </c>
      <c r="D2265" t="s">
        <v>13</v>
      </c>
      <c r="E2265" t="s">
        <v>4409</v>
      </c>
      <c r="F2265">
        <v>2</v>
      </c>
      <c r="G2265">
        <v>19</v>
      </c>
      <c r="H2265">
        <v>534</v>
      </c>
      <c r="I2265">
        <v>1</v>
      </c>
      <c r="J2265">
        <v>43.21</v>
      </c>
      <c r="K2265" t="s">
        <v>9</v>
      </c>
      <c r="L2265">
        <v>4817300</v>
      </c>
      <c r="M2265">
        <v>0</v>
      </c>
      <c r="N2265">
        <v>4817300</v>
      </c>
      <c r="O2265">
        <v>111485.76718352232</v>
      </c>
      <c r="P2265">
        <v>0</v>
      </c>
      <c r="Q2265">
        <v>4817300</v>
      </c>
      <c r="R2265">
        <v>111485.76718352232</v>
      </c>
      <c r="S2265" t="s">
        <v>65</v>
      </c>
      <c r="T2265" t="s">
        <v>717</v>
      </c>
      <c r="U2265" t="s">
        <v>717</v>
      </c>
      <c r="V2265" t="s">
        <v>6312</v>
      </c>
      <c r="W2265">
        <v>45348</v>
      </c>
      <c r="X2265" t="s">
        <v>9752</v>
      </c>
      <c r="Y2265" t="s">
        <v>6</v>
      </c>
      <c r="Z2265" t="s">
        <v>17</v>
      </c>
      <c r="AA2265" t="s">
        <v>6637</v>
      </c>
      <c r="AB2265" t="s">
        <v>2509</v>
      </c>
      <c r="AC2265" t="s">
        <v>2571</v>
      </c>
      <c r="AD2265" t="s">
        <v>717</v>
      </c>
      <c r="AE2265" t="s">
        <v>9753</v>
      </c>
      <c r="AF2265" t="s">
        <v>9754</v>
      </c>
      <c r="AG2265" t="s">
        <v>9755</v>
      </c>
      <c r="AH2265" t="s">
        <v>2615</v>
      </c>
      <c r="AI2265" t="s">
        <v>2552</v>
      </c>
      <c r="AJ2265" t="s">
        <v>2895</v>
      </c>
      <c r="AK2265" t="s">
        <v>20</v>
      </c>
      <c r="AL2265" t="s">
        <v>16</v>
      </c>
      <c r="AM2265" t="s">
        <v>10</v>
      </c>
      <c r="AN2265" t="s">
        <v>717</v>
      </c>
    </row>
    <row r="2266" spans="1:40" hidden="1">
      <c r="A2266">
        <v>2265</v>
      </c>
      <c r="B2266">
        <v>22</v>
      </c>
      <c r="C2266" s="58">
        <v>45351</v>
      </c>
      <c r="D2266" t="s">
        <v>13</v>
      </c>
      <c r="E2266" t="s">
        <v>2506</v>
      </c>
      <c r="F2266">
        <v>1</v>
      </c>
      <c r="G2266">
        <v>10</v>
      </c>
      <c r="H2266">
        <v>174</v>
      </c>
      <c r="I2266">
        <v>2</v>
      </c>
      <c r="J2266">
        <v>60.22</v>
      </c>
      <c r="K2266" t="s">
        <v>9</v>
      </c>
      <c r="L2266">
        <v>5653400</v>
      </c>
      <c r="M2266">
        <v>0</v>
      </c>
      <c r="N2266">
        <v>5653400</v>
      </c>
      <c r="O2266">
        <v>93879.109930255727</v>
      </c>
      <c r="P2266">
        <v>0</v>
      </c>
      <c r="Q2266">
        <v>5653400</v>
      </c>
      <c r="R2266">
        <v>93879.109930255727</v>
      </c>
      <c r="S2266" t="s">
        <v>65</v>
      </c>
      <c r="T2266" t="s">
        <v>717</v>
      </c>
      <c r="U2266" t="s">
        <v>717</v>
      </c>
      <c r="V2266" t="s">
        <v>6312</v>
      </c>
      <c r="W2266">
        <v>45348</v>
      </c>
      <c r="X2266" t="s">
        <v>9756</v>
      </c>
      <c r="Y2266" t="s">
        <v>6</v>
      </c>
      <c r="Z2266" t="s">
        <v>17</v>
      </c>
      <c r="AA2266" t="s">
        <v>6637</v>
      </c>
      <c r="AB2266" t="s">
        <v>2509</v>
      </c>
      <c r="AC2266" t="s">
        <v>2571</v>
      </c>
      <c r="AD2266" t="s">
        <v>717</v>
      </c>
      <c r="AE2266" t="s">
        <v>9757</v>
      </c>
      <c r="AF2266" t="s">
        <v>9758</v>
      </c>
      <c r="AG2266" t="s">
        <v>9759</v>
      </c>
      <c r="AH2266" t="s">
        <v>6100</v>
      </c>
      <c r="AI2266" t="s">
        <v>5653</v>
      </c>
      <c r="AJ2266" t="s">
        <v>31</v>
      </c>
      <c r="AK2266" t="s">
        <v>14</v>
      </c>
      <c r="AL2266" t="s">
        <v>16</v>
      </c>
      <c r="AM2266" t="s">
        <v>5654</v>
      </c>
      <c r="AN2266" t="s">
        <v>717</v>
      </c>
    </row>
    <row r="2267" spans="1:40" hidden="1">
      <c r="A2267">
        <v>2266</v>
      </c>
      <c r="B2267">
        <v>23</v>
      </c>
      <c r="C2267" s="58">
        <v>45351</v>
      </c>
      <c r="D2267" t="s">
        <v>7</v>
      </c>
      <c r="E2267" t="s">
        <v>2506</v>
      </c>
      <c r="F2267">
        <v>2</v>
      </c>
      <c r="G2267">
        <v>9</v>
      </c>
      <c r="H2267">
        <v>178</v>
      </c>
      <c r="I2267">
        <v>2</v>
      </c>
      <c r="J2267">
        <v>68.75</v>
      </c>
      <c r="K2267" t="s">
        <v>9</v>
      </c>
      <c r="L2267">
        <v>6258574</v>
      </c>
      <c r="M2267">
        <v>0</v>
      </c>
      <c r="N2267">
        <v>6258574</v>
      </c>
      <c r="O2267">
        <v>91033.803636363635</v>
      </c>
      <c r="P2267">
        <v>0</v>
      </c>
      <c r="Q2267">
        <v>6258574</v>
      </c>
      <c r="R2267">
        <v>91033.803636363635</v>
      </c>
      <c r="S2267" t="s">
        <v>2507</v>
      </c>
      <c r="T2267" t="s">
        <v>2664</v>
      </c>
      <c r="U2267">
        <v>127726</v>
      </c>
      <c r="V2267" t="s">
        <v>717</v>
      </c>
      <c r="W2267">
        <v>45348</v>
      </c>
      <c r="X2267" t="s">
        <v>9760</v>
      </c>
      <c r="Y2267" t="s">
        <v>6</v>
      </c>
      <c r="Z2267" t="s">
        <v>17</v>
      </c>
      <c r="AA2267" t="s">
        <v>6637</v>
      </c>
      <c r="AB2267" t="s">
        <v>2509</v>
      </c>
      <c r="AC2267" t="s">
        <v>717</v>
      </c>
      <c r="AD2267" t="s">
        <v>717</v>
      </c>
      <c r="AE2267" t="s">
        <v>9761</v>
      </c>
      <c r="AF2267" t="s">
        <v>9762</v>
      </c>
      <c r="AG2267" t="s">
        <v>9763</v>
      </c>
      <c r="AH2267" t="s">
        <v>2615</v>
      </c>
      <c r="AI2267" t="s">
        <v>2847</v>
      </c>
      <c r="AJ2267" t="s">
        <v>3202</v>
      </c>
      <c r="AK2267" t="s">
        <v>14</v>
      </c>
      <c r="AL2267" t="s">
        <v>717</v>
      </c>
      <c r="AM2267" t="s">
        <v>10</v>
      </c>
      <c r="AN2267" t="s">
        <v>717</v>
      </c>
    </row>
    <row r="2268" spans="1:40" hidden="1">
      <c r="A2268">
        <v>2267</v>
      </c>
      <c r="B2268">
        <v>24</v>
      </c>
      <c r="C2268" s="58">
        <v>45351</v>
      </c>
      <c r="D2268" t="s">
        <v>7</v>
      </c>
      <c r="E2268" t="s">
        <v>2581</v>
      </c>
      <c r="F2268">
        <v>3</v>
      </c>
      <c r="G2268">
        <v>16</v>
      </c>
      <c r="H2268">
        <v>341</v>
      </c>
      <c r="I2268">
        <v>0</v>
      </c>
      <c r="J2268">
        <v>36.450000000000003</v>
      </c>
      <c r="K2268" t="s">
        <v>15</v>
      </c>
      <c r="L2268">
        <v>4290875</v>
      </c>
      <c r="M2268">
        <v>0</v>
      </c>
      <c r="N2268">
        <v>4290875</v>
      </c>
      <c r="O2268">
        <v>117719.47873799724</v>
      </c>
      <c r="P2268">
        <v>273375</v>
      </c>
      <c r="Q2268">
        <v>4017500</v>
      </c>
      <c r="R2268">
        <v>110219.47873799724</v>
      </c>
      <c r="S2268" t="s">
        <v>65</v>
      </c>
      <c r="T2268" t="s">
        <v>717</v>
      </c>
      <c r="U2268" t="s">
        <v>717</v>
      </c>
      <c r="V2268" t="s">
        <v>6312</v>
      </c>
      <c r="W2268">
        <v>45350</v>
      </c>
      <c r="X2268" t="s">
        <v>9764</v>
      </c>
      <c r="Y2268" t="s">
        <v>6</v>
      </c>
      <c r="Z2268" t="s">
        <v>17</v>
      </c>
      <c r="AA2268" t="s">
        <v>6637</v>
      </c>
      <c r="AB2268" t="s">
        <v>2509</v>
      </c>
      <c r="AC2268" t="s">
        <v>2571</v>
      </c>
      <c r="AD2268" t="s">
        <v>717</v>
      </c>
      <c r="AE2268" t="s">
        <v>6686</v>
      </c>
      <c r="AF2268" t="s">
        <v>6687</v>
      </c>
      <c r="AG2268" t="s">
        <v>6688</v>
      </c>
      <c r="AH2268" t="s">
        <v>2615</v>
      </c>
      <c r="AI2268" t="s">
        <v>2600</v>
      </c>
      <c r="AJ2268" t="s">
        <v>3921</v>
      </c>
      <c r="AK2268" t="s">
        <v>8</v>
      </c>
      <c r="AL2268" t="s">
        <v>22</v>
      </c>
      <c r="AM2268" t="s">
        <v>10</v>
      </c>
      <c r="AN2268" t="s">
        <v>717</v>
      </c>
    </row>
    <row r="2269" spans="1:40" hidden="1">
      <c r="A2269">
        <v>2268</v>
      </c>
      <c r="B2269">
        <v>25</v>
      </c>
      <c r="C2269" s="58">
        <v>45351</v>
      </c>
      <c r="D2269" t="s">
        <v>13</v>
      </c>
      <c r="E2269" t="s">
        <v>2506</v>
      </c>
      <c r="F2269">
        <v>4</v>
      </c>
      <c r="G2269">
        <v>10</v>
      </c>
      <c r="H2269">
        <v>177</v>
      </c>
      <c r="I2269">
        <v>2</v>
      </c>
      <c r="J2269">
        <v>58.31</v>
      </c>
      <c r="K2269" t="s">
        <v>25</v>
      </c>
      <c r="L2269">
        <v>6614500</v>
      </c>
      <c r="M2269">
        <v>0</v>
      </c>
      <c r="N2269">
        <v>6614500</v>
      </c>
      <c r="O2269">
        <v>113436.80329274568</v>
      </c>
      <c r="P2269">
        <v>1166200</v>
      </c>
      <c r="Q2269">
        <v>5448300</v>
      </c>
      <c r="R2269">
        <v>93436.803292745666</v>
      </c>
      <c r="S2269" t="s">
        <v>65</v>
      </c>
      <c r="T2269" t="s">
        <v>717</v>
      </c>
      <c r="U2269" t="s">
        <v>717</v>
      </c>
      <c r="V2269" t="s">
        <v>6312</v>
      </c>
      <c r="W2269">
        <v>45350</v>
      </c>
      <c r="X2269" t="s">
        <v>9765</v>
      </c>
      <c r="Y2269" t="s">
        <v>6</v>
      </c>
      <c r="Z2269" t="s">
        <v>17</v>
      </c>
      <c r="AA2269" t="s">
        <v>6637</v>
      </c>
      <c r="AB2269" t="s">
        <v>2509</v>
      </c>
      <c r="AC2269" t="s">
        <v>2571</v>
      </c>
      <c r="AD2269" t="s">
        <v>717</v>
      </c>
      <c r="AE2269" t="s">
        <v>9766</v>
      </c>
      <c r="AF2269" t="s">
        <v>9767</v>
      </c>
      <c r="AG2269" t="s">
        <v>9768</v>
      </c>
      <c r="AH2269" t="s">
        <v>2552</v>
      </c>
      <c r="AI2269" t="s">
        <v>2847</v>
      </c>
      <c r="AJ2269" t="s">
        <v>2569</v>
      </c>
      <c r="AK2269" t="s">
        <v>14</v>
      </c>
      <c r="AL2269" t="s">
        <v>22</v>
      </c>
      <c r="AM2269" t="s">
        <v>10</v>
      </c>
      <c r="AN2269" t="s">
        <v>717</v>
      </c>
    </row>
    <row r="2270" spans="1:40" hidden="1">
      <c r="A2270">
        <v>2269</v>
      </c>
      <c r="B2270">
        <v>1</v>
      </c>
      <c r="C2270" s="58">
        <v>45353</v>
      </c>
      <c r="D2270" t="s">
        <v>7</v>
      </c>
      <c r="E2270" t="s">
        <v>2581</v>
      </c>
      <c r="F2270">
        <v>4</v>
      </c>
      <c r="G2270">
        <v>21</v>
      </c>
      <c r="H2270">
        <v>377</v>
      </c>
      <c r="I2270">
        <v>2</v>
      </c>
      <c r="J2270">
        <v>58.55</v>
      </c>
      <c r="K2270" t="s">
        <v>9</v>
      </c>
      <c r="L2270">
        <v>5920977</v>
      </c>
      <c r="M2270">
        <v>0</v>
      </c>
      <c r="N2270">
        <v>5920977</v>
      </c>
      <c r="O2270">
        <v>101126.8488471392</v>
      </c>
      <c r="P2270">
        <v>0</v>
      </c>
      <c r="Q2270">
        <v>5920977</v>
      </c>
      <c r="R2270">
        <v>101126.8488471392</v>
      </c>
      <c r="S2270" t="s">
        <v>65</v>
      </c>
      <c r="T2270" t="s">
        <v>4379</v>
      </c>
      <c r="U2270">
        <v>183123</v>
      </c>
      <c r="V2270" t="s">
        <v>6312</v>
      </c>
      <c r="W2270">
        <v>45352</v>
      </c>
      <c r="X2270" t="s">
        <v>9769</v>
      </c>
      <c r="Y2270" t="s">
        <v>6</v>
      </c>
      <c r="Z2270" t="s">
        <v>17</v>
      </c>
      <c r="AA2270" t="s">
        <v>6637</v>
      </c>
      <c r="AB2270" t="s">
        <v>2509</v>
      </c>
      <c r="AC2270" t="s">
        <v>2571</v>
      </c>
      <c r="AD2270" t="s">
        <v>717</v>
      </c>
      <c r="AE2270" t="s">
        <v>9770</v>
      </c>
      <c r="AF2270" t="s">
        <v>9771</v>
      </c>
      <c r="AG2270" t="s">
        <v>9772</v>
      </c>
      <c r="AH2270" t="s">
        <v>2615</v>
      </c>
      <c r="AI2270" t="s">
        <v>2521</v>
      </c>
      <c r="AJ2270" t="s">
        <v>3289</v>
      </c>
      <c r="AK2270" t="s">
        <v>8</v>
      </c>
      <c r="AL2270" t="s">
        <v>22</v>
      </c>
      <c r="AM2270" t="s">
        <v>10</v>
      </c>
      <c r="AN2270" t="s">
        <v>717</v>
      </c>
    </row>
    <row r="2271" spans="1:40" hidden="1">
      <c r="A2271">
        <v>2270</v>
      </c>
      <c r="B2271">
        <v>2</v>
      </c>
      <c r="C2271" s="58">
        <v>45358</v>
      </c>
      <c r="D2271" t="s">
        <v>13</v>
      </c>
      <c r="E2271" t="s">
        <v>2581</v>
      </c>
      <c r="F2271">
        <v>4</v>
      </c>
      <c r="G2271">
        <v>8</v>
      </c>
      <c r="H2271">
        <v>274</v>
      </c>
      <c r="I2271">
        <v>2</v>
      </c>
      <c r="J2271">
        <v>60.24</v>
      </c>
      <c r="K2271" t="s">
        <v>25</v>
      </c>
      <c r="L2271">
        <v>6768041</v>
      </c>
      <c r="M2271">
        <v>0</v>
      </c>
      <c r="N2271">
        <v>6768041</v>
      </c>
      <c r="O2271">
        <v>112351.27822045152</v>
      </c>
      <c r="P2271">
        <v>1204800</v>
      </c>
      <c r="Q2271">
        <v>5563241</v>
      </c>
      <c r="R2271">
        <v>92351.278220451524</v>
      </c>
      <c r="S2271" t="s">
        <v>65</v>
      </c>
      <c r="T2271" t="s">
        <v>5768</v>
      </c>
      <c r="U2271">
        <v>172059</v>
      </c>
      <c r="V2271" t="s">
        <v>6312</v>
      </c>
      <c r="W2271">
        <v>45355</v>
      </c>
      <c r="X2271" t="s">
        <v>9773</v>
      </c>
      <c r="Y2271" t="s">
        <v>6</v>
      </c>
      <c r="Z2271" t="s">
        <v>17</v>
      </c>
      <c r="AA2271" t="s">
        <v>6637</v>
      </c>
      <c r="AB2271" t="s">
        <v>2509</v>
      </c>
      <c r="AC2271" t="s">
        <v>2571</v>
      </c>
      <c r="AD2271" t="s">
        <v>717</v>
      </c>
      <c r="AE2271" t="s">
        <v>9774</v>
      </c>
      <c r="AF2271" t="s">
        <v>9775</v>
      </c>
      <c r="AG2271" t="s">
        <v>9776</v>
      </c>
      <c r="AH2271" t="s">
        <v>6100</v>
      </c>
      <c r="AI2271" t="s">
        <v>5653</v>
      </c>
      <c r="AJ2271" t="s">
        <v>31</v>
      </c>
      <c r="AK2271" t="s">
        <v>8</v>
      </c>
      <c r="AL2271" t="s">
        <v>22</v>
      </c>
      <c r="AM2271" t="s">
        <v>5654</v>
      </c>
      <c r="AN2271" t="s">
        <v>717</v>
      </c>
    </row>
    <row r="2272" spans="1:40" hidden="1">
      <c r="A2272">
        <v>2271</v>
      </c>
      <c r="B2272">
        <v>3</v>
      </c>
      <c r="C2272" s="58">
        <v>45363</v>
      </c>
      <c r="D2272" t="s">
        <v>7</v>
      </c>
      <c r="E2272" t="s">
        <v>2506</v>
      </c>
      <c r="F2272">
        <v>8</v>
      </c>
      <c r="G2272">
        <v>13</v>
      </c>
      <c r="H2272">
        <v>216</v>
      </c>
      <c r="I2272">
        <v>1</v>
      </c>
      <c r="J2272">
        <v>33.79</v>
      </c>
      <c r="K2272" t="s">
        <v>25</v>
      </c>
      <c r="L2272">
        <v>4684992</v>
      </c>
      <c r="M2272">
        <v>0</v>
      </c>
      <c r="N2272">
        <v>4684992</v>
      </c>
      <c r="O2272">
        <v>138650.25155371413</v>
      </c>
      <c r="P2272">
        <v>743379.99999999953</v>
      </c>
      <c r="Q2272">
        <v>3941612.0000000009</v>
      </c>
      <c r="R2272">
        <v>116650.25155371412</v>
      </c>
      <c r="S2272" t="s">
        <v>65</v>
      </c>
      <c r="T2272" t="s">
        <v>7859</v>
      </c>
      <c r="U2272">
        <v>88888</v>
      </c>
      <c r="V2272" t="s">
        <v>4131</v>
      </c>
      <c r="W2272">
        <v>45356</v>
      </c>
      <c r="X2272" t="s">
        <v>9777</v>
      </c>
      <c r="Y2272" t="s">
        <v>6</v>
      </c>
      <c r="Z2272" t="s">
        <v>17</v>
      </c>
      <c r="AA2272" t="s">
        <v>6637</v>
      </c>
      <c r="AB2272" t="s">
        <v>2509</v>
      </c>
      <c r="AC2272" t="s">
        <v>2571</v>
      </c>
      <c r="AD2272" t="s">
        <v>717</v>
      </c>
      <c r="AE2272" t="s">
        <v>9778</v>
      </c>
      <c r="AF2272" t="s">
        <v>9779</v>
      </c>
      <c r="AG2272" t="s">
        <v>9780</v>
      </c>
      <c r="AH2272" t="s">
        <v>2552</v>
      </c>
      <c r="AI2272" t="s">
        <v>2538</v>
      </c>
      <c r="AJ2272" t="s">
        <v>2569</v>
      </c>
      <c r="AK2272" t="s">
        <v>14</v>
      </c>
      <c r="AL2272" t="s">
        <v>16</v>
      </c>
      <c r="AM2272" t="s">
        <v>10</v>
      </c>
      <c r="AN2272" t="s">
        <v>717</v>
      </c>
    </row>
    <row r="2273" spans="1:40" hidden="1">
      <c r="A2273">
        <v>2272</v>
      </c>
      <c r="B2273">
        <v>4</v>
      </c>
      <c r="C2273" s="58">
        <v>45363</v>
      </c>
      <c r="D2273" t="s">
        <v>13</v>
      </c>
      <c r="E2273" t="s">
        <v>2581</v>
      </c>
      <c r="F2273">
        <v>5</v>
      </c>
      <c r="G2273">
        <v>7</v>
      </c>
      <c r="H2273">
        <v>268</v>
      </c>
      <c r="I2273">
        <v>1</v>
      </c>
      <c r="J2273">
        <v>37.81</v>
      </c>
      <c r="K2273" t="s">
        <v>25</v>
      </c>
      <c r="L2273">
        <v>4888012</v>
      </c>
      <c r="M2273">
        <v>0</v>
      </c>
      <c r="N2273">
        <v>4888012</v>
      </c>
      <c r="O2273">
        <v>129278.2861676805</v>
      </c>
      <c r="P2273">
        <v>756200</v>
      </c>
      <c r="Q2273">
        <v>4131812</v>
      </c>
      <c r="R2273">
        <v>109278.2861676805</v>
      </c>
      <c r="S2273" t="s">
        <v>65</v>
      </c>
      <c r="T2273" t="s">
        <v>7859</v>
      </c>
      <c r="U2273">
        <v>88888</v>
      </c>
      <c r="V2273" t="s">
        <v>4131</v>
      </c>
      <c r="W2273">
        <v>45362</v>
      </c>
      <c r="X2273" t="s">
        <v>9781</v>
      </c>
      <c r="Y2273" t="s">
        <v>6</v>
      </c>
      <c r="Z2273" t="s">
        <v>17</v>
      </c>
      <c r="AA2273" t="s">
        <v>6637</v>
      </c>
      <c r="AB2273" t="s">
        <v>2509</v>
      </c>
      <c r="AC2273" t="s">
        <v>2571</v>
      </c>
      <c r="AD2273" t="s">
        <v>717</v>
      </c>
      <c r="AE2273" t="s">
        <v>9782</v>
      </c>
      <c r="AF2273" t="s">
        <v>9783</v>
      </c>
      <c r="AG2273" t="s">
        <v>9784</v>
      </c>
      <c r="AH2273" t="s">
        <v>2615</v>
      </c>
      <c r="AI2273" t="s">
        <v>2538</v>
      </c>
      <c r="AJ2273" t="s">
        <v>2662</v>
      </c>
      <c r="AK2273" t="s">
        <v>14</v>
      </c>
      <c r="AL2273" t="s">
        <v>22</v>
      </c>
      <c r="AM2273" t="s">
        <v>10</v>
      </c>
      <c r="AN2273" t="s">
        <v>717</v>
      </c>
    </row>
    <row r="2274" spans="1:40" hidden="1">
      <c r="A2274">
        <v>2273</v>
      </c>
      <c r="B2274">
        <v>5</v>
      </c>
      <c r="C2274" s="58">
        <v>45364</v>
      </c>
      <c r="D2274" t="s">
        <v>7</v>
      </c>
      <c r="E2274" t="s">
        <v>2515</v>
      </c>
      <c r="F2274">
        <v>2</v>
      </c>
      <c r="G2274">
        <v>9</v>
      </c>
      <c r="H2274">
        <v>58</v>
      </c>
      <c r="I2274">
        <v>2</v>
      </c>
      <c r="J2274">
        <v>61.76</v>
      </c>
      <c r="K2274" t="s">
        <v>9</v>
      </c>
      <c r="L2274">
        <v>5851770</v>
      </c>
      <c r="M2274">
        <v>15000</v>
      </c>
      <c r="N2274">
        <v>5866770</v>
      </c>
      <c r="O2274">
        <v>94993.037564766855</v>
      </c>
      <c r="P2274">
        <v>0</v>
      </c>
      <c r="Q2274">
        <v>5866770</v>
      </c>
      <c r="R2274">
        <v>94993.037564766855</v>
      </c>
      <c r="S2274" t="s">
        <v>65</v>
      </c>
      <c r="T2274" t="s">
        <v>2664</v>
      </c>
      <c r="U2274">
        <v>119730</v>
      </c>
      <c r="V2274" t="s">
        <v>6312</v>
      </c>
      <c r="W2274">
        <v>45348</v>
      </c>
      <c r="X2274" t="s">
        <v>9785</v>
      </c>
      <c r="Y2274" t="s">
        <v>6</v>
      </c>
      <c r="Z2274" t="s">
        <v>17</v>
      </c>
      <c r="AA2274" t="s">
        <v>6637</v>
      </c>
      <c r="AB2274" t="s">
        <v>2509</v>
      </c>
      <c r="AC2274" t="s">
        <v>2571</v>
      </c>
      <c r="AD2274" t="s">
        <v>717</v>
      </c>
      <c r="AE2274" t="s">
        <v>9786</v>
      </c>
      <c r="AF2274" t="s">
        <v>9787</v>
      </c>
      <c r="AG2274" t="s">
        <v>9788</v>
      </c>
      <c r="AH2274" t="s">
        <v>2552</v>
      </c>
      <c r="AI2274" t="s">
        <v>2552</v>
      </c>
      <c r="AJ2274" t="s">
        <v>2662</v>
      </c>
      <c r="AK2274" t="s">
        <v>8</v>
      </c>
      <c r="AL2274" t="s">
        <v>22</v>
      </c>
      <c r="AM2274" t="s">
        <v>10</v>
      </c>
      <c r="AN2274" t="s">
        <v>717</v>
      </c>
    </row>
    <row r="2275" spans="1:40" hidden="1">
      <c r="A2275">
        <v>2274</v>
      </c>
      <c r="B2275">
        <v>6</v>
      </c>
      <c r="C2275" s="58">
        <v>45364</v>
      </c>
      <c r="D2275" t="s">
        <v>7</v>
      </c>
      <c r="E2275" t="s">
        <v>4409</v>
      </c>
      <c r="F2275">
        <v>8</v>
      </c>
      <c r="G2275">
        <v>8</v>
      </c>
      <c r="H2275">
        <v>463</v>
      </c>
      <c r="I2275">
        <v>2</v>
      </c>
      <c r="J2275">
        <v>63.74</v>
      </c>
      <c r="K2275" t="s">
        <v>9</v>
      </c>
      <c r="L2275">
        <v>5822512</v>
      </c>
      <c r="M2275">
        <v>0</v>
      </c>
      <c r="N2275">
        <v>5822512</v>
      </c>
      <c r="O2275">
        <v>91347.850643238155</v>
      </c>
      <c r="P2275">
        <v>0</v>
      </c>
      <c r="Q2275">
        <v>5822512</v>
      </c>
      <c r="R2275">
        <v>91347.850643238155</v>
      </c>
      <c r="S2275" t="s">
        <v>65</v>
      </c>
      <c r="T2275" t="s">
        <v>7859</v>
      </c>
      <c r="U2275">
        <v>88888</v>
      </c>
      <c r="V2275" t="s">
        <v>4131</v>
      </c>
      <c r="W2275">
        <v>45352</v>
      </c>
      <c r="X2275" t="s">
        <v>9789</v>
      </c>
      <c r="Y2275" t="s">
        <v>6</v>
      </c>
      <c r="Z2275" t="s">
        <v>17</v>
      </c>
      <c r="AA2275" t="s">
        <v>6637</v>
      </c>
      <c r="AB2275" t="s">
        <v>2509</v>
      </c>
      <c r="AC2275" t="s">
        <v>2571</v>
      </c>
      <c r="AD2275" t="s">
        <v>717</v>
      </c>
      <c r="AE2275" t="s">
        <v>9790</v>
      </c>
      <c r="AF2275" t="s">
        <v>9791</v>
      </c>
      <c r="AG2275" t="s">
        <v>9792</v>
      </c>
      <c r="AH2275" t="s">
        <v>6100</v>
      </c>
      <c r="AI2275" t="s">
        <v>9793</v>
      </c>
      <c r="AJ2275" t="s">
        <v>40</v>
      </c>
      <c r="AK2275" t="s">
        <v>14</v>
      </c>
      <c r="AL2275" t="s">
        <v>16</v>
      </c>
      <c r="AM2275" t="s">
        <v>5654</v>
      </c>
      <c r="AN2275" t="s">
        <v>717</v>
      </c>
    </row>
    <row r="2276" spans="1:40" hidden="1">
      <c r="A2276">
        <v>2275</v>
      </c>
      <c r="B2276">
        <v>7</v>
      </c>
      <c r="C2276" s="58">
        <v>45364</v>
      </c>
      <c r="D2276" t="s">
        <v>7</v>
      </c>
      <c r="E2276" t="s">
        <v>2515</v>
      </c>
      <c r="F2276">
        <v>7</v>
      </c>
      <c r="G2276">
        <v>11</v>
      </c>
      <c r="H2276">
        <v>79</v>
      </c>
      <c r="I2276">
        <v>0</v>
      </c>
      <c r="J2276">
        <v>21.75</v>
      </c>
      <c r="K2276" t="s">
        <v>15</v>
      </c>
      <c r="L2276">
        <v>3007825</v>
      </c>
      <c r="M2276">
        <v>0</v>
      </c>
      <c r="N2276">
        <v>3007825</v>
      </c>
      <c r="O2276">
        <v>138290.80459770115</v>
      </c>
      <c r="P2276">
        <v>163125</v>
      </c>
      <c r="Q2276">
        <v>2844700</v>
      </c>
      <c r="R2276">
        <v>130790.80459770116</v>
      </c>
      <c r="S2276" t="s">
        <v>65</v>
      </c>
      <c r="T2276" t="s">
        <v>717</v>
      </c>
      <c r="U2276" t="s">
        <v>717</v>
      </c>
      <c r="V2276" t="s">
        <v>4131</v>
      </c>
      <c r="W2276">
        <v>45357</v>
      </c>
      <c r="X2276" t="s">
        <v>9794</v>
      </c>
      <c r="Y2276" t="s">
        <v>6</v>
      </c>
      <c r="Z2276" t="s">
        <v>17</v>
      </c>
      <c r="AA2276" t="s">
        <v>6637</v>
      </c>
      <c r="AB2276" t="s">
        <v>2509</v>
      </c>
      <c r="AC2276" t="s">
        <v>2571</v>
      </c>
      <c r="AD2276" t="s">
        <v>717</v>
      </c>
      <c r="AE2276" t="s">
        <v>9795</v>
      </c>
      <c r="AF2276" t="s">
        <v>9796</v>
      </c>
      <c r="AG2276" t="s">
        <v>9797</v>
      </c>
      <c r="AH2276" t="s">
        <v>2616</v>
      </c>
      <c r="AI2276" t="s">
        <v>2552</v>
      </c>
      <c r="AJ2276" t="s">
        <v>2825</v>
      </c>
      <c r="AK2276" t="s">
        <v>20</v>
      </c>
      <c r="AL2276" t="s">
        <v>22</v>
      </c>
      <c r="AM2276" t="s">
        <v>10</v>
      </c>
      <c r="AN2276" t="s">
        <v>717</v>
      </c>
    </row>
    <row r="2277" spans="1:40" hidden="1">
      <c r="A2277">
        <v>2276</v>
      </c>
      <c r="B2277">
        <v>8</v>
      </c>
      <c r="C2277" s="58">
        <v>45364</v>
      </c>
      <c r="D2277" t="s">
        <v>7</v>
      </c>
      <c r="E2277" t="s">
        <v>2515</v>
      </c>
      <c r="F2277">
        <v>2</v>
      </c>
      <c r="G2277">
        <v>12</v>
      </c>
      <c r="H2277">
        <v>82</v>
      </c>
      <c r="I2277">
        <v>2</v>
      </c>
      <c r="J2277">
        <v>61.76</v>
      </c>
      <c r="K2277" t="s">
        <v>25</v>
      </c>
      <c r="L2277">
        <v>7256332</v>
      </c>
      <c r="M2277">
        <v>0</v>
      </c>
      <c r="N2277">
        <v>7256332</v>
      </c>
      <c r="O2277">
        <v>117492.42227979277</v>
      </c>
      <c r="P2277">
        <v>1358720</v>
      </c>
      <c r="Q2277">
        <v>5897612</v>
      </c>
      <c r="R2277">
        <v>95492.422279792765</v>
      </c>
      <c r="S2277" t="s">
        <v>65</v>
      </c>
      <c r="T2277" t="s">
        <v>7859</v>
      </c>
      <c r="U2277">
        <v>88888</v>
      </c>
      <c r="V2277" t="s">
        <v>6312</v>
      </c>
      <c r="W2277">
        <v>45358</v>
      </c>
      <c r="X2277" t="s">
        <v>9798</v>
      </c>
      <c r="Y2277" t="s">
        <v>6</v>
      </c>
      <c r="Z2277" t="s">
        <v>17</v>
      </c>
      <c r="AA2277" t="s">
        <v>6637</v>
      </c>
      <c r="AB2277" t="s">
        <v>2509</v>
      </c>
      <c r="AC2277" t="s">
        <v>2571</v>
      </c>
      <c r="AD2277" t="s">
        <v>717</v>
      </c>
      <c r="AE2277" t="s">
        <v>9799</v>
      </c>
      <c r="AF2277" t="s">
        <v>9800</v>
      </c>
      <c r="AG2277" t="s">
        <v>9801</v>
      </c>
      <c r="AH2277" t="s">
        <v>2191</v>
      </c>
      <c r="AI2277" t="s">
        <v>2538</v>
      </c>
      <c r="AJ2277" t="s">
        <v>2514</v>
      </c>
      <c r="AK2277" t="s">
        <v>8</v>
      </c>
      <c r="AL2277" t="s">
        <v>22</v>
      </c>
      <c r="AM2277" t="s">
        <v>10</v>
      </c>
      <c r="AN2277" t="s">
        <v>717</v>
      </c>
    </row>
    <row r="2278" spans="1:40" hidden="1">
      <c r="A2278">
        <v>2277</v>
      </c>
      <c r="B2278">
        <v>9</v>
      </c>
      <c r="C2278" s="58">
        <v>45367</v>
      </c>
      <c r="D2278" t="s">
        <v>13</v>
      </c>
      <c r="E2278" t="s">
        <v>2515</v>
      </c>
      <c r="F2278">
        <v>3</v>
      </c>
      <c r="G2278">
        <v>7</v>
      </c>
      <c r="H2278">
        <v>44</v>
      </c>
      <c r="I2278">
        <v>1</v>
      </c>
      <c r="J2278">
        <v>37.729999999999997</v>
      </c>
      <c r="K2278" t="s">
        <v>9</v>
      </c>
      <c r="L2278">
        <v>4170212</v>
      </c>
      <c r="M2278">
        <v>0</v>
      </c>
      <c r="N2278">
        <v>4170212</v>
      </c>
      <c r="O2278">
        <v>110527.74980121919</v>
      </c>
      <c r="P2278">
        <v>0</v>
      </c>
      <c r="Q2278">
        <v>4170212</v>
      </c>
      <c r="R2278">
        <v>110527.74980121919</v>
      </c>
      <c r="S2278" t="s">
        <v>65</v>
      </c>
      <c r="T2278" t="s">
        <v>7859</v>
      </c>
      <c r="U2278">
        <v>88888</v>
      </c>
      <c r="V2278" t="s">
        <v>4131</v>
      </c>
      <c r="W2278">
        <v>45364</v>
      </c>
      <c r="X2278" t="s">
        <v>9802</v>
      </c>
      <c r="Y2278" t="s">
        <v>6</v>
      </c>
      <c r="Z2278" t="s">
        <v>17</v>
      </c>
      <c r="AA2278" t="s">
        <v>6637</v>
      </c>
      <c r="AB2278" t="s">
        <v>2509</v>
      </c>
      <c r="AC2278" t="s">
        <v>2571</v>
      </c>
      <c r="AD2278" t="s">
        <v>717</v>
      </c>
      <c r="AE2278" t="s">
        <v>9803</v>
      </c>
      <c r="AF2278" t="s">
        <v>9804</v>
      </c>
      <c r="AG2278" t="s">
        <v>9805</v>
      </c>
      <c r="AH2278" t="s">
        <v>2615</v>
      </c>
      <c r="AI2278" t="s">
        <v>2552</v>
      </c>
      <c r="AJ2278" t="s">
        <v>2825</v>
      </c>
      <c r="AK2278" t="s">
        <v>8</v>
      </c>
      <c r="AL2278" t="s">
        <v>22</v>
      </c>
      <c r="AM2278" t="s">
        <v>10</v>
      </c>
      <c r="AN2278" t="s">
        <v>8722</v>
      </c>
    </row>
    <row r="2279" spans="1:40" hidden="1">
      <c r="A2279">
        <v>2278</v>
      </c>
      <c r="B2279">
        <v>10</v>
      </c>
      <c r="C2279" s="58">
        <v>45366</v>
      </c>
      <c r="D2279" t="s">
        <v>7</v>
      </c>
      <c r="E2279" t="s">
        <v>4409</v>
      </c>
      <c r="F2279">
        <v>7</v>
      </c>
      <c r="G2279">
        <v>7</v>
      </c>
      <c r="H2279">
        <v>453</v>
      </c>
      <c r="I2279">
        <v>2</v>
      </c>
      <c r="J2279">
        <v>67.489999999999995</v>
      </c>
      <c r="K2279" t="s">
        <v>15</v>
      </c>
      <c r="L2279">
        <v>7022635</v>
      </c>
      <c r="M2279">
        <v>0</v>
      </c>
      <c r="N2279">
        <v>7022635</v>
      </c>
      <c r="O2279">
        <v>104054.45251148321</v>
      </c>
      <c r="P2279">
        <v>506174.99999999994</v>
      </c>
      <c r="Q2279">
        <v>6516460</v>
      </c>
      <c r="R2279">
        <v>96554.452511483207</v>
      </c>
      <c r="S2279" t="s">
        <v>65</v>
      </c>
      <c r="T2279" t="s">
        <v>4059</v>
      </c>
      <c r="U2279">
        <v>201540</v>
      </c>
      <c r="V2279" t="s">
        <v>6312</v>
      </c>
      <c r="W2279">
        <v>45365</v>
      </c>
      <c r="X2279" t="s">
        <v>9806</v>
      </c>
      <c r="Y2279" t="s">
        <v>6</v>
      </c>
      <c r="Z2279" t="s">
        <v>17</v>
      </c>
      <c r="AA2279" t="s">
        <v>6637</v>
      </c>
      <c r="AB2279" t="s">
        <v>2509</v>
      </c>
      <c r="AC2279" t="s">
        <v>2571</v>
      </c>
      <c r="AD2279" t="s">
        <v>717</v>
      </c>
      <c r="AE2279" t="s">
        <v>9807</v>
      </c>
      <c r="AF2279" t="s">
        <v>9808</v>
      </c>
      <c r="AG2279" t="s">
        <v>9809</v>
      </c>
      <c r="AH2279" t="s">
        <v>2615</v>
      </c>
      <c r="AI2279" t="s">
        <v>2688</v>
      </c>
      <c r="AJ2279" t="s">
        <v>3202</v>
      </c>
      <c r="AK2279" t="s">
        <v>14</v>
      </c>
      <c r="AL2279" t="s">
        <v>16</v>
      </c>
      <c r="AM2279" t="s">
        <v>10</v>
      </c>
      <c r="AN2279" t="s">
        <v>717</v>
      </c>
    </row>
    <row r="2280" spans="1:40" hidden="1">
      <c r="A2280">
        <v>2279</v>
      </c>
      <c r="B2280">
        <v>11</v>
      </c>
      <c r="C2280" s="58">
        <v>45369</v>
      </c>
      <c r="D2280" t="s">
        <v>7</v>
      </c>
      <c r="E2280" t="s">
        <v>2515</v>
      </c>
      <c r="F2280">
        <v>2</v>
      </c>
      <c r="G2280">
        <v>3</v>
      </c>
      <c r="H2280">
        <v>10</v>
      </c>
      <c r="I2280">
        <v>2</v>
      </c>
      <c r="J2280">
        <v>61.76</v>
      </c>
      <c r="K2280" t="s">
        <v>15</v>
      </c>
      <c r="L2280">
        <v>6270105</v>
      </c>
      <c r="M2280">
        <v>0</v>
      </c>
      <c r="N2280">
        <v>6270105</v>
      </c>
      <c r="O2280">
        <v>101523.72085492229</v>
      </c>
      <c r="P2280">
        <v>463200</v>
      </c>
      <c r="Q2280">
        <v>5806905</v>
      </c>
      <c r="R2280">
        <v>94023.720854922285</v>
      </c>
      <c r="S2280" t="s">
        <v>65</v>
      </c>
      <c r="T2280" t="s">
        <v>4059</v>
      </c>
      <c r="U2280">
        <v>179595</v>
      </c>
      <c r="V2280" t="s">
        <v>6312</v>
      </c>
      <c r="W2280">
        <v>45363</v>
      </c>
      <c r="X2280" t="s">
        <v>9810</v>
      </c>
      <c r="Y2280" t="s">
        <v>6</v>
      </c>
      <c r="Z2280" t="s">
        <v>17</v>
      </c>
      <c r="AA2280" t="s">
        <v>6637</v>
      </c>
      <c r="AB2280" t="s">
        <v>2509</v>
      </c>
      <c r="AC2280" t="s">
        <v>2571</v>
      </c>
      <c r="AD2280" t="s">
        <v>717</v>
      </c>
      <c r="AE2280" t="s">
        <v>9811</v>
      </c>
      <c r="AF2280" t="s">
        <v>9812</v>
      </c>
      <c r="AG2280" t="s">
        <v>9813</v>
      </c>
      <c r="AH2280" t="s">
        <v>2191</v>
      </c>
      <c r="AI2280" t="s">
        <v>2538</v>
      </c>
      <c r="AJ2280" t="s">
        <v>2514</v>
      </c>
      <c r="AK2280" t="s">
        <v>8</v>
      </c>
      <c r="AL2280" t="s">
        <v>22</v>
      </c>
      <c r="AM2280" t="s">
        <v>10</v>
      </c>
      <c r="AN2280" t="s">
        <v>717</v>
      </c>
    </row>
    <row r="2281" spans="1:40" hidden="1">
      <c r="A2281">
        <v>2280</v>
      </c>
      <c r="B2281">
        <v>12</v>
      </c>
      <c r="C2281" s="58">
        <v>45370</v>
      </c>
      <c r="D2281" t="s">
        <v>7</v>
      </c>
      <c r="E2281" t="s">
        <v>4409</v>
      </c>
      <c r="F2281">
        <v>7</v>
      </c>
      <c r="G2281">
        <v>6</v>
      </c>
      <c r="H2281">
        <v>444</v>
      </c>
      <c r="I2281">
        <v>2</v>
      </c>
      <c r="J2281">
        <v>67.489999999999995</v>
      </c>
      <c r="K2281" t="s">
        <v>15</v>
      </c>
      <c r="L2281">
        <v>6832005</v>
      </c>
      <c r="M2281">
        <v>30000</v>
      </c>
      <c r="N2281">
        <v>6862005</v>
      </c>
      <c r="O2281">
        <v>101674.39620684549</v>
      </c>
      <c r="P2281">
        <v>506174.99999999994</v>
      </c>
      <c r="Q2281">
        <v>6355830</v>
      </c>
      <c r="R2281">
        <v>94174.396206845471</v>
      </c>
      <c r="S2281" t="s">
        <v>65</v>
      </c>
      <c r="T2281" t="s">
        <v>2941</v>
      </c>
      <c r="U2281">
        <v>162970</v>
      </c>
      <c r="V2281" t="s">
        <v>6312</v>
      </c>
      <c r="W2281">
        <v>45310</v>
      </c>
      <c r="X2281" t="s">
        <v>9814</v>
      </c>
      <c r="Y2281" t="s">
        <v>6</v>
      </c>
      <c r="Z2281" t="s">
        <v>17</v>
      </c>
      <c r="AA2281" t="s">
        <v>6637</v>
      </c>
      <c r="AB2281" t="s">
        <v>2509</v>
      </c>
      <c r="AC2281" t="s">
        <v>2571</v>
      </c>
      <c r="AD2281" t="s">
        <v>717</v>
      </c>
      <c r="AE2281" t="s">
        <v>9815</v>
      </c>
      <c r="AF2281" t="s">
        <v>9816</v>
      </c>
      <c r="AG2281" t="s">
        <v>9817</v>
      </c>
      <c r="AH2281" t="s">
        <v>2615</v>
      </c>
      <c r="AI2281" t="s">
        <v>2847</v>
      </c>
      <c r="AJ2281" t="s">
        <v>2940</v>
      </c>
      <c r="AK2281" t="s">
        <v>8</v>
      </c>
      <c r="AL2281" t="s">
        <v>16</v>
      </c>
      <c r="AM2281" t="s">
        <v>10</v>
      </c>
      <c r="AN2281" t="s">
        <v>717</v>
      </c>
    </row>
    <row r="2282" spans="1:40" hidden="1">
      <c r="A2282">
        <v>2281</v>
      </c>
      <c r="B2282">
        <v>13</v>
      </c>
      <c r="C2282" s="58">
        <v>45370</v>
      </c>
      <c r="D2282" t="s">
        <v>13</v>
      </c>
      <c r="E2282" t="s">
        <v>2581</v>
      </c>
      <c r="F2282">
        <v>1</v>
      </c>
      <c r="G2282">
        <v>10</v>
      </c>
      <c r="H2282">
        <v>285</v>
      </c>
      <c r="I2282">
        <v>2</v>
      </c>
      <c r="J2282">
        <v>73.7</v>
      </c>
      <c r="K2282" t="s">
        <v>9</v>
      </c>
      <c r="L2282">
        <v>6788400</v>
      </c>
      <c r="M2282">
        <v>0</v>
      </c>
      <c r="N2282">
        <v>6788400</v>
      </c>
      <c r="O2282">
        <v>92108.548168249661</v>
      </c>
      <c r="P2282">
        <v>0</v>
      </c>
      <c r="Q2282">
        <v>6788400</v>
      </c>
      <c r="R2282">
        <v>92108.548168249661</v>
      </c>
      <c r="S2282" t="s">
        <v>65</v>
      </c>
      <c r="T2282" t="s">
        <v>717</v>
      </c>
      <c r="U2282" t="s">
        <v>717</v>
      </c>
      <c r="V2282" t="s">
        <v>6312</v>
      </c>
      <c r="W2282">
        <v>45351</v>
      </c>
      <c r="X2282" t="s">
        <v>9818</v>
      </c>
      <c r="Y2282" t="s">
        <v>6</v>
      </c>
      <c r="Z2282" t="s">
        <v>17</v>
      </c>
      <c r="AA2282" t="s">
        <v>6637</v>
      </c>
      <c r="AB2282" t="s">
        <v>2509</v>
      </c>
      <c r="AC2282" t="s">
        <v>2571</v>
      </c>
      <c r="AD2282" t="s">
        <v>717</v>
      </c>
      <c r="AE2282" t="s">
        <v>9819</v>
      </c>
      <c r="AF2282" t="s">
        <v>5891</v>
      </c>
      <c r="AG2282" t="s">
        <v>9820</v>
      </c>
      <c r="AH2282" t="s">
        <v>2191</v>
      </c>
      <c r="AI2282" t="s">
        <v>2600</v>
      </c>
      <c r="AJ2282" t="s">
        <v>3921</v>
      </c>
      <c r="AK2282" t="s">
        <v>14</v>
      </c>
      <c r="AL2282" t="s">
        <v>16</v>
      </c>
      <c r="AM2282" t="s">
        <v>10</v>
      </c>
      <c r="AN2282" t="s">
        <v>717</v>
      </c>
    </row>
    <row r="2283" spans="1:40" hidden="1">
      <c r="A2283">
        <v>2282</v>
      </c>
      <c r="B2283">
        <v>14</v>
      </c>
      <c r="C2283" s="58">
        <v>45370</v>
      </c>
      <c r="D2283" t="s">
        <v>13</v>
      </c>
      <c r="E2283" t="s">
        <v>4409</v>
      </c>
      <c r="F2283">
        <v>2</v>
      </c>
      <c r="G2283">
        <v>12</v>
      </c>
      <c r="H2283">
        <v>478</v>
      </c>
      <c r="I2283">
        <v>1</v>
      </c>
      <c r="J2283">
        <v>43.21</v>
      </c>
      <c r="K2283" t="s">
        <v>9</v>
      </c>
      <c r="L2283">
        <v>4521612</v>
      </c>
      <c r="M2283">
        <v>0</v>
      </c>
      <c r="N2283">
        <v>4521612</v>
      </c>
      <c r="O2283">
        <v>104642.721592224</v>
      </c>
      <c r="P2283">
        <v>0</v>
      </c>
      <c r="Q2283">
        <v>4521612</v>
      </c>
      <c r="R2283">
        <v>104642.721592224</v>
      </c>
      <c r="S2283" t="s">
        <v>65</v>
      </c>
      <c r="T2283" t="s">
        <v>7859</v>
      </c>
      <c r="U2283">
        <v>88888</v>
      </c>
      <c r="V2283" t="s">
        <v>6312</v>
      </c>
      <c r="W2283">
        <v>45363</v>
      </c>
      <c r="X2283" t="s">
        <v>9821</v>
      </c>
      <c r="Y2283" t="s">
        <v>6</v>
      </c>
      <c r="Z2283" t="s">
        <v>17</v>
      </c>
      <c r="AA2283" t="s">
        <v>5617</v>
      </c>
      <c r="AB2283" t="s">
        <v>2509</v>
      </c>
      <c r="AC2283" t="s">
        <v>2564</v>
      </c>
      <c r="AD2283" t="s">
        <v>717</v>
      </c>
      <c r="AE2283" t="s">
        <v>9822</v>
      </c>
      <c r="AF2283" t="s">
        <v>9823</v>
      </c>
      <c r="AG2283" t="s">
        <v>9824</v>
      </c>
      <c r="AH2283" t="s">
        <v>2552</v>
      </c>
      <c r="AI2283" t="s">
        <v>2552</v>
      </c>
      <c r="AJ2283" t="s">
        <v>4799</v>
      </c>
      <c r="AK2283" t="s">
        <v>8</v>
      </c>
      <c r="AL2283" t="s">
        <v>22</v>
      </c>
      <c r="AM2283" t="s">
        <v>10</v>
      </c>
      <c r="AN2283" t="s">
        <v>717</v>
      </c>
    </row>
    <row r="2284" spans="1:40" hidden="1">
      <c r="A2284">
        <v>2283</v>
      </c>
      <c r="B2284">
        <v>15</v>
      </c>
      <c r="C2284" s="58">
        <v>45370</v>
      </c>
      <c r="D2284" t="s">
        <v>7</v>
      </c>
      <c r="E2284" t="s">
        <v>2515</v>
      </c>
      <c r="F2284">
        <v>2</v>
      </c>
      <c r="G2284">
        <v>2</v>
      </c>
      <c r="H2284">
        <v>2</v>
      </c>
      <c r="I2284">
        <v>2</v>
      </c>
      <c r="J2284">
        <v>61.76</v>
      </c>
      <c r="K2284" t="s">
        <v>15</v>
      </c>
      <c r="L2284">
        <v>6480512</v>
      </c>
      <c r="M2284">
        <v>0</v>
      </c>
      <c r="N2284">
        <v>6480512</v>
      </c>
      <c r="O2284">
        <v>104930.56994818652</v>
      </c>
      <c r="P2284">
        <v>463200</v>
      </c>
      <c r="Q2284">
        <v>6017312</v>
      </c>
      <c r="R2284">
        <v>97430.569948186516</v>
      </c>
      <c r="S2284" t="s">
        <v>65</v>
      </c>
      <c r="T2284" t="s">
        <v>7859</v>
      </c>
      <c r="U2284">
        <v>88888</v>
      </c>
      <c r="V2284" t="s">
        <v>4131</v>
      </c>
      <c r="W2284">
        <v>45364</v>
      </c>
      <c r="X2284" t="s">
        <v>9825</v>
      </c>
      <c r="Y2284" t="s">
        <v>6</v>
      </c>
      <c r="Z2284" t="s">
        <v>17</v>
      </c>
      <c r="AA2284" t="s">
        <v>6637</v>
      </c>
      <c r="AB2284" t="s">
        <v>2509</v>
      </c>
      <c r="AC2284" t="s">
        <v>2571</v>
      </c>
      <c r="AD2284" t="s">
        <v>717</v>
      </c>
      <c r="AE2284" t="s">
        <v>9826</v>
      </c>
      <c r="AF2284" t="s">
        <v>9827</v>
      </c>
      <c r="AG2284" t="s">
        <v>9828</v>
      </c>
      <c r="AH2284" t="s">
        <v>2191</v>
      </c>
      <c r="AI2284" t="s">
        <v>2621</v>
      </c>
      <c r="AJ2284" t="s">
        <v>2514</v>
      </c>
      <c r="AK2284" t="s">
        <v>8</v>
      </c>
      <c r="AL2284" t="s">
        <v>22</v>
      </c>
      <c r="AM2284" t="s">
        <v>10</v>
      </c>
      <c r="AN2284" t="s">
        <v>717</v>
      </c>
    </row>
    <row r="2285" spans="1:40" hidden="1">
      <c r="A2285">
        <v>2284</v>
      </c>
      <c r="B2285">
        <v>16</v>
      </c>
      <c r="C2285" s="58">
        <v>45371</v>
      </c>
      <c r="D2285" t="s">
        <v>7</v>
      </c>
      <c r="E2285" t="s">
        <v>2581</v>
      </c>
      <c r="F2285">
        <v>5</v>
      </c>
      <c r="G2285">
        <v>3</v>
      </c>
      <c r="H2285">
        <v>252</v>
      </c>
      <c r="I2285">
        <v>2</v>
      </c>
      <c r="J2285">
        <v>56.7</v>
      </c>
      <c r="K2285" t="s">
        <v>25</v>
      </c>
      <c r="L2285">
        <v>6536333</v>
      </c>
      <c r="M2285">
        <v>45000</v>
      </c>
      <c r="N2285">
        <v>6581333</v>
      </c>
      <c r="O2285">
        <v>116072.89241622576</v>
      </c>
      <c r="P2285">
        <v>1247400</v>
      </c>
      <c r="Q2285">
        <v>5333933</v>
      </c>
      <c r="R2285">
        <v>94072.892416225746</v>
      </c>
      <c r="S2285" t="s">
        <v>65</v>
      </c>
      <c r="T2285" t="s">
        <v>4059</v>
      </c>
      <c r="U2285">
        <v>164967</v>
      </c>
      <c r="V2285" t="s">
        <v>6312</v>
      </c>
      <c r="W2285">
        <v>45323</v>
      </c>
      <c r="X2285" t="s">
        <v>9829</v>
      </c>
      <c r="Y2285" t="s">
        <v>6</v>
      </c>
      <c r="Z2285" t="s">
        <v>17</v>
      </c>
      <c r="AA2285" t="s">
        <v>6637</v>
      </c>
      <c r="AB2285" t="s">
        <v>2509</v>
      </c>
      <c r="AC2285" t="s">
        <v>2571</v>
      </c>
      <c r="AD2285" t="s">
        <v>717</v>
      </c>
      <c r="AE2285" t="s">
        <v>9830</v>
      </c>
      <c r="AF2285" t="s">
        <v>9831</v>
      </c>
      <c r="AG2285" t="s">
        <v>9832</v>
      </c>
      <c r="AH2285" t="s">
        <v>2615</v>
      </c>
      <c r="AI2285" t="s">
        <v>2688</v>
      </c>
      <c r="AJ2285" t="s">
        <v>3289</v>
      </c>
      <c r="AK2285" t="s">
        <v>14</v>
      </c>
      <c r="AL2285" t="s">
        <v>16</v>
      </c>
      <c r="AM2285" t="s">
        <v>10</v>
      </c>
      <c r="AN2285" t="s">
        <v>717</v>
      </c>
    </row>
    <row r="2286" spans="1:40" hidden="1">
      <c r="A2286">
        <v>2285</v>
      </c>
      <c r="B2286">
        <v>17</v>
      </c>
      <c r="C2286" s="58">
        <v>45372</v>
      </c>
      <c r="D2286" t="s">
        <v>13</v>
      </c>
      <c r="E2286" t="s">
        <v>4409</v>
      </c>
      <c r="F2286">
        <v>2</v>
      </c>
      <c r="G2286">
        <v>10</v>
      </c>
      <c r="H2286">
        <v>462</v>
      </c>
      <c r="I2286">
        <v>1</v>
      </c>
      <c r="J2286">
        <v>43.21</v>
      </c>
      <c r="K2286" t="s">
        <v>9</v>
      </c>
      <c r="L2286">
        <v>4461200</v>
      </c>
      <c r="M2286">
        <v>15000</v>
      </c>
      <c r="N2286">
        <v>4476200</v>
      </c>
      <c r="O2286">
        <v>103591.76116639668</v>
      </c>
      <c r="P2286">
        <v>0</v>
      </c>
      <c r="Q2286">
        <v>4476200</v>
      </c>
      <c r="R2286">
        <v>103591.76116639668</v>
      </c>
      <c r="S2286" t="s">
        <v>65</v>
      </c>
      <c r="T2286" t="s">
        <v>717</v>
      </c>
      <c r="U2286" t="s">
        <v>717</v>
      </c>
      <c r="V2286" t="s">
        <v>4131</v>
      </c>
      <c r="W2286">
        <v>45343</v>
      </c>
      <c r="X2286" t="s">
        <v>9833</v>
      </c>
      <c r="Y2286" t="s">
        <v>6</v>
      </c>
      <c r="Z2286" t="s">
        <v>17</v>
      </c>
      <c r="AA2286" t="s">
        <v>6637</v>
      </c>
      <c r="AB2286" t="s">
        <v>2509</v>
      </c>
      <c r="AC2286" t="s">
        <v>2571</v>
      </c>
      <c r="AD2286" t="s">
        <v>717</v>
      </c>
      <c r="AE2286" t="s">
        <v>9834</v>
      </c>
      <c r="AF2286" t="s">
        <v>9835</v>
      </c>
      <c r="AG2286" t="s">
        <v>9836</v>
      </c>
      <c r="AH2286" t="s">
        <v>2615</v>
      </c>
      <c r="AI2286" t="s">
        <v>2600</v>
      </c>
      <c r="AJ2286" t="s">
        <v>3921</v>
      </c>
      <c r="AK2286" t="s">
        <v>8</v>
      </c>
      <c r="AL2286" t="s">
        <v>22</v>
      </c>
      <c r="AM2286" t="s">
        <v>10</v>
      </c>
      <c r="AN2286" t="s">
        <v>717</v>
      </c>
    </row>
    <row r="2287" spans="1:40" hidden="1">
      <c r="A2287">
        <v>2286</v>
      </c>
      <c r="B2287">
        <v>18</v>
      </c>
      <c r="C2287" s="58">
        <v>45372</v>
      </c>
      <c r="D2287" t="s">
        <v>7</v>
      </c>
      <c r="E2287" t="s">
        <v>2506</v>
      </c>
      <c r="F2287">
        <v>6</v>
      </c>
      <c r="G2287">
        <v>14</v>
      </c>
      <c r="H2287">
        <v>222</v>
      </c>
      <c r="I2287">
        <v>1</v>
      </c>
      <c r="J2287">
        <v>36.659999999999997</v>
      </c>
      <c r="K2287" t="s">
        <v>25</v>
      </c>
      <c r="L2287">
        <v>5092532</v>
      </c>
      <c r="M2287">
        <v>0</v>
      </c>
      <c r="N2287">
        <v>5092532</v>
      </c>
      <c r="O2287">
        <v>138912.49318057831</v>
      </c>
      <c r="P2287">
        <v>806520</v>
      </c>
      <c r="Q2287">
        <v>4286012</v>
      </c>
      <c r="R2287">
        <v>116912.4931805783</v>
      </c>
      <c r="S2287" t="s">
        <v>65</v>
      </c>
      <c r="T2287" t="s">
        <v>7859</v>
      </c>
      <c r="U2287">
        <v>88888</v>
      </c>
      <c r="V2287" t="s">
        <v>4131</v>
      </c>
      <c r="W2287">
        <v>45362</v>
      </c>
      <c r="X2287" t="s">
        <v>9837</v>
      </c>
      <c r="Y2287" t="s">
        <v>6</v>
      </c>
      <c r="Z2287" t="s">
        <v>17</v>
      </c>
      <c r="AA2287" t="s">
        <v>6637</v>
      </c>
      <c r="AB2287" t="s">
        <v>2509</v>
      </c>
      <c r="AC2287" t="s">
        <v>2571</v>
      </c>
      <c r="AD2287" t="s">
        <v>717</v>
      </c>
      <c r="AE2287" t="s">
        <v>9838</v>
      </c>
      <c r="AF2287" t="s">
        <v>9839</v>
      </c>
      <c r="AG2287" t="s">
        <v>9840</v>
      </c>
      <c r="AH2287" t="s">
        <v>6100</v>
      </c>
      <c r="AI2287" t="s">
        <v>6554</v>
      </c>
      <c r="AJ2287" t="s">
        <v>9351</v>
      </c>
      <c r="AK2287" t="s">
        <v>20</v>
      </c>
      <c r="AL2287" t="s">
        <v>22</v>
      </c>
      <c r="AM2287" t="s">
        <v>5654</v>
      </c>
      <c r="AN2287" t="s">
        <v>717</v>
      </c>
    </row>
    <row r="2288" spans="1:40" hidden="1">
      <c r="A2288">
        <v>2287</v>
      </c>
      <c r="B2288">
        <v>19</v>
      </c>
      <c r="C2288" s="58">
        <v>45372</v>
      </c>
      <c r="D2288" t="s">
        <v>13</v>
      </c>
      <c r="E2288" t="s">
        <v>4409</v>
      </c>
      <c r="F2288">
        <v>2</v>
      </c>
      <c r="G2288">
        <v>15</v>
      </c>
      <c r="H2288">
        <v>502</v>
      </c>
      <c r="I2288">
        <v>1</v>
      </c>
      <c r="J2288">
        <v>43.21</v>
      </c>
      <c r="K2288" t="s">
        <v>9</v>
      </c>
      <c r="L2288">
        <v>4521612</v>
      </c>
      <c r="M2288">
        <v>0</v>
      </c>
      <c r="N2288">
        <v>4521612</v>
      </c>
      <c r="O2288">
        <v>104642.721592224</v>
      </c>
      <c r="P2288">
        <v>0</v>
      </c>
      <c r="Q2288">
        <v>4521612</v>
      </c>
      <c r="R2288">
        <v>104642.721592224</v>
      </c>
      <c r="S2288" t="s">
        <v>65</v>
      </c>
      <c r="T2288" t="s">
        <v>7859</v>
      </c>
      <c r="U2288">
        <v>88888</v>
      </c>
      <c r="V2288" t="s">
        <v>6312</v>
      </c>
      <c r="W2288">
        <v>45363</v>
      </c>
      <c r="X2288" t="s">
        <v>9841</v>
      </c>
      <c r="Y2288" t="s">
        <v>6</v>
      </c>
      <c r="Z2288" t="s">
        <v>17</v>
      </c>
      <c r="AA2288" t="s">
        <v>6637</v>
      </c>
      <c r="AB2288" t="s">
        <v>2509</v>
      </c>
      <c r="AC2288" t="s">
        <v>2571</v>
      </c>
      <c r="AD2288" t="s">
        <v>717</v>
      </c>
      <c r="AE2288" t="s">
        <v>9842</v>
      </c>
      <c r="AF2288" t="s">
        <v>9823</v>
      </c>
      <c r="AG2288" t="s">
        <v>9843</v>
      </c>
      <c r="AH2288" t="s">
        <v>2580</v>
      </c>
      <c r="AI2288" t="s">
        <v>2552</v>
      </c>
      <c r="AJ2288" t="s">
        <v>3921</v>
      </c>
      <c r="AK2288" t="s">
        <v>8</v>
      </c>
      <c r="AL2288" t="s">
        <v>22</v>
      </c>
      <c r="AM2288" t="s">
        <v>10</v>
      </c>
      <c r="AN2288" t="s">
        <v>717</v>
      </c>
    </row>
    <row r="2289" spans="1:40" hidden="1">
      <c r="A2289">
        <v>2288</v>
      </c>
      <c r="B2289">
        <v>20</v>
      </c>
      <c r="C2289" s="58">
        <v>45372</v>
      </c>
      <c r="D2289" t="s">
        <v>13</v>
      </c>
      <c r="E2289" t="s">
        <v>2581</v>
      </c>
      <c r="F2289">
        <v>5</v>
      </c>
      <c r="G2289">
        <v>14</v>
      </c>
      <c r="H2289">
        <v>317</v>
      </c>
      <c r="I2289">
        <v>1</v>
      </c>
      <c r="J2289">
        <v>37.81</v>
      </c>
      <c r="K2289" t="s">
        <v>9</v>
      </c>
      <c r="L2289">
        <v>4298212</v>
      </c>
      <c r="M2289">
        <v>0</v>
      </c>
      <c r="N2289">
        <v>4298212</v>
      </c>
      <c r="O2289">
        <v>113679.23829674687</v>
      </c>
      <c r="P2289">
        <v>0</v>
      </c>
      <c r="Q2289">
        <v>4298212</v>
      </c>
      <c r="R2289">
        <v>113679.23829674687</v>
      </c>
      <c r="S2289" t="s">
        <v>65</v>
      </c>
      <c r="T2289" t="s">
        <v>7859</v>
      </c>
      <c r="U2289">
        <v>88888</v>
      </c>
      <c r="V2289" t="s">
        <v>4131</v>
      </c>
      <c r="W2289">
        <v>45369</v>
      </c>
      <c r="X2289" t="s">
        <v>9844</v>
      </c>
      <c r="Y2289" t="s">
        <v>6</v>
      </c>
      <c r="Z2289" t="s">
        <v>17</v>
      </c>
      <c r="AA2289" t="s">
        <v>6637</v>
      </c>
      <c r="AB2289" t="s">
        <v>2509</v>
      </c>
      <c r="AC2289" t="s">
        <v>2571</v>
      </c>
      <c r="AD2289" t="s">
        <v>717</v>
      </c>
      <c r="AE2289" t="s">
        <v>9845</v>
      </c>
      <c r="AF2289" t="s">
        <v>9846</v>
      </c>
      <c r="AG2289" t="s">
        <v>9847</v>
      </c>
      <c r="AH2289" t="s">
        <v>2615</v>
      </c>
      <c r="AI2289" t="s">
        <v>3120</v>
      </c>
      <c r="AJ2289" t="s">
        <v>3202</v>
      </c>
      <c r="AK2289" t="s">
        <v>14</v>
      </c>
      <c r="AL2289" t="s">
        <v>22</v>
      </c>
      <c r="AM2289" t="s">
        <v>10</v>
      </c>
      <c r="AN2289" t="s">
        <v>8680</v>
      </c>
    </row>
    <row r="2290" spans="1:40" hidden="1">
      <c r="A2290">
        <v>2289</v>
      </c>
      <c r="B2290">
        <v>21</v>
      </c>
      <c r="C2290" s="58">
        <v>45372</v>
      </c>
      <c r="D2290" t="s">
        <v>13</v>
      </c>
      <c r="E2290" t="s">
        <v>2506</v>
      </c>
      <c r="F2290">
        <v>3</v>
      </c>
      <c r="G2290">
        <v>9</v>
      </c>
      <c r="H2290">
        <v>169</v>
      </c>
      <c r="I2290">
        <v>2</v>
      </c>
      <c r="J2290">
        <v>57.6</v>
      </c>
      <c r="K2290" t="s">
        <v>21</v>
      </c>
      <c r="L2290">
        <v>5450498</v>
      </c>
      <c r="M2290">
        <v>0</v>
      </c>
      <c r="N2290">
        <v>5450498</v>
      </c>
      <c r="O2290">
        <v>94626.701388888891</v>
      </c>
      <c r="P2290">
        <v>403200</v>
      </c>
      <c r="Q2290">
        <v>5047298</v>
      </c>
      <c r="R2290">
        <v>87626.701388888891</v>
      </c>
      <c r="S2290" t="s">
        <v>130</v>
      </c>
      <c r="T2290" t="s">
        <v>5768</v>
      </c>
      <c r="U2290">
        <v>156102</v>
      </c>
      <c r="V2290" t="s">
        <v>717</v>
      </c>
      <c r="W2290">
        <v>45370</v>
      </c>
      <c r="X2290" t="s">
        <v>9848</v>
      </c>
      <c r="Y2290" t="s">
        <v>6</v>
      </c>
      <c r="Z2290" t="s">
        <v>17</v>
      </c>
      <c r="AA2290" t="s">
        <v>6637</v>
      </c>
      <c r="AB2290" t="s">
        <v>2509</v>
      </c>
      <c r="AC2290" t="s">
        <v>717</v>
      </c>
      <c r="AD2290" t="s">
        <v>717</v>
      </c>
      <c r="AE2290" t="s">
        <v>9849</v>
      </c>
      <c r="AF2290" t="s">
        <v>9850</v>
      </c>
      <c r="AG2290" t="s">
        <v>9851</v>
      </c>
      <c r="AH2290" t="s">
        <v>2191</v>
      </c>
      <c r="AI2290" t="s">
        <v>2552</v>
      </c>
      <c r="AJ2290" t="s">
        <v>2514</v>
      </c>
      <c r="AK2290" t="s">
        <v>20</v>
      </c>
      <c r="AL2290" t="s">
        <v>717</v>
      </c>
      <c r="AM2290" t="s">
        <v>10</v>
      </c>
      <c r="AN2290" t="s">
        <v>717</v>
      </c>
    </row>
    <row r="2291" spans="1:40" hidden="1">
      <c r="A2291">
        <v>2290</v>
      </c>
      <c r="B2291">
        <v>22</v>
      </c>
      <c r="C2291" s="58">
        <v>45372</v>
      </c>
      <c r="D2291" t="s">
        <v>13</v>
      </c>
      <c r="E2291" t="s">
        <v>2506</v>
      </c>
      <c r="F2291">
        <v>4</v>
      </c>
      <c r="G2291">
        <v>3</v>
      </c>
      <c r="H2291">
        <v>128</v>
      </c>
      <c r="I2291">
        <v>2</v>
      </c>
      <c r="J2291">
        <v>58.31</v>
      </c>
      <c r="K2291" t="s">
        <v>21</v>
      </c>
      <c r="L2291">
        <v>5823882</v>
      </c>
      <c r="M2291">
        <v>0</v>
      </c>
      <c r="N2291">
        <v>5823882</v>
      </c>
      <c r="O2291">
        <v>99877.928314182805</v>
      </c>
      <c r="P2291">
        <v>408170</v>
      </c>
      <c r="Q2291">
        <v>5415712</v>
      </c>
      <c r="R2291">
        <v>92877.928314182805</v>
      </c>
      <c r="S2291" t="s">
        <v>65</v>
      </c>
      <c r="T2291" t="s">
        <v>7859</v>
      </c>
      <c r="U2291">
        <v>88888</v>
      </c>
      <c r="V2291" t="s">
        <v>4131</v>
      </c>
      <c r="W2291">
        <v>45371</v>
      </c>
      <c r="X2291" t="s">
        <v>9852</v>
      </c>
      <c r="Y2291" t="s">
        <v>6</v>
      </c>
      <c r="Z2291" t="s">
        <v>17</v>
      </c>
      <c r="AA2291" t="s">
        <v>6637</v>
      </c>
      <c r="AB2291" t="s">
        <v>2509</v>
      </c>
      <c r="AC2291" t="s">
        <v>2571</v>
      </c>
      <c r="AD2291" t="s">
        <v>717</v>
      </c>
      <c r="AE2291" t="s">
        <v>9853</v>
      </c>
      <c r="AF2291" t="s">
        <v>9854</v>
      </c>
      <c r="AG2291" t="s">
        <v>9855</v>
      </c>
      <c r="AH2291" t="s">
        <v>2191</v>
      </c>
      <c r="AI2291" t="s">
        <v>2600</v>
      </c>
      <c r="AJ2291" t="s">
        <v>3921</v>
      </c>
      <c r="AK2291" t="s">
        <v>14</v>
      </c>
      <c r="AL2291" t="s">
        <v>16</v>
      </c>
      <c r="AM2291" t="s">
        <v>10</v>
      </c>
      <c r="AN2291" t="s">
        <v>717</v>
      </c>
    </row>
    <row r="2292" spans="1:40" hidden="1">
      <c r="A2292">
        <v>2291</v>
      </c>
      <c r="B2292">
        <v>23</v>
      </c>
      <c r="C2292" s="58">
        <v>45373</v>
      </c>
      <c r="D2292" t="s">
        <v>13</v>
      </c>
      <c r="E2292" t="s">
        <v>2581</v>
      </c>
      <c r="F2292">
        <v>5</v>
      </c>
      <c r="G2292">
        <v>21</v>
      </c>
      <c r="H2292">
        <v>366</v>
      </c>
      <c r="I2292">
        <v>1</v>
      </c>
      <c r="J2292">
        <v>37.81</v>
      </c>
      <c r="K2292" t="s">
        <v>9</v>
      </c>
      <c r="L2292">
        <v>4440612</v>
      </c>
      <c r="M2292">
        <v>0</v>
      </c>
      <c r="N2292">
        <v>4440612</v>
      </c>
      <c r="O2292">
        <v>117445.43771489024</v>
      </c>
      <c r="P2292">
        <v>0</v>
      </c>
      <c r="Q2292">
        <v>4440612</v>
      </c>
      <c r="R2292">
        <v>117445.43771489024</v>
      </c>
      <c r="S2292" t="s">
        <v>65</v>
      </c>
      <c r="T2292" t="s">
        <v>7859</v>
      </c>
      <c r="U2292">
        <v>88888</v>
      </c>
      <c r="V2292" t="s">
        <v>6312</v>
      </c>
      <c r="W2292">
        <v>45358</v>
      </c>
      <c r="X2292" t="s">
        <v>9856</v>
      </c>
      <c r="Y2292" t="s">
        <v>6</v>
      </c>
      <c r="Z2292" t="s">
        <v>17</v>
      </c>
      <c r="AA2292" t="s">
        <v>6637</v>
      </c>
      <c r="AB2292" t="s">
        <v>2509</v>
      </c>
      <c r="AC2292" t="s">
        <v>2571</v>
      </c>
      <c r="AD2292" t="s">
        <v>717</v>
      </c>
      <c r="AE2292" t="s">
        <v>9857</v>
      </c>
      <c r="AF2292" t="s">
        <v>9858</v>
      </c>
      <c r="AG2292" t="s">
        <v>9859</v>
      </c>
      <c r="AH2292" t="s">
        <v>2615</v>
      </c>
      <c r="AI2292" t="s">
        <v>3120</v>
      </c>
      <c r="AJ2292" t="s">
        <v>3202</v>
      </c>
      <c r="AK2292" t="s">
        <v>14</v>
      </c>
      <c r="AL2292" t="s">
        <v>16</v>
      </c>
      <c r="AM2292" t="s">
        <v>10</v>
      </c>
      <c r="AN2292" t="s">
        <v>717</v>
      </c>
    </row>
    <row r="2293" spans="1:40" hidden="1">
      <c r="A2293">
        <v>2292</v>
      </c>
      <c r="B2293">
        <v>24</v>
      </c>
      <c r="C2293" s="58">
        <v>45373</v>
      </c>
      <c r="D2293" t="s">
        <v>7</v>
      </c>
      <c r="E2293" t="s">
        <v>2506</v>
      </c>
      <c r="F2293">
        <v>5</v>
      </c>
      <c r="G2293">
        <v>10</v>
      </c>
      <c r="H2293">
        <v>189</v>
      </c>
      <c r="I2293">
        <v>1</v>
      </c>
      <c r="J2293">
        <v>36.700000000000003</v>
      </c>
      <c r="K2293" t="s">
        <v>25</v>
      </c>
      <c r="L2293">
        <v>5140512</v>
      </c>
      <c r="M2293">
        <v>0</v>
      </c>
      <c r="N2293">
        <v>5140512</v>
      </c>
      <c r="O2293">
        <v>140068.446866485</v>
      </c>
      <c r="P2293">
        <v>807400</v>
      </c>
      <c r="Q2293">
        <v>4333112</v>
      </c>
      <c r="R2293">
        <v>118068.446866485</v>
      </c>
      <c r="S2293" t="s">
        <v>65</v>
      </c>
      <c r="T2293" t="s">
        <v>7859</v>
      </c>
      <c r="U2293">
        <v>88888</v>
      </c>
      <c r="V2293" t="s">
        <v>4131</v>
      </c>
      <c r="W2293">
        <v>45370</v>
      </c>
      <c r="X2293" t="s">
        <v>9860</v>
      </c>
      <c r="Y2293" t="s">
        <v>6</v>
      </c>
      <c r="Z2293" t="s">
        <v>17</v>
      </c>
      <c r="AA2293" t="s">
        <v>6637</v>
      </c>
      <c r="AB2293" t="s">
        <v>2509</v>
      </c>
      <c r="AC2293" t="s">
        <v>2571</v>
      </c>
      <c r="AD2293" t="s">
        <v>717</v>
      </c>
      <c r="AE2293" t="s">
        <v>9861</v>
      </c>
      <c r="AF2293" t="s">
        <v>9862</v>
      </c>
      <c r="AG2293" t="s">
        <v>9863</v>
      </c>
      <c r="AH2293" t="s">
        <v>2615</v>
      </c>
      <c r="AI2293" t="s">
        <v>2847</v>
      </c>
      <c r="AJ2293" t="s">
        <v>2940</v>
      </c>
      <c r="AK2293" t="s">
        <v>14</v>
      </c>
      <c r="AL2293" t="s">
        <v>16</v>
      </c>
      <c r="AM2293" t="s">
        <v>10</v>
      </c>
      <c r="AN2293" t="s">
        <v>717</v>
      </c>
    </row>
    <row r="2294" spans="1:40" hidden="1">
      <c r="A2294">
        <v>2293</v>
      </c>
      <c r="B2294">
        <v>25</v>
      </c>
      <c r="C2294" s="58">
        <v>45376</v>
      </c>
      <c r="D2294" t="s">
        <v>7</v>
      </c>
      <c r="E2294" t="s">
        <v>4409</v>
      </c>
      <c r="F2294">
        <v>9</v>
      </c>
      <c r="G2294">
        <v>5</v>
      </c>
      <c r="H2294">
        <v>437</v>
      </c>
      <c r="I2294">
        <v>1</v>
      </c>
      <c r="J2294">
        <v>44.37</v>
      </c>
      <c r="K2294" t="s">
        <v>15</v>
      </c>
      <c r="L2294">
        <v>4393275</v>
      </c>
      <c r="M2294">
        <v>15000</v>
      </c>
      <c r="N2294">
        <v>4408275</v>
      </c>
      <c r="O2294">
        <v>99352.603110209602</v>
      </c>
      <c r="P2294">
        <v>332775</v>
      </c>
      <c r="Q2294">
        <v>4075500</v>
      </c>
      <c r="R2294">
        <v>91852.603110209602</v>
      </c>
      <c r="S2294" t="s">
        <v>65</v>
      </c>
      <c r="T2294" t="s">
        <v>5768</v>
      </c>
      <c r="U2294">
        <v>214500</v>
      </c>
      <c r="V2294" t="s">
        <v>1970</v>
      </c>
      <c r="W2294">
        <v>45288</v>
      </c>
      <c r="X2294" t="s">
        <v>9864</v>
      </c>
      <c r="Y2294" t="s">
        <v>6</v>
      </c>
      <c r="Z2294" t="s">
        <v>17</v>
      </c>
      <c r="AA2294" t="s">
        <v>5617</v>
      </c>
      <c r="AB2294" t="s">
        <v>2509</v>
      </c>
      <c r="AC2294" t="s">
        <v>2558</v>
      </c>
      <c r="AD2294" t="s">
        <v>717</v>
      </c>
      <c r="AE2294" t="s">
        <v>9865</v>
      </c>
      <c r="AF2294" t="s">
        <v>9866</v>
      </c>
      <c r="AG2294" t="s">
        <v>9867</v>
      </c>
      <c r="AH2294" t="s">
        <v>2191</v>
      </c>
      <c r="AI2294" t="s">
        <v>2552</v>
      </c>
      <c r="AJ2294" t="s">
        <v>2514</v>
      </c>
      <c r="AK2294" t="s">
        <v>20</v>
      </c>
      <c r="AL2294" t="s">
        <v>16</v>
      </c>
      <c r="AM2294" t="s">
        <v>10</v>
      </c>
      <c r="AN2294" t="s">
        <v>717</v>
      </c>
    </row>
    <row r="2295" spans="1:40" hidden="1">
      <c r="A2295">
        <v>2294</v>
      </c>
      <c r="B2295">
        <v>26</v>
      </c>
      <c r="C2295" s="58">
        <v>45377</v>
      </c>
      <c r="D2295" t="s">
        <v>13</v>
      </c>
      <c r="E2295" t="s">
        <v>2506</v>
      </c>
      <c r="F2295">
        <v>6</v>
      </c>
      <c r="G2295">
        <v>15</v>
      </c>
      <c r="H2295">
        <v>214</v>
      </c>
      <c r="I2295">
        <v>3</v>
      </c>
      <c r="J2295">
        <v>84.99</v>
      </c>
      <c r="K2295" t="s">
        <v>25</v>
      </c>
      <c r="L2295">
        <v>8712300</v>
      </c>
      <c r="M2295">
        <v>15000</v>
      </c>
      <c r="N2295">
        <v>8727300</v>
      </c>
      <c r="O2295">
        <v>102686.19837627956</v>
      </c>
      <c r="P2295">
        <v>1699800</v>
      </c>
      <c r="Q2295">
        <v>7027500</v>
      </c>
      <c r="R2295">
        <v>82686.198376279572</v>
      </c>
      <c r="S2295" t="s">
        <v>65</v>
      </c>
      <c r="T2295" t="s">
        <v>717</v>
      </c>
      <c r="U2295" t="s">
        <v>717</v>
      </c>
      <c r="V2295" t="s">
        <v>6488</v>
      </c>
      <c r="W2295">
        <v>45335</v>
      </c>
      <c r="X2295" t="s">
        <v>9868</v>
      </c>
      <c r="Y2295" t="s">
        <v>6</v>
      </c>
      <c r="Z2295" t="s">
        <v>17</v>
      </c>
      <c r="AA2295" t="s">
        <v>5617</v>
      </c>
      <c r="AB2295" t="s">
        <v>2509</v>
      </c>
      <c r="AC2295" t="s">
        <v>2564</v>
      </c>
      <c r="AD2295" t="s">
        <v>717</v>
      </c>
      <c r="AE2295" t="s">
        <v>9869</v>
      </c>
      <c r="AF2295" t="s">
        <v>9870</v>
      </c>
      <c r="AG2295" t="s">
        <v>9871</v>
      </c>
      <c r="AH2295" t="s">
        <v>2615</v>
      </c>
      <c r="AI2295" t="s">
        <v>3120</v>
      </c>
      <c r="AJ2295" t="s">
        <v>3202</v>
      </c>
      <c r="AK2295" t="s">
        <v>8</v>
      </c>
      <c r="AL2295" t="s">
        <v>22</v>
      </c>
      <c r="AM2295" t="s">
        <v>10</v>
      </c>
      <c r="AN2295" t="s">
        <v>717</v>
      </c>
    </row>
    <row r="2296" spans="1:40" hidden="1">
      <c r="A2296">
        <v>2295</v>
      </c>
      <c r="B2296">
        <v>27</v>
      </c>
      <c r="C2296" s="58">
        <v>45377</v>
      </c>
      <c r="D2296" t="s">
        <v>13</v>
      </c>
      <c r="E2296" t="s">
        <v>2515</v>
      </c>
      <c r="F2296">
        <v>4</v>
      </c>
      <c r="G2296">
        <v>7</v>
      </c>
      <c r="H2296">
        <v>45</v>
      </c>
      <c r="I2296">
        <v>2</v>
      </c>
      <c r="J2296">
        <v>59.09</v>
      </c>
      <c r="K2296" t="s">
        <v>21</v>
      </c>
      <c r="L2296">
        <v>5798585</v>
      </c>
      <c r="M2296">
        <v>0</v>
      </c>
      <c r="N2296">
        <v>5798585</v>
      </c>
      <c r="O2296">
        <v>98131.409713995599</v>
      </c>
      <c r="P2296">
        <v>413630</v>
      </c>
      <c r="Q2296">
        <v>5384955</v>
      </c>
      <c r="R2296">
        <v>91131.409713995599</v>
      </c>
      <c r="S2296" t="s">
        <v>2507</v>
      </c>
      <c r="T2296" t="s">
        <v>9628</v>
      </c>
      <c r="U2296">
        <v>166545</v>
      </c>
      <c r="V2296" t="s">
        <v>717</v>
      </c>
      <c r="W2296">
        <v>45365</v>
      </c>
      <c r="X2296" t="s">
        <v>9872</v>
      </c>
      <c r="Y2296" t="s">
        <v>6</v>
      </c>
      <c r="Z2296" t="s">
        <v>17</v>
      </c>
      <c r="AA2296" t="s">
        <v>6637</v>
      </c>
      <c r="AB2296" t="s">
        <v>2509</v>
      </c>
      <c r="AC2296" t="s">
        <v>717</v>
      </c>
      <c r="AD2296" t="s">
        <v>717</v>
      </c>
      <c r="AE2296" t="s">
        <v>9873</v>
      </c>
      <c r="AF2296" t="s">
        <v>9874</v>
      </c>
      <c r="AG2296" t="s">
        <v>9875</v>
      </c>
      <c r="AH2296" t="s">
        <v>2191</v>
      </c>
      <c r="AI2296" t="s">
        <v>2552</v>
      </c>
      <c r="AJ2296" t="s">
        <v>2514</v>
      </c>
      <c r="AK2296" t="s">
        <v>20</v>
      </c>
      <c r="AL2296" t="s">
        <v>717</v>
      </c>
      <c r="AM2296" t="s">
        <v>10</v>
      </c>
      <c r="AN2296" t="s">
        <v>717</v>
      </c>
    </row>
    <row r="2297" spans="1:40" hidden="1">
      <c r="A2297">
        <v>2296</v>
      </c>
      <c r="B2297">
        <v>28</v>
      </c>
      <c r="C2297" s="58">
        <v>45377</v>
      </c>
      <c r="D2297" t="s">
        <v>13</v>
      </c>
      <c r="E2297" t="s">
        <v>4409</v>
      </c>
      <c r="F2297">
        <v>8</v>
      </c>
      <c r="G2297">
        <v>20</v>
      </c>
      <c r="H2297">
        <v>548</v>
      </c>
      <c r="I2297">
        <v>1</v>
      </c>
      <c r="J2297">
        <v>39.69</v>
      </c>
      <c r="K2297" t="s">
        <v>9</v>
      </c>
      <c r="L2297">
        <v>4689212</v>
      </c>
      <c r="M2297">
        <v>0</v>
      </c>
      <c r="N2297">
        <v>4689212</v>
      </c>
      <c r="O2297">
        <v>118145.9309649786</v>
      </c>
      <c r="P2297">
        <v>0</v>
      </c>
      <c r="Q2297">
        <v>4689212</v>
      </c>
      <c r="R2297">
        <v>118145.9309649786</v>
      </c>
      <c r="S2297" t="s">
        <v>65</v>
      </c>
      <c r="T2297" t="s">
        <v>7859</v>
      </c>
      <c r="U2297">
        <v>88888</v>
      </c>
      <c r="V2297" t="s">
        <v>4131</v>
      </c>
      <c r="W2297">
        <v>45370</v>
      </c>
      <c r="X2297" t="s">
        <v>9876</v>
      </c>
      <c r="Y2297" t="s">
        <v>6</v>
      </c>
      <c r="Z2297" t="s">
        <v>17</v>
      </c>
      <c r="AA2297" t="s">
        <v>6637</v>
      </c>
      <c r="AB2297" t="s">
        <v>2509</v>
      </c>
      <c r="AC2297" t="s">
        <v>2571</v>
      </c>
      <c r="AD2297" t="s">
        <v>717</v>
      </c>
      <c r="AE2297" t="s">
        <v>9877</v>
      </c>
      <c r="AF2297" t="s">
        <v>9878</v>
      </c>
      <c r="AG2297" t="s">
        <v>9879</v>
      </c>
      <c r="AH2297" t="s">
        <v>6100</v>
      </c>
      <c r="AI2297" t="s">
        <v>5653</v>
      </c>
      <c r="AJ2297" t="s">
        <v>31</v>
      </c>
      <c r="AK2297" t="s">
        <v>20</v>
      </c>
      <c r="AL2297" t="s">
        <v>16</v>
      </c>
      <c r="AM2297" t="s">
        <v>5654</v>
      </c>
      <c r="AN2297" t="s">
        <v>717</v>
      </c>
    </row>
    <row r="2298" spans="1:40" hidden="1">
      <c r="A2298">
        <v>2297</v>
      </c>
      <c r="B2298">
        <v>29</v>
      </c>
      <c r="C2298" s="58">
        <v>45377</v>
      </c>
      <c r="D2298" t="s">
        <v>13</v>
      </c>
      <c r="E2298" t="s">
        <v>2515</v>
      </c>
      <c r="F2298">
        <v>1</v>
      </c>
      <c r="G2298">
        <v>11</v>
      </c>
      <c r="H2298">
        <v>70</v>
      </c>
      <c r="I2298">
        <v>1</v>
      </c>
      <c r="J2298">
        <v>34.39</v>
      </c>
      <c r="K2298" t="s">
        <v>25</v>
      </c>
      <c r="L2298">
        <v>4622312</v>
      </c>
      <c r="M2298">
        <v>0</v>
      </c>
      <c r="N2298">
        <v>4622312</v>
      </c>
      <c r="O2298">
        <v>134408.60715324222</v>
      </c>
      <c r="P2298">
        <v>687800</v>
      </c>
      <c r="Q2298">
        <v>3934512</v>
      </c>
      <c r="R2298">
        <v>114408.60715324222</v>
      </c>
      <c r="S2298" t="s">
        <v>65</v>
      </c>
      <c r="T2298" t="s">
        <v>7859</v>
      </c>
      <c r="U2298">
        <v>88888</v>
      </c>
      <c r="V2298" t="s">
        <v>6312</v>
      </c>
      <c r="W2298">
        <v>45372</v>
      </c>
      <c r="X2298" t="s">
        <v>9880</v>
      </c>
      <c r="Y2298" t="s">
        <v>6</v>
      </c>
      <c r="Z2298" t="s">
        <v>17</v>
      </c>
      <c r="AA2298" t="s">
        <v>6637</v>
      </c>
      <c r="AB2298" t="s">
        <v>2509</v>
      </c>
      <c r="AC2298" t="s">
        <v>2571</v>
      </c>
      <c r="AD2298" t="s">
        <v>717</v>
      </c>
      <c r="AE2298" t="s">
        <v>9881</v>
      </c>
      <c r="AF2298" t="s">
        <v>9882</v>
      </c>
      <c r="AG2298" t="s">
        <v>9883</v>
      </c>
      <c r="AH2298" t="s">
        <v>2191</v>
      </c>
      <c r="AI2298" t="s">
        <v>2538</v>
      </c>
      <c r="AJ2298" t="s">
        <v>2514</v>
      </c>
      <c r="AK2298" t="s">
        <v>14</v>
      </c>
      <c r="AL2298" t="s">
        <v>22</v>
      </c>
      <c r="AM2298" t="s">
        <v>10</v>
      </c>
      <c r="AN2298" t="s">
        <v>717</v>
      </c>
    </row>
    <row r="2299" spans="1:40" hidden="1">
      <c r="A2299">
        <v>2298</v>
      </c>
      <c r="B2299">
        <v>30</v>
      </c>
      <c r="C2299" s="58">
        <v>45379</v>
      </c>
      <c r="D2299" t="s">
        <v>7</v>
      </c>
      <c r="E2299" t="s">
        <v>2515</v>
      </c>
      <c r="F2299">
        <v>2</v>
      </c>
      <c r="G2299">
        <v>4</v>
      </c>
      <c r="H2299">
        <v>18</v>
      </c>
      <c r="I2299">
        <v>2</v>
      </c>
      <c r="J2299">
        <v>61.76</v>
      </c>
      <c r="K2299" t="s">
        <v>25</v>
      </c>
      <c r="L2299">
        <v>7311707</v>
      </c>
      <c r="M2299">
        <v>0</v>
      </c>
      <c r="N2299">
        <v>7311707</v>
      </c>
      <c r="O2299">
        <v>118389.03821243525</v>
      </c>
      <c r="P2299">
        <v>1358720</v>
      </c>
      <c r="Q2299">
        <v>5952987</v>
      </c>
      <c r="R2299">
        <v>96389.038212435233</v>
      </c>
      <c r="S2299" t="s">
        <v>65</v>
      </c>
      <c r="T2299" t="s">
        <v>4059</v>
      </c>
      <c r="U2299">
        <v>184113</v>
      </c>
      <c r="V2299" t="s">
        <v>6312</v>
      </c>
      <c r="W2299">
        <v>45369</v>
      </c>
      <c r="X2299" t="s">
        <v>9884</v>
      </c>
      <c r="Y2299" t="s">
        <v>6</v>
      </c>
      <c r="Z2299" t="s">
        <v>17</v>
      </c>
      <c r="AA2299" t="s">
        <v>6637</v>
      </c>
      <c r="AB2299" t="s">
        <v>2509</v>
      </c>
      <c r="AC2299" t="s">
        <v>2571</v>
      </c>
      <c r="AD2299" t="s">
        <v>717</v>
      </c>
      <c r="AE2299" t="s">
        <v>9885</v>
      </c>
      <c r="AF2299" t="s">
        <v>9886</v>
      </c>
      <c r="AG2299" t="s">
        <v>9887</v>
      </c>
      <c r="AH2299" t="s">
        <v>2191</v>
      </c>
      <c r="AI2299" t="s">
        <v>2552</v>
      </c>
      <c r="AJ2299" t="s">
        <v>2514</v>
      </c>
      <c r="AK2299" t="s">
        <v>20</v>
      </c>
      <c r="AL2299" t="s">
        <v>22</v>
      </c>
      <c r="AM2299" t="s">
        <v>10</v>
      </c>
      <c r="AN2299" t="s">
        <v>717</v>
      </c>
    </row>
    <row r="2300" spans="1:40" hidden="1">
      <c r="A2300">
        <v>2299</v>
      </c>
      <c r="B2300">
        <v>31</v>
      </c>
      <c r="C2300" s="58">
        <v>45379</v>
      </c>
      <c r="D2300" t="s">
        <v>7</v>
      </c>
      <c r="E2300" t="s">
        <v>2581</v>
      </c>
      <c r="F2300">
        <v>1</v>
      </c>
      <c r="G2300">
        <v>18</v>
      </c>
      <c r="H2300">
        <v>353</v>
      </c>
      <c r="I2300">
        <v>0</v>
      </c>
      <c r="J2300">
        <v>29.35</v>
      </c>
      <c r="K2300" t="s">
        <v>9</v>
      </c>
      <c r="L2300">
        <v>3373312</v>
      </c>
      <c r="M2300">
        <v>0</v>
      </c>
      <c r="N2300">
        <v>3373312</v>
      </c>
      <c r="O2300">
        <v>114933.96933560476</v>
      </c>
      <c r="P2300">
        <v>0</v>
      </c>
      <c r="Q2300">
        <v>3373312</v>
      </c>
      <c r="R2300">
        <v>114933.96933560476</v>
      </c>
      <c r="S2300" t="s">
        <v>65</v>
      </c>
      <c r="T2300" t="s">
        <v>7859</v>
      </c>
      <c r="U2300">
        <v>88888</v>
      </c>
      <c r="V2300" t="s">
        <v>6312</v>
      </c>
      <c r="W2300">
        <v>45377</v>
      </c>
      <c r="X2300" t="s">
        <v>9888</v>
      </c>
      <c r="Y2300" t="s">
        <v>6</v>
      </c>
      <c r="Z2300" t="s">
        <v>17</v>
      </c>
      <c r="AA2300" t="s">
        <v>6637</v>
      </c>
      <c r="AB2300" t="s">
        <v>2509</v>
      </c>
      <c r="AC2300" t="s">
        <v>2571</v>
      </c>
      <c r="AD2300" t="s">
        <v>717</v>
      </c>
      <c r="AE2300" t="s">
        <v>9889</v>
      </c>
      <c r="AF2300" t="s">
        <v>9890</v>
      </c>
      <c r="AG2300" t="s">
        <v>9891</v>
      </c>
      <c r="AH2300" t="s">
        <v>2191</v>
      </c>
      <c r="AI2300" t="s">
        <v>2552</v>
      </c>
      <c r="AJ2300" t="s">
        <v>2514</v>
      </c>
      <c r="AK2300" t="s">
        <v>20</v>
      </c>
      <c r="AL2300" t="s">
        <v>22</v>
      </c>
      <c r="AM2300" t="s">
        <v>10</v>
      </c>
      <c r="AN2300" t="s">
        <v>717</v>
      </c>
    </row>
    <row r="2301" spans="1:40" hidden="1">
      <c r="A2301">
        <v>2300</v>
      </c>
      <c r="B2301">
        <v>32</v>
      </c>
      <c r="C2301" s="58">
        <v>45380</v>
      </c>
      <c r="D2301" t="s">
        <v>13</v>
      </c>
      <c r="E2301" t="s">
        <v>2581</v>
      </c>
      <c r="F2301">
        <v>6</v>
      </c>
      <c r="G2301">
        <v>19</v>
      </c>
      <c r="H2301">
        <v>353</v>
      </c>
      <c r="I2301">
        <v>3</v>
      </c>
      <c r="J2301">
        <v>80.97</v>
      </c>
      <c r="K2301" t="s">
        <v>9</v>
      </c>
      <c r="L2301">
        <v>6546248.7199999997</v>
      </c>
      <c r="M2301">
        <v>45000</v>
      </c>
      <c r="N2301">
        <v>6591248.7199999997</v>
      </c>
      <c r="O2301">
        <v>81403.590465604546</v>
      </c>
      <c r="P2301">
        <v>0</v>
      </c>
      <c r="Q2301">
        <v>6591248.7199999997</v>
      </c>
      <c r="R2301">
        <v>81403.590465604546</v>
      </c>
      <c r="S2301" t="s">
        <v>2507</v>
      </c>
      <c r="T2301" t="s">
        <v>5768</v>
      </c>
      <c r="U2301">
        <v>346907.82750000001</v>
      </c>
      <c r="V2301" t="s">
        <v>717</v>
      </c>
      <c r="W2301">
        <v>45219</v>
      </c>
      <c r="X2301" t="s">
        <v>9892</v>
      </c>
      <c r="Y2301" t="s">
        <v>6</v>
      </c>
      <c r="Z2301" t="s">
        <v>17</v>
      </c>
      <c r="AA2301" t="s">
        <v>5617</v>
      </c>
      <c r="AB2301" t="s">
        <v>2509</v>
      </c>
      <c r="AC2301" t="s">
        <v>717</v>
      </c>
      <c r="AD2301" t="s">
        <v>717</v>
      </c>
      <c r="AE2301" t="s">
        <v>9893</v>
      </c>
      <c r="AF2301" t="s">
        <v>9894</v>
      </c>
      <c r="AG2301" t="s">
        <v>9895</v>
      </c>
      <c r="AH2301" t="s">
        <v>2615</v>
      </c>
      <c r="AI2301" t="s">
        <v>2552</v>
      </c>
      <c r="AJ2301" t="s">
        <v>2662</v>
      </c>
      <c r="AK2301" t="s">
        <v>8</v>
      </c>
      <c r="AL2301" t="s">
        <v>717</v>
      </c>
      <c r="AM2301" t="s">
        <v>10</v>
      </c>
      <c r="AN2301" t="s">
        <v>717</v>
      </c>
    </row>
    <row r="2302" spans="1:40" hidden="1">
      <c r="A2302">
        <v>2301</v>
      </c>
      <c r="B2302">
        <v>1</v>
      </c>
      <c r="C2302" s="58">
        <v>45384</v>
      </c>
      <c r="D2302" t="s">
        <v>7</v>
      </c>
      <c r="E2302" t="s">
        <v>2581</v>
      </c>
      <c r="F2302">
        <v>2</v>
      </c>
      <c r="G2302">
        <v>5</v>
      </c>
      <c r="H2302">
        <v>263</v>
      </c>
      <c r="I2302">
        <v>2</v>
      </c>
      <c r="J2302">
        <v>67.95</v>
      </c>
      <c r="K2302" t="s">
        <v>15</v>
      </c>
      <c r="L2302">
        <v>6957625</v>
      </c>
      <c r="M2302">
        <v>0</v>
      </c>
      <c r="N2302">
        <v>6957625</v>
      </c>
      <c r="O2302">
        <v>102393.3038999264</v>
      </c>
      <c r="P2302">
        <v>509625</v>
      </c>
      <c r="Q2302">
        <v>6448000</v>
      </c>
      <c r="R2302">
        <v>94893.303899926395</v>
      </c>
      <c r="S2302" t="s">
        <v>65</v>
      </c>
      <c r="T2302" t="s">
        <v>717</v>
      </c>
      <c r="U2302" t="s">
        <v>717</v>
      </c>
      <c r="V2302" t="s">
        <v>6488</v>
      </c>
      <c r="W2302">
        <v>45383</v>
      </c>
      <c r="X2302" t="s">
        <v>9896</v>
      </c>
      <c r="Y2302" t="s">
        <v>6</v>
      </c>
      <c r="Z2302" t="s">
        <v>17</v>
      </c>
      <c r="AA2302" t="s">
        <v>5617</v>
      </c>
      <c r="AB2302" t="s">
        <v>2509</v>
      </c>
      <c r="AC2302" t="s">
        <v>2564</v>
      </c>
      <c r="AD2302" t="s">
        <v>717</v>
      </c>
      <c r="AE2302" t="s">
        <v>9897</v>
      </c>
      <c r="AF2302" t="s">
        <v>9898</v>
      </c>
      <c r="AG2302" t="s">
        <v>9899</v>
      </c>
      <c r="AH2302" t="s">
        <v>2615</v>
      </c>
      <c r="AI2302" t="s">
        <v>3813</v>
      </c>
      <c r="AJ2302" t="s">
        <v>2793</v>
      </c>
      <c r="AK2302" t="s">
        <v>20</v>
      </c>
      <c r="AL2302" t="s">
        <v>16</v>
      </c>
      <c r="AM2302" t="s">
        <v>10</v>
      </c>
      <c r="AN2302" t="s">
        <v>717</v>
      </c>
    </row>
    <row r="2303" spans="1:40" hidden="1">
      <c r="A2303">
        <v>2302</v>
      </c>
      <c r="B2303">
        <v>2</v>
      </c>
      <c r="C2303" s="58">
        <v>45391</v>
      </c>
      <c r="D2303" t="s">
        <v>7</v>
      </c>
      <c r="E2303" t="s">
        <v>4409</v>
      </c>
      <c r="F2303">
        <v>4</v>
      </c>
      <c r="G2303">
        <v>13</v>
      </c>
      <c r="H2303">
        <v>504</v>
      </c>
      <c r="I2303">
        <v>1</v>
      </c>
      <c r="J2303">
        <v>36.5</v>
      </c>
      <c r="K2303" t="s">
        <v>9</v>
      </c>
      <c r="L2303">
        <v>4255400</v>
      </c>
      <c r="M2303">
        <v>15000</v>
      </c>
      <c r="N2303">
        <v>4270400</v>
      </c>
      <c r="O2303">
        <v>116997.2602739726</v>
      </c>
      <c r="P2303">
        <v>0</v>
      </c>
      <c r="Q2303">
        <v>4270400</v>
      </c>
      <c r="R2303">
        <v>116997.2602739726</v>
      </c>
      <c r="S2303" t="s">
        <v>65</v>
      </c>
      <c r="T2303" t="s">
        <v>717</v>
      </c>
      <c r="U2303" t="s">
        <v>717</v>
      </c>
      <c r="V2303" t="s">
        <v>4131</v>
      </c>
      <c r="W2303">
        <v>45373</v>
      </c>
      <c r="X2303" t="s">
        <v>9900</v>
      </c>
      <c r="Y2303" t="s">
        <v>6</v>
      </c>
      <c r="Z2303" t="s">
        <v>11</v>
      </c>
      <c r="AA2303" t="s">
        <v>6637</v>
      </c>
      <c r="AB2303" t="s">
        <v>2509</v>
      </c>
      <c r="AC2303" t="s">
        <v>2571</v>
      </c>
      <c r="AD2303" t="s">
        <v>717</v>
      </c>
      <c r="AE2303" t="s">
        <v>9901</v>
      </c>
      <c r="AF2303" t="s">
        <v>9902</v>
      </c>
      <c r="AG2303" t="s">
        <v>717</v>
      </c>
      <c r="AH2303" t="s">
        <v>2615</v>
      </c>
      <c r="AI2303" t="s">
        <v>2538</v>
      </c>
      <c r="AJ2303" t="s">
        <v>4799</v>
      </c>
      <c r="AK2303" t="s">
        <v>14</v>
      </c>
      <c r="AL2303" t="s">
        <v>22</v>
      </c>
      <c r="AM2303" t="s">
        <v>10</v>
      </c>
      <c r="AN2303" t="s">
        <v>717</v>
      </c>
    </row>
    <row r="2304" spans="1:40" hidden="1">
      <c r="A2304">
        <v>2303</v>
      </c>
      <c r="B2304">
        <v>3</v>
      </c>
      <c r="C2304" s="58">
        <v>45393</v>
      </c>
      <c r="D2304" t="s">
        <v>13</v>
      </c>
      <c r="E2304" t="s">
        <v>4409</v>
      </c>
      <c r="F2304">
        <v>2</v>
      </c>
      <c r="G2304">
        <v>18</v>
      </c>
      <c r="H2304">
        <v>526</v>
      </c>
      <c r="I2304">
        <v>1</v>
      </c>
      <c r="J2304">
        <v>43.21</v>
      </c>
      <c r="K2304" t="s">
        <v>25</v>
      </c>
      <c r="L2304">
        <v>5407412</v>
      </c>
      <c r="M2304">
        <v>0</v>
      </c>
      <c r="N2304">
        <v>5407412</v>
      </c>
      <c r="O2304">
        <v>125142.60587826892</v>
      </c>
      <c r="P2304">
        <v>864200</v>
      </c>
      <c r="Q2304">
        <v>4543212</v>
      </c>
      <c r="R2304">
        <v>105142.60587826892</v>
      </c>
      <c r="S2304" t="s">
        <v>65</v>
      </c>
      <c r="T2304" t="s">
        <v>7859</v>
      </c>
      <c r="U2304">
        <v>88888</v>
      </c>
      <c r="V2304" t="s">
        <v>4131</v>
      </c>
      <c r="W2304">
        <v>45380</v>
      </c>
      <c r="X2304" t="s">
        <v>9903</v>
      </c>
      <c r="Y2304" t="s">
        <v>6</v>
      </c>
      <c r="Z2304" t="s">
        <v>17</v>
      </c>
      <c r="AA2304" t="s">
        <v>6637</v>
      </c>
      <c r="AB2304" t="s">
        <v>2509</v>
      </c>
      <c r="AC2304" t="s">
        <v>2571</v>
      </c>
      <c r="AD2304" t="s">
        <v>717</v>
      </c>
      <c r="AE2304" t="s">
        <v>9904</v>
      </c>
      <c r="AF2304" t="s">
        <v>9905</v>
      </c>
      <c r="AG2304" t="s">
        <v>9906</v>
      </c>
      <c r="AH2304" t="s">
        <v>6100</v>
      </c>
      <c r="AI2304" t="s">
        <v>5653</v>
      </c>
      <c r="AJ2304" t="s">
        <v>31</v>
      </c>
      <c r="AK2304" t="s">
        <v>8</v>
      </c>
      <c r="AL2304" t="s">
        <v>16</v>
      </c>
      <c r="AM2304" t="s">
        <v>5654</v>
      </c>
      <c r="AN2304" t="s">
        <v>717</v>
      </c>
    </row>
    <row r="2305" spans="1:40" hidden="1">
      <c r="A2305">
        <v>2304</v>
      </c>
      <c r="B2305">
        <v>4</v>
      </c>
      <c r="C2305" s="58">
        <v>45393</v>
      </c>
      <c r="D2305" t="s">
        <v>13</v>
      </c>
      <c r="E2305" t="s">
        <v>4409</v>
      </c>
      <c r="F2305">
        <v>6</v>
      </c>
      <c r="G2305">
        <v>5</v>
      </c>
      <c r="H2305">
        <v>426</v>
      </c>
      <c r="I2305">
        <v>1</v>
      </c>
      <c r="J2305">
        <v>38.299999999999997</v>
      </c>
      <c r="K2305" t="s">
        <v>21</v>
      </c>
      <c r="L2305">
        <v>4382612</v>
      </c>
      <c r="M2305">
        <v>0</v>
      </c>
      <c r="N2305">
        <v>4382612</v>
      </c>
      <c r="O2305">
        <v>114428.51174934726</v>
      </c>
      <c r="P2305">
        <v>268100</v>
      </c>
      <c r="Q2305">
        <v>4114512</v>
      </c>
      <c r="R2305">
        <v>107428.51174934726</v>
      </c>
      <c r="S2305" t="s">
        <v>65</v>
      </c>
      <c r="T2305" t="s">
        <v>7859</v>
      </c>
      <c r="U2305">
        <v>88888</v>
      </c>
      <c r="V2305" t="s">
        <v>4131</v>
      </c>
      <c r="W2305">
        <v>45386</v>
      </c>
      <c r="X2305" t="s">
        <v>9907</v>
      </c>
      <c r="Y2305" t="s">
        <v>6</v>
      </c>
      <c r="Z2305" t="s">
        <v>17</v>
      </c>
      <c r="AA2305" t="s">
        <v>6637</v>
      </c>
      <c r="AB2305" t="s">
        <v>2509</v>
      </c>
      <c r="AC2305" t="s">
        <v>2571</v>
      </c>
      <c r="AD2305" t="s">
        <v>717</v>
      </c>
      <c r="AE2305" t="s">
        <v>9908</v>
      </c>
      <c r="AF2305" t="s">
        <v>9909</v>
      </c>
      <c r="AG2305" t="s">
        <v>9910</v>
      </c>
      <c r="AH2305" t="s">
        <v>2191</v>
      </c>
      <c r="AI2305" t="s">
        <v>2600</v>
      </c>
      <c r="AJ2305" t="s">
        <v>2514</v>
      </c>
      <c r="AK2305" t="s">
        <v>20</v>
      </c>
      <c r="AL2305" t="s">
        <v>16</v>
      </c>
      <c r="AM2305" t="s">
        <v>10</v>
      </c>
      <c r="AN2305" t="s">
        <v>717</v>
      </c>
    </row>
    <row r="2306" spans="1:40" hidden="1">
      <c r="A2306">
        <v>2305</v>
      </c>
      <c r="B2306">
        <v>5</v>
      </c>
      <c r="C2306" s="58">
        <v>45393</v>
      </c>
      <c r="D2306" t="s">
        <v>7</v>
      </c>
      <c r="E2306" t="s">
        <v>2581</v>
      </c>
      <c r="F2306">
        <v>2</v>
      </c>
      <c r="G2306">
        <v>7</v>
      </c>
      <c r="H2306">
        <v>277</v>
      </c>
      <c r="I2306">
        <v>2</v>
      </c>
      <c r="J2306">
        <v>67.95</v>
      </c>
      <c r="K2306" t="s">
        <v>9</v>
      </c>
      <c r="L2306">
        <v>6358000</v>
      </c>
      <c r="M2306">
        <v>0</v>
      </c>
      <c r="N2306">
        <v>6358000</v>
      </c>
      <c r="O2306">
        <v>93568.800588668135</v>
      </c>
      <c r="P2306">
        <v>0</v>
      </c>
      <c r="Q2306">
        <v>6358000</v>
      </c>
      <c r="R2306">
        <v>93568.800588668135</v>
      </c>
      <c r="S2306" t="s">
        <v>65</v>
      </c>
      <c r="T2306" t="s">
        <v>9911</v>
      </c>
      <c r="U2306">
        <v>90000</v>
      </c>
      <c r="V2306" t="s">
        <v>6312</v>
      </c>
      <c r="W2306">
        <v>45390</v>
      </c>
      <c r="X2306" t="s">
        <v>9912</v>
      </c>
      <c r="Y2306" t="s">
        <v>6</v>
      </c>
      <c r="Z2306" t="s">
        <v>17</v>
      </c>
      <c r="AA2306" t="s">
        <v>6637</v>
      </c>
      <c r="AB2306" t="s">
        <v>2509</v>
      </c>
      <c r="AC2306" t="s">
        <v>2571</v>
      </c>
      <c r="AD2306" t="s">
        <v>717</v>
      </c>
      <c r="AE2306" t="s">
        <v>9913</v>
      </c>
      <c r="AF2306" t="s">
        <v>9914</v>
      </c>
      <c r="AG2306" t="s">
        <v>9915</v>
      </c>
      <c r="AH2306" t="s">
        <v>2191</v>
      </c>
      <c r="AI2306" t="s">
        <v>2538</v>
      </c>
      <c r="AJ2306" t="s">
        <v>2514</v>
      </c>
      <c r="AK2306" t="s">
        <v>14</v>
      </c>
      <c r="AL2306" t="s">
        <v>16</v>
      </c>
      <c r="AM2306" t="s">
        <v>10</v>
      </c>
      <c r="AN2306" t="s">
        <v>717</v>
      </c>
    </row>
    <row r="2307" spans="1:40" hidden="1">
      <c r="A2307">
        <v>2306</v>
      </c>
      <c r="B2307">
        <v>6</v>
      </c>
      <c r="C2307" s="58">
        <v>45393</v>
      </c>
      <c r="D2307" t="s">
        <v>13</v>
      </c>
      <c r="E2307" t="s">
        <v>2581</v>
      </c>
      <c r="F2307">
        <v>3</v>
      </c>
      <c r="G2307">
        <v>10</v>
      </c>
      <c r="H2307">
        <v>287</v>
      </c>
      <c r="I2307">
        <v>2</v>
      </c>
      <c r="J2307">
        <v>56.58</v>
      </c>
      <c r="K2307" t="s">
        <v>25</v>
      </c>
      <c r="L2307">
        <v>6515800</v>
      </c>
      <c r="M2307">
        <v>0</v>
      </c>
      <c r="N2307">
        <v>6515800</v>
      </c>
      <c r="O2307">
        <v>115160.83421703785</v>
      </c>
      <c r="P2307">
        <v>1131600</v>
      </c>
      <c r="Q2307">
        <v>5384200</v>
      </c>
      <c r="R2307">
        <v>95160.834217037831</v>
      </c>
      <c r="S2307" t="s">
        <v>65</v>
      </c>
      <c r="T2307" t="s">
        <v>9911</v>
      </c>
      <c r="U2307">
        <v>90000</v>
      </c>
      <c r="V2307" t="s">
        <v>6312</v>
      </c>
      <c r="W2307">
        <v>45390</v>
      </c>
      <c r="X2307" t="s">
        <v>9916</v>
      </c>
      <c r="Y2307" t="s">
        <v>6</v>
      </c>
      <c r="Z2307" t="s">
        <v>17</v>
      </c>
      <c r="AA2307" t="s">
        <v>6637</v>
      </c>
      <c r="AB2307" t="s">
        <v>2509</v>
      </c>
      <c r="AC2307" t="s">
        <v>2571</v>
      </c>
      <c r="AD2307" t="s">
        <v>717</v>
      </c>
      <c r="AE2307" t="s">
        <v>9917</v>
      </c>
      <c r="AF2307" t="s">
        <v>9918</v>
      </c>
      <c r="AG2307" t="s">
        <v>9919</v>
      </c>
      <c r="AH2307" t="s">
        <v>2615</v>
      </c>
      <c r="AI2307" t="s">
        <v>2552</v>
      </c>
      <c r="AJ2307" t="s">
        <v>2895</v>
      </c>
      <c r="AK2307" t="s">
        <v>20</v>
      </c>
      <c r="AL2307" t="s">
        <v>16</v>
      </c>
      <c r="AM2307" t="s">
        <v>10</v>
      </c>
      <c r="AN2307" t="s">
        <v>717</v>
      </c>
    </row>
    <row r="2308" spans="1:40" hidden="1">
      <c r="A2308">
        <v>2307</v>
      </c>
      <c r="B2308">
        <v>7</v>
      </c>
      <c r="C2308" s="58">
        <v>45395</v>
      </c>
      <c r="D2308" t="s">
        <v>13</v>
      </c>
      <c r="E2308" t="s">
        <v>2515</v>
      </c>
      <c r="F2308">
        <v>4</v>
      </c>
      <c r="G2308">
        <v>11</v>
      </c>
      <c r="H2308">
        <v>73</v>
      </c>
      <c r="I2308">
        <v>2</v>
      </c>
      <c r="J2308">
        <v>59.09</v>
      </c>
      <c r="K2308" t="s">
        <v>21</v>
      </c>
      <c r="L2308">
        <v>5987342</v>
      </c>
      <c r="M2308">
        <v>0</v>
      </c>
      <c r="N2308">
        <v>5987342</v>
      </c>
      <c r="O2308">
        <v>101325.8080893552</v>
      </c>
      <c r="P2308">
        <v>413630</v>
      </c>
      <c r="Q2308">
        <v>5573712</v>
      </c>
      <c r="R2308">
        <v>94325.808089355211</v>
      </c>
      <c r="S2308" t="s">
        <v>65</v>
      </c>
      <c r="T2308" t="s">
        <v>7859</v>
      </c>
      <c r="U2308">
        <v>88888</v>
      </c>
      <c r="V2308" t="s">
        <v>4131</v>
      </c>
      <c r="W2308">
        <v>45380</v>
      </c>
      <c r="X2308" t="s">
        <v>9920</v>
      </c>
      <c r="Y2308" t="s">
        <v>6</v>
      </c>
      <c r="Z2308" t="s">
        <v>17</v>
      </c>
      <c r="AA2308" t="s">
        <v>6637</v>
      </c>
      <c r="AB2308" t="s">
        <v>2509</v>
      </c>
      <c r="AC2308" t="s">
        <v>2571</v>
      </c>
      <c r="AD2308" t="s">
        <v>717</v>
      </c>
      <c r="AE2308" t="s">
        <v>9921</v>
      </c>
      <c r="AF2308" t="s">
        <v>9922</v>
      </c>
      <c r="AG2308" t="s">
        <v>9923</v>
      </c>
      <c r="AH2308" t="s">
        <v>2191</v>
      </c>
      <c r="AI2308" t="s">
        <v>2552</v>
      </c>
      <c r="AJ2308" t="s">
        <v>2514</v>
      </c>
      <c r="AK2308" t="s">
        <v>14</v>
      </c>
      <c r="AL2308" t="s">
        <v>22</v>
      </c>
      <c r="AM2308" t="s">
        <v>10</v>
      </c>
      <c r="AN2308" t="s">
        <v>717</v>
      </c>
    </row>
    <row r="2309" spans="1:40" hidden="1">
      <c r="A2309">
        <v>2308</v>
      </c>
      <c r="B2309">
        <v>8</v>
      </c>
      <c r="C2309" s="58">
        <v>45394</v>
      </c>
      <c r="D2309" t="s">
        <v>13</v>
      </c>
      <c r="E2309" t="s">
        <v>2581</v>
      </c>
      <c r="F2309">
        <v>3</v>
      </c>
      <c r="G2309">
        <v>15</v>
      </c>
      <c r="H2309">
        <v>322</v>
      </c>
      <c r="I2309">
        <v>2</v>
      </c>
      <c r="J2309">
        <v>56.58</v>
      </c>
      <c r="K2309" t="s">
        <v>25</v>
      </c>
      <c r="L2309">
        <v>6463600</v>
      </c>
      <c r="M2309">
        <v>0</v>
      </c>
      <c r="N2309">
        <v>6463600</v>
      </c>
      <c r="O2309">
        <v>114238.24673029339</v>
      </c>
      <c r="P2309">
        <v>1131600</v>
      </c>
      <c r="Q2309">
        <v>5332000</v>
      </c>
      <c r="R2309">
        <v>94238.246730293395</v>
      </c>
      <c r="S2309" t="s">
        <v>65</v>
      </c>
      <c r="T2309" t="s">
        <v>9911</v>
      </c>
      <c r="U2309">
        <v>90000</v>
      </c>
      <c r="V2309" t="s">
        <v>4131</v>
      </c>
      <c r="W2309">
        <v>45386</v>
      </c>
      <c r="X2309" t="s">
        <v>9924</v>
      </c>
      <c r="Y2309" t="s">
        <v>6</v>
      </c>
      <c r="Z2309" t="s">
        <v>17</v>
      </c>
      <c r="AA2309" t="s">
        <v>6637</v>
      </c>
      <c r="AB2309" t="s">
        <v>2509</v>
      </c>
      <c r="AC2309" t="s">
        <v>2571</v>
      </c>
      <c r="AD2309" t="s">
        <v>717</v>
      </c>
      <c r="AE2309" t="s">
        <v>9925</v>
      </c>
      <c r="AF2309" t="s">
        <v>9926</v>
      </c>
      <c r="AG2309" t="s">
        <v>9927</v>
      </c>
      <c r="AH2309" t="s">
        <v>2552</v>
      </c>
      <c r="AI2309" t="s">
        <v>2547</v>
      </c>
      <c r="AJ2309" t="s">
        <v>2855</v>
      </c>
      <c r="AK2309" t="s">
        <v>20</v>
      </c>
      <c r="AL2309" t="s">
        <v>16</v>
      </c>
      <c r="AM2309" t="s">
        <v>10</v>
      </c>
      <c r="AN2309" t="s">
        <v>717</v>
      </c>
    </row>
    <row r="2310" spans="1:40" hidden="1">
      <c r="A2310">
        <v>2309</v>
      </c>
      <c r="B2310">
        <v>9</v>
      </c>
      <c r="C2310" s="58">
        <v>45397</v>
      </c>
      <c r="D2310" t="s">
        <v>13</v>
      </c>
      <c r="E2310" t="s">
        <v>4409</v>
      </c>
      <c r="F2310">
        <v>4</v>
      </c>
      <c r="G2310">
        <v>4</v>
      </c>
      <c r="H2310">
        <v>416</v>
      </c>
      <c r="I2310">
        <v>2</v>
      </c>
      <c r="J2310">
        <v>58.24</v>
      </c>
      <c r="K2310" t="s">
        <v>25</v>
      </c>
      <c r="L2310">
        <v>6546500</v>
      </c>
      <c r="M2310">
        <v>0</v>
      </c>
      <c r="N2310">
        <v>6546500</v>
      </c>
      <c r="O2310">
        <v>112405.5631868132</v>
      </c>
      <c r="P2310">
        <v>1164800</v>
      </c>
      <c r="Q2310">
        <v>5381700</v>
      </c>
      <c r="R2310">
        <v>92405.563186813204</v>
      </c>
      <c r="S2310" t="s">
        <v>65</v>
      </c>
      <c r="T2310" t="s">
        <v>9911</v>
      </c>
      <c r="U2310">
        <v>90000</v>
      </c>
      <c r="V2310" t="s">
        <v>6312</v>
      </c>
      <c r="W2310">
        <v>45392</v>
      </c>
      <c r="X2310" t="s">
        <v>9928</v>
      </c>
      <c r="Y2310" t="s">
        <v>6</v>
      </c>
      <c r="Z2310" t="s">
        <v>17</v>
      </c>
      <c r="AA2310" t="s">
        <v>6637</v>
      </c>
      <c r="AB2310" t="s">
        <v>2509</v>
      </c>
      <c r="AC2310" t="s">
        <v>2571</v>
      </c>
      <c r="AD2310" t="s">
        <v>717</v>
      </c>
      <c r="AE2310" t="s">
        <v>9929</v>
      </c>
      <c r="AF2310" t="s">
        <v>9930</v>
      </c>
      <c r="AG2310" t="s">
        <v>9931</v>
      </c>
      <c r="AH2310" t="s">
        <v>2615</v>
      </c>
      <c r="AI2310" t="s">
        <v>2552</v>
      </c>
      <c r="AJ2310" t="s">
        <v>4799</v>
      </c>
      <c r="AK2310" t="s">
        <v>14</v>
      </c>
      <c r="AL2310" t="s">
        <v>16</v>
      </c>
      <c r="AM2310" t="s">
        <v>10</v>
      </c>
      <c r="AN2310" t="s">
        <v>717</v>
      </c>
    </row>
    <row r="2311" spans="1:40" hidden="1">
      <c r="A2311">
        <v>2310</v>
      </c>
      <c r="B2311">
        <v>10</v>
      </c>
      <c r="C2311" s="58">
        <v>45397</v>
      </c>
      <c r="D2311" t="s">
        <v>13</v>
      </c>
      <c r="E2311" t="s">
        <v>2506</v>
      </c>
      <c r="F2311">
        <v>5</v>
      </c>
      <c r="G2311">
        <v>8</v>
      </c>
      <c r="H2311">
        <v>164</v>
      </c>
      <c r="I2311">
        <v>1</v>
      </c>
      <c r="J2311">
        <v>37.86</v>
      </c>
      <c r="K2311" t="s">
        <v>25</v>
      </c>
      <c r="L2311">
        <v>5047012</v>
      </c>
      <c r="M2311">
        <v>0</v>
      </c>
      <c r="N2311">
        <v>5047012</v>
      </c>
      <c r="O2311">
        <v>133307.23718964605</v>
      </c>
      <c r="P2311">
        <v>757200</v>
      </c>
      <c r="Q2311">
        <v>4289812</v>
      </c>
      <c r="R2311">
        <v>113307.23718964608</v>
      </c>
      <c r="S2311" t="s">
        <v>65</v>
      </c>
      <c r="T2311" t="s">
        <v>7859</v>
      </c>
      <c r="U2311">
        <v>88888</v>
      </c>
      <c r="V2311" t="s">
        <v>6312</v>
      </c>
      <c r="W2311">
        <v>45392</v>
      </c>
      <c r="X2311" t="s">
        <v>9932</v>
      </c>
      <c r="Y2311" t="s">
        <v>6</v>
      </c>
      <c r="Z2311" t="s">
        <v>17</v>
      </c>
      <c r="AA2311" t="s">
        <v>6637</v>
      </c>
      <c r="AB2311" t="s">
        <v>2509</v>
      </c>
      <c r="AC2311" t="s">
        <v>2571</v>
      </c>
      <c r="AD2311" t="s">
        <v>717</v>
      </c>
      <c r="AE2311" t="s">
        <v>9933</v>
      </c>
      <c r="AF2311" t="s">
        <v>9934</v>
      </c>
      <c r="AG2311" t="s">
        <v>9935</v>
      </c>
      <c r="AH2311" t="s">
        <v>2615</v>
      </c>
      <c r="AI2311" t="s">
        <v>2847</v>
      </c>
      <c r="AJ2311" t="s">
        <v>2940</v>
      </c>
      <c r="AK2311" t="s">
        <v>8</v>
      </c>
      <c r="AL2311" t="s">
        <v>16</v>
      </c>
      <c r="AM2311" t="s">
        <v>10</v>
      </c>
      <c r="AN2311" t="s">
        <v>717</v>
      </c>
    </row>
    <row r="2312" spans="1:40" hidden="1">
      <c r="A2312">
        <v>2311</v>
      </c>
      <c r="B2312">
        <v>11</v>
      </c>
      <c r="C2312" s="58">
        <v>45398</v>
      </c>
      <c r="D2312" t="s">
        <v>7</v>
      </c>
      <c r="E2312" t="s">
        <v>2581</v>
      </c>
      <c r="F2312">
        <v>3</v>
      </c>
      <c r="G2312">
        <v>23</v>
      </c>
      <c r="H2312">
        <v>390</v>
      </c>
      <c r="I2312">
        <v>0</v>
      </c>
      <c r="J2312">
        <v>36.450000000000003</v>
      </c>
      <c r="K2312" t="s">
        <v>25</v>
      </c>
      <c r="L2312">
        <v>5223800</v>
      </c>
      <c r="M2312">
        <v>0</v>
      </c>
      <c r="N2312">
        <v>5223800</v>
      </c>
      <c r="O2312">
        <v>143314.12894375855</v>
      </c>
      <c r="P2312">
        <v>801900</v>
      </c>
      <c r="Q2312">
        <v>4421900</v>
      </c>
      <c r="R2312">
        <v>121314.12894375857</v>
      </c>
      <c r="S2312" t="s">
        <v>65</v>
      </c>
      <c r="T2312" t="s">
        <v>717</v>
      </c>
      <c r="U2312" t="s">
        <v>717</v>
      </c>
      <c r="V2312" t="s">
        <v>4131</v>
      </c>
      <c r="W2312">
        <v>45387</v>
      </c>
      <c r="X2312" t="s">
        <v>9936</v>
      </c>
      <c r="Y2312" t="s">
        <v>6</v>
      </c>
      <c r="Z2312" t="s">
        <v>17</v>
      </c>
      <c r="AA2312" t="s">
        <v>6637</v>
      </c>
      <c r="AB2312" t="s">
        <v>2509</v>
      </c>
      <c r="AC2312" t="s">
        <v>2571</v>
      </c>
      <c r="AD2312" t="s">
        <v>717</v>
      </c>
      <c r="AE2312" t="s">
        <v>9937</v>
      </c>
      <c r="AF2312" t="s">
        <v>9938</v>
      </c>
      <c r="AG2312" t="s">
        <v>9939</v>
      </c>
      <c r="AH2312" t="s">
        <v>6100</v>
      </c>
      <c r="AI2312" t="s">
        <v>9793</v>
      </c>
      <c r="AJ2312" t="s">
        <v>40</v>
      </c>
      <c r="AK2312" t="s">
        <v>14</v>
      </c>
      <c r="AL2312" t="s">
        <v>22</v>
      </c>
      <c r="AM2312" t="s">
        <v>5654</v>
      </c>
      <c r="AN2312" t="s">
        <v>717</v>
      </c>
    </row>
    <row r="2313" spans="1:40" hidden="1">
      <c r="A2313">
        <v>2312</v>
      </c>
      <c r="B2313">
        <v>12</v>
      </c>
      <c r="C2313" s="58">
        <v>45402</v>
      </c>
      <c r="D2313" t="s">
        <v>13</v>
      </c>
      <c r="E2313" t="s">
        <v>2581</v>
      </c>
      <c r="F2313">
        <v>5</v>
      </c>
      <c r="G2313">
        <v>1</v>
      </c>
      <c r="H2313">
        <v>227</v>
      </c>
      <c r="I2313">
        <v>3</v>
      </c>
      <c r="J2313">
        <v>80.97</v>
      </c>
      <c r="K2313" t="s">
        <v>9</v>
      </c>
      <c r="L2313">
        <v>7491800</v>
      </c>
      <c r="M2313">
        <v>0</v>
      </c>
      <c r="N2313">
        <v>7491800</v>
      </c>
      <c r="O2313">
        <v>92525.626775348894</v>
      </c>
      <c r="P2313">
        <v>0</v>
      </c>
      <c r="Q2313">
        <v>7491800</v>
      </c>
      <c r="R2313">
        <v>92525.626775348894</v>
      </c>
      <c r="S2313" t="s">
        <v>65</v>
      </c>
      <c r="T2313" t="s">
        <v>9911</v>
      </c>
      <c r="U2313">
        <v>90000</v>
      </c>
      <c r="V2313" t="s">
        <v>6312</v>
      </c>
      <c r="W2313">
        <v>45401</v>
      </c>
      <c r="X2313" t="s">
        <v>9940</v>
      </c>
      <c r="Y2313" t="s">
        <v>6</v>
      </c>
      <c r="Z2313" t="s">
        <v>17</v>
      </c>
      <c r="AA2313" t="s">
        <v>6637</v>
      </c>
      <c r="AB2313" t="s">
        <v>2509</v>
      </c>
      <c r="AC2313" t="s">
        <v>2571</v>
      </c>
      <c r="AD2313" t="s">
        <v>717</v>
      </c>
      <c r="AE2313" t="s">
        <v>9941</v>
      </c>
      <c r="AF2313" t="s">
        <v>9942</v>
      </c>
      <c r="AG2313" t="s">
        <v>9943</v>
      </c>
      <c r="AH2313" t="s">
        <v>6100</v>
      </c>
      <c r="AI2313" t="s">
        <v>9944</v>
      </c>
      <c r="AJ2313" t="s">
        <v>41</v>
      </c>
      <c r="AK2313" t="s">
        <v>20</v>
      </c>
      <c r="AL2313" t="s">
        <v>22</v>
      </c>
      <c r="AM2313" t="s">
        <v>5654</v>
      </c>
      <c r="AN2313" t="s">
        <v>717</v>
      </c>
    </row>
    <row r="2314" spans="1:40" hidden="1">
      <c r="A2314">
        <v>2313</v>
      </c>
      <c r="B2314">
        <v>13</v>
      </c>
      <c r="C2314" s="58">
        <v>45401</v>
      </c>
      <c r="D2314" t="s">
        <v>13</v>
      </c>
      <c r="E2314" t="s">
        <v>2506</v>
      </c>
      <c r="F2314">
        <v>4</v>
      </c>
      <c r="G2314">
        <v>7</v>
      </c>
      <c r="H2314">
        <v>156</v>
      </c>
      <c r="I2314">
        <v>2</v>
      </c>
      <c r="J2314">
        <v>58.31</v>
      </c>
      <c r="K2314" t="s">
        <v>9</v>
      </c>
      <c r="L2314">
        <v>5382112</v>
      </c>
      <c r="M2314">
        <v>0</v>
      </c>
      <c r="N2314">
        <v>5382112</v>
      </c>
      <c r="O2314">
        <v>92301.697821985916</v>
      </c>
      <c r="P2314">
        <v>0</v>
      </c>
      <c r="Q2314">
        <v>5382112</v>
      </c>
      <c r="R2314">
        <v>92301.697821985916</v>
      </c>
      <c r="S2314" t="s">
        <v>65</v>
      </c>
      <c r="T2314" t="s">
        <v>2941</v>
      </c>
      <c r="U2314">
        <v>178888</v>
      </c>
      <c r="V2314" t="s">
        <v>6312</v>
      </c>
      <c r="W2314">
        <v>45390</v>
      </c>
      <c r="X2314" t="s">
        <v>9945</v>
      </c>
      <c r="Y2314" t="s">
        <v>6</v>
      </c>
      <c r="Z2314" t="s">
        <v>17</v>
      </c>
      <c r="AA2314" t="s">
        <v>6637</v>
      </c>
      <c r="AB2314" t="s">
        <v>2509</v>
      </c>
      <c r="AC2314" t="s">
        <v>2571</v>
      </c>
      <c r="AD2314" t="s">
        <v>717</v>
      </c>
      <c r="AE2314" t="s">
        <v>9946</v>
      </c>
      <c r="AF2314" t="s">
        <v>9947</v>
      </c>
      <c r="AG2314" t="s">
        <v>9948</v>
      </c>
      <c r="AH2314" t="s">
        <v>2552</v>
      </c>
      <c r="AI2314" t="s">
        <v>2547</v>
      </c>
      <c r="AJ2314" t="s">
        <v>2855</v>
      </c>
      <c r="AK2314" t="s">
        <v>20</v>
      </c>
      <c r="AL2314" t="s">
        <v>22</v>
      </c>
      <c r="AM2314" t="s">
        <v>10</v>
      </c>
      <c r="AN2314" t="s">
        <v>717</v>
      </c>
    </row>
    <row r="2315" spans="1:40" hidden="1">
      <c r="A2315">
        <v>2314</v>
      </c>
      <c r="B2315">
        <v>14</v>
      </c>
      <c r="C2315" s="58">
        <v>45401</v>
      </c>
      <c r="D2315" t="s">
        <v>13</v>
      </c>
      <c r="E2315" t="s">
        <v>4409</v>
      </c>
      <c r="F2315">
        <v>7</v>
      </c>
      <c r="G2315">
        <v>4</v>
      </c>
      <c r="H2315">
        <v>419</v>
      </c>
      <c r="I2315">
        <v>3</v>
      </c>
      <c r="J2315">
        <v>79.44</v>
      </c>
      <c r="K2315" t="s">
        <v>21</v>
      </c>
      <c r="L2315">
        <v>7773680</v>
      </c>
      <c r="M2315">
        <v>0</v>
      </c>
      <c r="N2315">
        <v>7773680</v>
      </c>
      <c r="O2315">
        <v>97855.991943605244</v>
      </c>
      <c r="P2315">
        <v>556080</v>
      </c>
      <c r="Q2315">
        <v>7217600</v>
      </c>
      <c r="R2315">
        <v>90855.991943605244</v>
      </c>
      <c r="S2315" t="s">
        <v>65</v>
      </c>
      <c r="T2315" t="s">
        <v>9911</v>
      </c>
      <c r="U2315">
        <v>90000</v>
      </c>
      <c r="V2315" t="s">
        <v>6312</v>
      </c>
      <c r="W2315">
        <v>45394</v>
      </c>
      <c r="X2315" t="s">
        <v>9949</v>
      </c>
      <c r="Y2315" t="s">
        <v>6</v>
      </c>
      <c r="Z2315" t="s">
        <v>17</v>
      </c>
      <c r="AA2315" t="s">
        <v>6637</v>
      </c>
      <c r="AB2315" t="s">
        <v>2509</v>
      </c>
      <c r="AC2315" t="s">
        <v>2571</v>
      </c>
      <c r="AD2315" t="s">
        <v>717</v>
      </c>
      <c r="AE2315" t="s">
        <v>9950</v>
      </c>
      <c r="AF2315" t="s">
        <v>9951</v>
      </c>
      <c r="AG2315" t="s">
        <v>9952</v>
      </c>
      <c r="AH2315" t="s">
        <v>2615</v>
      </c>
      <c r="AI2315" t="s">
        <v>2706</v>
      </c>
      <c r="AJ2315" t="s">
        <v>2895</v>
      </c>
      <c r="AK2315" t="s">
        <v>20</v>
      </c>
      <c r="AL2315" t="s">
        <v>22</v>
      </c>
      <c r="AM2315" t="s">
        <v>10</v>
      </c>
      <c r="AN2315" t="s">
        <v>717</v>
      </c>
    </row>
    <row r="2316" spans="1:40" hidden="1">
      <c r="A2316">
        <v>2315</v>
      </c>
      <c r="B2316">
        <v>15</v>
      </c>
      <c r="C2316" s="58">
        <v>45404</v>
      </c>
      <c r="D2316" t="s">
        <v>13</v>
      </c>
      <c r="E2316" t="s">
        <v>2581</v>
      </c>
      <c r="F2316">
        <v>4</v>
      </c>
      <c r="G2316">
        <v>1</v>
      </c>
      <c r="H2316">
        <v>226</v>
      </c>
      <c r="I2316">
        <v>2</v>
      </c>
      <c r="J2316">
        <v>47.74</v>
      </c>
      <c r="K2316" t="s">
        <v>9</v>
      </c>
      <c r="L2316">
        <v>5299692</v>
      </c>
      <c r="M2316">
        <v>0</v>
      </c>
      <c r="N2316">
        <v>5299692</v>
      </c>
      <c r="O2316">
        <v>111011.56263091748</v>
      </c>
      <c r="P2316">
        <v>0</v>
      </c>
      <c r="Q2316">
        <v>5299692</v>
      </c>
      <c r="R2316">
        <v>111011.56263091748</v>
      </c>
      <c r="S2316" t="s">
        <v>65</v>
      </c>
      <c r="T2316" t="s">
        <v>5768</v>
      </c>
      <c r="U2316">
        <v>163908</v>
      </c>
      <c r="V2316" t="s">
        <v>6312</v>
      </c>
      <c r="W2316">
        <v>45397</v>
      </c>
      <c r="X2316" t="s">
        <v>9953</v>
      </c>
      <c r="Y2316" t="s">
        <v>6</v>
      </c>
      <c r="Z2316" t="s">
        <v>17</v>
      </c>
      <c r="AA2316" t="s">
        <v>6637</v>
      </c>
      <c r="AB2316" t="s">
        <v>2509</v>
      </c>
      <c r="AC2316" t="s">
        <v>2571</v>
      </c>
      <c r="AD2316" t="s">
        <v>717</v>
      </c>
      <c r="AE2316" t="s">
        <v>3147</v>
      </c>
      <c r="AF2316" t="s">
        <v>9954</v>
      </c>
      <c r="AG2316" t="s">
        <v>3149</v>
      </c>
      <c r="AH2316" t="s">
        <v>2191</v>
      </c>
      <c r="AI2316" t="s">
        <v>2600</v>
      </c>
      <c r="AJ2316" t="s">
        <v>3921</v>
      </c>
      <c r="AK2316" t="s">
        <v>1892</v>
      </c>
      <c r="AL2316" t="s">
        <v>16</v>
      </c>
      <c r="AM2316" t="s">
        <v>10</v>
      </c>
      <c r="AN2316" t="s">
        <v>717</v>
      </c>
    </row>
    <row r="2317" spans="1:40" hidden="1">
      <c r="A2317">
        <v>2316</v>
      </c>
      <c r="B2317">
        <v>16</v>
      </c>
      <c r="C2317" s="58">
        <v>45405</v>
      </c>
      <c r="D2317" t="s">
        <v>13</v>
      </c>
      <c r="E2317" t="s">
        <v>2515</v>
      </c>
      <c r="F2317">
        <v>5</v>
      </c>
      <c r="G2317">
        <v>13</v>
      </c>
      <c r="H2317">
        <v>88</v>
      </c>
      <c r="I2317">
        <v>2</v>
      </c>
      <c r="J2317">
        <v>62.17</v>
      </c>
      <c r="K2317" t="s">
        <v>9</v>
      </c>
      <c r="L2317">
        <v>5853812</v>
      </c>
      <c r="M2317">
        <v>15000</v>
      </c>
      <c r="N2317">
        <v>5868812</v>
      </c>
      <c r="O2317">
        <v>94399.420942576806</v>
      </c>
      <c r="P2317">
        <v>0</v>
      </c>
      <c r="Q2317">
        <v>5868812</v>
      </c>
      <c r="R2317">
        <v>94399.420942576806</v>
      </c>
      <c r="S2317" t="s">
        <v>65</v>
      </c>
      <c r="T2317" t="s">
        <v>7859</v>
      </c>
      <c r="U2317">
        <v>88888</v>
      </c>
      <c r="V2317" t="s">
        <v>4131</v>
      </c>
      <c r="W2317">
        <v>45377</v>
      </c>
      <c r="X2317" t="s">
        <v>9955</v>
      </c>
      <c r="Y2317" t="s">
        <v>6</v>
      </c>
      <c r="Z2317" t="s">
        <v>17</v>
      </c>
      <c r="AA2317" t="s">
        <v>6637</v>
      </c>
      <c r="AB2317" t="s">
        <v>2509</v>
      </c>
      <c r="AC2317" t="s">
        <v>2571</v>
      </c>
      <c r="AD2317" t="s">
        <v>717</v>
      </c>
      <c r="AE2317" t="s">
        <v>9956</v>
      </c>
      <c r="AF2317" t="s">
        <v>9957</v>
      </c>
      <c r="AG2317" t="s">
        <v>9958</v>
      </c>
      <c r="AH2317" t="s">
        <v>2615</v>
      </c>
      <c r="AI2317" t="s">
        <v>2552</v>
      </c>
      <c r="AJ2317" t="s">
        <v>2895</v>
      </c>
      <c r="AK2317" t="s">
        <v>8</v>
      </c>
      <c r="AL2317" t="s">
        <v>16</v>
      </c>
      <c r="AM2317" t="s">
        <v>10</v>
      </c>
      <c r="AN2317" t="s">
        <v>717</v>
      </c>
    </row>
    <row r="2318" spans="1:40" hidden="1">
      <c r="A2318">
        <v>2317</v>
      </c>
      <c r="B2318">
        <v>17</v>
      </c>
      <c r="C2318" s="58">
        <v>45405</v>
      </c>
      <c r="D2318" t="s">
        <v>7</v>
      </c>
      <c r="E2318" t="s">
        <v>4409</v>
      </c>
      <c r="F2318">
        <v>1</v>
      </c>
      <c r="G2318">
        <v>6</v>
      </c>
      <c r="H2318">
        <v>438</v>
      </c>
      <c r="I2318">
        <v>1</v>
      </c>
      <c r="J2318">
        <v>39.74</v>
      </c>
      <c r="K2318" t="s">
        <v>15</v>
      </c>
      <c r="L2318">
        <v>4887950</v>
      </c>
      <c r="M2318">
        <v>15000</v>
      </c>
      <c r="N2318">
        <v>4902950</v>
      </c>
      <c r="O2318">
        <v>123375.69199798693</v>
      </c>
      <c r="P2318">
        <v>298050</v>
      </c>
      <c r="Q2318">
        <v>4604900</v>
      </c>
      <c r="R2318">
        <v>115875.69199798693</v>
      </c>
      <c r="S2318" t="s">
        <v>65</v>
      </c>
      <c r="T2318" t="s">
        <v>717</v>
      </c>
      <c r="U2318" t="s">
        <v>717</v>
      </c>
      <c r="V2318" t="s">
        <v>4131</v>
      </c>
      <c r="W2318">
        <v>45377</v>
      </c>
      <c r="X2318" t="s">
        <v>9959</v>
      </c>
      <c r="Y2318" t="s">
        <v>6</v>
      </c>
      <c r="Z2318" t="s">
        <v>17</v>
      </c>
      <c r="AA2318" t="s">
        <v>6637</v>
      </c>
      <c r="AB2318" t="s">
        <v>2509</v>
      </c>
      <c r="AC2318" t="s">
        <v>2571</v>
      </c>
      <c r="AD2318" t="s">
        <v>717</v>
      </c>
      <c r="AE2318" t="s">
        <v>9960</v>
      </c>
      <c r="AF2318" t="s">
        <v>9961</v>
      </c>
      <c r="AG2318" t="s">
        <v>9962</v>
      </c>
      <c r="AH2318" t="s">
        <v>2615</v>
      </c>
      <c r="AI2318" t="s">
        <v>6951</v>
      </c>
      <c r="AJ2318" t="s">
        <v>4799</v>
      </c>
      <c r="AK2318" t="s">
        <v>8</v>
      </c>
      <c r="AL2318" t="s">
        <v>22</v>
      </c>
      <c r="AM2318" t="s">
        <v>10</v>
      </c>
      <c r="AN2318" t="s">
        <v>717</v>
      </c>
    </row>
    <row r="2319" spans="1:40" hidden="1">
      <c r="A2319">
        <v>2318</v>
      </c>
      <c r="B2319">
        <v>18</v>
      </c>
      <c r="C2319" s="58">
        <v>45405</v>
      </c>
      <c r="D2319" t="s">
        <v>7</v>
      </c>
      <c r="E2319" t="s">
        <v>4409</v>
      </c>
      <c r="F2319">
        <v>4</v>
      </c>
      <c r="G2319">
        <v>4</v>
      </c>
      <c r="H2319">
        <v>423</v>
      </c>
      <c r="I2319">
        <v>1</v>
      </c>
      <c r="J2319">
        <v>36.5</v>
      </c>
      <c r="K2319" t="s">
        <v>25</v>
      </c>
      <c r="L2319">
        <v>5158800</v>
      </c>
      <c r="M2319">
        <v>0</v>
      </c>
      <c r="N2319">
        <v>5158800</v>
      </c>
      <c r="O2319">
        <v>141336.98630136985</v>
      </c>
      <c r="P2319">
        <v>803000</v>
      </c>
      <c r="Q2319">
        <v>4355800</v>
      </c>
      <c r="R2319">
        <v>119336.98630136986</v>
      </c>
      <c r="S2319" t="s">
        <v>65</v>
      </c>
      <c r="T2319" t="s">
        <v>717</v>
      </c>
      <c r="U2319" t="s">
        <v>717</v>
      </c>
      <c r="V2319" t="s">
        <v>4131</v>
      </c>
      <c r="W2319">
        <v>45399</v>
      </c>
      <c r="X2319" t="s">
        <v>9963</v>
      </c>
      <c r="Y2319" t="s">
        <v>6</v>
      </c>
      <c r="Z2319" t="s">
        <v>17</v>
      </c>
      <c r="AA2319" t="s">
        <v>6637</v>
      </c>
      <c r="AB2319" t="s">
        <v>2509</v>
      </c>
      <c r="AC2319" t="s">
        <v>2571</v>
      </c>
      <c r="AD2319" t="s">
        <v>717</v>
      </c>
      <c r="AE2319" t="s">
        <v>9964</v>
      </c>
      <c r="AF2319" t="s">
        <v>9965</v>
      </c>
      <c r="AG2319" t="s">
        <v>9966</v>
      </c>
      <c r="AH2319" t="s">
        <v>2191</v>
      </c>
      <c r="AI2319" t="s">
        <v>2538</v>
      </c>
      <c r="AJ2319" t="s">
        <v>2514</v>
      </c>
      <c r="AK2319" t="s">
        <v>14</v>
      </c>
      <c r="AL2319" t="s">
        <v>22</v>
      </c>
      <c r="AM2319" t="s">
        <v>10</v>
      </c>
      <c r="AN2319" t="s">
        <v>717</v>
      </c>
    </row>
    <row r="2320" spans="1:40" hidden="1">
      <c r="A2320">
        <v>2319</v>
      </c>
      <c r="B2320">
        <v>19</v>
      </c>
      <c r="C2320" s="58">
        <v>45407</v>
      </c>
      <c r="D2320" t="s">
        <v>13</v>
      </c>
      <c r="E2320" t="s">
        <v>4409</v>
      </c>
      <c r="F2320">
        <v>3</v>
      </c>
      <c r="G2320">
        <v>8</v>
      </c>
      <c r="H2320">
        <v>447</v>
      </c>
      <c r="I2320">
        <v>0</v>
      </c>
      <c r="J2320">
        <v>24.5</v>
      </c>
      <c r="K2320" t="s">
        <v>21</v>
      </c>
      <c r="L2320">
        <v>3045700</v>
      </c>
      <c r="M2320">
        <v>0</v>
      </c>
      <c r="N2320">
        <v>3045700</v>
      </c>
      <c r="O2320">
        <v>124314.28571428572</v>
      </c>
      <c r="P2320">
        <v>171500</v>
      </c>
      <c r="Q2320">
        <v>2874200</v>
      </c>
      <c r="R2320">
        <v>117314.28571428572</v>
      </c>
      <c r="S2320" t="s">
        <v>65</v>
      </c>
      <c r="T2320" t="s">
        <v>717</v>
      </c>
      <c r="U2320" t="s">
        <v>717</v>
      </c>
      <c r="V2320" t="s">
        <v>6312</v>
      </c>
      <c r="W2320">
        <v>45393</v>
      </c>
      <c r="X2320" t="s">
        <v>9967</v>
      </c>
      <c r="Y2320" t="s">
        <v>6</v>
      </c>
      <c r="Z2320" t="s">
        <v>17</v>
      </c>
      <c r="AA2320" t="s">
        <v>6637</v>
      </c>
      <c r="AB2320" t="s">
        <v>2509</v>
      </c>
      <c r="AC2320" t="s">
        <v>2571</v>
      </c>
      <c r="AD2320" t="s">
        <v>717</v>
      </c>
      <c r="AE2320" t="s">
        <v>9968</v>
      </c>
      <c r="AF2320" t="s">
        <v>9969</v>
      </c>
      <c r="AG2320" t="s">
        <v>9970</v>
      </c>
      <c r="AH2320" t="s">
        <v>2615</v>
      </c>
      <c r="AI2320" t="s">
        <v>3120</v>
      </c>
      <c r="AJ2320" t="s">
        <v>3202</v>
      </c>
      <c r="AK2320" t="s">
        <v>1892</v>
      </c>
      <c r="AL2320" t="s">
        <v>16</v>
      </c>
      <c r="AM2320" t="s">
        <v>10</v>
      </c>
      <c r="AN2320" t="s">
        <v>717</v>
      </c>
    </row>
    <row r="2321" spans="1:40" hidden="1">
      <c r="A2321">
        <v>2320</v>
      </c>
      <c r="B2321">
        <v>20</v>
      </c>
      <c r="C2321" s="58">
        <v>45407</v>
      </c>
      <c r="D2321" t="s">
        <v>7</v>
      </c>
      <c r="E2321" t="s">
        <v>2506</v>
      </c>
      <c r="F2321">
        <v>2</v>
      </c>
      <c r="G2321">
        <v>6</v>
      </c>
      <c r="H2321">
        <v>154</v>
      </c>
      <c r="I2321">
        <v>2</v>
      </c>
      <c r="J2321">
        <v>68.75</v>
      </c>
      <c r="K2321" t="s">
        <v>9</v>
      </c>
      <c r="L2321">
        <v>6808400</v>
      </c>
      <c r="M2321">
        <v>15000</v>
      </c>
      <c r="N2321">
        <v>6823400</v>
      </c>
      <c r="O2321">
        <v>99249.454545454544</v>
      </c>
      <c r="P2321">
        <v>0</v>
      </c>
      <c r="Q2321">
        <v>6823400</v>
      </c>
      <c r="R2321">
        <v>99249.454545454544</v>
      </c>
      <c r="S2321" t="s">
        <v>65</v>
      </c>
      <c r="T2321" t="s">
        <v>9911</v>
      </c>
      <c r="U2321">
        <v>90000</v>
      </c>
      <c r="V2321" t="s">
        <v>4131</v>
      </c>
      <c r="W2321">
        <v>45397</v>
      </c>
      <c r="X2321" t="s">
        <v>9971</v>
      </c>
      <c r="Y2321" t="s">
        <v>6</v>
      </c>
      <c r="Z2321" t="s">
        <v>17</v>
      </c>
      <c r="AA2321" t="s">
        <v>6637</v>
      </c>
      <c r="AB2321" t="s">
        <v>2509</v>
      </c>
      <c r="AC2321" t="s">
        <v>2571</v>
      </c>
      <c r="AD2321" t="s">
        <v>717</v>
      </c>
      <c r="AE2321" t="s">
        <v>9972</v>
      </c>
      <c r="AF2321" t="s">
        <v>9973</v>
      </c>
      <c r="AG2321" t="s">
        <v>9974</v>
      </c>
      <c r="AH2321" t="s">
        <v>2615</v>
      </c>
      <c r="AI2321" t="s">
        <v>2552</v>
      </c>
      <c r="AJ2321" t="s">
        <v>2895</v>
      </c>
      <c r="AK2321" t="s">
        <v>14</v>
      </c>
      <c r="AL2321" t="s">
        <v>16</v>
      </c>
      <c r="AM2321" t="s">
        <v>10</v>
      </c>
      <c r="AN2321" t="s">
        <v>717</v>
      </c>
    </row>
    <row r="2322" spans="1:40" hidden="1">
      <c r="A2322">
        <v>2321</v>
      </c>
      <c r="B2322">
        <v>21</v>
      </c>
      <c r="C2322" s="58">
        <v>45407</v>
      </c>
      <c r="D2322" t="s">
        <v>13</v>
      </c>
      <c r="E2322" t="s">
        <v>4409</v>
      </c>
      <c r="F2322">
        <v>4</v>
      </c>
      <c r="G2322">
        <v>13</v>
      </c>
      <c r="H2322">
        <v>488</v>
      </c>
      <c r="I2322">
        <v>2</v>
      </c>
      <c r="J2322">
        <v>58.24</v>
      </c>
      <c r="K2322" t="s">
        <v>9</v>
      </c>
      <c r="L2322">
        <v>5437400</v>
      </c>
      <c r="M2322">
        <v>0</v>
      </c>
      <c r="N2322">
        <v>5437400</v>
      </c>
      <c r="O2322">
        <v>93361.950549450543</v>
      </c>
      <c r="P2322">
        <v>0</v>
      </c>
      <c r="Q2322">
        <v>5437400</v>
      </c>
      <c r="R2322">
        <v>93361.950549450543</v>
      </c>
      <c r="S2322" t="s">
        <v>65</v>
      </c>
      <c r="T2322" t="s">
        <v>9911</v>
      </c>
      <c r="U2322">
        <v>90000</v>
      </c>
      <c r="V2322" t="s">
        <v>4131</v>
      </c>
      <c r="W2322">
        <v>45400</v>
      </c>
      <c r="X2322" t="s">
        <v>9975</v>
      </c>
      <c r="Y2322" t="s">
        <v>6</v>
      </c>
      <c r="Z2322" t="s">
        <v>17</v>
      </c>
      <c r="AA2322" t="s">
        <v>6637</v>
      </c>
      <c r="AB2322" t="s">
        <v>2509</v>
      </c>
      <c r="AC2322" t="s">
        <v>2571</v>
      </c>
      <c r="AD2322" t="s">
        <v>717</v>
      </c>
      <c r="AE2322" t="s">
        <v>9976</v>
      </c>
      <c r="AF2322" t="s">
        <v>9977</v>
      </c>
      <c r="AG2322" t="s">
        <v>9978</v>
      </c>
      <c r="AH2322" t="s">
        <v>2615</v>
      </c>
      <c r="AI2322" t="s">
        <v>2538</v>
      </c>
      <c r="AJ2322" t="s">
        <v>2662</v>
      </c>
      <c r="AK2322" t="s">
        <v>1892</v>
      </c>
      <c r="AL2322" t="s">
        <v>16</v>
      </c>
      <c r="AM2322" t="s">
        <v>10</v>
      </c>
      <c r="AN2322" t="s">
        <v>717</v>
      </c>
    </row>
    <row r="2323" spans="1:40" hidden="1">
      <c r="A2323">
        <v>2322</v>
      </c>
      <c r="B2323">
        <v>22</v>
      </c>
      <c r="C2323" s="58">
        <v>45407</v>
      </c>
      <c r="D2323" t="s">
        <v>13</v>
      </c>
      <c r="E2323" t="s">
        <v>2581</v>
      </c>
      <c r="F2323">
        <v>6</v>
      </c>
      <c r="G2323">
        <v>24</v>
      </c>
      <c r="H2323">
        <v>388</v>
      </c>
      <c r="I2323">
        <v>3</v>
      </c>
      <c r="J2323">
        <v>80.97</v>
      </c>
      <c r="K2323" t="s">
        <v>25</v>
      </c>
      <c r="L2323">
        <v>9253600</v>
      </c>
      <c r="M2323">
        <v>0</v>
      </c>
      <c r="N2323">
        <v>9253600</v>
      </c>
      <c r="O2323">
        <v>114284.30282820798</v>
      </c>
      <c r="P2323">
        <v>1619400</v>
      </c>
      <c r="Q2323">
        <v>7634200</v>
      </c>
      <c r="R2323">
        <v>94284.302828207961</v>
      </c>
      <c r="S2323" t="s">
        <v>65</v>
      </c>
      <c r="T2323" t="s">
        <v>9911</v>
      </c>
      <c r="U2323">
        <v>90000</v>
      </c>
      <c r="V2323" t="s">
        <v>6488</v>
      </c>
      <c r="W2323">
        <v>45404</v>
      </c>
      <c r="X2323" t="s">
        <v>9979</v>
      </c>
      <c r="Y2323" t="s">
        <v>6</v>
      </c>
      <c r="Z2323" t="s">
        <v>17</v>
      </c>
      <c r="AA2323" t="s">
        <v>6637</v>
      </c>
      <c r="AB2323" t="s">
        <v>2509</v>
      </c>
      <c r="AC2323" t="s">
        <v>2571</v>
      </c>
      <c r="AD2323" t="s">
        <v>717</v>
      </c>
      <c r="AE2323" t="s">
        <v>9980</v>
      </c>
      <c r="AF2323" t="s">
        <v>9981</v>
      </c>
      <c r="AG2323" t="s">
        <v>9982</v>
      </c>
      <c r="AH2323" t="s">
        <v>2191</v>
      </c>
      <c r="AI2323" t="s">
        <v>2552</v>
      </c>
      <c r="AJ2323" t="s">
        <v>2514</v>
      </c>
      <c r="AK2323" t="s">
        <v>14</v>
      </c>
      <c r="AL2323" t="s">
        <v>22</v>
      </c>
      <c r="AM2323" t="s">
        <v>10</v>
      </c>
      <c r="AN2323" t="s">
        <v>717</v>
      </c>
    </row>
    <row r="2324" spans="1:40" hidden="1">
      <c r="A2324">
        <v>2323</v>
      </c>
      <c r="B2324">
        <v>23</v>
      </c>
      <c r="C2324" s="58">
        <v>45407</v>
      </c>
      <c r="D2324" t="s">
        <v>7</v>
      </c>
      <c r="E2324" t="s">
        <v>2581</v>
      </c>
      <c r="F2324">
        <v>7</v>
      </c>
      <c r="G2324">
        <v>18</v>
      </c>
      <c r="H2324">
        <v>359</v>
      </c>
      <c r="I2324">
        <v>1</v>
      </c>
      <c r="J2324">
        <v>33.840000000000003</v>
      </c>
      <c r="K2324" t="s">
        <v>25</v>
      </c>
      <c r="L2324">
        <v>5110180</v>
      </c>
      <c r="M2324">
        <v>0</v>
      </c>
      <c r="N2324">
        <v>5110180</v>
      </c>
      <c r="O2324">
        <v>151010.04728132387</v>
      </c>
      <c r="P2324">
        <v>744480.00000000012</v>
      </c>
      <c r="Q2324">
        <v>4365700</v>
      </c>
      <c r="R2324">
        <v>129010.04728132386</v>
      </c>
      <c r="S2324" t="s">
        <v>65</v>
      </c>
      <c r="T2324" t="s">
        <v>717</v>
      </c>
      <c r="U2324" t="s">
        <v>717</v>
      </c>
      <c r="V2324" t="s">
        <v>4131</v>
      </c>
      <c r="W2324">
        <v>45407</v>
      </c>
      <c r="X2324" t="s">
        <v>9983</v>
      </c>
      <c r="Y2324" t="s">
        <v>6</v>
      </c>
      <c r="Z2324" t="s">
        <v>17</v>
      </c>
      <c r="AA2324" t="s">
        <v>6637</v>
      </c>
      <c r="AB2324" t="s">
        <v>2509</v>
      </c>
      <c r="AC2324" t="s">
        <v>2571</v>
      </c>
      <c r="AD2324" t="s">
        <v>717</v>
      </c>
      <c r="AE2324" t="s">
        <v>9984</v>
      </c>
      <c r="AF2324" t="s">
        <v>9985</v>
      </c>
      <c r="AG2324" t="s">
        <v>9986</v>
      </c>
      <c r="AH2324" t="s">
        <v>2616</v>
      </c>
      <c r="AI2324" t="s">
        <v>2552</v>
      </c>
      <c r="AJ2324" t="s">
        <v>2895</v>
      </c>
      <c r="AK2324" t="s">
        <v>14</v>
      </c>
      <c r="AL2324" t="s">
        <v>16</v>
      </c>
      <c r="AM2324" t="s">
        <v>10</v>
      </c>
      <c r="AN2324" t="s">
        <v>717</v>
      </c>
    </row>
    <row r="2325" spans="1:40" hidden="1">
      <c r="A2325">
        <v>2324</v>
      </c>
      <c r="B2325">
        <v>24</v>
      </c>
      <c r="C2325" s="58">
        <v>45408</v>
      </c>
      <c r="D2325" t="s">
        <v>13</v>
      </c>
      <c r="E2325" t="s">
        <v>4409</v>
      </c>
      <c r="F2325">
        <v>7</v>
      </c>
      <c r="G2325">
        <v>12</v>
      </c>
      <c r="H2325">
        <v>483</v>
      </c>
      <c r="I2325">
        <v>3</v>
      </c>
      <c r="J2325">
        <v>79.44</v>
      </c>
      <c r="K2325" t="s">
        <v>9</v>
      </c>
      <c r="L2325">
        <v>7285200</v>
      </c>
      <c r="M2325">
        <v>0</v>
      </c>
      <c r="N2325">
        <v>7285200</v>
      </c>
      <c r="O2325">
        <v>91706.948640483388</v>
      </c>
      <c r="P2325">
        <v>0</v>
      </c>
      <c r="Q2325">
        <v>7285200</v>
      </c>
      <c r="R2325">
        <v>91706.948640483388</v>
      </c>
      <c r="S2325" t="s">
        <v>65</v>
      </c>
      <c r="T2325" t="s">
        <v>9911</v>
      </c>
      <c r="U2325">
        <v>90000</v>
      </c>
      <c r="V2325" t="s">
        <v>6312</v>
      </c>
      <c r="W2325">
        <v>45399</v>
      </c>
      <c r="X2325" t="s">
        <v>9987</v>
      </c>
      <c r="Y2325" t="s">
        <v>6</v>
      </c>
      <c r="Z2325" t="s">
        <v>17</v>
      </c>
      <c r="AA2325" t="s">
        <v>6637</v>
      </c>
      <c r="AB2325" t="s">
        <v>2509</v>
      </c>
      <c r="AC2325" t="s">
        <v>2571</v>
      </c>
      <c r="AD2325" t="s">
        <v>717</v>
      </c>
      <c r="AE2325" t="s">
        <v>9988</v>
      </c>
      <c r="AF2325" t="s">
        <v>9989</v>
      </c>
      <c r="AG2325" t="s">
        <v>9990</v>
      </c>
      <c r="AH2325" t="s">
        <v>2615</v>
      </c>
      <c r="AI2325" t="s">
        <v>2552</v>
      </c>
      <c r="AJ2325" t="s">
        <v>2895</v>
      </c>
      <c r="AK2325" t="s">
        <v>14</v>
      </c>
      <c r="AL2325" t="s">
        <v>22</v>
      </c>
      <c r="AM2325" t="s">
        <v>10</v>
      </c>
      <c r="AN2325" t="s">
        <v>717</v>
      </c>
    </row>
    <row r="2326" spans="1:40" hidden="1">
      <c r="A2326">
        <v>2325</v>
      </c>
      <c r="B2326">
        <v>25</v>
      </c>
      <c r="C2326" s="58">
        <v>45412</v>
      </c>
      <c r="D2326" t="s">
        <v>13</v>
      </c>
      <c r="E2326" t="s">
        <v>4409</v>
      </c>
      <c r="F2326">
        <v>7</v>
      </c>
      <c r="G2326">
        <v>16</v>
      </c>
      <c r="H2326">
        <v>515</v>
      </c>
      <c r="I2326">
        <v>3</v>
      </c>
      <c r="J2326">
        <v>79.44</v>
      </c>
      <c r="K2326" t="s">
        <v>9</v>
      </c>
      <c r="L2326">
        <v>7149900</v>
      </c>
      <c r="M2326">
        <v>0</v>
      </c>
      <c r="N2326">
        <v>7149900</v>
      </c>
      <c r="O2326">
        <v>90003.776435045322</v>
      </c>
      <c r="P2326">
        <v>0</v>
      </c>
      <c r="Q2326">
        <v>7149900</v>
      </c>
      <c r="R2326">
        <v>90003.776435045322</v>
      </c>
      <c r="S2326" t="s">
        <v>65</v>
      </c>
      <c r="T2326" t="s">
        <v>9911</v>
      </c>
      <c r="U2326">
        <v>90000</v>
      </c>
      <c r="V2326" t="s">
        <v>6488</v>
      </c>
      <c r="W2326">
        <v>45399</v>
      </c>
      <c r="X2326" t="s">
        <v>9991</v>
      </c>
      <c r="Y2326" t="s">
        <v>6</v>
      </c>
      <c r="Z2326" t="s">
        <v>17</v>
      </c>
      <c r="AA2326" t="s">
        <v>6637</v>
      </c>
      <c r="AB2326" t="s">
        <v>2509</v>
      </c>
      <c r="AC2326" t="s">
        <v>2571</v>
      </c>
      <c r="AD2326" t="s">
        <v>717</v>
      </c>
      <c r="AE2326" t="s">
        <v>9992</v>
      </c>
      <c r="AF2326" t="s">
        <v>9993</v>
      </c>
      <c r="AG2326" t="s">
        <v>9994</v>
      </c>
      <c r="AH2326" t="s">
        <v>2615</v>
      </c>
      <c r="AI2326" t="s">
        <v>6951</v>
      </c>
      <c r="AJ2326" t="s">
        <v>3289</v>
      </c>
      <c r="AK2326" t="s">
        <v>14</v>
      </c>
      <c r="AL2326" t="s">
        <v>22</v>
      </c>
      <c r="AM2326" t="s">
        <v>10</v>
      </c>
      <c r="AN2326" t="s">
        <v>717</v>
      </c>
    </row>
    <row r="2327" spans="1:40" hidden="1">
      <c r="A2327">
        <v>2326</v>
      </c>
      <c r="B2327">
        <v>26</v>
      </c>
      <c r="C2327" s="58">
        <v>45412</v>
      </c>
      <c r="D2327" t="s">
        <v>13</v>
      </c>
      <c r="E2327" t="s">
        <v>2515</v>
      </c>
      <c r="F2327">
        <v>7</v>
      </c>
      <c r="G2327">
        <v>9</v>
      </c>
      <c r="H2327">
        <v>62</v>
      </c>
      <c r="I2327">
        <v>1</v>
      </c>
      <c r="J2327">
        <v>42.75</v>
      </c>
      <c r="K2327" t="s">
        <v>25</v>
      </c>
      <c r="L2327">
        <v>5345906</v>
      </c>
      <c r="M2327">
        <v>0</v>
      </c>
      <c r="N2327">
        <v>5345906</v>
      </c>
      <c r="O2327">
        <v>125050.43274853801</v>
      </c>
      <c r="P2327">
        <v>855000</v>
      </c>
      <c r="Q2327">
        <v>4490906</v>
      </c>
      <c r="R2327">
        <v>105050.43274853801</v>
      </c>
      <c r="S2327" t="s">
        <v>65</v>
      </c>
      <c r="T2327" t="s">
        <v>5768</v>
      </c>
      <c r="U2327">
        <v>138894</v>
      </c>
      <c r="V2327" t="s">
        <v>6312</v>
      </c>
      <c r="W2327">
        <v>45405</v>
      </c>
      <c r="X2327" t="s">
        <v>9995</v>
      </c>
      <c r="Y2327" t="s">
        <v>6</v>
      </c>
      <c r="Z2327" t="s">
        <v>17</v>
      </c>
      <c r="AA2327" t="s">
        <v>6637</v>
      </c>
      <c r="AB2327" t="s">
        <v>2509</v>
      </c>
      <c r="AC2327" t="s">
        <v>2571</v>
      </c>
      <c r="AD2327" t="s">
        <v>717</v>
      </c>
      <c r="AE2327" t="s">
        <v>9996</v>
      </c>
      <c r="AF2327" t="s">
        <v>9997</v>
      </c>
      <c r="AG2327" t="s">
        <v>9998</v>
      </c>
      <c r="AH2327" t="s">
        <v>2552</v>
      </c>
      <c r="AI2327" t="s">
        <v>2547</v>
      </c>
      <c r="AJ2327" t="s">
        <v>2662</v>
      </c>
      <c r="AK2327" t="s">
        <v>8</v>
      </c>
      <c r="AL2327" t="s">
        <v>22</v>
      </c>
      <c r="AM2327" t="s">
        <v>10</v>
      </c>
      <c r="AN2327" t="s">
        <v>717</v>
      </c>
    </row>
    <row r="2328" spans="1:40" hidden="1">
      <c r="A2328">
        <v>2327</v>
      </c>
      <c r="B2328">
        <v>27</v>
      </c>
      <c r="C2328" s="58">
        <v>45409</v>
      </c>
      <c r="D2328" t="s">
        <v>13</v>
      </c>
      <c r="E2328" t="s">
        <v>2515</v>
      </c>
      <c r="F2328">
        <v>6</v>
      </c>
      <c r="G2328">
        <v>5</v>
      </c>
      <c r="H2328">
        <v>33</v>
      </c>
      <c r="I2328">
        <v>2</v>
      </c>
      <c r="J2328">
        <v>58.16</v>
      </c>
      <c r="K2328" t="s">
        <v>25</v>
      </c>
      <c r="L2328">
        <v>6714000</v>
      </c>
      <c r="M2328">
        <v>15000</v>
      </c>
      <c r="N2328">
        <v>6729000</v>
      </c>
      <c r="O2328">
        <v>115698.0742778542</v>
      </c>
      <c r="P2328">
        <v>1163200</v>
      </c>
      <c r="Q2328">
        <v>5565800</v>
      </c>
      <c r="R2328">
        <v>95698.074277854204</v>
      </c>
      <c r="S2328" t="s">
        <v>65</v>
      </c>
      <c r="T2328" t="s">
        <v>7859</v>
      </c>
      <c r="U2328">
        <v>88000</v>
      </c>
      <c r="V2328" t="s">
        <v>6312</v>
      </c>
      <c r="W2328">
        <v>45380</v>
      </c>
      <c r="X2328" t="s">
        <v>9999</v>
      </c>
      <c r="Y2328" t="s">
        <v>6</v>
      </c>
      <c r="Z2328" t="s">
        <v>17</v>
      </c>
      <c r="AA2328" t="s">
        <v>6637</v>
      </c>
      <c r="AB2328" t="s">
        <v>2509</v>
      </c>
      <c r="AC2328" t="s">
        <v>2571</v>
      </c>
      <c r="AD2328" t="s">
        <v>717</v>
      </c>
      <c r="AE2328" t="s">
        <v>10000</v>
      </c>
      <c r="AF2328" t="s">
        <v>10001</v>
      </c>
      <c r="AG2328" t="s">
        <v>10002</v>
      </c>
      <c r="AH2328" t="s">
        <v>2615</v>
      </c>
      <c r="AI2328" t="s">
        <v>2552</v>
      </c>
      <c r="AJ2328" t="s">
        <v>2895</v>
      </c>
      <c r="AK2328" t="s">
        <v>14</v>
      </c>
      <c r="AL2328" t="s">
        <v>22</v>
      </c>
      <c r="AM2328" t="s">
        <v>10</v>
      </c>
      <c r="AN2328" t="s">
        <v>717</v>
      </c>
    </row>
    <row r="2329" spans="1:40" hidden="1">
      <c r="A2329">
        <v>2328</v>
      </c>
      <c r="B2329">
        <v>1</v>
      </c>
      <c r="C2329" s="58">
        <v>45419</v>
      </c>
      <c r="D2329" t="s">
        <v>13</v>
      </c>
      <c r="E2329" t="s">
        <v>2581</v>
      </c>
      <c r="F2329">
        <v>7</v>
      </c>
      <c r="G2329">
        <v>14</v>
      </c>
      <c r="H2329">
        <v>319</v>
      </c>
      <c r="I2329">
        <v>1</v>
      </c>
      <c r="J2329">
        <v>34.81</v>
      </c>
      <c r="K2329" t="s">
        <v>25</v>
      </c>
      <c r="L2329">
        <v>4908500</v>
      </c>
      <c r="M2329">
        <v>0</v>
      </c>
      <c r="N2329">
        <v>4908500</v>
      </c>
      <c r="O2329">
        <v>141008.33093938525</v>
      </c>
      <c r="P2329">
        <v>696200</v>
      </c>
      <c r="Q2329">
        <v>4212300</v>
      </c>
      <c r="R2329">
        <v>121008.33093938524</v>
      </c>
      <c r="S2329" t="s">
        <v>65</v>
      </c>
      <c r="T2329" t="s">
        <v>717</v>
      </c>
      <c r="U2329" t="s">
        <v>717</v>
      </c>
      <c r="V2329" t="s">
        <v>4131</v>
      </c>
      <c r="W2329">
        <v>45414</v>
      </c>
      <c r="X2329" t="s">
        <v>10003</v>
      </c>
      <c r="Y2329" t="s">
        <v>6</v>
      </c>
      <c r="Z2329" t="s">
        <v>17</v>
      </c>
      <c r="AA2329" t="s">
        <v>6637</v>
      </c>
      <c r="AB2329" t="s">
        <v>2509</v>
      </c>
      <c r="AC2329" t="s">
        <v>2571</v>
      </c>
      <c r="AD2329" t="s">
        <v>717</v>
      </c>
      <c r="AE2329" t="s">
        <v>10004</v>
      </c>
      <c r="AF2329" t="s">
        <v>10005</v>
      </c>
      <c r="AG2329" t="s">
        <v>10006</v>
      </c>
      <c r="AH2329" t="s">
        <v>6100</v>
      </c>
      <c r="AI2329" t="s">
        <v>9944</v>
      </c>
      <c r="AJ2329" t="s">
        <v>41</v>
      </c>
      <c r="AK2329" t="s">
        <v>20</v>
      </c>
      <c r="AL2329" t="s">
        <v>22</v>
      </c>
      <c r="AM2329" t="s">
        <v>5654</v>
      </c>
      <c r="AN2329" t="s">
        <v>717</v>
      </c>
    </row>
    <row r="2330" spans="1:40" hidden="1">
      <c r="A2330">
        <v>2329</v>
      </c>
      <c r="B2330">
        <v>2</v>
      </c>
      <c r="C2330" s="58">
        <v>45419</v>
      </c>
      <c r="D2330" t="s">
        <v>13</v>
      </c>
      <c r="E2330" t="s">
        <v>2581</v>
      </c>
      <c r="F2330">
        <v>6</v>
      </c>
      <c r="G2330">
        <v>15</v>
      </c>
      <c r="H2330">
        <v>325</v>
      </c>
      <c r="I2330">
        <v>3</v>
      </c>
      <c r="J2330">
        <v>80.97</v>
      </c>
      <c r="K2330" t="s">
        <v>21</v>
      </c>
      <c r="L2330">
        <v>7457185</v>
      </c>
      <c r="M2330">
        <v>0</v>
      </c>
      <c r="N2330">
        <v>7457185</v>
      </c>
      <c r="O2330">
        <v>92098.122761516614</v>
      </c>
      <c r="P2330">
        <v>566790</v>
      </c>
      <c r="Q2330">
        <v>6890395</v>
      </c>
      <c r="R2330">
        <v>85098.122761516614</v>
      </c>
      <c r="S2330" t="s">
        <v>65</v>
      </c>
      <c r="T2330" t="s">
        <v>4059</v>
      </c>
      <c r="U2330">
        <v>213105</v>
      </c>
      <c r="V2330" t="s">
        <v>6312</v>
      </c>
      <c r="W2330">
        <v>45415</v>
      </c>
      <c r="X2330" t="s">
        <v>10007</v>
      </c>
      <c r="Y2330" t="s">
        <v>6</v>
      </c>
      <c r="Z2330" t="s">
        <v>17</v>
      </c>
      <c r="AA2330" t="s">
        <v>6637</v>
      </c>
      <c r="AB2330" t="s">
        <v>2509</v>
      </c>
      <c r="AC2330" t="s">
        <v>2571</v>
      </c>
      <c r="AD2330" t="s">
        <v>717</v>
      </c>
      <c r="AE2330" t="s">
        <v>10008</v>
      </c>
      <c r="AF2330" t="s">
        <v>10009</v>
      </c>
      <c r="AG2330" t="s">
        <v>10010</v>
      </c>
      <c r="AH2330" t="s">
        <v>2191</v>
      </c>
      <c r="AI2330" t="s">
        <v>2656</v>
      </c>
      <c r="AJ2330" t="s">
        <v>2514</v>
      </c>
      <c r="AK2330" t="s">
        <v>8</v>
      </c>
      <c r="AL2330" t="s">
        <v>16</v>
      </c>
      <c r="AM2330" t="s">
        <v>10</v>
      </c>
      <c r="AN2330" t="s">
        <v>717</v>
      </c>
    </row>
    <row r="2331" spans="1:40" hidden="1">
      <c r="A2331">
        <v>2330</v>
      </c>
      <c r="B2331">
        <v>3</v>
      </c>
      <c r="C2331" s="58">
        <v>45420</v>
      </c>
      <c r="D2331" t="s">
        <v>13</v>
      </c>
      <c r="E2331" t="s">
        <v>4409</v>
      </c>
      <c r="F2331">
        <v>6</v>
      </c>
      <c r="G2331">
        <v>14</v>
      </c>
      <c r="H2331">
        <v>498</v>
      </c>
      <c r="I2331">
        <v>1</v>
      </c>
      <c r="J2331">
        <v>38.299999999999997</v>
      </c>
      <c r="K2331" t="s">
        <v>21</v>
      </c>
      <c r="L2331">
        <v>4471500</v>
      </c>
      <c r="M2331">
        <v>0</v>
      </c>
      <c r="N2331">
        <v>4471500</v>
      </c>
      <c r="O2331">
        <v>116749.34725848564</v>
      </c>
      <c r="P2331">
        <v>268100</v>
      </c>
      <c r="Q2331">
        <v>4203400</v>
      </c>
      <c r="R2331">
        <v>109749.34725848564</v>
      </c>
      <c r="S2331" t="s">
        <v>65</v>
      </c>
      <c r="T2331" t="s">
        <v>717</v>
      </c>
      <c r="U2331" t="s">
        <v>717</v>
      </c>
      <c r="V2331" t="s">
        <v>4131</v>
      </c>
      <c r="W2331">
        <v>45412</v>
      </c>
      <c r="X2331" t="s">
        <v>10011</v>
      </c>
      <c r="Y2331" t="s">
        <v>6</v>
      </c>
      <c r="Z2331" t="s">
        <v>17</v>
      </c>
      <c r="AA2331" t="s">
        <v>6637</v>
      </c>
      <c r="AB2331" t="s">
        <v>2509</v>
      </c>
      <c r="AC2331" t="s">
        <v>2571</v>
      </c>
      <c r="AD2331" t="s">
        <v>717</v>
      </c>
      <c r="AE2331" t="s">
        <v>10012</v>
      </c>
      <c r="AF2331" t="s">
        <v>10013</v>
      </c>
      <c r="AG2331" t="s">
        <v>10014</v>
      </c>
      <c r="AH2331" t="s">
        <v>6100</v>
      </c>
      <c r="AI2331" t="s">
        <v>9944</v>
      </c>
      <c r="AJ2331" t="s">
        <v>41</v>
      </c>
      <c r="AK2331" t="s">
        <v>77</v>
      </c>
      <c r="AL2331" t="s">
        <v>16</v>
      </c>
      <c r="AM2331" t="s">
        <v>5654</v>
      </c>
      <c r="AN2331" t="s">
        <v>717</v>
      </c>
    </row>
    <row r="2332" spans="1:40" hidden="1">
      <c r="A2332">
        <v>2331</v>
      </c>
      <c r="B2332">
        <v>4</v>
      </c>
      <c r="C2332" s="58">
        <v>45425</v>
      </c>
      <c r="D2332" t="s">
        <v>7</v>
      </c>
      <c r="E2332" t="s">
        <v>2515</v>
      </c>
      <c r="F2332">
        <v>8</v>
      </c>
      <c r="G2332">
        <v>13</v>
      </c>
      <c r="H2332">
        <v>96</v>
      </c>
      <c r="I2332">
        <v>0</v>
      </c>
      <c r="J2332">
        <v>21.73</v>
      </c>
      <c r="K2332" t="s">
        <v>25</v>
      </c>
      <c r="L2332">
        <v>3532860</v>
      </c>
      <c r="M2332">
        <v>0</v>
      </c>
      <c r="N2332">
        <v>3532860</v>
      </c>
      <c r="O2332">
        <v>162579.84353428439</v>
      </c>
      <c r="P2332">
        <v>478060</v>
      </c>
      <c r="Q2332">
        <v>3054800</v>
      </c>
      <c r="R2332">
        <v>140579.84353428439</v>
      </c>
      <c r="S2332" t="s">
        <v>65</v>
      </c>
      <c r="T2332" t="s">
        <v>717</v>
      </c>
      <c r="U2332" t="s">
        <v>717</v>
      </c>
      <c r="V2332" t="s">
        <v>6312</v>
      </c>
      <c r="W2332">
        <v>45409</v>
      </c>
      <c r="X2332" t="s">
        <v>10015</v>
      </c>
      <c r="Y2332" t="s">
        <v>6</v>
      </c>
      <c r="Z2332" t="s">
        <v>17</v>
      </c>
      <c r="AA2332" t="s">
        <v>6637</v>
      </c>
      <c r="AB2332" t="s">
        <v>2509</v>
      </c>
      <c r="AC2332" t="s">
        <v>2571</v>
      </c>
      <c r="AD2332" t="s">
        <v>717</v>
      </c>
      <c r="AE2332" t="s">
        <v>10016</v>
      </c>
      <c r="AF2332" t="s">
        <v>10017</v>
      </c>
      <c r="AG2332" t="s">
        <v>10018</v>
      </c>
      <c r="AH2332" t="s">
        <v>6100</v>
      </c>
      <c r="AI2332" t="s">
        <v>9944</v>
      </c>
      <c r="AJ2332" t="s">
        <v>41</v>
      </c>
      <c r="AK2332" t="s">
        <v>1892</v>
      </c>
      <c r="AL2332" t="s">
        <v>22</v>
      </c>
      <c r="AM2332" t="s">
        <v>5654</v>
      </c>
      <c r="AN2332" t="s">
        <v>717</v>
      </c>
    </row>
    <row r="2333" spans="1:40" hidden="1">
      <c r="A2333">
        <v>2332</v>
      </c>
      <c r="B2333">
        <v>5</v>
      </c>
      <c r="C2333" s="58">
        <v>45427</v>
      </c>
      <c r="D2333" t="s">
        <v>13</v>
      </c>
      <c r="E2333" t="s">
        <v>2506</v>
      </c>
      <c r="F2333">
        <v>6</v>
      </c>
      <c r="G2333">
        <v>10</v>
      </c>
      <c r="H2333">
        <v>179</v>
      </c>
      <c r="I2333">
        <v>3</v>
      </c>
      <c r="J2333">
        <v>84.99</v>
      </c>
      <c r="K2333" t="s">
        <v>9</v>
      </c>
      <c r="L2333">
        <v>7351200</v>
      </c>
      <c r="M2333">
        <v>15000</v>
      </c>
      <c r="N2333">
        <v>7366200</v>
      </c>
      <c r="O2333">
        <v>86671.373102717975</v>
      </c>
      <c r="P2333">
        <v>0</v>
      </c>
      <c r="Q2333">
        <v>7366200</v>
      </c>
      <c r="R2333">
        <v>86671.373102717975</v>
      </c>
      <c r="S2333" t="s">
        <v>65</v>
      </c>
      <c r="T2333" t="s">
        <v>9911</v>
      </c>
      <c r="U2333">
        <v>90000</v>
      </c>
      <c r="V2333" t="s">
        <v>6488</v>
      </c>
      <c r="W2333">
        <v>45407</v>
      </c>
      <c r="X2333" t="s">
        <v>10019</v>
      </c>
      <c r="Y2333" t="s">
        <v>6</v>
      </c>
      <c r="Z2333" t="s">
        <v>17</v>
      </c>
      <c r="AA2333" t="s">
        <v>6637</v>
      </c>
      <c r="AB2333" t="s">
        <v>2509</v>
      </c>
      <c r="AC2333" t="s">
        <v>2571</v>
      </c>
      <c r="AD2333" t="s">
        <v>717</v>
      </c>
      <c r="AE2333" t="s">
        <v>10020</v>
      </c>
      <c r="AF2333" t="s">
        <v>10021</v>
      </c>
      <c r="AG2333" t="s">
        <v>10022</v>
      </c>
      <c r="AH2333" t="s">
        <v>2191</v>
      </c>
      <c r="AI2333" t="s">
        <v>2552</v>
      </c>
      <c r="AJ2333" t="s">
        <v>2514</v>
      </c>
      <c r="AK2333" t="s">
        <v>8</v>
      </c>
      <c r="AL2333" t="s">
        <v>16</v>
      </c>
      <c r="AM2333" t="s">
        <v>10</v>
      </c>
      <c r="AN2333" t="s">
        <v>717</v>
      </c>
    </row>
    <row r="2334" spans="1:40" hidden="1">
      <c r="A2334">
        <v>2333</v>
      </c>
      <c r="B2334">
        <v>6</v>
      </c>
      <c r="C2334" s="58">
        <v>45427</v>
      </c>
      <c r="D2334" t="s">
        <v>13</v>
      </c>
      <c r="E2334" t="s">
        <v>4409</v>
      </c>
      <c r="F2334">
        <v>1</v>
      </c>
      <c r="G2334">
        <v>16</v>
      </c>
      <c r="H2334">
        <v>509</v>
      </c>
      <c r="I2334">
        <v>0</v>
      </c>
      <c r="J2334">
        <v>29.4</v>
      </c>
      <c r="K2334" t="s">
        <v>25</v>
      </c>
      <c r="L2334">
        <v>3970700</v>
      </c>
      <c r="M2334">
        <v>0</v>
      </c>
      <c r="N2334">
        <v>3970700</v>
      </c>
      <c r="O2334">
        <v>135057.82312925172</v>
      </c>
      <c r="P2334">
        <v>587999.99999999953</v>
      </c>
      <c r="Q2334">
        <v>3382700.0000000005</v>
      </c>
      <c r="R2334">
        <v>115057.82312925172</v>
      </c>
      <c r="S2334" t="s">
        <v>65</v>
      </c>
      <c r="T2334" t="s">
        <v>717</v>
      </c>
      <c r="U2334" t="s">
        <v>717</v>
      </c>
      <c r="V2334" t="s">
        <v>4131</v>
      </c>
      <c r="W2334">
        <v>45414</v>
      </c>
      <c r="X2334" t="s">
        <v>10023</v>
      </c>
      <c r="Y2334" t="s">
        <v>6</v>
      </c>
      <c r="Z2334" t="s">
        <v>17</v>
      </c>
      <c r="AA2334" t="s">
        <v>6637</v>
      </c>
      <c r="AB2334" t="s">
        <v>2509</v>
      </c>
      <c r="AC2334" t="s">
        <v>2571</v>
      </c>
      <c r="AD2334" t="s">
        <v>717</v>
      </c>
      <c r="AE2334" t="s">
        <v>10024</v>
      </c>
      <c r="AF2334" t="s">
        <v>10025</v>
      </c>
      <c r="AG2334" t="s">
        <v>10026</v>
      </c>
      <c r="AH2334" t="s">
        <v>2615</v>
      </c>
      <c r="AI2334" t="s">
        <v>3120</v>
      </c>
      <c r="AJ2334" t="s">
        <v>2569</v>
      </c>
      <c r="AK2334" t="s">
        <v>20</v>
      </c>
      <c r="AL2334" t="s">
        <v>22</v>
      </c>
      <c r="AM2334" t="s">
        <v>10</v>
      </c>
      <c r="AN2334" t="s">
        <v>717</v>
      </c>
    </row>
    <row r="2335" spans="1:40" hidden="1">
      <c r="A2335">
        <v>2334</v>
      </c>
      <c r="B2335">
        <v>7</v>
      </c>
      <c r="C2335" s="58">
        <v>45428</v>
      </c>
      <c r="D2335" t="s">
        <v>7</v>
      </c>
      <c r="E2335" t="s">
        <v>2581</v>
      </c>
      <c r="F2335">
        <v>2</v>
      </c>
      <c r="G2335">
        <v>17</v>
      </c>
      <c r="H2335">
        <v>347</v>
      </c>
      <c r="I2335">
        <v>2</v>
      </c>
      <c r="J2335">
        <v>67.95</v>
      </c>
      <c r="K2335" t="s">
        <v>15</v>
      </c>
      <c r="L2335">
        <v>6797068</v>
      </c>
      <c r="M2335">
        <v>0</v>
      </c>
      <c r="N2335">
        <v>6797068</v>
      </c>
      <c r="O2335">
        <v>100030.434142752</v>
      </c>
      <c r="P2335">
        <v>509625</v>
      </c>
      <c r="Q2335">
        <v>6287443</v>
      </c>
      <c r="R2335">
        <v>92530.434142752027</v>
      </c>
      <c r="S2335" t="s">
        <v>2507</v>
      </c>
      <c r="T2335" t="s">
        <v>9628</v>
      </c>
      <c r="U2335">
        <v>194457</v>
      </c>
      <c r="V2335" t="s">
        <v>717</v>
      </c>
      <c r="W2335">
        <v>45425</v>
      </c>
      <c r="X2335" t="s">
        <v>10027</v>
      </c>
      <c r="Y2335" t="s">
        <v>6</v>
      </c>
      <c r="Z2335" t="s">
        <v>17</v>
      </c>
      <c r="AA2335" t="s">
        <v>6637</v>
      </c>
      <c r="AB2335" t="s">
        <v>2509</v>
      </c>
      <c r="AC2335" t="s">
        <v>717</v>
      </c>
      <c r="AD2335" t="s">
        <v>717</v>
      </c>
      <c r="AE2335" t="s">
        <v>10028</v>
      </c>
      <c r="AF2335" t="s">
        <v>10029</v>
      </c>
      <c r="AG2335" t="s">
        <v>10030</v>
      </c>
      <c r="AH2335" t="s">
        <v>2191</v>
      </c>
      <c r="AI2335" t="s">
        <v>2600</v>
      </c>
      <c r="AJ2335" t="s">
        <v>3921</v>
      </c>
      <c r="AK2335" t="s">
        <v>20</v>
      </c>
      <c r="AL2335" t="s">
        <v>717</v>
      </c>
      <c r="AM2335" t="s">
        <v>10</v>
      </c>
      <c r="AN2335" t="s">
        <v>717</v>
      </c>
    </row>
    <row r="2336" spans="1:40" hidden="1">
      <c r="A2336">
        <v>2335</v>
      </c>
      <c r="B2336">
        <v>8</v>
      </c>
      <c r="C2336" s="58">
        <v>45428</v>
      </c>
      <c r="D2336" t="s">
        <v>7</v>
      </c>
      <c r="E2336" t="s">
        <v>2515</v>
      </c>
      <c r="F2336">
        <v>6</v>
      </c>
      <c r="G2336">
        <v>9</v>
      </c>
      <c r="H2336">
        <v>62</v>
      </c>
      <c r="I2336">
        <v>2</v>
      </c>
      <c r="J2336">
        <v>59.87</v>
      </c>
      <c r="K2336" t="s">
        <v>15</v>
      </c>
      <c r="L2336">
        <v>6489118</v>
      </c>
      <c r="M2336">
        <v>0</v>
      </c>
      <c r="N2336">
        <v>6489118</v>
      </c>
      <c r="O2336">
        <v>108386.80474361117</v>
      </c>
      <c r="P2336">
        <v>449025</v>
      </c>
      <c r="Q2336">
        <v>6040093</v>
      </c>
      <c r="R2336">
        <v>100886.80474361117</v>
      </c>
      <c r="S2336" t="s">
        <v>2507</v>
      </c>
      <c r="T2336" t="s">
        <v>9628</v>
      </c>
      <c r="U2336">
        <v>186807</v>
      </c>
      <c r="V2336" t="s">
        <v>717</v>
      </c>
      <c r="W2336">
        <v>45425</v>
      </c>
      <c r="X2336" t="s">
        <v>10031</v>
      </c>
      <c r="Y2336" t="s">
        <v>6</v>
      </c>
      <c r="Z2336" t="s">
        <v>17</v>
      </c>
      <c r="AA2336" t="s">
        <v>6637</v>
      </c>
      <c r="AB2336" t="s">
        <v>2509</v>
      </c>
      <c r="AC2336" t="s">
        <v>717</v>
      </c>
      <c r="AD2336" t="s">
        <v>717</v>
      </c>
      <c r="AE2336" t="s">
        <v>10032</v>
      </c>
      <c r="AF2336" t="s">
        <v>10033</v>
      </c>
      <c r="AG2336" t="s">
        <v>10034</v>
      </c>
      <c r="AH2336" t="s">
        <v>6100</v>
      </c>
      <c r="AI2336" t="s">
        <v>9793</v>
      </c>
      <c r="AJ2336" t="s">
        <v>40</v>
      </c>
      <c r="AK2336" t="s">
        <v>77</v>
      </c>
      <c r="AL2336" t="s">
        <v>717</v>
      </c>
      <c r="AM2336" t="s">
        <v>5654</v>
      </c>
      <c r="AN2336" t="s">
        <v>717</v>
      </c>
    </row>
    <row r="2337" spans="1:40" hidden="1">
      <c r="A2337">
        <v>2336</v>
      </c>
      <c r="B2337">
        <v>9</v>
      </c>
      <c r="C2337" s="58">
        <v>45429</v>
      </c>
      <c r="D2337" t="s">
        <v>13</v>
      </c>
      <c r="E2337" t="s">
        <v>2581</v>
      </c>
      <c r="F2337">
        <v>3</v>
      </c>
      <c r="G2337">
        <v>22</v>
      </c>
      <c r="H2337">
        <v>371</v>
      </c>
      <c r="I2337">
        <v>2</v>
      </c>
      <c r="J2337">
        <v>56.58</v>
      </c>
      <c r="K2337" t="s">
        <v>25</v>
      </c>
      <c r="L2337">
        <v>6941300</v>
      </c>
      <c r="M2337">
        <v>0</v>
      </c>
      <c r="N2337">
        <v>6941300</v>
      </c>
      <c r="O2337">
        <v>122681.15942028986</v>
      </c>
      <c r="P2337">
        <v>1131600</v>
      </c>
      <c r="Q2337">
        <v>5809700</v>
      </c>
      <c r="R2337">
        <v>102681.15942028986</v>
      </c>
      <c r="S2337" t="s">
        <v>65</v>
      </c>
      <c r="T2337" t="s">
        <v>9911</v>
      </c>
      <c r="U2337">
        <v>90000</v>
      </c>
      <c r="V2337" t="s">
        <v>6312</v>
      </c>
      <c r="W2337">
        <v>45425</v>
      </c>
      <c r="X2337" t="s">
        <v>10035</v>
      </c>
      <c r="Y2337" t="s">
        <v>6</v>
      </c>
      <c r="Z2337" t="s">
        <v>17</v>
      </c>
      <c r="AA2337" t="s">
        <v>6637</v>
      </c>
      <c r="AB2337" t="s">
        <v>2509</v>
      </c>
      <c r="AC2337" t="s">
        <v>2571</v>
      </c>
      <c r="AD2337" t="s">
        <v>717</v>
      </c>
      <c r="AE2337" t="s">
        <v>10036</v>
      </c>
      <c r="AF2337" t="s">
        <v>10037</v>
      </c>
      <c r="AG2337" t="s">
        <v>10038</v>
      </c>
      <c r="AH2337" t="s">
        <v>6100</v>
      </c>
      <c r="AI2337" t="s">
        <v>9944</v>
      </c>
      <c r="AJ2337" t="s">
        <v>41</v>
      </c>
      <c r="AK2337" t="s">
        <v>20</v>
      </c>
      <c r="AL2337" t="s">
        <v>22</v>
      </c>
      <c r="AM2337" t="s">
        <v>5654</v>
      </c>
      <c r="AN2337" t="s">
        <v>717</v>
      </c>
    </row>
    <row r="2338" spans="1:40" hidden="1">
      <c r="A2338">
        <v>2337</v>
      </c>
      <c r="B2338">
        <v>10</v>
      </c>
      <c r="C2338" s="58">
        <v>45433</v>
      </c>
      <c r="D2338" t="s">
        <v>13</v>
      </c>
      <c r="E2338" t="s">
        <v>4409</v>
      </c>
      <c r="F2338">
        <v>7</v>
      </c>
      <c r="G2338">
        <v>7</v>
      </c>
      <c r="H2338">
        <v>443</v>
      </c>
      <c r="I2338">
        <v>3</v>
      </c>
      <c r="J2338">
        <v>79.44</v>
      </c>
      <c r="K2338" t="s">
        <v>25</v>
      </c>
      <c r="L2338">
        <v>8723700</v>
      </c>
      <c r="M2338">
        <v>15000</v>
      </c>
      <c r="N2338">
        <v>8738700</v>
      </c>
      <c r="O2338">
        <v>110003.77643504532</v>
      </c>
      <c r="P2338">
        <v>1588800</v>
      </c>
      <c r="Q2338">
        <v>7149900</v>
      </c>
      <c r="R2338">
        <v>90003.776435045322</v>
      </c>
      <c r="S2338" t="s">
        <v>65</v>
      </c>
      <c r="T2338" t="s">
        <v>9911</v>
      </c>
      <c r="U2338">
        <v>90000</v>
      </c>
      <c r="V2338" t="s">
        <v>6488</v>
      </c>
      <c r="W2338">
        <v>45407</v>
      </c>
      <c r="X2338" t="s">
        <v>10039</v>
      </c>
      <c r="Y2338" t="s">
        <v>6</v>
      </c>
      <c r="Z2338" t="s">
        <v>17</v>
      </c>
      <c r="AA2338" t="s">
        <v>6637</v>
      </c>
      <c r="AB2338" t="s">
        <v>2509</v>
      </c>
      <c r="AC2338" t="s">
        <v>2571</v>
      </c>
      <c r="AD2338" t="s">
        <v>717</v>
      </c>
      <c r="AE2338" t="s">
        <v>10040</v>
      </c>
      <c r="AF2338" t="s">
        <v>10041</v>
      </c>
      <c r="AG2338" t="s">
        <v>10042</v>
      </c>
      <c r="AH2338" t="s">
        <v>2616</v>
      </c>
      <c r="AI2338" t="s">
        <v>2552</v>
      </c>
      <c r="AJ2338" t="s">
        <v>2895</v>
      </c>
      <c r="AK2338" t="s">
        <v>8</v>
      </c>
      <c r="AL2338" t="s">
        <v>22</v>
      </c>
      <c r="AM2338" t="s">
        <v>10</v>
      </c>
      <c r="AN2338" t="s">
        <v>717</v>
      </c>
    </row>
    <row r="2339" spans="1:40" hidden="1">
      <c r="A2339">
        <v>2338</v>
      </c>
      <c r="B2339">
        <v>11</v>
      </c>
      <c r="C2339" s="58">
        <v>45433</v>
      </c>
      <c r="D2339" t="s">
        <v>13</v>
      </c>
      <c r="E2339" t="s">
        <v>2506</v>
      </c>
      <c r="F2339">
        <v>1</v>
      </c>
      <c r="G2339">
        <v>12</v>
      </c>
      <c r="H2339">
        <v>188</v>
      </c>
      <c r="I2339">
        <v>2</v>
      </c>
      <c r="J2339">
        <v>60.22</v>
      </c>
      <c r="K2339" t="s">
        <v>21</v>
      </c>
      <c r="L2339">
        <v>6303340</v>
      </c>
      <c r="M2339">
        <v>0</v>
      </c>
      <c r="N2339">
        <v>6303340</v>
      </c>
      <c r="O2339">
        <v>104671.86981069412</v>
      </c>
      <c r="P2339">
        <v>421540</v>
      </c>
      <c r="Q2339">
        <v>5881800</v>
      </c>
      <c r="R2339">
        <v>97671.869810694116</v>
      </c>
      <c r="S2339" t="s">
        <v>65</v>
      </c>
      <c r="T2339" t="s">
        <v>717</v>
      </c>
      <c r="U2339" t="s">
        <v>717</v>
      </c>
      <c r="V2339" t="s">
        <v>4131</v>
      </c>
      <c r="W2339">
        <v>45425</v>
      </c>
      <c r="X2339" t="s">
        <v>10043</v>
      </c>
      <c r="Y2339" t="s">
        <v>6</v>
      </c>
      <c r="Z2339" t="s">
        <v>17</v>
      </c>
      <c r="AA2339" t="s">
        <v>6637</v>
      </c>
      <c r="AB2339" t="s">
        <v>2509</v>
      </c>
      <c r="AC2339" t="s">
        <v>2571</v>
      </c>
      <c r="AD2339" t="s">
        <v>717</v>
      </c>
      <c r="AE2339" t="s">
        <v>10044</v>
      </c>
      <c r="AF2339" t="s">
        <v>10045</v>
      </c>
      <c r="AG2339" t="s">
        <v>10046</v>
      </c>
      <c r="AH2339" t="s">
        <v>2615</v>
      </c>
      <c r="AI2339" t="s">
        <v>6951</v>
      </c>
      <c r="AJ2339" t="s">
        <v>2662</v>
      </c>
      <c r="AK2339" t="s">
        <v>8</v>
      </c>
      <c r="AL2339" t="s">
        <v>22</v>
      </c>
      <c r="AM2339" t="s">
        <v>10</v>
      </c>
      <c r="AN2339" t="s">
        <v>717</v>
      </c>
    </row>
    <row r="2340" spans="1:40" hidden="1">
      <c r="A2340">
        <v>2339</v>
      </c>
      <c r="B2340">
        <v>12</v>
      </c>
      <c r="C2340" s="58">
        <v>45433</v>
      </c>
      <c r="D2340" t="s">
        <v>13</v>
      </c>
      <c r="E2340" t="s">
        <v>2515</v>
      </c>
      <c r="F2340">
        <v>3</v>
      </c>
      <c r="G2340">
        <v>4</v>
      </c>
      <c r="H2340">
        <v>23</v>
      </c>
      <c r="I2340">
        <v>1</v>
      </c>
      <c r="J2340">
        <v>37.729999999999997</v>
      </c>
      <c r="K2340" t="s">
        <v>25</v>
      </c>
      <c r="L2340">
        <v>5182000</v>
      </c>
      <c r="M2340">
        <v>0</v>
      </c>
      <c r="N2340">
        <v>5182000</v>
      </c>
      <c r="O2340">
        <v>137344.28836469655</v>
      </c>
      <c r="P2340">
        <v>754600</v>
      </c>
      <c r="Q2340">
        <v>4427400</v>
      </c>
      <c r="R2340">
        <v>117344.28836469652</v>
      </c>
      <c r="S2340" t="s">
        <v>65</v>
      </c>
      <c r="T2340" t="s">
        <v>717</v>
      </c>
      <c r="U2340" t="s">
        <v>717</v>
      </c>
      <c r="V2340" t="s">
        <v>6312</v>
      </c>
      <c r="W2340">
        <v>45426</v>
      </c>
      <c r="X2340" t="s">
        <v>10047</v>
      </c>
      <c r="Y2340" t="s">
        <v>6</v>
      </c>
      <c r="Z2340" t="s">
        <v>17</v>
      </c>
      <c r="AA2340" t="s">
        <v>6637</v>
      </c>
      <c r="AB2340" t="s">
        <v>2509</v>
      </c>
      <c r="AC2340" t="s">
        <v>2571</v>
      </c>
      <c r="AD2340" t="s">
        <v>717</v>
      </c>
      <c r="AE2340" t="s">
        <v>10048</v>
      </c>
      <c r="AF2340" t="s">
        <v>10049</v>
      </c>
      <c r="AG2340" t="s">
        <v>10050</v>
      </c>
      <c r="AH2340" t="s">
        <v>6100</v>
      </c>
      <c r="AI2340" t="s">
        <v>9944</v>
      </c>
      <c r="AJ2340" t="s">
        <v>41</v>
      </c>
      <c r="AK2340" t="s">
        <v>20</v>
      </c>
      <c r="AL2340" t="s">
        <v>16</v>
      </c>
      <c r="AM2340" t="s">
        <v>5654</v>
      </c>
      <c r="AN2340" t="s">
        <v>717</v>
      </c>
    </row>
    <row r="2341" spans="1:40" hidden="1">
      <c r="A2341">
        <v>2340</v>
      </c>
      <c r="B2341">
        <v>13</v>
      </c>
      <c r="C2341" s="58">
        <v>45433</v>
      </c>
      <c r="D2341" t="s">
        <v>7</v>
      </c>
      <c r="E2341" t="s">
        <v>2506</v>
      </c>
      <c r="F2341">
        <v>2</v>
      </c>
      <c r="G2341">
        <v>15</v>
      </c>
      <c r="H2341">
        <v>226</v>
      </c>
      <c r="I2341">
        <v>2</v>
      </c>
      <c r="J2341">
        <v>68.75</v>
      </c>
      <c r="K2341" t="s">
        <v>15</v>
      </c>
      <c r="L2341">
        <v>7463425</v>
      </c>
      <c r="M2341">
        <v>0</v>
      </c>
      <c r="N2341">
        <v>7463425</v>
      </c>
      <c r="O2341">
        <v>108558.90909090907</v>
      </c>
      <c r="P2341">
        <v>515625</v>
      </c>
      <c r="Q2341">
        <v>6947800</v>
      </c>
      <c r="R2341">
        <v>101058.90909090907</v>
      </c>
      <c r="S2341" t="s">
        <v>65</v>
      </c>
      <c r="T2341" t="s">
        <v>717</v>
      </c>
      <c r="U2341" t="s">
        <v>717</v>
      </c>
      <c r="V2341" t="s">
        <v>6312</v>
      </c>
      <c r="W2341">
        <v>45428</v>
      </c>
      <c r="X2341" t="s">
        <v>10051</v>
      </c>
      <c r="Y2341" t="s">
        <v>6</v>
      </c>
      <c r="Z2341" t="s">
        <v>17</v>
      </c>
      <c r="AA2341" t="s">
        <v>6637</v>
      </c>
      <c r="AB2341" t="s">
        <v>2509</v>
      </c>
      <c r="AC2341" t="s">
        <v>2571</v>
      </c>
      <c r="AD2341" t="s">
        <v>717</v>
      </c>
      <c r="AE2341" t="s">
        <v>10052</v>
      </c>
      <c r="AF2341" t="s">
        <v>10053</v>
      </c>
      <c r="AG2341" t="s">
        <v>10054</v>
      </c>
      <c r="AH2341" t="s">
        <v>2615</v>
      </c>
      <c r="AI2341" t="s">
        <v>2552</v>
      </c>
      <c r="AJ2341" t="s">
        <v>3330</v>
      </c>
      <c r="AK2341" t="s">
        <v>1892</v>
      </c>
      <c r="AL2341" t="s">
        <v>16</v>
      </c>
      <c r="AM2341" t="s">
        <v>10</v>
      </c>
      <c r="AN2341" t="s">
        <v>717</v>
      </c>
    </row>
    <row r="2342" spans="1:40" hidden="1">
      <c r="A2342">
        <v>2341</v>
      </c>
      <c r="B2342">
        <v>14</v>
      </c>
      <c r="C2342" s="58">
        <v>45433</v>
      </c>
      <c r="D2342" t="s">
        <v>13</v>
      </c>
      <c r="E2342" t="s">
        <v>2515</v>
      </c>
      <c r="F2342">
        <v>3</v>
      </c>
      <c r="G2342">
        <v>15</v>
      </c>
      <c r="H2342">
        <v>100</v>
      </c>
      <c r="I2342">
        <v>1</v>
      </c>
      <c r="J2342">
        <v>37.729999999999997</v>
      </c>
      <c r="K2342" t="s">
        <v>25</v>
      </c>
      <c r="L2342">
        <v>5141400</v>
      </c>
      <c r="M2342">
        <v>0</v>
      </c>
      <c r="N2342">
        <v>5141400</v>
      </c>
      <c r="O2342">
        <v>136268.22157434403</v>
      </c>
      <c r="P2342">
        <v>754600</v>
      </c>
      <c r="Q2342">
        <v>4386800</v>
      </c>
      <c r="R2342">
        <v>116268.22157434405</v>
      </c>
      <c r="S2342" t="s">
        <v>65</v>
      </c>
      <c r="T2342" t="s">
        <v>717</v>
      </c>
      <c r="U2342" t="s">
        <v>717</v>
      </c>
      <c r="V2342" t="s">
        <v>6312</v>
      </c>
      <c r="W2342">
        <v>45432</v>
      </c>
      <c r="X2342" t="s">
        <v>10055</v>
      </c>
      <c r="Y2342" t="s">
        <v>6</v>
      </c>
      <c r="Z2342" t="s">
        <v>17</v>
      </c>
      <c r="AA2342" t="s">
        <v>6637</v>
      </c>
      <c r="AB2342" t="s">
        <v>2509</v>
      </c>
      <c r="AC2342" t="s">
        <v>2571</v>
      </c>
      <c r="AD2342" t="s">
        <v>717</v>
      </c>
      <c r="AE2342" t="s">
        <v>10056</v>
      </c>
      <c r="AF2342" t="s">
        <v>10057</v>
      </c>
      <c r="AG2342" t="s">
        <v>10058</v>
      </c>
      <c r="AH2342" t="s">
        <v>6100</v>
      </c>
      <c r="AI2342" t="s">
        <v>5653</v>
      </c>
      <c r="AJ2342" t="s">
        <v>31</v>
      </c>
      <c r="AK2342" t="s">
        <v>14</v>
      </c>
      <c r="AL2342" t="s">
        <v>22</v>
      </c>
      <c r="AM2342" t="s">
        <v>5654</v>
      </c>
      <c r="AN2342" t="s">
        <v>717</v>
      </c>
    </row>
    <row r="2343" spans="1:40" hidden="1">
      <c r="A2343">
        <v>2342</v>
      </c>
      <c r="B2343">
        <v>15</v>
      </c>
      <c r="C2343" s="58">
        <v>45434</v>
      </c>
      <c r="D2343" t="s">
        <v>7</v>
      </c>
      <c r="E2343" t="s">
        <v>2581</v>
      </c>
      <c r="F2343">
        <v>6</v>
      </c>
      <c r="G2343">
        <v>6</v>
      </c>
      <c r="H2343">
        <v>274</v>
      </c>
      <c r="I2343">
        <v>3</v>
      </c>
      <c r="J2343">
        <v>72.510000000000005</v>
      </c>
      <c r="K2343" t="s">
        <v>9</v>
      </c>
      <c r="L2343">
        <v>6980023</v>
      </c>
      <c r="M2343">
        <v>0</v>
      </c>
      <c r="N2343">
        <v>6980023</v>
      </c>
      <c r="O2343">
        <v>96262.901668735343</v>
      </c>
      <c r="P2343">
        <v>0</v>
      </c>
      <c r="Q2343">
        <v>6980023</v>
      </c>
      <c r="R2343">
        <v>96262.901668735343</v>
      </c>
      <c r="S2343" t="s">
        <v>65</v>
      </c>
      <c r="T2343" t="s">
        <v>4059</v>
      </c>
      <c r="U2343">
        <v>215877</v>
      </c>
      <c r="V2343" t="s">
        <v>6312</v>
      </c>
      <c r="W2343">
        <v>45426</v>
      </c>
      <c r="X2343" t="s">
        <v>10059</v>
      </c>
      <c r="Y2343" t="s">
        <v>6</v>
      </c>
      <c r="Z2343" t="s">
        <v>17</v>
      </c>
      <c r="AA2343" t="s">
        <v>6637</v>
      </c>
      <c r="AB2343" t="s">
        <v>2509</v>
      </c>
      <c r="AC2343" t="s">
        <v>2571</v>
      </c>
      <c r="AD2343" t="s">
        <v>717</v>
      </c>
      <c r="AE2343" t="s">
        <v>10060</v>
      </c>
      <c r="AF2343" t="s">
        <v>10061</v>
      </c>
      <c r="AG2343" t="s">
        <v>10062</v>
      </c>
      <c r="AH2343" t="s">
        <v>2615</v>
      </c>
      <c r="AI2343" t="s">
        <v>2847</v>
      </c>
      <c r="AJ2343" t="s">
        <v>3330</v>
      </c>
      <c r="AK2343" t="s">
        <v>8</v>
      </c>
      <c r="AL2343" t="s">
        <v>22</v>
      </c>
      <c r="AM2343" t="s">
        <v>10</v>
      </c>
      <c r="AN2343" t="s">
        <v>717</v>
      </c>
    </row>
    <row r="2344" spans="1:40" hidden="1">
      <c r="A2344">
        <v>2343</v>
      </c>
      <c r="B2344">
        <v>16</v>
      </c>
      <c r="C2344" s="58">
        <v>45434</v>
      </c>
      <c r="D2344" t="s">
        <v>7</v>
      </c>
      <c r="E2344" t="s">
        <v>2581</v>
      </c>
      <c r="F2344">
        <v>6</v>
      </c>
      <c r="G2344">
        <v>13</v>
      </c>
      <c r="H2344">
        <v>323</v>
      </c>
      <c r="I2344">
        <v>3</v>
      </c>
      <c r="J2344">
        <v>72.510000000000005</v>
      </c>
      <c r="K2344" t="s">
        <v>15</v>
      </c>
      <c r="L2344">
        <v>7523848</v>
      </c>
      <c r="M2344">
        <v>0</v>
      </c>
      <c r="N2344">
        <v>7523848</v>
      </c>
      <c r="O2344">
        <v>103762.90166873534</v>
      </c>
      <c r="P2344">
        <v>543825</v>
      </c>
      <c r="Q2344">
        <v>6980023</v>
      </c>
      <c r="R2344">
        <v>96262.901668735343</v>
      </c>
      <c r="S2344" t="s">
        <v>65</v>
      </c>
      <c r="T2344" t="s">
        <v>5768</v>
      </c>
      <c r="U2344">
        <v>215877</v>
      </c>
      <c r="V2344" t="s">
        <v>6312</v>
      </c>
      <c r="W2344">
        <v>45432</v>
      </c>
      <c r="X2344" t="s">
        <v>10063</v>
      </c>
      <c r="Y2344" t="s">
        <v>6</v>
      </c>
      <c r="Z2344" t="s">
        <v>17</v>
      </c>
      <c r="AA2344" t="s">
        <v>6637</v>
      </c>
      <c r="AB2344" t="s">
        <v>2509</v>
      </c>
      <c r="AC2344" t="s">
        <v>2571</v>
      </c>
      <c r="AD2344" t="s">
        <v>717</v>
      </c>
      <c r="AE2344" t="s">
        <v>10064</v>
      </c>
      <c r="AF2344" t="s">
        <v>10065</v>
      </c>
      <c r="AG2344" t="s">
        <v>10066</v>
      </c>
      <c r="AH2344" t="s">
        <v>2615</v>
      </c>
      <c r="AI2344" t="s">
        <v>2538</v>
      </c>
      <c r="AJ2344" t="s">
        <v>4799</v>
      </c>
      <c r="AK2344" t="s">
        <v>20</v>
      </c>
      <c r="AL2344" t="s">
        <v>22</v>
      </c>
      <c r="AM2344" t="s">
        <v>10</v>
      </c>
      <c r="AN2344" t="s">
        <v>717</v>
      </c>
    </row>
    <row r="2345" spans="1:40" hidden="1">
      <c r="A2345">
        <v>2344</v>
      </c>
      <c r="B2345">
        <v>17</v>
      </c>
      <c r="C2345" s="58">
        <v>45435</v>
      </c>
      <c r="D2345" t="s">
        <v>13</v>
      </c>
      <c r="E2345" t="s">
        <v>2515</v>
      </c>
      <c r="F2345">
        <v>7</v>
      </c>
      <c r="G2345">
        <v>5</v>
      </c>
      <c r="H2345">
        <v>34</v>
      </c>
      <c r="I2345">
        <v>1</v>
      </c>
      <c r="J2345">
        <v>42.75</v>
      </c>
      <c r="K2345" t="s">
        <v>9</v>
      </c>
      <c r="L2345">
        <v>4629800</v>
      </c>
      <c r="M2345">
        <v>0</v>
      </c>
      <c r="N2345">
        <v>4629800</v>
      </c>
      <c r="O2345">
        <v>108299.41520467836</v>
      </c>
      <c r="P2345">
        <v>0</v>
      </c>
      <c r="Q2345">
        <v>4629800</v>
      </c>
      <c r="R2345">
        <v>108299.41520467836</v>
      </c>
      <c r="S2345" t="s">
        <v>65</v>
      </c>
      <c r="T2345" t="s">
        <v>717</v>
      </c>
      <c r="U2345" t="s">
        <v>717</v>
      </c>
      <c r="V2345" t="s">
        <v>4131</v>
      </c>
      <c r="W2345">
        <v>45433</v>
      </c>
      <c r="X2345" t="s">
        <v>10067</v>
      </c>
      <c r="Y2345" t="s">
        <v>6</v>
      </c>
      <c r="Z2345" t="s">
        <v>17</v>
      </c>
      <c r="AA2345" t="s">
        <v>6637</v>
      </c>
      <c r="AB2345" t="s">
        <v>2509</v>
      </c>
      <c r="AC2345" t="s">
        <v>2571</v>
      </c>
      <c r="AD2345" t="s">
        <v>717</v>
      </c>
      <c r="AE2345" t="s">
        <v>10068</v>
      </c>
      <c r="AF2345" t="s">
        <v>10069</v>
      </c>
      <c r="AG2345" t="s">
        <v>10070</v>
      </c>
      <c r="AH2345" t="s">
        <v>6100</v>
      </c>
      <c r="AI2345" t="s">
        <v>9944</v>
      </c>
      <c r="AJ2345" t="s">
        <v>41</v>
      </c>
      <c r="AK2345" t="s">
        <v>77</v>
      </c>
      <c r="AL2345" t="s">
        <v>16</v>
      </c>
      <c r="AM2345" t="s">
        <v>5654</v>
      </c>
      <c r="AN2345" t="s">
        <v>717</v>
      </c>
    </row>
    <row r="2346" spans="1:40" hidden="1">
      <c r="A2346">
        <v>2345</v>
      </c>
      <c r="B2346">
        <v>18</v>
      </c>
      <c r="C2346" s="58">
        <v>45436</v>
      </c>
      <c r="D2346" t="s">
        <v>13</v>
      </c>
      <c r="E2346" t="s">
        <v>4409</v>
      </c>
      <c r="F2346">
        <v>1</v>
      </c>
      <c r="G2346">
        <v>21</v>
      </c>
      <c r="H2346">
        <v>549</v>
      </c>
      <c r="I2346">
        <v>0</v>
      </c>
      <c r="J2346">
        <v>29.4</v>
      </c>
      <c r="K2346" t="s">
        <v>25</v>
      </c>
      <c r="L2346">
        <v>4236000</v>
      </c>
      <c r="M2346">
        <v>0</v>
      </c>
      <c r="N2346">
        <v>4236000</v>
      </c>
      <c r="O2346">
        <v>144081.63265306124</v>
      </c>
      <c r="P2346">
        <v>587999.99999999953</v>
      </c>
      <c r="Q2346">
        <v>3648000.0000000009</v>
      </c>
      <c r="R2346">
        <v>124081.63265306124</v>
      </c>
      <c r="S2346" t="s">
        <v>65</v>
      </c>
      <c r="T2346" t="s">
        <v>717</v>
      </c>
      <c r="U2346" t="s">
        <v>717</v>
      </c>
      <c r="V2346" t="s">
        <v>6312</v>
      </c>
      <c r="W2346">
        <v>45420</v>
      </c>
      <c r="X2346" t="s">
        <v>10071</v>
      </c>
      <c r="Y2346" t="s">
        <v>6</v>
      </c>
      <c r="Z2346" t="s">
        <v>17</v>
      </c>
      <c r="AA2346" t="s">
        <v>6637</v>
      </c>
      <c r="AB2346" t="s">
        <v>2509</v>
      </c>
      <c r="AC2346" t="s">
        <v>2571</v>
      </c>
      <c r="AD2346" t="s">
        <v>717</v>
      </c>
      <c r="AE2346" t="s">
        <v>8637</v>
      </c>
      <c r="AF2346" t="s">
        <v>8638</v>
      </c>
      <c r="AG2346" t="s">
        <v>8639</v>
      </c>
      <c r="AH2346" t="s">
        <v>2615</v>
      </c>
      <c r="AI2346" t="s">
        <v>2847</v>
      </c>
      <c r="AJ2346" t="s">
        <v>3921</v>
      </c>
      <c r="AK2346" t="s">
        <v>77</v>
      </c>
      <c r="AL2346" t="s">
        <v>16</v>
      </c>
      <c r="AM2346" t="s">
        <v>10</v>
      </c>
      <c r="AN2346" t="s">
        <v>717</v>
      </c>
    </row>
    <row r="2347" spans="1:40" hidden="1">
      <c r="A2347">
        <v>2346</v>
      </c>
      <c r="B2347">
        <v>19</v>
      </c>
      <c r="C2347" s="58">
        <v>45436</v>
      </c>
      <c r="D2347" t="s">
        <v>7</v>
      </c>
      <c r="E2347" t="s">
        <v>2515</v>
      </c>
      <c r="F2347">
        <v>8</v>
      </c>
      <c r="G2347">
        <v>15</v>
      </c>
      <c r="H2347">
        <v>112</v>
      </c>
      <c r="I2347">
        <v>0</v>
      </c>
      <c r="J2347">
        <v>21.73</v>
      </c>
      <c r="K2347" t="s">
        <v>15</v>
      </c>
      <c r="L2347">
        <v>3126131</v>
      </c>
      <c r="M2347">
        <v>0</v>
      </c>
      <c r="N2347">
        <v>3126131</v>
      </c>
      <c r="O2347">
        <v>143862.44822825587</v>
      </c>
      <c r="P2347">
        <v>162975</v>
      </c>
      <c r="Q2347">
        <v>2963156</v>
      </c>
      <c r="R2347">
        <v>136362.44822825587</v>
      </c>
      <c r="S2347" t="s">
        <v>2507</v>
      </c>
      <c r="T2347" t="s">
        <v>9628</v>
      </c>
      <c r="U2347">
        <v>91644</v>
      </c>
      <c r="V2347" t="s">
        <v>717</v>
      </c>
      <c r="W2347">
        <v>45426</v>
      </c>
      <c r="X2347" t="s">
        <v>10072</v>
      </c>
      <c r="Y2347" t="s">
        <v>6</v>
      </c>
      <c r="Z2347" t="s">
        <v>17</v>
      </c>
      <c r="AA2347" t="s">
        <v>6637</v>
      </c>
      <c r="AB2347" t="s">
        <v>2509</v>
      </c>
      <c r="AC2347" t="s">
        <v>717</v>
      </c>
      <c r="AD2347" t="s">
        <v>717</v>
      </c>
      <c r="AE2347" t="s">
        <v>10073</v>
      </c>
      <c r="AF2347" t="s">
        <v>10074</v>
      </c>
      <c r="AG2347" t="s">
        <v>10075</v>
      </c>
      <c r="AH2347" t="s">
        <v>2615</v>
      </c>
      <c r="AI2347" t="s">
        <v>2552</v>
      </c>
      <c r="AJ2347" t="s">
        <v>2662</v>
      </c>
      <c r="AK2347" t="s">
        <v>20</v>
      </c>
      <c r="AL2347" t="s">
        <v>717</v>
      </c>
      <c r="AM2347" t="s">
        <v>10</v>
      </c>
      <c r="AN2347" t="s">
        <v>717</v>
      </c>
    </row>
    <row r="2348" spans="1:40" hidden="1">
      <c r="A2348">
        <v>2347</v>
      </c>
      <c r="B2348">
        <v>20</v>
      </c>
      <c r="C2348" s="58">
        <v>45436</v>
      </c>
      <c r="D2348" t="s">
        <v>13</v>
      </c>
      <c r="E2348" t="s">
        <v>2581</v>
      </c>
      <c r="F2348">
        <v>3</v>
      </c>
      <c r="G2348">
        <v>7</v>
      </c>
      <c r="H2348">
        <v>266</v>
      </c>
      <c r="I2348">
        <v>2</v>
      </c>
      <c r="J2348">
        <v>56.58</v>
      </c>
      <c r="K2348" t="s">
        <v>21</v>
      </c>
      <c r="L2348">
        <v>5880760</v>
      </c>
      <c r="M2348">
        <v>0</v>
      </c>
      <c r="N2348">
        <v>5880760</v>
      </c>
      <c r="O2348">
        <v>103937.08024036762</v>
      </c>
      <c r="P2348">
        <v>396060</v>
      </c>
      <c r="Q2348">
        <v>5484700</v>
      </c>
      <c r="R2348">
        <v>96937.080240367621</v>
      </c>
      <c r="S2348" t="s">
        <v>65</v>
      </c>
      <c r="T2348" t="s">
        <v>717</v>
      </c>
      <c r="U2348" t="s">
        <v>717</v>
      </c>
      <c r="V2348" t="s">
        <v>6312</v>
      </c>
      <c r="W2348">
        <v>45434</v>
      </c>
      <c r="X2348" t="s">
        <v>10076</v>
      </c>
      <c r="Y2348" t="s">
        <v>6</v>
      </c>
      <c r="Z2348" t="s">
        <v>17</v>
      </c>
      <c r="AA2348" t="s">
        <v>6637</v>
      </c>
      <c r="AB2348" t="s">
        <v>2509</v>
      </c>
      <c r="AC2348" t="s">
        <v>2571</v>
      </c>
      <c r="AD2348" t="s">
        <v>717</v>
      </c>
      <c r="AE2348" t="s">
        <v>10077</v>
      </c>
      <c r="AF2348" t="s">
        <v>10078</v>
      </c>
      <c r="AG2348" t="s">
        <v>10079</v>
      </c>
      <c r="AH2348" t="s">
        <v>6100</v>
      </c>
      <c r="AI2348" t="s">
        <v>10080</v>
      </c>
      <c r="AJ2348" t="s">
        <v>10081</v>
      </c>
      <c r="AK2348" t="s">
        <v>20</v>
      </c>
      <c r="AL2348" t="s">
        <v>16</v>
      </c>
      <c r="AM2348" t="s">
        <v>5654</v>
      </c>
      <c r="AN2348" t="s">
        <v>717</v>
      </c>
    </row>
    <row r="2349" spans="1:40" hidden="1">
      <c r="A2349">
        <v>2348</v>
      </c>
      <c r="B2349">
        <v>21</v>
      </c>
      <c r="C2349" s="58">
        <v>45439</v>
      </c>
      <c r="D2349" t="s">
        <v>7</v>
      </c>
      <c r="E2349" t="s">
        <v>2581</v>
      </c>
      <c r="F2349">
        <v>6</v>
      </c>
      <c r="G2349">
        <v>7</v>
      </c>
      <c r="H2349">
        <v>281</v>
      </c>
      <c r="I2349">
        <v>3</v>
      </c>
      <c r="J2349">
        <v>72.510000000000005</v>
      </c>
      <c r="K2349" t="s">
        <v>15</v>
      </c>
      <c r="L2349">
        <v>7675025</v>
      </c>
      <c r="M2349">
        <v>0</v>
      </c>
      <c r="N2349">
        <v>7675025</v>
      </c>
      <c r="O2349">
        <v>105847.81409460765</v>
      </c>
      <c r="P2349">
        <v>543825</v>
      </c>
      <c r="Q2349">
        <v>7131200</v>
      </c>
      <c r="R2349">
        <v>98347.814094607631</v>
      </c>
      <c r="S2349" t="s">
        <v>65</v>
      </c>
      <c r="T2349" t="s">
        <v>717</v>
      </c>
      <c r="U2349" t="s">
        <v>717</v>
      </c>
      <c r="V2349" t="s">
        <v>4131</v>
      </c>
      <c r="W2349">
        <v>45432</v>
      </c>
      <c r="X2349" t="s">
        <v>10082</v>
      </c>
      <c r="Y2349" t="s">
        <v>6</v>
      </c>
      <c r="Z2349" t="s">
        <v>17</v>
      </c>
      <c r="AA2349" t="s">
        <v>6637</v>
      </c>
      <c r="AB2349" t="s">
        <v>2509</v>
      </c>
      <c r="AC2349" t="s">
        <v>2571</v>
      </c>
      <c r="AD2349" t="s">
        <v>717</v>
      </c>
      <c r="AE2349" t="s">
        <v>10083</v>
      </c>
      <c r="AF2349" t="s">
        <v>10084</v>
      </c>
      <c r="AG2349" t="s">
        <v>10085</v>
      </c>
      <c r="AH2349" t="s">
        <v>2191</v>
      </c>
      <c r="AI2349" t="s">
        <v>2552</v>
      </c>
      <c r="AJ2349" t="s">
        <v>2514</v>
      </c>
      <c r="AK2349" t="s">
        <v>20</v>
      </c>
      <c r="AL2349" t="s">
        <v>22</v>
      </c>
      <c r="AM2349" t="s">
        <v>10</v>
      </c>
      <c r="AN2349" t="s">
        <v>717</v>
      </c>
    </row>
    <row r="2350" spans="1:40" hidden="1">
      <c r="A2350">
        <v>2349</v>
      </c>
      <c r="B2350">
        <v>22</v>
      </c>
      <c r="C2350" s="58">
        <v>45439</v>
      </c>
      <c r="D2350" t="s">
        <v>13</v>
      </c>
      <c r="E2350" t="s">
        <v>2515</v>
      </c>
      <c r="F2350">
        <v>7</v>
      </c>
      <c r="G2350">
        <v>6</v>
      </c>
      <c r="H2350">
        <v>41</v>
      </c>
      <c r="I2350">
        <v>1</v>
      </c>
      <c r="J2350">
        <v>42.75</v>
      </c>
      <c r="K2350" t="s">
        <v>21</v>
      </c>
      <c r="L2350">
        <v>4929050</v>
      </c>
      <c r="M2350">
        <v>0</v>
      </c>
      <c r="N2350">
        <v>4929050</v>
      </c>
      <c r="O2350">
        <v>115299.41520467836</v>
      </c>
      <c r="P2350">
        <v>299250</v>
      </c>
      <c r="Q2350">
        <v>4629800</v>
      </c>
      <c r="R2350">
        <v>108299.41520467836</v>
      </c>
      <c r="S2350" t="s">
        <v>65</v>
      </c>
      <c r="T2350" t="s">
        <v>717</v>
      </c>
      <c r="U2350" t="s">
        <v>717</v>
      </c>
      <c r="V2350" t="s">
        <v>6312</v>
      </c>
      <c r="W2350">
        <v>45432</v>
      </c>
      <c r="X2350" t="s">
        <v>10086</v>
      </c>
      <c r="Y2350" t="s">
        <v>6</v>
      </c>
      <c r="Z2350" t="s">
        <v>17</v>
      </c>
      <c r="AA2350" t="s">
        <v>6637</v>
      </c>
      <c r="AB2350" t="s">
        <v>2509</v>
      </c>
      <c r="AC2350" t="s">
        <v>2571</v>
      </c>
      <c r="AD2350" t="s">
        <v>717</v>
      </c>
      <c r="AE2350" t="s">
        <v>10087</v>
      </c>
      <c r="AF2350" t="s">
        <v>10088</v>
      </c>
      <c r="AG2350" t="s">
        <v>10089</v>
      </c>
      <c r="AH2350" t="s">
        <v>2191</v>
      </c>
      <c r="AI2350" t="s">
        <v>4375</v>
      </c>
      <c r="AJ2350" t="s">
        <v>2514</v>
      </c>
      <c r="AK2350" t="s">
        <v>1892</v>
      </c>
      <c r="AL2350" t="s">
        <v>22</v>
      </c>
      <c r="AM2350" t="s">
        <v>10</v>
      </c>
      <c r="AN2350" t="s">
        <v>8722</v>
      </c>
    </row>
    <row r="2351" spans="1:40" hidden="1">
      <c r="A2351">
        <v>2350</v>
      </c>
      <c r="B2351">
        <v>23</v>
      </c>
      <c r="C2351" s="58">
        <v>45439</v>
      </c>
      <c r="D2351" t="s">
        <v>13</v>
      </c>
      <c r="E2351" t="s">
        <v>2581</v>
      </c>
      <c r="F2351">
        <v>3</v>
      </c>
      <c r="G2351">
        <v>8</v>
      </c>
      <c r="H2351">
        <v>273</v>
      </c>
      <c r="I2351">
        <v>2</v>
      </c>
      <c r="J2351">
        <v>56.58</v>
      </c>
      <c r="K2351" t="s">
        <v>21</v>
      </c>
      <c r="L2351">
        <v>5773760</v>
      </c>
      <c r="M2351">
        <v>15000</v>
      </c>
      <c r="N2351">
        <v>5788760</v>
      </c>
      <c r="O2351">
        <v>102311.06398020504</v>
      </c>
      <c r="P2351">
        <v>396060</v>
      </c>
      <c r="Q2351">
        <v>5392700</v>
      </c>
      <c r="R2351">
        <v>95311.063980205028</v>
      </c>
      <c r="S2351" t="s">
        <v>65</v>
      </c>
      <c r="T2351" t="s">
        <v>9911</v>
      </c>
      <c r="U2351">
        <v>90000</v>
      </c>
      <c r="V2351" t="s">
        <v>6312</v>
      </c>
      <c r="W2351">
        <v>45419</v>
      </c>
      <c r="X2351" t="s">
        <v>10090</v>
      </c>
      <c r="Y2351" t="s">
        <v>6</v>
      </c>
      <c r="Z2351" t="s">
        <v>17</v>
      </c>
      <c r="AA2351" t="s">
        <v>6637</v>
      </c>
      <c r="AB2351" t="s">
        <v>2509</v>
      </c>
      <c r="AC2351" t="s">
        <v>2571</v>
      </c>
      <c r="AD2351" t="s">
        <v>717</v>
      </c>
      <c r="AE2351" t="s">
        <v>10091</v>
      </c>
      <c r="AF2351" t="s">
        <v>10092</v>
      </c>
      <c r="AG2351" t="s">
        <v>10093</v>
      </c>
      <c r="AH2351" t="s">
        <v>2552</v>
      </c>
      <c r="AI2351" t="s">
        <v>2547</v>
      </c>
      <c r="AJ2351" t="s">
        <v>2855</v>
      </c>
      <c r="AK2351" t="s">
        <v>14</v>
      </c>
      <c r="AL2351" t="s">
        <v>16</v>
      </c>
      <c r="AM2351" t="s">
        <v>10</v>
      </c>
      <c r="AN2351" t="s">
        <v>717</v>
      </c>
    </row>
    <row r="2352" spans="1:40" hidden="1">
      <c r="A2352">
        <v>2351</v>
      </c>
      <c r="B2352">
        <v>24</v>
      </c>
      <c r="C2352" s="58">
        <v>45440</v>
      </c>
      <c r="D2352" t="s">
        <v>13</v>
      </c>
      <c r="E2352" t="s">
        <v>4409</v>
      </c>
      <c r="F2352">
        <v>3</v>
      </c>
      <c r="G2352">
        <v>9</v>
      </c>
      <c r="H2352">
        <v>455</v>
      </c>
      <c r="I2352">
        <v>0</v>
      </c>
      <c r="J2352">
        <v>24.5</v>
      </c>
      <c r="K2352" t="s">
        <v>25</v>
      </c>
      <c r="L2352">
        <v>3364200</v>
      </c>
      <c r="M2352">
        <v>0</v>
      </c>
      <c r="N2352">
        <v>3364200</v>
      </c>
      <c r="O2352">
        <v>137314.28571428571</v>
      </c>
      <c r="P2352">
        <v>490000</v>
      </c>
      <c r="Q2352">
        <v>2874200</v>
      </c>
      <c r="R2352">
        <v>117314.28571428572</v>
      </c>
      <c r="S2352" t="s">
        <v>65</v>
      </c>
      <c r="T2352" t="s">
        <v>717</v>
      </c>
      <c r="U2352" t="s">
        <v>717</v>
      </c>
      <c r="V2352" t="s">
        <v>4131</v>
      </c>
      <c r="W2352">
        <v>45418</v>
      </c>
      <c r="X2352" t="s">
        <v>10094</v>
      </c>
      <c r="Y2352" t="s">
        <v>6</v>
      </c>
      <c r="Z2352" t="s">
        <v>17</v>
      </c>
      <c r="AA2352" t="s">
        <v>5617</v>
      </c>
      <c r="AB2352" t="s">
        <v>2509</v>
      </c>
      <c r="AC2352" t="s">
        <v>2564</v>
      </c>
      <c r="AD2352" t="s">
        <v>717</v>
      </c>
      <c r="AE2352" t="s">
        <v>2059</v>
      </c>
      <c r="AF2352" t="s">
        <v>10095</v>
      </c>
      <c r="AG2352" t="s">
        <v>10096</v>
      </c>
      <c r="AH2352" t="s">
        <v>2615</v>
      </c>
      <c r="AI2352" t="s">
        <v>2521</v>
      </c>
      <c r="AJ2352" t="s">
        <v>2940</v>
      </c>
      <c r="AK2352" t="s">
        <v>20</v>
      </c>
      <c r="AL2352" t="s">
        <v>22</v>
      </c>
      <c r="AM2352" t="s">
        <v>10</v>
      </c>
      <c r="AN2352" t="s">
        <v>717</v>
      </c>
    </row>
    <row r="2353" spans="1:40" hidden="1">
      <c r="A2353">
        <v>2352</v>
      </c>
      <c r="B2353">
        <v>25</v>
      </c>
      <c r="C2353" s="58">
        <v>45440</v>
      </c>
      <c r="D2353" t="s">
        <v>13</v>
      </c>
      <c r="E2353" t="s">
        <v>2506</v>
      </c>
      <c r="F2353">
        <v>3</v>
      </c>
      <c r="G2353">
        <v>15</v>
      </c>
      <c r="H2353">
        <v>211</v>
      </c>
      <c r="I2353">
        <v>2</v>
      </c>
      <c r="J2353">
        <v>57.6</v>
      </c>
      <c r="K2353" t="s">
        <v>25</v>
      </c>
      <c r="L2353">
        <v>6619800</v>
      </c>
      <c r="M2353">
        <v>0</v>
      </c>
      <c r="N2353">
        <v>6619800</v>
      </c>
      <c r="O2353">
        <v>114927.08333333331</v>
      </c>
      <c r="P2353">
        <v>1152000</v>
      </c>
      <c r="Q2353">
        <v>5467800</v>
      </c>
      <c r="R2353">
        <v>94927.083333333328</v>
      </c>
      <c r="S2353" t="s">
        <v>65</v>
      </c>
      <c r="T2353" t="s">
        <v>717</v>
      </c>
      <c r="U2353" t="s">
        <v>717</v>
      </c>
      <c r="V2353" t="s">
        <v>4131</v>
      </c>
      <c r="W2353">
        <v>45437</v>
      </c>
      <c r="X2353" t="s">
        <v>10097</v>
      </c>
      <c r="Y2353" t="s">
        <v>6</v>
      </c>
      <c r="Z2353" t="s">
        <v>17</v>
      </c>
      <c r="AA2353" t="s">
        <v>6637</v>
      </c>
      <c r="AB2353" t="s">
        <v>2509</v>
      </c>
      <c r="AC2353" t="s">
        <v>2571</v>
      </c>
      <c r="AD2353" t="s">
        <v>717</v>
      </c>
      <c r="AE2353" t="s">
        <v>10098</v>
      </c>
      <c r="AF2353" t="s">
        <v>10099</v>
      </c>
      <c r="AG2353" t="s">
        <v>10100</v>
      </c>
      <c r="AH2353" t="s">
        <v>2615</v>
      </c>
      <c r="AI2353" t="s">
        <v>2552</v>
      </c>
      <c r="AJ2353" t="s">
        <v>4799</v>
      </c>
      <c r="AK2353" t="s">
        <v>77</v>
      </c>
      <c r="AL2353" t="s">
        <v>16</v>
      </c>
      <c r="AM2353" t="s">
        <v>10</v>
      </c>
      <c r="AN2353" t="s">
        <v>717</v>
      </c>
    </row>
    <row r="2354" spans="1:40" hidden="1">
      <c r="A2354">
        <v>2353</v>
      </c>
      <c r="B2354">
        <v>26</v>
      </c>
      <c r="C2354" s="58">
        <v>45440</v>
      </c>
      <c r="D2354" t="s">
        <v>13</v>
      </c>
      <c r="E2354" t="s">
        <v>2581</v>
      </c>
      <c r="F2354">
        <v>5</v>
      </c>
      <c r="G2354">
        <v>12</v>
      </c>
      <c r="H2354">
        <v>303</v>
      </c>
      <c r="I2354">
        <v>1</v>
      </c>
      <c r="J2354">
        <v>37.81</v>
      </c>
      <c r="K2354" t="s">
        <v>21</v>
      </c>
      <c r="L2354">
        <v>4695570</v>
      </c>
      <c r="M2354">
        <v>0</v>
      </c>
      <c r="N2354">
        <v>4695570</v>
      </c>
      <c r="O2354">
        <v>124188.57445120336</v>
      </c>
      <c r="P2354">
        <v>264670</v>
      </c>
      <c r="Q2354">
        <v>4430900</v>
      </c>
      <c r="R2354">
        <v>117188.5744512034</v>
      </c>
      <c r="S2354" t="s">
        <v>65</v>
      </c>
      <c r="T2354" t="s">
        <v>717</v>
      </c>
      <c r="U2354" t="s">
        <v>717</v>
      </c>
      <c r="V2354" t="s">
        <v>4131</v>
      </c>
      <c r="W2354">
        <v>45439</v>
      </c>
      <c r="X2354" t="s">
        <v>10101</v>
      </c>
      <c r="Y2354" t="s">
        <v>6</v>
      </c>
      <c r="Z2354" t="s">
        <v>17</v>
      </c>
      <c r="AA2354" t="s">
        <v>6637</v>
      </c>
      <c r="AB2354" t="s">
        <v>2509</v>
      </c>
      <c r="AC2354" t="s">
        <v>2571</v>
      </c>
      <c r="AD2354" t="s">
        <v>717</v>
      </c>
      <c r="AE2354" t="s">
        <v>10102</v>
      </c>
      <c r="AF2354" t="s">
        <v>10103</v>
      </c>
      <c r="AG2354" t="s">
        <v>10104</v>
      </c>
      <c r="AH2354" t="s">
        <v>6100</v>
      </c>
      <c r="AI2354" t="s">
        <v>9793</v>
      </c>
      <c r="AJ2354" t="s">
        <v>40</v>
      </c>
      <c r="AK2354" t="s">
        <v>8</v>
      </c>
      <c r="AL2354" t="s">
        <v>16</v>
      </c>
      <c r="AM2354" t="s">
        <v>5654</v>
      </c>
      <c r="AN2354" t="s">
        <v>8722</v>
      </c>
    </row>
    <row r="2355" spans="1:40" hidden="1">
      <c r="A2355">
        <v>2354</v>
      </c>
      <c r="B2355">
        <v>27</v>
      </c>
      <c r="C2355" s="58">
        <v>45441</v>
      </c>
      <c r="D2355" t="s">
        <v>13</v>
      </c>
      <c r="E2355" t="s">
        <v>4409</v>
      </c>
      <c r="F2355">
        <v>8</v>
      </c>
      <c r="G2355">
        <v>7</v>
      </c>
      <c r="H2355">
        <v>444</v>
      </c>
      <c r="I2355">
        <v>1</v>
      </c>
      <c r="J2355">
        <v>39.69</v>
      </c>
      <c r="K2355" t="s">
        <v>21</v>
      </c>
      <c r="L2355">
        <v>4638630</v>
      </c>
      <c r="M2355">
        <v>0</v>
      </c>
      <c r="N2355">
        <v>4638630</v>
      </c>
      <c r="O2355">
        <v>116871.50415721846</v>
      </c>
      <c r="P2355">
        <v>277830</v>
      </c>
      <c r="Q2355">
        <v>4360800</v>
      </c>
      <c r="R2355">
        <v>109871.50415721846</v>
      </c>
      <c r="S2355" t="s">
        <v>65</v>
      </c>
      <c r="T2355" t="s">
        <v>717</v>
      </c>
      <c r="U2355" t="s">
        <v>717</v>
      </c>
      <c r="V2355" t="s">
        <v>6312</v>
      </c>
      <c r="W2355">
        <v>45434</v>
      </c>
      <c r="X2355" t="s">
        <v>10105</v>
      </c>
      <c r="Y2355" t="s">
        <v>6</v>
      </c>
      <c r="Z2355" t="s">
        <v>17</v>
      </c>
      <c r="AA2355" t="s">
        <v>6637</v>
      </c>
      <c r="AB2355" t="s">
        <v>2509</v>
      </c>
      <c r="AC2355" t="s">
        <v>2571</v>
      </c>
      <c r="AD2355" t="s">
        <v>717</v>
      </c>
      <c r="AE2355" t="s">
        <v>10106</v>
      </c>
      <c r="AF2355" t="s">
        <v>10107</v>
      </c>
      <c r="AG2355" t="s">
        <v>10108</v>
      </c>
      <c r="AH2355" t="s">
        <v>6100</v>
      </c>
      <c r="AI2355" t="s">
        <v>9944</v>
      </c>
      <c r="AJ2355" t="s">
        <v>41</v>
      </c>
      <c r="AK2355" t="s">
        <v>20</v>
      </c>
      <c r="AL2355" t="s">
        <v>16</v>
      </c>
      <c r="AM2355" t="s">
        <v>5654</v>
      </c>
      <c r="AN2355" t="s">
        <v>717</v>
      </c>
    </row>
    <row r="2356" spans="1:40" hidden="1">
      <c r="A2356">
        <v>2355</v>
      </c>
      <c r="B2356">
        <v>28</v>
      </c>
      <c r="C2356" s="58">
        <v>45441</v>
      </c>
      <c r="D2356" t="s">
        <v>13</v>
      </c>
      <c r="E2356" t="s">
        <v>2581</v>
      </c>
      <c r="F2356">
        <v>2</v>
      </c>
      <c r="G2356">
        <v>6</v>
      </c>
      <c r="H2356">
        <v>258</v>
      </c>
      <c r="I2356">
        <v>0</v>
      </c>
      <c r="J2356">
        <v>24.53</v>
      </c>
      <c r="K2356" t="s">
        <v>25</v>
      </c>
      <c r="L2356">
        <v>3594200</v>
      </c>
      <c r="M2356">
        <v>0</v>
      </c>
      <c r="N2356">
        <v>3594200</v>
      </c>
      <c r="O2356">
        <v>146522.62535670606</v>
      </c>
      <c r="P2356">
        <v>490600</v>
      </c>
      <c r="Q2356">
        <v>3103600</v>
      </c>
      <c r="R2356">
        <v>126522.62535670606</v>
      </c>
      <c r="S2356" t="s">
        <v>65</v>
      </c>
      <c r="T2356" t="s">
        <v>717</v>
      </c>
      <c r="U2356" t="s">
        <v>717</v>
      </c>
      <c r="V2356" t="s">
        <v>4131</v>
      </c>
      <c r="W2356">
        <v>45436</v>
      </c>
      <c r="X2356" t="s">
        <v>10109</v>
      </c>
      <c r="Y2356" t="s">
        <v>6</v>
      </c>
      <c r="Z2356" t="s">
        <v>17</v>
      </c>
      <c r="AA2356" t="s">
        <v>6637</v>
      </c>
      <c r="AB2356" t="s">
        <v>2509</v>
      </c>
      <c r="AC2356" t="s">
        <v>2571</v>
      </c>
      <c r="AD2356" t="s">
        <v>717</v>
      </c>
      <c r="AE2356" t="s">
        <v>10110</v>
      </c>
      <c r="AF2356" t="s">
        <v>10111</v>
      </c>
      <c r="AG2356" t="s">
        <v>10112</v>
      </c>
      <c r="AH2356" t="s">
        <v>6100</v>
      </c>
      <c r="AI2356" t="s">
        <v>5653</v>
      </c>
      <c r="AJ2356" t="s">
        <v>31</v>
      </c>
      <c r="AK2356" t="s">
        <v>8</v>
      </c>
      <c r="AL2356" t="s">
        <v>16</v>
      </c>
      <c r="AM2356" t="s">
        <v>5654</v>
      </c>
      <c r="AN2356" t="s">
        <v>717</v>
      </c>
    </row>
    <row r="2357" spans="1:40" hidden="1">
      <c r="A2357">
        <v>2356</v>
      </c>
      <c r="B2357">
        <v>29</v>
      </c>
      <c r="C2357" s="58">
        <v>45441</v>
      </c>
      <c r="D2357" t="s">
        <v>13</v>
      </c>
      <c r="E2357" t="s">
        <v>4409</v>
      </c>
      <c r="F2357">
        <v>1</v>
      </c>
      <c r="G2357">
        <v>10</v>
      </c>
      <c r="H2357">
        <v>461</v>
      </c>
      <c r="I2357">
        <v>0</v>
      </c>
      <c r="J2357">
        <v>29.4</v>
      </c>
      <c r="K2357" t="s">
        <v>25</v>
      </c>
      <c r="L2357">
        <v>4063300</v>
      </c>
      <c r="M2357">
        <v>0</v>
      </c>
      <c r="N2357">
        <v>4063300</v>
      </c>
      <c r="O2357">
        <v>138207.48299319728</v>
      </c>
      <c r="P2357">
        <v>588000</v>
      </c>
      <c r="Q2357">
        <v>3475300</v>
      </c>
      <c r="R2357">
        <v>118207.48299319728</v>
      </c>
      <c r="S2357" t="s">
        <v>65</v>
      </c>
      <c r="T2357" t="s">
        <v>717</v>
      </c>
      <c r="U2357" t="s">
        <v>717</v>
      </c>
      <c r="V2357" t="s">
        <v>4131</v>
      </c>
      <c r="W2357">
        <v>45436</v>
      </c>
      <c r="X2357" t="s">
        <v>10113</v>
      </c>
      <c r="Y2357" t="s">
        <v>6</v>
      </c>
      <c r="Z2357" t="s">
        <v>17</v>
      </c>
      <c r="AA2357" t="s">
        <v>6637</v>
      </c>
      <c r="AB2357" t="s">
        <v>2509</v>
      </c>
      <c r="AC2357" t="s">
        <v>2571</v>
      </c>
      <c r="AD2357" t="s">
        <v>717</v>
      </c>
      <c r="AE2357" t="s">
        <v>10114</v>
      </c>
      <c r="AF2357" t="s">
        <v>10115</v>
      </c>
      <c r="AG2357" t="s">
        <v>10116</v>
      </c>
      <c r="AH2357" t="s">
        <v>2191</v>
      </c>
      <c r="AI2357" t="s">
        <v>2538</v>
      </c>
      <c r="AJ2357" t="s">
        <v>2514</v>
      </c>
      <c r="AK2357" t="s">
        <v>8</v>
      </c>
      <c r="AL2357" t="s">
        <v>16</v>
      </c>
      <c r="AM2357" t="s">
        <v>10</v>
      </c>
      <c r="AN2357" t="s">
        <v>717</v>
      </c>
    </row>
    <row r="2358" spans="1:40" hidden="1">
      <c r="A2358">
        <v>2357</v>
      </c>
      <c r="B2358">
        <v>30</v>
      </c>
      <c r="C2358" s="58">
        <v>45441</v>
      </c>
      <c r="D2358" t="s">
        <v>13</v>
      </c>
      <c r="E2358" t="s">
        <v>2506</v>
      </c>
      <c r="F2358">
        <v>4</v>
      </c>
      <c r="G2358">
        <v>13</v>
      </c>
      <c r="H2358">
        <v>198</v>
      </c>
      <c r="I2358">
        <v>2</v>
      </c>
      <c r="J2358">
        <v>58.31</v>
      </c>
      <c r="K2358" t="s">
        <v>25</v>
      </c>
      <c r="L2358">
        <v>6560370</v>
      </c>
      <c r="M2358">
        <v>0</v>
      </c>
      <c r="N2358">
        <v>6560370</v>
      </c>
      <c r="O2358">
        <v>112508.48910992968</v>
      </c>
      <c r="P2358">
        <v>1166200</v>
      </c>
      <c r="Q2358">
        <v>5394170</v>
      </c>
      <c r="R2358">
        <v>92508.48910992968</v>
      </c>
      <c r="S2358" t="s">
        <v>65</v>
      </c>
      <c r="T2358" t="s">
        <v>5768</v>
      </c>
      <c r="U2358">
        <v>166830</v>
      </c>
      <c r="V2358" t="s">
        <v>6312</v>
      </c>
      <c r="W2358">
        <v>45441</v>
      </c>
      <c r="X2358" t="s">
        <v>10117</v>
      </c>
      <c r="Y2358" t="s">
        <v>6</v>
      </c>
      <c r="Z2358" t="s">
        <v>17</v>
      </c>
      <c r="AA2358" t="s">
        <v>6637</v>
      </c>
      <c r="AB2358" t="s">
        <v>2509</v>
      </c>
      <c r="AC2358" t="s">
        <v>2571</v>
      </c>
      <c r="AD2358" t="s">
        <v>717</v>
      </c>
      <c r="AE2358" t="s">
        <v>10118</v>
      </c>
      <c r="AF2358" t="s">
        <v>7973</v>
      </c>
      <c r="AG2358" t="s">
        <v>7974</v>
      </c>
      <c r="AH2358" t="s">
        <v>2191</v>
      </c>
      <c r="AI2358" t="s">
        <v>2600</v>
      </c>
      <c r="AJ2358" t="s">
        <v>2514</v>
      </c>
      <c r="AK2358" t="s">
        <v>8</v>
      </c>
      <c r="AL2358" t="s">
        <v>16</v>
      </c>
      <c r="AM2358" t="s">
        <v>10</v>
      </c>
      <c r="AN2358" t="s">
        <v>717</v>
      </c>
    </row>
    <row r="2359" spans="1:40" hidden="1">
      <c r="A2359">
        <v>2358</v>
      </c>
      <c r="B2359">
        <v>31</v>
      </c>
      <c r="C2359" s="58">
        <v>45442</v>
      </c>
      <c r="D2359" t="s">
        <v>13</v>
      </c>
      <c r="E2359" t="s">
        <v>2515</v>
      </c>
      <c r="F2359">
        <v>3</v>
      </c>
      <c r="G2359">
        <v>8</v>
      </c>
      <c r="H2359">
        <v>51</v>
      </c>
      <c r="I2359">
        <v>1</v>
      </c>
      <c r="J2359">
        <v>37.729999999999997</v>
      </c>
      <c r="K2359" t="s">
        <v>25</v>
      </c>
      <c r="L2359">
        <v>5141400</v>
      </c>
      <c r="M2359">
        <v>0</v>
      </c>
      <c r="N2359">
        <v>5141400</v>
      </c>
      <c r="O2359">
        <v>136268.22157434403</v>
      </c>
      <c r="P2359">
        <v>754600</v>
      </c>
      <c r="Q2359">
        <v>4386800</v>
      </c>
      <c r="R2359">
        <v>116268.22157434405</v>
      </c>
      <c r="S2359" t="s">
        <v>65</v>
      </c>
      <c r="T2359" t="s">
        <v>717</v>
      </c>
      <c r="U2359" t="s">
        <v>717</v>
      </c>
      <c r="V2359" t="s">
        <v>6312</v>
      </c>
      <c r="W2359">
        <v>45429</v>
      </c>
      <c r="X2359" t="s">
        <v>10119</v>
      </c>
      <c r="Y2359" t="s">
        <v>6</v>
      </c>
      <c r="Z2359" t="s">
        <v>17</v>
      </c>
      <c r="AA2359" t="s">
        <v>6637</v>
      </c>
      <c r="AB2359" t="s">
        <v>2509</v>
      </c>
      <c r="AC2359" t="s">
        <v>2571</v>
      </c>
      <c r="AD2359" t="s">
        <v>717</v>
      </c>
      <c r="AE2359" t="s">
        <v>10120</v>
      </c>
      <c r="AF2359" t="s">
        <v>10121</v>
      </c>
      <c r="AG2359" t="s">
        <v>10122</v>
      </c>
      <c r="AH2359" t="s">
        <v>2191</v>
      </c>
      <c r="AI2359" t="s">
        <v>2656</v>
      </c>
      <c r="AJ2359" t="s">
        <v>2514</v>
      </c>
      <c r="AK2359" t="s">
        <v>1892</v>
      </c>
      <c r="AL2359" t="s">
        <v>22</v>
      </c>
      <c r="AM2359" t="s">
        <v>10</v>
      </c>
      <c r="AN2359" t="s">
        <v>717</v>
      </c>
    </row>
    <row r="2360" spans="1:40" hidden="1">
      <c r="A2360">
        <v>2359</v>
      </c>
      <c r="B2360">
        <v>32</v>
      </c>
      <c r="C2360" s="58">
        <v>45442</v>
      </c>
      <c r="D2360" t="s">
        <v>7</v>
      </c>
      <c r="E2360" t="s">
        <v>2515</v>
      </c>
      <c r="F2360">
        <v>7</v>
      </c>
      <c r="G2360">
        <v>14</v>
      </c>
      <c r="H2360">
        <v>103</v>
      </c>
      <c r="I2360">
        <v>0</v>
      </c>
      <c r="J2360">
        <v>21.75</v>
      </c>
      <c r="K2360" t="s">
        <v>25</v>
      </c>
      <c r="L2360">
        <v>3536100</v>
      </c>
      <c r="M2360">
        <v>0</v>
      </c>
      <c r="N2360">
        <v>3536100</v>
      </c>
      <c r="O2360">
        <v>162579.31034482759</v>
      </c>
      <c r="P2360">
        <v>478500</v>
      </c>
      <c r="Q2360">
        <v>3057600</v>
      </c>
      <c r="R2360">
        <v>140579.31034482759</v>
      </c>
      <c r="S2360" t="s">
        <v>65</v>
      </c>
      <c r="T2360" t="s">
        <v>717</v>
      </c>
      <c r="U2360" t="s">
        <v>717</v>
      </c>
      <c r="V2360" t="s">
        <v>4131</v>
      </c>
      <c r="W2360">
        <v>45439</v>
      </c>
      <c r="X2360" t="s">
        <v>10123</v>
      </c>
      <c r="Y2360" t="s">
        <v>6</v>
      </c>
      <c r="Z2360" t="s">
        <v>17</v>
      </c>
      <c r="AA2360" t="s">
        <v>6637</v>
      </c>
      <c r="AB2360" t="s">
        <v>2509</v>
      </c>
      <c r="AC2360" t="s">
        <v>2571</v>
      </c>
      <c r="AD2360" t="s">
        <v>717</v>
      </c>
      <c r="AE2360" t="s">
        <v>10124</v>
      </c>
      <c r="AF2360" t="s">
        <v>10125</v>
      </c>
      <c r="AG2360" t="s">
        <v>10126</v>
      </c>
      <c r="AH2360" t="s">
        <v>6100</v>
      </c>
      <c r="AI2360" t="s">
        <v>5653</v>
      </c>
      <c r="AJ2360" t="s">
        <v>31</v>
      </c>
      <c r="AK2360" t="s">
        <v>8</v>
      </c>
      <c r="AL2360" t="s">
        <v>16</v>
      </c>
      <c r="AM2360" t="s">
        <v>5654</v>
      </c>
      <c r="AN2360" t="s">
        <v>717</v>
      </c>
    </row>
    <row r="2361" spans="1:40" hidden="1">
      <c r="A2361">
        <v>2360</v>
      </c>
      <c r="B2361">
        <v>33</v>
      </c>
      <c r="C2361" s="58">
        <v>45443</v>
      </c>
      <c r="D2361" t="s">
        <v>7</v>
      </c>
      <c r="E2361" t="s">
        <v>2581</v>
      </c>
      <c r="F2361">
        <v>6</v>
      </c>
      <c r="G2361">
        <v>10</v>
      </c>
      <c r="H2361">
        <v>302</v>
      </c>
      <c r="I2361">
        <v>3</v>
      </c>
      <c r="J2361">
        <v>72.510000000000005</v>
      </c>
      <c r="K2361" t="s">
        <v>15</v>
      </c>
      <c r="L2361">
        <v>7739725</v>
      </c>
      <c r="M2361">
        <v>0</v>
      </c>
      <c r="N2361">
        <v>7739725</v>
      </c>
      <c r="O2361">
        <v>106740.10481312922</v>
      </c>
      <c r="P2361">
        <v>543825</v>
      </c>
      <c r="Q2361">
        <v>7195900</v>
      </c>
      <c r="R2361">
        <v>99240.104813129219</v>
      </c>
      <c r="S2361" t="s">
        <v>65</v>
      </c>
      <c r="T2361" t="s">
        <v>717</v>
      </c>
      <c r="U2361" t="s">
        <v>717</v>
      </c>
      <c r="V2361" t="s">
        <v>6312</v>
      </c>
      <c r="W2361">
        <v>45435</v>
      </c>
      <c r="X2361" t="s">
        <v>10127</v>
      </c>
      <c r="Y2361" t="s">
        <v>6</v>
      </c>
      <c r="Z2361" t="s">
        <v>17</v>
      </c>
      <c r="AA2361" t="s">
        <v>6637</v>
      </c>
      <c r="AB2361" t="s">
        <v>2509</v>
      </c>
      <c r="AC2361" t="s">
        <v>2571</v>
      </c>
      <c r="AD2361" t="s">
        <v>717</v>
      </c>
      <c r="AE2361" t="s">
        <v>10128</v>
      </c>
      <c r="AF2361" t="s">
        <v>10129</v>
      </c>
      <c r="AG2361" t="s">
        <v>10130</v>
      </c>
      <c r="AH2361" t="s">
        <v>2615</v>
      </c>
      <c r="AI2361" t="s">
        <v>2552</v>
      </c>
      <c r="AJ2361" t="s">
        <v>2895</v>
      </c>
      <c r="AK2361" t="s">
        <v>20</v>
      </c>
      <c r="AL2361" t="s">
        <v>16</v>
      </c>
      <c r="AM2361" t="s">
        <v>10</v>
      </c>
      <c r="AN2361" t="s">
        <v>717</v>
      </c>
    </row>
    <row r="2362" spans="1:40" hidden="1">
      <c r="A2362">
        <v>2361</v>
      </c>
      <c r="B2362">
        <v>34</v>
      </c>
      <c r="C2362" s="58">
        <v>45443</v>
      </c>
      <c r="D2362" t="s">
        <v>7</v>
      </c>
      <c r="E2362" t="s">
        <v>2581</v>
      </c>
      <c r="F2362">
        <v>2</v>
      </c>
      <c r="G2362">
        <v>15</v>
      </c>
      <c r="H2362">
        <v>333</v>
      </c>
      <c r="I2362">
        <v>2</v>
      </c>
      <c r="J2362">
        <v>67.95</v>
      </c>
      <c r="K2362" t="s">
        <v>15</v>
      </c>
      <c r="L2362">
        <v>6797068</v>
      </c>
      <c r="M2362">
        <v>0</v>
      </c>
      <c r="N2362">
        <v>6797068</v>
      </c>
      <c r="O2362">
        <v>100030.434142752</v>
      </c>
      <c r="P2362">
        <v>509625</v>
      </c>
      <c r="Q2362">
        <v>6287443</v>
      </c>
      <c r="R2362">
        <v>92530.434142752027</v>
      </c>
      <c r="S2362" t="s">
        <v>65</v>
      </c>
      <c r="T2362" t="s">
        <v>4379</v>
      </c>
      <c r="U2362">
        <v>194456.99999999907</v>
      </c>
      <c r="V2362" t="s">
        <v>6312</v>
      </c>
      <c r="W2362">
        <v>45435</v>
      </c>
      <c r="X2362" t="s">
        <v>10131</v>
      </c>
      <c r="Y2362" t="s">
        <v>6</v>
      </c>
      <c r="Z2362" t="s">
        <v>17</v>
      </c>
      <c r="AA2362" t="s">
        <v>6637</v>
      </c>
      <c r="AB2362" t="s">
        <v>2509</v>
      </c>
      <c r="AC2362" t="s">
        <v>2571</v>
      </c>
      <c r="AD2362" t="s">
        <v>717</v>
      </c>
      <c r="AE2362" t="s">
        <v>10132</v>
      </c>
      <c r="AF2362" t="s">
        <v>10133</v>
      </c>
      <c r="AG2362" t="s">
        <v>10134</v>
      </c>
      <c r="AH2362" t="s">
        <v>2615</v>
      </c>
      <c r="AI2362" t="s">
        <v>2847</v>
      </c>
      <c r="AJ2362" t="s">
        <v>2940</v>
      </c>
      <c r="AK2362" t="s">
        <v>8</v>
      </c>
      <c r="AL2362" t="s">
        <v>16</v>
      </c>
      <c r="AM2362" t="s">
        <v>10</v>
      </c>
      <c r="AN2362" t="s">
        <v>717</v>
      </c>
    </row>
    <row r="2363" spans="1:40" hidden="1">
      <c r="A2363">
        <v>2362</v>
      </c>
      <c r="B2363">
        <v>35</v>
      </c>
      <c r="C2363" s="58">
        <v>45443</v>
      </c>
      <c r="D2363" t="s">
        <v>7</v>
      </c>
      <c r="E2363" t="s">
        <v>2581</v>
      </c>
      <c r="F2363">
        <v>3</v>
      </c>
      <c r="G2363">
        <v>10</v>
      </c>
      <c r="H2363">
        <v>299</v>
      </c>
      <c r="I2363">
        <v>0</v>
      </c>
      <c r="J2363">
        <v>36.450000000000003</v>
      </c>
      <c r="K2363" t="s">
        <v>25</v>
      </c>
      <c r="L2363">
        <v>5122800</v>
      </c>
      <c r="M2363">
        <v>0</v>
      </c>
      <c r="N2363">
        <v>5122800</v>
      </c>
      <c r="O2363">
        <v>140543.2098765432</v>
      </c>
      <c r="P2363">
        <v>801900.00000000012</v>
      </c>
      <c r="Q2363">
        <v>4320900</v>
      </c>
      <c r="R2363">
        <v>118543.2098765432</v>
      </c>
      <c r="S2363" t="s">
        <v>65</v>
      </c>
      <c r="T2363" t="s">
        <v>717</v>
      </c>
      <c r="U2363" t="s">
        <v>717</v>
      </c>
      <c r="V2363" t="s">
        <v>4131</v>
      </c>
      <c r="W2363">
        <v>45439</v>
      </c>
      <c r="X2363" t="s">
        <v>7325</v>
      </c>
      <c r="Y2363" t="s">
        <v>6</v>
      </c>
      <c r="Z2363" t="s">
        <v>17</v>
      </c>
      <c r="AA2363" t="s">
        <v>6637</v>
      </c>
      <c r="AB2363" t="s">
        <v>2509</v>
      </c>
      <c r="AC2363" t="s">
        <v>2571</v>
      </c>
      <c r="AD2363" t="s">
        <v>717</v>
      </c>
      <c r="AE2363" t="s">
        <v>10135</v>
      </c>
      <c r="AF2363" t="s">
        <v>10136</v>
      </c>
      <c r="AG2363" t="s">
        <v>10137</v>
      </c>
      <c r="AH2363" t="s">
        <v>2552</v>
      </c>
      <c r="AI2363" t="s">
        <v>2552</v>
      </c>
      <c r="AJ2363" t="s">
        <v>2662</v>
      </c>
      <c r="AK2363" t="s">
        <v>20</v>
      </c>
      <c r="AL2363" t="s">
        <v>16</v>
      </c>
      <c r="AM2363" t="s">
        <v>10</v>
      </c>
      <c r="AN2363" t="s">
        <v>717</v>
      </c>
    </row>
    <row r="2364" spans="1:40" hidden="1">
      <c r="A2364">
        <v>2363</v>
      </c>
      <c r="B2364">
        <v>36</v>
      </c>
      <c r="C2364" s="58">
        <v>45443</v>
      </c>
      <c r="D2364" t="s">
        <v>13</v>
      </c>
      <c r="E2364" t="s">
        <v>4409</v>
      </c>
      <c r="F2364">
        <v>4</v>
      </c>
      <c r="G2364">
        <v>1</v>
      </c>
      <c r="H2364">
        <v>393</v>
      </c>
      <c r="I2364">
        <v>2</v>
      </c>
      <c r="J2364">
        <v>58.24</v>
      </c>
      <c r="K2364" t="s">
        <v>9</v>
      </c>
      <c r="L2364">
        <v>6119900</v>
      </c>
      <c r="M2364">
        <v>0</v>
      </c>
      <c r="N2364">
        <v>6119900</v>
      </c>
      <c r="O2364">
        <v>105080.70054945054</v>
      </c>
      <c r="P2364">
        <v>0</v>
      </c>
      <c r="Q2364">
        <v>6119900</v>
      </c>
      <c r="R2364">
        <v>105080.70054945054</v>
      </c>
      <c r="S2364" t="s">
        <v>65</v>
      </c>
      <c r="T2364" t="s">
        <v>717</v>
      </c>
      <c r="U2364" t="s">
        <v>717</v>
      </c>
      <c r="V2364" t="s">
        <v>6312</v>
      </c>
      <c r="W2364">
        <v>45440</v>
      </c>
      <c r="X2364" t="s">
        <v>10138</v>
      </c>
      <c r="Y2364" t="s">
        <v>6</v>
      </c>
      <c r="Z2364" t="s">
        <v>17</v>
      </c>
      <c r="AA2364" t="s">
        <v>6637</v>
      </c>
      <c r="AB2364" t="s">
        <v>2509</v>
      </c>
      <c r="AC2364" t="s">
        <v>2571</v>
      </c>
      <c r="AD2364" t="s">
        <v>717</v>
      </c>
      <c r="AE2364" t="s">
        <v>10139</v>
      </c>
      <c r="AF2364" t="s">
        <v>10140</v>
      </c>
      <c r="AG2364" t="s">
        <v>10141</v>
      </c>
      <c r="AH2364" t="s">
        <v>2191</v>
      </c>
      <c r="AI2364" t="s">
        <v>2621</v>
      </c>
      <c r="AJ2364" t="s">
        <v>2514</v>
      </c>
      <c r="AK2364" t="s">
        <v>8</v>
      </c>
      <c r="AL2364" t="s">
        <v>16</v>
      </c>
      <c r="AM2364" t="s">
        <v>10</v>
      </c>
      <c r="AN2364" t="s">
        <v>717</v>
      </c>
    </row>
    <row r="2365" spans="1:40" hidden="1">
      <c r="A2365">
        <v>2364</v>
      </c>
      <c r="B2365">
        <v>37</v>
      </c>
      <c r="C2365" s="58">
        <v>45443</v>
      </c>
      <c r="D2365" t="s">
        <v>13</v>
      </c>
      <c r="E2365" t="s">
        <v>4409</v>
      </c>
      <c r="F2365">
        <v>1</v>
      </c>
      <c r="G2365">
        <v>3</v>
      </c>
      <c r="H2365">
        <v>405</v>
      </c>
      <c r="I2365">
        <v>0</v>
      </c>
      <c r="J2365">
        <v>29.4</v>
      </c>
      <c r="K2365" t="s">
        <v>9</v>
      </c>
      <c r="L2365">
        <v>3450000</v>
      </c>
      <c r="M2365">
        <v>0</v>
      </c>
      <c r="N2365">
        <v>3450000</v>
      </c>
      <c r="O2365">
        <v>117346.93877551021</v>
      </c>
      <c r="P2365">
        <v>0</v>
      </c>
      <c r="Q2365">
        <v>3450000</v>
      </c>
      <c r="R2365">
        <v>117346.93877551021</v>
      </c>
      <c r="S2365" t="s">
        <v>65</v>
      </c>
      <c r="T2365" t="s">
        <v>717</v>
      </c>
      <c r="U2365" t="s">
        <v>717</v>
      </c>
      <c r="V2365" t="s">
        <v>4131</v>
      </c>
      <c r="W2365">
        <v>45441</v>
      </c>
      <c r="X2365" t="s">
        <v>10142</v>
      </c>
      <c r="Y2365" t="s">
        <v>6</v>
      </c>
      <c r="Z2365" t="s">
        <v>17</v>
      </c>
      <c r="AA2365" t="s">
        <v>6637</v>
      </c>
      <c r="AB2365" t="s">
        <v>2509</v>
      </c>
      <c r="AC2365" t="s">
        <v>2571</v>
      </c>
      <c r="AD2365" t="s">
        <v>717</v>
      </c>
      <c r="AE2365" t="s">
        <v>10143</v>
      </c>
      <c r="AF2365" t="s">
        <v>10144</v>
      </c>
      <c r="AG2365" t="s">
        <v>10145</v>
      </c>
      <c r="AH2365" t="s">
        <v>6100</v>
      </c>
      <c r="AI2365" t="s">
        <v>5653</v>
      </c>
      <c r="AJ2365" t="s">
        <v>31</v>
      </c>
      <c r="AK2365" t="s">
        <v>14</v>
      </c>
      <c r="AL2365" t="s">
        <v>16</v>
      </c>
      <c r="AM2365" t="s">
        <v>5654</v>
      </c>
      <c r="AN2365" t="s">
        <v>717</v>
      </c>
    </row>
    <row r="2366" spans="1:40" hidden="1">
      <c r="A2366">
        <v>2365</v>
      </c>
      <c r="B2366">
        <v>38</v>
      </c>
      <c r="C2366" s="58">
        <v>45443</v>
      </c>
      <c r="D2366" t="s">
        <v>13</v>
      </c>
      <c r="E2366" t="s">
        <v>2515</v>
      </c>
      <c r="F2366">
        <v>3</v>
      </c>
      <c r="G2366">
        <v>9</v>
      </c>
      <c r="H2366">
        <v>58</v>
      </c>
      <c r="I2366">
        <v>1</v>
      </c>
      <c r="J2366">
        <v>37.729999999999997</v>
      </c>
      <c r="K2366" t="s">
        <v>25</v>
      </c>
      <c r="L2366">
        <v>5229200</v>
      </c>
      <c r="M2366">
        <v>0</v>
      </c>
      <c r="N2366">
        <v>5229200</v>
      </c>
      <c r="O2366">
        <v>138595.28226875167</v>
      </c>
      <c r="P2366">
        <v>754599.99999999988</v>
      </c>
      <c r="Q2366">
        <v>4474600</v>
      </c>
      <c r="R2366">
        <v>118595.28226875166</v>
      </c>
      <c r="S2366" t="s">
        <v>65</v>
      </c>
      <c r="T2366" t="s">
        <v>717</v>
      </c>
      <c r="U2366" t="s">
        <v>717</v>
      </c>
      <c r="V2366" t="s">
        <v>6312</v>
      </c>
      <c r="W2366">
        <v>45441</v>
      </c>
      <c r="X2366" t="s">
        <v>10146</v>
      </c>
      <c r="Y2366" t="s">
        <v>6</v>
      </c>
      <c r="Z2366" t="s">
        <v>17</v>
      </c>
      <c r="AA2366" t="s">
        <v>6637</v>
      </c>
      <c r="AB2366" t="s">
        <v>2509</v>
      </c>
      <c r="AC2366" t="s">
        <v>2571</v>
      </c>
      <c r="AD2366" t="s">
        <v>717</v>
      </c>
      <c r="AE2366" t="s">
        <v>10147</v>
      </c>
      <c r="AF2366" t="s">
        <v>10148</v>
      </c>
      <c r="AG2366" t="s">
        <v>10149</v>
      </c>
      <c r="AH2366" t="s">
        <v>2191</v>
      </c>
      <c r="AI2366" t="s">
        <v>6951</v>
      </c>
      <c r="AJ2366" t="s">
        <v>2514</v>
      </c>
      <c r="AK2366" t="s">
        <v>77</v>
      </c>
      <c r="AL2366" t="s">
        <v>16</v>
      </c>
      <c r="AM2366" t="s">
        <v>10</v>
      </c>
      <c r="AN2366" t="s">
        <v>717</v>
      </c>
    </row>
    <row r="2367" spans="1:40" hidden="1">
      <c r="A2367">
        <v>2366</v>
      </c>
      <c r="B2367">
        <v>1</v>
      </c>
      <c r="C2367" s="58">
        <v>45444</v>
      </c>
      <c r="D2367" t="s">
        <v>7</v>
      </c>
      <c r="E2367" t="s">
        <v>4409</v>
      </c>
      <c r="F2367">
        <v>7</v>
      </c>
      <c r="G2367">
        <v>13</v>
      </c>
      <c r="H2367">
        <v>507</v>
      </c>
      <c r="I2367">
        <v>2</v>
      </c>
      <c r="J2367">
        <v>67.489999999999995</v>
      </c>
      <c r="K2367" t="s">
        <v>25</v>
      </c>
      <c r="L2367">
        <v>8430726</v>
      </c>
      <c r="M2367">
        <v>0</v>
      </c>
      <c r="N2367">
        <v>8430726</v>
      </c>
      <c r="O2367">
        <v>124918.15083716108</v>
      </c>
      <c r="P2367">
        <v>1484780</v>
      </c>
      <c r="Q2367">
        <v>6945946</v>
      </c>
      <c r="R2367">
        <v>102918.15083716108</v>
      </c>
      <c r="S2367" t="s">
        <v>65</v>
      </c>
      <c r="T2367" t="s">
        <v>10150</v>
      </c>
      <c r="U2367">
        <v>141754</v>
      </c>
      <c r="V2367" t="s">
        <v>6488</v>
      </c>
      <c r="W2367">
        <v>45439</v>
      </c>
      <c r="X2367" t="s">
        <v>10151</v>
      </c>
      <c r="Y2367" t="s">
        <v>6</v>
      </c>
      <c r="Z2367" t="s">
        <v>17</v>
      </c>
      <c r="AA2367" t="s">
        <v>6637</v>
      </c>
      <c r="AB2367" t="s">
        <v>2509</v>
      </c>
      <c r="AC2367" t="s">
        <v>2571</v>
      </c>
      <c r="AD2367" t="s">
        <v>717</v>
      </c>
      <c r="AE2367" t="s">
        <v>10152</v>
      </c>
      <c r="AF2367" t="s">
        <v>10153</v>
      </c>
      <c r="AG2367" t="s">
        <v>10154</v>
      </c>
      <c r="AH2367" t="s">
        <v>2615</v>
      </c>
      <c r="AI2367" t="s">
        <v>2706</v>
      </c>
      <c r="AJ2367" t="s">
        <v>3298</v>
      </c>
      <c r="AK2367" t="s">
        <v>8</v>
      </c>
      <c r="AL2367" t="s">
        <v>22</v>
      </c>
      <c r="AM2367" t="s">
        <v>10</v>
      </c>
      <c r="AN2367" t="s">
        <v>717</v>
      </c>
    </row>
    <row r="2368" spans="1:40" hidden="1">
      <c r="A2368">
        <v>2367</v>
      </c>
      <c r="B2368">
        <v>2</v>
      </c>
      <c r="C2368" s="58">
        <v>45447</v>
      </c>
      <c r="D2368" t="s">
        <v>13</v>
      </c>
      <c r="E2368" t="s">
        <v>2515</v>
      </c>
      <c r="F2368">
        <v>6</v>
      </c>
      <c r="G2368">
        <v>10</v>
      </c>
      <c r="H2368">
        <v>68</v>
      </c>
      <c r="I2368">
        <v>2</v>
      </c>
      <c r="J2368">
        <v>58.16</v>
      </c>
      <c r="K2368" t="s">
        <v>25</v>
      </c>
      <c r="L2368">
        <v>6802000</v>
      </c>
      <c r="M2368">
        <v>15000</v>
      </c>
      <c r="N2368">
        <v>6817000</v>
      </c>
      <c r="O2368">
        <v>117211.14167812932</v>
      </c>
      <c r="P2368">
        <v>1163200</v>
      </c>
      <c r="Q2368">
        <v>5653800</v>
      </c>
      <c r="R2368">
        <v>97211.141678129308</v>
      </c>
      <c r="S2368" t="s">
        <v>65</v>
      </c>
      <c r="T2368" t="s">
        <v>717</v>
      </c>
      <c r="U2368" t="s">
        <v>717</v>
      </c>
      <c r="V2368" t="s">
        <v>4131</v>
      </c>
      <c r="W2368">
        <v>45423</v>
      </c>
      <c r="X2368" t="s">
        <v>10155</v>
      </c>
      <c r="Y2368" t="s">
        <v>6</v>
      </c>
      <c r="Z2368" t="s">
        <v>17</v>
      </c>
      <c r="AA2368" t="s">
        <v>6637</v>
      </c>
      <c r="AB2368" t="s">
        <v>2509</v>
      </c>
      <c r="AC2368" t="s">
        <v>2571</v>
      </c>
      <c r="AD2368" t="s">
        <v>717</v>
      </c>
      <c r="AE2368" t="s">
        <v>10156</v>
      </c>
      <c r="AF2368" t="s">
        <v>10157</v>
      </c>
      <c r="AG2368" t="s">
        <v>10158</v>
      </c>
      <c r="AH2368" t="s">
        <v>2615</v>
      </c>
      <c r="AI2368" t="s">
        <v>2747</v>
      </c>
      <c r="AJ2368" t="s">
        <v>2662</v>
      </c>
      <c r="AK2368" t="s">
        <v>8</v>
      </c>
      <c r="AL2368" t="s">
        <v>22</v>
      </c>
      <c r="AM2368" t="s">
        <v>10</v>
      </c>
      <c r="AN2368" t="s">
        <v>717</v>
      </c>
    </row>
    <row r="2369" spans="1:40" hidden="1">
      <c r="A2369">
        <v>2368</v>
      </c>
      <c r="B2369">
        <v>3</v>
      </c>
      <c r="C2369" s="58">
        <v>45447</v>
      </c>
      <c r="D2369" t="s">
        <v>13</v>
      </c>
      <c r="E2369" t="s">
        <v>4409</v>
      </c>
      <c r="F2369">
        <v>2</v>
      </c>
      <c r="G2369">
        <v>6</v>
      </c>
      <c r="H2369">
        <v>430</v>
      </c>
      <c r="I2369">
        <v>1</v>
      </c>
      <c r="J2369">
        <v>43.21</v>
      </c>
      <c r="K2369" t="s">
        <v>21</v>
      </c>
      <c r="L2369">
        <v>4980970</v>
      </c>
      <c r="M2369">
        <v>0</v>
      </c>
      <c r="N2369">
        <v>4980970</v>
      </c>
      <c r="O2369">
        <v>115273.54778986346</v>
      </c>
      <c r="P2369">
        <v>302470</v>
      </c>
      <c r="Q2369">
        <v>4678500</v>
      </c>
      <c r="R2369">
        <v>108273.54778986346</v>
      </c>
      <c r="S2369" t="s">
        <v>65</v>
      </c>
      <c r="T2369" t="s">
        <v>717</v>
      </c>
      <c r="U2369" t="s">
        <v>717</v>
      </c>
      <c r="V2369" t="s">
        <v>4131</v>
      </c>
      <c r="W2369">
        <v>45446</v>
      </c>
      <c r="X2369" t="s">
        <v>10159</v>
      </c>
      <c r="Y2369" t="s">
        <v>6</v>
      </c>
      <c r="Z2369" t="s">
        <v>17</v>
      </c>
      <c r="AA2369" t="s">
        <v>6637</v>
      </c>
      <c r="AB2369" t="s">
        <v>2509</v>
      </c>
      <c r="AC2369" t="s">
        <v>2571</v>
      </c>
      <c r="AD2369" t="s">
        <v>717</v>
      </c>
      <c r="AE2369" t="s">
        <v>10160</v>
      </c>
      <c r="AF2369" t="s">
        <v>10161</v>
      </c>
      <c r="AG2369" t="s">
        <v>10162</v>
      </c>
      <c r="AH2369" t="s">
        <v>2615</v>
      </c>
      <c r="AI2369" t="s">
        <v>2706</v>
      </c>
      <c r="AJ2369" t="s">
        <v>2940</v>
      </c>
      <c r="AK2369" t="s">
        <v>8</v>
      </c>
      <c r="AL2369" t="s">
        <v>16</v>
      </c>
      <c r="AM2369" t="s">
        <v>10</v>
      </c>
      <c r="AN2369" t="s">
        <v>717</v>
      </c>
    </row>
    <row r="2370" spans="1:40" hidden="1">
      <c r="A2370">
        <v>2369</v>
      </c>
      <c r="B2370">
        <v>4</v>
      </c>
      <c r="C2370" s="58">
        <v>45448</v>
      </c>
      <c r="D2370" t="s">
        <v>13</v>
      </c>
      <c r="E2370" t="s">
        <v>2581</v>
      </c>
      <c r="F2370">
        <v>6</v>
      </c>
      <c r="G2370">
        <v>13</v>
      </c>
      <c r="H2370">
        <v>311</v>
      </c>
      <c r="I2370">
        <v>3</v>
      </c>
      <c r="J2370">
        <v>80.97</v>
      </c>
      <c r="K2370" t="s">
        <v>9</v>
      </c>
      <c r="L2370">
        <v>7174500</v>
      </c>
      <c r="M2370">
        <v>0</v>
      </c>
      <c r="N2370">
        <v>7174500</v>
      </c>
      <c r="O2370">
        <v>88606.891441274551</v>
      </c>
      <c r="P2370">
        <v>0</v>
      </c>
      <c r="Q2370">
        <v>7174500</v>
      </c>
      <c r="R2370">
        <v>88606.891441274551</v>
      </c>
      <c r="S2370" t="s">
        <v>65</v>
      </c>
      <c r="T2370" t="s">
        <v>717</v>
      </c>
      <c r="U2370" t="s">
        <v>717</v>
      </c>
      <c r="V2370" t="s">
        <v>6312</v>
      </c>
      <c r="W2370">
        <v>45447</v>
      </c>
      <c r="X2370" t="s">
        <v>10163</v>
      </c>
      <c r="Y2370" t="s">
        <v>6</v>
      </c>
      <c r="Z2370" t="s">
        <v>17</v>
      </c>
      <c r="AA2370" t="s">
        <v>6637</v>
      </c>
      <c r="AB2370" t="s">
        <v>2509</v>
      </c>
      <c r="AC2370" t="s">
        <v>2571</v>
      </c>
      <c r="AD2370" t="s">
        <v>717</v>
      </c>
      <c r="AE2370" t="s">
        <v>10164</v>
      </c>
      <c r="AF2370" t="s">
        <v>10165</v>
      </c>
      <c r="AG2370" t="s">
        <v>10166</v>
      </c>
      <c r="AH2370" t="s">
        <v>2615</v>
      </c>
      <c r="AI2370" t="s">
        <v>2552</v>
      </c>
      <c r="AJ2370" t="s">
        <v>2662</v>
      </c>
      <c r="AK2370" t="s">
        <v>20</v>
      </c>
      <c r="AL2370" t="s">
        <v>22</v>
      </c>
      <c r="AM2370" t="s">
        <v>10</v>
      </c>
      <c r="AN2370" t="s">
        <v>717</v>
      </c>
    </row>
    <row r="2371" spans="1:40" hidden="1">
      <c r="A2371">
        <v>2370</v>
      </c>
      <c r="B2371">
        <v>5</v>
      </c>
      <c r="C2371" s="58">
        <v>45449</v>
      </c>
      <c r="D2371" t="s">
        <v>13</v>
      </c>
      <c r="E2371" t="s">
        <v>4409</v>
      </c>
      <c r="F2371">
        <v>7</v>
      </c>
      <c r="G2371">
        <v>9</v>
      </c>
      <c r="H2371">
        <v>459</v>
      </c>
      <c r="I2371">
        <v>3</v>
      </c>
      <c r="J2371">
        <v>79.44</v>
      </c>
      <c r="K2371" t="s">
        <v>21</v>
      </c>
      <c r="L2371">
        <v>7931766</v>
      </c>
      <c r="M2371">
        <v>0</v>
      </c>
      <c r="N2371">
        <v>7931766</v>
      </c>
      <c r="O2371">
        <v>99845.996978851967</v>
      </c>
      <c r="P2371">
        <v>556080</v>
      </c>
      <c r="Q2371">
        <v>7375686</v>
      </c>
      <c r="R2371">
        <v>92845.996978851967</v>
      </c>
      <c r="S2371" t="s">
        <v>65</v>
      </c>
      <c r="T2371" t="s">
        <v>5768</v>
      </c>
      <c r="U2371">
        <v>228114</v>
      </c>
      <c r="V2371" t="s">
        <v>4131</v>
      </c>
      <c r="W2371">
        <v>45446</v>
      </c>
      <c r="X2371" t="s">
        <v>10167</v>
      </c>
      <c r="Y2371" t="s">
        <v>6</v>
      </c>
      <c r="Z2371" t="s">
        <v>17</v>
      </c>
      <c r="AA2371" t="s">
        <v>6637</v>
      </c>
      <c r="AB2371" t="s">
        <v>2509</v>
      </c>
      <c r="AC2371" t="s">
        <v>2571</v>
      </c>
      <c r="AD2371" t="s">
        <v>717</v>
      </c>
      <c r="AE2371" t="s">
        <v>10168</v>
      </c>
      <c r="AF2371" t="s">
        <v>10169</v>
      </c>
      <c r="AG2371" t="s">
        <v>10170</v>
      </c>
      <c r="AH2371" t="s">
        <v>2552</v>
      </c>
      <c r="AI2371" t="s">
        <v>2547</v>
      </c>
      <c r="AJ2371" t="s">
        <v>2855</v>
      </c>
      <c r="AK2371" t="s">
        <v>8</v>
      </c>
      <c r="AL2371" t="s">
        <v>16</v>
      </c>
      <c r="AM2371" t="s">
        <v>10</v>
      </c>
      <c r="AN2371" t="s">
        <v>717</v>
      </c>
    </row>
    <row r="2372" spans="1:40" hidden="1">
      <c r="A2372">
        <v>2371</v>
      </c>
      <c r="B2372">
        <v>6</v>
      </c>
      <c r="C2372" s="58">
        <v>45453</v>
      </c>
      <c r="D2372" t="s">
        <v>13</v>
      </c>
      <c r="E2372" t="s">
        <v>4409</v>
      </c>
      <c r="F2372">
        <v>8</v>
      </c>
      <c r="G2372">
        <v>2</v>
      </c>
      <c r="H2372">
        <v>404</v>
      </c>
      <c r="I2372">
        <v>1</v>
      </c>
      <c r="J2372">
        <v>39.69</v>
      </c>
      <c r="K2372" t="s">
        <v>25</v>
      </c>
      <c r="L2372">
        <v>5196400</v>
      </c>
      <c r="M2372">
        <v>0</v>
      </c>
      <c r="N2372">
        <v>5196400</v>
      </c>
      <c r="O2372">
        <v>130924.66616276139</v>
      </c>
      <c r="P2372">
        <v>793800</v>
      </c>
      <c r="Q2372">
        <v>4402600</v>
      </c>
      <c r="R2372">
        <v>110924.66616276139</v>
      </c>
      <c r="S2372" t="s">
        <v>65</v>
      </c>
      <c r="T2372" t="s">
        <v>717</v>
      </c>
      <c r="U2372" t="s">
        <v>717</v>
      </c>
      <c r="V2372" t="s">
        <v>6312</v>
      </c>
      <c r="W2372">
        <v>45448</v>
      </c>
      <c r="X2372" t="s">
        <v>10171</v>
      </c>
      <c r="Y2372" t="s">
        <v>6</v>
      </c>
      <c r="Z2372" t="s">
        <v>17</v>
      </c>
      <c r="AA2372" t="s">
        <v>6637</v>
      </c>
      <c r="AB2372" t="s">
        <v>2509</v>
      </c>
      <c r="AC2372" t="s">
        <v>2571</v>
      </c>
      <c r="AD2372" t="s">
        <v>717</v>
      </c>
      <c r="AE2372" t="s">
        <v>10172</v>
      </c>
      <c r="AF2372" t="s">
        <v>10173</v>
      </c>
      <c r="AG2372" t="s">
        <v>10174</v>
      </c>
      <c r="AH2372" t="s">
        <v>2615</v>
      </c>
      <c r="AI2372" t="s">
        <v>2552</v>
      </c>
      <c r="AJ2372" t="s">
        <v>2642</v>
      </c>
      <c r="AK2372" t="s">
        <v>14</v>
      </c>
      <c r="AL2372" t="s">
        <v>1892</v>
      </c>
      <c r="AM2372" t="s">
        <v>10</v>
      </c>
      <c r="AN2372" t="s">
        <v>717</v>
      </c>
    </row>
    <row r="2373" spans="1:40" hidden="1">
      <c r="A2373">
        <v>2372</v>
      </c>
      <c r="B2373">
        <v>7</v>
      </c>
      <c r="C2373" s="58">
        <v>45453</v>
      </c>
      <c r="D2373" t="s">
        <v>13</v>
      </c>
      <c r="E2373" t="s">
        <v>2515</v>
      </c>
      <c r="F2373">
        <v>2</v>
      </c>
      <c r="G2373">
        <v>14</v>
      </c>
      <c r="H2373">
        <v>92</v>
      </c>
      <c r="I2373">
        <v>2</v>
      </c>
      <c r="J2373">
        <v>68.5</v>
      </c>
      <c r="K2373" t="s">
        <v>21</v>
      </c>
      <c r="L2373">
        <v>7296600</v>
      </c>
      <c r="M2373">
        <v>0</v>
      </c>
      <c r="N2373">
        <v>7296600</v>
      </c>
      <c r="O2373">
        <v>106519.70802919708</v>
      </c>
      <c r="P2373">
        <v>479500</v>
      </c>
      <c r="Q2373">
        <v>6817100</v>
      </c>
      <c r="R2373">
        <v>99519.708029197078</v>
      </c>
      <c r="S2373" t="s">
        <v>65</v>
      </c>
      <c r="T2373" t="s">
        <v>717</v>
      </c>
      <c r="U2373" t="s">
        <v>717</v>
      </c>
      <c r="V2373" t="s">
        <v>4131</v>
      </c>
      <c r="W2373">
        <v>45450</v>
      </c>
      <c r="X2373" t="s">
        <v>10175</v>
      </c>
      <c r="Y2373" t="s">
        <v>6</v>
      </c>
      <c r="Z2373" t="s">
        <v>17</v>
      </c>
      <c r="AA2373" t="s">
        <v>6637</v>
      </c>
      <c r="AB2373" t="s">
        <v>2509</v>
      </c>
      <c r="AC2373" t="s">
        <v>2571</v>
      </c>
      <c r="AD2373" t="s">
        <v>717</v>
      </c>
      <c r="AE2373" t="s">
        <v>2099</v>
      </c>
      <c r="AF2373" t="s">
        <v>10176</v>
      </c>
      <c r="AG2373" t="s">
        <v>10177</v>
      </c>
      <c r="AH2373" t="s">
        <v>2191</v>
      </c>
      <c r="AI2373" t="s">
        <v>2621</v>
      </c>
      <c r="AJ2373" t="s">
        <v>2514</v>
      </c>
      <c r="AK2373" t="s">
        <v>14</v>
      </c>
      <c r="AL2373" t="s">
        <v>16</v>
      </c>
      <c r="AM2373" t="s">
        <v>10</v>
      </c>
      <c r="AN2373" t="s">
        <v>717</v>
      </c>
    </row>
    <row r="2374" spans="1:40" hidden="1">
      <c r="A2374">
        <v>2373</v>
      </c>
      <c r="B2374">
        <v>8</v>
      </c>
      <c r="C2374" s="58">
        <v>45454</v>
      </c>
      <c r="D2374" t="s">
        <v>13</v>
      </c>
      <c r="E2374" t="s">
        <v>4409</v>
      </c>
      <c r="F2374">
        <v>3</v>
      </c>
      <c r="G2374">
        <v>23</v>
      </c>
      <c r="H2374">
        <v>567</v>
      </c>
      <c r="I2374">
        <v>0</v>
      </c>
      <c r="J2374">
        <v>24.5</v>
      </c>
      <c r="K2374" t="s">
        <v>25</v>
      </c>
      <c r="L2374">
        <v>3616300</v>
      </c>
      <c r="M2374">
        <v>0</v>
      </c>
      <c r="N2374">
        <v>3616300</v>
      </c>
      <c r="O2374">
        <v>147604.08163265305</v>
      </c>
      <c r="P2374">
        <v>490000</v>
      </c>
      <c r="Q2374">
        <v>3126300</v>
      </c>
      <c r="R2374">
        <v>127604.08163265306</v>
      </c>
      <c r="S2374" t="s">
        <v>65</v>
      </c>
      <c r="T2374" t="s">
        <v>717</v>
      </c>
      <c r="U2374" t="s">
        <v>717</v>
      </c>
      <c r="V2374" t="s">
        <v>4131</v>
      </c>
      <c r="W2374">
        <v>45443</v>
      </c>
      <c r="X2374" t="s">
        <v>10178</v>
      </c>
      <c r="Y2374" t="s">
        <v>6</v>
      </c>
      <c r="Z2374" t="s">
        <v>17</v>
      </c>
      <c r="AA2374" t="s">
        <v>6637</v>
      </c>
      <c r="AB2374" t="s">
        <v>2509</v>
      </c>
      <c r="AC2374" t="s">
        <v>2571</v>
      </c>
      <c r="AD2374" t="s">
        <v>717</v>
      </c>
      <c r="AE2374" t="s">
        <v>10179</v>
      </c>
      <c r="AF2374" t="s">
        <v>10180</v>
      </c>
      <c r="AG2374" t="s">
        <v>10181</v>
      </c>
      <c r="AH2374" t="s">
        <v>6100</v>
      </c>
      <c r="AI2374" t="s">
        <v>5653</v>
      </c>
      <c r="AJ2374" t="s">
        <v>31</v>
      </c>
      <c r="AK2374" t="s">
        <v>20</v>
      </c>
      <c r="AL2374" t="s">
        <v>16</v>
      </c>
      <c r="AM2374" t="s">
        <v>5654</v>
      </c>
      <c r="AN2374" t="s">
        <v>717</v>
      </c>
    </row>
    <row r="2375" spans="1:40" hidden="1">
      <c r="A2375">
        <v>2374</v>
      </c>
      <c r="B2375">
        <v>9</v>
      </c>
      <c r="C2375" s="58">
        <v>45454</v>
      </c>
      <c r="D2375" t="s">
        <v>13</v>
      </c>
      <c r="E2375" t="s">
        <v>4409</v>
      </c>
      <c r="F2375">
        <v>6</v>
      </c>
      <c r="G2375">
        <v>9</v>
      </c>
      <c r="H2375">
        <v>458</v>
      </c>
      <c r="I2375">
        <v>1</v>
      </c>
      <c r="J2375">
        <v>38.299999999999997</v>
      </c>
      <c r="K2375" t="s">
        <v>21</v>
      </c>
      <c r="L2375">
        <v>4386138</v>
      </c>
      <c r="M2375">
        <v>0</v>
      </c>
      <c r="N2375">
        <v>4386138</v>
      </c>
      <c r="O2375">
        <v>114520.57441253265</v>
      </c>
      <c r="P2375">
        <v>268100</v>
      </c>
      <c r="Q2375">
        <v>4118038</v>
      </c>
      <c r="R2375">
        <v>107520.57441253265</v>
      </c>
      <c r="S2375" t="s">
        <v>65</v>
      </c>
      <c r="T2375" t="s">
        <v>5768</v>
      </c>
      <c r="U2375">
        <v>127362</v>
      </c>
      <c r="V2375" t="s">
        <v>6312</v>
      </c>
      <c r="W2375">
        <v>45450</v>
      </c>
      <c r="X2375" t="s">
        <v>10182</v>
      </c>
      <c r="Y2375" t="s">
        <v>6</v>
      </c>
      <c r="Z2375" t="s">
        <v>17</v>
      </c>
      <c r="AA2375" t="s">
        <v>6637</v>
      </c>
      <c r="AB2375" t="s">
        <v>2509</v>
      </c>
      <c r="AC2375" t="s">
        <v>2571</v>
      </c>
      <c r="AD2375" t="s">
        <v>717</v>
      </c>
      <c r="AE2375" t="s">
        <v>10183</v>
      </c>
      <c r="AF2375" t="s">
        <v>10184</v>
      </c>
      <c r="AG2375" t="s">
        <v>10185</v>
      </c>
      <c r="AH2375" t="s">
        <v>2191</v>
      </c>
      <c r="AI2375" t="s">
        <v>2706</v>
      </c>
      <c r="AJ2375" t="s">
        <v>2514</v>
      </c>
      <c r="AK2375" t="s">
        <v>20</v>
      </c>
      <c r="AL2375" t="s">
        <v>1892</v>
      </c>
      <c r="AM2375" t="s">
        <v>10</v>
      </c>
      <c r="AN2375" t="s">
        <v>717</v>
      </c>
    </row>
    <row r="2376" spans="1:40" hidden="1">
      <c r="A2376">
        <v>2375</v>
      </c>
      <c r="B2376">
        <v>10</v>
      </c>
      <c r="C2376" s="58">
        <v>45454</v>
      </c>
      <c r="D2376" t="s">
        <v>13</v>
      </c>
      <c r="E2376" t="s">
        <v>2506</v>
      </c>
      <c r="F2376">
        <v>5</v>
      </c>
      <c r="G2376">
        <v>6</v>
      </c>
      <c r="H2376">
        <v>150</v>
      </c>
      <c r="I2376">
        <v>1</v>
      </c>
      <c r="J2376">
        <v>37.86</v>
      </c>
      <c r="K2376" t="s">
        <v>9</v>
      </c>
      <c r="L2376">
        <v>4422500</v>
      </c>
      <c r="M2376">
        <v>0</v>
      </c>
      <c r="N2376">
        <v>4422500</v>
      </c>
      <c r="O2376">
        <v>116811.93872160593</v>
      </c>
      <c r="P2376">
        <v>0</v>
      </c>
      <c r="Q2376">
        <v>4422500</v>
      </c>
      <c r="R2376">
        <v>116811.93872160593</v>
      </c>
      <c r="S2376" t="s">
        <v>65</v>
      </c>
      <c r="T2376" t="s">
        <v>717</v>
      </c>
      <c r="U2376" t="s">
        <v>717</v>
      </c>
      <c r="V2376" t="s">
        <v>4131</v>
      </c>
      <c r="W2376">
        <v>45450</v>
      </c>
      <c r="X2376" t="s">
        <v>10186</v>
      </c>
      <c r="Y2376" t="s">
        <v>6</v>
      </c>
      <c r="Z2376" t="s">
        <v>17</v>
      </c>
      <c r="AA2376" t="s">
        <v>5617</v>
      </c>
      <c r="AB2376" t="s">
        <v>2509</v>
      </c>
      <c r="AC2376" t="s">
        <v>2564</v>
      </c>
      <c r="AD2376" t="s">
        <v>717</v>
      </c>
      <c r="AE2376" t="s">
        <v>10187</v>
      </c>
      <c r="AF2376" t="s">
        <v>10188</v>
      </c>
      <c r="AG2376" t="s">
        <v>10189</v>
      </c>
      <c r="AH2376" t="s">
        <v>2615</v>
      </c>
      <c r="AI2376" t="s">
        <v>2847</v>
      </c>
      <c r="AJ2376" t="s">
        <v>2940</v>
      </c>
      <c r="AK2376" t="s">
        <v>8</v>
      </c>
      <c r="AL2376" t="s">
        <v>16</v>
      </c>
      <c r="AM2376" t="s">
        <v>10</v>
      </c>
      <c r="AN2376" t="s">
        <v>717</v>
      </c>
    </row>
    <row r="2377" spans="1:40" hidden="1">
      <c r="A2377">
        <v>2376</v>
      </c>
      <c r="B2377">
        <v>11</v>
      </c>
      <c r="C2377" s="58">
        <v>45454</v>
      </c>
      <c r="D2377" t="s">
        <v>13</v>
      </c>
      <c r="E2377" t="s">
        <v>4409</v>
      </c>
      <c r="F2377">
        <v>3</v>
      </c>
      <c r="G2377">
        <v>4</v>
      </c>
      <c r="H2377">
        <v>415</v>
      </c>
      <c r="I2377">
        <v>0</v>
      </c>
      <c r="J2377">
        <v>24.5</v>
      </c>
      <c r="K2377" t="s">
        <v>21</v>
      </c>
      <c r="L2377">
        <v>3014473</v>
      </c>
      <c r="M2377">
        <v>0</v>
      </c>
      <c r="N2377">
        <v>3014473</v>
      </c>
      <c r="O2377">
        <v>123039.71428571428</v>
      </c>
      <c r="P2377">
        <v>171500</v>
      </c>
      <c r="Q2377">
        <v>2842973</v>
      </c>
      <c r="R2377">
        <v>116039.71428571428</v>
      </c>
      <c r="S2377" t="s">
        <v>2507</v>
      </c>
      <c r="T2377" t="s">
        <v>9531</v>
      </c>
      <c r="U2377">
        <v>87927</v>
      </c>
      <c r="V2377" t="s">
        <v>717</v>
      </c>
      <c r="W2377">
        <v>45453</v>
      </c>
      <c r="X2377" t="s">
        <v>10190</v>
      </c>
      <c r="Y2377" t="s">
        <v>6</v>
      </c>
      <c r="Z2377" t="s">
        <v>17</v>
      </c>
      <c r="AA2377" t="s">
        <v>6637</v>
      </c>
      <c r="AB2377" t="s">
        <v>2509</v>
      </c>
      <c r="AC2377" t="s">
        <v>717</v>
      </c>
      <c r="AD2377" t="s">
        <v>717</v>
      </c>
      <c r="AE2377" t="s">
        <v>10191</v>
      </c>
      <c r="AF2377" t="s">
        <v>10192</v>
      </c>
      <c r="AG2377" t="s">
        <v>10193</v>
      </c>
      <c r="AH2377" t="s">
        <v>2615</v>
      </c>
      <c r="AI2377" t="s">
        <v>2552</v>
      </c>
      <c r="AJ2377" t="s">
        <v>2825</v>
      </c>
      <c r="AK2377" t="s">
        <v>8</v>
      </c>
      <c r="AL2377" t="s">
        <v>717</v>
      </c>
      <c r="AM2377" t="s">
        <v>10</v>
      </c>
      <c r="AN2377" t="s">
        <v>717</v>
      </c>
    </row>
    <row r="2378" spans="1:40" hidden="1">
      <c r="A2378">
        <v>2377</v>
      </c>
      <c r="B2378">
        <v>12</v>
      </c>
      <c r="C2378" s="58">
        <v>45456</v>
      </c>
      <c r="D2378" t="s">
        <v>13</v>
      </c>
      <c r="E2378" t="s">
        <v>2515</v>
      </c>
      <c r="F2378">
        <v>5</v>
      </c>
      <c r="G2378">
        <v>16</v>
      </c>
      <c r="H2378">
        <v>109</v>
      </c>
      <c r="I2378">
        <v>2</v>
      </c>
      <c r="J2378">
        <v>62.17</v>
      </c>
      <c r="K2378" t="s">
        <v>9</v>
      </c>
      <c r="L2378">
        <v>6076900</v>
      </c>
      <c r="M2378">
        <v>0</v>
      </c>
      <c r="N2378">
        <v>6076900</v>
      </c>
      <c r="O2378">
        <v>97746.501528068198</v>
      </c>
      <c r="P2378">
        <v>0</v>
      </c>
      <c r="Q2378">
        <v>6076900</v>
      </c>
      <c r="R2378">
        <v>97746.501528068198</v>
      </c>
      <c r="S2378" t="s">
        <v>65</v>
      </c>
      <c r="T2378" t="s">
        <v>717</v>
      </c>
      <c r="U2378" t="s">
        <v>717</v>
      </c>
      <c r="V2378" t="s">
        <v>4131</v>
      </c>
      <c r="W2378">
        <v>45441</v>
      </c>
      <c r="X2378" t="s">
        <v>10194</v>
      </c>
      <c r="Y2378" t="s">
        <v>6</v>
      </c>
      <c r="Z2378" t="s">
        <v>17</v>
      </c>
      <c r="AA2378" t="s">
        <v>6637</v>
      </c>
      <c r="AB2378" t="s">
        <v>2509</v>
      </c>
      <c r="AC2378" t="s">
        <v>2571</v>
      </c>
      <c r="AD2378" t="s">
        <v>717</v>
      </c>
      <c r="AE2378" t="s">
        <v>10195</v>
      </c>
      <c r="AF2378" t="s">
        <v>10196</v>
      </c>
      <c r="AG2378" t="s">
        <v>10197</v>
      </c>
      <c r="AH2378" t="s">
        <v>2552</v>
      </c>
      <c r="AI2378" t="s">
        <v>2552</v>
      </c>
      <c r="AJ2378" t="s">
        <v>2662</v>
      </c>
      <c r="AK2378" t="s">
        <v>1892</v>
      </c>
      <c r="AL2378" t="s">
        <v>22</v>
      </c>
      <c r="AM2378" t="s">
        <v>10</v>
      </c>
      <c r="AN2378" t="s">
        <v>717</v>
      </c>
    </row>
    <row r="2379" spans="1:40" hidden="1">
      <c r="A2379">
        <v>2378</v>
      </c>
      <c r="B2379">
        <v>13</v>
      </c>
      <c r="C2379" s="58">
        <v>45457</v>
      </c>
      <c r="D2379" t="s">
        <v>7</v>
      </c>
      <c r="E2379" t="s">
        <v>2515</v>
      </c>
      <c r="F2379">
        <v>6</v>
      </c>
      <c r="G2379">
        <v>2</v>
      </c>
      <c r="H2379">
        <v>6</v>
      </c>
      <c r="I2379">
        <v>2</v>
      </c>
      <c r="J2379">
        <v>59.87</v>
      </c>
      <c r="K2379" t="s">
        <v>15</v>
      </c>
      <c r="L2379">
        <v>6596825</v>
      </c>
      <c r="M2379">
        <v>15000</v>
      </c>
      <c r="N2379">
        <v>6611825</v>
      </c>
      <c r="O2379">
        <v>110436.36211792217</v>
      </c>
      <c r="P2379">
        <v>449025</v>
      </c>
      <c r="Q2379">
        <v>6162800</v>
      </c>
      <c r="R2379">
        <v>102936.36211792217</v>
      </c>
      <c r="S2379" t="s">
        <v>65</v>
      </c>
      <c r="T2379" t="s">
        <v>717</v>
      </c>
      <c r="U2379" t="s">
        <v>717</v>
      </c>
      <c r="V2379" t="s">
        <v>4131</v>
      </c>
      <c r="W2379">
        <v>45440</v>
      </c>
      <c r="X2379" t="s">
        <v>10198</v>
      </c>
      <c r="Y2379" t="s">
        <v>6</v>
      </c>
      <c r="Z2379" t="s">
        <v>17</v>
      </c>
      <c r="AA2379" t="s">
        <v>6637</v>
      </c>
      <c r="AB2379" t="s">
        <v>2509</v>
      </c>
      <c r="AC2379" t="s">
        <v>2571</v>
      </c>
      <c r="AD2379" t="s">
        <v>717</v>
      </c>
      <c r="AE2379" t="s">
        <v>10199</v>
      </c>
      <c r="AF2379" t="s">
        <v>10200</v>
      </c>
      <c r="AG2379" t="s">
        <v>10201</v>
      </c>
      <c r="AH2379" t="s">
        <v>2191</v>
      </c>
      <c r="AI2379" t="s">
        <v>2552</v>
      </c>
      <c r="AJ2379" t="s">
        <v>2514</v>
      </c>
      <c r="AK2379" t="s">
        <v>8</v>
      </c>
      <c r="AL2379" t="s">
        <v>16</v>
      </c>
      <c r="AM2379" t="s">
        <v>10</v>
      </c>
      <c r="AN2379" t="s">
        <v>717</v>
      </c>
    </row>
    <row r="2380" spans="1:40" hidden="1">
      <c r="A2380">
        <v>2379</v>
      </c>
      <c r="B2380">
        <v>14</v>
      </c>
      <c r="C2380" s="58">
        <v>45457</v>
      </c>
      <c r="D2380" t="s">
        <v>13</v>
      </c>
      <c r="E2380" t="s">
        <v>2506</v>
      </c>
      <c r="F2380">
        <v>7</v>
      </c>
      <c r="G2380">
        <v>4</v>
      </c>
      <c r="H2380">
        <v>138</v>
      </c>
      <c r="I2380">
        <v>1</v>
      </c>
      <c r="J2380">
        <v>42.28</v>
      </c>
      <c r="K2380" t="s">
        <v>25</v>
      </c>
      <c r="L2380">
        <v>5558600</v>
      </c>
      <c r="M2380">
        <v>0</v>
      </c>
      <c r="N2380">
        <v>5558600</v>
      </c>
      <c r="O2380">
        <v>131471.14474929046</v>
      </c>
      <c r="P2380">
        <v>845599.99999999907</v>
      </c>
      <c r="Q2380">
        <v>4713000.0000000009</v>
      </c>
      <c r="R2380">
        <v>111471.14474929048</v>
      </c>
      <c r="S2380" t="s">
        <v>65</v>
      </c>
      <c r="T2380" t="s">
        <v>717</v>
      </c>
      <c r="U2380" t="s">
        <v>717</v>
      </c>
      <c r="V2380" t="s">
        <v>4131</v>
      </c>
      <c r="W2380">
        <v>45454</v>
      </c>
      <c r="X2380" t="s">
        <v>10202</v>
      </c>
      <c r="Y2380" t="s">
        <v>6</v>
      </c>
      <c r="Z2380" t="s">
        <v>17</v>
      </c>
      <c r="AA2380" t="s">
        <v>5617</v>
      </c>
      <c r="AB2380" t="s">
        <v>2509</v>
      </c>
      <c r="AC2380" t="s">
        <v>2564</v>
      </c>
      <c r="AD2380" t="s">
        <v>717</v>
      </c>
      <c r="AE2380" t="s">
        <v>10203</v>
      </c>
      <c r="AF2380" t="s">
        <v>10204</v>
      </c>
      <c r="AG2380" t="s">
        <v>10205</v>
      </c>
      <c r="AH2380" t="s">
        <v>6100</v>
      </c>
      <c r="AI2380" t="s">
        <v>9944</v>
      </c>
      <c r="AJ2380" t="s">
        <v>41</v>
      </c>
      <c r="AK2380" t="s">
        <v>8</v>
      </c>
      <c r="AL2380" t="s">
        <v>22</v>
      </c>
      <c r="AM2380" t="s">
        <v>5654</v>
      </c>
      <c r="AN2380" t="s">
        <v>717</v>
      </c>
    </row>
    <row r="2381" spans="1:40" hidden="1">
      <c r="A2381">
        <v>2380</v>
      </c>
      <c r="B2381">
        <v>15</v>
      </c>
      <c r="C2381" s="58">
        <v>45457</v>
      </c>
      <c r="D2381" t="s">
        <v>13</v>
      </c>
      <c r="E2381" t="s">
        <v>2515</v>
      </c>
      <c r="F2381">
        <v>1</v>
      </c>
      <c r="G2381">
        <v>13</v>
      </c>
      <c r="H2381">
        <v>84</v>
      </c>
      <c r="I2381">
        <v>1</v>
      </c>
      <c r="J2381">
        <v>34.39</v>
      </c>
      <c r="K2381" t="s">
        <v>9</v>
      </c>
      <c r="L2381">
        <v>4008400</v>
      </c>
      <c r="M2381">
        <v>15000</v>
      </c>
      <c r="N2381">
        <v>4023400</v>
      </c>
      <c r="O2381">
        <v>116993.31200930502</v>
      </c>
      <c r="P2381">
        <v>0</v>
      </c>
      <c r="Q2381">
        <v>4023400</v>
      </c>
      <c r="R2381">
        <v>116993.31200930502</v>
      </c>
      <c r="S2381" t="s">
        <v>65</v>
      </c>
      <c r="T2381" t="s">
        <v>717</v>
      </c>
      <c r="U2381" t="s">
        <v>717</v>
      </c>
      <c r="V2381" t="s">
        <v>6312</v>
      </c>
      <c r="W2381">
        <v>45456</v>
      </c>
      <c r="X2381" t="s">
        <v>10206</v>
      </c>
      <c r="Y2381" t="s">
        <v>6</v>
      </c>
      <c r="Z2381" t="s">
        <v>17</v>
      </c>
      <c r="AA2381" t="s">
        <v>6637</v>
      </c>
      <c r="AB2381" t="s">
        <v>2509</v>
      </c>
      <c r="AC2381" t="s">
        <v>2571</v>
      </c>
      <c r="AD2381" t="s">
        <v>717</v>
      </c>
      <c r="AE2381" t="s">
        <v>10207</v>
      </c>
      <c r="AF2381" t="s">
        <v>10208</v>
      </c>
      <c r="AG2381" t="s">
        <v>10209</v>
      </c>
      <c r="AH2381" t="s">
        <v>2616</v>
      </c>
      <c r="AI2381" t="s">
        <v>2552</v>
      </c>
      <c r="AJ2381" t="s">
        <v>2895</v>
      </c>
      <c r="AK2381" t="s">
        <v>8</v>
      </c>
      <c r="AL2381" t="s">
        <v>16</v>
      </c>
      <c r="AM2381" t="s">
        <v>10</v>
      </c>
      <c r="AN2381" t="s">
        <v>717</v>
      </c>
    </row>
    <row r="2382" spans="1:40" hidden="1">
      <c r="A2382">
        <v>2381</v>
      </c>
      <c r="B2382">
        <v>16</v>
      </c>
      <c r="C2382" s="58">
        <v>45461</v>
      </c>
      <c r="D2382" t="s">
        <v>13</v>
      </c>
      <c r="E2382" t="s">
        <v>2581</v>
      </c>
      <c r="F2382">
        <v>1</v>
      </c>
      <c r="G2382">
        <v>8</v>
      </c>
      <c r="H2382">
        <v>271</v>
      </c>
      <c r="I2382">
        <v>2</v>
      </c>
      <c r="J2382">
        <v>73.7</v>
      </c>
      <c r="K2382" t="s">
        <v>21</v>
      </c>
      <c r="L2382">
        <v>7578500</v>
      </c>
      <c r="M2382">
        <v>0</v>
      </c>
      <c r="N2382">
        <v>7578500</v>
      </c>
      <c r="O2382">
        <v>102829.03663500678</v>
      </c>
      <c r="P2382">
        <v>515900</v>
      </c>
      <c r="Q2382">
        <v>7062600</v>
      </c>
      <c r="R2382">
        <v>95829.036635006778</v>
      </c>
      <c r="S2382" t="s">
        <v>65</v>
      </c>
      <c r="T2382" t="s">
        <v>717</v>
      </c>
      <c r="U2382" t="s">
        <v>717</v>
      </c>
      <c r="V2382" t="s">
        <v>6312</v>
      </c>
      <c r="W2382">
        <v>45453</v>
      </c>
      <c r="X2382" t="s">
        <v>10210</v>
      </c>
      <c r="Y2382" t="s">
        <v>6</v>
      </c>
      <c r="Z2382" t="s">
        <v>17</v>
      </c>
      <c r="AA2382" t="s">
        <v>6637</v>
      </c>
      <c r="AB2382" t="s">
        <v>2509</v>
      </c>
      <c r="AC2382" t="s">
        <v>2571</v>
      </c>
      <c r="AD2382" t="s">
        <v>717</v>
      </c>
      <c r="AE2382" t="s">
        <v>10211</v>
      </c>
      <c r="AF2382" t="s">
        <v>10212</v>
      </c>
      <c r="AG2382" t="s">
        <v>10213</v>
      </c>
      <c r="AH2382" t="s">
        <v>2552</v>
      </c>
      <c r="AI2382" t="s">
        <v>2547</v>
      </c>
      <c r="AJ2382" t="s">
        <v>2855</v>
      </c>
      <c r="AK2382" t="s">
        <v>14</v>
      </c>
      <c r="AL2382" t="s">
        <v>22</v>
      </c>
      <c r="AM2382" t="s">
        <v>10</v>
      </c>
      <c r="AN2382" t="s">
        <v>717</v>
      </c>
    </row>
    <row r="2383" spans="1:40" hidden="1">
      <c r="A2383">
        <v>2382</v>
      </c>
      <c r="B2383">
        <v>17</v>
      </c>
      <c r="C2383" s="58">
        <v>45461</v>
      </c>
      <c r="D2383" t="s">
        <v>13</v>
      </c>
      <c r="E2383" t="s">
        <v>2515</v>
      </c>
      <c r="F2383">
        <v>1</v>
      </c>
      <c r="G2383">
        <v>4</v>
      </c>
      <c r="H2383">
        <v>21</v>
      </c>
      <c r="I2383">
        <v>1</v>
      </c>
      <c r="J2383">
        <v>34.39</v>
      </c>
      <c r="K2383" t="s">
        <v>21</v>
      </c>
      <c r="L2383">
        <v>4303630</v>
      </c>
      <c r="M2383">
        <v>0</v>
      </c>
      <c r="N2383">
        <v>4303630</v>
      </c>
      <c r="O2383">
        <v>125141.90171561499</v>
      </c>
      <c r="P2383">
        <v>240730</v>
      </c>
      <c r="Q2383">
        <v>4062900</v>
      </c>
      <c r="R2383">
        <v>118141.90171561499</v>
      </c>
      <c r="S2383" t="s">
        <v>65</v>
      </c>
      <c r="T2383" t="s">
        <v>717</v>
      </c>
      <c r="U2383" t="s">
        <v>717</v>
      </c>
      <c r="V2383" t="s">
        <v>4131</v>
      </c>
      <c r="W2383">
        <v>45454</v>
      </c>
      <c r="X2383" t="s">
        <v>10214</v>
      </c>
      <c r="Y2383" t="s">
        <v>6</v>
      </c>
      <c r="Z2383" t="s">
        <v>17</v>
      </c>
      <c r="AA2383" t="s">
        <v>6637</v>
      </c>
      <c r="AB2383" t="s">
        <v>2509</v>
      </c>
      <c r="AC2383" t="s">
        <v>2571</v>
      </c>
      <c r="AD2383" t="s">
        <v>717</v>
      </c>
      <c r="AE2383" t="s">
        <v>10215</v>
      </c>
      <c r="AF2383" t="s">
        <v>10216</v>
      </c>
      <c r="AG2383" t="s">
        <v>10217</v>
      </c>
      <c r="AH2383" t="s">
        <v>2615</v>
      </c>
      <c r="AI2383" t="s">
        <v>2552</v>
      </c>
      <c r="AJ2383" t="s">
        <v>3289</v>
      </c>
      <c r="AK2383" t="s">
        <v>8</v>
      </c>
      <c r="AL2383" t="s">
        <v>22</v>
      </c>
      <c r="AM2383" t="s">
        <v>10</v>
      </c>
      <c r="AN2383" t="s">
        <v>717</v>
      </c>
    </row>
    <row r="2384" spans="1:40" hidden="1">
      <c r="A2384">
        <v>2383</v>
      </c>
      <c r="B2384">
        <v>18</v>
      </c>
      <c r="C2384" s="58">
        <v>45461</v>
      </c>
      <c r="D2384" t="s">
        <v>13</v>
      </c>
      <c r="E2384" t="s">
        <v>4409</v>
      </c>
      <c r="F2384">
        <v>3</v>
      </c>
      <c r="G2384">
        <v>5</v>
      </c>
      <c r="H2384">
        <v>423</v>
      </c>
      <c r="I2384">
        <v>0</v>
      </c>
      <c r="J2384">
        <v>24.5</v>
      </c>
      <c r="K2384" t="s">
        <v>25</v>
      </c>
      <c r="L2384">
        <v>3387500</v>
      </c>
      <c r="M2384">
        <v>0</v>
      </c>
      <c r="N2384">
        <v>3387500</v>
      </c>
      <c r="O2384">
        <v>138265.30612244899</v>
      </c>
      <c r="P2384">
        <v>489999.99999999953</v>
      </c>
      <c r="Q2384">
        <v>2897500.0000000005</v>
      </c>
      <c r="R2384">
        <v>118265.30612244899</v>
      </c>
      <c r="S2384" t="s">
        <v>65</v>
      </c>
      <c r="T2384" t="s">
        <v>3309</v>
      </c>
      <c r="U2384">
        <v>20000</v>
      </c>
      <c r="V2384" t="s">
        <v>4131</v>
      </c>
      <c r="W2384">
        <v>45456</v>
      </c>
      <c r="X2384" t="s">
        <v>10218</v>
      </c>
      <c r="Y2384" t="s">
        <v>6</v>
      </c>
      <c r="Z2384" t="s">
        <v>17</v>
      </c>
      <c r="AA2384" t="s">
        <v>6637</v>
      </c>
      <c r="AB2384" t="s">
        <v>2509</v>
      </c>
      <c r="AC2384" t="s">
        <v>2571</v>
      </c>
      <c r="AD2384" t="s">
        <v>717</v>
      </c>
      <c r="AE2384" t="s">
        <v>10219</v>
      </c>
      <c r="AF2384" t="s">
        <v>10220</v>
      </c>
      <c r="AG2384" t="s">
        <v>10221</v>
      </c>
      <c r="AH2384" t="s">
        <v>2615</v>
      </c>
      <c r="AI2384" t="s">
        <v>2552</v>
      </c>
      <c r="AJ2384" t="s">
        <v>2895</v>
      </c>
      <c r="AK2384" t="s">
        <v>8</v>
      </c>
      <c r="AL2384" t="s">
        <v>1892</v>
      </c>
      <c r="AM2384" t="s">
        <v>10</v>
      </c>
      <c r="AN2384" t="s">
        <v>717</v>
      </c>
    </row>
    <row r="2385" spans="1:40" hidden="1">
      <c r="A2385">
        <v>2384</v>
      </c>
      <c r="B2385">
        <v>19</v>
      </c>
      <c r="C2385" s="58">
        <v>45463</v>
      </c>
      <c r="D2385" t="s">
        <v>7</v>
      </c>
      <c r="E2385" t="s">
        <v>4409</v>
      </c>
      <c r="F2385">
        <v>8</v>
      </c>
      <c r="G2385">
        <v>14</v>
      </c>
      <c r="H2385">
        <v>517</v>
      </c>
      <c r="I2385">
        <v>2</v>
      </c>
      <c r="J2385">
        <v>63.74</v>
      </c>
      <c r="K2385" t="s">
        <v>9</v>
      </c>
      <c r="L2385">
        <v>6362900</v>
      </c>
      <c r="M2385">
        <v>0</v>
      </c>
      <c r="N2385">
        <v>6362900</v>
      </c>
      <c r="O2385">
        <v>99825.855036084089</v>
      </c>
      <c r="P2385">
        <v>0</v>
      </c>
      <c r="Q2385">
        <v>6362900</v>
      </c>
      <c r="R2385">
        <v>99825.855036084089</v>
      </c>
      <c r="S2385" t="s">
        <v>65</v>
      </c>
      <c r="T2385" t="s">
        <v>717</v>
      </c>
      <c r="U2385" t="s">
        <v>717</v>
      </c>
      <c r="V2385" t="s">
        <v>6312</v>
      </c>
      <c r="W2385">
        <v>45454</v>
      </c>
      <c r="X2385" t="s">
        <v>10222</v>
      </c>
      <c r="Y2385" t="s">
        <v>6</v>
      </c>
      <c r="Z2385" t="s">
        <v>17</v>
      </c>
      <c r="AA2385" t="s">
        <v>6637</v>
      </c>
      <c r="AB2385" t="s">
        <v>2509</v>
      </c>
      <c r="AC2385" t="s">
        <v>2571</v>
      </c>
      <c r="AD2385" t="s">
        <v>717</v>
      </c>
      <c r="AE2385" t="s">
        <v>10223</v>
      </c>
      <c r="AF2385" t="s">
        <v>10224</v>
      </c>
      <c r="AG2385" t="s">
        <v>10225</v>
      </c>
      <c r="AH2385" t="s">
        <v>2552</v>
      </c>
      <c r="AI2385" t="s">
        <v>2847</v>
      </c>
      <c r="AJ2385" t="s">
        <v>2940</v>
      </c>
      <c r="AK2385" t="s">
        <v>14</v>
      </c>
      <c r="AL2385" t="s">
        <v>1892</v>
      </c>
      <c r="AM2385" t="s">
        <v>10</v>
      </c>
      <c r="AN2385" t="s">
        <v>717</v>
      </c>
    </row>
    <row r="2386" spans="1:40" hidden="1">
      <c r="A2386">
        <v>2385</v>
      </c>
      <c r="B2386">
        <v>20</v>
      </c>
      <c r="C2386" s="58">
        <v>45463</v>
      </c>
      <c r="D2386" t="s">
        <v>13</v>
      </c>
      <c r="E2386" t="s">
        <v>2515</v>
      </c>
      <c r="F2386">
        <v>3</v>
      </c>
      <c r="G2386">
        <v>12</v>
      </c>
      <c r="H2386">
        <v>79</v>
      </c>
      <c r="I2386">
        <v>1</v>
      </c>
      <c r="J2386">
        <v>37.729999999999997</v>
      </c>
      <c r="K2386" t="s">
        <v>25</v>
      </c>
      <c r="L2386">
        <v>5273900</v>
      </c>
      <c r="M2386">
        <v>0</v>
      </c>
      <c r="N2386">
        <v>5273900</v>
      </c>
      <c r="O2386">
        <v>139780.01590246489</v>
      </c>
      <c r="P2386">
        <v>754600</v>
      </c>
      <c r="Q2386">
        <v>4519300</v>
      </c>
      <c r="R2386">
        <v>119780.01590246487</v>
      </c>
      <c r="S2386" t="s">
        <v>65</v>
      </c>
      <c r="T2386" t="s">
        <v>717</v>
      </c>
      <c r="U2386" t="s">
        <v>717</v>
      </c>
      <c r="V2386" t="s">
        <v>4131</v>
      </c>
      <c r="W2386">
        <v>45460</v>
      </c>
      <c r="X2386" t="s">
        <v>10226</v>
      </c>
      <c r="Y2386" t="s">
        <v>6</v>
      </c>
      <c r="Z2386" t="s">
        <v>17</v>
      </c>
      <c r="AA2386" t="s">
        <v>6637</v>
      </c>
      <c r="AB2386" t="s">
        <v>2509</v>
      </c>
      <c r="AC2386" t="s">
        <v>2571</v>
      </c>
      <c r="AD2386" t="s">
        <v>717</v>
      </c>
      <c r="AE2386" t="s">
        <v>10227</v>
      </c>
      <c r="AF2386" t="s">
        <v>10228</v>
      </c>
      <c r="AG2386" t="s">
        <v>10229</v>
      </c>
      <c r="AH2386" t="s">
        <v>2615</v>
      </c>
      <c r="AI2386" t="s">
        <v>2552</v>
      </c>
      <c r="AJ2386" t="s">
        <v>2662</v>
      </c>
      <c r="AK2386" t="s">
        <v>8</v>
      </c>
      <c r="AL2386" t="s">
        <v>22</v>
      </c>
      <c r="AM2386" t="s">
        <v>10</v>
      </c>
      <c r="AN2386" t="s">
        <v>717</v>
      </c>
    </row>
    <row r="2387" spans="1:40" hidden="1">
      <c r="A2387">
        <v>2386</v>
      </c>
      <c r="B2387">
        <v>21</v>
      </c>
      <c r="C2387" s="58">
        <v>45464</v>
      </c>
      <c r="D2387" t="s">
        <v>13</v>
      </c>
      <c r="E2387" t="s">
        <v>2515</v>
      </c>
      <c r="F2387">
        <v>1</v>
      </c>
      <c r="G2387">
        <v>15</v>
      </c>
      <c r="H2387">
        <v>98</v>
      </c>
      <c r="I2387">
        <v>1</v>
      </c>
      <c r="J2387">
        <v>34.39</v>
      </c>
      <c r="K2387" t="s">
        <v>9</v>
      </c>
      <c r="L2387">
        <v>4103900</v>
      </c>
      <c r="M2387">
        <v>0</v>
      </c>
      <c r="N2387">
        <v>4103900</v>
      </c>
      <c r="O2387">
        <v>119334.10875254434</v>
      </c>
      <c r="P2387">
        <v>0</v>
      </c>
      <c r="Q2387">
        <v>4103900</v>
      </c>
      <c r="R2387">
        <v>119334.10875254434</v>
      </c>
      <c r="S2387" t="s">
        <v>65</v>
      </c>
      <c r="T2387" t="s">
        <v>717</v>
      </c>
      <c r="U2387" t="s">
        <v>717</v>
      </c>
      <c r="V2387" t="s">
        <v>4131</v>
      </c>
      <c r="W2387">
        <v>45443</v>
      </c>
      <c r="X2387" t="s">
        <v>10230</v>
      </c>
      <c r="Y2387" t="s">
        <v>6</v>
      </c>
      <c r="Z2387" t="s">
        <v>17</v>
      </c>
      <c r="AA2387" t="s">
        <v>6637</v>
      </c>
      <c r="AB2387" t="s">
        <v>2509</v>
      </c>
      <c r="AC2387" t="s">
        <v>2571</v>
      </c>
      <c r="AD2387" t="s">
        <v>717</v>
      </c>
      <c r="AE2387" t="s">
        <v>10231</v>
      </c>
      <c r="AF2387" t="s">
        <v>10232</v>
      </c>
      <c r="AG2387" t="s">
        <v>10233</v>
      </c>
      <c r="AH2387" t="s">
        <v>6100</v>
      </c>
      <c r="AI2387" t="s">
        <v>10080</v>
      </c>
      <c r="AJ2387" t="s">
        <v>10081</v>
      </c>
      <c r="AK2387" t="s">
        <v>8</v>
      </c>
      <c r="AL2387" t="s">
        <v>16</v>
      </c>
      <c r="AM2387" t="s">
        <v>5654</v>
      </c>
      <c r="AN2387" t="s">
        <v>717</v>
      </c>
    </row>
    <row r="2388" spans="1:40" hidden="1">
      <c r="A2388">
        <v>2387</v>
      </c>
      <c r="B2388">
        <v>22</v>
      </c>
      <c r="C2388" s="58">
        <v>45464</v>
      </c>
      <c r="D2388" t="s">
        <v>7</v>
      </c>
      <c r="E2388" t="s">
        <v>2515</v>
      </c>
      <c r="F2388">
        <v>6</v>
      </c>
      <c r="G2388">
        <v>4</v>
      </c>
      <c r="H2388">
        <v>22</v>
      </c>
      <c r="I2388">
        <v>2</v>
      </c>
      <c r="J2388">
        <v>59.87</v>
      </c>
      <c r="K2388" t="s">
        <v>15</v>
      </c>
      <c r="L2388">
        <v>6675925</v>
      </c>
      <c r="M2388">
        <v>0</v>
      </c>
      <c r="N2388">
        <v>6675925</v>
      </c>
      <c r="O2388">
        <v>111507.01519959912</v>
      </c>
      <c r="P2388">
        <v>449025</v>
      </c>
      <c r="Q2388">
        <v>6226900</v>
      </c>
      <c r="R2388">
        <v>104007.01519959912</v>
      </c>
      <c r="S2388" t="s">
        <v>65</v>
      </c>
      <c r="T2388" t="s">
        <v>717</v>
      </c>
      <c r="U2388" t="s">
        <v>717</v>
      </c>
      <c r="V2388" t="s">
        <v>6312</v>
      </c>
      <c r="W2388">
        <v>45450</v>
      </c>
      <c r="X2388" t="s">
        <v>10234</v>
      </c>
      <c r="Y2388" t="s">
        <v>6</v>
      </c>
      <c r="Z2388" t="s">
        <v>17</v>
      </c>
      <c r="AA2388" t="s">
        <v>6637</v>
      </c>
      <c r="AB2388" t="s">
        <v>2509</v>
      </c>
      <c r="AC2388" t="s">
        <v>2571</v>
      </c>
      <c r="AD2388" t="s">
        <v>717</v>
      </c>
      <c r="AE2388" t="s">
        <v>10235</v>
      </c>
      <c r="AF2388" t="s">
        <v>10236</v>
      </c>
      <c r="AG2388" t="s">
        <v>10237</v>
      </c>
      <c r="AH2388" t="s">
        <v>2615</v>
      </c>
      <c r="AI2388" t="s">
        <v>2538</v>
      </c>
      <c r="AJ2388" t="s">
        <v>2662</v>
      </c>
      <c r="AK2388" t="s">
        <v>14</v>
      </c>
      <c r="AL2388" t="s">
        <v>16</v>
      </c>
      <c r="AM2388" t="s">
        <v>10</v>
      </c>
      <c r="AN2388" t="s">
        <v>717</v>
      </c>
    </row>
    <row r="2389" spans="1:40" hidden="1">
      <c r="A2389">
        <v>2388</v>
      </c>
      <c r="B2389">
        <v>23</v>
      </c>
      <c r="C2389" s="58">
        <v>45464</v>
      </c>
      <c r="D2389" t="s">
        <v>13</v>
      </c>
      <c r="E2389" t="s">
        <v>2506</v>
      </c>
      <c r="F2389">
        <v>3</v>
      </c>
      <c r="G2389">
        <v>11</v>
      </c>
      <c r="H2389">
        <v>183</v>
      </c>
      <c r="I2389">
        <v>2</v>
      </c>
      <c r="J2389">
        <v>57.6</v>
      </c>
      <c r="K2389" t="s">
        <v>25</v>
      </c>
      <c r="L2389">
        <v>6619800</v>
      </c>
      <c r="M2389">
        <v>0</v>
      </c>
      <c r="N2389">
        <v>6619800</v>
      </c>
      <c r="O2389">
        <v>114927.08333333331</v>
      </c>
      <c r="P2389">
        <v>1152000</v>
      </c>
      <c r="Q2389">
        <v>5467800</v>
      </c>
      <c r="R2389">
        <v>94927.083333333328</v>
      </c>
      <c r="S2389" t="s">
        <v>65</v>
      </c>
      <c r="T2389" t="s">
        <v>717</v>
      </c>
      <c r="U2389" t="s">
        <v>717</v>
      </c>
      <c r="V2389" t="s">
        <v>4131</v>
      </c>
      <c r="W2389">
        <v>45454</v>
      </c>
      <c r="X2389" t="s">
        <v>10238</v>
      </c>
      <c r="Y2389" t="s">
        <v>6</v>
      </c>
      <c r="Z2389" t="s">
        <v>17</v>
      </c>
      <c r="AA2389" t="s">
        <v>6637</v>
      </c>
      <c r="AB2389" t="s">
        <v>2509</v>
      </c>
      <c r="AC2389" t="s">
        <v>2571</v>
      </c>
      <c r="AD2389" t="s">
        <v>717</v>
      </c>
      <c r="AE2389" t="s">
        <v>10239</v>
      </c>
      <c r="AF2389" t="s">
        <v>10240</v>
      </c>
      <c r="AG2389" t="s">
        <v>10241</v>
      </c>
      <c r="AH2389" t="s">
        <v>6100</v>
      </c>
      <c r="AI2389" t="s">
        <v>5653</v>
      </c>
      <c r="AJ2389" t="s">
        <v>31</v>
      </c>
      <c r="AK2389" t="s">
        <v>14</v>
      </c>
      <c r="AL2389" t="s">
        <v>1892</v>
      </c>
      <c r="AM2389" t="s">
        <v>5654</v>
      </c>
      <c r="AN2389" t="s">
        <v>717</v>
      </c>
    </row>
    <row r="2390" spans="1:40" hidden="1">
      <c r="A2390">
        <v>2389</v>
      </c>
      <c r="B2390">
        <v>24</v>
      </c>
      <c r="C2390" s="58">
        <v>45464</v>
      </c>
      <c r="D2390" t="s">
        <v>13</v>
      </c>
      <c r="E2390" t="s">
        <v>2515</v>
      </c>
      <c r="F2390">
        <v>2</v>
      </c>
      <c r="G2390">
        <v>10</v>
      </c>
      <c r="H2390">
        <v>64</v>
      </c>
      <c r="I2390">
        <v>2</v>
      </c>
      <c r="J2390">
        <v>68.5</v>
      </c>
      <c r="K2390" t="s">
        <v>21</v>
      </c>
      <c r="L2390">
        <v>7196600</v>
      </c>
      <c r="M2390">
        <v>0</v>
      </c>
      <c r="N2390">
        <v>7196600</v>
      </c>
      <c r="O2390">
        <v>105059.85401459856</v>
      </c>
      <c r="P2390">
        <v>479500</v>
      </c>
      <c r="Q2390">
        <v>6717100</v>
      </c>
      <c r="R2390">
        <v>98059.854014598546</v>
      </c>
      <c r="S2390" t="s">
        <v>65</v>
      </c>
      <c r="T2390" t="s">
        <v>10242</v>
      </c>
      <c r="U2390">
        <v>100000</v>
      </c>
      <c r="V2390" t="s">
        <v>4131</v>
      </c>
      <c r="W2390">
        <v>45457</v>
      </c>
      <c r="X2390" t="s">
        <v>10243</v>
      </c>
      <c r="Y2390" t="s">
        <v>6</v>
      </c>
      <c r="Z2390" t="s">
        <v>17</v>
      </c>
      <c r="AA2390" t="s">
        <v>6637</v>
      </c>
      <c r="AB2390" t="s">
        <v>2509</v>
      </c>
      <c r="AC2390" t="s">
        <v>2571</v>
      </c>
      <c r="AD2390" t="s">
        <v>717</v>
      </c>
      <c r="AE2390" t="s">
        <v>10244</v>
      </c>
      <c r="AF2390" t="s">
        <v>10245</v>
      </c>
      <c r="AG2390" t="s">
        <v>10246</v>
      </c>
      <c r="AH2390" t="s">
        <v>2615</v>
      </c>
      <c r="AI2390" t="s">
        <v>2621</v>
      </c>
      <c r="AJ2390" t="s">
        <v>2569</v>
      </c>
      <c r="AK2390" t="s">
        <v>14</v>
      </c>
      <c r="AL2390" t="s">
        <v>22</v>
      </c>
      <c r="AM2390" t="s">
        <v>10</v>
      </c>
      <c r="AN2390" t="s">
        <v>717</v>
      </c>
    </row>
    <row r="2391" spans="1:40" hidden="1">
      <c r="A2391">
        <v>2390</v>
      </c>
      <c r="B2391">
        <v>25</v>
      </c>
      <c r="C2391" s="58">
        <v>45464</v>
      </c>
      <c r="D2391" t="s">
        <v>13</v>
      </c>
      <c r="E2391" t="s">
        <v>2581</v>
      </c>
      <c r="F2391">
        <v>6</v>
      </c>
      <c r="G2391">
        <v>21</v>
      </c>
      <c r="H2391">
        <v>367</v>
      </c>
      <c r="I2391">
        <v>3</v>
      </c>
      <c r="J2391">
        <v>80.97</v>
      </c>
      <c r="K2391" t="s">
        <v>9</v>
      </c>
      <c r="L2391">
        <v>7688026</v>
      </c>
      <c r="M2391">
        <v>0</v>
      </c>
      <c r="N2391">
        <v>7688026</v>
      </c>
      <c r="O2391">
        <v>94949.067555884889</v>
      </c>
      <c r="P2391">
        <v>0</v>
      </c>
      <c r="Q2391">
        <v>7688026</v>
      </c>
      <c r="R2391">
        <v>94949.067555884889</v>
      </c>
      <c r="S2391" t="s">
        <v>65</v>
      </c>
      <c r="T2391" t="s">
        <v>4059</v>
      </c>
      <c r="U2391">
        <v>237774.00000000093</v>
      </c>
      <c r="V2391" t="s">
        <v>6312</v>
      </c>
      <c r="W2391">
        <v>45457</v>
      </c>
      <c r="X2391" t="s">
        <v>10247</v>
      </c>
      <c r="Y2391" t="s">
        <v>6</v>
      </c>
      <c r="Z2391" t="s">
        <v>17</v>
      </c>
      <c r="AA2391" t="s">
        <v>6637</v>
      </c>
      <c r="AB2391" t="s">
        <v>2509</v>
      </c>
      <c r="AC2391" t="s">
        <v>2571</v>
      </c>
      <c r="AD2391" t="s">
        <v>717</v>
      </c>
      <c r="AE2391" t="s">
        <v>10248</v>
      </c>
      <c r="AF2391" t="s">
        <v>10249</v>
      </c>
      <c r="AG2391" t="s">
        <v>10250</v>
      </c>
      <c r="AH2391" t="s">
        <v>2191</v>
      </c>
      <c r="AI2391" t="s">
        <v>2538</v>
      </c>
      <c r="AJ2391" t="s">
        <v>2514</v>
      </c>
      <c r="AK2391" t="s">
        <v>14</v>
      </c>
      <c r="AL2391" t="s">
        <v>16</v>
      </c>
      <c r="AM2391" t="s">
        <v>10</v>
      </c>
      <c r="AN2391" t="s">
        <v>717</v>
      </c>
    </row>
    <row r="2392" spans="1:40" hidden="1">
      <c r="A2392">
        <v>2391</v>
      </c>
      <c r="B2392">
        <v>26</v>
      </c>
      <c r="C2392" s="58">
        <v>45464</v>
      </c>
      <c r="D2392" t="s">
        <v>13</v>
      </c>
      <c r="E2392" t="s">
        <v>2515</v>
      </c>
      <c r="F2392">
        <v>4</v>
      </c>
      <c r="G2392">
        <v>13</v>
      </c>
      <c r="H2392">
        <v>87</v>
      </c>
      <c r="I2392">
        <v>2</v>
      </c>
      <c r="J2392">
        <v>59.09</v>
      </c>
      <c r="K2392" t="s">
        <v>21</v>
      </c>
      <c r="L2392">
        <v>6132830</v>
      </c>
      <c r="M2392">
        <v>0</v>
      </c>
      <c r="N2392">
        <v>6132830</v>
      </c>
      <c r="O2392">
        <v>103787.95058385513</v>
      </c>
      <c r="P2392">
        <v>413630</v>
      </c>
      <c r="Q2392">
        <v>5719200</v>
      </c>
      <c r="R2392">
        <v>96787.950583855127</v>
      </c>
      <c r="S2392" t="s">
        <v>65</v>
      </c>
      <c r="T2392" t="s">
        <v>717</v>
      </c>
      <c r="U2392" t="s">
        <v>717</v>
      </c>
      <c r="V2392" t="s">
        <v>4131</v>
      </c>
      <c r="W2392">
        <v>45460</v>
      </c>
      <c r="X2392" t="s">
        <v>10251</v>
      </c>
      <c r="Y2392" t="s">
        <v>6</v>
      </c>
      <c r="Z2392" t="s">
        <v>17</v>
      </c>
      <c r="AA2392" t="s">
        <v>6637</v>
      </c>
      <c r="AB2392" t="s">
        <v>2509</v>
      </c>
      <c r="AC2392" t="s">
        <v>2571</v>
      </c>
      <c r="AD2392" t="s">
        <v>717</v>
      </c>
      <c r="AE2392" t="s">
        <v>10252</v>
      </c>
      <c r="AF2392" t="s">
        <v>10253</v>
      </c>
      <c r="AG2392" t="s">
        <v>10254</v>
      </c>
      <c r="AH2392" t="s">
        <v>6100</v>
      </c>
      <c r="AI2392" t="s">
        <v>9548</v>
      </c>
      <c r="AJ2392" t="s">
        <v>34</v>
      </c>
      <c r="AK2392" t="s">
        <v>14</v>
      </c>
      <c r="AL2392" t="s">
        <v>22</v>
      </c>
      <c r="AM2392" t="s">
        <v>5654</v>
      </c>
      <c r="AN2392" t="s">
        <v>717</v>
      </c>
    </row>
    <row r="2393" spans="1:40" hidden="1">
      <c r="A2393">
        <v>2392</v>
      </c>
      <c r="B2393">
        <v>27</v>
      </c>
      <c r="C2393" s="58">
        <v>45464</v>
      </c>
      <c r="D2393" t="s">
        <v>13</v>
      </c>
      <c r="E2393" t="s">
        <v>2581</v>
      </c>
      <c r="F2393">
        <v>7</v>
      </c>
      <c r="G2393">
        <v>8</v>
      </c>
      <c r="H2393">
        <v>277</v>
      </c>
      <c r="I2393">
        <v>1</v>
      </c>
      <c r="J2393">
        <v>34.81</v>
      </c>
      <c r="K2393" t="s">
        <v>9</v>
      </c>
      <c r="L2393">
        <v>4212300</v>
      </c>
      <c r="M2393">
        <v>0</v>
      </c>
      <c r="N2393">
        <v>4212300</v>
      </c>
      <c r="O2393">
        <v>121008.33093938524</v>
      </c>
      <c r="P2393">
        <v>0</v>
      </c>
      <c r="Q2393">
        <v>4212300</v>
      </c>
      <c r="R2393">
        <v>121008.33093938524</v>
      </c>
      <c r="S2393" t="s">
        <v>65</v>
      </c>
      <c r="T2393" t="s">
        <v>717</v>
      </c>
      <c r="U2393" t="s">
        <v>717</v>
      </c>
      <c r="V2393" t="s">
        <v>4131</v>
      </c>
      <c r="W2393">
        <v>45461</v>
      </c>
      <c r="X2393" t="s">
        <v>10255</v>
      </c>
      <c r="Y2393" t="s">
        <v>6</v>
      </c>
      <c r="Z2393" t="s">
        <v>17</v>
      </c>
      <c r="AA2393" t="s">
        <v>6637</v>
      </c>
      <c r="AB2393" t="s">
        <v>2509</v>
      </c>
      <c r="AC2393" t="s">
        <v>2571</v>
      </c>
      <c r="AD2393" t="s">
        <v>717</v>
      </c>
      <c r="AE2393" t="s">
        <v>10256</v>
      </c>
      <c r="AF2393" t="s">
        <v>10257</v>
      </c>
      <c r="AG2393" t="s">
        <v>10258</v>
      </c>
      <c r="AH2393" t="s">
        <v>2615</v>
      </c>
      <c r="AI2393" t="s">
        <v>2521</v>
      </c>
      <c r="AJ2393" t="s">
        <v>2662</v>
      </c>
      <c r="AK2393" t="s">
        <v>8</v>
      </c>
      <c r="AL2393" t="s">
        <v>1892</v>
      </c>
      <c r="AM2393" t="s">
        <v>10</v>
      </c>
      <c r="AN2393" t="s">
        <v>717</v>
      </c>
    </row>
    <row r="2394" spans="1:40" hidden="1">
      <c r="A2394">
        <v>2393</v>
      </c>
      <c r="B2394">
        <v>28</v>
      </c>
      <c r="C2394" s="58">
        <v>45464</v>
      </c>
      <c r="D2394" t="s">
        <v>13</v>
      </c>
      <c r="E2394" t="s">
        <v>2581</v>
      </c>
      <c r="F2394">
        <v>5</v>
      </c>
      <c r="G2394">
        <v>10</v>
      </c>
      <c r="H2394">
        <v>289</v>
      </c>
      <c r="I2394">
        <v>1</v>
      </c>
      <c r="J2394">
        <v>37.81</v>
      </c>
      <c r="K2394" t="s">
        <v>9</v>
      </c>
      <c r="L2394">
        <v>4430900</v>
      </c>
      <c r="M2394">
        <v>0</v>
      </c>
      <c r="N2394">
        <v>4430900</v>
      </c>
      <c r="O2394">
        <v>117188.5744512034</v>
      </c>
      <c r="P2394">
        <v>0</v>
      </c>
      <c r="Q2394">
        <v>4430900</v>
      </c>
      <c r="R2394">
        <v>117188.5744512034</v>
      </c>
      <c r="S2394" t="s">
        <v>65</v>
      </c>
      <c r="T2394" t="s">
        <v>717</v>
      </c>
      <c r="U2394" t="s">
        <v>717</v>
      </c>
      <c r="V2394" t="s">
        <v>4131</v>
      </c>
      <c r="W2394">
        <v>45462</v>
      </c>
      <c r="X2394" t="s">
        <v>10259</v>
      </c>
      <c r="Y2394" t="s">
        <v>6</v>
      </c>
      <c r="Z2394" t="s">
        <v>17</v>
      </c>
      <c r="AA2394" t="s">
        <v>6637</v>
      </c>
      <c r="AB2394" t="s">
        <v>2509</v>
      </c>
      <c r="AC2394" t="s">
        <v>2571</v>
      </c>
      <c r="AD2394" t="s">
        <v>717</v>
      </c>
      <c r="AE2394" t="s">
        <v>10260</v>
      </c>
      <c r="AF2394" t="s">
        <v>10261</v>
      </c>
      <c r="AG2394" t="s">
        <v>10262</v>
      </c>
      <c r="AH2394" t="s">
        <v>2191</v>
      </c>
      <c r="AI2394" t="s">
        <v>3120</v>
      </c>
      <c r="AJ2394" t="s">
        <v>2514</v>
      </c>
      <c r="AK2394" t="s">
        <v>8</v>
      </c>
      <c r="AL2394" t="s">
        <v>1892</v>
      </c>
      <c r="AM2394" t="s">
        <v>10</v>
      </c>
      <c r="AN2394" t="s">
        <v>717</v>
      </c>
    </row>
    <row r="2395" spans="1:40" hidden="1">
      <c r="A2395">
        <v>2394</v>
      </c>
      <c r="B2395">
        <v>29</v>
      </c>
      <c r="C2395" s="58">
        <v>45464</v>
      </c>
      <c r="D2395" t="s">
        <v>13</v>
      </c>
      <c r="E2395" t="s">
        <v>4409</v>
      </c>
      <c r="F2395">
        <v>8</v>
      </c>
      <c r="G2395">
        <v>6</v>
      </c>
      <c r="H2395">
        <v>436</v>
      </c>
      <c r="I2395">
        <v>1</v>
      </c>
      <c r="J2395">
        <v>39.69</v>
      </c>
      <c r="K2395" t="s">
        <v>25</v>
      </c>
      <c r="L2395">
        <v>5154600</v>
      </c>
      <c r="M2395">
        <v>0</v>
      </c>
      <c r="N2395">
        <v>5154600</v>
      </c>
      <c r="O2395">
        <v>129871.50415721846</v>
      </c>
      <c r="P2395">
        <v>793800</v>
      </c>
      <c r="Q2395">
        <v>4360800</v>
      </c>
      <c r="R2395">
        <v>109871.50415721846</v>
      </c>
      <c r="S2395" t="s">
        <v>65</v>
      </c>
      <c r="T2395" t="s">
        <v>717</v>
      </c>
      <c r="U2395" t="s">
        <v>717</v>
      </c>
      <c r="V2395" t="s">
        <v>4131</v>
      </c>
      <c r="W2395">
        <v>45462</v>
      </c>
      <c r="X2395" t="s">
        <v>10263</v>
      </c>
      <c r="Y2395" t="s">
        <v>6</v>
      </c>
      <c r="Z2395" t="s">
        <v>17</v>
      </c>
      <c r="AA2395" t="s">
        <v>6637</v>
      </c>
      <c r="AB2395" t="s">
        <v>2509</v>
      </c>
      <c r="AC2395" t="s">
        <v>2571</v>
      </c>
      <c r="AD2395" t="s">
        <v>717</v>
      </c>
      <c r="AE2395" t="s">
        <v>10264</v>
      </c>
      <c r="AF2395" t="s">
        <v>10265</v>
      </c>
      <c r="AG2395" t="s">
        <v>10266</v>
      </c>
      <c r="AH2395" t="s">
        <v>2615</v>
      </c>
      <c r="AI2395" t="s">
        <v>2621</v>
      </c>
      <c r="AJ2395" t="s">
        <v>2569</v>
      </c>
      <c r="AK2395" t="s">
        <v>8</v>
      </c>
      <c r="AL2395" t="s">
        <v>1892</v>
      </c>
      <c r="AM2395" t="s">
        <v>10</v>
      </c>
      <c r="AN2395" t="s">
        <v>717</v>
      </c>
    </row>
    <row r="2396" spans="1:40" hidden="1">
      <c r="A2396">
        <v>2395</v>
      </c>
      <c r="B2396">
        <v>30</v>
      </c>
      <c r="C2396" s="58">
        <v>45465</v>
      </c>
      <c r="D2396" t="s">
        <v>13</v>
      </c>
      <c r="E2396" t="s">
        <v>4409</v>
      </c>
      <c r="F2396">
        <v>6</v>
      </c>
      <c r="G2396">
        <v>20</v>
      </c>
      <c r="H2396">
        <v>546</v>
      </c>
      <c r="I2396">
        <v>1</v>
      </c>
      <c r="J2396">
        <v>38.299999999999997</v>
      </c>
      <c r="K2396" t="s">
        <v>21</v>
      </c>
      <c r="L2396">
        <v>4752900</v>
      </c>
      <c r="M2396">
        <v>30000</v>
      </c>
      <c r="N2396">
        <v>4782900</v>
      </c>
      <c r="O2396">
        <v>124879.89556135773</v>
      </c>
      <c r="P2396">
        <v>268100</v>
      </c>
      <c r="Q2396">
        <v>4514800</v>
      </c>
      <c r="R2396">
        <v>117879.89556135773</v>
      </c>
      <c r="S2396" t="s">
        <v>65</v>
      </c>
      <c r="T2396" t="s">
        <v>717</v>
      </c>
      <c r="U2396" t="s">
        <v>717</v>
      </c>
      <c r="V2396" t="s">
        <v>4131</v>
      </c>
      <c r="W2396">
        <v>45442</v>
      </c>
      <c r="X2396" t="s">
        <v>10267</v>
      </c>
      <c r="Y2396" t="s">
        <v>6</v>
      </c>
      <c r="Z2396" t="s">
        <v>17</v>
      </c>
      <c r="AA2396" t="s">
        <v>6637</v>
      </c>
      <c r="AB2396" t="s">
        <v>2509</v>
      </c>
      <c r="AC2396" t="s">
        <v>2571</v>
      </c>
      <c r="AD2396" t="s">
        <v>717</v>
      </c>
      <c r="AE2396" t="s">
        <v>10268</v>
      </c>
      <c r="AF2396" t="s">
        <v>10269</v>
      </c>
      <c r="AG2396" t="s">
        <v>10270</v>
      </c>
      <c r="AH2396" t="s">
        <v>2552</v>
      </c>
      <c r="AI2396" t="s">
        <v>2552</v>
      </c>
      <c r="AJ2396" t="s">
        <v>4911</v>
      </c>
      <c r="AK2396" t="s">
        <v>1892</v>
      </c>
      <c r="AL2396" t="s">
        <v>1892</v>
      </c>
      <c r="AM2396" t="s">
        <v>10</v>
      </c>
      <c r="AN2396" t="s">
        <v>717</v>
      </c>
    </row>
    <row r="2397" spans="1:40" hidden="1">
      <c r="A2397">
        <v>2396</v>
      </c>
      <c r="B2397">
        <v>31</v>
      </c>
      <c r="C2397" s="58">
        <v>45465</v>
      </c>
      <c r="D2397" t="s">
        <v>13</v>
      </c>
      <c r="E2397" t="s">
        <v>2515</v>
      </c>
      <c r="F2397">
        <v>2</v>
      </c>
      <c r="G2397">
        <v>15</v>
      </c>
      <c r="H2397">
        <v>99</v>
      </c>
      <c r="I2397">
        <v>2</v>
      </c>
      <c r="J2397">
        <v>68.5</v>
      </c>
      <c r="K2397" t="s">
        <v>21</v>
      </c>
      <c r="L2397">
        <v>6596600</v>
      </c>
      <c r="M2397">
        <v>0</v>
      </c>
      <c r="N2397">
        <v>6596600</v>
      </c>
      <c r="O2397">
        <v>96300.729927007298</v>
      </c>
      <c r="P2397">
        <v>479500</v>
      </c>
      <c r="Q2397">
        <v>6117100</v>
      </c>
      <c r="R2397">
        <v>89300.729927007298</v>
      </c>
      <c r="S2397" t="s">
        <v>65</v>
      </c>
      <c r="T2397" t="s">
        <v>3414</v>
      </c>
      <c r="U2397">
        <v>700000</v>
      </c>
      <c r="V2397" t="s">
        <v>4131</v>
      </c>
      <c r="W2397">
        <v>45442</v>
      </c>
      <c r="X2397" t="s">
        <v>10271</v>
      </c>
      <c r="Y2397" t="s">
        <v>6</v>
      </c>
      <c r="Z2397" t="s">
        <v>17</v>
      </c>
      <c r="AA2397" t="s">
        <v>6637</v>
      </c>
      <c r="AB2397" t="s">
        <v>2509</v>
      </c>
      <c r="AC2397" t="s">
        <v>2571</v>
      </c>
      <c r="AD2397" t="s">
        <v>717</v>
      </c>
      <c r="AE2397" t="s">
        <v>10272</v>
      </c>
      <c r="AF2397" t="s">
        <v>10273</v>
      </c>
      <c r="AG2397" t="s">
        <v>10274</v>
      </c>
      <c r="AH2397" t="s">
        <v>2615</v>
      </c>
      <c r="AI2397" t="s">
        <v>2552</v>
      </c>
      <c r="AJ2397" t="s">
        <v>2569</v>
      </c>
      <c r="AK2397" t="s">
        <v>29</v>
      </c>
      <c r="AL2397" t="s">
        <v>16</v>
      </c>
      <c r="AM2397" t="s">
        <v>10</v>
      </c>
      <c r="AN2397" t="s">
        <v>717</v>
      </c>
    </row>
    <row r="2398" spans="1:40" hidden="1">
      <c r="A2398">
        <v>2397</v>
      </c>
      <c r="B2398">
        <v>32</v>
      </c>
      <c r="C2398" s="58">
        <v>45465</v>
      </c>
      <c r="D2398" t="s">
        <v>7</v>
      </c>
      <c r="E2398" t="s">
        <v>2515</v>
      </c>
      <c r="F2398">
        <v>6</v>
      </c>
      <c r="G2398">
        <v>3</v>
      </c>
      <c r="H2398">
        <v>14</v>
      </c>
      <c r="I2398">
        <v>2</v>
      </c>
      <c r="J2398">
        <v>59.87</v>
      </c>
      <c r="K2398" t="s">
        <v>15</v>
      </c>
      <c r="L2398">
        <v>6611825</v>
      </c>
      <c r="M2398">
        <v>0</v>
      </c>
      <c r="N2398">
        <v>6611825</v>
      </c>
      <c r="O2398">
        <v>110436.36211792217</v>
      </c>
      <c r="P2398">
        <v>449025</v>
      </c>
      <c r="Q2398">
        <v>6162800</v>
      </c>
      <c r="R2398">
        <v>102936.36211792217</v>
      </c>
      <c r="S2398" t="s">
        <v>65</v>
      </c>
      <c r="T2398" t="s">
        <v>717</v>
      </c>
      <c r="U2398" t="s">
        <v>717</v>
      </c>
      <c r="V2398" t="s">
        <v>4131</v>
      </c>
      <c r="W2398">
        <v>45453</v>
      </c>
      <c r="X2398" t="s">
        <v>10275</v>
      </c>
      <c r="Y2398" t="s">
        <v>6</v>
      </c>
      <c r="Z2398" t="s">
        <v>17</v>
      </c>
      <c r="AA2398" t="s">
        <v>6637</v>
      </c>
      <c r="AB2398" t="s">
        <v>2509</v>
      </c>
      <c r="AC2398" t="s">
        <v>2571</v>
      </c>
      <c r="AD2398" t="s">
        <v>717</v>
      </c>
      <c r="AE2398" t="s">
        <v>10276</v>
      </c>
      <c r="AF2398" t="s">
        <v>10277</v>
      </c>
      <c r="AG2398" t="s">
        <v>10278</v>
      </c>
      <c r="AH2398" t="s">
        <v>2615</v>
      </c>
      <c r="AI2398" t="s">
        <v>2538</v>
      </c>
      <c r="AJ2398" t="s">
        <v>4799</v>
      </c>
      <c r="AK2398" t="s">
        <v>20</v>
      </c>
      <c r="AL2398" t="s">
        <v>22</v>
      </c>
      <c r="AM2398" t="s">
        <v>10</v>
      </c>
      <c r="AN2398" t="s">
        <v>717</v>
      </c>
    </row>
    <row r="2399" spans="1:40" hidden="1">
      <c r="A2399">
        <v>2398</v>
      </c>
      <c r="B2399">
        <v>33</v>
      </c>
      <c r="C2399" s="58">
        <v>45465</v>
      </c>
      <c r="D2399" t="s">
        <v>7</v>
      </c>
      <c r="E2399" t="s">
        <v>4409</v>
      </c>
      <c r="F2399">
        <v>4</v>
      </c>
      <c r="G2399">
        <v>8</v>
      </c>
      <c r="H2399">
        <v>459</v>
      </c>
      <c r="I2399">
        <v>1</v>
      </c>
      <c r="J2399">
        <v>36.5</v>
      </c>
      <c r="K2399" t="s">
        <v>25</v>
      </c>
      <c r="L2399">
        <v>5350600</v>
      </c>
      <c r="M2399">
        <v>0</v>
      </c>
      <c r="N2399">
        <v>5350600</v>
      </c>
      <c r="O2399">
        <v>146591.78082191781</v>
      </c>
      <c r="P2399">
        <v>803000</v>
      </c>
      <c r="Q2399">
        <v>4547600</v>
      </c>
      <c r="R2399">
        <v>124591.7808219178</v>
      </c>
      <c r="S2399" t="s">
        <v>65</v>
      </c>
      <c r="T2399" t="s">
        <v>717</v>
      </c>
      <c r="U2399" t="s">
        <v>717</v>
      </c>
      <c r="V2399" t="s">
        <v>4131</v>
      </c>
      <c r="W2399">
        <v>45460</v>
      </c>
      <c r="X2399" t="s">
        <v>10279</v>
      </c>
      <c r="Y2399" t="s">
        <v>6</v>
      </c>
      <c r="Z2399" t="s">
        <v>17</v>
      </c>
      <c r="AA2399" t="s">
        <v>6637</v>
      </c>
      <c r="AB2399" t="s">
        <v>2509</v>
      </c>
      <c r="AC2399" t="s">
        <v>2571</v>
      </c>
      <c r="AD2399" t="s">
        <v>717</v>
      </c>
      <c r="AE2399" t="s">
        <v>10280</v>
      </c>
      <c r="AF2399" t="s">
        <v>10281</v>
      </c>
      <c r="AG2399" t="s">
        <v>10282</v>
      </c>
      <c r="AH2399" t="s">
        <v>2615</v>
      </c>
      <c r="AI2399" t="s">
        <v>2706</v>
      </c>
      <c r="AJ2399" t="s">
        <v>2569</v>
      </c>
      <c r="AK2399" t="s">
        <v>20</v>
      </c>
      <c r="AL2399" t="s">
        <v>22</v>
      </c>
      <c r="AM2399" t="s">
        <v>10</v>
      </c>
      <c r="AN2399" t="s">
        <v>717</v>
      </c>
    </row>
    <row r="2400" spans="1:40" hidden="1">
      <c r="A2400">
        <v>2399</v>
      </c>
      <c r="B2400">
        <v>34</v>
      </c>
      <c r="C2400" s="58">
        <v>45465</v>
      </c>
      <c r="D2400" t="s">
        <v>13</v>
      </c>
      <c r="E2400" t="s">
        <v>2506</v>
      </c>
      <c r="F2400">
        <v>7</v>
      </c>
      <c r="G2400">
        <v>9</v>
      </c>
      <c r="H2400">
        <v>173</v>
      </c>
      <c r="I2400">
        <v>1</v>
      </c>
      <c r="J2400">
        <v>42.28</v>
      </c>
      <c r="K2400" t="s">
        <v>21</v>
      </c>
      <c r="L2400">
        <v>4876260</v>
      </c>
      <c r="M2400">
        <v>0</v>
      </c>
      <c r="N2400">
        <v>4876260</v>
      </c>
      <c r="O2400">
        <v>115332.54493850521</v>
      </c>
      <c r="P2400">
        <v>295960</v>
      </c>
      <c r="Q2400">
        <v>4580300</v>
      </c>
      <c r="R2400">
        <v>108332.54493850521</v>
      </c>
      <c r="S2400" t="s">
        <v>65</v>
      </c>
      <c r="T2400" t="s">
        <v>717</v>
      </c>
      <c r="U2400" t="s">
        <v>717</v>
      </c>
      <c r="V2400" t="s">
        <v>4131</v>
      </c>
      <c r="W2400">
        <v>45463</v>
      </c>
      <c r="X2400" t="s">
        <v>10283</v>
      </c>
      <c r="Y2400" t="s">
        <v>6</v>
      </c>
      <c r="Z2400" t="s">
        <v>17</v>
      </c>
      <c r="AA2400" t="s">
        <v>6637</v>
      </c>
      <c r="AB2400" t="s">
        <v>2509</v>
      </c>
      <c r="AC2400" t="s">
        <v>2571</v>
      </c>
      <c r="AD2400" t="s">
        <v>717</v>
      </c>
      <c r="AE2400" t="s">
        <v>10284</v>
      </c>
      <c r="AF2400" t="s">
        <v>10285</v>
      </c>
      <c r="AG2400" t="s">
        <v>10286</v>
      </c>
      <c r="AH2400" t="s">
        <v>2615</v>
      </c>
      <c r="AI2400" t="s">
        <v>2552</v>
      </c>
      <c r="AJ2400" t="s">
        <v>3202</v>
      </c>
      <c r="AK2400" t="s">
        <v>8</v>
      </c>
      <c r="AL2400" t="s">
        <v>1892</v>
      </c>
      <c r="AM2400" t="s">
        <v>10</v>
      </c>
      <c r="AN2400" t="s">
        <v>717</v>
      </c>
    </row>
    <row r="2401" spans="1:40" hidden="1">
      <c r="A2401">
        <v>2400</v>
      </c>
      <c r="B2401">
        <v>35</v>
      </c>
      <c r="C2401" s="58">
        <v>45465</v>
      </c>
      <c r="D2401" t="s">
        <v>13</v>
      </c>
      <c r="E2401" t="s">
        <v>2506</v>
      </c>
      <c r="F2401">
        <v>7</v>
      </c>
      <c r="G2401">
        <v>16</v>
      </c>
      <c r="H2401">
        <v>222</v>
      </c>
      <c r="I2401">
        <v>1</v>
      </c>
      <c r="J2401">
        <v>42.28</v>
      </c>
      <c r="K2401" t="s">
        <v>25</v>
      </c>
      <c r="L2401">
        <v>5514400</v>
      </c>
      <c r="M2401">
        <v>0</v>
      </c>
      <c r="N2401">
        <v>5514400</v>
      </c>
      <c r="O2401">
        <v>130425.73320719016</v>
      </c>
      <c r="P2401">
        <v>845600</v>
      </c>
      <c r="Q2401">
        <v>4668800</v>
      </c>
      <c r="R2401">
        <v>110425.73320719016</v>
      </c>
      <c r="S2401" t="s">
        <v>65</v>
      </c>
      <c r="T2401" t="s">
        <v>717</v>
      </c>
      <c r="U2401" t="s">
        <v>717</v>
      </c>
      <c r="V2401" t="s">
        <v>4131</v>
      </c>
      <c r="W2401">
        <v>45463</v>
      </c>
      <c r="X2401" t="s">
        <v>10287</v>
      </c>
      <c r="Y2401" t="s">
        <v>6</v>
      </c>
      <c r="Z2401" t="s">
        <v>17</v>
      </c>
      <c r="AA2401" t="s">
        <v>6637</v>
      </c>
      <c r="AB2401" t="s">
        <v>2509</v>
      </c>
      <c r="AC2401" t="s">
        <v>2571</v>
      </c>
      <c r="AD2401" t="s">
        <v>717</v>
      </c>
      <c r="AE2401" t="s">
        <v>10288</v>
      </c>
      <c r="AF2401" t="s">
        <v>10289</v>
      </c>
      <c r="AG2401" t="s">
        <v>10290</v>
      </c>
      <c r="AH2401" t="s">
        <v>2580</v>
      </c>
      <c r="AI2401" t="s">
        <v>2552</v>
      </c>
      <c r="AJ2401" t="s">
        <v>3921</v>
      </c>
      <c r="AK2401" t="s">
        <v>8</v>
      </c>
      <c r="AL2401" t="s">
        <v>16</v>
      </c>
      <c r="AM2401" t="s">
        <v>10</v>
      </c>
      <c r="AN2401" t="s">
        <v>717</v>
      </c>
    </row>
    <row r="2402" spans="1:40" hidden="1">
      <c r="A2402">
        <v>2401</v>
      </c>
      <c r="B2402">
        <v>36</v>
      </c>
      <c r="C2402" s="58">
        <v>45466</v>
      </c>
      <c r="D2402" t="s">
        <v>13</v>
      </c>
      <c r="E2402" t="s">
        <v>2506</v>
      </c>
      <c r="F2402">
        <v>3</v>
      </c>
      <c r="G2402">
        <v>4</v>
      </c>
      <c r="H2402">
        <v>134</v>
      </c>
      <c r="I2402">
        <v>2</v>
      </c>
      <c r="J2402">
        <v>57.6</v>
      </c>
      <c r="K2402" t="s">
        <v>25</v>
      </c>
      <c r="L2402">
        <v>6611742</v>
      </c>
      <c r="M2402">
        <v>0</v>
      </c>
      <c r="N2402">
        <v>6611742</v>
      </c>
      <c r="O2402">
        <v>114787.1875</v>
      </c>
      <c r="P2402">
        <v>1152000</v>
      </c>
      <c r="Q2402">
        <v>5459742</v>
      </c>
      <c r="R2402">
        <v>94787.1875</v>
      </c>
      <c r="S2402" t="s">
        <v>65</v>
      </c>
      <c r="T2402" t="s">
        <v>5768</v>
      </c>
      <c r="U2402">
        <v>168858</v>
      </c>
      <c r="V2402" t="s">
        <v>4131</v>
      </c>
      <c r="W2402">
        <v>45443</v>
      </c>
      <c r="X2402" t="s">
        <v>10291</v>
      </c>
      <c r="Y2402" t="s">
        <v>6</v>
      </c>
      <c r="Z2402" t="s">
        <v>17</v>
      </c>
      <c r="AA2402" t="s">
        <v>6637</v>
      </c>
      <c r="AB2402" t="s">
        <v>2509</v>
      </c>
      <c r="AC2402" t="s">
        <v>2571</v>
      </c>
      <c r="AD2402" t="s">
        <v>717</v>
      </c>
      <c r="AE2402" t="s">
        <v>10292</v>
      </c>
      <c r="AF2402" t="s">
        <v>10293</v>
      </c>
      <c r="AG2402" t="s">
        <v>10294</v>
      </c>
      <c r="AH2402" t="s">
        <v>2191</v>
      </c>
      <c r="AI2402" t="s">
        <v>2552</v>
      </c>
      <c r="AJ2402" t="s">
        <v>2514</v>
      </c>
      <c r="AK2402" t="s">
        <v>20</v>
      </c>
      <c r="AL2402" t="s">
        <v>16</v>
      </c>
      <c r="AM2402" t="s">
        <v>10</v>
      </c>
      <c r="AN2402" t="s">
        <v>717</v>
      </c>
    </row>
    <row r="2403" spans="1:40" hidden="1">
      <c r="A2403">
        <v>2402</v>
      </c>
      <c r="B2403">
        <v>37</v>
      </c>
      <c r="C2403" s="58">
        <v>45466</v>
      </c>
      <c r="D2403" t="s">
        <v>1875</v>
      </c>
      <c r="E2403" t="s">
        <v>10295</v>
      </c>
      <c r="F2403">
        <v>1</v>
      </c>
      <c r="G2403">
        <v>13</v>
      </c>
      <c r="H2403">
        <v>45</v>
      </c>
      <c r="I2403">
        <v>2</v>
      </c>
      <c r="J2403">
        <v>61.41</v>
      </c>
      <c r="K2403" t="s">
        <v>9</v>
      </c>
      <c r="L2403">
        <v>7409584</v>
      </c>
      <c r="M2403">
        <v>0</v>
      </c>
      <c r="N2403">
        <v>7409584</v>
      </c>
      <c r="O2403">
        <v>120657.6127666504</v>
      </c>
      <c r="P2403">
        <v>0</v>
      </c>
      <c r="Q2403">
        <v>7409584</v>
      </c>
      <c r="R2403">
        <v>120657.6127666504</v>
      </c>
      <c r="S2403" t="s">
        <v>65</v>
      </c>
      <c r="T2403" t="s">
        <v>2941</v>
      </c>
      <c r="U2403">
        <v>151216</v>
      </c>
      <c r="V2403" t="s">
        <v>4131</v>
      </c>
      <c r="W2403">
        <v>45464</v>
      </c>
      <c r="X2403" t="s">
        <v>10296</v>
      </c>
      <c r="Y2403" t="s">
        <v>6</v>
      </c>
      <c r="Z2403" t="s">
        <v>17</v>
      </c>
      <c r="AA2403" t="s">
        <v>6637</v>
      </c>
      <c r="AB2403" t="s">
        <v>2509</v>
      </c>
      <c r="AC2403" t="s">
        <v>2571</v>
      </c>
      <c r="AD2403" t="s">
        <v>717</v>
      </c>
      <c r="AE2403" t="s">
        <v>10297</v>
      </c>
      <c r="AF2403" t="s">
        <v>10298</v>
      </c>
      <c r="AG2403" t="s">
        <v>10299</v>
      </c>
      <c r="AH2403" t="s">
        <v>2615</v>
      </c>
      <c r="AI2403" t="s">
        <v>2847</v>
      </c>
      <c r="AJ2403" t="s">
        <v>3289</v>
      </c>
      <c r="AK2403" t="s">
        <v>8</v>
      </c>
      <c r="AL2403" t="s">
        <v>22</v>
      </c>
      <c r="AM2403" t="s">
        <v>10</v>
      </c>
      <c r="AN2403" t="s">
        <v>10300</v>
      </c>
    </row>
    <row r="2404" spans="1:40" hidden="1">
      <c r="A2404">
        <v>2403</v>
      </c>
      <c r="B2404">
        <v>38</v>
      </c>
      <c r="C2404" s="58">
        <v>45467</v>
      </c>
      <c r="D2404" t="s">
        <v>13</v>
      </c>
      <c r="E2404" t="s">
        <v>4409</v>
      </c>
      <c r="F2404">
        <v>4</v>
      </c>
      <c r="G2404">
        <v>3</v>
      </c>
      <c r="H2404">
        <v>408</v>
      </c>
      <c r="I2404">
        <v>2</v>
      </c>
      <c r="J2404">
        <v>58.24</v>
      </c>
      <c r="K2404" t="s">
        <v>25</v>
      </c>
      <c r="L2404">
        <v>6640900</v>
      </c>
      <c r="M2404">
        <v>15000</v>
      </c>
      <c r="N2404">
        <v>6655900</v>
      </c>
      <c r="O2404">
        <v>114283.99725274724</v>
      </c>
      <c r="P2404">
        <v>1164800</v>
      </c>
      <c r="Q2404">
        <v>5491100</v>
      </c>
      <c r="R2404">
        <v>94283.997252747271</v>
      </c>
      <c r="S2404" t="s">
        <v>65</v>
      </c>
      <c r="T2404" t="s">
        <v>9911</v>
      </c>
      <c r="U2404">
        <v>90000</v>
      </c>
      <c r="V2404" t="s">
        <v>6312</v>
      </c>
      <c r="W2404">
        <v>45427</v>
      </c>
      <c r="X2404" t="s">
        <v>10301</v>
      </c>
      <c r="Y2404" t="s">
        <v>6</v>
      </c>
      <c r="Z2404" t="s">
        <v>17</v>
      </c>
      <c r="AA2404" t="s">
        <v>6637</v>
      </c>
      <c r="AB2404" t="s">
        <v>2509</v>
      </c>
      <c r="AC2404" t="s">
        <v>2571</v>
      </c>
      <c r="AD2404" t="s">
        <v>717</v>
      </c>
      <c r="AE2404" t="s">
        <v>10302</v>
      </c>
      <c r="AF2404" t="s">
        <v>10303</v>
      </c>
      <c r="AG2404" t="s">
        <v>10304</v>
      </c>
      <c r="AH2404" t="s">
        <v>2552</v>
      </c>
      <c r="AI2404" t="s">
        <v>2877</v>
      </c>
      <c r="AJ2404" t="s">
        <v>3098</v>
      </c>
      <c r="AK2404" t="s">
        <v>20</v>
      </c>
      <c r="AL2404" t="s">
        <v>22</v>
      </c>
      <c r="AM2404" t="s">
        <v>10</v>
      </c>
      <c r="AN2404" t="s">
        <v>717</v>
      </c>
    </row>
    <row r="2405" spans="1:40" hidden="1">
      <c r="A2405">
        <v>2404</v>
      </c>
      <c r="B2405">
        <v>39</v>
      </c>
      <c r="C2405" s="58">
        <v>45467</v>
      </c>
      <c r="D2405" t="s">
        <v>13</v>
      </c>
      <c r="E2405" t="s">
        <v>2506</v>
      </c>
      <c r="F2405">
        <v>3</v>
      </c>
      <c r="G2405">
        <v>16</v>
      </c>
      <c r="H2405">
        <v>218</v>
      </c>
      <c r="I2405">
        <v>2</v>
      </c>
      <c r="J2405">
        <v>57.6</v>
      </c>
      <c r="K2405" t="s">
        <v>21</v>
      </c>
      <c r="L2405">
        <v>5978200</v>
      </c>
      <c r="M2405">
        <v>0</v>
      </c>
      <c r="N2405">
        <v>5978200</v>
      </c>
      <c r="O2405">
        <v>103788.19444444444</v>
      </c>
      <c r="P2405">
        <v>403200</v>
      </c>
      <c r="Q2405">
        <v>5575000</v>
      </c>
      <c r="R2405">
        <v>96788.194444444438</v>
      </c>
      <c r="S2405" t="s">
        <v>65</v>
      </c>
      <c r="T2405" t="s">
        <v>717</v>
      </c>
      <c r="U2405" t="s">
        <v>717</v>
      </c>
      <c r="V2405" t="s">
        <v>6312</v>
      </c>
      <c r="W2405">
        <v>45450</v>
      </c>
      <c r="X2405" t="s">
        <v>10305</v>
      </c>
      <c r="Y2405" t="s">
        <v>6</v>
      </c>
      <c r="Z2405" t="s">
        <v>17</v>
      </c>
      <c r="AA2405" t="s">
        <v>6637</v>
      </c>
      <c r="AB2405" t="s">
        <v>2509</v>
      </c>
      <c r="AC2405" t="s">
        <v>2571</v>
      </c>
      <c r="AD2405" t="s">
        <v>717</v>
      </c>
      <c r="AE2405" t="s">
        <v>2685</v>
      </c>
      <c r="AF2405" t="s">
        <v>10306</v>
      </c>
      <c r="AG2405" t="s">
        <v>10307</v>
      </c>
      <c r="AH2405" t="s">
        <v>2615</v>
      </c>
      <c r="AI2405" t="s">
        <v>2521</v>
      </c>
      <c r="AJ2405" t="s">
        <v>2662</v>
      </c>
      <c r="AK2405" t="s">
        <v>20</v>
      </c>
      <c r="AL2405" t="s">
        <v>16</v>
      </c>
      <c r="AM2405" t="s">
        <v>10</v>
      </c>
      <c r="AN2405" t="s">
        <v>717</v>
      </c>
    </row>
    <row r="2406" spans="1:40" hidden="1">
      <c r="A2406">
        <v>2405</v>
      </c>
      <c r="B2406">
        <v>40</v>
      </c>
      <c r="C2406" s="58">
        <v>45467</v>
      </c>
      <c r="D2406" t="s">
        <v>13</v>
      </c>
      <c r="E2406" t="s">
        <v>4409</v>
      </c>
      <c r="F2406">
        <v>6</v>
      </c>
      <c r="G2406">
        <v>1</v>
      </c>
      <c r="H2406">
        <v>395</v>
      </c>
      <c r="I2406">
        <v>3</v>
      </c>
      <c r="J2406">
        <v>79.44</v>
      </c>
      <c r="K2406" t="s">
        <v>9</v>
      </c>
      <c r="L2406">
        <v>8531500</v>
      </c>
      <c r="M2406">
        <v>0</v>
      </c>
      <c r="N2406">
        <v>8531500</v>
      </c>
      <c r="O2406">
        <v>107395.51863041287</v>
      </c>
      <c r="P2406">
        <v>0</v>
      </c>
      <c r="Q2406">
        <v>8531500</v>
      </c>
      <c r="R2406">
        <v>107395.51863041287</v>
      </c>
      <c r="S2406" t="s">
        <v>65</v>
      </c>
      <c r="T2406" t="s">
        <v>10242</v>
      </c>
      <c r="U2406">
        <v>150000</v>
      </c>
      <c r="V2406" t="s">
        <v>6312</v>
      </c>
      <c r="W2406">
        <v>45463</v>
      </c>
      <c r="X2406" t="s">
        <v>10308</v>
      </c>
      <c r="Y2406" t="s">
        <v>6</v>
      </c>
      <c r="Z2406" t="s">
        <v>17</v>
      </c>
      <c r="AA2406" t="s">
        <v>6637</v>
      </c>
      <c r="AB2406" t="s">
        <v>2509</v>
      </c>
      <c r="AC2406" t="s">
        <v>2571</v>
      </c>
      <c r="AD2406" t="s">
        <v>717</v>
      </c>
      <c r="AE2406" t="s">
        <v>10309</v>
      </c>
      <c r="AF2406" t="s">
        <v>10310</v>
      </c>
      <c r="AG2406" t="s">
        <v>10311</v>
      </c>
      <c r="AH2406" t="s">
        <v>2552</v>
      </c>
      <c r="AI2406" t="s">
        <v>2877</v>
      </c>
      <c r="AJ2406" t="s">
        <v>3098</v>
      </c>
      <c r="AK2406" t="s">
        <v>8</v>
      </c>
      <c r="AL2406" t="s">
        <v>22</v>
      </c>
      <c r="AM2406" t="s">
        <v>10</v>
      </c>
      <c r="AN2406" t="s">
        <v>717</v>
      </c>
    </row>
    <row r="2407" spans="1:40" hidden="1">
      <c r="A2407">
        <v>2406</v>
      </c>
      <c r="B2407">
        <v>41</v>
      </c>
      <c r="C2407" s="58">
        <v>45468</v>
      </c>
      <c r="D2407" t="s">
        <v>13</v>
      </c>
      <c r="E2407" t="s">
        <v>4409</v>
      </c>
      <c r="F2407">
        <v>6</v>
      </c>
      <c r="G2407">
        <v>15</v>
      </c>
      <c r="H2407">
        <v>506</v>
      </c>
      <c r="I2407">
        <v>1</v>
      </c>
      <c r="J2407">
        <v>38.299999999999997</v>
      </c>
      <c r="K2407" t="s">
        <v>9</v>
      </c>
      <c r="L2407">
        <v>4266700</v>
      </c>
      <c r="M2407">
        <v>0</v>
      </c>
      <c r="N2407">
        <v>4266700</v>
      </c>
      <c r="O2407">
        <v>111402.08877284596</v>
      </c>
      <c r="P2407">
        <v>0</v>
      </c>
      <c r="Q2407">
        <v>4266700</v>
      </c>
      <c r="R2407">
        <v>111402.08877284596</v>
      </c>
      <c r="S2407" t="s">
        <v>65</v>
      </c>
      <c r="T2407" t="s">
        <v>717</v>
      </c>
      <c r="U2407" t="s">
        <v>717</v>
      </c>
      <c r="V2407" t="s">
        <v>6312</v>
      </c>
      <c r="W2407">
        <v>45460</v>
      </c>
      <c r="X2407" t="s">
        <v>10312</v>
      </c>
      <c r="Y2407" t="s">
        <v>6</v>
      </c>
      <c r="Z2407" t="s">
        <v>17</v>
      </c>
      <c r="AA2407" t="s">
        <v>6637</v>
      </c>
      <c r="AB2407" t="s">
        <v>2509</v>
      </c>
      <c r="AC2407" t="s">
        <v>2571</v>
      </c>
      <c r="AD2407" t="s">
        <v>717</v>
      </c>
      <c r="AE2407" t="s">
        <v>10313</v>
      </c>
      <c r="AF2407" t="s">
        <v>10314</v>
      </c>
      <c r="AG2407" t="s">
        <v>10315</v>
      </c>
      <c r="AH2407" t="s">
        <v>2580</v>
      </c>
      <c r="AI2407" t="s">
        <v>2552</v>
      </c>
      <c r="AJ2407" t="s">
        <v>3921</v>
      </c>
      <c r="AK2407" t="s">
        <v>20</v>
      </c>
      <c r="AL2407" t="s">
        <v>1892</v>
      </c>
      <c r="AM2407" t="s">
        <v>10</v>
      </c>
      <c r="AN2407" t="s">
        <v>717</v>
      </c>
    </row>
    <row r="2408" spans="1:40" hidden="1">
      <c r="A2408">
        <v>2407</v>
      </c>
      <c r="B2408">
        <v>42</v>
      </c>
      <c r="C2408" s="58">
        <v>45468</v>
      </c>
      <c r="D2408" t="s">
        <v>13</v>
      </c>
      <c r="E2408" t="s">
        <v>2506</v>
      </c>
      <c r="F2408">
        <v>7</v>
      </c>
      <c r="G2408">
        <v>12</v>
      </c>
      <c r="H2408">
        <v>194</v>
      </c>
      <c r="I2408">
        <v>1</v>
      </c>
      <c r="J2408">
        <v>42.28</v>
      </c>
      <c r="K2408" t="s">
        <v>21</v>
      </c>
      <c r="L2408">
        <v>4964760</v>
      </c>
      <c r="M2408">
        <v>0</v>
      </c>
      <c r="N2408">
        <v>4964760</v>
      </c>
      <c r="O2408">
        <v>117425.73320719016</v>
      </c>
      <c r="P2408">
        <v>295960</v>
      </c>
      <c r="Q2408">
        <v>4668800</v>
      </c>
      <c r="R2408">
        <v>110425.73320719016</v>
      </c>
      <c r="S2408" t="s">
        <v>65</v>
      </c>
      <c r="T2408" t="s">
        <v>717</v>
      </c>
      <c r="U2408" t="s">
        <v>717</v>
      </c>
      <c r="V2408" t="s">
        <v>6312</v>
      </c>
      <c r="W2408">
        <v>45461</v>
      </c>
      <c r="X2408" t="s">
        <v>10316</v>
      </c>
      <c r="Y2408" t="s">
        <v>6</v>
      </c>
      <c r="Z2408" t="s">
        <v>17</v>
      </c>
      <c r="AA2408" t="s">
        <v>6637</v>
      </c>
      <c r="AB2408" t="s">
        <v>2509</v>
      </c>
      <c r="AC2408" t="s">
        <v>2571</v>
      </c>
      <c r="AD2408" t="s">
        <v>717</v>
      </c>
      <c r="AE2408" t="s">
        <v>10317</v>
      </c>
      <c r="AF2408" t="s">
        <v>10318</v>
      </c>
      <c r="AG2408" t="s">
        <v>10319</v>
      </c>
      <c r="AH2408" t="s">
        <v>2191</v>
      </c>
      <c r="AI2408" t="s">
        <v>2656</v>
      </c>
      <c r="AJ2408" t="s">
        <v>2514</v>
      </c>
      <c r="AK2408" t="s">
        <v>8</v>
      </c>
      <c r="AL2408" t="s">
        <v>1892</v>
      </c>
      <c r="AM2408" t="s">
        <v>10</v>
      </c>
      <c r="AN2408" t="s">
        <v>717</v>
      </c>
    </row>
    <row r="2409" spans="1:40" hidden="1">
      <c r="A2409">
        <v>2408</v>
      </c>
      <c r="B2409">
        <v>43</v>
      </c>
      <c r="C2409" s="58">
        <v>45468</v>
      </c>
      <c r="D2409" t="s">
        <v>13</v>
      </c>
      <c r="E2409" t="s">
        <v>2581</v>
      </c>
      <c r="F2409">
        <v>3</v>
      </c>
      <c r="G2409">
        <v>17</v>
      </c>
      <c r="H2409">
        <v>336</v>
      </c>
      <c r="I2409">
        <v>2</v>
      </c>
      <c r="J2409">
        <v>56.58</v>
      </c>
      <c r="K2409" t="s">
        <v>25</v>
      </c>
      <c r="L2409">
        <v>6451856</v>
      </c>
      <c r="M2409">
        <v>0</v>
      </c>
      <c r="N2409">
        <v>6451856</v>
      </c>
      <c r="O2409">
        <v>114030.68221986567</v>
      </c>
      <c r="P2409">
        <v>1131600</v>
      </c>
      <c r="Q2409">
        <v>5320256</v>
      </c>
      <c r="R2409">
        <v>94030.682219865674</v>
      </c>
      <c r="S2409" t="s">
        <v>2507</v>
      </c>
      <c r="T2409" t="s">
        <v>9531</v>
      </c>
      <c r="U2409">
        <v>164544</v>
      </c>
      <c r="V2409" t="s">
        <v>717</v>
      </c>
      <c r="W2409">
        <v>45463</v>
      </c>
      <c r="X2409" t="s">
        <v>10320</v>
      </c>
      <c r="Y2409" t="s">
        <v>6</v>
      </c>
      <c r="Z2409" t="s">
        <v>17</v>
      </c>
      <c r="AA2409" t="s">
        <v>5617</v>
      </c>
      <c r="AB2409" t="s">
        <v>2509</v>
      </c>
      <c r="AC2409" t="s">
        <v>717</v>
      </c>
      <c r="AD2409" t="s">
        <v>717</v>
      </c>
      <c r="AE2409" t="s">
        <v>10321</v>
      </c>
      <c r="AF2409" t="s">
        <v>10322</v>
      </c>
      <c r="AG2409" t="s">
        <v>10323</v>
      </c>
      <c r="AH2409" t="s">
        <v>6100</v>
      </c>
      <c r="AI2409" t="s">
        <v>9944</v>
      </c>
      <c r="AJ2409" t="s">
        <v>41</v>
      </c>
      <c r="AK2409" t="s">
        <v>8</v>
      </c>
      <c r="AL2409" t="s">
        <v>717</v>
      </c>
      <c r="AM2409" t="s">
        <v>5654</v>
      </c>
      <c r="AN2409" t="s">
        <v>717</v>
      </c>
    </row>
    <row r="2410" spans="1:40" hidden="1">
      <c r="A2410">
        <v>2409</v>
      </c>
      <c r="B2410">
        <v>44</v>
      </c>
      <c r="C2410" s="58">
        <v>45469</v>
      </c>
      <c r="D2410" t="s">
        <v>13</v>
      </c>
      <c r="E2410" t="s">
        <v>2581</v>
      </c>
      <c r="F2410">
        <v>3</v>
      </c>
      <c r="G2410">
        <v>14</v>
      </c>
      <c r="H2410">
        <v>315</v>
      </c>
      <c r="I2410">
        <v>2</v>
      </c>
      <c r="J2410">
        <v>56.58</v>
      </c>
      <c r="K2410" t="s">
        <v>25</v>
      </c>
      <c r="L2410">
        <v>6669100</v>
      </c>
      <c r="M2410">
        <v>0</v>
      </c>
      <c r="N2410">
        <v>6669100</v>
      </c>
      <c r="O2410">
        <v>117870.27218098268</v>
      </c>
      <c r="P2410">
        <v>1131600</v>
      </c>
      <c r="Q2410">
        <v>5537500</v>
      </c>
      <c r="R2410">
        <v>97870.272180982676</v>
      </c>
      <c r="S2410" t="s">
        <v>65</v>
      </c>
      <c r="T2410" t="s">
        <v>717</v>
      </c>
      <c r="U2410" t="s">
        <v>717</v>
      </c>
      <c r="V2410" t="s">
        <v>6312</v>
      </c>
      <c r="W2410">
        <v>45447</v>
      </c>
      <c r="X2410" t="s">
        <v>10324</v>
      </c>
      <c r="Y2410" t="s">
        <v>6</v>
      </c>
      <c r="Z2410" t="s">
        <v>17</v>
      </c>
      <c r="AA2410" t="s">
        <v>6637</v>
      </c>
      <c r="AB2410" t="s">
        <v>2509</v>
      </c>
      <c r="AC2410" t="s">
        <v>2571</v>
      </c>
      <c r="AD2410" t="s">
        <v>717</v>
      </c>
      <c r="AE2410" t="s">
        <v>10325</v>
      </c>
      <c r="AF2410" t="s">
        <v>10326</v>
      </c>
      <c r="AG2410" t="s">
        <v>10327</v>
      </c>
      <c r="AH2410" t="s">
        <v>2615</v>
      </c>
      <c r="AI2410" t="s">
        <v>2688</v>
      </c>
      <c r="AJ2410" t="s">
        <v>3330</v>
      </c>
      <c r="AK2410" t="s">
        <v>8</v>
      </c>
      <c r="AL2410" t="s">
        <v>16</v>
      </c>
      <c r="AM2410" t="s">
        <v>10</v>
      </c>
      <c r="AN2410" t="s">
        <v>717</v>
      </c>
    </row>
    <row r="2411" spans="1:40" hidden="1">
      <c r="A2411">
        <v>2410</v>
      </c>
      <c r="B2411">
        <v>45</v>
      </c>
      <c r="C2411" s="58">
        <v>45469</v>
      </c>
      <c r="D2411" t="s">
        <v>13</v>
      </c>
      <c r="E2411" t="s">
        <v>2515</v>
      </c>
      <c r="F2411">
        <v>6</v>
      </c>
      <c r="G2411">
        <v>4</v>
      </c>
      <c r="H2411">
        <v>26</v>
      </c>
      <c r="I2411">
        <v>2</v>
      </c>
      <c r="J2411">
        <v>58.16</v>
      </c>
      <c r="K2411" t="s">
        <v>9</v>
      </c>
      <c r="L2411">
        <v>5591565</v>
      </c>
      <c r="M2411">
        <v>0</v>
      </c>
      <c r="N2411">
        <v>5591565</v>
      </c>
      <c r="O2411">
        <v>96141.076341127933</v>
      </c>
      <c r="P2411">
        <v>0</v>
      </c>
      <c r="Q2411">
        <v>5591565</v>
      </c>
      <c r="R2411">
        <v>96141.076341127933</v>
      </c>
      <c r="S2411" t="s">
        <v>65</v>
      </c>
      <c r="T2411" t="s">
        <v>4059</v>
      </c>
      <c r="U2411">
        <v>172935.00000000093</v>
      </c>
      <c r="V2411" t="s">
        <v>6312</v>
      </c>
      <c r="W2411">
        <v>45463</v>
      </c>
      <c r="X2411" t="s">
        <v>10328</v>
      </c>
      <c r="Y2411" t="s">
        <v>6</v>
      </c>
      <c r="Z2411" t="s">
        <v>17</v>
      </c>
      <c r="AA2411" t="s">
        <v>6637</v>
      </c>
      <c r="AB2411" t="s">
        <v>2509</v>
      </c>
      <c r="AC2411" t="s">
        <v>2571</v>
      </c>
      <c r="AD2411" t="s">
        <v>717</v>
      </c>
      <c r="AE2411" t="s">
        <v>10329</v>
      </c>
      <c r="AF2411" t="s">
        <v>10330</v>
      </c>
      <c r="AG2411" t="s">
        <v>10331</v>
      </c>
      <c r="AH2411" t="s">
        <v>2615</v>
      </c>
      <c r="AI2411" t="s">
        <v>2847</v>
      </c>
      <c r="AJ2411" t="s">
        <v>2940</v>
      </c>
      <c r="AK2411" t="s">
        <v>14</v>
      </c>
      <c r="AL2411" t="s">
        <v>22</v>
      </c>
      <c r="AM2411" t="s">
        <v>10</v>
      </c>
      <c r="AN2411" t="s">
        <v>717</v>
      </c>
    </row>
    <row r="2412" spans="1:40" hidden="1">
      <c r="A2412">
        <v>2411</v>
      </c>
      <c r="B2412">
        <v>46</v>
      </c>
      <c r="C2412" s="58">
        <v>45469</v>
      </c>
      <c r="D2412" t="s">
        <v>13</v>
      </c>
      <c r="E2412" t="s">
        <v>2506</v>
      </c>
      <c r="F2412">
        <v>1</v>
      </c>
      <c r="G2412">
        <v>15</v>
      </c>
      <c r="H2412">
        <v>209</v>
      </c>
      <c r="I2412">
        <v>2</v>
      </c>
      <c r="J2412">
        <v>60.22</v>
      </c>
      <c r="K2412" t="s">
        <v>9</v>
      </c>
      <c r="L2412">
        <v>5770900</v>
      </c>
      <c r="M2412">
        <v>0</v>
      </c>
      <c r="N2412">
        <v>5770900</v>
      </c>
      <c r="O2412">
        <v>95830.288940551312</v>
      </c>
      <c r="P2412">
        <v>0</v>
      </c>
      <c r="Q2412">
        <v>5770900</v>
      </c>
      <c r="R2412">
        <v>95830.288940551312</v>
      </c>
      <c r="S2412" t="s">
        <v>65</v>
      </c>
      <c r="T2412" t="s">
        <v>717</v>
      </c>
      <c r="U2412" t="s">
        <v>717</v>
      </c>
      <c r="V2412" t="s">
        <v>6312</v>
      </c>
      <c r="W2412">
        <v>45467</v>
      </c>
      <c r="X2412" t="s">
        <v>10332</v>
      </c>
      <c r="Y2412" t="s">
        <v>6</v>
      </c>
      <c r="Z2412" t="s">
        <v>17</v>
      </c>
      <c r="AA2412" t="s">
        <v>6637</v>
      </c>
      <c r="AB2412" t="s">
        <v>2509</v>
      </c>
      <c r="AC2412" t="s">
        <v>2571</v>
      </c>
      <c r="AD2412" t="s">
        <v>717</v>
      </c>
      <c r="AE2412" t="s">
        <v>10333</v>
      </c>
      <c r="AF2412" t="s">
        <v>10334</v>
      </c>
      <c r="AG2412" t="s">
        <v>10335</v>
      </c>
      <c r="AH2412" t="s">
        <v>2191</v>
      </c>
      <c r="AI2412" t="s">
        <v>2688</v>
      </c>
      <c r="AJ2412" t="s">
        <v>2514</v>
      </c>
      <c r="AK2412" t="s">
        <v>8</v>
      </c>
      <c r="AL2412" t="s">
        <v>1892</v>
      </c>
      <c r="AM2412" t="s">
        <v>10</v>
      </c>
      <c r="AN2412" t="s">
        <v>717</v>
      </c>
    </row>
    <row r="2413" spans="1:40" hidden="1">
      <c r="A2413">
        <v>2412</v>
      </c>
      <c r="B2413">
        <v>47</v>
      </c>
      <c r="C2413" s="58">
        <v>45470</v>
      </c>
      <c r="D2413" t="s">
        <v>7</v>
      </c>
      <c r="E2413" t="s">
        <v>2581</v>
      </c>
      <c r="F2413">
        <v>6</v>
      </c>
      <c r="G2413">
        <v>16</v>
      </c>
      <c r="H2413">
        <v>344</v>
      </c>
      <c r="I2413">
        <v>3</v>
      </c>
      <c r="J2413">
        <v>72.510000000000005</v>
      </c>
      <c r="K2413" t="s">
        <v>15</v>
      </c>
      <c r="L2413">
        <v>7580807</v>
      </c>
      <c r="M2413">
        <v>15000</v>
      </c>
      <c r="N2413">
        <v>7595807</v>
      </c>
      <c r="O2413">
        <v>104755.30271686664</v>
      </c>
      <c r="P2413">
        <v>543825</v>
      </c>
      <c r="Q2413">
        <v>7051982</v>
      </c>
      <c r="R2413">
        <v>97255.302716866645</v>
      </c>
      <c r="S2413" t="s">
        <v>65</v>
      </c>
      <c r="T2413" t="s">
        <v>10336</v>
      </c>
      <c r="U2413">
        <v>143918</v>
      </c>
      <c r="V2413" t="s">
        <v>6312</v>
      </c>
      <c r="W2413">
        <v>45440</v>
      </c>
      <c r="X2413" t="s">
        <v>10337</v>
      </c>
      <c r="Y2413" t="s">
        <v>6</v>
      </c>
      <c r="Z2413" t="s">
        <v>17</v>
      </c>
      <c r="AA2413" t="s">
        <v>6637</v>
      </c>
      <c r="AB2413" t="s">
        <v>2509</v>
      </c>
      <c r="AC2413" t="s">
        <v>2571</v>
      </c>
      <c r="AD2413" t="s">
        <v>717</v>
      </c>
      <c r="AE2413" t="s">
        <v>10338</v>
      </c>
      <c r="AF2413" t="s">
        <v>10339</v>
      </c>
      <c r="AG2413" t="s">
        <v>10340</v>
      </c>
      <c r="AH2413" t="s">
        <v>2615</v>
      </c>
      <c r="AI2413" t="s">
        <v>2521</v>
      </c>
      <c r="AJ2413" t="s">
        <v>2569</v>
      </c>
      <c r="AK2413" t="s">
        <v>1892</v>
      </c>
      <c r="AL2413" t="s">
        <v>16</v>
      </c>
      <c r="AM2413" t="s">
        <v>10</v>
      </c>
      <c r="AN2413" t="s">
        <v>717</v>
      </c>
    </row>
    <row r="2414" spans="1:40" hidden="1">
      <c r="A2414">
        <v>2413</v>
      </c>
      <c r="B2414">
        <v>48</v>
      </c>
      <c r="C2414" s="58">
        <v>45470</v>
      </c>
      <c r="D2414" t="s">
        <v>13</v>
      </c>
      <c r="E2414" t="s">
        <v>2581</v>
      </c>
      <c r="F2414">
        <v>7</v>
      </c>
      <c r="G2414">
        <v>4</v>
      </c>
      <c r="H2414">
        <v>249</v>
      </c>
      <c r="I2414">
        <v>1</v>
      </c>
      <c r="J2414">
        <v>34.81</v>
      </c>
      <c r="K2414" t="s">
        <v>25</v>
      </c>
      <c r="L2414">
        <v>4948400</v>
      </c>
      <c r="M2414">
        <v>0</v>
      </c>
      <c r="N2414">
        <v>4948400</v>
      </c>
      <c r="O2414">
        <v>142154.55328928467</v>
      </c>
      <c r="P2414">
        <v>696200</v>
      </c>
      <c r="Q2414">
        <v>4252200</v>
      </c>
      <c r="R2414">
        <v>122154.55328928468</v>
      </c>
      <c r="S2414" t="s">
        <v>65</v>
      </c>
      <c r="T2414" t="s">
        <v>717</v>
      </c>
      <c r="U2414" t="s">
        <v>717</v>
      </c>
      <c r="V2414" t="s">
        <v>6488</v>
      </c>
      <c r="W2414">
        <v>45460</v>
      </c>
      <c r="X2414" t="s">
        <v>10341</v>
      </c>
      <c r="Y2414" t="s">
        <v>6</v>
      </c>
      <c r="Z2414" t="s">
        <v>17</v>
      </c>
      <c r="AA2414" t="s">
        <v>6637</v>
      </c>
      <c r="AB2414" t="s">
        <v>2509</v>
      </c>
      <c r="AC2414" t="s">
        <v>2571</v>
      </c>
      <c r="AD2414" t="s">
        <v>717</v>
      </c>
      <c r="AE2414" t="s">
        <v>10342</v>
      </c>
      <c r="AF2414" t="s">
        <v>10343</v>
      </c>
      <c r="AG2414" t="s">
        <v>10344</v>
      </c>
      <c r="AH2414" t="s">
        <v>2615</v>
      </c>
      <c r="AI2414" t="s">
        <v>2552</v>
      </c>
      <c r="AJ2414" t="s">
        <v>2825</v>
      </c>
      <c r="AK2414" t="s">
        <v>20</v>
      </c>
      <c r="AL2414" t="s">
        <v>22</v>
      </c>
      <c r="AM2414" t="s">
        <v>10</v>
      </c>
      <c r="AN2414" t="s">
        <v>717</v>
      </c>
    </row>
    <row r="2415" spans="1:40" hidden="1">
      <c r="A2415">
        <v>2414</v>
      </c>
      <c r="B2415">
        <v>49</v>
      </c>
      <c r="C2415" s="58">
        <v>45470</v>
      </c>
      <c r="D2415" t="s">
        <v>13</v>
      </c>
      <c r="E2415" t="s">
        <v>2515</v>
      </c>
      <c r="F2415">
        <v>1</v>
      </c>
      <c r="G2415">
        <v>6</v>
      </c>
      <c r="H2415">
        <v>35</v>
      </c>
      <c r="I2415">
        <v>1</v>
      </c>
      <c r="J2415">
        <v>34.39</v>
      </c>
      <c r="K2415" t="s">
        <v>25</v>
      </c>
      <c r="L2415">
        <v>4791700</v>
      </c>
      <c r="M2415">
        <v>0</v>
      </c>
      <c r="N2415">
        <v>4791700</v>
      </c>
      <c r="O2415">
        <v>139334.10875254433</v>
      </c>
      <c r="P2415">
        <v>687800</v>
      </c>
      <c r="Q2415">
        <v>4103900</v>
      </c>
      <c r="R2415">
        <v>119334.10875254434</v>
      </c>
      <c r="S2415" t="s">
        <v>65</v>
      </c>
      <c r="T2415" t="s">
        <v>717</v>
      </c>
      <c r="U2415" t="s">
        <v>717</v>
      </c>
      <c r="V2415" t="s">
        <v>6312</v>
      </c>
      <c r="W2415">
        <v>45462</v>
      </c>
      <c r="X2415" t="s">
        <v>10345</v>
      </c>
      <c r="Y2415" t="s">
        <v>2517</v>
      </c>
      <c r="Z2415" t="s">
        <v>17</v>
      </c>
      <c r="AA2415" t="s">
        <v>5617</v>
      </c>
      <c r="AB2415" t="s">
        <v>2509</v>
      </c>
      <c r="AC2415" t="s">
        <v>2564</v>
      </c>
      <c r="AD2415">
        <v>45651</v>
      </c>
      <c r="AE2415" t="s">
        <v>10346</v>
      </c>
      <c r="AF2415" t="s">
        <v>10347</v>
      </c>
      <c r="AG2415" t="s">
        <v>10348</v>
      </c>
      <c r="AH2415" t="s">
        <v>2615</v>
      </c>
      <c r="AI2415" t="s">
        <v>9944</v>
      </c>
      <c r="AJ2415" t="s">
        <v>41</v>
      </c>
      <c r="AK2415" t="s">
        <v>20</v>
      </c>
      <c r="AL2415" t="s">
        <v>22</v>
      </c>
      <c r="AM2415" t="s">
        <v>5654</v>
      </c>
      <c r="AN2415" t="s">
        <v>717</v>
      </c>
    </row>
    <row r="2416" spans="1:40" hidden="1">
      <c r="A2416">
        <v>2415</v>
      </c>
      <c r="B2416">
        <v>50</v>
      </c>
      <c r="C2416" s="58">
        <v>45470</v>
      </c>
      <c r="D2416" t="s">
        <v>13</v>
      </c>
      <c r="E2416" t="s">
        <v>2581</v>
      </c>
      <c r="F2416">
        <v>5</v>
      </c>
      <c r="G2416">
        <v>2</v>
      </c>
      <c r="H2416">
        <v>233</v>
      </c>
      <c r="I2416">
        <v>1</v>
      </c>
      <c r="J2416">
        <v>37.81</v>
      </c>
      <c r="K2416" t="s">
        <v>21</v>
      </c>
      <c r="L2416">
        <v>4655470</v>
      </c>
      <c r="M2416">
        <v>0</v>
      </c>
      <c r="N2416">
        <v>4655470</v>
      </c>
      <c r="O2416">
        <v>123128.00846336948</v>
      </c>
      <c r="P2416">
        <v>264670</v>
      </c>
      <c r="Q2416">
        <v>4390800</v>
      </c>
      <c r="R2416">
        <v>116128.00846336948</v>
      </c>
      <c r="S2416" t="s">
        <v>65</v>
      </c>
      <c r="T2416" t="s">
        <v>717</v>
      </c>
      <c r="U2416" t="s">
        <v>717</v>
      </c>
      <c r="V2416" t="s">
        <v>6312</v>
      </c>
      <c r="W2416">
        <v>45467</v>
      </c>
      <c r="X2416" t="s">
        <v>10349</v>
      </c>
      <c r="Y2416" t="s">
        <v>6</v>
      </c>
      <c r="Z2416" t="s">
        <v>17</v>
      </c>
      <c r="AA2416" t="s">
        <v>6637</v>
      </c>
      <c r="AB2416" t="s">
        <v>2509</v>
      </c>
      <c r="AC2416" t="s">
        <v>2571</v>
      </c>
      <c r="AD2416" t="s">
        <v>717</v>
      </c>
      <c r="AE2416" t="s">
        <v>10350</v>
      </c>
      <c r="AF2416" t="s">
        <v>10351</v>
      </c>
      <c r="AG2416" t="s">
        <v>10352</v>
      </c>
      <c r="AH2416" t="s">
        <v>2191</v>
      </c>
      <c r="AI2416" t="s">
        <v>2656</v>
      </c>
      <c r="AJ2416" t="s">
        <v>2514</v>
      </c>
      <c r="AK2416" t="s">
        <v>8</v>
      </c>
      <c r="AL2416" t="s">
        <v>1892</v>
      </c>
      <c r="AM2416" t="s">
        <v>10</v>
      </c>
      <c r="AN2416" t="s">
        <v>717</v>
      </c>
    </row>
    <row r="2417" spans="1:40" hidden="1">
      <c r="A2417">
        <v>2416</v>
      </c>
      <c r="B2417">
        <v>51</v>
      </c>
      <c r="C2417" s="58">
        <v>45470</v>
      </c>
      <c r="D2417" t="s">
        <v>13</v>
      </c>
      <c r="E2417" t="s">
        <v>2515</v>
      </c>
      <c r="F2417">
        <v>4</v>
      </c>
      <c r="G2417">
        <v>16</v>
      </c>
      <c r="H2417">
        <v>108</v>
      </c>
      <c r="I2417">
        <v>2</v>
      </c>
      <c r="J2417">
        <v>59.09</v>
      </c>
      <c r="K2417" t="s">
        <v>25</v>
      </c>
      <c r="L2417">
        <v>6901000</v>
      </c>
      <c r="M2417">
        <v>0</v>
      </c>
      <c r="N2417">
        <v>6901000</v>
      </c>
      <c r="O2417">
        <v>116787.95058385513</v>
      </c>
      <c r="P2417">
        <v>1181800</v>
      </c>
      <c r="Q2417">
        <v>5719200</v>
      </c>
      <c r="R2417">
        <v>96787.950583855127</v>
      </c>
      <c r="S2417" t="s">
        <v>65</v>
      </c>
      <c r="T2417" t="s">
        <v>717</v>
      </c>
      <c r="U2417" t="s">
        <v>717</v>
      </c>
      <c r="V2417" t="s">
        <v>6312</v>
      </c>
      <c r="W2417">
        <v>45469</v>
      </c>
      <c r="X2417" t="s">
        <v>10353</v>
      </c>
      <c r="Y2417" t="s">
        <v>2517</v>
      </c>
      <c r="Z2417" t="s">
        <v>17</v>
      </c>
      <c r="AA2417" t="s">
        <v>5617</v>
      </c>
      <c r="AB2417" t="s">
        <v>2509</v>
      </c>
      <c r="AC2417" t="s">
        <v>2564</v>
      </c>
      <c r="AD2417">
        <v>45666</v>
      </c>
      <c r="AE2417" t="s">
        <v>10354</v>
      </c>
      <c r="AF2417" t="s">
        <v>10355</v>
      </c>
      <c r="AG2417" t="s">
        <v>10356</v>
      </c>
      <c r="AH2417" t="s">
        <v>2552</v>
      </c>
      <c r="AI2417" t="s">
        <v>2547</v>
      </c>
      <c r="AJ2417" t="s">
        <v>2855</v>
      </c>
      <c r="AK2417" t="s">
        <v>8</v>
      </c>
      <c r="AL2417" t="s">
        <v>1892</v>
      </c>
      <c r="AM2417" t="s">
        <v>10</v>
      </c>
      <c r="AN2417" t="s">
        <v>717</v>
      </c>
    </row>
    <row r="2418" spans="1:40" hidden="1">
      <c r="A2418">
        <v>2417</v>
      </c>
      <c r="B2418">
        <v>52</v>
      </c>
      <c r="C2418" s="58">
        <v>45471</v>
      </c>
      <c r="D2418" t="s">
        <v>13</v>
      </c>
      <c r="E2418" t="s">
        <v>2581</v>
      </c>
      <c r="F2418">
        <v>6</v>
      </c>
      <c r="G2418">
        <v>11</v>
      </c>
      <c r="H2418">
        <v>297</v>
      </c>
      <c r="I2418">
        <v>3</v>
      </c>
      <c r="J2418">
        <v>80.97</v>
      </c>
      <c r="K2418" t="s">
        <v>25</v>
      </c>
      <c r="L2418">
        <v>8829800</v>
      </c>
      <c r="M2418">
        <v>0</v>
      </c>
      <c r="N2418">
        <v>8829800</v>
      </c>
      <c r="O2418">
        <v>109050.26553044336</v>
      </c>
      <c r="P2418">
        <v>1619400</v>
      </c>
      <c r="Q2418">
        <v>7210400</v>
      </c>
      <c r="R2418">
        <v>89050.265530443372</v>
      </c>
      <c r="S2418" t="s">
        <v>65</v>
      </c>
      <c r="T2418" t="s">
        <v>717</v>
      </c>
      <c r="U2418" t="s">
        <v>717</v>
      </c>
      <c r="V2418" t="s">
        <v>6312</v>
      </c>
      <c r="W2418">
        <v>45462</v>
      </c>
      <c r="X2418" t="s">
        <v>10357</v>
      </c>
      <c r="Y2418" t="s">
        <v>6</v>
      </c>
      <c r="Z2418" t="s">
        <v>17</v>
      </c>
      <c r="AA2418" t="s">
        <v>6637</v>
      </c>
      <c r="AB2418" t="s">
        <v>2509</v>
      </c>
      <c r="AC2418" t="s">
        <v>2571</v>
      </c>
      <c r="AD2418" t="s">
        <v>717</v>
      </c>
      <c r="AE2418" t="s">
        <v>10358</v>
      </c>
      <c r="AF2418" t="s">
        <v>10359</v>
      </c>
      <c r="AG2418" t="s">
        <v>10360</v>
      </c>
      <c r="AH2418" t="s">
        <v>2615</v>
      </c>
      <c r="AI2418" t="s">
        <v>2847</v>
      </c>
      <c r="AJ2418" t="s">
        <v>2940</v>
      </c>
      <c r="AK2418" t="s">
        <v>20</v>
      </c>
      <c r="AL2418" t="s">
        <v>22</v>
      </c>
      <c r="AM2418" t="s">
        <v>10</v>
      </c>
      <c r="AN2418" t="s">
        <v>717</v>
      </c>
    </row>
    <row r="2419" spans="1:40" hidden="1">
      <c r="A2419">
        <v>2418</v>
      </c>
      <c r="B2419">
        <v>53</v>
      </c>
      <c r="C2419" s="58">
        <v>45471</v>
      </c>
      <c r="D2419" t="s">
        <v>13</v>
      </c>
      <c r="E2419" t="s">
        <v>2506</v>
      </c>
      <c r="F2419">
        <v>3</v>
      </c>
      <c r="G2419">
        <v>3</v>
      </c>
      <c r="H2419">
        <v>127</v>
      </c>
      <c r="I2419">
        <v>2</v>
      </c>
      <c r="J2419">
        <v>57.6</v>
      </c>
      <c r="K2419" t="s">
        <v>9</v>
      </c>
      <c r="L2419">
        <v>5521400</v>
      </c>
      <c r="M2419">
        <v>0</v>
      </c>
      <c r="N2419">
        <v>5521400</v>
      </c>
      <c r="O2419">
        <v>95857.638888888891</v>
      </c>
      <c r="P2419">
        <v>0</v>
      </c>
      <c r="Q2419">
        <v>5521400</v>
      </c>
      <c r="R2419">
        <v>95857.638888888891</v>
      </c>
      <c r="S2419" t="s">
        <v>65</v>
      </c>
      <c r="T2419" t="s">
        <v>717</v>
      </c>
      <c r="U2419" t="s">
        <v>717</v>
      </c>
      <c r="V2419" t="s">
        <v>6312</v>
      </c>
      <c r="W2419">
        <v>45463</v>
      </c>
      <c r="X2419" t="s">
        <v>10361</v>
      </c>
      <c r="Y2419" t="s">
        <v>6</v>
      </c>
      <c r="Z2419" t="s">
        <v>17</v>
      </c>
      <c r="AA2419" t="s">
        <v>6637</v>
      </c>
      <c r="AB2419" t="s">
        <v>2509</v>
      </c>
      <c r="AC2419" t="s">
        <v>2571</v>
      </c>
      <c r="AD2419" t="s">
        <v>717</v>
      </c>
      <c r="AE2419" t="s">
        <v>10362</v>
      </c>
      <c r="AF2419" t="s">
        <v>10363</v>
      </c>
      <c r="AG2419" t="s">
        <v>10364</v>
      </c>
      <c r="AH2419" t="s">
        <v>2615</v>
      </c>
      <c r="AI2419" t="s">
        <v>2552</v>
      </c>
      <c r="AJ2419" t="s">
        <v>2662</v>
      </c>
      <c r="AK2419" t="s">
        <v>14</v>
      </c>
      <c r="AL2419" t="s">
        <v>22</v>
      </c>
      <c r="AM2419" t="s">
        <v>10</v>
      </c>
      <c r="AN2419" t="s">
        <v>717</v>
      </c>
    </row>
    <row r="2420" spans="1:40" hidden="1">
      <c r="A2420">
        <v>2419</v>
      </c>
      <c r="B2420">
        <v>54</v>
      </c>
      <c r="C2420" s="58">
        <v>45471</v>
      </c>
      <c r="D2420" t="s">
        <v>13</v>
      </c>
      <c r="E2420" t="s">
        <v>4409</v>
      </c>
      <c r="F2420">
        <v>4</v>
      </c>
      <c r="G2420">
        <v>9</v>
      </c>
      <c r="H2420">
        <v>456</v>
      </c>
      <c r="I2420">
        <v>2</v>
      </c>
      <c r="J2420">
        <v>58.24</v>
      </c>
      <c r="K2420" t="s">
        <v>21</v>
      </c>
      <c r="L2420">
        <v>5990380</v>
      </c>
      <c r="M2420">
        <v>0</v>
      </c>
      <c r="N2420">
        <v>5990380</v>
      </c>
      <c r="O2420">
        <v>102856.79945054944</v>
      </c>
      <c r="P2420">
        <v>407680</v>
      </c>
      <c r="Q2420">
        <v>5582700</v>
      </c>
      <c r="R2420">
        <v>95856.799450549443</v>
      </c>
      <c r="S2420" t="s">
        <v>65</v>
      </c>
      <c r="T2420" t="s">
        <v>717</v>
      </c>
      <c r="U2420" t="s">
        <v>717</v>
      </c>
      <c r="V2420" t="s">
        <v>6312</v>
      </c>
      <c r="W2420">
        <v>45467</v>
      </c>
      <c r="X2420" t="s">
        <v>10365</v>
      </c>
      <c r="Y2420" t="s">
        <v>6</v>
      </c>
      <c r="Z2420" t="s">
        <v>17</v>
      </c>
      <c r="AA2420" t="s">
        <v>6637</v>
      </c>
      <c r="AB2420" t="s">
        <v>2509</v>
      </c>
      <c r="AC2420" t="s">
        <v>2571</v>
      </c>
      <c r="AD2420" t="s">
        <v>717</v>
      </c>
      <c r="AE2420" t="s">
        <v>10366</v>
      </c>
      <c r="AF2420" t="s">
        <v>10367</v>
      </c>
      <c r="AG2420" t="s">
        <v>10368</v>
      </c>
      <c r="AH2420" t="s">
        <v>2552</v>
      </c>
      <c r="AI2420" t="s">
        <v>2547</v>
      </c>
      <c r="AJ2420" t="s">
        <v>2855</v>
      </c>
      <c r="AK2420" t="s">
        <v>14</v>
      </c>
      <c r="AL2420" t="s">
        <v>22</v>
      </c>
      <c r="AM2420" t="s">
        <v>10</v>
      </c>
      <c r="AN2420" t="s">
        <v>717</v>
      </c>
    </row>
    <row r="2421" spans="1:40" hidden="1">
      <c r="A2421">
        <v>2420</v>
      </c>
      <c r="B2421">
        <v>55</v>
      </c>
      <c r="C2421" s="58">
        <v>45471</v>
      </c>
      <c r="D2421" t="s">
        <v>13</v>
      </c>
      <c r="E2421" t="s">
        <v>4409</v>
      </c>
      <c r="F2421">
        <v>5</v>
      </c>
      <c r="G2421">
        <v>17</v>
      </c>
      <c r="H2421">
        <v>521</v>
      </c>
      <c r="I2421">
        <v>2</v>
      </c>
      <c r="J2421">
        <v>57.8</v>
      </c>
      <c r="K2421" t="s">
        <v>25</v>
      </c>
      <c r="L2421">
        <v>6669700</v>
      </c>
      <c r="M2421">
        <v>0</v>
      </c>
      <c r="N2421">
        <v>6669700</v>
      </c>
      <c r="O2421">
        <v>115392.73356401383</v>
      </c>
      <c r="P2421">
        <v>1156000</v>
      </c>
      <c r="Q2421">
        <v>5513700</v>
      </c>
      <c r="R2421">
        <v>95392.733564013863</v>
      </c>
      <c r="S2421" t="s">
        <v>65</v>
      </c>
      <c r="T2421" t="s">
        <v>717</v>
      </c>
      <c r="U2421" t="s">
        <v>717</v>
      </c>
      <c r="V2421" t="s">
        <v>6312</v>
      </c>
      <c r="W2421">
        <v>45467</v>
      </c>
      <c r="X2421" t="s">
        <v>10369</v>
      </c>
      <c r="Y2421" t="s">
        <v>6</v>
      </c>
      <c r="Z2421" t="s">
        <v>17</v>
      </c>
      <c r="AA2421" t="s">
        <v>6637</v>
      </c>
      <c r="AB2421" t="s">
        <v>2509</v>
      </c>
      <c r="AC2421" t="s">
        <v>2571</v>
      </c>
      <c r="AD2421" t="s">
        <v>717</v>
      </c>
      <c r="AE2421" t="s">
        <v>10370</v>
      </c>
      <c r="AF2421" t="s">
        <v>10371</v>
      </c>
      <c r="AG2421" t="s">
        <v>10372</v>
      </c>
      <c r="AH2421" t="s">
        <v>2552</v>
      </c>
      <c r="AI2421" t="s">
        <v>2552</v>
      </c>
      <c r="AJ2421" t="s">
        <v>3289</v>
      </c>
      <c r="AK2421" t="s">
        <v>8</v>
      </c>
      <c r="AL2421" t="s">
        <v>1892</v>
      </c>
      <c r="AM2421" t="s">
        <v>10</v>
      </c>
      <c r="AN2421" t="s">
        <v>717</v>
      </c>
    </row>
    <row r="2422" spans="1:40" hidden="1">
      <c r="A2422">
        <v>2421</v>
      </c>
      <c r="B2422">
        <v>56</v>
      </c>
      <c r="C2422" s="58">
        <v>45471</v>
      </c>
      <c r="D2422" t="s">
        <v>7</v>
      </c>
      <c r="E2422" t="s">
        <v>2506</v>
      </c>
      <c r="F2422">
        <v>2</v>
      </c>
      <c r="G2422">
        <v>7</v>
      </c>
      <c r="H2422">
        <v>162</v>
      </c>
      <c r="I2422">
        <v>2</v>
      </c>
      <c r="J2422">
        <v>68.75</v>
      </c>
      <c r="K2422" t="s">
        <v>15</v>
      </c>
      <c r="L2422">
        <v>7463425</v>
      </c>
      <c r="M2422">
        <v>0</v>
      </c>
      <c r="N2422">
        <v>7463425</v>
      </c>
      <c r="O2422">
        <v>108558.90909090907</v>
      </c>
      <c r="P2422">
        <v>515625</v>
      </c>
      <c r="Q2422">
        <v>6947800</v>
      </c>
      <c r="R2422">
        <v>101058.90909090907</v>
      </c>
      <c r="S2422" t="s">
        <v>65</v>
      </c>
      <c r="T2422" t="s">
        <v>717</v>
      </c>
      <c r="U2422" t="s">
        <v>717</v>
      </c>
      <c r="V2422" t="s">
        <v>6312</v>
      </c>
      <c r="W2422">
        <v>45467</v>
      </c>
      <c r="X2422" t="s">
        <v>10373</v>
      </c>
      <c r="Y2422" t="s">
        <v>6</v>
      </c>
      <c r="Z2422" t="s">
        <v>17</v>
      </c>
      <c r="AA2422" t="s">
        <v>6637</v>
      </c>
      <c r="AB2422" t="s">
        <v>2509</v>
      </c>
      <c r="AC2422" t="s">
        <v>2571</v>
      </c>
      <c r="AD2422" t="s">
        <v>717</v>
      </c>
      <c r="AE2422" t="s">
        <v>10374</v>
      </c>
      <c r="AF2422" t="s">
        <v>10375</v>
      </c>
      <c r="AG2422" t="s">
        <v>10376</v>
      </c>
      <c r="AH2422" t="s">
        <v>6100</v>
      </c>
      <c r="AI2422" t="s">
        <v>5653</v>
      </c>
      <c r="AJ2422" t="s">
        <v>31</v>
      </c>
      <c r="AK2422" t="s">
        <v>20</v>
      </c>
      <c r="AL2422" t="s">
        <v>22</v>
      </c>
      <c r="AM2422" t="s">
        <v>5654</v>
      </c>
      <c r="AN2422" t="s">
        <v>717</v>
      </c>
    </row>
    <row r="2423" spans="1:40" hidden="1">
      <c r="A2423">
        <v>2422</v>
      </c>
      <c r="B2423">
        <v>57</v>
      </c>
      <c r="C2423" s="58">
        <v>45471</v>
      </c>
      <c r="D2423" t="s">
        <v>13</v>
      </c>
      <c r="E2423" t="s">
        <v>2581</v>
      </c>
      <c r="F2423">
        <v>5</v>
      </c>
      <c r="G2423">
        <v>18</v>
      </c>
      <c r="H2423">
        <v>345</v>
      </c>
      <c r="I2423">
        <v>1</v>
      </c>
      <c r="J2423">
        <v>37.81</v>
      </c>
      <c r="K2423" t="s">
        <v>9</v>
      </c>
      <c r="L2423">
        <v>4430900</v>
      </c>
      <c r="M2423">
        <v>0</v>
      </c>
      <c r="N2423">
        <v>4430900</v>
      </c>
      <c r="O2423">
        <v>117188.5744512034</v>
      </c>
      <c r="P2423">
        <v>0</v>
      </c>
      <c r="Q2423">
        <v>4430900</v>
      </c>
      <c r="R2423">
        <v>117188.5744512034</v>
      </c>
      <c r="S2423" t="s">
        <v>65</v>
      </c>
      <c r="T2423" t="s">
        <v>717</v>
      </c>
      <c r="U2423" t="s">
        <v>717</v>
      </c>
      <c r="V2423" t="s">
        <v>6312</v>
      </c>
      <c r="W2423">
        <v>45468</v>
      </c>
      <c r="X2423" t="s">
        <v>10377</v>
      </c>
      <c r="Y2423" t="s">
        <v>6</v>
      </c>
      <c r="Z2423" t="s">
        <v>17</v>
      </c>
      <c r="AA2423" t="s">
        <v>6637</v>
      </c>
      <c r="AB2423" t="s">
        <v>2509</v>
      </c>
      <c r="AC2423" t="s">
        <v>2571</v>
      </c>
      <c r="AD2423" t="s">
        <v>717</v>
      </c>
      <c r="AE2423" t="s">
        <v>3592</v>
      </c>
      <c r="AF2423" t="s">
        <v>10378</v>
      </c>
      <c r="AG2423" t="s">
        <v>3594</v>
      </c>
      <c r="AH2423" t="s">
        <v>2191</v>
      </c>
      <c r="AI2423" t="s">
        <v>2600</v>
      </c>
      <c r="AJ2423" t="s">
        <v>3921</v>
      </c>
      <c r="AK2423" t="s">
        <v>14</v>
      </c>
      <c r="AL2423" t="s">
        <v>16</v>
      </c>
      <c r="AM2423" t="s">
        <v>10</v>
      </c>
      <c r="AN2423" t="s">
        <v>717</v>
      </c>
    </row>
    <row r="2424" spans="1:40" hidden="1">
      <c r="A2424">
        <v>2423</v>
      </c>
      <c r="B2424">
        <v>58</v>
      </c>
      <c r="C2424" s="58">
        <v>45472</v>
      </c>
      <c r="D2424" t="s">
        <v>13</v>
      </c>
      <c r="E2424" t="s">
        <v>2506</v>
      </c>
      <c r="F2424">
        <v>6</v>
      </c>
      <c r="G2424">
        <v>14</v>
      </c>
      <c r="H2424">
        <v>207</v>
      </c>
      <c r="I2424">
        <v>3</v>
      </c>
      <c r="J2424">
        <v>84.99</v>
      </c>
      <c r="K2424" t="s">
        <v>9</v>
      </c>
      <c r="L2424">
        <v>7450861</v>
      </c>
      <c r="M2424">
        <v>0</v>
      </c>
      <c r="N2424">
        <v>7450861</v>
      </c>
      <c r="O2424">
        <v>87667.50205906578</v>
      </c>
      <c r="P2424">
        <v>0</v>
      </c>
      <c r="Q2424">
        <v>7450861</v>
      </c>
      <c r="R2424">
        <v>87667.50205906578</v>
      </c>
      <c r="S2424" t="s">
        <v>65</v>
      </c>
      <c r="T2424" t="s">
        <v>4059</v>
      </c>
      <c r="U2424">
        <v>230439.00000000093</v>
      </c>
      <c r="V2424" t="s">
        <v>6312</v>
      </c>
      <c r="W2424">
        <v>45470</v>
      </c>
      <c r="X2424" t="s">
        <v>10379</v>
      </c>
      <c r="Y2424" t="s">
        <v>6</v>
      </c>
      <c r="Z2424" t="s">
        <v>17</v>
      </c>
      <c r="AA2424" t="s">
        <v>6637</v>
      </c>
      <c r="AB2424" t="s">
        <v>2509</v>
      </c>
      <c r="AC2424" t="s">
        <v>2571</v>
      </c>
      <c r="AD2424" t="s">
        <v>717</v>
      </c>
      <c r="AE2424" t="s">
        <v>10380</v>
      </c>
      <c r="AF2424" t="s">
        <v>10381</v>
      </c>
      <c r="AG2424" t="s">
        <v>10382</v>
      </c>
      <c r="AH2424" t="s">
        <v>6100</v>
      </c>
      <c r="AI2424" t="s">
        <v>5653</v>
      </c>
      <c r="AJ2424" t="s">
        <v>31</v>
      </c>
      <c r="AK2424" t="s">
        <v>14</v>
      </c>
      <c r="AL2424" t="s">
        <v>1892</v>
      </c>
      <c r="AM2424" t="s">
        <v>5654</v>
      </c>
      <c r="AN2424" t="s">
        <v>717</v>
      </c>
    </row>
    <row r="2425" spans="1:40" hidden="1">
      <c r="A2425">
        <v>2424</v>
      </c>
      <c r="B2425">
        <v>1</v>
      </c>
      <c r="C2425" s="58">
        <v>45474</v>
      </c>
      <c r="D2425" t="s">
        <v>13</v>
      </c>
      <c r="E2425" t="s">
        <v>2515</v>
      </c>
      <c r="F2425">
        <v>2</v>
      </c>
      <c r="G2425">
        <v>8</v>
      </c>
      <c r="H2425">
        <v>50</v>
      </c>
      <c r="I2425">
        <v>2</v>
      </c>
      <c r="J2425">
        <v>68.5</v>
      </c>
      <c r="K2425" t="s">
        <v>9</v>
      </c>
      <c r="L2425">
        <v>6717100</v>
      </c>
      <c r="M2425">
        <v>0</v>
      </c>
      <c r="N2425">
        <v>6717100</v>
      </c>
      <c r="O2425">
        <v>98059.854014598546</v>
      </c>
      <c r="P2425">
        <v>0</v>
      </c>
      <c r="Q2425">
        <v>6717100</v>
      </c>
      <c r="R2425">
        <v>98059.854014598546</v>
      </c>
      <c r="S2425" t="s">
        <v>65</v>
      </c>
      <c r="T2425" t="s">
        <v>3268</v>
      </c>
      <c r="U2425">
        <v>100000</v>
      </c>
      <c r="V2425" t="s">
        <v>6312</v>
      </c>
      <c r="W2425">
        <v>45470</v>
      </c>
      <c r="X2425" t="s">
        <v>10383</v>
      </c>
      <c r="Y2425" t="s">
        <v>6</v>
      </c>
      <c r="Z2425" t="s">
        <v>17</v>
      </c>
      <c r="AA2425" t="s">
        <v>6637</v>
      </c>
      <c r="AB2425" t="s">
        <v>2509</v>
      </c>
      <c r="AC2425" t="s">
        <v>2571</v>
      </c>
      <c r="AD2425" t="s">
        <v>717</v>
      </c>
      <c r="AE2425" t="s">
        <v>10384</v>
      </c>
      <c r="AF2425" t="s">
        <v>10385</v>
      </c>
      <c r="AG2425" t="s">
        <v>10386</v>
      </c>
      <c r="AH2425" t="s">
        <v>2191</v>
      </c>
      <c r="AI2425" t="s">
        <v>2552</v>
      </c>
      <c r="AJ2425" t="s">
        <v>2514</v>
      </c>
      <c r="AK2425" t="s">
        <v>8</v>
      </c>
      <c r="AL2425" t="s">
        <v>1892</v>
      </c>
      <c r="AM2425" t="s">
        <v>10</v>
      </c>
      <c r="AN2425" t="s">
        <v>717</v>
      </c>
    </row>
    <row r="2426" spans="1:40" hidden="1">
      <c r="A2426">
        <v>2425</v>
      </c>
      <c r="B2426">
        <v>2</v>
      </c>
      <c r="C2426" s="58">
        <v>45481</v>
      </c>
      <c r="D2426" t="s">
        <v>13</v>
      </c>
      <c r="E2426" t="s">
        <v>2506</v>
      </c>
      <c r="F2426">
        <v>2</v>
      </c>
      <c r="G2426">
        <v>11</v>
      </c>
      <c r="H2426">
        <v>182</v>
      </c>
      <c r="I2426">
        <v>0</v>
      </c>
      <c r="J2426">
        <v>24.28</v>
      </c>
      <c r="K2426" t="s">
        <v>25</v>
      </c>
      <c r="L2426">
        <v>3430326</v>
      </c>
      <c r="M2426">
        <v>0</v>
      </c>
      <c r="N2426">
        <v>3430326</v>
      </c>
      <c r="O2426">
        <v>141281.96046128499</v>
      </c>
      <c r="P2426">
        <v>485600</v>
      </c>
      <c r="Q2426">
        <v>2944726</v>
      </c>
      <c r="R2426">
        <v>121281.96046128499</v>
      </c>
      <c r="S2426" t="s">
        <v>2507</v>
      </c>
      <c r="T2426" t="s">
        <v>9531</v>
      </c>
      <c r="U2426">
        <v>91073.999999999534</v>
      </c>
      <c r="V2426" t="s">
        <v>717</v>
      </c>
      <c r="W2426">
        <v>45475</v>
      </c>
      <c r="X2426" t="s">
        <v>10387</v>
      </c>
      <c r="Y2426" t="s">
        <v>6</v>
      </c>
      <c r="Z2426" t="s">
        <v>17</v>
      </c>
      <c r="AA2426" t="s">
        <v>5617</v>
      </c>
      <c r="AB2426" t="s">
        <v>2509</v>
      </c>
      <c r="AC2426" t="s">
        <v>717</v>
      </c>
      <c r="AD2426" t="s">
        <v>717</v>
      </c>
      <c r="AE2426" t="s">
        <v>10388</v>
      </c>
      <c r="AF2426" t="s">
        <v>10389</v>
      </c>
      <c r="AG2426" t="s">
        <v>11507</v>
      </c>
      <c r="AH2426" t="s">
        <v>2552</v>
      </c>
      <c r="AI2426" t="s">
        <v>2552</v>
      </c>
      <c r="AJ2426" t="s">
        <v>2662</v>
      </c>
      <c r="AK2426" t="s">
        <v>8</v>
      </c>
      <c r="AL2426" t="s">
        <v>717</v>
      </c>
      <c r="AM2426" t="s">
        <v>10</v>
      </c>
      <c r="AN2426" t="s">
        <v>717</v>
      </c>
    </row>
    <row r="2427" spans="1:40" hidden="1">
      <c r="A2427">
        <v>2426</v>
      </c>
      <c r="B2427">
        <v>3</v>
      </c>
      <c r="C2427" s="58">
        <v>45486</v>
      </c>
      <c r="D2427" t="s">
        <v>7</v>
      </c>
      <c r="E2427" t="s">
        <v>4409</v>
      </c>
      <c r="F2427">
        <v>3</v>
      </c>
      <c r="G2427">
        <v>2</v>
      </c>
      <c r="H2427">
        <v>404</v>
      </c>
      <c r="I2427">
        <v>3</v>
      </c>
      <c r="J2427">
        <v>74.28</v>
      </c>
      <c r="K2427" t="s">
        <v>25</v>
      </c>
      <c r="L2427">
        <v>9301778</v>
      </c>
      <c r="M2427">
        <v>0</v>
      </c>
      <c r="N2427">
        <v>9301778</v>
      </c>
      <c r="O2427">
        <v>125225.87506731288</v>
      </c>
      <c r="P2427">
        <v>1634160</v>
      </c>
      <c r="Q2427">
        <v>7667618</v>
      </c>
      <c r="R2427">
        <v>103225.87506731288</v>
      </c>
      <c r="S2427" t="s">
        <v>65</v>
      </c>
      <c r="T2427" t="s">
        <v>10150</v>
      </c>
      <c r="U2427">
        <v>156482</v>
      </c>
      <c r="V2427" t="s">
        <v>6312</v>
      </c>
      <c r="W2427">
        <v>45454</v>
      </c>
      <c r="X2427" t="s">
        <v>10390</v>
      </c>
      <c r="Y2427" t="s">
        <v>6</v>
      </c>
      <c r="Z2427" t="s">
        <v>17</v>
      </c>
      <c r="AA2427" t="s">
        <v>6637</v>
      </c>
      <c r="AB2427" t="s">
        <v>2509</v>
      </c>
      <c r="AC2427" t="s">
        <v>2571</v>
      </c>
      <c r="AD2427" t="s">
        <v>717</v>
      </c>
      <c r="AE2427" t="s">
        <v>10391</v>
      </c>
      <c r="AF2427" t="s">
        <v>10392</v>
      </c>
      <c r="AG2427" t="s">
        <v>10393</v>
      </c>
      <c r="AH2427" t="s">
        <v>2615</v>
      </c>
      <c r="AI2427" t="s">
        <v>2847</v>
      </c>
      <c r="AJ2427" t="s">
        <v>2940</v>
      </c>
      <c r="AK2427" t="s">
        <v>8</v>
      </c>
      <c r="AL2427" t="s">
        <v>22</v>
      </c>
      <c r="AM2427" t="s">
        <v>10</v>
      </c>
      <c r="AN2427" t="s">
        <v>717</v>
      </c>
    </row>
    <row r="2428" spans="1:40" hidden="1">
      <c r="A2428">
        <v>2427</v>
      </c>
      <c r="B2428">
        <v>4</v>
      </c>
      <c r="C2428" s="58">
        <v>45488</v>
      </c>
      <c r="D2428" t="s">
        <v>13</v>
      </c>
      <c r="E2428" t="s">
        <v>2515</v>
      </c>
      <c r="F2428">
        <v>7</v>
      </c>
      <c r="G2428">
        <v>3</v>
      </c>
      <c r="H2428">
        <v>20</v>
      </c>
      <c r="I2428">
        <v>1</v>
      </c>
      <c r="J2428">
        <v>42.75</v>
      </c>
      <c r="K2428" t="s">
        <v>25</v>
      </c>
      <c r="L2428">
        <v>5374362</v>
      </c>
      <c r="M2428">
        <v>15000</v>
      </c>
      <c r="N2428">
        <v>5389362</v>
      </c>
      <c r="O2428">
        <v>126066.94736842104</v>
      </c>
      <c r="P2428">
        <v>855000</v>
      </c>
      <c r="Q2428">
        <v>4534362</v>
      </c>
      <c r="R2428">
        <v>106066.94736842104</v>
      </c>
      <c r="S2428" t="s">
        <v>65</v>
      </c>
      <c r="T2428" t="s">
        <v>5768</v>
      </c>
      <c r="U2428">
        <v>140238</v>
      </c>
      <c r="V2428" t="s">
        <v>1970</v>
      </c>
      <c r="W2428">
        <v>45447</v>
      </c>
      <c r="X2428" t="s">
        <v>10394</v>
      </c>
      <c r="Y2428" t="s">
        <v>6</v>
      </c>
      <c r="Z2428" t="s">
        <v>17</v>
      </c>
      <c r="AA2428" t="s">
        <v>5617</v>
      </c>
      <c r="AB2428" t="s">
        <v>2509</v>
      </c>
      <c r="AC2428" t="s">
        <v>5105</v>
      </c>
      <c r="AD2428" t="s">
        <v>717</v>
      </c>
      <c r="AE2428" t="s">
        <v>10395</v>
      </c>
      <c r="AF2428" t="s">
        <v>10396</v>
      </c>
      <c r="AG2428" t="s">
        <v>10397</v>
      </c>
      <c r="AH2428" t="s">
        <v>2552</v>
      </c>
      <c r="AI2428" t="s">
        <v>2552</v>
      </c>
      <c r="AJ2428" t="s">
        <v>2662</v>
      </c>
      <c r="AK2428" t="s">
        <v>8</v>
      </c>
      <c r="AL2428" t="s">
        <v>22</v>
      </c>
      <c r="AM2428" t="s">
        <v>10</v>
      </c>
      <c r="AN2428" t="s">
        <v>717</v>
      </c>
    </row>
    <row r="2429" spans="1:40" hidden="1">
      <c r="A2429">
        <v>2428</v>
      </c>
      <c r="B2429">
        <v>5</v>
      </c>
      <c r="C2429" s="58">
        <v>45488</v>
      </c>
      <c r="D2429" t="s">
        <v>7</v>
      </c>
      <c r="E2429" t="s">
        <v>4409</v>
      </c>
      <c r="F2429">
        <v>8</v>
      </c>
      <c r="G2429">
        <v>16</v>
      </c>
      <c r="H2429">
        <v>535</v>
      </c>
      <c r="I2429">
        <v>2</v>
      </c>
      <c r="J2429">
        <v>63.74</v>
      </c>
      <c r="K2429" t="s">
        <v>25</v>
      </c>
      <c r="L2429">
        <v>7631329</v>
      </c>
      <c r="M2429">
        <v>0</v>
      </c>
      <c r="N2429">
        <v>7631329</v>
      </c>
      <c r="O2429">
        <v>119725.90210229057</v>
      </c>
      <c r="P2429">
        <v>1402280</v>
      </c>
      <c r="Q2429">
        <v>6229049</v>
      </c>
      <c r="R2429">
        <v>97725.902102290551</v>
      </c>
      <c r="S2429" t="s">
        <v>65</v>
      </c>
      <c r="T2429" t="s">
        <v>5768</v>
      </c>
      <c r="U2429">
        <v>192651</v>
      </c>
      <c r="V2429" t="s">
        <v>6312</v>
      </c>
      <c r="W2429">
        <v>45485</v>
      </c>
      <c r="X2429" t="s">
        <v>10398</v>
      </c>
      <c r="Y2429" t="s">
        <v>6</v>
      </c>
      <c r="Z2429" t="s">
        <v>17</v>
      </c>
      <c r="AA2429" t="s">
        <v>6637</v>
      </c>
      <c r="AB2429" t="s">
        <v>2509</v>
      </c>
      <c r="AC2429" t="s">
        <v>2571</v>
      </c>
      <c r="AD2429" t="s">
        <v>717</v>
      </c>
      <c r="AE2429" t="s">
        <v>10399</v>
      </c>
      <c r="AF2429" t="s">
        <v>10400</v>
      </c>
      <c r="AG2429" t="s">
        <v>10401</v>
      </c>
      <c r="AH2429" t="s">
        <v>2615</v>
      </c>
      <c r="AI2429" t="s">
        <v>6951</v>
      </c>
      <c r="AJ2429" t="s">
        <v>2569</v>
      </c>
      <c r="AK2429" t="s">
        <v>20</v>
      </c>
      <c r="AL2429" t="s">
        <v>22</v>
      </c>
      <c r="AM2429" t="s">
        <v>10</v>
      </c>
      <c r="AN2429" t="s">
        <v>717</v>
      </c>
    </row>
    <row r="2430" spans="1:40" hidden="1">
      <c r="A2430">
        <v>2429</v>
      </c>
      <c r="B2430">
        <v>6</v>
      </c>
      <c r="C2430" s="58">
        <v>45490</v>
      </c>
      <c r="D2430" t="s">
        <v>13</v>
      </c>
      <c r="E2430" t="s">
        <v>2581</v>
      </c>
      <c r="F2430">
        <v>3</v>
      </c>
      <c r="G2430">
        <v>5</v>
      </c>
      <c r="H2430">
        <v>252</v>
      </c>
      <c r="I2430">
        <v>2</v>
      </c>
      <c r="J2430">
        <v>56.58</v>
      </c>
      <c r="K2430" t="s">
        <v>21</v>
      </c>
      <c r="L2430">
        <v>5964060</v>
      </c>
      <c r="M2430">
        <v>0</v>
      </c>
      <c r="N2430">
        <v>5964060</v>
      </c>
      <c r="O2430">
        <v>105409.33191940616</v>
      </c>
      <c r="P2430">
        <v>396060</v>
      </c>
      <c r="Q2430">
        <v>5568000</v>
      </c>
      <c r="R2430">
        <v>98409.331919406148</v>
      </c>
      <c r="S2430" t="s">
        <v>65</v>
      </c>
      <c r="T2430" t="s">
        <v>717</v>
      </c>
      <c r="U2430" t="s">
        <v>717</v>
      </c>
      <c r="V2430" t="s">
        <v>6312</v>
      </c>
      <c r="W2430">
        <v>45488</v>
      </c>
      <c r="X2430" t="s">
        <v>10402</v>
      </c>
      <c r="Y2430" t="s">
        <v>6</v>
      </c>
      <c r="Z2430" t="s">
        <v>17</v>
      </c>
      <c r="AA2430" t="s">
        <v>6637</v>
      </c>
      <c r="AB2430" t="s">
        <v>2509</v>
      </c>
      <c r="AC2430" t="s">
        <v>2571</v>
      </c>
      <c r="AD2430" t="s">
        <v>717</v>
      </c>
      <c r="AE2430" t="s">
        <v>10403</v>
      </c>
      <c r="AF2430" t="s">
        <v>10404</v>
      </c>
      <c r="AG2430" t="s">
        <v>10405</v>
      </c>
      <c r="AH2430" t="s">
        <v>2191</v>
      </c>
      <c r="AI2430" t="s">
        <v>2600</v>
      </c>
      <c r="AJ2430" t="s">
        <v>3921</v>
      </c>
      <c r="AK2430" t="s">
        <v>8</v>
      </c>
      <c r="AL2430" t="s">
        <v>1892</v>
      </c>
      <c r="AM2430" t="s">
        <v>10</v>
      </c>
      <c r="AN2430" t="s">
        <v>717</v>
      </c>
    </row>
    <row r="2431" spans="1:40" hidden="1">
      <c r="A2431">
        <v>2430</v>
      </c>
      <c r="B2431">
        <v>7</v>
      </c>
      <c r="C2431" s="58">
        <v>45492</v>
      </c>
      <c r="D2431" t="s">
        <v>13</v>
      </c>
      <c r="E2431" t="s">
        <v>2506</v>
      </c>
      <c r="F2431">
        <v>1</v>
      </c>
      <c r="G2431">
        <v>5</v>
      </c>
      <c r="H2431">
        <v>139</v>
      </c>
      <c r="I2431">
        <v>2</v>
      </c>
      <c r="J2431">
        <v>60.22</v>
      </c>
      <c r="K2431" t="s">
        <v>21</v>
      </c>
      <c r="L2431">
        <v>6278940</v>
      </c>
      <c r="M2431">
        <v>0</v>
      </c>
      <c r="N2431">
        <v>6278940</v>
      </c>
      <c r="O2431">
        <v>104266.68880770508</v>
      </c>
      <c r="P2431">
        <v>421540</v>
      </c>
      <c r="Q2431">
        <v>5857400</v>
      </c>
      <c r="R2431">
        <v>97266.688807705083</v>
      </c>
      <c r="S2431" t="s">
        <v>65</v>
      </c>
      <c r="T2431" t="s">
        <v>717</v>
      </c>
      <c r="U2431" t="s">
        <v>717</v>
      </c>
      <c r="V2431" t="s">
        <v>6312</v>
      </c>
      <c r="W2431">
        <v>45489</v>
      </c>
      <c r="X2431" t="s">
        <v>10406</v>
      </c>
      <c r="Y2431" t="s">
        <v>6</v>
      </c>
      <c r="Z2431" t="s">
        <v>17</v>
      </c>
      <c r="AA2431" t="s">
        <v>6637</v>
      </c>
      <c r="AB2431" t="s">
        <v>2509</v>
      </c>
      <c r="AC2431" t="s">
        <v>2571</v>
      </c>
      <c r="AD2431" t="s">
        <v>717</v>
      </c>
      <c r="AE2431" t="s">
        <v>10407</v>
      </c>
      <c r="AF2431" t="s">
        <v>10408</v>
      </c>
      <c r="AG2431" t="s">
        <v>10409</v>
      </c>
      <c r="AH2431" t="s">
        <v>2191</v>
      </c>
      <c r="AI2431" t="s">
        <v>2552</v>
      </c>
      <c r="AJ2431" t="s">
        <v>2514</v>
      </c>
      <c r="AK2431" t="s">
        <v>14</v>
      </c>
      <c r="AL2431" t="s">
        <v>22</v>
      </c>
      <c r="AM2431" t="s">
        <v>10</v>
      </c>
      <c r="AN2431" t="s">
        <v>717</v>
      </c>
    </row>
    <row r="2432" spans="1:40" hidden="1">
      <c r="A2432">
        <v>2431</v>
      </c>
      <c r="B2432">
        <v>8</v>
      </c>
      <c r="C2432" s="58">
        <v>45493</v>
      </c>
      <c r="D2432" t="s">
        <v>13</v>
      </c>
      <c r="E2432" t="s">
        <v>4409</v>
      </c>
      <c r="F2432">
        <v>5</v>
      </c>
      <c r="G2432">
        <v>12</v>
      </c>
      <c r="H2432">
        <v>481</v>
      </c>
      <c r="I2432">
        <v>2</v>
      </c>
      <c r="J2432">
        <v>57.8</v>
      </c>
      <c r="K2432" t="s">
        <v>25</v>
      </c>
      <c r="L2432">
        <v>6669700</v>
      </c>
      <c r="M2432">
        <v>0</v>
      </c>
      <c r="N2432">
        <v>6669700</v>
      </c>
      <c r="O2432">
        <v>115392.73356401383</v>
      </c>
      <c r="P2432">
        <v>1156000</v>
      </c>
      <c r="Q2432">
        <v>5513700</v>
      </c>
      <c r="R2432">
        <v>95392.733564013863</v>
      </c>
      <c r="S2432" t="s">
        <v>65</v>
      </c>
      <c r="T2432" t="s">
        <v>717</v>
      </c>
      <c r="U2432" t="s">
        <v>717</v>
      </c>
      <c r="V2432" t="s">
        <v>6312</v>
      </c>
      <c r="W2432">
        <v>45474</v>
      </c>
      <c r="X2432" t="s">
        <v>10410</v>
      </c>
      <c r="Y2432" t="s">
        <v>6</v>
      </c>
      <c r="Z2432" t="s">
        <v>17</v>
      </c>
      <c r="AA2432" t="s">
        <v>6637</v>
      </c>
      <c r="AB2432" t="s">
        <v>2509</v>
      </c>
      <c r="AC2432" t="s">
        <v>2571</v>
      </c>
      <c r="AD2432" t="s">
        <v>717</v>
      </c>
      <c r="AE2432" t="s">
        <v>10411</v>
      </c>
      <c r="AF2432" t="s">
        <v>10412</v>
      </c>
      <c r="AG2432" t="s">
        <v>10413</v>
      </c>
      <c r="AH2432" t="s">
        <v>2552</v>
      </c>
      <c r="AI2432" t="s">
        <v>2552</v>
      </c>
      <c r="AJ2432" t="s">
        <v>2662</v>
      </c>
      <c r="AK2432" t="s">
        <v>14</v>
      </c>
      <c r="AL2432" t="s">
        <v>1892</v>
      </c>
      <c r="AM2432" t="s">
        <v>10</v>
      </c>
      <c r="AN2432" t="s">
        <v>717</v>
      </c>
    </row>
    <row r="2433" spans="1:40" hidden="1">
      <c r="A2433">
        <v>2432</v>
      </c>
      <c r="B2433">
        <v>9</v>
      </c>
      <c r="C2433" s="58">
        <v>45495</v>
      </c>
      <c r="D2433" t="s">
        <v>13</v>
      </c>
      <c r="E2433" t="s">
        <v>4409</v>
      </c>
      <c r="F2433">
        <v>8</v>
      </c>
      <c r="G2433">
        <v>16</v>
      </c>
      <c r="H2433">
        <v>516</v>
      </c>
      <c r="I2433">
        <v>1</v>
      </c>
      <c r="J2433">
        <v>39.69</v>
      </c>
      <c r="K2433" t="s">
        <v>21</v>
      </c>
      <c r="L2433">
        <v>4660430</v>
      </c>
      <c r="M2433">
        <v>0</v>
      </c>
      <c r="N2433">
        <v>4660430</v>
      </c>
      <c r="O2433">
        <v>117420.76089695138</v>
      </c>
      <c r="P2433">
        <v>277830</v>
      </c>
      <c r="Q2433">
        <v>4382600</v>
      </c>
      <c r="R2433">
        <v>110420.76089695138</v>
      </c>
      <c r="S2433" t="s">
        <v>65</v>
      </c>
      <c r="T2433" t="s">
        <v>717</v>
      </c>
      <c r="U2433" t="s">
        <v>717</v>
      </c>
      <c r="V2433" t="s">
        <v>6312</v>
      </c>
      <c r="W2433">
        <v>45489</v>
      </c>
      <c r="X2433" t="s">
        <v>10414</v>
      </c>
      <c r="Y2433" t="s">
        <v>6</v>
      </c>
      <c r="Z2433" t="s">
        <v>17</v>
      </c>
      <c r="AA2433" t="s">
        <v>6637</v>
      </c>
      <c r="AB2433" t="s">
        <v>2509</v>
      </c>
      <c r="AC2433" t="s">
        <v>2571</v>
      </c>
      <c r="AD2433" t="s">
        <v>717</v>
      </c>
      <c r="AE2433" t="s">
        <v>10415</v>
      </c>
      <c r="AF2433" t="s">
        <v>10416</v>
      </c>
      <c r="AG2433" t="s">
        <v>10417</v>
      </c>
      <c r="AH2433" t="s">
        <v>2191</v>
      </c>
      <c r="AI2433" t="s">
        <v>2600</v>
      </c>
      <c r="AJ2433" t="s">
        <v>3921</v>
      </c>
      <c r="AK2433" t="s">
        <v>14</v>
      </c>
      <c r="AL2433" t="s">
        <v>1892</v>
      </c>
      <c r="AM2433" t="s">
        <v>10</v>
      </c>
      <c r="AN2433" t="s">
        <v>717</v>
      </c>
    </row>
    <row r="2434" spans="1:40" hidden="1">
      <c r="A2434">
        <v>2433</v>
      </c>
      <c r="B2434">
        <v>10</v>
      </c>
      <c r="C2434" s="58">
        <v>45498</v>
      </c>
      <c r="D2434" t="s">
        <v>13</v>
      </c>
      <c r="E2434" t="s">
        <v>2515</v>
      </c>
      <c r="F2434">
        <v>2</v>
      </c>
      <c r="G2434">
        <v>16</v>
      </c>
      <c r="H2434">
        <v>106</v>
      </c>
      <c r="I2434">
        <v>2</v>
      </c>
      <c r="J2434">
        <v>68.5</v>
      </c>
      <c r="K2434" t="s">
        <v>25</v>
      </c>
      <c r="L2434">
        <v>8021200</v>
      </c>
      <c r="M2434">
        <v>0</v>
      </c>
      <c r="N2434">
        <v>8021200</v>
      </c>
      <c r="O2434">
        <v>117097.81021897812</v>
      </c>
      <c r="P2434">
        <v>1370000</v>
      </c>
      <c r="Q2434">
        <v>6651200</v>
      </c>
      <c r="R2434">
        <v>97097.810218978106</v>
      </c>
      <c r="S2434" t="s">
        <v>65</v>
      </c>
      <c r="T2434" t="s">
        <v>5386</v>
      </c>
      <c r="U2434">
        <v>200000</v>
      </c>
      <c r="V2434" t="s">
        <v>6312</v>
      </c>
      <c r="W2434">
        <v>45492</v>
      </c>
      <c r="X2434" t="s">
        <v>10418</v>
      </c>
      <c r="Y2434" t="s">
        <v>6</v>
      </c>
      <c r="Z2434" t="s">
        <v>17</v>
      </c>
      <c r="AA2434" t="s">
        <v>6637</v>
      </c>
      <c r="AB2434" t="s">
        <v>2509</v>
      </c>
      <c r="AC2434" t="s">
        <v>2571</v>
      </c>
      <c r="AD2434" t="s">
        <v>717</v>
      </c>
      <c r="AE2434" t="s">
        <v>10419</v>
      </c>
      <c r="AF2434" t="s">
        <v>10420</v>
      </c>
      <c r="AG2434" t="s">
        <v>10421</v>
      </c>
      <c r="AH2434" t="s">
        <v>2615</v>
      </c>
      <c r="AI2434" t="s">
        <v>2552</v>
      </c>
      <c r="AJ2434" t="s">
        <v>3289</v>
      </c>
      <c r="AK2434" t="s">
        <v>8</v>
      </c>
      <c r="AL2434" t="s">
        <v>1892</v>
      </c>
      <c r="AM2434" t="s">
        <v>10</v>
      </c>
      <c r="AN2434" t="s">
        <v>717</v>
      </c>
    </row>
    <row r="2435" spans="1:40" hidden="1">
      <c r="A2435">
        <v>2434</v>
      </c>
      <c r="B2435">
        <v>11</v>
      </c>
      <c r="C2435" s="58">
        <v>45499</v>
      </c>
      <c r="D2435" t="s">
        <v>13</v>
      </c>
      <c r="E2435" t="s">
        <v>2581</v>
      </c>
      <c r="F2435">
        <v>6</v>
      </c>
      <c r="G2435">
        <v>6</v>
      </c>
      <c r="H2435">
        <v>262</v>
      </c>
      <c r="I2435">
        <v>3</v>
      </c>
      <c r="J2435">
        <v>80.97</v>
      </c>
      <c r="K2435" t="s">
        <v>9</v>
      </c>
      <c r="L2435">
        <v>7537400</v>
      </c>
      <c r="M2435">
        <v>0</v>
      </c>
      <c r="N2435">
        <v>7537400</v>
      </c>
      <c r="O2435">
        <v>93088.798320365575</v>
      </c>
      <c r="P2435">
        <v>0</v>
      </c>
      <c r="Q2435">
        <v>7537400</v>
      </c>
      <c r="R2435">
        <v>93088.798320365575</v>
      </c>
      <c r="S2435" t="s">
        <v>65</v>
      </c>
      <c r="T2435" t="s">
        <v>717</v>
      </c>
      <c r="U2435" t="s">
        <v>717</v>
      </c>
      <c r="V2435" t="s">
        <v>6312</v>
      </c>
      <c r="W2435">
        <v>45492</v>
      </c>
      <c r="X2435" t="s">
        <v>10422</v>
      </c>
      <c r="Y2435" t="s">
        <v>6</v>
      </c>
      <c r="Z2435" t="s">
        <v>17</v>
      </c>
      <c r="AA2435" t="s">
        <v>6637</v>
      </c>
      <c r="AB2435" t="s">
        <v>2509</v>
      </c>
      <c r="AC2435" t="s">
        <v>2571</v>
      </c>
      <c r="AD2435" t="s">
        <v>717</v>
      </c>
      <c r="AE2435" t="s">
        <v>10423</v>
      </c>
      <c r="AF2435" t="s">
        <v>10424</v>
      </c>
      <c r="AG2435" t="s">
        <v>10425</v>
      </c>
      <c r="AH2435" t="s">
        <v>2552</v>
      </c>
      <c r="AI2435" t="s">
        <v>2547</v>
      </c>
      <c r="AJ2435" t="s">
        <v>2855</v>
      </c>
      <c r="AK2435" t="s">
        <v>14</v>
      </c>
      <c r="AL2435" t="s">
        <v>22</v>
      </c>
      <c r="AM2435" t="s">
        <v>10</v>
      </c>
      <c r="AN2435" t="s">
        <v>717</v>
      </c>
    </row>
    <row r="2436" spans="1:40" hidden="1">
      <c r="A2436">
        <v>2435</v>
      </c>
      <c r="B2436">
        <v>12</v>
      </c>
      <c r="C2436" s="58">
        <v>45502</v>
      </c>
      <c r="D2436" t="s">
        <v>13</v>
      </c>
      <c r="E2436" t="s">
        <v>2515</v>
      </c>
      <c r="F2436">
        <v>6</v>
      </c>
      <c r="G2436">
        <v>7</v>
      </c>
      <c r="H2436">
        <v>47</v>
      </c>
      <c r="I2436">
        <v>2</v>
      </c>
      <c r="J2436">
        <v>58.16</v>
      </c>
      <c r="K2436" t="s">
        <v>21</v>
      </c>
      <c r="L2436">
        <v>6203120</v>
      </c>
      <c r="M2436">
        <v>0</v>
      </c>
      <c r="N2436">
        <v>6203120</v>
      </c>
      <c r="O2436">
        <v>106656.12104539202</v>
      </c>
      <c r="P2436">
        <v>407120</v>
      </c>
      <c r="Q2436">
        <v>5796000</v>
      </c>
      <c r="R2436">
        <v>99656.121045392021</v>
      </c>
      <c r="S2436" t="s">
        <v>65</v>
      </c>
      <c r="T2436" t="s">
        <v>717</v>
      </c>
      <c r="U2436" t="s">
        <v>717</v>
      </c>
      <c r="V2436" t="s">
        <v>6312</v>
      </c>
      <c r="W2436">
        <v>45492</v>
      </c>
      <c r="X2436" t="s">
        <v>10426</v>
      </c>
      <c r="Y2436" t="s">
        <v>6</v>
      </c>
      <c r="Z2436" t="s">
        <v>17</v>
      </c>
      <c r="AA2436" t="s">
        <v>6637</v>
      </c>
      <c r="AB2436" t="s">
        <v>2509</v>
      </c>
      <c r="AC2436" t="s">
        <v>2571</v>
      </c>
      <c r="AD2436" t="s">
        <v>717</v>
      </c>
      <c r="AE2436" t="s">
        <v>10427</v>
      </c>
      <c r="AF2436" t="s">
        <v>10428</v>
      </c>
      <c r="AG2436" t="s">
        <v>10429</v>
      </c>
      <c r="AH2436" t="s">
        <v>2191</v>
      </c>
      <c r="AI2436" t="s">
        <v>2706</v>
      </c>
      <c r="AJ2436" t="s">
        <v>2514</v>
      </c>
      <c r="AK2436" t="s">
        <v>14</v>
      </c>
      <c r="AL2436" t="s">
        <v>22</v>
      </c>
      <c r="AM2436" t="s">
        <v>10</v>
      </c>
      <c r="AN2436" t="s">
        <v>717</v>
      </c>
    </row>
    <row r="2437" spans="1:40" hidden="1">
      <c r="A2437">
        <v>2436</v>
      </c>
      <c r="B2437">
        <v>13</v>
      </c>
      <c r="C2437" s="58">
        <v>45502</v>
      </c>
      <c r="D2437" t="s">
        <v>13</v>
      </c>
      <c r="E2437" t="s">
        <v>4409</v>
      </c>
      <c r="F2437">
        <v>5</v>
      </c>
      <c r="G2437">
        <v>7</v>
      </c>
      <c r="H2437">
        <v>441</v>
      </c>
      <c r="I2437">
        <v>2</v>
      </c>
      <c r="J2437">
        <v>57.8</v>
      </c>
      <c r="K2437" t="s">
        <v>21</v>
      </c>
      <c r="L2437">
        <v>6001000</v>
      </c>
      <c r="M2437">
        <v>0</v>
      </c>
      <c r="N2437">
        <v>6001000</v>
      </c>
      <c r="O2437">
        <v>103823.52941176471</v>
      </c>
      <c r="P2437">
        <v>404600</v>
      </c>
      <c r="Q2437">
        <v>5596400</v>
      </c>
      <c r="R2437">
        <v>96823.529411764714</v>
      </c>
      <c r="S2437" t="s">
        <v>65</v>
      </c>
      <c r="T2437" t="s">
        <v>717</v>
      </c>
      <c r="U2437" t="s">
        <v>717</v>
      </c>
      <c r="V2437" t="s">
        <v>6312</v>
      </c>
      <c r="W2437">
        <v>45496</v>
      </c>
      <c r="X2437" t="s">
        <v>10430</v>
      </c>
      <c r="Y2437" t="s">
        <v>6</v>
      </c>
      <c r="Z2437" t="s">
        <v>17</v>
      </c>
      <c r="AA2437" t="s">
        <v>6637</v>
      </c>
      <c r="AB2437" t="s">
        <v>2509</v>
      </c>
      <c r="AC2437" t="s">
        <v>2571</v>
      </c>
      <c r="AD2437" t="s">
        <v>717</v>
      </c>
      <c r="AE2437" t="s">
        <v>10431</v>
      </c>
      <c r="AF2437" t="s">
        <v>10432</v>
      </c>
      <c r="AG2437" t="s">
        <v>10433</v>
      </c>
      <c r="AH2437" t="s">
        <v>2616</v>
      </c>
      <c r="AI2437" t="s">
        <v>2552</v>
      </c>
      <c r="AJ2437" t="s">
        <v>2895</v>
      </c>
      <c r="AK2437" t="s">
        <v>8</v>
      </c>
      <c r="AL2437" t="s">
        <v>22</v>
      </c>
      <c r="AM2437" t="s">
        <v>10</v>
      </c>
      <c r="AN2437" t="s">
        <v>717</v>
      </c>
    </row>
    <row r="2438" spans="1:40" hidden="1">
      <c r="A2438">
        <v>2437</v>
      </c>
      <c r="B2438">
        <v>14</v>
      </c>
      <c r="C2438" s="58">
        <v>45503</v>
      </c>
      <c r="D2438" t="s">
        <v>13</v>
      </c>
      <c r="E2438" t="s">
        <v>2515</v>
      </c>
      <c r="F2438">
        <v>7</v>
      </c>
      <c r="G2438">
        <v>12</v>
      </c>
      <c r="H2438">
        <v>83</v>
      </c>
      <c r="I2438">
        <v>1</v>
      </c>
      <c r="J2438">
        <v>42.75</v>
      </c>
      <c r="K2438" t="s">
        <v>21</v>
      </c>
      <c r="L2438">
        <v>4972050</v>
      </c>
      <c r="M2438">
        <v>0</v>
      </c>
      <c r="N2438">
        <v>4972050</v>
      </c>
      <c r="O2438">
        <v>116305.26315789472</v>
      </c>
      <c r="P2438">
        <v>299250</v>
      </c>
      <c r="Q2438">
        <v>4672800</v>
      </c>
      <c r="R2438">
        <v>109305.26315789472</v>
      </c>
      <c r="S2438" t="s">
        <v>65</v>
      </c>
      <c r="T2438" t="s">
        <v>10242</v>
      </c>
      <c r="U2438">
        <v>50000</v>
      </c>
      <c r="V2438" t="s">
        <v>6312</v>
      </c>
      <c r="W2438">
        <v>45498</v>
      </c>
      <c r="X2438" t="s">
        <v>10434</v>
      </c>
      <c r="Y2438" t="s">
        <v>6</v>
      </c>
      <c r="Z2438" t="s">
        <v>17</v>
      </c>
      <c r="AA2438" t="s">
        <v>6637</v>
      </c>
      <c r="AB2438" t="s">
        <v>2509</v>
      </c>
      <c r="AC2438" t="s">
        <v>2571</v>
      </c>
      <c r="AD2438" t="s">
        <v>717</v>
      </c>
      <c r="AE2438" t="s">
        <v>10435</v>
      </c>
      <c r="AF2438" t="s">
        <v>10436</v>
      </c>
      <c r="AG2438" t="s">
        <v>10437</v>
      </c>
      <c r="AH2438" t="s">
        <v>2552</v>
      </c>
      <c r="AI2438" t="s">
        <v>2552</v>
      </c>
      <c r="AJ2438" t="s">
        <v>2662</v>
      </c>
      <c r="AK2438" t="s">
        <v>8</v>
      </c>
      <c r="AL2438" t="s">
        <v>1892</v>
      </c>
      <c r="AM2438" t="s">
        <v>10</v>
      </c>
      <c r="AN2438" t="s">
        <v>717</v>
      </c>
    </row>
    <row r="2439" spans="1:40" hidden="1">
      <c r="A2439">
        <v>2438</v>
      </c>
      <c r="B2439">
        <v>15</v>
      </c>
      <c r="C2439" s="58">
        <v>45504</v>
      </c>
      <c r="D2439" t="s">
        <v>7</v>
      </c>
      <c r="E2439" t="s">
        <v>2581</v>
      </c>
      <c r="F2439">
        <v>3</v>
      </c>
      <c r="G2439">
        <v>1</v>
      </c>
      <c r="H2439">
        <v>12</v>
      </c>
      <c r="I2439" t="s">
        <v>1368</v>
      </c>
      <c r="J2439">
        <v>320.87</v>
      </c>
      <c r="K2439" t="s">
        <v>9</v>
      </c>
      <c r="L2439">
        <v>38504400</v>
      </c>
      <c r="M2439">
        <v>0</v>
      </c>
      <c r="N2439">
        <v>38504400</v>
      </c>
      <c r="O2439">
        <v>120000</v>
      </c>
      <c r="P2439">
        <v>0</v>
      </c>
      <c r="Q2439">
        <v>38504400</v>
      </c>
      <c r="R2439">
        <v>120000</v>
      </c>
      <c r="S2439" t="s">
        <v>65</v>
      </c>
      <c r="T2439" t="s">
        <v>2941</v>
      </c>
      <c r="U2439">
        <v>1605954</v>
      </c>
      <c r="V2439" t="s">
        <v>10438</v>
      </c>
      <c r="W2439">
        <v>45498</v>
      </c>
      <c r="X2439" t="s">
        <v>10439</v>
      </c>
      <c r="Y2439" t="s">
        <v>1368</v>
      </c>
      <c r="Z2439" t="s">
        <v>17</v>
      </c>
      <c r="AA2439" t="s">
        <v>6637</v>
      </c>
      <c r="AB2439" t="s">
        <v>2509</v>
      </c>
      <c r="AC2439" t="s">
        <v>2564</v>
      </c>
      <c r="AD2439" t="s">
        <v>717</v>
      </c>
      <c r="AE2439" t="s">
        <v>9734</v>
      </c>
      <c r="AF2439" t="s">
        <v>7782</v>
      </c>
      <c r="AG2439" t="s">
        <v>7783</v>
      </c>
      <c r="AH2439" t="s">
        <v>2615</v>
      </c>
      <c r="AI2439" t="s">
        <v>2600</v>
      </c>
      <c r="AJ2439" t="s">
        <v>3921</v>
      </c>
      <c r="AK2439" t="s">
        <v>29</v>
      </c>
      <c r="AL2439" t="s">
        <v>22</v>
      </c>
      <c r="AM2439" t="s">
        <v>10</v>
      </c>
      <c r="AN2439" t="s">
        <v>717</v>
      </c>
    </row>
    <row r="2440" spans="1:40" hidden="1">
      <c r="A2440">
        <v>2439</v>
      </c>
      <c r="B2440">
        <v>16</v>
      </c>
      <c r="C2440" s="58">
        <v>45504</v>
      </c>
      <c r="D2440" t="s">
        <v>13</v>
      </c>
      <c r="E2440" t="s">
        <v>4409</v>
      </c>
      <c r="F2440">
        <v>7</v>
      </c>
      <c r="G2440">
        <v>11</v>
      </c>
      <c r="H2440">
        <v>475</v>
      </c>
      <c r="I2440">
        <v>3</v>
      </c>
      <c r="J2440">
        <v>79.44</v>
      </c>
      <c r="K2440" t="s">
        <v>25</v>
      </c>
      <c r="L2440">
        <v>9300106</v>
      </c>
      <c r="M2440">
        <v>0</v>
      </c>
      <c r="N2440">
        <v>9300106</v>
      </c>
      <c r="O2440">
        <v>117070.82074521652</v>
      </c>
      <c r="P2440">
        <v>1588800</v>
      </c>
      <c r="Q2440">
        <v>7711306</v>
      </c>
      <c r="R2440">
        <v>97070.820745216522</v>
      </c>
      <c r="S2440" t="s">
        <v>65</v>
      </c>
      <c r="T2440" t="s">
        <v>5768</v>
      </c>
      <c r="U2440">
        <v>238494</v>
      </c>
      <c r="V2440" t="s">
        <v>6312</v>
      </c>
      <c r="W2440">
        <v>45498</v>
      </c>
      <c r="X2440" t="s">
        <v>10440</v>
      </c>
      <c r="Y2440" t="s">
        <v>6</v>
      </c>
      <c r="Z2440" t="s">
        <v>17</v>
      </c>
      <c r="AA2440" t="s">
        <v>6637</v>
      </c>
      <c r="AB2440" t="s">
        <v>2509</v>
      </c>
      <c r="AC2440" t="s">
        <v>2571</v>
      </c>
      <c r="AD2440" t="s">
        <v>717</v>
      </c>
      <c r="AE2440" t="s">
        <v>10441</v>
      </c>
      <c r="AF2440" t="s">
        <v>10442</v>
      </c>
      <c r="AG2440" t="s">
        <v>10443</v>
      </c>
      <c r="AH2440" t="s">
        <v>2191</v>
      </c>
      <c r="AI2440" t="s">
        <v>2802</v>
      </c>
      <c r="AJ2440" t="s">
        <v>2514</v>
      </c>
      <c r="AK2440" t="s">
        <v>8</v>
      </c>
      <c r="AL2440" t="s">
        <v>1892</v>
      </c>
      <c r="AM2440" t="s">
        <v>10</v>
      </c>
      <c r="AN2440" t="s">
        <v>717</v>
      </c>
    </row>
    <row r="2441" spans="1:40" hidden="1">
      <c r="A2441">
        <v>2440</v>
      </c>
      <c r="B2441">
        <v>17</v>
      </c>
      <c r="C2441" s="58">
        <v>45504</v>
      </c>
      <c r="D2441" t="s">
        <v>13</v>
      </c>
      <c r="E2441" t="s">
        <v>2506</v>
      </c>
      <c r="F2441">
        <v>2</v>
      </c>
      <c r="G2441">
        <v>15</v>
      </c>
      <c r="H2441">
        <v>210</v>
      </c>
      <c r="I2441">
        <v>0</v>
      </c>
      <c r="J2441">
        <v>24.28</v>
      </c>
      <c r="K2441" t="s">
        <v>25</v>
      </c>
      <c r="L2441">
        <v>3567000</v>
      </c>
      <c r="M2441">
        <v>0</v>
      </c>
      <c r="N2441">
        <v>3567000</v>
      </c>
      <c r="O2441">
        <v>146911.03789126853</v>
      </c>
      <c r="P2441">
        <v>485600</v>
      </c>
      <c r="Q2441">
        <v>3081400</v>
      </c>
      <c r="R2441">
        <v>126911.03789126853</v>
      </c>
      <c r="S2441" t="s">
        <v>65</v>
      </c>
      <c r="T2441" t="s">
        <v>717</v>
      </c>
      <c r="U2441" t="s">
        <v>717</v>
      </c>
      <c r="V2441" t="s">
        <v>6312</v>
      </c>
      <c r="W2441">
        <v>45502</v>
      </c>
      <c r="X2441" t="s">
        <v>10444</v>
      </c>
      <c r="Y2441" t="s">
        <v>6</v>
      </c>
      <c r="Z2441" t="s">
        <v>17</v>
      </c>
      <c r="AA2441" t="s">
        <v>6637</v>
      </c>
      <c r="AB2441" t="s">
        <v>2509</v>
      </c>
      <c r="AC2441" t="s">
        <v>2571</v>
      </c>
      <c r="AD2441" t="s">
        <v>717</v>
      </c>
      <c r="AE2441" t="s">
        <v>10445</v>
      </c>
      <c r="AF2441" t="s">
        <v>10446</v>
      </c>
      <c r="AG2441" t="s">
        <v>10447</v>
      </c>
      <c r="AH2441" t="s">
        <v>2191</v>
      </c>
      <c r="AI2441" t="s">
        <v>2538</v>
      </c>
      <c r="AJ2441" t="s">
        <v>2514</v>
      </c>
      <c r="AK2441" t="s">
        <v>14</v>
      </c>
      <c r="AL2441" t="s">
        <v>1892</v>
      </c>
      <c r="AM2441" t="s">
        <v>10</v>
      </c>
      <c r="AN2441" t="s">
        <v>717</v>
      </c>
    </row>
    <row r="2442" spans="1:40" hidden="1">
      <c r="A2442">
        <v>2441</v>
      </c>
      <c r="B2442">
        <v>1</v>
      </c>
      <c r="C2442" s="58">
        <v>45505</v>
      </c>
      <c r="D2442" t="s">
        <v>13</v>
      </c>
      <c r="E2442" t="s">
        <v>4409</v>
      </c>
      <c r="F2442">
        <v>8</v>
      </c>
      <c r="G2442">
        <v>5</v>
      </c>
      <c r="H2442">
        <v>428</v>
      </c>
      <c r="I2442">
        <v>1</v>
      </c>
      <c r="J2442">
        <v>39.69</v>
      </c>
      <c r="K2442" t="s">
        <v>25</v>
      </c>
      <c r="L2442">
        <v>5139600</v>
      </c>
      <c r="M2442">
        <v>15000</v>
      </c>
      <c r="N2442">
        <v>5154600</v>
      </c>
      <c r="O2442">
        <v>129871.50415721846</v>
      </c>
      <c r="P2442">
        <v>793800</v>
      </c>
      <c r="Q2442">
        <v>4360800</v>
      </c>
      <c r="R2442">
        <v>109871.50415721846</v>
      </c>
      <c r="S2442" t="s">
        <v>65</v>
      </c>
      <c r="T2442" t="s">
        <v>717</v>
      </c>
      <c r="U2442" t="s">
        <v>717</v>
      </c>
      <c r="V2442" t="s">
        <v>1970</v>
      </c>
      <c r="W2442">
        <v>45434</v>
      </c>
      <c r="X2442" t="s">
        <v>10448</v>
      </c>
      <c r="Y2442" t="s">
        <v>6</v>
      </c>
      <c r="Z2442" t="s">
        <v>17</v>
      </c>
      <c r="AA2442" t="s">
        <v>5617</v>
      </c>
      <c r="AB2442" t="s">
        <v>2509</v>
      </c>
      <c r="AC2442" t="s">
        <v>5105</v>
      </c>
      <c r="AD2442" t="s">
        <v>717</v>
      </c>
      <c r="AE2442" t="s">
        <v>10449</v>
      </c>
      <c r="AF2442" t="s">
        <v>10450</v>
      </c>
      <c r="AG2442" t="s">
        <v>10451</v>
      </c>
      <c r="AH2442" t="s">
        <v>2615</v>
      </c>
      <c r="AI2442" t="s">
        <v>2688</v>
      </c>
      <c r="AJ2442" t="s">
        <v>3289</v>
      </c>
      <c r="AK2442" t="s">
        <v>20</v>
      </c>
      <c r="AL2442" t="s">
        <v>22</v>
      </c>
      <c r="AM2442" t="s">
        <v>10</v>
      </c>
      <c r="AN2442" t="s">
        <v>717</v>
      </c>
    </row>
    <row r="2443" spans="1:40" hidden="1">
      <c r="A2443">
        <v>2442</v>
      </c>
      <c r="B2443">
        <v>2</v>
      </c>
      <c r="C2443" s="58">
        <v>45507</v>
      </c>
      <c r="D2443" t="s">
        <v>13</v>
      </c>
      <c r="E2443" t="s">
        <v>2581</v>
      </c>
      <c r="F2443">
        <v>2</v>
      </c>
      <c r="G2443">
        <v>10</v>
      </c>
      <c r="H2443">
        <v>286</v>
      </c>
      <c r="I2443">
        <v>0</v>
      </c>
      <c r="J2443">
        <v>24.53</v>
      </c>
      <c r="K2443" t="s">
        <v>9</v>
      </c>
      <c r="L2443">
        <v>3226700</v>
      </c>
      <c r="M2443">
        <v>0</v>
      </c>
      <c r="N2443">
        <v>3226700</v>
      </c>
      <c r="O2443">
        <v>131540.9702405218</v>
      </c>
      <c r="P2443">
        <v>0</v>
      </c>
      <c r="Q2443">
        <v>3226700</v>
      </c>
      <c r="R2443">
        <v>131540.9702405218</v>
      </c>
      <c r="S2443" t="s">
        <v>65</v>
      </c>
      <c r="T2443" t="s">
        <v>717</v>
      </c>
      <c r="U2443" t="s">
        <v>717</v>
      </c>
      <c r="V2443" t="s">
        <v>6312</v>
      </c>
      <c r="W2443">
        <v>45502</v>
      </c>
      <c r="X2443" t="s">
        <v>10452</v>
      </c>
      <c r="Y2443" t="s">
        <v>6</v>
      </c>
      <c r="Z2443" t="s">
        <v>17</v>
      </c>
      <c r="AA2443" t="s">
        <v>6637</v>
      </c>
      <c r="AB2443" t="s">
        <v>2509</v>
      </c>
      <c r="AC2443" t="s">
        <v>2571</v>
      </c>
      <c r="AD2443" t="s">
        <v>717</v>
      </c>
      <c r="AE2443" t="s">
        <v>10453</v>
      </c>
      <c r="AF2443" t="s">
        <v>10454</v>
      </c>
      <c r="AG2443" t="s">
        <v>10455</v>
      </c>
      <c r="AH2443" t="s">
        <v>2615</v>
      </c>
      <c r="AI2443" t="s">
        <v>3120</v>
      </c>
      <c r="AJ2443" t="s">
        <v>3202</v>
      </c>
      <c r="AK2443" t="s">
        <v>14</v>
      </c>
      <c r="AL2443" t="s">
        <v>22</v>
      </c>
      <c r="AM2443" t="s">
        <v>10</v>
      </c>
      <c r="AN2443" t="s">
        <v>717</v>
      </c>
    </row>
    <row r="2444" spans="1:40" hidden="1">
      <c r="A2444">
        <v>2443</v>
      </c>
      <c r="B2444">
        <v>3</v>
      </c>
      <c r="C2444" s="58">
        <v>45507</v>
      </c>
      <c r="D2444" t="s">
        <v>13</v>
      </c>
      <c r="E2444" t="s">
        <v>4409</v>
      </c>
      <c r="F2444">
        <v>3</v>
      </c>
      <c r="G2444">
        <v>13</v>
      </c>
      <c r="H2444">
        <v>487</v>
      </c>
      <c r="I2444">
        <v>0</v>
      </c>
      <c r="J2444">
        <v>24.5</v>
      </c>
      <c r="K2444" t="s">
        <v>9</v>
      </c>
      <c r="L2444">
        <v>2990400</v>
      </c>
      <c r="M2444">
        <v>0</v>
      </c>
      <c r="N2444">
        <v>2990400</v>
      </c>
      <c r="O2444">
        <v>122057.14285714286</v>
      </c>
      <c r="P2444">
        <v>0</v>
      </c>
      <c r="Q2444">
        <v>2990400</v>
      </c>
      <c r="R2444">
        <v>122057.14285714286</v>
      </c>
      <c r="S2444" t="s">
        <v>130</v>
      </c>
      <c r="T2444" t="s">
        <v>717</v>
      </c>
      <c r="U2444" t="s">
        <v>717</v>
      </c>
      <c r="V2444" t="s">
        <v>717</v>
      </c>
      <c r="W2444">
        <v>45505</v>
      </c>
      <c r="X2444" t="s">
        <v>10456</v>
      </c>
      <c r="Y2444" t="s">
        <v>2517</v>
      </c>
      <c r="Z2444" t="s">
        <v>17</v>
      </c>
      <c r="AA2444" t="s">
        <v>6637</v>
      </c>
      <c r="AB2444" t="s">
        <v>2509</v>
      </c>
      <c r="AC2444" t="s">
        <v>118</v>
      </c>
      <c r="AD2444">
        <v>45797</v>
      </c>
      <c r="AE2444" t="s">
        <v>7617</v>
      </c>
      <c r="AF2444" t="s">
        <v>10457</v>
      </c>
      <c r="AG2444" t="s">
        <v>7619</v>
      </c>
      <c r="AH2444" t="s">
        <v>2615</v>
      </c>
      <c r="AI2444" t="s">
        <v>2600</v>
      </c>
      <c r="AJ2444" t="s">
        <v>3921</v>
      </c>
      <c r="AK2444" t="s">
        <v>8</v>
      </c>
      <c r="AL2444" t="s">
        <v>717</v>
      </c>
      <c r="AM2444" t="s">
        <v>10</v>
      </c>
      <c r="AN2444" t="s">
        <v>717</v>
      </c>
    </row>
    <row r="2445" spans="1:40" hidden="1">
      <c r="A2445">
        <v>2444</v>
      </c>
      <c r="B2445">
        <v>4</v>
      </c>
      <c r="C2445" s="58">
        <v>45512</v>
      </c>
      <c r="D2445" t="s">
        <v>1875</v>
      </c>
      <c r="E2445" t="s">
        <v>10458</v>
      </c>
      <c r="F2445">
        <v>2</v>
      </c>
      <c r="G2445">
        <v>3</v>
      </c>
      <c r="H2445">
        <v>63</v>
      </c>
      <c r="I2445">
        <v>2</v>
      </c>
      <c r="J2445">
        <v>54.07</v>
      </c>
      <c r="K2445" t="s">
        <v>10459</v>
      </c>
      <c r="L2445">
        <v>6847500</v>
      </c>
      <c r="M2445">
        <v>0</v>
      </c>
      <c r="N2445">
        <v>6847500</v>
      </c>
      <c r="O2445">
        <v>126641.39078971704</v>
      </c>
      <c r="P2445">
        <v>540700</v>
      </c>
      <c r="Q2445">
        <v>6306800</v>
      </c>
      <c r="R2445">
        <v>116641.39078971704</v>
      </c>
      <c r="S2445" t="s">
        <v>130</v>
      </c>
      <c r="T2445" t="s">
        <v>717</v>
      </c>
      <c r="U2445" t="s">
        <v>717</v>
      </c>
      <c r="V2445" t="s">
        <v>717</v>
      </c>
      <c r="W2445">
        <v>45498</v>
      </c>
      <c r="X2445" t="s">
        <v>10460</v>
      </c>
      <c r="Y2445" t="s">
        <v>6</v>
      </c>
      <c r="Z2445" t="s">
        <v>17</v>
      </c>
      <c r="AA2445" t="s">
        <v>5617</v>
      </c>
      <c r="AB2445" t="s">
        <v>2509</v>
      </c>
      <c r="AC2445" t="s">
        <v>717</v>
      </c>
      <c r="AD2445" t="s">
        <v>717</v>
      </c>
      <c r="AE2445" t="s">
        <v>10461</v>
      </c>
      <c r="AF2445" t="s">
        <v>10462</v>
      </c>
      <c r="AG2445" t="s">
        <v>10463</v>
      </c>
      <c r="AH2445" t="s">
        <v>2191</v>
      </c>
      <c r="AI2445" t="s">
        <v>2706</v>
      </c>
      <c r="AJ2445" t="s">
        <v>2514</v>
      </c>
      <c r="AK2445" t="s">
        <v>14</v>
      </c>
      <c r="AL2445" t="s">
        <v>717</v>
      </c>
      <c r="AM2445" t="s">
        <v>10</v>
      </c>
      <c r="AN2445" t="s">
        <v>717</v>
      </c>
    </row>
    <row r="2446" spans="1:40" hidden="1">
      <c r="A2446">
        <v>2445</v>
      </c>
      <c r="B2446">
        <v>5</v>
      </c>
      <c r="C2446" s="58">
        <v>45512</v>
      </c>
      <c r="D2446" t="s">
        <v>13</v>
      </c>
      <c r="E2446" t="s">
        <v>4409</v>
      </c>
      <c r="F2446">
        <v>8</v>
      </c>
      <c r="G2446">
        <v>18</v>
      </c>
      <c r="H2446">
        <v>532</v>
      </c>
      <c r="I2446">
        <v>1</v>
      </c>
      <c r="J2446">
        <v>39.69</v>
      </c>
      <c r="K2446" t="s">
        <v>9</v>
      </c>
      <c r="L2446">
        <v>4466500</v>
      </c>
      <c r="M2446">
        <v>0</v>
      </c>
      <c r="N2446">
        <v>4466500</v>
      </c>
      <c r="O2446">
        <v>112534.64348702444</v>
      </c>
      <c r="P2446">
        <v>0</v>
      </c>
      <c r="Q2446">
        <v>4466500</v>
      </c>
      <c r="R2446">
        <v>112534.64348702444</v>
      </c>
      <c r="S2446" t="s">
        <v>65</v>
      </c>
      <c r="T2446" t="s">
        <v>717</v>
      </c>
      <c r="U2446" t="s">
        <v>717</v>
      </c>
      <c r="V2446" t="s">
        <v>6312</v>
      </c>
      <c r="W2446">
        <v>45509</v>
      </c>
      <c r="X2446" t="s">
        <v>10464</v>
      </c>
      <c r="Y2446" t="s">
        <v>6</v>
      </c>
      <c r="Z2446" t="s">
        <v>17</v>
      </c>
      <c r="AA2446" t="s">
        <v>6637</v>
      </c>
      <c r="AB2446" t="s">
        <v>2509</v>
      </c>
      <c r="AC2446" t="s">
        <v>2571</v>
      </c>
      <c r="AD2446" t="s">
        <v>717</v>
      </c>
      <c r="AE2446" t="s">
        <v>2175</v>
      </c>
      <c r="AF2446" t="s">
        <v>10465</v>
      </c>
      <c r="AG2446" t="s">
        <v>10466</v>
      </c>
      <c r="AH2446" t="s">
        <v>6100</v>
      </c>
      <c r="AI2446" t="s">
        <v>10467</v>
      </c>
      <c r="AJ2446" t="s">
        <v>42</v>
      </c>
      <c r="AK2446" t="s">
        <v>8</v>
      </c>
      <c r="AL2446" t="s">
        <v>22</v>
      </c>
      <c r="AM2446" t="s">
        <v>5654</v>
      </c>
      <c r="AN2446" t="s">
        <v>717</v>
      </c>
    </row>
    <row r="2447" spans="1:40" hidden="1">
      <c r="A2447">
        <v>2446</v>
      </c>
      <c r="B2447">
        <v>6</v>
      </c>
      <c r="C2447" s="58">
        <v>45516</v>
      </c>
      <c r="D2447" t="s">
        <v>7</v>
      </c>
      <c r="E2447" t="s">
        <v>2506</v>
      </c>
      <c r="F2447">
        <v>5</v>
      </c>
      <c r="G2447">
        <v>13</v>
      </c>
      <c r="H2447">
        <v>213</v>
      </c>
      <c r="I2447">
        <v>1</v>
      </c>
      <c r="J2447">
        <v>36.700000000000003</v>
      </c>
      <c r="K2447" t="s">
        <v>25</v>
      </c>
      <c r="L2447">
        <v>5328958</v>
      </c>
      <c r="M2447">
        <v>0</v>
      </c>
      <c r="N2447">
        <v>5328958</v>
      </c>
      <c r="O2447">
        <v>145203.21525885558</v>
      </c>
      <c r="P2447">
        <v>807400.00000000012</v>
      </c>
      <c r="Q2447">
        <v>4521558</v>
      </c>
      <c r="R2447">
        <v>123203.21525885558</v>
      </c>
      <c r="S2447" t="s">
        <v>2507</v>
      </c>
      <c r="T2447" t="s">
        <v>9531</v>
      </c>
      <c r="U2447">
        <v>139842</v>
      </c>
      <c r="V2447" t="s">
        <v>717</v>
      </c>
      <c r="W2447">
        <v>45462</v>
      </c>
      <c r="X2447" t="s">
        <v>10468</v>
      </c>
      <c r="Y2447" t="s">
        <v>6</v>
      </c>
      <c r="Z2447" t="s">
        <v>17</v>
      </c>
      <c r="AA2447" t="s">
        <v>6637</v>
      </c>
      <c r="AB2447" t="s">
        <v>2509</v>
      </c>
      <c r="AC2447" t="s">
        <v>717</v>
      </c>
      <c r="AD2447" t="s">
        <v>717</v>
      </c>
      <c r="AE2447" t="s">
        <v>10469</v>
      </c>
      <c r="AF2447" t="s">
        <v>10470</v>
      </c>
      <c r="AG2447" t="s">
        <v>10471</v>
      </c>
      <c r="AH2447" t="s">
        <v>2191</v>
      </c>
      <c r="AI2447" t="s">
        <v>2552</v>
      </c>
      <c r="AJ2447" t="s">
        <v>2514</v>
      </c>
      <c r="AK2447" t="s">
        <v>20</v>
      </c>
      <c r="AL2447" t="s">
        <v>717</v>
      </c>
      <c r="AM2447" t="s">
        <v>10</v>
      </c>
      <c r="AN2447" t="s">
        <v>717</v>
      </c>
    </row>
    <row r="2448" spans="1:40" hidden="1">
      <c r="A2448">
        <v>2447</v>
      </c>
      <c r="B2448">
        <v>7</v>
      </c>
      <c r="C2448" s="58">
        <v>45516</v>
      </c>
      <c r="D2448" t="s">
        <v>13</v>
      </c>
      <c r="E2448" t="s">
        <v>4409</v>
      </c>
      <c r="F2448">
        <v>5</v>
      </c>
      <c r="G2448">
        <v>3</v>
      </c>
      <c r="H2448">
        <v>409</v>
      </c>
      <c r="I2448">
        <v>2</v>
      </c>
      <c r="J2448">
        <v>57.8</v>
      </c>
      <c r="K2448" t="s">
        <v>21</v>
      </c>
      <c r="L2448">
        <v>5871070</v>
      </c>
      <c r="M2448">
        <v>15000</v>
      </c>
      <c r="N2448">
        <v>5886070</v>
      </c>
      <c r="O2448">
        <v>101835.12110726644</v>
      </c>
      <c r="P2448">
        <v>404600</v>
      </c>
      <c r="Q2448">
        <v>5481470</v>
      </c>
      <c r="R2448">
        <v>94835.121107266445</v>
      </c>
      <c r="S2448" t="s">
        <v>65</v>
      </c>
      <c r="T2448" t="s">
        <v>5768</v>
      </c>
      <c r="U2448">
        <v>169530</v>
      </c>
      <c r="V2448" t="s">
        <v>6312</v>
      </c>
      <c r="W2448">
        <v>45503</v>
      </c>
      <c r="X2448" t="s">
        <v>10472</v>
      </c>
      <c r="Y2448" t="s">
        <v>6</v>
      </c>
      <c r="Z2448" t="s">
        <v>17</v>
      </c>
      <c r="AA2448" t="s">
        <v>6637</v>
      </c>
      <c r="AB2448" t="s">
        <v>2509</v>
      </c>
      <c r="AC2448" t="s">
        <v>2571</v>
      </c>
      <c r="AD2448" t="s">
        <v>717</v>
      </c>
      <c r="AE2448" t="s">
        <v>10473</v>
      </c>
      <c r="AF2448" t="s">
        <v>10474</v>
      </c>
      <c r="AG2448" t="s">
        <v>717</v>
      </c>
      <c r="AH2448" t="s">
        <v>2552</v>
      </c>
      <c r="AI2448" t="s">
        <v>10475</v>
      </c>
      <c r="AJ2448" t="s">
        <v>2662</v>
      </c>
      <c r="AK2448" t="s">
        <v>8</v>
      </c>
      <c r="AL2448" t="s">
        <v>22</v>
      </c>
      <c r="AM2448" t="s">
        <v>10</v>
      </c>
      <c r="AN2448" t="s">
        <v>10476</v>
      </c>
    </row>
    <row r="2449" spans="1:40" hidden="1">
      <c r="A2449">
        <v>2448</v>
      </c>
      <c r="B2449">
        <v>8</v>
      </c>
      <c r="C2449" s="58">
        <v>45516</v>
      </c>
      <c r="D2449" t="s">
        <v>13</v>
      </c>
      <c r="E2449" t="s">
        <v>4409</v>
      </c>
      <c r="F2449">
        <v>5</v>
      </c>
      <c r="G2449">
        <v>5</v>
      </c>
      <c r="H2449">
        <v>425</v>
      </c>
      <c r="I2449">
        <v>2</v>
      </c>
      <c r="J2449">
        <v>57.8</v>
      </c>
      <c r="K2449" t="s">
        <v>9</v>
      </c>
      <c r="L2449">
        <v>5596400</v>
      </c>
      <c r="M2449">
        <v>0</v>
      </c>
      <c r="N2449">
        <v>5596400</v>
      </c>
      <c r="O2449">
        <v>96823.529411764714</v>
      </c>
      <c r="P2449">
        <v>0</v>
      </c>
      <c r="Q2449">
        <v>5596400</v>
      </c>
      <c r="R2449">
        <v>96823.529411764714</v>
      </c>
      <c r="S2449" t="s">
        <v>65</v>
      </c>
      <c r="T2449" t="s">
        <v>717</v>
      </c>
      <c r="U2449" t="s">
        <v>717</v>
      </c>
      <c r="V2449" t="s">
        <v>717</v>
      </c>
      <c r="W2449">
        <v>45504</v>
      </c>
      <c r="X2449" t="s">
        <v>10477</v>
      </c>
      <c r="Y2449" t="s">
        <v>6</v>
      </c>
      <c r="Z2449" t="s">
        <v>17</v>
      </c>
      <c r="AA2449" t="s">
        <v>6637</v>
      </c>
      <c r="AB2449" t="s">
        <v>2509</v>
      </c>
      <c r="AC2449" t="s">
        <v>2571</v>
      </c>
      <c r="AD2449" t="s">
        <v>717</v>
      </c>
      <c r="AE2449" t="s">
        <v>10478</v>
      </c>
      <c r="AF2449" t="s">
        <v>10479</v>
      </c>
      <c r="AG2449" t="s">
        <v>10480</v>
      </c>
      <c r="AH2449" t="s">
        <v>2191</v>
      </c>
      <c r="AI2449" t="s">
        <v>2552</v>
      </c>
      <c r="AJ2449" t="s">
        <v>2514</v>
      </c>
      <c r="AK2449" t="s">
        <v>8</v>
      </c>
      <c r="AL2449" t="s">
        <v>22</v>
      </c>
      <c r="AM2449" t="s">
        <v>10</v>
      </c>
      <c r="AN2449" t="s">
        <v>717</v>
      </c>
    </row>
    <row r="2450" spans="1:40" hidden="1">
      <c r="A2450">
        <v>2449</v>
      </c>
      <c r="B2450">
        <v>9</v>
      </c>
      <c r="C2450" s="58">
        <v>45516</v>
      </c>
      <c r="D2450" t="s">
        <v>13</v>
      </c>
      <c r="E2450" t="s">
        <v>2515</v>
      </c>
      <c r="F2450">
        <v>2</v>
      </c>
      <c r="G2450">
        <v>6</v>
      </c>
      <c r="H2450">
        <v>36</v>
      </c>
      <c r="I2450">
        <v>2</v>
      </c>
      <c r="J2450">
        <v>68.5</v>
      </c>
      <c r="K2450" t="s">
        <v>21</v>
      </c>
      <c r="L2450">
        <v>7330700</v>
      </c>
      <c r="M2450">
        <v>0</v>
      </c>
      <c r="N2450">
        <v>7330700</v>
      </c>
      <c r="O2450">
        <v>107017.51824817518</v>
      </c>
      <c r="P2450">
        <v>479500</v>
      </c>
      <c r="Q2450">
        <v>6851200</v>
      </c>
      <c r="R2450">
        <v>100017.51824817518</v>
      </c>
      <c r="S2450" t="s">
        <v>65</v>
      </c>
      <c r="T2450" t="s">
        <v>717</v>
      </c>
      <c r="U2450" t="s">
        <v>717</v>
      </c>
      <c r="V2450" t="s">
        <v>6312</v>
      </c>
      <c r="W2450">
        <v>45510</v>
      </c>
      <c r="X2450" t="s">
        <v>10481</v>
      </c>
      <c r="Y2450" t="s">
        <v>6</v>
      </c>
      <c r="Z2450" t="s">
        <v>17</v>
      </c>
      <c r="AA2450" t="s">
        <v>6637</v>
      </c>
      <c r="AB2450" t="s">
        <v>2509</v>
      </c>
      <c r="AC2450" t="s">
        <v>2571</v>
      </c>
      <c r="AD2450" t="s">
        <v>717</v>
      </c>
      <c r="AE2450" t="s">
        <v>2179</v>
      </c>
      <c r="AF2450" t="s">
        <v>10482</v>
      </c>
      <c r="AG2450" t="s">
        <v>10483</v>
      </c>
      <c r="AH2450" t="s">
        <v>2615</v>
      </c>
      <c r="AI2450" t="s">
        <v>2538</v>
      </c>
      <c r="AJ2450" t="s">
        <v>2569</v>
      </c>
      <c r="AK2450" t="s">
        <v>8</v>
      </c>
      <c r="AL2450" t="s">
        <v>1892</v>
      </c>
      <c r="AM2450" t="s">
        <v>10</v>
      </c>
      <c r="AN2450" t="s">
        <v>717</v>
      </c>
    </row>
    <row r="2451" spans="1:40" hidden="1">
      <c r="A2451">
        <v>2450</v>
      </c>
      <c r="B2451">
        <v>10</v>
      </c>
      <c r="C2451" s="58">
        <v>45517</v>
      </c>
      <c r="D2451" t="s">
        <v>13</v>
      </c>
      <c r="E2451" t="s">
        <v>4409</v>
      </c>
      <c r="F2451">
        <v>1</v>
      </c>
      <c r="G2451">
        <v>5</v>
      </c>
      <c r="H2451">
        <v>421</v>
      </c>
      <c r="I2451">
        <v>0</v>
      </c>
      <c r="J2451">
        <v>29.4</v>
      </c>
      <c r="K2451" t="s">
        <v>25</v>
      </c>
      <c r="L2451">
        <v>4055800</v>
      </c>
      <c r="M2451">
        <v>0</v>
      </c>
      <c r="N2451">
        <v>4055800</v>
      </c>
      <c r="O2451">
        <v>137952.38095238095</v>
      </c>
      <c r="P2451">
        <v>588000.00000000047</v>
      </c>
      <c r="Q2451">
        <v>3467799.9999999995</v>
      </c>
      <c r="R2451">
        <v>117952.38095238096</v>
      </c>
      <c r="S2451" t="s">
        <v>65</v>
      </c>
      <c r="T2451" t="s">
        <v>717</v>
      </c>
      <c r="U2451" t="s">
        <v>717</v>
      </c>
      <c r="V2451" t="s">
        <v>6312</v>
      </c>
      <c r="W2451">
        <v>45516</v>
      </c>
      <c r="X2451" t="s">
        <v>10484</v>
      </c>
      <c r="Y2451" t="s">
        <v>6</v>
      </c>
      <c r="Z2451" t="s">
        <v>17</v>
      </c>
      <c r="AA2451" t="s">
        <v>6637</v>
      </c>
      <c r="AB2451" t="s">
        <v>2509</v>
      </c>
      <c r="AC2451" t="s">
        <v>2571</v>
      </c>
      <c r="AD2451" t="s">
        <v>717</v>
      </c>
      <c r="AE2451" t="s">
        <v>10485</v>
      </c>
      <c r="AF2451" t="s">
        <v>10486</v>
      </c>
      <c r="AG2451" t="s">
        <v>10487</v>
      </c>
      <c r="AH2451" t="s">
        <v>2615</v>
      </c>
      <c r="AI2451" t="s">
        <v>2552</v>
      </c>
      <c r="AJ2451" t="s">
        <v>3202</v>
      </c>
      <c r="AK2451" t="s">
        <v>8</v>
      </c>
      <c r="AL2451" t="s">
        <v>22</v>
      </c>
      <c r="AM2451" t="s">
        <v>10</v>
      </c>
      <c r="AN2451" t="s">
        <v>717</v>
      </c>
    </row>
    <row r="2452" spans="1:40" hidden="1">
      <c r="A2452">
        <v>2451</v>
      </c>
      <c r="B2452">
        <v>11</v>
      </c>
      <c r="C2452" s="58">
        <v>45517</v>
      </c>
      <c r="D2452" t="s">
        <v>7</v>
      </c>
      <c r="E2452" t="s">
        <v>4409</v>
      </c>
      <c r="F2452">
        <v>4</v>
      </c>
      <c r="G2452">
        <v>15</v>
      </c>
      <c r="H2452">
        <v>522</v>
      </c>
      <c r="I2452">
        <v>1</v>
      </c>
      <c r="J2452">
        <v>36.5</v>
      </c>
      <c r="K2452" t="s">
        <v>15</v>
      </c>
      <c r="L2452">
        <v>4865550</v>
      </c>
      <c r="M2452">
        <v>0</v>
      </c>
      <c r="N2452">
        <v>4865550</v>
      </c>
      <c r="O2452">
        <v>133302.73972602739</v>
      </c>
      <c r="P2452">
        <v>273750</v>
      </c>
      <c r="Q2452">
        <v>4591800</v>
      </c>
      <c r="R2452">
        <v>125802.7397260274</v>
      </c>
      <c r="S2452" t="s">
        <v>65</v>
      </c>
      <c r="T2452" t="s">
        <v>717</v>
      </c>
      <c r="U2452" t="s">
        <v>717</v>
      </c>
      <c r="V2452" t="s">
        <v>6312</v>
      </c>
      <c r="W2452">
        <v>45516</v>
      </c>
      <c r="X2452" t="s">
        <v>7718</v>
      </c>
      <c r="Y2452" t="s">
        <v>6</v>
      </c>
      <c r="Z2452" t="s">
        <v>17</v>
      </c>
      <c r="AA2452" t="s">
        <v>6637</v>
      </c>
      <c r="AB2452" t="s">
        <v>2509</v>
      </c>
      <c r="AC2452" t="s">
        <v>2571</v>
      </c>
      <c r="AD2452" t="s">
        <v>717</v>
      </c>
      <c r="AE2452" t="s">
        <v>5890</v>
      </c>
      <c r="AF2452" t="s">
        <v>5891</v>
      </c>
      <c r="AG2452" t="s">
        <v>5892</v>
      </c>
      <c r="AH2452" t="s">
        <v>2191</v>
      </c>
      <c r="AI2452" t="s">
        <v>2600</v>
      </c>
      <c r="AJ2452" t="s">
        <v>3921</v>
      </c>
      <c r="AK2452" t="s">
        <v>20</v>
      </c>
      <c r="AL2452" t="s">
        <v>22</v>
      </c>
      <c r="AM2452" t="s">
        <v>10</v>
      </c>
      <c r="AN2452" t="s">
        <v>10476</v>
      </c>
    </row>
    <row r="2453" spans="1:40" hidden="1">
      <c r="A2453">
        <v>2452</v>
      </c>
      <c r="B2453">
        <v>12</v>
      </c>
      <c r="C2453" s="58">
        <v>45529</v>
      </c>
      <c r="D2453" t="s">
        <v>7</v>
      </c>
      <c r="E2453" t="s">
        <v>2581</v>
      </c>
      <c r="F2453">
        <v>7</v>
      </c>
      <c r="G2453">
        <v>19</v>
      </c>
      <c r="H2453">
        <v>366</v>
      </c>
      <c r="I2453">
        <v>1</v>
      </c>
      <c r="J2453">
        <v>33.840000000000003</v>
      </c>
      <c r="K2453" t="s">
        <v>25</v>
      </c>
      <c r="L2453">
        <v>5468080</v>
      </c>
      <c r="M2453">
        <v>0</v>
      </c>
      <c r="N2453">
        <v>5468080</v>
      </c>
      <c r="O2453">
        <v>161586.28841607564</v>
      </c>
      <c r="P2453">
        <v>744480.00000000012</v>
      </c>
      <c r="Q2453">
        <v>4723600</v>
      </c>
      <c r="R2453">
        <v>139586.28841607564</v>
      </c>
      <c r="S2453" t="s">
        <v>65</v>
      </c>
      <c r="T2453" t="s">
        <v>717</v>
      </c>
      <c r="U2453" t="s">
        <v>717</v>
      </c>
      <c r="V2453" t="s">
        <v>6312</v>
      </c>
      <c r="W2453">
        <v>45518</v>
      </c>
      <c r="X2453" t="s">
        <v>10488</v>
      </c>
      <c r="Y2453" t="s">
        <v>2517</v>
      </c>
      <c r="Z2453" t="s">
        <v>17</v>
      </c>
      <c r="AA2453" t="s">
        <v>6637</v>
      </c>
      <c r="AB2453" t="s">
        <v>2509</v>
      </c>
      <c r="AC2453" t="s">
        <v>2571</v>
      </c>
      <c r="AD2453">
        <v>45589</v>
      </c>
      <c r="AE2453" t="s">
        <v>10489</v>
      </c>
      <c r="AF2453" t="s">
        <v>10490</v>
      </c>
      <c r="AG2453" t="s">
        <v>10491</v>
      </c>
      <c r="AH2453" t="s">
        <v>6100</v>
      </c>
      <c r="AI2453" t="s">
        <v>9793</v>
      </c>
      <c r="AJ2453" t="s">
        <v>40</v>
      </c>
      <c r="AK2453" t="s">
        <v>8</v>
      </c>
      <c r="AL2453" t="s">
        <v>22</v>
      </c>
      <c r="AM2453" t="s">
        <v>5654</v>
      </c>
      <c r="AN2453" t="s">
        <v>717</v>
      </c>
    </row>
    <row r="2454" spans="1:40" hidden="1">
      <c r="A2454">
        <v>2453</v>
      </c>
      <c r="B2454">
        <v>13</v>
      </c>
      <c r="C2454" s="58">
        <v>45527</v>
      </c>
      <c r="D2454" t="s">
        <v>7</v>
      </c>
      <c r="E2454" t="s">
        <v>4409</v>
      </c>
      <c r="F2454">
        <v>6</v>
      </c>
      <c r="G2454">
        <v>9</v>
      </c>
      <c r="H2454">
        <v>470</v>
      </c>
      <c r="I2454">
        <v>2</v>
      </c>
      <c r="J2454">
        <v>58.62</v>
      </c>
      <c r="K2454" t="s">
        <v>15</v>
      </c>
      <c r="L2454">
        <v>6484250</v>
      </c>
      <c r="M2454">
        <v>0</v>
      </c>
      <c r="N2454">
        <v>6484250</v>
      </c>
      <c r="O2454">
        <v>110614.97782326852</v>
      </c>
      <c r="P2454">
        <v>439650</v>
      </c>
      <c r="Q2454">
        <v>6044600</v>
      </c>
      <c r="R2454">
        <v>103114.97782326852</v>
      </c>
      <c r="S2454" t="s">
        <v>65</v>
      </c>
      <c r="T2454" t="s">
        <v>717</v>
      </c>
      <c r="U2454" t="s">
        <v>717</v>
      </c>
      <c r="V2454" t="s">
        <v>6312</v>
      </c>
      <c r="W2454">
        <v>45516</v>
      </c>
      <c r="X2454" t="s">
        <v>7714</v>
      </c>
      <c r="Y2454" t="s">
        <v>6</v>
      </c>
      <c r="Z2454" t="s">
        <v>17</v>
      </c>
      <c r="AA2454" t="s">
        <v>6637</v>
      </c>
      <c r="AB2454" t="s">
        <v>2509</v>
      </c>
      <c r="AC2454" t="s">
        <v>2571</v>
      </c>
      <c r="AD2454" t="s">
        <v>717</v>
      </c>
      <c r="AE2454" t="s">
        <v>10492</v>
      </c>
      <c r="AF2454" t="s">
        <v>10493</v>
      </c>
      <c r="AG2454" t="s">
        <v>10494</v>
      </c>
      <c r="AH2454" t="s">
        <v>2615</v>
      </c>
      <c r="AI2454" t="s">
        <v>3120</v>
      </c>
      <c r="AJ2454" t="s">
        <v>3202</v>
      </c>
      <c r="AK2454" t="s">
        <v>8</v>
      </c>
      <c r="AL2454" t="s">
        <v>22</v>
      </c>
      <c r="AM2454" t="s">
        <v>10</v>
      </c>
      <c r="AN2454" t="s">
        <v>717</v>
      </c>
    </row>
    <row r="2455" spans="1:40" hidden="1">
      <c r="A2455">
        <v>2454</v>
      </c>
      <c r="B2455">
        <v>14</v>
      </c>
      <c r="C2455" s="58">
        <v>45527</v>
      </c>
      <c r="D2455" t="s">
        <v>7</v>
      </c>
      <c r="E2455" t="s">
        <v>2581</v>
      </c>
      <c r="F2455">
        <v>2</v>
      </c>
      <c r="G2455">
        <v>22</v>
      </c>
      <c r="H2455">
        <v>382</v>
      </c>
      <c r="I2455">
        <v>2</v>
      </c>
      <c r="J2455">
        <v>67.95</v>
      </c>
      <c r="K2455" t="s">
        <v>15</v>
      </c>
      <c r="L2455">
        <v>7190073</v>
      </c>
      <c r="M2455">
        <v>0</v>
      </c>
      <c r="N2455">
        <v>7190073</v>
      </c>
      <c r="O2455">
        <v>105814.17218543046</v>
      </c>
      <c r="P2455">
        <v>509625</v>
      </c>
      <c r="Q2455">
        <v>6680448</v>
      </c>
      <c r="R2455">
        <v>98314.172185430463</v>
      </c>
      <c r="S2455" t="s">
        <v>65</v>
      </c>
      <c r="T2455" t="s">
        <v>2941</v>
      </c>
      <c r="U2455">
        <v>278352</v>
      </c>
      <c r="V2455" t="s">
        <v>6312</v>
      </c>
      <c r="W2455">
        <v>45524</v>
      </c>
      <c r="X2455" t="s">
        <v>10495</v>
      </c>
      <c r="Y2455" t="s">
        <v>6</v>
      </c>
      <c r="Z2455" t="s">
        <v>17</v>
      </c>
      <c r="AA2455" t="s">
        <v>6637</v>
      </c>
      <c r="AB2455" t="s">
        <v>2509</v>
      </c>
      <c r="AC2455" t="s">
        <v>2571</v>
      </c>
      <c r="AD2455" t="s">
        <v>717</v>
      </c>
      <c r="AE2455" t="s">
        <v>2181</v>
      </c>
      <c r="AF2455" t="s">
        <v>10496</v>
      </c>
      <c r="AG2455" t="s">
        <v>10497</v>
      </c>
      <c r="AH2455" t="s">
        <v>2552</v>
      </c>
      <c r="AI2455" t="s">
        <v>2847</v>
      </c>
      <c r="AJ2455" t="s">
        <v>2940</v>
      </c>
      <c r="AK2455" t="s">
        <v>46</v>
      </c>
      <c r="AL2455" t="s">
        <v>1892</v>
      </c>
      <c r="AM2455" t="s">
        <v>10</v>
      </c>
      <c r="AN2455" t="s">
        <v>717</v>
      </c>
    </row>
    <row r="2456" spans="1:40" hidden="1">
      <c r="A2456">
        <v>2455</v>
      </c>
      <c r="B2456">
        <v>15</v>
      </c>
      <c r="C2456" s="58">
        <v>45533</v>
      </c>
      <c r="D2456" t="s">
        <v>13</v>
      </c>
      <c r="E2456" t="s">
        <v>2581</v>
      </c>
      <c r="F2456">
        <v>7</v>
      </c>
      <c r="G2456">
        <v>16</v>
      </c>
      <c r="H2456">
        <v>333</v>
      </c>
      <c r="I2456">
        <v>1</v>
      </c>
      <c r="J2456">
        <v>34.81</v>
      </c>
      <c r="K2456" t="s">
        <v>25</v>
      </c>
      <c r="L2456">
        <v>4929500</v>
      </c>
      <c r="M2456">
        <v>0</v>
      </c>
      <c r="N2456">
        <v>4929500</v>
      </c>
      <c r="O2456">
        <v>141611.60586038494</v>
      </c>
      <c r="P2456">
        <v>696200</v>
      </c>
      <c r="Q2456">
        <v>4233300</v>
      </c>
      <c r="R2456">
        <v>121611.60586038494</v>
      </c>
      <c r="S2456" t="s">
        <v>65</v>
      </c>
      <c r="T2456" t="s">
        <v>717</v>
      </c>
      <c r="U2456" t="s">
        <v>717</v>
      </c>
      <c r="V2456" t="s">
        <v>6312</v>
      </c>
      <c r="W2456">
        <v>45520</v>
      </c>
      <c r="X2456" t="s">
        <v>10498</v>
      </c>
      <c r="Y2456" t="s">
        <v>6</v>
      </c>
      <c r="Z2456" t="s">
        <v>17</v>
      </c>
      <c r="AA2456" t="s">
        <v>6637</v>
      </c>
      <c r="AB2456" t="s">
        <v>2509</v>
      </c>
      <c r="AC2456" t="s">
        <v>2571</v>
      </c>
      <c r="AD2456" t="s">
        <v>717</v>
      </c>
      <c r="AE2456" t="s">
        <v>10499</v>
      </c>
      <c r="AF2456" t="s">
        <v>10500</v>
      </c>
      <c r="AG2456" t="s">
        <v>10501</v>
      </c>
      <c r="AH2456" t="s">
        <v>2191</v>
      </c>
      <c r="AI2456" t="s">
        <v>2538</v>
      </c>
      <c r="AJ2456" t="s">
        <v>2514</v>
      </c>
      <c r="AK2456" t="s">
        <v>8</v>
      </c>
      <c r="AL2456" t="s">
        <v>22</v>
      </c>
      <c r="AM2456" t="s">
        <v>10</v>
      </c>
      <c r="AN2456" t="s">
        <v>10476</v>
      </c>
    </row>
    <row r="2457" spans="1:40" hidden="1">
      <c r="A2457">
        <v>2456</v>
      </c>
      <c r="B2457">
        <v>16</v>
      </c>
      <c r="C2457" s="58">
        <v>45533</v>
      </c>
      <c r="D2457" t="s">
        <v>13</v>
      </c>
      <c r="E2457" t="s">
        <v>2581</v>
      </c>
      <c r="F2457">
        <v>2</v>
      </c>
      <c r="G2457">
        <v>15</v>
      </c>
      <c r="H2457">
        <v>321</v>
      </c>
      <c r="I2457">
        <v>0</v>
      </c>
      <c r="J2457">
        <v>24.53</v>
      </c>
      <c r="K2457" t="s">
        <v>25</v>
      </c>
      <c r="L2457">
        <v>3686900</v>
      </c>
      <c r="M2457">
        <v>0</v>
      </c>
      <c r="N2457">
        <v>3686900</v>
      </c>
      <c r="O2457">
        <v>150301.67142274766</v>
      </c>
      <c r="P2457">
        <v>490599.99999999953</v>
      </c>
      <c r="Q2457">
        <v>3196300.0000000005</v>
      </c>
      <c r="R2457">
        <v>130301.67142274766</v>
      </c>
      <c r="S2457" t="s">
        <v>65</v>
      </c>
      <c r="T2457" t="s">
        <v>717</v>
      </c>
      <c r="U2457" t="s">
        <v>717</v>
      </c>
      <c r="V2457" t="s">
        <v>6312</v>
      </c>
      <c r="W2457">
        <v>45523</v>
      </c>
      <c r="X2457" t="s">
        <v>10502</v>
      </c>
      <c r="Y2457" t="s">
        <v>6</v>
      </c>
      <c r="Z2457" t="s">
        <v>17</v>
      </c>
      <c r="AA2457" t="s">
        <v>6637</v>
      </c>
      <c r="AB2457" t="s">
        <v>2509</v>
      </c>
      <c r="AC2457" t="s">
        <v>2571</v>
      </c>
      <c r="AD2457" t="s">
        <v>717</v>
      </c>
      <c r="AE2457" t="s">
        <v>10503</v>
      </c>
      <c r="AF2457" t="s">
        <v>10504</v>
      </c>
      <c r="AG2457" t="s">
        <v>10505</v>
      </c>
      <c r="AH2457" t="s">
        <v>2191</v>
      </c>
      <c r="AI2457" t="s">
        <v>2656</v>
      </c>
      <c r="AJ2457" t="s">
        <v>2514</v>
      </c>
      <c r="AK2457" t="s">
        <v>8</v>
      </c>
      <c r="AL2457" t="s">
        <v>1892</v>
      </c>
      <c r="AM2457" t="s">
        <v>10</v>
      </c>
      <c r="AN2457" t="s">
        <v>717</v>
      </c>
    </row>
    <row r="2458" spans="1:40" hidden="1">
      <c r="A2458">
        <v>2457</v>
      </c>
      <c r="B2458">
        <v>17</v>
      </c>
      <c r="C2458" s="58">
        <v>45533</v>
      </c>
      <c r="D2458" t="s">
        <v>13</v>
      </c>
      <c r="E2458" t="s">
        <v>4409</v>
      </c>
      <c r="F2458">
        <v>2</v>
      </c>
      <c r="G2458">
        <v>8</v>
      </c>
      <c r="H2458">
        <v>446</v>
      </c>
      <c r="I2458">
        <v>1</v>
      </c>
      <c r="J2458">
        <v>43.21</v>
      </c>
      <c r="K2458" t="s">
        <v>25</v>
      </c>
      <c r="L2458">
        <v>5659600</v>
      </c>
      <c r="M2458">
        <v>0</v>
      </c>
      <c r="N2458">
        <v>5659600</v>
      </c>
      <c r="O2458">
        <v>130978.94006017126</v>
      </c>
      <c r="P2458">
        <v>864200</v>
      </c>
      <c r="Q2458">
        <v>4795400</v>
      </c>
      <c r="R2458">
        <v>110978.94006017126</v>
      </c>
      <c r="S2458" t="s">
        <v>65</v>
      </c>
      <c r="T2458" t="s">
        <v>717</v>
      </c>
      <c r="U2458" t="s">
        <v>717</v>
      </c>
      <c r="V2458" t="s">
        <v>6312</v>
      </c>
      <c r="W2458">
        <v>45530</v>
      </c>
      <c r="X2458" t="s">
        <v>10506</v>
      </c>
      <c r="Y2458" t="s">
        <v>6</v>
      </c>
      <c r="Z2458" t="s">
        <v>17</v>
      </c>
      <c r="AA2458" t="s">
        <v>6637</v>
      </c>
      <c r="AB2458" t="s">
        <v>2509</v>
      </c>
      <c r="AC2458" t="s">
        <v>2571</v>
      </c>
      <c r="AD2458" t="s">
        <v>717</v>
      </c>
      <c r="AE2458" t="s">
        <v>10507</v>
      </c>
      <c r="AF2458" t="s">
        <v>10508</v>
      </c>
      <c r="AG2458" t="s">
        <v>10509</v>
      </c>
      <c r="AH2458" t="s">
        <v>6100</v>
      </c>
      <c r="AI2458" t="s">
        <v>9944</v>
      </c>
      <c r="AJ2458" t="s">
        <v>41</v>
      </c>
      <c r="AK2458" t="s">
        <v>20</v>
      </c>
      <c r="AL2458" t="s">
        <v>22</v>
      </c>
      <c r="AM2458" t="s">
        <v>5654</v>
      </c>
      <c r="AN2458" t="s">
        <v>717</v>
      </c>
    </row>
    <row r="2459" spans="1:40" hidden="1">
      <c r="A2459">
        <v>2458</v>
      </c>
      <c r="B2459">
        <v>18</v>
      </c>
      <c r="C2459" s="58">
        <v>45533</v>
      </c>
      <c r="D2459" t="s">
        <v>13</v>
      </c>
      <c r="E2459" t="s">
        <v>2581</v>
      </c>
      <c r="F2459">
        <v>4</v>
      </c>
      <c r="G2459">
        <v>7</v>
      </c>
      <c r="H2459">
        <v>267</v>
      </c>
      <c r="I2459">
        <v>2</v>
      </c>
      <c r="J2459">
        <v>60.24</v>
      </c>
      <c r="K2459" t="s">
        <v>21</v>
      </c>
      <c r="L2459">
        <v>6362780</v>
      </c>
      <c r="M2459">
        <v>0</v>
      </c>
      <c r="N2459">
        <v>6362780</v>
      </c>
      <c r="O2459">
        <v>105623.83798140772</v>
      </c>
      <c r="P2459">
        <v>421680</v>
      </c>
      <c r="Q2459">
        <v>5941100</v>
      </c>
      <c r="R2459">
        <v>98623.837981407705</v>
      </c>
      <c r="S2459" t="s">
        <v>65</v>
      </c>
      <c r="T2459" t="s">
        <v>717</v>
      </c>
      <c r="U2459" t="s">
        <v>717</v>
      </c>
      <c r="V2459" t="s">
        <v>6312</v>
      </c>
      <c r="W2459">
        <v>45533</v>
      </c>
      <c r="X2459" t="s">
        <v>10510</v>
      </c>
      <c r="Y2459" t="s">
        <v>6</v>
      </c>
      <c r="Z2459" t="s">
        <v>17</v>
      </c>
      <c r="AA2459" t="s">
        <v>6637</v>
      </c>
      <c r="AB2459" t="s">
        <v>2509</v>
      </c>
      <c r="AC2459" t="s">
        <v>2571</v>
      </c>
      <c r="AD2459" t="s">
        <v>717</v>
      </c>
      <c r="AE2459" t="s">
        <v>10511</v>
      </c>
      <c r="AF2459" t="s">
        <v>10512</v>
      </c>
      <c r="AG2459" t="s">
        <v>10513</v>
      </c>
      <c r="AH2459" t="s">
        <v>2191</v>
      </c>
      <c r="AI2459" t="s">
        <v>2706</v>
      </c>
      <c r="AJ2459" t="s">
        <v>2514</v>
      </c>
      <c r="AK2459" t="s">
        <v>14</v>
      </c>
      <c r="AL2459" t="s">
        <v>1892</v>
      </c>
      <c r="AM2459" t="s">
        <v>10</v>
      </c>
      <c r="AN2459" t="s">
        <v>717</v>
      </c>
    </row>
    <row r="2460" spans="1:40" hidden="1">
      <c r="A2460">
        <v>2459</v>
      </c>
      <c r="B2460">
        <v>19</v>
      </c>
      <c r="C2460" s="58">
        <v>45534</v>
      </c>
      <c r="D2460" t="s">
        <v>13</v>
      </c>
      <c r="E2460" t="s">
        <v>4409</v>
      </c>
      <c r="F2460">
        <v>7</v>
      </c>
      <c r="G2460">
        <v>15</v>
      </c>
      <c r="H2460">
        <v>507</v>
      </c>
      <c r="I2460">
        <v>3</v>
      </c>
      <c r="J2460">
        <v>79.44</v>
      </c>
      <c r="K2460" t="s">
        <v>25</v>
      </c>
      <c r="L2460">
        <v>9538600</v>
      </c>
      <c r="M2460">
        <v>0</v>
      </c>
      <c r="N2460">
        <v>9538600</v>
      </c>
      <c r="O2460">
        <v>120073.0110775428</v>
      </c>
      <c r="P2460">
        <v>1588800</v>
      </c>
      <c r="Q2460">
        <v>7949800</v>
      </c>
      <c r="R2460">
        <v>100073.0110775428</v>
      </c>
      <c r="S2460" t="s">
        <v>65</v>
      </c>
      <c r="T2460" t="s">
        <v>717</v>
      </c>
      <c r="U2460" t="s">
        <v>717</v>
      </c>
      <c r="V2460" t="s">
        <v>717</v>
      </c>
      <c r="W2460">
        <v>45530</v>
      </c>
      <c r="X2460" t="s">
        <v>10514</v>
      </c>
      <c r="Y2460" t="s">
        <v>6</v>
      </c>
      <c r="Z2460" t="s">
        <v>17</v>
      </c>
      <c r="AA2460" t="s">
        <v>5617</v>
      </c>
      <c r="AB2460" t="s">
        <v>2509</v>
      </c>
      <c r="AC2460" t="s">
        <v>3862</v>
      </c>
      <c r="AD2460" t="s">
        <v>717</v>
      </c>
      <c r="AE2460" t="s">
        <v>10515</v>
      </c>
      <c r="AF2460" t="s">
        <v>10516</v>
      </c>
      <c r="AG2460" t="s">
        <v>10517</v>
      </c>
      <c r="AH2460" t="s">
        <v>2191</v>
      </c>
      <c r="AI2460" t="s">
        <v>2656</v>
      </c>
      <c r="AJ2460" t="s">
        <v>2514</v>
      </c>
      <c r="AK2460" t="s">
        <v>8</v>
      </c>
      <c r="AL2460" t="s">
        <v>1892</v>
      </c>
      <c r="AM2460" t="s">
        <v>10</v>
      </c>
      <c r="AN2460" t="s">
        <v>10518</v>
      </c>
    </row>
    <row r="2461" spans="1:40" hidden="1">
      <c r="A2461">
        <v>2460</v>
      </c>
      <c r="B2461">
        <v>20</v>
      </c>
      <c r="C2461" s="58">
        <v>45535</v>
      </c>
      <c r="D2461" t="s">
        <v>13</v>
      </c>
      <c r="E2461" t="s">
        <v>2581</v>
      </c>
      <c r="F2461">
        <v>6</v>
      </c>
      <c r="G2461">
        <v>18</v>
      </c>
      <c r="H2461">
        <v>346</v>
      </c>
      <c r="I2461">
        <v>3</v>
      </c>
      <c r="J2461">
        <v>80.97</v>
      </c>
      <c r="K2461" t="s">
        <v>9</v>
      </c>
      <c r="L2461">
        <v>7296278</v>
      </c>
      <c r="M2461">
        <v>15000</v>
      </c>
      <c r="N2461">
        <v>7311278</v>
      </c>
      <c r="O2461">
        <v>90296.134370754604</v>
      </c>
      <c r="P2461">
        <v>0</v>
      </c>
      <c r="Q2461">
        <v>7311278</v>
      </c>
      <c r="R2461">
        <v>90296.134370754604</v>
      </c>
      <c r="S2461" t="s">
        <v>65</v>
      </c>
      <c r="T2461" t="s">
        <v>4059</v>
      </c>
      <c r="U2461">
        <v>226122.00000000093</v>
      </c>
      <c r="V2461" t="s">
        <v>6312</v>
      </c>
      <c r="W2461">
        <v>45504</v>
      </c>
      <c r="X2461" t="s">
        <v>10519</v>
      </c>
      <c r="Y2461" t="s">
        <v>6</v>
      </c>
      <c r="Z2461" t="s">
        <v>17</v>
      </c>
      <c r="AA2461" t="s">
        <v>6637</v>
      </c>
      <c r="AB2461" t="s">
        <v>2509</v>
      </c>
      <c r="AC2461" t="s">
        <v>2571</v>
      </c>
      <c r="AD2461" t="s">
        <v>717</v>
      </c>
      <c r="AE2461" t="s">
        <v>10520</v>
      </c>
      <c r="AF2461" t="s">
        <v>10521</v>
      </c>
      <c r="AG2461" t="s">
        <v>10522</v>
      </c>
      <c r="AH2461" t="s">
        <v>2615</v>
      </c>
      <c r="AI2461" t="s">
        <v>2847</v>
      </c>
      <c r="AJ2461" t="s">
        <v>2662</v>
      </c>
      <c r="AK2461" t="s">
        <v>8</v>
      </c>
      <c r="AL2461" t="s">
        <v>22</v>
      </c>
      <c r="AM2461" t="s">
        <v>10</v>
      </c>
      <c r="AN2461" t="s">
        <v>717</v>
      </c>
    </row>
    <row r="2462" spans="1:40" hidden="1">
      <c r="A2462">
        <v>2461</v>
      </c>
      <c r="B2462">
        <v>21</v>
      </c>
      <c r="C2462" s="58">
        <v>45535</v>
      </c>
      <c r="D2462" t="s">
        <v>7</v>
      </c>
      <c r="E2462" t="s">
        <v>2581</v>
      </c>
      <c r="F2462">
        <v>2</v>
      </c>
      <c r="G2462">
        <v>20</v>
      </c>
      <c r="H2462">
        <v>368</v>
      </c>
      <c r="I2462">
        <v>2</v>
      </c>
      <c r="J2462">
        <v>67.95</v>
      </c>
      <c r="K2462" t="s">
        <v>15</v>
      </c>
      <c r="L2462">
        <v>7259661</v>
      </c>
      <c r="M2462">
        <v>0</v>
      </c>
      <c r="N2462">
        <v>7259661</v>
      </c>
      <c r="O2462">
        <v>106838.27814569537</v>
      </c>
      <c r="P2462">
        <v>509625</v>
      </c>
      <c r="Q2462">
        <v>6750036</v>
      </c>
      <c r="R2462">
        <v>99338.278145695367</v>
      </c>
      <c r="S2462" t="s">
        <v>65</v>
      </c>
      <c r="T2462" t="s">
        <v>4379</v>
      </c>
      <c r="U2462">
        <v>208764</v>
      </c>
      <c r="V2462" t="s">
        <v>6312</v>
      </c>
      <c r="W2462">
        <v>45525</v>
      </c>
      <c r="X2462" t="s">
        <v>10523</v>
      </c>
      <c r="Y2462" t="s">
        <v>6</v>
      </c>
      <c r="Z2462" t="s">
        <v>17</v>
      </c>
      <c r="AA2462" t="s">
        <v>6637</v>
      </c>
      <c r="AB2462" t="s">
        <v>2509</v>
      </c>
      <c r="AC2462" t="s">
        <v>2571</v>
      </c>
      <c r="AD2462" t="s">
        <v>717</v>
      </c>
      <c r="AE2462" t="s">
        <v>10524</v>
      </c>
      <c r="AF2462" t="s">
        <v>10525</v>
      </c>
      <c r="AG2462" t="s">
        <v>10526</v>
      </c>
      <c r="AH2462" t="s">
        <v>2552</v>
      </c>
      <c r="AI2462" t="s">
        <v>2552</v>
      </c>
      <c r="AJ2462" t="s">
        <v>2895</v>
      </c>
      <c r="AK2462" t="s">
        <v>14</v>
      </c>
      <c r="AL2462" t="s">
        <v>22</v>
      </c>
      <c r="AM2462" t="s">
        <v>10</v>
      </c>
      <c r="AN2462" t="s">
        <v>717</v>
      </c>
    </row>
    <row r="2463" spans="1:40">
      <c r="A2463">
        <v>2462</v>
      </c>
      <c r="B2463">
        <v>1</v>
      </c>
      <c r="C2463" s="58">
        <v>45541</v>
      </c>
      <c r="D2463" t="s">
        <v>7</v>
      </c>
      <c r="E2463" t="s">
        <v>2581</v>
      </c>
      <c r="F2463">
        <v>2</v>
      </c>
      <c r="G2463">
        <v>23</v>
      </c>
      <c r="H2463">
        <v>389</v>
      </c>
      <c r="I2463">
        <v>2</v>
      </c>
      <c r="J2463">
        <v>67.95</v>
      </c>
      <c r="K2463" t="s">
        <v>25</v>
      </c>
      <c r="L2463">
        <v>8453700</v>
      </c>
      <c r="M2463">
        <v>0</v>
      </c>
      <c r="N2463">
        <v>8453700</v>
      </c>
      <c r="O2463">
        <v>124410.59602649006</v>
      </c>
      <c r="P2463">
        <v>1494900</v>
      </c>
      <c r="Q2463">
        <v>6958800</v>
      </c>
      <c r="R2463">
        <v>102410.59602649006</v>
      </c>
      <c r="S2463" t="s">
        <v>65</v>
      </c>
      <c r="T2463" t="s">
        <v>717</v>
      </c>
      <c r="U2463" t="s">
        <v>717</v>
      </c>
      <c r="V2463" t="s">
        <v>6312</v>
      </c>
      <c r="W2463">
        <v>45540</v>
      </c>
      <c r="X2463" t="s">
        <v>10527</v>
      </c>
      <c r="Y2463" t="s">
        <v>6</v>
      </c>
      <c r="Z2463" t="s">
        <v>17</v>
      </c>
      <c r="AA2463" t="s">
        <v>6637</v>
      </c>
      <c r="AB2463" t="s">
        <v>2509</v>
      </c>
      <c r="AC2463" t="s">
        <v>2571</v>
      </c>
      <c r="AD2463" t="s">
        <v>717</v>
      </c>
      <c r="AE2463" t="s">
        <v>2192</v>
      </c>
      <c r="AF2463" t="s">
        <v>10528</v>
      </c>
      <c r="AG2463" t="s">
        <v>10529</v>
      </c>
      <c r="AH2463" t="s">
        <v>2615</v>
      </c>
      <c r="AI2463" t="s">
        <v>2552</v>
      </c>
      <c r="AJ2463" t="s">
        <v>2569</v>
      </c>
      <c r="AK2463" t="s">
        <v>8</v>
      </c>
      <c r="AL2463" t="s">
        <v>22</v>
      </c>
      <c r="AM2463" t="s">
        <v>10</v>
      </c>
      <c r="AN2463" t="s">
        <v>717</v>
      </c>
    </row>
    <row r="2464" spans="1:40">
      <c r="A2464">
        <v>2463</v>
      </c>
      <c r="B2464">
        <v>2</v>
      </c>
      <c r="C2464" s="58">
        <v>45544</v>
      </c>
      <c r="D2464" t="s">
        <v>13</v>
      </c>
      <c r="E2464" t="s">
        <v>2581</v>
      </c>
      <c r="F2464">
        <v>2</v>
      </c>
      <c r="G2464">
        <v>23</v>
      </c>
      <c r="H2464">
        <v>377</v>
      </c>
      <c r="I2464">
        <v>0</v>
      </c>
      <c r="J2464">
        <v>24.53</v>
      </c>
      <c r="K2464" t="s">
        <v>25</v>
      </c>
      <c r="L2464">
        <v>3863600</v>
      </c>
      <c r="M2464">
        <v>0</v>
      </c>
      <c r="N2464">
        <v>3863600</v>
      </c>
      <c r="O2464">
        <v>157505.09580105991</v>
      </c>
      <c r="P2464">
        <v>490600</v>
      </c>
      <c r="Q2464">
        <v>3373000</v>
      </c>
      <c r="R2464">
        <v>137505.09580105991</v>
      </c>
      <c r="S2464" t="s">
        <v>65</v>
      </c>
      <c r="T2464" t="s">
        <v>717</v>
      </c>
      <c r="U2464" t="s">
        <v>717</v>
      </c>
      <c r="V2464" t="s">
        <v>6312</v>
      </c>
      <c r="W2464">
        <v>45539</v>
      </c>
      <c r="X2464" t="s">
        <v>10530</v>
      </c>
      <c r="Y2464" t="s">
        <v>6</v>
      </c>
      <c r="Z2464" t="s">
        <v>17</v>
      </c>
      <c r="AA2464" t="s">
        <v>6637</v>
      </c>
      <c r="AB2464" t="s">
        <v>2509</v>
      </c>
      <c r="AC2464" t="s">
        <v>2571</v>
      </c>
      <c r="AD2464" t="s">
        <v>717</v>
      </c>
      <c r="AE2464" t="s">
        <v>2193</v>
      </c>
      <c r="AF2464" t="s">
        <v>10531</v>
      </c>
      <c r="AG2464" t="s">
        <v>10532</v>
      </c>
      <c r="AH2464" t="s">
        <v>6100</v>
      </c>
      <c r="AI2464" t="s">
        <v>5653</v>
      </c>
      <c r="AJ2464" t="s">
        <v>31</v>
      </c>
      <c r="AK2464" t="s">
        <v>8</v>
      </c>
      <c r="AL2464" t="s">
        <v>1892</v>
      </c>
      <c r="AM2464" t="s">
        <v>5654</v>
      </c>
      <c r="AN2464" t="s">
        <v>717</v>
      </c>
    </row>
    <row r="2465" spans="1:40">
      <c r="A2465">
        <v>2464</v>
      </c>
      <c r="B2465">
        <v>3</v>
      </c>
      <c r="C2465" s="58">
        <v>45545</v>
      </c>
      <c r="D2465" t="s">
        <v>7</v>
      </c>
      <c r="E2465" t="s">
        <v>2581</v>
      </c>
      <c r="F2465">
        <v>6</v>
      </c>
      <c r="G2465">
        <v>12</v>
      </c>
      <c r="H2465">
        <v>316</v>
      </c>
      <c r="I2465">
        <v>3</v>
      </c>
      <c r="J2465">
        <v>72.510000000000005</v>
      </c>
      <c r="K2465" t="s">
        <v>25</v>
      </c>
      <c r="L2465">
        <v>8647202</v>
      </c>
      <c r="M2465">
        <v>0</v>
      </c>
      <c r="N2465">
        <v>8647202</v>
      </c>
      <c r="O2465">
        <v>119255.30271686664</v>
      </c>
      <c r="P2465">
        <v>1595220</v>
      </c>
      <c r="Q2465">
        <v>7051982</v>
      </c>
      <c r="R2465">
        <v>97255.302716866645</v>
      </c>
      <c r="S2465" t="s">
        <v>65</v>
      </c>
      <c r="T2465" t="s">
        <v>10533</v>
      </c>
      <c r="U2465">
        <v>143918</v>
      </c>
      <c r="V2465" t="s">
        <v>6312</v>
      </c>
      <c r="W2465">
        <v>45544</v>
      </c>
      <c r="X2465" t="s">
        <v>10534</v>
      </c>
      <c r="Y2465" t="s">
        <v>6</v>
      </c>
      <c r="Z2465" t="s">
        <v>17</v>
      </c>
      <c r="AA2465" t="s">
        <v>6637</v>
      </c>
      <c r="AB2465" t="s">
        <v>2509</v>
      </c>
      <c r="AC2465" t="s">
        <v>2571</v>
      </c>
      <c r="AD2465" t="s">
        <v>717</v>
      </c>
      <c r="AE2465" t="s">
        <v>10535</v>
      </c>
      <c r="AF2465" t="s">
        <v>10536</v>
      </c>
      <c r="AG2465" t="s">
        <v>10537</v>
      </c>
      <c r="AH2465" t="s">
        <v>2615</v>
      </c>
      <c r="AI2465" t="s">
        <v>2600</v>
      </c>
      <c r="AJ2465" t="s">
        <v>2662</v>
      </c>
      <c r="AK2465" t="s">
        <v>20</v>
      </c>
      <c r="AL2465" t="s">
        <v>22</v>
      </c>
      <c r="AM2465" t="s">
        <v>10</v>
      </c>
      <c r="AN2465" t="s">
        <v>717</v>
      </c>
    </row>
    <row r="2466" spans="1:40">
      <c r="A2466">
        <v>2465</v>
      </c>
      <c r="B2466">
        <v>4</v>
      </c>
      <c r="C2466" s="58">
        <v>45548</v>
      </c>
      <c r="D2466" t="s">
        <v>13</v>
      </c>
      <c r="E2466" t="s">
        <v>4409</v>
      </c>
      <c r="F2466">
        <v>4</v>
      </c>
      <c r="G2466">
        <v>10</v>
      </c>
      <c r="H2466">
        <v>464</v>
      </c>
      <c r="I2466">
        <v>2</v>
      </c>
      <c r="J2466">
        <v>58.24</v>
      </c>
      <c r="K2466" t="s">
        <v>25</v>
      </c>
      <c r="L2466">
        <v>6661305</v>
      </c>
      <c r="M2466">
        <v>0</v>
      </c>
      <c r="N2466">
        <v>6661305</v>
      </c>
      <c r="O2466">
        <v>114376.80288461538</v>
      </c>
      <c r="P2466">
        <v>1164800</v>
      </c>
      <c r="Q2466">
        <v>5496505</v>
      </c>
      <c r="R2466">
        <v>94376.802884615376</v>
      </c>
      <c r="S2466" t="s">
        <v>65</v>
      </c>
      <c r="T2466" t="s">
        <v>2941</v>
      </c>
      <c r="U2466">
        <v>169995</v>
      </c>
      <c r="V2466" t="s">
        <v>6312</v>
      </c>
      <c r="W2466">
        <v>45547</v>
      </c>
      <c r="X2466" t="s">
        <v>10538</v>
      </c>
      <c r="Y2466" t="s">
        <v>6</v>
      </c>
      <c r="Z2466" t="s">
        <v>17</v>
      </c>
      <c r="AA2466" t="s">
        <v>6637</v>
      </c>
      <c r="AB2466" t="s">
        <v>2509</v>
      </c>
      <c r="AC2466" t="s">
        <v>2571</v>
      </c>
      <c r="AD2466" t="s">
        <v>717</v>
      </c>
      <c r="AE2466" t="s">
        <v>10539</v>
      </c>
      <c r="AF2466" t="s">
        <v>10540</v>
      </c>
      <c r="AG2466" t="s">
        <v>10541</v>
      </c>
      <c r="AH2466" t="s">
        <v>2615</v>
      </c>
      <c r="AI2466" t="s">
        <v>2552</v>
      </c>
      <c r="AJ2466" t="s">
        <v>2825</v>
      </c>
      <c r="AK2466" t="s">
        <v>20</v>
      </c>
      <c r="AL2466" t="s">
        <v>22</v>
      </c>
      <c r="AM2466" t="s">
        <v>10</v>
      </c>
      <c r="AN2466" t="s">
        <v>717</v>
      </c>
    </row>
    <row r="2467" spans="1:40">
      <c r="A2467">
        <v>2466</v>
      </c>
      <c r="B2467">
        <v>5</v>
      </c>
      <c r="C2467" s="58">
        <v>45552</v>
      </c>
      <c r="D2467" t="s">
        <v>7</v>
      </c>
      <c r="E2467" t="s">
        <v>2581</v>
      </c>
      <c r="F2467">
        <v>4</v>
      </c>
      <c r="G2467">
        <v>19</v>
      </c>
      <c r="H2467">
        <v>363</v>
      </c>
      <c r="I2467">
        <v>2</v>
      </c>
      <c r="J2467">
        <v>58.55</v>
      </c>
      <c r="K2467" t="s">
        <v>25</v>
      </c>
      <c r="L2467">
        <v>7657799</v>
      </c>
      <c r="M2467">
        <v>0</v>
      </c>
      <c r="N2467">
        <v>7657799</v>
      </c>
      <c r="O2467">
        <v>130790.76003415884</v>
      </c>
      <c r="P2467">
        <v>1288100</v>
      </c>
      <c r="Q2467">
        <v>6369699</v>
      </c>
      <c r="R2467">
        <v>108790.76003415884</v>
      </c>
      <c r="S2467" t="s">
        <v>65</v>
      </c>
      <c r="T2467" t="s">
        <v>5768</v>
      </c>
      <c r="U2467">
        <v>197001</v>
      </c>
      <c r="V2467" t="s">
        <v>6312</v>
      </c>
      <c r="W2467">
        <v>45538</v>
      </c>
      <c r="X2467" t="s">
        <v>10542</v>
      </c>
      <c r="Y2467" t="s">
        <v>6</v>
      </c>
      <c r="Z2467" t="s">
        <v>17</v>
      </c>
      <c r="AA2467" t="s">
        <v>6637</v>
      </c>
      <c r="AB2467" t="s">
        <v>2509</v>
      </c>
      <c r="AC2467" t="s">
        <v>2571</v>
      </c>
      <c r="AD2467" t="s">
        <v>717</v>
      </c>
      <c r="AE2467" t="s">
        <v>2196</v>
      </c>
      <c r="AF2467" t="s">
        <v>10543</v>
      </c>
      <c r="AG2467" t="s">
        <v>10544</v>
      </c>
      <c r="AH2467" t="s">
        <v>6100</v>
      </c>
      <c r="AI2467" t="s">
        <v>10467</v>
      </c>
      <c r="AJ2467" t="s">
        <v>42</v>
      </c>
      <c r="AK2467" t="s">
        <v>46</v>
      </c>
      <c r="AL2467" t="s">
        <v>1892</v>
      </c>
      <c r="AM2467" t="s">
        <v>5654</v>
      </c>
      <c r="AN2467" t="s">
        <v>717</v>
      </c>
    </row>
    <row r="2468" spans="1:40">
      <c r="A2468">
        <v>2467</v>
      </c>
      <c r="B2468">
        <v>6</v>
      </c>
      <c r="C2468" s="58">
        <v>45554</v>
      </c>
      <c r="D2468" t="s">
        <v>13</v>
      </c>
      <c r="E2468" t="s">
        <v>4409</v>
      </c>
      <c r="F2468">
        <v>5</v>
      </c>
      <c r="G2468">
        <v>2</v>
      </c>
      <c r="H2468">
        <v>401</v>
      </c>
      <c r="I2468">
        <v>2</v>
      </c>
      <c r="J2468">
        <v>57.8</v>
      </c>
      <c r="K2468" t="s">
        <v>25</v>
      </c>
      <c r="L2468">
        <v>6835900</v>
      </c>
      <c r="M2468">
        <v>0</v>
      </c>
      <c r="N2468">
        <v>6835900</v>
      </c>
      <c r="O2468">
        <v>118268.16608996539</v>
      </c>
      <c r="P2468">
        <v>1156000</v>
      </c>
      <c r="Q2468">
        <v>5679900</v>
      </c>
      <c r="R2468">
        <v>98268.166089965409</v>
      </c>
      <c r="S2468" t="s">
        <v>65</v>
      </c>
      <c r="T2468" t="s">
        <v>717</v>
      </c>
      <c r="U2468" t="s">
        <v>717</v>
      </c>
      <c r="V2468" t="s">
        <v>6312</v>
      </c>
      <c r="W2468">
        <v>45548</v>
      </c>
      <c r="X2468" t="s">
        <v>10545</v>
      </c>
      <c r="Y2468" t="s">
        <v>6</v>
      </c>
      <c r="Z2468" t="s">
        <v>17</v>
      </c>
      <c r="AA2468" t="s">
        <v>6637</v>
      </c>
      <c r="AB2468" t="s">
        <v>2509</v>
      </c>
      <c r="AC2468" t="s">
        <v>2571</v>
      </c>
      <c r="AD2468" t="s">
        <v>717</v>
      </c>
      <c r="AE2468" t="s">
        <v>10546</v>
      </c>
      <c r="AF2468" t="s">
        <v>10547</v>
      </c>
      <c r="AG2468" t="s">
        <v>10548</v>
      </c>
      <c r="AH2468" t="s">
        <v>6100</v>
      </c>
      <c r="AI2468" t="s">
        <v>10080</v>
      </c>
      <c r="AJ2468" t="s">
        <v>10081</v>
      </c>
      <c r="AK2468" t="s">
        <v>14</v>
      </c>
      <c r="AL2468" t="s">
        <v>22</v>
      </c>
      <c r="AM2468" t="s">
        <v>5654</v>
      </c>
      <c r="AN2468" t="s">
        <v>10476</v>
      </c>
    </row>
    <row r="2469" spans="1:40">
      <c r="A2469">
        <v>2468</v>
      </c>
      <c r="B2469">
        <v>7</v>
      </c>
      <c r="C2469" s="58">
        <v>45554</v>
      </c>
      <c r="D2469" t="s">
        <v>13</v>
      </c>
      <c r="E2469" t="s">
        <v>2506</v>
      </c>
      <c r="F2469">
        <v>1</v>
      </c>
      <c r="G2469">
        <v>8</v>
      </c>
      <c r="H2469">
        <v>160</v>
      </c>
      <c r="I2469">
        <v>2</v>
      </c>
      <c r="J2469">
        <v>60.22</v>
      </c>
      <c r="K2469" t="s">
        <v>25</v>
      </c>
      <c r="L2469">
        <v>7074500</v>
      </c>
      <c r="M2469">
        <v>0</v>
      </c>
      <c r="N2469">
        <v>7074500</v>
      </c>
      <c r="O2469">
        <v>117477.58219860512</v>
      </c>
      <c r="P2469">
        <v>1204400</v>
      </c>
      <c r="Q2469">
        <v>5870100</v>
      </c>
      <c r="R2469">
        <v>97477.582198605116</v>
      </c>
      <c r="S2469" t="s">
        <v>65</v>
      </c>
      <c r="T2469" t="s">
        <v>3268</v>
      </c>
      <c r="U2469">
        <v>100000</v>
      </c>
      <c r="V2469" t="s">
        <v>6312</v>
      </c>
      <c r="W2469">
        <v>45551</v>
      </c>
      <c r="X2469" t="s">
        <v>10549</v>
      </c>
      <c r="Y2469" t="s">
        <v>6</v>
      </c>
      <c r="Z2469" t="s">
        <v>17</v>
      </c>
      <c r="AA2469" t="s">
        <v>6637</v>
      </c>
      <c r="AB2469" t="s">
        <v>2509</v>
      </c>
      <c r="AC2469" t="s">
        <v>2571</v>
      </c>
      <c r="AD2469" t="s">
        <v>717</v>
      </c>
      <c r="AE2469" t="s">
        <v>10550</v>
      </c>
      <c r="AF2469" t="s">
        <v>10551</v>
      </c>
      <c r="AG2469" t="s">
        <v>10552</v>
      </c>
      <c r="AH2469" t="s">
        <v>2615</v>
      </c>
      <c r="AI2469" t="s">
        <v>2538</v>
      </c>
      <c r="AJ2469" t="s">
        <v>2825</v>
      </c>
      <c r="AK2469" t="s">
        <v>14</v>
      </c>
      <c r="AL2469" t="s">
        <v>1892</v>
      </c>
      <c r="AM2469" t="s">
        <v>10</v>
      </c>
      <c r="AN2469" t="s">
        <v>717</v>
      </c>
    </row>
    <row r="2470" spans="1:40">
      <c r="A2470">
        <v>2469</v>
      </c>
      <c r="B2470">
        <v>8</v>
      </c>
      <c r="C2470" s="58">
        <v>45555</v>
      </c>
      <c r="D2470" t="s">
        <v>13</v>
      </c>
      <c r="E2470" t="s">
        <v>4409</v>
      </c>
      <c r="F2470">
        <v>4</v>
      </c>
      <c r="G2470">
        <v>16</v>
      </c>
      <c r="H2470">
        <v>512</v>
      </c>
      <c r="I2470">
        <v>2</v>
      </c>
      <c r="J2470">
        <v>58.24</v>
      </c>
      <c r="K2470" t="s">
        <v>9</v>
      </c>
      <c r="L2470">
        <v>5496505</v>
      </c>
      <c r="M2470">
        <v>0</v>
      </c>
      <c r="N2470">
        <v>5496505</v>
      </c>
      <c r="O2470">
        <v>94376.802884615376</v>
      </c>
      <c r="P2470">
        <v>0</v>
      </c>
      <c r="Q2470">
        <v>5496505</v>
      </c>
      <c r="R2470">
        <v>94376.802884615376</v>
      </c>
      <c r="S2470" t="s">
        <v>130</v>
      </c>
      <c r="T2470" t="s">
        <v>5768</v>
      </c>
      <c r="U2470">
        <v>169995</v>
      </c>
      <c r="V2470" t="s">
        <v>717</v>
      </c>
      <c r="W2470">
        <v>45548</v>
      </c>
      <c r="X2470" t="s">
        <v>10553</v>
      </c>
      <c r="Y2470" t="s">
        <v>6</v>
      </c>
      <c r="Z2470" t="s">
        <v>17</v>
      </c>
      <c r="AA2470" t="s">
        <v>6637</v>
      </c>
      <c r="AB2470" t="s">
        <v>2509</v>
      </c>
      <c r="AC2470" t="s">
        <v>717</v>
      </c>
      <c r="AD2470" t="s">
        <v>717</v>
      </c>
      <c r="AE2470" t="s">
        <v>3685</v>
      </c>
      <c r="AF2470" t="s">
        <v>3686</v>
      </c>
      <c r="AG2470" t="s">
        <v>10554</v>
      </c>
      <c r="AH2470" t="s">
        <v>2191</v>
      </c>
      <c r="AI2470" t="s">
        <v>2600</v>
      </c>
      <c r="AJ2470" t="s">
        <v>2514</v>
      </c>
      <c r="AK2470" t="s">
        <v>20</v>
      </c>
      <c r="AL2470" t="s">
        <v>717</v>
      </c>
      <c r="AM2470" t="s">
        <v>10</v>
      </c>
      <c r="AN2470" t="s">
        <v>717</v>
      </c>
    </row>
    <row r="2471" spans="1:40">
      <c r="A2471">
        <v>2470</v>
      </c>
      <c r="B2471">
        <v>9</v>
      </c>
      <c r="C2471" s="58">
        <v>45555</v>
      </c>
      <c r="D2471" t="s">
        <v>13</v>
      </c>
      <c r="E2471" t="s">
        <v>2506</v>
      </c>
      <c r="F2471">
        <v>3</v>
      </c>
      <c r="G2471">
        <v>6</v>
      </c>
      <c r="H2471">
        <v>148</v>
      </c>
      <c r="I2471">
        <v>2</v>
      </c>
      <c r="J2471">
        <v>57.6</v>
      </c>
      <c r="K2471" t="s">
        <v>21</v>
      </c>
      <c r="L2471">
        <v>5946168</v>
      </c>
      <c r="M2471">
        <v>0</v>
      </c>
      <c r="N2471">
        <v>5946168</v>
      </c>
      <c r="O2471">
        <v>103232.08333333331</v>
      </c>
      <c r="P2471">
        <v>403200</v>
      </c>
      <c r="Q2471">
        <v>5542968</v>
      </c>
      <c r="R2471">
        <v>96232.083333333328</v>
      </c>
      <c r="S2471" t="s">
        <v>65</v>
      </c>
      <c r="T2471" t="s">
        <v>4379</v>
      </c>
      <c r="U2471">
        <v>171432</v>
      </c>
      <c r="V2471" t="s">
        <v>6312</v>
      </c>
      <c r="W2471">
        <v>45551</v>
      </c>
      <c r="X2471" t="s">
        <v>10555</v>
      </c>
      <c r="Y2471" t="s">
        <v>6</v>
      </c>
      <c r="Z2471" t="s">
        <v>17</v>
      </c>
      <c r="AA2471" t="s">
        <v>6637</v>
      </c>
      <c r="AB2471" t="s">
        <v>2509</v>
      </c>
      <c r="AC2471" t="s">
        <v>2571</v>
      </c>
      <c r="AD2471" t="s">
        <v>717</v>
      </c>
      <c r="AE2471" t="s">
        <v>10556</v>
      </c>
      <c r="AF2471" t="s">
        <v>10557</v>
      </c>
      <c r="AG2471" t="s">
        <v>10558</v>
      </c>
      <c r="AH2471" t="s">
        <v>2191</v>
      </c>
      <c r="AI2471" t="s">
        <v>2552</v>
      </c>
      <c r="AJ2471" t="s">
        <v>2514</v>
      </c>
      <c r="AK2471" t="s">
        <v>8</v>
      </c>
      <c r="AL2471" t="s">
        <v>22</v>
      </c>
      <c r="AM2471" t="s">
        <v>10</v>
      </c>
      <c r="AN2471" t="s">
        <v>717</v>
      </c>
    </row>
    <row r="2472" spans="1:40">
      <c r="A2472">
        <v>2471</v>
      </c>
      <c r="B2472">
        <v>10</v>
      </c>
      <c r="C2472" s="58">
        <v>45555</v>
      </c>
      <c r="D2472" t="s">
        <v>13</v>
      </c>
      <c r="E2472" t="s">
        <v>2581</v>
      </c>
      <c r="F2472">
        <v>7</v>
      </c>
      <c r="G2472">
        <v>6</v>
      </c>
      <c r="H2472">
        <v>263</v>
      </c>
      <c r="I2472">
        <v>1</v>
      </c>
      <c r="J2472">
        <v>34.81</v>
      </c>
      <c r="K2472" t="s">
        <v>25</v>
      </c>
      <c r="L2472">
        <v>4884660</v>
      </c>
      <c r="M2472">
        <v>0</v>
      </c>
      <c r="N2472">
        <v>4884660</v>
      </c>
      <c r="O2472">
        <v>140323.47026716461</v>
      </c>
      <c r="P2472">
        <v>696200</v>
      </c>
      <c r="Q2472">
        <v>4188460</v>
      </c>
      <c r="R2472">
        <v>120323.47026716459</v>
      </c>
      <c r="S2472" t="s">
        <v>65</v>
      </c>
      <c r="T2472" t="s">
        <v>5768</v>
      </c>
      <c r="U2472">
        <v>129540</v>
      </c>
      <c r="V2472" t="s">
        <v>6312</v>
      </c>
      <c r="W2472">
        <v>45554</v>
      </c>
      <c r="X2472" t="s">
        <v>10559</v>
      </c>
      <c r="Y2472" t="s">
        <v>6</v>
      </c>
      <c r="Z2472" t="s">
        <v>17</v>
      </c>
      <c r="AA2472" t="s">
        <v>5617</v>
      </c>
      <c r="AB2472" t="s">
        <v>2509</v>
      </c>
      <c r="AC2472" t="s">
        <v>2576</v>
      </c>
      <c r="AD2472" t="s">
        <v>717</v>
      </c>
      <c r="AE2472" t="s">
        <v>10560</v>
      </c>
      <c r="AF2472" t="s">
        <v>10561</v>
      </c>
      <c r="AG2472" t="s">
        <v>10562</v>
      </c>
      <c r="AH2472" t="s">
        <v>2191</v>
      </c>
      <c r="AI2472" t="s">
        <v>2552</v>
      </c>
      <c r="AJ2472" t="s">
        <v>2514</v>
      </c>
      <c r="AK2472" t="s">
        <v>8</v>
      </c>
      <c r="AL2472" t="s">
        <v>1892</v>
      </c>
      <c r="AM2472" t="s">
        <v>10</v>
      </c>
      <c r="AN2472" t="s">
        <v>717</v>
      </c>
    </row>
    <row r="2473" spans="1:40">
      <c r="A2473">
        <v>2472</v>
      </c>
      <c r="B2473">
        <v>11</v>
      </c>
      <c r="C2473" s="58">
        <v>45559</v>
      </c>
      <c r="D2473" t="s">
        <v>13</v>
      </c>
      <c r="E2473" t="s">
        <v>2515</v>
      </c>
      <c r="F2473">
        <v>1</v>
      </c>
      <c r="G2473">
        <v>8</v>
      </c>
      <c r="H2473">
        <v>49</v>
      </c>
      <c r="I2473">
        <v>1</v>
      </c>
      <c r="J2473">
        <v>34.39</v>
      </c>
      <c r="K2473" t="s">
        <v>21</v>
      </c>
      <c r="L2473">
        <v>4447230</v>
      </c>
      <c r="M2473">
        <v>0</v>
      </c>
      <c r="N2473">
        <v>4447230</v>
      </c>
      <c r="O2473">
        <v>129317.53416690898</v>
      </c>
      <c r="P2473">
        <v>240730</v>
      </c>
      <c r="Q2473">
        <v>4206500</v>
      </c>
      <c r="R2473">
        <v>122317.53416690898</v>
      </c>
      <c r="S2473" t="s">
        <v>65</v>
      </c>
      <c r="T2473" t="s">
        <v>717</v>
      </c>
      <c r="U2473" t="s">
        <v>717</v>
      </c>
      <c r="V2473" t="s">
        <v>6312</v>
      </c>
      <c r="W2473">
        <v>45547</v>
      </c>
      <c r="X2473" t="s">
        <v>10563</v>
      </c>
      <c r="Y2473" t="s">
        <v>6</v>
      </c>
      <c r="Z2473" t="s">
        <v>17</v>
      </c>
      <c r="AA2473" t="s">
        <v>6637</v>
      </c>
      <c r="AB2473" t="s">
        <v>2509</v>
      </c>
      <c r="AC2473" t="s">
        <v>2571</v>
      </c>
      <c r="AD2473" t="s">
        <v>717</v>
      </c>
      <c r="AE2473" t="s">
        <v>10564</v>
      </c>
      <c r="AF2473" t="s">
        <v>10565</v>
      </c>
      <c r="AG2473" t="s">
        <v>10566</v>
      </c>
      <c r="AH2473" t="s">
        <v>2191</v>
      </c>
      <c r="AI2473" t="s">
        <v>2621</v>
      </c>
      <c r="AJ2473" t="s">
        <v>2514</v>
      </c>
      <c r="AK2473" t="s">
        <v>8</v>
      </c>
      <c r="AL2473" t="s">
        <v>22</v>
      </c>
      <c r="AM2473" t="s">
        <v>10</v>
      </c>
      <c r="AN2473" t="s">
        <v>10476</v>
      </c>
    </row>
    <row r="2474" spans="1:40">
      <c r="A2474">
        <v>2473</v>
      </c>
      <c r="B2474">
        <v>12</v>
      </c>
      <c r="C2474" s="58">
        <v>45561</v>
      </c>
      <c r="D2474" t="s">
        <v>13</v>
      </c>
      <c r="E2474" t="s">
        <v>2581</v>
      </c>
      <c r="F2474">
        <v>4</v>
      </c>
      <c r="G2474">
        <v>5</v>
      </c>
      <c r="H2474">
        <v>253</v>
      </c>
      <c r="I2474">
        <v>2</v>
      </c>
      <c r="J2474">
        <v>60.24</v>
      </c>
      <c r="K2474" t="s">
        <v>25</v>
      </c>
      <c r="L2474">
        <v>7090100</v>
      </c>
      <c r="M2474">
        <v>0</v>
      </c>
      <c r="N2474">
        <v>7090100</v>
      </c>
      <c r="O2474">
        <v>117697.54316069056</v>
      </c>
      <c r="P2474">
        <v>1204800</v>
      </c>
      <c r="Q2474">
        <v>5885300</v>
      </c>
      <c r="R2474">
        <v>97697.543160690562</v>
      </c>
      <c r="S2474" t="s">
        <v>65</v>
      </c>
      <c r="T2474" t="s">
        <v>717</v>
      </c>
      <c r="U2474" t="s">
        <v>717</v>
      </c>
      <c r="V2474" t="s">
        <v>6312</v>
      </c>
      <c r="W2474">
        <v>45551</v>
      </c>
      <c r="X2474" t="s">
        <v>10567</v>
      </c>
      <c r="Y2474" t="s">
        <v>6</v>
      </c>
      <c r="Z2474" t="s">
        <v>17</v>
      </c>
      <c r="AA2474" t="s">
        <v>5617</v>
      </c>
      <c r="AB2474" t="s">
        <v>2509</v>
      </c>
      <c r="AC2474" t="s">
        <v>2571</v>
      </c>
      <c r="AD2474" t="s">
        <v>717</v>
      </c>
      <c r="AE2474" t="s">
        <v>10568</v>
      </c>
      <c r="AF2474" t="s">
        <v>10569</v>
      </c>
      <c r="AG2474" t="s">
        <v>10570</v>
      </c>
      <c r="AH2474" t="s">
        <v>2191</v>
      </c>
      <c r="AI2474" t="s">
        <v>2538</v>
      </c>
      <c r="AJ2474" t="s">
        <v>2514</v>
      </c>
      <c r="AK2474" t="s">
        <v>46</v>
      </c>
      <c r="AL2474" t="s">
        <v>22</v>
      </c>
      <c r="AM2474" t="s">
        <v>10</v>
      </c>
      <c r="AN2474" t="s">
        <v>717</v>
      </c>
    </row>
    <row r="2475" spans="1:40">
      <c r="A2475">
        <v>2474</v>
      </c>
      <c r="B2475">
        <v>13</v>
      </c>
      <c r="C2475" s="58">
        <v>45561</v>
      </c>
      <c r="D2475" t="s">
        <v>13</v>
      </c>
      <c r="E2475" t="s">
        <v>2581</v>
      </c>
      <c r="F2475">
        <v>5</v>
      </c>
      <c r="G2475">
        <v>15</v>
      </c>
      <c r="H2475">
        <v>324</v>
      </c>
      <c r="I2475">
        <v>1</v>
      </c>
      <c r="J2475">
        <v>37.81</v>
      </c>
      <c r="K2475" t="s">
        <v>9</v>
      </c>
      <c r="L2475">
        <v>4412700</v>
      </c>
      <c r="M2475">
        <v>0</v>
      </c>
      <c r="N2475">
        <v>4412700</v>
      </c>
      <c r="O2475">
        <v>116707.22031208676</v>
      </c>
      <c r="P2475">
        <v>0</v>
      </c>
      <c r="Q2475">
        <v>4412700</v>
      </c>
      <c r="R2475">
        <v>116707.22031208676</v>
      </c>
      <c r="S2475" t="s">
        <v>65</v>
      </c>
      <c r="T2475" t="s">
        <v>717</v>
      </c>
      <c r="U2475" t="s">
        <v>717</v>
      </c>
      <c r="V2475" t="s">
        <v>6312</v>
      </c>
      <c r="W2475">
        <v>45559</v>
      </c>
      <c r="X2475" t="s">
        <v>10571</v>
      </c>
      <c r="Y2475" t="s">
        <v>6</v>
      </c>
      <c r="Z2475" t="s">
        <v>17</v>
      </c>
      <c r="AA2475" t="s">
        <v>5617</v>
      </c>
      <c r="AB2475" t="s">
        <v>2509</v>
      </c>
      <c r="AC2475" t="s">
        <v>2576</v>
      </c>
      <c r="AD2475" t="s">
        <v>717</v>
      </c>
      <c r="AE2475" t="s">
        <v>10572</v>
      </c>
      <c r="AF2475" t="s">
        <v>10573</v>
      </c>
      <c r="AG2475" t="s">
        <v>10574</v>
      </c>
      <c r="AH2475" t="s">
        <v>2580</v>
      </c>
      <c r="AI2475" t="s">
        <v>10467</v>
      </c>
      <c r="AJ2475" t="s">
        <v>3921</v>
      </c>
      <c r="AK2475" t="s">
        <v>20</v>
      </c>
      <c r="AL2475" t="s">
        <v>1892</v>
      </c>
      <c r="AM2475" t="s">
        <v>5654</v>
      </c>
      <c r="AN2475" t="s">
        <v>717</v>
      </c>
    </row>
    <row r="2476" spans="1:40">
      <c r="A2476">
        <v>2475</v>
      </c>
      <c r="B2476">
        <v>14</v>
      </c>
      <c r="C2476" s="58">
        <v>45563</v>
      </c>
      <c r="D2476" t="s">
        <v>13</v>
      </c>
      <c r="E2476" t="s">
        <v>2581</v>
      </c>
      <c r="F2476">
        <v>6</v>
      </c>
      <c r="G2476">
        <v>2</v>
      </c>
      <c r="H2476">
        <v>234</v>
      </c>
      <c r="I2476">
        <v>3</v>
      </c>
      <c r="J2476">
        <v>80.97</v>
      </c>
      <c r="K2476" t="s">
        <v>21</v>
      </c>
      <c r="L2476">
        <v>7807743</v>
      </c>
      <c r="M2476">
        <v>0</v>
      </c>
      <c r="N2476">
        <v>7807743</v>
      </c>
      <c r="O2476">
        <v>96427.602815857725</v>
      </c>
      <c r="P2476">
        <v>566790</v>
      </c>
      <c r="Q2476">
        <v>7240953</v>
      </c>
      <c r="R2476">
        <v>89427.602815857725</v>
      </c>
      <c r="S2476" t="s">
        <v>130</v>
      </c>
      <c r="T2476" t="s">
        <v>5768</v>
      </c>
      <c r="U2476">
        <v>223947</v>
      </c>
      <c r="V2476" t="s">
        <v>717</v>
      </c>
      <c r="W2476">
        <v>45551</v>
      </c>
      <c r="X2476" t="s">
        <v>10575</v>
      </c>
      <c r="Y2476" t="s">
        <v>6</v>
      </c>
      <c r="Z2476" t="s">
        <v>17</v>
      </c>
      <c r="AA2476" t="s">
        <v>6637</v>
      </c>
      <c r="AB2476" t="s">
        <v>2509</v>
      </c>
      <c r="AC2476" t="s">
        <v>118</v>
      </c>
      <c r="AD2476" t="s">
        <v>717</v>
      </c>
      <c r="AE2476" t="s">
        <v>10576</v>
      </c>
      <c r="AF2476" t="s">
        <v>10577</v>
      </c>
      <c r="AG2476" t="s">
        <v>10578</v>
      </c>
      <c r="AH2476" t="s">
        <v>2552</v>
      </c>
      <c r="AI2476" t="s">
        <v>2877</v>
      </c>
      <c r="AJ2476" t="s">
        <v>3098</v>
      </c>
      <c r="AK2476" t="s">
        <v>20</v>
      </c>
      <c r="AL2476" t="s">
        <v>717</v>
      </c>
      <c r="AM2476" t="s">
        <v>10</v>
      </c>
      <c r="AN2476" t="s">
        <v>717</v>
      </c>
    </row>
    <row r="2477" spans="1:40">
      <c r="A2477">
        <v>2476</v>
      </c>
      <c r="B2477">
        <v>15</v>
      </c>
      <c r="C2477" s="58">
        <v>45565</v>
      </c>
      <c r="D2477" t="s">
        <v>13</v>
      </c>
      <c r="E2477" t="s">
        <v>2515</v>
      </c>
      <c r="F2477">
        <v>5</v>
      </c>
      <c r="G2477">
        <v>5</v>
      </c>
      <c r="H2477">
        <v>32</v>
      </c>
      <c r="I2477">
        <v>2</v>
      </c>
      <c r="J2477">
        <v>62.17</v>
      </c>
      <c r="K2477" t="s">
        <v>21</v>
      </c>
      <c r="L2477">
        <v>6755590</v>
      </c>
      <c r="M2477">
        <v>0</v>
      </c>
      <c r="N2477">
        <v>6755590</v>
      </c>
      <c r="O2477">
        <v>108663.18159884188</v>
      </c>
      <c r="P2477">
        <v>435190</v>
      </c>
      <c r="Q2477">
        <v>6320400</v>
      </c>
      <c r="R2477">
        <v>101663.18159884188</v>
      </c>
      <c r="S2477" t="s">
        <v>130</v>
      </c>
      <c r="T2477" t="s">
        <v>717</v>
      </c>
      <c r="U2477" t="s">
        <v>717</v>
      </c>
      <c r="V2477" t="s">
        <v>717</v>
      </c>
      <c r="W2477">
        <v>45553</v>
      </c>
      <c r="X2477" t="s">
        <v>10579</v>
      </c>
      <c r="Y2477" t="s">
        <v>6</v>
      </c>
      <c r="Z2477" t="s">
        <v>17</v>
      </c>
      <c r="AA2477" t="s">
        <v>6637</v>
      </c>
      <c r="AB2477" t="s">
        <v>2509</v>
      </c>
      <c r="AC2477" t="s">
        <v>118</v>
      </c>
      <c r="AD2477" t="s">
        <v>717</v>
      </c>
      <c r="AE2477" t="s">
        <v>10580</v>
      </c>
      <c r="AF2477" t="s">
        <v>10581</v>
      </c>
      <c r="AG2477" t="s">
        <v>10582</v>
      </c>
      <c r="AH2477" t="s">
        <v>2615</v>
      </c>
      <c r="AI2477" t="s">
        <v>10583</v>
      </c>
      <c r="AJ2477" t="s">
        <v>10584</v>
      </c>
      <c r="AK2477" t="s">
        <v>8</v>
      </c>
      <c r="AL2477" t="s">
        <v>717</v>
      </c>
      <c r="AM2477" t="s">
        <v>10</v>
      </c>
      <c r="AN2477" t="s">
        <v>717</v>
      </c>
    </row>
    <row r="2478" spans="1:40" hidden="1">
      <c r="A2478">
        <v>2477</v>
      </c>
      <c r="B2478">
        <v>16</v>
      </c>
      <c r="C2478" s="58">
        <v>45565</v>
      </c>
      <c r="D2478" t="s">
        <v>7</v>
      </c>
      <c r="E2478" t="s">
        <v>4409</v>
      </c>
      <c r="F2478">
        <v>3</v>
      </c>
      <c r="G2478">
        <v>14</v>
      </c>
      <c r="H2478">
        <v>512</v>
      </c>
      <c r="I2478">
        <v>3</v>
      </c>
      <c r="J2478">
        <v>74.28</v>
      </c>
      <c r="K2478" t="s">
        <v>9</v>
      </c>
      <c r="L2478">
        <v>7589377</v>
      </c>
      <c r="M2478">
        <v>0</v>
      </c>
      <c r="N2478">
        <v>7589377</v>
      </c>
      <c r="O2478">
        <v>102172.54981152396</v>
      </c>
      <c r="P2478">
        <v>0</v>
      </c>
      <c r="Q2478">
        <v>7589377</v>
      </c>
      <c r="R2478">
        <v>102172.54981152396</v>
      </c>
      <c r="S2478" t="s">
        <v>130</v>
      </c>
      <c r="T2478" t="s">
        <v>2941</v>
      </c>
      <c r="U2478">
        <v>234723</v>
      </c>
      <c r="V2478" t="s">
        <v>717</v>
      </c>
      <c r="W2478">
        <v>45554</v>
      </c>
      <c r="X2478" t="s">
        <v>10585</v>
      </c>
      <c r="Y2478" t="s">
        <v>2517</v>
      </c>
      <c r="Z2478" t="s">
        <v>17</v>
      </c>
      <c r="AA2478" t="s">
        <v>6637</v>
      </c>
      <c r="AB2478" t="s">
        <v>2509</v>
      </c>
      <c r="AC2478" t="s">
        <v>118</v>
      </c>
      <c r="AD2478">
        <v>45601</v>
      </c>
      <c r="AE2478" t="s">
        <v>10586</v>
      </c>
      <c r="AF2478" t="s">
        <v>10587</v>
      </c>
      <c r="AG2478" t="s">
        <v>10588</v>
      </c>
      <c r="AH2478" t="s">
        <v>2616</v>
      </c>
      <c r="AI2478" t="s">
        <v>10475</v>
      </c>
      <c r="AJ2478" t="s">
        <v>2825</v>
      </c>
      <c r="AK2478" t="s">
        <v>14</v>
      </c>
      <c r="AL2478" t="s">
        <v>717</v>
      </c>
      <c r="AM2478" t="s">
        <v>10</v>
      </c>
      <c r="AN2478" t="s">
        <v>717</v>
      </c>
    </row>
    <row r="2479" spans="1:40">
      <c r="A2479">
        <v>2478</v>
      </c>
      <c r="B2479">
        <v>17</v>
      </c>
      <c r="C2479" s="58">
        <v>45565</v>
      </c>
      <c r="D2479" t="s">
        <v>7</v>
      </c>
      <c r="E2479" t="s">
        <v>2581</v>
      </c>
      <c r="F2479">
        <v>6</v>
      </c>
      <c r="G2479">
        <v>2</v>
      </c>
      <c r="H2479">
        <v>246</v>
      </c>
      <c r="I2479">
        <v>2</v>
      </c>
      <c r="J2479">
        <v>71.91</v>
      </c>
      <c r="K2479" t="s">
        <v>9</v>
      </c>
      <c r="L2479">
        <v>7579205.5999999996</v>
      </c>
      <c r="M2479">
        <v>0</v>
      </c>
      <c r="N2479">
        <v>7579205.5999999996</v>
      </c>
      <c r="O2479">
        <v>105398.49256014464</v>
      </c>
      <c r="P2479">
        <v>0</v>
      </c>
      <c r="Q2479">
        <v>7579205.5999999996</v>
      </c>
      <c r="R2479">
        <v>105398.49256014464</v>
      </c>
      <c r="S2479" t="s">
        <v>130</v>
      </c>
      <c r="T2479" t="s">
        <v>10533</v>
      </c>
      <c r="U2479">
        <v>200000</v>
      </c>
      <c r="V2479" t="s">
        <v>717</v>
      </c>
      <c r="W2479">
        <v>45560</v>
      </c>
      <c r="X2479" t="s">
        <v>10589</v>
      </c>
      <c r="Y2479" t="s">
        <v>6</v>
      </c>
      <c r="Z2479" t="s">
        <v>17</v>
      </c>
      <c r="AA2479" t="s">
        <v>6637</v>
      </c>
      <c r="AB2479" t="s">
        <v>2509</v>
      </c>
      <c r="AC2479" t="s">
        <v>118</v>
      </c>
      <c r="AD2479" t="s">
        <v>717</v>
      </c>
      <c r="AE2479" t="s">
        <v>10590</v>
      </c>
      <c r="AF2479" t="s">
        <v>10591</v>
      </c>
      <c r="AG2479" t="s">
        <v>10592</v>
      </c>
      <c r="AH2479" t="s">
        <v>2191</v>
      </c>
      <c r="AI2479" t="s">
        <v>2706</v>
      </c>
      <c r="AJ2479" t="s">
        <v>2514</v>
      </c>
      <c r="AK2479" t="s">
        <v>14</v>
      </c>
      <c r="AL2479" t="s">
        <v>717</v>
      </c>
      <c r="AM2479" t="s">
        <v>10</v>
      </c>
      <c r="AN2479" t="s">
        <v>717</v>
      </c>
    </row>
    <row r="2480" spans="1:40">
      <c r="A2480">
        <v>2479</v>
      </c>
      <c r="B2480">
        <v>18</v>
      </c>
      <c r="C2480" s="58">
        <v>45565</v>
      </c>
      <c r="D2480" t="s">
        <v>7</v>
      </c>
      <c r="E2480" t="s">
        <v>2581</v>
      </c>
      <c r="F2480">
        <v>4</v>
      </c>
      <c r="G2480">
        <v>20</v>
      </c>
      <c r="H2480">
        <v>370</v>
      </c>
      <c r="I2480">
        <v>2</v>
      </c>
      <c r="J2480">
        <v>58.55</v>
      </c>
      <c r="K2480" t="s">
        <v>15</v>
      </c>
      <c r="L2480">
        <v>6835825</v>
      </c>
      <c r="M2480">
        <v>0</v>
      </c>
      <c r="N2480">
        <v>6835825</v>
      </c>
      <c r="O2480">
        <v>116751.92143467124</v>
      </c>
      <c r="P2480">
        <v>439125</v>
      </c>
      <c r="Q2480">
        <v>6396700</v>
      </c>
      <c r="R2480">
        <v>109251.92143467124</v>
      </c>
      <c r="S2480" t="s">
        <v>130</v>
      </c>
      <c r="T2480" t="s">
        <v>10533</v>
      </c>
      <c r="U2480">
        <v>170000</v>
      </c>
      <c r="V2480" t="s">
        <v>717</v>
      </c>
      <c r="W2480">
        <v>45562</v>
      </c>
      <c r="X2480" t="s">
        <v>10593</v>
      </c>
      <c r="Y2480" t="s">
        <v>6</v>
      </c>
      <c r="Z2480" t="s">
        <v>17</v>
      </c>
      <c r="AA2480" t="s">
        <v>6637</v>
      </c>
      <c r="AB2480" t="s">
        <v>2509</v>
      </c>
      <c r="AC2480" t="s">
        <v>717</v>
      </c>
      <c r="AD2480" t="s">
        <v>717</v>
      </c>
      <c r="AE2480" t="s">
        <v>10594</v>
      </c>
      <c r="AF2480" t="s">
        <v>10595</v>
      </c>
      <c r="AG2480" t="s">
        <v>10596</v>
      </c>
      <c r="AH2480" t="s">
        <v>2552</v>
      </c>
      <c r="AI2480" t="s">
        <v>2547</v>
      </c>
      <c r="AJ2480" t="s">
        <v>2855</v>
      </c>
      <c r="AK2480" t="s">
        <v>14</v>
      </c>
      <c r="AL2480" t="s">
        <v>717</v>
      </c>
      <c r="AM2480" t="s">
        <v>10</v>
      </c>
      <c r="AN2480" t="s">
        <v>717</v>
      </c>
    </row>
    <row r="2481" spans="1:40" hidden="1">
      <c r="A2481">
        <v>2480</v>
      </c>
      <c r="B2481">
        <v>1</v>
      </c>
      <c r="C2481" s="58">
        <v>45568</v>
      </c>
      <c r="D2481" t="s">
        <v>13</v>
      </c>
      <c r="E2481" t="s">
        <v>4409</v>
      </c>
      <c r="F2481">
        <v>1</v>
      </c>
      <c r="G2481">
        <v>24</v>
      </c>
      <c r="H2481">
        <v>573</v>
      </c>
      <c r="I2481">
        <v>0</v>
      </c>
      <c r="J2481">
        <v>29.4</v>
      </c>
      <c r="K2481" t="s">
        <v>25</v>
      </c>
      <c r="L2481">
        <v>4327800</v>
      </c>
      <c r="M2481">
        <v>0</v>
      </c>
      <c r="N2481">
        <v>4327800</v>
      </c>
      <c r="O2481">
        <v>147204.08163265308</v>
      </c>
      <c r="P2481">
        <v>588000</v>
      </c>
      <c r="Q2481">
        <v>3739800</v>
      </c>
      <c r="R2481">
        <v>127204.08163265306</v>
      </c>
      <c r="S2481" t="s">
        <v>65</v>
      </c>
      <c r="T2481" t="s">
        <v>717</v>
      </c>
      <c r="U2481" t="s">
        <v>717</v>
      </c>
      <c r="V2481" t="s">
        <v>6312</v>
      </c>
      <c r="W2481">
        <v>45559</v>
      </c>
      <c r="X2481" t="s">
        <v>10597</v>
      </c>
      <c r="Y2481" t="s">
        <v>6</v>
      </c>
      <c r="Z2481" t="s">
        <v>17</v>
      </c>
      <c r="AA2481" t="s">
        <v>5617</v>
      </c>
      <c r="AB2481" t="s">
        <v>2509</v>
      </c>
      <c r="AC2481" t="s">
        <v>3300</v>
      </c>
      <c r="AD2481" t="s">
        <v>717</v>
      </c>
      <c r="AE2481" t="s">
        <v>10598</v>
      </c>
      <c r="AF2481" t="s">
        <v>10599</v>
      </c>
      <c r="AG2481" t="s">
        <v>10600</v>
      </c>
      <c r="AH2481" t="s">
        <v>2615</v>
      </c>
      <c r="AI2481" t="s">
        <v>2552</v>
      </c>
      <c r="AJ2481" t="s">
        <v>2662</v>
      </c>
      <c r="AK2481" t="s">
        <v>8</v>
      </c>
      <c r="AL2481" t="s">
        <v>1892</v>
      </c>
      <c r="AM2481" t="s">
        <v>10</v>
      </c>
      <c r="AN2481" t="s">
        <v>717</v>
      </c>
    </row>
    <row r="2482" spans="1:40" hidden="1">
      <c r="A2482">
        <v>2481</v>
      </c>
      <c r="B2482">
        <v>2</v>
      </c>
      <c r="C2482" s="58">
        <v>45568</v>
      </c>
      <c r="D2482" t="s">
        <v>13</v>
      </c>
      <c r="E2482" t="s">
        <v>4409</v>
      </c>
      <c r="F2482">
        <v>1</v>
      </c>
      <c r="G2482">
        <v>20</v>
      </c>
      <c r="H2482">
        <v>541</v>
      </c>
      <c r="I2482">
        <v>0</v>
      </c>
      <c r="J2482">
        <v>29.4</v>
      </c>
      <c r="K2482" t="s">
        <v>21</v>
      </c>
      <c r="L2482">
        <v>3975000</v>
      </c>
      <c r="M2482">
        <v>0</v>
      </c>
      <c r="N2482">
        <v>3975000</v>
      </c>
      <c r="O2482">
        <v>135204.08163265308</v>
      </c>
      <c r="P2482">
        <v>235200</v>
      </c>
      <c r="Q2482">
        <v>3739800</v>
      </c>
      <c r="R2482">
        <v>127204.08163265306</v>
      </c>
      <c r="S2482" t="s">
        <v>65</v>
      </c>
      <c r="T2482" t="s">
        <v>717</v>
      </c>
      <c r="U2482" t="s">
        <v>717</v>
      </c>
      <c r="V2482" t="s">
        <v>6312</v>
      </c>
      <c r="W2482">
        <v>45561</v>
      </c>
      <c r="X2482" t="s">
        <v>10601</v>
      </c>
      <c r="Y2482" t="s">
        <v>6</v>
      </c>
      <c r="Z2482" t="s">
        <v>17</v>
      </c>
      <c r="AA2482" t="s">
        <v>5617</v>
      </c>
      <c r="AB2482" t="s">
        <v>2509</v>
      </c>
      <c r="AC2482" t="s">
        <v>3300</v>
      </c>
      <c r="AD2482" t="s">
        <v>717</v>
      </c>
      <c r="AE2482" t="s">
        <v>10602</v>
      </c>
      <c r="AF2482" t="s">
        <v>10603</v>
      </c>
      <c r="AG2482" t="s">
        <v>10604</v>
      </c>
      <c r="AH2482" t="s">
        <v>2191</v>
      </c>
      <c r="AI2482" t="s">
        <v>2847</v>
      </c>
      <c r="AJ2482" t="s">
        <v>2514</v>
      </c>
      <c r="AK2482" t="s">
        <v>8</v>
      </c>
      <c r="AL2482" t="s">
        <v>22</v>
      </c>
      <c r="AM2482" t="s">
        <v>10</v>
      </c>
      <c r="AN2482" t="s">
        <v>717</v>
      </c>
    </row>
    <row r="2483" spans="1:40" hidden="1">
      <c r="A2483">
        <v>2482</v>
      </c>
      <c r="B2483">
        <v>3</v>
      </c>
      <c r="C2483" s="58">
        <v>45568</v>
      </c>
      <c r="D2483" t="s">
        <v>13</v>
      </c>
      <c r="E2483" t="s">
        <v>4409</v>
      </c>
      <c r="F2483">
        <v>8</v>
      </c>
      <c r="G2483">
        <v>19</v>
      </c>
      <c r="H2483">
        <v>540</v>
      </c>
      <c r="I2483">
        <v>1</v>
      </c>
      <c r="J2483">
        <v>39.69</v>
      </c>
      <c r="K2483" t="s">
        <v>25</v>
      </c>
      <c r="L2483">
        <v>5765060</v>
      </c>
      <c r="M2483">
        <v>0</v>
      </c>
      <c r="N2483">
        <v>5765060</v>
      </c>
      <c r="O2483">
        <v>145252.20458553793</v>
      </c>
      <c r="P2483">
        <v>952560</v>
      </c>
      <c r="Q2483">
        <v>4812500</v>
      </c>
      <c r="R2483">
        <v>121252.20458553793</v>
      </c>
      <c r="S2483" t="s">
        <v>65</v>
      </c>
      <c r="T2483" t="s">
        <v>717</v>
      </c>
      <c r="U2483" t="s">
        <v>717</v>
      </c>
      <c r="V2483" t="s">
        <v>6312</v>
      </c>
      <c r="W2483">
        <v>45565</v>
      </c>
      <c r="X2483" t="s">
        <v>10605</v>
      </c>
      <c r="Y2483" t="s">
        <v>6</v>
      </c>
      <c r="Z2483" t="s">
        <v>17</v>
      </c>
      <c r="AA2483" t="s">
        <v>5617</v>
      </c>
      <c r="AB2483" t="s">
        <v>2509</v>
      </c>
      <c r="AC2483" t="s">
        <v>2564</v>
      </c>
      <c r="AD2483" t="s">
        <v>717</v>
      </c>
      <c r="AE2483" t="s">
        <v>10606</v>
      </c>
      <c r="AF2483" t="s">
        <v>10607</v>
      </c>
      <c r="AG2483" t="s">
        <v>10608</v>
      </c>
      <c r="AH2483" t="s">
        <v>2191</v>
      </c>
      <c r="AI2483" t="s">
        <v>2552</v>
      </c>
      <c r="AJ2483" t="s">
        <v>2514</v>
      </c>
      <c r="AK2483" t="s">
        <v>20</v>
      </c>
      <c r="AL2483" t="s">
        <v>1892</v>
      </c>
      <c r="AM2483" t="s">
        <v>10</v>
      </c>
      <c r="AN2483" t="s">
        <v>717</v>
      </c>
    </row>
    <row r="2484" spans="1:40" hidden="1">
      <c r="A2484">
        <v>2483</v>
      </c>
      <c r="B2484">
        <v>4</v>
      </c>
      <c r="C2484" s="58">
        <v>45576</v>
      </c>
      <c r="D2484" t="s">
        <v>13</v>
      </c>
      <c r="E2484" t="s">
        <v>2581</v>
      </c>
      <c r="F2484">
        <v>6</v>
      </c>
      <c r="G2484">
        <v>3</v>
      </c>
      <c r="H2484">
        <v>241</v>
      </c>
      <c r="I2484">
        <v>3</v>
      </c>
      <c r="J2484">
        <v>80.97</v>
      </c>
      <c r="K2484" t="s">
        <v>9</v>
      </c>
      <c r="L2484">
        <v>7396000</v>
      </c>
      <c r="M2484">
        <v>30000</v>
      </c>
      <c r="N2484">
        <v>7426000</v>
      </c>
      <c r="O2484">
        <v>91712.980116092382</v>
      </c>
      <c r="P2484">
        <v>0</v>
      </c>
      <c r="Q2484">
        <v>7426000</v>
      </c>
      <c r="R2484">
        <v>91712.980116092382</v>
      </c>
      <c r="S2484" t="s">
        <v>65</v>
      </c>
      <c r="T2484" t="s">
        <v>717</v>
      </c>
      <c r="U2484" t="s">
        <v>717</v>
      </c>
      <c r="V2484" t="s">
        <v>6312</v>
      </c>
      <c r="W2484">
        <v>45537</v>
      </c>
      <c r="X2484" t="s">
        <v>10609</v>
      </c>
      <c r="Y2484" t="s">
        <v>6</v>
      </c>
      <c r="Z2484" t="s">
        <v>17</v>
      </c>
      <c r="AA2484" t="s">
        <v>5617</v>
      </c>
      <c r="AB2484" t="s">
        <v>2509</v>
      </c>
      <c r="AC2484" t="s">
        <v>10610</v>
      </c>
      <c r="AD2484" t="s">
        <v>717</v>
      </c>
      <c r="AE2484" t="s">
        <v>10611</v>
      </c>
      <c r="AF2484" t="s">
        <v>10612</v>
      </c>
      <c r="AG2484" t="s">
        <v>10613</v>
      </c>
      <c r="AH2484" t="s">
        <v>2615</v>
      </c>
      <c r="AI2484" t="s">
        <v>2552</v>
      </c>
      <c r="AJ2484" t="s">
        <v>2662</v>
      </c>
      <c r="AK2484" t="s">
        <v>14</v>
      </c>
      <c r="AL2484" t="s">
        <v>1892</v>
      </c>
      <c r="AM2484" t="s">
        <v>10</v>
      </c>
      <c r="AN2484" t="s">
        <v>717</v>
      </c>
    </row>
    <row r="2485" spans="1:40" hidden="1">
      <c r="A2485">
        <v>2484</v>
      </c>
      <c r="B2485">
        <v>5</v>
      </c>
      <c r="C2485" s="58">
        <v>45576</v>
      </c>
      <c r="D2485" t="s">
        <v>13</v>
      </c>
      <c r="E2485" t="s">
        <v>2515</v>
      </c>
      <c r="F2485">
        <v>5</v>
      </c>
      <c r="G2485">
        <v>15</v>
      </c>
      <c r="H2485">
        <v>102</v>
      </c>
      <c r="I2485">
        <v>2</v>
      </c>
      <c r="J2485">
        <v>62.17</v>
      </c>
      <c r="K2485" t="s">
        <v>9</v>
      </c>
      <c r="L2485">
        <v>6253396</v>
      </c>
      <c r="M2485">
        <v>0</v>
      </c>
      <c r="N2485">
        <v>6253396</v>
      </c>
      <c r="O2485">
        <v>100585.4270548496</v>
      </c>
      <c r="P2485">
        <v>0</v>
      </c>
      <c r="Q2485">
        <v>6253396</v>
      </c>
      <c r="R2485">
        <v>100585.4270548496</v>
      </c>
      <c r="S2485" t="s">
        <v>65</v>
      </c>
      <c r="T2485" t="s">
        <v>5768</v>
      </c>
      <c r="U2485">
        <v>193404</v>
      </c>
      <c r="V2485" t="s">
        <v>6312</v>
      </c>
      <c r="W2485">
        <v>45569</v>
      </c>
      <c r="X2485" t="s">
        <v>10614</v>
      </c>
      <c r="Y2485" t="s">
        <v>6</v>
      </c>
      <c r="Z2485" t="s">
        <v>17</v>
      </c>
      <c r="AA2485" t="s">
        <v>5617</v>
      </c>
      <c r="AB2485" t="s">
        <v>2509</v>
      </c>
      <c r="AC2485" t="s">
        <v>2564</v>
      </c>
      <c r="AD2485" t="s">
        <v>717</v>
      </c>
      <c r="AE2485" t="s">
        <v>10615</v>
      </c>
      <c r="AF2485" t="s">
        <v>10616</v>
      </c>
      <c r="AG2485" t="s">
        <v>10617</v>
      </c>
      <c r="AH2485" t="s">
        <v>2191</v>
      </c>
      <c r="AI2485" t="s">
        <v>2706</v>
      </c>
      <c r="AJ2485" t="s">
        <v>2514</v>
      </c>
      <c r="AK2485" t="s">
        <v>20</v>
      </c>
      <c r="AL2485" t="s">
        <v>1892</v>
      </c>
      <c r="AM2485" t="s">
        <v>10</v>
      </c>
      <c r="AN2485" t="s">
        <v>717</v>
      </c>
    </row>
    <row r="2486" spans="1:40" hidden="1">
      <c r="A2486">
        <v>2485</v>
      </c>
      <c r="B2486">
        <v>6</v>
      </c>
      <c r="C2486" s="58">
        <v>45576</v>
      </c>
      <c r="D2486" t="s">
        <v>13</v>
      </c>
      <c r="E2486" t="s">
        <v>2506</v>
      </c>
      <c r="F2486">
        <v>5</v>
      </c>
      <c r="G2486">
        <v>2</v>
      </c>
      <c r="H2486">
        <v>122</v>
      </c>
      <c r="I2486">
        <v>1</v>
      </c>
      <c r="J2486">
        <v>37.86</v>
      </c>
      <c r="K2486" t="s">
        <v>21</v>
      </c>
      <c r="L2486">
        <v>4726894</v>
      </c>
      <c r="M2486">
        <v>0</v>
      </c>
      <c r="N2486">
        <v>4726894</v>
      </c>
      <c r="O2486">
        <v>124851.92815636555</v>
      </c>
      <c r="P2486">
        <v>302880</v>
      </c>
      <c r="Q2486">
        <v>4424014</v>
      </c>
      <c r="R2486">
        <v>116851.92815636555</v>
      </c>
      <c r="S2486" t="s">
        <v>65</v>
      </c>
      <c r="T2486" t="s">
        <v>2664</v>
      </c>
      <c r="U2486">
        <v>90286</v>
      </c>
      <c r="V2486" t="s">
        <v>6312</v>
      </c>
      <c r="W2486">
        <v>45573</v>
      </c>
      <c r="X2486" t="s">
        <v>10618</v>
      </c>
      <c r="Y2486" t="s">
        <v>6</v>
      </c>
      <c r="Z2486" t="s">
        <v>17</v>
      </c>
      <c r="AA2486" t="s">
        <v>5617</v>
      </c>
      <c r="AB2486" t="s">
        <v>2509</v>
      </c>
      <c r="AC2486" t="s">
        <v>10610</v>
      </c>
      <c r="AD2486" t="s">
        <v>717</v>
      </c>
      <c r="AE2486" t="s">
        <v>10619</v>
      </c>
      <c r="AF2486" t="s">
        <v>10620</v>
      </c>
      <c r="AG2486" t="s">
        <v>10621</v>
      </c>
      <c r="AH2486" t="s">
        <v>2616</v>
      </c>
      <c r="AI2486" t="s">
        <v>2552</v>
      </c>
      <c r="AJ2486" t="s">
        <v>2895</v>
      </c>
      <c r="AK2486" t="s">
        <v>8</v>
      </c>
      <c r="AL2486" t="s">
        <v>22</v>
      </c>
      <c r="AM2486" t="s">
        <v>10</v>
      </c>
      <c r="AN2486" t="s">
        <v>717</v>
      </c>
    </row>
    <row r="2487" spans="1:40" hidden="1">
      <c r="A2487">
        <v>2486</v>
      </c>
      <c r="B2487">
        <v>7</v>
      </c>
      <c r="C2487" s="58">
        <v>45581</v>
      </c>
      <c r="D2487" t="s">
        <v>1875</v>
      </c>
      <c r="E2487" t="s">
        <v>10458</v>
      </c>
      <c r="F2487">
        <v>3</v>
      </c>
      <c r="G2487">
        <v>6</v>
      </c>
      <c r="H2487">
        <v>79</v>
      </c>
      <c r="I2487">
        <v>1</v>
      </c>
      <c r="J2487">
        <v>35.630000000000003</v>
      </c>
      <c r="K2487" t="s">
        <v>10459</v>
      </c>
      <c r="L2487">
        <v>4922507</v>
      </c>
      <c r="M2487">
        <v>0</v>
      </c>
      <c r="N2487">
        <v>4922507</v>
      </c>
      <c r="O2487">
        <v>138156.24473758068</v>
      </c>
      <c r="P2487">
        <v>356300</v>
      </c>
      <c r="Q2487">
        <v>4566207</v>
      </c>
      <c r="R2487">
        <v>128156.24473758068</v>
      </c>
      <c r="S2487" t="s">
        <v>130</v>
      </c>
      <c r="T2487" t="s">
        <v>2941</v>
      </c>
      <c r="U2487">
        <v>343693</v>
      </c>
      <c r="V2487" t="s">
        <v>717</v>
      </c>
      <c r="W2487">
        <v>45580</v>
      </c>
      <c r="X2487" t="s">
        <v>10622</v>
      </c>
      <c r="Y2487" t="s">
        <v>6</v>
      </c>
      <c r="Z2487" t="s">
        <v>17</v>
      </c>
      <c r="AA2487" t="s">
        <v>6637</v>
      </c>
      <c r="AB2487" t="s">
        <v>2509</v>
      </c>
      <c r="AC2487" t="s">
        <v>118</v>
      </c>
      <c r="AD2487" t="s">
        <v>717</v>
      </c>
      <c r="AE2487" t="s">
        <v>9423</v>
      </c>
      <c r="AF2487" t="s">
        <v>10623</v>
      </c>
      <c r="AG2487" t="s">
        <v>9425</v>
      </c>
      <c r="AH2487" t="s">
        <v>2191</v>
      </c>
      <c r="AI2487" t="s">
        <v>2600</v>
      </c>
      <c r="AJ2487" t="s">
        <v>3921</v>
      </c>
      <c r="AK2487" t="s">
        <v>14</v>
      </c>
      <c r="AL2487" t="s">
        <v>717</v>
      </c>
      <c r="AM2487" t="s">
        <v>10</v>
      </c>
      <c r="AN2487" t="s">
        <v>717</v>
      </c>
    </row>
    <row r="2488" spans="1:40" hidden="1">
      <c r="A2488">
        <v>2487</v>
      </c>
      <c r="B2488">
        <v>8</v>
      </c>
      <c r="C2488" s="58">
        <v>45582</v>
      </c>
      <c r="D2488" t="s">
        <v>13</v>
      </c>
      <c r="E2488" t="s">
        <v>4409</v>
      </c>
      <c r="F2488">
        <v>4</v>
      </c>
      <c r="G2488">
        <v>17</v>
      </c>
      <c r="H2488">
        <v>520</v>
      </c>
      <c r="I2488">
        <v>2</v>
      </c>
      <c r="J2488">
        <v>58.24</v>
      </c>
      <c r="K2488" t="s">
        <v>25</v>
      </c>
      <c r="L2488">
        <v>6831300</v>
      </c>
      <c r="M2488">
        <v>0</v>
      </c>
      <c r="N2488">
        <v>6831300</v>
      </c>
      <c r="O2488">
        <v>117295.67307692308</v>
      </c>
      <c r="P2488">
        <v>1164800</v>
      </c>
      <c r="Q2488">
        <v>5666500</v>
      </c>
      <c r="R2488">
        <v>97295.673076923078</v>
      </c>
      <c r="S2488" t="s">
        <v>130</v>
      </c>
      <c r="T2488" t="s">
        <v>717</v>
      </c>
      <c r="U2488" t="s">
        <v>717</v>
      </c>
      <c r="V2488" t="s">
        <v>717</v>
      </c>
      <c r="W2488">
        <v>45576</v>
      </c>
      <c r="X2488" t="s">
        <v>10624</v>
      </c>
      <c r="Y2488" t="s">
        <v>6</v>
      </c>
      <c r="Z2488" t="s">
        <v>17</v>
      </c>
      <c r="AA2488" t="s">
        <v>6637</v>
      </c>
      <c r="AB2488" t="s">
        <v>2509</v>
      </c>
      <c r="AC2488" t="s">
        <v>118</v>
      </c>
      <c r="AD2488" t="s">
        <v>717</v>
      </c>
      <c r="AE2488" t="s">
        <v>10625</v>
      </c>
      <c r="AF2488" t="s">
        <v>10626</v>
      </c>
      <c r="AG2488" t="s">
        <v>10627</v>
      </c>
      <c r="AH2488" t="s">
        <v>2191</v>
      </c>
      <c r="AI2488" t="s">
        <v>2552</v>
      </c>
      <c r="AJ2488" t="s">
        <v>2514</v>
      </c>
      <c r="AK2488" t="s">
        <v>20</v>
      </c>
      <c r="AL2488" t="s">
        <v>22</v>
      </c>
      <c r="AM2488" t="s">
        <v>10</v>
      </c>
      <c r="AN2488" t="s">
        <v>717</v>
      </c>
    </row>
    <row r="2489" spans="1:40" hidden="1">
      <c r="A2489">
        <v>2488</v>
      </c>
      <c r="B2489">
        <v>9</v>
      </c>
      <c r="C2489" s="58">
        <v>45582</v>
      </c>
      <c r="D2489" t="s">
        <v>13</v>
      </c>
      <c r="E2489" t="s">
        <v>2515</v>
      </c>
      <c r="F2489">
        <v>1</v>
      </c>
      <c r="G2489">
        <v>5</v>
      </c>
      <c r="H2489">
        <v>28</v>
      </c>
      <c r="I2489">
        <v>1</v>
      </c>
      <c r="J2489">
        <v>34.39</v>
      </c>
      <c r="K2489" t="s">
        <v>9</v>
      </c>
      <c r="L2489">
        <v>4122370</v>
      </c>
      <c r="M2489">
        <v>0</v>
      </c>
      <c r="N2489">
        <v>4122370</v>
      </c>
      <c r="O2489">
        <v>119871.1834835708</v>
      </c>
      <c r="P2489">
        <v>0</v>
      </c>
      <c r="Q2489">
        <v>4122370</v>
      </c>
      <c r="R2489">
        <v>119871.1834835708</v>
      </c>
      <c r="S2489" t="s">
        <v>65</v>
      </c>
      <c r="T2489" t="s">
        <v>2941</v>
      </c>
      <c r="U2489">
        <v>84130</v>
      </c>
      <c r="V2489" t="s">
        <v>6312</v>
      </c>
      <c r="W2489">
        <v>45580</v>
      </c>
      <c r="X2489" t="s">
        <v>10628</v>
      </c>
      <c r="Y2489" t="s">
        <v>6</v>
      </c>
      <c r="Z2489" t="s">
        <v>17</v>
      </c>
      <c r="AA2489" t="s">
        <v>5617</v>
      </c>
      <c r="AB2489" t="s">
        <v>2509</v>
      </c>
      <c r="AC2489" t="s">
        <v>2576</v>
      </c>
      <c r="AD2489" t="s">
        <v>717</v>
      </c>
      <c r="AE2489" t="s">
        <v>10629</v>
      </c>
      <c r="AF2489" t="s">
        <v>10630</v>
      </c>
      <c r="AG2489" t="s">
        <v>10631</v>
      </c>
      <c r="AH2489" t="s">
        <v>2615</v>
      </c>
      <c r="AI2489" t="s">
        <v>3115</v>
      </c>
      <c r="AJ2489" t="s">
        <v>2569</v>
      </c>
      <c r="AK2489" t="s">
        <v>14</v>
      </c>
      <c r="AL2489" t="s">
        <v>22</v>
      </c>
      <c r="AM2489" t="s">
        <v>10</v>
      </c>
      <c r="AN2489" t="s">
        <v>10632</v>
      </c>
    </row>
    <row r="2490" spans="1:40" hidden="1">
      <c r="A2490">
        <v>2489</v>
      </c>
      <c r="B2490">
        <v>10</v>
      </c>
      <c r="C2490" s="58">
        <v>45587</v>
      </c>
      <c r="D2490" t="s">
        <v>13</v>
      </c>
      <c r="E2490" t="s">
        <v>2581</v>
      </c>
      <c r="F2490">
        <v>4</v>
      </c>
      <c r="G2490">
        <v>14</v>
      </c>
      <c r="H2490">
        <v>316</v>
      </c>
      <c r="I2490">
        <v>2</v>
      </c>
      <c r="J2490">
        <v>60.24</v>
      </c>
      <c r="K2490" t="s">
        <v>25</v>
      </c>
      <c r="L2490">
        <v>7201700</v>
      </c>
      <c r="M2490">
        <v>0</v>
      </c>
      <c r="N2490">
        <v>7201700</v>
      </c>
      <c r="O2490">
        <v>119550.13280212483</v>
      </c>
      <c r="P2490">
        <v>1204800</v>
      </c>
      <c r="Q2490">
        <v>5996900</v>
      </c>
      <c r="R2490">
        <v>99550.132802124834</v>
      </c>
      <c r="S2490" t="s">
        <v>65</v>
      </c>
      <c r="T2490" t="s">
        <v>717</v>
      </c>
      <c r="U2490" t="s">
        <v>717</v>
      </c>
      <c r="V2490" t="s">
        <v>6312</v>
      </c>
      <c r="W2490">
        <v>45551</v>
      </c>
      <c r="X2490" t="s">
        <v>10633</v>
      </c>
      <c r="Y2490" t="s">
        <v>6</v>
      </c>
      <c r="Z2490" t="s">
        <v>17</v>
      </c>
      <c r="AA2490" t="s">
        <v>6637</v>
      </c>
      <c r="AB2490" t="s">
        <v>2509</v>
      </c>
      <c r="AC2490" t="s">
        <v>2571</v>
      </c>
      <c r="AD2490" t="s">
        <v>717</v>
      </c>
      <c r="AE2490" t="s">
        <v>10634</v>
      </c>
      <c r="AF2490" t="s">
        <v>10635</v>
      </c>
      <c r="AG2490" t="s">
        <v>10636</v>
      </c>
      <c r="AH2490" t="s">
        <v>2615</v>
      </c>
      <c r="AI2490" t="s">
        <v>2521</v>
      </c>
      <c r="AJ2490" t="s">
        <v>2569</v>
      </c>
      <c r="AK2490" t="s">
        <v>14</v>
      </c>
      <c r="AL2490" t="s">
        <v>1892</v>
      </c>
      <c r="AM2490" t="s">
        <v>10</v>
      </c>
      <c r="AN2490" t="s">
        <v>717</v>
      </c>
    </row>
    <row r="2491" spans="1:40" hidden="1">
      <c r="A2491">
        <v>2490</v>
      </c>
      <c r="B2491">
        <v>11</v>
      </c>
      <c r="C2491" s="58">
        <v>45588</v>
      </c>
      <c r="D2491" t="s">
        <v>13</v>
      </c>
      <c r="E2491" t="s">
        <v>2515</v>
      </c>
      <c r="F2491">
        <v>7</v>
      </c>
      <c r="G2491">
        <v>13</v>
      </c>
      <c r="H2491">
        <v>90</v>
      </c>
      <c r="I2491">
        <v>1</v>
      </c>
      <c r="J2491">
        <v>42.75</v>
      </c>
      <c r="K2491" t="s">
        <v>21</v>
      </c>
      <c r="L2491">
        <v>5022050</v>
      </c>
      <c r="M2491">
        <v>0</v>
      </c>
      <c r="N2491">
        <v>5022050</v>
      </c>
      <c r="O2491">
        <v>117474.85380116959</v>
      </c>
      <c r="P2491">
        <v>299250</v>
      </c>
      <c r="Q2491">
        <v>4722800</v>
      </c>
      <c r="R2491">
        <v>110474.85380116959</v>
      </c>
      <c r="S2491" t="s">
        <v>65</v>
      </c>
      <c r="T2491" t="s">
        <v>717</v>
      </c>
      <c r="U2491" t="s">
        <v>717</v>
      </c>
      <c r="V2491" t="s">
        <v>6312</v>
      </c>
      <c r="W2491">
        <v>45553</v>
      </c>
      <c r="X2491" t="s">
        <v>10637</v>
      </c>
      <c r="Y2491" t="s">
        <v>6</v>
      </c>
      <c r="Z2491" t="s">
        <v>17</v>
      </c>
      <c r="AA2491" t="s">
        <v>6637</v>
      </c>
      <c r="AB2491" t="s">
        <v>2509</v>
      </c>
      <c r="AC2491" t="s">
        <v>2571</v>
      </c>
      <c r="AD2491" t="s">
        <v>717</v>
      </c>
      <c r="AE2491" t="s">
        <v>2221</v>
      </c>
      <c r="AF2491" t="s">
        <v>10638</v>
      </c>
      <c r="AG2491" t="s">
        <v>10639</v>
      </c>
      <c r="AH2491" t="s">
        <v>6100</v>
      </c>
      <c r="AI2491" t="s">
        <v>5653</v>
      </c>
      <c r="AJ2491" t="s">
        <v>31</v>
      </c>
      <c r="AK2491" t="s">
        <v>14</v>
      </c>
      <c r="AL2491" t="s">
        <v>1892</v>
      </c>
      <c r="AM2491" t="s">
        <v>5654</v>
      </c>
      <c r="AN2491" t="s">
        <v>717</v>
      </c>
    </row>
    <row r="2492" spans="1:40" hidden="1">
      <c r="A2492">
        <v>2491</v>
      </c>
      <c r="B2492">
        <v>12</v>
      </c>
      <c r="C2492" s="58">
        <v>45588</v>
      </c>
      <c r="D2492" t="s">
        <v>13</v>
      </c>
      <c r="E2492" t="s">
        <v>4409</v>
      </c>
      <c r="F2492">
        <v>2</v>
      </c>
      <c r="G2492">
        <v>21</v>
      </c>
      <c r="H2492">
        <v>550</v>
      </c>
      <c r="I2492">
        <v>1</v>
      </c>
      <c r="J2492">
        <v>43.21</v>
      </c>
      <c r="K2492" t="s">
        <v>9</v>
      </c>
      <c r="L2492">
        <v>5055918</v>
      </c>
      <c r="M2492">
        <v>0</v>
      </c>
      <c r="N2492">
        <v>5055918</v>
      </c>
      <c r="O2492">
        <v>117008.05369127516</v>
      </c>
      <c r="P2492">
        <v>0</v>
      </c>
      <c r="Q2492">
        <v>5055918</v>
      </c>
      <c r="R2492">
        <v>117008.05369127516</v>
      </c>
      <c r="S2492" t="s">
        <v>65</v>
      </c>
      <c r="T2492" t="s">
        <v>2664</v>
      </c>
      <c r="U2492">
        <v>103182</v>
      </c>
      <c r="V2492" t="s">
        <v>6312</v>
      </c>
      <c r="W2492">
        <v>45569</v>
      </c>
      <c r="X2492" t="s">
        <v>10640</v>
      </c>
      <c r="Y2492" t="s">
        <v>6</v>
      </c>
      <c r="Z2492" t="s">
        <v>17</v>
      </c>
      <c r="AA2492" t="s">
        <v>6637</v>
      </c>
      <c r="AB2492" t="s">
        <v>2509</v>
      </c>
      <c r="AC2492" t="s">
        <v>3300</v>
      </c>
      <c r="AD2492" t="s">
        <v>717</v>
      </c>
      <c r="AE2492" t="s">
        <v>10641</v>
      </c>
      <c r="AF2492" t="s">
        <v>10642</v>
      </c>
      <c r="AG2492" t="s">
        <v>10643</v>
      </c>
      <c r="AH2492" t="s">
        <v>2615</v>
      </c>
      <c r="AI2492" t="s">
        <v>3120</v>
      </c>
      <c r="AJ2492" t="s">
        <v>2895</v>
      </c>
      <c r="AK2492" t="s">
        <v>8</v>
      </c>
      <c r="AL2492" t="s">
        <v>1892</v>
      </c>
      <c r="AM2492" t="s">
        <v>10</v>
      </c>
      <c r="AN2492" t="s">
        <v>717</v>
      </c>
    </row>
    <row r="2493" spans="1:40" hidden="1">
      <c r="A2493">
        <v>2492</v>
      </c>
      <c r="B2493">
        <v>13</v>
      </c>
      <c r="C2493" s="58">
        <v>45588</v>
      </c>
      <c r="D2493" t="s">
        <v>13</v>
      </c>
      <c r="E2493" t="s">
        <v>2515</v>
      </c>
      <c r="F2493">
        <v>7</v>
      </c>
      <c r="G2493">
        <v>16</v>
      </c>
      <c r="H2493">
        <v>111</v>
      </c>
      <c r="I2493">
        <v>1</v>
      </c>
      <c r="J2493">
        <v>42.75</v>
      </c>
      <c r="K2493" t="s">
        <v>21</v>
      </c>
      <c r="L2493">
        <v>4970344</v>
      </c>
      <c r="M2493">
        <v>0</v>
      </c>
      <c r="N2493">
        <v>4970344</v>
      </c>
      <c r="O2493">
        <v>116265.35672514619</v>
      </c>
      <c r="P2493">
        <v>342000</v>
      </c>
      <c r="Q2493">
        <v>4628344</v>
      </c>
      <c r="R2493">
        <v>108265.35672514619</v>
      </c>
      <c r="S2493" t="s">
        <v>65</v>
      </c>
      <c r="T2493" t="s">
        <v>2664</v>
      </c>
      <c r="U2493">
        <v>94456</v>
      </c>
      <c r="V2493" t="s">
        <v>6312</v>
      </c>
      <c r="W2493">
        <v>45576</v>
      </c>
      <c r="X2493" t="s">
        <v>10644</v>
      </c>
      <c r="Y2493" t="s">
        <v>6</v>
      </c>
      <c r="Z2493" t="s">
        <v>17</v>
      </c>
      <c r="AA2493" t="s">
        <v>6637</v>
      </c>
      <c r="AB2493" t="s">
        <v>2509</v>
      </c>
      <c r="AC2493" t="s">
        <v>2571</v>
      </c>
      <c r="AD2493" t="s">
        <v>717</v>
      </c>
      <c r="AE2493" t="s">
        <v>10645</v>
      </c>
      <c r="AF2493" t="s">
        <v>10646</v>
      </c>
      <c r="AG2493" t="s">
        <v>10647</v>
      </c>
      <c r="AH2493" t="s">
        <v>2552</v>
      </c>
      <c r="AI2493" t="s">
        <v>2547</v>
      </c>
      <c r="AJ2493" t="s">
        <v>2662</v>
      </c>
      <c r="AK2493" t="s">
        <v>8</v>
      </c>
      <c r="AL2493" t="s">
        <v>22</v>
      </c>
      <c r="AM2493" t="s">
        <v>10</v>
      </c>
      <c r="AN2493" t="s">
        <v>717</v>
      </c>
    </row>
    <row r="2494" spans="1:40" hidden="1">
      <c r="A2494">
        <v>2493</v>
      </c>
      <c r="B2494">
        <v>14</v>
      </c>
      <c r="C2494" s="58">
        <v>45588</v>
      </c>
      <c r="D2494" t="s">
        <v>13</v>
      </c>
      <c r="E2494" t="s">
        <v>2515</v>
      </c>
      <c r="F2494">
        <v>6</v>
      </c>
      <c r="G2494">
        <v>14</v>
      </c>
      <c r="H2494">
        <v>96</v>
      </c>
      <c r="I2494">
        <v>2</v>
      </c>
      <c r="J2494">
        <v>58.16</v>
      </c>
      <c r="K2494" t="s">
        <v>21</v>
      </c>
      <c r="L2494">
        <v>6341637</v>
      </c>
      <c r="M2494">
        <v>0</v>
      </c>
      <c r="N2494">
        <v>6341637</v>
      </c>
      <c r="O2494">
        <v>109037.77510316369</v>
      </c>
      <c r="P2494">
        <v>465280</v>
      </c>
      <c r="Q2494">
        <v>5876357</v>
      </c>
      <c r="R2494">
        <v>101037.77510316369</v>
      </c>
      <c r="S2494" t="s">
        <v>65</v>
      </c>
      <c r="T2494" t="s">
        <v>4059</v>
      </c>
      <c r="U2494">
        <v>181743</v>
      </c>
      <c r="V2494" t="s">
        <v>6312</v>
      </c>
      <c r="W2494">
        <v>45579</v>
      </c>
      <c r="X2494" t="s">
        <v>10648</v>
      </c>
      <c r="Y2494" t="s">
        <v>6</v>
      </c>
      <c r="Z2494" t="s">
        <v>17</v>
      </c>
      <c r="AA2494" t="s">
        <v>6637</v>
      </c>
      <c r="AB2494" t="s">
        <v>2509</v>
      </c>
      <c r="AC2494" t="s">
        <v>2571</v>
      </c>
      <c r="AD2494" t="s">
        <v>717</v>
      </c>
      <c r="AE2494" t="s">
        <v>5179</v>
      </c>
      <c r="AF2494" t="s">
        <v>5180</v>
      </c>
      <c r="AG2494" t="s">
        <v>5181</v>
      </c>
      <c r="AH2494" t="s">
        <v>2191</v>
      </c>
      <c r="AI2494" t="s">
        <v>2600</v>
      </c>
      <c r="AJ2494" t="s">
        <v>3921</v>
      </c>
      <c r="AK2494" t="s">
        <v>8</v>
      </c>
      <c r="AL2494" t="s">
        <v>22</v>
      </c>
      <c r="AM2494" t="s">
        <v>10</v>
      </c>
      <c r="AN2494" t="s">
        <v>717</v>
      </c>
    </row>
    <row r="2495" spans="1:40" hidden="1">
      <c r="A2495">
        <v>2494</v>
      </c>
      <c r="B2495">
        <v>15</v>
      </c>
      <c r="C2495" s="58">
        <v>45588</v>
      </c>
      <c r="D2495" t="s">
        <v>13</v>
      </c>
      <c r="E2495" t="s">
        <v>2581</v>
      </c>
      <c r="F2495">
        <v>7</v>
      </c>
      <c r="G2495">
        <v>18</v>
      </c>
      <c r="H2495">
        <v>347</v>
      </c>
      <c r="I2495">
        <v>1</v>
      </c>
      <c r="J2495">
        <v>34.81</v>
      </c>
      <c r="K2495" t="s">
        <v>21</v>
      </c>
      <c r="L2495">
        <v>4596480</v>
      </c>
      <c r="M2495">
        <v>0</v>
      </c>
      <c r="N2495">
        <v>4596480</v>
      </c>
      <c r="O2495">
        <v>132044.81470841711</v>
      </c>
      <c r="P2495">
        <v>278480</v>
      </c>
      <c r="Q2495">
        <v>4318000</v>
      </c>
      <c r="R2495">
        <v>124044.81470841712</v>
      </c>
      <c r="S2495" t="s">
        <v>65</v>
      </c>
      <c r="T2495" t="s">
        <v>717</v>
      </c>
      <c r="U2495" t="s">
        <v>717</v>
      </c>
      <c r="V2495" t="s">
        <v>6312</v>
      </c>
      <c r="W2495">
        <v>45579</v>
      </c>
      <c r="X2495" t="s">
        <v>10649</v>
      </c>
      <c r="Y2495" t="s">
        <v>6</v>
      </c>
      <c r="Z2495" t="s">
        <v>17</v>
      </c>
      <c r="AA2495" t="s">
        <v>6637</v>
      </c>
      <c r="AB2495" t="s">
        <v>2509</v>
      </c>
      <c r="AC2495" t="s">
        <v>2571</v>
      </c>
      <c r="AD2495" t="s">
        <v>717</v>
      </c>
      <c r="AE2495" t="s">
        <v>10650</v>
      </c>
      <c r="AF2495" t="s">
        <v>10651</v>
      </c>
      <c r="AG2495" t="s">
        <v>10652</v>
      </c>
      <c r="AH2495" t="s">
        <v>2615</v>
      </c>
      <c r="AI2495" t="s">
        <v>2552</v>
      </c>
      <c r="AJ2495" t="s">
        <v>2825</v>
      </c>
      <c r="AK2495" t="s">
        <v>8</v>
      </c>
      <c r="AL2495" t="s">
        <v>1892</v>
      </c>
      <c r="AM2495" t="s">
        <v>10</v>
      </c>
      <c r="AN2495" t="s">
        <v>717</v>
      </c>
    </row>
    <row r="2496" spans="1:40" hidden="1">
      <c r="A2496">
        <v>2495</v>
      </c>
      <c r="B2496">
        <v>16</v>
      </c>
      <c r="C2496" s="58">
        <v>45588</v>
      </c>
      <c r="D2496" t="s">
        <v>13</v>
      </c>
      <c r="E2496" t="s">
        <v>2506</v>
      </c>
      <c r="F2496">
        <v>2</v>
      </c>
      <c r="G2496">
        <v>3</v>
      </c>
      <c r="H2496">
        <v>126</v>
      </c>
      <c r="I2496">
        <v>0</v>
      </c>
      <c r="J2496">
        <v>24.28</v>
      </c>
      <c r="K2496" t="s">
        <v>25</v>
      </c>
      <c r="L2496">
        <v>3643652</v>
      </c>
      <c r="M2496">
        <v>0</v>
      </c>
      <c r="N2496">
        <v>3643652</v>
      </c>
      <c r="O2496">
        <v>150068.03953871498</v>
      </c>
      <c r="P2496">
        <v>582720</v>
      </c>
      <c r="Q2496">
        <v>3060932</v>
      </c>
      <c r="R2496">
        <v>126068.03953871501</v>
      </c>
      <c r="S2496" t="s">
        <v>65</v>
      </c>
      <c r="T2496" t="s">
        <v>2664</v>
      </c>
      <c r="U2496">
        <v>62468</v>
      </c>
      <c r="V2496" t="s">
        <v>6312</v>
      </c>
      <c r="W2496">
        <v>45587</v>
      </c>
      <c r="X2496" t="s">
        <v>10653</v>
      </c>
      <c r="Y2496" t="s">
        <v>6</v>
      </c>
      <c r="Z2496" t="s">
        <v>17</v>
      </c>
      <c r="AA2496" t="s">
        <v>6637</v>
      </c>
      <c r="AB2496" t="s">
        <v>2509</v>
      </c>
      <c r="AC2496" t="s">
        <v>2571</v>
      </c>
      <c r="AD2496" t="s">
        <v>717</v>
      </c>
      <c r="AE2496" t="s">
        <v>10654</v>
      </c>
      <c r="AF2496" t="s">
        <v>10655</v>
      </c>
      <c r="AG2496" t="s">
        <v>10656</v>
      </c>
      <c r="AH2496" t="s">
        <v>2615</v>
      </c>
      <c r="AI2496" t="s">
        <v>2552</v>
      </c>
      <c r="AJ2496" t="s">
        <v>2895</v>
      </c>
      <c r="AK2496" t="s">
        <v>14</v>
      </c>
      <c r="AL2496" t="s">
        <v>22</v>
      </c>
      <c r="AM2496" t="s">
        <v>10</v>
      </c>
      <c r="AN2496" t="s">
        <v>717</v>
      </c>
    </row>
    <row r="2497" spans="1:40" hidden="1">
      <c r="A2497">
        <v>2496</v>
      </c>
      <c r="B2497">
        <v>17</v>
      </c>
      <c r="C2497" s="58">
        <v>45589</v>
      </c>
      <c r="D2497" t="s">
        <v>13</v>
      </c>
      <c r="E2497" t="s">
        <v>2581</v>
      </c>
      <c r="F2497">
        <v>6</v>
      </c>
      <c r="G2497">
        <v>8</v>
      </c>
      <c r="H2497">
        <v>276</v>
      </c>
      <c r="I2497">
        <v>3</v>
      </c>
      <c r="J2497">
        <v>80.97</v>
      </c>
      <c r="K2497" t="s">
        <v>9</v>
      </c>
      <c r="L2497">
        <v>7603733</v>
      </c>
      <c r="M2497">
        <v>0</v>
      </c>
      <c r="N2497">
        <v>7603733</v>
      </c>
      <c r="O2497">
        <v>93908.027664567126</v>
      </c>
      <c r="P2497">
        <v>0</v>
      </c>
      <c r="Q2497">
        <v>7603733</v>
      </c>
      <c r="R2497">
        <v>93908.027664567126</v>
      </c>
      <c r="S2497" t="s">
        <v>65</v>
      </c>
      <c r="T2497" t="s">
        <v>4059</v>
      </c>
      <c r="U2497">
        <v>235167</v>
      </c>
      <c r="V2497" t="s">
        <v>6312</v>
      </c>
      <c r="W2497">
        <v>45560</v>
      </c>
      <c r="X2497" t="s">
        <v>10657</v>
      </c>
      <c r="Y2497" t="s">
        <v>6</v>
      </c>
      <c r="Z2497" t="s">
        <v>17</v>
      </c>
      <c r="AA2497" t="s">
        <v>6637</v>
      </c>
      <c r="AB2497" t="s">
        <v>2509</v>
      </c>
      <c r="AC2497" t="s">
        <v>2571</v>
      </c>
      <c r="AD2497" t="s">
        <v>717</v>
      </c>
      <c r="AE2497" t="s">
        <v>10658</v>
      </c>
      <c r="AF2497" t="s">
        <v>10659</v>
      </c>
      <c r="AG2497" t="s">
        <v>10660</v>
      </c>
      <c r="AH2497" t="s">
        <v>2191</v>
      </c>
      <c r="AI2497" t="s">
        <v>3115</v>
      </c>
      <c r="AJ2497" t="s">
        <v>2514</v>
      </c>
      <c r="AK2497" t="s">
        <v>8</v>
      </c>
      <c r="AL2497" t="s">
        <v>22</v>
      </c>
      <c r="AM2497" t="s">
        <v>10</v>
      </c>
      <c r="AN2497" t="s">
        <v>717</v>
      </c>
    </row>
    <row r="2498" spans="1:40" hidden="1">
      <c r="A2498">
        <v>2497</v>
      </c>
      <c r="B2498">
        <v>18</v>
      </c>
      <c r="C2498" s="58">
        <v>45589</v>
      </c>
      <c r="D2498" t="s">
        <v>13</v>
      </c>
      <c r="E2498" t="s">
        <v>2515</v>
      </c>
      <c r="F2498">
        <v>4</v>
      </c>
      <c r="G2498">
        <v>10</v>
      </c>
      <c r="H2498">
        <v>66</v>
      </c>
      <c r="I2498">
        <v>2</v>
      </c>
      <c r="J2498">
        <v>59.09</v>
      </c>
      <c r="K2498" t="s">
        <v>9</v>
      </c>
      <c r="L2498">
        <v>5673900</v>
      </c>
      <c r="M2498">
        <v>15000</v>
      </c>
      <c r="N2498">
        <v>5688900</v>
      </c>
      <c r="O2498">
        <v>96275.173464207139</v>
      </c>
      <c r="P2498">
        <v>0</v>
      </c>
      <c r="Q2498">
        <v>5688900</v>
      </c>
      <c r="R2498">
        <v>96275.173464207139</v>
      </c>
      <c r="S2498" t="s">
        <v>130</v>
      </c>
      <c r="T2498" t="s">
        <v>2941</v>
      </c>
      <c r="U2498">
        <v>116100</v>
      </c>
      <c r="V2498" t="s">
        <v>717</v>
      </c>
      <c r="W2498">
        <v>45560</v>
      </c>
      <c r="X2498" t="s">
        <v>10661</v>
      </c>
      <c r="Y2498" t="s">
        <v>6</v>
      </c>
      <c r="Z2498" t="s">
        <v>17</v>
      </c>
      <c r="AA2498" t="s">
        <v>5617</v>
      </c>
      <c r="AB2498" t="s">
        <v>2509</v>
      </c>
      <c r="AC2498" t="s">
        <v>717</v>
      </c>
      <c r="AD2498" t="s">
        <v>717</v>
      </c>
      <c r="AE2498" t="s">
        <v>2223</v>
      </c>
      <c r="AF2498" t="s">
        <v>10662</v>
      </c>
      <c r="AG2498" t="s">
        <v>10663</v>
      </c>
      <c r="AH2498" t="s">
        <v>2191</v>
      </c>
      <c r="AI2498" t="s">
        <v>2521</v>
      </c>
      <c r="AJ2498" t="s">
        <v>2514</v>
      </c>
      <c r="AK2498" t="s">
        <v>20</v>
      </c>
      <c r="AL2498" t="s">
        <v>717</v>
      </c>
      <c r="AM2498" t="s">
        <v>10</v>
      </c>
      <c r="AN2498" t="s">
        <v>717</v>
      </c>
    </row>
    <row r="2499" spans="1:40" hidden="1">
      <c r="A2499">
        <v>2498</v>
      </c>
      <c r="B2499">
        <v>19</v>
      </c>
      <c r="C2499" s="58">
        <v>45589</v>
      </c>
      <c r="D2499" t="s">
        <v>13</v>
      </c>
      <c r="E2499" t="s">
        <v>2515</v>
      </c>
      <c r="F2499">
        <v>1</v>
      </c>
      <c r="G2499">
        <v>12</v>
      </c>
      <c r="H2499">
        <v>77</v>
      </c>
      <c r="I2499">
        <v>1</v>
      </c>
      <c r="J2499">
        <v>34.39</v>
      </c>
      <c r="K2499" t="s">
        <v>21</v>
      </c>
      <c r="L2499">
        <v>4479908</v>
      </c>
      <c r="M2499">
        <v>0</v>
      </c>
      <c r="N2499">
        <v>4479908</v>
      </c>
      <c r="O2499">
        <v>130267.75225356208</v>
      </c>
      <c r="P2499">
        <v>275120</v>
      </c>
      <c r="Q2499">
        <v>4204788</v>
      </c>
      <c r="R2499">
        <v>122267.75225356208</v>
      </c>
      <c r="S2499" t="s">
        <v>65</v>
      </c>
      <c r="T2499" t="s">
        <v>2664</v>
      </c>
      <c r="U2499">
        <v>85812</v>
      </c>
      <c r="V2499" t="s">
        <v>6312</v>
      </c>
      <c r="W2499">
        <v>45569</v>
      </c>
      <c r="X2499" t="s">
        <v>10664</v>
      </c>
      <c r="Y2499" t="s">
        <v>6</v>
      </c>
      <c r="Z2499" t="s">
        <v>17</v>
      </c>
      <c r="AA2499" t="s">
        <v>6637</v>
      </c>
      <c r="AB2499" t="s">
        <v>2509</v>
      </c>
      <c r="AC2499" t="s">
        <v>2571</v>
      </c>
      <c r="AD2499" t="s">
        <v>717</v>
      </c>
      <c r="AE2499" t="s">
        <v>10665</v>
      </c>
      <c r="AF2499" t="s">
        <v>10666</v>
      </c>
      <c r="AG2499" t="s">
        <v>10667</v>
      </c>
      <c r="AH2499" t="s">
        <v>6100</v>
      </c>
      <c r="AI2499" t="s">
        <v>5653</v>
      </c>
      <c r="AJ2499" t="s">
        <v>31</v>
      </c>
      <c r="AK2499" t="s">
        <v>8</v>
      </c>
      <c r="AL2499" t="s">
        <v>1892</v>
      </c>
      <c r="AM2499" t="s">
        <v>5654</v>
      </c>
      <c r="AN2499" t="s">
        <v>717</v>
      </c>
    </row>
    <row r="2500" spans="1:40" hidden="1">
      <c r="A2500">
        <v>2499</v>
      </c>
      <c r="B2500">
        <v>20</v>
      </c>
      <c r="C2500" s="58">
        <v>45589</v>
      </c>
      <c r="D2500" t="s">
        <v>13</v>
      </c>
      <c r="E2500" t="s">
        <v>2515</v>
      </c>
      <c r="F2500">
        <v>3</v>
      </c>
      <c r="G2500">
        <v>2</v>
      </c>
      <c r="H2500">
        <v>9</v>
      </c>
      <c r="I2500">
        <v>1</v>
      </c>
      <c r="J2500">
        <v>37.729999999999997</v>
      </c>
      <c r="K2500" t="s">
        <v>9</v>
      </c>
      <c r="L2500">
        <v>4602400</v>
      </c>
      <c r="M2500">
        <v>0</v>
      </c>
      <c r="N2500">
        <v>4602400</v>
      </c>
      <c r="O2500">
        <v>121982.50728862974</v>
      </c>
      <c r="P2500">
        <v>0</v>
      </c>
      <c r="Q2500">
        <v>4602400</v>
      </c>
      <c r="R2500">
        <v>121982.50728862974</v>
      </c>
      <c r="S2500" t="s">
        <v>65</v>
      </c>
      <c r="T2500" t="s">
        <v>717</v>
      </c>
      <c r="U2500" t="s">
        <v>717</v>
      </c>
      <c r="V2500" t="s">
        <v>6312</v>
      </c>
      <c r="W2500">
        <v>45569</v>
      </c>
      <c r="X2500" t="s">
        <v>10668</v>
      </c>
      <c r="Y2500" t="s">
        <v>6</v>
      </c>
      <c r="Z2500" t="s">
        <v>17</v>
      </c>
      <c r="AA2500" t="s">
        <v>6637</v>
      </c>
      <c r="AB2500" t="s">
        <v>2509</v>
      </c>
      <c r="AC2500" t="s">
        <v>2571</v>
      </c>
      <c r="AD2500" t="s">
        <v>717</v>
      </c>
      <c r="AE2500" t="s">
        <v>10669</v>
      </c>
      <c r="AF2500" t="s">
        <v>10670</v>
      </c>
      <c r="AG2500" t="s">
        <v>10671</v>
      </c>
      <c r="AH2500" t="s">
        <v>2615</v>
      </c>
      <c r="AI2500" t="s">
        <v>3120</v>
      </c>
      <c r="AJ2500" t="s">
        <v>3202</v>
      </c>
      <c r="AK2500" t="s">
        <v>8</v>
      </c>
      <c r="AL2500" t="s">
        <v>22</v>
      </c>
      <c r="AM2500" t="s">
        <v>10</v>
      </c>
      <c r="AN2500" t="s">
        <v>717</v>
      </c>
    </row>
    <row r="2501" spans="1:40" hidden="1">
      <c r="A2501">
        <v>2500</v>
      </c>
      <c r="B2501">
        <v>21</v>
      </c>
      <c r="C2501" s="58">
        <v>45589</v>
      </c>
      <c r="D2501" t="s">
        <v>13</v>
      </c>
      <c r="E2501" t="s">
        <v>2506</v>
      </c>
      <c r="F2501">
        <v>2</v>
      </c>
      <c r="G2501">
        <v>10</v>
      </c>
      <c r="H2501">
        <v>175</v>
      </c>
      <c r="I2501">
        <v>0</v>
      </c>
      <c r="J2501">
        <v>24.28</v>
      </c>
      <c r="K2501" t="s">
        <v>25</v>
      </c>
      <c r="L2501">
        <v>3686020</v>
      </c>
      <c r="M2501">
        <v>0</v>
      </c>
      <c r="N2501">
        <v>3686020</v>
      </c>
      <c r="O2501">
        <v>151813.01482701811</v>
      </c>
      <c r="P2501">
        <v>582720</v>
      </c>
      <c r="Q2501">
        <v>3103300</v>
      </c>
      <c r="R2501">
        <v>127813.01482701812</v>
      </c>
      <c r="S2501" t="s">
        <v>65</v>
      </c>
      <c r="T2501" t="s">
        <v>3309</v>
      </c>
      <c r="U2501">
        <v>50000</v>
      </c>
      <c r="V2501" t="s">
        <v>6312</v>
      </c>
      <c r="W2501">
        <v>45575</v>
      </c>
      <c r="X2501" t="s">
        <v>10672</v>
      </c>
      <c r="Y2501" t="s">
        <v>6</v>
      </c>
      <c r="Z2501" t="s">
        <v>17</v>
      </c>
      <c r="AA2501" t="s">
        <v>6637</v>
      </c>
      <c r="AB2501" t="s">
        <v>2509</v>
      </c>
      <c r="AC2501" t="s">
        <v>2571</v>
      </c>
      <c r="AD2501" t="s">
        <v>717</v>
      </c>
      <c r="AE2501" t="s">
        <v>10673</v>
      </c>
      <c r="AF2501" t="s">
        <v>10674</v>
      </c>
      <c r="AG2501" t="s">
        <v>10675</v>
      </c>
      <c r="AH2501" t="s">
        <v>6100</v>
      </c>
      <c r="AI2501" t="s">
        <v>10676</v>
      </c>
      <c r="AJ2501" t="s">
        <v>45</v>
      </c>
      <c r="AK2501" t="s">
        <v>14</v>
      </c>
      <c r="AL2501" t="s">
        <v>1892</v>
      </c>
      <c r="AM2501" t="s">
        <v>5654</v>
      </c>
      <c r="AN2501" t="s">
        <v>717</v>
      </c>
    </row>
    <row r="2502" spans="1:40" hidden="1">
      <c r="A2502">
        <v>2501</v>
      </c>
      <c r="B2502">
        <v>22</v>
      </c>
      <c r="C2502" s="58">
        <v>45589</v>
      </c>
      <c r="D2502" t="s">
        <v>13</v>
      </c>
      <c r="E2502" t="s">
        <v>2581</v>
      </c>
      <c r="F2502">
        <v>1</v>
      </c>
      <c r="G2502">
        <v>14</v>
      </c>
      <c r="H2502">
        <v>313</v>
      </c>
      <c r="I2502">
        <v>2</v>
      </c>
      <c r="J2502">
        <v>73.7</v>
      </c>
      <c r="K2502" t="s">
        <v>21</v>
      </c>
      <c r="L2502">
        <v>7687500</v>
      </c>
      <c r="M2502">
        <v>0</v>
      </c>
      <c r="N2502">
        <v>7687500</v>
      </c>
      <c r="O2502">
        <v>104308.0054274084</v>
      </c>
      <c r="P2502">
        <v>589600</v>
      </c>
      <c r="Q2502">
        <v>7097900</v>
      </c>
      <c r="R2502">
        <v>96308.005427408396</v>
      </c>
      <c r="S2502" t="s">
        <v>65</v>
      </c>
      <c r="T2502" t="s">
        <v>717</v>
      </c>
      <c r="U2502" t="s">
        <v>717</v>
      </c>
      <c r="V2502" t="s">
        <v>6312</v>
      </c>
      <c r="W2502">
        <v>45580</v>
      </c>
      <c r="X2502" t="s">
        <v>10677</v>
      </c>
      <c r="Y2502" t="s">
        <v>6</v>
      </c>
      <c r="Z2502" t="s">
        <v>17</v>
      </c>
      <c r="AA2502" t="s">
        <v>6637</v>
      </c>
      <c r="AB2502" t="s">
        <v>2509</v>
      </c>
      <c r="AC2502" t="s">
        <v>2571</v>
      </c>
      <c r="AD2502" t="s">
        <v>717</v>
      </c>
      <c r="AE2502" t="s">
        <v>10678</v>
      </c>
      <c r="AF2502" t="s">
        <v>10679</v>
      </c>
      <c r="AG2502" t="s">
        <v>10680</v>
      </c>
      <c r="AH2502" t="s">
        <v>2191</v>
      </c>
      <c r="AI2502" t="s">
        <v>2552</v>
      </c>
      <c r="AJ2502" t="s">
        <v>2514</v>
      </c>
      <c r="AK2502" t="s">
        <v>8</v>
      </c>
      <c r="AL2502" t="s">
        <v>22</v>
      </c>
      <c r="AM2502" t="s">
        <v>10</v>
      </c>
      <c r="AN2502" t="s">
        <v>717</v>
      </c>
    </row>
    <row r="2503" spans="1:40" hidden="1">
      <c r="A2503">
        <v>2502</v>
      </c>
      <c r="B2503">
        <v>23</v>
      </c>
      <c r="C2503" s="58">
        <v>45589</v>
      </c>
      <c r="D2503" t="s">
        <v>13</v>
      </c>
      <c r="E2503" t="s">
        <v>2581</v>
      </c>
      <c r="F2503">
        <v>5</v>
      </c>
      <c r="G2503">
        <v>17</v>
      </c>
      <c r="H2503">
        <v>338</v>
      </c>
      <c r="I2503">
        <v>1</v>
      </c>
      <c r="J2503">
        <v>37.81</v>
      </c>
      <c r="K2503" t="s">
        <v>21</v>
      </c>
      <c r="L2503">
        <v>4626926</v>
      </c>
      <c r="M2503">
        <v>0</v>
      </c>
      <c r="N2503">
        <v>4626926</v>
      </c>
      <c r="O2503">
        <v>122373.07590584501</v>
      </c>
      <c r="P2503">
        <v>302480</v>
      </c>
      <c r="Q2503">
        <v>4324446</v>
      </c>
      <c r="R2503">
        <v>114373.07590584501</v>
      </c>
      <c r="S2503" t="s">
        <v>65</v>
      </c>
      <c r="T2503" t="s">
        <v>2664</v>
      </c>
      <c r="U2503">
        <v>88254</v>
      </c>
      <c r="V2503" t="s">
        <v>6312</v>
      </c>
      <c r="W2503">
        <v>45580</v>
      </c>
      <c r="X2503" t="s">
        <v>10681</v>
      </c>
      <c r="Y2503" t="s">
        <v>6</v>
      </c>
      <c r="Z2503" t="s">
        <v>17</v>
      </c>
      <c r="AA2503" t="s">
        <v>6637</v>
      </c>
      <c r="AB2503" t="s">
        <v>2509</v>
      </c>
      <c r="AC2503" t="s">
        <v>2571</v>
      </c>
      <c r="AD2503" t="s">
        <v>717</v>
      </c>
      <c r="AE2503" t="s">
        <v>10682</v>
      </c>
      <c r="AF2503" t="s">
        <v>10683</v>
      </c>
      <c r="AG2503" t="s">
        <v>10684</v>
      </c>
      <c r="AH2503" t="s">
        <v>6100</v>
      </c>
      <c r="AI2503" t="s">
        <v>9548</v>
      </c>
      <c r="AJ2503" t="s">
        <v>34</v>
      </c>
      <c r="AK2503" t="s">
        <v>20</v>
      </c>
      <c r="AL2503" t="s">
        <v>22</v>
      </c>
      <c r="AM2503" t="s">
        <v>5654</v>
      </c>
      <c r="AN2503" t="s">
        <v>717</v>
      </c>
    </row>
    <row r="2504" spans="1:40" hidden="1">
      <c r="A2504">
        <v>2503</v>
      </c>
      <c r="B2504">
        <v>24</v>
      </c>
      <c r="C2504" s="58">
        <v>45590</v>
      </c>
      <c r="D2504" t="s">
        <v>13</v>
      </c>
      <c r="E2504" t="s">
        <v>2515</v>
      </c>
      <c r="F2504">
        <v>7</v>
      </c>
      <c r="G2504">
        <v>7</v>
      </c>
      <c r="H2504">
        <v>48</v>
      </c>
      <c r="I2504">
        <v>1</v>
      </c>
      <c r="J2504">
        <v>42.75</v>
      </c>
      <c r="K2504" t="s">
        <v>9</v>
      </c>
      <c r="L2504">
        <v>4628344</v>
      </c>
      <c r="M2504">
        <v>0</v>
      </c>
      <c r="N2504">
        <v>4628344</v>
      </c>
      <c r="O2504">
        <v>108265.35672514619</v>
      </c>
      <c r="P2504">
        <v>0</v>
      </c>
      <c r="Q2504">
        <v>4628344</v>
      </c>
      <c r="R2504">
        <v>108265.35672514619</v>
      </c>
      <c r="S2504" t="s">
        <v>65</v>
      </c>
      <c r="T2504" t="s">
        <v>2664</v>
      </c>
      <c r="U2504">
        <v>94456</v>
      </c>
      <c r="V2504" t="s">
        <v>6312</v>
      </c>
      <c r="W2504">
        <v>45587</v>
      </c>
      <c r="X2504" t="s">
        <v>10685</v>
      </c>
      <c r="Y2504" t="s">
        <v>6</v>
      </c>
      <c r="Z2504" t="s">
        <v>17</v>
      </c>
      <c r="AA2504" t="s">
        <v>6637</v>
      </c>
      <c r="AB2504" t="s">
        <v>2509</v>
      </c>
      <c r="AC2504" t="s">
        <v>2571</v>
      </c>
      <c r="AD2504" t="s">
        <v>717</v>
      </c>
      <c r="AE2504" t="s">
        <v>10686</v>
      </c>
      <c r="AF2504" t="s">
        <v>10687</v>
      </c>
      <c r="AG2504" t="s">
        <v>10688</v>
      </c>
      <c r="AH2504" t="s">
        <v>6100</v>
      </c>
      <c r="AI2504" t="s">
        <v>10467</v>
      </c>
      <c r="AJ2504" t="s">
        <v>42</v>
      </c>
      <c r="AK2504" t="s">
        <v>20</v>
      </c>
      <c r="AL2504" t="s">
        <v>22</v>
      </c>
      <c r="AM2504" t="s">
        <v>5654</v>
      </c>
      <c r="AN2504" t="s">
        <v>717</v>
      </c>
    </row>
    <row r="2505" spans="1:40" hidden="1">
      <c r="A2505">
        <v>2504</v>
      </c>
      <c r="B2505">
        <v>25</v>
      </c>
      <c r="C2505" s="58">
        <v>45593</v>
      </c>
      <c r="D2505" t="s">
        <v>13</v>
      </c>
      <c r="E2505" t="s">
        <v>2581</v>
      </c>
      <c r="F2505">
        <v>4</v>
      </c>
      <c r="G2505">
        <v>12</v>
      </c>
      <c r="H2505">
        <v>302</v>
      </c>
      <c r="I2505">
        <v>2</v>
      </c>
      <c r="J2505">
        <v>60.24</v>
      </c>
      <c r="K2505" t="s">
        <v>25</v>
      </c>
      <c r="L2505">
        <v>7156700</v>
      </c>
      <c r="M2505">
        <v>45000</v>
      </c>
      <c r="N2505">
        <v>7201700</v>
      </c>
      <c r="O2505">
        <v>119550.13280212483</v>
      </c>
      <c r="P2505">
        <v>1204800</v>
      </c>
      <c r="Q2505">
        <v>5996900</v>
      </c>
      <c r="R2505">
        <v>99550.132802124834</v>
      </c>
      <c r="S2505" t="s">
        <v>65</v>
      </c>
      <c r="T2505" t="s">
        <v>717</v>
      </c>
      <c r="U2505" t="s">
        <v>717</v>
      </c>
      <c r="V2505" t="s">
        <v>6312</v>
      </c>
      <c r="W2505">
        <v>45534</v>
      </c>
      <c r="X2505" t="s">
        <v>10689</v>
      </c>
      <c r="Y2505" t="s">
        <v>6</v>
      </c>
      <c r="Z2505" t="s">
        <v>17</v>
      </c>
      <c r="AA2505" t="s">
        <v>6637</v>
      </c>
      <c r="AB2505" t="s">
        <v>2509</v>
      </c>
      <c r="AC2505" t="s">
        <v>2571</v>
      </c>
      <c r="AD2505" t="s">
        <v>717</v>
      </c>
      <c r="AE2505" t="s">
        <v>10690</v>
      </c>
      <c r="AF2505" t="s">
        <v>10691</v>
      </c>
      <c r="AG2505" t="s">
        <v>10692</v>
      </c>
      <c r="AH2505" t="s">
        <v>2552</v>
      </c>
      <c r="AI2505" t="s">
        <v>2847</v>
      </c>
      <c r="AJ2505" t="s">
        <v>2940</v>
      </c>
      <c r="AK2505" t="s">
        <v>8</v>
      </c>
      <c r="AL2505" t="s">
        <v>1892</v>
      </c>
      <c r="AM2505" t="s">
        <v>10</v>
      </c>
      <c r="AN2505" t="s">
        <v>717</v>
      </c>
    </row>
    <row r="2506" spans="1:40" hidden="1">
      <c r="A2506">
        <v>2505</v>
      </c>
      <c r="B2506">
        <v>26</v>
      </c>
      <c r="C2506" s="58">
        <v>45593</v>
      </c>
      <c r="D2506" t="s">
        <v>13</v>
      </c>
      <c r="E2506" t="s">
        <v>2581</v>
      </c>
      <c r="F2506">
        <v>6</v>
      </c>
      <c r="G2506">
        <v>7</v>
      </c>
      <c r="H2506">
        <v>269</v>
      </c>
      <c r="I2506">
        <v>3</v>
      </c>
      <c r="J2506">
        <v>80.97</v>
      </c>
      <c r="K2506" t="s">
        <v>9</v>
      </c>
      <c r="L2506">
        <v>7449900</v>
      </c>
      <c r="M2506">
        <v>15000</v>
      </c>
      <c r="N2506">
        <v>7464900</v>
      </c>
      <c r="O2506">
        <v>92193.404964801783</v>
      </c>
      <c r="P2506">
        <v>0</v>
      </c>
      <c r="Q2506">
        <v>7464900</v>
      </c>
      <c r="R2506">
        <v>92193.404964801783</v>
      </c>
      <c r="S2506" t="s">
        <v>130</v>
      </c>
      <c r="T2506" t="s">
        <v>717</v>
      </c>
      <c r="U2506" t="s">
        <v>717</v>
      </c>
      <c r="V2506" t="s">
        <v>717</v>
      </c>
      <c r="W2506">
        <v>45562</v>
      </c>
      <c r="X2506" t="s">
        <v>10693</v>
      </c>
      <c r="Y2506" t="s">
        <v>6</v>
      </c>
      <c r="Z2506" t="s">
        <v>17</v>
      </c>
      <c r="AA2506" t="s">
        <v>6637</v>
      </c>
      <c r="AB2506" t="s">
        <v>2509</v>
      </c>
      <c r="AC2506" t="s">
        <v>717</v>
      </c>
      <c r="AD2506" t="s">
        <v>717</v>
      </c>
      <c r="AE2506" t="s">
        <v>10694</v>
      </c>
      <c r="AF2506" t="s">
        <v>10695</v>
      </c>
      <c r="AG2506" t="s">
        <v>10696</v>
      </c>
      <c r="AH2506" t="s">
        <v>2615</v>
      </c>
      <c r="AI2506" t="s">
        <v>2538</v>
      </c>
      <c r="AJ2506" t="s">
        <v>2825</v>
      </c>
      <c r="AK2506" t="s">
        <v>8</v>
      </c>
      <c r="AL2506" t="s">
        <v>717</v>
      </c>
      <c r="AM2506" t="s">
        <v>10</v>
      </c>
      <c r="AN2506" t="s">
        <v>717</v>
      </c>
    </row>
    <row r="2507" spans="1:40" hidden="1">
      <c r="A2507">
        <v>2506</v>
      </c>
      <c r="B2507">
        <v>27</v>
      </c>
      <c r="C2507" s="58">
        <v>45594</v>
      </c>
      <c r="D2507" t="s">
        <v>13</v>
      </c>
      <c r="E2507" t="s">
        <v>2581</v>
      </c>
      <c r="F2507">
        <v>4</v>
      </c>
      <c r="G2507">
        <v>16</v>
      </c>
      <c r="H2507">
        <v>330</v>
      </c>
      <c r="I2507">
        <v>2</v>
      </c>
      <c r="J2507">
        <v>60.24</v>
      </c>
      <c r="K2507" t="s">
        <v>25</v>
      </c>
      <c r="L2507">
        <v>7557824</v>
      </c>
      <c r="M2507">
        <v>0</v>
      </c>
      <c r="N2507">
        <v>7557824</v>
      </c>
      <c r="O2507">
        <v>125461.88579017264</v>
      </c>
      <c r="P2507">
        <v>1445760</v>
      </c>
      <c r="Q2507">
        <v>6112064</v>
      </c>
      <c r="R2507">
        <v>101461.88579017264</v>
      </c>
      <c r="S2507" t="s">
        <v>65</v>
      </c>
      <c r="T2507" t="s">
        <v>2664</v>
      </c>
      <c r="U2507">
        <v>124736</v>
      </c>
      <c r="V2507" t="s">
        <v>6312</v>
      </c>
      <c r="W2507">
        <v>45588</v>
      </c>
      <c r="X2507" t="s">
        <v>10697</v>
      </c>
      <c r="Y2507" t="s">
        <v>6</v>
      </c>
      <c r="Z2507" t="s">
        <v>17</v>
      </c>
      <c r="AA2507" t="s">
        <v>6637</v>
      </c>
      <c r="AB2507" t="s">
        <v>2509</v>
      </c>
      <c r="AC2507" t="s">
        <v>2571</v>
      </c>
      <c r="AD2507" t="s">
        <v>717</v>
      </c>
      <c r="AE2507" t="s">
        <v>10698</v>
      </c>
      <c r="AF2507" t="s">
        <v>10699</v>
      </c>
      <c r="AG2507" t="s">
        <v>10700</v>
      </c>
      <c r="AH2507" t="s">
        <v>6100</v>
      </c>
      <c r="AI2507" t="s">
        <v>10676</v>
      </c>
      <c r="AJ2507" t="s">
        <v>45</v>
      </c>
      <c r="AK2507" t="s">
        <v>8</v>
      </c>
      <c r="AL2507" t="s">
        <v>22</v>
      </c>
      <c r="AM2507" t="s">
        <v>5654</v>
      </c>
      <c r="AN2507" t="s">
        <v>717</v>
      </c>
    </row>
    <row r="2508" spans="1:40" hidden="1">
      <c r="A2508">
        <v>2507</v>
      </c>
      <c r="B2508">
        <v>28</v>
      </c>
      <c r="C2508" s="58">
        <v>45594</v>
      </c>
      <c r="D2508" t="s">
        <v>13</v>
      </c>
      <c r="E2508" t="s">
        <v>4409</v>
      </c>
      <c r="F2508">
        <v>6</v>
      </c>
      <c r="G2508">
        <v>2</v>
      </c>
      <c r="H2508">
        <v>402</v>
      </c>
      <c r="I2508">
        <v>1</v>
      </c>
      <c r="J2508">
        <v>38.299999999999997</v>
      </c>
      <c r="K2508" t="s">
        <v>9</v>
      </c>
      <c r="L2508">
        <v>4412058</v>
      </c>
      <c r="M2508">
        <v>0</v>
      </c>
      <c r="N2508">
        <v>4412058</v>
      </c>
      <c r="O2508">
        <v>115197.33681462142</v>
      </c>
      <c r="P2508">
        <v>0</v>
      </c>
      <c r="Q2508">
        <v>4412058</v>
      </c>
      <c r="R2508">
        <v>115197.33681462142</v>
      </c>
      <c r="S2508" t="s">
        <v>65</v>
      </c>
      <c r="T2508" t="s">
        <v>2664</v>
      </c>
      <c r="U2508">
        <v>90042</v>
      </c>
      <c r="V2508" t="s">
        <v>6312</v>
      </c>
      <c r="W2508">
        <v>45589</v>
      </c>
      <c r="X2508" t="s">
        <v>10701</v>
      </c>
      <c r="Y2508" t="s">
        <v>6</v>
      </c>
      <c r="Z2508" t="s">
        <v>17</v>
      </c>
      <c r="AA2508" t="s">
        <v>6637</v>
      </c>
      <c r="AB2508" t="s">
        <v>2509</v>
      </c>
      <c r="AC2508" t="s">
        <v>2571</v>
      </c>
      <c r="AD2508" t="s">
        <v>717</v>
      </c>
      <c r="AE2508" t="s">
        <v>10702</v>
      </c>
      <c r="AF2508" t="s">
        <v>10703</v>
      </c>
      <c r="AG2508" t="s">
        <v>10704</v>
      </c>
      <c r="AH2508" t="s">
        <v>2191</v>
      </c>
      <c r="AI2508" t="s">
        <v>2538</v>
      </c>
      <c r="AJ2508" t="s">
        <v>2514</v>
      </c>
      <c r="AK2508" t="s">
        <v>14</v>
      </c>
      <c r="AL2508" t="s">
        <v>22</v>
      </c>
      <c r="AM2508" t="s">
        <v>10</v>
      </c>
      <c r="AN2508" t="s">
        <v>10476</v>
      </c>
    </row>
    <row r="2509" spans="1:40" hidden="1">
      <c r="A2509">
        <v>2508</v>
      </c>
      <c r="B2509">
        <v>29</v>
      </c>
      <c r="C2509" s="58">
        <v>45594</v>
      </c>
      <c r="D2509" t="s">
        <v>13</v>
      </c>
      <c r="E2509" t="s">
        <v>2581</v>
      </c>
      <c r="F2509">
        <v>2</v>
      </c>
      <c r="G2509">
        <v>22</v>
      </c>
      <c r="H2509">
        <v>370</v>
      </c>
      <c r="I2509">
        <v>0</v>
      </c>
      <c r="J2509">
        <v>24.53</v>
      </c>
      <c r="K2509" t="s">
        <v>21</v>
      </c>
      <c r="L2509">
        <v>3497053</v>
      </c>
      <c r="M2509">
        <v>0</v>
      </c>
      <c r="N2509">
        <v>3497053</v>
      </c>
      <c r="O2509">
        <v>142562.29107215654</v>
      </c>
      <c r="P2509">
        <v>196240</v>
      </c>
      <c r="Q2509">
        <v>3300813</v>
      </c>
      <c r="R2509">
        <v>134562.29107215654</v>
      </c>
      <c r="S2509" t="s">
        <v>65</v>
      </c>
      <c r="T2509" t="s">
        <v>2941</v>
      </c>
      <c r="U2509">
        <v>102087</v>
      </c>
      <c r="V2509" t="s">
        <v>6312</v>
      </c>
      <c r="W2509">
        <v>45593</v>
      </c>
      <c r="X2509" t="s">
        <v>10705</v>
      </c>
      <c r="Y2509" t="s">
        <v>6</v>
      </c>
      <c r="Z2509" t="s">
        <v>17</v>
      </c>
      <c r="AA2509" t="s">
        <v>6637</v>
      </c>
      <c r="AB2509" t="s">
        <v>2509</v>
      </c>
      <c r="AC2509" t="s">
        <v>2571</v>
      </c>
      <c r="AD2509" t="s">
        <v>717</v>
      </c>
      <c r="AE2509" t="s">
        <v>10706</v>
      </c>
      <c r="AF2509" t="s">
        <v>10707</v>
      </c>
      <c r="AG2509" t="s">
        <v>10708</v>
      </c>
      <c r="AH2509" t="s">
        <v>2615</v>
      </c>
      <c r="AI2509" t="s">
        <v>3115</v>
      </c>
      <c r="AJ2509" t="s">
        <v>2825</v>
      </c>
      <c r="AK2509" t="s">
        <v>20</v>
      </c>
      <c r="AL2509" t="s">
        <v>22</v>
      </c>
      <c r="AM2509" t="s">
        <v>10</v>
      </c>
      <c r="AN2509" t="s">
        <v>717</v>
      </c>
    </row>
    <row r="2510" spans="1:40" hidden="1">
      <c r="A2510">
        <v>2509</v>
      </c>
      <c r="B2510">
        <v>30</v>
      </c>
      <c r="C2510" s="58">
        <v>45594</v>
      </c>
      <c r="D2510" t="s">
        <v>13</v>
      </c>
      <c r="E2510" t="s">
        <v>2506</v>
      </c>
      <c r="F2510">
        <v>5</v>
      </c>
      <c r="G2510">
        <v>9</v>
      </c>
      <c r="H2510">
        <v>171</v>
      </c>
      <c r="I2510">
        <v>1</v>
      </c>
      <c r="J2510">
        <v>37.86</v>
      </c>
      <c r="K2510" t="s">
        <v>25</v>
      </c>
      <c r="L2510">
        <v>5247353</v>
      </c>
      <c r="M2510">
        <v>0</v>
      </c>
      <c r="N2510">
        <v>5247353</v>
      </c>
      <c r="O2510">
        <v>138598.86423666138</v>
      </c>
      <c r="P2510">
        <v>908640</v>
      </c>
      <c r="Q2510">
        <v>4338713</v>
      </c>
      <c r="R2510">
        <v>114598.86423666138</v>
      </c>
      <c r="S2510" t="s">
        <v>65</v>
      </c>
      <c r="T2510" t="s">
        <v>5768</v>
      </c>
      <c r="U2510">
        <v>134187</v>
      </c>
      <c r="V2510" t="s">
        <v>6312</v>
      </c>
      <c r="W2510">
        <v>45593</v>
      </c>
      <c r="X2510" t="s">
        <v>10709</v>
      </c>
      <c r="Y2510" t="s">
        <v>6</v>
      </c>
      <c r="Z2510" t="s">
        <v>17</v>
      </c>
      <c r="AA2510" t="s">
        <v>6637</v>
      </c>
      <c r="AB2510" t="s">
        <v>2509</v>
      </c>
      <c r="AC2510" t="s">
        <v>2571</v>
      </c>
      <c r="AD2510" t="s">
        <v>717</v>
      </c>
      <c r="AE2510" t="s">
        <v>10710</v>
      </c>
      <c r="AF2510" t="s">
        <v>10711</v>
      </c>
      <c r="AG2510" t="s">
        <v>10712</v>
      </c>
      <c r="AH2510" t="s">
        <v>6100</v>
      </c>
      <c r="AI2510" t="s">
        <v>10676</v>
      </c>
      <c r="AJ2510" t="s">
        <v>45</v>
      </c>
      <c r="AK2510" t="s">
        <v>8</v>
      </c>
      <c r="AL2510" t="s">
        <v>22</v>
      </c>
      <c r="AM2510" t="s">
        <v>5654</v>
      </c>
      <c r="AN2510" t="s">
        <v>717</v>
      </c>
    </row>
    <row r="2511" spans="1:40" hidden="1">
      <c r="A2511">
        <v>2510</v>
      </c>
      <c r="B2511">
        <v>31</v>
      </c>
      <c r="C2511" s="58">
        <v>45594</v>
      </c>
      <c r="D2511" t="s">
        <v>13</v>
      </c>
      <c r="E2511" t="s">
        <v>2581</v>
      </c>
      <c r="F2511">
        <v>2</v>
      </c>
      <c r="G2511">
        <v>7</v>
      </c>
      <c r="H2511">
        <v>265</v>
      </c>
      <c r="I2511">
        <v>0</v>
      </c>
      <c r="J2511">
        <v>24.53</v>
      </c>
      <c r="K2511" t="s">
        <v>21</v>
      </c>
      <c r="L2511">
        <v>3392540</v>
      </c>
      <c r="M2511">
        <v>0</v>
      </c>
      <c r="N2511">
        <v>3392540</v>
      </c>
      <c r="O2511">
        <v>138301.67142274766</v>
      </c>
      <c r="P2511">
        <v>196240</v>
      </c>
      <c r="Q2511">
        <v>3196300</v>
      </c>
      <c r="R2511">
        <v>130301.67142274763</v>
      </c>
      <c r="S2511" t="s">
        <v>65</v>
      </c>
      <c r="T2511" t="s">
        <v>717</v>
      </c>
      <c r="U2511" t="s">
        <v>717</v>
      </c>
      <c r="V2511" t="s">
        <v>6312</v>
      </c>
      <c r="W2511">
        <v>45593</v>
      </c>
      <c r="X2511" t="s">
        <v>10713</v>
      </c>
      <c r="Y2511" t="s">
        <v>6</v>
      </c>
      <c r="Z2511" t="s">
        <v>17</v>
      </c>
      <c r="AA2511" t="s">
        <v>6637</v>
      </c>
      <c r="AB2511" t="s">
        <v>2509</v>
      </c>
      <c r="AC2511" t="s">
        <v>2571</v>
      </c>
      <c r="AD2511" t="s">
        <v>717</v>
      </c>
      <c r="AE2511" t="s">
        <v>10714</v>
      </c>
      <c r="AF2511" t="s">
        <v>10715</v>
      </c>
      <c r="AG2511" t="s">
        <v>10716</v>
      </c>
      <c r="AH2511" t="s">
        <v>6100</v>
      </c>
      <c r="AI2511" t="s">
        <v>6554</v>
      </c>
      <c r="AJ2511" t="s">
        <v>9351</v>
      </c>
      <c r="AK2511" t="s">
        <v>8</v>
      </c>
      <c r="AL2511" t="s">
        <v>22</v>
      </c>
      <c r="AM2511" t="s">
        <v>5654</v>
      </c>
      <c r="AN2511" t="s">
        <v>717</v>
      </c>
    </row>
    <row r="2512" spans="1:40" hidden="1">
      <c r="A2512">
        <v>2511</v>
      </c>
      <c r="B2512">
        <v>32</v>
      </c>
      <c r="C2512" s="58">
        <v>45594</v>
      </c>
      <c r="D2512" t="s">
        <v>13</v>
      </c>
      <c r="E2512" t="s">
        <v>2506</v>
      </c>
      <c r="F2512">
        <v>4</v>
      </c>
      <c r="G2512">
        <v>5</v>
      </c>
      <c r="H2512">
        <v>142</v>
      </c>
      <c r="I2512">
        <v>2</v>
      </c>
      <c r="J2512">
        <v>58.31</v>
      </c>
      <c r="K2512" t="s">
        <v>9</v>
      </c>
      <c r="L2512">
        <v>6017600</v>
      </c>
      <c r="M2512">
        <v>0</v>
      </c>
      <c r="N2512">
        <v>6017600</v>
      </c>
      <c r="O2512">
        <v>103200.13719773624</v>
      </c>
      <c r="P2512">
        <v>0</v>
      </c>
      <c r="Q2512">
        <v>6017600</v>
      </c>
      <c r="R2512">
        <v>103200.13719773624</v>
      </c>
      <c r="S2512" t="s">
        <v>65</v>
      </c>
      <c r="T2512" t="s">
        <v>717</v>
      </c>
      <c r="U2512" t="s">
        <v>717</v>
      </c>
      <c r="V2512" t="s">
        <v>6312</v>
      </c>
      <c r="W2512">
        <v>45593</v>
      </c>
      <c r="X2512" t="s">
        <v>10717</v>
      </c>
      <c r="Y2512" t="s">
        <v>6</v>
      </c>
      <c r="Z2512" t="s">
        <v>17</v>
      </c>
      <c r="AA2512" t="s">
        <v>6637</v>
      </c>
      <c r="AB2512" t="s">
        <v>2509</v>
      </c>
      <c r="AC2512" t="s">
        <v>2571</v>
      </c>
      <c r="AD2512" t="s">
        <v>717</v>
      </c>
      <c r="AE2512" t="s">
        <v>10718</v>
      </c>
      <c r="AF2512" t="s">
        <v>10719</v>
      </c>
      <c r="AG2512" t="s">
        <v>10720</v>
      </c>
      <c r="AH2512" t="s">
        <v>6100</v>
      </c>
      <c r="AI2512" t="s">
        <v>9548</v>
      </c>
      <c r="AJ2512" t="s">
        <v>34</v>
      </c>
      <c r="AK2512" t="s">
        <v>8</v>
      </c>
      <c r="AL2512" t="s">
        <v>22</v>
      </c>
      <c r="AM2512" t="s">
        <v>5654</v>
      </c>
      <c r="AN2512" t="s">
        <v>717</v>
      </c>
    </row>
    <row r="2513" spans="1:40" hidden="1">
      <c r="A2513">
        <v>2512</v>
      </c>
      <c r="B2513">
        <v>33</v>
      </c>
      <c r="C2513" s="58">
        <v>45595</v>
      </c>
      <c r="D2513" t="s">
        <v>13</v>
      </c>
      <c r="E2513" t="s">
        <v>4409</v>
      </c>
      <c r="F2513">
        <v>1</v>
      </c>
      <c r="G2513">
        <v>8</v>
      </c>
      <c r="H2513">
        <v>445</v>
      </c>
      <c r="I2513">
        <v>0</v>
      </c>
      <c r="J2513">
        <v>29.4</v>
      </c>
      <c r="K2513" t="s">
        <v>21</v>
      </c>
      <c r="L2513">
        <v>3703000</v>
      </c>
      <c r="M2513">
        <v>0</v>
      </c>
      <c r="N2513">
        <v>3703000</v>
      </c>
      <c r="O2513">
        <v>125952.38095238096</v>
      </c>
      <c r="P2513">
        <v>235200</v>
      </c>
      <c r="Q2513">
        <v>3467800</v>
      </c>
      <c r="R2513">
        <v>117952.38095238096</v>
      </c>
      <c r="S2513" t="s">
        <v>65</v>
      </c>
      <c r="T2513" t="s">
        <v>717</v>
      </c>
      <c r="U2513" t="s">
        <v>717</v>
      </c>
      <c r="V2513" t="s">
        <v>6312</v>
      </c>
      <c r="W2513">
        <v>45592</v>
      </c>
      <c r="X2513" t="s">
        <v>10721</v>
      </c>
      <c r="Y2513" t="s">
        <v>6</v>
      </c>
      <c r="Z2513" t="s">
        <v>17</v>
      </c>
      <c r="AA2513" t="s">
        <v>6637</v>
      </c>
      <c r="AB2513" t="s">
        <v>2509</v>
      </c>
      <c r="AC2513" t="s">
        <v>2571</v>
      </c>
      <c r="AD2513" t="s">
        <v>717</v>
      </c>
      <c r="AE2513" t="s">
        <v>10722</v>
      </c>
      <c r="AF2513" t="s">
        <v>10723</v>
      </c>
      <c r="AG2513" t="s">
        <v>10724</v>
      </c>
      <c r="AH2513" t="s">
        <v>2615</v>
      </c>
      <c r="AI2513" t="s">
        <v>2552</v>
      </c>
      <c r="AJ2513" t="s">
        <v>2662</v>
      </c>
      <c r="AK2513" t="s">
        <v>8</v>
      </c>
      <c r="AL2513" t="s">
        <v>22</v>
      </c>
      <c r="AM2513" t="s">
        <v>10</v>
      </c>
      <c r="AN2513" t="s">
        <v>717</v>
      </c>
    </row>
    <row r="2514" spans="1:40" hidden="1">
      <c r="A2514">
        <v>2513</v>
      </c>
      <c r="B2514">
        <v>34</v>
      </c>
      <c r="C2514" s="58">
        <v>45595</v>
      </c>
      <c r="D2514" t="s">
        <v>13</v>
      </c>
      <c r="E2514" t="s">
        <v>4409</v>
      </c>
      <c r="F2514">
        <v>8</v>
      </c>
      <c r="G2514">
        <v>14</v>
      </c>
      <c r="H2514">
        <v>500</v>
      </c>
      <c r="I2514">
        <v>1</v>
      </c>
      <c r="J2514">
        <v>39.69</v>
      </c>
      <c r="K2514" t="s">
        <v>9</v>
      </c>
      <c r="L2514">
        <v>4555900</v>
      </c>
      <c r="M2514">
        <v>0</v>
      </c>
      <c r="N2514">
        <v>4555900</v>
      </c>
      <c r="O2514">
        <v>114787.10002519526</v>
      </c>
      <c r="P2514">
        <v>0</v>
      </c>
      <c r="Q2514">
        <v>4555900</v>
      </c>
      <c r="R2514">
        <v>114787.10002519526</v>
      </c>
      <c r="S2514" t="s">
        <v>65</v>
      </c>
      <c r="T2514" t="s">
        <v>717</v>
      </c>
      <c r="U2514" t="s">
        <v>717</v>
      </c>
      <c r="V2514" t="s">
        <v>6312</v>
      </c>
      <c r="W2514">
        <v>45592</v>
      </c>
      <c r="X2514" t="s">
        <v>10725</v>
      </c>
      <c r="Y2514" t="s">
        <v>6</v>
      </c>
      <c r="Z2514" t="s">
        <v>17</v>
      </c>
      <c r="AA2514" t="s">
        <v>6637</v>
      </c>
      <c r="AB2514" t="s">
        <v>2509</v>
      </c>
      <c r="AC2514" t="s">
        <v>2571</v>
      </c>
      <c r="AD2514" t="s">
        <v>717</v>
      </c>
      <c r="AE2514" t="s">
        <v>10726</v>
      </c>
      <c r="AF2514" t="s">
        <v>10727</v>
      </c>
      <c r="AG2514" t="s">
        <v>10728</v>
      </c>
      <c r="AH2514" t="s">
        <v>2615</v>
      </c>
      <c r="AI2514" t="s">
        <v>2552</v>
      </c>
      <c r="AJ2514" t="s">
        <v>3202</v>
      </c>
      <c r="AK2514" t="s">
        <v>14</v>
      </c>
      <c r="AL2514" t="s">
        <v>22</v>
      </c>
      <c r="AM2514" t="s">
        <v>10</v>
      </c>
      <c r="AN2514" t="s">
        <v>717</v>
      </c>
    </row>
    <row r="2515" spans="1:40" hidden="1">
      <c r="A2515">
        <v>2514</v>
      </c>
      <c r="B2515">
        <v>35</v>
      </c>
      <c r="C2515" s="58">
        <v>45595</v>
      </c>
      <c r="D2515" t="s">
        <v>13</v>
      </c>
      <c r="E2515" t="s">
        <v>2581</v>
      </c>
      <c r="F2515">
        <v>6</v>
      </c>
      <c r="G2515">
        <v>9</v>
      </c>
      <c r="H2515">
        <v>283</v>
      </c>
      <c r="I2515">
        <v>3</v>
      </c>
      <c r="J2515">
        <v>80.97</v>
      </c>
      <c r="K2515" t="s">
        <v>9</v>
      </c>
      <c r="L2515">
        <v>7608230</v>
      </c>
      <c r="M2515">
        <v>0</v>
      </c>
      <c r="N2515">
        <v>7608230</v>
      </c>
      <c r="O2515">
        <v>93963.566753118444</v>
      </c>
      <c r="P2515">
        <v>0</v>
      </c>
      <c r="Q2515">
        <v>7608230</v>
      </c>
      <c r="R2515">
        <v>93963.566753118444</v>
      </c>
      <c r="S2515" t="s">
        <v>65</v>
      </c>
      <c r="T2515" t="s">
        <v>2664</v>
      </c>
      <c r="U2515">
        <v>155270.00000000093</v>
      </c>
      <c r="V2515" t="s">
        <v>6312</v>
      </c>
      <c r="W2515">
        <v>45594</v>
      </c>
      <c r="X2515" t="s">
        <v>10729</v>
      </c>
      <c r="Y2515" t="s">
        <v>6</v>
      </c>
      <c r="Z2515" t="s">
        <v>17</v>
      </c>
      <c r="AA2515" t="s">
        <v>6637</v>
      </c>
      <c r="AB2515" t="s">
        <v>2509</v>
      </c>
      <c r="AC2515" t="s">
        <v>2571</v>
      </c>
      <c r="AD2515" t="s">
        <v>717</v>
      </c>
      <c r="AE2515" t="s">
        <v>10730</v>
      </c>
      <c r="AF2515" t="s">
        <v>10731</v>
      </c>
      <c r="AG2515" t="s">
        <v>10732</v>
      </c>
      <c r="AH2515" t="s">
        <v>2191</v>
      </c>
      <c r="AI2515" t="s">
        <v>2538</v>
      </c>
      <c r="AJ2515" t="s">
        <v>2514</v>
      </c>
      <c r="AK2515" t="s">
        <v>14</v>
      </c>
      <c r="AL2515" t="s">
        <v>22</v>
      </c>
      <c r="AM2515" t="s">
        <v>10</v>
      </c>
      <c r="AN2515" t="s">
        <v>717</v>
      </c>
    </row>
    <row r="2516" spans="1:40" hidden="1">
      <c r="A2516">
        <v>2515</v>
      </c>
      <c r="B2516">
        <v>36</v>
      </c>
      <c r="C2516" s="58">
        <v>45595</v>
      </c>
      <c r="D2516" t="s">
        <v>13</v>
      </c>
      <c r="E2516" t="s">
        <v>2581</v>
      </c>
      <c r="F2516">
        <v>1</v>
      </c>
      <c r="G2516">
        <v>23</v>
      </c>
      <c r="H2516">
        <v>376</v>
      </c>
      <c r="I2516">
        <v>2</v>
      </c>
      <c r="J2516">
        <v>73.7</v>
      </c>
      <c r="K2516" t="s">
        <v>9</v>
      </c>
      <c r="L2516">
        <v>7282178</v>
      </c>
      <c r="M2516">
        <v>0</v>
      </c>
      <c r="N2516">
        <v>7282178</v>
      </c>
      <c r="O2516">
        <v>98808.385345997289</v>
      </c>
      <c r="P2516">
        <v>0</v>
      </c>
      <c r="Q2516">
        <v>7282178</v>
      </c>
      <c r="R2516">
        <v>98808.385345997289</v>
      </c>
      <c r="S2516" t="s">
        <v>65</v>
      </c>
      <c r="T2516" t="s">
        <v>4059</v>
      </c>
      <c r="U2516">
        <v>225222</v>
      </c>
      <c r="V2516" t="s">
        <v>6312</v>
      </c>
      <c r="W2516">
        <v>45594</v>
      </c>
      <c r="X2516" t="s">
        <v>10733</v>
      </c>
      <c r="Y2516" t="s">
        <v>6</v>
      </c>
      <c r="Z2516" t="s">
        <v>17</v>
      </c>
      <c r="AA2516" t="s">
        <v>6637</v>
      </c>
      <c r="AB2516" t="s">
        <v>2509</v>
      </c>
      <c r="AC2516" t="s">
        <v>2571</v>
      </c>
      <c r="AD2516" t="s">
        <v>717</v>
      </c>
      <c r="AE2516" t="s">
        <v>2246</v>
      </c>
      <c r="AF2516" t="s">
        <v>10734</v>
      </c>
      <c r="AG2516" t="s">
        <v>10735</v>
      </c>
      <c r="AH2516" t="s">
        <v>6100</v>
      </c>
      <c r="AI2516" t="s">
        <v>10676</v>
      </c>
      <c r="AJ2516" t="s">
        <v>45</v>
      </c>
      <c r="AK2516" t="s">
        <v>8</v>
      </c>
      <c r="AL2516" t="s">
        <v>22</v>
      </c>
      <c r="AM2516" t="s">
        <v>5654</v>
      </c>
      <c r="AN2516" t="s">
        <v>717</v>
      </c>
    </row>
    <row r="2517" spans="1:40" hidden="1">
      <c r="A2517">
        <v>2516</v>
      </c>
      <c r="B2517">
        <v>37</v>
      </c>
      <c r="C2517" s="58">
        <v>45596</v>
      </c>
      <c r="D2517" t="s">
        <v>13</v>
      </c>
      <c r="E2517" t="s">
        <v>4409</v>
      </c>
      <c r="F2517">
        <v>1</v>
      </c>
      <c r="G2517">
        <v>15</v>
      </c>
      <c r="H2517">
        <v>501</v>
      </c>
      <c r="I2517">
        <v>0</v>
      </c>
      <c r="J2517">
        <v>29.4</v>
      </c>
      <c r="K2517" t="s">
        <v>25</v>
      </c>
      <c r="L2517">
        <v>4123400.0000000009</v>
      </c>
      <c r="M2517">
        <v>0</v>
      </c>
      <c r="N2517">
        <v>4123400.0000000009</v>
      </c>
      <c r="O2517">
        <v>140251.70068027213</v>
      </c>
      <c r="P2517">
        <v>705600</v>
      </c>
      <c r="Q2517">
        <v>3417800.0000000005</v>
      </c>
      <c r="R2517">
        <v>116251.70068027212</v>
      </c>
      <c r="S2517" t="s">
        <v>130</v>
      </c>
      <c r="T2517" t="s">
        <v>2941</v>
      </c>
      <c r="U2517">
        <v>50000</v>
      </c>
      <c r="V2517" t="s">
        <v>717</v>
      </c>
      <c r="W2517">
        <v>45586</v>
      </c>
      <c r="X2517" t="s">
        <v>10736</v>
      </c>
      <c r="Y2517" t="s">
        <v>6</v>
      </c>
      <c r="Z2517" t="s">
        <v>17</v>
      </c>
      <c r="AA2517" t="s">
        <v>5617</v>
      </c>
      <c r="AB2517" t="s">
        <v>2509</v>
      </c>
      <c r="AC2517" t="s">
        <v>118</v>
      </c>
      <c r="AD2517" t="s">
        <v>717</v>
      </c>
      <c r="AE2517" t="s">
        <v>10737</v>
      </c>
      <c r="AF2517" t="s">
        <v>10738</v>
      </c>
      <c r="AG2517" t="s">
        <v>10739</v>
      </c>
      <c r="AH2517" t="s">
        <v>2616</v>
      </c>
      <c r="AI2517" t="s">
        <v>10475</v>
      </c>
      <c r="AJ2517" t="s">
        <v>2662</v>
      </c>
      <c r="AK2517" t="s">
        <v>14</v>
      </c>
      <c r="AL2517" t="s">
        <v>717</v>
      </c>
      <c r="AM2517" t="s">
        <v>10</v>
      </c>
      <c r="AN2517" t="s">
        <v>717</v>
      </c>
    </row>
    <row r="2518" spans="1:40" hidden="1">
      <c r="A2518">
        <v>2517</v>
      </c>
      <c r="B2518">
        <v>38</v>
      </c>
      <c r="C2518" s="58">
        <v>45596</v>
      </c>
      <c r="D2518" t="s">
        <v>13</v>
      </c>
      <c r="E2518" t="s">
        <v>4409</v>
      </c>
      <c r="F2518">
        <v>7</v>
      </c>
      <c r="G2518">
        <v>23</v>
      </c>
      <c r="H2518">
        <v>571</v>
      </c>
      <c r="I2518">
        <v>3</v>
      </c>
      <c r="J2518">
        <v>79.44</v>
      </c>
      <c r="K2518" t="s">
        <v>9</v>
      </c>
      <c r="L2518">
        <v>8602057</v>
      </c>
      <c r="M2518">
        <v>0</v>
      </c>
      <c r="N2518">
        <v>8602057</v>
      </c>
      <c r="O2518">
        <v>108283.69838872104</v>
      </c>
      <c r="P2518">
        <v>0</v>
      </c>
      <c r="Q2518">
        <v>8602057</v>
      </c>
      <c r="R2518">
        <v>108283.69838872104</v>
      </c>
      <c r="S2518" t="s">
        <v>65</v>
      </c>
      <c r="T2518" t="s">
        <v>4059</v>
      </c>
      <c r="U2518">
        <v>266043</v>
      </c>
      <c r="V2518" t="s">
        <v>6312</v>
      </c>
      <c r="W2518">
        <v>45594</v>
      </c>
      <c r="X2518" t="s">
        <v>10740</v>
      </c>
      <c r="Y2518" t="s">
        <v>6</v>
      </c>
      <c r="Z2518" t="s">
        <v>17</v>
      </c>
      <c r="AA2518" t="s">
        <v>6637</v>
      </c>
      <c r="AB2518" t="s">
        <v>2509</v>
      </c>
      <c r="AC2518" t="s">
        <v>2571</v>
      </c>
      <c r="AD2518" t="s">
        <v>717</v>
      </c>
      <c r="AE2518" t="s">
        <v>10741</v>
      </c>
      <c r="AF2518" t="s">
        <v>10742</v>
      </c>
      <c r="AG2518" t="s">
        <v>10743</v>
      </c>
      <c r="AH2518" t="s">
        <v>6100</v>
      </c>
      <c r="AI2518" t="s">
        <v>10676</v>
      </c>
      <c r="AJ2518" t="s">
        <v>45</v>
      </c>
      <c r="AK2518" t="s">
        <v>8</v>
      </c>
      <c r="AL2518" t="s">
        <v>22</v>
      </c>
      <c r="AM2518" t="s">
        <v>5654</v>
      </c>
      <c r="AN2518" t="s">
        <v>717</v>
      </c>
    </row>
    <row r="2519" spans="1:40" hidden="1">
      <c r="A2519">
        <v>2518</v>
      </c>
      <c r="B2519">
        <v>1</v>
      </c>
      <c r="C2519" s="58">
        <v>45597</v>
      </c>
      <c r="D2519" t="s">
        <v>13</v>
      </c>
      <c r="E2519" t="s">
        <v>2581</v>
      </c>
      <c r="F2519">
        <v>1</v>
      </c>
      <c r="G2519">
        <v>20</v>
      </c>
      <c r="H2519">
        <v>355</v>
      </c>
      <c r="I2519">
        <v>2</v>
      </c>
      <c r="J2519">
        <v>73.7</v>
      </c>
      <c r="K2519" t="s">
        <v>25</v>
      </c>
      <c r="L2519">
        <v>9259822</v>
      </c>
      <c r="M2519">
        <v>0</v>
      </c>
      <c r="N2519">
        <v>9259822</v>
      </c>
      <c r="O2519">
        <v>125642.0895522388</v>
      </c>
      <c r="P2519">
        <v>1768800</v>
      </c>
      <c r="Q2519">
        <v>7491022</v>
      </c>
      <c r="R2519">
        <v>101642.0895522388</v>
      </c>
      <c r="S2519" t="s">
        <v>130</v>
      </c>
      <c r="T2519" t="s">
        <v>2664</v>
      </c>
      <c r="U2519">
        <v>152878</v>
      </c>
      <c r="V2519" t="s">
        <v>717</v>
      </c>
      <c r="W2519">
        <v>45595</v>
      </c>
      <c r="X2519" t="s">
        <v>10744</v>
      </c>
      <c r="Y2519" t="s">
        <v>6</v>
      </c>
      <c r="Z2519" t="s">
        <v>17</v>
      </c>
      <c r="AA2519" t="s">
        <v>5617</v>
      </c>
      <c r="AB2519" t="s">
        <v>2509</v>
      </c>
      <c r="AC2519" t="s">
        <v>118</v>
      </c>
      <c r="AD2519" t="s">
        <v>717</v>
      </c>
      <c r="AE2519" t="s">
        <v>10745</v>
      </c>
      <c r="AF2519" t="s">
        <v>10371</v>
      </c>
      <c r="AG2519" t="s">
        <v>10746</v>
      </c>
      <c r="AH2519" t="s">
        <v>2580</v>
      </c>
      <c r="AI2519" t="s">
        <v>2621</v>
      </c>
      <c r="AJ2519" t="s">
        <v>3921</v>
      </c>
      <c r="AK2519" t="s">
        <v>8</v>
      </c>
      <c r="AL2519" t="s">
        <v>717</v>
      </c>
      <c r="AM2519" t="s">
        <v>10</v>
      </c>
      <c r="AN2519" t="s">
        <v>717</v>
      </c>
    </row>
    <row r="2520" spans="1:40" hidden="1">
      <c r="A2520">
        <v>2519</v>
      </c>
      <c r="B2520">
        <v>2</v>
      </c>
      <c r="C2520" s="58">
        <v>45597</v>
      </c>
      <c r="D2520" t="s">
        <v>13</v>
      </c>
      <c r="E2520" t="s">
        <v>2581</v>
      </c>
      <c r="F2520">
        <v>1</v>
      </c>
      <c r="G2520">
        <v>18</v>
      </c>
      <c r="H2520">
        <v>341</v>
      </c>
      <c r="I2520">
        <v>2</v>
      </c>
      <c r="J2520">
        <v>73.7</v>
      </c>
      <c r="K2520" t="s">
        <v>9</v>
      </c>
      <c r="L2520">
        <v>6884963</v>
      </c>
      <c r="M2520">
        <v>0</v>
      </c>
      <c r="N2520">
        <v>6884963</v>
      </c>
      <c r="O2520">
        <v>93418.765264586167</v>
      </c>
      <c r="P2520">
        <v>0</v>
      </c>
      <c r="Q2520">
        <v>6884963</v>
      </c>
      <c r="R2520">
        <v>93418.765264586167</v>
      </c>
      <c r="S2520" t="s">
        <v>130</v>
      </c>
      <c r="T2520" t="s">
        <v>4059</v>
      </c>
      <c r="U2520">
        <v>212937</v>
      </c>
      <c r="V2520" t="s">
        <v>717</v>
      </c>
      <c r="W2520">
        <v>45596</v>
      </c>
      <c r="X2520" t="s">
        <v>10747</v>
      </c>
      <c r="Y2520" t="s">
        <v>6</v>
      </c>
      <c r="Z2520" t="s">
        <v>17</v>
      </c>
      <c r="AA2520" t="s">
        <v>5617</v>
      </c>
      <c r="AB2520" t="s">
        <v>2509</v>
      </c>
      <c r="AC2520" t="s">
        <v>118</v>
      </c>
      <c r="AD2520" t="s">
        <v>717</v>
      </c>
      <c r="AE2520" t="s">
        <v>10748</v>
      </c>
      <c r="AF2520" t="s">
        <v>10749</v>
      </c>
      <c r="AG2520" t="s">
        <v>10750</v>
      </c>
      <c r="AH2520" t="s">
        <v>2615</v>
      </c>
      <c r="AI2520" t="s">
        <v>2552</v>
      </c>
      <c r="AJ2520" t="s">
        <v>2940</v>
      </c>
      <c r="AK2520" t="s">
        <v>8</v>
      </c>
      <c r="AL2520" t="s">
        <v>717</v>
      </c>
      <c r="AM2520" t="s">
        <v>10</v>
      </c>
      <c r="AN2520" t="s">
        <v>717</v>
      </c>
    </row>
    <row r="2521" spans="1:40" hidden="1">
      <c r="A2521">
        <v>2520</v>
      </c>
      <c r="B2521">
        <v>3</v>
      </c>
      <c r="C2521" s="58">
        <v>45601</v>
      </c>
      <c r="D2521" t="s">
        <v>13</v>
      </c>
      <c r="E2521" t="s">
        <v>4409</v>
      </c>
      <c r="F2521">
        <v>8</v>
      </c>
      <c r="G2521">
        <v>4</v>
      </c>
      <c r="H2521">
        <v>420</v>
      </c>
      <c r="I2521">
        <v>1</v>
      </c>
      <c r="J2521">
        <v>39.69</v>
      </c>
      <c r="K2521" t="s">
        <v>25</v>
      </c>
      <c r="L2521">
        <v>5375398</v>
      </c>
      <c r="M2521">
        <v>0</v>
      </c>
      <c r="N2521">
        <v>5375398</v>
      </c>
      <c r="O2521">
        <v>135434.56790123458</v>
      </c>
      <c r="P2521">
        <v>952560</v>
      </c>
      <c r="Q2521">
        <v>4422838</v>
      </c>
      <c r="R2521">
        <v>111434.56790123458</v>
      </c>
      <c r="S2521" t="s">
        <v>130</v>
      </c>
      <c r="T2521" t="s">
        <v>2664</v>
      </c>
      <c r="U2521">
        <v>90262</v>
      </c>
      <c r="V2521" t="s">
        <v>717</v>
      </c>
      <c r="W2521">
        <v>45601</v>
      </c>
      <c r="X2521" t="s">
        <v>10751</v>
      </c>
      <c r="Y2521" t="s">
        <v>6</v>
      </c>
      <c r="Z2521" t="s">
        <v>17</v>
      </c>
      <c r="AA2521" t="s">
        <v>6637</v>
      </c>
      <c r="AB2521" t="s">
        <v>2509</v>
      </c>
      <c r="AC2521" t="s">
        <v>717</v>
      </c>
      <c r="AD2521" t="s">
        <v>717</v>
      </c>
      <c r="AE2521" t="s">
        <v>10752</v>
      </c>
      <c r="AF2521" t="s">
        <v>10753</v>
      </c>
      <c r="AG2521" t="s">
        <v>10754</v>
      </c>
      <c r="AH2521" t="s">
        <v>2191</v>
      </c>
      <c r="AI2521" t="s">
        <v>2656</v>
      </c>
      <c r="AJ2521" t="s">
        <v>2514</v>
      </c>
      <c r="AK2521" t="s">
        <v>8</v>
      </c>
      <c r="AL2521" t="s">
        <v>717</v>
      </c>
      <c r="AM2521" t="s">
        <v>10</v>
      </c>
      <c r="AN2521" t="s">
        <v>717</v>
      </c>
    </row>
    <row r="2522" spans="1:40" hidden="1">
      <c r="A2522">
        <v>2521</v>
      </c>
      <c r="B2522">
        <v>4</v>
      </c>
      <c r="C2522" s="58">
        <v>45604</v>
      </c>
      <c r="D2522" t="s">
        <v>13</v>
      </c>
      <c r="E2522" t="s">
        <v>2581</v>
      </c>
      <c r="F2522">
        <v>4</v>
      </c>
      <c r="G2522">
        <v>9</v>
      </c>
      <c r="H2522">
        <v>281</v>
      </c>
      <c r="I2522">
        <v>2</v>
      </c>
      <c r="J2522">
        <v>60.24</v>
      </c>
      <c r="K2522" t="s">
        <v>21</v>
      </c>
      <c r="L2522">
        <v>6537046</v>
      </c>
      <c r="M2522">
        <v>0</v>
      </c>
      <c r="N2522">
        <v>6537046</v>
      </c>
      <c r="O2522">
        <v>108516.69986719788</v>
      </c>
      <c r="P2522">
        <v>481920</v>
      </c>
      <c r="Q2522">
        <v>6055126</v>
      </c>
      <c r="R2522">
        <v>100516.69986719788</v>
      </c>
      <c r="S2522" t="s">
        <v>130</v>
      </c>
      <c r="T2522" t="s">
        <v>2664</v>
      </c>
      <c r="U2522">
        <v>123573.99999999908</v>
      </c>
      <c r="V2522" t="s">
        <v>717</v>
      </c>
      <c r="W2522">
        <v>45603</v>
      </c>
      <c r="X2522" t="s">
        <v>10755</v>
      </c>
      <c r="Y2522" t="s">
        <v>6</v>
      </c>
      <c r="Z2522" t="s">
        <v>17</v>
      </c>
      <c r="AA2522" t="s">
        <v>6637</v>
      </c>
      <c r="AB2522" t="s">
        <v>2509</v>
      </c>
      <c r="AC2522" t="s">
        <v>717</v>
      </c>
      <c r="AD2522" t="s">
        <v>717</v>
      </c>
      <c r="AE2522" t="s">
        <v>10756</v>
      </c>
      <c r="AF2522" t="s">
        <v>10757</v>
      </c>
      <c r="AG2522" t="s">
        <v>10758</v>
      </c>
      <c r="AH2522" t="s">
        <v>2191</v>
      </c>
      <c r="AI2522" t="s">
        <v>2538</v>
      </c>
      <c r="AJ2522" t="s">
        <v>2514</v>
      </c>
      <c r="AK2522" t="s">
        <v>14</v>
      </c>
      <c r="AL2522" t="s">
        <v>717</v>
      </c>
      <c r="AM2522" t="s">
        <v>10</v>
      </c>
      <c r="AN2522" t="s">
        <v>717</v>
      </c>
    </row>
    <row r="2523" spans="1:40" hidden="1">
      <c r="A2523">
        <v>2522</v>
      </c>
      <c r="B2523">
        <v>5</v>
      </c>
      <c r="C2523" s="58">
        <v>45609</v>
      </c>
      <c r="D2523" t="s">
        <v>1875</v>
      </c>
      <c r="E2523" t="s">
        <v>10458</v>
      </c>
      <c r="F2523">
        <v>2</v>
      </c>
      <c r="G2523">
        <v>7</v>
      </c>
      <c r="H2523">
        <v>83</v>
      </c>
      <c r="I2523">
        <v>2</v>
      </c>
      <c r="J2523">
        <v>54.07</v>
      </c>
      <c r="K2523" t="s">
        <v>9</v>
      </c>
      <c r="L2523">
        <v>6237896</v>
      </c>
      <c r="M2523">
        <v>0</v>
      </c>
      <c r="N2523">
        <v>6237896</v>
      </c>
      <c r="O2523">
        <v>115367.04272239689</v>
      </c>
      <c r="P2523">
        <v>0</v>
      </c>
      <c r="Q2523">
        <v>6237896</v>
      </c>
      <c r="R2523">
        <v>115367.04272239689</v>
      </c>
      <c r="S2523" t="s">
        <v>130</v>
      </c>
      <c r="T2523" t="s">
        <v>10150</v>
      </c>
      <c r="U2523">
        <v>127304</v>
      </c>
      <c r="V2523" t="s">
        <v>717</v>
      </c>
      <c r="W2523">
        <v>45603</v>
      </c>
      <c r="X2523" t="s">
        <v>10759</v>
      </c>
      <c r="Y2523" t="s">
        <v>6</v>
      </c>
      <c r="Z2523" t="s">
        <v>17</v>
      </c>
      <c r="AA2523" t="s">
        <v>6637</v>
      </c>
      <c r="AB2523" t="s">
        <v>2509</v>
      </c>
      <c r="AC2523" t="s">
        <v>717</v>
      </c>
      <c r="AD2523" t="s">
        <v>717</v>
      </c>
      <c r="AE2523" t="s">
        <v>10760</v>
      </c>
      <c r="AF2523" t="s">
        <v>10761</v>
      </c>
      <c r="AG2523" t="s">
        <v>10762</v>
      </c>
      <c r="AH2523" t="s">
        <v>2615</v>
      </c>
      <c r="AI2523" t="s">
        <v>2847</v>
      </c>
      <c r="AJ2523" t="s">
        <v>2940</v>
      </c>
      <c r="AK2523" t="s">
        <v>20</v>
      </c>
      <c r="AL2523" t="s">
        <v>717</v>
      </c>
      <c r="AM2523" t="s">
        <v>10</v>
      </c>
      <c r="AN2523" t="s">
        <v>717</v>
      </c>
    </row>
    <row r="2524" spans="1:40" hidden="1">
      <c r="A2524">
        <v>2523</v>
      </c>
      <c r="B2524">
        <v>6</v>
      </c>
      <c r="C2524" s="58">
        <v>45610</v>
      </c>
      <c r="D2524" t="s">
        <v>13</v>
      </c>
      <c r="E2524" t="s">
        <v>2581</v>
      </c>
      <c r="F2524">
        <v>1</v>
      </c>
      <c r="G2524">
        <v>13</v>
      </c>
      <c r="H2524">
        <v>306</v>
      </c>
      <c r="I2524">
        <v>2</v>
      </c>
      <c r="J2524">
        <v>73.7</v>
      </c>
      <c r="K2524" t="s">
        <v>25</v>
      </c>
      <c r="L2524">
        <v>9136832</v>
      </c>
      <c r="M2524">
        <v>0</v>
      </c>
      <c r="N2524">
        <v>9136832</v>
      </c>
      <c r="O2524">
        <v>123973.29715061058</v>
      </c>
      <c r="P2524">
        <v>1768800</v>
      </c>
      <c r="Q2524">
        <v>7368032</v>
      </c>
      <c r="R2524">
        <v>99973.297150610582</v>
      </c>
      <c r="S2524" t="s">
        <v>130</v>
      </c>
      <c r="T2524" t="s">
        <v>2664</v>
      </c>
      <c r="U2524">
        <v>150368</v>
      </c>
      <c r="V2524" t="s">
        <v>717</v>
      </c>
      <c r="W2524">
        <v>45607</v>
      </c>
      <c r="X2524" t="s">
        <v>10763</v>
      </c>
      <c r="Y2524" t="s">
        <v>6</v>
      </c>
      <c r="Z2524" t="s">
        <v>17</v>
      </c>
      <c r="AA2524" t="s">
        <v>5617</v>
      </c>
      <c r="AB2524" t="s">
        <v>2509</v>
      </c>
      <c r="AC2524" t="s">
        <v>118</v>
      </c>
      <c r="AD2524" t="s">
        <v>717</v>
      </c>
      <c r="AE2524" t="s">
        <v>10764</v>
      </c>
      <c r="AF2524" t="s">
        <v>10765</v>
      </c>
      <c r="AG2524" t="s">
        <v>10766</v>
      </c>
      <c r="AH2524" t="s">
        <v>6100</v>
      </c>
      <c r="AI2524" t="s">
        <v>5653</v>
      </c>
      <c r="AJ2524" t="s">
        <v>31</v>
      </c>
      <c r="AK2524" t="s">
        <v>8</v>
      </c>
      <c r="AL2524" t="s">
        <v>717</v>
      </c>
      <c r="AM2524" t="s">
        <v>5654</v>
      </c>
      <c r="AN2524" t="s">
        <v>717</v>
      </c>
    </row>
    <row r="2525" spans="1:40" hidden="1">
      <c r="A2525">
        <v>2524</v>
      </c>
      <c r="B2525">
        <v>7</v>
      </c>
      <c r="C2525" s="58">
        <v>45614</v>
      </c>
      <c r="D2525" t="s">
        <v>13</v>
      </c>
      <c r="E2525" t="s">
        <v>4409</v>
      </c>
      <c r="F2525">
        <v>4</v>
      </c>
      <c r="G2525">
        <v>12</v>
      </c>
      <c r="H2525">
        <v>480</v>
      </c>
      <c r="I2525">
        <v>2</v>
      </c>
      <c r="J2525">
        <v>58.24</v>
      </c>
      <c r="K2525" t="s">
        <v>9</v>
      </c>
      <c r="L2525">
        <v>5775238</v>
      </c>
      <c r="M2525">
        <v>0</v>
      </c>
      <c r="N2525">
        <v>5775238</v>
      </c>
      <c r="O2525">
        <v>99162.740384615376</v>
      </c>
      <c r="P2525">
        <v>0</v>
      </c>
      <c r="Q2525">
        <v>5775238</v>
      </c>
      <c r="R2525">
        <v>99162.740384615376</v>
      </c>
      <c r="S2525" t="s">
        <v>65</v>
      </c>
      <c r="T2525" t="s">
        <v>2664</v>
      </c>
      <c r="U2525">
        <v>117862</v>
      </c>
      <c r="V2525" t="s">
        <v>6312</v>
      </c>
      <c r="W2525">
        <v>45603</v>
      </c>
      <c r="X2525" t="s">
        <v>10767</v>
      </c>
      <c r="Y2525" t="s">
        <v>6</v>
      </c>
      <c r="Z2525" t="s">
        <v>17</v>
      </c>
      <c r="AA2525" t="s">
        <v>6637</v>
      </c>
      <c r="AB2525" t="s">
        <v>2509</v>
      </c>
      <c r="AC2525" t="s">
        <v>2571</v>
      </c>
      <c r="AD2525" t="s">
        <v>717</v>
      </c>
      <c r="AE2525" t="s">
        <v>10768</v>
      </c>
      <c r="AF2525" t="s">
        <v>10769</v>
      </c>
      <c r="AG2525" t="s">
        <v>10770</v>
      </c>
      <c r="AH2525" t="s">
        <v>2191</v>
      </c>
      <c r="AI2525" t="s">
        <v>2621</v>
      </c>
      <c r="AJ2525" t="s">
        <v>2514</v>
      </c>
      <c r="AK2525" t="s">
        <v>20</v>
      </c>
      <c r="AL2525" t="s">
        <v>22</v>
      </c>
      <c r="AM2525" t="s">
        <v>10</v>
      </c>
      <c r="AN2525" t="s">
        <v>717</v>
      </c>
    </row>
    <row r="2526" spans="1:40" hidden="1">
      <c r="A2526">
        <v>2525</v>
      </c>
      <c r="B2526">
        <v>8</v>
      </c>
      <c r="C2526" s="58">
        <v>45614</v>
      </c>
      <c r="D2526" t="s">
        <v>13</v>
      </c>
      <c r="E2526" t="s">
        <v>4409</v>
      </c>
      <c r="F2526">
        <v>3</v>
      </c>
      <c r="G2526">
        <v>14</v>
      </c>
      <c r="H2526">
        <v>495</v>
      </c>
      <c r="I2526">
        <v>0</v>
      </c>
      <c r="J2526">
        <v>24.5</v>
      </c>
      <c r="K2526" t="s">
        <v>9</v>
      </c>
      <c r="L2526">
        <v>3444014</v>
      </c>
      <c r="M2526">
        <v>0</v>
      </c>
      <c r="N2526">
        <v>3444014</v>
      </c>
      <c r="O2526">
        <v>140572</v>
      </c>
      <c r="P2526">
        <v>0</v>
      </c>
      <c r="Q2526">
        <v>3444014</v>
      </c>
      <c r="R2526">
        <v>140572</v>
      </c>
      <c r="S2526" t="s">
        <v>65</v>
      </c>
      <c r="T2526" t="s">
        <v>2664</v>
      </c>
      <c r="U2526">
        <v>70286</v>
      </c>
      <c r="V2526" t="s">
        <v>6312</v>
      </c>
      <c r="W2526">
        <v>45608</v>
      </c>
      <c r="X2526" t="s">
        <v>10771</v>
      </c>
      <c r="Y2526" t="s">
        <v>6</v>
      </c>
      <c r="Z2526" t="s">
        <v>17</v>
      </c>
      <c r="AA2526" t="s">
        <v>6637</v>
      </c>
      <c r="AB2526" t="s">
        <v>2509</v>
      </c>
      <c r="AC2526" t="s">
        <v>2571</v>
      </c>
      <c r="AD2526" t="s">
        <v>717</v>
      </c>
      <c r="AE2526" t="s">
        <v>10772</v>
      </c>
      <c r="AF2526" t="s">
        <v>10773</v>
      </c>
      <c r="AG2526" t="s">
        <v>10774</v>
      </c>
      <c r="AH2526" t="s">
        <v>2616</v>
      </c>
      <c r="AI2526" t="s">
        <v>10475</v>
      </c>
      <c r="AJ2526" t="s">
        <v>2895</v>
      </c>
      <c r="AK2526" t="s">
        <v>8</v>
      </c>
      <c r="AL2526" t="s">
        <v>22</v>
      </c>
      <c r="AM2526" t="s">
        <v>10</v>
      </c>
      <c r="AN2526" t="s">
        <v>717</v>
      </c>
    </row>
    <row r="2527" spans="1:40" hidden="1">
      <c r="A2527">
        <v>2526</v>
      </c>
      <c r="B2527">
        <v>9</v>
      </c>
      <c r="C2527" s="58">
        <v>45616</v>
      </c>
      <c r="D2527" t="s">
        <v>13</v>
      </c>
      <c r="E2527" t="s">
        <v>2506</v>
      </c>
      <c r="F2527">
        <v>4</v>
      </c>
      <c r="G2527">
        <v>11</v>
      </c>
      <c r="H2527">
        <v>184</v>
      </c>
      <c r="I2527">
        <v>2</v>
      </c>
      <c r="J2527">
        <v>58.31</v>
      </c>
      <c r="K2527" t="s">
        <v>21</v>
      </c>
      <c r="L2527">
        <v>7530124</v>
      </c>
      <c r="M2527">
        <v>0</v>
      </c>
      <c r="N2527">
        <v>7530124</v>
      </c>
      <c r="O2527">
        <v>129139.49579831932</v>
      </c>
      <c r="P2527">
        <v>466480</v>
      </c>
      <c r="Q2527">
        <v>7063644</v>
      </c>
      <c r="R2527">
        <v>121139.49579831932</v>
      </c>
      <c r="S2527" t="s">
        <v>65</v>
      </c>
      <c r="T2527" t="s">
        <v>2664</v>
      </c>
      <c r="U2527">
        <v>144156</v>
      </c>
      <c r="V2527" t="s">
        <v>6312</v>
      </c>
      <c r="W2527">
        <v>45608</v>
      </c>
      <c r="X2527" t="s">
        <v>10775</v>
      </c>
      <c r="Y2527" t="s">
        <v>6</v>
      </c>
      <c r="Z2527" t="s">
        <v>17</v>
      </c>
      <c r="AA2527" t="s">
        <v>6637</v>
      </c>
      <c r="AB2527" t="s">
        <v>2509</v>
      </c>
      <c r="AC2527" t="s">
        <v>2571</v>
      </c>
      <c r="AD2527" t="s">
        <v>717</v>
      </c>
      <c r="AE2527" t="s">
        <v>10776</v>
      </c>
      <c r="AF2527" t="s">
        <v>10777</v>
      </c>
      <c r="AG2527" t="s">
        <v>10778</v>
      </c>
      <c r="AH2527" t="s">
        <v>6100</v>
      </c>
      <c r="AI2527" t="s">
        <v>5653</v>
      </c>
      <c r="AJ2527" t="s">
        <v>31</v>
      </c>
      <c r="AK2527" t="s">
        <v>8</v>
      </c>
      <c r="AL2527" t="s">
        <v>22</v>
      </c>
      <c r="AM2527" t="s">
        <v>5654</v>
      </c>
      <c r="AN2527" t="s">
        <v>717</v>
      </c>
    </row>
    <row r="2528" spans="1:40" hidden="1">
      <c r="A2528">
        <v>2527</v>
      </c>
      <c r="B2528">
        <v>10</v>
      </c>
      <c r="C2528" s="58">
        <v>45616</v>
      </c>
      <c r="D2528" t="s">
        <v>13</v>
      </c>
      <c r="E2528" t="s">
        <v>4409</v>
      </c>
      <c r="F2528">
        <v>4</v>
      </c>
      <c r="G2528">
        <v>7</v>
      </c>
      <c r="H2528">
        <v>440</v>
      </c>
      <c r="I2528">
        <v>2</v>
      </c>
      <c r="J2528">
        <v>58.24</v>
      </c>
      <c r="K2528" t="s">
        <v>21</v>
      </c>
      <c r="L2528">
        <v>7312956</v>
      </c>
      <c r="M2528">
        <v>0</v>
      </c>
      <c r="N2528">
        <v>7312956</v>
      </c>
      <c r="O2528">
        <v>125565.86538461538</v>
      </c>
      <c r="P2528">
        <v>465920</v>
      </c>
      <c r="Q2528">
        <v>6847036</v>
      </c>
      <c r="R2528">
        <v>117565.86538461538</v>
      </c>
      <c r="S2528" t="s">
        <v>65</v>
      </c>
      <c r="T2528" t="s">
        <v>5768</v>
      </c>
      <c r="U2528">
        <v>211764</v>
      </c>
      <c r="V2528" t="s">
        <v>6312</v>
      </c>
      <c r="W2528">
        <v>45608</v>
      </c>
      <c r="X2528" t="s">
        <v>10779</v>
      </c>
      <c r="Y2528" t="s">
        <v>6</v>
      </c>
      <c r="Z2528" t="s">
        <v>17</v>
      </c>
      <c r="AA2528" t="s">
        <v>6637</v>
      </c>
      <c r="AB2528" t="s">
        <v>2509</v>
      </c>
      <c r="AC2528" t="s">
        <v>2571</v>
      </c>
      <c r="AD2528" t="s">
        <v>717</v>
      </c>
      <c r="AE2528" t="s">
        <v>10780</v>
      </c>
      <c r="AF2528" t="s">
        <v>10781</v>
      </c>
      <c r="AG2528" t="s">
        <v>10782</v>
      </c>
      <c r="AH2528" t="s">
        <v>2552</v>
      </c>
      <c r="AI2528" t="s">
        <v>2552</v>
      </c>
      <c r="AJ2528" t="s">
        <v>2855</v>
      </c>
      <c r="AK2528" t="s">
        <v>20</v>
      </c>
      <c r="AL2528" t="s">
        <v>22</v>
      </c>
      <c r="AM2528" t="s">
        <v>10</v>
      </c>
      <c r="AN2528" t="s">
        <v>717</v>
      </c>
    </row>
    <row r="2529" spans="1:40" hidden="1">
      <c r="A2529">
        <v>2528</v>
      </c>
      <c r="B2529">
        <v>11</v>
      </c>
      <c r="C2529" s="58">
        <v>45617</v>
      </c>
      <c r="D2529" t="s">
        <v>13</v>
      </c>
      <c r="E2529" t="s">
        <v>2506</v>
      </c>
      <c r="F2529">
        <v>7</v>
      </c>
      <c r="G2529">
        <v>5</v>
      </c>
      <c r="H2529">
        <v>145</v>
      </c>
      <c r="I2529">
        <v>1</v>
      </c>
      <c r="J2529">
        <v>42.28</v>
      </c>
      <c r="K2529" t="s">
        <v>9</v>
      </c>
      <c r="L2529">
        <v>4150000</v>
      </c>
      <c r="M2529">
        <v>0</v>
      </c>
      <c r="N2529">
        <v>4150000</v>
      </c>
      <c r="O2529">
        <v>98155.156102175955</v>
      </c>
      <c r="P2529">
        <v>0</v>
      </c>
      <c r="Q2529">
        <v>4150000</v>
      </c>
      <c r="R2529">
        <v>98155.156102175955</v>
      </c>
      <c r="S2529" t="s">
        <v>65</v>
      </c>
      <c r="T2529" t="s">
        <v>2941</v>
      </c>
      <c r="U2529">
        <v>544800</v>
      </c>
      <c r="V2529" t="s">
        <v>6312</v>
      </c>
      <c r="W2529">
        <v>45608</v>
      </c>
      <c r="X2529" t="s">
        <v>10783</v>
      </c>
      <c r="Y2529" t="s">
        <v>6</v>
      </c>
      <c r="Z2529" t="s">
        <v>17</v>
      </c>
      <c r="AA2529" t="s">
        <v>6637</v>
      </c>
      <c r="AB2529" t="s">
        <v>2509</v>
      </c>
      <c r="AC2529" t="s">
        <v>2571</v>
      </c>
      <c r="AD2529" t="s">
        <v>717</v>
      </c>
      <c r="AE2529" t="s">
        <v>10784</v>
      </c>
      <c r="AF2529" t="s">
        <v>10785</v>
      </c>
      <c r="AG2529" t="s">
        <v>10786</v>
      </c>
      <c r="AH2529" t="s">
        <v>2615</v>
      </c>
      <c r="AI2529" t="s">
        <v>2521</v>
      </c>
      <c r="AJ2529" t="s">
        <v>2662</v>
      </c>
      <c r="AK2529" t="s">
        <v>20</v>
      </c>
      <c r="AL2529" t="s">
        <v>22</v>
      </c>
      <c r="AM2529" t="s">
        <v>10</v>
      </c>
      <c r="AN2529" t="s">
        <v>717</v>
      </c>
    </row>
    <row r="2530" spans="1:40" hidden="1">
      <c r="A2530">
        <v>2529</v>
      </c>
      <c r="B2530">
        <v>12</v>
      </c>
      <c r="C2530" s="58">
        <v>45617</v>
      </c>
      <c r="D2530" t="s">
        <v>1875</v>
      </c>
      <c r="E2530" t="s">
        <v>10295</v>
      </c>
      <c r="F2530">
        <v>3</v>
      </c>
      <c r="G2530">
        <v>14</v>
      </c>
      <c r="H2530">
        <v>51</v>
      </c>
      <c r="I2530">
        <v>2</v>
      </c>
      <c r="J2530">
        <v>51.79</v>
      </c>
      <c r="K2530" t="s">
        <v>9</v>
      </c>
      <c r="L2530">
        <v>5673318</v>
      </c>
      <c r="M2530">
        <v>0</v>
      </c>
      <c r="N2530">
        <v>5673318</v>
      </c>
      <c r="O2530">
        <v>109544.66113149255</v>
      </c>
      <c r="P2530">
        <v>0</v>
      </c>
      <c r="Q2530">
        <v>5673318</v>
      </c>
      <c r="R2530">
        <v>109544.66113149255</v>
      </c>
      <c r="S2530" t="s">
        <v>65</v>
      </c>
      <c r="T2530" t="s">
        <v>2664</v>
      </c>
      <c r="U2530">
        <v>115782</v>
      </c>
      <c r="V2530" t="s">
        <v>6312</v>
      </c>
      <c r="W2530">
        <v>45609</v>
      </c>
      <c r="X2530" t="s">
        <v>10787</v>
      </c>
      <c r="Y2530" t="s">
        <v>6</v>
      </c>
      <c r="Z2530" t="s">
        <v>17</v>
      </c>
      <c r="AA2530" t="s">
        <v>6637</v>
      </c>
      <c r="AB2530" t="s">
        <v>2509</v>
      </c>
      <c r="AC2530" t="s">
        <v>2571</v>
      </c>
      <c r="AD2530" t="s">
        <v>717</v>
      </c>
      <c r="AE2530" t="s">
        <v>10788</v>
      </c>
      <c r="AF2530" t="s">
        <v>10789</v>
      </c>
      <c r="AG2530" t="s">
        <v>10790</v>
      </c>
      <c r="AH2530" t="s">
        <v>2615</v>
      </c>
      <c r="AI2530" t="s">
        <v>2538</v>
      </c>
      <c r="AJ2530" t="s">
        <v>2895</v>
      </c>
      <c r="AK2530" t="s">
        <v>8</v>
      </c>
      <c r="AL2530" t="s">
        <v>22</v>
      </c>
      <c r="AM2530" t="s">
        <v>10</v>
      </c>
      <c r="AN2530" t="s">
        <v>717</v>
      </c>
    </row>
    <row r="2531" spans="1:40" hidden="1">
      <c r="A2531">
        <v>2530</v>
      </c>
      <c r="B2531">
        <v>13</v>
      </c>
      <c r="C2531" s="58">
        <v>45618</v>
      </c>
      <c r="D2531" t="s">
        <v>13</v>
      </c>
      <c r="E2531" t="s">
        <v>2506</v>
      </c>
      <c r="F2531">
        <v>2</v>
      </c>
      <c r="G2531">
        <v>16</v>
      </c>
      <c r="H2531">
        <v>217</v>
      </c>
      <c r="I2531">
        <v>0</v>
      </c>
      <c r="J2531">
        <v>24.28</v>
      </c>
      <c r="K2531" t="s">
        <v>9</v>
      </c>
      <c r="L2531">
        <v>3631684</v>
      </c>
      <c r="M2531">
        <v>0</v>
      </c>
      <c r="N2531">
        <v>3631684</v>
      </c>
      <c r="O2531">
        <v>149575.12355848434</v>
      </c>
      <c r="P2531">
        <v>0</v>
      </c>
      <c r="Q2531">
        <v>3631684</v>
      </c>
      <c r="R2531">
        <v>149575.12355848434</v>
      </c>
      <c r="S2531" t="s">
        <v>65</v>
      </c>
      <c r="T2531" t="s">
        <v>2664</v>
      </c>
      <c r="U2531">
        <v>74115.999999999534</v>
      </c>
      <c r="V2531" t="s">
        <v>6312</v>
      </c>
      <c r="W2531">
        <v>45614</v>
      </c>
      <c r="X2531" t="s">
        <v>10791</v>
      </c>
      <c r="Y2531" t="s">
        <v>6</v>
      </c>
      <c r="Z2531" t="s">
        <v>17</v>
      </c>
      <c r="AA2531" t="s">
        <v>6637</v>
      </c>
      <c r="AB2531" t="s">
        <v>2509</v>
      </c>
      <c r="AC2531" t="s">
        <v>2571</v>
      </c>
      <c r="AD2531" t="s">
        <v>717</v>
      </c>
      <c r="AE2531" t="s">
        <v>10792</v>
      </c>
      <c r="AF2531" t="s">
        <v>10793</v>
      </c>
      <c r="AG2531" t="s">
        <v>10794</v>
      </c>
      <c r="AH2531" t="s">
        <v>6100</v>
      </c>
      <c r="AI2531" t="s">
        <v>5653</v>
      </c>
      <c r="AJ2531" t="s">
        <v>31</v>
      </c>
      <c r="AK2531" t="s">
        <v>20</v>
      </c>
      <c r="AL2531" t="s">
        <v>22</v>
      </c>
      <c r="AM2531" t="s">
        <v>5654</v>
      </c>
      <c r="AN2531" t="s">
        <v>717</v>
      </c>
    </row>
    <row r="2532" spans="1:40" hidden="1">
      <c r="A2532">
        <v>2531</v>
      </c>
      <c r="B2532">
        <v>14</v>
      </c>
      <c r="C2532" s="58">
        <v>45618</v>
      </c>
      <c r="D2532" t="s">
        <v>1875</v>
      </c>
      <c r="E2532" t="s">
        <v>10295</v>
      </c>
      <c r="F2532">
        <v>3</v>
      </c>
      <c r="G2532">
        <v>5</v>
      </c>
      <c r="H2532">
        <v>15</v>
      </c>
      <c r="I2532">
        <v>2</v>
      </c>
      <c r="J2532">
        <v>51.79</v>
      </c>
      <c r="K2532" t="s">
        <v>9</v>
      </c>
      <c r="L2532">
        <v>5689100</v>
      </c>
      <c r="M2532">
        <v>0</v>
      </c>
      <c r="N2532">
        <v>5689100</v>
      </c>
      <c r="O2532">
        <v>109849.39177447384</v>
      </c>
      <c r="P2532">
        <v>0</v>
      </c>
      <c r="Q2532">
        <v>5689100</v>
      </c>
      <c r="R2532">
        <v>109849.39177447384</v>
      </c>
      <c r="S2532" t="s">
        <v>65</v>
      </c>
      <c r="T2532" t="s">
        <v>10795</v>
      </c>
      <c r="U2532">
        <v>100000</v>
      </c>
      <c r="V2532" t="s">
        <v>6312</v>
      </c>
      <c r="W2532">
        <v>45614</v>
      </c>
      <c r="X2532" t="s">
        <v>10796</v>
      </c>
      <c r="Y2532" t="s">
        <v>6</v>
      </c>
      <c r="Z2532" t="s">
        <v>17</v>
      </c>
      <c r="AA2532" t="s">
        <v>6637</v>
      </c>
      <c r="AB2532" t="s">
        <v>2509</v>
      </c>
      <c r="AC2532" t="s">
        <v>2571</v>
      </c>
      <c r="AD2532" t="s">
        <v>717</v>
      </c>
      <c r="AE2532" t="s">
        <v>10797</v>
      </c>
      <c r="AF2532" t="s">
        <v>10798</v>
      </c>
      <c r="AG2532" t="s">
        <v>10799</v>
      </c>
      <c r="AH2532" t="s">
        <v>6100</v>
      </c>
      <c r="AI2532" t="s">
        <v>5653</v>
      </c>
      <c r="AJ2532" t="s">
        <v>31</v>
      </c>
      <c r="AK2532" t="s">
        <v>20</v>
      </c>
      <c r="AL2532" t="s">
        <v>22</v>
      </c>
      <c r="AM2532" t="s">
        <v>5654</v>
      </c>
      <c r="AN2532" t="s">
        <v>717</v>
      </c>
    </row>
    <row r="2533" spans="1:40" hidden="1">
      <c r="A2533">
        <v>2532</v>
      </c>
      <c r="B2533">
        <v>15</v>
      </c>
      <c r="C2533" s="58">
        <v>45621</v>
      </c>
      <c r="D2533" t="s">
        <v>13</v>
      </c>
      <c r="E2533" t="s">
        <v>4409</v>
      </c>
      <c r="F2533">
        <v>2</v>
      </c>
      <c r="G2533">
        <v>17</v>
      </c>
      <c r="H2533">
        <v>518</v>
      </c>
      <c r="I2533">
        <v>1</v>
      </c>
      <c r="J2533">
        <v>43.21</v>
      </c>
      <c r="K2533" t="s">
        <v>21</v>
      </c>
      <c r="L2533">
        <v>6167354</v>
      </c>
      <c r="M2533">
        <v>0</v>
      </c>
      <c r="N2533">
        <v>6167354</v>
      </c>
      <c r="O2533">
        <v>142729.78477204347</v>
      </c>
      <c r="P2533">
        <v>432100</v>
      </c>
      <c r="Q2533">
        <v>5735254</v>
      </c>
      <c r="R2533">
        <v>132729.78477204347</v>
      </c>
      <c r="S2533" t="s">
        <v>65</v>
      </c>
      <c r="T2533" t="s">
        <v>2664</v>
      </c>
      <c r="U2533">
        <v>117045.99999999908</v>
      </c>
      <c r="V2533" t="s">
        <v>6312</v>
      </c>
      <c r="W2533">
        <v>45615</v>
      </c>
      <c r="X2533" t="s">
        <v>10800</v>
      </c>
      <c r="Y2533" t="s">
        <v>6</v>
      </c>
      <c r="Z2533" t="s">
        <v>17</v>
      </c>
      <c r="AA2533" t="s">
        <v>6637</v>
      </c>
      <c r="AB2533" t="s">
        <v>2509</v>
      </c>
      <c r="AC2533" t="s">
        <v>2571</v>
      </c>
      <c r="AD2533" t="s">
        <v>717</v>
      </c>
      <c r="AE2533" t="s">
        <v>10801</v>
      </c>
      <c r="AF2533" t="s">
        <v>10802</v>
      </c>
      <c r="AG2533" t="s">
        <v>10803</v>
      </c>
      <c r="AH2533" t="s">
        <v>2615</v>
      </c>
      <c r="AI2533" t="s">
        <v>3120</v>
      </c>
      <c r="AJ2533" t="s">
        <v>3202</v>
      </c>
      <c r="AK2533" t="s">
        <v>20</v>
      </c>
      <c r="AL2533" t="s">
        <v>22</v>
      </c>
      <c r="AM2533" t="s">
        <v>10</v>
      </c>
      <c r="AN2533" t="s">
        <v>717</v>
      </c>
    </row>
    <row r="2534" spans="1:40" hidden="1">
      <c r="A2534">
        <v>2533</v>
      </c>
      <c r="B2534">
        <v>16</v>
      </c>
      <c r="C2534" s="58">
        <v>45621</v>
      </c>
      <c r="D2534" t="s">
        <v>13</v>
      </c>
      <c r="E2534" t="s">
        <v>2506</v>
      </c>
      <c r="F2534">
        <v>1</v>
      </c>
      <c r="G2534">
        <v>14</v>
      </c>
      <c r="H2534">
        <v>202</v>
      </c>
      <c r="I2534">
        <v>2</v>
      </c>
      <c r="J2534">
        <v>60.22</v>
      </c>
      <c r="K2534" t="s">
        <v>21</v>
      </c>
      <c r="L2534">
        <v>7816090</v>
      </c>
      <c r="M2534">
        <v>0</v>
      </c>
      <c r="N2534">
        <v>7816090</v>
      </c>
      <c r="O2534">
        <v>129792.26170707408</v>
      </c>
      <c r="P2534">
        <v>602200</v>
      </c>
      <c r="Q2534">
        <v>7213890</v>
      </c>
      <c r="R2534">
        <v>119792.26170707408</v>
      </c>
      <c r="S2534" t="s">
        <v>65</v>
      </c>
      <c r="T2534" t="s">
        <v>5768</v>
      </c>
      <c r="U2534">
        <v>223110.00000000093</v>
      </c>
      <c r="V2534" t="s">
        <v>6312</v>
      </c>
      <c r="W2534">
        <v>45617</v>
      </c>
      <c r="X2534" t="s">
        <v>10804</v>
      </c>
      <c r="Y2534" t="s">
        <v>6</v>
      </c>
      <c r="Z2534" t="s">
        <v>17</v>
      </c>
      <c r="AA2534" t="s">
        <v>6637</v>
      </c>
      <c r="AB2534" t="s">
        <v>2509</v>
      </c>
      <c r="AC2534" t="s">
        <v>2571</v>
      </c>
      <c r="AD2534" t="s">
        <v>717</v>
      </c>
      <c r="AE2534" t="s">
        <v>10805</v>
      </c>
      <c r="AF2534" t="s">
        <v>10806</v>
      </c>
      <c r="AG2534" t="s">
        <v>10807</v>
      </c>
      <c r="AH2534" t="s">
        <v>2615</v>
      </c>
      <c r="AI2534" t="s">
        <v>2552</v>
      </c>
      <c r="AJ2534" t="s">
        <v>2662</v>
      </c>
      <c r="AK2534" t="s">
        <v>8</v>
      </c>
      <c r="AL2534" t="s">
        <v>22</v>
      </c>
      <c r="AM2534" t="s">
        <v>10</v>
      </c>
      <c r="AN2534" t="s">
        <v>717</v>
      </c>
    </row>
    <row r="2535" spans="1:40" hidden="1">
      <c r="A2535">
        <v>2534</v>
      </c>
      <c r="B2535">
        <v>17</v>
      </c>
      <c r="C2535" s="58">
        <v>45622</v>
      </c>
      <c r="D2535" t="s">
        <v>13</v>
      </c>
      <c r="E2535" t="s">
        <v>4409</v>
      </c>
      <c r="F2535">
        <v>3</v>
      </c>
      <c r="G2535">
        <v>24</v>
      </c>
      <c r="H2535">
        <v>575</v>
      </c>
      <c r="I2535">
        <v>0</v>
      </c>
      <c r="J2535">
        <v>24.5</v>
      </c>
      <c r="K2535" t="s">
        <v>25</v>
      </c>
      <c r="L2535">
        <v>3711788</v>
      </c>
      <c r="M2535">
        <v>0</v>
      </c>
      <c r="N2535">
        <v>3711788</v>
      </c>
      <c r="O2535">
        <v>151501.55102040817</v>
      </c>
      <c r="P2535">
        <v>588000</v>
      </c>
      <c r="Q2535">
        <v>3123788</v>
      </c>
      <c r="R2535">
        <v>127501.55102040817</v>
      </c>
      <c r="S2535" t="s">
        <v>65</v>
      </c>
      <c r="T2535" t="s">
        <v>5768</v>
      </c>
      <c r="U2535">
        <v>96612</v>
      </c>
      <c r="V2535" t="s">
        <v>6312</v>
      </c>
      <c r="W2535">
        <v>45608</v>
      </c>
      <c r="X2535" t="s">
        <v>10808</v>
      </c>
      <c r="Y2535" t="s">
        <v>6</v>
      </c>
      <c r="Z2535" t="s">
        <v>17</v>
      </c>
      <c r="AA2535" t="s">
        <v>6637</v>
      </c>
      <c r="AB2535" t="s">
        <v>2509</v>
      </c>
      <c r="AC2535" t="s">
        <v>2571</v>
      </c>
      <c r="AD2535" t="s">
        <v>717</v>
      </c>
      <c r="AE2535" t="s">
        <v>10809</v>
      </c>
      <c r="AF2535" t="s">
        <v>10810</v>
      </c>
      <c r="AG2535" t="s">
        <v>10811</v>
      </c>
      <c r="AH2535" t="s">
        <v>2191</v>
      </c>
      <c r="AI2535" t="s">
        <v>2621</v>
      </c>
      <c r="AJ2535" t="s">
        <v>2514</v>
      </c>
      <c r="AK2535" t="s">
        <v>8</v>
      </c>
      <c r="AL2535" t="s">
        <v>22</v>
      </c>
      <c r="AM2535" t="s">
        <v>10</v>
      </c>
      <c r="AN2535" t="s">
        <v>717</v>
      </c>
    </row>
    <row r="2536" spans="1:40" hidden="1">
      <c r="A2536">
        <v>2535</v>
      </c>
      <c r="B2536">
        <v>18</v>
      </c>
      <c r="C2536" s="58">
        <v>45625</v>
      </c>
      <c r="D2536" t="s">
        <v>13</v>
      </c>
      <c r="E2536" t="s">
        <v>2581</v>
      </c>
      <c r="F2536">
        <v>1</v>
      </c>
      <c r="G2536">
        <v>5</v>
      </c>
      <c r="H2536">
        <v>250</v>
      </c>
      <c r="I2536">
        <v>2</v>
      </c>
      <c r="J2536">
        <v>73.7</v>
      </c>
      <c r="K2536" t="s">
        <v>9</v>
      </c>
      <c r="L2536">
        <v>7518400</v>
      </c>
      <c r="M2536">
        <v>0</v>
      </c>
      <c r="N2536">
        <v>7518400</v>
      </c>
      <c r="O2536">
        <v>102013.56852103119</v>
      </c>
      <c r="P2536">
        <v>0</v>
      </c>
      <c r="Q2536">
        <v>7518400</v>
      </c>
      <c r="R2536">
        <v>102013.56852103119</v>
      </c>
      <c r="S2536" t="s">
        <v>65</v>
      </c>
      <c r="T2536" t="s">
        <v>717</v>
      </c>
      <c r="U2536" t="s">
        <v>717</v>
      </c>
      <c r="V2536" t="s">
        <v>6312</v>
      </c>
      <c r="W2536">
        <v>45600</v>
      </c>
      <c r="X2536" t="s">
        <v>10812</v>
      </c>
      <c r="Y2536" t="s">
        <v>6</v>
      </c>
      <c r="Z2536" t="s">
        <v>17</v>
      </c>
      <c r="AA2536" t="s">
        <v>6637</v>
      </c>
      <c r="AB2536" t="s">
        <v>2509</v>
      </c>
      <c r="AC2536" t="s">
        <v>2571</v>
      </c>
      <c r="AD2536" t="s">
        <v>717</v>
      </c>
      <c r="AE2536" t="s">
        <v>10813</v>
      </c>
      <c r="AF2536" t="s">
        <v>10814</v>
      </c>
      <c r="AG2536" t="s">
        <v>10815</v>
      </c>
      <c r="AH2536" t="s">
        <v>2191</v>
      </c>
      <c r="AI2536" t="s">
        <v>2621</v>
      </c>
      <c r="AJ2536" t="s">
        <v>2514</v>
      </c>
      <c r="AK2536" t="s">
        <v>8</v>
      </c>
      <c r="AL2536" t="s">
        <v>22</v>
      </c>
      <c r="AM2536" t="s">
        <v>10</v>
      </c>
      <c r="AN2536" t="s">
        <v>717</v>
      </c>
    </row>
    <row r="2537" spans="1:40" hidden="1">
      <c r="A2537">
        <v>2536</v>
      </c>
      <c r="B2537">
        <v>19</v>
      </c>
      <c r="C2537" s="58">
        <v>45625</v>
      </c>
      <c r="D2537" t="s">
        <v>13</v>
      </c>
      <c r="E2537" t="s">
        <v>2581</v>
      </c>
      <c r="F2537">
        <v>7</v>
      </c>
      <c r="G2537">
        <v>15</v>
      </c>
      <c r="H2537">
        <v>326</v>
      </c>
      <c r="I2537">
        <v>1</v>
      </c>
      <c r="J2537">
        <v>34.81</v>
      </c>
      <c r="K2537" t="s">
        <v>25</v>
      </c>
      <c r="L2537">
        <v>5026998</v>
      </c>
      <c r="M2537">
        <v>0</v>
      </c>
      <c r="N2537">
        <v>5026998</v>
      </c>
      <c r="O2537">
        <v>144412.46768170063</v>
      </c>
      <c r="P2537">
        <v>835440</v>
      </c>
      <c r="Q2537">
        <v>4191558</v>
      </c>
      <c r="R2537">
        <v>120412.46768170064</v>
      </c>
      <c r="S2537" t="s">
        <v>65</v>
      </c>
      <c r="T2537" t="s">
        <v>2664</v>
      </c>
      <c r="U2537">
        <v>85542</v>
      </c>
      <c r="V2537" t="s">
        <v>6312</v>
      </c>
      <c r="W2537">
        <v>45611</v>
      </c>
      <c r="X2537" t="s">
        <v>10816</v>
      </c>
      <c r="Y2537" t="s">
        <v>6</v>
      </c>
      <c r="Z2537" t="s">
        <v>17</v>
      </c>
      <c r="AA2537" t="s">
        <v>6637</v>
      </c>
      <c r="AB2537" t="s">
        <v>2509</v>
      </c>
      <c r="AC2537" t="s">
        <v>2571</v>
      </c>
      <c r="AD2537" t="s">
        <v>717</v>
      </c>
      <c r="AE2537" t="s">
        <v>10817</v>
      </c>
      <c r="AF2537" t="s">
        <v>10818</v>
      </c>
      <c r="AG2537" t="s">
        <v>10819</v>
      </c>
      <c r="AH2537" t="s">
        <v>2552</v>
      </c>
      <c r="AI2537" t="s">
        <v>2547</v>
      </c>
      <c r="AJ2537" t="s">
        <v>2855</v>
      </c>
      <c r="AK2537" t="s">
        <v>20</v>
      </c>
      <c r="AL2537" t="s">
        <v>22</v>
      </c>
      <c r="AM2537" t="s">
        <v>10</v>
      </c>
      <c r="AN2537" t="s">
        <v>717</v>
      </c>
    </row>
    <row r="2538" spans="1:40" hidden="1">
      <c r="A2538">
        <v>2537</v>
      </c>
      <c r="B2538">
        <v>20</v>
      </c>
      <c r="C2538" s="58">
        <v>45625</v>
      </c>
      <c r="D2538" t="s">
        <v>13</v>
      </c>
      <c r="E2538" t="s">
        <v>2581</v>
      </c>
      <c r="F2538">
        <v>2</v>
      </c>
      <c r="G2538">
        <v>17</v>
      </c>
      <c r="H2538">
        <v>335</v>
      </c>
      <c r="I2538">
        <v>0</v>
      </c>
      <c r="J2538">
        <v>24.53</v>
      </c>
      <c r="K2538" t="s">
        <v>25</v>
      </c>
      <c r="L2538">
        <v>4294424</v>
      </c>
      <c r="M2538">
        <v>0</v>
      </c>
      <c r="N2538">
        <v>4294424</v>
      </c>
      <c r="O2538">
        <v>175068.24296779453</v>
      </c>
      <c r="P2538">
        <v>613250</v>
      </c>
      <c r="Q2538">
        <v>3681174</v>
      </c>
      <c r="R2538">
        <v>150068.24296779453</v>
      </c>
      <c r="S2538" t="s">
        <v>65</v>
      </c>
      <c r="T2538" t="s">
        <v>2664</v>
      </c>
      <c r="U2538">
        <v>75126</v>
      </c>
      <c r="V2538" t="s">
        <v>6312</v>
      </c>
      <c r="W2538">
        <v>45617</v>
      </c>
      <c r="X2538" t="s">
        <v>10820</v>
      </c>
      <c r="Y2538" t="s">
        <v>6</v>
      </c>
      <c r="Z2538" t="s">
        <v>17</v>
      </c>
      <c r="AA2538" t="s">
        <v>6637</v>
      </c>
      <c r="AB2538" t="s">
        <v>2509</v>
      </c>
      <c r="AC2538" t="s">
        <v>2571</v>
      </c>
      <c r="AD2538" t="s">
        <v>717</v>
      </c>
      <c r="AE2538" t="s">
        <v>10821</v>
      </c>
      <c r="AF2538" t="s">
        <v>10822</v>
      </c>
      <c r="AG2538" t="s">
        <v>10823</v>
      </c>
      <c r="AH2538" t="s">
        <v>2615</v>
      </c>
      <c r="AI2538" t="s">
        <v>6951</v>
      </c>
      <c r="AJ2538" t="s">
        <v>2895</v>
      </c>
      <c r="AK2538" t="s">
        <v>14</v>
      </c>
      <c r="AL2538" t="s">
        <v>22</v>
      </c>
      <c r="AM2538" t="s">
        <v>10</v>
      </c>
      <c r="AN2538" t="s">
        <v>717</v>
      </c>
    </row>
    <row r="2539" spans="1:40" hidden="1">
      <c r="A2539">
        <v>2538</v>
      </c>
      <c r="B2539">
        <v>1</v>
      </c>
      <c r="C2539" s="58">
        <v>45631</v>
      </c>
      <c r="D2539" t="s">
        <v>13</v>
      </c>
      <c r="E2539" t="s">
        <v>2515</v>
      </c>
      <c r="F2539">
        <v>6</v>
      </c>
      <c r="G2539">
        <v>6</v>
      </c>
      <c r="H2539">
        <v>40</v>
      </c>
      <c r="I2539">
        <v>2</v>
      </c>
      <c r="J2539">
        <v>58.16</v>
      </c>
      <c r="K2539" t="s">
        <v>21</v>
      </c>
      <c r="L2539">
        <v>7576552</v>
      </c>
      <c r="M2539">
        <v>0</v>
      </c>
      <c r="N2539">
        <v>7576552</v>
      </c>
      <c r="O2539">
        <v>130270.83906464923</v>
      </c>
      <c r="P2539">
        <v>465280</v>
      </c>
      <c r="Q2539">
        <v>7111272</v>
      </c>
      <c r="R2539">
        <v>122270.83906464923</v>
      </c>
      <c r="S2539" t="s">
        <v>65</v>
      </c>
      <c r="T2539" t="s">
        <v>2664</v>
      </c>
      <c r="U2539">
        <v>145128</v>
      </c>
      <c r="V2539" t="s">
        <v>6312</v>
      </c>
      <c r="W2539">
        <v>45615</v>
      </c>
      <c r="X2539" t="s">
        <v>10824</v>
      </c>
      <c r="Y2539" t="s">
        <v>6</v>
      </c>
      <c r="Z2539" t="s">
        <v>17</v>
      </c>
      <c r="AA2539" t="s">
        <v>6637</v>
      </c>
      <c r="AB2539" t="s">
        <v>2509</v>
      </c>
      <c r="AC2539" t="s">
        <v>2571</v>
      </c>
      <c r="AD2539" t="s">
        <v>717</v>
      </c>
      <c r="AE2539" t="s">
        <v>10825</v>
      </c>
      <c r="AF2539" t="s">
        <v>10826</v>
      </c>
      <c r="AG2539" t="s">
        <v>10827</v>
      </c>
      <c r="AH2539" t="s">
        <v>2552</v>
      </c>
      <c r="AI2539" t="s">
        <v>2552</v>
      </c>
      <c r="AJ2539" t="s">
        <v>2662</v>
      </c>
      <c r="AK2539" t="s">
        <v>20</v>
      </c>
      <c r="AL2539" t="s">
        <v>22</v>
      </c>
      <c r="AM2539" t="s">
        <v>10</v>
      </c>
      <c r="AN2539" t="s">
        <v>717</v>
      </c>
    </row>
    <row r="2540" spans="1:40" hidden="1">
      <c r="A2540">
        <v>2539</v>
      </c>
      <c r="B2540">
        <v>2</v>
      </c>
      <c r="C2540" s="58">
        <v>45635</v>
      </c>
      <c r="D2540" t="s">
        <v>13</v>
      </c>
      <c r="E2540" t="s">
        <v>4409</v>
      </c>
      <c r="F2540">
        <v>7</v>
      </c>
      <c r="G2540">
        <v>17</v>
      </c>
      <c r="H2540">
        <v>523</v>
      </c>
      <c r="I2540">
        <v>3</v>
      </c>
      <c r="J2540">
        <v>79.44</v>
      </c>
      <c r="K2540" t="s">
        <v>21</v>
      </c>
      <c r="L2540">
        <v>10407906</v>
      </c>
      <c r="M2540">
        <v>0</v>
      </c>
      <c r="N2540">
        <v>10407906</v>
      </c>
      <c r="O2540">
        <v>131015.93655589124</v>
      </c>
      <c r="P2540">
        <v>794400</v>
      </c>
      <c r="Q2540">
        <v>9613506</v>
      </c>
      <c r="R2540">
        <v>121015.93655589124</v>
      </c>
      <c r="S2540" t="s">
        <v>65</v>
      </c>
      <c r="T2540" t="s">
        <v>10150</v>
      </c>
      <c r="U2540">
        <v>196194</v>
      </c>
      <c r="V2540" t="s">
        <v>6488</v>
      </c>
      <c r="W2540">
        <v>45625</v>
      </c>
      <c r="X2540" t="s">
        <v>10828</v>
      </c>
      <c r="Y2540" t="s">
        <v>6</v>
      </c>
      <c r="Z2540" t="s">
        <v>17</v>
      </c>
      <c r="AA2540" t="s">
        <v>6637</v>
      </c>
      <c r="AB2540" t="s">
        <v>2509</v>
      </c>
      <c r="AC2540" t="s">
        <v>2571</v>
      </c>
      <c r="AD2540" t="s">
        <v>717</v>
      </c>
      <c r="AE2540" t="s">
        <v>10829</v>
      </c>
      <c r="AF2540" t="s">
        <v>10830</v>
      </c>
      <c r="AG2540" t="s">
        <v>10831</v>
      </c>
      <c r="AH2540" t="s">
        <v>2191</v>
      </c>
      <c r="AI2540" t="s">
        <v>2552</v>
      </c>
      <c r="AJ2540" t="s">
        <v>2514</v>
      </c>
      <c r="AK2540" t="s">
        <v>8</v>
      </c>
      <c r="AL2540" t="s">
        <v>22</v>
      </c>
      <c r="AM2540" t="s">
        <v>10</v>
      </c>
      <c r="AN2540" t="s">
        <v>717</v>
      </c>
    </row>
    <row r="2541" spans="1:40" hidden="1">
      <c r="A2541">
        <v>2540</v>
      </c>
      <c r="B2541">
        <v>3</v>
      </c>
      <c r="C2541" s="58">
        <v>45637</v>
      </c>
      <c r="D2541" t="s">
        <v>27</v>
      </c>
      <c r="E2541" t="s">
        <v>2515</v>
      </c>
      <c r="F2541">
        <v>3</v>
      </c>
      <c r="G2541">
        <v>1</v>
      </c>
      <c r="H2541">
        <v>3</v>
      </c>
      <c r="I2541" t="s">
        <v>1368</v>
      </c>
      <c r="J2541">
        <v>101.3</v>
      </c>
      <c r="K2541" t="s">
        <v>9</v>
      </c>
      <c r="L2541">
        <v>12156000</v>
      </c>
      <c r="M2541">
        <v>0</v>
      </c>
      <c r="N2541">
        <v>12156000</v>
      </c>
      <c r="O2541">
        <v>120000</v>
      </c>
      <c r="P2541">
        <v>0</v>
      </c>
      <c r="Q2541">
        <v>12156000</v>
      </c>
      <c r="R2541">
        <v>120000</v>
      </c>
      <c r="S2541" t="s">
        <v>130</v>
      </c>
      <c r="T2541" t="s">
        <v>2941</v>
      </c>
      <c r="U2541">
        <v>506500</v>
      </c>
      <c r="V2541" t="s">
        <v>717</v>
      </c>
      <c r="W2541">
        <v>45637</v>
      </c>
      <c r="X2541" t="s">
        <v>10832</v>
      </c>
      <c r="Y2541" t="s">
        <v>1368</v>
      </c>
      <c r="Z2541" t="s">
        <v>17</v>
      </c>
      <c r="AA2541" t="s">
        <v>5617</v>
      </c>
      <c r="AB2541" t="s">
        <v>326</v>
      </c>
      <c r="AC2541" t="s">
        <v>717</v>
      </c>
      <c r="AD2541" t="s">
        <v>717</v>
      </c>
      <c r="AE2541" t="s">
        <v>10833</v>
      </c>
      <c r="AF2541" t="s">
        <v>10834</v>
      </c>
      <c r="AG2541" t="s">
        <v>717</v>
      </c>
      <c r="AH2541" t="s">
        <v>2580</v>
      </c>
      <c r="AI2541" t="s">
        <v>2621</v>
      </c>
      <c r="AJ2541" t="s">
        <v>3921</v>
      </c>
      <c r="AK2541" t="s">
        <v>8</v>
      </c>
      <c r="AL2541" t="s">
        <v>717</v>
      </c>
      <c r="AM2541" t="s">
        <v>10</v>
      </c>
      <c r="AN2541" t="s">
        <v>717</v>
      </c>
    </row>
    <row r="2542" spans="1:40" hidden="1">
      <c r="A2542">
        <v>2541</v>
      </c>
      <c r="B2542">
        <v>4</v>
      </c>
      <c r="C2542" s="58">
        <v>45638</v>
      </c>
      <c r="D2542" t="s">
        <v>1876</v>
      </c>
      <c r="E2542" t="s">
        <v>10835</v>
      </c>
      <c r="F2542">
        <v>2</v>
      </c>
      <c r="G2542">
        <v>17</v>
      </c>
      <c r="H2542">
        <v>272</v>
      </c>
      <c r="I2542">
        <v>1</v>
      </c>
      <c r="J2542">
        <v>36.35</v>
      </c>
      <c r="K2542" t="s">
        <v>9</v>
      </c>
      <c r="L2542">
        <v>4460739</v>
      </c>
      <c r="M2542">
        <v>0</v>
      </c>
      <c r="N2542">
        <v>4460739</v>
      </c>
      <c r="O2542">
        <v>122716.34112792296</v>
      </c>
      <c r="P2542">
        <v>0</v>
      </c>
      <c r="Q2542">
        <v>4460739</v>
      </c>
      <c r="R2542">
        <v>122716.34112792296</v>
      </c>
      <c r="S2542" t="s">
        <v>130</v>
      </c>
      <c r="T2542" t="s">
        <v>5768</v>
      </c>
      <c r="U2542">
        <v>137961</v>
      </c>
      <c r="V2542" t="s">
        <v>717</v>
      </c>
      <c r="W2542">
        <v>45636</v>
      </c>
      <c r="X2542" t="s">
        <v>10836</v>
      </c>
      <c r="Y2542" t="s">
        <v>6</v>
      </c>
      <c r="Z2542" t="s">
        <v>17</v>
      </c>
      <c r="AA2542" t="s">
        <v>5617</v>
      </c>
      <c r="AB2542" t="s">
        <v>2509</v>
      </c>
      <c r="AC2542" t="s">
        <v>717</v>
      </c>
      <c r="AD2542" t="s">
        <v>717</v>
      </c>
      <c r="AE2542" t="s">
        <v>10395</v>
      </c>
      <c r="AF2542" t="s">
        <v>10837</v>
      </c>
      <c r="AG2542" t="s">
        <v>10397</v>
      </c>
      <c r="AH2542" t="s">
        <v>2615</v>
      </c>
      <c r="AI2542" t="s">
        <v>2600</v>
      </c>
      <c r="AJ2542" t="s">
        <v>3921</v>
      </c>
      <c r="AK2542" t="s">
        <v>8</v>
      </c>
      <c r="AL2542" t="s">
        <v>717</v>
      </c>
      <c r="AM2542" t="s">
        <v>10</v>
      </c>
      <c r="AN2542" t="s">
        <v>717</v>
      </c>
    </row>
    <row r="2543" spans="1:40" hidden="1">
      <c r="A2543">
        <v>2542</v>
      </c>
      <c r="B2543">
        <v>5</v>
      </c>
      <c r="C2543" s="58">
        <v>45637</v>
      </c>
      <c r="D2543" t="s">
        <v>7</v>
      </c>
      <c r="E2543" t="s">
        <v>2506</v>
      </c>
      <c r="F2543">
        <v>1</v>
      </c>
      <c r="G2543">
        <v>1</v>
      </c>
      <c r="H2543">
        <v>5</v>
      </c>
      <c r="I2543" t="s">
        <v>1368</v>
      </c>
      <c r="J2543">
        <v>81.599999999999994</v>
      </c>
      <c r="K2543" t="s">
        <v>9</v>
      </c>
      <c r="L2543">
        <v>9445200</v>
      </c>
      <c r="M2543">
        <v>0</v>
      </c>
      <c r="N2543">
        <v>9445200</v>
      </c>
      <c r="O2543">
        <v>115750</v>
      </c>
      <c r="P2543">
        <v>0</v>
      </c>
      <c r="Q2543">
        <v>9445200</v>
      </c>
      <c r="R2543">
        <v>115750</v>
      </c>
      <c r="S2543" t="s">
        <v>130</v>
      </c>
      <c r="T2543" t="s">
        <v>2941</v>
      </c>
      <c r="U2543">
        <v>408000</v>
      </c>
      <c r="V2543" t="s">
        <v>717</v>
      </c>
      <c r="W2543">
        <v>45638</v>
      </c>
      <c r="X2543" t="s">
        <v>10838</v>
      </c>
      <c r="Y2543" t="s">
        <v>1368</v>
      </c>
      <c r="Z2543" t="s">
        <v>17</v>
      </c>
      <c r="AA2543" t="s">
        <v>5617</v>
      </c>
      <c r="AB2543" t="s">
        <v>326</v>
      </c>
      <c r="AC2543" t="s">
        <v>717</v>
      </c>
      <c r="AD2543" t="s">
        <v>717</v>
      </c>
      <c r="AE2543" t="s">
        <v>10833</v>
      </c>
      <c r="AF2543" t="s">
        <v>10834</v>
      </c>
      <c r="AG2543" t="s">
        <v>717</v>
      </c>
      <c r="AH2543" t="s">
        <v>2191</v>
      </c>
      <c r="AI2543" t="s">
        <v>2621</v>
      </c>
      <c r="AJ2543" t="s">
        <v>2514</v>
      </c>
      <c r="AK2543" t="s">
        <v>8</v>
      </c>
      <c r="AL2543" t="s">
        <v>717</v>
      </c>
      <c r="AM2543" t="s">
        <v>10</v>
      </c>
      <c r="AN2543" t="s">
        <v>717</v>
      </c>
    </row>
    <row r="2544" spans="1:40" hidden="1">
      <c r="A2544">
        <v>2543</v>
      </c>
      <c r="B2544">
        <v>6</v>
      </c>
      <c r="C2544" s="58">
        <v>45642</v>
      </c>
      <c r="D2544" t="s">
        <v>13</v>
      </c>
      <c r="E2544" t="s">
        <v>2515</v>
      </c>
      <c r="F2544">
        <v>2</v>
      </c>
      <c r="G2544">
        <v>9</v>
      </c>
      <c r="H2544">
        <v>57</v>
      </c>
      <c r="I2544">
        <v>2</v>
      </c>
      <c r="J2544">
        <v>68.5</v>
      </c>
      <c r="K2544" t="s">
        <v>21</v>
      </c>
      <c r="L2544">
        <v>7178664</v>
      </c>
      <c r="M2544">
        <v>15000</v>
      </c>
      <c r="N2544">
        <v>7193664</v>
      </c>
      <c r="O2544">
        <v>105016.99270072993</v>
      </c>
      <c r="P2544">
        <v>548000</v>
      </c>
      <c r="Q2544">
        <v>6645664</v>
      </c>
      <c r="R2544">
        <v>97016.992700729927</v>
      </c>
      <c r="S2544" t="s">
        <v>65</v>
      </c>
      <c r="T2544" t="s">
        <v>5768</v>
      </c>
      <c r="U2544">
        <v>205536</v>
      </c>
      <c r="V2544" t="s">
        <v>1970</v>
      </c>
      <c r="W2544">
        <v>45597</v>
      </c>
      <c r="X2544" t="s">
        <v>10839</v>
      </c>
      <c r="Y2544" t="s">
        <v>6</v>
      </c>
      <c r="Z2544" t="s">
        <v>17</v>
      </c>
      <c r="AA2544" t="s">
        <v>5617</v>
      </c>
      <c r="AB2544" t="s">
        <v>2509</v>
      </c>
      <c r="AC2544" t="s">
        <v>5105</v>
      </c>
      <c r="AD2544" t="s">
        <v>717</v>
      </c>
      <c r="AE2544" t="s">
        <v>10840</v>
      </c>
      <c r="AF2544" t="s">
        <v>10841</v>
      </c>
      <c r="AG2544" t="s">
        <v>10842</v>
      </c>
      <c r="AH2544" t="s">
        <v>2191</v>
      </c>
      <c r="AI2544" t="s">
        <v>2802</v>
      </c>
      <c r="AJ2544" t="s">
        <v>2514</v>
      </c>
      <c r="AK2544" t="s">
        <v>14</v>
      </c>
      <c r="AL2544" t="s">
        <v>22</v>
      </c>
      <c r="AM2544" t="s">
        <v>10</v>
      </c>
      <c r="AN2544" t="s">
        <v>717</v>
      </c>
    </row>
    <row r="2545" spans="1:40" hidden="1">
      <c r="A2545">
        <v>2544</v>
      </c>
      <c r="B2545">
        <v>7</v>
      </c>
      <c r="C2545" s="58">
        <v>45642</v>
      </c>
      <c r="D2545" t="s">
        <v>1875</v>
      </c>
      <c r="E2545" t="s">
        <v>10458</v>
      </c>
      <c r="F2545">
        <v>5</v>
      </c>
      <c r="G2545">
        <v>9</v>
      </c>
      <c r="H2545">
        <v>96</v>
      </c>
      <c r="I2545">
        <v>2</v>
      </c>
      <c r="J2545">
        <v>49.2</v>
      </c>
      <c r="K2545" t="s">
        <v>9</v>
      </c>
      <c r="L2545">
        <v>6051592</v>
      </c>
      <c r="M2545">
        <v>15000</v>
      </c>
      <c r="N2545">
        <v>6066592</v>
      </c>
      <c r="O2545">
        <v>123304.71544715446</v>
      </c>
      <c r="P2545">
        <v>0</v>
      </c>
      <c r="Q2545">
        <v>6066592</v>
      </c>
      <c r="R2545">
        <v>123304.71544715446</v>
      </c>
      <c r="S2545" t="s">
        <v>130</v>
      </c>
      <c r="T2545" t="s">
        <v>2664</v>
      </c>
      <c r="U2545">
        <v>123808</v>
      </c>
      <c r="V2545" t="s">
        <v>717</v>
      </c>
      <c r="W2545">
        <v>45636</v>
      </c>
      <c r="X2545" t="s">
        <v>10843</v>
      </c>
      <c r="Y2545" t="s">
        <v>6</v>
      </c>
      <c r="Z2545" t="s">
        <v>17</v>
      </c>
      <c r="AA2545" t="s">
        <v>6637</v>
      </c>
      <c r="AB2545" t="s">
        <v>2509</v>
      </c>
      <c r="AC2545" t="s">
        <v>717</v>
      </c>
      <c r="AD2545" t="s">
        <v>717</v>
      </c>
      <c r="AE2545" t="s">
        <v>10844</v>
      </c>
      <c r="AF2545" t="s">
        <v>10845</v>
      </c>
      <c r="AG2545" t="s">
        <v>10846</v>
      </c>
      <c r="AH2545" t="s">
        <v>2615</v>
      </c>
      <c r="AI2545" t="s">
        <v>2521</v>
      </c>
      <c r="AJ2545" t="s">
        <v>2895</v>
      </c>
      <c r="AK2545" t="s">
        <v>20</v>
      </c>
      <c r="AL2545" t="s">
        <v>717</v>
      </c>
      <c r="AM2545" t="s">
        <v>10</v>
      </c>
      <c r="AN2545" t="s">
        <v>717</v>
      </c>
    </row>
    <row r="2546" spans="1:40" hidden="1">
      <c r="A2546">
        <v>2545</v>
      </c>
      <c r="B2546">
        <v>8</v>
      </c>
      <c r="C2546" s="58">
        <v>45642</v>
      </c>
      <c r="D2546" t="s">
        <v>1876</v>
      </c>
      <c r="E2546" t="s">
        <v>10835</v>
      </c>
      <c r="F2546">
        <v>1</v>
      </c>
      <c r="G2546">
        <v>17</v>
      </c>
      <c r="H2546">
        <v>271</v>
      </c>
      <c r="I2546">
        <v>1</v>
      </c>
      <c r="J2546">
        <v>43.88</v>
      </c>
      <c r="K2546" t="s">
        <v>9</v>
      </c>
      <c r="L2546">
        <v>5341200</v>
      </c>
      <c r="M2546">
        <v>0</v>
      </c>
      <c r="N2546">
        <v>5341200</v>
      </c>
      <c r="O2546">
        <v>121722.88058340928</v>
      </c>
      <c r="P2546">
        <v>0</v>
      </c>
      <c r="Q2546">
        <v>5341200</v>
      </c>
      <c r="R2546">
        <v>121722.88058340928</v>
      </c>
      <c r="S2546" t="s">
        <v>130</v>
      </c>
      <c r="T2546" t="s">
        <v>9455</v>
      </c>
      <c r="U2546">
        <v>50000</v>
      </c>
      <c r="V2546" t="s">
        <v>717</v>
      </c>
      <c r="W2546">
        <v>45635</v>
      </c>
      <c r="X2546" t="s">
        <v>10847</v>
      </c>
      <c r="Y2546" t="s">
        <v>6</v>
      </c>
      <c r="Z2546" t="s">
        <v>17</v>
      </c>
      <c r="AA2546" t="s">
        <v>6637</v>
      </c>
      <c r="AB2546" t="s">
        <v>2509</v>
      </c>
      <c r="AC2546" t="s">
        <v>717</v>
      </c>
      <c r="AD2546" t="s">
        <v>717</v>
      </c>
      <c r="AE2546" t="s">
        <v>10848</v>
      </c>
      <c r="AF2546" t="s">
        <v>10849</v>
      </c>
      <c r="AG2546" t="s">
        <v>10850</v>
      </c>
      <c r="AH2546" t="s">
        <v>2615</v>
      </c>
      <c r="AI2546" t="s">
        <v>2552</v>
      </c>
      <c r="AJ2546" t="s">
        <v>2642</v>
      </c>
      <c r="AK2546" t="s">
        <v>8</v>
      </c>
      <c r="AL2546" t="s">
        <v>717</v>
      </c>
      <c r="AM2546" t="s">
        <v>10</v>
      </c>
      <c r="AN2546" t="s">
        <v>717</v>
      </c>
    </row>
    <row r="2547" spans="1:40" hidden="1">
      <c r="A2547">
        <v>2546</v>
      </c>
      <c r="B2547">
        <v>9</v>
      </c>
      <c r="C2547" s="58">
        <v>45643</v>
      </c>
      <c r="D2547" t="s">
        <v>13</v>
      </c>
      <c r="E2547" t="s">
        <v>4409</v>
      </c>
      <c r="F2547">
        <v>5</v>
      </c>
      <c r="G2547">
        <v>16</v>
      </c>
      <c r="H2547">
        <v>513</v>
      </c>
      <c r="I2547">
        <v>2</v>
      </c>
      <c r="J2547">
        <v>57.8</v>
      </c>
      <c r="K2547" t="s">
        <v>25</v>
      </c>
      <c r="L2547">
        <v>8297252</v>
      </c>
      <c r="M2547">
        <v>15000</v>
      </c>
      <c r="N2547">
        <v>8312252</v>
      </c>
      <c r="O2547">
        <v>143810.58823529413</v>
      </c>
      <c r="P2547">
        <v>1445000</v>
      </c>
      <c r="Q2547">
        <v>6867252</v>
      </c>
      <c r="R2547">
        <v>118810.58823529413</v>
      </c>
      <c r="S2547" t="s">
        <v>65</v>
      </c>
      <c r="T2547" t="s">
        <v>2664</v>
      </c>
      <c r="U2547">
        <v>140148</v>
      </c>
      <c r="V2547" t="s">
        <v>6312</v>
      </c>
      <c r="W2547">
        <v>45629</v>
      </c>
      <c r="X2547" t="s">
        <v>10851</v>
      </c>
      <c r="Y2547" t="s">
        <v>6</v>
      </c>
      <c r="Z2547" t="s">
        <v>17</v>
      </c>
      <c r="AA2547" t="s">
        <v>6637</v>
      </c>
      <c r="AB2547" t="s">
        <v>2509</v>
      </c>
      <c r="AC2547" t="s">
        <v>2571</v>
      </c>
      <c r="AD2547" t="s">
        <v>717</v>
      </c>
      <c r="AE2547" t="s">
        <v>10852</v>
      </c>
      <c r="AF2547" t="s">
        <v>10853</v>
      </c>
      <c r="AG2547" t="s">
        <v>10854</v>
      </c>
      <c r="AH2547" t="s">
        <v>2615</v>
      </c>
      <c r="AI2547" t="s">
        <v>2538</v>
      </c>
      <c r="AJ2547" t="s">
        <v>2662</v>
      </c>
      <c r="AK2547" t="s">
        <v>14</v>
      </c>
      <c r="AL2547" t="s">
        <v>22</v>
      </c>
      <c r="AM2547" t="s">
        <v>10</v>
      </c>
      <c r="AN2547" t="s">
        <v>717</v>
      </c>
    </row>
    <row r="2548" spans="1:40" hidden="1">
      <c r="A2548">
        <v>2547</v>
      </c>
      <c r="B2548">
        <v>10</v>
      </c>
      <c r="C2548" s="58">
        <v>45643</v>
      </c>
      <c r="D2548" t="s">
        <v>13</v>
      </c>
      <c r="E2548" t="s">
        <v>4409</v>
      </c>
      <c r="F2548">
        <v>8</v>
      </c>
      <c r="G2548">
        <v>11</v>
      </c>
      <c r="H2548">
        <v>476</v>
      </c>
      <c r="I2548">
        <v>1</v>
      </c>
      <c r="J2548">
        <v>39.69</v>
      </c>
      <c r="K2548" t="s">
        <v>25</v>
      </c>
      <c r="L2548">
        <v>6289640</v>
      </c>
      <c r="M2548">
        <v>0</v>
      </c>
      <c r="N2548">
        <v>6289640</v>
      </c>
      <c r="O2548">
        <v>158469.13580246916</v>
      </c>
      <c r="P2548">
        <v>992250</v>
      </c>
      <c r="Q2548">
        <v>5297390</v>
      </c>
      <c r="R2548">
        <v>133469.13580246913</v>
      </c>
      <c r="S2548" t="s">
        <v>65</v>
      </c>
      <c r="T2548" t="s">
        <v>2664</v>
      </c>
      <c r="U2548">
        <v>108110.00000000092</v>
      </c>
      <c r="V2548" t="s">
        <v>6312</v>
      </c>
      <c r="W2548">
        <v>45635</v>
      </c>
      <c r="X2548" t="s">
        <v>10855</v>
      </c>
      <c r="Y2548" t="s">
        <v>6</v>
      </c>
      <c r="Z2548" t="s">
        <v>17</v>
      </c>
      <c r="AA2548" t="s">
        <v>6637</v>
      </c>
      <c r="AB2548" t="s">
        <v>2509</v>
      </c>
      <c r="AC2548" t="s">
        <v>2571</v>
      </c>
      <c r="AD2548" t="s">
        <v>717</v>
      </c>
      <c r="AE2548" t="s">
        <v>10856</v>
      </c>
      <c r="AF2548" t="s">
        <v>10857</v>
      </c>
      <c r="AG2548" t="s">
        <v>10858</v>
      </c>
      <c r="AH2548" t="s">
        <v>6100</v>
      </c>
      <c r="AI2548" t="s">
        <v>10676</v>
      </c>
      <c r="AJ2548" t="s">
        <v>45</v>
      </c>
      <c r="AK2548" t="s">
        <v>8</v>
      </c>
      <c r="AL2548" t="s">
        <v>22</v>
      </c>
      <c r="AM2548" t="s">
        <v>5654</v>
      </c>
      <c r="AN2548" t="s">
        <v>717</v>
      </c>
    </row>
    <row r="2549" spans="1:40" hidden="1">
      <c r="A2549">
        <v>2548</v>
      </c>
      <c r="B2549">
        <v>11</v>
      </c>
      <c r="C2549" s="58">
        <v>45643</v>
      </c>
      <c r="D2549" t="s">
        <v>1875</v>
      </c>
      <c r="E2549" t="s">
        <v>10295</v>
      </c>
      <c r="F2549">
        <v>2</v>
      </c>
      <c r="G2549">
        <v>14</v>
      </c>
      <c r="H2549">
        <v>50</v>
      </c>
      <c r="I2549">
        <v>1</v>
      </c>
      <c r="J2549">
        <v>35.53</v>
      </c>
      <c r="K2549" t="s">
        <v>9</v>
      </c>
      <c r="L2549">
        <v>5023959</v>
      </c>
      <c r="M2549">
        <v>0</v>
      </c>
      <c r="N2549">
        <v>5023959</v>
      </c>
      <c r="O2549">
        <v>141400.47846889953</v>
      </c>
      <c r="P2549">
        <v>0</v>
      </c>
      <c r="Q2549">
        <v>5023959</v>
      </c>
      <c r="R2549">
        <v>141400.47846889953</v>
      </c>
      <c r="S2549" t="s">
        <v>65</v>
      </c>
      <c r="T2549" t="s">
        <v>2664</v>
      </c>
      <c r="U2549">
        <v>103041</v>
      </c>
      <c r="V2549" t="s">
        <v>6312</v>
      </c>
      <c r="W2549">
        <v>45638</v>
      </c>
      <c r="X2549" t="s">
        <v>10859</v>
      </c>
      <c r="Y2549" t="s">
        <v>6</v>
      </c>
      <c r="Z2549" t="s">
        <v>17</v>
      </c>
      <c r="AA2549" t="s">
        <v>5617</v>
      </c>
      <c r="AB2549" t="s">
        <v>2509</v>
      </c>
      <c r="AC2549" t="s">
        <v>3300</v>
      </c>
      <c r="AD2549" t="s">
        <v>717</v>
      </c>
      <c r="AE2549" t="s">
        <v>10860</v>
      </c>
      <c r="AF2549" t="s">
        <v>10861</v>
      </c>
      <c r="AG2549" t="s">
        <v>10862</v>
      </c>
      <c r="AH2549" t="s">
        <v>6100</v>
      </c>
      <c r="AI2549" t="s">
        <v>10467</v>
      </c>
      <c r="AJ2549" t="s">
        <v>42</v>
      </c>
      <c r="AK2549" t="s">
        <v>24</v>
      </c>
      <c r="AL2549" t="s">
        <v>22</v>
      </c>
      <c r="AM2549" t="s">
        <v>5654</v>
      </c>
      <c r="AN2549" t="s">
        <v>717</v>
      </c>
    </row>
    <row r="2550" spans="1:40" hidden="1">
      <c r="A2550">
        <v>2549</v>
      </c>
      <c r="B2550">
        <v>12</v>
      </c>
      <c r="C2550" s="58">
        <v>45643</v>
      </c>
      <c r="D2550" t="s">
        <v>13</v>
      </c>
      <c r="E2550" t="s">
        <v>2506</v>
      </c>
      <c r="F2550">
        <v>3</v>
      </c>
      <c r="G2550">
        <v>2</v>
      </c>
      <c r="H2550">
        <v>120</v>
      </c>
      <c r="I2550">
        <v>2</v>
      </c>
      <c r="J2550">
        <v>57.6</v>
      </c>
      <c r="K2550" t="s">
        <v>21</v>
      </c>
      <c r="L2550">
        <v>7414500</v>
      </c>
      <c r="M2550">
        <v>0</v>
      </c>
      <c r="N2550">
        <v>7414500</v>
      </c>
      <c r="O2550">
        <v>128723.95833333331</v>
      </c>
      <c r="P2550">
        <v>576000</v>
      </c>
      <c r="Q2550">
        <v>6838500</v>
      </c>
      <c r="R2550">
        <v>118723.95833333331</v>
      </c>
      <c r="S2550" t="s">
        <v>65</v>
      </c>
      <c r="T2550" t="s">
        <v>2941</v>
      </c>
      <c r="U2550">
        <v>211500</v>
      </c>
      <c r="V2550" t="s">
        <v>6312</v>
      </c>
      <c r="W2550">
        <v>45639</v>
      </c>
      <c r="X2550" t="s">
        <v>10863</v>
      </c>
      <c r="Y2550" t="s">
        <v>6</v>
      </c>
      <c r="Z2550" t="s">
        <v>17</v>
      </c>
      <c r="AA2550" t="s">
        <v>6637</v>
      </c>
      <c r="AB2550" t="s">
        <v>2509</v>
      </c>
      <c r="AC2550" t="s">
        <v>2571</v>
      </c>
      <c r="AD2550" t="s">
        <v>717</v>
      </c>
      <c r="AE2550" t="s">
        <v>10864</v>
      </c>
      <c r="AF2550" t="s">
        <v>10865</v>
      </c>
      <c r="AG2550" t="s">
        <v>10866</v>
      </c>
      <c r="AH2550" t="s">
        <v>6100</v>
      </c>
      <c r="AI2550" t="s">
        <v>9793</v>
      </c>
      <c r="AJ2550" t="s">
        <v>42</v>
      </c>
      <c r="AK2550" t="s">
        <v>20</v>
      </c>
      <c r="AL2550" t="s">
        <v>22</v>
      </c>
      <c r="AM2550" t="s">
        <v>5654</v>
      </c>
      <c r="AN2550" t="s">
        <v>717</v>
      </c>
    </row>
    <row r="2551" spans="1:40" hidden="1">
      <c r="A2551">
        <v>2550</v>
      </c>
      <c r="B2551">
        <v>13</v>
      </c>
      <c r="C2551" s="58">
        <v>45644</v>
      </c>
      <c r="D2551" t="s">
        <v>1876</v>
      </c>
      <c r="E2551" t="s">
        <v>10835</v>
      </c>
      <c r="F2551">
        <v>3</v>
      </c>
      <c r="G2551">
        <v>14</v>
      </c>
      <c r="H2551">
        <v>255</v>
      </c>
      <c r="I2551">
        <v>2</v>
      </c>
      <c r="J2551">
        <v>54.08</v>
      </c>
      <c r="K2551" t="s">
        <v>9</v>
      </c>
      <c r="L2551">
        <v>6295979</v>
      </c>
      <c r="M2551">
        <v>0</v>
      </c>
      <c r="N2551">
        <v>6295979</v>
      </c>
      <c r="O2551">
        <v>116419.7300295858</v>
      </c>
      <c r="P2551">
        <v>0</v>
      </c>
      <c r="Q2551">
        <v>6295979</v>
      </c>
      <c r="R2551">
        <v>116419.7300295858</v>
      </c>
      <c r="S2551" t="s">
        <v>130</v>
      </c>
      <c r="T2551" t="s">
        <v>5768</v>
      </c>
      <c r="U2551">
        <v>194721</v>
      </c>
      <c r="V2551" t="s">
        <v>717</v>
      </c>
      <c r="W2551">
        <v>45643</v>
      </c>
      <c r="X2551" t="s">
        <v>10867</v>
      </c>
      <c r="Y2551" t="s">
        <v>6</v>
      </c>
      <c r="Z2551" t="s">
        <v>17</v>
      </c>
      <c r="AA2551" t="s">
        <v>6637</v>
      </c>
      <c r="AB2551" t="s">
        <v>2509</v>
      </c>
      <c r="AC2551" t="s">
        <v>717</v>
      </c>
      <c r="AD2551" t="s">
        <v>717</v>
      </c>
      <c r="AE2551" t="s">
        <v>10868</v>
      </c>
      <c r="AF2551" t="s">
        <v>10869</v>
      </c>
      <c r="AG2551" t="s">
        <v>10870</v>
      </c>
      <c r="AH2551" t="s">
        <v>2191</v>
      </c>
      <c r="AI2551" t="s">
        <v>2521</v>
      </c>
      <c r="AJ2551" t="s">
        <v>2514</v>
      </c>
      <c r="AK2551" t="s">
        <v>20</v>
      </c>
      <c r="AL2551" t="s">
        <v>717</v>
      </c>
      <c r="AM2551" t="s">
        <v>10</v>
      </c>
      <c r="AN2551" t="s">
        <v>717</v>
      </c>
    </row>
    <row r="2552" spans="1:40" hidden="1">
      <c r="A2552">
        <v>2251</v>
      </c>
      <c r="B2552">
        <v>14</v>
      </c>
      <c r="C2552" s="58">
        <v>45649</v>
      </c>
      <c r="D2552" t="s">
        <v>13</v>
      </c>
      <c r="E2552" t="s">
        <v>4409</v>
      </c>
      <c r="F2552">
        <v>1</v>
      </c>
      <c r="G2552">
        <v>11</v>
      </c>
      <c r="H2552">
        <v>469</v>
      </c>
      <c r="I2552">
        <v>0</v>
      </c>
      <c r="J2552">
        <v>29.4</v>
      </c>
      <c r="K2552" t="s">
        <v>9</v>
      </c>
      <c r="L2552">
        <v>3993794</v>
      </c>
      <c r="M2552">
        <v>0</v>
      </c>
      <c r="N2552">
        <v>3993794</v>
      </c>
      <c r="O2552">
        <v>135843.33333333334</v>
      </c>
      <c r="P2552">
        <v>0</v>
      </c>
      <c r="Q2552">
        <v>3993794</v>
      </c>
      <c r="R2552">
        <v>135843.33333333334</v>
      </c>
      <c r="S2552" t="s">
        <v>65</v>
      </c>
      <c r="T2552" t="s">
        <v>2664</v>
      </c>
      <c r="U2552">
        <v>81506</v>
      </c>
      <c r="V2552" t="s">
        <v>6312</v>
      </c>
      <c r="W2552">
        <v>45636</v>
      </c>
      <c r="X2552" t="s">
        <v>10871</v>
      </c>
      <c r="Y2552" t="s">
        <v>6</v>
      </c>
      <c r="Z2552" t="s">
        <v>17</v>
      </c>
      <c r="AA2552" t="s">
        <v>6637</v>
      </c>
      <c r="AB2552" t="s">
        <v>2509</v>
      </c>
      <c r="AC2552" t="s">
        <v>2571</v>
      </c>
      <c r="AD2552" t="s">
        <v>717</v>
      </c>
      <c r="AE2552" t="s">
        <v>10872</v>
      </c>
      <c r="AF2552" t="s">
        <v>10873</v>
      </c>
      <c r="AG2552" t="s">
        <v>10874</v>
      </c>
      <c r="AH2552" t="s">
        <v>2615</v>
      </c>
      <c r="AI2552" t="s">
        <v>6951</v>
      </c>
      <c r="AJ2552" t="s">
        <v>2940</v>
      </c>
      <c r="AK2552" t="s">
        <v>14</v>
      </c>
      <c r="AL2552" t="s">
        <v>22</v>
      </c>
      <c r="AM2552" t="s">
        <v>10</v>
      </c>
      <c r="AN2552" t="s">
        <v>717</v>
      </c>
    </row>
    <row r="2553" spans="1:40" hidden="1">
      <c r="A2553">
        <v>2252</v>
      </c>
      <c r="B2553">
        <v>15</v>
      </c>
      <c r="C2553" s="58">
        <v>45649</v>
      </c>
      <c r="D2553" t="s">
        <v>1876</v>
      </c>
      <c r="E2553" t="s">
        <v>10295</v>
      </c>
      <c r="F2553">
        <v>5</v>
      </c>
      <c r="G2553">
        <v>6</v>
      </c>
      <c r="H2553">
        <v>29</v>
      </c>
      <c r="I2553">
        <v>1</v>
      </c>
      <c r="J2553">
        <v>37.01</v>
      </c>
      <c r="K2553" t="s">
        <v>9</v>
      </c>
      <c r="L2553">
        <v>4676854</v>
      </c>
      <c r="M2553">
        <v>0</v>
      </c>
      <c r="N2553">
        <v>4676854</v>
      </c>
      <c r="O2553">
        <v>126367.30613347744</v>
      </c>
      <c r="P2553">
        <v>0</v>
      </c>
      <c r="Q2553">
        <v>4676854</v>
      </c>
      <c r="R2553">
        <v>126367.30613347744</v>
      </c>
      <c r="S2553" t="s">
        <v>130</v>
      </c>
      <c r="T2553" t="s">
        <v>2664</v>
      </c>
      <c r="U2553">
        <v>95446</v>
      </c>
      <c r="V2553" t="s">
        <v>717</v>
      </c>
      <c r="W2553">
        <v>45645</v>
      </c>
      <c r="X2553" t="s">
        <v>10875</v>
      </c>
      <c r="Y2553" t="s">
        <v>6</v>
      </c>
      <c r="Z2553" t="s">
        <v>17</v>
      </c>
      <c r="AA2553" t="s">
        <v>6637</v>
      </c>
      <c r="AB2553" t="s">
        <v>2509</v>
      </c>
      <c r="AC2553" t="s">
        <v>717</v>
      </c>
      <c r="AD2553" t="s">
        <v>717</v>
      </c>
      <c r="AE2553" t="s">
        <v>10876</v>
      </c>
      <c r="AF2553" t="s">
        <v>10877</v>
      </c>
      <c r="AG2553" t="s">
        <v>10878</v>
      </c>
      <c r="AH2553" t="s">
        <v>6100</v>
      </c>
      <c r="AI2553" t="s">
        <v>9944</v>
      </c>
      <c r="AJ2553" t="s">
        <v>41</v>
      </c>
      <c r="AK2553" t="s">
        <v>14</v>
      </c>
      <c r="AL2553" t="s">
        <v>717</v>
      </c>
      <c r="AM2553" t="s">
        <v>5654</v>
      </c>
      <c r="AN2553" t="s">
        <v>717</v>
      </c>
    </row>
    <row r="2554" spans="1:40" hidden="1">
      <c r="A2554">
        <v>2253</v>
      </c>
      <c r="B2554">
        <v>16</v>
      </c>
      <c r="C2554" s="58">
        <v>45649</v>
      </c>
      <c r="D2554" t="s">
        <v>13</v>
      </c>
      <c r="E2554" t="s">
        <v>2581</v>
      </c>
      <c r="F2554">
        <v>3</v>
      </c>
      <c r="G2554">
        <v>6</v>
      </c>
      <c r="H2554">
        <v>259</v>
      </c>
      <c r="I2554">
        <v>2</v>
      </c>
      <c r="J2554">
        <v>56.58</v>
      </c>
      <c r="K2554" t="s">
        <v>25</v>
      </c>
      <c r="L2554">
        <v>8347800</v>
      </c>
      <c r="M2554">
        <v>0</v>
      </c>
      <c r="N2554">
        <v>8347800</v>
      </c>
      <c r="O2554">
        <v>147539.76670201484</v>
      </c>
      <c r="P2554">
        <v>1414500.0000000007</v>
      </c>
      <c r="Q2554">
        <v>6933299.9999999991</v>
      </c>
      <c r="R2554">
        <v>122539.76670201484</v>
      </c>
      <c r="S2554" t="s">
        <v>65</v>
      </c>
      <c r="T2554" t="s">
        <v>9455</v>
      </c>
      <c r="U2554">
        <v>40000</v>
      </c>
      <c r="V2554" t="s">
        <v>6312</v>
      </c>
      <c r="W2554">
        <v>45645</v>
      </c>
      <c r="X2554" t="s">
        <v>10879</v>
      </c>
      <c r="Y2554" t="s">
        <v>6</v>
      </c>
      <c r="Z2554" t="s">
        <v>17</v>
      </c>
      <c r="AA2554" t="s">
        <v>6637</v>
      </c>
      <c r="AB2554" t="s">
        <v>2509</v>
      </c>
      <c r="AC2554" t="s">
        <v>2571</v>
      </c>
      <c r="AD2554" t="s">
        <v>717</v>
      </c>
      <c r="AE2554" t="s">
        <v>10880</v>
      </c>
      <c r="AF2554" t="s">
        <v>10881</v>
      </c>
      <c r="AG2554" t="s">
        <v>10882</v>
      </c>
      <c r="AH2554" t="s">
        <v>6100</v>
      </c>
      <c r="AI2554" t="s">
        <v>10467</v>
      </c>
      <c r="AJ2554" t="s">
        <v>42</v>
      </c>
      <c r="AK2554" t="s">
        <v>14</v>
      </c>
      <c r="AL2554" t="s">
        <v>22</v>
      </c>
      <c r="AM2554" t="s">
        <v>5654</v>
      </c>
      <c r="AN2554" t="s">
        <v>717</v>
      </c>
    </row>
    <row r="2555" spans="1:40" hidden="1">
      <c r="A2555">
        <v>2554</v>
      </c>
      <c r="B2555">
        <v>17</v>
      </c>
      <c r="C2555" s="58">
        <v>45649</v>
      </c>
      <c r="D2555" t="s">
        <v>13</v>
      </c>
      <c r="E2555" t="s">
        <v>4409</v>
      </c>
      <c r="F2555">
        <v>1</v>
      </c>
      <c r="G2555">
        <v>14</v>
      </c>
      <c r="H2555">
        <v>493</v>
      </c>
      <c r="I2555">
        <v>0</v>
      </c>
      <c r="J2555">
        <v>29.4</v>
      </c>
      <c r="K2555" t="s">
        <v>9</v>
      </c>
      <c r="L2555">
        <v>3993794</v>
      </c>
      <c r="M2555">
        <v>0</v>
      </c>
      <c r="N2555">
        <v>3993794</v>
      </c>
      <c r="O2555">
        <v>135843.33333333334</v>
      </c>
      <c r="P2555">
        <v>0</v>
      </c>
      <c r="Q2555">
        <v>3993794</v>
      </c>
      <c r="R2555">
        <v>135843.33333333334</v>
      </c>
      <c r="S2555" t="s">
        <v>65</v>
      </c>
      <c r="T2555" t="s">
        <v>2664</v>
      </c>
      <c r="U2555">
        <v>81506</v>
      </c>
      <c r="V2555" t="s">
        <v>6312</v>
      </c>
      <c r="W2555">
        <v>45644</v>
      </c>
      <c r="X2555" t="s">
        <v>10883</v>
      </c>
      <c r="Y2555" t="s">
        <v>6</v>
      </c>
      <c r="Z2555" t="s">
        <v>17</v>
      </c>
      <c r="AA2555" t="s">
        <v>6637</v>
      </c>
      <c r="AB2555" t="s">
        <v>2509</v>
      </c>
      <c r="AC2555" t="s">
        <v>2571</v>
      </c>
      <c r="AD2555" t="s">
        <v>717</v>
      </c>
      <c r="AE2555" t="s">
        <v>10884</v>
      </c>
      <c r="AF2555" t="s">
        <v>10885</v>
      </c>
      <c r="AG2555" t="s">
        <v>717</v>
      </c>
      <c r="AH2555" t="s">
        <v>2615</v>
      </c>
      <c r="AI2555" t="s">
        <v>3120</v>
      </c>
      <c r="AJ2555" t="s">
        <v>3202</v>
      </c>
      <c r="AK2555" t="s">
        <v>24</v>
      </c>
      <c r="AL2555" t="s">
        <v>22</v>
      </c>
      <c r="AM2555" t="s">
        <v>10</v>
      </c>
      <c r="AN2555" t="s">
        <v>717</v>
      </c>
    </row>
    <row r="2556" spans="1:40" hidden="1">
      <c r="A2556">
        <v>2555</v>
      </c>
      <c r="B2556">
        <v>18</v>
      </c>
      <c r="C2556" s="58">
        <v>45652</v>
      </c>
      <c r="D2556" t="s">
        <v>13</v>
      </c>
      <c r="E2556" t="s">
        <v>4409</v>
      </c>
      <c r="F2556">
        <v>2</v>
      </c>
      <c r="G2556">
        <v>13</v>
      </c>
      <c r="H2556">
        <v>486</v>
      </c>
      <c r="I2556">
        <v>1</v>
      </c>
      <c r="J2556">
        <v>43.21</v>
      </c>
      <c r="K2556" t="s">
        <v>21</v>
      </c>
      <c r="L2556">
        <v>5126080</v>
      </c>
      <c r="M2556">
        <v>15000</v>
      </c>
      <c r="N2556">
        <v>5141080</v>
      </c>
      <c r="O2556">
        <v>118978.94006017126</v>
      </c>
      <c r="P2556">
        <v>345680</v>
      </c>
      <c r="Q2556">
        <v>4795400</v>
      </c>
      <c r="R2556">
        <v>110978.94006017126</v>
      </c>
      <c r="S2556" t="s">
        <v>65</v>
      </c>
      <c r="T2556" t="s">
        <v>717</v>
      </c>
      <c r="U2556" t="s">
        <v>717</v>
      </c>
      <c r="V2556" t="s">
        <v>6312</v>
      </c>
      <c r="W2556">
        <v>45651</v>
      </c>
      <c r="X2556" t="s">
        <v>10886</v>
      </c>
      <c r="Y2556" t="s">
        <v>6</v>
      </c>
      <c r="Z2556" t="s">
        <v>17</v>
      </c>
      <c r="AA2556" t="s">
        <v>6637</v>
      </c>
      <c r="AB2556" t="s">
        <v>2509</v>
      </c>
      <c r="AC2556" t="s">
        <v>2571</v>
      </c>
      <c r="AD2556" t="s">
        <v>717</v>
      </c>
      <c r="AE2556" t="s">
        <v>10887</v>
      </c>
      <c r="AF2556" t="s">
        <v>10888</v>
      </c>
      <c r="AG2556" t="s">
        <v>10889</v>
      </c>
      <c r="AH2556" t="s">
        <v>2191</v>
      </c>
      <c r="AI2556" t="s">
        <v>2552</v>
      </c>
      <c r="AJ2556" t="s">
        <v>2514</v>
      </c>
      <c r="AK2556" t="s">
        <v>8</v>
      </c>
      <c r="AL2556" t="s">
        <v>22</v>
      </c>
      <c r="AM2556" t="s">
        <v>10</v>
      </c>
      <c r="AN2556" t="s">
        <v>717</v>
      </c>
    </row>
    <row r="2557" spans="1:40" hidden="1">
      <c r="A2557">
        <v>2556</v>
      </c>
      <c r="B2557">
        <v>19</v>
      </c>
      <c r="C2557" s="58">
        <v>45652</v>
      </c>
      <c r="D2557" t="s">
        <v>13</v>
      </c>
      <c r="E2557" t="s">
        <v>2515</v>
      </c>
      <c r="F2557">
        <v>2</v>
      </c>
      <c r="G2557">
        <v>2</v>
      </c>
      <c r="H2557">
        <v>8</v>
      </c>
      <c r="I2557">
        <v>2</v>
      </c>
      <c r="J2557">
        <v>68.5</v>
      </c>
      <c r="K2557" t="s">
        <v>9</v>
      </c>
      <c r="L2557">
        <v>8119006</v>
      </c>
      <c r="M2557">
        <v>0</v>
      </c>
      <c r="N2557">
        <v>8119006</v>
      </c>
      <c r="O2557">
        <v>118525.63503649634</v>
      </c>
      <c r="P2557">
        <v>0</v>
      </c>
      <c r="Q2557">
        <v>8119006</v>
      </c>
      <c r="R2557">
        <v>118525.63503649634</v>
      </c>
      <c r="S2557" t="s">
        <v>65</v>
      </c>
      <c r="T2557" t="s">
        <v>2664</v>
      </c>
      <c r="U2557">
        <v>165694</v>
      </c>
      <c r="V2557" t="s">
        <v>6312</v>
      </c>
      <c r="W2557">
        <v>45645</v>
      </c>
      <c r="X2557" t="s">
        <v>10890</v>
      </c>
      <c r="Y2557" t="s">
        <v>6</v>
      </c>
      <c r="Z2557" t="s">
        <v>17</v>
      </c>
      <c r="AA2557" t="s">
        <v>6637</v>
      </c>
      <c r="AB2557" t="s">
        <v>2509</v>
      </c>
      <c r="AC2557" t="s">
        <v>2571</v>
      </c>
      <c r="AD2557" t="s">
        <v>717</v>
      </c>
      <c r="AE2557" t="s">
        <v>10891</v>
      </c>
      <c r="AF2557" t="s">
        <v>10892</v>
      </c>
      <c r="AG2557" t="s">
        <v>10893</v>
      </c>
      <c r="AH2557" t="s">
        <v>6100</v>
      </c>
      <c r="AI2557" t="s">
        <v>5653</v>
      </c>
      <c r="AJ2557" t="s">
        <v>31</v>
      </c>
      <c r="AK2557" t="s">
        <v>24</v>
      </c>
      <c r="AL2557" t="s">
        <v>22</v>
      </c>
      <c r="AM2557" t="s">
        <v>5654</v>
      </c>
      <c r="AN2557" t="s">
        <v>717</v>
      </c>
    </row>
    <row r="2558" spans="1:40" hidden="1">
      <c r="A2558">
        <v>2557</v>
      </c>
      <c r="B2558">
        <v>20</v>
      </c>
      <c r="C2558" s="58">
        <v>45652</v>
      </c>
      <c r="D2558" t="s">
        <v>1875</v>
      </c>
      <c r="E2558" t="s">
        <v>10295</v>
      </c>
      <c r="F2558">
        <v>2</v>
      </c>
      <c r="G2558">
        <v>4</v>
      </c>
      <c r="H2558">
        <v>10</v>
      </c>
      <c r="I2558">
        <v>1</v>
      </c>
      <c r="J2558">
        <v>35.53</v>
      </c>
      <c r="K2558" t="s">
        <v>9</v>
      </c>
      <c r="L2558">
        <v>4707626</v>
      </c>
      <c r="M2558">
        <v>0</v>
      </c>
      <c r="N2558">
        <v>4707626</v>
      </c>
      <c r="O2558">
        <v>132497.21362229102</v>
      </c>
      <c r="P2558">
        <v>0</v>
      </c>
      <c r="Q2558">
        <v>4707626</v>
      </c>
      <c r="R2558">
        <v>132497.21362229102</v>
      </c>
      <c r="S2558" t="s">
        <v>65</v>
      </c>
      <c r="T2558" t="s">
        <v>2664</v>
      </c>
      <c r="U2558">
        <v>96074</v>
      </c>
      <c r="V2558" t="s">
        <v>6312</v>
      </c>
      <c r="W2558">
        <v>45650</v>
      </c>
      <c r="X2558" t="s">
        <v>10894</v>
      </c>
      <c r="Y2558" t="s">
        <v>6</v>
      </c>
      <c r="Z2558" t="s">
        <v>17</v>
      </c>
      <c r="AA2558" t="s">
        <v>6637</v>
      </c>
      <c r="AB2558" t="s">
        <v>2509</v>
      </c>
      <c r="AC2558" t="s">
        <v>2571</v>
      </c>
      <c r="AD2558" t="s">
        <v>717</v>
      </c>
      <c r="AE2558" t="s">
        <v>10895</v>
      </c>
      <c r="AF2558" t="s">
        <v>10896</v>
      </c>
      <c r="AG2558" t="s">
        <v>10897</v>
      </c>
      <c r="AH2558" t="s">
        <v>2615</v>
      </c>
      <c r="AI2558" t="s">
        <v>3120</v>
      </c>
      <c r="AJ2558" t="s">
        <v>3202</v>
      </c>
      <c r="AK2558" t="s">
        <v>8</v>
      </c>
      <c r="AL2558" t="s">
        <v>22</v>
      </c>
      <c r="AM2558" t="s">
        <v>10</v>
      </c>
      <c r="AN2558" t="s">
        <v>717</v>
      </c>
    </row>
    <row r="2559" spans="1:40" hidden="1">
      <c r="A2559">
        <v>2558</v>
      </c>
      <c r="B2559">
        <v>21</v>
      </c>
      <c r="C2559" s="58">
        <v>45652</v>
      </c>
      <c r="D2559" t="s">
        <v>13</v>
      </c>
      <c r="E2559" t="s">
        <v>2515</v>
      </c>
      <c r="F2559">
        <v>4</v>
      </c>
      <c r="G2559">
        <v>6</v>
      </c>
      <c r="H2559">
        <v>38</v>
      </c>
      <c r="I2559">
        <v>2</v>
      </c>
      <c r="J2559">
        <v>59.09</v>
      </c>
      <c r="K2559" t="s">
        <v>25</v>
      </c>
      <c r="L2559">
        <v>8565982</v>
      </c>
      <c r="M2559">
        <v>0</v>
      </c>
      <c r="N2559">
        <v>8565982</v>
      </c>
      <c r="O2559">
        <v>144965.00253850059</v>
      </c>
      <c r="P2559">
        <v>1477250</v>
      </c>
      <c r="Q2559">
        <v>7088732</v>
      </c>
      <c r="R2559">
        <v>119965.0025385006</v>
      </c>
      <c r="S2559" t="s">
        <v>65</v>
      </c>
      <c r="T2559" t="s">
        <v>2664</v>
      </c>
      <c r="U2559">
        <v>144668</v>
      </c>
      <c r="V2559" t="s">
        <v>6312</v>
      </c>
      <c r="W2559">
        <v>45650</v>
      </c>
      <c r="X2559" t="s">
        <v>10898</v>
      </c>
      <c r="Y2559" t="s">
        <v>6</v>
      </c>
      <c r="Z2559" t="s">
        <v>17</v>
      </c>
      <c r="AA2559" t="s">
        <v>6637</v>
      </c>
      <c r="AB2559" t="s">
        <v>2509</v>
      </c>
      <c r="AC2559" t="s">
        <v>2571</v>
      </c>
      <c r="AD2559" t="s">
        <v>717</v>
      </c>
      <c r="AE2559" t="s">
        <v>10899</v>
      </c>
      <c r="AF2559" t="s">
        <v>10900</v>
      </c>
      <c r="AG2559" t="s">
        <v>10901</v>
      </c>
      <c r="AH2559" t="s">
        <v>2552</v>
      </c>
      <c r="AI2559" t="s">
        <v>2552</v>
      </c>
      <c r="AJ2559" t="s">
        <v>2662</v>
      </c>
      <c r="AK2559" t="s">
        <v>20</v>
      </c>
      <c r="AL2559" t="s">
        <v>22</v>
      </c>
      <c r="AM2559" t="s">
        <v>10</v>
      </c>
      <c r="AN2559" t="s">
        <v>717</v>
      </c>
    </row>
    <row r="2560" spans="1:40" hidden="1">
      <c r="A2560">
        <v>2559</v>
      </c>
      <c r="B2560">
        <v>22</v>
      </c>
      <c r="C2560" s="58">
        <v>45652</v>
      </c>
      <c r="D2560" t="s">
        <v>1875</v>
      </c>
      <c r="E2560" t="s">
        <v>10458</v>
      </c>
      <c r="F2560">
        <v>1</v>
      </c>
      <c r="G2560">
        <v>3</v>
      </c>
      <c r="H2560">
        <v>9</v>
      </c>
      <c r="I2560" t="s">
        <v>10902</v>
      </c>
      <c r="J2560">
        <v>5.97</v>
      </c>
      <c r="K2560" t="s">
        <v>9</v>
      </c>
      <c r="L2560">
        <v>673200</v>
      </c>
      <c r="M2560">
        <v>0</v>
      </c>
      <c r="N2560">
        <v>673200</v>
      </c>
      <c r="O2560">
        <v>112763.8190954774</v>
      </c>
      <c r="P2560">
        <v>0</v>
      </c>
      <c r="Q2560">
        <v>673200</v>
      </c>
      <c r="R2560">
        <v>112763.8190954774</v>
      </c>
      <c r="S2560" t="s">
        <v>2507</v>
      </c>
      <c r="T2560" t="s">
        <v>717</v>
      </c>
      <c r="U2560" t="s">
        <v>717</v>
      </c>
      <c r="V2560" t="s">
        <v>717</v>
      </c>
      <c r="W2560">
        <v>45652</v>
      </c>
      <c r="X2560" t="s">
        <v>10903</v>
      </c>
      <c r="Y2560" t="s">
        <v>1368</v>
      </c>
      <c r="Z2560" t="s">
        <v>17</v>
      </c>
      <c r="AA2560" t="s">
        <v>5617</v>
      </c>
      <c r="AB2560" t="s">
        <v>2509</v>
      </c>
      <c r="AC2560" t="s">
        <v>717</v>
      </c>
      <c r="AD2560" t="s">
        <v>717</v>
      </c>
      <c r="AE2560" t="s">
        <v>10461</v>
      </c>
      <c r="AF2560" t="s">
        <v>10904</v>
      </c>
      <c r="AG2560" t="s">
        <v>10463</v>
      </c>
      <c r="AH2560" t="s">
        <v>2615</v>
      </c>
      <c r="AI2560" t="s">
        <v>2600</v>
      </c>
      <c r="AJ2560" t="s">
        <v>3921</v>
      </c>
      <c r="AK2560" t="s">
        <v>14</v>
      </c>
      <c r="AL2560" t="s">
        <v>717</v>
      </c>
      <c r="AM2560" t="s">
        <v>10</v>
      </c>
      <c r="AN2560" t="s">
        <v>717</v>
      </c>
    </row>
    <row r="2561" spans="1:40" hidden="1">
      <c r="A2561">
        <v>2560</v>
      </c>
      <c r="B2561">
        <v>23</v>
      </c>
      <c r="C2561" s="58">
        <v>45654</v>
      </c>
      <c r="D2561" t="s">
        <v>13</v>
      </c>
      <c r="E2561" t="s">
        <v>2515</v>
      </c>
      <c r="F2561">
        <v>2</v>
      </c>
      <c r="G2561">
        <v>5</v>
      </c>
      <c r="H2561">
        <v>29</v>
      </c>
      <c r="I2561">
        <v>2</v>
      </c>
      <c r="J2561">
        <v>68.5</v>
      </c>
      <c r="K2561" t="s">
        <v>21</v>
      </c>
      <c r="L2561">
        <v>8727174</v>
      </c>
      <c r="M2561">
        <v>0</v>
      </c>
      <c r="N2561">
        <v>8727174</v>
      </c>
      <c r="O2561">
        <v>127404</v>
      </c>
      <c r="P2561">
        <v>685000</v>
      </c>
      <c r="Q2561">
        <v>8042174</v>
      </c>
      <c r="R2561">
        <v>117404</v>
      </c>
      <c r="S2561" t="s">
        <v>65</v>
      </c>
      <c r="T2561" t="s">
        <v>2664</v>
      </c>
      <c r="U2561">
        <v>164126</v>
      </c>
      <c r="V2561" t="s">
        <v>6312</v>
      </c>
      <c r="W2561">
        <v>45642</v>
      </c>
      <c r="X2561" t="s">
        <v>10905</v>
      </c>
      <c r="Y2561" t="s">
        <v>6</v>
      </c>
      <c r="Z2561" t="s">
        <v>17</v>
      </c>
      <c r="AA2561" t="s">
        <v>6637</v>
      </c>
      <c r="AB2561" t="s">
        <v>2509</v>
      </c>
      <c r="AC2561" t="s">
        <v>2571</v>
      </c>
      <c r="AD2561" t="s">
        <v>717</v>
      </c>
      <c r="AE2561" t="s">
        <v>10906</v>
      </c>
      <c r="AF2561" t="s">
        <v>10907</v>
      </c>
      <c r="AG2561" t="s">
        <v>10908</v>
      </c>
      <c r="AH2561" t="s">
        <v>2552</v>
      </c>
      <c r="AI2561" t="s">
        <v>2547</v>
      </c>
      <c r="AJ2561" t="s">
        <v>2855</v>
      </c>
      <c r="AK2561" t="s">
        <v>24</v>
      </c>
      <c r="AL2561" t="s">
        <v>22</v>
      </c>
      <c r="AM2561" t="s">
        <v>10</v>
      </c>
      <c r="AN2561" t="s">
        <v>717</v>
      </c>
    </row>
    <row r="2562" spans="1:40" hidden="1">
      <c r="A2562">
        <v>2561</v>
      </c>
      <c r="B2562">
        <v>24</v>
      </c>
      <c r="C2562" s="58">
        <v>45654</v>
      </c>
      <c r="D2562" t="s">
        <v>13</v>
      </c>
      <c r="E2562" t="s">
        <v>4409</v>
      </c>
      <c r="F2562">
        <v>3</v>
      </c>
      <c r="G2562">
        <v>15</v>
      </c>
      <c r="H2562">
        <v>503</v>
      </c>
      <c r="I2562">
        <v>0</v>
      </c>
      <c r="J2562">
        <v>24.5</v>
      </c>
      <c r="K2562" t="s">
        <v>25</v>
      </c>
      <c r="L2562">
        <v>4127700</v>
      </c>
      <c r="M2562">
        <v>0</v>
      </c>
      <c r="N2562">
        <v>4127700</v>
      </c>
      <c r="O2562">
        <v>168477.55102040817</v>
      </c>
      <c r="P2562">
        <v>612500</v>
      </c>
      <c r="Q2562">
        <v>3515200</v>
      </c>
      <c r="R2562">
        <v>143477.55102040817</v>
      </c>
      <c r="S2562" t="s">
        <v>65</v>
      </c>
      <c r="T2562" t="s">
        <v>717</v>
      </c>
      <c r="U2562" t="s">
        <v>717</v>
      </c>
      <c r="V2562" t="s">
        <v>6312</v>
      </c>
      <c r="W2562">
        <v>45645</v>
      </c>
      <c r="X2562" t="s">
        <v>10909</v>
      </c>
      <c r="Y2562" t="s">
        <v>6</v>
      </c>
      <c r="Z2562" t="s">
        <v>17</v>
      </c>
      <c r="AA2562" t="s">
        <v>6637</v>
      </c>
      <c r="AB2562" t="s">
        <v>2509</v>
      </c>
      <c r="AC2562" t="s">
        <v>2571</v>
      </c>
      <c r="AD2562" t="s">
        <v>717</v>
      </c>
      <c r="AE2562" t="s">
        <v>10910</v>
      </c>
      <c r="AF2562" t="s">
        <v>10911</v>
      </c>
      <c r="AG2562" t="s">
        <v>10912</v>
      </c>
      <c r="AH2562" t="s">
        <v>2552</v>
      </c>
      <c r="AI2562" t="s">
        <v>2552</v>
      </c>
      <c r="AJ2562" t="s">
        <v>2662</v>
      </c>
      <c r="AK2562" t="s">
        <v>14</v>
      </c>
      <c r="AL2562" t="s">
        <v>22</v>
      </c>
      <c r="AM2562" t="s">
        <v>10</v>
      </c>
      <c r="AN2562" t="s">
        <v>717</v>
      </c>
    </row>
    <row r="2563" spans="1:40" hidden="1">
      <c r="A2563">
        <v>2562</v>
      </c>
      <c r="B2563">
        <v>25</v>
      </c>
      <c r="C2563" s="58">
        <v>45654</v>
      </c>
      <c r="D2563" t="s">
        <v>7</v>
      </c>
      <c r="E2563" t="s">
        <v>2506</v>
      </c>
      <c r="F2563">
        <v>2</v>
      </c>
      <c r="G2563">
        <v>1</v>
      </c>
      <c r="H2563">
        <v>6</v>
      </c>
      <c r="I2563" t="s">
        <v>1368</v>
      </c>
      <c r="J2563">
        <v>70.5</v>
      </c>
      <c r="K2563" t="s">
        <v>9</v>
      </c>
      <c r="L2563">
        <v>8883000</v>
      </c>
      <c r="M2563">
        <v>0</v>
      </c>
      <c r="N2563">
        <v>8883000</v>
      </c>
      <c r="O2563">
        <v>126000</v>
      </c>
      <c r="P2563">
        <v>0</v>
      </c>
      <c r="Q2563">
        <v>8883000</v>
      </c>
      <c r="R2563">
        <v>126000</v>
      </c>
      <c r="S2563" t="s">
        <v>2507</v>
      </c>
      <c r="T2563" t="s">
        <v>717</v>
      </c>
      <c r="U2563" t="s">
        <v>717</v>
      </c>
      <c r="V2563" t="s">
        <v>717</v>
      </c>
      <c r="W2563">
        <v>45595</v>
      </c>
      <c r="X2563" t="s">
        <v>10913</v>
      </c>
      <c r="Y2563" t="s">
        <v>1368</v>
      </c>
      <c r="Z2563" t="s">
        <v>17</v>
      </c>
      <c r="AA2563" t="s">
        <v>5617</v>
      </c>
      <c r="AB2563" t="s">
        <v>326</v>
      </c>
      <c r="AC2563" t="s">
        <v>717</v>
      </c>
      <c r="AD2563" t="s">
        <v>717</v>
      </c>
      <c r="AE2563" t="s">
        <v>10745</v>
      </c>
      <c r="AF2563" t="s">
        <v>10371</v>
      </c>
      <c r="AG2563" t="s">
        <v>10746</v>
      </c>
      <c r="AH2563" t="s">
        <v>2615</v>
      </c>
      <c r="AI2563" t="s">
        <v>2621</v>
      </c>
      <c r="AJ2563" t="s">
        <v>3921</v>
      </c>
      <c r="AK2563" t="s">
        <v>8</v>
      </c>
      <c r="AL2563" t="s">
        <v>22</v>
      </c>
      <c r="AM2563" t="s">
        <v>10</v>
      </c>
      <c r="AN2563" t="s">
        <v>717</v>
      </c>
    </row>
    <row r="2564" spans="1:40" hidden="1">
      <c r="A2564">
        <v>2563</v>
      </c>
      <c r="B2564">
        <v>1</v>
      </c>
      <c r="C2564" s="58">
        <v>45667</v>
      </c>
      <c r="D2564" t="s">
        <v>1876</v>
      </c>
      <c r="E2564" t="s">
        <v>10295</v>
      </c>
      <c r="F2564">
        <v>5</v>
      </c>
      <c r="G2564">
        <v>9</v>
      </c>
      <c r="H2564">
        <v>47</v>
      </c>
      <c r="I2564">
        <v>1</v>
      </c>
      <c r="J2564">
        <v>37.01</v>
      </c>
      <c r="K2564" t="s">
        <v>9</v>
      </c>
      <c r="L2564">
        <v>4624816</v>
      </c>
      <c r="M2564">
        <v>0</v>
      </c>
      <c r="N2564">
        <v>4624816</v>
      </c>
      <c r="O2564">
        <v>124961.25371521212</v>
      </c>
      <c r="P2564">
        <v>0</v>
      </c>
      <c r="Q2564">
        <v>4624816</v>
      </c>
      <c r="R2564">
        <v>124961.25371521212</v>
      </c>
      <c r="S2564" t="s">
        <v>130</v>
      </c>
      <c r="T2564" t="s">
        <v>2664</v>
      </c>
      <c r="U2564">
        <v>94384</v>
      </c>
      <c r="V2564" t="s">
        <v>717</v>
      </c>
      <c r="W2564">
        <v>45666</v>
      </c>
      <c r="X2564" t="s">
        <v>10914</v>
      </c>
      <c r="Y2564" t="s">
        <v>6</v>
      </c>
      <c r="Z2564" t="s">
        <v>17</v>
      </c>
      <c r="AA2564" t="s">
        <v>6637</v>
      </c>
      <c r="AB2564" t="s">
        <v>2509</v>
      </c>
      <c r="AC2564" t="s">
        <v>717</v>
      </c>
      <c r="AD2564" t="s">
        <v>717</v>
      </c>
      <c r="AE2564" t="s">
        <v>2307</v>
      </c>
      <c r="AF2564" t="s">
        <v>10915</v>
      </c>
      <c r="AG2564" t="s">
        <v>10916</v>
      </c>
      <c r="AH2564" t="s">
        <v>2615</v>
      </c>
      <c r="AI2564" t="s">
        <v>2521</v>
      </c>
      <c r="AJ2564" t="s">
        <v>2895</v>
      </c>
      <c r="AK2564" t="s">
        <v>24</v>
      </c>
      <c r="AL2564" t="s">
        <v>717</v>
      </c>
      <c r="AM2564" t="s">
        <v>10</v>
      </c>
      <c r="AN2564" t="s">
        <v>717</v>
      </c>
    </row>
    <row r="2565" spans="1:40" hidden="1">
      <c r="A2565">
        <v>2564</v>
      </c>
      <c r="B2565">
        <v>2</v>
      </c>
      <c r="C2565" s="58">
        <v>45672</v>
      </c>
      <c r="D2565" t="s">
        <v>13</v>
      </c>
      <c r="E2565" t="s">
        <v>2581</v>
      </c>
      <c r="F2565">
        <v>3</v>
      </c>
      <c r="G2565">
        <v>19</v>
      </c>
      <c r="H2565">
        <v>350</v>
      </c>
      <c r="I2565">
        <v>2</v>
      </c>
      <c r="J2565">
        <v>56.58</v>
      </c>
      <c r="K2565" t="s">
        <v>21</v>
      </c>
      <c r="L2565">
        <v>7916848</v>
      </c>
      <c r="M2565">
        <v>0</v>
      </c>
      <c r="N2565">
        <v>7916848</v>
      </c>
      <c r="O2565">
        <v>139923.08236125839</v>
      </c>
      <c r="P2565">
        <v>565800</v>
      </c>
      <c r="Q2565">
        <v>7351048</v>
      </c>
      <c r="R2565">
        <v>129923.08236125841</v>
      </c>
      <c r="S2565" t="s">
        <v>65</v>
      </c>
      <c r="T2565" t="s">
        <v>5768</v>
      </c>
      <c r="U2565">
        <v>227352</v>
      </c>
      <c r="V2565" t="s">
        <v>6312</v>
      </c>
      <c r="W2565">
        <v>45670</v>
      </c>
      <c r="X2565" t="s">
        <v>10917</v>
      </c>
      <c r="Y2565" t="s">
        <v>6</v>
      </c>
      <c r="Z2565" t="s">
        <v>17</v>
      </c>
      <c r="AA2565" t="s">
        <v>6637</v>
      </c>
      <c r="AB2565" t="s">
        <v>2509</v>
      </c>
      <c r="AC2565" t="s">
        <v>2571</v>
      </c>
      <c r="AD2565" t="s">
        <v>717</v>
      </c>
      <c r="AE2565" t="s">
        <v>10918</v>
      </c>
      <c r="AF2565" t="s">
        <v>10919</v>
      </c>
      <c r="AG2565" t="s">
        <v>10920</v>
      </c>
      <c r="AH2565" t="s">
        <v>2191</v>
      </c>
      <c r="AI2565" t="s">
        <v>2521</v>
      </c>
      <c r="AJ2565" t="s">
        <v>2514</v>
      </c>
      <c r="AK2565" t="s">
        <v>14</v>
      </c>
      <c r="AL2565" t="s">
        <v>22</v>
      </c>
      <c r="AM2565" t="s">
        <v>10</v>
      </c>
      <c r="AN2565" t="s">
        <v>717</v>
      </c>
    </row>
    <row r="2566" spans="1:40" hidden="1">
      <c r="A2566">
        <v>2565</v>
      </c>
      <c r="B2566">
        <v>3</v>
      </c>
      <c r="C2566" s="58">
        <v>45679</v>
      </c>
      <c r="D2566" t="s">
        <v>13</v>
      </c>
      <c r="E2566" t="s">
        <v>2581</v>
      </c>
      <c r="F2566">
        <v>5</v>
      </c>
      <c r="G2566">
        <v>11</v>
      </c>
      <c r="H2566">
        <v>296</v>
      </c>
      <c r="I2566">
        <v>1</v>
      </c>
      <c r="J2566">
        <v>37.81</v>
      </c>
      <c r="K2566" t="s">
        <v>21</v>
      </c>
      <c r="L2566">
        <v>5515100</v>
      </c>
      <c r="M2566">
        <v>0</v>
      </c>
      <c r="N2566">
        <v>5515100</v>
      </c>
      <c r="O2566">
        <v>145863.52816715153</v>
      </c>
      <c r="P2566">
        <v>378100</v>
      </c>
      <c r="Q2566">
        <v>5137000</v>
      </c>
      <c r="R2566">
        <v>135863.52816715153</v>
      </c>
      <c r="S2566" t="s">
        <v>65</v>
      </c>
      <c r="T2566" t="s">
        <v>2941</v>
      </c>
      <c r="U2566">
        <v>100000</v>
      </c>
      <c r="V2566" t="s">
        <v>6312</v>
      </c>
      <c r="W2566">
        <v>45673</v>
      </c>
      <c r="X2566" t="s">
        <v>10921</v>
      </c>
      <c r="Y2566" t="s">
        <v>6</v>
      </c>
      <c r="Z2566" t="s">
        <v>17</v>
      </c>
      <c r="AA2566" t="s">
        <v>6637</v>
      </c>
      <c r="AB2566" t="s">
        <v>2509</v>
      </c>
      <c r="AC2566" t="s">
        <v>2571</v>
      </c>
      <c r="AD2566" t="s">
        <v>717</v>
      </c>
      <c r="AE2566" t="s">
        <v>10922</v>
      </c>
      <c r="AF2566" t="s">
        <v>10923</v>
      </c>
      <c r="AG2566" t="s">
        <v>10924</v>
      </c>
      <c r="AH2566" t="s">
        <v>2615</v>
      </c>
      <c r="AI2566" t="s">
        <v>2521</v>
      </c>
      <c r="AJ2566" t="s">
        <v>2662</v>
      </c>
      <c r="AK2566" t="s">
        <v>24</v>
      </c>
      <c r="AL2566" t="s">
        <v>26</v>
      </c>
      <c r="AM2566" t="s">
        <v>10</v>
      </c>
      <c r="AN2566" t="s">
        <v>717</v>
      </c>
    </row>
    <row r="2567" spans="1:40" hidden="1">
      <c r="A2567">
        <v>2566</v>
      </c>
      <c r="B2567">
        <v>4</v>
      </c>
      <c r="C2567" s="58">
        <v>45681</v>
      </c>
      <c r="D2567" t="s">
        <v>1876</v>
      </c>
      <c r="E2567" t="s">
        <v>10835</v>
      </c>
      <c r="F2567">
        <v>2</v>
      </c>
      <c r="G2567">
        <v>10</v>
      </c>
      <c r="H2567">
        <v>230</v>
      </c>
      <c r="I2567">
        <v>1</v>
      </c>
      <c r="J2567">
        <v>36.549999999999997</v>
      </c>
      <c r="K2567" t="s">
        <v>9</v>
      </c>
      <c r="L2567">
        <v>4516520</v>
      </c>
      <c r="M2567">
        <v>15000</v>
      </c>
      <c r="N2567">
        <v>4531520</v>
      </c>
      <c r="O2567">
        <v>123981.39534883722</v>
      </c>
      <c r="P2567">
        <v>0</v>
      </c>
      <c r="Q2567">
        <v>4531520</v>
      </c>
      <c r="R2567">
        <v>123981.39534883722</v>
      </c>
      <c r="S2567" t="s">
        <v>130</v>
      </c>
      <c r="T2567" t="s">
        <v>2664</v>
      </c>
      <c r="U2567">
        <v>92480</v>
      </c>
      <c r="V2567" t="s">
        <v>717</v>
      </c>
      <c r="W2567">
        <v>45652</v>
      </c>
      <c r="X2567" t="s">
        <v>10925</v>
      </c>
      <c r="Y2567" t="s">
        <v>6</v>
      </c>
      <c r="Z2567" t="s">
        <v>17</v>
      </c>
      <c r="AA2567" t="s">
        <v>6637</v>
      </c>
      <c r="AB2567" t="s">
        <v>2509</v>
      </c>
      <c r="AC2567" t="s">
        <v>717</v>
      </c>
      <c r="AD2567" t="s">
        <v>717</v>
      </c>
      <c r="AE2567" t="s">
        <v>10926</v>
      </c>
      <c r="AF2567" t="s">
        <v>10927</v>
      </c>
      <c r="AG2567" t="s">
        <v>10928</v>
      </c>
      <c r="AH2567" t="s">
        <v>2615</v>
      </c>
      <c r="AI2567" t="s">
        <v>2552</v>
      </c>
      <c r="AJ2567" t="s">
        <v>2825</v>
      </c>
      <c r="AK2567" t="s">
        <v>24</v>
      </c>
      <c r="AL2567" t="s">
        <v>717</v>
      </c>
      <c r="AM2567" t="s">
        <v>10</v>
      </c>
      <c r="AN2567" t="s">
        <v>717</v>
      </c>
    </row>
    <row r="2568" spans="1:40" hidden="1">
      <c r="A2568">
        <v>2567</v>
      </c>
      <c r="B2568">
        <v>5</v>
      </c>
      <c r="C2568" s="58">
        <v>45681</v>
      </c>
      <c r="D2568" t="s">
        <v>1876</v>
      </c>
      <c r="E2568" t="s">
        <v>10295</v>
      </c>
      <c r="F2568">
        <v>1</v>
      </c>
      <c r="G2568">
        <v>11</v>
      </c>
      <c r="H2568">
        <v>55</v>
      </c>
      <c r="I2568">
        <v>0</v>
      </c>
      <c r="J2568">
        <v>29.62</v>
      </c>
      <c r="K2568" t="s">
        <v>9</v>
      </c>
      <c r="L2568">
        <v>4174400</v>
      </c>
      <c r="M2568">
        <v>0</v>
      </c>
      <c r="N2568">
        <v>4174400</v>
      </c>
      <c r="O2568">
        <v>140931.80283592167</v>
      </c>
      <c r="P2568">
        <v>0</v>
      </c>
      <c r="Q2568">
        <v>4174400</v>
      </c>
      <c r="R2568">
        <v>140931.80283592167</v>
      </c>
      <c r="S2568" t="s">
        <v>130</v>
      </c>
      <c r="T2568" t="s">
        <v>717</v>
      </c>
      <c r="U2568" t="s">
        <v>717</v>
      </c>
      <c r="V2568" t="s">
        <v>717</v>
      </c>
      <c r="W2568">
        <v>45677</v>
      </c>
      <c r="X2568" t="s">
        <v>10929</v>
      </c>
      <c r="Y2568" t="s">
        <v>6</v>
      </c>
      <c r="Z2568" t="s">
        <v>17</v>
      </c>
      <c r="AA2568" t="s">
        <v>6637</v>
      </c>
      <c r="AB2568" t="s">
        <v>2509</v>
      </c>
      <c r="AC2568" t="s">
        <v>717</v>
      </c>
      <c r="AD2568" t="s">
        <v>717</v>
      </c>
      <c r="AE2568" t="s">
        <v>10930</v>
      </c>
      <c r="AF2568" t="s">
        <v>10931</v>
      </c>
      <c r="AG2568" t="s">
        <v>10932</v>
      </c>
      <c r="AH2568" t="s">
        <v>6100</v>
      </c>
      <c r="AI2568" t="s">
        <v>10676</v>
      </c>
      <c r="AJ2568" t="s">
        <v>45</v>
      </c>
      <c r="AK2568" t="s">
        <v>8</v>
      </c>
      <c r="AL2568" t="s">
        <v>717</v>
      </c>
      <c r="AM2568" t="s">
        <v>5654</v>
      </c>
      <c r="AN2568" t="s">
        <v>717</v>
      </c>
    </row>
    <row r="2569" spans="1:40" hidden="1">
      <c r="A2569">
        <v>2568</v>
      </c>
      <c r="B2569">
        <v>6</v>
      </c>
      <c r="C2569" s="58">
        <v>45688</v>
      </c>
      <c r="D2569" t="s">
        <v>1876</v>
      </c>
      <c r="E2569" t="s">
        <v>10835</v>
      </c>
      <c r="F2569">
        <v>2</v>
      </c>
      <c r="G2569">
        <v>4</v>
      </c>
      <c r="H2569">
        <v>194</v>
      </c>
      <c r="I2569">
        <v>1</v>
      </c>
      <c r="J2569">
        <v>36.64</v>
      </c>
      <c r="K2569" t="s">
        <v>9</v>
      </c>
      <c r="L2569">
        <v>4622268</v>
      </c>
      <c r="M2569">
        <v>0</v>
      </c>
      <c r="N2569">
        <v>4622268</v>
      </c>
      <c r="O2569">
        <v>126153.60262008732</v>
      </c>
      <c r="P2569">
        <v>0</v>
      </c>
      <c r="Q2569">
        <v>4622268</v>
      </c>
      <c r="R2569">
        <v>126153.60262008732</v>
      </c>
      <c r="S2569" t="s">
        <v>130</v>
      </c>
      <c r="T2569" t="s">
        <v>2664</v>
      </c>
      <c r="U2569">
        <v>94332</v>
      </c>
      <c r="V2569" t="s">
        <v>717</v>
      </c>
      <c r="W2569">
        <v>45689</v>
      </c>
      <c r="X2569" t="s">
        <v>10933</v>
      </c>
      <c r="Y2569" t="s">
        <v>6</v>
      </c>
      <c r="Z2569" t="s">
        <v>17</v>
      </c>
      <c r="AA2569" t="s">
        <v>6637</v>
      </c>
      <c r="AB2569" t="s">
        <v>2509</v>
      </c>
      <c r="AC2569" t="s">
        <v>717</v>
      </c>
      <c r="AD2569" t="s">
        <v>717</v>
      </c>
      <c r="AE2569" t="s">
        <v>2312</v>
      </c>
      <c r="AF2569" t="s">
        <v>10934</v>
      </c>
      <c r="AG2569" t="s">
        <v>10935</v>
      </c>
      <c r="AH2569" t="s">
        <v>2580</v>
      </c>
      <c r="AI2569" t="s">
        <v>2552</v>
      </c>
      <c r="AJ2569" t="s">
        <v>3921</v>
      </c>
      <c r="AK2569" t="s">
        <v>8</v>
      </c>
      <c r="AL2569" t="s">
        <v>717</v>
      </c>
      <c r="AM2569" t="s">
        <v>10</v>
      </c>
      <c r="AN2569" t="s">
        <v>717</v>
      </c>
    </row>
    <row r="2570" spans="1:40" hidden="1">
      <c r="A2570">
        <v>2569</v>
      </c>
      <c r="B2570">
        <v>1</v>
      </c>
      <c r="C2570" s="58">
        <v>45694</v>
      </c>
      <c r="D2570" t="s">
        <v>1876</v>
      </c>
      <c r="E2570" t="s">
        <v>10835</v>
      </c>
      <c r="F2570">
        <v>3</v>
      </c>
      <c r="G2570">
        <v>7</v>
      </c>
      <c r="H2570">
        <v>213</v>
      </c>
      <c r="I2570">
        <v>2</v>
      </c>
      <c r="J2570">
        <v>54.44</v>
      </c>
      <c r="K2570" t="s">
        <v>9</v>
      </c>
      <c r="L2570">
        <v>6390748</v>
      </c>
      <c r="M2570">
        <v>0</v>
      </c>
      <c r="N2570">
        <v>6390748</v>
      </c>
      <c r="O2570">
        <v>117390.66862601029</v>
      </c>
      <c r="P2570">
        <v>0</v>
      </c>
      <c r="Q2570">
        <v>6390748</v>
      </c>
      <c r="R2570">
        <v>117390.66862601029</v>
      </c>
      <c r="S2570" t="s">
        <v>130</v>
      </c>
      <c r="T2570" t="s">
        <v>2664</v>
      </c>
      <c r="U2570">
        <v>197652</v>
      </c>
      <c r="V2570" t="s">
        <v>717</v>
      </c>
      <c r="W2570">
        <v>45693</v>
      </c>
      <c r="X2570" t="s">
        <v>10936</v>
      </c>
      <c r="Y2570" t="s">
        <v>6</v>
      </c>
      <c r="Z2570" t="s">
        <v>17</v>
      </c>
      <c r="AA2570" t="s">
        <v>6637</v>
      </c>
      <c r="AB2570" t="s">
        <v>2509</v>
      </c>
      <c r="AC2570" t="s">
        <v>717</v>
      </c>
      <c r="AD2570" t="s">
        <v>717</v>
      </c>
      <c r="AE2570" t="s">
        <v>10937</v>
      </c>
      <c r="AF2570" t="s">
        <v>10938</v>
      </c>
      <c r="AG2570" t="s">
        <v>10939</v>
      </c>
      <c r="AH2570" t="s">
        <v>2191</v>
      </c>
      <c r="AI2570" t="s">
        <v>2706</v>
      </c>
      <c r="AJ2570" t="s">
        <v>2514</v>
      </c>
      <c r="AK2570" t="s">
        <v>8</v>
      </c>
      <c r="AL2570" t="s">
        <v>717</v>
      </c>
      <c r="AM2570" t="s">
        <v>10</v>
      </c>
      <c r="AN2570" t="s">
        <v>717</v>
      </c>
    </row>
    <row r="2571" spans="1:40" hidden="1">
      <c r="A2571">
        <v>2570</v>
      </c>
      <c r="B2571">
        <v>2</v>
      </c>
      <c r="C2571" s="58">
        <v>45696</v>
      </c>
      <c r="D2571" t="s">
        <v>13</v>
      </c>
      <c r="E2571" t="s">
        <v>4409</v>
      </c>
      <c r="F2571">
        <v>2</v>
      </c>
      <c r="G2571">
        <v>5</v>
      </c>
      <c r="H2571">
        <v>422</v>
      </c>
      <c r="I2571">
        <v>1</v>
      </c>
      <c r="J2571">
        <v>43.21</v>
      </c>
      <c r="K2571" t="s">
        <v>25</v>
      </c>
      <c r="L2571">
        <v>6758436</v>
      </c>
      <c r="M2571">
        <v>0</v>
      </c>
      <c r="N2571">
        <v>6758436</v>
      </c>
      <c r="O2571">
        <v>156409.07197408009</v>
      </c>
      <c r="P2571">
        <v>1080250</v>
      </c>
      <c r="Q2571">
        <v>5678186</v>
      </c>
      <c r="R2571">
        <v>131409.07197408009</v>
      </c>
      <c r="S2571" t="s">
        <v>65</v>
      </c>
      <c r="T2571" t="s">
        <v>4059</v>
      </c>
      <c r="U2571">
        <v>175614.00000000093</v>
      </c>
      <c r="V2571" t="s">
        <v>6312</v>
      </c>
      <c r="W2571">
        <v>45692</v>
      </c>
      <c r="X2571" t="s">
        <v>10940</v>
      </c>
      <c r="Y2571" t="s">
        <v>6</v>
      </c>
      <c r="Z2571" t="s">
        <v>17</v>
      </c>
      <c r="AA2571" t="s">
        <v>6637</v>
      </c>
      <c r="AB2571" t="s">
        <v>2509</v>
      </c>
      <c r="AC2571" t="s">
        <v>2571</v>
      </c>
      <c r="AD2571" t="s">
        <v>717</v>
      </c>
      <c r="AE2571" t="s">
        <v>10941</v>
      </c>
      <c r="AF2571" t="s">
        <v>10942</v>
      </c>
      <c r="AG2571" t="s">
        <v>10943</v>
      </c>
      <c r="AH2571" t="s">
        <v>2615</v>
      </c>
      <c r="AI2571" t="s">
        <v>2521</v>
      </c>
      <c r="AJ2571" t="s">
        <v>4799</v>
      </c>
      <c r="AK2571" t="s">
        <v>14</v>
      </c>
      <c r="AL2571" t="s">
        <v>22</v>
      </c>
      <c r="AM2571" t="s">
        <v>10</v>
      </c>
      <c r="AN2571" t="s">
        <v>717</v>
      </c>
    </row>
    <row r="2572" spans="1:40" hidden="1">
      <c r="A2572">
        <v>2571</v>
      </c>
      <c r="B2572">
        <v>3</v>
      </c>
      <c r="C2572" s="58">
        <v>45698</v>
      </c>
      <c r="D2572" t="s">
        <v>1876</v>
      </c>
      <c r="E2572" t="s">
        <v>10295</v>
      </c>
      <c r="F2572">
        <v>5</v>
      </c>
      <c r="G2572">
        <v>13</v>
      </c>
      <c r="H2572">
        <v>71</v>
      </c>
      <c r="I2572">
        <v>1</v>
      </c>
      <c r="J2572">
        <v>36.92</v>
      </c>
      <c r="K2572" t="s">
        <v>10459</v>
      </c>
      <c r="L2572">
        <v>4967844</v>
      </c>
      <c r="M2572">
        <v>15000</v>
      </c>
      <c r="N2572">
        <v>4982844</v>
      </c>
      <c r="O2572">
        <v>134963.27193932826</v>
      </c>
      <c r="P2572">
        <v>369200</v>
      </c>
      <c r="Q2572">
        <v>4613644</v>
      </c>
      <c r="R2572">
        <v>124963.27193932828</v>
      </c>
      <c r="S2572" t="s">
        <v>130</v>
      </c>
      <c r="T2572" t="s">
        <v>2815</v>
      </c>
      <c r="U2572">
        <v>94156</v>
      </c>
      <c r="V2572" t="s">
        <v>717</v>
      </c>
      <c r="W2572">
        <v>45674</v>
      </c>
      <c r="X2572" t="s">
        <v>10944</v>
      </c>
      <c r="Y2572" t="s">
        <v>6</v>
      </c>
      <c r="Z2572" t="s">
        <v>17</v>
      </c>
      <c r="AA2572" t="s">
        <v>6637</v>
      </c>
      <c r="AB2572" t="s">
        <v>2509</v>
      </c>
      <c r="AC2572" t="s">
        <v>717</v>
      </c>
      <c r="AD2572" t="s">
        <v>717</v>
      </c>
      <c r="AE2572" t="s">
        <v>10945</v>
      </c>
      <c r="AF2572" t="s">
        <v>10946</v>
      </c>
      <c r="AG2572" t="s">
        <v>10947</v>
      </c>
      <c r="AH2572" t="s">
        <v>6100</v>
      </c>
      <c r="AI2572" t="s">
        <v>10676</v>
      </c>
      <c r="AJ2572" t="s">
        <v>45</v>
      </c>
      <c r="AK2572" t="s">
        <v>24</v>
      </c>
      <c r="AL2572" t="s">
        <v>717</v>
      </c>
      <c r="AM2572" t="s">
        <v>5654</v>
      </c>
      <c r="AN2572" t="s">
        <v>717</v>
      </c>
    </row>
    <row r="2573" spans="1:40" hidden="1">
      <c r="A2573">
        <v>2572</v>
      </c>
      <c r="B2573">
        <v>4</v>
      </c>
      <c r="C2573" s="58">
        <v>45698</v>
      </c>
      <c r="D2573" t="s">
        <v>1876</v>
      </c>
      <c r="E2573" t="s">
        <v>10835</v>
      </c>
      <c r="F2573">
        <v>1</v>
      </c>
      <c r="G2573">
        <v>9</v>
      </c>
      <c r="H2573">
        <v>223</v>
      </c>
      <c r="I2573">
        <v>1</v>
      </c>
      <c r="J2573">
        <v>44.25</v>
      </c>
      <c r="K2573" t="s">
        <v>9</v>
      </c>
      <c r="L2573">
        <v>5588600</v>
      </c>
      <c r="M2573">
        <v>0</v>
      </c>
      <c r="N2573">
        <v>5588600</v>
      </c>
      <c r="O2573">
        <v>126296.04519774012</v>
      </c>
      <c r="P2573">
        <v>0</v>
      </c>
      <c r="Q2573">
        <v>5588600</v>
      </c>
      <c r="R2573">
        <v>126296.04519774012</v>
      </c>
      <c r="S2573" t="s">
        <v>130</v>
      </c>
      <c r="T2573" t="s">
        <v>717</v>
      </c>
      <c r="U2573" t="s">
        <v>717</v>
      </c>
      <c r="V2573" t="s">
        <v>717</v>
      </c>
      <c r="W2573">
        <v>45693</v>
      </c>
      <c r="X2573" t="s">
        <v>10948</v>
      </c>
      <c r="Y2573" t="s">
        <v>6</v>
      </c>
      <c r="Z2573" t="s">
        <v>17</v>
      </c>
      <c r="AA2573" t="s">
        <v>6637</v>
      </c>
      <c r="AB2573" t="s">
        <v>2509</v>
      </c>
      <c r="AC2573" t="s">
        <v>717</v>
      </c>
      <c r="AD2573" t="s">
        <v>717</v>
      </c>
      <c r="AE2573" t="s">
        <v>10949</v>
      </c>
      <c r="AF2573" t="s">
        <v>10950</v>
      </c>
      <c r="AG2573" t="s">
        <v>10951</v>
      </c>
      <c r="AH2573" t="s">
        <v>6100</v>
      </c>
      <c r="AI2573" t="s">
        <v>10676</v>
      </c>
      <c r="AJ2573" t="s">
        <v>45</v>
      </c>
      <c r="AK2573" t="s">
        <v>8</v>
      </c>
      <c r="AL2573" t="s">
        <v>717</v>
      </c>
      <c r="AM2573" t="s">
        <v>5654</v>
      </c>
      <c r="AN2573" t="s">
        <v>717</v>
      </c>
    </row>
    <row r="2574" spans="1:40" hidden="1">
      <c r="A2574">
        <v>2573</v>
      </c>
      <c r="B2574">
        <v>5</v>
      </c>
      <c r="C2574" s="58">
        <v>45698</v>
      </c>
      <c r="D2574" t="s">
        <v>13</v>
      </c>
      <c r="E2574" t="s">
        <v>2506</v>
      </c>
      <c r="F2574">
        <v>1</v>
      </c>
      <c r="G2574">
        <v>3</v>
      </c>
      <c r="H2574">
        <v>125</v>
      </c>
      <c r="I2574">
        <v>2</v>
      </c>
      <c r="J2574">
        <v>60.22</v>
      </c>
      <c r="K2574" t="s">
        <v>9</v>
      </c>
      <c r="L2574">
        <v>7368900</v>
      </c>
      <c r="M2574">
        <v>0</v>
      </c>
      <c r="N2574">
        <v>7368900</v>
      </c>
      <c r="O2574">
        <v>122366.32348057124</v>
      </c>
      <c r="P2574">
        <v>0</v>
      </c>
      <c r="Q2574">
        <v>7368900</v>
      </c>
      <c r="R2574">
        <v>122366.32348057124</v>
      </c>
      <c r="S2574" t="s">
        <v>65</v>
      </c>
      <c r="T2574" t="s">
        <v>717</v>
      </c>
      <c r="U2574" t="s">
        <v>717</v>
      </c>
      <c r="V2574" t="s">
        <v>6312</v>
      </c>
      <c r="W2574">
        <v>45694</v>
      </c>
      <c r="X2574" t="s">
        <v>10952</v>
      </c>
      <c r="Y2574" t="s">
        <v>6</v>
      </c>
      <c r="Z2574" t="s">
        <v>17</v>
      </c>
      <c r="AA2574" t="s">
        <v>6637</v>
      </c>
      <c r="AB2574" t="s">
        <v>2509</v>
      </c>
      <c r="AC2574" t="s">
        <v>2571</v>
      </c>
      <c r="AD2574" t="s">
        <v>717</v>
      </c>
      <c r="AE2574" t="s">
        <v>10953</v>
      </c>
      <c r="AF2574" t="s">
        <v>10954</v>
      </c>
      <c r="AG2574" t="s">
        <v>10955</v>
      </c>
      <c r="AH2574" t="s">
        <v>2615</v>
      </c>
      <c r="AI2574" t="s">
        <v>2621</v>
      </c>
      <c r="AJ2574" t="s">
        <v>2569</v>
      </c>
      <c r="AK2574" t="s">
        <v>8</v>
      </c>
      <c r="AL2574" t="s">
        <v>22</v>
      </c>
      <c r="AM2574" t="s">
        <v>10</v>
      </c>
      <c r="AN2574" t="s">
        <v>717</v>
      </c>
    </row>
    <row r="2575" spans="1:40" hidden="1">
      <c r="A2575">
        <v>2574</v>
      </c>
      <c r="B2575">
        <v>6</v>
      </c>
      <c r="C2575" s="58">
        <v>45698</v>
      </c>
      <c r="D2575" t="s">
        <v>1875</v>
      </c>
      <c r="E2575" t="s">
        <v>10295</v>
      </c>
      <c r="F2575">
        <v>1</v>
      </c>
      <c r="G2575">
        <v>12</v>
      </c>
      <c r="H2575">
        <v>41</v>
      </c>
      <c r="I2575">
        <v>2</v>
      </c>
      <c r="J2575">
        <v>61.41</v>
      </c>
      <c r="K2575" t="s">
        <v>9</v>
      </c>
      <c r="L2575">
        <v>7983300</v>
      </c>
      <c r="M2575">
        <v>0</v>
      </c>
      <c r="N2575">
        <v>7983300</v>
      </c>
      <c r="O2575">
        <v>130000</v>
      </c>
      <c r="P2575">
        <v>0</v>
      </c>
      <c r="Q2575">
        <v>7983300</v>
      </c>
      <c r="R2575">
        <v>130000</v>
      </c>
      <c r="S2575" t="s">
        <v>65</v>
      </c>
      <c r="T2575" t="s">
        <v>717</v>
      </c>
      <c r="U2575" t="s">
        <v>717</v>
      </c>
      <c r="V2575" t="s">
        <v>6312</v>
      </c>
      <c r="W2575">
        <v>45695</v>
      </c>
      <c r="X2575" t="s">
        <v>10956</v>
      </c>
      <c r="Y2575" t="s">
        <v>6</v>
      </c>
      <c r="Z2575" t="s">
        <v>17</v>
      </c>
      <c r="AA2575" t="s">
        <v>6637</v>
      </c>
      <c r="AB2575" t="s">
        <v>2509</v>
      </c>
      <c r="AC2575" t="s">
        <v>2571</v>
      </c>
      <c r="AD2575" t="s">
        <v>717</v>
      </c>
      <c r="AE2575" t="s">
        <v>10957</v>
      </c>
      <c r="AF2575" t="s">
        <v>10958</v>
      </c>
      <c r="AG2575" t="s">
        <v>10959</v>
      </c>
      <c r="AH2575" t="s">
        <v>2615</v>
      </c>
      <c r="AI2575" t="s">
        <v>2621</v>
      </c>
      <c r="AJ2575" t="s">
        <v>2569</v>
      </c>
      <c r="AK2575" t="s">
        <v>8</v>
      </c>
      <c r="AL2575" t="s">
        <v>26</v>
      </c>
      <c r="AM2575" t="s">
        <v>10</v>
      </c>
      <c r="AN2575" t="s">
        <v>717</v>
      </c>
    </row>
    <row r="2576" spans="1:40" hidden="1">
      <c r="A2576">
        <v>2575</v>
      </c>
      <c r="B2576">
        <v>7</v>
      </c>
      <c r="C2576" s="58">
        <v>45699</v>
      </c>
      <c r="D2576" t="s">
        <v>1876</v>
      </c>
      <c r="E2576" t="s">
        <v>10295</v>
      </c>
      <c r="F2576">
        <v>5</v>
      </c>
      <c r="G2576">
        <v>11</v>
      </c>
      <c r="H2576">
        <v>59</v>
      </c>
      <c r="I2576">
        <v>1</v>
      </c>
      <c r="J2576">
        <v>36.92</v>
      </c>
      <c r="K2576" t="s">
        <v>9</v>
      </c>
      <c r="L2576">
        <v>4797600</v>
      </c>
      <c r="M2576">
        <v>0</v>
      </c>
      <c r="N2576">
        <v>4797600</v>
      </c>
      <c r="O2576">
        <v>129945.82881906824</v>
      </c>
      <c r="P2576">
        <v>0</v>
      </c>
      <c r="Q2576">
        <v>4797600</v>
      </c>
      <c r="R2576">
        <v>129945.82881906824</v>
      </c>
      <c r="S2576" t="s">
        <v>130</v>
      </c>
      <c r="T2576" t="s">
        <v>717</v>
      </c>
      <c r="U2576" t="s">
        <v>717</v>
      </c>
      <c r="V2576" t="s">
        <v>717</v>
      </c>
      <c r="W2576">
        <v>45692</v>
      </c>
      <c r="X2576" t="s">
        <v>10960</v>
      </c>
      <c r="Y2576" t="s">
        <v>6</v>
      </c>
      <c r="Z2576" t="s">
        <v>17</v>
      </c>
      <c r="AA2576" t="s">
        <v>6637</v>
      </c>
      <c r="AB2576" t="s">
        <v>2509</v>
      </c>
      <c r="AC2576" t="s">
        <v>717</v>
      </c>
      <c r="AD2576" t="s">
        <v>717</v>
      </c>
      <c r="AE2576" t="s">
        <v>10961</v>
      </c>
      <c r="AF2576" t="s">
        <v>10962</v>
      </c>
      <c r="AG2576" t="s">
        <v>10963</v>
      </c>
      <c r="AH2576" t="s">
        <v>6100</v>
      </c>
      <c r="AI2576" t="s">
        <v>10964</v>
      </c>
      <c r="AJ2576" t="s">
        <v>43</v>
      </c>
      <c r="AK2576" t="s">
        <v>14</v>
      </c>
      <c r="AL2576" t="s">
        <v>717</v>
      </c>
      <c r="AM2576" t="s">
        <v>5654</v>
      </c>
      <c r="AN2576" t="s">
        <v>717</v>
      </c>
    </row>
    <row r="2577" spans="1:40" hidden="1">
      <c r="A2577">
        <v>2576</v>
      </c>
      <c r="B2577">
        <v>8</v>
      </c>
      <c r="C2577" s="58">
        <v>45700</v>
      </c>
      <c r="D2577" t="s">
        <v>13</v>
      </c>
      <c r="E2577" t="s">
        <v>2515</v>
      </c>
      <c r="F2577">
        <v>3</v>
      </c>
      <c r="G2577">
        <v>11</v>
      </c>
      <c r="H2577">
        <v>72</v>
      </c>
      <c r="I2577">
        <v>1</v>
      </c>
      <c r="J2577">
        <v>37.729999999999997</v>
      </c>
      <c r="K2577" t="s">
        <v>25</v>
      </c>
      <c r="L2577">
        <v>6351478</v>
      </c>
      <c r="M2577">
        <v>0</v>
      </c>
      <c r="N2577">
        <v>6351478</v>
      </c>
      <c r="O2577">
        <v>168340.25974025976</v>
      </c>
      <c r="P2577">
        <v>943249.99999999988</v>
      </c>
      <c r="Q2577">
        <v>5408228</v>
      </c>
      <c r="R2577">
        <v>143340.25974025976</v>
      </c>
      <c r="S2577" t="s">
        <v>65</v>
      </c>
      <c r="T2577" t="s">
        <v>2664</v>
      </c>
      <c r="U2577">
        <v>110372.00000000092</v>
      </c>
      <c r="V2577" t="s">
        <v>1970</v>
      </c>
      <c r="W2577">
        <v>45694</v>
      </c>
      <c r="X2577" t="s">
        <v>10965</v>
      </c>
      <c r="Y2577" t="s">
        <v>6</v>
      </c>
      <c r="Z2577" t="s">
        <v>17</v>
      </c>
      <c r="AA2577" t="s">
        <v>5617</v>
      </c>
      <c r="AB2577" t="s">
        <v>2509</v>
      </c>
      <c r="AC2577" t="s">
        <v>10966</v>
      </c>
      <c r="AD2577" t="s">
        <v>717</v>
      </c>
      <c r="AE2577" t="s">
        <v>10967</v>
      </c>
      <c r="AF2577" t="s">
        <v>10968</v>
      </c>
      <c r="AG2577" t="s">
        <v>10969</v>
      </c>
      <c r="AH2577" t="s">
        <v>2615</v>
      </c>
      <c r="AI2577" t="s">
        <v>2552</v>
      </c>
      <c r="AJ2577" t="s">
        <v>2662</v>
      </c>
      <c r="AK2577" t="s">
        <v>24</v>
      </c>
      <c r="AL2577" t="s">
        <v>22</v>
      </c>
      <c r="AM2577" t="s">
        <v>10</v>
      </c>
      <c r="AN2577" t="s">
        <v>717</v>
      </c>
    </row>
    <row r="2578" spans="1:40" hidden="1">
      <c r="A2578">
        <v>2577</v>
      </c>
      <c r="B2578">
        <v>9</v>
      </c>
      <c r="C2578" s="58">
        <v>45700</v>
      </c>
      <c r="D2578" t="s">
        <v>1876</v>
      </c>
      <c r="E2578" t="s">
        <v>10458</v>
      </c>
      <c r="F2578">
        <v>6</v>
      </c>
      <c r="G2578">
        <v>6</v>
      </c>
      <c r="H2578">
        <v>138</v>
      </c>
      <c r="I2578">
        <v>2</v>
      </c>
      <c r="J2578">
        <v>60.94</v>
      </c>
      <c r="K2578" t="s">
        <v>9</v>
      </c>
      <c r="L2578">
        <v>6817548</v>
      </c>
      <c r="M2578">
        <v>0</v>
      </c>
      <c r="N2578">
        <v>6817548</v>
      </c>
      <c r="O2578">
        <v>111873.12110272401</v>
      </c>
      <c r="P2578">
        <v>0</v>
      </c>
      <c r="Q2578">
        <v>6817548</v>
      </c>
      <c r="R2578">
        <v>111873.12110272401</v>
      </c>
      <c r="S2578" t="s">
        <v>130</v>
      </c>
      <c r="T2578" t="s">
        <v>4059</v>
      </c>
      <c r="U2578">
        <v>210852</v>
      </c>
      <c r="V2578" t="s">
        <v>717</v>
      </c>
      <c r="W2578">
        <v>45695</v>
      </c>
      <c r="X2578" t="s">
        <v>10970</v>
      </c>
      <c r="Y2578" t="s">
        <v>6</v>
      </c>
      <c r="Z2578" t="s">
        <v>17</v>
      </c>
      <c r="AA2578" t="s">
        <v>6637</v>
      </c>
      <c r="AB2578" t="s">
        <v>2509</v>
      </c>
      <c r="AC2578" t="s">
        <v>717</v>
      </c>
      <c r="AD2578" t="s">
        <v>717</v>
      </c>
      <c r="AE2578" t="s">
        <v>2328</v>
      </c>
      <c r="AF2578" t="s">
        <v>10971</v>
      </c>
      <c r="AG2578" t="s">
        <v>10972</v>
      </c>
      <c r="AH2578" t="s">
        <v>2615</v>
      </c>
      <c r="AI2578" t="s">
        <v>2552</v>
      </c>
      <c r="AJ2578" t="s">
        <v>2825</v>
      </c>
      <c r="AK2578" t="s">
        <v>8</v>
      </c>
      <c r="AL2578" t="s">
        <v>717</v>
      </c>
      <c r="AM2578" t="s">
        <v>10</v>
      </c>
      <c r="AN2578" t="s">
        <v>717</v>
      </c>
    </row>
    <row r="2579" spans="1:40" hidden="1">
      <c r="A2579">
        <v>2578</v>
      </c>
      <c r="B2579">
        <v>10</v>
      </c>
      <c r="C2579" s="58">
        <v>45701</v>
      </c>
      <c r="D2579" t="s">
        <v>13</v>
      </c>
      <c r="E2579" t="s">
        <v>2581</v>
      </c>
      <c r="F2579">
        <v>3</v>
      </c>
      <c r="G2579">
        <v>12</v>
      </c>
      <c r="H2579">
        <v>301</v>
      </c>
      <c r="I2579">
        <v>2</v>
      </c>
      <c r="J2579">
        <v>56.58</v>
      </c>
      <c r="K2579" t="s">
        <v>21</v>
      </c>
      <c r="L2579">
        <v>7445366</v>
      </c>
      <c r="M2579">
        <v>15000</v>
      </c>
      <c r="N2579">
        <v>7460366</v>
      </c>
      <c r="O2579">
        <v>131855.17850830682</v>
      </c>
      <c r="P2579">
        <v>565800</v>
      </c>
      <c r="Q2579">
        <v>6894566</v>
      </c>
      <c r="R2579">
        <v>121855.17850830682</v>
      </c>
      <c r="S2579" t="s">
        <v>65</v>
      </c>
      <c r="T2579" t="s">
        <v>5768</v>
      </c>
      <c r="U2579">
        <v>213234</v>
      </c>
      <c r="V2579" t="s">
        <v>6312</v>
      </c>
      <c r="W2579">
        <v>45689</v>
      </c>
      <c r="X2579" t="s">
        <v>10973</v>
      </c>
      <c r="Y2579" t="s">
        <v>6</v>
      </c>
      <c r="Z2579" t="s">
        <v>17</v>
      </c>
      <c r="AA2579" t="s">
        <v>6637</v>
      </c>
      <c r="AB2579" t="s">
        <v>2509</v>
      </c>
      <c r="AC2579" t="s">
        <v>2571</v>
      </c>
      <c r="AD2579" t="s">
        <v>717</v>
      </c>
      <c r="AE2579" t="s">
        <v>10974</v>
      </c>
      <c r="AF2579" t="s">
        <v>10975</v>
      </c>
      <c r="AG2579" t="s">
        <v>10976</v>
      </c>
      <c r="AH2579" t="s">
        <v>2552</v>
      </c>
      <c r="AI2579" t="s">
        <v>2547</v>
      </c>
      <c r="AJ2579" t="s">
        <v>2855</v>
      </c>
      <c r="AK2579" t="s">
        <v>8</v>
      </c>
      <c r="AL2579" t="s">
        <v>22</v>
      </c>
      <c r="AM2579" t="s">
        <v>10</v>
      </c>
      <c r="AN2579" t="s">
        <v>717</v>
      </c>
    </row>
    <row r="2580" spans="1:40" hidden="1">
      <c r="A2580">
        <v>2579</v>
      </c>
      <c r="B2580">
        <v>11</v>
      </c>
      <c r="C2580" s="58">
        <v>45701</v>
      </c>
      <c r="D2580" t="s">
        <v>1876</v>
      </c>
      <c r="E2580" t="s">
        <v>10835</v>
      </c>
      <c r="F2580">
        <v>2</v>
      </c>
      <c r="G2580">
        <v>12</v>
      </c>
      <c r="H2580">
        <v>242</v>
      </c>
      <c r="I2580">
        <v>1</v>
      </c>
      <c r="J2580">
        <v>36.549999999999997</v>
      </c>
      <c r="K2580" t="s">
        <v>9</v>
      </c>
      <c r="L2580">
        <v>4749500</v>
      </c>
      <c r="M2580">
        <v>0</v>
      </c>
      <c r="N2580">
        <v>4749500</v>
      </c>
      <c r="O2580">
        <v>129945.2804377565</v>
      </c>
      <c r="P2580">
        <v>0</v>
      </c>
      <c r="Q2580">
        <v>4749500</v>
      </c>
      <c r="R2580">
        <v>129945.2804377565</v>
      </c>
      <c r="S2580" t="s">
        <v>130</v>
      </c>
      <c r="T2580" t="s">
        <v>717</v>
      </c>
      <c r="U2580" t="s">
        <v>717</v>
      </c>
      <c r="V2580" t="s">
        <v>717</v>
      </c>
      <c r="W2580">
        <v>45699</v>
      </c>
      <c r="X2580" t="s">
        <v>10977</v>
      </c>
      <c r="Y2580" t="s">
        <v>6</v>
      </c>
      <c r="Z2580" t="s">
        <v>17</v>
      </c>
      <c r="AA2580" t="s">
        <v>6637</v>
      </c>
      <c r="AB2580" t="s">
        <v>2509</v>
      </c>
      <c r="AC2580" t="s">
        <v>717</v>
      </c>
      <c r="AD2580" t="s">
        <v>717</v>
      </c>
      <c r="AE2580" t="s">
        <v>10978</v>
      </c>
      <c r="AF2580" t="s">
        <v>10979</v>
      </c>
      <c r="AG2580" t="s">
        <v>10980</v>
      </c>
      <c r="AH2580" t="s">
        <v>2552</v>
      </c>
      <c r="AI2580" t="s">
        <v>2521</v>
      </c>
      <c r="AJ2580" t="s">
        <v>2514</v>
      </c>
      <c r="AK2580" t="s">
        <v>14</v>
      </c>
      <c r="AL2580" t="s">
        <v>717</v>
      </c>
      <c r="AM2580" t="s">
        <v>10</v>
      </c>
      <c r="AN2580" t="s">
        <v>717</v>
      </c>
    </row>
    <row r="2581" spans="1:40" hidden="1">
      <c r="A2581">
        <v>2580</v>
      </c>
      <c r="B2581">
        <v>12</v>
      </c>
      <c r="C2581" s="58">
        <v>45705</v>
      </c>
      <c r="D2581" t="s">
        <v>13</v>
      </c>
      <c r="E2581" t="s">
        <v>2581</v>
      </c>
      <c r="F2581">
        <v>3</v>
      </c>
      <c r="G2581">
        <v>18</v>
      </c>
      <c r="H2581">
        <v>343</v>
      </c>
      <c r="I2581">
        <v>2</v>
      </c>
      <c r="J2581">
        <v>56.58</v>
      </c>
      <c r="K2581" t="s">
        <v>21</v>
      </c>
      <c r="L2581">
        <v>7531444</v>
      </c>
      <c r="M2581">
        <v>0</v>
      </c>
      <c r="N2581">
        <v>7531444</v>
      </c>
      <c r="O2581">
        <v>133111.41746200071</v>
      </c>
      <c r="P2581">
        <v>565800</v>
      </c>
      <c r="Q2581">
        <v>6965644</v>
      </c>
      <c r="R2581">
        <v>123111.41746200073</v>
      </c>
      <c r="S2581" t="s">
        <v>65</v>
      </c>
      <c r="T2581" t="s">
        <v>2941</v>
      </c>
      <c r="U2581">
        <v>142156</v>
      </c>
      <c r="V2581" t="s">
        <v>6312</v>
      </c>
      <c r="W2581">
        <v>45694</v>
      </c>
      <c r="X2581" t="s">
        <v>10981</v>
      </c>
      <c r="Y2581" t="s">
        <v>6</v>
      </c>
      <c r="Z2581" t="s">
        <v>17</v>
      </c>
      <c r="AA2581" t="s">
        <v>6637</v>
      </c>
      <c r="AB2581" t="s">
        <v>2509</v>
      </c>
      <c r="AC2581" t="s">
        <v>2571</v>
      </c>
      <c r="AD2581" t="s">
        <v>717</v>
      </c>
      <c r="AE2581" t="s">
        <v>10982</v>
      </c>
      <c r="AF2581" t="s">
        <v>10983</v>
      </c>
      <c r="AG2581" t="s">
        <v>10984</v>
      </c>
      <c r="AH2581" t="s">
        <v>6100</v>
      </c>
      <c r="AI2581" t="s">
        <v>9793</v>
      </c>
      <c r="AJ2581" t="s">
        <v>40</v>
      </c>
      <c r="AK2581" t="s">
        <v>24</v>
      </c>
      <c r="AL2581" t="s">
        <v>26</v>
      </c>
      <c r="AM2581" t="s">
        <v>5654</v>
      </c>
      <c r="AN2581" t="s">
        <v>717</v>
      </c>
    </row>
    <row r="2582" spans="1:40" hidden="1">
      <c r="A2582">
        <v>2581</v>
      </c>
      <c r="B2582">
        <v>13</v>
      </c>
      <c r="C2582" s="58">
        <v>45705</v>
      </c>
      <c r="D2582" t="s">
        <v>1876</v>
      </c>
      <c r="E2582" t="s">
        <v>10835</v>
      </c>
      <c r="F2582">
        <v>1</v>
      </c>
      <c r="G2582">
        <v>11</v>
      </c>
      <c r="H2582">
        <v>235</v>
      </c>
      <c r="I2582">
        <v>1</v>
      </c>
      <c r="J2582">
        <v>44.16</v>
      </c>
      <c r="K2582" t="s">
        <v>9</v>
      </c>
      <c r="L2582">
        <v>5465656</v>
      </c>
      <c r="M2582">
        <v>0</v>
      </c>
      <c r="N2582">
        <v>5465656</v>
      </c>
      <c r="O2582">
        <v>123769.38405797102</v>
      </c>
      <c r="P2582">
        <v>0</v>
      </c>
      <c r="Q2582">
        <v>5465656</v>
      </c>
      <c r="R2582">
        <v>123769.38405797102</v>
      </c>
      <c r="S2582" t="s">
        <v>130</v>
      </c>
      <c r="T2582" t="s">
        <v>2941</v>
      </c>
      <c r="U2582">
        <v>111544</v>
      </c>
      <c r="V2582" t="s">
        <v>717</v>
      </c>
      <c r="W2582">
        <v>45695</v>
      </c>
      <c r="X2582" t="s">
        <v>10985</v>
      </c>
      <c r="Y2582" t="s">
        <v>6</v>
      </c>
      <c r="Z2582" t="s">
        <v>17</v>
      </c>
      <c r="AA2582" t="s">
        <v>6637</v>
      </c>
      <c r="AB2582" t="s">
        <v>2509</v>
      </c>
      <c r="AC2582" t="s">
        <v>717</v>
      </c>
      <c r="AD2582" t="s">
        <v>717</v>
      </c>
      <c r="AE2582" t="s">
        <v>10949</v>
      </c>
      <c r="AF2582" t="s">
        <v>10950</v>
      </c>
      <c r="AG2582" t="s">
        <v>10951</v>
      </c>
      <c r="AH2582" t="s">
        <v>2580</v>
      </c>
      <c r="AI2582" t="s">
        <v>10676</v>
      </c>
      <c r="AJ2582" t="s">
        <v>45</v>
      </c>
      <c r="AK2582" t="s">
        <v>8</v>
      </c>
      <c r="AL2582" t="s">
        <v>717</v>
      </c>
      <c r="AM2582" t="s">
        <v>5654</v>
      </c>
      <c r="AN2582" t="s">
        <v>717</v>
      </c>
    </row>
    <row r="2583" spans="1:40" hidden="1">
      <c r="A2583">
        <v>2582</v>
      </c>
      <c r="B2583">
        <v>14</v>
      </c>
      <c r="C2583" s="58">
        <v>45705</v>
      </c>
      <c r="D2583" t="s">
        <v>1876</v>
      </c>
      <c r="E2583" t="s">
        <v>10835</v>
      </c>
      <c r="F2583">
        <v>2</v>
      </c>
      <c r="G2583">
        <v>6</v>
      </c>
      <c r="H2583">
        <v>206</v>
      </c>
      <c r="I2583">
        <v>1</v>
      </c>
      <c r="J2583">
        <v>36.64</v>
      </c>
      <c r="K2583" t="s">
        <v>9</v>
      </c>
      <c r="L2583">
        <v>4665976</v>
      </c>
      <c r="M2583">
        <v>0</v>
      </c>
      <c r="N2583">
        <v>4665976</v>
      </c>
      <c r="O2583">
        <v>127346.50655021834</v>
      </c>
      <c r="P2583">
        <v>0</v>
      </c>
      <c r="Q2583">
        <v>4665976</v>
      </c>
      <c r="R2583">
        <v>127346.50655021834</v>
      </c>
      <c r="S2583" t="s">
        <v>130</v>
      </c>
      <c r="T2583" t="s">
        <v>2664</v>
      </c>
      <c r="U2583">
        <v>95224</v>
      </c>
      <c r="V2583" t="s">
        <v>717</v>
      </c>
      <c r="W2583">
        <v>45695</v>
      </c>
      <c r="X2583" t="s">
        <v>10986</v>
      </c>
      <c r="Y2583" t="s">
        <v>6</v>
      </c>
      <c r="Z2583" t="s">
        <v>17</v>
      </c>
      <c r="AA2583" t="s">
        <v>6637</v>
      </c>
      <c r="AB2583" t="s">
        <v>2509</v>
      </c>
      <c r="AC2583" t="s">
        <v>717</v>
      </c>
      <c r="AD2583" t="s">
        <v>717</v>
      </c>
      <c r="AE2583" t="s">
        <v>10987</v>
      </c>
      <c r="AF2583" t="s">
        <v>10988</v>
      </c>
      <c r="AG2583" t="s">
        <v>10989</v>
      </c>
      <c r="AH2583" t="s">
        <v>2615</v>
      </c>
      <c r="AI2583" t="s">
        <v>6951</v>
      </c>
      <c r="AJ2583" t="s">
        <v>2793</v>
      </c>
      <c r="AK2583" t="s">
        <v>14</v>
      </c>
      <c r="AL2583" t="s">
        <v>717</v>
      </c>
      <c r="AM2583" t="s">
        <v>10</v>
      </c>
      <c r="AN2583" t="s">
        <v>717</v>
      </c>
    </row>
    <row r="2584" spans="1:40" hidden="1">
      <c r="A2584">
        <v>2583</v>
      </c>
      <c r="B2584">
        <v>15</v>
      </c>
      <c r="C2584" s="58">
        <v>45706</v>
      </c>
      <c r="D2584" t="s">
        <v>1876</v>
      </c>
      <c r="E2584" t="s">
        <v>10295</v>
      </c>
      <c r="F2584">
        <v>5</v>
      </c>
      <c r="G2584">
        <v>10</v>
      </c>
      <c r="H2584">
        <v>53</v>
      </c>
      <c r="I2584">
        <v>1</v>
      </c>
      <c r="J2584">
        <v>36.92</v>
      </c>
      <c r="K2584" t="s">
        <v>9</v>
      </c>
      <c r="L2584">
        <v>4701648</v>
      </c>
      <c r="M2584">
        <v>0</v>
      </c>
      <c r="N2584">
        <v>4701648</v>
      </c>
      <c r="O2584">
        <v>127346.91224268689</v>
      </c>
      <c r="P2584">
        <v>0</v>
      </c>
      <c r="Q2584">
        <v>4701648</v>
      </c>
      <c r="R2584">
        <v>127346.91224268689</v>
      </c>
      <c r="S2584" t="s">
        <v>130</v>
      </c>
      <c r="T2584" t="s">
        <v>2664</v>
      </c>
      <c r="U2584">
        <v>95952</v>
      </c>
      <c r="V2584" t="s">
        <v>717</v>
      </c>
      <c r="W2584">
        <v>45694</v>
      </c>
      <c r="X2584" t="s">
        <v>10990</v>
      </c>
      <c r="Y2584" t="s">
        <v>6</v>
      </c>
      <c r="Z2584" t="s">
        <v>17</v>
      </c>
      <c r="AA2584" t="s">
        <v>6637</v>
      </c>
      <c r="AB2584" t="s">
        <v>2509</v>
      </c>
      <c r="AC2584" t="s">
        <v>717</v>
      </c>
      <c r="AD2584" t="s">
        <v>717</v>
      </c>
      <c r="AE2584" t="s">
        <v>10991</v>
      </c>
      <c r="AF2584" t="s">
        <v>10992</v>
      </c>
      <c r="AG2584" t="s">
        <v>10993</v>
      </c>
      <c r="AH2584" t="s">
        <v>2615</v>
      </c>
      <c r="AI2584" t="s">
        <v>2847</v>
      </c>
      <c r="AJ2584" t="s">
        <v>2940</v>
      </c>
      <c r="AK2584" t="s">
        <v>24</v>
      </c>
      <c r="AL2584" t="s">
        <v>717</v>
      </c>
      <c r="AM2584" t="s">
        <v>10</v>
      </c>
      <c r="AN2584" t="s">
        <v>717</v>
      </c>
    </row>
    <row r="2585" spans="1:40" hidden="1">
      <c r="A2585">
        <v>2584</v>
      </c>
      <c r="B2585">
        <v>16</v>
      </c>
      <c r="C2585" s="58">
        <v>45706</v>
      </c>
      <c r="D2585" t="s">
        <v>13</v>
      </c>
      <c r="E2585" t="s">
        <v>4409</v>
      </c>
      <c r="F2585">
        <v>1</v>
      </c>
      <c r="G2585">
        <v>7</v>
      </c>
      <c r="H2585">
        <v>437</v>
      </c>
      <c r="I2585">
        <v>0</v>
      </c>
      <c r="J2585">
        <v>29.4</v>
      </c>
      <c r="K2585" t="s">
        <v>25</v>
      </c>
      <c r="L2585">
        <v>4729872</v>
      </c>
      <c r="M2585">
        <v>0</v>
      </c>
      <c r="N2585">
        <v>4729872</v>
      </c>
      <c r="O2585">
        <v>160880</v>
      </c>
      <c r="P2585">
        <v>735000</v>
      </c>
      <c r="Q2585">
        <v>3994872</v>
      </c>
      <c r="R2585">
        <v>135880</v>
      </c>
      <c r="S2585" t="s">
        <v>65</v>
      </c>
      <c r="T2585" t="s">
        <v>2664</v>
      </c>
      <c r="U2585">
        <v>81528</v>
      </c>
      <c r="V2585" t="s">
        <v>6312</v>
      </c>
      <c r="W2585">
        <v>45695</v>
      </c>
      <c r="X2585" t="s">
        <v>10994</v>
      </c>
      <c r="Y2585" t="s">
        <v>6</v>
      </c>
      <c r="Z2585" t="s">
        <v>17</v>
      </c>
      <c r="AA2585" t="s">
        <v>5617</v>
      </c>
      <c r="AB2585" t="s">
        <v>2509</v>
      </c>
      <c r="AC2585" t="s">
        <v>2571</v>
      </c>
      <c r="AD2585" t="s">
        <v>717</v>
      </c>
      <c r="AE2585" t="s">
        <v>10995</v>
      </c>
      <c r="AF2585" t="s">
        <v>10996</v>
      </c>
      <c r="AG2585" t="s">
        <v>10997</v>
      </c>
      <c r="AH2585" t="s">
        <v>2615</v>
      </c>
      <c r="AI2585" t="s">
        <v>6951</v>
      </c>
      <c r="AJ2585" t="s">
        <v>2825</v>
      </c>
      <c r="AK2585" t="s">
        <v>8</v>
      </c>
      <c r="AL2585" t="s">
        <v>22</v>
      </c>
      <c r="AM2585" t="s">
        <v>10</v>
      </c>
      <c r="AN2585" t="s">
        <v>717</v>
      </c>
    </row>
    <row r="2586" spans="1:40" hidden="1">
      <c r="A2586">
        <v>2585</v>
      </c>
      <c r="B2586">
        <v>17</v>
      </c>
      <c r="C2586" s="58">
        <v>45706</v>
      </c>
      <c r="D2586" t="s">
        <v>1876</v>
      </c>
      <c r="E2586" t="s">
        <v>10835</v>
      </c>
      <c r="F2586">
        <v>3</v>
      </c>
      <c r="G2586">
        <v>15</v>
      </c>
      <c r="H2586">
        <v>261</v>
      </c>
      <c r="I2586">
        <v>2</v>
      </c>
      <c r="J2586">
        <v>54.08</v>
      </c>
      <c r="K2586" t="s">
        <v>9</v>
      </c>
      <c r="L2586">
        <v>6469512</v>
      </c>
      <c r="M2586">
        <v>0</v>
      </c>
      <c r="N2586">
        <v>6469512</v>
      </c>
      <c r="O2586">
        <v>119628.550295858</v>
      </c>
      <c r="P2586">
        <v>0</v>
      </c>
      <c r="Q2586">
        <v>6469512</v>
      </c>
      <c r="R2586">
        <v>119628.550295858</v>
      </c>
      <c r="S2586" t="s">
        <v>130</v>
      </c>
      <c r="T2586" t="s">
        <v>5768</v>
      </c>
      <c r="U2586">
        <v>200088</v>
      </c>
      <c r="V2586" t="s">
        <v>717</v>
      </c>
      <c r="W2586">
        <v>45700</v>
      </c>
      <c r="X2586" t="s">
        <v>10998</v>
      </c>
      <c r="Y2586" t="s">
        <v>6</v>
      </c>
      <c r="Z2586" t="s">
        <v>17</v>
      </c>
      <c r="AA2586" t="s">
        <v>6637</v>
      </c>
      <c r="AB2586" t="s">
        <v>2509</v>
      </c>
      <c r="AC2586" t="s">
        <v>717</v>
      </c>
      <c r="AD2586" t="s">
        <v>717</v>
      </c>
      <c r="AE2586" t="s">
        <v>10999</v>
      </c>
      <c r="AF2586" t="s">
        <v>11000</v>
      </c>
      <c r="AG2586" t="s">
        <v>11001</v>
      </c>
      <c r="AH2586" t="s">
        <v>2615</v>
      </c>
      <c r="AI2586" t="s">
        <v>2521</v>
      </c>
      <c r="AJ2586" t="s">
        <v>4799</v>
      </c>
      <c r="AK2586" t="s">
        <v>20</v>
      </c>
      <c r="AL2586" t="s">
        <v>717</v>
      </c>
      <c r="AM2586" t="s">
        <v>10</v>
      </c>
      <c r="AN2586" t="s">
        <v>717</v>
      </c>
    </row>
    <row r="2587" spans="1:40" hidden="1">
      <c r="A2587">
        <v>2586</v>
      </c>
      <c r="B2587">
        <v>18</v>
      </c>
      <c r="C2587" s="58">
        <v>45708</v>
      </c>
      <c r="D2587" t="s">
        <v>1876</v>
      </c>
      <c r="E2587" t="s">
        <v>10295</v>
      </c>
      <c r="F2587">
        <v>1</v>
      </c>
      <c r="G2587">
        <v>15</v>
      </c>
      <c r="H2587">
        <v>79</v>
      </c>
      <c r="I2587">
        <v>0</v>
      </c>
      <c r="J2587">
        <v>29.4</v>
      </c>
      <c r="K2587" t="s">
        <v>9</v>
      </c>
      <c r="L2587">
        <v>4060532</v>
      </c>
      <c r="M2587">
        <v>0</v>
      </c>
      <c r="N2587">
        <v>4060532</v>
      </c>
      <c r="O2587">
        <v>138113.33333333334</v>
      </c>
      <c r="P2587">
        <v>0</v>
      </c>
      <c r="Q2587">
        <v>4060532</v>
      </c>
      <c r="R2587">
        <v>138113.33333333334</v>
      </c>
      <c r="S2587" t="s">
        <v>130</v>
      </c>
      <c r="T2587" t="s">
        <v>2941</v>
      </c>
      <c r="U2587">
        <v>82868</v>
      </c>
      <c r="V2587" t="s">
        <v>717</v>
      </c>
      <c r="W2587">
        <v>45706</v>
      </c>
      <c r="X2587" t="s">
        <v>11002</v>
      </c>
      <c r="Y2587" t="s">
        <v>6</v>
      </c>
      <c r="Z2587" t="s">
        <v>17</v>
      </c>
      <c r="AA2587" t="s">
        <v>6637</v>
      </c>
      <c r="AB2587" t="s">
        <v>2509</v>
      </c>
      <c r="AC2587" t="s">
        <v>717</v>
      </c>
      <c r="AD2587" t="s">
        <v>717</v>
      </c>
      <c r="AE2587" t="s">
        <v>11003</v>
      </c>
      <c r="AF2587" t="s">
        <v>11004</v>
      </c>
      <c r="AG2587" t="s">
        <v>11005</v>
      </c>
      <c r="AH2587" t="s">
        <v>6100</v>
      </c>
      <c r="AI2587" t="s">
        <v>10080</v>
      </c>
      <c r="AJ2587" t="s">
        <v>10081</v>
      </c>
      <c r="AK2587" t="s">
        <v>28</v>
      </c>
      <c r="AL2587" t="s">
        <v>717</v>
      </c>
      <c r="AM2587" t="s">
        <v>5654</v>
      </c>
      <c r="AN2587" t="s">
        <v>717</v>
      </c>
    </row>
    <row r="2588" spans="1:40" hidden="1">
      <c r="A2588">
        <v>2587</v>
      </c>
      <c r="B2588">
        <v>19</v>
      </c>
      <c r="C2588" s="58">
        <v>45708</v>
      </c>
      <c r="D2588" t="s">
        <v>1875</v>
      </c>
      <c r="E2588" t="s">
        <v>10295</v>
      </c>
      <c r="F2588">
        <v>2</v>
      </c>
      <c r="G2588">
        <v>11</v>
      </c>
      <c r="H2588">
        <v>38</v>
      </c>
      <c r="I2588">
        <v>1</v>
      </c>
      <c r="J2588">
        <v>35.53</v>
      </c>
      <c r="K2588" t="s">
        <v>10459</v>
      </c>
      <c r="L2588">
        <v>5153478</v>
      </c>
      <c r="M2588">
        <v>0</v>
      </c>
      <c r="N2588">
        <v>5153478</v>
      </c>
      <c r="O2588">
        <v>145045.82043343651</v>
      </c>
      <c r="P2588">
        <v>355300</v>
      </c>
      <c r="Q2588">
        <v>4798178</v>
      </c>
      <c r="R2588">
        <v>135045.82043343651</v>
      </c>
      <c r="S2588" t="s">
        <v>130</v>
      </c>
      <c r="T2588" t="s">
        <v>2664</v>
      </c>
      <c r="U2588">
        <v>97922</v>
      </c>
      <c r="V2588" t="s">
        <v>717</v>
      </c>
      <c r="W2588">
        <v>45707</v>
      </c>
      <c r="X2588" t="s">
        <v>11006</v>
      </c>
      <c r="Y2588" t="s">
        <v>6</v>
      </c>
      <c r="Z2588" t="s">
        <v>17</v>
      </c>
      <c r="AA2588" t="s">
        <v>6637</v>
      </c>
      <c r="AB2588" t="s">
        <v>2509</v>
      </c>
      <c r="AC2588" t="s">
        <v>717</v>
      </c>
      <c r="AD2588" t="s">
        <v>717</v>
      </c>
      <c r="AE2588" t="s">
        <v>11007</v>
      </c>
      <c r="AF2588" t="s">
        <v>11008</v>
      </c>
      <c r="AG2588" t="s">
        <v>11009</v>
      </c>
      <c r="AH2588" t="s">
        <v>2552</v>
      </c>
      <c r="AI2588" t="s">
        <v>2552</v>
      </c>
      <c r="AJ2588" t="s">
        <v>2662</v>
      </c>
      <c r="AK2588" t="s">
        <v>20</v>
      </c>
      <c r="AL2588" t="s">
        <v>717</v>
      </c>
      <c r="AM2588" t="s">
        <v>10</v>
      </c>
      <c r="AN2588" t="s">
        <v>717</v>
      </c>
    </row>
    <row r="2589" spans="1:40" hidden="1">
      <c r="A2589">
        <v>2588</v>
      </c>
      <c r="B2589">
        <v>20</v>
      </c>
      <c r="C2589" s="58">
        <v>45712</v>
      </c>
      <c r="D2589" t="s">
        <v>13</v>
      </c>
      <c r="E2589" t="s">
        <v>2515</v>
      </c>
      <c r="F2589">
        <v>1</v>
      </c>
      <c r="G2589">
        <v>6</v>
      </c>
      <c r="H2589">
        <v>35</v>
      </c>
      <c r="I2589">
        <v>1</v>
      </c>
      <c r="J2589">
        <v>34.39</v>
      </c>
      <c r="K2589" t="s">
        <v>25</v>
      </c>
      <c r="L2589">
        <v>5849910</v>
      </c>
      <c r="M2589">
        <v>0</v>
      </c>
      <c r="N2589">
        <v>5849910</v>
      </c>
      <c r="O2589">
        <v>170104.97237569062</v>
      </c>
      <c r="P2589">
        <v>859750</v>
      </c>
      <c r="Q2589">
        <v>4990160</v>
      </c>
      <c r="R2589">
        <v>145104.97237569062</v>
      </c>
      <c r="S2589" t="s">
        <v>65</v>
      </c>
      <c r="T2589" t="s">
        <v>2664</v>
      </c>
      <c r="U2589">
        <v>101840</v>
      </c>
      <c r="V2589" t="s">
        <v>6312</v>
      </c>
      <c r="W2589">
        <v>45692</v>
      </c>
      <c r="X2589" t="s">
        <v>10345</v>
      </c>
      <c r="Y2589" t="s">
        <v>6</v>
      </c>
      <c r="Z2589" t="s">
        <v>17</v>
      </c>
      <c r="AA2589" t="s">
        <v>6637</v>
      </c>
      <c r="AB2589" t="s">
        <v>2509</v>
      </c>
      <c r="AC2589" t="s">
        <v>2571</v>
      </c>
      <c r="AD2589" t="s">
        <v>717</v>
      </c>
      <c r="AE2589" t="s">
        <v>11010</v>
      </c>
      <c r="AF2589" t="s">
        <v>11011</v>
      </c>
      <c r="AG2589" t="s">
        <v>11012</v>
      </c>
      <c r="AH2589" t="s">
        <v>6100</v>
      </c>
      <c r="AI2589" t="s">
        <v>9548</v>
      </c>
      <c r="AJ2589" t="s">
        <v>34</v>
      </c>
      <c r="AK2589" t="s">
        <v>14</v>
      </c>
      <c r="AL2589" t="s">
        <v>26</v>
      </c>
      <c r="AM2589" t="s">
        <v>5654</v>
      </c>
      <c r="AN2589" t="s">
        <v>717</v>
      </c>
    </row>
    <row r="2590" spans="1:40" hidden="1">
      <c r="A2590">
        <v>2589</v>
      </c>
      <c r="B2590">
        <v>21</v>
      </c>
      <c r="C2590" s="58">
        <v>45712</v>
      </c>
      <c r="D2590" t="s">
        <v>1876</v>
      </c>
      <c r="E2590" t="s">
        <v>10458</v>
      </c>
      <c r="F2590">
        <v>1</v>
      </c>
      <c r="G2590">
        <v>10</v>
      </c>
      <c r="H2590">
        <v>157</v>
      </c>
      <c r="I2590">
        <v>2</v>
      </c>
      <c r="J2590">
        <v>65.650000000000006</v>
      </c>
      <c r="K2590" t="s">
        <v>9</v>
      </c>
      <c r="L2590">
        <v>7549413</v>
      </c>
      <c r="M2590">
        <v>0</v>
      </c>
      <c r="N2590">
        <v>7549413</v>
      </c>
      <c r="O2590">
        <v>114994.86671744096</v>
      </c>
      <c r="P2590">
        <v>0</v>
      </c>
      <c r="Q2590">
        <v>7549413</v>
      </c>
      <c r="R2590">
        <v>114994.86671744096</v>
      </c>
      <c r="S2590" t="s">
        <v>130</v>
      </c>
      <c r="T2590" t="s">
        <v>4059</v>
      </c>
      <c r="U2590">
        <v>233487.00000000093</v>
      </c>
      <c r="V2590" t="s">
        <v>717</v>
      </c>
      <c r="W2590">
        <v>45708</v>
      </c>
      <c r="X2590" t="s">
        <v>11013</v>
      </c>
      <c r="Y2590" t="s">
        <v>6</v>
      </c>
      <c r="Z2590" t="s">
        <v>17</v>
      </c>
      <c r="AA2590" t="s">
        <v>6637</v>
      </c>
      <c r="AB2590" t="s">
        <v>2509</v>
      </c>
      <c r="AC2590" t="s">
        <v>717</v>
      </c>
      <c r="AD2590" t="s">
        <v>717</v>
      </c>
      <c r="AE2590" t="s">
        <v>11014</v>
      </c>
      <c r="AF2590" t="s">
        <v>11015</v>
      </c>
      <c r="AG2590" t="s">
        <v>11016</v>
      </c>
      <c r="AH2590" t="s">
        <v>6100</v>
      </c>
      <c r="AI2590" t="s">
        <v>10080</v>
      </c>
      <c r="AJ2590" t="s">
        <v>10081</v>
      </c>
      <c r="AK2590" t="s">
        <v>20</v>
      </c>
      <c r="AL2590" t="s">
        <v>717</v>
      </c>
      <c r="AM2590" t="s">
        <v>5654</v>
      </c>
      <c r="AN2590" t="s">
        <v>717</v>
      </c>
    </row>
    <row r="2591" spans="1:40" hidden="1">
      <c r="A2591">
        <v>2590</v>
      </c>
      <c r="B2591">
        <v>22</v>
      </c>
      <c r="C2591" s="58">
        <v>45712</v>
      </c>
      <c r="D2591" t="s">
        <v>1876</v>
      </c>
      <c r="E2591" t="s">
        <v>10458</v>
      </c>
      <c r="F2591">
        <v>2</v>
      </c>
      <c r="G2591">
        <v>10</v>
      </c>
      <c r="H2591">
        <v>158</v>
      </c>
      <c r="I2591">
        <v>1</v>
      </c>
      <c r="J2591">
        <v>36.56</v>
      </c>
      <c r="K2591" t="s">
        <v>9</v>
      </c>
      <c r="L2591">
        <v>4391772</v>
      </c>
      <c r="M2591">
        <v>0</v>
      </c>
      <c r="N2591">
        <v>4391772</v>
      </c>
      <c r="O2591">
        <v>120125.05470459518</v>
      </c>
      <c r="P2591">
        <v>0</v>
      </c>
      <c r="Q2591">
        <v>4391772</v>
      </c>
      <c r="R2591">
        <v>120125.05470459518</v>
      </c>
      <c r="S2591" t="s">
        <v>130</v>
      </c>
      <c r="T2591" t="s">
        <v>4059</v>
      </c>
      <c r="U2591">
        <v>135828</v>
      </c>
      <c r="V2591" t="s">
        <v>717</v>
      </c>
      <c r="W2591">
        <v>45708</v>
      </c>
      <c r="X2591" t="s">
        <v>11017</v>
      </c>
      <c r="Y2591" t="s">
        <v>6</v>
      </c>
      <c r="Z2591" t="s">
        <v>17</v>
      </c>
      <c r="AA2591" t="s">
        <v>6637</v>
      </c>
      <c r="AB2591" t="s">
        <v>2509</v>
      </c>
      <c r="AC2591" t="s">
        <v>717</v>
      </c>
      <c r="AD2591" t="s">
        <v>717</v>
      </c>
      <c r="AE2591" t="s">
        <v>11014</v>
      </c>
      <c r="AF2591" t="s">
        <v>11015</v>
      </c>
      <c r="AG2591" t="s">
        <v>11016</v>
      </c>
      <c r="AH2591" t="s">
        <v>2580</v>
      </c>
      <c r="AI2591" t="s">
        <v>10080</v>
      </c>
      <c r="AJ2591" t="s">
        <v>10081</v>
      </c>
      <c r="AK2591" t="s">
        <v>20</v>
      </c>
      <c r="AL2591" t="s">
        <v>717</v>
      </c>
      <c r="AM2591" t="s">
        <v>5654</v>
      </c>
      <c r="AN2591" t="s">
        <v>717</v>
      </c>
    </row>
    <row r="2592" spans="1:40" hidden="1">
      <c r="A2592">
        <v>2591</v>
      </c>
      <c r="B2592">
        <v>23</v>
      </c>
      <c r="C2592" s="58">
        <v>45712</v>
      </c>
      <c r="D2592" t="s">
        <v>1875</v>
      </c>
      <c r="E2592" t="s">
        <v>10458</v>
      </c>
      <c r="F2592">
        <v>5</v>
      </c>
      <c r="G2592">
        <v>3</v>
      </c>
      <c r="H2592">
        <v>66</v>
      </c>
      <c r="I2592">
        <v>2</v>
      </c>
      <c r="J2592">
        <v>49.2</v>
      </c>
      <c r="K2592" t="s">
        <v>9</v>
      </c>
      <c r="L2592">
        <v>6204120</v>
      </c>
      <c r="M2592">
        <v>0</v>
      </c>
      <c r="N2592">
        <v>6204120</v>
      </c>
      <c r="O2592">
        <v>126100</v>
      </c>
      <c r="P2592">
        <v>0</v>
      </c>
      <c r="Q2592">
        <v>6204120</v>
      </c>
      <c r="R2592">
        <v>126100</v>
      </c>
      <c r="S2592" t="s">
        <v>130</v>
      </c>
      <c r="T2592" t="s">
        <v>4059</v>
      </c>
      <c r="U2592">
        <v>191880</v>
      </c>
      <c r="V2592" t="s">
        <v>717</v>
      </c>
      <c r="W2592">
        <v>45709</v>
      </c>
      <c r="X2592" t="s">
        <v>11018</v>
      </c>
      <c r="Y2592" t="s">
        <v>2517</v>
      </c>
      <c r="Z2592" t="s">
        <v>17</v>
      </c>
      <c r="AA2592" t="s">
        <v>6637</v>
      </c>
      <c r="AB2592" t="s">
        <v>2509</v>
      </c>
      <c r="AC2592" t="s">
        <v>717</v>
      </c>
      <c r="AD2592">
        <v>45765</v>
      </c>
      <c r="AE2592" t="s">
        <v>11019</v>
      </c>
      <c r="AF2592" t="s">
        <v>11020</v>
      </c>
      <c r="AG2592" t="s">
        <v>11021</v>
      </c>
      <c r="AH2592" t="s">
        <v>6100</v>
      </c>
      <c r="AI2592" t="s">
        <v>10676</v>
      </c>
      <c r="AJ2592" t="s">
        <v>45</v>
      </c>
      <c r="AK2592" t="s">
        <v>20</v>
      </c>
      <c r="AL2592" t="s">
        <v>717</v>
      </c>
      <c r="AM2592" t="s">
        <v>5654</v>
      </c>
      <c r="AN2592" t="s">
        <v>717</v>
      </c>
    </row>
    <row r="2593" spans="1:40" hidden="1">
      <c r="A2593">
        <v>2592</v>
      </c>
      <c r="B2593">
        <v>24</v>
      </c>
      <c r="C2593" s="58">
        <v>45713</v>
      </c>
      <c r="D2593" t="s">
        <v>1876</v>
      </c>
      <c r="E2593" t="s">
        <v>10835</v>
      </c>
      <c r="F2593">
        <v>1</v>
      </c>
      <c r="G2593">
        <v>7</v>
      </c>
      <c r="H2593">
        <v>211</v>
      </c>
      <c r="I2593">
        <v>1</v>
      </c>
      <c r="J2593">
        <v>44.25</v>
      </c>
      <c r="K2593" t="s">
        <v>9</v>
      </c>
      <c r="L2593">
        <v>5480900</v>
      </c>
      <c r="M2593">
        <v>0</v>
      </c>
      <c r="N2593">
        <v>5480900</v>
      </c>
      <c r="O2593">
        <v>123862.14689265536</v>
      </c>
      <c r="P2593">
        <v>0</v>
      </c>
      <c r="Q2593">
        <v>5480900</v>
      </c>
      <c r="R2593">
        <v>123862.14689265536</v>
      </c>
      <c r="S2593" t="s">
        <v>130</v>
      </c>
      <c r="T2593" t="s">
        <v>717</v>
      </c>
      <c r="U2593" t="s">
        <v>717</v>
      </c>
      <c r="V2593" t="s">
        <v>717</v>
      </c>
      <c r="W2593">
        <v>45708</v>
      </c>
      <c r="X2593" t="s">
        <v>11022</v>
      </c>
      <c r="Y2593" t="s">
        <v>6</v>
      </c>
      <c r="Z2593" t="s">
        <v>17</v>
      </c>
      <c r="AA2593" t="s">
        <v>6637</v>
      </c>
      <c r="AB2593" t="s">
        <v>2509</v>
      </c>
      <c r="AC2593" t="s">
        <v>717</v>
      </c>
      <c r="AD2593" t="s">
        <v>717</v>
      </c>
      <c r="AE2593" t="s">
        <v>11023</v>
      </c>
      <c r="AF2593" t="s">
        <v>11024</v>
      </c>
      <c r="AG2593" t="s">
        <v>11025</v>
      </c>
      <c r="AH2593" t="s">
        <v>6100</v>
      </c>
      <c r="AI2593" t="s">
        <v>10964</v>
      </c>
      <c r="AJ2593" t="s">
        <v>43</v>
      </c>
      <c r="AK2593" t="s">
        <v>20</v>
      </c>
      <c r="AL2593" t="s">
        <v>717</v>
      </c>
      <c r="AM2593" t="s">
        <v>5654</v>
      </c>
      <c r="AN2593" t="s">
        <v>717</v>
      </c>
    </row>
    <row r="2594" spans="1:40" hidden="1">
      <c r="A2594">
        <v>2593</v>
      </c>
      <c r="B2594">
        <v>25</v>
      </c>
      <c r="C2594" s="58">
        <v>45714</v>
      </c>
      <c r="D2594" t="s">
        <v>27</v>
      </c>
      <c r="E2594" t="s">
        <v>2515</v>
      </c>
      <c r="F2594">
        <v>4</v>
      </c>
      <c r="G2594">
        <v>23</v>
      </c>
      <c r="H2594">
        <v>193</v>
      </c>
      <c r="I2594">
        <v>0</v>
      </c>
      <c r="J2594">
        <v>25.1</v>
      </c>
      <c r="K2594" t="s">
        <v>25</v>
      </c>
      <c r="L2594">
        <v>3600000</v>
      </c>
      <c r="M2594">
        <v>0</v>
      </c>
      <c r="N2594">
        <v>3600000</v>
      </c>
      <c r="O2594">
        <v>143426.29482071713</v>
      </c>
      <c r="P2594">
        <v>376500.00000000326</v>
      </c>
      <c r="Q2594">
        <v>3223499.9999999967</v>
      </c>
      <c r="R2594">
        <v>128426.294820717</v>
      </c>
      <c r="S2594" t="s">
        <v>65</v>
      </c>
      <c r="T2594" t="s">
        <v>2941</v>
      </c>
      <c r="U2594">
        <v>89600</v>
      </c>
      <c r="V2594" t="s">
        <v>11026</v>
      </c>
      <c r="W2594">
        <v>45707</v>
      </c>
      <c r="X2594" t="s">
        <v>7719</v>
      </c>
      <c r="Y2594" t="s">
        <v>6</v>
      </c>
      <c r="Z2594" t="s">
        <v>17</v>
      </c>
      <c r="AA2594" t="s">
        <v>6637</v>
      </c>
      <c r="AB2594" t="s">
        <v>326</v>
      </c>
      <c r="AC2594" t="s">
        <v>2571</v>
      </c>
      <c r="AD2594" t="s">
        <v>717</v>
      </c>
      <c r="AE2594" t="s">
        <v>11027</v>
      </c>
      <c r="AF2594" t="s">
        <v>11028</v>
      </c>
      <c r="AG2594" t="s">
        <v>11029</v>
      </c>
      <c r="AH2594" t="s">
        <v>2191</v>
      </c>
      <c r="AI2594" t="s">
        <v>2847</v>
      </c>
      <c r="AJ2594" t="s">
        <v>2514</v>
      </c>
      <c r="AK2594" t="s">
        <v>14</v>
      </c>
      <c r="AL2594" t="s">
        <v>22</v>
      </c>
      <c r="AM2594" t="s">
        <v>10</v>
      </c>
      <c r="AN2594" t="s">
        <v>717</v>
      </c>
    </row>
    <row r="2595" spans="1:40" hidden="1">
      <c r="A2595">
        <v>2594</v>
      </c>
      <c r="B2595">
        <v>26</v>
      </c>
      <c r="C2595" s="58">
        <v>45714</v>
      </c>
      <c r="D2595" t="s">
        <v>1876</v>
      </c>
      <c r="E2595" t="s">
        <v>10295</v>
      </c>
      <c r="F2595">
        <v>5</v>
      </c>
      <c r="G2595">
        <v>7</v>
      </c>
      <c r="H2595">
        <v>35</v>
      </c>
      <c r="I2595">
        <v>1</v>
      </c>
      <c r="J2595">
        <v>37.01</v>
      </c>
      <c r="K2595" t="s">
        <v>9</v>
      </c>
      <c r="L2595">
        <v>4573556</v>
      </c>
      <c r="M2595">
        <v>15000</v>
      </c>
      <c r="N2595">
        <v>4588556</v>
      </c>
      <c r="O2595">
        <v>123981.51850851122</v>
      </c>
      <c r="P2595">
        <v>0</v>
      </c>
      <c r="Q2595">
        <v>4588556</v>
      </c>
      <c r="R2595">
        <v>123981.51850851122</v>
      </c>
      <c r="S2595" t="s">
        <v>130</v>
      </c>
      <c r="T2595" t="s">
        <v>2664</v>
      </c>
      <c r="U2595" t="s">
        <v>11030</v>
      </c>
      <c r="V2595" t="s">
        <v>717</v>
      </c>
      <c r="W2595">
        <v>45709</v>
      </c>
      <c r="X2595" t="s">
        <v>11031</v>
      </c>
      <c r="Y2595" t="s">
        <v>6</v>
      </c>
      <c r="Z2595" t="s">
        <v>17</v>
      </c>
      <c r="AA2595" t="s">
        <v>6637</v>
      </c>
      <c r="AB2595" t="s">
        <v>2509</v>
      </c>
      <c r="AC2595" t="s">
        <v>118</v>
      </c>
      <c r="AD2595" t="s">
        <v>717</v>
      </c>
      <c r="AE2595" t="s">
        <v>11032</v>
      </c>
      <c r="AF2595" t="s">
        <v>11033</v>
      </c>
      <c r="AG2595" t="s">
        <v>11034</v>
      </c>
      <c r="AH2595" t="s">
        <v>2615</v>
      </c>
      <c r="AI2595" t="s">
        <v>2552</v>
      </c>
      <c r="AJ2595" t="s">
        <v>2569</v>
      </c>
      <c r="AK2595" t="s">
        <v>24</v>
      </c>
      <c r="AL2595" t="s">
        <v>717</v>
      </c>
      <c r="AM2595" t="s">
        <v>10</v>
      </c>
      <c r="AN2595" t="s">
        <v>717</v>
      </c>
    </row>
    <row r="2596" spans="1:40" hidden="1">
      <c r="A2596">
        <v>2595</v>
      </c>
      <c r="B2596">
        <v>27</v>
      </c>
      <c r="C2596" s="58">
        <v>45714</v>
      </c>
      <c r="D2596" t="s">
        <v>1876</v>
      </c>
      <c r="E2596" t="s">
        <v>10835</v>
      </c>
      <c r="F2596">
        <v>2</v>
      </c>
      <c r="G2596">
        <v>14</v>
      </c>
      <c r="H2596">
        <v>254</v>
      </c>
      <c r="I2596">
        <v>1</v>
      </c>
      <c r="J2596">
        <v>36.35</v>
      </c>
      <c r="K2596" t="s">
        <v>25</v>
      </c>
      <c r="L2596">
        <v>5498790</v>
      </c>
      <c r="M2596">
        <v>0</v>
      </c>
      <c r="N2596">
        <v>5498790</v>
      </c>
      <c r="O2596">
        <v>151273.45254470425</v>
      </c>
      <c r="P2596">
        <v>908750</v>
      </c>
      <c r="Q2596">
        <v>4590040</v>
      </c>
      <c r="R2596">
        <v>126273.45254470424</v>
      </c>
      <c r="S2596" t="s">
        <v>130</v>
      </c>
      <c r="T2596" t="s">
        <v>4059</v>
      </c>
      <c r="U2596">
        <v>141960</v>
      </c>
      <c r="V2596" t="s">
        <v>717</v>
      </c>
      <c r="W2596">
        <v>45714</v>
      </c>
      <c r="X2596" t="s">
        <v>11035</v>
      </c>
      <c r="Y2596" t="s">
        <v>6</v>
      </c>
      <c r="Z2596" t="s">
        <v>17</v>
      </c>
      <c r="AA2596" t="s">
        <v>6637</v>
      </c>
      <c r="AB2596" t="s">
        <v>2509</v>
      </c>
      <c r="AC2596" t="s">
        <v>717</v>
      </c>
      <c r="AD2596" t="s">
        <v>717</v>
      </c>
      <c r="AE2596" t="s">
        <v>11036</v>
      </c>
      <c r="AF2596" t="s">
        <v>11037</v>
      </c>
      <c r="AG2596" t="s">
        <v>11038</v>
      </c>
      <c r="AH2596" t="s">
        <v>2615</v>
      </c>
      <c r="AI2596" t="s">
        <v>2538</v>
      </c>
      <c r="AJ2596" t="s">
        <v>2895</v>
      </c>
      <c r="AK2596" t="s">
        <v>28</v>
      </c>
      <c r="AL2596" t="s">
        <v>717</v>
      </c>
      <c r="AM2596" t="s">
        <v>10</v>
      </c>
      <c r="AN2596" t="s">
        <v>11545</v>
      </c>
    </row>
    <row r="2597" spans="1:40" hidden="1">
      <c r="A2597">
        <v>2596</v>
      </c>
      <c r="B2597">
        <v>28</v>
      </c>
      <c r="C2597" s="58">
        <v>45715</v>
      </c>
      <c r="D2597" t="s">
        <v>1876</v>
      </c>
      <c r="E2597" t="s">
        <v>10835</v>
      </c>
      <c r="F2597">
        <v>3</v>
      </c>
      <c r="G2597">
        <v>17</v>
      </c>
      <c r="H2597">
        <v>273</v>
      </c>
      <c r="I2597">
        <v>2</v>
      </c>
      <c r="J2597">
        <v>54.08</v>
      </c>
      <c r="K2597" t="s">
        <v>10459</v>
      </c>
      <c r="L2597">
        <v>6954704</v>
      </c>
      <c r="M2597">
        <v>0</v>
      </c>
      <c r="N2597">
        <v>6954704</v>
      </c>
      <c r="O2597">
        <v>128600.29585798817</v>
      </c>
      <c r="P2597">
        <v>540800</v>
      </c>
      <c r="Q2597">
        <v>6413904</v>
      </c>
      <c r="R2597">
        <v>118600.29585798817</v>
      </c>
      <c r="S2597" t="s">
        <v>130</v>
      </c>
      <c r="T2597" t="s">
        <v>2664</v>
      </c>
      <c r="U2597">
        <v>130896</v>
      </c>
      <c r="V2597" t="s">
        <v>717</v>
      </c>
      <c r="W2597">
        <v>45700</v>
      </c>
      <c r="X2597" t="s">
        <v>11039</v>
      </c>
      <c r="Y2597" t="s">
        <v>6</v>
      </c>
      <c r="Z2597" t="s">
        <v>17</v>
      </c>
      <c r="AA2597" t="s">
        <v>6637</v>
      </c>
      <c r="AB2597" t="s">
        <v>2509</v>
      </c>
      <c r="AC2597" t="s">
        <v>717</v>
      </c>
      <c r="AD2597" t="s">
        <v>717</v>
      </c>
      <c r="AE2597" t="s">
        <v>11040</v>
      </c>
      <c r="AF2597" t="s">
        <v>11041</v>
      </c>
      <c r="AG2597" t="s">
        <v>11042</v>
      </c>
      <c r="AH2597" t="s">
        <v>2552</v>
      </c>
      <c r="AI2597" t="s">
        <v>2547</v>
      </c>
      <c r="AJ2597" t="s">
        <v>2855</v>
      </c>
      <c r="AK2597" t="s">
        <v>14</v>
      </c>
      <c r="AL2597" t="s">
        <v>717</v>
      </c>
      <c r="AM2597" t="s">
        <v>10</v>
      </c>
      <c r="AN2597" t="s">
        <v>717</v>
      </c>
    </row>
    <row r="2598" spans="1:40" hidden="1">
      <c r="A2598">
        <v>2597</v>
      </c>
      <c r="B2598">
        <v>29</v>
      </c>
      <c r="C2598" s="58">
        <v>45715</v>
      </c>
      <c r="D2598" t="s">
        <v>1875</v>
      </c>
      <c r="E2598" t="s">
        <v>10458</v>
      </c>
      <c r="F2598">
        <v>4</v>
      </c>
      <c r="G2598">
        <v>3</v>
      </c>
      <c r="H2598">
        <v>65</v>
      </c>
      <c r="I2598">
        <v>1</v>
      </c>
      <c r="J2598">
        <v>42.39</v>
      </c>
      <c r="K2598" t="s">
        <v>10459</v>
      </c>
      <c r="L2598">
        <v>6202470</v>
      </c>
      <c r="M2598">
        <v>0</v>
      </c>
      <c r="N2598">
        <v>6202470</v>
      </c>
      <c r="O2598">
        <v>146319.17905166312</v>
      </c>
      <c r="P2598">
        <v>423900</v>
      </c>
      <c r="Q2598">
        <v>5778570</v>
      </c>
      <c r="R2598">
        <v>136319.17905166312</v>
      </c>
      <c r="S2598" t="s">
        <v>65</v>
      </c>
      <c r="T2598" t="s">
        <v>2664</v>
      </c>
      <c r="U2598">
        <v>117930</v>
      </c>
      <c r="V2598" t="s">
        <v>6312</v>
      </c>
      <c r="W2598">
        <v>45712</v>
      </c>
      <c r="X2598" t="s">
        <v>11043</v>
      </c>
      <c r="Y2598" t="s">
        <v>6</v>
      </c>
      <c r="Z2598" t="s">
        <v>17</v>
      </c>
      <c r="AA2598" t="s">
        <v>6637</v>
      </c>
      <c r="AB2598" t="s">
        <v>2509</v>
      </c>
      <c r="AC2598" t="s">
        <v>2571</v>
      </c>
      <c r="AD2598" t="s">
        <v>717</v>
      </c>
      <c r="AE2598" t="s">
        <v>11044</v>
      </c>
      <c r="AF2598" t="s">
        <v>11045</v>
      </c>
      <c r="AG2598" t="s">
        <v>11046</v>
      </c>
      <c r="AH2598" t="s">
        <v>6100</v>
      </c>
      <c r="AI2598" t="s">
        <v>10964</v>
      </c>
      <c r="AJ2598" t="s">
        <v>43</v>
      </c>
      <c r="AK2598" t="s">
        <v>24</v>
      </c>
      <c r="AL2598" t="s">
        <v>26</v>
      </c>
      <c r="AM2598" t="s">
        <v>5654</v>
      </c>
      <c r="AN2598" t="s">
        <v>717</v>
      </c>
    </row>
    <row r="2599" spans="1:40" hidden="1">
      <c r="A2599">
        <v>2598</v>
      </c>
      <c r="B2599">
        <v>30</v>
      </c>
      <c r="C2599" s="58">
        <v>45715</v>
      </c>
      <c r="D2599" t="s">
        <v>1876</v>
      </c>
      <c r="E2599" t="s">
        <v>10295</v>
      </c>
      <c r="F2599">
        <v>5</v>
      </c>
      <c r="G2599">
        <v>14</v>
      </c>
      <c r="H2599">
        <v>77</v>
      </c>
      <c r="I2599">
        <v>1</v>
      </c>
      <c r="J2599">
        <v>36.64</v>
      </c>
      <c r="K2599" t="s">
        <v>9</v>
      </c>
      <c r="L2599">
        <v>4769700</v>
      </c>
      <c r="M2599">
        <v>0</v>
      </c>
      <c r="N2599">
        <v>4769700</v>
      </c>
      <c r="O2599">
        <v>130177.40174672488</v>
      </c>
      <c r="P2599">
        <v>0</v>
      </c>
      <c r="Q2599">
        <v>4769700</v>
      </c>
      <c r="R2599">
        <v>130177.40174672488</v>
      </c>
      <c r="S2599" t="s">
        <v>130</v>
      </c>
      <c r="T2599" t="s">
        <v>717</v>
      </c>
      <c r="U2599" t="s">
        <v>717</v>
      </c>
      <c r="V2599" t="s">
        <v>717</v>
      </c>
      <c r="W2599">
        <v>45714</v>
      </c>
      <c r="X2599" t="s">
        <v>11047</v>
      </c>
      <c r="Y2599" t="s">
        <v>6</v>
      </c>
      <c r="Z2599" t="s">
        <v>17</v>
      </c>
      <c r="AA2599" t="s">
        <v>6637</v>
      </c>
      <c r="AB2599" t="s">
        <v>2509</v>
      </c>
      <c r="AC2599" t="s">
        <v>717</v>
      </c>
      <c r="AD2599" t="s">
        <v>717</v>
      </c>
      <c r="AE2599" t="s">
        <v>11048</v>
      </c>
      <c r="AF2599" t="s">
        <v>11049</v>
      </c>
      <c r="AG2599" t="s">
        <v>11050</v>
      </c>
      <c r="AH2599" t="s">
        <v>6100</v>
      </c>
      <c r="AI2599" t="s">
        <v>10676</v>
      </c>
      <c r="AJ2599" t="s">
        <v>45</v>
      </c>
      <c r="AK2599" t="s">
        <v>8</v>
      </c>
      <c r="AL2599" t="s">
        <v>717</v>
      </c>
      <c r="AM2599" t="s">
        <v>5654</v>
      </c>
      <c r="AN2599" t="s">
        <v>717</v>
      </c>
    </row>
    <row r="2600" spans="1:40" hidden="1">
      <c r="A2600">
        <v>2599</v>
      </c>
      <c r="B2600">
        <v>31</v>
      </c>
      <c r="C2600" s="58">
        <v>45716</v>
      </c>
      <c r="D2600" t="s">
        <v>1876</v>
      </c>
      <c r="E2600" t="s">
        <v>10295</v>
      </c>
      <c r="F2600">
        <v>5</v>
      </c>
      <c r="G2600">
        <v>8</v>
      </c>
      <c r="H2600">
        <v>41</v>
      </c>
      <c r="I2600">
        <v>1</v>
      </c>
      <c r="J2600">
        <v>37.01</v>
      </c>
      <c r="K2600" t="s">
        <v>9</v>
      </c>
      <c r="L2600">
        <v>4698114</v>
      </c>
      <c r="M2600">
        <v>15000</v>
      </c>
      <c r="N2600">
        <v>4713114</v>
      </c>
      <c r="O2600">
        <v>127347.04134017832</v>
      </c>
      <c r="P2600">
        <v>0</v>
      </c>
      <c r="Q2600">
        <v>4713114</v>
      </c>
      <c r="R2600">
        <v>127347.04134017832</v>
      </c>
      <c r="S2600" t="s">
        <v>130</v>
      </c>
      <c r="T2600" t="s">
        <v>2664</v>
      </c>
      <c r="U2600">
        <v>96186</v>
      </c>
      <c r="V2600" t="s">
        <v>717</v>
      </c>
      <c r="W2600">
        <v>45716</v>
      </c>
      <c r="X2600" t="s">
        <v>11051</v>
      </c>
      <c r="Y2600" t="s">
        <v>6</v>
      </c>
      <c r="Z2600" t="s">
        <v>17</v>
      </c>
      <c r="AA2600" t="s">
        <v>6637</v>
      </c>
      <c r="AB2600" t="s">
        <v>2509</v>
      </c>
      <c r="AC2600" t="s">
        <v>717</v>
      </c>
      <c r="AD2600" t="s">
        <v>717</v>
      </c>
      <c r="AE2600" t="s">
        <v>11052</v>
      </c>
      <c r="AF2600" t="s">
        <v>11053</v>
      </c>
      <c r="AG2600" t="s">
        <v>11054</v>
      </c>
      <c r="AH2600" t="s">
        <v>2191</v>
      </c>
      <c r="AI2600" t="s">
        <v>2521</v>
      </c>
      <c r="AJ2600" t="s">
        <v>2514</v>
      </c>
      <c r="AK2600" t="s">
        <v>24</v>
      </c>
      <c r="AL2600" t="s">
        <v>717</v>
      </c>
      <c r="AM2600" t="s">
        <v>10</v>
      </c>
      <c r="AN2600" t="s">
        <v>717</v>
      </c>
    </row>
    <row r="2601" spans="1:40" hidden="1">
      <c r="A2601">
        <v>2600</v>
      </c>
      <c r="B2601">
        <v>32</v>
      </c>
      <c r="C2601" s="58">
        <v>45716</v>
      </c>
      <c r="D2601" t="s">
        <v>13</v>
      </c>
      <c r="E2601" t="s">
        <v>2506</v>
      </c>
      <c r="F2601">
        <v>2</v>
      </c>
      <c r="G2601">
        <v>14</v>
      </c>
      <c r="H2601">
        <v>203</v>
      </c>
      <c r="I2601">
        <v>0</v>
      </c>
      <c r="J2601">
        <v>24.28</v>
      </c>
      <c r="K2601" t="s">
        <v>25</v>
      </c>
      <c r="L2601">
        <v>4313600</v>
      </c>
      <c r="M2601">
        <v>0</v>
      </c>
      <c r="N2601">
        <v>4313600</v>
      </c>
      <c r="O2601">
        <v>177660.62602965403</v>
      </c>
      <c r="P2601">
        <v>607000</v>
      </c>
      <c r="Q2601">
        <v>3706600</v>
      </c>
      <c r="R2601">
        <v>152660.62602965403</v>
      </c>
      <c r="S2601" t="s">
        <v>65</v>
      </c>
      <c r="T2601" t="s">
        <v>717</v>
      </c>
      <c r="U2601" t="s">
        <v>717</v>
      </c>
      <c r="V2601" t="s">
        <v>6312</v>
      </c>
      <c r="W2601">
        <v>45708</v>
      </c>
      <c r="X2601" t="s">
        <v>11055</v>
      </c>
      <c r="Y2601" t="s">
        <v>6</v>
      </c>
      <c r="Z2601" t="s">
        <v>17</v>
      </c>
      <c r="AA2601" t="s">
        <v>6637</v>
      </c>
      <c r="AB2601" t="s">
        <v>2509</v>
      </c>
      <c r="AC2601" t="s">
        <v>2571</v>
      </c>
      <c r="AD2601" t="s">
        <v>717</v>
      </c>
      <c r="AE2601" t="s">
        <v>11056</v>
      </c>
      <c r="AF2601" t="s">
        <v>11057</v>
      </c>
      <c r="AG2601" t="s">
        <v>11058</v>
      </c>
      <c r="AH2601" t="s">
        <v>2191</v>
      </c>
      <c r="AI2601" t="s">
        <v>2521</v>
      </c>
      <c r="AJ2601" t="s">
        <v>2514</v>
      </c>
      <c r="AK2601" t="s">
        <v>14</v>
      </c>
      <c r="AL2601" t="s">
        <v>22</v>
      </c>
      <c r="AM2601" t="s">
        <v>10</v>
      </c>
      <c r="AN2601" t="s">
        <v>717</v>
      </c>
    </row>
    <row r="2602" spans="1:40" hidden="1">
      <c r="A2602">
        <v>2601</v>
      </c>
      <c r="B2602">
        <v>33</v>
      </c>
      <c r="C2602" s="58">
        <v>45716</v>
      </c>
      <c r="D2602" t="s">
        <v>13</v>
      </c>
      <c r="E2602" t="s">
        <v>4409</v>
      </c>
      <c r="F2602">
        <v>4</v>
      </c>
      <c r="G2602">
        <v>2</v>
      </c>
      <c r="H2602">
        <v>400</v>
      </c>
      <c r="I2602">
        <v>2</v>
      </c>
      <c r="J2602">
        <v>58.24</v>
      </c>
      <c r="K2602" t="s">
        <v>9</v>
      </c>
      <c r="L2602">
        <v>7129300</v>
      </c>
      <c r="M2602">
        <v>0</v>
      </c>
      <c r="N2602">
        <v>7129300</v>
      </c>
      <c r="O2602">
        <v>122412.43131868132</v>
      </c>
      <c r="P2602">
        <v>0</v>
      </c>
      <c r="Q2602">
        <v>7129300</v>
      </c>
      <c r="R2602">
        <v>122412.43131868132</v>
      </c>
      <c r="S2602" t="s">
        <v>65</v>
      </c>
      <c r="T2602" t="s">
        <v>717</v>
      </c>
      <c r="U2602" t="s">
        <v>717</v>
      </c>
      <c r="V2602" t="s">
        <v>6312</v>
      </c>
      <c r="W2602">
        <v>45707</v>
      </c>
      <c r="X2602" t="s">
        <v>11059</v>
      </c>
      <c r="Y2602" t="s">
        <v>6</v>
      </c>
      <c r="Z2602" t="s">
        <v>17</v>
      </c>
      <c r="AA2602" t="s">
        <v>5617</v>
      </c>
      <c r="AB2602" t="s">
        <v>2509</v>
      </c>
      <c r="AC2602" t="s">
        <v>2571</v>
      </c>
      <c r="AD2602" t="s">
        <v>717</v>
      </c>
      <c r="AE2602" t="s">
        <v>11060</v>
      </c>
      <c r="AF2602" t="s">
        <v>11061</v>
      </c>
      <c r="AG2602" t="s">
        <v>11062</v>
      </c>
      <c r="AH2602" t="s">
        <v>2615</v>
      </c>
      <c r="AI2602" t="s">
        <v>2521</v>
      </c>
      <c r="AJ2602" t="s">
        <v>2940</v>
      </c>
      <c r="AK2602" t="s">
        <v>28</v>
      </c>
      <c r="AL2602" t="s">
        <v>26</v>
      </c>
      <c r="AM2602" t="s">
        <v>10</v>
      </c>
      <c r="AN2602" t="s">
        <v>717</v>
      </c>
    </row>
    <row r="2603" spans="1:40" hidden="1">
      <c r="A2603">
        <v>2602</v>
      </c>
      <c r="B2603">
        <v>1</v>
      </c>
      <c r="C2603" s="58">
        <v>45719</v>
      </c>
      <c r="D2603" t="s">
        <v>13</v>
      </c>
      <c r="E2603" t="s">
        <v>2581</v>
      </c>
      <c r="F2603">
        <v>7</v>
      </c>
      <c r="G2603">
        <v>12</v>
      </c>
      <c r="H2603">
        <v>305</v>
      </c>
      <c r="I2603">
        <v>1</v>
      </c>
      <c r="J2603">
        <v>34.81</v>
      </c>
      <c r="K2603" t="s">
        <v>25</v>
      </c>
      <c r="L2603">
        <v>5841015</v>
      </c>
      <c r="M2603">
        <v>0</v>
      </c>
      <c r="N2603">
        <v>5841015</v>
      </c>
      <c r="O2603">
        <v>167797.04108014941</v>
      </c>
      <c r="P2603">
        <v>870250</v>
      </c>
      <c r="Q2603">
        <v>4970765</v>
      </c>
      <c r="R2603">
        <v>142797.04108014941</v>
      </c>
      <c r="S2603" t="s">
        <v>130</v>
      </c>
      <c r="T2603" t="s">
        <v>10533</v>
      </c>
      <c r="U2603">
        <v>153735</v>
      </c>
      <c r="V2603" t="s">
        <v>717</v>
      </c>
      <c r="W2603">
        <v>45712</v>
      </c>
      <c r="X2603" t="s">
        <v>11063</v>
      </c>
      <c r="Y2603" t="s">
        <v>2517</v>
      </c>
      <c r="Z2603" t="s">
        <v>17</v>
      </c>
      <c r="AA2603" t="s">
        <v>6637</v>
      </c>
      <c r="AB2603" t="s">
        <v>2509</v>
      </c>
      <c r="AC2603" t="s">
        <v>717</v>
      </c>
      <c r="AD2603">
        <v>45840</v>
      </c>
      <c r="AE2603" t="s">
        <v>11064</v>
      </c>
      <c r="AF2603" t="s">
        <v>11065</v>
      </c>
      <c r="AG2603" t="s">
        <v>11066</v>
      </c>
      <c r="AH2603" t="s">
        <v>2615</v>
      </c>
      <c r="AI2603" t="s">
        <v>2688</v>
      </c>
      <c r="AJ2603" t="s">
        <v>3289</v>
      </c>
      <c r="AK2603" t="s">
        <v>14</v>
      </c>
      <c r="AL2603" t="s">
        <v>22</v>
      </c>
      <c r="AM2603" t="s">
        <v>10</v>
      </c>
      <c r="AN2603" t="s">
        <v>717</v>
      </c>
    </row>
    <row r="2604" spans="1:40" hidden="1">
      <c r="A2604">
        <v>2603</v>
      </c>
      <c r="B2604">
        <v>2</v>
      </c>
      <c r="C2604" s="58">
        <v>45720</v>
      </c>
      <c r="D2604" t="s">
        <v>1876</v>
      </c>
      <c r="E2604" t="s">
        <v>10835</v>
      </c>
      <c r="F2604">
        <v>1</v>
      </c>
      <c r="G2604">
        <v>3</v>
      </c>
      <c r="H2604">
        <v>187</v>
      </c>
      <c r="I2604">
        <v>1</v>
      </c>
      <c r="J2604">
        <v>44.25</v>
      </c>
      <c r="K2604" t="s">
        <v>9</v>
      </c>
      <c r="L2604">
        <v>5434100</v>
      </c>
      <c r="M2604">
        <v>0</v>
      </c>
      <c r="N2604">
        <v>5434100</v>
      </c>
      <c r="O2604">
        <v>122804.51977401128</v>
      </c>
      <c r="P2604">
        <v>0</v>
      </c>
      <c r="Q2604">
        <v>5434100</v>
      </c>
      <c r="R2604">
        <v>122804.51977401128</v>
      </c>
      <c r="S2604" t="s">
        <v>130</v>
      </c>
      <c r="T2604" t="s">
        <v>2664</v>
      </c>
      <c r="U2604">
        <v>110900</v>
      </c>
      <c r="V2604" t="s">
        <v>717</v>
      </c>
      <c r="W2604">
        <v>45716</v>
      </c>
      <c r="X2604" t="s">
        <v>11067</v>
      </c>
      <c r="Y2604" t="s">
        <v>6</v>
      </c>
      <c r="Z2604" t="s">
        <v>17</v>
      </c>
      <c r="AA2604" t="s">
        <v>6637</v>
      </c>
      <c r="AB2604" t="s">
        <v>2509</v>
      </c>
      <c r="AC2604" t="s">
        <v>717</v>
      </c>
      <c r="AD2604" t="s">
        <v>717</v>
      </c>
      <c r="AE2604" t="s">
        <v>11068</v>
      </c>
      <c r="AF2604" t="s">
        <v>11069</v>
      </c>
      <c r="AG2604" t="s">
        <v>11070</v>
      </c>
      <c r="AH2604" t="s">
        <v>2615</v>
      </c>
      <c r="AI2604" t="s">
        <v>2847</v>
      </c>
      <c r="AJ2604" t="s">
        <v>2940</v>
      </c>
      <c r="AK2604" t="s">
        <v>14</v>
      </c>
      <c r="AL2604" t="s">
        <v>717</v>
      </c>
      <c r="AM2604" t="s">
        <v>10</v>
      </c>
      <c r="AN2604" t="s">
        <v>717</v>
      </c>
    </row>
    <row r="2605" spans="1:40" hidden="1">
      <c r="A2605">
        <v>2604</v>
      </c>
      <c r="B2605">
        <v>3</v>
      </c>
      <c r="C2605" s="58">
        <v>45720</v>
      </c>
      <c r="D2605" t="s">
        <v>1876</v>
      </c>
      <c r="E2605" t="s">
        <v>10835</v>
      </c>
      <c r="F2605">
        <v>1</v>
      </c>
      <c r="G2605">
        <v>13</v>
      </c>
      <c r="H2605">
        <v>247</v>
      </c>
      <c r="I2605">
        <v>1</v>
      </c>
      <c r="J2605">
        <v>44.16</v>
      </c>
      <c r="K2605" t="s">
        <v>9</v>
      </c>
      <c r="L2605">
        <v>5480000</v>
      </c>
      <c r="M2605">
        <v>0</v>
      </c>
      <c r="N2605">
        <v>5480000</v>
      </c>
      <c r="O2605">
        <v>124094.20289855072</v>
      </c>
      <c r="P2605">
        <v>0</v>
      </c>
      <c r="Q2605">
        <v>5480000</v>
      </c>
      <c r="R2605">
        <v>124094.20289855072</v>
      </c>
      <c r="S2605" t="s">
        <v>130</v>
      </c>
      <c r="T2605" t="s">
        <v>717</v>
      </c>
      <c r="U2605" t="s">
        <v>717</v>
      </c>
      <c r="V2605" t="s">
        <v>717</v>
      </c>
      <c r="W2605">
        <v>45719</v>
      </c>
      <c r="X2605" t="s">
        <v>11071</v>
      </c>
      <c r="Y2605" t="s">
        <v>6</v>
      </c>
      <c r="Z2605" t="s">
        <v>17</v>
      </c>
      <c r="AA2605" t="s">
        <v>6637</v>
      </c>
      <c r="AB2605" t="s">
        <v>2509</v>
      </c>
      <c r="AC2605" t="s">
        <v>717</v>
      </c>
      <c r="AD2605" t="s">
        <v>717</v>
      </c>
      <c r="AE2605" t="s">
        <v>11072</v>
      </c>
      <c r="AF2605" t="s">
        <v>11073</v>
      </c>
      <c r="AG2605" t="s">
        <v>11074</v>
      </c>
      <c r="AH2605" t="s">
        <v>6100</v>
      </c>
      <c r="AI2605" t="s">
        <v>10676</v>
      </c>
      <c r="AJ2605" t="s">
        <v>45</v>
      </c>
      <c r="AK2605" t="s">
        <v>20</v>
      </c>
      <c r="AL2605" t="s">
        <v>717</v>
      </c>
      <c r="AM2605" t="s">
        <v>5654</v>
      </c>
      <c r="AN2605" t="s">
        <v>717</v>
      </c>
    </row>
    <row r="2606" spans="1:40" hidden="1">
      <c r="A2606">
        <v>2605</v>
      </c>
      <c r="B2606">
        <v>4</v>
      </c>
      <c r="C2606" s="58">
        <v>45722</v>
      </c>
      <c r="D2606" t="s">
        <v>1875</v>
      </c>
      <c r="E2606" t="s">
        <v>10458</v>
      </c>
      <c r="F2606">
        <v>5</v>
      </c>
      <c r="G2606">
        <v>6</v>
      </c>
      <c r="H2606">
        <v>81</v>
      </c>
      <c r="I2606">
        <v>2</v>
      </c>
      <c r="J2606">
        <v>49.2</v>
      </c>
      <c r="K2606" t="s">
        <v>9</v>
      </c>
      <c r="L2606">
        <v>6204120</v>
      </c>
      <c r="M2606">
        <v>0</v>
      </c>
      <c r="N2606">
        <v>6204120</v>
      </c>
      <c r="O2606">
        <v>126100</v>
      </c>
      <c r="P2606">
        <v>0</v>
      </c>
      <c r="Q2606">
        <v>6204120</v>
      </c>
      <c r="R2606">
        <v>126100</v>
      </c>
      <c r="S2606" t="s">
        <v>65</v>
      </c>
      <c r="T2606" t="s">
        <v>4059</v>
      </c>
      <c r="U2606">
        <v>191880</v>
      </c>
      <c r="V2606" t="s">
        <v>6312</v>
      </c>
      <c r="W2606">
        <v>45719</v>
      </c>
      <c r="X2606" t="s">
        <v>11075</v>
      </c>
      <c r="Y2606" t="s">
        <v>6</v>
      </c>
      <c r="Z2606" t="s">
        <v>17</v>
      </c>
      <c r="AA2606" t="s">
        <v>6637</v>
      </c>
      <c r="AB2606" t="s">
        <v>2509</v>
      </c>
      <c r="AC2606" t="s">
        <v>2571</v>
      </c>
      <c r="AD2606" t="s">
        <v>717</v>
      </c>
      <c r="AE2606" t="s">
        <v>11076</v>
      </c>
      <c r="AF2606" t="s">
        <v>11077</v>
      </c>
      <c r="AG2606" t="s">
        <v>11078</v>
      </c>
      <c r="AH2606" t="s">
        <v>6100</v>
      </c>
      <c r="AI2606" t="s">
        <v>10676</v>
      </c>
      <c r="AJ2606" t="s">
        <v>45</v>
      </c>
      <c r="AK2606" t="s">
        <v>8</v>
      </c>
      <c r="AL2606" t="s">
        <v>22</v>
      </c>
      <c r="AM2606" t="s">
        <v>5654</v>
      </c>
      <c r="AN2606" t="s">
        <v>717</v>
      </c>
    </row>
    <row r="2607" spans="1:40" hidden="1">
      <c r="A2607">
        <v>2606</v>
      </c>
      <c r="B2607">
        <v>5</v>
      </c>
      <c r="C2607" s="58">
        <v>45722</v>
      </c>
      <c r="D2607" t="s">
        <v>1876</v>
      </c>
      <c r="E2607" t="s">
        <v>10835</v>
      </c>
      <c r="F2607">
        <v>3</v>
      </c>
      <c r="G2607">
        <v>11</v>
      </c>
      <c r="H2607">
        <v>237</v>
      </c>
      <c r="I2607">
        <v>2</v>
      </c>
      <c r="J2607">
        <v>54.35</v>
      </c>
      <c r="K2607" t="s">
        <v>9</v>
      </c>
      <c r="L2607">
        <v>6581288</v>
      </c>
      <c r="M2607">
        <v>0</v>
      </c>
      <c r="N2607">
        <v>6581288</v>
      </c>
      <c r="O2607">
        <v>121090.85556577735</v>
      </c>
      <c r="P2607">
        <v>0</v>
      </c>
      <c r="Q2607">
        <v>6581288</v>
      </c>
      <c r="R2607">
        <v>121090.85556577735</v>
      </c>
      <c r="S2607" t="s">
        <v>130</v>
      </c>
      <c r="T2607" t="s">
        <v>2664</v>
      </c>
      <c r="U2607">
        <v>134312</v>
      </c>
      <c r="V2607" t="s">
        <v>717</v>
      </c>
      <c r="W2607">
        <v>45722</v>
      </c>
      <c r="X2607" t="s">
        <v>11079</v>
      </c>
      <c r="Y2607" t="s">
        <v>6</v>
      </c>
      <c r="Z2607" t="s">
        <v>17</v>
      </c>
      <c r="AA2607" t="s">
        <v>6637</v>
      </c>
      <c r="AB2607" t="s">
        <v>2509</v>
      </c>
      <c r="AC2607" t="s">
        <v>717</v>
      </c>
      <c r="AD2607" t="s">
        <v>717</v>
      </c>
      <c r="AE2607" t="s">
        <v>11080</v>
      </c>
      <c r="AF2607" t="s">
        <v>6975</v>
      </c>
      <c r="AG2607" t="s">
        <v>11081</v>
      </c>
      <c r="AH2607" t="s">
        <v>2191</v>
      </c>
      <c r="AI2607" t="s">
        <v>2538</v>
      </c>
      <c r="AJ2607" t="s">
        <v>2514</v>
      </c>
      <c r="AK2607" t="s">
        <v>28</v>
      </c>
      <c r="AL2607" t="s">
        <v>717</v>
      </c>
      <c r="AM2607" t="s">
        <v>10</v>
      </c>
      <c r="AN2607" t="s">
        <v>717</v>
      </c>
    </row>
    <row r="2608" spans="1:40" hidden="1">
      <c r="A2608">
        <v>2607</v>
      </c>
      <c r="B2608">
        <v>6</v>
      </c>
      <c r="C2608" s="58">
        <v>45723</v>
      </c>
      <c r="D2608" t="s">
        <v>1876</v>
      </c>
      <c r="E2608" t="s">
        <v>10835</v>
      </c>
      <c r="F2608">
        <v>1</v>
      </c>
      <c r="G2608">
        <v>5</v>
      </c>
      <c r="H2608">
        <v>199</v>
      </c>
      <c r="I2608">
        <v>1</v>
      </c>
      <c r="J2608">
        <v>44.25</v>
      </c>
      <c r="K2608" t="s">
        <v>10459</v>
      </c>
      <c r="L2608">
        <v>5928638</v>
      </c>
      <c r="M2608">
        <v>0</v>
      </c>
      <c r="N2608">
        <v>5928638</v>
      </c>
      <c r="O2608">
        <v>133980.51977401131</v>
      </c>
      <c r="P2608">
        <v>442500</v>
      </c>
      <c r="Q2608">
        <v>5486138</v>
      </c>
      <c r="R2608">
        <v>123980.51977401128</v>
      </c>
      <c r="S2608" t="s">
        <v>65</v>
      </c>
      <c r="T2608" t="s">
        <v>2664</v>
      </c>
      <c r="U2608">
        <v>111962.00000000092</v>
      </c>
      <c r="V2608" t="s">
        <v>6312</v>
      </c>
      <c r="W2608">
        <v>45712</v>
      </c>
      <c r="X2608" t="s">
        <v>11082</v>
      </c>
      <c r="Y2608" t="s">
        <v>6</v>
      </c>
      <c r="Z2608" t="s">
        <v>17</v>
      </c>
      <c r="AA2608" t="s">
        <v>6637</v>
      </c>
      <c r="AB2608" t="s">
        <v>2509</v>
      </c>
      <c r="AC2608" t="s">
        <v>2571</v>
      </c>
      <c r="AD2608" t="s">
        <v>717</v>
      </c>
      <c r="AE2608" t="s">
        <v>11083</v>
      </c>
      <c r="AF2608" t="s">
        <v>11084</v>
      </c>
      <c r="AG2608" t="s">
        <v>11085</v>
      </c>
      <c r="AH2608" t="s">
        <v>2191</v>
      </c>
      <c r="AI2608" t="s">
        <v>2521</v>
      </c>
      <c r="AJ2608" t="s">
        <v>2514</v>
      </c>
      <c r="AK2608" t="s">
        <v>14</v>
      </c>
      <c r="AL2608" t="s">
        <v>22</v>
      </c>
      <c r="AM2608" t="s">
        <v>10</v>
      </c>
      <c r="AN2608" t="s">
        <v>717</v>
      </c>
    </row>
    <row r="2609" spans="1:40" hidden="1">
      <c r="A2609">
        <v>2608</v>
      </c>
      <c r="B2609">
        <v>7</v>
      </c>
      <c r="C2609" s="58">
        <v>45726</v>
      </c>
      <c r="D2609" t="s">
        <v>1876</v>
      </c>
      <c r="E2609" t="s">
        <v>10458</v>
      </c>
      <c r="F2609">
        <v>1</v>
      </c>
      <c r="G2609">
        <v>2</v>
      </c>
      <c r="H2609">
        <v>109</v>
      </c>
      <c r="I2609">
        <v>2</v>
      </c>
      <c r="J2609">
        <v>65.72</v>
      </c>
      <c r="K2609" t="s">
        <v>9</v>
      </c>
      <c r="L2609">
        <v>7650370</v>
      </c>
      <c r="M2609">
        <v>0</v>
      </c>
      <c r="N2609">
        <v>7650370</v>
      </c>
      <c r="O2609">
        <v>116408.5514303104</v>
      </c>
      <c r="P2609">
        <v>0</v>
      </c>
      <c r="Q2609">
        <v>7650370</v>
      </c>
      <c r="R2609">
        <v>116408.5514303104</v>
      </c>
      <c r="S2609" t="s">
        <v>130</v>
      </c>
      <c r="T2609" t="s">
        <v>2664</v>
      </c>
      <c r="U2609">
        <v>156130.00000000093</v>
      </c>
      <c r="V2609" t="s">
        <v>717</v>
      </c>
      <c r="W2609">
        <v>45721</v>
      </c>
      <c r="X2609" t="s">
        <v>11086</v>
      </c>
      <c r="Y2609" t="s">
        <v>6</v>
      </c>
      <c r="Z2609" t="s">
        <v>17</v>
      </c>
      <c r="AA2609" t="s">
        <v>6637</v>
      </c>
      <c r="AB2609" t="s">
        <v>2509</v>
      </c>
      <c r="AC2609" t="s">
        <v>717</v>
      </c>
      <c r="AD2609" t="s">
        <v>717</v>
      </c>
      <c r="AE2609" t="s">
        <v>11087</v>
      </c>
      <c r="AF2609" t="s">
        <v>9827</v>
      </c>
      <c r="AG2609" t="s">
        <v>11088</v>
      </c>
      <c r="AH2609" t="s">
        <v>2580</v>
      </c>
      <c r="AI2609" t="s">
        <v>2621</v>
      </c>
      <c r="AJ2609" t="s">
        <v>2514</v>
      </c>
      <c r="AK2609" t="s">
        <v>8</v>
      </c>
      <c r="AL2609" t="s">
        <v>717</v>
      </c>
      <c r="AM2609" t="s">
        <v>10</v>
      </c>
      <c r="AN2609" t="s">
        <v>717</v>
      </c>
    </row>
    <row r="2610" spans="1:40" hidden="1">
      <c r="A2610">
        <v>2609</v>
      </c>
      <c r="B2610">
        <v>8</v>
      </c>
      <c r="C2610" s="58">
        <v>45726</v>
      </c>
      <c r="D2610" t="s">
        <v>1876</v>
      </c>
      <c r="E2610" t="s">
        <v>10835</v>
      </c>
      <c r="F2610">
        <v>3</v>
      </c>
      <c r="G2610">
        <v>8</v>
      </c>
      <c r="H2610">
        <v>219</v>
      </c>
      <c r="I2610">
        <v>2</v>
      </c>
      <c r="J2610">
        <v>54.44</v>
      </c>
      <c r="K2610" t="s">
        <v>9</v>
      </c>
      <c r="L2610">
        <v>6625094</v>
      </c>
      <c r="M2610">
        <v>0</v>
      </c>
      <c r="N2610">
        <v>6625094</v>
      </c>
      <c r="O2610">
        <v>121695.33431300517</v>
      </c>
      <c r="P2610">
        <v>0</v>
      </c>
      <c r="Q2610">
        <v>6625094</v>
      </c>
      <c r="R2610">
        <v>121695.33431300517</v>
      </c>
      <c r="S2610" t="s">
        <v>130</v>
      </c>
      <c r="T2610" t="s">
        <v>2664</v>
      </c>
      <c r="U2610">
        <v>135206</v>
      </c>
      <c r="V2610" t="s">
        <v>717</v>
      </c>
      <c r="W2610">
        <v>45726</v>
      </c>
      <c r="X2610" t="s">
        <v>11089</v>
      </c>
      <c r="Y2610" t="s">
        <v>6</v>
      </c>
      <c r="Z2610" t="s">
        <v>17</v>
      </c>
      <c r="AA2610" t="s">
        <v>6637</v>
      </c>
      <c r="AB2610" t="s">
        <v>2509</v>
      </c>
      <c r="AC2610" t="s">
        <v>717</v>
      </c>
      <c r="AD2610" t="s">
        <v>717</v>
      </c>
      <c r="AE2610" t="s">
        <v>11090</v>
      </c>
      <c r="AF2610" t="s">
        <v>11091</v>
      </c>
      <c r="AG2610" t="s">
        <v>11092</v>
      </c>
      <c r="AH2610" t="s">
        <v>6100</v>
      </c>
      <c r="AI2610" t="s">
        <v>10676</v>
      </c>
      <c r="AJ2610" t="s">
        <v>45</v>
      </c>
      <c r="AK2610" t="s">
        <v>24</v>
      </c>
      <c r="AL2610" t="s">
        <v>717</v>
      </c>
      <c r="AM2610" t="s">
        <v>5654</v>
      </c>
      <c r="AN2610" t="s">
        <v>717</v>
      </c>
    </row>
    <row r="2611" spans="1:40" hidden="1">
      <c r="A2611">
        <v>2610</v>
      </c>
      <c r="B2611">
        <v>9</v>
      </c>
      <c r="C2611" s="58">
        <v>45728</v>
      </c>
      <c r="D2611" t="s">
        <v>1876</v>
      </c>
      <c r="E2611" t="s">
        <v>10295</v>
      </c>
      <c r="F2611">
        <v>1</v>
      </c>
      <c r="G2611">
        <v>17</v>
      </c>
      <c r="H2611">
        <v>91</v>
      </c>
      <c r="I2611">
        <v>0</v>
      </c>
      <c r="J2611">
        <v>29.4</v>
      </c>
      <c r="K2611" t="s">
        <v>10459</v>
      </c>
      <c r="L2611">
        <v>4361196</v>
      </c>
      <c r="M2611">
        <v>0</v>
      </c>
      <c r="N2611">
        <v>4361196</v>
      </c>
      <c r="O2611">
        <v>148340</v>
      </c>
      <c r="P2611">
        <v>294000</v>
      </c>
      <c r="Q2611">
        <v>4067196</v>
      </c>
      <c r="R2611">
        <v>138340</v>
      </c>
      <c r="S2611" t="s">
        <v>130</v>
      </c>
      <c r="T2611" t="s">
        <v>2664</v>
      </c>
      <c r="U2611">
        <v>83004</v>
      </c>
      <c r="V2611" t="s">
        <v>717</v>
      </c>
      <c r="W2611">
        <v>45728</v>
      </c>
      <c r="X2611" t="s">
        <v>11093</v>
      </c>
      <c r="Y2611" t="s">
        <v>2517</v>
      </c>
      <c r="Z2611" t="s">
        <v>17</v>
      </c>
      <c r="AA2611" t="s">
        <v>6637</v>
      </c>
      <c r="AB2611" t="s">
        <v>2509</v>
      </c>
      <c r="AC2611" t="s">
        <v>717</v>
      </c>
      <c r="AD2611">
        <v>45890</v>
      </c>
      <c r="AE2611" t="s">
        <v>11094</v>
      </c>
      <c r="AF2611" t="s">
        <v>11095</v>
      </c>
      <c r="AG2611" t="s">
        <v>11096</v>
      </c>
      <c r="AH2611" t="s">
        <v>6100</v>
      </c>
      <c r="AI2611" t="s">
        <v>10964</v>
      </c>
      <c r="AJ2611" t="s">
        <v>43</v>
      </c>
      <c r="AK2611" t="s">
        <v>28</v>
      </c>
      <c r="AL2611" t="s">
        <v>717</v>
      </c>
      <c r="AM2611" t="s">
        <v>5654</v>
      </c>
      <c r="AN2611" t="s">
        <v>717</v>
      </c>
    </row>
    <row r="2612" spans="1:40" hidden="1">
      <c r="A2612">
        <v>2611</v>
      </c>
      <c r="B2612">
        <v>10</v>
      </c>
      <c r="C2612" s="58">
        <v>45728</v>
      </c>
      <c r="D2612" t="s">
        <v>1875</v>
      </c>
      <c r="E2612" t="s">
        <v>10458</v>
      </c>
      <c r="F2612">
        <v>5</v>
      </c>
      <c r="G2612">
        <v>10</v>
      </c>
      <c r="H2612">
        <v>101</v>
      </c>
      <c r="I2612">
        <v>2</v>
      </c>
      <c r="J2612">
        <v>49.2</v>
      </c>
      <c r="K2612" t="s">
        <v>9</v>
      </c>
      <c r="L2612">
        <v>6268080</v>
      </c>
      <c r="M2612">
        <v>0</v>
      </c>
      <c r="N2612">
        <v>6268080</v>
      </c>
      <c r="O2612">
        <v>127400</v>
      </c>
      <c r="P2612">
        <v>0</v>
      </c>
      <c r="Q2612">
        <v>6268080</v>
      </c>
      <c r="R2612">
        <v>127400</v>
      </c>
      <c r="S2612" t="s">
        <v>130</v>
      </c>
      <c r="T2612" t="s">
        <v>2815</v>
      </c>
      <c r="U2612">
        <v>127920</v>
      </c>
      <c r="V2612" t="s">
        <v>717</v>
      </c>
      <c r="W2612">
        <v>45728</v>
      </c>
      <c r="X2612" t="s">
        <v>11097</v>
      </c>
      <c r="Y2612" t="s">
        <v>6</v>
      </c>
      <c r="Z2612" t="s">
        <v>17</v>
      </c>
      <c r="AA2612" t="s">
        <v>6637</v>
      </c>
      <c r="AB2612" t="s">
        <v>2509</v>
      </c>
      <c r="AC2612" t="s">
        <v>717</v>
      </c>
      <c r="AD2612" t="s">
        <v>717</v>
      </c>
      <c r="AE2612" t="s">
        <v>11098</v>
      </c>
      <c r="AF2612" t="s">
        <v>11099</v>
      </c>
      <c r="AG2612" t="s">
        <v>11100</v>
      </c>
      <c r="AH2612" t="s">
        <v>2191</v>
      </c>
      <c r="AI2612" t="s">
        <v>2706</v>
      </c>
      <c r="AJ2612" t="s">
        <v>2514</v>
      </c>
      <c r="AK2612" t="s">
        <v>28</v>
      </c>
      <c r="AL2612" t="s">
        <v>717</v>
      </c>
      <c r="AM2612" t="s">
        <v>10</v>
      </c>
      <c r="AN2612" t="s">
        <v>717</v>
      </c>
    </row>
    <row r="2613" spans="1:40" hidden="1">
      <c r="A2613">
        <v>2612</v>
      </c>
      <c r="B2613">
        <v>11</v>
      </c>
      <c r="C2613" s="58">
        <v>45730</v>
      </c>
      <c r="D2613" t="s">
        <v>1876</v>
      </c>
      <c r="E2613" t="s">
        <v>10835</v>
      </c>
      <c r="F2613">
        <v>1</v>
      </c>
      <c r="G2613">
        <v>19</v>
      </c>
      <c r="H2613">
        <v>283</v>
      </c>
      <c r="I2613">
        <v>1</v>
      </c>
      <c r="J2613">
        <v>43.88</v>
      </c>
      <c r="K2613" t="s">
        <v>9</v>
      </c>
      <c r="L2613">
        <v>5573358</v>
      </c>
      <c r="M2613">
        <v>0</v>
      </c>
      <c r="N2613">
        <v>5573358</v>
      </c>
      <c r="O2613">
        <v>127013.62807657248</v>
      </c>
      <c r="P2613">
        <v>0</v>
      </c>
      <c r="Q2613">
        <v>5573358</v>
      </c>
      <c r="R2613">
        <v>127013.62807657248</v>
      </c>
      <c r="S2613" t="s">
        <v>130</v>
      </c>
      <c r="T2613" t="s">
        <v>8002</v>
      </c>
      <c r="U2613">
        <v>113742</v>
      </c>
      <c r="V2613" t="s">
        <v>717</v>
      </c>
      <c r="W2613">
        <v>45729</v>
      </c>
      <c r="X2613" t="s">
        <v>11101</v>
      </c>
      <c r="Y2613" t="s">
        <v>6</v>
      </c>
      <c r="Z2613" t="s">
        <v>17</v>
      </c>
      <c r="AA2613" t="s">
        <v>6637</v>
      </c>
      <c r="AB2613" t="s">
        <v>2509</v>
      </c>
      <c r="AC2613" t="s">
        <v>717</v>
      </c>
      <c r="AD2613" t="s">
        <v>717</v>
      </c>
      <c r="AE2613" t="s">
        <v>11102</v>
      </c>
      <c r="AF2613" t="s">
        <v>11103</v>
      </c>
      <c r="AG2613" t="s">
        <v>11104</v>
      </c>
      <c r="AH2613" t="s">
        <v>6100</v>
      </c>
      <c r="AI2613" t="s">
        <v>10676</v>
      </c>
      <c r="AJ2613" t="s">
        <v>45</v>
      </c>
      <c r="AK2613" t="s">
        <v>24</v>
      </c>
      <c r="AL2613" t="s">
        <v>717</v>
      </c>
      <c r="AM2613" t="s">
        <v>5654</v>
      </c>
      <c r="AN2613" t="s">
        <v>717</v>
      </c>
    </row>
    <row r="2614" spans="1:40" hidden="1">
      <c r="A2614">
        <v>2613</v>
      </c>
      <c r="B2614">
        <v>12</v>
      </c>
      <c r="C2614" s="58">
        <v>45730</v>
      </c>
      <c r="D2614" t="s">
        <v>1876</v>
      </c>
      <c r="E2614" t="s">
        <v>10835</v>
      </c>
      <c r="F2614">
        <v>1</v>
      </c>
      <c r="G2614">
        <v>15</v>
      </c>
      <c r="H2614">
        <v>259</v>
      </c>
      <c r="I2614">
        <v>1</v>
      </c>
      <c r="J2614">
        <v>43.88</v>
      </c>
      <c r="K2614" t="s">
        <v>9</v>
      </c>
      <c r="L2614">
        <v>5468204</v>
      </c>
      <c r="M2614">
        <v>0</v>
      </c>
      <c r="N2614">
        <v>5468204</v>
      </c>
      <c r="O2614">
        <v>124617.22880583408</v>
      </c>
      <c r="P2614">
        <v>0</v>
      </c>
      <c r="Q2614">
        <v>5468204</v>
      </c>
      <c r="R2614">
        <v>124617.22880583408</v>
      </c>
      <c r="S2614" t="s">
        <v>130</v>
      </c>
      <c r="T2614" t="s">
        <v>8002</v>
      </c>
      <c r="U2614">
        <v>111596.00000000092</v>
      </c>
      <c r="V2614" t="s">
        <v>717</v>
      </c>
      <c r="W2614">
        <v>45729</v>
      </c>
      <c r="X2614" t="s">
        <v>11105</v>
      </c>
      <c r="Y2614" t="s">
        <v>6</v>
      </c>
      <c r="Z2614" t="s">
        <v>17</v>
      </c>
      <c r="AA2614" t="s">
        <v>6637</v>
      </c>
      <c r="AB2614" t="s">
        <v>2509</v>
      </c>
      <c r="AC2614" t="s">
        <v>717</v>
      </c>
      <c r="AD2614" t="s">
        <v>717</v>
      </c>
      <c r="AE2614" t="s">
        <v>11106</v>
      </c>
      <c r="AF2614" t="s">
        <v>11107</v>
      </c>
      <c r="AG2614" t="s">
        <v>11108</v>
      </c>
      <c r="AH2614" t="s">
        <v>6100</v>
      </c>
      <c r="AI2614" t="s">
        <v>10676</v>
      </c>
      <c r="AJ2614" t="s">
        <v>45</v>
      </c>
      <c r="AK2614" t="s">
        <v>14</v>
      </c>
      <c r="AL2614" t="s">
        <v>717</v>
      </c>
      <c r="AM2614" t="s">
        <v>5654</v>
      </c>
      <c r="AN2614" t="s">
        <v>717</v>
      </c>
    </row>
    <row r="2615" spans="1:40" hidden="1">
      <c r="A2615">
        <v>2614</v>
      </c>
      <c r="B2615">
        <v>13</v>
      </c>
      <c r="C2615" s="58">
        <v>45733</v>
      </c>
      <c r="D2615" t="s">
        <v>1876</v>
      </c>
      <c r="E2615" t="s">
        <v>10295</v>
      </c>
      <c r="F2615">
        <v>5</v>
      </c>
      <c r="G2615">
        <v>17</v>
      </c>
      <c r="H2615">
        <v>95</v>
      </c>
      <c r="I2615">
        <v>1</v>
      </c>
      <c r="J2615">
        <v>36.64</v>
      </c>
      <c r="K2615" t="s">
        <v>10459</v>
      </c>
      <c r="L2615">
        <v>5040706</v>
      </c>
      <c r="M2615">
        <v>0</v>
      </c>
      <c r="N2615">
        <v>5040706</v>
      </c>
      <c r="O2615">
        <v>137573.85371179041</v>
      </c>
      <c r="P2615">
        <v>366400</v>
      </c>
      <c r="Q2615">
        <v>4674306</v>
      </c>
      <c r="R2615">
        <v>127573.85371179041</v>
      </c>
      <c r="S2615" t="s">
        <v>130</v>
      </c>
      <c r="T2615" t="s">
        <v>2664</v>
      </c>
      <c r="U2615">
        <v>95394.000000000931</v>
      </c>
      <c r="V2615" t="s">
        <v>717</v>
      </c>
      <c r="W2615">
        <v>45720</v>
      </c>
      <c r="X2615" t="s">
        <v>11109</v>
      </c>
      <c r="Y2615" t="s">
        <v>6</v>
      </c>
      <c r="Z2615" t="s">
        <v>17</v>
      </c>
      <c r="AA2615" t="s">
        <v>6637</v>
      </c>
      <c r="AB2615" t="s">
        <v>2509</v>
      </c>
      <c r="AC2615" t="s">
        <v>717</v>
      </c>
      <c r="AD2615" t="s">
        <v>717</v>
      </c>
      <c r="AE2615" t="s">
        <v>11110</v>
      </c>
      <c r="AF2615" t="s">
        <v>11111</v>
      </c>
      <c r="AG2615" t="s">
        <v>11112</v>
      </c>
      <c r="AH2615" t="s">
        <v>6100</v>
      </c>
      <c r="AI2615" t="s">
        <v>10080</v>
      </c>
      <c r="AJ2615" t="s">
        <v>10081</v>
      </c>
      <c r="AK2615" t="s">
        <v>20</v>
      </c>
      <c r="AL2615" t="s">
        <v>717</v>
      </c>
      <c r="AM2615" t="s">
        <v>5654</v>
      </c>
      <c r="AN2615" t="s">
        <v>717</v>
      </c>
    </row>
    <row r="2616" spans="1:40" hidden="1">
      <c r="A2616">
        <v>2615</v>
      </c>
      <c r="B2616">
        <v>14</v>
      </c>
      <c r="C2616" s="58">
        <v>45733</v>
      </c>
      <c r="D2616" t="s">
        <v>1876</v>
      </c>
      <c r="E2616" t="s">
        <v>10835</v>
      </c>
      <c r="F2616">
        <v>2</v>
      </c>
      <c r="G2616">
        <v>11</v>
      </c>
      <c r="H2616">
        <v>236</v>
      </c>
      <c r="I2616">
        <v>1</v>
      </c>
      <c r="J2616">
        <v>36.549999999999997</v>
      </c>
      <c r="K2616" t="s">
        <v>10459</v>
      </c>
      <c r="L2616">
        <v>5098312</v>
      </c>
      <c r="M2616">
        <v>0</v>
      </c>
      <c r="N2616">
        <v>5098312</v>
      </c>
      <c r="O2616">
        <v>139488.70041039673</v>
      </c>
      <c r="P2616">
        <v>365500</v>
      </c>
      <c r="Q2616">
        <v>4732812</v>
      </c>
      <c r="R2616">
        <v>129488.70041039672</v>
      </c>
      <c r="S2616" t="s">
        <v>130</v>
      </c>
      <c r="T2616" t="s">
        <v>2664</v>
      </c>
      <c r="U2616">
        <v>96588</v>
      </c>
      <c r="V2616" t="s">
        <v>717</v>
      </c>
      <c r="W2616">
        <v>45733</v>
      </c>
      <c r="X2616" t="s">
        <v>11113</v>
      </c>
      <c r="Y2616" t="s">
        <v>6</v>
      </c>
      <c r="Z2616" t="s">
        <v>17</v>
      </c>
      <c r="AA2616" t="s">
        <v>6637</v>
      </c>
      <c r="AB2616" t="s">
        <v>2509</v>
      </c>
      <c r="AC2616" t="s">
        <v>717</v>
      </c>
      <c r="AD2616" t="s">
        <v>717</v>
      </c>
      <c r="AE2616" t="s">
        <v>11114</v>
      </c>
      <c r="AF2616" t="s">
        <v>11115</v>
      </c>
      <c r="AG2616" t="s">
        <v>11116</v>
      </c>
      <c r="AH2616" t="s">
        <v>2580</v>
      </c>
      <c r="AI2616" t="s">
        <v>10080</v>
      </c>
      <c r="AJ2616" t="s">
        <v>10081</v>
      </c>
      <c r="AK2616" t="s">
        <v>24</v>
      </c>
      <c r="AL2616" t="s">
        <v>717</v>
      </c>
      <c r="AM2616" t="s">
        <v>5654</v>
      </c>
      <c r="AN2616" t="s">
        <v>717</v>
      </c>
    </row>
    <row r="2617" spans="1:40" hidden="1">
      <c r="A2617">
        <v>2616</v>
      </c>
      <c r="B2617">
        <v>15</v>
      </c>
      <c r="C2617" s="58">
        <v>45733</v>
      </c>
      <c r="D2617" t="s">
        <v>1876</v>
      </c>
      <c r="E2617" t="s">
        <v>10835</v>
      </c>
      <c r="F2617">
        <v>2</v>
      </c>
      <c r="G2617">
        <v>8</v>
      </c>
      <c r="H2617">
        <v>218</v>
      </c>
      <c r="I2617">
        <v>1</v>
      </c>
      <c r="J2617">
        <v>36.64</v>
      </c>
      <c r="K2617" t="s">
        <v>10459</v>
      </c>
      <c r="L2617">
        <v>5110776</v>
      </c>
      <c r="M2617">
        <v>0</v>
      </c>
      <c r="N2617">
        <v>5110776</v>
      </c>
      <c r="O2617">
        <v>139486.24454148472</v>
      </c>
      <c r="P2617">
        <v>366400</v>
      </c>
      <c r="Q2617">
        <v>4744376</v>
      </c>
      <c r="R2617">
        <v>129486.24454148472</v>
      </c>
      <c r="S2617" t="s">
        <v>130</v>
      </c>
      <c r="T2617" t="s">
        <v>8002</v>
      </c>
      <c r="U2617">
        <v>96824.000000000931</v>
      </c>
      <c r="V2617" t="s">
        <v>717</v>
      </c>
      <c r="W2617">
        <v>45733</v>
      </c>
      <c r="X2617" t="s">
        <v>11117</v>
      </c>
      <c r="Y2617" t="s">
        <v>6</v>
      </c>
      <c r="Z2617" t="s">
        <v>17</v>
      </c>
      <c r="AA2617" t="s">
        <v>6637</v>
      </c>
      <c r="AB2617" t="s">
        <v>2509</v>
      </c>
      <c r="AC2617" t="s">
        <v>717</v>
      </c>
      <c r="AD2617" t="s">
        <v>717</v>
      </c>
      <c r="AE2617" t="s">
        <v>11114</v>
      </c>
      <c r="AF2617" t="s">
        <v>11115</v>
      </c>
      <c r="AG2617" t="s">
        <v>11116</v>
      </c>
      <c r="AH2617" t="s">
        <v>6100</v>
      </c>
      <c r="AI2617" t="s">
        <v>10080</v>
      </c>
      <c r="AJ2617" t="s">
        <v>10081</v>
      </c>
      <c r="AK2617" t="s">
        <v>24</v>
      </c>
      <c r="AL2617" t="s">
        <v>717</v>
      </c>
      <c r="AM2617" t="s">
        <v>5654</v>
      </c>
      <c r="AN2617" t="s">
        <v>717</v>
      </c>
    </row>
    <row r="2618" spans="1:40" hidden="1">
      <c r="A2618">
        <v>2617</v>
      </c>
      <c r="B2618">
        <v>16</v>
      </c>
      <c r="C2618" s="58">
        <v>45735</v>
      </c>
      <c r="D2618" t="s">
        <v>13</v>
      </c>
      <c r="E2618" t="s">
        <v>2581</v>
      </c>
      <c r="F2618">
        <v>7</v>
      </c>
      <c r="G2618">
        <v>5</v>
      </c>
      <c r="H2618">
        <v>256</v>
      </c>
      <c r="I2618">
        <v>1</v>
      </c>
      <c r="J2618">
        <v>34.81</v>
      </c>
      <c r="K2618" t="s">
        <v>9</v>
      </c>
      <c r="L2618">
        <v>4974480</v>
      </c>
      <c r="M2618">
        <v>0</v>
      </c>
      <c r="N2618">
        <v>4974480</v>
      </c>
      <c r="O2618">
        <v>142903.76328641194</v>
      </c>
      <c r="P2618">
        <v>0</v>
      </c>
      <c r="Q2618">
        <v>4974480</v>
      </c>
      <c r="R2618">
        <v>142903.76328641194</v>
      </c>
      <c r="S2618" t="s">
        <v>65</v>
      </c>
      <c r="T2618" t="s">
        <v>2664</v>
      </c>
      <c r="U2618">
        <v>101520</v>
      </c>
      <c r="V2618" t="s">
        <v>6312</v>
      </c>
      <c r="W2618">
        <v>45735</v>
      </c>
      <c r="X2618" t="s">
        <v>11118</v>
      </c>
      <c r="Y2618" t="s">
        <v>6</v>
      </c>
      <c r="Z2618" t="s">
        <v>17</v>
      </c>
      <c r="AA2618" t="s">
        <v>6637</v>
      </c>
      <c r="AB2618" t="s">
        <v>2509</v>
      </c>
      <c r="AC2618" t="s">
        <v>2571</v>
      </c>
      <c r="AD2618" t="s">
        <v>717</v>
      </c>
      <c r="AE2618" t="s">
        <v>11119</v>
      </c>
      <c r="AF2618" t="s">
        <v>11120</v>
      </c>
      <c r="AG2618" t="s">
        <v>11121</v>
      </c>
      <c r="AH2618" t="s">
        <v>2191</v>
      </c>
      <c r="AI2618" t="s">
        <v>2521</v>
      </c>
      <c r="AJ2618" t="s">
        <v>2514</v>
      </c>
      <c r="AK2618" t="s">
        <v>24</v>
      </c>
      <c r="AL2618" t="s">
        <v>22</v>
      </c>
      <c r="AM2618" t="s">
        <v>10</v>
      </c>
      <c r="AN2618" t="s">
        <v>717</v>
      </c>
    </row>
    <row r="2619" spans="1:40" hidden="1">
      <c r="A2619">
        <v>2618</v>
      </c>
      <c r="B2619">
        <v>17</v>
      </c>
      <c r="C2619" s="58">
        <v>45737</v>
      </c>
      <c r="D2619" t="s">
        <v>13</v>
      </c>
      <c r="E2619" t="s">
        <v>4409</v>
      </c>
      <c r="F2619">
        <v>4</v>
      </c>
      <c r="G2619">
        <v>18</v>
      </c>
      <c r="H2619">
        <v>528</v>
      </c>
      <c r="I2619">
        <v>2</v>
      </c>
      <c r="J2619">
        <v>58.24</v>
      </c>
      <c r="K2619" t="s">
        <v>25</v>
      </c>
      <c r="L2619">
        <v>8004976.0000000019</v>
      </c>
      <c r="M2619">
        <v>0</v>
      </c>
      <c r="N2619">
        <v>8004976.0000000019</v>
      </c>
      <c r="O2619">
        <v>137448.07692307694</v>
      </c>
      <c r="P2619">
        <v>1456000.0000000007</v>
      </c>
      <c r="Q2619">
        <v>6548976</v>
      </c>
      <c r="R2619">
        <v>112448.07692307692</v>
      </c>
      <c r="S2619" t="s">
        <v>2507</v>
      </c>
      <c r="T2619" t="s">
        <v>11122</v>
      </c>
      <c r="U2619">
        <v>511824</v>
      </c>
      <c r="V2619" t="s">
        <v>717</v>
      </c>
      <c r="W2619">
        <v>45737</v>
      </c>
      <c r="X2619" t="s">
        <v>11123</v>
      </c>
      <c r="Y2619" t="s">
        <v>6</v>
      </c>
      <c r="Z2619" t="s">
        <v>17</v>
      </c>
      <c r="AA2619" t="s">
        <v>6637</v>
      </c>
      <c r="AB2619" t="s">
        <v>2509</v>
      </c>
      <c r="AC2619" t="s">
        <v>717</v>
      </c>
      <c r="AD2619" t="s">
        <v>717</v>
      </c>
      <c r="AE2619" t="s">
        <v>11124</v>
      </c>
      <c r="AF2619" t="s">
        <v>11125</v>
      </c>
      <c r="AG2619" t="s">
        <v>11126</v>
      </c>
      <c r="AH2619" t="s">
        <v>2615</v>
      </c>
      <c r="AI2619" t="s">
        <v>6951</v>
      </c>
      <c r="AJ2619" t="s">
        <v>2662</v>
      </c>
      <c r="AK2619" t="s">
        <v>20</v>
      </c>
      <c r="AL2619" t="s">
        <v>717</v>
      </c>
      <c r="AM2619" t="s">
        <v>10</v>
      </c>
      <c r="AN2619" t="s">
        <v>11127</v>
      </c>
    </row>
    <row r="2620" spans="1:40" hidden="1">
      <c r="A2620">
        <v>2619</v>
      </c>
      <c r="B2620">
        <v>18</v>
      </c>
      <c r="C2620" s="58">
        <v>45737</v>
      </c>
      <c r="D2620" t="s">
        <v>27</v>
      </c>
      <c r="E2620" t="s">
        <v>2506</v>
      </c>
      <c r="F2620">
        <v>2</v>
      </c>
      <c r="G2620">
        <v>1</v>
      </c>
      <c r="H2620">
        <v>6</v>
      </c>
      <c r="I2620" t="s">
        <v>1368</v>
      </c>
      <c r="J2620">
        <v>149.19999999999999</v>
      </c>
      <c r="K2620" t="s">
        <v>9</v>
      </c>
      <c r="L2620">
        <v>18000000</v>
      </c>
      <c r="M2620">
        <v>0</v>
      </c>
      <c r="N2620">
        <v>18000000</v>
      </c>
      <c r="O2620">
        <v>120643.43163538876</v>
      </c>
      <c r="P2620">
        <v>0</v>
      </c>
      <c r="Q2620">
        <v>18000000</v>
      </c>
      <c r="R2620">
        <v>120643.43163538876</v>
      </c>
      <c r="S2620" t="s">
        <v>2507</v>
      </c>
      <c r="T2620" t="s">
        <v>2941</v>
      </c>
      <c r="U2620">
        <v>1396000</v>
      </c>
      <c r="V2620" t="s">
        <v>717</v>
      </c>
      <c r="W2620">
        <v>45729</v>
      </c>
      <c r="X2620" t="s">
        <v>11128</v>
      </c>
      <c r="Y2620" t="s">
        <v>1368</v>
      </c>
      <c r="Z2620" t="s">
        <v>11</v>
      </c>
      <c r="AA2620" t="s">
        <v>717</v>
      </c>
      <c r="AB2620" t="s">
        <v>326</v>
      </c>
      <c r="AC2620" t="s">
        <v>717</v>
      </c>
      <c r="AD2620" t="s">
        <v>717</v>
      </c>
      <c r="AE2620" t="s">
        <v>11129</v>
      </c>
      <c r="AF2620" t="s">
        <v>11130</v>
      </c>
      <c r="AG2620" t="s">
        <v>11131</v>
      </c>
      <c r="AH2620" t="s">
        <v>2615</v>
      </c>
      <c r="AI2620" t="s">
        <v>2521</v>
      </c>
      <c r="AJ2620" t="s">
        <v>2825</v>
      </c>
      <c r="AK2620" t="s">
        <v>20</v>
      </c>
      <c r="AL2620" t="s">
        <v>717</v>
      </c>
      <c r="AM2620" t="s">
        <v>10</v>
      </c>
      <c r="AN2620" t="s">
        <v>717</v>
      </c>
    </row>
    <row r="2621" spans="1:40" hidden="1">
      <c r="A2621">
        <v>2620</v>
      </c>
      <c r="B2621">
        <v>19</v>
      </c>
      <c r="C2621" s="58">
        <v>45737</v>
      </c>
      <c r="D2621" t="s">
        <v>1876</v>
      </c>
      <c r="E2621" t="s">
        <v>10835</v>
      </c>
      <c r="F2621">
        <v>2</v>
      </c>
      <c r="G2621">
        <v>15</v>
      </c>
      <c r="H2621">
        <v>260</v>
      </c>
      <c r="I2621">
        <v>1</v>
      </c>
      <c r="J2621">
        <v>36.35</v>
      </c>
      <c r="K2621" t="s">
        <v>9</v>
      </c>
      <c r="L2621">
        <v>4851000</v>
      </c>
      <c r="M2621">
        <v>0</v>
      </c>
      <c r="N2621">
        <v>4851000</v>
      </c>
      <c r="O2621">
        <v>133452.54470426409</v>
      </c>
      <c r="P2621">
        <v>0</v>
      </c>
      <c r="Q2621">
        <v>4851000</v>
      </c>
      <c r="R2621">
        <v>133452.54470426409</v>
      </c>
      <c r="S2621" t="s">
        <v>130</v>
      </c>
      <c r="T2621" t="s">
        <v>717</v>
      </c>
      <c r="U2621" t="s">
        <v>717</v>
      </c>
      <c r="V2621" t="s">
        <v>717</v>
      </c>
      <c r="W2621">
        <v>45733</v>
      </c>
      <c r="X2621" t="s">
        <v>11132</v>
      </c>
      <c r="Y2621" t="s">
        <v>6</v>
      </c>
      <c r="Z2621" t="s">
        <v>17</v>
      </c>
      <c r="AA2621" t="s">
        <v>6637</v>
      </c>
      <c r="AB2621" t="s">
        <v>2509</v>
      </c>
      <c r="AC2621" t="s">
        <v>717</v>
      </c>
      <c r="AD2621" t="s">
        <v>717</v>
      </c>
      <c r="AE2621" t="s">
        <v>11133</v>
      </c>
      <c r="AF2621" t="s">
        <v>11134</v>
      </c>
      <c r="AG2621" t="s">
        <v>11135</v>
      </c>
      <c r="AH2621" t="s">
        <v>2615</v>
      </c>
      <c r="AI2621" t="s">
        <v>2552</v>
      </c>
      <c r="AJ2621" t="s">
        <v>4799</v>
      </c>
      <c r="AK2621" t="s">
        <v>28</v>
      </c>
      <c r="AL2621" t="s">
        <v>717</v>
      </c>
      <c r="AM2621" t="s">
        <v>10</v>
      </c>
      <c r="AN2621" t="s">
        <v>717</v>
      </c>
    </row>
    <row r="2622" spans="1:40" hidden="1">
      <c r="A2622">
        <v>2621</v>
      </c>
      <c r="B2622">
        <v>20</v>
      </c>
      <c r="C2622" s="58">
        <v>45740</v>
      </c>
      <c r="D2622" t="s">
        <v>1876</v>
      </c>
      <c r="E2622" t="s">
        <v>10295</v>
      </c>
      <c r="F2622">
        <v>5</v>
      </c>
      <c r="G2622">
        <v>15</v>
      </c>
      <c r="H2622">
        <v>83</v>
      </c>
      <c r="I2622">
        <v>1</v>
      </c>
      <c r="J2622">
        <v>36.64</v>
      </c>
      <c r="K2622" t="s">
        <v>9</v>
      </c>
      <c r="L2622">
        <v>4658718</v>
      </c>
      <c r="M2622">
        <v>15000</v>
      </c>
      <c r="N2622">
        <v>4673718</v>
      </c>
      <c r="O2622">
        <v>127557.80567685587</v>
      </c>
      <c r="P2622">
        <v>0</v>
      </c>
      <c r="Q2622">
        <v>4673718</v>
      </c>
      <c r="R2622">
        <v>127557.80567685587</v>
      </c>
      <c r="S2622" t="s">
        <v>130</v>
      </c>
      <c r="T2622" t="s">
        <v>2664</v>
      </c>
      <c r="U2622">
        <v>95382</v>
      </c>
      <c r="V2622" t="s">
        <v>717</v>
      </c>
      <c r="W2622">
        <v>45719</v>
      </c>
      <c r="X2622" t="s">
        <v>11136</v>
      </c>
      <c r="Y2622" t="s">
        <v>6</v>
      </c>
      <c r="Z2622" t="s">
        <v>17</v>
      </c>
      <c r="AA2622" t="s">
        <v>6637</v>
      </c>
      <c r="AB2622" t="s">
        <v>2509</v>
      </c>
      <c r="AC2622" t="s">
        <v>717</v>
      </c>
      <c r="AD2622" t="s">
        <v>717</v>
      </c>
      <c r="AE2622" t="s">
        <v>11137</v>
      </c>
      <c r="AF2622" t="s">
        <v>11138</v>
      </c>
      <c r="AG2622" t="s">
        <v>11139</v>
      </c>
      <c r="AH2622" t="s">
        <v>2615</v>
      </c>
      <c r="AI2622" t="s">
        <v>6951</v>
      </c>
      <c r="AJ2622" t="s">
        <v>2569</v>
      </c>
      <c r="AK2622" t="s">
        <v>24</v>
      </c>
      <c r="AL2622" t="s">
        <v>717</v>
      </c>
      <c r="AM2622" t="s">
        <v>10</v>
      </c>
      <c r="AN2622" t="s">
        <v>717</v>
      </c>
    </row>
    <row r="2623" spans="1:40" hidden="1">
      <c r="A2623">
        <v>2622</v>
      </c>
      <c r="B2623">
        <v>21</v>
      </c>
      <c r="C2623" s="58">
        <v>45740</v>
      </c>
      <c r="D2623" t="s">
        <v>1876</v>
      </c>
      <c r="E2623" t="s">
        <v>10835</v>
      </c>
      <c r="F2623">
        <v>3</v>
      </c>
      <c r="G2623">
        <v>6</v>
      </c>
      <c r="H2623">
        <v>207</v>
      </c>
      <c r="I2623">
        <v>2</v>
      </c>
      <c r="J2623">
        <v>54.44</v>
      </c>
      <c r="K2623" t="s">
        <v>10459</v>
      </c>
      <c r="L2623">
        <v>7169494</v>
      </c>
      <c r="M2623">
        <v>0</v>
      </c>
      <c r="N2623">
        <v>7169494</v>
      </c>
      <c r="O2623">
        <v>131695.33431300515</v>
      </c>
      <c r="P2623">
        <v>544400</v>
      </c>
      <c r="Q2623">
        <v>6625094</v>
      </c>
      <c r="R2623">
        <v>121695.33431300517</v>
      </c>
      <c r="S2623" t="s">
        <v>130</v>
      </c>
      <c r="T2623" t="s">
        <v>2664</v>
      </c>
      <c r="U2623">
        <v>135206.00000000093</v>
      </c>
      <c r="V2623" t="s">
        <v>717</v>
      </c>
      <c r="W2623">
        <v>45735</v>
      </c>
      <c r="X2623" t="s">
        <v>11140</v>
      </c>
      <c r="Y2623" t="s">
        <v>6</v>
      </c>
      <c r="Z2623" t="s">
        <v>17</v>
      </c>
      <c r="AA2623" t="s">
        <v>6637</v>
      </c>
      <c r="AB2623" t="s">
        <v>2509</v>
      </c>
      <c r="AC2623" t="s">
        <v>717</v>
      </c>
      <c r="AD2623" t="s">
        <v>717</v>
      </c>
      <c r="AE2623" t="s">
        <v>11141</v>
      </c>
      <c r="AF2623" t="s">
        <v>11142</v>
      </c>
      <c r="AG2623" t="s">
        <v>717</v>
      </c>
      <c r="AH2623" t="s">
        <v>6100</v>
      </c>
      <c r="AI2623" t="s">
        <v>9944</v>
      </c>
      <c r="AJ2623" t="s">
        <v>41</v>
      </c>
      <c r="AK2623" t="s">
        <v>20</v>
      </c>
      <c r="AL2623" t="s">
        <v>717</v>
      </c>
      <c r="AM2623" t="s">
        <v>5654</v>
      </c>
      <c r="AN2623" t="s">
        <v>717</v>
      </c>
    </row>
    <row r="2624" spans="1:40" hidden="1">
      <c r="A2624">
        <v>2623</v>
      </c>
      <c r="B2624">
        <v>22</v>
      </c>
      <c r="C2624" s="58">
        <v>45740</v>
      </c>
      <c r="D2624" t="s">
        <v>1876</v>
      </c>
      <c r="E2624" t="s">
        <v>10835</v>
      </c>
      <c r="F2624">
        <v>3</v>
      </c>
      <c r="G2624">
        <v>13</v>
      </c>
      <c r="H2624">
        <v>249</v>
      </c>
      <c r="I2624">
        <v>2</v>
      </c>
      <c r="J2624">
        <v>54.35</v>
      </c>
      <c r="K2624" t="s">
        <v>9</v>
      </c>
      <c r="L2624">
        <v>6749100</v>
      </c>
      <c r="M2624">
        <v>0</v>
      </c>
      <c r="N2624">
        <v>6749100</v>
      </c>
      <c r="O2624">
        <v>124178.47286108557</v>
      </c>
      <c r="P2624">
        <v>0</v>
      </c>
      <c r="Q2624">
        <v>6749100</v>
      </c>
      <c r="R2624">
        <v>124178.47286108557</v>
      </c>
      <c r="S2624" t="s">
        <v>130</v>
      </c>
      <c r="T2624" t="s">
        <v>717</v>
      </c>
      <c r="U2624" t="s">
        <v>717</v>
      </c>
      <c r="V2624" t="s">
        <v>717</v>
      </c>
      <c r="W2624">
        <v>45736</v>
      </c>
      <c r="X2624" t="s">
        <v>11143</v>
      </c>
      <c r="Y2624" t="s">
        <v>6</v>
      </c>
      <c r="Z2624" t="s">
        <v>17</v>
      </c>
      <c r="AA2624" t="s">
        <v>6637</v>
      </c>
      <c r="AB2624" t="s">
        <v>2509</v>
      </c>
      <c r="AC2624" t="s">
        <v>717</v>
      </c>
      <c r="AD2624" t="s">
        <v>717</v>
      </c>
      <c r="AE2624" t="s">
        <v>11144</v>
      </c>
      <c r="AF2624" t="s">
        <v>11145</v>
      </c>
      <c r="AG2624" t="s">
        <v>11146</v>
      </c>
      <c r="AH2624" t="s">
        <v>2580</v>
      </c>
      <c r="AI2624" t="s">
        <v>2521</v>
      </c>
      <c r="AJ2624" t="s">
        <v>2514</v>
      </c>
      <c r="AK2624" t="s">
        <v>20</v>
      </c>
      <c r="AL2624" t="s">
        <v>717</v>
      </c>
      <c r="AM2624" t="s">
        <v>10</v>
      </c>
      <c r="AN2624" t="s">
        <v>717</v>
      </c>
    </row>
    <row r="2625" spans="1:40" hidden="1">
      <c r="A2625">
        <v>2624</v>
      </c>
      <c r="B2625">
        <v>23</v>
      </c>
      <c r="C2625" s="58">
        <v>45741</v>
      </c>
      <c r="D2625" t="s">
        <v>13</v>
      </c>
      <c r="E2625" t="s">
        <v>4409</v>
      </c>
      <c r="F2625">
        <v>6</v>
      </c>
      <c r="G2625">
        <v>18</v>
      </c>
      <c r="H2625">
        <v>530</v>
      </c>
      <c r="I2625">
        <v>1</v>
      </c>
      <c r="J2625">
        <v>38.299999999999997</v>
      </c>
      <c r="K2625" t="s">
        <v>25</v>
      </c>
      <c r="L2625">
        <v>6145718</v>
      </c>
      <c r="M2625">
        <v>0</v>
      </c>
      <c r="N2625">
        <v>6145718</v>
      </c>
      <c r="O2625">
        <v>160462.61096605746</v>
      </c>
      <c r="P2625">
        <v>957499.99999999988</v>
      </c>
      <c r="Q2625">
        <v>5188218</v>
      </c>
      <c r="R2625">
        <v>135462.61096605746</v>
      </c>
      <c r="S2625" t="s">
        <v>130</v>
      </c>
      <c r="T2625" t="s">
        <v>2941</v>
      </c>
      <c r="U2625">
        <v>105882</v>
      </c>
      <c r="V2625" t="s">
        <v>717</v>
      </c>
      <c r="W2625">
        <v>45735</v>
      </c>
      <c r="X2625" t="s">
        <v>11147</v>
      </c>
      <c r="Y2625" t="s">
        <v>6</v>
      </c>
      <c r="Z2625" t="s">
        <v>17</v>
      </c>
      <c r="AA2625" t="s">
        <v>6637</v>
      </c>
      <c r="AB2625" t="s">
        <v>2509</v>
      </c>
      <c r="AC2625" t="s">
        <v>717</v>
      </c>
      <c r="AD2625" t="s">
        <v>717</v>
      </c>
      <c r="AE2625" t="s">
        <v>11148</v>
      </c>
      <c r="AF2625" t="s">
        <v>11149</v>
      </c>
      <c r="AG2625" t="s">
        <v>11150</v>
      </c>
      <c r="AH2625" t="s">
        <v>2552</v>
      </c>
      <c r="AI2625" t="s">
        <v>2547</v>
      </c>
      <c r="AJ2625" t="s">
        <v>2855</v>
      </c>
      <c r="AK2625" t="s">
        <v>28</v>
      </c>
      <c r="AL2625" t="s">
        <v>717</v>
      </c>
      <c r="AM2625" t="s">
        <v>10</v>
      </c>
      <c r="AN2625" t="s">
        <v>717</v>
      </c>
    </row>
    <row r="2626" spans="1:40" hidden="1">
      <c r="A2626">
        <v>2625</v>
      </c>
      <c r="B2626">
        <v>24</v>
      </c>
      <c r="C2626" s="58">
        <v>45742</v>
      </c>
      <c r="D2626" t="s">
        <v>13</v>
      </c>
      <c r="E2626" t="s">
        <v>2581</v>
      </c>
      <c r="F2626">
        <v>4</v>
      </c>
      <c r="G2626">
        <v>13</v>
      </c>
      <c r="H2626">
        <v>309</v>
      </c>
      <c r="I2626">
        <v>2</v>
      </c>
      <c r="J2626">
        <v>60.24</v>
      </c>
      <c r="K2626" t="s">
        <v>25</v>
      </c>
      <c r="L2626">
        <v>8686910</v>
      </c>
      <c r="M2626">
        <v>0</v>
      </c>
      <c r="N2626">
        <v>8686910</v>
      </c>
      <c r="O2626">
        <v>144205.01328021247</v>
      </c>
      <c r="P2626">
        <v>1506000</v>
      </c>
      <c r="Q2626">
        <v>7180910</v>
      </c>
      <c r="R2626">
        <v>119205.01328021249</v>
      </c>
      <c r="S2626" t="s">
        <v>65</v>
      </c>
      <c r="T2626" t="s">
        <v>5386</v>
      </c>
      <c r="U2626">
        <v>222090</v>
      </c>
      <c r="V2626" t="s">
        <v>6312</v>
      </c>
      <c r="W2626">
        <v>45709</v>
      </c>
      <c r="X2626" t="s">
        <v>11151</v>
      </c>
      <c r="Y2626" t="s">
        <v>6</v>
      </c>
      <c r="Z2626" t="s">
        <v>17</v>
      </c>
      <c r="AA2626" t="s">
        <v>6637</v>
      </c>
      <c r="AB2626" t="s">
        <v>2509</v>
      </c>
      <c r="AC2626" t="s">
        <v>2571</v>
      </c>
      <c r="AD2626" t="s">
        <v>717</v>
      </c>
      <c r="AE2626" t="s">
        <v>11152</v>
      </c>
      <c r="AF2626" t="s">
        <v>11153</v>
      </c>
      <c r="AG2626" t="s">
        <v>11154</v>
      </c>
      <c r="AH2626" t="s">
        <v>2616</v>
      </c>
      <c r="AI2626" t="s">
        <v>2552</v>
      </c>
      <c r="AJ2626" t="s">
        <v>2895</v>
      </c>
      <c r="AK2626" t="s">
        <v>20</v>
      </c>
      <c r="AL2626" t="s">
        <v>22</v>
      </c>
      <c r="AM2626" t="s">
        <v>10</v>
      </c>
      <c r="AN2626" t="s">
        <v>717</v>
      </c>
    </row>
    <row r="2627" spans="1:40" hidden="1">
      <c r="A2627">
        <v>2626</v>
      </c>
      <c r="B2627">
        <v>25</v>
      </c>
      <c r="C2627" s="58">
        <v>45742</v>
      </c>
      <c r="D2627" t="s">
        <v>13</v>
      </c>
      <c r="E2627" t="s">
        <v>4409</v>
      </c>
      <c r="F2627">
        <v>3</v>
      </c>
      <c r="G2627">
        <v>7</v>
      </c>
      <c r="H2627">
        <v>439</v>
      </c>
      <c r="I2627">
        <v>0</v>
      </c>
      <c r="J2627">
        <v>24.5</v>
      </c>
      <c r="K2627" t="s">
        <v>9</v>
      </c>
      <c r="L2627">
        <v>3515200</v>
      </c>
      <c r="M2627">
        <v>0</v>
      </c>
      <c r="N2627">
        <v>3515200</v>
      </c>
      <c r="O2627">
        <v>143477.55102040817</v>
      </c>
      <c r="P2627">
        <v>0</v>
      </c>
      <c r="Q2627">
        <v>3515200</v>
      </c>
      <c r="R2627">
        <v>143477.55102040817</v>
      </c>
      <c r="S2627" t="s">
        <v>65</v>
      </c>
      <c r="T2627" t="s">
        <v>717</v>
      </c>
      <c r="U2627" t="s">
        <v>717</v>
      </c>
      <c r="V2627" t="s">
        <v>6312</v>
      </c>
      <c r="W2627">
        <v>45736</v>
      </c>
      <c r="X2627" t="s">
        <v>11155</v>
      </c>
      <c r="Y2627" t="s">
        <v>6</v>
      </c>
      <c r="Z2627" t="s">
        <v>17</v>
      </c>
      <c r="AA2627" t="s">
        <v>6637</v>
      </c>
      <c r="AB2627" t="s">
        <v>2509</v>
      </c>
      <c r="AC2627" t="s">
        <v>2571</v>
      </c>
      <c r="AD2627" t="s">
        <v>717</v>
      </c>
      <c r="AE2627" t="s">
        <v>11156</v>
      </c>
      <c r="AF2627" t="s">
        <v>11157</v>
      </c>
      <c r="AG2627" t="s">
        <v>11158</v>
      </c>
      <c r="AH2627" t="s">
        <v>2191</v>
      </c>
      <c r="AI2627" t="s">
        <v>6951</v>
      </c>
      <c r="AJ2627" t="s">
        <v>2514</v>
      </c>
      <c r="AK2627" t="s">
        <v>24</v>
      </c>
      <c r="AL2627" t="s">
        <v>22</v>
      </c>
      <c r="AM2627" t="s">
        <v>10</v>
      </c>
      <c r="AN2627" t="s">
        <v>717</v>
      </c>
    </row>
    <row r="2628" spans="1:40" hidden="1">
      <c r="A2628">
        <v>2627</v>
      </c>
      <c r="B2628">
        <v>26</v>
      </c>
      <c r="C2628" s="58">
        <v>45743</v>
      </c>
      <c r="D2628" t="s">
        <v>1876</v>
      </c>
      <c r="E2628" t="s">
        <v>10835</v>
      </c>
      <c r="F2628">
        <v>3</v>
      </c>
      <c r="G2628">
        <v>18</v>
      </c>
      <c r="H2628">
        <v>279</v>
      </c>
      <c r="I2628">
        <v>2</v>
      </c>
      <c r="J2628">
        <v>54.08</v>
      </c>
      <c r="K2628" t="s">
        <v>9</v>
      </c>
      <c r="L2628">
        <v>6670860</v>
      </c>
      <c r="M2628">
        <v>0</v>
      </c>
      <c r="N2628">
        <v>6670860</v>
      </c>
      <c r="O2628">
        <v>123351.70118343196</v>
      </c>
      <c r="P2628">
        <v>0</v>
      </c>
      <c r="Q2628">
        <v>6670860</v>
      </c>
      <c r="R2628">
        <v>123351.70118343196</v>
      </c>
      <c r="S2628" t="s">
        <v>130</v>
      </c>
      <c r="T2628" t="s">
        <v>2664</v>
      </c>
      <c r="U2628">
        <v>136140</v>
      </c>
      <c r="V2628" t="s">
        <v>717</v>
      </c>
      <c r="W2628">
        <v>45729</v>
      </c>
      <c r="X2628" t="s">
        <v>11159</v>
      </c>
      <c r="Y2628" t="s">
        <v>6</v>
      </c>
      <c r="Z2628" t="s">
        <v>17</v>
      </c>
      <c r="AA2628" t="s">
        <v>6637</v>
      </c>
      <c r="AB2628" t="s">
        <v>2509</v>
      </c>
      <c r="AC2628" t="s">
        <v>717</v>
      </c>
      <c r="AD2628" t="s">
        <v>717</v>
      </c>
      <c r="AE2628" t="s">
        <v>11160</v>
      </c>
      <c r="AF2628" t="s">
        <v>11161</v>
      </c>
      <c r="AG2628" t="s">
        <v>11162</v>
      </c>
      <c r="AH2628" t="s">
        <v>2615</v>
      </c>
      <c r="AI2628" t="s">
        <v>2600</v>
      </c>
      <c r="AJ2628" t="s">
        <v>3921</v>
      </c>
      <c r="AK2628" t="s">
        <v>24</v>
      </c>
      <c r="AL2628" t="s">
        <v>717</v>
      </c>
      <c r="AM2628" t="s">
        <v>10</v>
      </c>
      <c r="AN2628" t="s">
        <v>717</v>
      </c>
    </row>
    <row r="2629" spans="1:40" hidden="1">
      <c r="A2629">
        <v>2628</v>
      </c>
      <c r="B2629">
        <v>27</v>
      </c>
      <c r="C2629" s="58">
        <v>45743</v>
      </c>
      <c r="D2629" t="s">
        <v>1876</v>
      </c>
      <c r="E2629" t="s">
        <v>10835</v>
      </c>
      <c r="F2629">
        <v>2</v>
      </c>
      <c r="G2629">
        <v>18</v>
      </c>
      <c r="H2629">
        <v>278</v>
      </c>
      <c r="I2629">
        <v>1</v>
      </c>
      <c r="J2629">
        <v>36.35</v>
      </c>
      <c r="K2629" t="s">
        <v>9</v>
      </c>
      <c r="L2629">
        <v>4745919</v>
      </c>
      <c r="M2629">
        <v>0</v>
      </c>
      <c r="N2629">
        <v>4745919</v>
      </c>
      <c r="O2629">
        <v>130561.7331499312</v>
      </c>
      <c r="P2629">
        <v>0</v>
      </c>
      <c r="Q2629">
        <v>4745919</v>
      </c>
      <c r="R2629">
        <v>130561.7331499312</v>
      </c>
      <c r="S2629" t="s">
        <v>130</v>
      </c>
      <c r="T2629" t="s">
        <v>11163</v>
      </c>
      <c r="U2629">
        <v>146781</v>
      </c>
      <c r="V2629" t="s">
        <v>717</v>
      </c>
      <c r="W2629">
        <v>45729</v>
      </c>
      <c r="X2629" t="s">
        <v>11164</v>
      </c>
      <c r="Y2629" t="s">
        <v>6</v>
      </c>
      <c r="Z2629" t="s">
        <v>17</v>
      </c>
      <c r="AA2629" t="s">
        <v>6637</v>
      </c>
      <c r="AB2629" t="s">
        <v>2509</v>
      </c>
      <c r="AC2629" t="s">
        <v>717</v>
      </c>
      <c r="AD2629" t="s">
        <v>717</v>
      </c>
      <c r="AE2629" t="s">
        <v>11165</v>
      </c>
      <c r="AF2629" t="s">
        <v>11166</v>
      </c>
      <c r="AG2629" t="s">
        <v>11167</v>
      </c>
      <c r="AH2629" t="s">
        <v>2191</v>
      </c>
      <c r="AI2629" t="s">
        <v>6951</v>
      </c>
      <c r="AJ2629" t="s">
        <v>2514</v>
      </c>
      <c r="AK2629" t="s">
        <v>24</v>
      </c>
      <c r="AL2629" t="s">
        <v>717</v>
      </c>
      <c r="AM2629" t="s">
        <v>10</v>
      </c>
      <c r="AN2629" t="s">
        <v>717</v>
      </c>
    </row>
    <row r="2630" spans="1:40" hidden="1">
      <c r="A2630">
        <v>2629</v>
      </c>
      <c r="B2630">
        <v>28</v>
      </c>
      <c r="C2630" s="58">
        <v>45743</v>
      </c>
      <c r="D2630" t="s">
        <v>1876</v>
      </c>
      <c r="E2630" t="s">
        <v>10835</v>
      </c>
      <c r="F2630">
        <v>3</v>
      </c>
      <c r="G2630">
        <v>9</v>
      </c>
      <c r="H2630">
        <v>225</v>
      </c>
      <c r="I2630">
        <v>2</v>
      </c>
      <c r="J2630">
        <v>54.44</v>
      </c>
      <c r="K2630" t="s">
        <v>10459</v>
      </c>
      <c r="L2630">
        <v>7304700</v>
      </c>
      <c r="M2630">
        <v>0</v>
      </c>
      <c r="N2630">
        <v>7304700</v>
      </c>
      <c r="O2630">
        <v>134178.91256429098</v>
      </c>
      <c r="P2630">
        <v>544400</v>
      </c>
      <c r="Q2630">
        <v>6760300</v>
      </c>
      <c r="R2630">
        <v>124178.91256429096</v>
      </c>
      <c r="S2630" t="s">
        <v>130</v>
      </c>
      <c r="T2630" t="s">
        <v>717</v>
      </c>
      <c r="U2630" t="s">
        <v>717</v>
      </c>
      <c r="V2630" t="s">
        <v>717</v>
      </c>
      <c r="W2630">
        <v>45736</v>
      </c>
      <c r="X2630" t="s">
        <v>11168</v>
      </c>
      <c r="Y2630" t="s">
        <v>6</v>
      </c>
      <c r="Z2630" t="s">
        <v>17</v>
      </c>
      <c r="AA2630" t="s">
        <v>6637</v>
      </c>
      <c r="AB2630" t="s">
        <v>2509</v>
      </c>
      <c r="AC2630" t="s">
        <v>717</v>
      </c>
      <c r="AD2630" t="s">
        <v>717</v>
      </c>
      <c r="AE2630" t="s">
        <v>11169</v>
      </c>
      <c r="AF2630" t="s">
        <v>11170</v>
      </c>
      <c r="AG2630" t="s">
        <v>11171</v>
      </c>
      <c r="AH2630" t="s">
        <v>2191</v>
      </c>
      <c r="AI2630" t="s">
        <v>2538</v>
      </c>
      <c r="AJ2630" t="s">
        <v>2514</v>
      </c>
      <c r="AK2630" t="s">
        <v>8</v>
      </c>
      <c r="AL2630" t="s">
        <v>717</v>
      </c>
      <c r="AM2630" t="s">
        <v>10</v>
      </c>
      <c r="AN2630" t="s">
        <v>717</v>
      </c>
    </row>
    <row r="2631" spans="1:40" hidden="1">
      <c r="A2631">
        <v>2630</v>
      </c>
      <c r="B2631">
        <v>29</v>
      </c>
      <c r="C2631" s="58">
        <v>45743</v>
      </c>
      <c r="D2631" t="s">
        <v>7</v>
      </c>
      <c r="E2631" t="s">
        <v>4409</v>
      </c>
      <c r="F2631">
        <v>3</v>
      </c>
      <c r="G2631">
        <v>14</v>
      </c>
      <c r="H2631">
        <v>512</v>
      </c>
      <c r="I2631">
        <v>3</v>
      </c>
      <c r="J2631">
        <v>75.7</v>
      </c>
      <c r="K2631" t="s">
        <v>9</v>
      </c>
      <c r="L2631">
        <v>8374500</v>
      </c>
      <c r="M2631">
        <v>0</v>
      </c>
      <c r="N2631">
        <v>8374500</v>
      </c>
      <c r="O2631">
        <v>110627.47688243064</v>
      </c>
      <c r="P2631">
        <v>0</v>
      </c>
      <c r="Q2631">
        <v>8374500</v>
      </c>
      <c r="R2631">
        <v>110627.47688243064</v>
      </c>
      <c r="S2631" t="s">
        <v>65</v>
      </c>
      <c r="T2631" t="s">
        <v>2941</v>
      </c>
      <c r="U2631">
        <v>500000</v>
      </c>
      <c r="V2631" t="s">
        <v>6312</v>
      </c>
      <c r="W2631">
        <v>45737</v>
      </c>
      <c r="X2631" t="s">
        <v>10585</v>
      </c>
      <c r="Y2631" t="s">
        <v>6</v>
      </c>
      <c r="Z2631" t="s">
        <v>17</v>
      </c>
      <c r="AA2631" t="s">
        <v>6637</v>
      </c>
      <c r="AB2631" t="s">
        <v>326</v>
      </c>
      <c r="AC2631" t="s">
        <v>2571</v>
      </c>
      <c r="AD2631" t="s">
        <v>717</v>
      </c>
      <c r="AE2631" t="s">
        <v>11172</v>
      </c>
      <c r="AF2631" t="s">
        <v>11173</v>
      </c>
      <c r="AG2631" t="s">
        <v>11174</v>
      </c>
      <c r="AH2631" t="s">
        <v>2191</v>
      </c>
      <c r="AI2631" t="s">
        <v>2521</v>
      </c>
      <c r="AJ2631" t="s">
        <v>2514</v>
      </c>
      <c r="AK2631" t="s">
        <v>24</v>
      </c>
      <c r="AL2631" t="s">
        <v>22</v>
      </c>
      <c r="AM2631" t="s">
        <v>10</v>
      </c>
      <c r="AN2631" t="s">
        <v>717</v>
      </c>
    </row>
    <row r="2632" spans="1:40" hidden="1">
      <c r="A2632">
        <v>2631</v>
      </c>
      <c r="B2632">
        <v>30</v>
      </c>
      <c r="C2632" s="58">
        <v>45743</v>
      </c>
      <c r="D2632" t="s">
        <v>1876</v>
      </c>
      <c r="E2632" t="s">
        <v>10835</v>
      </c>
      <c r="F2632">
        <v>3</v>
      </c>
      <c r="G2632">
        <v>19</v>
      </c>
      <c r="H2632">
        <v>285</v>
      </c>
      <c r="I2632">
        <v>2</v>
      </c>
      <c r="J2632">
        <v>54.08</v>
      </c>
      <c r="K2632" t="s">
        <v>10459</v>
      </c>
      <c r="L2632">
        <v>7244980</v>
      </c>
      <c r="M2632">
        <v>0</v>
      </c>
      <c r="N2632">
        <v>7244980</v>
      </c>
      <c r="O2632">
        <v>133967.82544378698</v>
      </c>
      <c r="P2632">
        <v>540800</v>
      </c>
      <c r="Q2632">
        <v>6704180</v>
      </c>
      <c r="R2632">
        <v>123967.82544378701</v>
      </c>
      <c r="S2632" t="s">
        <v>130</v>
      </c>
      <c r="T2632" t="s">
        <v>2664</v>
      </c>
      <c r="U2632">
        <v>136820</v>
      </c>
      <c r="V2632" t="s">
        <v>717</v>
      </c>
      <c r="W2632">
        <v>45740</v>
      </c>
      <c r="X2632" t="s">
        <v>11175</v>
      </c>
      <c r="Y2632" t="s">
        <v>6</v>
      </c>
      <c r="Z2632" t="s">
        <v>17</v>
      </c>
      <c r="AA2632" t="s">
        <v>6637</v>
      </c>
      <c r="AB2632" t="s">
        <v>2509</v>
      </c>
      <c r="AC2632" t="s">
        <v>717</v>
      </c>
      <c r="AD2632" t="s">
        <v>717</v>
      </c>
      <c r="AE2632" t="s">
        <v>11176</v>
      </c>
      <c r="AF2632" t="s">
        <v>11177</v>
      </c>
      <c r="AG2632" t="s">
        <v>11178</v>
      </c>
      <c r="AH2632" t="s">
        <v>2615</v>
      </c>
      <c r="AI2632" t="s">
        <v>2847</v>
      </c>
      <c r="AJ2632" t="s">
        <v>3921</v>
      </c>
      <c r="AK2632" t="s">
        <v>14</v>
      </c>
      <c r="AL2632" t="s">
        <v>717</v>
      </c>
      <c r="AM2632" t="s">
        <v>10</v>
      </c>
      <c r="AN2632" t="s">
        <v>717</v>
      </c>
    </row>
    <row r="2633" spans="1:40" hidden="1">
      <c r="A2633">
        <v>2632</v>
      </c>
      <c r="B2633">
        <v>31</v>
      </c>
      <c r="C2633" s="58">
        <v>45744</v>
      </c>
      <c r="D2633" t="s">
        <v>1876</v>
      </c>
      <c r="E2633" t="s">
        <v>10835</v>
      </c>
      <c r="F2633">
        <v>2</v>
      </c>
      <c r="G2633">
        <v>16</v>
      </c>
      <c r="H2633">
        <v>266</v>
      </c>
      <c r="I2633">
        <v>1</v>
      </c>
      <c r="J2633">
        <v>36.35</v>
      </c>
      <c r="K2633" t="s">
        <v>9</v>
      </c>
      <c r="L2633">
        <v>4566795</v>
      </c>
      <c r="M2633">
        <v>15000</v>
      </c>
      <c r="N2633">
        <v>4581795</v>
      </c>
      <c r="O2633">
        <v>126046.62998624484</v>
      </c>
      <c r="P2633">
        <v>0</v>
      </c>
      <c r="Q2633">
        <v>4581795</v>
      </c>
      <c r="R2633">
        <v>126046.62998624484</v>
      </c>
      <c r="S2633" t="s">
        <v>130</v>
      </c>
      <c r="T2633" t="s">
        <v>5768</v>
      </c>
      <c r="U2633">
        <v>141705</v>
      </c>
      <c r="V2633" t="s">
        <v>717</v>
      </c>
      <c r="W2633">
        <v>45718</v>
      </c>
      <c r="X2633" t="s">
        <v>11179</v>
      </c>
      <c r="Y2633" t="s">
        <v>6</v>
      </c>
      <c r="Z2633" t="s">
        <v>17</v>
      </c>
      <c r="AA2633" t="s">
        <v>6637</v>
      </c>
      <c r="AB2633" t="s">
        <v>2509</v>
      </c>
      <c r="AC2633" t="s">
        <v>717</v>
      </c>
      <c r="AD2633" t="s">
        <v>717</v>
      </c>
      <c r="AE2633" t="s">
        <v>11180</v>
      </c>
      <c r="AF2633" t="s">
        <v>11181</v>
      </c>
      <c r="AG2633" t="s">
        <v>11182</v>
      </c>
      <c r="AH2633" t="s">
        <v>2615</v>
      </c>
      <c r="AI2633" t="s">
        <v>2621</v>
      </c>
      <c r="AJ2633" t="s">
        <v>2569</v>
      </c>
      <c r="AK2633" t="s">
        <v>14</v>
      </c>
      <c r="AL2633" t="s">
        <v>717</v>
      </c>
      <c r="AM2633" t="s">
        <v>10</v>
      </c>
      <c r="AN2633" t="s">
        <v>717</v>
      </c>
    </row>
    <row r="2634" spans="1:40" hidden="1">
      <c r="A2634">
        <v>2633</v>
      </c>
      <c r="B2634">
        <v>32</v>
      </c>
      <c r="C2634" s="58">
        <v>45744</v>
      </c>
      <c r="D2634" t="s">
        <v>1876</v>
      </c>
      <c r="E2634" t="s">
        <v>10835</v>
      </c>
      <c r="F2634">
        <v>1</v>
      </c>
      <c r="G2634">
        <v>4</v>
      </c>
      <c r="H2634">
        <v>193</v>
      </c>
      <c r="I2634">
        <v>1</v>
      </c>
      <c r="J2634">
        <v>44.25</v>
      </c>
      <c r="K2634" t="s">
        <v>10459</v>
      </c>
      <c r="L2634">
        <v>5958430</v>
      </c>
      <c r="M2634">
        <v>0</v>
      </c>
      <c r="N2634">
        <v>5958430</v>
      </c>
      <c r="O2634">
        <v>134653.78531073447</v>
      </c>
      <c r="P2634">
        <v>442500</v>
      </c>
      <c r="Q2634">
        <v>5515930</v>
      </c>
      <c r="R2634">
        <v>124653.78531073446</v>
      </c>
      <c r="S2634" t="s">
        <v>130</v>
      </c>
      <c r="T2634" t="s">
        <v>2664</v>
      </c>
      <c r="U2634">
        <v>112570.00000000092</v>
      </c>
      <c r="V2634" t="s">
        <v>717</v>
      </c>
      <c r="W2634">
        <v>45735</v>
      </c>
      <c r="X2634" t="s">
        <v>11183</v>
      </c>
      <c r="Y2634" t="s">
        <v>6</v>
      </c>
      <c r="Z2634" t="s">
        <v>17</v>
      </c>
      <c r="AA2634" t="s">
        <v>6637</v>
      </c>
      <c r="AB2634" t="s">
        <v>2509</v>
      </c>
      <c r="AC2634" t="s">
        <v>717</v>
      </c>
      <c r="AD2634" t="s">
        <v>717</v>
      </c>
      <c r="AE2634" t="s">
        <v>11184</v>
      </c>
      <c r="AF2634" t="s">
        <v>11185</v>
      </c>
      <c r="AG2634" t="s">
        <v>11186</v>
      </c>
      <c r="AH2634" t="s">
        <v>6100</v>
      </c>
      <c r="AI2634" t="s">
        <v>10080</v>
      </c>
      <c r="AJ2634" t="s">
        <v>10081</v>
      </c>
      <c r="AK2634" t="s">
        <v>20</v>
      </c>
      <c r="AL2634" t="s">
        <v>717</v>
      </c>
      <c r="AM2634" t="s">
        <v>5654</v>
      </c>
      <c r="AN2634" t="s">
        <v>717</v>
      </c>
    </row>
    <row r="2635" spans="1:40" hidden="1">
      <c r="A2635">
        <v>2634</v>
      </c>
      <c r="B2635">
        <v>33</v>
      </c>
      <c r="C2635" s="58">
        <v>45744</v>
      </c>
      <c r="D2635" t="s">
        <v>13</v>
      </c>
      <c r="E2635" t="s">
        <v>2506</v>
      </c>
      <c r="F2635">
        <v>6</v>
      </c>
      <c r="G2635">
        <v>9</v>
      </c>
      <c r="H2635">
        <v>172</v>
      </c>
      <c r="I2635">
        <v>3</v>
      </c>
      <c r="J2635">
        <v>84.99</v>
      </c>
      <c r="K2635" t="s">
        <v>9</v>
      </c>
      <c r="L2635">
        <v>8753696</v>
      </c>
      <c r="M2635">
        <v>0</v>
      </c>
      <c r="N2635">
        <v>8753696</v>
      </c>
      <c r="O2635">
        <v>102996.77609130488</v>
      </c>
      <c r="P2635">
        <v>0</v>
      </c>
      <c r="Q2635">
        <v>8753696</v>
      </c>
      <c r="R2635">
        <v>102996.77609130488</v>
      </c>
      <c r="S2635" t="s">
        <v>130</v>
      </c>
      <c r="T2635" t="s">
        <v>11187</v>
      </c>
      <c r="U2635">
        <v>683104</v>
      </c>
      <c r="V2635" t="s">
        <v>717</v>
      </c>
      <c r="W2635">
        <v>45741</v>
      </c>
      <c r="X2635" t="s">
        <v>11188</v>
      </c>
      <c r="Y2635" t="s">
        <v>6</v>
      </c>
      <c r="Z2635" t="s">
        <v>17</v>
      </c>
      <c r="AA2635" t="s">
        <v>6637</v>
      </c>
      <c r="AB2635" t="s">
        <v>2509</v>
      </c>
      <c r="AC2635" t="s">
        <v>717</v>
      </c>
      <c r="AD2635" t="s">
        <v>717</v>
      </c>
      <c r="AE2635" t="s">
        <v>11189</v>
      </c>
      <c r="AF2635" t="s">
        <v>11190</v>
      </c>
      <c r="AG2635" t="s">
        <v>11191</v>
      </c>
      <c r="AH2635" t="s">
        <v>2191</v>
      </c>
      <c r="AI2635" t="s">
        <v>2621</v>
      </c>
      <c r="AJ2635" t="s">
        <v>2514</v>
      </c>
      <c r="AK2635" t="s">
        <v>14</v>
      </c>
      <c r="AL2635" t="s">
        <v>22</v>
      </c>
      <c r="AM2635" t="s">
        <v>10</v>
      </c>
      <c r="AN2635" t="s">
        <v>717</v>
      </c>
    </row>
    <row r="2636" spans="1:40" hidden="1">
      <c r="A2636">
        <v>2635</v>
      </c>
      <c r="B2636">
        <v>34</v>
      </c>
      <c r="C2636" s="58">
        <v>45747</v>
      </c>
      <c r="D2636" t="s">
        <v>13</v>
      </c>
      <c r="E2636" t="s">
        <v>2581</v>
      </c>
      <c r="F2636">
        <v>6</v>
      </c>
      <c r="G2636">
        <v>22</v>
      </c>
      <c r="H2636">
        <v>374</v>
      </c>
      <c r="I2636">
        <v>3</v>
      </c>
      <c r="J2636">
        <v>80.97</v>
      </c>
      <c r="K2636" t="s">
        <v>9</v>
      </c>
      <c r="L2636">
        <v>6000000</v>
      </c>
      <c r="M2636">
        <v>0</v>
      </c>
      <c r="N2636">
        <v>6000000</v>
      </c>
      <c r="O2636">
        <v>74101.519081141145</v>
      </c>
      <c r="P2636">
        <v>0</v>
      </c>
      <c r="Q2636">
        <v>6000000</v>
      </c>
      <c r="R2636">
        <v>74101.519081141145</v>
      </c>
      <c r="S2636" t="s">
        <v>130</v>
      </c>
      <c r="T2636" t="s">
        <v>2941</v>
      </c>
      <c r="U2636">
        <v>4019100</v>
      </c>
      <c r="V2636" t="s">
        <v>717</v>
      </c>
      <c r="W2636">
        <v>45717</v>
      </c>
      <c r="X2636" t="s">
        <v>11192</v>
      </c>
      <c r="Y2636" t="s">
        <v>6</v>
      </c>
      <c r="Z2636" t="s">
        <v>17</v>
      </c>
      <c r="AA2636" t="s">
        <v>6637</v>
      </c>
      <c r="AB2636" t="s">
        <v>2509</v>
      </c>
      <c r="AC2636" t="s">
        <v>717</v>
      </c>
      <c r="AD2636" t="s">
        <v>717</v>
      </c>
      <c r="AE2636" t="s">
        <v>11193</v>
      </c>
      <c r="AF2636" t="s">
        <v>11194</v>
      </c>
      <c r="AG2636" t="s">
        <v>11195</v>
      </c>
      <c r="AH2636" t="s">
        <v>2552</v>
      </c>
      <c r="AI2636" t="s">
        <v>2538</v>
      </c>
      <c r="AJ2636" t="s">
        <v>2514</v>
      </c>
      <c r="AK2636" t="s">
        <v>14</v>
      </c>
      <c r="AL2636" t="s">
        <v>717</v>
      </c>
      <c r="AM2636" t="s">
        <v>10</v>
      </c>
      <c r="AN2636" t="s">
        <v>717</v>
      </c>
    </row>
    <row r="2637" spans="1:40" hidden="1">
      <c r="A2637">
        <v>2636</v>
      </c>
      <c r="B2637">
        <v>35</v>
      </c>
      <c r="C2637" s="58">
        <v>45747</v>
      </c>
      <c r="D2637" t="s">
        <v>1876</v>
      </c>
      <c r="E2637" t="s">
        <v>10835</v>
      </c>
      <c r="F2637">
        <v>4</v>
      </c>
      <c r="G2637">
        <v>14</v>
      </c>
      <c r="H2637">
        <v>256</v>
      </c>
      <c r="I2637">
        <v>2</v>
      </c>
      <c r="J2637">
        <v>55.73</v>
      </c>
      <c r="K2637" t="s">
        <v>9</v>
      </c>
      <c r="L2637">
        <v>6784600</v>
      </c>
      <c r="M2637">
        <v>0</v>
      </c>
      <c r="N2637">
        <v>6784600</v>
      </c>
      <c r="O2637">
        <v>121740.53472097614</v>
      </c>
      <c r="P2637">
        <v>0</v>
      </c>
      <c r="Q2637">
        <v>6784600</v>
      </c>
      <c r="R2637">
        <v>121740.53472097614</v>
      </c>
      <c r="S2637" t="s">
        <v>130</v>
      </c>
      <c r="T2637" t="s">
        <v>717</v>
      </c>
      <c r="U2637" t="s">
        <v>717</v>
      </c>
      <c r="V2637" t="s">
        <v>717</v>
      </c>
      <c r="W2637">
        <v>45745</v>
      </c>
      <c r="X2637" t="s">
        <v>11196</v>
      </c>
      <c r="Y2637" t="s">
        <v>6</v>
      </c>
      <c r="Z2637" t="s">
        <v>17</v>
      </c>
      <c r="AA2637" t="s">
        <v>6637</v>
      </c>
      <c r="AB2637" t="s">
        <v>2509</v>
      </c>
      <c r="AC2637" t="s">
        <v>717</v>
      </c>
      <c r="AD2637" t="s">
        <v>717</v>
      </c>
      <c r="AE2637" t="s">
        <v>11197</v>
      </c>
      <c r="AF2637" t="s">
        <v>11198</v>
      </c>
      <c r="AG2637" t="s">
        <v>717</v>
      </c>
      <c r="AH2637" t="s">
        <v>6100</v>
      </c>
      <c r="AI2637" t="s">
        <v>10676</v>
      </c>
      <c r="AJ2637" t="s">
        <v>45</v>
      </c>
      <c r="AK2637" t="s">
        <v>24</v>
      </c>
      <c r="AL2637" t="s">
        <v>717</v>
      </c>
      <c r="AM2637" t="s">
        <v>5654</v>
      </c>
      <c r="AN2637" t="s">
        <v>717</v>
      </c>
    </row>
    <row r="2638" spans="1:40" hidden="1">
      <c r="A2638">
        <v>2637</v>
      </c>
      <c r="B2638">
        <v>1</v>
      </c>
      <c r="C2638" s="58">
        <v>45749</v>
      </c>
      <c r="D2638" t="s">
        <v>1876</v>
      </c>
      <c r="E2638" t="s">
        <v>10295</v>
      </c>
      <c r="F2638">
        <v>5</v>
      </c>
      <c r="G2638">
        <v>5</v>
      </c>
      <c r="H2638">
        <v>23</v>
      </c>
      <c r="I2638">
        <v>1</v>
      </c>
      <c r="J2638">
        <v>37.01</v>
      </c>
      <c r="K2638" t="s">
        <v>10459</v>
      </c>
      <c r="L2638">
        <v>5028463</v>
      </c>
      <c r="M2638">
        <v>15000</v>
      </c>
      <c r="N2638">
        <v>5043463</v>
      </c>
      <c r="O2638">
        <v>136272.98027560121</v>
      </c>
      <c r="P2638">
        <v>370100</v>
      </c>
      <c r="Q2638">
        <v>4673363</v>
      </c>
      <c r="R2638">
        <v>126272.98027560121</v>
      </c>
      <c r="S2638" t="s">
        <v>130</v>
      </c>
      <c r="T2638" t="s">
        <v>5768</v>
      </c>
      <c r="U2638">
        <v>144537</v>
      </c>
      <c r="V2638" t="s">
        <v>717</v>
      </c>
      <c r="W2638">
        <v>45749</v>
      </c>
      <c r="X2638" t="s">
        <v>11199</v>
      </c>
      <c r="Y2638" t="s">
        <v>6</v>
      </c>
      <c r="Z2638" t="s">
        <v>17</v>
      </c>
      <c r="AA2638" t="s">
        <v>6637</v>
      </c>
      <c r="AB2638" t="s">
        <v>2509</v>
      </c>
      <c r="AC2638" t="s">
        <v>717</v>
      </c>
      <c r="AD2638" t="s">
        <v>717</v>
      </c>
      <c r="AE2638" t="s">
        <v>11200</v>
      </c>
      <c r="AF2638" t="s">
        <v>11201</v>
      </c>
      <c r="AG2638" t="s">
        <v>11202</v>
      </c>
      <c r="AH2638" t="s">
        <v>6100</v>
      </c>
      <c r="AI2638" t="s">
        <v>10964</v>
      </c>
      <c r="AJ2638" t="s">
        <v>2855</v>
      </c>
      <c r="AK2638" t="s">
        <v>28</v>
      </c>
      <c r="AL2638" t="s">
        <v>717</v>
      </c>
      <c r="AM2638" t="s">
        <v>5654</v>
      </c>
      <c r="AN2638" t="s">
        <v>717</v>
      </c>
    </row>
    <row r="2639" spans="1:40" hidden="1">
      <c r="A2639">
        <v>2638</v>
      </c>
      <c r="B2639">
        <v>2</v>
      </c>
      <c r="C2639" s="58">
        <v>45749</v>
      </c>
      <c r="D2639" t="s">
        <v>13</v>
      </c>
      <c r="E2639" t="s">
        <v>2515</v>
      </c>
      <c r="F2639">
        <v>6</v>
      </c>
      <c r="G2639">
        <v>9</v>
      </c>
      <c r="H2639">
        <v>61</v>
      </c>
      <c r="I2639">
        <v>2</v>
      </c>
      <c r="J2639">
        <v>58.16</v>
      </c>
      <c r="K2639" t="s">
        <v>25</v>
      </c>
      <c r="L2639">
        <v>8412400</v>
      </c>
      <c r="M2639">
        <v>0</v>
      </c>
      <c r="N2639">
        <v>8412400</v>
      </c>
      <c r="O2639">
        <v>144642.36588720771</v>
      </c>
      <c r="P2639">
        <v>1454000</v>
      </c>
      <c r="Q2639">
        <v>6958400</v>
      </c>
      <c r="R2639">
        <v>119642.36588720772</v>
      </c>
      <c r="S2639" t="s">
        <v>65</v>
      </c>
      <c r="T2639" t="s">
        <v>10533</v>
      </c>
      <c r="U2639">
        <v>300000</v>
      </c>
      <c r="V2639" t="s">
        <v>6312</v>
      </c>
      <c r="W2639">
        <v>45741</v>
      </c>
      <c r="X2639" t="s">
        <v>11203</v>
      </c>
      <c r="Y2639" t="s">
        <v>6</v>
      </c>
      <c r="Z2639" t="s">
        <v>17</v>
      </c>
      <c r="AA2639" t="s">
        <v>6637</v>
      </c>
      <c r="AB2639" t="s">
        <v>2509</v>
      </c>
      <c r="AC2639" t="s">
        <v>2571</v>
      </c>
      <c r="AD2639" t="s">
        <v>717</v>
      </c>
      <c r="AE2639" t="s">
        <v>11204</v>
      </c>
      <c r="AF2639" t="s">
        <v>11205</v>
      </c>
      <c r="AG2639" t="s">
        <v>717</v>
      </c>
      <c r="AH2639" t="s">
        <v>2552</v>
      </c>
      <c r="AI2639" t="s">
        <v>2547</v>
      </c>
      <c r="AJ2639" t="s">
        <v>2514</v>
      </c>
      <c r="AK2639" t="s">
        <v>8</v>
      </c>
      <c r="AL2639" t="s">
        <v>22</v>
      </c>
      <c r="AM2639" t="s">
        <v>10</v>
      </c>
      <c r="AN2639" t="s">
        <v>717</v>
      </c>
    </row>
    <row r="2640" spans="1:40" hidden="1">
      <c r="A2640">
        <v>2639</v>
      </c>
      <c r="B2640">
        <v>3</v>
      </c>
      <c r="C2640" s="58">
        <v>45749</v>
      </c>
      <c r="D2640" t="s">
        <v>13</v>
      </c>
      <c r="E2640" t="s">
        <v>2581</v>
      </c>
      <c r="F2640">
        <v>5</v>
      </c>
      <c r="G2640">
        <v>9</v>
      </c>
      <c r="H2640">
        <v>282</v>
      </c>
      <c r="I2640">
        <v>1</v>
      </c>
      <c r="J2640">
        <v>37.81</v>
      </c>
      <c r="K2640" t="s">
        <v>21</v>
      </c>
      <c r="L2640">
        <v>5312620</v>
      </c>
      <c r="M2640">
        <v>0</v>
      </c>
      <c r="N2640">
        <v>5312620</v>
      </c>
      <c r="O2640">
        <v>140508.33112933085</v>
      </c>
      <c r="P2640">
        <v>378100</v>
      </c>
      <c r="Q2640">
        <v>4934520</v>
      </c>
      <c r="R2640">
        <v>130508.33112933084</v>
      </c>
      <c r="S2640" t="s">
        <v>65</v>
      </c>
      <c r="T2640" t="s">
        <v>11206</v>
      </c>
      <c r="U2640">
        <v>302480</v>
      </c>
      <c r="V2640" t="s">
        <v>6312</v>
      </c>
      <c r="W2640">
        <v>45748</v>
      </c>
      <c r="X2640" t="s">
        <v>11207</v>
      </c>
      <c r="Y2640" t="s">
        <v>6</v>
      </c>
      <c r="Z2640" t="s">
        <v>17</v>
      </c>
      <c r="AA2640" t="s">
        <v>6637</v>
      </c>
      <c r="AB2640" t="s">
        <v>2509</v>
      </c>
      <c r="AC2640" t="s">
        <v>2571</v>
      </c>
      <c r="AD2640" t="s">
        <v>717</v>
      </c>
      <c r="AE2640" t="s">
        <v>11208</v>
      </c>
      <c r="AF2640" t="s">
        <v>11209</v>
      </c>
      <c r="AG2640" t="s">
        <v>11210</v>
      </c>
      <c r="AH2640" t="s">
        <v>2191</v>
      </c>
      <c r="AI2640" t="s">
        <v>2521</v>
      </c>
      <c r="AJ2640" t="s">
        <v>3921</v>
      </c>
      <c r="AK2640" t="s">
        <v>24</v>
      </c>
      <c r="AL2640" t="s">
        <v>26</v>
      </c>
      <c r="AM2640" t="s">
        <v>10</v>
      </c>
      <c r="AN2640" t="s">
        <v>717</v>
      </c>
    </row>
    <row r="2641" spans="1:40" hidden="1">
      <c r="A2641">
        <v>2640</v>
      </c>
      <c r="B2641">
        <v>4</v>
      </c>
      <c r="C2641" s="58">
        <v>45751</v>
      </c>
      <c r="D2641" t="s">
        <v>1876</v>
      </c>
      <c r="E2641" t="s">
        <v>10835</v>
      </c>
      <c r="F2641">
        <v>2</v>
      </c>
      <c r="G2641">
        <v>7</v>
      </c>
      <c r="H2641">
        <v>212</v>
      </c>
      <c r="I2641">
        <v>1</v>
      </c>
      <c r="J2641">
        <v>36.64</v>
      </c>
      <c r="K2641" t="s">
        <v>9</v>
      </c>
      <c r="L2641">
        <v>4874700</v>
      </c>
      <c r="M2641">
        <v>15000</v>
      </c>
      <c r="N2641">
        <v>4889700</v>
      </c>
      <c r="O2641">
        <v>133452.51091703057</v>
      </c>
      <c r="P2641">
        <v>0</v>
      </c>
      <c r="Q2641">
        <v>4889700</v>
      </c>
      <c r="R2641">
        <v>133452.51091703057</v>
      </c>
      <c r="S2641" t="s">
        <v>130</v>
      </c>
      <c r="T2641" t="s">
        <v>717</v>
      </c>
      <c r="U2641" t="s">
        <v>717</v>
      </c>
      <c r="V2641" t="s">
        <v>717</v>
      </c>
      <c r="W2641">
        <v>45736</v>
      </c>
      <c r="X2641" t="s">
        <v>11211</v>
      </c>
      <c r="Y2641" t="s">
        <v>6</v>
      </c>
      <c r="Z2641" t="s">
        <v>17</v>
      </c>
      <c r="AA2641" t="s">
        <v>6637</v>
      </c>
      <c r="AB2641" t="s">
        <v>2509</v>
      </c>
      <c r="AC2641" t="s">
        <v>717</v>
      </c>
      <c r="AD2641" t="s">
        <v>717</v>
      </c>
      <c r="AE2641" t="s">
        <v>11212</v>
      </c>
      <c r="AF2641" t="s">
        <v>2667</v>
      </c>
      <c r="AG2641" t="s">
        <v>2668</v>
      </c>
      <c r="AH2641" t="s">
        <v>2615</v>
      </c>
      <c r="AI2641" t="s">
        <v>2600</v>
      </c>
      <c r="AJ2641" t="s">
        <v>42</v>
      </c>
      <c r="AK2641" t="s">
        <v>8</v>
      </c>
      <c r="AL2641" t="s">
        <v>717</v>
      </c>
      <c r="AM2641" t="s">
        <v>10</v>
      </c>
      <c r="AN2641" t="s">
        <v>717</v>
      </c>
    </row>
    <row r="2642" spans="1:40" hidden="1">
      <c r="A2642">
        <v>2641</v>
      </c>
      <c r="B2642">
        <v>5</v>
      </c>
      <c r="C2642" s="58">
        <v>45755</v>
      </c>
      <c r="D2642" t="s">
        <v>13</v>
      </c>
      <c r="E2642" t="s">
        <v>4409</v>
      </c>
      <c r="F2642">
        <v>3</v>
      </c>
      <c r="G2642">
        <v>12</v>
      </c>
      <c r="H2642">
        <v>479</v>
      </c>
      <c r="I2642">
        <v>0</v>
      </c>
      <c r="J2642">
        <v>24.5</v>
      </c>
      <c r="K2642" t="s">
        <v>9</v>
      </c>
      <c r="L2642">
        <v>3319200</v>
      </c>
      <c r="M2642">
        <v>0</v>
      </c>
      <c r="N2642">
        <v>3319200</v>
      </c>
      <c r="O2642">
        <v>135477.55102040817</v>
      </c>
      <c r="P2642">
        <v>0</v>
      </c>
      <c r="Q2642">
        <v>3319200</v>
      </c>
      <c r="R2642">
        <v>135477.55102040817</v>
      </c>
      <c r="S2642" t="s">
        <v>65</v>
      </c>
      <c r="T2642" t="s">
        <v>11206</v>
      </c>
      <c r="U2642">
        <v>196000</v>
      </c>
      <c r="V2642" t="s">
        <v>6312</v>
      </c>
      <c r="W2642">
        <v>45748</v>
      </c>
      <c r="X2642" t="s">
        <v>11213</v>
      </c>
      <c r="Y2642" t="s">
        <v>6</v>
      </c>
      <c r="Z2642" t="s">
        <v>17</v>
      </c>
      <c r="AA2642" t="s">
        <v>6637</v>
      </c>
      <c r="AB2642" t="s">
        <v>2509</v>
      </c>
      <c r="AC2642" t="s">
        <v>2571</v>
      </c>
      <c r="AD2642" t="s">
        <v>717</v>
      </c>
      <c r="AE2642" t="s">
        <v>11214</v>
      </c>
      <c r="AF2642" t="s">
        <v>11215</v>
      </c>
      <c r="AG2642" t="s">
        <v>11216</v>
      </c>
      <c r="AH2642" t="s">
        <v>6100</v>
      </c>
      <c r="AI2642" t="s">
        <v>10467</v>
      </c>
      <c r="AJ2642" t="s">
        <v>2855</v>
      </c>
      <c r="AK2642" t="s">
        <v>24</v>
      </c>
      <c r="AL2642" t="s">
        <v>22</v>
      </c>
      <c r="AM2642" t="s">
        <v>10</v>
      </c>
      <c r="AN2642" t="s">
        <v>717</v>
      </c>
    </row>
    <row r="2643" spans="1:40" hidden="1">
      <c r="A2643">
        <v>2642</v>
      </c>
      <c r="B2643">
        <v>6</v>
      </c>
      <c r="C2643" s="58">
        <v>45756</v>
      </c>
      <c r="D2643" t="s">
        <v>13</v>
      </c>
      <c r="E2643" t="s">
        <v>2581</v>
      </c>
      <c r="F2643">
        <v>4</v>
      </c>
      <c r="G2643">
        <v>3</v>
      </c>
      <c r="H2643">
        <v>239</v>
      </c>
      <c r="I2643">
        <v>2</v>
      </c>
      <c r="J2643">
        <v>60.24</v>
      </c>
      <c r="K2643" t="s">
        <v>9</v>
      </c>
      <c r="L2643">
        <v>7103000</v>
      </c>
      <c r="M2643">
        <v>0</v>
      </c>
      <c r="N2643">
        <v>7103000</v>
      </c>
      <c r="O2643">
        <v>117911.68658698539</v>
      </c>
      <c r="P2643">
        <v>0</v>
      </c>
      <c r="Q2643">
        <v>7103000</v>
      </c>
      <c r="R2643">
        <v>117911.68658698539</v>
      </c>
      <c r="S2643" t="s">
        <v>65</v>
      </c>
      <c r="T2643" t="s">
        <v>11217</v>
      </c>
      <c r="U2643">
        <v>300000</v>
      </c>
      <c r="V2643" t="s">
        <v>6312</v>
      </c>
      <c r="W2643">
        <v>45748</v>
      </c>
      <c r="X2643" t="s">
        <v>11218</v>
      </c>
      <c r="Y2643" t="s">
        <v>6</v>
      </c>
      <c r="Z2643" t="s">
        <v>17</v>
      </c>
      <c r="AA2643" t="s">
        <v>6637</v>
      </c>
      <c r="AB2643" t="s">
        <v>2509</v>
      </c>
      <c r="AC2643" t="s">
        <v>2571</v>
      </c>
      <c r="AD2643" t="s">
        <v>717</v>
      </c>
      <c r="AE2643" t="s">
        <v>11219</v>
      </c>
      <c r="AF2643" t="s">
        <v>11220</v>
      </c>
      <c r="AG2643" t="s">
        <v>11221</v>
      </c>
      <c r="AH2643" t="s">
        <v>2615</v>
      </c>
      <c r="AI2643" t="s">
        <v>2847</v>
      </c>
      <c r="AJ2643" t="s">
        <v>2514</v>
      </c>
      <c r="AK2643" t="s">
        <v>14</v>
      </c>
      <c r="AL2643" t="s">
        <v>22</v>
      </c>
      <c r="AM2643" t="s">
        <v>10</v>
      </c>
      <c r="AN2643" t="s">
        <v>717</v>
      </c>
    </row>
    <row r="2644" spans="1:40" hidden="1">
      <c r="A2644">
        <v>2643</v>
      </c>
      <c r="B2644">
        <v>7</v>
      </c>
      <c r="C2644" s="58">
        <v>45757</v>
      </c>
      <c r="D2644" t="s">
        <v>13</v>
      </c>
      <c r="E2644" t="s">
        <v>2581</v>
      </c>
      <c r="F2644">
        <v>1</v>
      </c>
      <c r="G2644">
        <v>0</v>
      </c>
      <c r="H2644">
        <v>5</v>
      </c>
      <c r="I2644" t="s">
        <v>10902</v>
      </c>
      <c r="J2644">
        <v>3.87</v>
      </c>
      <c r="K2644" t="s">
        <v>9</v>
      </c>
      <c r="L2644">
        <v>425700</v>
      </c>
      <c r="M2644">
        <v>0</v>
      </c>
      <c r="N2644">
        <v>425700</v>
      </c>
      <c r="O2644">
        <v>110000</v>
      </c>
      <c r="P2644">
        <v>0</v>
      </c>
      <c r="Q2644">
        <v>425700</v>
      </c>
      <c r="R2644">
        <v>110000</v>
      </c>
      <c r="S2644" t="s">
        <v>2507</v>
      </c>
      <c r="T2644" t="s">
        <v>717</v>
      </c>
      <c r="U2644" t="s">
        <v>717</v>
      </c>
      <c r="V2644" t="s">
        <v>717</v>
      </c>
      <c r="W2644">
        <v>45756</v>
      </c>
      <c r="X2644" t="s">
        <v>11222</v>
      </c>
      <c r="Y2644" t="s">
        <v>1368</v>
      </c>
      <c r="Z2644" t="s">
        <v>17</v>
      </c>
      <c r="AA2644" t="s">
        <v>5617</v>
      </c>
      <c r="AB2644" t="s">
        <v>2509</v>
      </c>
      <c r="AC2644" t="s">
        <v>717</v>
      </c>
      <c r="AD2644" t="s">
        <v>717</v>
      </c>
      <c r="AE2644" t="s">
        <v>10918</v>
      </c>
      <c r="AF2644" t="s">
        <v>10919</v>
      </c>
      <c r="AG2644" t="s">
        <v>10920</v>
      </c>
      <c r="AH2644" t="s">
        <v>2191</v>
      </c>
      <c r="AI2644" t="s">
        <v>2521</v>
      </c>
      <c r="AJ2644" t="s">
        <v>3921</v>
      </c>
      <c r="AK2644" t="s">
        <v>28</v>
      </c>
      <c r="AL2644" t="s">
        <v>717</v>
      </c>
      <c r="AM2644" t="s">
        <v>10</v>
      </c>
      <c r="AN2644" t="s">
        <v>717</v>
      </c>
    </row>
    <row r="2645" spans="1:40" hidden="1">
      <c r="A2645">
        <v>2644</v>
      </c>
      <c r="B2645">
        <v>8</v>
      </c>
      <c r="C2645" s="58">
        <v>45758</v>
      </c>
      <c r="D2645" t="s">
        <v>13</v>
      </c>
      <c r="E2645" t="s">
        <v>2515</v>
      </c>
      <c r="F2645">
        <v>2</v>
      </c>
      <c r="G2645">
        <v>0</v>
      </c>
      <c r="H2645">
        <v>2</v>
      </c>
      <c r="I2645" t="s">
        <v>10902</v>
      </c>
      <c r="J2645">
        <v>5.07</v>
      </c>
      <c r="K2645" t="s">
        <v>9</v>
      </c>
      <c r="L2645">
        <v>557700</v>
      </c>
      <c r="M2645">
        <v>0</v>
      </c>
      <c r="N2645">
        <v>557700</v>
      </c>
      <c r="O2645">
        <v>110000</v>
      </c>
      <c r="P2645">
        <v>0</v>
      </c>
      <c r="Q2645">
        <v>557700</v>
      </c>
      <c r="R2645">
        <v>110000</v>
      </c>
      <c r="S2645" t="s">
        <v>130</v>
      </c>
      <c r="T2645" t="s">
        <v>717</v>
      </c>
      <c r="U2645" t="s">
        <v>717</v>
      </c>
      <c r="V2645" t="s">
        <v>717</v>
      </c>
      <c r="W2645">
        <v>45757</v>
      </c>
      <c r="X2645" t="s">
        <v>11223</v>
      </c>
      <c r="Y2645" t="s">
        <v>1368</v>
      </c>
      <c r="Z2645" t="s">
        <v>17</v>
      </c>
      <c r="AA2645" t="s">
        <v>6637</v>
      </c>
      <c r="AB2645" t="s">
        <v>2509</v>
      </c>
      <c r="AC2645" t="s">
        <v>717</v>
      </c>
      <c r="AD2645" t="s">
        <v>717</v>
      </c>
      <c r="AE2645" t="s">
        <v>11224</v>
      </c>
      <c r="AF2645" t="s">
        <v>9458</v>
      </c>
      <c r="AG2645" t="s">
        <v>717</v>
      </c>
      <c r="AH2645" t="s">
        <v>2615</v>
      </c>
      <c r="AI2645" t="s">
        <v>2552</v>
      </c>
      <c r="AJ2645" t="s">
        <v>3289</v>
      </c>
      <c r="AK2645" t="s">
        <v>28</v>
      </c>
      <c r="AL2645" t="s">
        <v>717</v>
      </c>
      <c r="AM2645" t="s">
        <v>10</v>
      </c>
      <c r="AN2645" t="s">
        <v>717</v>
      </c>
    </row>
    <row r="2646" spans="1:40" hidden="1">
      <c r="A2646">
        <v>2645</v>
      </c>
      <c r="B2646">
        <v>9</v>
      </c>
      <c r="C2646" s="58">
        <v>45759</v>
      </c>
      <c r="D2646" t="s">
        <v>13</v>
      </c>
      <c r="E2646" t="s">
        <v>2515</v>
      </c>
      <c r="F2646">
        <v>4</v>
      </c>
      <c r="G2646">
        <v>16</v>
      </c>
      <c r="H2646">
        <v>108</v>
      </c>
      <c r="I2646">
        <v>2</v>
      </c>
      <c r="J2646">
        <v>59.09</v>
      </c>
      <c r="K2646" t="s">
        <v>25</v>
      </c>
      <c r="L2646">
        <v>8143648</v>
      </c>
      <c r="M2646">
        <v>0</v>
      </c>
      <c r="N2646">
        <v>8143648</v>
      </c>
      <c r="O2646">
        <v>137817.70181079709</v>
      </c>
      <c r="P2646">
        <v>1477250</v>
      </c>
      <c r="Q2646">
        <v>6666398</v>
      </c>
      <c r="R2646">
        <v>112817.70181079708</v>
      </c>
      <c r="S2646" t="s">
        <v>65</v>
      </c>
      <c r="T2646" t="s">
        <v>11225</v>
      </c>
      <c r="U2646">
        <v>567002</v>
      </c>
      <c r="V2646" t="s">
        <v>6312</v>
      </c>
      <c r="W2646">
        <v>45755</v>
      </c>
      <c r="X2646" t="s">
        <v>10353</v>
      </c>
      <c r="Y2646" t="s">
        <v>6</v>
      </c>
      <c r="Z2646" t="s">
        <v>17</v>
      </c>
      <c r="AA2646" t="s">
        <v>6637</v>
      </c>
      <c r="AB2646" t="s">
        <v>2509</v>
      </c>
      <c r="AC2646" t="s">
        <v>2571</v>
      </c>
      <c r="AD2646" t="s">
        <v>717</v>
      </c>
      <c r="AE2646" t="s">
        <v>11226</v>
      </c>
      <c r="AF2646" t="s">
        <v>11227</v>
      </c>
      <c r="AG2646" t="s">
        <v>11228</v>
      </c>
      <c r="AH2646" t="s">
        <v>2615</v>
      </c>
      <c r="AI2646" t="s">
        <v>2552</v>
      </c>
      <c r="AJ2646" t="s">
        <v>2514</v>
      </c>
      <c r="AK2646" t="s">
        <v>8</v>
      </c>
      <c r="AL2646" t="s">
        <v>26</v>
      </c>
      <c r="AM2646" t="s">
        <v>10</v>
      </c>
      <c r="AN2646" t="s">
        <v>717</v>
      </c>
    </row>
    <row r="2647" spans="1:40" hidden="1">
      <c r="A2647">
        <v>2646</v>
      </c>
      <c r="B2647">
        <v>10</v>
      </c>
      <c r="C2647" s="58">
        <v>45760</v>
      </c>
      <c r="D2647" t="s">
        <v>13</v>
      </c>
      <c r="E2647" t="s">
        <v>2581</v>
      </c>
      <c r="F2647">
        <v>5</v>
      </c>
      <c r="G2647">
        <v>16</v>
      </c>
      <c r="H2647">
        <v>331</v>
      </c>
      <c r="I2647">
        <v>1</v>
      </c>
      <c r="J2647">
        <v>37.81</v>
      </c>
      <c r="K2647" t="s">
        <v>25</v>
      </c>
      <c r="L2647">
        <v>5927670</v>
      </c>
      <c r="M2647">
        <v>0</v>
      </c>
      <c r="N2647">
        <v>5927670</v>
      </c>
      <c r="O2647">
        <v>156775.19174821474</v>
      </c>
      <c r="P2647">
        <v>945250</v>
      </c>
      <c r="Q2647">
        <v>4982420</v>
      </c>
      <c r="R2647">
        <v>131775.19174821474</v>
      </c>
      <c r="S2647" t="s">
        <v>65</v>
      </c>
      <c r="T2647" t="s">
        <v>11206</v>
      </c>
      <c r="U2647">
        <v>302480</v>
      </c>
      <c r="V2647" t="s">
        <v>6312</v>
      </c>
      <c r="W2647">
        <v>45757</v>
      </c>
      <c r="X2647" t="s">
        <v>11229</v>
      </c>
      <c r="Y2647" t="s">
        <v>6</v>
      </c>
      <c r="Z2647" t="s">
        <v>17</v>
      </c>
      <c r="AA2647" t="s">
        <v>6637</v>
      </c>
      <c r="AB2647" t="s">
        <v>2509</v>
      </c>
      <c r="AC2647" t="s">
        <v>2571</v>
      </c>
      <c r="AD2647" t="s">
        <v>717</v>
      </c>
      <c r="AE2647" t="s">
        <v>11230</v>
      </c>
      <c r="AF2647" t="s">
        <v>11231</v>
      </c>
      <c r="AG2647" t="s">
        <v>11232</v>
      </c>
      <c r="AH2647" t="s">
        <v>2191</v>
      </c>
      <c r="AI2647" t="s">
        <v>2552</v>
      </c>
      <c r="AJ2647" t="s">
        <v>3921</v>
      </c>
      <c r="AK2647" t="s">
        <v>8</v>
      </c>
      <c r="AL2647" t="s">
        <v>22</v>
      </c>
      <c r="AM2647" t="s">
        <v>10</v>
      </c>
      <c r="AN2647" t="s">
        <v>717</v>
      </c>
    </row>
    <row r="2648" spans="1:40" hidden="1">
      <c r="A2648">
        <v>2647</v>
      </c>
      <c r="B2648">
        <v>11</v>
      </c>
      <c r="C2648" s="58">
        <v>45762</v>
      </c>
      <c r="D2648" t="s">
        <v>1876</v>
      </c>
      <c r="E2648" t="s">
        <v>10835</v>
      </c>
      <c r="F2648">
        <v>1</v>
      </c>
      <c r="G2648">
        <v>10</v>
      </c>
      <c r="H2648">
        <v>229</v>
      </c>
      <c r="I2648">
        <v>1</v>
      </c>
      <c r="J2648">
        <v>44.16</v>
      </c>
      <c r="K2648" t="s">
        <v>10459</v>
      </c>
      <c r="L2648">
        <v>5929692</v>
      </c>
      <c r="M2648">
        <v>15000</v>
      </c>
      <c r="N2648">
        <v>5944692</v>
      </c>
      <c r="O2648">
        <v>134617.11956521741</v>
      </c>
      <c r="P2648">
        <v>441600</v>
      </c>
      <c r="Q2648">
        <v>5503092</v>
      </c>
      <c r="R2648">
        <v>124617.11956521741</v>
      </c>
      <c r="S2648" t="s">
        <v>130</v>
      </c>
      <c r="T2648" t="s">
        <v>2664</v>
      </c>
      <c r="U2648">
        <v>112308</v>
      </c>
      <c r="V2648" t="s">
        <v>717</v>
      </c>
      <c r="W2648">
        <v>45734</v>
      </c>
      <c r="X2648" t="s">
        <v>11233</v>
      </c>
      <c r="Y2648" t="s">
        <v>6</v>
      </c>
      <c r="Z2648" t="s">
        <v>17</v>
      </c>
      <c r="AA2648" t="s">
        <v>6637</v>
      </c>
      <c r="AB2648" t="s">
        <v>2509</v>
      </c>
      <c r="AC2648" t="s">
        <v>717</v>
      </c>
      <c r="AD2648" t="s">
        <v>717</v>
      </c>
      <c r="AE2648" t="s">
        <v>11234</v>
      </c>
      <c r="AF2648" t="s">
        <v>9905</v>
      </c>
      <c r="AG2648" t="s">
        <v>717</v>
      </c>
      <c r="AH2648" t="s">
        <v>2615</v>
      </c>
      <c r="AI2648" t="s">
        <v>2600</v>
      </c>
      <c r="AJ2648" t="s">
        <v>2855</v>
      </c>
      <c r="AK2648" t="s">
        <v>8</v>
      </c>
      <c r="AL2648" t="s">
        <v>717</v>
      </c>
      <c r="AM2648" t="s">
        <v>10</v>
      </c>
      <c r="AN2648" t="s">
        <v>717</v>
      </c>
    </row>
    <row r="2649" spans="1:40" hidden="1">
      <c r="A2649">
        <v>2648</v>
      </c>
      <c r="B2649">
        <v>12</v>
      </c>
      <c r="C2649" s="58">
        <v>45763</v>
      </c>
      <c r="D2649" t="s">
        <v>13</v>
      </c>
      <c r="E2649" t="s">
        <v>2581</v>
      </c>
      <c r="F2649">
        <v>3</v>
      </c>
      <c r="G2649">
        <v>16</v>
      </c>
      <c r="H2649">
        <v>329</v>
      </c>
      <c r="I2649">
        <v>2</v>
      </c>
      <c r="J2649">
        <v>56.58</v>
      </c>
      <c r="K2649" t="s">
        <v>9</v>
      </c>
      <c r="L2649">
        <v>6663533</v>
      </c>
      <c r="M2649">
        <v>0</v>
      </c>
      <c r="N2649">
        <v>6663533</v>
      </c>
      <c r="O2649">
        <v>117771.88052315306</v>
      </c>
      <c r="P2649">
        <v>0</v>
      </c>
      <c r="Q2649">
        <v>6663533</v>
      </c>
      <c r="R2649">
        <v>117771.88052315306</v>
      </c>
      <c r="S2649" t="s">
        <v>65</v>
      </c>
      <c r="T2649" t="s">
        <v>11187</v>
      </c>
      <c r="U2649">
        <v>515367</v>
      </c>
      <c r="V2649" t="s">
        <v>6312</v>
      </c>
      <c r="W2649">
        <v>45756</v>
      </c>
      <c r="X2649" t="s">
        <v>11235</v>
      </c>
      <c r="Y2649" t="s">
        <v>6</v>
      </c>
      <c r="Z2649" t="s">
        <v>17</v>
      </c>
      <c r="AA2649" t="s">
        <v>6637</v>
      </c>
      <c r="AB2649" t="s">
        <v>2509</v>
      </c>
      <c r="AC2649" t="s">
        <v>2571</v>
      </c>
      <c r="AD2649" t="s">
        <v>717</v>
      </c>
      <c r="AE2649" t="s">
        <v>11236</v>
      </c>
      <c r="AF2649" t="s">
        <v>11237</v>
      </c>
      <c r="AG2649" t="s">
        <v>11238</v>
      </c>
      <c r="AH2649" t="s">
        <v>2552</v>
      </c>
      <c r="AI2649" t="s">
        <v>2547</v>
      </c>
      <c r="AJ2649" t="s">
        <v>11239</v>
      </c>
      <c r="AK2649" t="s">
        <v>14</v>
      </c>
      <c r="AL2649" t="s">
        <v>22</v>
      </c>
      <c r="AM2649" t="s">
        <v>10</v>
      </c>
      <c r="AN2649" t="s">
        <v>717</v>
      </c>
    </row>
    <row r="2650" spans="1:40" hidden="1">
      <c r="A2650">
        <v>2649</v>
      </c>
      <c r="B2650">
        <v>13</v>
      </c>
      <c r="C2650" s="58">
        <v>45765</v>
      </c>
      <c r="D2650" t="s">
        <v>13</v>
      </c>
      <c r="E2650" t="s">
        <v>2515</v>
      </c>
      <c r="F2650">
        <v>5</v>
      </c>
      <c r="G2650">
        <v>9</v>
      </c>
      <c r="H2650">
        <v>60</v>
      </c>
      <c r="I2650">
        <v>2</v>
      </c>
      <c r="J2650">
        <v>62.17</v>
      </c>
      <c r="K2650" t="s">
        <v>21</v>
      </c>
      <c r="L2650">
        <v>7769174</v>
      </c>
      <c r="M2650">
        <v>45000</v>
      </c>
      <c r="N2650">
        <v>7814174</v>
      </c>
      <c r="O2650">
        <v>125690.42946758888</v>
      </c>
      <c r="P2650">
        <v>621700</v>
      </c>
      <c r="Q2650">
        <v>7192474</v>
      </c>
      <c r="R2650">
        <v>115690.42946758888</v>
      </c>
      <c r="S2650" t="s">
        <v>65</v>
      </c>
      <c r="T2650" t="s">
        <v>11187</v>
      </c>
      <c r="U2650">
        <v>531726</v>
      </c>
      <c r="V2650" t="s">
        <v>6312</v>
      </c>
      <c r="W2650">
        <v>45715</v>
      </c>
      <c r="X2650" t="s">
        <v>11240</v>
      </c>
      <c r="Y2650" t="s">
        <v>6</v>
      </c>
      <c r="Z2650" t="s">
        <v>17</v>
      </c>
      <c r="AA2650" t="s">
        <v>6637</v>
      </c>
      <c r="AB2650" t="s">
        <v>2509</v>
      </c>
      <c r="AC2650" t="s">
        <v>2571</v>
      </c>
      <c r="AD2650" t="s">
        <v>717</v>
      </c>
      <c r="AE2650" t="s">
        <v>11241</v>
      </c>
      <c r="AF2650" t="s">
        <v>11242</v>
      </c>
      <c r="AG2650" t="s">
        <v>717</v>
      </c>
      <c r="AH2650" t="s">
        <v>2615</v>
      </c>
      <c r="AI2650" t="s">
        <v>2552</v>
      </c>
      <c r="AJ2650" t="s">
        <v>2662</v>
      </c>
      <c r="AK2650" t="s">
        <v>14</v>
      </c>
      <c r="AL2650" t="s">
        <v>22</v>
      </c>
      <c r="AM2650" t="s">
        <v>10</v>
      </c>
      <c r="AN2650" t="s">
        <v>717</v>
      </c>
    </row>
    <row r="2651" spans="1:40" hidden="1">
      <c r="A2651">
        <v>2650</v>
      </c>
      <c r="B2651">
        <v>14</v>
      </c>
      <c r="C2651" s="58">
        <v>45765</v>
      </c>
      <c r="D2651" t="s">
        <v>1876</v>
      </c>
      <c r="E2651" t="s">
        <v>10295</v>
      </c>
      <c r="F2651">
        <v>5</v>
      </c>
      <c r="G2651">
        <v>18</v>
      </c>
      <c r="H2651">
        <v>101</v>
      </c>
      <c r="I2651">
        <v>1</v>
      </c>
      <c r="J2651">
        <v>36.64</v>
      </c>
      <c r="K2651" t="s">
        <v>9</v>
      </c>
      <c r="L2651">
        <v>4930282</v>
      </c>
      <c r="M2651">
        <v>0</v>
      </c>
      <c r="N2651">
        <v>4930282</v>
      </c>
      <c r="O2651">
        <v>134560.09825327509</v>
      </c>
      <c r="P2651">
        <v>0</v>
      </c>
      <c r="Q2651">
        <v>4930282</v>
      </c>
      <c r="R2651">
        <v>134560.09825327509</v>
      </c>
      <c r="S2651" t="s">
        <v>130</v>
      </c>
      <c r="T2651" t="s">
        <v>11243</v>
      </c>
      <c r="U2651">
        <v>100617.99999999908</v>
      </c>
      <c r="V2651" t="s">
        <v>717</v>
      </c>
      <c r="W2651">
        <v>45761</v>
      </c>
      <c r="X2651" t="s">
        <v>11244</v>
      </c>
      <c r="Y2651" t="s">
        <v>6</v>
      </c>
      <c r="Z2651" t="s">
        <v>17</v>
      </c>
      <c r="AA2651" t="s">
        <v>6637</v>
      </c>
      <c r="AB2651" t="s">
        <v>2509</v>
      </c>
      <c r="AC2651" t="s">
        <v>717</v>
      </c>
      <c r="AD2651" t="s">
        <v>717</v>
      </c>
      <c r="AE2651" t="s">
        <v>2412</v>
      </c>
      <c r="AF2651" t="s">
        <v>11245</v>
      </c>
      <c r="AG2651" t="s">
        <v>11246</v>
      </c>
      <c r="AH2651" t="s">
        <v>2552</v>
      </c>
      <c r="AI2651" t="s">
        <v>10475</v>
      </c>
      <c r="AJ2651">
        <v>0</v>
      </c>
      <c r="AK2651" t="s">
        <v>8</v>
      </c>
      <c r="AL2651" t="s">
        <v>717</v>
      </c>
      <c r="AM2651" t="s">
        <v>10</v>
      </c>
      <c r="AN2651" t="s">
        <v>717</v>
      </c>
    </row>
    <row r="2652" spans="1:40" hidden="1">
      <c r="A2652">
        <v>2651</v>
      </c>
      <c r="B2652">
        <v>15</v>
      </c>
      <c r="C2652" s="58">
        <v>45766</v>
      </c>
      <c r="D2652" t="s">
        <v>1875</v>
      </c>
      <c r="E2652" t="s">
        <v>10295</v>
      </c>
      <c r="F2652">
        <v>1</v>
      </c>
      <c r="G2652">
        <v>9</v>
      </c>
      <c r="H2652">
        <v>29</v>
      </c>
      <c r="I2652">
        <v>2</v>
      </c>
      <c r="J2652">
        <v>61.41</v>
      </c>
      <c r="K2652" t="s">
        <v>10459</v>
      </c>
      <c r="L2652">
        <v>8437734</v>
      </c>
      <c r="M2652">
        <v>0</v>
      </c>
      <c r="N2652">
        <v>8437734</v>
      </c>
      <c r="O2652">
        <v>137400</v>
      </c>
      <c r="P2652">
        <v>614100</v>
      </c>
      <c r="Q2652">
        <v>7823634</v>
      </c>
      <c r="R2652">
        <v>127400</v>
      </c>
      <c r="S2652" t="s">
        <v>65</v>
      </c>
      <c r="T2652" t="s">
        <v>2664</v>
      </c>
      <c r="U2652">
        <v>159666</v>
      </c>
      <c r="V2652" t="s">
        <v>6312</v>
      </c>
      <c r="W2652">
        <v>45763</v>
      </c>
      <c r="X2652" t="s">
        <v>11247</v>
      </c>
      <c r="Y2652" t="s">
        <v>6</v>
      </c>
      <c r="Z2652" t="s">
        <v>17</v>
      </c>
      <c r="AA2652" t="s">
        <v>6637</v>
      </c>
      <c r="AB2652" t="s">
        <v>2509</v>
      </c>
      <c r="AC2652" t="s">
        <v>2571</v>
      </c>
      <c r="AD2652" t="s">
        <v>717</v>
      </c>
      <c r="AE2652" t="s">
        <v>11248</v>
      </c>
      <c r="AF2652" t="s">
        <v>11249</v>
      </c>
      <c r="AG2652" t="s">
        <v>11250</v>
      </c>
      <c r="AH2652" t="s">
        <v>2191</v>
      </c>
      <c r="AI2652" t="s">
        <v>2521</v>
      </c>
      <c r="AJ2652">
        <v>0</v>
      </c>
      <c r="AK2652" t="s">
        <v>24</v>
      </c>
      <c r="AL2652" t="s">
        <v>22</v>
      </c>
      <c r="AM2652" t="s">
        <v>10</v>
      </c>
      <c r="AN2652" t="s">
        <v>717</v>
      </c>
    </row>
    <row r="2653" spans="1:40" hidden="1">
      <c r="A2653">
        <v>2652</v>
      </c>
      <c r="B2653">
        <v>16</v>
      </c>
      <c r="C2653" s="58">
        <v>45768</v>
      </c>
      <c r="D2653" t="s">
        <v>1876</v>
      </c>
      <c r="E2653" t="s">
        <v>10835</v>
      </c>
      <c r="F2653">
        <v>1</v>
      </c>
      <c r="G2653">
        <v>14</v>
      </c>
      <c r="H2653">
        <v>253</v>
      </c>
      <c r="I2653">
        <v>1</v>
      </c>
      <c r="J2653">
        <v>43.88</v>
      </c>
      <c r="K2653" t="s">
        <v>10459</v>
      </c>
      <c r="L2653">
        <v>6016960</v>
      </c>
      <c r="M2653">
        <v>0</v>
      </c>
      <c r="N2653">
        <v>6016960</v>
      </c>
      <c r="O2653">
        <v>137123.06289881494</v>
      </c>
      <c r="P2653">
        <v>438800</v>
      </c>
      <c r="Q2653">
        <v>5578160</v>
      </c>
      <c r="R2653">
        <v>127123.06289881494</v>
      </c>
      <c r="S2653" t="s">
        <v>130</v>
      </c>
      <c r="T2653" t="s">
        <v>2664</v>
      </c>
      <c r="U2653">
        <v>113840</v>
      </c>
      <c r="V2653" t="s">
        <v>717</v>
      </c>
      <c r="W2653">
        <v>45757</v>
      </c>
      <c r="X2653" t="s">
        <v>11251</v>
      </c>
      <c r="Y2653" t="s">
        <v>6</v>
      </c>
      <c r="Z2653" t="s">
        <v>17</v>
      </c>
      <c r="AA2653" t="s">
        <v>6637</v>
      </c>
      <c r="AB2653" t="s">
        <v>2509</v>
      </c>
      <c r="AC2653" t="s">
        <v>717</v>
      </c>
      <c r="AD2653" t="s">
        <v>717</v>
      </c>
      <c r="AE2653" t="s">
        <v>11252</v>
      </c>
      <c r="AF2653" t="s">
        <v>11253</v>
      </c>
      <c r="AG2653" t="s">
        <v>11254</v>
      </c>
      <c r="AH2653" t="s">
        <v>2191</v>
      </c>
      <c r="AI2653" t="s">
        <v>2538</v>
      </c>
      <c r="AJ2653" t="s">
        <v>2514</v>
      </c>
      <c r="AK2653" t="s">
        <v>14</v>
      </c>
      <c r="AL2653" t="s">
        <v>717</v>
      </c>
      <c r="AM2653" t="s">
        <v>10</v>
      </c>
      <c r="AN2653" t="s">
        <v>717</v>
      </c>
    </row>
    <row r="2654" spans="1:40" hidden="1">
      <c r="A2654">
        <v>2653</v>
      </c>
      <c r="B2654">
        <v>17</v>
      </c>
      <c r="C2654" s="58">
        <v>45768</v>
      </c>
      <c r="D2654" t="s">
        <v>13</v>
      </c>
      <c r="E2654" t="s">
        <v>2506</v>
      </c>
      <c r="F2654">
        <v>1</v>
      </c>
      <c r="G2654">
        <v>0</v>
      </c>
      <c r="H2654">
        <v>3</v>
      </c>
      <c r="I2654" t="s">
        <v>10902</v>
      </c>
      <c r="J2654">
        <v>4.7</v>
      </c>
      <c r="K2654" t="s">
        <v>9</v>
      </c>
      <c r="L2654">
        <v>517000</v>
      </c>
      <c r="M2654">
        <v>0</v>
      </c>
      <c r="N2654">
        <v>517000</v>
      </c>
      <c r="O2654">
        <v>110000</v>
      </c>
      <c r="P2654">
        <v>0</v>
      </c>
      <c r="Q2654">
        <v>517000</v>
      </c>
      <c r="R2654">
        <v>110000</v>
      </c>
      <c r="S2654" t="s">
        <v>130</v>
      </c>
      <c r="T2654" t="s">
        <v>717</v>
      </c>
      <c r="U2654" t="s">
        <v>717</v>
      </c>
      <c r="V2654" t="s">
        <v>717</v>
      </c>
      <c r="W2654">
        <v>45768</v>
      </c>
      <c r="X2654" t="s">
        <v>11255</v>
      </c>
      <c r="Y2654" t="s">
        <v>1368</v>
      </c>
      <c r="Z2654" t="s">
        <v>17</v>
      </c>
      <c r="AA2654" t="s">
        <v>6637</v>
      </c>
      <c r="AB2654" t="s">
        <v>2509</v>
      </c>
      <c r="AC2654" t="s">
        <v>717</v>
      </c>
      <c r="AD2654" t="s">
        <v>717</v>
      </c>
      <c r="AE2654" t="s">
        <v>10156</v>
      </c>
      <c r="AF2654" t="s">
        <v>11256</v>
      </c>
      <c r="AG2654" t="s">
        <v>10158</v>
      </c>
      <c r="AH2654" t="s">
        <v>2615</v>
      </c>
      <c r="AI2654" t="s">
        <v>2600</v>
      </c>
      <c r="AJ2654" t="s">
        <v>2514</v>
      </c>
      <c r="AK2654" t="s">
        <v>8</v>
      </c>
      <c r="AL2654" t="s">
        <v>717</v>
      </c>
      <c r="AM2654" t="s">
        <v>10</v>
      </c>
      <c r="AN2654" t="s">
        <v>717</v>
      </c>
    </row>
    <row r="2655" spans="1:40" hidden="1">
      <c r="A2655">
        <v>2654</v>
      </c>
      <c r="B2655">
        <v>18</v>
      </c>
      <c r="C2655" s="58">
        <v>45769</v>
      </c>
      <c r="D2655" t="s">
        <v>13</v>
      </c>
      <c r="E2655" t="s">
        <v>4409</v>
      </c>
      <c r="F2655">
        <v>7</v>
      </c>
      <c r="G2655">
        <v>6</v>
      </c>
      <c r="H2655">
        <v>435</v>
      </c>
      <c r="I2655">
        <v>3</v>
      </c>
      <c r="J2655">
        <v>79.44</v>
      </c>
      <c r="K2655" t="s">
        <v>9</v>
      </c>
      <c r="L2655">
        <v>9234400</v>
      </c>
      <c r="M2655">
        <v>0</v>
      </c>
      <c r="N2655">
        <v>9234400</v>
      </c>
      <c r="O2655">
        <v>116243.70594159114</v>
      </c>
      <c r="P2655">
        <v>0</v>
      </c>
      <c r="Q2655">
        <v>9234400</v>
      </c>
      <c r="R2655">
        <v>116243.70594159114</v>
      </c>
      <c r="S2655" t="s">
        <v>65</v>
      </c>
      <c r="T2655" t="s">
        <v>11217</v>
      </c>
      <c r="U2655">
        <v>400000</v>
      </c>
      <c r="V2655" t="s">
        <v>6312</v>
      </c>
      <c r="W2655">
        <v>45762</v>
      </c>
      <c r="X2655" t="s">
        <v>11257</v>
      </c>
      <c r="Y2655" t="s">
        <v>6</v>
      </c>
      <c r="Z2655" t="s">
        <v>17</v>
      </c>
      <c r="AA2655" t="s">
        <v>6637</v>
      </c>
      <c r="AB2655" t="s">
        <v>2509</v>
      </c>
      <c r="AC2655" t="s">
        <v>2571</v>
      </c>
      <c r="AD2655" t="s">
        <v>717</v>
      </c>
      <c r="AE2655" t="s">
        <v>11258</v>
      </c>
      <c r="AF2655" t="s">
        <v>11259</v>
      </c>
      <c r="AG2655" t="s">
        <v>11260</v>
      </c>
      <c r="AH2655" t="s">
        <v>2191</v>
      </c>
      <c r="AI2655" t="s">
        <v>2552</v>
      </c>
      <c r="AJ2655" t="s">
        <v>3921</v>
      </c>
      <c r="AK2655" t="s">
        <v>20</v>
      </c>
      <c r="AL2655" t="s">
        <v>22</v>
      </c>
      <c r="AM2655" t="s">
        <v>10</v>
      </c>
      <c r="AN2655" t="s">
        <v>717</v>
      </c>
    </row>
    <row r="2656" spans="1:40" hidden="1">
      <c r="A2656">
        <v>2655</v>
      </c>
      <c r="B2656">
        <v>19</v>
      </c>
      <c r="C2656" s="58">
        <v>45769</v>
      </c>
      <c r="D2656" t="s">
        <v>13</v>
      </c>
      <c r="E2656" t="s">
        <v>2506</v>
      </c>
      <c r="F2656">
        <v>2</v>
      </c>
      <c r="G2656">
        <v>0</v>
      </c>
      <c r="H2656">
        <v>4</v>
      </c>
      <c r="I2656" t="s">
        <v>10902</v>
      </c>
      <c r="J2656">
        <v>6.97</v>
      </c>
      <c r="K2656" t="s">
        <v>9</v>
      </c>
      <c r="L2656">
        <v>697000</v>
      </c>
      <c r="M2656">
        <v>0</v>
      </c>
      <c r="N2656">
        <v>697000</v>
      </c>
      <c r="O2656">
        <v>100000</v>
      </c>
      <c r="P2656">
        <v>0</v>
      </c>
      <c r="Q2656">
        <v>697000</v>
      </c>
      <c r="R2656">
        <v>100000</v>
      </c>
      <c r="S2656" t="s">
        <v>130</v>
      </c>
      <c r="T2656" t="s">
        <v>717</v>
      </c>
      <c r="U2656" t="s">
        <v>717</v>
      </c>
      <c r="V2656" t="s">
        <v>717</v>
      </c>
      <c r="W2656">
        <v>45768</v>
      </c>
      <c r="X2656" t="s">
        <v>11261</v>
      </c>
      <c r="Y2656" t="s">
        <v>1368</v>
      </c>
      <c r="Z2656" t="s">
        <v>17</v>
      </c>
      <c r="AA2656" t="s">
        <v>6637</v>
      </c>
      <c r="AB2656" t="s">
        <v>2509</v>
      </c>
      <c r="AC2656" t="s">
        <v>717</v>
      </c>
      <c r="AD2656" t="s">
        <v>717</v>
      </c>
      <c r="AE2656" t="s">
        <v>10423</v>
      </c>
      <c r="AF2656" t="s">
        <v>10424</v>
      </c>
      <c r="AG2656" t="s">
        <v>10425</v>
      </c>
      <c r="AH2656" t="s">
        <v>2615</v>
      </c>
      <c r="AI2656" t="s">
        <v>2600</v>
      </c>
      <c r="AJ2656" t="s">
        <v>2514</v>
      </c>
      <c r="AK2656" t="s">
        <v>8</v>
      </c>
      <c r="AL2656" t="s">
        <v>717</v>
      </c>
      <c r="AM2656" t="s">
        <v>10</v>
      </c>
      <c r="AN2656" t="s">
        <v>717</v>
      </c>
    </row>
    <row r="2657" spans="1:40" hidden="1">
      <c r="A2657">
        <v>2656</v>
      </c>
      <c r="B2657">
        <v>20</v>
      </c>
      <c r="C2657" s="58">
        <v>45770</v>
      </c>
      <c r="D2657" t="s">
        <v>1876</v>
      </c>
      <c r="E2657" t="s">
        <v>10835</v>
      </c>
      <c r="F2657">
        <v>5</v>
      </c>
      <c r="G2657">
        <v>9</v>
      </c>
      <c r="H2657">
        <v>227</v>
      </c>
      <c r="I2657">
        <v>3</v>
      </c>
      <c r="J2657">
        <v>78.16</v>
      </c>
      <c r="K2657" t="s">
        <v>9</v>
      </c>
      <c r="L2657">
        <v>8407700</v>
      </c>
      <c r="M2657">
        <v>0</v>
      </c>
      <c r="N2657">
        <v>8407700</v>
      </c>
      <c r="O2657">
        <v>107570.36847492323</v>
      </c>
      <c r="P2657">
        <v>0</v>
      </c>
      <c r="Q2657">
        <v>8407700</v>
      </c>
      <c r="R2657">
        <v>107570.36847492323</v>
      </c>
      <c r="S2657" t="s">
        <v>130</v>
      </c>
      <c r="T2657" t="s">
        <v>717</v>
      </c>
      <c r="U2657" t="s">
        <v>717</v>
      </c>
      <c r="V2657" t="s">
        <v>717</v>
      </c>
      <c r="W2657">
        <v>45769</v>
      </c>
      <c r="X2657" t="s">
        <v>11262</v>
      </c>
      <c r="Y2657" t="s">
        <v>2517</v>
      </c>
      <c r="Z2657" t="s">
        <v>17</v>
      </c>
      <c r="AA2657" t="s">
        <v>6637</v>
      </c>
      <c r="AB2657" t="s">
        <v>2509</v>
      </c>
      <c r="AC2657" t="s">
        <v>717</v>
      </c>
      <c r="AD2657">
        <v>45889</v>
      </c>
      <c r="AE2657" t="s">
        <v>11263</v>
      </c>
      <c r="AF2657" t="s">
        <v>11264</v>
      </c>
      <c r="AG2657" t="s">
        <v>11265</v>
      </c>
      <c r="AH2657" t="s">
        <v>6100</v>
      </c>
      <c r="AI2657" t="s">
        <v>9793</v>
      </c>
      <c r="AJ2657" t="s">
        <v>3921</v>
      </c>
      <c r="AK2657" t="s">
        <v>8</v>
      </c>
      <c r="AL2657" t="s">
        <v>717</v>
      </c>
      <c r="AM2657" t="s">
        <v>5654</v>
      </c>
      <c r="AN2657" t="s">
        <v>717</v>
      </c>
    </row>
    <row r="2658" spans="1:40" hidden="1">
      <c r="A2658">
        <v>2657</v>
      </c>
      <c r="B2658">
        <v>21</v>
      </c>
      <c r="C2658" s="58">
        <v>45772</v>
      </c>
      <c r="D2658" t="s">
        <v>1875</v>
      </c>
      <c r="E2658" t="s">
        <v>10295</v>
      </c>
      <c r="F2658">
        <v>2</v>
      </c>
      <c r="G2658">
        <v>8</v>
      </c>
      <c r="H2658">
        <v>26</v>
      </c>
      <c r="I2658">
        <v>1</v>
      </c>
      <c r="J2658">
        <v>35.53</v>
      </c>
      <c r="K2658" t="s">
        <v>9</v>
      </c>
      <c r="L2658">
        <v>4798178</v>
      </c>
      <c r="M2658">
        <v>0</v>
      </c>
      <c r="N2658">
        <v>4798178</v>
      </c>
      <c r="O2658">
        <v>135045.82043343651</v>
      </c>
      <c r="P2658">
        <v>0</v>
      </c>
      <c r="Q2658">
        <v>4798178</v>
      </c>
      <c r="R2658">
        <v>135045.82043343651</v>
      </c>
      <c r="S2658" t="s">
        <v>130</v>
      </c>
      <c r="T2658" t="s">
        <v>2664</v>
      </c>
      <c r="U2658">
        <v>97922</v>
      </c>
      <c r="V2658" t="s">
        <v>717</v>
      </c>
      <c r="W2658">
        <v>45768</v>
      </c>
      <c r="X2658" t="s">
        <v>11266</v>
      </c>
      <c r="Y2658" t="s">
        <v>6</v>
      </c>
      <c r="Z2658" t="s">
        <v>17</v>
      </c>
      <c r="AA2658" t="s">
        <v>6637</v>
      </c>
      <c r="AB2658" t="s">
        <v>2509</v>
      </c>
      <c r="AC2658" t="s">
        <v>717</v>
      </c>
      <c r="AD2658" t="s">
        <v>717</v>
      </c>
      <c r="AE2658" t="s">
        <v>7152</v>
      </c>
      <c r="AF2658" t="s">
        <v>7153</v>
      </c>
      <c r="AG2658" t="s">
        <v>7154</v>
      </c>
      <c r="AH2658" t="s">
        <v>2615</v>
      </c>
      <c r="AI2658" t="s">
        <v>2600</v>
      </c>
      <c r="AJ2658" t="s">
        <v>40</v>
      </c>
      <c r="AK2658" t="s">
        <v>8</v>
      </c>
      <c r="AL2658" t="s">
        <v>717</v>
      </c>
      <c r="AM2658" t="s">
        <v>10</v>
      </c>
      <c r="AN2658" t="s">
        <v>717</v>
      </c>
    </row>
    <row r="2659" spans="1:40" hidden="1">
      <c r="A2659">
        <v>2658</v>
      </c>
      <c r="B2659">
        <v>22</v>
      </c>
      <c r="C2659" s="58">
        <v>45772</v>
      </c>
      <c r="D2659" t="s">
        <v>13</v>
      </c>
      <c r="E2659" t="s">
        <v>2581</v>
      </c>
      <c r="F2659">
        <v>4</v>
      </c>
      <c r="G2659">
        <v>15</v>
      </c>
      <c r="H2659">
        <v>323</v>
      </c>
      <c r="I2659">
        <v>2</v>
      </c>
      <c r="J2659">
        <v>60.24</v>
      </c>
      <c r="K2659" t="s">
        <v>21</v>
      </c>
      <c r="L2659">
        <v>7705400</v>
      </c>
      <c r="M2659">
        <v>0</v>
      </c>
      <c r="N2659">
        <v>7705400</v>
      </c>
      <c r="O2659">
        <v>127911.68658698539</v>
      </c>
      <c r="P2659">
        <v>602400</v>
      </c>
      <c r="Q2659">
        <v>7103000</v>
      </c>
      <c r="R2659">
        <v>117911.68658698539</v>
      </c>
      <c r="S2659" t="s">
        <v>65</v>
      </c>
      <c r="T2659" t="s">
        <v>11217</v>
      </c>
      <c r="U2659">
        <v>300000</v>
      </c>
      <c r="V2659" t="s">
        <v>6312</v>
      </c>
      <c r="W2659">
        <v>45768</v>
      </c>
      <c r="X2659" t="s">
        <v>11267</v>
      </c>
      <c r="Y2659" t="s">
        <v>6</v>
      </c>
      <c r="Z2659" t="s">
        <v>17</v>
      </c>
      <c r="AA2659" t="s">
        <v>6637</v>
      </c>
      <c r="AB2659" t="s">
        <v>2509</v>
      </c>
      <c r="AC2659" t="s">
        <v>2571</v>
      </c>
      <c r="AD2659" t="s">
        <v>717</v>
      </c>
      <c r="AE2659" t="s">
        <v>11268</v>
      </c>
      <c r="AF2659" t="s">
        <v>11269</v>
      </c>
      <c r="AG2659" t="s">
        <v>11270</v>
      </c>
      <c r="AH2659" t="s">
        <v>2552</v>
      </c>
      <c r="AI2659" t="s">
        <v>2847</v>
      </c>
      <c r="AJ2659" t="s">
        <v>3921</v>
      </c>
      <c r="AK2659" t="s">
        <v>14</v>
      </c>
      <c r="AL2659" t="s">
        <v>22</v>
      </c>
      <c r="AM2659" t="s">
        <v>10</v>
      </c>
      <c r="AN2659" t="s">
        <v>717</v>
      </c>
    </row>
    <row r="2660" spans="1:40" hidden="1">
      <c r="A2660">
        <v>2659</v>
      </c>
      <c r="B2660">
        <v>23</v>
      </c>
      <c r="C2660" s="58">
        <v>45772</v>
      </c>
      <c r="D2660" t="s">
        <v>13</v>
      </c>
      <c r="E2660" t="s">
        <v>2506</v>
      </c>
      <c r="F2660">
        <v>2</v>
      </c>
      <c r="G2660">
        <v>5</v>
      </c>
      <c r="H2660">
        <v>140</v>
      </c>
      <c r="I2660">
        <v>0</v>
      </c>
      <c r="J2660">
        <v>24.28</v>
      </c>
      <c r="K2660" t="s">
        <v>9</v>
      </c>
      <c r="L2660">
        <v>3442060</v>
      </c>
      <c r="M2660">
        <v>0</v>
      </c>
      <c r="N2660">
        <v>3442060</v>
      </c>
      <c r="O2660">
        <v>141765.2388797364</v>
      </c>
      <c r="P2660">
        <v>0</v>
      </c>
      <c r="Q2660">
        <v>3442060</v>
      </c>
      <c r="R2660">
        <v>141765.2388797364</v>
      </c>
      <c r="S2660" t="s">
        <v>65</v>
      </c>
      <c r="T2660" t="s">
        <v>11206</v>
      </c>
      <c r="U2660">
        <v>194240</v>
      </c>
      <c r="V2660" t="s">
        <v>6312</v>
      </c>
      <c r="W2660">
        <v>45769</v>
      </c>
      <c r="X2660" t="s">
        <v>8845</v>
      </c>
      <c r="Y2660" t="s">
        <v>6</v>
      </c>
      <c r="Z2660" t="s">
        <v>17</v>
      </c>
      <c r="AA2660" t="s">
        <v>6637</v>
      </c>
      <c r="AB2660" t="s">
        <v>2509</v>
      </c>
      <c r="AC2660" t="s">
        <v>2571</v>
      </c>
      <c r="AD2660" t="s">
        <v>717</v>
      </c>
      <c r="AE2660" t="s">
        <v>11271</v>
      </c>
      <c r="AF2660" t="s">
        <v>11272</v>
      </c>
      <c r="AG2660" t="s">
        <v>11273</v>
      </c>
      <c r="AH2660" t="s">
        <v>6100</v>
      </c>
      <c r="AI2660" t="s">
        <v>10964</v>
      </c>
      <c r="AJ2660" t="s">
        <v>2940</v>
      </c>
      <c r="AK2660" t="s">
        <v>24</v>
      </c>
      <c r="AL2660" t="s">
        <v>26</v>
      </c>
      <c r="AM2660" t="s">
        <v>5654</v>
      </c>
      <c r="AN2660" t="s">
        <v>717</v>
      </c>
    </row>
    <row r="2661" spans="1:40" hidden="1">
      <c r="A2661">
        <v>2660</v>
      </c>
      <c r="B2661">
        <v>24</v>
      </c>
      <c r="C2661" s="58">
        <v>45773</v>
      </c>
      <c r="D2661" t="s">
        <v>13</v>
      </c>
      <c r="E2661" t="s">
        <v>4409</v>
      </c>
      <c r="F2661">
        <v>8</v>
      </c>
      <c r="G2661">
        <v>10</v>
      </c>
      <c r="H2661">
        <v>468</v>
      </c>
      <c r="I2661">
        <v>1</v>
      </c>
      <c r="J2661">
        <v>39.69</v>
      </c>
      <c r="K2661" t="s">
        <v>25</v>
      </c>
      <c r="L2661">
        <v>5980130</v>
      </c>
      <c r="M2661">
        <v>0</v>
      </c>
      <c r="N2661">
        <v>5980130</v>
      </c>
      <c r="O2661">
        <v>150670.94986142605</v>
      </c>
      <c r="P2661">
        <v>992250</v>
      </c>
      <c r="Q2661">
        <v>4987880</v>
      </c>
      <c r="R2661">
        <v>125670.94986142604</v>
      </c>
      <c r="S2661" t="s">
        <v>65</v>
      </c>
      <c r="T2661" t="s">
        <v>11206</v>
      </c>
      <c r="U2661">
        <v>317520</v>
      </c>
      <c r="V2661" t="s">
        <v>6312</v>
      </c>
      <c r="W2661">
        <v>45763</v>
      </c>
      <c r="X2661" t="s">
        <v>11274</v>
      </c>
      <c r="Y2661" t="s">
        <v>6</v>
      </c>
      <c r="Z2661" t="s">
        <v>17</v>
      </c>
      <c r="AA2661" t="s">
        <v>6637</v>
      </c>
      <c r="AB2661" t="s">
        <v>2509</v>
      </c>
      <c r="AC2661" t="s">
        <v>2571</v>
      </c>
      <c r="AD2661" t="s">
        <v>717</v>
      </c>
      <c r="AE2661" t="s">
        <v>11275</v>
      </c>
      <c r="AF2661" t="s">
        <v>11276</v>
      </c>
      <c r="AG2661" t="s">
        <v>11277</v>
      </c>
      <c r="AH2661" t="s">
        <v>2615</v>
      </c>
      <c r="AI2661" t="s">
        <v>2847</v>
      </c>
      <c r="AJ2661" t="s">
        <v>43</v>
      </c>
      <c r="AK2661" t="s">
        <v>8</v>
      </c>
      <c r="AL2661" t="s">
        <v>26</v>
      </c>
      <c r="AM2661" t="s">
        <v>10</v>
      </c>
      <c r="AN2661" t="s">
        <v>717</v>
      </c>
    </row>
    <row r="2662" spans="1:40" hidden="1">
      <c r="A2662">
        <v>2661</v>
      </c>
      <c r="B2662" t="s">
        <v>11278</v>
      </c>
      <c r="C2662" s="58">
        <v>45637</v>
      </c>
      <c r="D2662" t="s">
        <v>27</v>
      </c>
      <c r="E2662" t="s">
        <v>5079</v>
      </c>
      <c r="F2662">
        <v>2</v>
      </c>
      <c r="G2662">
        <v>1</v>
      </c>
      <c r="H2662">
        <v>162</v>
      </c>
      <c r="I2662" t="s">
        <v>1368</v>
      </c>
      <c r="J2662">
        <v>42.7</v>
      </c>
      <c r="K2662" t="s">
        <v>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4288</v>
      </c>
      <c r="T2662" t="s">
        <v>717</v>
      </c>
      <c r="U2662" t="s">
        <v>717</v>
      </c>
      <c r="V2662" t="s">
        <v>717</v>
      </c>
      <c r="W2662">
        <v>45637</v>
      </c>
      <c r="X2662" t="s">
        <v>11279</v>
      </c>
      <c r="Y2662" t="s">
        <v>1368</v>
      </c>
      <c r="Z2662" t="s">
        <v>11</v>
      </c>
      <c r="AA2662" t="s">
        <v>717</v>
      </c>
      <c r="AB2662" t="s">
        <v>2509</v>
      </c>
      <c r="AC2662" t="s">
        <v>118</v>
      </c>
      <c r="AD2662" t="s">
        <v>717</v>
      </c>
      <c r="AE2662" t="s">
        <v>11280</v>
      </c>
      <c r="AF2662" t="s">
        <v>717</v>
      </c>
      <c r="AG2662" t="s">
        <v>717</v>
      </c>
      <c r="AH2662" t="s">
        <v>717</v>
      </c>
      <c r="AI2662" t="s">
        <v>717</v>
      </c>
      <c r="AJ2662" t="s">
        <v>2940</v>
      </c>
      <c r="AK2662" t="s">
        <v>29</v>
      </c>
      <c r="AL2662" t="s">
        <v>717</v>
      </c>
      <c r="AM2662" t="s">
        <v>10</v>
      </c>
      <c r="AN2662" t="s">
        <v>11281</v>
      </c>
    </row>
    <row r="2663" spans="1:40" hidden="1">
      <c r="A2663">
        <v>2662</v>
      </c>
      <c r="B2663">
        <v>25</v>
      </c>
      <c r="C2663" s="58">
        <v>45776</v>
      </c>
      <c r="D2663" t="s">
        <v>13</v>
      </c>
      <c r="E2663" t="s">
        <v>2581</v>
      </c>
      <c r="F2663">
        <v>2</v>
      </c>
      <c r="G2663">
        <v>0</v>
      </c>
      <c r="H2663">
        <v>6</v>
      </c>
      <c r="I2663" t="s">
        <v>10902</v>
      </c>
      <c r="J2663">
        <v>6.94</v>
      </c>
      <c r="K2663" t="s">
        <v>9</v>
      </c>
      <c r="L2663">
        <v>694000</v>
      </c>
      <c r="M2663">
        <v>0</v>
      </c>
      <c r="N2663">
        <v>694000</v>
      </c>
      <c r="O2663">
        <v>100000</v>
      </c>
      <c r="P2663">
        <v>0</v>
      </c>
      <c r="Q2663">
        <v>694000</v>
      </c>
      <c r="R2663">
        <v>100000</v>
      </c>
      <c r="S2663" t="s">
        <v>130</v>
      </c>
      <c r="T2663" t="s">
        <v>717</v>
      </c>
      <c r="U2663" t="s">
        <v>717</v>
      </c>
      <c r="V2663" t="s">
        <v>717</v>
      </c>
      <c r="W2663">
        <v>45776</v>
      </c>
      <c r="X2663" t="s">
        <v>11282</v>
      </c>
      <c r="Y2663" t="s">
        <v>1368</v>
      </c>
      <c r="Z2663" t="s">
        <v>17</v>
      </c>
      <c r="AA2663" t="s">
        <v>6637</v>
      </c>
      <c r="AB2663" t="s">
        <v>2509</v>
      </c>
      <c r="AC2663" t="s">
        <v>717</v>
      </c>
      <c r="AD2663" t="s">
        <v>717</v>
      </c>
      <c r="AE2663" t="s">
        <v>7375</v>
      </c>
      <c r="AF2663" t="s">
        <v>7376</v>
      </c>
      <c r="AG2663" t="s">
        <v>7377</v>
      </c>
      <c r="AH2663" t="s">
        <v>2191</v>
      </c>
      <c r="AI2663" t="s">
        <v>2600</v>
      </c>
      <c r="AJ2663" t="s">
        <v>2514</v>
      </c>
      <c r="AK2663" t="s">
        <v>14</v>
      </c>
      <c r="AL2663" t="s">
        <v>717</v>
      </c>
      <c r="AM2663" t="s">
        <v>10</v>
      </c>
      <c r="AN2663" t="s">
        <v>717</v>
      </c>
    </row>
    <row r="2664" spans="1:40" hidden="1">
      <c r="A2664">
        <v>2663</v>
      </c>
      <c r="B2664">
        <v>26</v>
      </c>
      <c r="C2664" s="58">
        <v>45777</v>
      </c>
      <c r="D2664" t="s">
        <v>13</v>
      </c>
      <c r="E2664" t="s">
        <v>2506</v>
      </c>
      <c r="F2664">
        <v>6</v>
      </c>
      <c r="G2664">
        <v>13</v>
      </c>
      <c r="H2664">
        <v>200</v>
      </c>
      <c r="I2664">
        <v>3</v>
      </c>
      <c r="J2664">
        <v>84.99</v>
      </c>
      <c r="K2664" t="s">
        <v>9</v>
      </c>
      <c r="L2664">
        <v>9036800</v>
      </c>
      <c r="M2664">
        <v>0</v>
      </c>
      <c r="N2664">
        <v>9036800</v>
      </c>
      <c r="O2664">
        <v>106327.80327097306</v>
      </c>
      <c r="P2664">
        <v>0</v>
      </c>
      <c r="Q2664">
        <v>9036800</v>
      </c>
      <c r="R2664">
        <v>106327.80327097306</v>
      </c>
      <c r="S2664" t="s">
        <v>65</v>
      </c>
      <c r="T2664" t="s">
        <v>11217</v>
      </c>
      <c r="U2664">
        <v>400000</v>
      </c>
      <c r="V2664" t="s">
        <v>6312</v>
      </c>
      <c r="W2664">
        <v>45777</v>
      </c>
      <c r="X2664" t="s">
        <v>11283</v>
      </c>
      <c r="Y2664" t="s">
        <v>6</v>
      </c>
      <c r="Z2664" t="s">
        <v>17</v>
      </c>
      <c r="AA2664" t="s">
        <v>6637</v>
      </c>
      <c r="AB2664" t="s">
        <v>2509</v>
      </c>
      <c r="AC2664" t="s">
        <v>2571</v>
      </c>
      <c r="AD2664" t="s">
        <v>717</v>
      </c>
      <c r="AE2664" t="s">
        <v>11284</v>
      </c>
      <c r="AF2664" t="s">
        <v>11285</v>
      </c>
      <c r="AG2664" t="s">
        <v>11286</v>
      </c>
      <c r="AH2664" t="s">
        <v>2552</v>
      </c>
      <c r="AI2664" t="s">
        <v>2552</v>
      </c>
      <c r="AJ2664" t="s">
        <v>2855</v>
      </c>
      <c r="AK2664" t="s">
        <v>24</v>
      </c>
      <c r="AL2664" t="s">
        <v>26</v>
      </c>
      <c r="AM2664" t="s">
        <v>10</v>
      </c>
      <c r="AN2664" t="s">
        <v>717</v>
      </c>
    </row>
    <row r="2665" spans="1:40" hidden="1">
      <c r="A2665">
        <v>2664</v>
      </c>
      <c r="B2665">
        <v>27</v>
      </c>
      <c r="C2665" s="58">
        <v>45777</v>
      </c>
      <c r="D2665" t="s">
        <v>13</v>
      </c>
      <c r="E2665" t="s">
        <v>2515</v>
      </c>
      <c r="F2665">
        <v>1</v>
      </c>
      <c r="G2665">
        <v>0</v>
      </c>
      <c r="H2665">
        <v>1</v>
      </c>
      <c r="I2665" t="s">
        <v>10902</v>
      </c>
      <c r="J2665">
        <v>5.23</v>
      </c>
      <c r="K2665" t="s">
        <v>9</v>
      </c>
      <c r="L2665">
        <v>575300</v>
      </c>
      <c r="M2665">
        <v>0</v>
      </c>
      <c r="N2665">
        <v>575300</v>
      </c>
      <c r="O2665">
        <v>110000</v>
      </c>
      <c r="P2665">
        <v>0</v>
      </c>
      <c r="Q2665">
        <v>575300</v>
      </c>
      <c r="R2665">
        <v>110000</v>
      </c>
      <c r="S2665" t="s">
        <v>130</v>
      </c>
      <c r="T2665" t="s">
        <v>717</v>
      </c>
      <c r="U2665" t="s">
        <v>717</v>
      </c>
      <c r="V2665" t="s">
        <v>717</v>
      </c>
      <c r="W2665">
        <v>45775</v>
      </c>
      <c r="X2665" t="s">
        <v>11287</v>
      </c>
      <c r="Y2665" t="s">
        <v>1368</v>
      </c>
      <c r="Z2665" t="s">
        <v>17</v>
      </c>
      <c r="AA2665" t="s">
        <v>6637</v>
      </c>
      <c r="AB2665" t="s">
        <v>2509</v>
      </c>
      <c r="AC2665" t="s">
        <v>717</v>
      </c>
      <c r="AD2665" t="s">
        <v>717</v>
      </c>
      <c r="AE2665" t="s">
        <v>10384</v>
      </c>
      <c r="AF2665" t="s">
        <v>10385</v>
      </c>
      <c r="AG2665" t="s">
        <v>10386</v>
      </c>
      <c r="AH2665" t="s">
        <v>2191</v>
      </c>
      <c r="AI2665" t="s">
        <v>2600</v>
      </c>
      <c r="AJ2665" t="s">
        <v>2514</v>
      </c>
      <c r="AK2665" t="s">
        <v>20</v>
      </c>
      <c r="AL2665" t="s">
        <v>717</v>
      </c>
      <c r="AM2665" t="s">
        <v>10</v>
      </c>
      <c r="AN2665" t="s">
        <v>717</v>
      </c>
    </row>
    <row r="2666" spans="1:40" hidden="1">
      <c r="A2666">
        <v>2665</v>
      </c>
      <c r="B2666">
        <v>28</v>
      </c>
      <c r="C2666" s="58">
        <v>45777</v>
      </c>
      <c r="D2666" t="s">
        <v>1876</v>
      </c>
      <c r="E2666" t="s">
        <v>10295</v>
      </c>
      <c r="F2666">
        <v>5</v>
      </c>
      <c r="G2666">
        <v>16</v>
      </c>
      <c r="H2666">
        <v>89</v>
      </c>
      <c r="I2666">
        <v>1</v>
      </c>
      <c r="J2666">
        <v>36.64</v>
      </c>
      <c r="K2666" t="s">
        <v>9</v>
      </c>
      <c r="L2666">
        <v>4749374</v>
      </c>
      <c r="M2666">
        <v>0</v>
      </c>
      <c r="N2666">
        <v>4749374</v>
      </c>
      <c r="O2666">
        <v>129622.65283842797</v>
      </c>
      <c r="P2666">
        <v>0</v>
      </c>
      <c r="Q2666">
        <v>4749374</v>
      </c>
      <c r="R2666">
        <v>129622.65283842797</v>
      </c>
      <c r="S2666" t="s">
        <v>130</v>
      </c>
      <c r="T2666" t="s">
        <v>2664</v>
      </c>
      <c r="U2666">
        <v>96926</v>
      </c>
      <c r="V2666" t="s">
        <v>717</v>
      </c>
      <c r="W2666">
        <v>45776</v>
      </c>
      <c r="X2666" t="s">
        <v>11288</v>
      </c>
      <c r="Y2666" t="s">
        <v>6</v>
      </c>
      <c r="Z2666" t="s">
        <v>17</v>
      </c>
      <c r="AA2666" t="s">
        <v>6637</v>
      </c>
      <c r="AB2666" t="s">
        <v>2509</v>
      </c>
      <c r="AC2666" t="s">
        <v>717</v>
      </c>
      <c r="AD2666" t="s">
        <v>717</v>
      </c>
      <c r="AE2666" t="s">
        <v>11289</v>
      </c>
      <c r="AF2666" t="s">
        <v>11290</v>
      </c>
      <c r="AG2666" t="s">
        <v>11291</v>
      </c>
      <c r="AH2666" t="s">
        <v>2552</v>
      </c>
      <c r="AI2666" t="s">
        <v>2552</v>
      </c>
      <c r="AJ2666" t="s">
        <v>11239</v>
      </c>
      <c r="AK2666" t="s">
        <v>24</v>
      </c>
      <c r="AL2666" t="s">
        <v>717</v>
      </c>
      <c r="AM2666" t="s">
        <v>10</v>
      </c>
      <c r="AN2666" t="s">
        <v>717</v>
      </c>
    </row>
    <row r="2667" spans="1:40" hidden="1">
      <c r="A2667">
        <v>2666</v>
      </c>
      <c r="B2667">
        <v>1</v>
      </c>
      <c r="C2667" s="58">
        <v>45782</v>
      </c>
      <c r="D2667" t="s">
        <v>13</v>
      </c>
      <c r="E2667" t="s">
        <v>2515</v>
      </c>
      <c r="F2667">
        <v>4</v>
      </c>
      <c r="G2667">
        <v>2</v>
      </c>
      <c r="H2667">
        <v>10</v>
      </c>
      <c r="I2667">
        <v>1</v>
      </c>
      <c r="J2667">
        <v>58.39</v>
      </c>
      <c r="K2667" t="s">
        <v>9</v>
      </c>
      <c r="L2667">
        <v>6202580</v>
      </c>
      <c r="M2667">
        <v>0</v>
      </c>
      <c r="N2667">
        <v>6202580</v>
      </c>
      <c r="O2667">
        <v>106226.75115601986</v>
      </c>
      <c r="P2667">
        <v>0</v>
      </c>
      <c r="Q2667">
        <v>6202580</v>
      </c>
      <c r="R2667">
        <v>106226.75115601986</v>
      </c>
      <c r="S2667" t="s">
        <v>65</v>
      </c>
      <c r="T2667" t="s">
        <v>11292</v>
      </c>
      <c r="U2667">
        <v>467120</v>
      </c>
      <c r="V2667" t="s">
        <v>6312</v>
      </c>
      <c r="W2667">
        <v>45775</v>
      </c>
      <c r="X2667" t="s">
        <v>11293</v>
      </c>
      <c r="Y2667" t="s">
        <v>6</v>
      </c>
      <c r="Z2667" t="s">
        <v>17</v>
      </c>
      <c r="AA2667" t="s">
        <v>6637</v>
      </c>
      <c r="AB2667" t="s">
        <v>2509</v>
      </c>
      <c r="AC2667" t="s">
        <v>2571</v>
      </c>
      <c r="AD2667" t="s">
        <v>717</v>
      </c>
      <c r="AE2667" t="s">
        <v>11294</v>
      </c>
      <c r="AF2667" t="s">
        <v>11295</v>
      </c>
      <c r="AG2667" t="s">
        <v>11296</v>
      </c>
      <c r="AH2667" t="s">
        <v>6100</v>
      </c>
      <c r="AI2667" t="s">
        <v>10964</v>
      </c>
      <c r="AJ2667" t="s">
        <v>43</v>
      </c>
      <c r="AK2667" t="s">
        <v>20</v>
      </c>
      <c r="AL2667" t="s">
        <v>26</v>
      </c>
      <c r="AM2667" t="s">
        <v>5654</v>
      </c>
      <c r="AN2667" t="s">
        <v>717</v>
      </c>
    </row>
    <row r="2668" spans="1:40" hidden="1">
      <c r="A2668">
        <v>2667</v>
      </c>
      <c r="B2668">
        <v>2</v>
      </c>
      <c r="C2668" s="58">
        <v>45783</v>
      </c>
      <c r="D2668" t="s">
        <v>1875</v>
      </c>
      <c r="E2668" t="s">
        <v>10295</v>
      </c>
      <c r="F2668">
        <v>1</v>
      </c>
      <c r="G2668">
        <v>11</v>
      </c>
      <c r="H2668">
        <v>37</v>
      </c>
      <c r="I2668">
        <v>2</v>
      </c>
      <c r="J2668">
        <v>61.41</v>
      </c>
      <c r="K2668" t="s">
        <v>9</v>
      </c>
      <c r="L2668">
        <v>7584135</v>
      </c>
      <c r="M2668">
        <v>0</v>
      </c>
      <c r="N2668">
        <v>7584135</v>
      </c>
      <c r="O2668">
        <v>123500</v>
      </c>
      <c r="P2668">
        <v>0</v>
      </c>
      <c r="Q2668">
        <v>7584135</v>
      </c>
      <c r="R2668">
        <v>123500</v>
      </c>
      <c r="S2668" t="s">
        <v>130</v>
      </c>
      <c r="T2668" t="s">
        <v>11297</v>
      </c>
      <c r="U2668">
        <v>399165</v>
      </c>
      <c r="V2668" t="s">
        <v>717</v>
      </c>
      <c r="W2668">
        <v>45783</v>
      </c>
      <c r="X2668" t="s">
        <v>11298</v>
      </c>
      <c r="Y2668" t="s">
        <v>6</v>
      </c>
      <c r="Z2668" t="s">
        <v>17</v>
      </c>
      <c r="AA2668" t="s">
        <v>6637</v>
      </c>
      <c r="AB2668" t="s">
        <v>2509</v>
      </c>
      <c r="AC2668" t="s">
        <v>717</v>
      </c>
      <c r="AD2668" t="s">
        <v>717</v>
      </c>
      <c r="AE2668" t="s">
        <v>11299</v>
      </c>
      <c r="AF2668" t="s">
        <v>11300</v>
      </c>
      <c r="AG2668" t="s">
        <v>11301</v>
      </c>
      <c r="AH2668" t="s">
        <v>2191</v>
      </c>
      <c r="AI2668" t="s">
        <v>2802</v>
      </c>
      <c r="AJ2668" t="s">
        <v>2514</v>
      </c>
      <c r="AK2668" t="s">
        <v>8</v>
      </c>
      <c r="AL2668" t="s">
        <v>717</v>
      </c>
      <c r="AM2668" t="s">
        <v>10</v>
      </c>
      <c r="AN2668" t="s">
        <v>717</v>
      </c>
    </row>
    <row r="2669" spans="1:40" hidden="1">
      <c r="A2669">
        <v>2668</v>
      </c>
      <c r="B2669">
        <v>3</v>
      </c>
      <c r="C2669" s="58">
        <v>45790</v>
      </c>
      <c r="D2669" t="s">
        <v>1876</v>
      </c>
      <c r="E2669" t="s">
        <v>10458</v>
      </c>
      <c r="F2669">
        <v>5</v>
      </c>
      <c r="G2669">
        <v>9</v>
      </c>
      <c r="H2669">
        <v>155</v>
      </c>
      <c r="I2669">
        <v>2</v>
      </c>
      <c r="J2669">
        <v>63.44</v>
      </c>
      <c r="K2669" t="s">
        <v>10459</v>
      </c>
      <c r="L2669">
        <v>7760176</v>
      </c>
      <c r="M2669">
        <v>0</v>
      </c>
      <c r="N2669">
        <v>7760176</v>
      </c>
      <c r="O2669">
        <v>122323.07692307692</v>
      </c>
      <c r="P2669">
        <v>634400</v>
      </c>
      <c r="Q2669">
        <v>7125776</v>
      </c>
      <c r="R2669">
        <v>112323.07692307692</v>
      </c>
      <c r="S2669" t="s">
        <v>130</v>
      </c>
      <c r="T2669" t="s">
        <v>11243</v>
      </c>
      <c r="U2669">
        <v>145423.99999999907</v>
      </c>
      <c r="V2669" t="s">
        <v>717</v>
      </c>
      <c r="W2669">
        <v>45789</v>
      </c>
      <c r="X2669" t="s">
        <v>11302</v>
      </c>
      <c r="Y2669" t="s">
        <v>6</v>
      </c>
      <c r="Z2669" t="s">
        <v>17</v>
      </c>
      <c r="AA2669" t="s">
        <v>6637</v>
      </c>
      <c r="AB2669" t="s">
        <v>2509</v>
      </c>
      <c r="AC2669" t="s">
        <v>717</v>
      </c>
      <c r="AD2669" t="s">
        <v>717</v>
      </c>
      <c r="AE2669" t="s">
        <v>11303</v>
      </c>
      <c r="AF2669" t="s">
        <v>11304</v>
      </c>
      <c r="AG2669" t="s">
        <v>717</v>
      </c>
      <c r="AH2669" t="s">
        <v>6100</v>
      </c>
      <c r="AI2669" t="s">
        <v>10676</v>
      </c>
      <c r="AJ2669" t="s">
        <v>45</v>
      </c>
      <c r="AK2669" t="s">
        <v>24</v>
      </c>
      <c r="AL2669" t="s">
        <v>717</v>
      </c>
      <c r="AM2669" t="s">
        <v>5654</v>
      </c>
      <c r="AN2669" t="s">
        <v>717</v>
      </c>
    </row>
    <row r="2670" spans="1:40" hidden="1">
      <c r="A2670">
        <v>2669</v>
      </c>
      <c r="B2670">
        <v>4</v>
      </c>
      <c r="C2670" s="58">
        <v>45792</v>
      </c>
      <c r="D2670" t="s">
        <v>13</v>
      </c>
      <c r="E2670" t="s">
        <v>2515</v>
      </c>
      <c r="F2670">
        <v>5</v>
      </c>
      <c r="G2670">
        <v>2</v>
      </c>
      <c r="H2670">
        <v>11</v>
      </c>
      <c r="I2670">
        <v>2</v>
      </c>
      <c r="J2670">
        <v>62.17</v>
      </c>
      <c r="K2670" t="s">
        <v>21</v>
      </c>
      <c r="L2670">
        <v>7736477</v>
      </c>
      <c r="M2670">
        <v>0</v>
      </c>
      <c r="N2670">
        <v>7736477</v>
      </c>
      <c r="O2670">
        <v>124440.6787839794</v>
      </c>
      <c r="P2670">
        <v>621700</v>
      </c>
      <c r="Q2670">
        <v>7114777</v>
      </c>
      <c r="R2670">
        <v>114440.6787839794</v>
      </c>
      <c r="S2670" t="s">
        <v>65</v>
      </c>
      <c r="T2670" t="s">
        <v>11187</v>
      </c>
      <c r="U2670">
        <v>529323</v>
      </c>
      <c r="V2670" t="s">
        <v>6312</v>
      </c>
      <c r="W2670">
        <v>45783</v>
      </c>
      <c r="X2670" t="s">
        <v>11305</v>
      </c>
      <c r="Y2670" t="s">
        <v>6</v>
      </c>
      <c r="Z2670" t="s">
        <v>17</v>
      </c>
      <c r="AA2670" t="s">
        <v>6637</v>
      </c>
      <c r="AB2670" t="s">
        <v>2509</v>
      </c>
      <c r="AC2670" t="s">
        <v>2571</v>
      </c>
      <c r="AD2670" t="s">
        <v>717</v>
      </c>
      <c r="AE2670" t="s">
        <v>11306</v>
      </c>
      <c r="AF2670" t="s">
        <v>11307</v>
      </c>
      <c r="AG2670" t="s">
        <v>11308</v>
      </c>
      <c r="AH2670" t="s">
        <v>2552</v>
      </c>
      <c r="AI2670" t="s">
        <v>2547</v>
      </c>
      <c r="AJ2670" t="s">
        <v>2855</v>
      </c>
      <c r="AK2670" t="s">
        <v>28</v>
      </c>
      <c r="AL2670" t="s">
        <v>22</v>
      </c>
      <c r="AM2670" t="s">
        <v>10</v>
      </c>
      <c r="AN2670" t="s">
        <v>717</v>
      </c>
    </row>
    <row r="2671" spans="1:40" hidden="1">
      <c r="A2671">
        <v>2670</v>
      </c>
      <c r="B2671">
        <v>5</v>
      </c>
      <c r="C2671" s="58">
        <v>45792</v>
      </c>
      <c r="D2671" t="s">
        <v>13</v>
      </c>
      <c r="E2671" t="s">
        <v>4409</v>
      </c>
      <c r="F2671">
        <v>2</v>
      </c>
      <c r="G2671">
        <v>2</v>
      </c>
      <c r="H2671">
        <v>398</v>
      </c>
      <c r="I2671">
        <v>1</v>
      </c>
      <c r="J2671">
        <v>43.21</v>
      </c>
      <c r="K2671" t="s">
        <v>9</v>
      </c>
      <c r="L2671">
        <v>5459300</v>
      </c>
      <c r="M2671">
        <v>0</v>
      </c>
      <c r="N2671">
        <v>5459300</v>
      </c>
      <c r="O2671">
        <v>126343.43901874566</v>
      </c>
      <c r="P2671">
        <v>0</v>
      </c>
      <c r="Q2671">
        <v>5459300</v>
      </c>
      <c r="R2671">
        <v>126343.43901874566</v>
      </c>
      <c r="S2671" t="s">
        <v>65</v>
      </c>
      <c r="T2671" t="s">
        <v>11309</v>
      </c>
      <c r="U2671">
        <v>450000</v>
      </c>
      <c r="V2671" t="s">
        <v>6312</v>
      </c>
      <c r="W2671">
        <v>45788</v>
      </c>
      <c r="X2671" t="s">
        <v>11310</v>
      </c>
      <c r="Y2671" t="s">
        <v>6</v>
      </c>
      <c r="Z2671" t="s">
        <v>17</v>
      </c>
      <c r="AA2671" t="s">
        <v>6637</v>
      </c>
      <c r="AB2671" t="s">
        <v>2509</v>
      </c>
      <c r="AC2671" t="s">
        <v>2571</v>
      </c>
      <c r="AD2671" t="s">
        <v>717</v>
      </c>
      <c r="AE2671" t="s">
        <v>11311</v>
      </c>
      <c r="AF2671" t="s">
        <v>11312</v>
      </c>
      <c r="AG2671" t="s">
        <v>11313</v>
      </c>
      <c r="AH2671" t="s">
        <v>6100</v>
      </c>
      <c r="AI2671" t="s">
        <v>10676</v>
      </c>
      <c r="AJ2671" t="s">
        <v>45</v>
      </c>
      <c r="AK2671" t="s">
        <v>24</v>
      </c>
      <c r="AL2671" t="s">
        <v>22</v>
      </c>
      <c r="AM2671" t="s">
        <v>5654</v>
      </c>
      <c r="AN2671" t="s">
        <v>717</v>
      </c>
    </row>
    <row r="2672" spans="1:40" hidden="1">
      <c r="A2672">
        <v>2671</v>
      </c>
      <c r="B2672">
        <v>6</v>
      </c>
      <c r="C2672" s="58">
        <v>45793</v>
      </c>
      <c r="D2672" t="s">
        <v>1876</v>
      </c>
      <c r="E2672" t="s">
        <v>10458</v>
      </c>
      <c r="F2672">
        <v>6</v>
      </c>
      <c r="G2672">
        <v>12</v>
      </c>
      <c r="H2672">
        <v>174</v>
      </c>
      <c r="I2672">
        <v>2</v>
      </c>
      <c r="J2672">
        <v>60.87</v>
      </c>
      <c r="K2672" t="s">
        <v>9</v>
      </c>
      <c r="L2672">
        <v>6991760</v>
      </c>
      <c r="M2672">
        <v>0</v>
      </c>
      <c r="N2672">
        <v>6991760</v>
      </c>
      <c r="O2672">
        <v>114863.80811565631</v>
      </c>
      <c r="P2672">
        <v>0</v>
      </c>
      <c r="Q2672">
        <v>6991760</v>
      </c>
      <c r="R2672">
        <v>114863.80811565631</v>
      </c>
      <c r="S2672" t="s">
        <v>130</v>
      </c>
      <c r="T2672" t="s">
        <v>11314</v>
      </c>
      <c r="U2672">
        <v>216240.00000000093</v>
      </c>
      <c r="V2672" t="s">
        <v>717</v>
      </c>
      <c r="W2672">
        <v>45792</v>
      </c>
      <c r="X2672" t="s">
        <v>11315</v>
      </c>
      <c r="Y2672" t="s">
        <v>6</v>
      </c>
      <c r="Z2672" t="s">
        <v>17</v>
      </c>
      <c r="AA2672" t="s">
        <v>6637</v>
      </c>
      <c r="AB2672" t="s">
        <v>2509</v>
      </c>
      <c r="AC2672" t="s">
        <v>717</v>
      </c>
      <c r="AD2672" t="s">
        <v>717</v>
      </c>
      <c r="AE2672" t="s">
        <v>11316</v>
      </c>
      <c r="AF2672" t="s">
        <v>11317</v>
      </c>
      <c r="AG2672" t="s">
        <v>717</v>
      </c>
      <c r="AH2672" t="s">
        <v>2552</v>
      </c>
      <c r="AI2672" t="s">
        <v>2552</v>
      </c>
      <c r="AJ2672" t="s">
        <v>2569</v>
      </c>
      <c r="AK2672" t="s">
        <v>24</v>
      </c>
      <c r="AL2672" t="s">
        <v>717</v>
      </c>
      <c r="AM2672" t="s">
        <v>10</v>
      </c>
      <c r="AN2672" t="s">
        <v>717</v>
      </c>
    </row>
    <row r="2673" spans="1:40" hidden="1">
      <c r="A2673">
        <v>2672</v>
      </c>
      <c r="B2673">
        <v>7</v>
      </c>
      <c r="C2673" s="58">
        <v>45793</v>
      </c>
      <c r="D2673" t="s">
        <v>13</v>
      </c>
      <c r="E2673" t="s">
        <v>2581</v>
      </c>
      <c r="F2673">
        <v>4</v>
      </c>
      <c r="G2673">
        <v>6</v>
      </c>
      <c r="H2673">
        <v>260</v>
      </c>
      <c r="I2673">
        <v>2</v>
      </c>
      <c r="J2673">
        <v>60.24</v>
      </c>
      <c r="K2673" t="s">
        <v>9</v>
      </c>
      <c r="L2673">
        <v>7033500</v>
      </c>
      <c r="M2673">
        <v>0</v>
      </c>
      <c r="N2673">
        <v>7033500</v>
      </c>
      <c r="O2673">
        <v>116757.96812749004</v>
      </c>
      <c r="P2673">
        <v>0</v>
      </c>
      <c r="Q2673">
        <v>7033500</v>
      </c>
      <c r="R2673">
        <v>116757.96812749004</v>
      </c>
      <c r="S2673" t="s">
        <v>65</v>
      </c>
      <c r="T2673" t="s">
        <v>11217</v>
      </c>
      <c r="U2673">
        <v>300000</v>
      </c>
      <c r="V2673" t="s">
        <v>6312</v>
      </c>
      <c r="W2673">
        <v>45793</v>
      </c>
      <c r="X2673" t="s">
        <v>11318</v>
      </c>
      <c r="Y2673" t="s">
        <v>6</v>
      </c>
      <c r="Z2673" t="s">
        <v>17</v>
      </c>
      <c r="AA2673" t="s">
        <v>6637</v>
      </c>
      <c r="AB2673" t="s">
        <v>2509</v>
      </c>
      <c r="AC2673" t="s">
        <v>2571</v>
      </c>
      <c r="AD2673" t="s">
        <v>717</v>
      </c>
      <c r="AE2673" t="s">
        <v>11319</v>
      </c>
      <c r="AF2673" t="s">
        <v>11320</v>
      </c>
      <c r="AG2673" t="s">
        <v>11321</v>
      </c>
      <c r="AH2673" t="s">
        <v>6100</v>
      </c>
      <c r="AI2673" t="s">
        <v>10467</v>
      </c>
      <c r="AJ2673" t="s">
        <v>42</v>
      </c>
      <c r="AK2673" t="s">
        <v>14</v>
      </c>
      <c r="AL2673" t="s">
        <v>26</v>
      </c>
      <c r="AM2673" t="s">
        <v>5654</v>
      </c>
      <c r="AN2673" t="s">
        <v>717</v>
      </c>
    </row>
    <row r="2674" spans="1:40" hidden="1">
      <c r="A2674">
        <v>2673</v>
      </c>
      <c r="B2674">
        <v>8</v>
      </c>
      <c r="C2674" s="58">
        <v>45800</v>
      </c>
      <c r="D2674" t="s">
        <v>13</v>
      </c>
      <c r="E2674" t="s">
        <v>2506</v>
      </c>
      <c r="F2674">
        <v>6</v>
      </c>
      <c r="G2674">
        <v>2</v>
      </c>
      <c r="H2674">
        <v>123</v>
      </c>
      <c r="I2674">
        <v>3</v>
      </c>
      <c r="J2674">
        <v>84.99</v>
      </c>
      <c r="K2674" t="s">
        <v>9</v>
      </c>
      <c r="L2674">
        <v>8829294</v>
      </c>
      <c r="M2674">
        <v>15000</v>
      </c>
      <c r="N2674">
        <v>8844294</v>
      </c>
      <c r="O2674">
        <v>104062.7603247441</v>
      </c>
      <c r="P2674">
        <v>0</v>
      </c>
      <c r="Q2674">
        <v>8844294</v>
      </c>
      <c r="R2674">
        <v>104062.7603247441</v>
      </c>
      <c r="S2674" t="s">
        <v>65</v>
      </c>
      <c r="T2674" t="s">
        <v>11187</v>
      </c>
      <c r="U2674">
        <v>685906</v>
      </c>
      <c r="V2674" t="s">
        <v>6312</v>
      </c>
      <c r="W2674">
        <v>45769</v>
      </c>
      <c r="X2674" t="s">
        <v>11322</v>
      </c>
      <c r="Y2674" t="s">
        <v>6</v>
      </c>
      <c r="Z2674" t="s">
        <v>17</v>
      </c>
      <c r="AA2674" t="s">
        <v>5617</v>
      </c>
      <c r="AB2674" t="s">
        <v>2509</v>
      </c>
      <c r="AC2674" t="s">
        <v>3300</v>
      </c>
      <c r="AD2674" t="s">
        <v>717</v>
      </c>
      <c r="AE2674" t="s">
        <v>11323</v>
      </c>
      <c r="AF2674" t="s">
        <v>11324</v>
      </c>
      <c r="AG2674" t="s">
        <v>11325</v>
      </c>
      <c r="AH2674" t="s">
        <v>2615</v>
      </c>
      <c r="AI2674" t="s">
        <v>2538</v>
      </c>
      <c r="AJ2674" t="s">
        <v>2569</v>
      </c>
      <c r="AK2674" t="s">
        <v>24</v>
      </c>
      <c r="AL2674" t="s">
        <v>26</v>
      </c>
      <c r="AM2674" t="s">
        <v>10</v>
      </c>
      <c r="AN2674" t="s">
        <v>717</v>
      </c>
    </row>
    <row r="2675" spans="1:40" hidden="1">
      <c r="A2675">
        <v>2674</v>
      </c>
      <c r="B2675">
        <v>9</v>
      </c>
      <c r="C2675" s="58">
        <v>45800</v>
      </c>
      <c r="D2675" t="s">
        <v>1876</v>
      </c>
      <c r="E2675" t="s">
        <v>10835</v>
      </c>
      <c r="F2675">
        <v>2</v>
      </c>
      <c r="G2675">
        <v>9</v>
      </c>
      <c r="H2675">
        <v>224</v>
      </c>
      <c r="I2675">
        <v>1</v>
      </c>
      <c r="J2675">
        <v>36.64</v>
      </c>
      <c r="K2675" t="s">
        <v>10459</v>
      </c>
      <c r="L2675">
        <v>5206228</v>
      </c>
      <c r="M2675">
        <v>0</v>
      </c>
      <c r="N2675">
        <v>5206228</v>
      </c>
      <c r="O2675">
        <v>142091.37554585154</v>
      </c>
      <c r="P2675">
        <v>366400</v>
      </c>
      <c r="Q2675">
        <v>4839828</v>
      </c>
      <c r="R2675">
        <v>132091.37554585154</v>
      </c>
      <c r="S2675" t="s">
        <v>130</v>
      </c>
      <c r="T2675" t="s">
        <v>11326</v>
      </c>
      <c r="U2675">
        <v>98772</v>
      </c>
      <c r="V2675" t="s">
        <v>717</v>
      </c>
      <c r="W2675">
        <v>45794</v>
      </c>
      <c r="X2675" t="s">
        <v>11327</v>
      </c>
      <c r="Y2675" t="s">
        <v>6</v>
      </c>
      <c r="Z2675" t="s">
        <v>17</v>
      </c>
      <c r="AA2675" t="s">
        <v>6637</v>
      </c>
      <c r="AB2675" t="s">
        <v>2509</v>
      </c>
      <c r="AC2675" t="s">
        <v>717</v>
      </c>
      <c r="AD2675" t="s">
        <v>717</v>
      </c>
      <c r="AE2675" t="s">
        <v>11328</v>
      </c>
      <c r="AF2675" t="s">
        <v>11329</v>
      </c>
      <c r="AG2675" t="s">
        <v>11330</v>
      </c>
      <c r="AH2675" t="s">
        <v>2552</v>
      </c>
      <c r="AI2675" t="s">
        <v>2547</v>
      </c>
      <c r="AJ2675" t="s">
        <v>2855</v>
      </c>
      <c r="AK2675" t="s">
        <v>28</v>
      </c>
      <c r="AL2675" t="s">
        <v>717</v>
      </c>
      <c r="AM2675" t="s">
        <v>10</v>
      </c>
      <c r="AN2675" t="s">
        <v>717</v>
      </c>
    </row>
    <row r="2676" spans="1:40" hidden="1">
      <c r="A2676">
        <v>2675</v>
      </c>
      <c r="B2676">
        <v>10</v>
      </c>
      <c r="C2676" s="58">
        <v>45800</v>
      </c>
      <c r="D2676" t="s">
        <v>1875</v>
      </c>
      <c r="E2676" t="s">
        <v>10295</v>
      </c>
      <c r="F2676">
        <v>1</v>
      </c>
      <c r="G2676">
        <v>1</v>
      </c>
      <c r="H2676">
        <v>1</v>
      </c>
      <c r="I2676" t="s">
        <v>1368</v>
      </c>
      <c r="J2676">
        <v>71.41</v>
      </c>
      <c r="K2676" t="s">
        <v>9</v>
      </c>
      <c r="L2676">
        <v>9997400</v>
      </c>
      <c r="M2676">
        <v>0</v>
      </c>
      <c r="N2676">
        <v>9997400</v>
      </c>
      <c r="O2676">
        <v>140000</v>
      </c>
      <c r="P2676">
        <v>0</v>
      </c>
      <c r="Q2676">
        <v>9997400</v>
      </c>
      <c r="R2676">
        <v>140000</v>
      </c>
      <c r="S2676" t="s">
        <v>130</v>
      </c>
      <c r="T2676" t="s">
        <v>717</v>
      </c>
      <c r="U2676" t="s">
        <v>717</v>
      </c>
      <c r="V2676" t="s">
        <v>717</v>
      </c>
      <c r="W2676">
        <v>45798</v>
      </c>
      <c r="X2676" t="s">
        <v>11331</v>
      </c>
      <c r="Y2676" t="s">
        <v>1368</v>
      </c>
      <c r="Z2676" t="s">
        <v>17</v>
      </c>
      <c r="AA2676" t="s">
        <v>5617</v>
      </c>
      <c r="AB2676" t="s">
        <v>2509</v>
      </c>
      <c r="AC2676" t="s">
        <v>717</v>
      </c>
      <c r="AD2676" t="s">
        <v>717</v>
      </c>
      <c r="AE2676" t="s">
        <v>11332</v>
      </c>
      <c r="AF2676" t="s">
        <v>11333</v>
      </c>
      <c r="AG2676" t="s">
        <v>11334</v>
      </c>
      <c r="AH2676" t="s">
        <v>2615</v>
      </c>
      <c r="AI2676" t="s">
        <v>2847</v>
      </c>
      <c r="AJ2676" t="s">
        <v>2940</v>
      </c>
      <c r="AK2676" t="s">
        <v>8</v>
      </c>
      <c r="AL2676" t="s">
        <v>717</v>
      </c>
      <c r="AM2676" t="s">
        <v>10</v>
      </c>
      <c r="AN2676" t="s">
        <v>717</v>
      </c>
    </row>
    <row r="2677" spans="1:40" hidden="1">
      <c r="A2677">
        <v>2676</v>
      </c>
      <c r="B2677">
        <v>11</v>
      </c>
      <c r="C2677" s="58">
        <v>45800</v>
      </c>
      <c r="D2677" t="s">
        <v>1875</v>
      </c>
      <c r="E2677" t="s">
        <v>10295</v>
      </c>
      <c r="F2677">
        <v>2</v>
      </c>
      <c r="G2677">
        <v>1</v>
      </c>
      <c r="H2677">
        <v>2</v>
      </c>
      <c r="I2677" t="s">
        <v>1368</v>
      </c>
      <c r="J2677">
        <v>56.78</v>
      </c>
      <c r="K2677" t="s">
        <v>9</v>
      </c>
      <c r="L2677">
        <v>7949200</v>
      </c>
      <c r="M2677">
        <v>0</v>
      </c>
      <c r="N2677">
        <v>7949200</v>
      </c>
      <c r="O2677">
        <v>140000</v>
      </c>
      <c r="P2677">
        <v>0</v>
      </c>
      <c r="Q2677">
        <v>7949200</v>
      </c>
      <c r="R2677">
        <v>140000</v>
      </c>
      <c r="S2677" t="s">
        <v>130</v>
      </c>
      <c r="T2677" t="s">
        <v>717</v>
      </c>
      <c r="U2677" t="s">
        <v>717</v>
      </c>
      <c r="V2677" t="s">
        <v>717</v>
      </c>
      <c r="W2677">
        <v>45798</v>
      </c>
      <c r="X2677" t="s">
        <v>11335</v>
      </c>
      <c r="Y2677" t="s">
        <v>1368</v>
      </c>
      <c r="Z2677" t="s">
        <v>17</v>
      </c>
      <c r="AA2677" t="s">
        <v>5617</v>
      </c>
      <c r="AB2677" t="s">
        <v>2509</v>
      </c>
      <c r="AC2677" t="s">
        <v>717</v>
      </c>
      <c r="AD2677" t="s">
        <v>717</v>
      </c>
      <c r="AE2677" t="s">
        <v>11332</v>
      </c>
      <c r="AF2677" t="s">
        <v>11333</v>
      </c>
      <c r="AG2677" t="s">
        <v>11334</v>
      </c>
      <c r="AH2677" t="s">
        <v>2580</v>
      </c>
      <c r="AI2677" t="s">
        <v>2847</v>
      </c>
      <c r="AJ2677" t="s">
        <v>3921</v>
      </c>
      <c r="AK2677" t="s">
        <v>8</v>
      </c>
      <c r="AL2677" t="s">
        <v>717</v>
      </c>
      <c r="AM2677" t="s">
        <v>10</v>
      </c>
      <c r="AN2677" t="s">
        <v>717</v>
      </c>
    </row>
    <row r="2678" spans="1:40" hidden="1">
      <c r="A2678">
        <v>2677</v>
      </c>
      <c r="B2678">
        <v>12</v>
      </c>
      <c r="C2678" s="58">
        <v>45800</v>
      </c>
      <c r="D2678" t="s">
        <v>1875</v>
      </c>
      <c r="E2678" t="s">
        <v>10458</v>
      </c>
      <c r="F2678">
        <v>2</v>
      </c>
      <c r="G2678">
        <v>1</v>
      </c>
      <c r="H2678">
        <v>6</v>
      </c>
      <c r="I2678" t="s">
        <v>1368</v>
      </c>
      <c r="J2678">
        <v>56.67</v>
      </c>
      <c r="K2678" t="s">
        <v>9</v>
      </c>
      <c r="L2678">
        <v>7933800</v>
      </c>
      <c r="M2678">
        <v>0</v>
      </c>
      <c r="N2678">
        <v>7933800</v>
      </c>
      <c r="O2678">
        <v>140000</v>
      </c>
      <c r="P2678">
        <v>0</v>
      </c>
      <c r="Q2678">
        <v>7933800</v>
      </c>
      <c r="R2678">
        <v>140000</v>
      </c>
      <c r="S2678" t="s">
        <v>130</v>
      </c>
      <c r="T2678" t="s">
        <v>717</v>
      </c>
      <c r="U2678" t="s">
        <v>717</v>
      </c>
      <c r="V2678" t="s">
        <v>717</v>
      </c>
      <c r="W2678">
        <v>45798</v>
      </c>
      <c r="X2678" t="s">
        <v>11336</v>
      </c>
      <c r="Y2678" t="s">
        <v>1368</v>
      </c>
      <c r="Z2678" t="s">
        <v>17</v>
      </c>
      <c r="AA2678" t="s">
        <v>5617</v>
      </c>
      <c r="AB2678" t="s">
        <v>2509</v>
      </c>
      <c r="AC2678" t="s">
        <v>717</v>
      </c>
      <c r="AD2678" t="s">
        <v>717</v>
      </c>
      <c r="AE2678" t="s">
        <v>11332</v>
      </c>
      <c r="AF2678" t="s">
        <v>11333</v>
      </c>
      <c r="AG2678" t="s">
        <v>11334</v>
      </c>
      <c r="AH2678" t="s">
        <v>2580</v>
      </c>
      <c r="AI2678" t="s">
        <v>2847</v>
      </c>
      <c r="AJ2678" t="s">
        <v>3921</v>
      </c>
      <c r="AK2678" t="s">
        <v>8</v>
      </c>
      <c r="AL2678" t="s">
        <v>717</v>
      </c>
      <c r="AM2678" t="s">
        <v>10</v>
      </c>
      <c r="AN2678" t="s">
        <v>717</v>
      </c>
    </row>
    <row r="2679" spans="1:40" hidden="1">
      <c r="A2679">
        <v>2678</v>
      </c>
      <c r="B2679">
        <v>13</v>
      </c>
      <c r="C2679" s="58">
        <v>45804</v>
      </c>
      <c r="D2679" t="s">
        <v>13</v>
      </c>
      <c r="E2679" t="s">
        <v>4409</v>
      </c>
      <c r="F2679">
        <v>5</v>
      </c>
      <c r="G2679">
        <v>9</v>
      </c>
      <c r="H2679">
        <v>457</v>
      </c>
      <c r="I2679">
        <v>2</v>
      </c>
      <c r="J2679">
        <v>57.8</v>
      </c>
      <c r="K2679" t="s">
        <v>21</v>
      </c>
      <c r="L2679">
        <v>7287500</v>
      </c>
      <c r="M2679">
        <v>0</v>
      </c>
      <c r="N2679">
        <v>7287500</v>
      </c>
      <c r="O2679">
        <v>126081.31487889274</v>
      </c>
      <c r="P2679">
        <v>578000</v>
      </c>
      <c r="Q2679">
        <v>6709500</v>
      </c>
      <c r="R2679">
        <v>116081.31487889274</v>
      </c>
      <c r="S2679" t="s">
        <v>65</v>
      </c>
      <c r="T2679" t="s">
        <v>11217</v>
      </c>
      <c r="U2679">
        <v>300000</v>
      </c>
      <c r="V2679" t="s">
        <v>6312</v>
      </c>
      <c r="W2679">
        <v>45800</v>
      </c>
      <c r="X2679" t="s">
        <v>11337</v>
      </c>
      <c r="Y2679" t="s">
        <v>6</v>
      </c>
      <c r="Z2679" t="s">
        <v>17</v>
      </c>
      <c r="AA2679" t="s">
        <v>6637</v>
      </c>
      <c r="AB2679" t="s">
        <v>2509</v>
      </c>
      <c r="AC2679" t="s">
        <v>2571</v>
      </c>
      <c r="AD2679" t="s">
        <v>717</v>
      </c>
      <c r="AE2679" t="s">
        <v>11338</v>
      </c>
      <c r="AF2679" t="s">
        <v>11339</v>
      </c>
      <c r="AG2679" t="s">
        <v>11340</v>
      </c>
      <c r="AH2679" t="s">
        <v>6100</v>
      </c>
      <c r="AI2679" t="s">
        <v>10676</v>
      </c>
      <c r="AJ2679" t="s">
        <v>45</v>
      </c>
      <c r="AK2679" t="s">
        <v>14</v>
      </c>
      <c r="AL2679" t="s">
        <v>26</v>
      </c>
      <c r="AM2679" t="s">
        <v>5654</v>
      </c>
      <c r="AN2679" t="s">
        <v>717</v>
      </c>
    </row>
    <row r="2680" spans="1:40" hidden="1">
      <c r="A2680">
        <v>2679</v>
      </c>
      <c r="B2680">
        <v>14</v>
      </c>
      <c r="C2680" s="58">
        <v>45804</v>
      </c>
      <c r="D2680" t="s">
        <v>1876</v>
      </c>
      <c r="E2680" t="s">
        <v>10835</v>
      </c>
      <c r="F2680">
        <v>1</v>
      </c>
      <c r="G2680">
        <v>6</v>
      </c>
      <c r="H2680">
        <v>205</v>
      </c>
      <c r="I2680">
        <v>1</v>
      </c>
      <c r="J2680">
        <v>44.25</v>
      </c>
      <c r="K2680" t="s">
        <v>9</v>
      </c>
      <c r="L2680">
        <v>5625200</v>
      </c>
      <c r="M2680">
        <v>0</v>
      </c>
      <c r="N2680">
        <v>5625200</v>
      </c>
      <c r="O2680">
        <v>127123.16384180792</v>
      </c>
      <c r="P2680">
        <v>0</v>
      </c>
      <c r="Q2680">
        <v>5625200</v>
      </c>
      <c r="R2680">
        <v>127123.16384180792</v>
      </c>
      <c r="S2680" t="s">
        <v>130</v>
      </c>
      <c r="T2680" t="s">
        <v>11341</v>
      </c>
      <c r="U2680">
        <v>114800</v>
      </c>
      <c r="V2680" t="s">
        <v>717</v>
      </c>
      <c r="W2680">
        <v>45803</v>
      </c>
      <c r="X2680" t="s">
        <v>11342</v>
      </c>
      <c r="Y2680" t="s">
        <v>6</v>
      </c>
      <c r="Z2680" t="s">
        <v>17</v>
      </c>
      <c r="AA2680" t="s">
        <v>6637</v>
      </c>
      <c r="AB2680" t="s">
        <v>2509</v>
      </c>
      <c r="AC2680" t="s">
        <v>717</v>
      </c>
      <c r="AD2680" t="s">
        <v>717</v>
      </c>
      <c r="AE2680" t="s">
        <v>11343</v>
      </c>
      <c r="AF2680" t="s">
        <v>11344</v>
      </c>
      <c r="AG2680" t="s">
        <v>11345</v>
      </c>
      <c r="AH2680" t="s">
        <v>6100</v>
      </c>
      <c r="AI2680" t="s">
        <v>10676</v>
      </c>
      <c r="AJ2680" t="s">
        <v>45</v>
      </c>
      <c r="AK2680" t="s">
        <v>14</v>
      </c>
      <c r="AL2680" t="s">
        <v>717</v>
      </c>
      <c r="AM2680" t="s">
        <v>5654</v>
      </c>
      <c r="AN2680" t="s">
        <v>717</v>
      </c>
    </row>
    <row r="2681" spans="1:40" hidden="1">
      <c r="A2681">
        <v>2680</v>
      </c>
      <c r="B2681">
        <v>15</v>
      </c>
      <c r="C2681" s="58">
        <v>45805</v>
      </c>
      <c r="D2681" t="s">
        <v>13</v>
      </c>
      <c r="E2681" t="s">
        <v>2506</v>
      </c>
      <c r="F2681">
        <v>3</v>
      </c>
      <c r="G2681">
        <v>13</v>
      </c>
      <c r="H2681">
        <v>197</v>
      </c>
      <c r="I2681">
        <v>2</v>
      </c>
      <c r="J2681">
        <v>57.6</v>
      </c>
      <c r="K2681" t="s">
        <v>25</v>
      </c>
      <c r="L2681">
        <v>8193400</v>
      </c>
      <c r="M2681">
        <v>0</v>
      </c>
      <c r="N2681">
        <v>8193400</v>
      </c>
      <c r="O2681">
        <v>142246.52777777778</v>
      </c>
      <c r="P2681">
        <v>1440000</v>
      </c>
      <c r="Q2681">
        <v>6753400</v>
      </c>
      <c r="R2681">
        <v>117246.52777777778</v>
      </c>
      <c r="S2681" t="s">
        <v>65</v>
      </c>
      <c r="T2681" t="s">
        <v>11217</v>
      </c>
      <c r="U2681">
        <v>300000</v>
      </c>
      <c r="V2681" t="s">
        <v>6312</v>
      </c>
      <c r="W2681">
        <v>45799</v>
      </c>
      <c r="X2681" t="s">
        <v>11346</v>
      </c>
      <c r="Y2681" t="s">
        <v>6</v>
      </c>
      <c r="Z2681" t="s">
        <v>17</v>
      </c>
      <c r="AA2681" t="s">
        <v>6637</v>
      </c>
      <c r="AB2681" t="s">
        <v>2509</v>
      </c>
      <c r="AC2681" t="s">
        <v>2571</v>
      </c>
      <c r="AD2681" t="s">
        <v>717</v>
      </c>
      <c r="AE2681" t="s">
        <v>11347</v>
      </c>
      <c r="AF2681" t="s">
        <v>11348</v>
      </c>
      <c r="AG2681" t="s">
        <v>11349</v>
      </c>
      <c r="AH2681" t="s">
        <v>2191</v>
      </c>
      <c r="AI2681" t="s">
        <v>2521</v>
      </c>
      <c r="AJ2681" t="s">
        <v>2514</v>
      </c>
      <c r="AK2681" t="s">
        <v>14</v>
      </c>
      <c r="AL2681" t="s">
        <v>26</v>
      </c>
      <c r="AM2681" t="s">
        <v>10</v>
      </c>
      <c r="AN2681" t="s">
        <v>717</v>
      </c>
    </row>
    <row r="2682" spans="1:40" hidden="1">
      <c r="A2682">
        <v>2681</v>
      </c>
      <c r="B2682">
        <v>16</v>
      </c>
      <c r="C2682" s="58">
        <v>45806</v>
      </c>
      <c r="D2682" t="s">
        <v>13</v>
      </c>
      <c r="E2682" t="s">
        <v>4409</v>
      </c>
      <c r="F2682">
        <v>7</v>
      </c>
      <c r="G2682">
        <v>5</v>
      </c>
      <c r="H2682">
        <v>427</v>
      </c>
      <c r="I2682">
        <v>3</v>
      </c>
      <c r="J2682">
        <v>79.44</v>
      </c>
      <c r="K2682" t="s">
        <v>25</v>
      </c>
      <c r="L2682">
        <v>10916368</v>
      </c>
      <c r="M2682">
        <v>15000</v>
      </c>
      <c r="N2682">
        <v>10931368</v>
      </c>
      <c r="O2682">
        <v>137605.33736153072</v>
      </c>
      <c r="P2682">
        <v>1986000</v>
      </c>
      <c r="Q2682">
        <v>8945368</v>
      </c>
      <c r="R2682">
        <v>112605.33736153072</v>
      </c>
      <c r="S2682" t="s">
        <v>130</v>
      </c>
      <c r="T2682" t="s">
        <v>11350</v>
      </c>
      <c r="U2682">
        <v>689032</v>
      </c>
      <c r="V2682" t="s">
        <v>717</v>
      </c>
      <c r="W2682">
        <v>45776</v>
      </c>
      <c r="X2682" t="s">
        <v>11351</v>
      </c>
      <c r="Y2682" t="s">
        <v>6</v>
      </c>
      <c r="Z2682" t="s">
        <v>17</v>
      </c>
      <c r="AA2682" t="s">
        <v>6637</v>
      </c>
      <c r="AB2682" t="s">
        <v>2509</v>
      </c>
      <c r="AC2682" t="s">
        <v>717</v>
      </c>
      <c r="AD2682" t="s">
        <v>717</v>
      </c>
      <c r="AE2682" t="s">
        <v>11352</v>
      </c>
      <c r="AF2682" t="s">
        <v>11353</v>
      </c>
      <c r="AG2682" t="s">
        <v>717</v>
      </c>
      <c r="AH2682" t="s">
        <v>2552</v>
      </c>
      <c r="AI2682" t="s">
        <v>11354</v>
      </c>
      <c r="AJ2682" t="s">
        <v>11372</v>
      </c>
      <c r="AK2682" t="s">
        <v>14</v>
      </c>
      <c r="AL2682" t="s">
        <v>717</v>
      </c>
      <c r="AM2682" t="s">
        <v>10</v>
      </c>
      <c r="AN2682" t="s">
        <v>717</v>
      </c>
    </row>
    <row r="2683" spans="1:40" hidden="1">
      <c r="A2683">
        <v>2682</v>
      </c>
      <c r="B2683">
        <v>17</v>
      </c>
      <c r="C2683" s="58">
        <v>45807</v>
      </c>
      <c r="D2683" t="s">
        <v>1876</v>
      </c>
      <c r="E2683" t="s">
        <v>10835</v>
      </c>
      <c r="F2683">
        <v>1</v>
      </c>
      <c r="G2683">
        <v>8</v>
      </c>
      <c r="H2683">
        <v>217</v>
      </c>
      <c r="I2683">
        <v>1</v>
      </c>
      <c r="J2683">
        <v>44.25</v>
      </c>
      <c r="K2683" t="s">
        <v>9</v>
      </c>
      <c r="L2683">
        <v>5610200</v>
      </c>
      <c r="M2683">
        <v>15000</v>
      </c>
      <c r="N2683">
        <v>5625200</v>
      </c>
      <c r="O2683">
        <v>127123.16384180792</v>
      </c>
      <c r="P2683">
        <v>0</v>
      </c>
      <c r="Q2683">
        <v>5625200</v>
      </c>
      <c r="R2683">
        <v>127123.16384180792</v>
      </c>
      <c r="S2683" t="s">
        <v>130</v>
      </c>
      <c r="T2683" t="s">
        <v>2664</v>
      </c>
      <c r="U2683">
        <v>114800</v>
      </c>
      <c r="V2683" t="s">
        <v>717</v>
      </c>
      <c r="W2683">
        <v>45776</v>
      </c>
      <c r="X2683" t="s">
        <v>11355</v>
      </c>
      <c r="Y2683" t="s">
        <v>6</v>
      </c>
      <c r="Z2683" t="s">
        <v>17</v>
      </c>
      <c r="AA2683" t="s">
        <v>6637</v>
      </c>
      <c r="AB2683" t="s">
        <v>2509</v>
      </c>
      <c r="AC2683" t="s">
        <v>717</v>
      </c>
      <c r="AD2683" t="s">
        <v>717</v>
      </c>
      <c r="AE2683" t="s">
        <v>11356</v>
      </c>
      <c r="AF2683" t="s">
        <v>11357</v>
      </c>
      <c r="AG2683" t="s">
        <v>717</v>
      </c>
      <c r="AH2683" t="s">
        <v>2552</v>
      </c>
      <c r="AI2683" t="s">
        <v>2547</v>
      </c>
      <c r="AJ2683" t="s">
        <v>2855</v>
      </c>
      <c r="AK2683" t="s">
        <v>24</v>
      </c>
      <c r="AL2683" t="s">
        <v>717</v>
      </c>
      <c r="AM2683" t="s">
        <v>10</v>
      </c>
      <c r="AN2683" t="s">
        <v>717</v>
      </c>
    </row>
    <row r="2684" spans="1:40" hidden="1">
      <c r="A2684">
        <v>2683</v>
      </c>
      <c r="B2684">
        <v>18</v>
      </c>
      <c r="C2684" s="58">
        <v>45807</v>
      </c>
      <c r="D2684" t="s">
        <v>1875</v>
      </c>
      <c r="E2684" t="s">
        <v>10458</v>
      </c>
      <c r="F2684">
        <v>1</v>
      </c>
      <c r="G2684">
        <v>1</v>
      </c>
      <c r="H2684">
        <v>5</v>
      </c>
      <c r="I2684" t="s">
        <v>1368</v>
      </c>
      <c r="J2684">
        <v>58.59</v>
      </c>
      <c r="K2684" t="s">
        <v>9</v>
      </c>
      <c r="L2684">
        <v>8052600</v>
      </c>
      <c r="M2684">
        <v>0</v>
      </c>
      <c r="N2684">
        <v>8052600</v>
      </c>
      <c r="O2684">
        <v>137439.83614951355</v>
      </c>
      <c r="P2684">
        <v>0</v>
      </c>
      <c r="Q2684">
        <v>8052600</v>
      </c>
      <c r="R2684">
        <v>137439.83614951355</v>
      </c>
      <c r="S2684" t="s">
        <v>130</v>
      </c>
      <c r="T2684" t="s">
        <v>11358</v>
      </c>
      <c r="U2684">
        <v>150000</v>
      </c>
      <c r="V2684" t="s">
        <v>717</v>
      </c>
      <c r="W2684">
        <v>45803</v>
      </c>
      <c r="X2684" t="s">
        <v>11359</v>
      </c>
      <c r="Y2684" t="s">
        <v>1368</v>
      </c>
      <c r="Z2684" t="s">
        <v>17</v>
      </c>
      <c r="AA2684" t="s">
        <v>6637</v>
      </c>
      <c r="AB2684" t="s">
        <v>2509</v>
      </c>
      <c r="AC2684" t="s">
        <v>717</v>
      </c>
      <c r="AD2684" t="s">
        <v>717</v>
      </c>
      <c r="AE2684" t="s">
        <v>7586</v>
      </c>
      <c r="AF2684" t="s">
        <v>7590</v>
      </c>
      <c r="AG2684" t="s">
        <v>7588</v>
      </c>
      <c r="AH2684" t="s">
        <v>2615</v>
      </c>
      <c r="AI2684" t="s">
        <v>2552</v>
      </c>
      <c r="AJ2684" t="s">
        <v>2662</v>
      </c>
      <c r="AK2684" t="s">
        <v>28</v>
      </c>
      <c r="AL2684" t="s">
        <v>717</v>
      </c>
      <c r="AM2684" t="s">
        <v>11360</v>
      </c>
      <c r="AN2684" t="s">
        <v>717</v>
      </c>
    </row>
    <row r="2685" spans="1:40" hidden="1">
      <c r="A2685">
        <v>2684</v>
      </c>
      <c r="B2685">
        <v>19</v>
      </c>
      <c r="C2685" s="58">
        <v>45807</v>
      </c>
      <c r="D2685" t="s">
        <v>13</v>
      </c>
      <c r="E2685" t="s">
        <v>4409</v>
      </c>
      <c r="F2685">
        <v>5</v>
      </c>
      <c r="G2685">
        <v>10</v>
      </c>
      <c r="H2685">
        <v>465</v>
      </c>
      <c r="I2685">
        <v>2</v>
      </c>
      <c r="J2685">
        <v>57.8</v>
      </c>
      <c r="K2685" t="s">
        <v>21</v>
      </c>
      <c r="L2685">
        <v>7077215</v>
      </c>
      <c r="M2685">
        <v>0</v>
      </c>
      <c r="N2685">
        <v>7077215</v>
      </c>
      <c r="O2685">
        <v>122443.16608996539</v>
      </c>
      <c r="P2685">
        <v>578000</v>
      </c>
      <c r="Q2685">
        <v>6499215</v>
      </c>
      <c r="R2685">
        <v>112443.16608996539</v>
      </c>
      <c r="S2685" t="s">
        <v>65</v>
      </c>
      <c r="T2685" t="s">
        <v>11361</v>
      </c>
      <c r="U2685">
        <v>510285</v>
      </c>
      <c r="V2685" t="s">
        <v>6312</v>
      </c>
      <c r="W2685">
        <v>45803</v>
      </c>
      <c r="X2685" t="s">
        <v>11362</v>
      </c>
      <c r="Y2685" t="s">
        <v>6</v>
      </c>
      <c r="Z2685" t="s">
        <v>17</v>
      </c>
      <c r="AA2685" t="s">
        <v>6637</v>
      </c>
      <c r="AB2685" t="s">
        <v>2509</v>
      </c>
      <c r="AC2685" t="s">
        <v>2571</v>
      </c>
      <c r="AD2685" t="s">
        <v>717</v>
      </c>
      <c r="AE2685" t="s">
        <v>11363</v>
      </c>
      <c r="AF2685" t="s">
        <v>11364</v>
      </c>
      <c r="AG2685" t="s">
        <v>11365</v>
      </c>
      <c r="AH2685" t="s">
        <v>2615</v>
      </c>
      <c r="AI2685" t="s">
        <v>2538</v>
      </c>
      <c r="AJ2685" t="s">
        <v>3289</v>
      </c>
      <c r="AK2685" t="s">
        <v>14</v>
      </c>
      <c r="AL2685" t="s">
        <v>22</v>
      </c>
      <c r="AM2685" t="s">
        <v>10</v>
      </c>
      <c r="AN2685" t="s">
        <v>717</v>
      </c>
    </row>
    <row r="2686" spans="1:40" hidden="1">
      <c r="A2686">
        <v>2685</v>
      </c>
      <c r="B2686">
        <v>20</v>
      </c>
      <c r="C2686" s="58">
        <v>45808</v>
      </c>
      <c r="D2686" t="s">
        <v>13</v>
      </c>
      <c r="E2686" t="s">
        <v>4409</v>
      </c>
      <c r="F2686">
        <v>2</v>
      </c>
      <c r="G2686">
        <v>20</v>
      </c>
      <c r="H2686">
        <v>542</v>
      </c>
      <c r="I2686">
        <v>1</v>
      </c>
      <c r="J2686">
        <v>43.21</v>
      </c>
      <c r="K2686" t="s">
        <v>9</v>
      </c>
      <c r="L2686">
        <v>5772000</v>
      </c>
      <c r="M2686">
        <v>0</v>
      </c>
      <c r="N2686">
        <v>5772000</v>
      </c>
      <c r="O2686">
        <v>133580.18977088635</v>
      </c>
      <c r="P2686">
        <v>0</v>
      </c>
      <c r="Q2686">
        <v>5772000</v>
      </c>
      <c r="R2686">
        <v>133580.18977088635</v>
      </c>
      <c r="S2686" t="s">
        <v>65</v>
      </c>
      <c r="T2686" t="s">
        <v>3414</v>
      </c>
      <c r="U2686">
        <v>525600</v>
      </c>
      <c r="V2686" t="s">
        <v>6312</v>
      </c>
      <c r="W2686">
        <v>45805</v>
      </c>
      <c r="X2686" t="s">
        <v>11366</v>
      </c>
      <c r="Y2686" t="s">
        <v>6</v>
      </c>
      <c r="Z2686" t="s">
        <v>17</v>
      </c>
      <c r="AA2686" t="s">
        <v>6637</v>
      </c>
      <c r="AB2686" t="s">
        <v>2509</v>
      </c>
      <c r="AC2686" t="s">
        <v>2571</v>
      </c>
      <c r="AD2686" t="s">
        <v>717</v>
      </c>
      <c r="AE2686" t="s">
        <v>11367</v>
      </c>
      <c r="AF2686" t="s">
        <v>11368</v>
      </c>
      <c r="AG2686" t="s">
        <v>717</v>
      </c>
      <c r="AH2686" t="s">
        <v>2615</v>
      </c>
      <c r="AI2686" t="s">
        <v>2802</v>
      </c>
      <c r="AJ2686" t="s">
        <v>2569</v>
      </c>
      <c r="AK2686" t="s">
        <v>24</v>
      </c>
      <c r="AL2686" t="s">
        <v>22</v>
      </c>
      <c r="AM2686" t="s">
        <v>10</v>
      </c>
      <c r="AN2686" t="s">
        <v>717</v>
      </c>
    </row>
    <row r="2687" spans="1:40" hidden="1">
      <c r="A2687">
        <v>2686</v>
      </c>
      <c r="B2687">
        <v>1</v>
      </c>
      <c r="C2687" s="58">
        <v>45811</v>
      </c>
      <c r="D2687" t="s">
        <v>1876</v>
      </c>
      <c r="E2687" t="s">
        <v>10295</v>
      </c>
      <c r="F2687">
        <v>5</v>
      </c>
      <c r="G2687">
        <v>12</v>
      </c>
      <c r="H2687">
        <v>65</v>
      </c>
      <c r="I2687">
        <v>1</v>
      </c>
      <c r="J2687">
        <v>36.92</v>
      </c>
      <c r="K2687" t="s">
        <v>9</v>
      </c>
      <c r="L2687">
        <v>4876774</v>
      </c>
      <c r="M2687">
        <v>0</v>
      </c>
      <c r="N2687">
        <v>4876774</v>
      </c>
      <c r="O2687">
        <v>132090.30335861322</v>
      </c>
      <c r="P2687">
        <v>0</v>
      </c>
      <c r="Q2687">
        <v>4876774</v>
      </c>
      <c r="R2687">
        <v>132090.30335861322</v>
      </c>
      <c r="S2687" t="s">
        <v>130</v>
      </c>
      <c r="T2687" t="s">
        <v>11373</v>
      </c>
      <c r="U2687">
        <v>99526.000000000931</v>
      </c>
      <c r="V2687" t="s">
        <v>717</v>
      </c>
      <c r="W2687">
        <v>45799</v>
      </c>
      <c r="X2687" t="s">
        <v>11374</v>
      </c>
      <c r="Y2687" t="s">
        <v>6</v>
      </c>
      <c r="Z2687" t="s">
        <v>17</v>
      </c>
      <c r="AA2687" t="s">
        <v>6637</v>
      </c>
      <c r="AB2687" t="s">
        <v>2509</v>
      </c>
      <c r="AC2687" t="s">
        <v>717</v>
      </c>
      <c r="AD2687" t="s">
        <v>717</v>
      </c>
      <c r="AE2687" t="s">
        <v>11375</v>
      </c>
      <c r="AF2687" t="s">
        <v>11376</v>
      </c>
      <c r="AG2687" t="s">
        <v>11377</v>
      </c>
      <c r="AH2687" t="s">
        <v>2615</v>
      </c>
      <c r="AI2687" t="s">
        <v>2552</v>
      </c>
      <c r="AJ2687" t="s">
        <v>2662</v>
      </c>
      <c r="AK2687" t="s">
        <v>28</v>
      </c>
      <c r="AL2687" t="s">
        <v>717</v>
      </c>
      <c r="AM2687" t="s">
        <v>10</v>
      </c>
      <c r="AN2687" t="s">
        <v>717</v>
      </c>
    </row>
    <row r="2688" spans="1:40" hidden="1">
      <c r="A2688">
        <v>2687</v>
      </c>
      <c r="B2688">
        <v>2</v>
      </c>
      <c r="C2688" s="58">
        <v>45814</v>
      </c>
      <c r="D2688" t="s">
        <v>13</v>
      </c>
      <c r="E2688" t="s">
        <v>2515</v>
      </c>
      <c r="F2688">
        <v>7</v>
      </c>
      <c r="G2688">
        <v>8</v>
      </c>
      <c r="H2688">
        <v>55</v>
      </c>
      <c r="I2688">
        <v>1</v>
      </c>
      <c r="J2688">
        <v>42.75</v>
      </c>
      <c r="K2688" t="s">
        <v>9</v>
      </c>
      <c r="L2688">
        <v>5423200</v>
      </c>
      <c r="M2688">
        <v>0</v>
      </c>
      <c r="N2688">
        <v>5423200</v>
      </c>
      <c r="O2688">
        <v>126858.47953216374</v>
      </c>
      <c r="P2688">
        <v>0</v>
      </c>
      <c r="Q2688">
        <v>5423200</v>
      </c>
      <c r="R2688">
        <v>126858.47953216374</v>
      </c>
      <c r="S2688" t="s">
        <v>65</v>
      </c>
      <c r="T2688" t="s">
        <v>11206</v>
      </c>
      <c r="U2688">
        <v>342000</v>
      </c>
      <c r="V2688" t="s">
        <v>6312</v>
      </c>
      <c r="W2688">
        <v>45806</v>
      </c>
      <c r="X2688" t="s">
        <v>11378</v>
      </c>
      <c r="Y2688" t="s">
        <v>6</v>
      </c>
      <c r="Z2688" t="s">
        <v>17</v>
      </c>
      <c r="AA2688" t="s">
        <v>6637</v>
      </c>
      <c r="AB2688" t="s">
        <v>2509</v>
      </c>
      <c r="AC2688" t="s">
        <v>2571</v>
      </c>
      <c r="AD2688" t="s">
        <v>717</v>
      </c>
      <c r="AE2688" t="s">
        <v>11379</v>
      </c>
      <c r="AF2688" t="s">
        <v>11380</v>
      </c>
      <c r="AG2688" t="s">
        <v>11381</v>
      </c>
      <c r="AH2688" t="s">
        <v>2191</v>
      </c>
      <c r="AI2688" t="s">
        <v>2521</v>
      </c>
      <c r="AJ2688" t="s">
        <v>2514</v>
      </c>
      <c r="AK2688" t="s">
        <v>24</v>
      </c>
      <c r="AL2688" t="s">
        <v>22</v>
      </c>
      <c r="AM2688" t="s">
        <v>10</v>
      </c>
      <c r="AN2688" t="s">
        <v>717</v>
      </c>
    </row>
    <row r="2689" spans="1:40" hidden="1">
      <c r="A2689">
        <v>2688</v>
      </c>
      <c r="B2689">
        <v>3</v>
      </c>
      <c r="C2689" s="58">
        <v>45814</v>
      </c>
      <c r="D2689" t="s">
        <v>13</v>
      </c>
      <c r="E2689" t="s">
        <v>2506</v>
      </c>
      <c r="F2689">
        <v>5</v>
      </c>
      <c r="G2689">
        <v>13</v>
      </c>
      <c r="H2689">
        <v>199</v>
      </c>
      <c r="I2689">
        <v>1</v>
      </c>
      <c r="J2689">
        <v>37.86</v>
      </c>
      <c r="K2689" t="s">
        <v>25</v>
      </c>
      <c r="L2689">
        <v>5952020</v>
      </c>
      <c r="M2689">
        <v>0</v>
      </c>
      <c r="N2689">
        <v>5952020</v>
      </c>
      <c r="O2689">
        <v>157211.30480718435</v>
      </c>
      <c r="P2689">
        <v>946500</v>
      </c>
      <c r="Q2689">
        <v>5005520</v>
      </c>
      <c r="R2689">
        <v>132211.30480718435</v>
      </c>
      <c r="S2689" t="s">
        <v>65</v>
      </c>
      <c r="T2689" t="s">
        <v>11382</v>
      </c>
      <c r="U2689">
        <v>302880</v>
      </c>
      <c r="V2689" t="s">
        <v>6312</v>
      </c>
      <c r="W2689">
        <v>45810</v>
      </c>
      <c r="X2689" t="s">
        <v>11383</v>
      </c>
      <c r="Y2689" t="s">
        <v>6</v>
      </c>
      <c r="Z2689" t="s">
        <v>17</v>
      </c>
      <c r="AA2689" t="s">
        <v>6637</v>
      </c>
      <c r="AB2689" t="s">
        <v>2509</v>
      </c>
      <c r="AC2689" t="s">
        <v>2571</v>
      </c>
      <c r="AD2689" t="s">
        <v>717</v>
      </c>
      <c r="AE2689" t="s">
        <v>11384</v>
      </c>
      <c r="AF2689" t="s">
        <v>11385</v>
      </c>
      <c r="AG2689" t="s">
        <v>11386</v>
      </c>
      <c r="AH2689" t="s">
        <v>6100</v>
      </c>
      <c r="AI2689" t="s">
        <v>10964</v>
      </c>
      <c r="AJ2689" t="s">
        <v>43</v>
      </c>
      <c r="AK2689" t="s">
        <v>8</v>
      </c>
      <c r="AL2689" t="s">
        <v>26</v>
      </c>
      <c r="AM2689" t="s">
        <v>5654</v>
      </c>
      <c r="AN2689" t="s">
        <v>717</v>
      </c>
    </row>
    <row r="2690" spans="1:40" hidden="1">
      <c r="A2690">
        <v>2689</v>
      </c>
      <c r="B2690">
        <v>4</v>
      </c>
      <c r="C2690" s="58">
        <v>45817</v>
      </c>
      <c r="D2690" t="s">
        <v>1875</v>
      </c>
      <c r="E2690" t="s">
        <v>10295</v>
      </c>
      <c r="F2690">
        <v>4</v>
      </c>
      <c r="G2690">
        <v>1</v>
      </c>
      <c r="H2690">
        <v>4</v>
      </c>
      <c r="I2690" t="s">
        <v>1368</v>
      </c>
      <c r="J2690">
        <v>53.52</v>
      </c>
      <c r="K2690" t="s">
        <v>9</v>
      </c>
      <c r="L2690">
        <v>7492800</v>
      </c>
      <c r="M2690">
        <v>0</v>
      </c>
      <c r="N2690">
        <v>7492800</v>
      </c>
      <c r="O2690">
        <v>140000</v>
      </c>
      <c r="P2690">
        <v>0</v>
      </c>
      <c r="Q2690">
        <v>7492800</v>
      </c>
      <c r="R2690">
        <v>140000</v>
      </c>
      <c r="S2690" t="s">
        <v>130</v>
      </c>
      <c r="T2690" t="s">
        <v>717</v>
      </c>
      <c r="U2690" t="s">
        <v>717</v>
      </c>
      <c r="V2690" t="s">
        <v>717</v>
      </c>
      <c r="W2690">
        <v>45813</v>
      </c>
      <c r="X2690" t="s">
        <v>11387</v>
      </c>
      <c r="Y2690" t="s">
        <v>1368</v>
      </c>
      <c r="Z2690" t="s">
        <v>17</v>
      </c>
      <c r="AA2690" t="s">
        <v>6637</v>
      </c>
      <c r="AB2690" t="s">
        <v>2509</v>
      </c>
      <c r="AC2690" t="s">
        <v>717</v>
      </c>
      <c r="AD2690" t="s">
        <v>717</v>
      </c>
      <c r="AE2690" t="s">
        <v>9137</v>
      </c>
      <c r="AF2690" t="s">
        <v>11388</v>
      </c>
      <c r="AG2690" t="s">
        <v>9139</v>
      </c>
      <c r="AH2690" t="s">
        <v>2615</v>
      </c>
      <c r="AI2690" t="s">
        <v>2600</v>
      </c>
      <c r="AJ2690" t="s">
        <v>3921</v>
      </c>
      <c r="AK2690" t="s">
        <v>8</v>
      </c>
      <c r="AL2690" t="s">
        <v>717</v>
      </c>
      <c r="AM2690" t="s">
        <v>10</v>
      </c>
      <c r="AN2690" t="s">
        <v>717</v>
      </c>
    </row>
    <row r="2691" spans="1:40" hidden="1">
      <c r="A2691">
        <v>2690</v>
      </c>
      <c r="B2691">
        <v>5</v>
      </c>
      <c r="C2691" s="58">
        <v>45818</v>
      </c>
      <c r="D2691" t="s">
        <v>1876</v>
      </c>
      <c r="E2691" t="s">
        <v>10458</v>
      </c>
      <c r="F2691">
        <v>6</v>
      </c>
      <c r="G2691">
        <v>4</v>
      </c>
      <c r="H2691">
        <v>126</v>
      </c>
      <c r="I2691">
        <v>2</v>
      </c>
      <c r="J2691">
        <v>60.94</v>
      </c>
      <c r="K2691" t="s">
        <v>10459</v>
      </c>
      <c r="L2691">
        <v>7681374</v>
      </c>
      <c r="M2691">
        <v>0</v>
      </c>
      <c r="N2691">
        <v>7681374</v>
      </c>
      <c r="O2691">
        <v>126048.1457170988</v>
      </c>
      <c r="P2691">
        <v>609400</v>
      </c>
      <c r="Q2691">
        <v>7071974</v>
      </c>
      <c r="R2691">
        <v>116048.1457170988</v>
      </c>
      <c r="S2691" t="s">
        <v>130</v>
      </c>
      <c r="T2691" t="s">
        <v>2664</v>
      </c>
      <c r="U2691">
        <v>144326</v>
      </c>
      <c r="V2691" t="s">
        <v>717</v>
      </c>
      <c r="W2691">
        <v>45810</v>
      </c>
      <c r="X2691" t="s">
        <v>11389</v>
      </c>
      <c r="Y2691" t="s">
        <v>6</v>
      </c>
      <c r="Z2691" t="s">
        <v>17</v>
      </c>
      <c r="AA2691" t="s">
        <v>6637</v>
      </c>
      <c r="AB2691" t="s">
        <v>2509</v>
      </c>
      <c r="AC2691" t="s">
        <v>717</v>
      </c>
      <c r="AD2691" t="s">
        <v>717</v>
      </c>
      <c r="AE2691" t="s">
        <v>11390</v>
      </c>
      <c r="AF2691" t="s">
        <v>11391</v>
      </c>
      <c r="AG2691" t="s">
        <v>11392</v>
      </c>
      <c r="AH2691" t="s">
        <v>2615</v>
      </c>
      <c r="AI2691" t="s">
        <v>2706</v>
      </c>
      <c r="AJ2691" t="s">
        <v>2569</v>
      </c>
      <c r="AK2691" t="s">
        <v>8</v>
      </c>
      <c r="AL2691" t="s">
        <v>717</v>
      </c>
      <c r="AM2691" t="s">
        <v>10</v>
      </c>
      <c r="AN2691" t="s">
        <v>717</v>
      </c>
    </row>
    <row r="2692" spans="1:40" hidden="1">
      <c r="A2692">
        <v>2691</v>
      </c>
      <c r="B2692">
        <v>6</v>
      </c>
      <c r="C2692" s="58">
        <v>45819</v>
      </c>
      <c r="D2692" t="s">
        <v>1876</v>
      </c>
      <c r="E2692" t="s">
        <v>10458</v>
      </c>
      <c r="F2692">
        <v>6</v>
      </c>
      <c r="G2692">
        <v>10</v>
      </c>
      <c r="H2692">
        <v>162</v>
      </c>
      <c r="I2692">
        <v>2</v>
      </c>
      <c r="J2692">
        <v>60.87</v>
      </c>
      <c r="K2692" t="s">
        <v>10459</v>
      </c>
      <c r="L2692">
        <v>7672540</v>
      </c>
      <c r="M2692">
        <v>0</v>
      </c>
      <c r="N2692">
        <v>7672540</v>
      </c>
      <c r="O2692">
        <v>126047.9710859208</v>
      </c>
      <c r="P2692">
        <v>608700</v>
      </c>
      <c r="Q2692">
        <v>7063840</v>
      </c>
      <c r="R2692">
        <v>116047.9710859208</v>
      </c>
      <c r="S2692" t="s">
        <v>130</v>
      </c>
      <c r="T2692" t="s">
        <v>2664</v>
      </c>
      <c r="U2692">
        <v>144160</v>
      </c>
      <c r="V2692" t="s">
        <v>717</v>
      </c>
      <c r="W2692">
        <v>45818</v>
      </c>
      <c r="X2692" t="s">
        <v>11393</v>
      </c>
      <c r="Y2692" t="s">
        <v>6</v>
      </c>
      <c r="Z2692" t="s">
        <v>17</v>
      </c>
      <c r="AA2692" t="s">
        <v>6637</v>
      </c>
      <c r="AB2692" t="s">
        <v>2509</v>
      </c>
      <c r="AC2692" t="s">
        <v>717</v>
      </c>
      <c r="AD2692" t="s">
        <v>717</v>
      </c>
      <c r="AE2692" t="s">
        <v>11394</v>
      </c>
      <c r="AF2692" t="s">
        <v>11395</v>
      </c>
      <c r="AG2692" t="s">
        <v>11396</v>
      </c>
      <c r="AH2692" t="s">
        <v>2615</v>
      </c>
      <c r="AI2692" t="s">
        <v>2521</v>
      </c>
      <c r="AJ2692" t="s">
        <v>3720</v>
      </c>
      <c r="AK2692" t="s">
        <v>8</v>
      </c>
      <c r="AL2692" t="s">
        <v>717</v>
      </c>
      <c r="AM2692" t="s">
        <v>10</v>
      </c>
      <c r="AN2692" t="s">
        <v>717</v>
      </c>
    </row>
    <row r="2693" spans="1:40" hidden="1">
      <c r="A2693">
        <v>2692</v>
      </c>
      <c r="B2693">
        <v>7</v>
      </c>
      <c r="C2693" s="58">
        <v>45823</v>
      </c>
      <c r="D2693" t="s">
        <v>13</v>
      </c>
      <c r="E2693" t="s">
        <v>2515</v>
      </c>
      <c r="F2693">
        <v>1</v>
      </c>
      <c r="G2693">
        <v>16</v>
      </c>
      <c r="H2693">
        <v>105</v>
      </c>
      <c r="I2693">
        <v>1</v>
      </c>
      <c r="J2693">
        <v>34.39</v>
      </c>
      <c r="K2693" t="s">
        <v>25</v>
      </c>
      <c r="L2693">
        <v>5158500</v>
      </c>
      <c r="M2693">
        <v>0</v>
      </c>
      <c r="N2693">
        <v>5158500</v>
      </c>
      <c r="O2693">
        <v>150000</v>
      </c>
      <c r="P2693">
        <v>859750</v>
      </c>
      <c r="Q2693">
        <v>4298750</v>
      </c>
      <c r="R2693">
        <v>125000</v>
      </c>
      <c r="S2693" t="s">
        <v>65</v>
      </c>
      <c r="T2693" t="s">
        <v>11397</v>
      </c>
      <c r="U2693">
        <v>793250</v>
      </c>
      <c r="V2693" t="s">
        <v>6312</v>
      </c>
      <c r="W2693">
        <v>45817</v>
      </c>
      <c r="X2693" t="s">
        <v>11398</v>
      </c>
      <c r="Y2693" t="s">
        <v>6</v>
      </c>
      <c r="Z2693" t="s">
        <v>17</v>
      </c>
      <c r="AA2693" t="s">
        <v>6637</v>
      </c>
      <c r="AB2693" t="s">
        <v>2509</v>
      </c>
      <c r="AC2693" t="s">
        <v>2571</v>
      </c>
      <c r="AD2693" t="s">
        <v>717</v>
      </c>
      <c r="AE2693" t="s">
        <v>11399</v>
      </c>
      <c r="AF2693" t="s">
        <v>11400</v>
      </c>
      <c r="AG2693" t="s">
        <v>11401</v>
      </c>
      <c r="AH2693" t="s">
        <v>2191</v>
      </c>
      <c r="AI2693" t="s">
        <v>11402</v>
      </c>
      <c r="AJ2693" t="s">
        <v>2514</v>
      </c>
      <c r="AK2693" t="s">
        <v>8</v>
      </c>
      <c r="AL2693" t="s">
        <v>26</v>
      </c>
      <c r="AM2693" t="s">
        <v>10</v>
      </c>
      <c r="AN2693" t="s">
        <v>717</v>
      </c>
    </row>
    <row r="2694" spans="1:40" hidden="1">
      <c r="A2694">
        <v>2693</v>
      </c>
      <c r="B2694">
        <v>8</v>
      </c>
      <c r="C2694" s="58">
        <v>45825</v>
      </c>
      <c r="D2694" t="s">
        <v>13</v>
      </c>
      <c r="E2694" t="s">
        <v>4409</v>
      </c>
      <c r="F2694">
        <v>3</v>
      </c>
      <c r="G2694">
        <v>13</v>
      </c>
      <c r="H2694">
        <v>487</v>
      </c>
      <c r="I2694">
        <v>0</v>
      </c>
      <c r="J2694">
        <v>24.5</v>
      </c>
      <c r="K2694" t="s">
        <v>21</v>
      </c>
      <c r="L2694">
        <v>3356500</v>
      </c>
      <c r="M2694">
        <v>0</v>
      </c>
      <c r="N2694">
        <v>3356500</v>
      </c>
      <c r="O2694">
        <v>137000</v>
      </c>
      <c r="P2694">
        <v>245000</v>
      </c>
      <c r="Q2694">
        <v>3111500</v>
      </c>
      <c r="R2694">
        <v>127000</v>
      </c>
      <c r="S2694" t="s">
        <v>65</v>
      </c>
      <c r="T2694" t="s">
        <v>11206</v>
      </c>
      <c r="U2694">
        <v>196000</v>
      </c>
      <c r="V2694" t="s">
        <v>6312</v>
      </c>
      <c r="W2694">
        <v>45817</v>
      </c>
      <c r="X2694" t="s">
        <v>10456</v>
      </c>
      <c r="Y2694" t="s">
        <v>6</v>
      </c>
      <c r="Z2694" t="s">
        <v>17</v>
      </c>
      <c r="AA2694" t="s">
        <v>6637</v>
      </c>
      <c r="AB2694" t="s">
        <v>2509</v>
      </c>
      <c r="AC2694" t="s">
        <v>2571</v>
      </c>
      <c r="AD2694" t="s">
        <v>717</v>
      </c>
      <c r="AE2694" t="s">
        <v>11403</v>
      </c>
      <c r="AF2694" t="s">
        <v>11404</v>
      </c>
      <c r="AG2694" t="s">
        <v>717</v>
      </c>
      <c r="AH2694" t="s">
        <v>6100</v>
      </c>
      <c r="AI2694" t="s">
        <v>10080</v>
      </c>
      <c r="AJ2694" t="s">
        <v>10081</v>
      </c>
      <c r="AK2694" t="s">
        <v>24</v>
      </c>
      <c r="AL2694" t="s">
        <v>22</v>
      </c>
      <c r="AM2694" t="s">
        <v>5654</v>
      </c>
      <c r="AN2694" t="s">
        <v>717</v>
      </c>
    </row>
    <row r="2695" spans="1:40" hidden="1">
      <c r="A2695">
        <v>2694</v>
      </c>
      <c r="B2695">
        <v>9</v>
      </c>
      <c r="C2695" s="58">
        <v>45826</v>
      </c>
      <c r="D2695" t="s">
        <v>7</v>
      </c>
      <c r="E2695" t="s">
        <v>2581</v>
      </c>
      <c r="F2695">
        <v>7</v>
      </c>
      <c r="G2695">
        <v>19</v>
      </c>
      <c r="H2695">
        <v>366</v>
      </c>
      <c r="I2695">
        <v>1</v>
      </c>
      <c r="J2695">
        <v>34.6</v>
      </c>
      <c r="K2695" t="s">
        <v>25</v>
      </c>
      <c r="L2695">
        <v>5017000</v>
      </c>
      <c r="M2695">
        <v>0</v>
      </c>
      <c r="N2695">
        <v>5017000</v>
      </c>
      <c r="O2695">
        <v>145000</v>
      </c>
      <c r="P2695">
        <v>761200</v>
      </c>
      <c r="Q2695">
        <v>4255800</v>
      </c>
      <c r="R2695">
        <v>123000</v>
      </c>
      <c r="S2695" t="s">
        <v>130</v>
      </c>
      <c r="T2695" t="s">
        <v>11397</v>
      </c>
      <c r="U2695">
        <v>1245100</v>
      </c>
      <c r="V2695" t="s">
        <v>717</v>
      </c>
      <c r="W2695">
        <v>45823</v>
      </c>
      <c r="X2695" t="s">
        <v>10488</v>
      </c>
      <c r="Y2695" t="s">
        <v>6</v>
      </c>
      <c r="Z2695" t="s">
        <v>17</v>
      </c>
      <c r="AA2695" t="s">
        <v>6637</v>
      </c>
      <c r="AB2695" t="s">
        <v>2299</v>
      </c>
      <c r="AC2695" t="s">
        <v>717</v>
      </c>
      <c r="AD2695" t="s">
        <v>717</v>
      </c>
      <c r="AE2695" t="s">
        <v>11405</v>
      </c>
      <c r="AF2695" t="s">
        <v>5532</v>
      </c>
      <c r="AG2695" t="s">
        <v>5533</v>
      </c>
      <c r="AH2695" t="s">
        <v>2191</v>
      </c>
      <c r="AI2695" t="s">
        <v>2600</v>
      </c>
      <c r="AJ2695" t="s">
        <v>3921</v>
      </c>
      <c r="AK2695" t="s">
        <v>8</v>
      </c>
      <c r="AL2695" t="s">
        <v>717</v>
      </c>
      <c r="AM2695" t="s">
        <v>10</v>
      </c>
      <c r="AN2695" t="s">
        <v>11406</v>
      </c>
    </row>
    <row r="2696" spans="1:40" hidden="1">
      <c r="A2696">
        <v>2695</v>
      </c>
      <c r="B2696">
        <v>10</v>
      </c>
      <c r="C2696" s="58">
        <v>45828</v>
      </c>
      <c r="D2696" t="s">
        <v>13</v>
      </c>
      <c r="E2696" t="s">
        <v>2581</v>
      </c>
      <c r="F2696">
        <v>7</v>
      </c>
      <c r="G2696">
        <v>17</v>
      </c>
      <c r="H2696">
        <v>340</v>
      </c>
      <c r="I2696">
        <v>1</v>
      </c>
      <c r="J2696">
        <v>34.81</v>
      </c>
      <c r="K2696" t="s">
        <v>25</v>
      </c>
      <c r="L2696">
        <v>5667770</v>
      </c>
      <c r="M2696">
        <v>0</v>
      </c>
      <c r="N2696">
        <v>5667770</v>
      </c>
      <c r="O2696">
        <v>162820.16661878768</v>
      </c>
      <c r="P2696">
        <v>870250</v>
      </c>
      <c r="Q2696">
        <v>4797520</v>
      </c>
      <c r="R2696">
        <v>137820.16661878768</v>
      </c>
      <c r="S2696" t="s">
        <v>65</v>
      </c>
      <c r="T2696" t="s">
        <v>11382</v>
      </c>
      <c r="U2696">
        <v>278480</v>
      </c>
      <c r="V2696" t="s">
        <v>6312</v>
      </c>
      <c r="W2696">
        <v>45823</v>
      </c>
      <c r="X2696" t="s">
        <v>11407</v>
      </c>
      <c r="Y2696" t="s">
        <v>6</v>
      </c>
      <c r="Z2696" t="s">
        <v>17</v>
      </c>
      <c r="AA2696" t="s">
        <v>6637</v>
      </c>
      <c r="AB2696" t="s">
        <v>2509</v>
      </c>
      <c r="AC2696" t="s">
        <v>2571</v>
      </c>
      <c r="AD2696" t="s">
        <v>717</v>
      </c>
      <c r="AE2696" t="s">
        <v>11408</v>
      </c>
      <c r="AF2696" t="s">
        <v>11409</v>
      </c>
      <c r="AG2696" t="s">
        <v>11410</v>
      </c>
      <c r="AH2696" t="s">
        <v>2615</v>
      </c>
      <c r="AI2696" t="s">
        <v>2847</v>
      </c>
      <c r="AJ2696" t="s">
        <v>2940</v>
      </c>
      <c r="AK2696" t="s">
        <v>14</v>
      </c>
      <c r="AL2696" t="s">
        <v>26</v>
      </c>
      <c r="AM2696" t="s">
        <v>10</v>
      </c>
      <c r="AN2696" t="s">
        <v>717</v>
      </c>
    </row>
    <row r="2697" spans="1:40" hidden="1">
      <c r="A2697">
        <v>2696</v>
      </c>
      <c r="B2697">
        <v>11</v>
      </c>
      <c r="C2697" s="58">
        <v>45828</v>
      </c>
      <c r="D2697" t="s">
        <v>13</v>
      </c>
      <c r="E2697" t="s">
        <v>2506</v>
      </c>
      <c r="F2697">
        <v>7</v>
      </c>
      <c r="G2697">
        <v>8</v>
      </c>
      <c r="H2697">
        <v>166</v>
      </c>
      <c r="I2697">
        <v>1</v>
      </c>
      <c r="J2697">
        <v>42.28</v>
      </c>
      <c r="K2697" t="s">
        <v>25</v>
      </c>
      <c r="L2697">
        <v>6560460</v>
      </c>
      <c r="M2697">
        <v>0</v>
      </c>
      <c r="N2697">
        <v>6560460</v>
      </c>
      <c r="O2697">
        <v>155166.98202459791</v>
      </c>
      <c r="P2697">
        <v>1057000</v>
      </c>
      <c r="Q2697">
        <v>5503460</v>
      </c>
      <c r="R2697">
        <v>130166.98202459792</v>
      </c>
      <c r="S2697" t="s">
        <v>65</v>
      </c>
      <c r="T2697" t="s">
        <v>11382</v>
      </c>
      <c r="U2697">
        <v>338240</v>
      </c>
      <c r="V2697" t="s">
        <v>6312</v>
      </c>
      <c r="W2697">
        <v>45827</v>
      </c>
      <c r="X2697" t="s">
        <v>11411</v>
      </c>
      <c r="Y2697" t="s">
        <v>6</v>
      </c>
      <c r="Z2697" t="s">
        <v>17</v>
      </c>
      <c r="AA2697" t="s">
        <v>6637</v>
      </c>
      <c r="AB2697" t="s">
        <v>2509</v>
      </c>
      <c r="AC2697" t="s">
        <v>2571</v>
      </c>
      <c r="AD2697" t="s">
        <v>717</v>
      </c>
      <c r="AE2697" t="s">
        <v>11412</v>
      </c>
      <c r="AF2697" t="s">
        <v>11413</v>
      </c>
      <c r="AG2697" t="s">
        <v>11414</v>
      </c>
      <c r="AH2697" t="s">
        <v>2615</v>
      </c>
      <c r="AI2697" t="s">
        <v>6951</v>
      </c>
      <c r="AJ2697" t="s">
        <v>2895</v>
      </c>
      <c r="AK2697" t="s">
        <v>8</v>
      </c>
      <c r="AL2697" t="s">
        <v>26</v>
      </c>
      <c r="AM2697" t="s">
        <v>10</v>
      </c>
      <c r="AN2697" t="s">
        <v>717</v>
      </c>
    </row>
    <row r="2698" spans="1:40" hidden="1">
      <c r="A2698">
        <v>2697</v>
      </c>
      <c r="B2698">
        <v>12</v>
      </c>
      <c r="C2698" s="58">
        <v>45832</v>
      </c>
      <c r="D2698" t="s">
        <v>13</v>
      </c>
      <c r="E2698" t="s">
        <v>2515</v>
      </c>
      <c r="F2698">
        <v>7</v>
      </c>
      <c r="G2698">
        <v>10</v>
      </c>
      <c r="H2698">
        <v>69</v>
      </c>
      <c r="I2698">
        <v>1</v>
      </c>
      <c r="J2698">
        <v>42.75</v>
      </c>
      <c r="K2698" t="s">
        <v>9</v>
      </c>
      <c r="L2698">
        <v>5423200</v>
      </c>
      <c r="M2698">
        <v>0</v>
      </c>
      <c r="N2698">
        <v>5423200</v>
      </c>
      <c r="O2698">
        <v>126858.47953216374</v>
      </c>
      <c r="P2698">
        <v>0</v>
      </c>
      <c r="Q2698">
        <v>5423200</v>
      </c>
      <c r="R2698">
        <v>126858.47953216374</v>
      </c>
      <c r="S2698" t="s">
        <v>65</v>
      </c>
      <c r="T2698" t="s">
        <v>11382</v>
      </c>
      <c r="U2698">
        <v>342000</v>
      </c>
      <c r="V2698" t="s">
        <v>6312</v>
      </c>
      <c r="W2698">
        <v>45817</v>
      </c>
      <c r="X2698" t="s">
        <v>11415</v>
      </c>
      <c r="Y2698" t="s">
        <v>6</v>
      </c>
      <c r="Z2698" t="s">
        <v>17</v>
      </c>
      <c r="AA2698" t="s">
        <v>6637</v>
      </c>
      <c r="AB2698" t="s">
        <v>2509</v>
      </c>
      <c r="AC2698" t="s">
        <v>2571</v>
      </c>
      <c r="AD2698" t="s">
        <v>717</v>
      </c>
      <c r="AE2698" t="s">
        <v>11416</v>
      </c>
      <c r="AF2698" t="s">
        <v>11417</v>
      </c>
      <c r="AG2698" t="s">
        <v>11418</v>
      </c>
      <c r="AH2698" t="s">
        <v>2552</v>
      </c>
      <c r="AI2698" t="s">
        <v>2847</v>
      </c>
      <c r="AJ2698" t="s">
        <v>2940</v>
      </c>
      <c r="AK2698" t="s">
        <v>8</v>
      </c>
      <c r="AL2698" t="s">
        <v>22</v>
      </c>
      <c r="AM2698" t="s">
        <v>10</v>
      </c>
      <c r="AN2698" t="s">
        <v>717</v>
      </c>
    </row>
    <row r="2699" spans="1:40" hidden="1">
      <c r="A2699">
        <v>2698</v>
      </c>
      <c r="B2699">
        <v>13</v>
      </c>
      <c r="C2699" s="58">
        <v>45832</v>
      </c>
      <c r="D2699" t="s">
        <v>13</v>
      </c>
      <c r="E2699" t="s">
        <v>2515</v>
      </c>
      <c r="F2699">
        <v>6</v>
      </c>
      <c r="G2699">
        <v>3</v>
      </c>
      <c r="H2699">
        <v>19</v>
      </c>
      <c r="I2699">
        <v>2</v>
      </c>
      <c r="J2699">
        <v>58.16</v>
      </c>
      <c r="K2699" t="s">
        <v>9</v>
      </c>
      <c r="L2699">
        <v>6807093</v>
      </c>
      <c r="M2699">
        <v>0</v>
      </c>
      <c r="N2699">
        <v>6807093</v>
      </c>
      <c r="O2699">
        <v>117040.80123796425</v>
      </c>
      <c r="P2699">
        <v>0</v>
      </c>
      <c r="Q2699">
        <v>6807093</v>
      </c>
      <c r="R2699">
        <v>117040.80123796425</v>
      </c>
      <c r="S2699" t="s">
        <v>65</v>
      </c>
      <c r="T2699" t="s">
        <v>11419</v>
      </c>
      <c r="U2699">
        <v>519807</v>
      </c>
      <c r="V2699" t="s">
        <v>6312</v>
      </c>
      <c r="W2699">
        <v>45818</v>
      </c>
      <c r="X2699" t="s">
        <v>11420</v>
      </c>
      <c r="Y2699" t="s">
        <v>6</v>
      </c>
      <c r="Z2699" t="s">
        <v>17</v>
      </c>
      <c r="AA2699" t="s">
        <v>6637</v>
      </c>
      <c r="AB2699" t="s">
        <v>2509</v>
      </c>
      <c r="AC2699" t="s">
        <v>2571</v>
      </c>
      <c r="AD2699" t="s">
        <v>717</v>
      </c>
      <c r="AE2699" t="s">
        <v>11421</v>
      </c>
      <c r="AF2699" t="s">
        <v>11422</v>
      </c>
      <c r="AG2699" t="s">
        <v>11423</v>
      </c>
      <c r="AH2699" t="s">
        <v>2552</v>
      </c>
      <c r="AI2699" t="s">
        <v>2547</v>
      </c>
      <c r="AJ2699" t="s">
        <v>2855</v>
      </c>
      <c r="AK2699" t="s">
        <v>8</v>
      </c>
      <c r="AL2699" t="s">
        <v>22</v>
      </c>
      <c r="AM2699" t="s">
        <v>10</v>
      </c>
      <c r="AN2699" t="s">
        <v>717</v>
      </c>
    </row>
    <row r="2700" spans="1:40" hidden="1">
      <c r="A2700">
        <v>2699</v>
      </c>
      <c r="B2700">
        <v>14</v>
      </c>
      <c r="C2700" s="58">
        <v>45833</v>
      </c>
      <c r="D2700" t="s">
        <v>13</v>
      </c>
      <c r="E2700" t="s">
        <v>2581</v>
      </c>
      <c r="F2700">
        <v>6</v>
      </c>
      <c r="G2700">
        <v>4</v>
      </c>
      <c r="H2700">
        <v>248</v>
      </c>
      <c r="I2700">
        <v>3</v>
      </c>
      <c r="J2700">
        <v>80.97</v>
      </c>
      <c r="K2700" t="s">
        <v>25</v>
      </c>
      <c r="L2700">
        <v>10769010</v>
      </c>
      <c r="M2700">
        <v>0</v>
      </c>
      <c r="N2700">
        <v>10769010</v>
      </c>
      <c r="O2700">
        <v>133000</v>
      </c>
      <c r="P2700">
        <v>2024250</v>
      </c>
      <c r="Q2700">
        <v>8744760</v>
      </c>
      <c r="R2700">
        <v>108000</v>
      </c>
      <c r="S2700" t="s">
        <v>130</v>
      </c>
      <c r="T2700" t="s">
        <v>11397</v>
      </c>
      <c r="U2700">
        <v>648340</v>
      </c>
      <c r="V2700" t="s">
        <v>717</v>
      </c>
      <c r="W2700">
        <v>45827</v>
      </c>
      <c r="X2700" t="s">
        <v>11424</v>
      </c>
      <c r="Y2700" t="s">
        <v>6</v>
      </c>
      <c r="Z2700" t="s">
        <v>17</v>
      </c>
      <c r="AA2700" t="s">
        <v>6637</v>
      </c>
      <c r="AB2700" t="s">
        <v>2509</v>
      </c>
      <c r="AC2700" t="s">
        <v>717</v>
      </c>
      <c r="AD2700" t="s">
        <v>717</v>
      </c>
      <c r="AE2700" t="s">
        <v>11425</v>
      </c>
      <c r="AF2700" t="s">
        <v>11426</v>
      </c>
      <c r="AG2700" t="s">
        <v>717</v>
      </c>
      <c r="AH2700" t="s">
        <v>2615</v>
      </c>
      <c r="AI2700" t="s">
        <v>2847</v>
      </c>
      <c r="AJ2700" t="s">
        <v>2940</v>
      </c>
      <c r="AK2700" t="s">
        <v>24</v>
      </c>
      <c r="AL2700" t="s">
        <v>717</v>
      </c>
      <c r="AM2700" t="s">
        <v>10</v>
      </c>
      <c r="AN2700" t="s">
        <v>717</v>
      </c>
    </row>
    <row r="2701" spans="1:40" hidden="1">
      <c r="A2701">
        <v>2700</v>
      </c>
      <c r="B2701">
        <v>15</v>
      </c>
      <c r="C2701" s="58">
        <v>45833</v>
      </c>
      <c r="D2701" t="s">
        <v>13</v>
      </c>
      <c r="E2701" t="s">
        <v>2515</v>
      </c>
      <c r="F2701">
        <v>5</v>
      </c>
      <c r="G2701">
        <v>11</v>
      </c>
      <c r="H2701">
        <v>74</v>
      </c>
      <c r="I2701">
        <v>2</v>
      </c>
      <c r="J2701">
        <v>62.17</v>
      </c>
      <c r="K2701" t="s">
        <v>9</v>
      </c>
      <c r="L2701">
        <v>7087380</v>
      </c>
      <c r="M2701">
        <v>0</v>
      </c>
      <c r="N2701">
        <v>7087380</v>
      </c>
      <c r="O2701">
        <v>114000</v>
      </c>
      <c r="P2701">
        <v>0</v>
      </c>
      <c r="Q2701">
        <v>7087380</v>
      </c>
      <c r="R2701">
        <v>114000</v>
      </c>
      <c r="S2701" t="s">
        <v>130</v>
      </c>
      <c r="T2701" t="s">
        <v>11397</v>
      </c>
      <c r="U2701">
        <v>636820</v>
      </c>
      <c r="V2701" t="s">
        <v>717</v>
      </c>
      <c r="W2701">
        <v>45831</v>
      </c>
      <c r="X2701" t="s">
        <v>11427</v>
      </c>
      <c r="Y2701" t="s">
        <v>6</v>
      </c>
      <c r="Z2701" t="s">
        <v>17</v>
      </c>
      <c r="AA2701" t="s">
        <v>6637</v>
      </c>
      <c r="AB2701" t="s">
        <v>2509</v>
      </c>
      <c r="AC2701" t="s">
        <v>717</v>
      </c>
      <c r="AD2701" t="s">
        <v>717</v>
      </c>
      <c r="AE2701" t="s">
        <v>11428</v>
      </c>
      <c r="AF2701" t="s">
        <v>11429</v>
      </c>
      <c r="AG2701" t="s">
        <v>11430</v>
      </c>
      <c r="AH2701" t="s">
        <v>6100</v>
      </c>
      <c r="AI2701" t="s">
        <v>10676</v>
      </c>
      <c r="AJ2701" t="s">
        <v>45</v>
      </c>
      <c r="AK2701" t="s">
        <v>20</v>
      </c>
      <c r="AL2701" t="s">
        <v>717</v>
      </c>
      <c r="AM2701" t="s">
        <v>5654</v>
      </c>
      <c r="AN2701" t="s">
        <v>717</v>
      </c>
    </row>
    <row r="2702" spans="1:40" hidden="1">
      <c r="A2702">
        <v>2701</v>
      </c>
      <c r="B2702">
        <v>16</v>
      </c>
      <c r="C2702" s="58">
        <v>45834</v>
      </c>
      <c r="D2702" t="s">
        <v>13</v>
      </c>
      <c r="E2702" t="s">
        <v>2515</v>
      </c>
      <c r="F2702">
        <v>4</v>
      </c>
      <c r="G2702">
        <v>15</v>
      </c>
      <c r="H2702">
        <v>101</v>
      </c>
      <c r="I2702">
        <v>2</v>
      </c>
      <c r="J2702">
        <v>59.09</v>
      </c>
      <c r="K2702" t="s">
        <v>9</v>
      </c>
      <c r="L2702">
        <v>6716398</v>
      </c>
      <c r="M2702">
        <v>0</v>
      </c>
      <c r="N2702">
        <v>6716398</v>
      </c>
      <c r="O2702">
        <v>113663.86867490268</v>
      </c>
      <c r="P2702">
        <v>0</v>
      </c>
      <c r="Q2702">
        <v>6716398</v>
      </c>
      <c r="R2702">
        <v>113663.86867490268</v>
      </c>
      <c r="S2702" t="s">
        <v>65</v>
      </c>
      <c r="T2702" t="s">
        <v>11361</v>
      </c>
      <c r="U2702">
        <v>517002</v>
      </c>
      <c r="V2702" t="s">
        <v>6312</v>
      </c>
      <c r="W2702">
        <v>45827</v>
      </c>
      <c r="X2702" t="s">
        <v>11433</v>
      </c>
      <c r="Y2702" t="s">
        <v>6</v>
      </c>
      <c r="Z2702" t="s">
        <v>17</v>
      </c>
      <c r="AA2702" t="s">
        <v>6637</v>
      </c>
      <c r="AB2702" t="s">
        <v>2509</v>
      </c>
      <c r="AC2702" t="s">
        <v>2571</v>
      </c>
      <c r="AD2702" t="s">
        <v>717</v>
      </c>
      <c r="AE2702" t="s">
        <v>11434</v>
      </c>
      <c r="AF2702" t="s">
        <v>11435</v>
      </c>
      <c r="AG2702" t="s">
        <v>717</v>
      </c>
      <c r="AH2702" t="s">
        <v>2552</v>
      </c>
      <c r="AI2702" t="s">
        <v>2547</v>
      </c>
      <c r="AJ2702" t="s">
        <v>2855</v>
      </c>
      <c r="AK2702" t="s">
        <v>24</v>
      </c>
      <c r="AL2702" t="s">
        <v>22</v>
      </c>
      <c r="AM2702" t="s">
        <v>10</v>
      </c>
      <c r="AN2702" t="s">
        <v>717</v>
      </c>
    </row>
    <row r="2703" spans="1:40" hidden="1">
      <c r="A2703">
        <v>2702</v>
      </c>
      <c r="B2703">
        <v>17</v>
      </c>
      <c r="C2703" s="58">
        <v>45835</v>
      </c>
      <c r="D2703" t="s">
        <v>13</v>
      </c>
      <c r="E2703" t="s">
        <v>2515</v>
      </c>
      <c r="F2703">
        <v>4</v>
      </c>
      <c r="G2703">
        <v>4</v>
      </c>
      <c r="H2703">
        <v>24</v>
      </c>
      <c r="I2703">
        <v>2</v>
      </c>
      <c r="J2703">
        <v>59.09</v>
      </c>
      <c r="K2703" t="s">
        <v>25</v>
      </c>
      <c r="L2703">
        <v>8257600</v>
      </c>
      <c r="M2703">
        <v>15000</v>
      </c>
      <c r="N2703">
        <v>8272600</v>
      </c>
      <c r="O2703">
        <v>140000</v>
      </c>
      <c r="P2703">
        <v>1477250</v>
      </c>
      <c r="Q2703">
        <v>6795350</v>
      </c>
      <c r="R2703">
        <v>115000</v>
      </c>
      <c r="S2703" t="s">
        <v>65</v>
      </c>
      <c r="T2703" t="s">
        <v>11397</v>
      </c>
      <c r="U2703">
        <v>507550</v>
      </c>
      <c r="V2703" t="s">
        <v>6312</v>
      </c>
      <c r="W2703">
        <v>45824</v>
      </c>
      <c r="X2703" t="s">
        <v>11439</v>
      </c>
      <c r="Y2703" t="s">
        <v>6</v>
      </c>
      <c r="Z2703" t="s">
        <v>17</v>
      </c>
      <c r="AA2703" t="s">
        <v>6637</v>
      </c>
      <c r="AB2703" t="s">
        <v>2509</v>
      </c>
      <c r="AC2703" t="s">
        <v>2571</v>
      </c>
      <c r="AD2703" t="s">
        <v>717</v>
      </c>
      <c r="AE2703" t="s">
        <v>11440</v>
      </c>
      <c r="AF2703" t="s">
        <v>11441</v>
      </c>
      <c r="AG2703" t="s">
        <v>11442</v>
      </c>
      <c r="AH2703" t="s">
        <v>6100</v>
      </c>
      <c r="AI2703" t="s">
        <v>5653</v>
      </c>
      <c r="AJ2703" t="s">
        <v>31</v>
      </c>
      <c r="AK2703" t="s">
        <v>14</v>
      </c>
      <c r="AL2703" t="s">
        <v>22</v>
      </c>
      <c r="AM2703" t="s">
        <v>10</v>
      </c>
      <c r="AN2703" t="s">
        <v>717</v>
      </c>
    </row>
    <row r="2704" spans="1:40" hidden="1">
      <c r="A2704">
        <v>2703</v>
      </c>
      <c r="B2704">
        <v>18</v>
      </c>
      <c r="C2704" s="58">
        <v>45835</v>
      </c>
      <c r="D2704" t="s">
        <v>13</v>
      </c>
      <c r="E2704" t="s">
        <v>4409</v>
      </c>
      <c r="F2704">
        <v>1</v>
      </c>
      <c r="G2704">
        <v>18</v>
      </c>
      <c r="H2704">
        <v>525</v>
      </c>
      <c r="I2704">
        <v>0</v>
      </c>
      <c r="J2704">
        <v>29.4</v>
      </c>
      <c r="K2704" t="s">
        <v>25</v>
      </c>
      <c r="L2704">
        <v>4576200</v>
      </c>
      <c r="M2704">
        <v>0</v>
      </c>
      <c r="N2704">
        <v>4576200</v>
      </c>
      <c r="O2704">
        <v>155653.06122448979</v>
      </c>
      <c r="P2704">
        <v>735000</v>
      </c>
      <c r="Q2704">
        <v>3841200</v>
      </c>
      <c r="R2704">
        <v>130653.06122448979</v>
      </c>
      <c r="S2704" t="s">
        <v>65</v>
      </c>
      <c r="T2704" t="s">
        <v>11382</v>
      </c>
      <c r="U2704" t="s">
        <v>11443</v>
      </c>
      <c r="V2704" t="s">
        <v>6312</v>
      </c>
      <c r="W2704">
        <v>45832</v>
      </c>
      <c r="X2704" t="s">
        <v>11444</v>
      </c>
      <c r="Y2704" t="s">
        <v>6</v>
      </c>
      <c r="Z2704" t="s">
        <v>17</v>
      </c>
      <c r="AA2704" t="s">
        <v>6637</v>
      </c>
      <c r="AB2704" t="s">
        <v>2509</v>
      </c>
      <c r="AC2704" t="s">
        <v>2571</v>
      </c>
      <c r="AD2704" t="s">
        <v>717</v>
      </c>
      <c r="AE2704" t="s">
        <v>11445</v>
      </c>
      <c r="AF2704" t="s">
        <v>11446</v>
      </c>
      <c r="AG2704" t="s">
        <v>11447</v>
      </c>
      <c r="AH2704" t="s">
        <v>6100</v>
      </c>
      <c r="AI2704" t="s">
        <v>10080</v>
      </c>
      <c r="AJ2704" t="s">
        <v>10081</v>
      </c>
      <c r="AK2704" t="s">
        <v>8</v>
      </c>
      <c r="AL2704" t="s">
        <v>22</v>
      </c>
      <c r="AM2704" t="s">
        <v>5654</v>
      </c>
      <c r="AN2704" t="s">
        <v>717</v>
      </c>
    </row>
    <row r="2705" spans="1:40" hidden="1">
      <c r="A2705">
        <v>2704</v>
      </c>
      <c r="B2705">
        <v>19</v>
      </c>
      <c r="C2705" s="58">
        <v>45835</v>
      </c>
      <c r="D2705" t="s">
        <v>13</v>
      </c>
      <c r="E2705" t="s">
        <v>2515</v>
      </c>
      <c r="F2705">
        <v>6</v>
      </c>
      <c r="G2705">
        <v>13</v>
      </c>
      <c r="H2705">
        <v>89</v>
      </c>
      <c r="I2705">
        <v>2</v>
      </c>
      <c r="J2705">
        <v>58.16</v>
      </c>
      <c r="K2705" t="s">
        <v>21</v>
      </c>
      <c r="L2705">
        <v>7322248</v>
      </c>
      <c r="M2705">
        <v>0</v>
      </c>
      <c r="N2705">
        <v>7322248</v>
      </c>
      <c r="O2705">
        <v>125898.34938101788</v>
      </c>
      <c r="P2705">
        <v>581600</v>
      </c>
      <c r="Q2705">
        <v>6740648</v>
      </c>
      <c r="R2705">
        <v>115898.34938101788</v>
      </c>
      <c r="S2705" t="s">
        <v>65</v>
      </c>
      <c r="T2705" t="s">
        <v>11448</v>
      </c>
      <c r="U2705">
        <v>517752</v>
      </c>
      <c r="V2705" t="s">
        <v>6312</v>
      </c>
      <c r="W2705">
        <v>45832</v>
      </c>
      <c r="X2705" t="s">
        <v>11449</v>
      </c>
      <c r="Y2705" t="s">
        <v>6</v>
      </c>
      <c r="Z2705" t="s">
        <v>17</v>
      </c>
      <c r="AA2705" t="s">
        <v>6637</v>
      </c>
      <c r="AB2705" t="s">
        <v>2509</v>
      </c>
      <c r="AC2705" t="s">
        <v>2571</v>
      </c>
      <c r="AD2705" t="s">
        <v>717</v>
      </c>
      <c r="AE2705" t="s">
        <v>11450</v>
      </c>
      <c r="AF2705" t="s">
        <v>11451</v>
      </c>
      <c r="AG2705" t="s">
        <v>11452</v>
      </c>
      <c r="AH2705" t="s">
        <v>6100</v>
      </c>
      <c r="AI2705" t="s">
        <v>6554</v>
      </c>
      <c r="AJ2705" t="s">
        <v>9351</v>
      </c>
      <c r="AK2705" t="s">
        <v>20</v>
      </c>
      <c r="AL2705" t="s">
        <v>22</v>
      </c>
      <c r="AM2705" t="s">
        <v>5654</v>
      </c>
      <c r="AN2705" t="s">
        <v>717</v>
      </c>
    </row>
    <row r="2706" spans="1:40" hidden="1">
      <c r="A2706">
        <v>2705</v>
      </c>
      <c r="B2706">
        <v>20</v>
      </c>
      <c r="C2706" s="58">
        <v>45835</v>
      </c>
      <c r="D2706" t="s">
        <v>13</v>
      </c>
      <c r="E2706" t="s">
        <v>2506</v>
      </c>
      <c r="F2706">
        <v>4</v>
      </c>
      <c r="G2706">
        <v>6</v>
      </c>
      <c r="H2706">
        <v>149</v>
      </c>
      <c r="I2706">
        <v>2</v>
      </c>
      <c r="J2706">
        <v>58.31</v>
      </c>
      <c r="K2706" t="s">
        <v>9</v>
      </c>
      <c r="L2706">
        <v>6800000</v>
      </c>
      <c r="M2706">
        <v>0</v>
      </c>
      <c r="N2706">
        <v>6800000</v>
      </c>
      <c r="O2706">
        <v>116618.07580174926</v>
      </c>
      <c r="P2706">
        <v>0</v>
      </c>
      <c r="Q2706">
        <v>6800000</v>
      </c>
      <c r="R2706">
        <v>116618.07580174926</v>
      </c>
      <c r="S2706" t="s">
        <v>65</v>
      </c>
      <c r="T2706" t="s">
        <v>2941</v>
      </c>
      <c r="U2706">
        <v>548500</v>
      </c>
      <c r="V2706" t="s">
        <v>8227</v>
      </c>
      <c r="W2706">
        <v>45833</v>
      </c>
      <c r="X2706" t="s">
        <v>11454</v>
      </c>
      <c r="Y2706" t="s">
        <v>6</v>
      </c>
      <c r="Z2706" t="s">
        <v>17</v>
      </c>
      <c r="AA2706" t="s">
        <v>6637</v>
      </c>
      <c r="AB2706" t="s">
        <v>2509</v>
      </c>
      <c r="AC2706" t="s">
        <v>2571</v>
      </c>
      <c r="AD2706" t="s">
        <v>717</v>
      </c>
      <c r="AE2706" t="s">
        <v>11455</v>
      </c>
      <c r="AF2706" t="s">
        <v>11456</v>
      </c>
      <c r="AG2706" t="s">
        <v>717</v>
      </c>
      <c r="AH2706" t="s">
        <v>6100</v>
      </c>
      <c r="AI2706" t="s">
        <v>10964</v>
      </c>
      <c r="AJ2706" t="s">
        <v>43</v>
      </c>
      <c r="AK2706" t="s">
        <v>24</v>
      </c>
      <c r="AL2706" t="s">
        <v>26</v>
      </c>
      <c r="AM2706" t="s">
        <v>5654</v>
      </c>
      <c r="AN2706" t="s">
        <v>717</v>
      </c>
    </row>
    <row r="2707" spans="1:40" hidden="1">
      <c r="A2707">
        <v>2706</v>
      </c>
      <c r="B2707">
        <v>21</v>
      </c>
      <c r="C2707" s="58">
        <v>45835</v>
      </c>
      <c r="D2707" t="s">
        <v>13</v>
      </c>
      <c r="E2707" t="s">
        <v>2515</v>
      </c>
      <c r="F2707">
        <v>7</v>
      </c>
      <c r="G2707">
        <v>14</v>
      </c>
      <c r="H2707">
        <v>97</v>
      </c>
      <c r="I2707">
        <v>1</v>
      </c>
      <c r="J2707">
        <v>42.75</v>
      </c>
      <c r="K2707" t="s">
        <v>21</v>
      </c>
      <c r="L2707">
        <v>5850700</v>
      </c>
      <c r="M2707">
        <v>0</v>
      </c>
      <c r="N2707">
        <v>5850700</v>
      </c>
      <c r="O2707">
        <v>136858.47953216374</v>
      </c>
      <c r="P2707">
        <v>427500</v>
      </c>
      <c r="Q2707">
        <v>5423200</v>
      </c>
      <c r="R2707">
        <v>126858.47953216374</v>
      </c>
      <c r="S2707" t="s">
        <v>65</v>
      </c>
      <c r="T2707" t="s">
        <v>11382</v>
      </c>
      <c r="U2707">
        <v>342000</v>
      </c>
      <c r="V2707" t="s">
        <v>6312</v>
      </c>
      <c r="W2707">
        <v>45825</v>
      </c>
      <c r="X2707" t="s">
        <v>11457</v>
      </c>
      <c r="Y2707" t="s">
        <v>6</v>
      </c>
      <c r="Z2707" t="s">
        <v>17</v>
      </c>
      <c r="AA2707" t="s">
        <v>6637</v>
      </c>
      <c r="AB2707" t="s">
        <v>2509</v>
      </c>
      <c r="AC2707" t="s">
        <v>2571</v>
      </c>
      <c r="AD2707" t="s">
        <v>717</v>
      </c>
      <c r="AE2707" t="s">
        <v>11458</v>
      </c>
      <c r="AF2707" t="s">
        <v>11459</v>
      </c>
      <c r="AG2707" t="s">
        <v>717</v>
      </c>
      <c r="AH2707" t="s">
        <v>2615</v>
      </c>
      <c r="AI2707" t="s">
        <v>2847</v>
      </c>
      <c r="AJ2707" t="s">
        <v>2940</v>
      </c>
      <c r="AK2707" t="s">
        <v>1884</v>
      </c>
      <c r="AL2707" t="s">
        <v>22</v>
      </c>
      <c r="AM2707" t="s">
        <v>10</v>
      </c>
      <c r="AN2707" t="s">
        <v>717</v>
      </c>
    </row>
    <row r="2708" spans="1:40" hidden="1">
      <c r="A2708">
        <v>2707</v>
      </c>
      <c r="B2708">
        <v>22</v>
      </c>
      <c r="C2708" s="58">
        <v>45835</v>
      </c>
      <c r="D2708" t="s">
        <v>13</v>
      </c>
      <c r="E2708" t="s">
        <v>2581</v>
      </c>
      <c r="F2708">
        <v>2</v>
      </c>
      <c r="G2708">
        <v>21</v>
      </c>
      <c r="H2708">
        <v>363</v>
      </c>
      <c r="I2708">
        <v>0</v>
      </c>
      <c r="J2708">
        <v>24.53</v>
      </c>
      <c r="K2708" t="s">
        <v>21</v>
      </c>
      <c r="L2708">
        <v>3753090</v>
      </c>
      <c r="M2708">
        <v>0</v>
      </c>
      <c r="N2708">
        <v>3753090</v>
      </c>
      <c r="O2708">
        <v>153000</v>
      </c>
      <c r="P2708">
        <v>245300</v>
      </c>
      <c r="Q2708">
        <v>3507790</v>
      </c>
      <c r="R2708">
        <v>143000</v>
      </c>
      <c r="S2708" t="s">
        <v>65</v>
      </c>
      <c r="T2708" t="s">
        <v>11397</v>
      </c>
      <c r="U2708">
        <v>457010</v>
      </c>
      <c r="V2708" t="s">
        <v>6312</v>
      </c>
      <c r="W2708">
        <v>45833</v>
      </c>
      <c r="X2708" t="s">
        <v>11460</v>
      </c>
      <c r="Y2708" t="s">
        <v>6</v>
      </c>
      <c r="Z2708" t="s">
        <v>17</v>
      </c>
      <c r="AA2708" t="s">
        <v>6637</v>
      </c>
      <c r="AB2708" t="s">
        <v>2509</v>
      </c>
      <c r="AC2708" t="s">
        <v>2571</v>
      </c>
      <c r="AD2708" t="s">
        <v>717</v>
      </c>
      <c r="AE2708" t="s">
        <v>11461</v>
      </c>
      <c r="AF2708" t="s">
        <v>11462</v>
      </c>
      <c r="AG2708" t="s">
        <v>11463</v>
      </c>
      <c r="AH2708" t="s">
        <v>2191</v>
      </c>
      <c r="AI2708" t="s">
        <v>2552</v>
      </c>
      <c r="AJ2708" t="s">
        <v>2514</v>
      </c>
      <c r="AK2708" t="s">
        <v>1884</v>
      </c>
      <c r="AL2708" t="s">
        <v>22</v>
      </c>
      <c r="AM2708" t="s">
        <v>10</v>
      </c>
      <c r="AN2708" t="s">
        <v>717</v>
      </c>
    </row>
    <row r="2709" spans="1:40" hidden="1">
      <c r="A2709">
        <v>2708</v>
      </c>
      <c r="B2709">
        <v>23</v>
      </c>
      <c r="C2709" s="58">
        <v>45836</v>
      </c>
      <c r="D2709" t="s">
        <v>13</v>
      </c>
      <c r="E2709" t="s">
        <v>2515</v>
      </c>
      <c r="F2709">
        <v>4</v>
      </c>
      <c r="G2709">
        <v>3</v>
      </c>
      <c r="H2709">
        <v>17</v>
      </c>
      <c r="I2709">
        <v>2</v>
      </c>
      <c r="J2709">
        <v>59.09</v>
      </c>
      <c r="K2709" t="s">
        <v>9</v>
      </c>
      <c r="L2709">
        <v>6795350</v>
      </c>
      <c r="M2709">
        <v>0</v>
      </c>
      <c r="N2709">
        <v>6795350</v>
      </c>
      <c r="O2709">
        <v>115000</v>
      </c>
      <c r="P2709">
        <v>0</v>
      </c>
      <c r="Q2709">
        <v>6795350</v>
      </c>
      <c r="R2709">
        <v>115000</v>
      </c>
      <c r="S2709" t="s">
        <v>65</v>
      </c>
      <c r="T2709" t="s">
        <v>11397</v>
      </c>
      <c r="U2709" t="s">
        <v>11464</v>
      </c>
      <c r="V2709" t="s">
        <v>6312</v>
      </c>
      <c r="W2709">
        <v>45827</v>
      </c>
      <c r="X2709" t="s">
        <v>11465</v>
      </c>
      <c r="Y2709" t="s">
        <v>6</v>
      </c>
      <c r="Z2709" t="s">
        <v>17</v>
      </c>
      <c r="AA2709" t="s">
        <v>6637</v>
      </c>
      <c r="AB2709" t="s">
        <v>2509</v>
      </c>
      <c r="AC2709" t="s">
        <v>2571</v>
      </c>
      <c r="AD2709" t="s">
        <v>717</v>
      </c>
      <c r="AE2709" t="s">
        <v>11466</v>
      </c>
      <c r="AF2709" t="s">
        <v>11467</v>
      </c>
      <c r="AG2709" t="s">
        <v>11468</v>
      </c>
      <c r="AH2709" t="s">
        <v>6100</v>
      </c>
      <c r="AI2709" t="s">
        <v>10676</v>
      </c>
      <c r="AJ2709" t="s">
        <v>45</v>
      </c>
      <c r="AK2709" t="s">
        <v>8</v>
      </c>
      <c r="AL2709" t="s">
        <v>26</v>
      </c>
      <c r="AM2709" t="s">
        <v>5654</v>
      </c>
      <c r="AN2709" t="s">
        <v>717</v>
      </c>
    </row>
    <row r="2710" spans="1:40" hidden="1">
      <c r="A2710">
        <v>2709</v>
      </c>
      <c r="B2710">
        <v>24</v>
      </c>
      <c r="C2710" s="58">
        <v>45836</v>
      </c>
      <c r="D2710" t="s">
        <v>13</v>
      </c>
      <c r="E2710" t="s">
        <v>2515</v>
      </c>
      <c r="F2710">
        <v>4</v>
      </c>
      <c r="G2710">
        <v>14</v>
      </c>
      <c r="H2710">
        <v>94</v>
      </c>
      <c r="I2710">
        <v>2</v>
      </c>
      <c r="J2710">
        <v>59.09</v>
      </c>
      <c r="K2710" t="s">
        <v>25</v>
      </c>
      <c r="L2710">
        <v>8272600</v>
      </c>
      <c r="M2710">
        <v>0</v>
      </c>
      <c r="N2710">
        <v>8272600</v>
      </c>
      <c r="O2710">
        <v>140000</v>
      </c>
      <c r="P2710">
        <v>1477250</v>
      </c>
      <c r="Q2710">
        <v>6795350</v>
      </c>
      <c r="R2710">
        <v>115000</v>
      </c>
      <c r="S2710" t="s">
        <v>130</v>
      </c>
      <c r="T2710" t="s">
        <v>11397</v>
      </c>
      <c r="U2710">
        <v>438050</v>
      </c>
      <c r="V2710" t="s">
        <v>717</v>
      </c>
      <c r="W2710">
        <v>45834</v>
      </c>
      <c r="X2710" t="s">
        <v>11469</v>
      </c>
      <c r="Y2710" t="s">
        <v>6</v>
      </c>
      <c r="Z2710" t="s">
        <v>17</v>
      </c>
      <c r="AA2710" t="s">
        <v>6637</v>
      </c>
      <c r="AB2710" t="s">
        <v>2509</v>
      </c>
      <c r="AC2710" t="s">
        <v>717</v>
      </c>
      <c r="AD2710" t="s">
        <v>717</v>
      </c>
      <c r="AE2710" t="s">
        <v>11470</v>
      </c>
      <c r="AF2710" t="s">
        <v>11471</v>
      </c>
      <c r="AG2710" t="s">
        <v>11472</v>
      </c>
      <c r="AH2710" t="s">
        <v>2615</v>
      </c>
      <c r="AI2710" t="s">
        <v>2552</v>
      </c>
      <c r="AJ2710" t="s">
        <v>2895</v>
      </c>
      <c r="AK2710" t="s">
        <v>28</v>
      </c>
      <c r="AL2710" t="s">
        <v>717</v>
      </c>
      <c r="AM2710" t="s">
        <v>10</v>
      </c>
      <c r="AN2710" t="s">
        <v>717</v>
      </c>
    </row>
    <row r="2711" spans="1:40" hidden="1">
      <c r="A2711">
        <v>2710</v>
      </c>
      <c r="B2711">
        <v>25</v>
      </c>
      <c r="C2711" s="58">
        <v>45838</v>
      </c>
      <c r="D2711" t="s">
        <v>1876</v>
      </c>
      <c r="E2711" t="s">
        <v>10458</v>
      </c>
      <c r="F2711">
        <v>2</v>
      </c>
      <c r="G2711">
        <v>8</v>
      </c>
      <c r="H2711">
        <v>146</v>
      </c>
      <c r="I2711">
        <v>1</v>
      </c>
      <c r="J2711">
        <v>36.630000000000003</v>
      </c>
      <c r="K2711" t="s">
        <v>9</v>
      </c>
      <c r="L2711">
        <v>4611488</v>
      </c>
      <c r="M2711">
        <v>0</v>
      </c>
      <c r="N2711">
        <v>4611488</v>
      </c>
      <c r="O2711">
        <v>125893.74829374829</v>
      </c>
      <c r="P2711">
        <v>0</v>
      </c>
      <c r="Q2711">
        <v>4611488</v>
      </c>
      <c r="R2711">
        <v>125893.74829374829</v>
      </c>
      <c r="S2711" t="s">
        <v>130</v>
      </c>
      <c r="T2711" t="s">
        <v>8002</v>
      </c>
      <c r="U2711">
        <v>94112</v>
      </c>
      <c r="V2711" t="s">
        <v>717</v>
      </c>
      <c r="W2711">
        <v>45832</v>
      </c>
      <c r="X2711" t="s">
        <v>11483</v>
      </c>
      <c r="Y2711" t="s">
        <v>6</v>
      </c>
      <c r="Z2711" t="s">
        <v>17</v>
      </c>
      <c r="AA2711" t="s">
        <v>6637</v>
      </c>
      <c r="AB2711" t="s">
        <v>2509</v>
      </c>
      <c r="AC2711" t="s">
        <v>717</v>
      </c>
      <c r="AD2711" t="s">
        <v>717</v>
      </c>
      <c r="AE2711" t="s">
        <v>10949</v>
      </c>
      <c r="AF2711" t="s">
        <v>11484</v>
      </c>
      <c r="AG2711" t="s">
        <v>10951</v>
      </c>
      <c r="AH2711" t="s">
        <v>6100</v>
      </c>
      <c r="AI2711" t="s">
        <v>10676</v>
      </c>
      <c r="AJ2711" t="s">
        <v>45</v>
      </c>
      <c r="AK2711" t="s">
        <v>1884</v>
      </c>
      <c r="AL2711" t="s">
        <v>717</v>
      </c>
      <c r="AM2711" t="s">
        <v>5654</v>
      </c>
      <c r="AN2711" t="s">
        <v>717</v>
      </c>
    </row>
    <row r="2712" spans="1:40" hidden="1">
      <c r="A2712">
        <v>2711</v>
      </c>
      <c r="B2712">
        <v>26</v>
      </c>
      <c r="C2712" s="58">
        <v>45838</v>
      </c>
      <c r="D2712" t="s">
        <v>13</v>
      </c>
      <c r="E2712" t="s">
        <v>2506</v>
      </c>
      <c r="F2712">
        <v>6</v>
      </c>
      <c r="G2712">
        <v>11</v>
      </c>
      <c r="H2712">
        <v>186</v>
      </c>
      <c r="I2712">
        <v>3</v>
      </c>
      <c r="J2712">
        <v>84.99</v>
      </c>
      <c r="K2712" t="s">
        <v>9</v>
      </c>
      <c r="L2712">
        <v>8500000</v>
      </c>
      <c r="M2712">
        <v>0</v>
      </c>
      <c r="N2712">
        <v>8500000</v>
      </c>
      <c r="O2712">
        <v>100011.76609012824</v>
      </c>
      <c r="P2712">
        <v>0</v>
      </c>
      <c r="Q2712">
        <v>8500000</v>
      </c>
      <c r="R2712">
        <v>100011.76609012824</v>
      </c>
      <c r="S2712" t="s">
        <v>65</v>
      </c>
      <c r="T2712" t="s">
        <v>11453</v>
      </c>
      <c r="U2712">
        <v>936800</v>
      </c>
      <c r="V2712" t="s">
        <v>6312</v>
      </c>
      <c r="W2712">
        <v>45833</v>
      </c>
      <c r="X2712" t="s">
        <v>11485</v>
      </c>
      <c r="Y2712" t="s">
        <v>6</v>
      </c>
      <c r="Z2712" t="s">
        <v>17</v>
      </c>
      <c r="AA2712" t="s">
        <v>6637</v>
      </c>
      <c r="AB2712" t="s">
        <v>2509</v>
      </c>
      <c r="AC2712" t="s">
        <v>2571</v>
      </c>
      <c r="AD2712" t="s">
        <v>717</v>
      </c>
      <c r="AE2712" t="s">
        <v>11486</v>
      </c>
      <c r="AF2712" t="s">
        <v>11487</v>
      </c>
      <c r="AG2712" t="s">
        <v>717</v>
      </c>
      <c r="AH2712" t="s">
        <v>2552</v>
      </c>
      <c r="AI2712" t="s">
        <v>2547</v>
      </c>
      <c r="AJ2712" t="s">
        <v>2855</v>
      </c>
      <c r="AK2712" t="s">
        <v>24</v>
      </c>
      <c r="AL2712" t="s">
        <v>26</v>
      </c>
      <c r="AM2712" t="s">
        <v>10</v>
      </c>
      <c r="AN2712" t="s">
        <v>717</v>
      </c>
    </row>
    <row r="2713" spans="1:40" hidden="1">
      <c r="A2713">
        <v>2712</v>
      </c>
      <c r="B2713">
        <v>27</v>
      </c>
      <c r="C2713" s="58">
        <v>45838</v>
      </c>
      <c r="D2713" t="s">
        <v>13</v>
      </c>
      <c r="E2713" t="s">
        <v>2581</v>
      </c>
      <c r="F2713">
        <v>2</v>
      </c>
      <c r="G2713">
        <v>9</v>
      </c>
      <c r="H2713">
        <v>279</v>
      </c>
      <c r="I2713">
        <v>0</v>
      </c>
      <c r="J2713">
        <v>24.53</v>
      </c>
      <c r="K2713" t="s">
        <v>25</v>
      </c>
      <c r="L2713">
        <v>4121040</v>
      </c>
      <c r="M2713">
        <v>0</v>
      </c>
      <c r="N2713">
        <v>4121040</v>
      </c>
      <c r="O2713">
        <v>168000</v>
      </c>
      <c r="P2713">
        <v>613250</v>
      </c>
      <c r="Q2713">
        <v>3507790</v>
      </c>
      <c r="R2713">
        <v>143000</v>
      </c>
      <c r="S2713" t="s">
        <v>65</v>
      </c>
      <c r="T2713" t="s">
        <v>11397</v>
      </c>
      <c r="U2713">
        <v>249410</v>
      </c>
      <c r="V2713" t="s">
        <v>6312</v>
      </c>
      <c r="W2713">
        <v>45833</v>
      </c>
      <c r="X2713" t="s">
        <v>11488</v>
      </c>
      <c r="Y2713" t="s">
        <v>6</v>
      </c>
      <c r="Z2713" t="s">
        <v>17</v>
      </c>
      <c r="AA2713" t="s">
        <v>6637</v>
      </c>
      <c r="AB2713" t="s">
        <v>2509</v>
      </c>
      <c r="AC2713" t="s">
        <v>2571</v>
      </c>
      <c r="AD2713" t="s">
        <v>717</v>
      </c>
      <c r="AE2713" t="s">
        <v>11489</v>
      </c>
      <c r="AF2713" t="s">
        <v>11490</v>
      </c>
      <c r="AG2713" t="s">
        <v>11491</v>
      </c>
      <c r="AH2713" t="s">
        <v>2552</v>
      </c>
      <c r="AI2713" t="s">
        <v>2547</v>
      </c>
      <c r="AJ2713" t="s">
        <v>2855</v>
      </c>
      <c r="AK2713" t="s">
        <v>20</v>
      </c>
      <c r="AL2713" t="s">
        <v>22</v>
      </c>
      <c r="AM2713" t="s">
        <v>10</v>
      </c>
      <c r="AN2713" t="s">
        <v>717</v>
      </c>
    </row>
    <row r="2714" spans="1:40" hidden="1">
      <c r="A2714">
        <v>2713</v>
      </c>
      <c r="B2714">
        <v>1</v>
      </c>
      <c r="C2714" s="58">
        <v>45839</v>
      </c>
      <c r="D2714" t="s">
        <v>1876</v>
      </c>
      <c r="E2714" t="s">
        <v>10295</v>
      </c>
      <c r="F2714">
        <v>6</v>
      </c>
      <c r="G2714">
        <v>15</v>
      </c>
      <c r="H2714">
        <v>84</v>
      </c>
      <c r="I2714">
        <v>1</v>
      </c>
      <c r="J2714">
        <v>44.9</v>
      </c>
      <c r="K2714" t="s">
        <v>9</v>
      </c>
      <c r="L2714">
        <v>5596976</v>
      </c>
      <c r="M2714">
        <v>0</v>
      </c>
      <c r="N2714">
        <v>5596976</v>
      </c>
      <c r="O2714">
        <v>124654.25389755012</v>
      </c>
      <c r="P2714">
        <v>0</v>
      </c>
      <c r="Q2714">
        <v>5596976</v>
      </c>
      <c r="R2714">
        <v>124654.25389755012</v>
      </c>
      <c r="S2714" t="s">
        <v>130</v>
      </c>
      <c r="T2714" t="s">
        <v>8002</v>
      </c>
      <c r="U2714">
        <v>114223.99999999908</v>
      </c>
      <c r="V2714" t="s">
        <v>717</v>
      </c>
      <c r="W2714">
        <v>45838</v>
      </c>
      <c r="X2714" t="s">
        <v>11493</v>
      </c>
      <c r="Y2714" t="s">
        <v>6</v>
      </c>
      <c r="Z2714" t="s">
        <v>17</v>
      </c>
      <c r="AA2714" t="s">
        <v>6637</v>
      </c>
      <c r="AB2714" t="s">
        <v>2509</v>
      </c>
      <c r="AC2714" t="s">
        <v>717</v>
      </c>
      <c r="AD2714" t="s">
        <v>717</v>
      </c>
      <c r="AE2714" t="s">
        <v>10949</v>
      </c>
      <c r="AF2714" t="s">
        <v>10950</v>
      </c>
      <c r="AG2714" t="s">
        <v>10951</v>
      </c>
      <c r="AH2714" t="s">
        <v>6100</v>
      </c>
      <c r="AI2714" t="s">
        <v>10676</v>
      </c>
      <c r="AJ2714" t="s">
        <v>45</v>
      </c>
      <c r="AK2714" t="s">
        <v>8</v>
      </c>
      <c r="AL2714" t="s">
        <v>717</v>
      </c>
      <c r="AM2714" t="s">
        <v>5654</v>
      </c>
      <c r="AN2714" t="s">
        <v>717</v>
      </c>
    </row>
    <row r="2715" spans="1:40" hidden="1">
      <c r="A2715">
        <v>2714</v>
      </c>
      <c r="B2715">
        <v>2</v>
      </c>
      <c r="C2715" s="58">
        <v>45847</v>
      </c>
      <c r="D2715" t="s">
        <v>1875</v>
      </c>
      <c r="E2715" t="s">
        <v>10295</v>
      </c>
      <c r="F2715">
        <v>3</v>
      </c>
      <c r="G2715">
        <v>1</v>
      </c>
      <c r="H2715">
        <v>3</v>
      </c>
      <c r="I2715" t="s">
        <v>1368</v>
      </c>
      <c r="J2715">
        <v>40.89</v>
      </c>
      <c r="K2715" t="s">
        <v>9</v>
      </c>
      <c r="L2715">
        <v>5724600</v>
      </c>
      <c r="M2715">
        <v>0</v>
      </c>
      <c r="N2715">
        <v>5724600</v>
      </c>
      <c r="O2715">
        <v>140000</v>
      </c>
      <c r="P2715">
        <v>0</v>
      </c>
      <c r="Q2715">
        <v>5724600</v>
      </c>
      <c r="R2715">
        <v>140000</v>
      </c>
      <c r="S2715" t="s">
        <v>130</v>
      </c>
      <c r="T2715" t="s">
        <v>717</v>
      </c>
      <c r="U2715" t="s">
        <v>717</v>
      </c>
      <c r="V2715" t="s">
        <v>717</v>
      </c>
      <c r="W2715">
        <v>45845</v>
      </c>
      <c r="X2715" t="s">
        <v>11508</v>
      </c>
      <c r="Y2715" t="s">
        <v>1368</v>
      </c>
      <c r="Z2715" t="s">
        <v>17</v>
      </c>
      <c r="AA2715" t="s">
        <v>5617</v>
      </c>
      <c r="AB2715" t="s">
        <v>2509</v>
      </c>
      <c r="AC2715" t="s">
        <v>717</v>
      </c>
      <c r="AD2715" t="s">
        <v>717</v>
      </c>
      <c r="AE2715" t="s">
        <v>11509</v>
      </c>
      <c r="AF2715" t="s">
        <v>11510</v>
      </c>
      <c r="AG2715" t="s">
        <v>11511</v>
      </c>
      <c r="AH2715" t="s">
        <v>2615</v>
      </c>
      <c r="AI2715" t="s">
        <v>2521</v>
      </c>
      <c r="AJ2715" t="s">
        <v>11239</v>
      </c>
      <c r="AK2715" t="s">
        <v>24</v>
      </c>
      <c r="AL2715" t="s">
        <v>717</v>
      </c>
      <c r="AM2715" t="s">
        <v>10</v>
      </c>
      <c r="AN2715" t="s">
        <v>717</v>
      </c>
    </row>
    <row r="2716" spans="1:40" hidden="1">
      <c r="A2716">
        <v>2715</v>
      </c>
      <c r="B2716">
        <v>3</v>
      </c>
      <c r="C2716" s="58">
        <v>45847</v>
      </c>
      <c r="D2716" t="s">
        <v>1876</v>
      </c>
      <c r="E2716" t="s">
        <v>10295</v>
      </c>
      <c r="F2716">
        <v>6</v>
      </c>
      <c r="G2716">
        <v>7</v>
      </c>
      <c r="H2716">
        <v>36</v>
      </c>
      <c r="I2716">
        <v>1</v>
      </c>
      <c r="J2716">
        <v>45.26</v>
      </c>
      <c r="K2716" t="s">
        <v>25</v>
      </c>
      <c r="L2716">
        <v>6773360</v>
      </c>
      <c r="M2716">
        <v>0</v>
      </c>
      <c r="N2716">
        <v>6773360</v>
      </c>
      <c r="O2716">
        <v>149654.44100751216</v>
      </c>
      <c r="P2716">
        <v>1131500</v>
      </c>
      <c r="Q2716">
        <v>5641860</v>
      </c>
      <c r="R2716">
        <v>124654.44100751216</v>
      </c>
      <c r="S2716" t="s">
        <v>130</v>
      </c>
      <c r="T2716" t="s">
        <v>2664</v>
      </c>
      <c r="U2716">
        <v>115140</v>
      </c>
      <c r="V2716" t="s">
        <v>717</v>
      </c>
      <c r="W2716">
        <v>45846</v>
      </c>
      <c r="X2716" t="s">
        <v>11512</v>
      </c>
      <c r="Y2716" t="s">
        <v>6</v>
      </c>
      <c r="Z2716" t="s">
        <v>17</v>
      </c>
      <c r="AA2716" t="s">
        <v>5617</v>
      </c>
      <c r="AB2716" t="s">
        <v>2509</v>
      </c>
      <c r="AC2716" t="s">
        <v>717</v>
      </c>
      <c r="AD2716" t="s">
        <v>717</v>
      </c>
      <c r="AE2716" t="s">
        <v>11513</v>
      </c>
      <c r="AF2716" t="s">
        <v>11514</v>
      </c>
      <c r="AG2716" t="s">
        <v>11515</v>
      </c>
      <c r="AH2716" t="s">
        <v>2552</v>
      </c>
      <c r="AI2716" t="s">
        <v>2552</v>
      </c>
      <c r="AJ2716" t="s">
        <v>2662</v>
      </c>
      <c r="AK2716" t="s">
        <v>8</v>
      </c>
      <c r="AL2716" t="s">
        <v>717</v>
      </c>
      <c r="AM2716" t="s">
        <v>10</v>
      </c>
      <c r="AN2716" t="s">
        <v>717</v>
      </c>
    </row>
    <row r="2717" spans="1:40" hidden="1">
      <c r="A2717">
        <v>2716</v>
      </c>
      <c r="B2717">
        <v>4</v>
      </c>
      <c r="C2717" s="58">
        <v>45848</v>
      </c>
      <c r="D2717" t="s">
        <v>1875</v>
      </c>
      <c r="E2717" t="s">
        <v>10295</v>
      </c>
      <c r="F2717">
        <v>3</v>
      </c>
      <c r="G2717">
        <v>6</v>
      </c>
      <c r="H2717">
        <v>19</v>
      </c>
      <c r="I2717">
        <v>2</v>
      </c>
      <c r="J2717">
        <v>51.79</v>
      </c>
      <c r="K2717" t="s">
        <v>9</v>
      </c>
      <c r="L2717">
        <v>6661378</v>
      </c>
      <c r="M2717">
        <v>0</v>
      </c>
      <c r="N2717">
        <v>6661378</v>
      </c>
      <c r="O2717">
        <v>128622.861556285</v>
      </c>
      <c r="P2717">
        <v>0</v>
      </c>
      <c r="Q2717">
        <v>6661378</v>
      </c>
      <c r="R2717">
        <v>128622.861556285</v>
      </c>
      <c r="S2717" t="s">
        <v>130</v>
      </c>
      <c r="T2717" t="s">
        <v>11516</v>
      </c>
      <c r="U2717">
        <v>206022.00000000093</v>
      </c>
      <c r="V2717" t="s">
        <v>717</v>
      </c>
      <c r="W2717">
        <v>45847</v>
      </c>
      <c r="X2717" t="s">
        <v>11517</v>
      </c>
      <c r="Y2717" t="s">
        <v>6</v>
      </c>
      <c r="Z2717" t="s">
        <v>17</v>
      </c>
      <c r="AA2717" t="s">
        <v>6637</v>
      </c>
      <c r="AB2717" t="s">
        <v>2509</v>
      </c>
      <c r="AC2717" t="s">
        <v>717</v>
      </c>
      <c r="AD2717" t="s">
        <v>717</v>
      </c>
      <c r="AE2717" t="s">
        <v>11518</v>
      </c>
      <c r="AF2717" t="s">
        <v>11519</v>
      </c>
      <c r="AG2717" t="s">
        <v>11520</v>
      </c>
      <c r="AH2717" t="s">
        <v>6100</v>
      </c>
      <c r="AI2717" t="s">
        <v>10676</v>
      </c>
      <c r="AJ2717">
        <v>0</v>
      </c>
      <c r="AK2717" t="s">
        <v>14</v>
      </c>
      <c r="AL2717" t="s">
        <v>717</v>
      </c>
      <c r="AM2717" t="s">
        <v>5654</v>
      </c>
      <c r="AN2717" t="s">
        <v>717</v>
      </c>
    </row>
    <row r="2718" spans="1:40" hidden="1">
      <c r="A2718">
        <v>2717</v>
      </c>
      <c r="B2718">
        <v>5</v>
      </c>
      <c r="C2718" s="58">
        <v>45850</v>
      </c>
      <c r="D2718" t="s">
        <v>1875</v>
      </c>
      <c r="E2718" t="s">
        <v>10458</v>
      </c>
      <c r="F2718">
        <v>5</v>
      </c>
      <c r="G2718">
        <v>3</v>
      </c>
      <c r="H2718">
        <v>66</v>
      </c>
      <c r="I2718">
        <v>2</v>
      </c>
      <c r="J2718">
        <v>49.2</v>
      </c>
      <c r="K2718" t="s">
        <v>9</v>
      </c>
      <c r="L2718">
        <v>6268080</v>
      </c>
      <c r="M2718">
        <v>0</v>
      </c>
      <c r="N2718">
        <v>6268080</v>
      </c>
      <c r="O2718">
        <v>127400</v>
      </c>
      <c r="P2718">
        <v>0</v>
      </c>
      <c r="Q2718">
        <v>6268080</v>
      </c>
      <c r="R2718">
        <v>127400</v>
      </c>
      <c r="S2718" t="s">
        <v>65</v>
      </c>
      <c r="T2718" t="s">
        <v>2664</v>
      </c>
      <c r="U2718">
        <v>127920</v>
      </c>
      <c r="V2718" t="s">
        <v>6312</v>
      </c>
      <c r="W2718">
        <v>45841</v>
      </c>
      <c r="X2718" t="s">
        <v>11018</v>
      </c>
      <c r="Y2718" t="s">
        <v>6</v>
      </c>
      <c r="Z2718" t="s">
        <v>17</v>
      </c>
      <c r="AA2718" t="s">
        <v>6637</v>
      </c>
      <c r="AB2718" t="s">
        <v>2509</v>
      </c>
      <c r="AC2718" t="s">
        <v>2571</v>
      </c>
      <c r="AD2718" t="s">
        <v>717</v>
      </c>
      <c r="AE2718" t="s">
        <v>11521</v>
      </c>
      <c r="AF2718" t="s">
        <v>11522</v>
      </c>
      <c r="AG2718" t="s">
        <v>11523</v>
      </c>
      <c r="AH2718" t="s">
        <v>2615</v>
      </c>
      <c r="AI2718" t="s">
        <v>2521</v>
      </c>
      <c r="AJ2718">
        <v>0</v>
      </c>
      <c r="AK2718" t="s">
        <v>14</v>
      </c>
      <c r="AL2718" t="s">
        <v>26</v>
      </c>
      <c r="AM2718" t="s">
        <v>10</v>
      </c>
      <c r="AN2718" t="s">
        <v>717</v>
      </c>
    </row>
    <row r="2719" spans="1:40" hidden="1">
      <c r="A2719">
        <v>2718</v>
      </c>
      <c r="B2719">
        <v>6</v>
      </c>
      <c r="C2719" s="58">
        <v>45852</v>
      </c>
      <c r="D2719" t="s">
        <v>1876</v>
      </c>
      <c r="E2719" t="s">
        <v>10835</v>
      </c>
      <c r="F2719">
        <v>2</v>
      </c>
      <c r="G2719">
        <v>13</v>
      </c>
      <c r="H2719">
        <v>248</v>
      </c>
      <c r="I2719">
        <v>1</v>
      </c>
      <c r="J2719">
        <v>36.549999999999997</v>
      </c>
      <c r="K2719" t="s">
        <v>25</v>
      </c>
      <c r="L2719">
        <v>5636462</v>
      </c>
      <c r="M2719">
        <v>15000</v>
      </c>
      <c r="N2719">
        <v>5651462</v>
      </c>
      <c r="O2719">
        <v>154622.7633378933</v>
      </c>
      <c r="P2719">
        <v>913749.99999999988</v>
      </c>
      <c r="Q2719">
        <v>4737712</v>
      </c>
      <c r="R2719">
        <v>129622.76333789332</v>
      </c>
      <c r="S2719" t="s">
        <v>130</v>
      </c>
      <c r="T2719" t="s">
        <v>2664</v>
      </c>
      <c r="U2719">
        <v>96688</v>
      </c>
      <c r="V2719" t="s">
        <v>717</v>
      </c>
      <c r="W2719">
        <v>45852</v>
      </c>
      <c r="X2719" t="s">
        <v>11524</v>
      </c>
      <c r="Y2719" t="s">
        <v>6</v>
      </c>
      <c r="Z2719" t="s">
        <v>17</v>
      </c>
      <c r="AA2719" t="s">
        <v>6637</v>
      </c>
      <c r="AB2719" t="s">
        <v>2509</v>
      </c>
      <c r="AC2719" t="s">
        <v>717</v>
      </c>
      <c r="AD2719" t="s">
        <v>717</v>
      </c>
      <c r="AE2719" t="s">
        <v>11525</v>
      </c>
      <c r="AF2719" t="s">
        <v>11526</v>
      </c>
      <c r="AG2719" t="s">
        <v>11527</v>
      </c>
      <c r="AH2719" t="s">
        <v>2615</v>
      </c>
      <c r="AI2719" t="s">
        <v>2521</v>
      </c>
      <c r="AJ2719" t="s">
        <v>45</v>
      </c>
      <c r="AK2719" t="s">
        <v>1884</v>
      </c>
      <c r="AL2719" t="s">
        <v>22</v>
      </c>
      <c r="AM2719" t="s">
        <v>10</v>
      </c>
      <c r="AN2719" t="s">
        <v>717</v>
      </c>
    </row>
    <row r="2720" spans="1:40" hidden="1">
      <c r="A2720">
        <v>2719</v>
      </c>
      <c r="B2720">
        <v>7</v>
      </c>
      <c r="C2720" s="58">
        <v>45853</v>
      </c>
      <c r="D2720" t="s">
        <v>1876</v>
      </c>
      <c r="E2720" t="s">
        <v>10458</v>
      </c>
      <c r="F2720">
        <v>2</v>
      </c>
      <c r="G2720">
        <v>9</v>
      </c>
      <c r="H2720">
        <v>152</v>
      </c>
      <c r="I2720">
        <v>1</v>
      </c>
      <c r="J2720">
        <v>36.630000000000003</v>
      </c>
      <c r="K2720" t="s">
        <v>25</v>
      </c>
      <c r="L2720">
        <v>5527238</v>
      </c>
      <c r="M2720">
        <v>0</v>
      </c>
      <c r="N2720">
        <v>5527238</v>
      </c>
      <c r="O2720">
        <v>150893.74829374827</v>
      </c>
      <c r="P2720">
        <v>915750.00000000012</v>
      </c>
      <c r="Q2720">
        <v>4611488</v>
      </c>
      <c r="R2720">
        <v>125893.74829374829</v>
      </c>
      <c r="S2720" t="s">
        <v>65</v>
      </c>
      <c r="T2720" t="s">
        <v>11528</v>
      </c>
      <c r="U2720">
        <v>94112</v>
      </c>
      <c r="V2720" t="s">
        <v>6312</v>
      </c>
      <c r="W2720">
        <v>45853</v>
      </c>
      <c r="X2720" t="s">
        <v>11529</v>
      </c>
      <c r="Y2720" t="s">
        <v>6</v>
      </c>
      <c r="Z2720" t="s">
        <v>17</v>
      </c>
      <c r="AA2720" t="s">
        <v>6637</v>
      </c>
      <c r="AB2720" t="s">
        <v>2509</v>
      </c>
      <c r="AC2720" t="s">
        <v>2571</v>
      </c>
      <c r="AD2720" t="s">
        <v>717</v>
      </c>
      <c r="AE2720" t="s">
        <v>11530</v>
      </c>
      <c r="AF2720" t="s">
        <v>11531</v>
      </c>
      <c r="AG2720" t="s">
        <v>11532</v>
      </c>
      <c r="AH2720" t="s">
        <v>2552</v>
      </c>
      <c r="AI2720" t="s">
        <v>2547</v>
      </c>
      <c r="AJ2720" t="s">
        <v>2662</v>
      </c>
      <c r="AK2720" t="s">
        <v>1884</v>
      </c>
      <c r="AL2720" t="s">
        <v>26</v>
      </c>
      <c r="AM2720" t="s">
        <v>10</v>
      </c>
      <c r="AN2720" t="s">
        <v>717</v>
      </c>
    </row>
    <row r="2721" spans="1:40" hidden="1">
      <c r="A2721">
        <v>2720</v>
      </c>
      <c r="B2721">
        <v>8</v>
      </c>
      <c r="C2721" s="58">
        <v>45856</v>
      </c>
      <c r="D2721" t="s">
        <v>1875</v>
      </c>
      <c r="E2721" t="s">
        <v>10295</v>
      </c>
      <c r="F2721">
        <v>3</v>
      </c>
      <c r="G2721">
        <v>7</v>
      </c>
      <c r="H2721">
        <v>23</v>
      </c>
      <c r="I2721">
        <v>2</v>
      </c>
      <c r="J2721">
        <v>51.79</v>
      </c>
      <c r="K2721" t="s">
        <v>9</v>
      </c>
      <c r="L2721">
        <v>6583046</v>
      </c>
      <c r="M2721">
        <v>15000</v>
      </c>
      <c r="N2721">
        <v>6598046</v>
      </c>
      <c r="O2721">
        <v>127400</v>
      </c>
      <c r="P2721">
        <v>0</v>
      </c>
      <c r="Q2721">
        <v>6598046</v>
      </c>
      <c r="R2721">
        <v>127400</v>
      </c>
      <c r="S2721" t="s">
        <v>65</v>
      </c>
      <c r="T2721" t="s">
        <v>2664</v>
      </c>
      <c r="U2721">
        <v>134654</v>
      </c>
      <c r="V2721" t="s">
        <v>6312</v>
      </c>
      <c r="W2721">
        <v>45848</v>
      </c>
      <c r="X2721" t="s">
        <v>11533</v>
      </c>
      <c r="Y2721" t="s">
        <v>6</v>
      </c>
      <c r="Z2721" t="s">
        <v>17</v>
      </c>
      <c r="AA2721" t="s">
        <v>6637</v>
      </c>
      <c r="AB2721" t="s">
        <v>2509</v>
      </c>
      <c r="AC2721" t="s">
        <v>2571</v>
      </c>
      <c r="AD2721" t="s">
        <v>717</v>
      </c>
      <c r="AE2721" t="s">
        <v>11534</v>
      </c>
      <c r="AF2721" t="s">
        <v>11535</v>
      </c>
      <c r="AG2721" t="s">
        <v>11536</v>
      </c>
      <c r="AH2721" t="s">
        <v>2615</v>
      </c>
      <c r="AI2721" t="s">
        <v>6951</v>
      </c>
      <c r="AJ2721">
        <v>0</v>
      </c>
      <c r="AK2721" t="s">
        <v>28</v>
      </c>
      <c r="AL2721" t="s">
        <v>26</v>
      </c>
      <c r="AM2721" t="s">
        <v>10</v>
      </c>
      <c r="AN2721" t="s">
        <v>717</v>
      </c>
    </row>
    <row r="2722" spans="1:40" hidden="1">
      <c r="A2722">
        <v>2721</v>
      </c>
      <c r="B2722">
        <v>9</v>
      </c>
      <c r="C2722" s="58">
        <v>45863</v>
      </c>
      <c r="D2722" t="s">
        <v>13</v>
      </c>
      <c r="E2722" t="s">
        <v>2515</v>
      </c>
      <c r="F2722">
        <v>2</v>
      </c>
      <c r="G2722">
        <v>12</v>
      </c>
      <c r="H2722">
        <v>78</v>
      </c>
      <c r="I2722">
        <v>2</v>
      </c>
      <c r="J2722">
        <v>68.3</v>
      </c>
      <c r="K2722" t="s">
        <v>9</v>
      </c>
      <c r="L2722">
        <v>7639256</v>
      </c>
      <c r="M2722">
        <v>0</v>
      </c>
      <c r="N2722">
        <v>7639256</v>
      </c>
      <c r="O2722">
        <v>111848.5505124451</v>
      </c>
      <c r="P2722">
        <v>0</v>
      </c>
      <c r="Q2722">
        <v>7639256</v>
      </c>
      <c r="R2722">
        <v>111848.5505124451</v>
      </c>
      <c r="S2722" t="s">
        <v>130</v>
      </c>
      <c r="T2722" t="s">
        <v>11546</v>
      </c>
      <c r="U2722">
        <v>545544</v>
      </c>
      <c r="V2722" t="s">
        <v>717</v>
      </c>
      <c r="W2722">
        <v>45851</v>
      </c>
      <c r="X2722" t="s">
        <v>11547</v>
      </c>
      <c r="Y2722" t="s">
        <v>6</v>
      </c>
      <c r="Z2722" t="s">
        <v>11</v>
      </c>
      <c r="AA2722" t="s">
        <v>717</v>
      </c>
      <c r="AB2722" t="s">
        <v>2299</v>
      </c>
      <c r="AC2722" t="s">
        <v>717</v>
      </c>
      <c r="AD2722" t="s">
        <v>717</v>
      </c>
      <c r="AE2722" t="s">
        <v>11548</v>
      </c>
      <c r="AF2722" t="s">
        <v>11549</v>
      </c>
      <c r="AG2722" t="s">
        <v>11550</v>
      </c>
      <c r="AH2722" t="s">
        <v>6100</v>
      </c>
      <c r="AI2722" t="s">
        <v>11595</v>
      </c>
      <c r="AJ2722" t="s">
        <v>2569</v>
      </c>
      <c r="AK2722" t="s">
        <v>24</v>
      </c>
      <c r="AL2722" t="s">
        <v>717</v>
      </c>
      <c r="AM2722" t="s">
        <v>5654</v>
      </c>
      <c r="AN2722" t="s">
        <v>11406</v>
      </c>
    </row>
    <row r="2723" spans="1:40" hidden="1">
      <c r="A2723">
        <v>2722</v>
      </c>
      <c r="B2723">
        <v>10</v>
      </c>
      <c r="C2723" s="58">
        <v>45863</v>
      </c>
      <c r="D2723" t="s">
        <v>13</v>
      </c>
      <c r="E2723" t="s">
        <v>2581</v>
      </c>
      <c r="F2723">
        <v>2</v>
      </c>
      <c r="G2723">
        <v>19</v>
      </c>
      <c r="H2723">
        <v>349</v>
      </c>
      <c r="I2723">
        <v>0</v>
      </c>
      <c r="J2723">
        <v>24.35</v>
      </c>
      <c r="K2723" t="s">
        <v>21</v>
      </c>
      <c r="L2723">
        <v>3582201.9999999995</v>
      </c>
      <c r="M2723">
        <v>0</v>
      </c>
      <c r="N2723">
        <v>3582201.9999999995</v>
      </c>
      <c r="O2723">
        <v>147113.01848049278</v>
      </c>
      <c r="P2723">
        <v>243500</v>
      </c>
      <c r="Q2723">
        <v>3338701.9999999995</v>
      </c>
      <c r="R2723">
        <v>137113.01848049278</v>
      </c>
      <c r="S2723" t="s">
        <v>65</v>
      </c>
      <c r="T2723" t="s">
        <v>2941</v>
      </c>
      <c r="U2723">
        <v>626097.99999999953</v>
      </c>
      <c r="V2723" t="s">
        <v>6312</v>
      </c>
      <c r="W2723">
        <v>45856</v>
      </c>
      <c r="X2723" t="s">
        <v>11551</v>
      </c>
      <c r="Y2723" t="s">
        <v>6</v>
      </c>
      <c r="Z2723" t="s">
        <v>17</v>
      </c>
      <c r="AA2723" t="s">
        <v>6637</v>
      </c>
      <c r="AB2723" t="s">
        <v>326</v>
      </c>
      <c r="AC2723" t="s">
        <v>2571</v>
      </c>
      <c r="AD2723" t="s">
        <v>717</v>
      </c>
      <c r="AE2723" t="s">
        <v>11552</v>
      </c>
      <c r="AF2723" t="s">
        <v>11553</v>
      </c>
      <c r="AG2723" t="s">
        <v>11554</v>
      </c>
      <c r="AH2723" t="s">
        <v>2552</v>
      </c>
      <c r="AI2723" t="s">
        <v>2547</v>
      </c>
      <c r="AJ2723" t="s">
        <v>2855</v>
      </c>
      <c r="AK2723" t="s">
        <v>1884</v>
      </c>
      <c r="AL2723" t="s">
        <v>22</v>
      </c>
      <c r="AM2723" t="s">
        <v>10</v>
      </c>
      <c r="AN2723" t="s">
        <v>717</v>
      </c>
    </row>
    <row r="2724" spans="1:40" hidden="1">
      <c r="A2724">
        <v>2723</v>
      </c>
      <c r="B2724">
        <v>11</v>
      </c>
      <c r="C2724" s="58">
        <v>45867</v>
      </c>
      <c r="D2724" t="s">
        <v>1876</v>
      </c>
      <c r="E2724" t="s">
        <v>10835</v>
      </c>
      <c r="F2724">
        <v>4</v>
      </c>
      <c r="G2724">
        <v>7</v>
      </c>
      <c r="H2724">
        <v>214</v>
      </c>
      <c r="I2724">
        <v>1</v>
      </c>
      <c r="J2724">
        <v>36.39</v>
      </c>
      <c r="K2724" t="s">
        <v>9</v>
      </c>
      <c r="L2724">
        <v>4534556</v>
      </c>
      <c r="M2724">
        <v>0</v>
      </c>
      <c r="N2724">
        <v>4534556</v>
      </c>
      <c r="O2724">
        <v>124609.9477878538</v>
      </c>
      <c r="P2724">
        <v>0</v>
      </c>
      <c r="Q2724">
        <v>4534556</v>
      </c>
      <c r="R2724">
        <v>124609.9477878538</v>
      </c>
      <c r="S2724" t="s">
        <v>65</v>
      </c>
      <c r="T2724" t="s">
        <v>5768</v>
      </c>
      <c r="U2724">
        <v>140244</v>
      </c>
      <c r="V2724" t="s">
        <v>6312</v>
      </c>
      <c r="W2724">
        <v>45845</v>
      </c>
      <c r="X2724" t="s">
        <v>11557</v>
      </c>
      <c r="Y2724" t="s">
        <v>6</v>
      </c>
      <c r="Z2724" t="s">
        <v>17</v>
      </c>
      <c r="AA2724" t="s">
        <v>6637</v>
      </c>
      <c r="AB2724" t="s">
        <v>2509</v>
      </c>
      <c r="AC2724" t="s">
        <v>2571</v>
      </c>
      <c r="AD2724" t="s">
        <v>717</v>
      </c>
      <c r="AE2724" t="s">
        <v>11558</v>
      </c>
      <c r="AF2724" t="s">
        <v>11559</v>
      </c>
      <c r="AG2724" t="s">
        <v>11560</v>
      </c>
      <c r="AH2724" t="s">
        <v>2615</v>
      </c>
      <c r="AI2724" t="s">
        <v>2521</v>
      </c>
      <c r="AJ2724" t="s">
        <v>2895</v>
      </c>
      <c r="AK2724" t="s">
        <v>24</v>
      </c>
      <c r="AL2724" t="s">
        <v>26</v>
      </c>
      <c r="AM2724" t="s">
        <v>10</v>
      </c>
      <c r="AN2724" t="s">
        <v>717</v>
      </c>
    </row>
    <row r="2725" spans="1:40" hidden="1">
      <c r="A2725">
        <v>2724</v>
      </c>
      <c r="B2725">
        <v>12</v>
      </c>
      <c r="C2725" s="58">
        <v>45868</v>
      </c>
      <c r="D2725" t="s">
        <v>74</v>
      </c>
      <c r="E2725" t="s">
        <v>2515</v>
      </c>
      <c r="F2725">
        <v>2</v>
      </c>
      <c r="G2725">
        <v>1</v>
      </c>
      <c r="H2725">
        <v>2</v>
      </c>
      <c r="I2725" t="s">
        <v>11561</v>
      </c>
      <c r="J2725">
        <v>65.599999999999994</v>
      </c>
      <c r="K2725" t="s">
        <v>9</v>
      </c>
      <c r="L2725">
        <v>7872000</v>
      </c>
      <c r="M2725">
        <v>0</v>
      </c>
      <c r="N2725">
        <v>7872000</v>
      </c>
      <c r="O2725">
        <v>120000</v>
      </c>
      <c r="P2725">
        <v>0</v>
      </c>
      <c r="Q2725">
        <v>7872000</v>
      </c>
      <c r="R2725">
        <v>120000</v>
      </c>
      <c r="S2725" t="s">
        <v>2507</v>
      </c>
      <c r="T2725" t="s">
        <v>2941</v>
      </c>
      <c r="U2725">
        <v>656000</v>
      </c>
      <c r="V2725" t="s">
        <v>717</v>
      </c>
      <c r="W2725">
        <v>45699</v>
      </c>
      <c r="X2725" t="s">
        <v>11562</v>
      </c>
      <c r="Y2725" t="s">
        <v>1368</v>
      </c>
      <c r="Z2725" t="s">
        <v>17</v>
      </c>
      <c r="AA2725" t="s">
        <v>6637</v>
      </c>
      <c r="AB2725" t="s">
        <v>2299</v>
      </c>
      <c r="AC2725" t="s">
        <v>717</v>
      </c>
      <c r="AD2725" t="s">
        <v>717</v>
      </c>
      <c r="AE2725" t="s">
        <v>11563</v>
      </c>
      <c r="AF2725" t="s">
        <v>11564</v>
      </c>
      <c r="AG2725" t="s">
        <v>11565</v>
      </c>
      <c r="AH2725" t="s">
        <v>2615</v>
      </c>
      <c r="AI2725" t="s">
        <v>2552</v>
      </c>
      <c r="AJ2725" t="s">
        <v>42</v>
      </c>
      <c r="AK2725" t="s">
        <v>24</v>
      </c>
      <c r="AL2725" t="s">
        <v>717</v>
      </c>
      <c r="AM2725" t="s">
        <v>10</v>
      </c>
      <c r="AN2725" t="s">
        <v>717</v>
      </c>
    </row>
    <row r="2726" spans="1:40" hidden="1">
      <c r="A2726">
        <v>2725</v>
      </c>
      <c r="B2726">
        <v>13</v>
      </c>
      <c r="C2726" s="58">
        <v>45868</v>
      </c>
      <c r="D2726" t="s">
        <v>13</v>
      </c>
      <c r="E2726" t="s">
        <v>4409</v>
      </c>
      <c r="F2726">
        <v>8</v>
      </c>
      <c r="G2726">
        <v>13</v>
      </c>
      <c r="H2726">
        <v>492</v>
      </c>
      <c r="I2726">
        <v>1</v>
      </c>
      <c r="J2726">
        <v>39.75</v>
      </c>
      <c r="K2726" t="s">
        <v>21</v>
      </c>
      <c r="L2726">
        <v>5287112</v>
      </c>
      <c r="M2726">
        <v>0</v>
      </c>
      <c r="N2726">
        <v>5287112</v>
      </c>
      <c r="O2726">
        <v>133009.10691823901</v>
      </c>
      <c r="P2726">
        <v>397499.99999999907</v>
      </c>
      <c r="Q2726">
        <v>4889612.0000000009</v>
      </c>
      <c r="R2726">
        <v>123009.10691823902</v>
      </c>
      <c r="S2726" t="s">
        <v>130</v>
      </c>
      <c r="T2726" t="s">
        <v>11566</v>
      </c>
      <c r="U2726">
        <v>423788</v>
      </c>
      <c r="V2726" t="s">
        <v>717</v>
      </c>
      <c r="W2726">
        <v>45861</v>
      </c>
      <c r="X2726" t="s">
        <v>11567</v>
      </c>
      <c r="Y2726" t="s">
        <v>6</v>
      </c>
      <c r="Z2726" t="s">
        <v>717</v>
      </c>
      <c r="AA2726" t="s">
        <v>717</v>
      </c>
      <c r="AB2726" t="s">
        <v>2299</v>
      </c>
      <c r="AC2726" t="s">
        <v>717</v>
      </c>
      <c r="AD2726" t="s">
        <v>717</v>
      </c>
      <c r="AE2726" t="s">
        <v>11568</v>
      </c>
      <c r="AF2726" t="s">
        <v>11569</v>
      </c>
      <c r="AG2726" t="s">
        <v>11570</v>
      </c>
      <c r="AH2726" t="s">
        <v>2615</v>
      </c>
      <c r="AI2726" t="s">
        <v>2847</v>
      </c>
      <c r="AJ2726" t="s">
        <v>2855</v>
      </c>
      <c r="AK2726" t="s">
        <v>14</v>
      </c>
      <c r="AL2726" t="s">
        <v>717</v>
      </c>
      <c r="AM2726" t="s">
        <v>10</v>
      </c>
      <c r="AN2726" t="s">
        <v>717</v>
      </c>
    </row>
    <row r="2727" spans="1:40" hidden="1">
      <c r="A2727">
        <v>2726</v>
      </c>
      <c r="B2727">
        <v>14</v>
      </c>
      <c r="C2727" s="58">
        <v>45869</v>
      </c>
      <c r="D2727" t="s">
        <v>1876</v>
      </c>
      <c r="E2727" t="s">
        <v>10295</v>
      </c>
      <c r="F2727">
        <v>4</v>
      </c>
      <c r="G2727">
        <v>10</v>
      </c>
      <c r="H2727">
        <v>52</v>
      </c>
      <c r="I2727">
        <v>2</v>
      </c>
      <c r="J2727">
        <v>54.69</v>
      </c>
      <c r="K2727" t="s">
        <v>9</v>
      </c>
      <c r="L2727">
        <v>6520038</v>
      </c>
      <c r="M2727">
        <v>0</v>
      </c>
      <c r="N2727">
        <v>6520038</v>
      </c>
      <c r="O2727">
        <v>119218.10202962151</v>
      </c>
      <c r="P2727">
        <v>0</v>
      </c>
      <c r="Q2727">
        <v>6520038</v>
      </c>
      <c r="R2727">
        <v>119218.10202962151</v>
      </c>
      <c r="S2727" t="s">
        <v>130</v>
      </c>
      <c r="T2727" t="s">
        <v>2941</v>
      </c>
      <c r="U2727">
        <v>133062.00000000093</v>
      </c>
      <c r="V2727" t="s">
        <v>717</v>
      </c>
      <c r="W2727">
        <v>45868</v>
      </c>
      <c r="X2727" t="s">
        <v>11571</v>
      </c>
      <c r="Y2727" t="s">
        <v>6</v>
      </c>
      <c r="Z2727" t="s">
        <v>17</v>
      </c>
      <c r="AA2727" t="s">
        <v>6637</v>
      </c>
      <c r="AB2727" t="s">
        <v>2509</v>
      </c>
      <c r="AC2727" t="s">
        <v>717</v>
      </c>
      <c r="AD2727" t="s">
        <v>717</v>
      </c>
      <c r="AE2727" t="s">
        <v>11572</v>
      </c>
      <c r="AF2727" t="s">
        <v>11573</v>
      </c>
      <c r="AG2727" t="s">
        <v>11574</v>
      </c>
      <c r="AH2727" t="s">
        <v>6100</v>
      </c>
      <c r="AI2727" t="s">
        <v>9944</v>
      </c>
      <c r="AJ2727" t="s">
        <v>11239</v>
      </c>
      <c r="AK2727" t="s">
        <v>14</v>
      </c>
      <c r="AL2727" t="s">
        <v>717</v>
      </c>
      <c r="AM2727" t="s">
        <v>5654</v>
      </c>
      <c r="AN2727" t="s">
        <v>717</v>
      </c>
    </row>
    <row r="2728" spans="1:40" hidden="1">
      <c r="A2728">
        <v>2727</v>
      </c>
      <c r="B2728">
        <v>15</v>
      </c>
      <c r="C2728" s="58">
        <v>45869</v>
      </c>
      <c r="D2728" t="s">
        <v>13</v>
      </c>
      <c r="E2728" t="s">
        <v>2515</v>
      </c>
      <c r="F2728">
        <v>5</v>
      </c>
      <c r="G2728">
        <v>10</v>
      </c>
      <c r="H2728">
        <v>67</v>
      </c>
      <c r="I2728">
        <v>2</v>
      </c>
      <c r="J2728">
        <v>61.45</v>
      </c>
      <c r="K2728" t="s">
        <v>9</v>
      </c>
      <c r="L2728">
        <v>6997980</v>
      </c>
      <c r="M2728">
        <v>0</v>
      </c>
      <c r="N2728">
        <v>6997980</v>
      </c>
      <c r="O2728">
        <v>113880.87876322212</v>
      </c>
      <c r="P2728">
        <v>0</v>
      </c>
      <c r="Q2728">
        <v>6997980</v>
      </c>
      <c r="R2728">
        <v>113880.87876322212</v>
      </c>
      <c r="S2728" t="s">
        <v>65</v>
      </c>
      <c r="T2728" t="s">
        <v>11397</v>
      </c>
      <c r="U2728">
        <v>636820</v>
      </c>
      <c r="V2728" t="s">
        <v>6312</v>
      </c>
      <c r="W2728">
        <v>45856</v>
      </c>
      <c r="X2728" t="s">
        <v>11577</v>
      </c>
      <c r="Y2728" t="s">
        <v>6</v>
      </c>
      <c r="Z2728" t="s">
        <v>17</v>
      </c>
      <c r="AA2728" t="s">
        <v>6637</v>
      </c>
      <c r="AB2728" t="s">
        <v>326</v>
      </c>
      <c r="AC2728" t="s">
        <v>2571</v>
      </c>
      <c r="AD2728" t="s">
        <v>717</v>
      </c>
      <c r="AE2728" t="s">
        <v>11578</v>
      </c>
      <c r="AF2728" t="s">
        <v>11579</v>
      </c>
      <c r="AG2728" t="s">
        <v>11580</v>
      </c>
      <c r="AH2728" t="s">
        <v>2615</v>
      </c>
      <c r="AI2728" t="s">
        <v>2847</v>
      </c>
      <c r="AJ2728" t="s">
        <v>2662</v>
      </c>
      <c r="AK2728" t="s">
        <v>14</v>
      </c>
      <c r="AL2728" t="s">
        <v>22</v>
      </c>
      <c r="AM2728" t="s">
        <v>10</v>
      </c>
      <c r="AN2728" t="s">
        <v>717</v>
      </c>
    </row>
    <row r="2729" spans="1:40" hidden="1">
      <c r="A2729">
        <v>2728</v>
      </c>
      <c r="B2729">
        <v>1</v>
      </c>
      <c r="C2729" s="58">
        <v>45870</v>
      </c>
      <c r="D2729" t="s">
        <v>13</v>
      </c>
      <c r="E2729" t="s">
        <v>2515</v>
      </c>
      <c r="F2729">
        <v>2</v>
      </c>
      <c r="G2729">
        <v>13</v>
      </c>
      <c r="H2729">
        <v>85</v>
      </c>
      <c r="I2729">
        <v>2</v>
      </c>
      <c r="J2729">
        <v>68.099999999999994</v>
      </c>
      <c r="K2729" t="s">
        <v>9</v>
      </c>
      <c r="L2729">
        <v>7624100</v>
      </c>
      <c r="M2729">
        <v>0</v>
      </c>
      <c r="N2729">
        <v>7624100</v>
      </c>
      <c r="O2729">
        <v>111954.47870778268</v>
      </c>
      <c r="P2729">
        <v>0</v>
      </c>
      <c r="Q2729">
        <v>7624100</v>
      </c>
      <c r="R2729">
        <v>111954.47870778268</v>
      </c>
      <c r="S2729" t="s">
        <v>65</v>
      </c>
      <c r="T2729" t="s">
        <v>11397</v>
      </c>
      <c r="U2729">
        <v>536700</v>
      </c>
      <c r="V2729" t="s">
        <v>6312</v>
      </c>
      <c r="W2729">
        <v>45859</v>
      </c>
      <c r="X2729" t="s">
        <v>11581</v>
      </c>
      <c r="Y2729" t="s">
        <v>6</v>
      </c>
      <c r="Z2729" t="s">
        <v>17</v>
      </c>
      <c r="AA2729" t="s">
        <v>6637</v>
      </c>
      <c r="AB2729" t="s">
        <v>326</v>
      </c>
      <c r="AC2729" t="s">
        <v>2571</v>
      </c>
      <c r="AD2729" t="s">
        <v>717</v>
      </c>
      <c r="AE2729" t="s">
        <v>11582</v>
      </c>
      <c r="AF2729" t="s">
        <v>11583</v>
      </c>
      <c r="AG2729" t="s">
        <v>11584</v>
      </c>
      <c r="AH2729" t="s">
        <v>2191</v>
      </c>
      <c r="AI2729" t="s">
        <v>2538</v>
      </c>
      <c r="AJ2729">
        <v>0</v>
      </c>
      <c r="AK2729" t="s">
        <v>8</v>
      </c>
      <c r="AL2729" t="s">
        <v>22</v>
      </c>
      <c r="AM2729" t="s">
        <v>10</v>
      </c>
      <c r="AN2729" t="s">
        <v>717</v>
      </c>
    </row>
    <row r="2730" spans="1:40" hidden="1">
      <c r="A2730">
        <v>2729</v>
      </c>
      <c r="B2730">
        <v>2</v>
      </c>
      <c r="C2730" s="58">
        <v>45873</v>
      </c>
      <c r="D2730" t="s">
        <v>1875</v>
      </c>
      <c r="E2730" t="s">
        <v>10458</v>
      </c>
      <c r="F2730">
        <v>4</v>
      </c>
      <c r="G2730">
        <v>7</v>
      </c>
      <c r="H2730">
        <v>85</v>
      </c>
      <c r="I2730">
        <v>1</v>
      </c>
      <c r="J2730">
        <v>42.39</v>
      </c>
      <c r="K2730" t="s">
        <v>9</v>
      </c>
      <c r="L2730">
        <v>5871566</v>
      </c>
      <c r="M2730">
        <v>15000</v>
      </c>
      <c r="N2730">
        <v>5886566</v>
      </c>
      <c r="O2730">
        <v>138866.85539042228</v>
      </c>
      <c r="P2730">
        <v>0</v>
      </c>
      <c r="Q2730">
        <v>5886566</v>
      </c>
      <c r="R2730">
        <v>138866.85539042228</v>
      </c>
      <c r="S2730" t="s">
        <v>65</v>
      </c>
      <c r="T2730" t="s">
        <v>3414</v>
      </c>
      <c r="U2730">
        <v>120134</v>
      </c>
      <c r="V2730" t="s">
        <v>6488</v>
      </c>
      <c r="W2730">
        <v>45873</v>
      </c>
      <c r="X2730" t="s">
        <v>11596</v>
      </c>
      <c r="Y2730" t="s">
        <v>6</v>
      </c>
      <c r="Z2730" t="s">
        <v>17</v>
      </c>
      <c r="AA2730" t="s">
        <v>5617</v>
      </c>
      <c r="AB2730" t="s">
        <v>2509</v>
      </c>
      <c r="AC2730" t="s">
        <v>2571</v>
      </c>
      <c r="AD2730" t="s">
        <v>717</v>
      </c>
      <c r="AE2730" t="s">
        <v>11597</v>
      </c>
      <c r="AF2730" t="s">
        <v>11598</v>
      </c>
      <c r="AG2730" t="s">
        <v>11599</v>
      </c>
      <c r="AH2730" t="s">
        <v>6100</v>
      </c>
      <c r="AI2730" t="s">
        <v>9793</v>
      </c>
      <c r="AJ2730">
        <v>0</v>
      </c>
      <c r="AK2730" t="s">
        <v>24</v>
      </c>
      <c r="AL2730" t="s">
        <v>22</v>
      </c>
      <c r="AM2730" t="s">
        <v>5654</v>
      </c>
      <c r="AN2730" t="s">
        <v>717</v>
      </c>
    </row>
    <row r="2731" spans="1:40" hidden="1">
      <c r="A2731">
        <v>2730</v>
      </c>
      <c r="B2731">
        <v>3</v>
      </c>
      <c r="C2731" s="58">
        <v>45874</v>
      </c>
      <c r="D2731" t="s">
        <v>13</v>
      </c>
      <c r="E2731" t="s">
        <v>2581</v>
      </c>
      <c r="F2731">
        <v>4</v>
      </c>
      <c r="G2731">
        <v>10</v>
      </c>
      <c r="H2731">
        <v>288</v>
      </c>
      <c r="I2731">
        <v>2</v>
      </c>
      <c r="J2731">
        <v>60</v>
      </c>
      <c r="K2731" t="s">
        <v>9</v>
      </c>
      <c r="L2731">
        <v>7142700</v>
      </c>
      <c r="M2731">
        <v>0</v>
      </c>
      <c r="N2731">
        <v>7142700</v>
      </c>
      <c r="O2731">
        <v>119045</v>
      </c>
      <c r="P2731">
        <v>0</v>
      </c>
      <c r="Q2731">
        <v>7142700</v>
      </c>
      <c r="R2731">
        <v>119045</v>
      </c>
      <c r="S2731" t="s">
        <v>65</v>
      </c>
      <c r="T2731" t="s">
        <v>11292</v>
      </c>
      <c r="U2731">
        <v>300000</v>
      </c>
      <c r="V2731" t="s">
        <v>6312</v>
      </c>
      <c r="W2731">
        <v>45855</v>
      </c>
      <c r="X2731" t="s">
        <v>11600</v>
      </c>
      <c r="Y2731" t="s">
        <v>6</v>
      </c>
      <c r="Z2731" t="s">
        <v>17</v>
      </c>
      <c r="AA2731" t="s">
        <v>5617</v>
      </c>
      <c r="AB2731" t="s">
        <v>326</v>
      </c>
      <c r="AC2731" t="s">
        <v>3300</v>
      </c>
      <c r="AD2731" t="s">
        <v>717</v>
      </c>
      <c r="AE2731" t="s">
        <v>11601</v>
      </c>
      <c r="AF2731" t="s">
        <v>11602</v>
      </c>
      <c r="AG2731" t="s">
        <v>11603</v>
      </c>
      <c r="AH2731" t="s">
        <v>2552</v>
      </c>
      <c r="AI2731" t="s">
        <v>2552</v>
      </c>
      <c r="AJ2731" t="s">
        <v>2940</v>
      </c>
      <c r="AK2731" t="s">
        <v>24</v>
      </c>
      <c r="AL2731" t="s">
        <v>22</v>
      </c>
      <c r="AM2731" t="s">
        <v>10</v>
      </c>
      <c r="AN2731" t="s">
        <v>717</v>
      </c>
    </row>
    <row r="2732" spans="1:40" hidden="1">
      <c r="A2732">
        <v>2731</v>
      </c>
      <c r="B2732">
        <v>4</v>
      </c>
      <c r="C2732" s="58">
        <v>45877</v>
      </c>
      <c r="D2732" t="s">
        <v>1876</v>
      </c>
      <c r="E2732" t="s">
        <v>2581</v>
      </c>
      <c r="F2732">
        <v>7</v>
      </c>
      <c r="G2732">
        <v>1</v>
      </c>
      <c r="H2732">
        <v>7</v>
      </c>
      <c r="I2732" t="s">
        <v>11561</v>
      </c>
      <c r="J2732">
        <v>88.58</v>
      </c>
      <c r="K2732" t="s">
        <v>9</v>
      </c>
      <c r="L2732">
        <v>13287000</v>
      </c>
      <c r="M2732">
        <v>0</v>
      </c>
      <c r="N2732">
        <v>13287000</v>
      </c>
      <c r="O2732">
        <v>150000</v>
      </c>
      <c r="P2732">
        <v>0</v>
      </c>
      <c r="Q2732">
        <v>13287000</v>
      </c>
      <c r="R2732">
        <v>150000</v>
      </c>
      <c r="S2732" t="s">
        <v>130</v>
      </c>
      <c r="T2732" t="s">
        <v>717</v>
      </c>
      <c r="U2732" t="s">
        <v>717</v>
      </c>
      <c r="V2732" t="s">
        <v>717</v>
      </c>
      <c r="W2732">
        <v>45880</v>
      </c>
      <c r="X2732" t="s">
        <v>11604</v>
      </c>
      <c r="Y2732" t="s">
        <v>1368</v>
      </c>
      <c r="Z2732" t="s">
        <v>17</v>
      </c>
      <c r="AA2732" t="s">
        <v>6637</v>
      </c>
      <c r="AB2732" t="s">
        <v>2509</v>
      </c>
      <c r="AC2732" t="s">
        <v>118</v>
      </c>
      <c r="AD2732" t="s">
        <v>717</v>
      </c>
      <c r="AE2732" t="s">
        <v>11605</v>
      </c>
      <c r="AF2732" t="s">
        <v>11606</v>
      </c>
      <c r="AG2732" t="s">
        <v>11607</v>
      </c>
      <c r="AH2732" t="s">
        <v>2615</v>
      </c>
      <c r="AI2732" t="s">
        <v>2521</v>
      </c>
      <c r="AJ2732" t="s">
        <v>41</v>
      </c>
      <c r="AK2732" t="s">
        <v>14</v>
      </c>
      <c r="AL2732" t="s">
        <v>717</v>
      </c>
      <c r="AM2732" t="s">
        <v>10</v>
      </c>
      <c r="AN2732" t="s">
        <v>717</v>
      </c>
    </row>
    <row r="2733" spans="1:40" hidden="1">
      <c r="A2733">
        <v>2732</v>
      </c>
      <c r="B2733">
        <v>5</v>
      </c>
      <c r="C2733" s="58">
        <v>45882</v>
      </c>
      <c r="D2733" t="s">
        <v>1875</v>
      </c>
      <c r="E2733" t="s">
        <v>10458</v>
      </c>
      <c r="F2733">
        <v>5</v>
      </c>
      <c r="G2733">
        <v>7</v>
      </c>
      <c r="H2733">
        <v>86</v>
      </c>
      <c r="I2733">
        <v>2</v>
      </c>
      <c r="J2733">
        <v>49.39</v>
      </c>
      <c r="K2733" t="s">
        <v>11629</v>
      </c>
      <c r="L2733">
        <v>7899916</v>
      </c>
      <c r="M2733">
        <v>0</v>
      </c>
      <c r="N2733">
        <v>7899916</v>
      </c>
      <c r="O2733">
        <v>159949.70641830331</v>
      </c>
      <c r="P2733">
        <v>1481700</v>
      </c>
      <c r="Q2733">
        <v>6418216</v>
      </c>
      <c r="R2733">
        <v>129949.70641830328</v>
      </c>
      <c r="S2733" t="s">
        <v>65</v>
      </c>
      <c r="T2733" t="s">
        <v>11608</v>
      </c>
      <c r="U2733">
        <v>130984</v>
      </c>
      <c r="V2733" t="s">
        <v>6312</v>
      </c>
      <c r="W2733">
        <v>45882</v>
      </c>
      <c r="X2733" t="s">
        <v>11609</v>
      </c>
      <c r="Y2733" t="s">
        <v>6</v>
      </c>
      <c r="Z2733" t="s">
        <v>17</v>
      </c>
      <c r="AA2733" t="s">
        <v>6637</v>
      </c>
      <c r="AB2733" t="s">
        <v>2509</v>
      </c>
      <c r="AC2733" t="s">
        <v>2571</v>
      </c>
      <c r="AD2733" t="s">
        <v>717</v>
      </c>
      <c r="AE2733" t="s">
        <v>11610</v>
      </c>
      <c r="AF2733" t="s">
        <v>11630</v>
      </c>
      <c r="AG2733" t="s">
        <v>11611</v>
      </c>
      <c r="AH2733" t="s">
        <v>6100</v>
      </c>
      <c r="AI2733" t="s">
        <v>10676</v>
      </c>
      <c r="AJ2733" t="s">
        <v>2940</v>
      </c>
      <c r="AK2733" t="s">
        <v>14</v>
      </c>
      <c r="AL2733" t="s">
        <v>22</v>
      </c>
      <c r="AM2733" t="s">
        <v>5654</v>
      </c>
      <c r="AN2733" t="s">
        <v>717</v>
      </c>
    </row>
    <row r="2734" spans="1:40" hidden="1">
      <c r="A2734">
        <v>2733</v>
      </c>
      <c r="B2734">
        <v>6</v>
      </c>
      <c r="C2734" s="58">
        <v>45882</v>
      </c>
      <c r="D2734" t="s">
        <v>13</v>
      </c>
      <c r="E2734" t="s">
        <v>2506</v>
      </c>
      <c r="F2734">
        <v>7</v>
      </c>
      <c r="G2734">
        <v>15</v>
      </c>
      <c r="H2734">
        <v>215</v>
      </c>
      <c r="I2734">
        <v>1</v>
      </c>
      <c r="J2734">
        <v>42.35</v>
      </c>
      <c r="K2734" t="s">
        <v>9</v>
      </c>
      <c r="L2734">
        <v>5280400</v>
      </c>
      <c r="M2734">
        <v>0</v>
      </c>
      <c r="N2734">
        <v>5280400</v>
      </c>
      <c r="O2734">
        <v>124684.76977567888</v>
      </c>
      <c r="P2734">
        <v>0</v>
      </c>
      <c r="Q2734">
        <v>5280400</v>
      </c>
      <c r="R2734">
        <v>124684.76977567888</v>
      </c>
      <c r="S2734" t="s">
        <v>130</v>
      </c>
      <c r="T2734" t="s">
        <v>3414</v>
      </c>
      <c r="U2734">
        <v>460000</v>
      </c>
      <c r="V2734" t="s">
        <v>717</v>
      </c>
      <c r="W2734">
        <v>45880</v>
      </c>
      <c r="X2734" t="s">
        <v>11612</v>
      </c>
      <c r="Y2734" t="s">
        <v>6</v>
      </c>
      <c r="Z2734" t="s">
        <v>17</v>
      </c>
      <c r="AA2734" t="s">
        <v>6637</v>
      </c>
      <c r="AB2734" t="s">
        <v>326</v>
      </c>
      <c r="AC2734" t="s">
        <v>717</v>
      </c>
      <c r="AD2734" t="s">
        <v>717</v>
      </c>
      <c r="AE2734" t="s">
        <v>11613</v>
      </c>
      <c r="AF2734" t="s">
        <v>11631</v>
      </c>
      <c r="AG2734" t="s">
        <v>11614</v>
      </c>
      <c r="AH2734" t="s">
        <v>2191</v>
      </c>
      <c r="AI2734" t="s">
        <v>2802</v>
      </c>
      <c r="AJ2734">
        <v>0</v>
      </c>
      <c r="AK2734" t="s">
        <v>8</v>
      </c>
      <c r="AL2734" t="s">
        <v>717</v>
      </c>
      <c r="AM2734" t="s">
        <v>10</v>
      </c>
      <c r="AN2734" t="s">
        <v>717</v>
      </c>
    </row>
    <row r="2735" spans="1:40" hidden="1">
      <c r="A2735">
        <v>2734</v>
      </c>
      <c r="B2735">
        <v>7</v>
      </c>
      <c r="C2735" s="58">
        <v>45882</v>
      </c>
      <c r="D2735" t="s">
        <v>13</v>
      </c>
      <c r="E2735" t="s">
        <v>2581</v>
      </c>
      <c r="F2735">
        <v>4</v>
      </c>
      <c r="G2735">
        <v>18</v>
      </c>
      <c r="H2735">
        <v>344</v>
      </c>
      <c r="I2735">
        <v>2</v>
      </c>
      <c r="J2735">
        <v>60.15</v>
      </c>
      <c r="K2735" t="s">
        <v>21</v>
      </c>
      <c r="L2735">
        <v>7472500</v>
      </c>
      <c r="M2735">
        <v>0</v>
      </c>
      <c r="N2735">
        <v>7472500</v>
      </c>
      <c r="O2735">
        <v>124231.0889443059</v>
      </c>
      <c r="P2735">
        <v>601500</v>
      </c>
      <c r="Q2735">
        <v>6871000</v>
      </c>
      <c r="R2735">
        <v>114231.0889443059</v>
      </c>
      <c r="S2735" t="s">
        <v>65</v>
      </c>
      <c r="T2735" t="s">
        <v>11615</v>
      </c>
      <c r="U2735">
        <v>590300</v>
      </c>
      <c r="V2735" t="s">
        <v>6312</v>
      </c>
      <c r="W2735">
        <v>45877</v>
      </c>
      <c r="X2735" t="s">
        <v>11616</v>
      </c>
      <c r="Y2735" t="s">
        <v>6</v>
      </c>
      <c r="Z2735" t="s">
        <v>17</v>
      </c>
      <c r="AA2735" t="s">
        <v>6637</v>
      </c>
      <c r="AB2735" t="s">
        <v>326</v>
      </c>
      <c r="AC2735" t="s">
        <v>2571</v>
      </c>
      <c r="AD2735" t="s">
        <v>717</v>
      </c>
      <c r="AE2735" t="s">
        <v>11617</v>
      </c>
      <c r="AF2735" t="s">
        <v>11632</v>
      </c>
      <c r="AG2735" t="s">
        <v>11618</v>
      </c>
      <c r="AH2735" t="s">
        <v>6100</v>
      </c>
      <c r="AI2735" t="s">
        <v>11619</v>
      </c>
      <c r="AJ2735">
        <v>0</v>
      </c>
      <c r="AK2735" t="s">
        <v>20</v>
      </c>
      <c r="AL2735" t="s">
        <v>22</v>
      </c>
      <c r="AM2735" t="s">
        <v>5654</v>
      </c>
      <c r="AN2735" t="s">
        <v>717</v>
      </c>
    </row>
    <row r="2736" spans="1:40" hidden="1">
      <c r="A2736">
        <v>2735</v>
      </c>
      <c r="B2736">
        <v>8</v>
      </c>
      <c r="C2736" s="58">
        <v>45883</v>
      </c>
      <c r="D2736" t="s">
        <v>13</v>
      </c>
      <c r="E2736" t="s">
        <v>4409</v>
      </c>
      <c r="F2736">
        <v>6</v>
      </c>
      <c r="G2736">
        <v>16</v>
      </c>
      <c r="H2736" t="s">
        <v>11633</v>
      </c>
      <c r="I2736">
        <v>1</v>
      </c>
      <c r="J2736">
        <v>37.85</v>
      </c>
      <c r="K2736" t="s">
        <v>25</v>
      </c>
      <c r="L2736">
        <v>5585651</v>
      </c>
      <c r="M2736">
        <v>0</v>
      </c>
      <c r="N2736">
        <v>5585651</v>
      </c>
      <c r="O2736">
        <v>147573.34214002642</v>
      </c>
      <c r="P2736">
        <v>946250</v>
      </c>
      <c r="Q2736">
        <v>4639401</v>
      </c>
      <c r="R2736">
        <v>122573.34214002642</v>
      </c>
      <c r="S2736" t="s">
        <v>65</v>
      </c>
      <c r="T2736" t="s">
        <v>11634</v>
      </c>
      <c r="U2736">
        <v>592499</v>
      </c>
      <c r="V2736" t="s">
        <v>6312</v>
      </c>
      <c r="W2736">
        <v>45877</v>
      </c>
      <c r="X2736" t="s">
        <v>11635</v>
      </c>
      <c r="Y2736" t="s">
        <v>6</v>
      </c>
      <c r="Z2736" t="s">
        <v>17</v>
      </c>
      <c r="AA2736" t="s">
        <v>6637</v>
      </c>
      <c r="AB2736" t="s">
        <v>326</v>
      </c>
      <c r="AC2736" t="s">
        <v>2571</v>
      </c>
      <c r="AD2736" t="s">
        <v>717</v>
      </c>
      <c r="AE2736" t="s">
        <v>11636</v>
      </c>
      <c r="AF2736" t="s">
        <v>11637</v>
      </c>
      <c r="AG2736" t="s">
        <v>11638</v>
      </c>
      <c r="AH2736" t="s">
        <v>6100</v>
      </c>
      <c r="AI2736" t="s">
        <v>9793</v>
      </c>
      <c r="AJ2736">
        <v>0</v>
      </c>
      <c r="AK2736" t="s">
        <v>8</v>
      </c>
      <c r="AL2736" t="s">
        <v>22</v>
      </c>
      <c r="AM2736" t="s">
        <v>5654</v>
      </c>
      <c r="AN2736" t="s">
        <v>717</v>
      </c>
    </row>
    <row r="2737" spans="1:40" hidden="1">
      <c r="A2737">
        <v>2736</v>
      </c>
      <c r="B2737">
        <v>9</v>
      </c>
      <c r="C2737" s="58">
        <v>45883</v>
      </c>
      <c r="D2737" t="s">
        <v>11639</v>
      </c>
      <c r="E2737" t="s">
        <v>10458</v>
      </c>
      <c r="F2737">
        <v>2</v>
      </c>
      <c r="G2737">
        <v>1</v>
      </c>
      <c r="H2737">
        <v>2</v>
      </c>
      <c r="I2737" t="s">
        <v>11561</v>
      </c>
      <c r="J2737">
        <v>49.83</v>
      </c>
      <c r="K2737" t="s">
        <v>9</v>
      </c>
      <c r="L2737">
        <v>7474500</v>
      </c>
      <c r="M2737">
        <v>0</v>
      </c>
      <c r="N2737">
        <v>7474500</v>
      </c>
      <c r="O2737">
        <v>150000</v>
      </c>
      <c r="P2737">
        <v>0</v>
      </c>
      <c r="Q2737">
        <v>7474500</v>
      </c>
      <c r="R2737">
        <v>150000</v>
      </c>
      <c r="S2737" t="s">
        <v>130</v>
      </c>
      <c r="T2737" t="s">
        <v>717</v>
      </c>
      <c r="U2737" t="s">
        <v>717</v>
      </c>
      <c r="V2737" t="s">
        <v>717</v>
      </c>
      <c r="W2737">
        <v>45876</v>
      </c>
      <c r="X2737" t="s">
        <v>11640</v>
      </c>
      <c r="Y2737" t="s">
        <v>1368</v>
      </c>
      <c r="Z2737" t="s">
        <v>17</v>
      </c>
      <c r="AA2737" t="s">
        <v>6637</v>
      </c>
      <c r="AB2737" t="s">
        <v>2509</v>
      </c>
      <c r="AC2737" t="s">
        <v>717</v>
      </c>
      <c r="AD2737" t="s">
        <v>717</v>
      </c>
      <c r="AE2737" t="s">
        <v>11641</v>
      </c>
      <c r="AF2737" t="s">
        <v>11642</v>
      </c>
      <c r="AG2737" t="s">
        <v>11643</v>
      </c>
      <c r="AH2737" t="s">
        <v>2615</v>
      </c>
      <c r="AI2737" t="s">
        <v>2521</v>
      </c>
      <c r="AJ2737">
        <v>0</v>
      </c>
      <c r="AK2737" t="s">
        <v>11644</v>
      </c>
      <c r="AL2737" t="s">
        <v>717</v>
      </c>
      <c r="AM2737" t="s">
        <v>10</v>
      </c>
      <c r="AN2737" t="s">
        <v>717</v>
      </c>
    </row>
    <row r="2738" spans="1:40" hidden="1">
      <c r="A2738">
        <v>2737</v>
      </c>
      <c r="B2738">
        <v>10</v>
      </c>
      <c r="C2738" s="58">
        <v>45885</v>
      </c>
      <c r="D2738" t="s">
        <v>13</v>
      </c>
      <c r="E2738" t="s">
        <v>2515</v>
      </c>
      <c r="F2738">
        <v>6</v>
      </c>
      <c r="G2738">
        <v>16</v>
      </c>
      <c r="H2738">
        <v>110</v>
      </c>
      <c r="I2738">
        <v>2</v>
      </c>
      <c r="J2738">
        <v>57.9</v>
      </c>
      <c r="K2738" t="s">
        <v>9</v>
      </c>
      <c r="L2738">
        <v>6709220</v>
      </c>
      <c r="M2738">
        <v>0</v>
      </c>
      <c r="N2738">
        <v>6709220</v>
      </c>
      <c r="O2738">
        <v>115875.99309153714</v>
      </c>
      <c r="P2738">
        <v>0</v>
      </c>
      <c r="Q2738">
        <v>6709220</v>
      </c>
      <c r="R2738">
        <v>115875.99309153714</v>
      </c>
      <c r="S2738" t="s">
        <v>65</v>
      </c>
      <c r="T2738" t="s">
        <v>11350</v>
      </c>
      <c r="U2738">
        <v>516780</v>
      </c>
      <c r="V2738" t="s">
        <v>6312</v>
      </c>
      <c r="W2738">
        <v>45880</v>
      </c>
      <c r="X2738" t="s">
        <v>11645</v>
      </c>
      <c r="Y2738" t="s">
        <v>6</v>
      </c>
      <c r="Z2738" t="s">
        <v>17</v>
      </c>
      <c r="AA2738" t="s">
        <v>6637</v>
      </c>
      <c r="AB2738" t="s">
        <v>326</v>
      </c>
      <c r="AC2738" t="s">
        <v>2571</v>
      </c>
      <c r="AD2738" t="s">
        <v>717</v>
      </c>
      <c r="AE2738" t="s">
        <v>11646</v>
      </c>
      <c r="AF2738" t="s">
        <v>11647</v>
      </c>
      <c r="AG2738" t="s">
        <v>11648</v>
      </c>
      <c r="AH2738" t="s">
        <v>2615</v>
      </c>
      <c r="AI2738" t="s">
        <v>2552</v>
      </c>
      <c r="AJ2738">
        <v>0</v>
      </c>
      <c r="AK2738" t="s">
        <v>8</v>
      </c>
      <c r="AL2738" t="s">
        <v>26</v>
      </c>
      <c r="AM2738" t="s">
        <v>10</v>
      </c>
      <c r="AN2738" t="s">
        <v>717</v>
      </c>
    </row>
    <row r="2739" spans="1:40" hidden="1">
      <c r="A2739">
        <v>2738</v>
      </c>
      <c r="B2739">
        <v>11</v>
      </c>
      <c r="C2739" s="58">
        <v>45888</v>
      </c>
      <c r="D2739" t="s">
        <v>13</v>
      </c>
      <c r="E2739" t="s">
        <v>2506</v>
      </c>
      <c r="F2739">
        <v>7</v>
      </c>
      <c r="G2739">
        <v>11</v>
      </c>
      <c r="H2739">
        <v>181</v>
      </c>
      <c r="I2739">
        <v>2</v>
      </c>
      <c r="J2739">
        <v>60.1</v>
      </c>
      <c r="K2739" t="s">
        <v>9</v>
      </c>
      <c r="L2739">
        <v>6884200</v>
      </c>
      <c r="M2739">
        <v>0</v>
      </c>
      <c r="N2739">
        <v>6884200</v>
      </c>
      <c r="O2739">
        <v>114545.7570715474</v>
      </c>
      <c r="P2739">
        <v>0</v>
      </c>
      <c r="Q2739">
        <v>6884200</v>
      </c>
      <c r="R2739">
        <v>114545.7570715474</v>
      </c>
      <c r="S2739" t="s">
        <v>65</v>
      </c>
      <c r="T2739" t="s">
        <v>11649</v>
      </c>
      <c r="U2739">
        <v>400000</v>
      </c>
      <c r="V2739" t="s">
        <v>6312</v>
      </c>
      <c r="W2739">
        <v>45877</v>
      </c>
      <c r="X2739" t="s">
        <v>11650</v>
      </c>
      <c r="Y2739" t="s">
        <v>6</v>
      </c>
      <c r="Z2739" t="s">
        <v>17</v>
      </c>
      <c r="AA2739" t="s">
        <v>6637</v>
      </c>
      <c r="AB2739" t="s">
        <v>326</v>
      </c>
      <c r="AC2739" t="s">
        <v>2571</v>
      </c>
      <c r="AD2739" t="s">
        <v>717</v>
      </c>
      <c r="AE2739" t="s">
        <v>11651</v>
      </c>
      <c r="AF2739" t="s">
        <v>11652</v>
      </c>
      <c r="AG2739" t="s">
        <v>11653</v>
      </c>
      <c r="AH2739" t="s">
        <v>2615</v>
      </c>
      <c r="AI2739" t="s">
        <v>2847</v>
      </c>
      <c r="AJ2739">
        <v>0</v>
      </c>
      <c r="AK2739" t="s">
        <v>28</v>
      </c>
      <c r="AL2739" t="s">
        <v>26</v>
      </c>
      <c r="AM2739" t="s">
        <v>10</v>
      </c>
      <c r="AN2739" t="s">
        <v>717</v>
      </c>
    </row>
    <row r="2740" spans="1:40" hidden="1">
      <c r="A2740">
        <v>2739</v>
      </c>
      <c r="B2740">
        <v>12</v>
      </c>
      <c r="C2740" s="58">
        <v>45889</v>
      </c>
      <c r="D2740" t="s">
        <v>13</v>
      </c>
      <c r="E2740" t="s">
        <v>4409</v>
      </c>
      <c r="F2740">
        <v>1</v>
      </c>
      <c r="G2740">
        <v>17</v>
      </c>
      <c r="H2740">
        <v>517</v>
      </c>
      <c r="I2740">
        <v>0</v>
      </c>
      <c r="J2740">
        <v>29.3</v>
      </c>
      <c r="K2740" t="s">
        <v>25</v>
      </c>
      <c r="L2740">
        <v>4707100</v>
      </c>
      <c r="M2740">
        <v>0</v>
      </c>
      <c r="N2740">
        <v>4707100</v>
      </c>
      <c r="O2740">
        <v>160651.87713310579</v>
      </c>
      <c r="P2740">
        <v>879000</v>
      </c>
      <c r="Q2740">
        <v>3828100</v>
      </c>
      <c r="R2740">
        <v>130651.87713310579</v>
      </c>
      <c r="S2740" t="s">
        <v>130</v>
      </c>
      <c r="T2740" t="s">
        <v>11654</v>
      </c>
      <c r="U2740">
        <v>234400</v>
      </c>
      <c r="V2740" t="s">
        <v>717</v>
      </c>
      <c r="W2740">
        <v>45889</v>
      </c>
      <c r="X2740" t="s">
        <v>11655</v>
      </c>
      <c r="Y2740" t="s">
        <v>6</v>
      </c>
      <c r="Z2740" t="s">
        <v>717</v>
      </c>
      <c r="AA2740" t="s">
        <v>717</v>
      </c>
      <c r="AB2740" t="s">
        <v>2299</v>
      </c>
      <c r="AC2740" t="s">
        <v>118</v>
      </c>
      <c r="AD2740" t="s">
        <v>717</v>
      </c>
      <c r="AE2740" t="s">
        <v>11656</v>
      </c>
      <c r="AF2740" t="s">
        <v>11657</v>
      </c>
      <c r="AG2740" t="s">
        <v>11658</v>
      </c>
      <c r="AH2740" t="s">
        <v>2615</v>
      </c>
      <c r="AI2740" t="s">
        <v>11659</v>
      </c>
      <c r="AJ2740">
        <v>0</v>
      </c>
      <c r="AK2740" t="s">
        <v>8</v>
      </c>
      <c r="AL2740" t="s">
        <v>717</v>
      </c>
      <c r="AM2740" t="s">
        <v>10</v>
      </c>
      <c r="AN2740" t="s">
        <v>717</v>
      </c>
    </row>
  </sheetData>
  <conditionalFormatting sqref="S1:S1048576">
    <cfRule type="containsText" dxfId="36" priority="2" operator="containsText" text="Ипотека">
      <formula>NOT(ISERROR(SEARCH("Ипотека",S1)))</formula>
    </cfRule>
  </conditionalFormatting>
  <conditionalFormatting sqref="AH3:AH2740">
    <cfRule type="containsText" dxfId="35" priority="1" operator="containsText" text="Агентство недвижимости">
      <formula>NOT(ISERROR(SEARCH("Агентство недвижимости",AH3)))</formula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18">
    <tabColor rgb="FFFFC000"/>
    <pageSetUpPr fitToPage="1"/>
  </sheetPr>
  <dimension ref="A1:AZ48"/>
  <sheetViews>
    <sheetView topLeftCell="I1" zoomScale="85" zoomScaleNormal="85" workbookViewId="0">
      <selection activeCell="AN7" sqref="AN7"/>
    </sheetView>
  </sheetViews>
  <sheetFormatPr defaultColWidth="16.85546875" defaultRowHeight="15"/>
  <cols>
    <col min="1" max="6" width="16.85546875" style="2" hidden="1" customWidth="1"/>
    <col min="7" max="8" width="16.85546875" style="3" hidden="1" customWidth="1"/>
    <col min="9" max="9" width="16.85546875" style="2"/>
    <col min="10" max="36" width="16.85546875" style="2" hidden="1" customWidth="1"/>
    <col min="37" max="16384" width="16.85546875" style="2"/>
  </cols>
  <sheetData>
    <row r="1" spans="1:52">
      <c r="A1" s="2424">
        <v>44711</v>
      </c>
      <c r="B1" s="2425"/>
      <c r="C1" s="2426"/>
      <c r="F1" s="2423" t="s">
        <v>11369</v>
      </c>
      <c r="G1" s="2423"/>
      <c r="H1" s="2423"/>
      <c r="J1" s="2423">
        <v>45138</v>
      </c>
      <c r="K1" s="2423"/>
      <c r="L1" s="2423"/>
      <c r="N1" s="2423">
        <v>45169</v>
      </c>
      <c r="O1" s="2423"/>
      <c r="P1" s="2423"/>
      <c r="R1" s="2423">
        <v>45199</v>
      </c>
      <c r="S1" s="2423"/>
      <c r="T1" s="2423"/>
      <c r="V1" s="2423" t="s">
        <v>11370</v>
      </c>
      <c r="W1" s="2423"/>
      <c r="X1" s="2423"/>
      <c r="Y1"/>
      <c r="Z1" s="2423">
        <v>45230</v>
      </c>
      <c r="AA1" s="2423"/>
      <c r="AB1" s="2423"/>
      <c r="AC1"/>
      <c r="AD1" s="2423">
        <v>45260</v>
      </c>
      <c r="AE1" s="2423"/>
      <c r="AF1" s="2423"/>
      <c r="AG1"/>
      <c r="AH1" s="2423">
        <v>45291</v>
      </c>
      <c r="AI1" s="2423"/>
      <c r="AJ1" s="2423"/>
      <c r="AL1" s="2423" t="s">
        <v>1885</v>
      </c>
      <c r="AM1" s="2423"/>
      <c r="AN1" s="2423"/>
      <c r="AO1"/>
      <c r="AP1" s="2423">
        <v>45322</v>
      </c>
      <c r="AQ1" s="2423"/>
      <c r="AR1" s="2423"/>
      <c r="AS1"/>
      <c r="AT1" s="2423">
        <v>45350</v>
      </c>
      <c r="AU1" s="2423"/>
      <c r="AV1" s="2423"/>
      <c r="AW1"/>
      <c r="AX1" s="2423">
        <v>45382</v>
      </c>
      <c r="AY1" s="2423"/>
      <c r="AZ1" s="2423"/>
    </row>
    <row r="2" spans="1:52">
      <c r="A2" s="4"/>
      <c r="B2" s="5"/>
      <c r="C2" s="5"/>
      <c r="F2" s="4"/>
      <c r="G2" s="6"/>
      <c r="H2" s="6"/>
      <c r="J2" s="47"/>
      <c r="K2" s="47"/>
      <c r="L2" s="47"/>
      <c r="V2" s="7"/>
      <c r="W2" s="8"/>
      <c r="X2" s="8"/>
      <c r="Y2"/>
      <c r="Z2" s="47"/>
      <c r="AA2" s="47"/>
      <c r="AB2" s="47"/>
      <c r="AC2"/>
      <c r="AD2"/>
      <c r="AE2"/>
      <c r="AF2"/>
      <c r="AG2"/>
      <c r="AH2"/>
      <c r="AI2"/>
      <c r="AJ2"/>
      <c r="AL2" s="7"/>
      <c r="AM2" s="8"/>
      <c r="AN2" s="8"/>
      <c r="AO2"/>
      <c r="AP2" s="47"/>
      <c r="AQ2" s="47"/>
      <c r="AR2" s="47"/>
      <c r="AS2"/>
      <c r="AT2"/>
      <c r="AU2"/>
      <c r="AV2"/>
      <c r="AW2"/>
      <c r="AX2"/>
      <c r="AY2"/>
      <c r="AZ2"/>
    </row>
    <row r="3" spans="1:52">
      <c r="A3" s="7"/>
      <c r="B3" s="8"/>
      <c r="C3" s="8"/>
      <c r="F3" s="2422" t="s">
        <v>713</v>
      </c>
      <c r="G3" s="2422"/>
      <c r="H3" s="9" t="s">
        <v>7</v>
      </c>
      <c r="J3" s="2422" t="s">
        <v>713</v>
      </c>
      <c r="K3" s="2422"/>
      <c r="L3" s="9" t="s">
        <v>7</v>
      </c>
      <c r="N3" s="2422" t="s">
        <v>713</v>
      </c>
      <c r="O3" s="2422"/>
      <c r="P3" s="9" t="s">
        <v>7</v>
      </c>
      <c r="R3" s="2422" t="s">
        <v>713</v>
      </c>
      <c r="S3" s="2422"/>
      <c r="T3" s="9" t="s">
        <v>7</v>
      </c>
      <c r="V3" s="2307" t="s">
        <v>713</v>
      </c>
      <c r="W3" s="2308"/>
      <c r="X3" s="9" t="s">
        <v>7</v>
      </c>
      <c r="Y3"/>
      <c r="Z3" s="2307" t="s">
        <v>713</v>
      </c>
      <c r="AA3" s="2308"/>
      <c r="AB3" s="9" t="s">
        <v>7</v>
      </c>
      <c r="AC3"/>
      <c r="AD3" s="2307" t="s">
        <v>713</v>
      </c>
      <c r="AE3" s="2308"/>
      <c r="AF3" s="9" t="s">
        <v>7</v>
      </c>
      <c r="AG3"/>
      <c r="AH3" s="2307" t="s">
        <v>713</v>
      </c>
      <c r="AI3" s="2308"/>
      <c r="AJ3" s="9" t="s">
        <v>7</v>
      </c>
      <c r="AL3" s="2307" t="s">
        <v>713</v>
      </c>
      <c r="AM3" s="2308"/>
      <c r="AN3" s="9" t="s">
        <v>7</v>
      </c>
      <c r="AO3"/>
      <c r="AP3" s="2307" t="s">
        <v>713</v>
      </c>
      <c r="AQ3" s="2308"/>
      <c r="AR3" s="9" t="s">
        <v>7</v>
      </c>
      <c r="AS3"/>
      <c r="AT3" s="2307" t="s">
        <v>713</v>
      </c>
      <c r="AU3" s="2308"/>
      <c r="AV3" s="9" t="s">
        <v>7</v>
      </c>
      <c r="AW3"/>
      <c r="AX3" s="2307" t="s">
        <v>713</v>
      </c>
      <c r="AY3" s="2308"/>
      <c r="AZ3" s="9" t="s">
        <v>7</v>
      </c>
    </row>
    <row r="4" spans="1:52">
      <c r="A4" s="2307" t="s">
        <v>713</v>
      </c>
      <c r="B4" s="2308"/>
      <c r="C4" s="9" t="s">
        <v>121</v>
      </c>
      <c r="F4" s="12" t="s">
        <v>1</v>
      </c>
      <c r="G4" s="13" t="s">
        <v>100</v>
      </c>
      <c r="H4" s="13" t="s">
        <v>97</v>
      </c>
      <c r="J4" s="12" t="s">
        <v>1</v>
      </c>
      <c r="K4" s="13" t="s">
        <v>100</v>
      </c>
      <c r="L4" s="13" t="s">
        <v>97</v>
      </c>
      <c r="N4" s="12" t="s">
        <v>1</v>
      </c>
      <c r="O4" s="13" t="s">
        <v>100</v>
      </c>
      <c r="P4" s="13" t="s">
        <v>97</v>
      </c>
      <c r="R4" s="12" t="s">
        <v>1</v>
      </c>
      <c r="S4" s="13" t="s">
        <v>100</v>
      </c>
      <c r="T4" s="13" t="s">
        <v>97</v>
      </c>
      <c r="V4" s="12" t="s">
        <v>1</v>
      </c>
      <c r="W4" s="13" t="s">
        <v>100</v>
      </c>
      <c r="X4" s="13" t="s">
        <v>97</v>
      </c>
      <c r="Y4"/>
      <c r="Z4" s="12" t="s">
        <v>1</v>
      </c>
      <c r="AA4" s="13" t="s">
        <v>100</v>
      </c>
      <c r="AB4" s="13" t="s">
        <v>97</v>
      </c>
      <c r="AC4"/>
      <c r="AD4" s="12" t="s">
        <v>1</v>
      </c>
      <c r="AE4" s="13" t="s">
        <v>100</v>
      </c>
      <c r="AF4" s="13" t="s">
        <v>97</v>
      </c>
      <c r="AG4"/>
      <c r="AH4" s="12" t="s">
        <v>1</v>
      </c>
      <c r="AI4" s="13" t="s">
        <v>100</v>
      </c>
      <c r="AJ4" s="13" t="s">
        <v>97</v>
      </c>
      <c r="AL4" s="12" t="s">
        <v>1</v>
      </c>
      <c r="AM4" s="13" t="s">
        <v>100</v>
      </c>
      <c r="AN4" s="13" t="s">
        <v>97</v>
      </c>
      <c r="AO4"/>
      <c r="AP4" s="12" t="s">
        <v>1</v>
      </c>
      <c r="AQ4" s="13" t="s">
        <v>100</v>
      </c>
      <c r="AR4" s="13" t="s">
        <v>97</v>
      </c>
      <c r="AS4"/>
      <c r="AT4" s="12" t="s">
        <v>1</v>
      </c>
      <c r="AU4" s="13" t="s">
        <v>100</v>
      </c>
      <c r="AV4" s="13" t="s">
        <v>97</v>
      </c>
      <c r="AW4"/>
      <c r="AX4" s="12" t="s">
        <v>1</v>
      </c>
      <c r="AY4" s="13" t="s">
        <v>100</v>
      </c>
      <c r="AZ4" s="13" t="s">
        <v>97</v>
      </c>
    </row>
    <row r="5" spans="1:52">
      <c r="A5" s="12" t="s">
        <v>1</v>
      </c>
      <c r="B5" s="13" t="s">
        <v>100</v>
      </c>
      <c r="C5" s="13" t="s">
        <v>97</v>
      </c>
      <c r="F5" s="14" t="s">
        <v>73</v>
      </c>
      <c r="G5" s="15">
        <f t="shared" ref="G5:H9" si="0">K5+O5+S5</f>
        <v>630</v>
      </c>
      <c r="H5" s="15">
        <f t="shared" si="0"/>
        <v>56195208.814500004</v>
      </c>
      <c r="J5" s="14" t="s">
        <v>73</v>
      </c>
      <c r="K5" s="15"/>
      <c r="L5" s="15"/>
      <c r="N5" s="14" t="s">
        <v>73</v>
      </c>
      <c r="O5" s="15">
        <v>315</v>
      </c>
      <c r="P5" s="15">
        <v>28036254.708000001</v>
      </c>
      <c r="R5" s="14" t="s">
        <v>73</v>
      </c>
      <c r="S5" s="15">
        <v>315</v>
      </c>
      <c r="T5" s="15">
        <v>28158954.1065</v>
      </c>
      <c r="V5" s="14" t="s">
        <v>77</v>
      </c>
      <c r="W5" s="15">
        <f t="shared" ref="W5:X10" si="1">AA5+AE5+AI5</f>
        <v>0</v>
      </c>
      <c r="X5" s="15">
        <f t="shared" si="1"/>
        <v>0</v>
      </c>
      <c r="Y5"/>
      <c r="Z5" s="14" t="s">
        <v>77</v>
      </c>
      <c r="AA5" s="15">
        <v>0</v>
      </c>
      <c r="AB5" s="48">
        <f>AA5*88964.7846</f>
        <v>0</v>
      </c>
      <c r="AC5"/>
      <c r="AD5" s="14" t="s">
        <v>77</v>
      </c>
      <c r="AE5" s="15">
        <v>0</v>
      </c>
      <c r="AF5" s="15">
        <v>0</v>
      </c>
      <c r="AG5"/>
      <c r="AH5" s="14" t="s">
        <v>77</v>
      </c>
      <c r="AI5" s="15"/>
      <c r="AJ5" s="15">
        <f t="shared" ref="AJ5:AJ10" si="2">AI5*93115.584</f>
        <v>0</v>
      </c>
      <c r="AL5" s="14" t="s">
        <v>77</v>
      </c>
      <c r="AM5" s="15">
        <f t="shared" ref="AM5:AN9" si="3">AQ5+AU5+AY5</f>
        <v>137</v>
      </c>
      <c r="AN5" s="15">
        <f t="shared" si="3"/>
        <v>12820769.044600001</v>
      </c>
      <c r="AO5"/>
      <c r="AP5" s="14" t="s">
        <v>77</v>
      </c>
      <c r="AQ5" s="15">
        <v>0</v>
      </c>
      <c r="AR5" s="48">
        <f>AQ5*88964.7846</f>
        <v>0</v>
      </c>
      <c r="AS5"/>
      <c r="AT5" s="14" t="s">
        <v>77</v>
      </c>
      <c r="AU5" s="15">
        <v>0</v>
      </c>
      <c r="AV5" s="15">
        <f>AU5*98175.1024</f>
        <v>0</v>
      </c>
      <c r="AW5"/>
      <c r="AX5" s="14" t="s">
        <v>77</v>
      </c>
      <c r="AY5" s="15">
        <v>137</v>
      </c>
      <c r="AZ5" s="15">
        <f>AY5*93582.2558</f>
        <v>12820769.044600001</v>
      </c>
    </row>
    <row r="6" spans="1:52">
      <c r="A6" s="14" t="s">
        <v>73</v>
      </c>
      <c r="B6" s="16">
        <v>85</v>
      </c>
      <c r="C6" s="16">
        <v>6522125.2675000001</v>
      </c>
      <c r="F6" s="14" t="s">
        <v>8</v>
      </c>
      <c r="G6" s="15">
        <f t="shared" si="0"/>
        <v>1090</v>
      </c>
      <c r="H6" s="15">
        <f t="shared" si="0"/>
        <v>95368499.111499995</v>
      </c>
      <c r="J6" s="14" t="s">
        <v>8</v>
      </c>
      <c r="K6" s="15">
        <v>575</v>
      </c>
      <c r="L6" s="15">
        <v>49457438.602499999</v>
      </c>
      <c r="N6" s="14" t="s">
        <v>8</v>
      </c>
      <c r="O6" s="15">
        <v>325</v>
      </c>
      <c r="P6" s="15">
        <v>28926294.539999999</v>
      </c>
      <c r="R6" s="14" t="s">
        <v>8</v>
      </c>
      <c r="S6" s="15">
        <v>190</v>
      </c>
      <c r="T6" s="15">
        <v>16984765.969000001</v>
      </c>
      <c r="V6" s="14" t="s">
        <v>8</v>
      </c>
      <c r="W6" s="15">
        <f t="shared" si="1"/>
        <v>1160</v>
      </c>
      <c r="X6" s="15">
        <f t="shared" si="1"/>
        <v>107753698.39199999</v>
      </c>
      <c r="Y6"/>
      <c r="Z6" s="14" t="s">
        <v>8</v>
      </c>
      <c r="AA6" s="15">
        <v>240</v>
      </c>
      <c r="AB6" s="48">
        <v>22188710.471999999</v>
      </c>
      <c r="AC6"/>
      <c r="AD6" s="14" t="s">
        <v>8</v>
      </c>
      <c r="AE6" s="15">
        <v>400</v>
      </c>
      <c r="AF6" s="15">
        <v>37144884.240000002</v>
      </c>
      <c r="AG6"/>
      <c r="AH6" s="14" t="s">
        <v>8</v>
      </c>
      <c r="AI6" s="15">
        <v>520</v>
      </c>
      <c r="AJ6" s="15">
        <f t="shared" si="2"/>
        <v>48420103.68</v>
      </c>
      <c r="AL6" s="14" t="s">
        <v>8</v>
      </c>
      <c r="AM6" s="15">
        <f t="shared" si="3"/>
        <v>369</v>
      </c>
      <c r="AN6" s="15">
        <f t="shared" si="3"/>
        <v>35388418.399400003</v>
      </c>
      <c r="AO6"/>
      <c r="AP6" s="14" t="s">
        <v>8</v>
      </c>
      <c r="AQ6" s="15">
        <v>90</v>
      </c>
      <c r="AR6" s="48">
        <f>AQ6*95853.1646</f>
        <v>8626784.8140000012</v>
      </c>
      <c r="AS6"/>
      <c r="AT6" s="14" t="s">
        <v>8</v>
      </c>
      <c r="AU6" s="15">
        <v>142</v>
      </c>
      <c r="AV6" s="15">
        <f>AU6*98175.1024</f>
        <v>13940864.5408</v>
      </c>
      <c r="AW6"/>
      <c r="AX6" s="14" t="s">
        <v>8</v>
      </c>
      <c r="AY6" s="15">
        <v>137</v>
      </c>
      <c r="AZ6" s="15">
        <f>AY6*93582.2558</f>
        <v>12820769.044600001</v>
      </c>
    </row>
    <row r="7" spans="1:52">
      <c r="A7" s="14" t="s">
        <v>77</v>
      </c>
      <c r="B7" s="16">
        <v>150</v>
      </c>
      <c r="C7" s="16">
        <v>11509632.824999999</v>
      </c>
      <c r="D7" s="17"/>
      <c r="F7" s="14" t="s">
        <v>77</v>
      </c>
      <c r="G7" s="15">
        <f t="shared" si="0"/>
        <v>1072</v>
      </c>
      <c r="H7" s="15">
        <f t="shared" si="0"/>
        <v>93800315.819199994</v>
      </c>
      <c r="J7" s="14" t="s">
        <v>77</v>
      </c>
      <c r="K7" s="15">
        <v>575</v>
      </c>
      <c r="L7" s="15">
        <v>49457438.602499999</v>
      </c>
      <c r="N7" s="14" t="s">
        <v>77</v>
      </c>
      <c r="O7" s="15">
        <v>220</v>
      </c>
      <c r="P7" s="15">
        <v>19580876.304000001</v>
      </c>
      <c r="R7" s="14" t="s">
        <v>77</v>
      </c>
      <c r="S7" s="15">
        <v>277</v>
      </c>
      <c r="T7" s="15">
        <v>24762000.912700001</v>
      </c>
      <c r="V7" s="14" t="s">
        <v>1233</v>
      </c>
      <c r="W7" s="15">
        <f t="shared" si="1"/>
        <v>209</v>
      </c>
      <c r="X7" s="15">
        <f t="shared" si="1"/>
        <v>19322668.7027</v>
      </c>
      <c r="Y7"/>
      <c r="Z7" s="14" t="s">
        <v>1233</v>
      </c>
      <c r="AA7" s="15">
        <v>209</v>
      </c>
      <c r="AB7" s="48">
        <v>19322668.7027</v>
      </c>
      <c r="AC7"/>
      <c r="AD7" s="14" t="s">
        <v>1233</v>
      </c>
      <c r="AE7" s="15">
        <v>0</v>
      </c>
      <c r="AF7" s="15">
        <v>0</v>
      </c>
      <c r="AG7"/>
      <c r="AH7" s="14" t="s">
        <v>1233</v>
      </c>
      <c r="AI7" s="15"/>
      <c r="AJ7" s="15">
        <f t="shared" si="2"/>
        <v>0</v>
      </c>
      <c r="AL7" s="14" t="s">
        <v>1867</v>
      </c>
      <c r="AM7" s="15">
        <f t="shared" si="3"/>
        <v>428</v>
      </c>
      <c r="AN7" s="15">
        <f t="shared" si="3"/>
        <v>41041433.173</v>
      </c>
      <c r="AO7"/>
      <c r="AP7" s="14" t="s">
        <v>1867</v>
      </c>
      <c r="AQ7" s="15">
        <v>150</v>
      </c>
      <c r="AR7" s="48">
        <f>AQ7*95853.1646</f>
        <v>14377974.690000001</v>
      </c>
      <c r="AS7"/>
      <c r="AT7" s="14" t="s">
        <v>1867</v>
      </c>
      <c r="AU7" s="15">
        <v>141</v>
      </c>
      <c r="AV7" s="15">
        <f>AU7*98175.1024</f>
        <v>13842689.4384</v>
      </c>
      <c r="AW7"/>
      <c r="AX7" s="14" t="s">
        <v>1867</v>
      </c>
      <c r="AY7" s="15">
        <v>137</v>
      </c>
      <c r="AZ7" s="15">
        <f>AY7*93582.2558</f>
        <v>12820769.044600001</v>
      </c>
    </row>
    <row r="8" spans="1:52">
      <c r="A8" s="18" t="s">
        <v>114</v>
      </c>
      <c r="B8" s="19">
        <v>454</v>
      </c>
      <c r="C8" s="19">
        <v>34835822</v>
      </c>
      <c r="F8" s="14" t="s">
        <v>1233</v>
      </c>
      <c r="G8" s="15">
        <f t="shared" si="0"/>
        <v>1142</v>
      </c>
      <c r="H8" s="15">
        <f t="shared" si="0"/>
        <v>100045396.4754</v>
      </c>
      <c r="J8" s="14" t="s">
        <v>1233</v>
      </c>
      <c r="K8" s="15">
        <v>575</v>
      </c>
      <c r="L8" s="15">
        <v>49457438.602499999</v>
      </c>
      <c r="N8" s="14" t="s">
        <v>1233</v>
      </c>
      <c r="O8" s="15">
        <v>252</v>
      </c>
      <c r="P8" s="15">
        <v>22429003.766399998</v>
      </c>
      <c r="R8" s="14" t="s">
        <v>1233</v>
      </c>
      <c r="S8" s="15">
        <v>315</v>
      </c>
      <c r="T8" s="15">
        <v>28158954.1065</v>
      </c>
      <c r="V8" s="14" t="s">
        <v>20</v>
      </c>
      <c r="W8" s="15">
        <f t="shared" si="1"/>
        <v>1161</v>
      </c>
      <c r="X8" s="15">
        <f t="shared" si="1"/>
        <v>107846560.60260001</v>
      </c>
      <c r="Y8"/>
      <c r="Z8" s="14" t="s">
        <v>20</v>
      </c>
      <c r="AA8" s="48">
        <v>240</v>
      </c>
      <c r="AB8" s="48">
        <v>22188710.471999999</v>
      </c>
      <c r="AC8"/>
      <c r="AD8" s="14" t="s">
        <v>20</v>
      </c>
      <c r="AE8" s="15">
        <v>401</v>
      </c>
      <c r="AF8" s="15">
        <v>37237746.450599998</v>
      </c>
      <c r="AG8"/>
      <c r="AH8" s="14" t="s">
        <v>20</v>
      </c>
      <c r="AI8" s="15">
        <v>520</v>
      </c>
      <c r="AJ8" s="15">
        <f t="shared" si="2"/>
        <v>48420103.68</v>
      </c>
      <c r="AL8" s="14" t="s">
        <v>20</v>
      </c>
      <c r="AM8" s="15">
        <f t="shared" si="3"/>
        <v>409</v>
      </c>
      <c r="AN8" s="15">
        <f t="shared" si="3"/>
        <v>39222544.983400002</v>
      </c>
      <c r="AO8"/>
      <c r="AP8" s="14" t="s">
        <v>20</v>
      </c>
      <c r="AQ8" s="48">
        <v>130</v>
      </c>
      <c r="AR8" s="48">
        <f>AQ8*95853.1646</f>
        <v>12460911.398</v>
      </c>
      <c r="AS8"/>
      <c r="AT8" s="14" t="s">
        <v>20</v>
      </c>
      <c r="AU8" s="15">
        <v>142</v>
      </c>
      <c r="AV8" s="15">
        <f>AU8*98175.1024</f>
        <v>13940864.5408</v>
      </c>
      <c r="AW8"/>
      <c r="AX8" s="14" t="s">
        <v>20</v>
      </c>
      <c r="AY8" s="15">
        <v>137</v>
      </c>
      <c r="AZ8" s="15">
        <f>AY8*93582.2558</f>
        <v>12820769.044600001</v>
      </c>
    </row>
    <row r="9" spans="1:52">
      <c r="A9" s="20" t="s">
        <v>115</v>
      </c>
      <c r="B9" s="13" t="s">
        <v>100</v>
      </c>
      <c r="C9" s="21" t="s">
        <v>97</v>
      </c>
      <c r="F9" s="14" t="s">
        <v>20</v>
      </c>
      <c r="G9" s="15">
        <f t="shared" si="0"/>
        <v>919</v>
      </c>
      <c r="H9" s="15">
        <f t="shared" si="0"/>
        <v>81103948.711600006</v>
      </c>
      <c r="J9" s="14" t="s">
        <v>20</v>
      </c>
      <c r="K9" s="48">
        <v>267</v>
      </c>
      <c r="L9" s="48">
        <v>22965454.098900001</v>
      </c>
      <c r="N9" s="14" t="s">
        <v>20</v>
      </c>
      <c r="O9" s="48">
        <v>375</v>
      </c>
      <c r="P9" s="48">
        <v>33376493.699999999</v>
      </c>
      <c r="R9" s="14" t="s">
        <v>20</v>
      </c>
      <c r="S9" s="48">
        <v>277</v>
      </c>
      <c r="T9" s="48">
        <v>24762000.912700001</v>
      </c>
      <c r="V9" s="14" t="s">
        <v>73</v>
      </c>
      <c r="W9" s="15">
        <f t="shared" si="1"/>
        <v>327</v>
      </c>
      <c r="X9" s="15">
        <f t="shared" si="1"/>
        <v>30336149.939000003</v>
      </c>
      <c r="Y9"/>
      <c r="Z9" s="14" t="s">
        <v>73</v>
      </c>
      <c r="AA9" s="48">
        <v>170</v>
      </c>
      <c r="AB9" s="48">
        <v>15717003.251</v>
      </c>
      <c r="AC9"/>
      <c r="AD9" s="14" t="s">
        <v>73</v>
      </c>
      <c r="AE9" s="15">
        <v>0</v>
      </c>
      <c r="AF9" s="15">
        <v>0</v>
      </c>
      <c r="AG9"/>
      <c r="AH9" s="14" t="s">
        <v>1867</v>
      </c>
      <c r="AI9" s="15">
        <v>157</v>
      </c>
      <c r="AJ9" s="15">
        <f t="shared" si="2"/>
        <v>14619146.688000001</v>
      </c>
      <c r="AL9" s="14" t="s">
        <v>14</v>
      </c>
      <c r="AM9" s="15">
        <f t="shared" si="3"/>
        <v>490</v>
      </c>
      <c r="AN9" s="15">
        <f t="shared" si="3"/>
        <v>46986600.287</v>
      </c>
      <c r="AO9"/>
      <c r="AP9" s="14" t="s">
        <v>14</v>
      </c>
      <c r="AQ9" s="48">
        <v>213</v>
      </c>
      <c r="AR9" s="48">
        <f>AQ9*95853.1646</f>
        <v>20416724.059799999</v>
      </c>
      <c r="AS9"/>
      <c r="AT9" s="14" t="s">
        <v>14</v>
      </c>
      <c r="AU9" s="15">
        <v>141</v>
      </c>
      <c r="AV9" s="15">
        <f>AU9*98175.1024</f>
        <v>13842689.4384</v>
      </c>
      <c r="AW9"/>
      <c r="AX9" s="14" t="s">
        <v>14</v>
      </c>
      <c r="AY9" s="15">
        <v>136</v>
      </c>
      <c r="AZ9" s="15">
        <f>AY9*93582.2558</f>
        <v>12727186.788799999</v>
      </c>
    </row>
    <row r="10" spans="1:52">
      <c r="A10" s="22" t="s">
        <v>16</v>
      </c>
      <c r="B10" s="16">
        <v>317.8</v>
      </c>
      <c r="C10" s="16">
        <v>24385075.399999999</v>
      </c>
      <c r="F10" s="18" t="s">
        <v>114</v>
      </c>
      <c r="G10" s="23">
        <f>SUM(G5:G9)</f>
        <v>4853</v>
      </c>
      <c r="H10" s="23">
        <f>SUM(H5:H9)</f>
        <v>426513368.93220001</v>
      </c>
      <c r="J10" s="18" t="s">
        <v>114</v>
      </c>
      <c r="K10" s="23">
        <f>SUM(K5:K9)</f>
        <v>1992</v>
      </c>
      <c r="L10" s="23">
        <f>SUM(L5:L9)</f>
        <v>171337769.9064</v>
      </c>
      <c r="N10" s="18" t="s">
        <v>114</v>
      </c>
      <c r="O10" s="23">
        <f>SUM(O5:O9)</f>
        <v>1487</v>
      </c>
      <c r="P10" s="23">
        <f>SUM(P5:P9)</f>
        <v>132348923.0184</v>
      </c>
      <c r="R10" s="18" t="s">
        <v>114</v>
      </c>
      <c r="S10" s="23">
        <f>SUM(S5:S9)</f>
        <v>1374</v>
      </c>
      <c r="T10" s="23">
        <f>SUM(T5:T9)</f>
        <v>122826676.00739999</v>
      </c>
      <c r="V10" s="14" t="s">
        <v>14</v>
      </c>
      <c r="W10" s="15">
        <f t="shared" si="1"/>
        <v>1120</v>
      </c>
      <c r="X10" s="15">
        <f t="shared" si="1"/>
        <v>104055579.97999999</v>
      </c>
      <c r="Y10"/>
      <c r="Z10" s="14" t="s">
        <v>14</v>
      </c>
      <c r="AA10" s="48">
        <v>200</v>
      </c>
      <c r="AB10" s="48">
        <v>18490592.059999999</v>
      </c>
      <c r="AC10"/>
      <c r="AD10" s="14" t="s">
        <v>14</v>
      </c>
      <c r="AE10" s="15">
        <v>400</v>
      </c>
      <c r="AF10" s="15">
        <v>37144884.240000002</v>
      </c>
      <c r="AG10"/>
      <c r="AH10" s="14" t="s">
        <v>14</v>
      </c>
      <c r="AI10" s="15">
        <v>520</v>
      </c>
      <c r="AJ10" s="15">
        <f t="shared" si="2"/>
        <v>48420103.68</v>
      </c>
      <c r="AL10" s="18" t="s">
        <v>114</v>
      </c>
      <c r="AM10" s="23">
        <f>SUM(AM5:AM9)</f>
        <v>1833</v>
      </c>
      <c r="AN10" s="23">
        <f>SUM(AN5:AN9)</f>
        <v>175459765.88740003</v>
      </c>
      <c r="AO10"/>
      <c r="AP10" s="18" t="s">
        <v>114</v>
      </c>
      <c r="AQ10" s="23">
        <f>SUM(AQ5:AQ9)</f>
        <v>583</v>
      </c>
      <c r="AR10" s="23">
        <f>SUM(AR5:AR9)</f>
        <v>55882394.961800002</v>
      </c>
      <c r="AS10"/>
      <c r="AT10" s="18" t="s">
        <v>114</v>
      </c>
      <c r="AU10" s="23">
        <f>SUM(AU5:AU9)</f>
        <v>566</v>
      </c>
      <c r="AV10" s="23">
        <f>SUM(AV5:AV9)</f>
        <v>55567107.958399996</v>
      </c>
      <c r="AW10"/>
      <c r="AX10" s="18" t="s">
        <v>114</v>
      </c>
      <c r="AY10" s="23">
        <f>SUM(AY5:AY9)</f>
        <v>684</v>
      </c>
      <c r="AZ10" s="23">
        <f>SUM(AZ5:AZ9)</f>
        <v>64010262.967200004</v>
      </c>
    </row>
    <row r="11" spans="1:52">
      <c r="A11" s="18" t="s">
        <v>114</v>
      </c>
      <c r="B11" s="18">
        <v>317.8</v>
      </c>
      <c r="C11" s="18">
        <v>24385075.399999999</v>
      </c>
      <c r="F11" s="20" t="s">
        <v>115</v>
      </c>
      <c r="G11" s="13" t="s">
        <v>100</v>
      </c>
      <c r="H11" s="21" t="s">
        <v>97</v>
      </c>
      <c r="J11" s="20" t="s">
        <v>115</v>
      </c>
      <c r="K11" s="13" t="s">
        <v>100</v>
      </c>
      <c r="L11" s="21" t="s">
        <v>97</v>
      </c>
      <c r="N11" s="20" t="s">
        <v>115</v>
      </c>
      <c r="O11" s="13" t="s">
        <v>100</v>
      </c>
      <c r="P11" s="21" t="s">
        <v>97</v>
      </c>
      <c r="R11" s="20" t="s">
        <v>115</v>
      </c>
      <c r="S11" s="13" t="s">
        <v>100</v>
      </c>
      <c r="T11" s="21" t="s">
        <v>97</v>
      </c>
      <c r="V11" s="18" t="s">
        <v>114</v>
      </c>
      <c r="W11" s="23">
        <f>SUM(W5:W10)</f>
        <v>3977</v>
      </c>
      <c r="X11" s="23">
        <f>SUM(X5:X10)</f>
        <v>369314657.61629999</v>
      </c>
      <c r="Y11"/>
      <c r="Z11" s="18" t="s">
        <v>114</v>
      </c>
      <c r="AA11" s="23">
        <f>SUM(AA5:AA10)</f>
        <v>1059</v>
      </c>
      <c r="AB11" s="23">
        <f>SUM(AB5:AB10)</f>
        <v>97907684.957699999</v>
      </c>
      <c r="AC11"/>
      <c r="AD11" s="18" t="s">
        <v>114</v>
      </c>
      <c r="AE11" s="23">
        <f>SUM(AE5:AE10)</f>
        <v>1201</v>
      </c>
      <c r="AF11" s="23">
        <f>SUM(AF5:AF10)</f>
        <v>111527514.93060002</v>
      </c>
      <c r="AG11"/>
      <c r="AH11" s="18" t="s">
        <v>114</v>
      </c>
      <c r="AI11" s="23">
        <f>SUM(AI5:AI10)</f>
        <v>1717</v>
      </c>
      <c r="AJ11" s="23">
        <f>SUM(AJ5:AJ10)</f>
        <v>159879457.72800002</v>
      </c>
      <c r="AL11" s="20" t="s">
        <v>115</v>
      </c>
      <c r="AM11" s="13" t="s">
        <v>100</v>
      </c>
      <c r="AN11" s="21" t="s">
        <v>97</v>
      </c>
      <c r="AO11"/>
      <c r="AP11" s="20" t="s">
        <v>115</v>
      </c>
      <c r="AQ11" s="13" t="s">
        <v>100</v>
      </c>
      <c r="AR11" s="21" t="s">
        <v>97</v>
      </c>
      <c r="AS11"/>
      <c r="AT11" s="20" t="s">
        <v>115</v>
      </c>
      <c r="AU11" s="13" t="s">
        <v>100</v>
      </c>
      <c r="AV11" s="21" t="s">
        <v>97</v>
      </c>
      <c r="AW11"/>
      <c r="AX11" s="20" t="s">
        <v>115</v>
      </c>
      <c r="AY11" s="13" t="s">
        <v>100</v>
      </c>
      <c r="AZ11" s="21" t="s">
        <v>97</v>
      </c>
    </row>
    <row r="12" spans="1:52">
      <c r="A12" s="7"/>
      <c r="B12" s="8"/>
      <c r="C12" s="8"/>
      <c r="F12" s="24" t="s">
        <v>16</v>
      </c>
      <c r="G12" s="15">
        <f>K12+O12+S12</f>
        <v>1973</v>
      </c>
      <c r="H12" s="15">
        <f>L12+P12+T12</f>
        <v>173294735.36949998</v>
      </c>
      <c r="J12" s="24" t="s">
        <v>16</v>
      </c>
      <c r="K12" s="49">
        <v>854</v>
      </c>
      <c r="L12" s="15">
        <v>73455047.941799998</v>
      </c>
      <c r="N12" s="24" t="s">
        <v>16</v>
      </c>
      <c r="O12" s="49">
        <v>492</v>
      </c>
      <c r="P12" s="15">
        <v>43789959.729999997</v>
      </c>
      <c r="R12" s="24" t="s">
        <v>16</v>
      </c>
      <c r="S12" s="49">
        <v>627</v>
      </c>
      <c r="T12" s="15">
        <v>56049727.697700001</v>
      </c>
      <c r="V12" s="20" t="s">
        <v>115</v>
      </c>
      <c r="W12" s="13" t="s">
        <v>100</v>
      </c>
      <c r="X12" s="21" t="s">
        <v>97</v>
      </c>
      <c r="Y12"/>
      <c r="Z12" s="20" t="s">
        <v>115</v>
      </c>
      <c r="AA12" s="13" t="s">
        <v>100</v>
      </c>
      <c r="AB12" s="21" t="s">
        <v>97</v>
      </c>
      <c r="AC12"/>
      <c r="AD12" s="20" t="s">
        <v>115</v>
      </c>
      <c r="AE12" s="13" t="s">
        <v>100</v>
      </c>
      <c r="AF12" s="21" t="s">
        <v>97</v>
      </c>
      <c r="AG12"/>
      <c r="AH12" s="20" t="s">
        <v>115</v>
      </c>
      <c r="AI12" s="13" t="s">
        <v>100</v>
      </c>
      <c r="AJ12" s="21" t="s">
        <v>97</v>
      </c>
      <c r="AL12" s="24" t="s">
        <v>16</v>
      </c>
      <c r="AM12" s="15">
        <f>AQ12+AU12+AY12</f>
        <v>683.55</v>
      </c>
      <c r="AN12" s="15">
        <f>AR12+AV12+AZ12</f>
        <v>65536225.596919999</v>
      </c>
      <c r="AO12" s="55"/>
      <c r="AP12" s="24" t="s">
        <v>16</v>
      </c>
      <c r="AQ12" s="49">
        <v>204</v>
      </c>
      <c r="AR12" s="48">
        <f>AQ12*95853.1646</f>
        <v>19554045.578400001</v>
      </c>
      <c r="AS12"/>
      <c r="AT12" s="24" t="s">
        <v>16</v>
      </c>
      <c r="AU12" s="49">
        <v>240.55</v>
      </c>
      <c r="AV12" s="15">
        <f>AU12*98175.1024</f>
        <v>23616020.882320002</v>
      </c>
      <c r="AW12"/>
      <c r="AX12" s="24" t="s">
        <v>16</v>
      </c>
      <c r="AY12" s="49">
        <v>239</v>
      </c>
      <c r="AZ12" s="15">
        <f>AY12*93582.2558</f>
        <v>22366159.1362</v>
      </c>
    </row>
    <row r="13" spans="1:52">
      <c r="A13" s="2307" t="s">
        <v>713</v>
      </c>
      <c r="B13" s="2308"/>
      <c r="C13" s="9" t="s">
        <v>27</v>
      </c>
      <c r="F13" s="22" t="s">
        <v>22</v>
      </c>
      <c r="G13" s="15">
        <f>K13+O13+S13</f>
        <v>1367</v>
      </c>
      <c r="H13" s="15">
        <f>L13+P13+T13</f>
        <v>120183769.75650001</v>
      </c>
      <c r="J13" s="22" t="s">
        <v>22</v>
      </c>
      <c r="K13" s="15">
        <v>540</v>
      </c>
      <c r="L13" s="15">
        <v>46446985.818000004</v>
      </c>
      <c r="N13" s="22" t="s">
        <v>22</v>
      </c>
      <c r="O13" s="15">
        <v>492</v>
      </c>
      <c r="P13" s="15">
        <v>43789959.729999997</v>
      </c>
      <c r="R13" s="22" t="s">
        <v>22</v>
      </c>
      <c r="S13" s="15">
        <v>335</v>
      </c>
      <c r="T13" s="15">
        <v>29946824.208500002</v>
      </c>
      <c r="V13" s="24" t="s">
        <v>16</v>
      </c>
      <c r="W13" s="15">
        <f>AA13+AE13+AI13</f>
        <v>1464</v>
      </c>
      <c r="X13" s="15">
        <f>AB13+AF13+AJ13</f>
        <v>135979452.90720001</v>
      </c>
      <c r="Y13" s="55"/>
      <c r="Z13" s="24" t="s">
        <v>16</v>
      </c>
      <c r="AA13" s="49">
        <v>424</v>
      </c>
      <c r="AB13" s="48">
        <v>39200055.167199999</v>
      </c>
      <c r="AC13"/>
      <c r="AD13" s="24" t="s">
        <v>16</v>
      </c>
      <c r="AE13" s="49">
        <v>240</v>
      </c>
      <c r="AF13" s="15">
        <v>22286930.539999999</v>
      </c>
      <c r="AG13"/>
      <c r="AH13" s="24" t="s">
        <v>16</v>
      </c>
      <c r="AI13" s="49">
        <v>800</v>
      </c>
      <c r="AJ13" s="15">
        <f>AI13*93115.584</f>
        <v>74492467.200000003</v>
      </c>
      <c r="AL13" s="22" t="s">
        <v>22</v>
      </c>
      <c r="AM13" s="15">
        <f>AQ13+AU13+AY13</f>
        <v>683.55</v>
      </c>
      <c r="AN13" s="15">
        <f>AR13+AV13+AZ13</f>
        <v>65536225.596919999</v>
      </c>
      <c r="AO13"/>
      <c r="AP13" s="22" t="s">
        <v>22</v>
      </c>
      <c r="AQ13" s="15">
        <v>204</v>
      </c>
      <c r="AR13" s="48">
        <f>AQ13*95853.1646</f>
        <v>19554045.578400001</v>
      </c>
      <c r="AS13"/>
      <c r="AT13" s="22" t="s">
        <v>22</v>
      </c>
      <c r="AU13" s="49">
        <v>240.55</v>
      </c>
      <c r="AV13" s="15">
        <f>AU13*98175.1024</f>
        <v>23616020.882320002</v>
      </c>
      <c r="AW13"/>
      <c r="AX13" s="22" t="s">
        <v>22</v>
      </c>
      <c r="AY13" s="15">
        <v>239</v>
      </c>
      <c r="AZ13" s="15">
        <f>AY13*93582.2558</f>
        <v>22366159.1362</v>
      </c>
    </row>
    <row r="14" spans="1:52">
      <c r="A14" s="25" t="s">
        <v>1</v>
      </c>
      <c r="B14" s="26" t="s">
        <v>100</v>
      </c>
      <c r="C14" s="26" t="s">
        <v>97</v>
      </c>
      <c r="F14" s="27" t="s">
        <v>114</v>
      </c>
      <c r="G14" s="28">
        <f>SUM(G12:G13)</f>
        <v>3340</v>
      </c>
      <c r="H14" s="28">
        <f>SUM(H12:H13)</f>
        <v>293478505.12599999</v>
      </c>
      <c r="J14" s="27" t="s">
        <v>114</v>
      </c>
      <c r="K14" s="28">
        <f>SUM(K12:K13)</f>
        <v>1394</v>
      </c>
      <c r="L14" s="28">
        <f>SUM(L12:L13)</f>
        <v>119902033.7598</v>
      </c>
      <c r="N14" s="27" t="s">
        <v>114</v>
      </c>
      <c r="O14" s="28">
        <f>SUM(O12:O13)</f>
        <v>984</v>
      </c>
      <c r="P14" s="28">
        <f>SUM(P12:P13)</f>
        <v>87579919.459999993</v>
      </c>
      <c r="R14" s="27" t="s">
        <v>114</v>
      </c>
      <c r="S14" s="28">
        <f>SUM(S12:S13)</f>
        <v>962</v>
      </c>
      <c r="T14" s="28">
        <f>SUM(T12:T13)</f>
        <v>85996551.906200007</v>
      </c>
      <c r="V14" s="22" t="s">
        <v>22</v>
      </c>
      <c r="W14" s="15">
        <f>AA14+AE14+AI14</f>
        <v>1424</v>
      </c>
      <c r="X14" s="15">
        <f>AB14+AF14+AJ14</f>
        <v>132163615.12720001</v>
      </c>
      <c r="Y14"/>
      <c r="Z14" s="22" t="s">
        <v>22</v>
      </c>
      <c r="AA14" s="15">
        <v>424</v>
      </c>
      <c r="AB14" s="48">
        <v>39200055.167199999</v>
      </c>
      <c r="AC14"/>
      <c r="AD14" s="22" t="s">
        <v>22</v>
      </c>
      <c r="AE14" s="49">
        <v>600</v>
      </c>
      <c r="AF14" s="15">
        <v>55717326.359999999</v>
      </c>
      <c r="AG14"/>
      <c r="AH14" s="22" t="s">
        <v>22</v>
      </c>
      <c r="AI14" s="15">
        <v>400</v>
      </c>
      <c r="AJ14" s="15">
        <f>AI14*93115.584</f>
        <v>37246233.600000001</v>
      </c>
      <c r="AL14" s="27" t="s">
        <v>114</v>
      </c>
      <c r="AM14" s="28">
        <f>SUM(AM12:AM13)</f>
        <v>1367.1</v>
      </c>
      <c r="AN14" s="28">
        <f>SUM(AN12:AN13)</f>
        <v>131072451.19384</v>
      </c>
      <c r="AO14"/>
      <c r="AP14" s="27" t="s">
        <v>114</v>
      </c>
      <c r="AQ14" s="28">
        <f>SUM(AQ12:AQ13)</f>
        <v>408</v>
      </c>
      <c r="AR14" s="28">
        <f>SUM(AR12:AR13)</f>
        <v>39108091.156800002</v>
      </c>
      <c r="AS14"/>
      <c r="AT14" s="27" t="s">
        <v>114</v>
      </c>
      <c r="AU14" s="28">
        <f>SUM(AU12:AU13)</f>
        <v>481.1</v>
      </c>
      <c r="AV14" s="28">
        <f>SUM(AV12:AV13)</f>
        <v>47232041.764640003</v>
      </c>
      <c r="AW14"/>
      <c r="AX14" s="27" t="s">
        <v>114</v>
      </c>
      <c r="AY14" s="28">
        <f>SUM(AY12:AY13)</f>
        <v>478</v>
      </c>
      <c r="AZ14" s="28">
        <f>SUM(AZ12:AZ13)</f>
        <v>44732318.272399999</v>
      </c>
    </row>
    <row r="15" spans="1:52">
      <c r="A15" s="7"/>
      <c r="B15" s="8"/>
      <c r="C15" s="8"/>
      <c r="F15" s="29"/>
      <c r="G15" s="29"/>
      <c r="H15" s="30"/>
      <c r="J15" s="50"/>
      <c r="K15" s="50"/>
      <c r="L15" s="47"/>
      <c r="N15" s="50"/>
      <c r="O15" s="50"/>
      <c r="P15" s="47"/>
      <c r="R15" s="50"/>
      <c r="S15" s="50"/>
      <c r="T15" s="47"/>
      <c r="V15" s="27" t="s">
        <v>114</v>
      </c>
      <c r="W15" s="28">
        <f>SUM(W13:W14)</f>
        <v>2888</v>
      </c>
      <c r="X15" s="28">
        <f>SUM(X13:X14)</f>
        <v>268143068.03440002</v>
      </c>
      <c r="Y15"/>
      <c r="Z15" s="27" t="s">
        <v>114</v>
      </c>
      <c r="AA15" s="28">
        <f>SUM(AA13:AA14)</f>
        <v>848</v>
      </c>
      <c r="AB15" s="28">
        <f>SUM(AB13:AB14)</f>
        <v>78400110.334399998</v>
      </c>
      <c r="AC15"/>
      <c r="AD15" s="27" t="s">
        <v>114</v>
      </c>
      <c r="AE15" s="28">
        <f>SUM(AE13:AE14)</f>
        <v>840</v>
      </c>
      <c r="AF15" s="28">
        <f>SUM(AF13:AF14)</f>
        <v>78004256.900000006</v>
      </c>
      <c r="AG15"/>
      <c r="AH15" s="27" t="s">
        <v>114</v>
      </c>
      <c r="AI15" s="28">
        <f>SUM(AI13:AI14)</f>
        <v>1200</v>
      </c>
      <c r="AJ15" s="28">
        <f>SUM(AJ13:AJ14)</f>
        <v>111738700.80000001</v>
      </c>
      <c r="AL15" s="42"/>
      <c r="AM15" s="36"/>
      <c r="AN15" s="36"/>
      <c r="AO15"/>
      <c r="AP15" s="47"/>
      <c r="AQ15" s="47"/>
      <c r="AR15" s="47"/>
      <c r="AS15"/>
      <c r="AT15" s="47"/>
      <c r="AU15" s="47"/>
      <c r="AV15" s="47"/>
      <c r="AW15"/>
      <c r="AX15" s="47"/>
      <c r="AY15" s="47"/>
      <c r="AZ15" s="47"/>
    </row>
    <row r="16" spans="1:52">
      <c r="A16" s="31" t="s">
        <v>63</v>
      </c>
      <c r="B16" s="32">
        <v>50</v>
      </c>
      <c r="C16" s="32">
        <v>4679705.63</v>
      </c>
      <c r="F16" s="2422" t="s">
        <v>713</v>
      </c>
      <c r="G16" s="2422"/>
      <c r="H16" s="9" t="s">
        <v>13</v>
      </c>
      <c r="J16" s="2422" t="s">
        <v>713</v>
      </c>
      <c r="K16" s="2422"/>
      <c r="L16" s="9" t="s">
        <v>13</v>
      </c>
      <c r="N16" s="2422" t="s">
        <v>713</v>
      </c>
      <c r="O16" s="2422"/>
      <c r="P16" s="9" t="s">
        <v>13</v>
      </c>
      <c r="R16" s="2422" t="s">
        <v>713</v>
      </c>
      <c r="S16" s="2422"/>
      <c r="T16" s="9" t="s">
        <v>13</v>
      </c>
      <c r="V16" s="42"/>
      <c r="W16" s="36"/>
      <c r="X16" s="36"/>
      <c r="Y16"/>
      <c r="Z16" s="47"/>
      <c r="AA16" s="47"/>
      <c r="AB16" s="47"/>
      <c r="AC16"/>
      <c r="AD16" s="47"/>
      <c r="AE16" s="47"/>
      <c r="AF16" s="47"/>
      <c r="AG16"/>
      <c r="AH16" s="47"/>
      <c r="AI16" s="47"/>
      <c r="AJ16" s="47"/>
      <c r="AL16" s="7"/>
      <c r="AM16" s="8"/>
      <c r="AN16" s="8"/>
      <c r="AO16"/>
      <c r="AP16" s="47"/>
      <c r="AQ16" s="47"/>
      <c r="AR16" s="47"/>
      <c r="AS16"/>
      <c r="AT16" s="47"/>
      <c r="AU16" s="47"/>
      <c r="AV16" s="47"/>
      <c r="AW16"/>
      <c r="AX16" s="47"/>
      <c r="AY16" s="47"/>
      <c r="AZ16" s="47"/>
    </row>
    <row r="17" spans="1:52">
      <c r="A17" s="27" t="s">
        <v>114</v>
      </c>
      <c r="B17" s="19">
        <v>373</v>
      </c>
      <c r="C17" s="19">
        <v>34910604</v>
      </c>
      <c r="F17" s="12" t="s">
        <v>1</v>
      </c>
      <c r="G17" s="13" t="s">
        <v>100</v>
      </c>
      <c r="H17" s="13" t="s">
        <v>97</v>
      </c>
      <c r="I17" s="1"/>
      <c r="J17" s="12" t="s">
        <v>1</v>
      </c>
      <c r="K17" s="13" t="s">
        <v>100</v>
      </c>
      <c r="L17" s="13" t="s">
        <v>97</v>
      </c>
      <c r="N17" s="12" t="s">
        <v>1</v>
      </c>
      <c r="O17" s="13" t="s">
        <v>100</v>
      </c>
      <c r="P17" s="13" t="s">
        <v>97</v>
      </c>
      <c r="R17" s="12" t="s">
        <v>1</v>
      </c>
      <c r="S17" s="13" t="s">
        <v>100</v>
      </c>
      <c r="T17" s="13" t="s">
        <v>97</v>
      </c>
      <c r="V17" s="7"/>
      <c r="W17" s="8"/>
      <c r="X17" s="8"/>
      <c r="Y17"/>
      <c r="Z17" s="47"/>
      <c r="AA17" s="47"/>
      <c r="AB17" s="47"/>
      <c r="AC17"/>
      <c r="AD17" s="47"/>
      <c r="AE17" s="47"/>
      <c r="AF17" s="47"/>
      <c r="AG17"/>
      <c r="AH17" s="47"/>
      <c r="AI17" s="47"/>
      <c r="AJ17" s="47"/>
      <c r="AL17" s="2307" t="s">
        <v>713</v>
      </c>
      <c r="AM17" s="2308"/>
      <c r="AN17" s="9" t="s">
        <v>13</v>
      </c>
      <c r="AO17" s="55" t="s">
        <v>118</v>
      </c>
      <c r="AP17" s="2307" t="s">
        <v>713</v>
      </c>
      <c r="AQ17" s="2308"/>
      <c r="AR17" s="9" t="s">
        <v>13</v>
      </c>
      <c r="AS17"/>
      <c r="AT17" s="2307" t="s">
        <v>713</v>
      </c>
      <c r="AU17" s="2308"/>
      <c r="AV17" s="9" t="s">
        <v>13</v>
      </c>
      <c r="AW17"/>
      <c r="AX17" s="2307" t="s">
        <v>713</v>
      </c>
      <c r="AY17" s="2308"/>
      <c r="AZ17" s="9" t="s">
        <v>13</v>
      </c>
    </row>
    <row r="18" spans="1:52" s="1" customFormat="1">
      <c r="A18" s="20" t="s">
        <v>115</v>
      </c>
      <c r="B18" s="13" t="s">
        <v>100</v>
      </c>
      <c r="C18" s="21" t="s">
        <v>97</v>
      </c>
      <c r="F18" s="14" t="s">
        <v>73</v>
      </c>
      <c r="G18" s="15">
        <f t="shared" ref="G18:H22" si="4">K18+O18+S18</f>
        <v>685</v>
      </c>
      <c r="H18" s="15">
        <f t="shared" si="4"/>
        <v>58063399.594999999</v>
      </c>
      <c r="I18" s="2"/>
      <c r="J18" s="14" t="s">
        <v>73</v>
      </c>
      <c r="K18" s="15"/>
      <c r="L18" s="15"/>
      <c r="N18" s="14" t="s">
        <v>73</v>
      </c>
      <c r="O18" s="15"/>
      <c r="P18" s="15"/>
      <c r="R18" s="14" t="s">
        <v>73</v>
      </c>
      <c r="S18" s="15">
        <v>685</v>
      </c>
      <c r="T18" s="15">
        <v>58063399.594999999</v>
      </c>
      <c r="V18" s="2307" t="s">
        <v>713</v>
      </c>
      <c r="W18" s="2308"/>
      <c r="X18" s="9" t="s">
        <v>13</v>
      </c>
      <c r="Y18"/>
      <c r="Z18" s="2307" t="s">
        <v>713</v>
      </c>
      <c r="AA18" s="2308"/>
      <c r="AB18" s="9" t="s">
        <v>13</v>
      </c>
      <c r="AC18"/>
      <c r="AD18" s="2307" t="s">
        <v>713</v>
      </c>
      <c r="AE18" s="2308"/>
      <c r="AF18" s="9" t="s">
        <v>13</v>
      </c>
      <c r="AG18"/>
      <c r="AH18" s="2307" t="s">
        <v>713</v>
      </c>
      <c r="AI18" s="2308"/>
      <c r="AJ18" s="9" t="s">
        <v>13</v>
      </c>
      <c r="AL18" s="12" t="s">
        <v>1</v>
      </c>
      <c r="AM18" s="13" t="s">
        <v>100</v>
      </c>
      <c r="AN18" s="13" t="s">
        <v>97</v>
      </c>
      <c r="AO18"/>
      <c r="AP18" s="12" t="s">
        <v>1</v>
      </c>
      <c r="AQ18" s="13" t="s">
        <v>100</v>
      </c>
      <c r="AR18" s="13" t="s">
        <v>97</v>
      </c>
      <c r="AS18"/>
      <c r="AT18" s="12" t="s">
        <v>1</v>
      </c>
      <c r="AU18" s="13" t="s">
        <v>100</v>
      </c>
      <c r="AV18" s="13" t="s">
        <v>97</v>
      </c>
      <c r="AW18"/>
      <c r="AX18" s="12" t="s">
        <v>1</v>
      </c>
      <c r="AY18" s="13" t="s">
        <v>100</v>
      </c>
      <c r="AZ18" s="13" t="s">
        <v>97</v>
      </c>
    </row>
    <row r="19" spans="1:52">
      <c r="A19" s="22" t="s">
        <v>16</v>
      </c>
      <c r="B19" s="33">
        <v>261.10000000000002</v>
      </c>
      <c r="C19" s="33">
        <v>24437422.800000001</v>
      </c>
      <c r="F19" s="14" t="s">
        <v>8</v>
      </c>
      <c r="G19" s="15">
        <f t="shared" si="4"/>
        <v>420</v>
      </c>
      <c r="H19" s="15">
        <f t="shared" si="4"/>
        <v>35600916.539999999</v>
      </c>
      <c r="J19" s="14" t="s">
        <v>8</v>
      </c>
      <c r="K19" s="15"/>
      <c r="L19" s="15"/>
      <c r="N19" s="14" t="s">
        <v>8</v>
      </c>
      <c r="O19" s="15"/>
      <c r="P19" s="15"/>
      <c r="R19" s="14" t="s">
        <v>8</v>
      </c>
      <c r="S19" s="15">
        <v>420</v>
      </c>
      <c r="T19" s="15">
        <v>35600916.539999999</v>
      </c>
      <c r="V19" s="12" t="s">
        <v>1</v>
      </c>
      <c r="W19" s="13" t="s">
        <v>100</v>
      </c>
      <c r="X19" s="13" t="s">
        <v>97</v>
      </c>
      <c r="Y19"/>
      <c r="Z19" s="12" t="s">
        <v>1</v>
      </c>
      <c r="AA19" s="13" t="s">
        <v>100</v>
      </c>
      <c r="AB19" s="13" t="s">
        <v>97</v>
      </c>
      <c r="AC19"/>
      <c r="AD19" s="12" t="s">
        <v>1</v>
      </c>
      <c r="AE19" s="13" t="s">
        <v>100</v>
      </c>
      <c r="AF19" s="13" t="s">
        <v>97</v>
      </c>
      <c r="AG19"/>
      <c r="AH19" s="12" t="s">
        <v>1</v>
      </c>
      <c r="AI19" s="13" t="s">
        <v>100</v>
      </c>
      <c r="AJ19" s="13" t="s">
        <v>97</v>
      </c>
      <c r="AL19" s="14" t="s">
        <v>77</v>
      </c>
      <c r="AM19" s="15">
        <f t="shared" ref="AM19:AN23" si="5">AQ19+AU19+AY19</f>
        <v>247</v>
      </c>
      <c r="AN19" s="15">
        <f t="shared" si="5"/>
        <v>23749793.000700001</v>
      </c>
      <c r="AO19"/>
      <c r="AP19" s="14" t="s">
        <v>77</v>
      </c>
      <c r="AQ19" s="15">
        <v>0</v>
      </c>
      <c r="AR19" s="48">
        <f>AQ19*85049.4233</f>
        <v>0</v>
      </c>
      <c r="AS19"/>
      <c r="AT19" s="14" t="s">
        <v>77</v>
      </c>
      <c r="AU19" s="15">
        <v>0</v>
      </c>
      <c r="AV19" s="48">
        <f>AU19*94022.1871</f>
        <v>0</v>
      </c>
      <c r="AW19"/>
      <c r="AX19" s="14" t="s">
        <v>77</v>
      </c>
      <c r="AY19" s="15">
        <v>247</v>
      </c>
      <c r="AZ19" s="15">
        <f>AY19*96153.0081</f>
        <v>23749793.000700001</v>
      </c>
    </row>
    <row r="20" spans="1:52">
      <c r="A20" s="18" t="s">
        <v>114</v>
      </c>
      <c r="B20" s="18">
        <v>261.10000000000002</v>
      </c>
      <c r="C20" s="18">
        <v>24437422.800000001</v>
      </c>
      <c r="F20" s="14" t="s">
        <v>77</v>
      </c>
      <c r="G20" s="15">
        <f t="shared" si="4"/>
        <v>592</v>
      </c>
      <c r="H20" s="15">
        <f t="shared" si="4"/>
        <v>50180339.504000001</v>
      </c>
      <c r="J20" s="14" t="s">
        <v>77</v>
      </c>
      <c r="K20" s="15"/>
      <c r="L20" s="15"/>
      <c r="N20" s="14" t="s">
        <v>77</v>
      </c>
      <c r="O20" s="15"/>
      <c r="P20" s="15"/>
      <c r="R20" s="14" t="s">
        <v>77</v>
      </c>
      <c r="S20" s="15">
        <v>592</v>
      </c>
      <c r="T20" s="15">
        <v>50180339.504000001</v>
      </c>
      <c r="V20" s="14" t="s">
        <v>77</v>
      </c>
      <c r="W20" s="15">
        <f t="shared" ref="W20:X25" si="6">AA20+AE20+AI20</f>
        <v>0</v>
      </c>
      <c r="X20" s="15">
        <f t="shared" si="6"/>
        <v>0</v>
      </c>
      <c r="Y20"/>
      <c r="Z20" s="14" t="s">
        <v>77</v>
      </c>
      <c r="AA20" s="15">
        <v>0</v>
      </c>
      <c r="AB20" s="48">
        <f t="shared" ref="AB20:AB25" si="7">AA20*85049.4233</f>
        <v>0</v>
      </c>
      <c r="AC20"/>
      <c r="AD20" s="14" t="s">
        <v>77</v>
      </c>
      <c r="AE20" s="15">
        <v>0</v>
      </c>
      <c r="AF20" s="48">
        <v>0</v>
      </c>
      <c r="AG20"/>
      <c r="AH20" s="14" t="s">
        <v>77</v>
      </c>
      <c r="AI20" s="15"/>
      <c r="AJ20" s="15">
        <f t="shared" ref="AJ20:AJ25" si="8">AI20*87435.7844</f>
        <v>0</v>
      </c>
      <c r="AL20" s="14" t="s">
        <v>8</v>
      </c>
      <c r="AM20" s="15">
        <f t="shared" si="5"/>
        <v>610</v>
      </c>
      <c r="AN20" s="15">
        <f t="shared" si="5"/>
        <v>57867086.221000001</v>
      </c>
      <c r="AO20"/>
      <c r="AP20" s="14" t="s">
        <v>8</v>
      </c>
      <c r="AQ20" s="15">
        <v>120</v>
      </c>
      <c r="AR20" s="48">
        <f>AQ20*93933.6048</f>
        <v>11272032.575999999</v>
      </c>
      <c r="AS20"/>
      <c r="AT20" s="14" t="s">
        <v>8</v>
      </c>
      <c r="AU20" s="15">
        <v>244</v>
      </c>
      <c r="AV20" s="48">
        <f>AU20*94022.1871</f>
        <v>22941413.652399998</v>
      </c>
      <c r="AW20"/>
      <c r="AX20" s="14" t="s">
        <v>8</v>
      </c>
      <c r="AY20" s="15">
        <v>246</v>
      </c>
      <c r="AZ20" s="15">
        <f>AY20*96153.0081</f>
        <v>23653639.992600001</v>
      </c>
    </row>
    <row r="21" spans="1:52">
      <c r="A21" s="7"/>
      <c r="B21" s="8"/>
      <c r="C21" s="8"/>
      <c r="F21" s="14" t="s">
        <v>1233</v>
      </c>
      <c r="G21" s="15">
        <f t="shared" si="4"/>
        <v>685</v>
      </c>
      <c r="H21" s="15">
        <f t="shared" si="4"/>
        <v>58063399.594999999</v>
      </c>
      <c r="J21" s="14" t="s">
        <v>1233</v>
      </c>
      <c r="K21" s="15"/>
      <c r="L21" s="15"/>
      <c r="N21" s="14" t="s">
        <v>1233</v>
      </c>
      <c r="O21" s="15"/>
      <c r="P21" s="15"/>
      <c r="R21" s="14" t="s">
        <v>1233</v>
      </c>
      <c r="S21" s="15">
        <v>685</v>
      </c>
      <c r="T21" s="15">
        <v>58063399.594999999</v>
      </c>
      <c r="V21" s="14" t="s">
        <v>8</v>
      </c>
      <c r="W21" s="15">
        <f t="shared" si="6"/>
        <v>1653</v>
      </c>
      <c r="X21" s="15">
        <f t="shared" si="6"/>
        <v>143684978.7089</v>
      </c>
      <c r="Y21"/>
      <c r="Z21" s="14" t="s">
        <v>8</v>
      </c>
      <c r="AA21" s="15">
        <v>368</v>
      </c>
      <c r="AB21" s="48">
        <f t="shared" si="7"/>
        <v>31298187.7744</v>
      </c>
      <c r="AC21"/>
      <c r="AD21" s="14" t="s">
        <v>8</v>
      </c>
      <c r="AE21" s="15">
        <v>505</v>
      </c>
      <c r="AF21" s="48">
        <v>44186879.102499999</v>
      </c>
      <c r="AG21"/>
      <c r="AH21" s="14" t="s">
        <v>8</v>
      </c>
      <c r="AI21" s="15">
        <v>780</v>
      </c>
      <c r="AJ21" s="15">
        <f t="shared" si="8"/>
        <v>68199911.832000002</v>
      </c>
      <c r="AL21" s="14" t="s">
        <v>1867</v>
      </c>
      <c r="AM21" s="15">
        <f t="shared" si="5"/>
        <v>652</v>
      </c>
      <c r="AN21" s="15">
        <f t="shared" si="5"/>
        <v>61814605.608199999</v>
      </c>
      <c r="AO21"/>
      <c r="AP21" s="14" t="s">
        <v>1867</v>
      </c>
      <c r="AQ21" s="15">
        <v>160</v>
      </c>
      <c r="AR21" s="48">
        <f>AQ21*93933.6048</f>
        <v>15029376.767999999</v>
      </c>
      <c r="AS21"/>
      <c r="AT21" s="14" t="s">
        <v>1867</v>
      </c>
      <c r="AU21" s="15">
        <v>245</v>
      </c>
      <c r="AV21" s="48">
        <f>AU21*94022.1871</f>
        <v>23035435.839499999</v>
      </c>
      <c r="AW21"/>
      <c r="AX21" s="14" t="s">
        <v>1867</v>
      </c>
      <c r="AY21" s="15">
        <v>247</v>
      </c>
      <c r="AZ21" s="15">
        <f>AY21*96153.0081</f>
        <v>23749793.000700001</v>
      </c>
    </row>
    <row r="22" spans="1:52">
      <c r="A22" s="2307" t="s">
        <v>713</v>
      </c>
      <c r="B22" s="2308"/>
      <c r="C22" s="9" t="s">
        <v>7</v>
      </c>
      <c r="F22" s="14" t="s">
        <v>20</v>
      </c>
      <c r="G22" s="15">
        <f t="shared" si="4"/>
        <v>592</v>
      </c>
      <c r="H22" s="15">
        <f t="shared" si="4"/>
        <v>50180339.504000001</v>
      </c>
      <c r="J22" s="14" t="s">
        <v>20</v>
      </c>
      <c r="K22" s="48"/>
      <c r="L22" s="48"/>
      <c r="N22" s="14" t="s">
        <v>20</v>
      </c>
      <c r="O22" s="48"/>
      <c r="P22" s="48"/>
      <c r="R22" s="14" t="s">
        <v>20</v>
      </c>
      <c r="S22" s="48">
        <v>592</v>
      </c>
      <c r="T22" s="48">
        <v>50180339.504000001</v>
      </c>
      <c r="V22" s="14" t="s">
        <v>1233</v>
      </c>
      <c r="W22" s="15">
        <f t="shared" si="6"/>
        <v>338</v>
      </c>
      <c r="X22" s="15">
        <f t="shared" si="6"/>
        <v>28746705.075399999</v>
      </c>
      <c r="Y22"/>
      <c r="Z22" s="14" t="s">
        <v>1233</v>
      </c>
      <c r="AA22" s="15">
        <v>338</v>
      </c>
      <c r="AB22" s="48">
        <f t="shared" si="7"/>
        <v>28746705.075399999</v>
      </c>
      <c r="AC22"/>
      <c r="AD22" s="14" t="s">
        <v>1233</v>
      </c>
      <c r="AE22" s="15">
        <v>0</v>
      </c>
      <c r="AF22" s="48">
        <v>0</v>
      </c>
      <c r="AG22"/>
      <c r="AH22" s="14" t="s">
        <v>1233</v>
      </c>
      <c r="AI22" s="15"/>
      <c r="AJ22" s="15">
        <f t="shared" si="8"/>
        <v>0</v>
      </c>
      <c r="AL22" s="14" t="s">
        <v>20</v>
      </c>
      <c r="AM22" s="15">
        <f t="shared" si="5"/>
        <v>691</v>
      </c>
      <c r="AN22" s="15">
        <f t="shared" si="5"/>
        <v>65477927.613099992</v>
      </c>
      <c r="AO22"/>
      <c r="AP22" s="14" t="s">
        <v>20</v>
      </c>
      <c r="AQ22" s="48">
        <v>200</v>
      </c>
      <c r="AR22" s="48">
        <f>AQ22*93933.6048</f>
        <v>18786720.960000001</v>
      </c>
      <c r="AS22"/>
      <c r="AT22" s="14" t="s">
        <v>20</v>
      </c>
      <c r="AU22" s="15">
        <v>244</v>
      </c>
      <c r="AV22" s="48">
        <f>AU22*94022.1871</f>
        <v>22941413.652399998</v>
      </c>
      <c r="AW22"/>
      <c r="AX22" s="14" t="s">
        <v>20</v>
      </c>
      <c r="AY22" s="15">
        <v>247</v>
      </c>
      <c r="AZ22" s="15">
        <f>AY22*96153.0081</f>
        <v>23749793.000700001</v>
      </c>
    </row>
    <row r="23" spans="1:52">
      <c r="A23" s="34" t="s">
        <v>1</v>
      </c>
      <c r="B23" s="35" t="s">
        <v>100</v>
      </c>
      <c r="C23" s="35" t="s">
        <v>97</v>
      </c>
      <c r="F23" s="18" t="s">
        <v>114</v>
      </c>
      <c r="G23" s="23">
        <f>SUM(G18:G22)</f>
        <v>2974</v>
      </c>
      <c r="H23" s="23">
        <f>SUM(H18:H22)</f>
        <v>252088394.73800001</v>
      </c>
      <c r="J23" s="18" t="s">
        <v>114</v>
      </c>
      <c r="K23" s="23">
        <f>SUM(K18:K22)</f>
        <v>0</v>
      </c>
      <c r="L23" s="23">
        <f>SUM(L18:L22)</f>
        <v>0</v>
      </c>
      <c r="N23" s="18" t="s">
        <v>114</v>
      </c>
      <c r="O23" s="23">
        <f>SUM(O18:O22)</f>
        <v>0</v>
      </c>
      <c r="P23" s="23">
        <f>SUM(P18:P22)</f>
        <v>0</v>
      </c>
      <c r="R23" s="18" t="s">
        <v>114</v>
      </c>
      <c r="S23" s="23">
        <f>SUM(S18:S22)</f>
        <v>2974</v>
      </c>
      <c r="T23" s="23">
        <f>SUM(T18:T22)</f>
        <v>252088394.73800001</v>
      </c>
      <c r="V23" s="14" t="s">
        <v>20</v>
      </c>
      <c r="W23" s="15">
        <f t="shared" si="6"/>
        <v>1650</v>
      </c>
      <c r="X23" s="15">
        <f t="shared" si="6"/>
        <v>143422482.39740002</v>
      </c>
      <c r="Y23"/>
      <c r="Z23" s="14" t="s">
        <v>20</v>
      </c>
      <c r="AA23" s="48">
        <v>368</v>
      </c>
      <c r="AB23" s="48">
        <f t="shared" si="7"/>
        <v>31298187.7744</v>
      </c>
      <c r="AC23"/>
      <c r="AD23" s="14" t="s">
        <v>20</v>
      </c>
      <c r="AE23" s="15">
        <v>502</v>
      </c>
      <c r="AF23" s="48">
        <v>43924382.791000001</v>
      </c>
      <c r="AG23"/>
      <c r="AH23" s="14" t="s">
        <v>20</v>
      </c>
      <c r="AI23" s="15">
        <v>780</v>
      </c>
      <c r="AJ23" s="15">
        <f t="shared" si="8"/>
        <v>68199911.832000002</v>
      </c>
      <c r="AL23" s="14" t="s">
        <v>14</v>
      </c>
      <c r="AM23" s="15">
        <f t="shared" si="5"/>
        <v>751</v>
      </c>
      <c r="AN23" s="15">
        <f t="shared" si="5"/>
        <v>71114032.483400002</v>
      </c>
      <c r="AO23"/>
      <c r="AP23" s="14" t="s">
        <v>14</v>
      </c>
      <c r="AQ23" s="48">
        <v>259</v>
      </c>
      <c r="AR23" s="48">
        <f>AQ23*93933.6048</f>
        <v>24328803.643199999</v>
      </c>
      <c r="AS23"/>
      <c r="AT23" s="14" t="s">
        <v>14</v>
      </c>
      <c r="AU23" s="15">
        <v>245</v>
      </c>
      <c r="AV23" s="48">
        <f>AU23*94022.1871</f>
        <v>23035435.839499999</v>
      </c>
      <c r="AW23"/>
      <c r="AX23" s="14" t="s">
        <v>14</v>
      </c>
      <c r="AY23" s="15">
        <v>247</v>
      </c>
      <c r="AZ23" s="15">
        <f>AY23*96153.0081</f>
        <v>23749793.000700001</v>
      </c>
    </row>
    <row r="24" spans="1:52">
      <c r="A24" s="14" t="s">
        <v>73</v>
      </c>
      <c r="B24" s="16">
        <v>63</v>
      </c>
      <c r="C24" s="16">
        <v>5896429.0937999999</v>
      </c>
      <c r="F24" s="20" t="s">
        <v>115</v>
      </c>
      <c r="G24" s="13" t="s">
        <v>100</v>
      </c>
      <c r="H24" s="21" t="s">
        <v>97</v>
      </c>
      <c r="J24" s="20" t="s">
        <v>115</v>
      </c>
      <c r="K24" s="13" t="s">
        <v>100</v>
      </c>
      <c r="L24" s="21" t="s">
        <v>97</v>
      </c>
      <c r="N24" s="20" t="s">
        <v>115</v>
      </c>
      <c r="O24" s="13" t="s">
        <v>100</v>
      </c>
      <c r="P24" s="21" t="s">
        <v>97</v>
      </c>
      <c r="R24" s="20" t="s">
        <v>115</v>
      </c>
      <c r="S24" s="13" t="s">
        <v>100</v>
      </c>
      <c r="T24" s="21" t="s">
        <v>97</v>
      </c>
      <c r="V24" s="14" t="s">
        <v>73</v>
      </c>
      <c r="W24" s="15">
        <f t="shared" si="6"/>
        <v>506</v>
      </c>
      <c r="X24" s="15">
        <f t="shared" si="6"/>
        <v>43638757.548099995</v>
      </c>
      <c r="Y24"/>
      <c r="Z24" s="14" t="s">
        <v>73</v>
      </c>
      <c r="AA24" s="48">
        <v>253</v>
      </c>
      <c r="AB24" s="48">
        <f t="shared" si="7"/>
        <v>21517504.094899997</v>
      </c>
      <c r="AC24"/>
      <c r="AD24" s="14" t="s">
        <v>73</v>
      </c>
      <c r="AE24" s="15">
        <v>0</v>
      </c>
      <c r="AF24" s="48">
        <v>0</v>
      </c>
      <c r="AG24"/>
      <c r="AH24" s="14" t="s">
        <v>1867</v>
      </c>
      <c r="AI24" s="15">
        <v>253</v>
      </c>
      <c r="AJ24" s="15">
        <f t="shared" si="8"/>
        <v>22121253.453200001</v>
      </c>
      <c r="AL24" s="27" t="s">
        <v>114</v>
      </c>
      <c r="AM24" s="23">
        <f>SUM(AM19:AM23)</f>
        <v>2951</v>
      </c>
      <c r="AN24" s="23">
        <f>SUM(AN19:AN23)</f>
        <v>280023444.92640001</v>
      </c>
      <c r="AO24"/>
      <c r="AP24" s="27" t="s">
        <v>114</v>
      </c>
      <c r="AQ24" s="23">
        <f>SUM(AQ19:AQ23)</f>
        <v>739</v>
      </c>
      <c r="AR24" s="23">
        <f>SUM(AR19:AR23)</f>
        <v>69416933.9472</v>
      </c>
      <c r="AS24" s="56"/>
      <c r="AT24" s="27" t="s">
        <v>114</v>
      </c>
      <c r="AU24" s="23">
        <f>SUM(AU19:AU23)</f>
        <v>978</v>
      </c>
      <c r="AV24" s="23">
        <f>SUM(AV19:AV23)</f>
        <v>91953698.983799994</v>
      </c>
      <c r="AW24"/>
      <c r="AX24" s="27" t="s">
        <v>114</v>
      </c>
      <c r="AY24" s="23">
        <f>SUM(AY19:AY23)</f>
        <v>1234</v>
      </c>
      <c r="AZ24" s="23">
        <f>SUM(AZ19:AZ23)</f>
        <v>118652811.9954</v>
      </c>
    </row>
    <row r="25" spans="1:52">
      <c r="A25" s="14" t="s">
        <v>77</v>
      </c>
      <c r="B25" s="16">
        <v>130</v>
      </c>
      <c r="C25" s="16">
        <v>12167234.638</v>
      </c>
      <c r="F25" s="24" t="s">
        <v>16</v>
      </c>
      <c r="G25" s="15">
        <f>K25+O25+S25</f>
        <v>1380</v>
      </c>
      <c r="H25" s="15">
        <f>L25+P25+T25</f>
        <v>116974440.06</v>
      </c>
      <c r="J25" s="24" t="s">
        <v>16</v>
      </c>
      <c r="K25" s="49"/>
      <c r="L25" s="15"/>
      <c r="N25" s="24" t="s">
        <v>16</v>
      </c>
      <c r="O25" s="49"/>
      <c r="P25" s="15"/>
      <c r="R25" s="24" t="s">
        <v>16</v>
      </c>
      <c r="S25" s="49">
        <v>1380</v>
      </c>
      <c r="T25" s="15">
        <v>116974440.06</v>
      </c>
      <c r="V25" s="14" t="s">
        <v>14</v>
      </c>
      <c r="W25" s="15">
        <f t="shared" si="6"/>
        <v>1588</v>
      </c>
      <c r="X25" s="15">
        <f t="shared" si="6"/>
        <v>138156766.19440001</v>
      </c>
      <c r="Y25"/>
      <c r="Z25" s="14" t="s">
        <v>14</v>
      </c>
      <c r="AA25" s="48">
        <v>303</v>
      </c>
      <c r="AB25" s="48">
        <f t="shared" si="7"/>
        <v>25769975.2599</v>
      </c>
      <c r="AC25"/>
      <c r="AD25" s="14" t="s">
        <v>14</v>
      </c>
      <c r="AE25" s="15">
        <v>505</v>
      </c>
      <c r="AF25" s="48">
        <v>44186879.102499999</v>
      </c>
      <c r="AG25"/>
      <c r="AH25" s="14" t="s">
        <v>14</v>
      </c>
      <c r="AI25" s="15">
        <v>780</v>
      </c>
      <c r="AJ25" s="15">
        <f t="shared" si="8"/>
        <v>68199911.832000002</v>
      </c>
      <c r="AL25" s="20" t="s">
        <v>115</v>
      </c>
      <c r="AM25" s="13" t="s">
        <v>100</v>
      </c>
      <c r="AN25" s="21" t="s">
        <v>97</v>
      </c>
      <c r="AO25"/>
      <c r="AP25" s="20" t="s">
        <v>115</v>
      </c>
      <c r="AQ25" s="13" t="s">
        <v>100</v>
      </c>
      <c r="AR25" s="21" t="s">
        <v>97</v>
      </c>
      <c r="AS25"/>
      <c r="AT25" s="20" t="s">
        <v>115</v>
      </c>
      <c r="AU25" s="13" t="s">
        <v>100</v>
      </c>
      <c r="AV25" s="21" t="s">
        <v>97</v>
      </c>
      <c r="AW25"/>
      <c r="AX25" s="20" t="s">
        <v>115</v>
      </c>
      <c r="AY25" s="13" t="s">
        <v>100</v>
      </c>
      <c r="AZ25" s="21" t="s">
        <v>97</v>
      </c>
    </row>
    <row r="26" spans="1:52">
      <c r="A26" s="14" t="s">
        <v>63</v>
      </c>
      <c r="B26" s="16">
        <v>50</v>
      </c>
      <c r="C26" s="16">
        <v>4679705.63</v>
      </c>
      <c r="F26" s="22" t="s">
        <v>22</v>
      </c>
      <c r="G26" s="15">
        <f>K26+O26+S26</f>
        <v>700</v>
      </c>
      <c r="H26" s="15">
        <f>L26+P26+T26</f>
        <v>59334860.899999999</v>
      </c>
      <c r="J26" s="22" t="s">
        <v>22</v>
      </c>
      <c r="K26" s="15"/>
      <c r="L26" s="15"/>
      <c r="N26" s="22" t="s">
        <v>22</v>
      </c>
      <c r="O26" s="15"/>
      <c r="P26" s="15"/>
      <c r="R26" s="22" t="s">
        <v>22</v>
      </c>
      <c r="S26" s="15">
        <v>700</v>
      </c>
      <c r="T26" s="15">
        <v>59334860.899999999</v>
      </c>
      <c r="V26" s="27" t="s">
        <v>114</v>
      </c>
      <c r="W26" s="23">
        <f>SUM(W20:W25)</f>
        <v>5735</v>
      </c>
      <c r="X26" s="23">
        <f>SUM(X20:X25)</f>
        <v>497649689.9242</v>
      </c>
      <c r="Y26"/>
      <c r="Z26" s="27" t="s">
        <v>114</v>
      </c>
      <c r="AA26" s="23">
        <f>SUM(AA20:AA25)</f>
        <v>1630</v>
      </c>
      <c r="AB26" s="23">
        <f>SUM(AB20:AB25)</f>
        <v>138630559.979</v>
      </c>
      <c r="AC26" s="56"/>
      <c r="AD26" s="27" t="s">
        <v>114</v>
      </c>
      <c r="AE26" s="23">
        <f>SUM(AE20:AE25)</f>
        <v>1512</v>
      </c>
      <c r="AF26" s="23">
        <f>SUM(AF20:AF25)</f>
        <v>132298140.99599999</v>
      </c>
      <c r="AG26"/>
      <c r="AH26" s="27" t="s">
        <v>114</v>
      </c>
      <c r="AI26" s="23">
        <f>SUM(AI20:AI25)</f>
        <v>2593</v>
      </c>
      <c r="AJ26" s="23">
        <f>SUM(AJ20:AJ25)</f>
        <v>226720988.94920003</v>
      </c>
      <c r="AL26" s="22" t="s">
        <v>16</v>
      </c>
      <c r="AM26" s="15">
        <f>AQ26+AU26+AY26</f>
        <v>1105.6500000000001</v>
      </c>
      <c r="AN26" s="15">
        <f>AR26+AV26+AZ26</f>
        <v>104853291.60571501</v>
      </c>
      <c r="AO26"/>
      <c r="AP26" s="22" t="s">
        <v>16</v>
      </c>
      <c r="AQ26" s="49">
        <v>258</v>
      </c>
      <c r="AR26" s="48">
        <f>AQ26*93933.6048</f>
        <v>24234870.038400002</v>
      </c>
      <c r="AS26"/>
      <c r="AT26" s="22" t="s">
        <v>16</v>
      </c>
      <c r="AU26" s="49">
        <v>415.65</v>
      </c>
      <c r="AV26" s="48">
        <f>AU26*94022.1871</f>
        <v>39080322.068114996</v>
      </c>
      <c r="AW26"/>
      <c r="AX26" s="22" t="s">
        <v>16</v>
      </c>
      <c r="AY26" s="15">
        <v>432</v>
      </c>
      <c r="AZ26" s="15">
        <f>AY26*96153.0081</f>
        <v>41538099.499200001</v>
      </c>
    </row>
    <row r="27" spans="1:52">
      <c r="A27" s="27" t="s">
        <v>114</v>
      </c>
      <c r="B27" s="19">
        <v>373</v>
      </c>
      <c r="C27" s="19">
        <v>34910604</v>
      </c>
      <c r="F27" s="27" t="s">
        <v>114</v>
      </c>
      <c r="G27" s="28">
        <f>SUM(G25:G26)</f>
        <v>2080</v>
      </c>
      <c r="H27" s="28">
        <f>SUM(H25:H26)</f>
        <v>176309300.96000001</v>
      </c>
      <c r="J27" s="27" t="s">
        <v>114</v>
      </c>
      <c r="K27" s="28">
        <f>SUM(K25:K26)</f>
        <v>0</v>
      </c>
      <c r="L27" s="28">
        <f>SUM(L25:L26)</f>
        <v>0</v>
      </c>
      <c r="N27" s="27" t="s">
        <v>114</v>
      </c>
      <c r="O27" s="28">
        <f>SUM(O25:O26)</f>
        <v>0</v>
      </c>
      <c r="P27" s="28">
        <f>SUM(P25:P26)</f>
        <v>0</v>
      </c>
      <c r="R27" s="27" t="s">
        <v>114</v>
      </c>
      <c r="S27" s="28">
        <f>SUM(S25:S26)</f>
        <v>2080</v>
      </c>
      <c r="T27" s="28">
        <f>SUM(T25:T26)</f>
        <v>176309300.96000001</v>
      </c>
      <c r="V27" s="20" t="s">
        <v>115</v>
      </c>
      <c r="W27" s="13" t="s">
        <v>100</v>
      </c>
      <c r="X27" s="21" t="s">
        <v>97</v>
      </c>
      <c r="Y27"/>
      <c r="Z27" s="20" t="s">
        <v>115</v>
      </c>
      <c r="AA27" s="13" t="s">
        <v>100</v>
      </c>
      <c r="AB27" s="21" t="s">
        <v>97</v>
      </c>
      <c r="AC27"/>
      <c r="AD27" s="20" t="s">
        <v>115</v>
      </c>
      <c r="AE27" s="13" t="s">
        <v>100</v>
      </c>
      <c r="AF27" s="21" t="s">
        <v>97</v>
      </c>
      <c r="AG27"/>
      <c r="AH27" s="20" t="s">
        <v>115</v>
      </c>
      <c r="AI27" s="13" t="s">
        <v>100</v>
      </c>
      <c r="AJ27" s="21" t="s">
        <v>97</v>
      </c>
      <c r="AL27" s="22" t="s">
        <v>22</v>
      </c>
      <c r="AM27" s="15">
        <f>AQ27+AU27+AY27</f>
        <v>1105.6500000000001</v>
      </c>
      <c r="AN27" s="15">
        <f>AR27+AV27+AZ27</f>
        <v>104853291.60571501</v>
      </c>
      <c r="AO27"/>
      <c r="AP27" s="22" t="s">
        <v>22</v>
      </c>
      <c r="AQ27" s="15">
        <v>258</v>
      </c>
      <c r="AR27" s="48">
        <f>AQ27*93933.6048</f>
        <v>24234870.038400002</v>
      </c>
      <c r="AS27"/>
      <c r="AT27" s="22" t="s">
        <v>22</v>
      </c>
      <c r="AU27" s="15">
        <v>415.65</v>
      </c>
      <c r="AV27" s="48">
        <f>AU27*94022.1871</f>
        <v>39080322.068114996</v>
      </c>
      <c r="AW27"/>
      <c r="AX27" s="22" t="s">
        <v>22</v>
      </c>
      <c r="AY27" s="15">
        <v>432</v>
      </c>
      <c r="AZ27" s="15">
        <f>AY27*96153.0081</f>
        <v>41538099.499200001</v>
      </c>
    </row>
    <row r="28" spans="1:52">
      <c r="A28" s="20" t="s">
        <v>115</v>
      </c>
      <c r="B28" s="13" t="s">
        <v>100</v>
      </c>
      <c r="C28" s="21" t="s">
        <v>97</v>
      </c>
      <c r="F28" s="7"/>
      <c r="G28" s="36"/>
      <c r="H28" s="36"/>
      <c r="J28" s="51"/>
      <c r="K28" s="51"/>
      <c r="L28" s="51"/>
      <c r="N28" s="51"/>
      <c r="O28" s="51"/>
      <c r="P28" s="51"/>
      <c r="R28" s="51"/>
      <c r="S28" s="51"/>
      <c r="T28" s="51"/>
      <c r="V28" s="22" t="s">
        <v>16</v>
      </c>
      <c r="W28" s="15">
        <f t="shared" ref="W28:X29" si="9">AA28+AE28+AI28</f>
        <v>2000</v>
      </c>
      <c r="X28" s="15">
        <f t="shared" si="9"/>
        <v>175763884.32700002</v>
      </c>
      <c r="Y28"/>
      <c r="Z28" s="22" t="s">
        <v>16</v>
      </c>
      <c r="AA28" s="49">
        <v>570</v>
      </c>
      <c r="AB28" s="48">
        <f t="shared" ref="AB28:AB29" si="10">AA28*88964.7846</f>
        <v>50709927.222000003</v>
      </c>
      <c r="AC28"/>
      <c r="AD28" s="22" t="s">
        <v>16</v>
      </c>
      <c r="AE28" s="15">
        <v>330</v>
      </c>
      <c r="AF28" s="48">
        <v>28874594.265000001</v>
      </c>
      <c r="AG28"/>
      <c r="AH28" s="22" t="s">
        <v>16</v>
      </c>
      <c r="AI28" s="15">
        <v>1100</v>
      </c>
      <c r="AJ28" s="15">
        <f t="shared" ref="AJ28:AJ29" si="11">AI28*87435.7844</f>
        <v>96179362.840000004</v>
      </c>
      <c r="AL28" s="18" t="s">
        <v>114</v>
      </c>
      <c r="AM28" s="28">
        <f>SUM(AM26:AM27)</f>
        <v>2211.3000000000002</v>
      </c>
      <c r="AN28" s="28">
        <f>SUM(AN26:AN27)</f>
        <v>209706583.21143001</v>
      </c>
      <c r="AO28"/>
      <c r="AP28" s="18" t="s">
        <v>114</v>
      </c>
      <c r="AQ28" s="28">
        <f>SUM(AQ26:AQ27)</f>
        <v>516</v>
      </c>
      <c r="AR28" s="28">
        <f>SUM(AR26:AR27)</f>
        <v>48469740.076800004</v>
      </c>
      <c r="AS28"/>
      <c r="AT28" s="18" t="s">
        <v>114</v>
      </c>
      <c r="AU28" s="28">
        <f>SUM(AU26:AU27)</f>
        <v>831.3</v>
      </c>
      <c r="AV28" s="28">
        <f>SUM(AV26:AV27)</f>
        <v>78160644.136229992</v>
      </c>
      <c r="AW28"/>
      <c r="AX28" s="18" t="s">
        <v>114</v>
      </c>
      <c r="AY28" s="28">
        <f>SUM(AY26:AY27)</f>
        <v>864</v>
      </c>
      <c r="AZ28" s="28">
        <f>SUM(AZ26:AZ27)</f>
        <v>83076198.998400003</v>
      </c>
    </row>
    <row r="29" spans="1:52">
      <c r="A29" s="22" t="s">
        <v>16</v>
      </c>
      <c r="B29" s="37">
        <v>261.10000000000002</v>
      </c>
      <c r="C29" s="37">
        <v>24437422.800000001</v>
      </c>
      <c r="F29" s="2420" t="s">
        <v>713</v>
      </c>
      <c r="G29" s="2421"/>
      <c r="H29" s="38" t="s">
        <v>718</v>
      </c>
      <c r="J29" s="2420" t="s">
        <v>713</v>
      </c>
      <c r="K29" s="2421"/>
      <c r="L29" s="38" t="s">
        <v>718</v>
      </c>
      <c r="N29" s="2420" t="s">
        <v>713</v>
      </c>
      <c r="O29" s="2421"/>
      <c r="P29" s="38" t="s">
        <v>718</v>
      </c>
      <c r="R29" s="2420" t="s">
        <v>713</v>
      </c>
      <c r="S29" s="2421"/>
      <c r="T29" s="38" t="s">
        <v>718</v>
      </c>
      <c r="V29" s="22" t="s">
        <v>22</v>
      </c>
      <c r="W29" s="52">
        <f t="shared" si="9"/>
        <v>2013</v>
      </c>
      <c r="X29" s="52">
        <f t="shared" si="9"/>
        <v>176925617.99199998</v>
      </c>
      <c r="Y29"/>
      <c r="Z29" s="22" t="s">
        <v>22</v>
      </c>
      <c r="AA29" s="52">
        <v>570</v>
      </c>
      <c r="AB29" s="52">
        <f t="shared" si="10"/>
        <v>50709927.222000003</v>
      </c>
      <c r="AC29"/>
      <c r="AD29" s="22" t="s">
        <v>22</v>
      </c>
      <c r="AE29" s="52">
        <v>728</v>
      </c>
      <c r="AF29" s="52">
        <v>63699104.924000002</v>
      </c>
      <c r="AG29"/>
      <c r="AH29" s="22" t="s">
        <v>22</v>
      </c>
      <c r="AI29" s="52">
        <v>715</v>
      </c>
      <c r="AJ29" s="52">
        <f t="shared" si="11"/>
        <v>62516585.846000001</v>
      </c>
      <c r="AL29" s="30"/>
      <c r="AM29" s="30"/>
      <c r="AN29" s="30"/>
      <c r="AO29"/>
      <c r="AP29" s="30"/>
      <c r="AQ29" s="30"/>
      <c r="AR29" s="30"/>
      <c r="AS29"/>
      <c r="AT29" s="30"/>
      <c r="AU29" s="30"/>
      <c r="AV29" s="30"/>
      <c r="AW29"/>
      <c r="AX29" s="30"/>
      <c r="AY29" s="30"/>
      <c r="AZ29" s="30"/>
    </row>
    <row r="30" spans="1:52">
      <c r="A30" s="39" t="s">
        <v>114</v>
      </c>
      <c r="B30" s="39">
        <v>261.10000000000002</v>
      </c>
      <c r="C30" s="39">
        <v>24437422.800000001</v>
      </c>
      <c r="F30" s="34" t="s">
        <v>1</v>
      </c>
      <c r="G30" s="35" t="s">
        <v>100</v>
      </c>
      <c r="H30" s="35" t="s">
        <v>97</v>
      </c>
      <c r="J30" s="34" t="s">
        <v>1</v>
      </c>
      <c r="K30" s="35" t="s">
        <v>100</v>
      </c>
      <c r="L30" s="35" t="s">
        <v>97</v>
      </c>
      <c r="N30" s="34" t="s">
        <v>1</v>
      </c>
      <c r="O30" s="35" t="s">
        <v>100</v>
      </c>
      <c r="P30" s="35" t="s">
        <v>97</v>
      </c>
      <c r="R30" s="34" t="s">
        <v>1</v>
      </c>
      <c r="S30" s="35" t="s">
        <v>100</v>
      </c>
      <c r="T30" s="35" t="s">
        <v>97</v>
      </c>
      <c r="V30" s="39" t="s">
        <v>114</v>
      </c>
      <c r="W30" s="53">
        <f>SUM(W28:W29)</f>
        <v>4013</v>
      </c>
      <c r="X30" s="53">
        <f>SUM(X28:X29)</f>
        <v>352689502.31900001</v>
      </c>
      <c r="Y30"/>
      <c r="Z30" s="39" t="s">
        <v>114</v>
      </c>
      <c r="AA30" s="53">
        <f>SUM(AA28:AA29)</f>
        <v>1140</v>
      </c>
      <c r="AB30" s="53">
        <f>SUM(AB28:AB29)</f>
        <v>101419854.44400001</v>
      </c>
      <c r="AC30"/>
      <c r="AD30" s="39" t="s">
        <v>114</v>
      </c>
      <c r="AE30" s="53">
        <f>SUM(AE28:AE29)</f>
        <v>1058</v>
      </c>
      <c r="AF30" s="53">
        <f>SUM(AF28:AF29)</f>
        <v>92573699.18900001</v>
      </c>
      <c r="AG30"/>
      <c r="AH30" s="39" t="s">
        <v>114</v>
      </c>
      <c r="AI30" s="53">
        <f>SUM(AI28:AI29)</f>
        <v>1815</v>
      </c>
      <c r="AJ30" s="53">
        <f>SUM(AJ28:AJ29)</f>
        <v>158695948.68599999</v>
      </c>
      <c r="AL30" s="7"/>
      <c r="AM30" s="8"/>
      <c r="AN30" s="8"/>
      <c r="AO30"/>
      <c r="AP30" s="30"/>
      <c r="AQ30" s="30"/>
      <c r="AR30" s="30"/>
      <c r="AS30"/>
      <c r="AT30" s="30"/>
      <c r="AU30" s="30"/>
      <c r="AV30" s="30"/>
      <c r="AW30"/>
      <c r="AX30" s="30"/>
      <c r="AY30" s="30"/>
      <c r="AZ30" s="30"/>
    </row>
    <row r="31" spans="1:52">
      <c r="A31" s="7"/>
      <c r="B31" s="8"/>
      <c r="C31" s="8"/>
      <c r="F31" s="14" t="s">
        <v>73</v>
      </c>
      <c r="G31" s="15">
        <f>K31+O31+S31</f>
        <v>1315</v>
      </c>
      <c r="H31" s="15">
        <f>L31+P31+T31</f>
        <v>114258608.4095</v>
      </c>
      <c r="J31" s="14" t="s">
        <v>73</v>
      </c>
      <c r="K31" s="15">
        <f t="shared" ref="K31:L35" si="12">K5+K18</f>
        <v>0</v>
      </c>
      <c r="L31" s="15">
        <f t="shared" si="12"/>
        <v>0</v>
      </c>
      <c r="N31" s="14" t="s">
        <v>73</v>
      </c>
      <c r="O31" s="15">
        <f t="shared" ref="O31:P35" si="13">O5+O18</f>
        <v>315</v>
      </c>
      <c r="P31" s="15">
        <f t="shared" si="13"/>
        <v>28036254.708000001</v>
      </c>
      <c r="R31" s="14" t="s">
        <v>73</v>
      </c>
      <c r="S31" s="15">
        <f t="shared" ref="S31:T35" si="14">S5+S18</f>
        <v>1000</v>
      </c>
      <c r="T31" s="15">
        <f t="shared" si="14"/>
        <v>86222353.701499999</v>
      </c>
      <c r="V31" s="51"/>
      <c r="W31" s="51"/>
      <c r="X31" s="51"/>
      <c r="Y31"/>
      <c r="Z31" s="51"/>
      <c r="AA31" s="51"/>
      <c r="AB31" s="51"/>
      <c r="AC31"/>
      <c r="AD31" s="51"/>
      <c r="AE31" s="51"/>
      <c r="AF31" s="51"/>
      <c r="AG31"/>
      <c r="AH31" s="51"/>
      <c r="AI31" s="51"/>
      <c r="AJ31" s="51"/>
      <c r="AL31" s="10" t="s">
        <v>713</v>
      </c>
      <c r="AM31" s="11"/>
      <c r="AN31" s="9" t="s">
        <v>718</v>
      </c>
      <c r="AO31"/>
      <c r="AP31" s="2307" t="s">
        <v>713</v>
      </c>
      <c r="AQ31" s="2307"/>
      <c r="AR31" s="9" t="s">
        <v>718</v>
      </c>
      <c r="AS31"/>
      <c r="AT31" s="2307" t="s">
        <v>713</v>
      </c>
      <c r="AU31" s="2307"/>
      <c r="AV31" s="9" t="s">
        <v>718</v>
      </c>
      <c r="AW31"/>
      <c r="AX31" s="2307" t="s">
        <v>713</v>
      </c>
      <c r="AY31" s="2307"/>
      <c r="AZ31" s="9" t="s">
        <v>718</v>
      </c>
    </row>
    <row r="32" spans="1:52">
      <c r="A32" s="7"/>
      <c r="B32" s="8"/>
      <c r="C32" s="8"/>
      <c r="F32" s="14" t="s">
        <v>8</v>
      </c>
      <c r="G32" s="15">
        <f t="shared" ref="G32:G35" si="15">K32+O32+S32</f>
        <v>1510</v>
      </c>
      <c r="H32" s="15">
        <f t="shared" ref="H32:H35" si="16">L32+P32+T32</f>
        <v>130969415.6515</v>
      </c>
      <c r="J32" s="14" t="s">
        <v>8</v>
      </c>
      <c r="K32" s="15">
        <f t="shared" si="12"/>
        <v>575</v>
      </c>
      <c r="L32" s="15">
        <f t="shared" si="12"/>
        <v>49457438.602499999</v>
      </c>
      <c r="N32" s="14" t="s">
        <v>8</v>
      </c>
      <c r="O32" s="15">
        <f t="shared" si="13"/>
        <v>325</v>
      </c>
      <c r="P32" s="15">
        <f t="shared" si="13"/>
        <v>28926294.539999999</v>
      </c>
      <c r="R32" s="14" t="s">
        <v>8</v>
      </c>
      <c r="S32" s="15">
        <f t="shared" si="14"/>
        <v>610</v>
      </c>
      <c r="T32" s="15">
        <f t="shared" si="14"/>
        <v>52585682.509000003</v>
      </c>
      <c r="V32" s="7"/>
      <c r="W32" s="8"/>
      <c r="X32" s="8"/>
      <c r="Y32"/>
      <c r="Z32" s="51"/>
      <c r="AA32" s="51"/>
      <c r="AB32" s="51"/>
      <c r="AC32"/>
      <c r="AD32" s="51"/>
      <c r="AE32" s="51"/>
      <c r="AF32" s="51"/>
      <c r="AG32"/>
      <c r="AH32" s="51"/>
      <c r="AI32" s="51"/>
      <c r="AJ32" s="51"/>
      <c r="AL32" s="12" t="s">
        <v>1</v>
      </c>
      <c r="AM32" s="13" t="s">
        <v>100</v>
      </c>
      <c r="AN32" s="13" t="s">
        <v>97</v>
      </c>
      <c r="AO32"/>
      <c r="AP32" s="12" t="s">
        <v>1</v>
      </c>
      <c r="AQ32" s="13" t="s">
        <v>100</v>
      </c>
      <c r="AR32" s="13" t="s">
        <v>97</v>
      </c>
      <c r="AS32"/>
      <c r="AT32" s="12" t="s">
        <v>1</v>
      </c>
      <c r="AU32" s="13" t="s">
        <v>100</v>
      </c>
      <c r="AV32" s="13" t="s">
        <v>97</v>
      </c>
      <c r="AW32"/>
      <c r="AX32" s="12" t="s">
        <v>1</v>
      </c>
      <c r="AY32" s="13" t="s">
        <v>100</v>
      </c>
      <c r="AZ32" s="13" t="s">
        <v>97</v>
      </c>
    </row>
    <row r="33" spans="1:52">
      <c r="A33" s="2307" t="s">
        <v>713</v>
      </c>
      <c r="B33" s="2308"/>
      <c r="C33" s="9" t="s">
        <v>718</v>
      </c>
      <c r="F33" s="14" t="s">
        <v>77</v>
      </c>
      <c r="G33" s="15">
        <f t="shared" si="15"/>
        <v>1664</v>
      </c>
      <c r="H33" s="15">
        <f t="shared" si="16"/>
        <v>143980655.32319999</v>
      </c>
      <c r="J33" s="14" t="s">
        <v>77</v>
      </c>
      <c r="K33" s="15">
        <f t="shared" si="12"/>
        <v>575</v>
      </c>
      <c r="L33" s="15">
        <f t="shared" si="12"/>
        <v>49457438.602499999</v>
      </c>
      <c r="N33" s="14" t="s">
        <v>77</v>
      </c>
      <c r="O33" s="15">
        <f t="shared" si="13"/>
        <v>220</v>
      </c>
      <c r="P33" s="15">
        <f t="shared" si="13"/>
        <v>19580876.304000001</v>
      </c>
      <c r="R33" s="14" t="s">
        <v>77</v>
      </c>
      <c r="S33" s="15">
        <f t="shared" si="14"/>
        <v>869</v>
      </c>
      <c r="T33" s="15">
        <f t="shared" si="14"/>
        <v>74942340.416700006</v>
      </c>
      <c r="V33" s="10" t="s">
        <v>713</v>
      </c>
      <c r="W33" s="11"/>
      <c r="X33" s="9" t="s">
        <v>718</v>
      </c>
      <c r="Y33"/>
      <c r="Z33" s="2307" t="s">
        <v>713</v>
      </c>
      <c r="AA33" s="2307"/>
      <c r="AB33" s="9" t="s">
        <v>718</v>
      </c>
      <c r="AC33"/>
      <c r="AD33" s="2307" t="s">
        <v>713</v>
      </c>
      <c r="AE33" s="2307"/>
      <c r="AF33" s="9" t="s">
        <v>718</v>
      </c>
      <c r="AG33"/>
      <c r="AH33" s="2307" t="s">
        <v>713</v>
      </c>
      <c r="AI33" s="2307"/>
      <c r="AJ33" s="9" t="s">
        <v>718</v>
      </c>
      <c r="AL33" s="14" t="s">
        <v>77</v>
      </c>
      <c r="AM33" s="15">
        <f t="shared" ref="AM33:AN37" si="17">AQ33+AU33+AY33</f>
        <v>384</v>
      </c>
      <c r="AN33" s="15">
        <f t="shared" si="17"/>
        <v>36570562.045299999</v>
      </c>
      <c r="AO33"/>
      <c r="AP33" s="14" t="s">
        <v>77</v>
      </c>
      <c r="AQ33" s="15">
        <f t="shared" ref="AQ33:AR37" si="18">AQ5+AQ19</f>
        <v>0</v>
      </c>
      <c r="AR33" s="15">
        <f t="shared" si="18"/>
        <v>0</v>
      </c>
      <c r="AS33"/>
      <c r="AT33" s="14" t="s">
        <v>77</v>
      </c>
      <c r="AU33" s="15">
        <f t="shared" ref="AU33:AV37" si="19">AU5+AU19</f>
        <v>0</v>
      </c>
      <c r="AV33" s="15">
        <f t="shared" si="19"/>
        <v>0</v>
      </c>
      <c r="AW33"/>
      <c r="AX33" s="14" t="s">
        <v>77</v>
      </c>
      <c r="AY33" s="15">
        <f t="shared" ref="AY33:AZ37" si="20">AY5+AY19</f>
        <v>384</v>
      </c>
      <c r="AZ33" s="15">
        <f t="shared" si="20"/>
        <v>36570562.045299999</v>
      </c>
    </row>
    <row r="34" spans="1:52">
      <c r="A34" s="34" t="s">
        <v>1</v>
      </c>
      <c r="B34" s="35" t="s">
        <v>100</v>
      </c>
      <c r="C34" s="35" t="s">
        <v>97</v>
      </c>
      <c r="F34" s="14" t="s">
        <v>1233</v>
      </c>
      <c r="G34" s="15">
        <f t="shared" si="15"/>
        <v>1827</v>
      </c>
      <c r="H34" s="15">
        <f t="shared" si="16"/>
        <v>158108796.0704</v>
      </c>
      <c r="J34" s="14" t="s">
        <v>1233</v>
      </c>
      <c r="K34" s="15">
        <f t="shared" si="12"/>
        <v>575</v>
      </c>
      <c r="L34" s="15">
        <f t="shared" si="12"/>
        <v>49457438.602499999</v>
      </c>
      <c r="N34" s="14" t="s">
        <v>1233</v>
      </c>
      <c r="O34" s="15">
        <f t="shared" si="13"/>
        <v>252</v>
      </c>
      <c r="P34" s="15">
        <f t="shared" si="13"/>
        <v>22429003.766399998</v>
      </c>
      <c r="R34" s="14" t="s">
        <v>1233</v>
      </c>
      <c r="S34" s="15">
        <f t="shared" si="14"/>
        <v>1000</v>
      </c>
      <c r="T34" s="15">
        <f t="shared" si="14"/>
        <v>86222353.701499999</v>
      </c>
      <c r="V34" s="12" t="s">
        <v>1</v>
      </c>
      <c r="W34" s="13" t="s">
        <v>100</v>
      </c>
      <c r="X34" s="13" t="s">
        <v>97</v>
      </c>
      <c r="Y34"/>
      <c r="Z34" s="12" t="s">
        <v>1</v>
      </c>
      <c r="AA34" s="13" t="s">
        <v>100</v>
      </c>
      <c r="AB34" s="13" t="s">
        <v>97</v>
      </c>
      <c r="AC34"/>
      <c r="AD34" s="12" t="s">
        <v>1</v>
      </c>
      <c r="AE34" s="13" t="s">
        <v>100</v>
      </c>
      <c r="AF34" s="13" t="s">
        <v>97</v>
      </c>
      <c r="AG34"/>
      <c r="AH34" s="12" t="s">
        <v>1</v>
      </c>
      <c r="AI34" s="13" t="s">
        <v>100</v>
      </c>
      <c r="AJ34" s="13" t="s">
        <v>97</v>
      </c>
      <c r="AL34" s="14" t="s">
        <v>8</v>
      </c>
      <c r="AM34" s="15">
        <f t="shared" si="17"/>
        <v>979</v>
      </c>
      <c r="AN34" s="15">
        <f t="shared" si="17"/>
        <v>93255504.620400012</v>
      </c>
      <c r="AO34"/>
      <c r="AP34" s="14" t="s">
        <v>8</v>
      </c>
      <c r="AQ34" s="15">
        <f t="shared" si="18"/>
        <v>210</v>
      </c>
      <c r="AR34" s="15">
        <f t="shared" si="18"/>
        <v>19898817.390000001</v>
      </c>
      <c r="AS34"/>
      <c r="AT34" s="14" t="s">
        <v>8</v>
      </c>
      <c r="AU34" s="15">
        <f t="shared" si="19"/>
        <v>386</v>
      </c>
      <c r="AV34" s="15">
        <f t="shared" si="19"/>
        <v>36882278.1932</v>
      </c>
      <c r="AW34"/>
      <c r="AX34" s="14" t="s">
        <v>8</v>
      </c>
      <c r="AY34" s="15">
        <f t="shared" si="20"/>
        <v>383</v>
      </c>
      <c r="AZ34" s="15">
        <f t="shared" si="20"/>
        <v>36474409.037200004</v>
      </c>
    </row>
    <row r="35" spans="1:52">
      <c r="A35" s="40" t="s">
        <v>73</v>
      </c>
      <c r="B35" s="33">
        <f>B6+B15</f>
        <v>85</v>
      </c>
      <c r="C35" s="33">
        <f>C6+C15</f>
        <v>6522125.2675000001</v>
      </c>
      <c r="F35" s="14" t="s">
        <v>20</v>
      </c>
      <c r="G35" s="15">
        <f t="shared" si="15"/>
        <v>1511</v>
      </c>
      <c r="H35" s="15">
        <f t="shared" si="16"/>
        <v>131284288.21560001</v>
      </c>
      <c r="J35" s="14" t="s">
        <v>20</v>
      </c>
      <c r="K35" s="15">
        <f t="shared" si="12"/>
        <v>267</v>
      </c>
      <c r="L35" s="15">
        <f t="shared" si="12"/>
        <v>22965454.098900001</v>
      </c>
      <c r="N35" s="14" t="s">
        <v>20</v>
      </c>
      <c r="O35" s="15">
        <f t="shared" si="13"/>
        <v>375</v>
      </c>
      <c r="P35" s="15">
        <f t="shared" si="13"/>
        <v>33376493.699999999</v>
      </c>
      <c r="R35" s="14" t="s">
        <v>20</v>
      </c>
      <c r="S35" s="15">
        <f t="shared" si="14"/>
        <v>869</v>
      </c>
      <c r="T35" s="15">
        <f t="shared" si="14"/>
        <v>74942340.416700006</v>
      </c>
      <c r="V35" s="14" t="s">
        <v>77</v>
      </c>
      <c r="W35" s="15">
        <f t="shared" ref="W35:X40" si="21">AA35+AE35+AI35</f>
        <v>0</v>
      </c>
      <c r="X35" s="15">
        <f t="shared" si="21"/>
        <v>0</v>
      </c>
      <c r="Y35"/>
      <c r="Z35" s="14" t="s">
        <v>77</v>
      </c>
      <c r="AA35" s="15">
        <f t="shared" ref="AA35:AB40" si="22">AA5+AA20</f>
        <v>0</v>
      </c>
      <c r="AB35" s="15">
        <f t="shared" si="22"/>
        <v>0</v>
      </c>
      <c r="AC35"/>
      <c r="AD35" s="14" t="s">
        <v>77</v>
      </c>
      <c r="AE35" s="15">
        <f t="shared" ref="AE35:AF40" si="23">AE5+AE20</f>
        <v>0</v>
      </c>
      <c r="AF35" s="15">
        <f t="shared" si="23"/>
        <v>0</v>
      </c>
      <c r="AG35"/>
      <c r="AH35" s="14" t="s">
        <v>77</v>
      </c>
      <c r="AI35" s="15">
        <f t="shared" ref="AI35:AJ40" si="24">AI5+AI20</f>
        <v>0</v>
      </c>
      <c r="AJ35" s="15">
        <f t="shared" si="24"/>
        <v>0</v>
      </c>
      <c r="AL35" s="14" t="s">
        <v>1867</v>
      </c>
      <c r="AM35" s="15">
        <f t="shared" si="17"/>
        <v>1080</v>
      </c>
      <c r="AN35" s="15">
        <f t="shared" si="17"/>
        <v>102856038.78119999</v>
      </c>
      <c r="AO35"/>
      <c r="AP35" s="14" t="s">
        <v>1867</v>
      </c>
      <c r="AQ35" s="15">
        <f t="shared" si="18"/>
        <v>310</v>
      </c>
      <c r="AR35" s="15">
        <f t="shared" si="18"/>
        <v>29407351.458000001</v>
      </c>
      <c r="AS35"/>
      <c r="AT35" s="14" t="s">
        <v>1867</v>
      </c>
      <c r="AU35" s="15">
        <f t="shared" si="19"/>
        <v>386</v>
      </c>
      <c r="AV35" s="15">
        <f t="shared" si="19"/>
        <v>36878125.277899995</v>
      </c>
      <c r="AW35"/>
      <c r="AX35" s="14" t="s">
        <v>1867</v>
      </c>
      <c r="AY35" s="15">
        <f t="shared" si="20"/>
        <v>384</v>
      </c>
      <c r="AZ35" s="15">
        <f t="shared" si="20"/>
        <v>36570562.045299999</v>
      </c>
    </row>
    <row r="36" spans="1:52">
      <c r="A36" s="14" t="s">
        <v>1046</v>
      </c>
      <c r="B36" s="33" t="e">
        <f>#REF!+#REF!</f>
        <v>#REF!</v>
      </c>
      <c r="C36" s="33" t="e">
        <f>#REF!+#REF!</f>
        <v>#REF!</v>
      </c>
      <c r="F36" s="18" t="s">
        <v>114</v>
      </c>
      <c r="G36" s="23">
        <f>SUM(G31:G35)</f>
        <v>7827</v>
      </c>
      <c r="H36" s="23">
        <f>SUM(H31:H35)</f>
        <v>678601763.67019999</v>
      </c>
      <c r="J36" s="18" t="s">
        <v>114</v>
      </c>
      <c r="K36" s="23">
        <f>SUM(K31:K35)</f>
        <v>1992</v>
      </c>
      <c r="L36" s="23">
        <f>SUM(L31:L35)</f>
        <v>171337769.9064</v>
      </c>
      <c r="N36" s="18" t="s">
        <v>114</v>
      </c>
      <c r="O36" s="23">
        <f>SUM(O31:O35)</f>
        <v>1487</v>
      </c>
      <c r="P36" s="23">
        <f>SUM(P31:P35)</f>
        <v>132348923.0184</v>
      </c>
      <c r="R36" s="18" t="s">
        <v>114</v>
      </c>
      <c r="S36" s="23">
        <f>SUM(S31:S35)</f>
        <v>4348</v>
      </c>
      <c r="T36" s="23">
        <f>SUM(T31:T35)</f>
        <v>374915070.74540001</v>
      </c>
      <c r="V36" s="14" t="s">
        <v>8</v>
      </c>
      <c r="W36" s="15">
        <f t="shared" si="21"/>
        <v>2813</v>
      </c>
      <c r="X36" s="15">
        <f t="shared" si="21"/>
        <v>251438677.10089999</v>
      </c>
      <c r="Y36"/>
      <c r="Z36" s="14" t="s">
        <v>8</v>
      </c>
      <c r="AA36" s="15">
        <f t="shared" si="22"/>
        <v>608</v>
      </c>
      <c r="AB36" s="15">
        <f t="shared" si="22"/>
        <v>53486898.246399999</v>
      </c>
      <c r="AC36"/>
      <c r="AD36" s="14" t="s">
        <v>8</v>
      </c>
      <c r="AE36" s="15">
        <f t="shared" si="23"/>
        <v>905</v>
      </c>
      <c r="AF36" s="15">
        <f t="shared" si="23"/>
        <v>81331763.342500001</v>
      </c>
      <c r="AG36"/>
      <c r="AH36" s="14" t="s">
        <v>8</v>
      </c>
      <c r="AI36" s="15">
        <f t="shared" si="24"/>
        <v>1300</v>
      </c>
      <c r="AJ36" s="15">
        <f t="shared" si="24"/>
        <v>116620015.51199999</v>
      </c>
      <c r="AL36" s="14" t="s">
        <v>20</v>
      </c>
      <c r="AM36" s="15">
        <f t="shared" si="17"/>
        <v>1100</v>
      </c>
      <c r="AN36" s="15">
        <f t="shared" si="17"/>
        <v>104700472.59650001</v>
      </c>
      <c r="AO36"/>
      <c r="AP36" s="14" t="s">
        <v>20</v>
      </c>
      <c r="AQ36" s="15">
        <f t="shared" si="18"/>
        <v>330</v>
      </c>
      <c r="AR36" s="15">
        <f t="shared" si="18"/>
        <v>31247632.358000003</v>
      </c>
      <c r="AS36"/>
      <c r="AT36" s="14" t="s">
        <v>20</v>
      </c>
      <c r="AU36" s="15">
        <f t="shared" si="19"/>
        <v>386</v>
      </c>
      <c r="AV36" s="15">
        <f t="shared" si="19"/>
        <v>36882278.1932</v>
      </c>
      <c r="AW36"/>
      <c r="AX36" s="14" t="s">
        <v>20</v>
      </c>
      <c r="AY36" s="15">
        <f t="shared" si="20"/>
        <v>384</v>
      </c>
      <c r="AZ36" s="15">
        <f t="shared" si="20"/>
        <v>36570562.045299999</v>
      </c>
    </row>
    <row r="37" spans="1:52">
      <c r="A37" s="14" t="s">
        <v>63</v>
      </c>
      <c r="B37" s="33" t="e">
        <f>#REF!+B16</f>
        <v>#REF!</v>
      </c>
      <c r="C37" s="33" t="e">
        <f>#REF!+C16</f>
        <v>#REF!</v>
      </c>
      <c r="F37" s="20" t="s">
        <v>115</v>
      </c>
      <c r="G37" s="13" t="s">
        <v>100</v>
      </c>
      <c r="H37" s="21" t="s">
        <v>97</v>
      </c>
      <c r="J37" s="20" t="s">
        <v>115</v>
      </c>
      <c r="K37" s="13" t="s">
        <v>100</v>
      </c>
      <c r="L37" s="21" t="s">
        <v>97</v>
      </c>
      <c r="N37" s="20" t="s">
        <v>115</v>
      </c>
      <c r="O37" s="13" t="s">
        <v>100</v>
      </c>
      <c r="P37" s="21" t="s">
        <v>97</v>
      </c>
      <c r="R37" s="20" t="s">
        <v>115</v>
      </c>
      <c r="S37" s="13" t="s">
        <v>100</v>
      </c>
      <c r="T37" s="21" t="s">
        <v>97</v>
      </c>
      <c r="V37" s="14" t="s">
        <v>1233</v>
      </c>
      <c r="W37" s="15">
        <f t="shared" si="21"/>
        <v>547</v>
      </c>
      <c r="X37" s="15">
        <f t="shared" si="21"/>
        <v>48069373.778099999</v>
      </c>
      <c r="Y37"/>
      <c r="Z37" s="14" t="s">
        <v>1233</v>
      </c>
      <c r="AA37" s="15">
        <f t="shared" si="22"/>
        <v>547</v>
      </c>
      <c r="AB37" s="15">
        <f t="shared" si="22"/>
        <v>48069373.778099999</v>
      </c>
      <c r="AC37"/>
      <c r="AD37" s="14" t="s">
        <v>1233</v>
      </c>
      <c r="AE37" s="15">
        <f t="shared" si="23"/>
        <v>0</v>
      </c>
      <c r="AF37" s="15">
        <f t="shared" si="23"/>
        <v>0</v>
      </c>
      <c r="AG37"/>
      <c r="AH37" s="14" t="s">
        <v>1233</v>
      </c>
      <c r="AI37" s="15">
        <f t="shared" si="24"/>
        <v>0</v>
      </c>
      <c r="AJ37" s="15">
        <f t="shared" si="24"/>
        <v>0</v>
      </c>
      <c r="AL37" s="14" t="s">
        <v>14</v>
      </c>
      <c r="AM37" s="15">
        <f t="shared" si="17"/>
        <v>1241</v>
      </c>
      <c r="AN37" s="15">
        <f t="shared" si="17"/>
        <v>118100632.77039999</v>
      </c>
      <c r="AO37"/>
      <c r="AP37" s="14" t="s">
        <v>14</v>
      </c>
      <c r="AQ37" s="15">
        <f t="shared" si="18"/>
        <v>472</v>
      </c>
      <c r="AR37" s="15">
        <f t="shared" si="18"/>
        <v>44745527.702999994</v>
      </c>
      <c r="AS37"/>
      <c r="AT37" s="14" t="s">
        <v>14</v>
      </c>
      <c r="AU37" s="15">
        <f t="shared" si="19"/>
        <v>386</v>
      </c>
      <c r="AV37" s="15">
        <f t="shared" si="19"/>
        <v>36878125.277899995</v>
      </c>
      <c r="AW37"/>
      <c r="AX37" s="14" t="s">
        <v>14</v>
      </c>
      <c r="AY37" s="15">
        <f t="shared" si="20"/>
        <v>383</v>
      </c>
      <c r="AZ37" s="15">
        <f t="shared" si="20"/>
        <v>36476979.789499998</v>
      </c>
    </row>
    <row r="38" spans="1:52">
      <c r="A38" s="27" t="s">
        <v>114</v>
      </c>
      <c r="B38" s="18" t="e">
        <f>SUM(B35:B37)</f>
        <v>#REF!</v>
      </c>
      <c r="C38" s="18" t="e">
        <f>SUM(C35:C37)</f>
        <v>#REF!</v>
      </c>
      <c r="F38" s="24" t="s">
        <v>16</v>
      </c>
      <c r="G38" s="15">
        <f>K38+O38+S38</f>
        <v>3353</v>
      </c>
      <c r="H38" s="15">
        <f>L38+P38+T38</f>
        <v>290269175.42949998</v>
      </c>
      <c r="J38" s="24" t="s">
        <v>16</v>
      </c>
      <c r="K38" s="15">
        <f>K12+K25</f>
        <v>854</v>
      </c>
      <c r="L38" s="15">
        <f>L12+L25</f>
        <v>73455047.941799998</v>
      </c>
      <c r="N38" s="24" t="s">
        <v>16</v>
      </c>
      <c r="O38" s="15">
        <f>O12+O25</f>
        <v>492</v>
      </c>
      <c r="P38" s="15">
        <f>P12+P25</f>
        <v>43789959.729999997</v>
      </c>
      <c r="R38" s="24" t="s">
        <v>16</v>
      </c>
      <c r="S38" s="15">
        <f>S12+S25</f>
        <v>2007</v>
      </c>
      <c r="T38" s="15">
        <f>T12+T25</f>
        <v>173024167.7577</v>
      </c>
      <c r="V38" s="14" t="s">
        <v>20</v>
      </c>
      <c r="W38" s="15">
        <f t="shared" si="21"/>
        <v>2811</v>
      </c>
      <c r="X38" s="15">
        <f t="shared" si="21"/>
        <v>251269043</v>
      </c>
      <c r="Y38"/>
      <c r="Z38" s="14" t="s">
        <v>20</v>
      </c>
      <c r="AA38" s="15">
        <f t="shared" si="22"/>
        <v>608</v>
      </c>
      <c r="AB38" s="15">
        <f t="shared" si="22"/>
        <v>53486898.246399999</v>
      </c>
      <c r="AC38"/>
      <c r="AD38" s="14" t="s">
        <v>20</v>
      </c>
      <c r="AE38" s="15">
        <f t="shared" si="23"/>
        <v>903</v>
      </c>
      <c r="AF38" s="15">
        <f t="shared" si="23"/>
        <v>81162129.241600007</v>
      </c>
      <c r="AG38"/>
      <c r="AH38" s="14" t="s">
        <v>20</v>
      </c>
      <c r="AI38" s="15">
        <f t="shared" si="24"/>
        <v>1300</v>
      </c>
      <c r="AJ38" s="15">
        <f t="shared" si="24"/>
        <v>116620015.51199999</v>
      </c>
      <c r="AL38" s="27" t="s">
        <v>114</v>
      </c>
      <c r="AM38" s="28">
        <f>SUM(AM33:AM37)</f>
        <v>4784</v>
      </c>
      <c r="AN38" s="28">
        <f>SUM(AN33:AN37)</f>
        <v>455483210.81380004</v>
      </c>
      <c r="AO38"/>
      <c r="AP38" s="27" t="s">
        <v>114</v>
      </c>
      <c r="AQ38" s="28">
        <f>SUM(AQ33:AQ37)</f>
        <v>1322</v>
      </c>
      <c r="AR38" s="28">
        <f>SUM(AR33:AR37)</f>
        <v>125299328.90899999</v>
      </c>
      <c r="AS38"/>
      <c r="AT38" s="27" t="s">
        <v>114</v>
      </c>
      <c r="AU38" s="28">
        <f>SUM(AU33:AU37)</f>
        <v>1544</v>
      </c>
      <c r="AV38" s="28">
        <f>SUM(AV33:AV37)</f>
        <v>147520806.94220001</v>
      </c>
      <c r="AW38"/>
      <c r="AX38" s="27" t="s">
        <v>114</v>
      </c>
      <c r="AY38" s="28">
        <f>SUM(AY33:AY37)</f>
        <v>1918</v>
      </c>
      <c r="AZ38" s="28">
        <f>SUM(AZ33:AZ37)</f>
        <v>182663074.96260002</v>
      </c>
    </row>
    <row r="39" spans="1:52">
      <c r="A39" s="20" t="s">
        <v>115</v>
      </c>
      <c r="B39" s="13" t="s">
        <v>100</v>
      </c>
      <c r="C39" s="21" t="s">
        <v>97</v>
      </c>
      <c r="F39" s="22" t="s">
        <v>22</v>
      </c>
      <c r="G39" s="15">
        <f>K39+O39+S39</f>
        <v>2067</v>
      </c>
      <c r="H39" s="15">
        <f>L39+P39+T39</f>
        <v>179518630.65650001</v>
      </c>
      <c r="J39" s="22" t="s">
        <v>22</v>
      </c>
      <c r="K39" s="15">
        <f>K13+K26</f>
        <v>540</v>
      </c>
      <c r="L39" s="15">
        <f>L13+L26</f>
        <v>46446985.818000004</v>
      </c>
      <c r="N39" s="22" t="s">
        <v>22</v>
      </c>
      <c r="O39" s="15">
        <f>O13+O26</f>
        <v>492</v>
      </c>
      <c r="P39" s="15">
        <f>P13+P26</f>
        <v>43789959.729999997</v>
      </c>
      <c r="R39" s="22" t="s">
        <v>22</v>
      </c>
      <c r="S39" s="15">
        <f>S13+S26</f>
        <v>1035</v>
      </c>
      <c r="T39" s="15">
        <f>T13+T26</f>
        <v>89281685.108500004</v>
      </c>
      <c r="V39" s="14" t="s">
        <v>73</v>
      </c>
      <c r="W39" s="15">
        <f t="shared" si="21"/>
        <v>833</v>
      </c>
      <c r="X39" s="15">
        <f t="shared" si="21"/>
        <v>73974907.487100005</v>
      </c>
      <c r="Y39"/>
      <c r="Z39" s="14" t="s">
        <v>73</v>
      </c>
      <c r="AA39" s="15">
        <f t="shared" si="22"/>
        <v>423</v>
      </c>
      <c r="AB39" s="15">
        <f t="shared" si="22"/>
        <v>37234507.345899999</v>
      </c>
      <c r="AC39"/>
      <c r="AD39" s="14" t="s">
        <v>73</v>
      </c>
      <c r="AE39" s="15">
        <f t="shared" si="23"/>
        <v>0</v>
      </c>
      <c r="AF39" s="15">
        <f t="shared" si="23"/>
        <v>0</v>
      </c>
      <c r="AG39"/>
      <c r="AH39" s="14" t="s">
        <v>1867</v>
      </c>
      <c r="AI39" s="15">
        <f t="shared" si="24"/>
        <v>410</v>
      </c>
      <c r="AJ39" s="15">
        <f t="shared" si="24"/>
        <v>36740400.141200006</v>
      </c>
      <c r="AL39" s="20" t="s">
        <v>115</v>
      </c>
      <c r="AM39" s="13" t="s">
        <v>100</v>
      </c>
      <c r="AN39" s="21" t="s">
        <v>97</v>
      </c>
      <c r="AO39"/>
      <c r="AP39" s="20" t="s">
        <v>115</v>
      </c>
      <c r="AQ39" s="13" t="s">
        <v>100</v>
      </c>
      <c r="AR39" s="21" t="s">
        <v>97</v>
      </c>
      <c r="AS39"/>
      <c r="AT39" s="20" t="s">
        <v>115</v>
      </c>
      <c r="AU39" s="13" t="s">
        <v>100</v>
      </c>
      <c r="AV39" s="21" t="s">
        <v>97</v>
      </c>
      <c r="AW39"/>
      <c r="AX39" s="20" t="s">
        <v>115</v>
      </c>
      <c r="AY39" s="13" t="s">
        <v>100</v>
      </c>
      <c r="AZ39" s="21" t="s">
        <v>97</v>
      </c>
    </row>
    <row r="40" spans="1:52">
      <c r="A40" s="22" t="s">
        <v>16</v>
      </c>
      <c r="B40" s="41">
        <f>B10+B19</f>
        <v>578.90000000000009</v>
      </c>
      <c r="C40" s="41">
        <f>C10+C19</f>
        <v>48822498.200000003</v>
      </c>
      <c r="F40" s="27" t="s">
        <v>114</v>
      </c>
      <c r="G40" s="28">
        <f>SUM(G38:G39)</f>
        <v>5420</v>
      </c>
      <c r="H40" s="28">
        <f>SUM(H38:H39)</f>
        <v>469787806.08599997</v>
      </c>
      <c r="J40" s="27" t="s">
        <v>114</v>
      </c>
      <c r="K40" s="28">
        <f>SUM(K38:K39)</f>
        <v>1394</v>
      </c>
      <c r="L40" s="28">
        <f>SUM(L38:L39)</f>
        <v>119902033.7598</v>
      </c>
      <c r="N40" s="27" t="s">
        <v>114</v>
      </c>
      <c r="O40" s="28">
        <f>SUM(O38:O39)</f>
        <v>984</v>
      </c>
      <c r="P40" s="28">
        <f>SUM(P38:P39)</f>
        <v>87579919.459999993</v>
      </c>
      <c r="R40" s="27" t="s">
        <v>114</v>
      </c>
      <c r="S40" s="28">
        <f>SUM(S38:S39)</f>
        <v>3042</v>
      </c>
      <c r="T40" s="28">
        <f>SUM(T38:T39)</f>
        <v>262305852.8662</v>
      </c>
      <c r="V40" s="14" t="s">
        <v>14</v>
      </c>
      <c r="W40" s="15">
        <f t="shared" si="21"/>
        <v>2708</v>
      </c>
      <c r="X40" s="15">
        <f t="shared" si="21"/>
        <v>242212346.1744</v>
      </c>
      <c r="Y40"/>
      <c r="Z40" s="14" t="s">
        <v>14</v>
      </c>
      <c r="AA40" s="15">
        <f t="shared" si="22"/>
        <v>503</v>
      </c>
      <c r="AB40" s="15">
        <f t="shared" si="22"/>
        <v>44260567.319899999</v>
      </c>
      <c r="AC40"/>
      <c r="AD40" s="14" t="s">
        <v>14</v>
      </c>
      <c r="AE40" s="15">
        <f t="shared" si="23"/>
        <v>905</v>
      </c>
      <c r="AF40" s="15">
        <f t="shared" si="23"/>
        <v>81331763.342500001</v>
      </c>
      <c r="AG40"/>
      <c r="AH40" s="14" t="s">
        <v>14</v>
      </c>
      <c r="AI40" s="15">
        <f t="shared" si="24"/>
        <v>1300</v>
      </c>
      <c r="AJ40" s="15">
        <f t="shared" si="24"/>
        <v>116620015.51199999</v>
      </c>
      <c r="AL40" s="22" t="s">
        <v>16</v>
      </c>
      <c r="AM40" s="15">
        <f t="shared" ref="AM40:AN41" si="25">AQ40+AU40+AY40</f>
        <v>1789.85</v>
      </c>
      <c r="AN40" s="15">
        <f t="shared" si="25"/>
        <v>170389517.20263499</v>
      </c>
      <c r="AO40"/>
      <c r="AP40" s="22" t="s">
        <v>16</v>
      </c>
      <c r="AQ40" s="15">
        <v>462.65</v>
      </c>
      <c r="AR40" s="15">
        <f>AR12+AR26</f>
        <v>43788915.616800003</v>
      </c>
      <c r="AS40"/>
      <c r="AT40" s="22" t="s">
        <v>16</v>
      </c>
      <c r="AU40" s="15">
        <f>AU12+AU26</f>
        <v>656.2</v>
      </c>
      <c r="AV40" s="15">
        <f>AV12+AV26</f>
        <v>62696342.950434998</v>
      </c>
      <c r="AW40"/>
      <c r="AX40" s="22" t="s">
        <v>16</v>
      </c>
      <c r="AY40" s="15">
        <v>671</v>
      </c>
      <c r="AZ40" s="15">
        <f>AZ12+AZ26</f>
        <v>63904258.635399997</v>
      </c>
    </row>
    <row r="41" spans="1:52">
      <c r="A41" s="18" t="s">
        <v>114</v>
      </c>
      <c r="B41" s="18">
        <f>SUM(B40:B40)</f>
        <v>578.90000000000009</v>
      </c>
      <c r="C41" s="18">
        <f>SUM(C40:C40)</f>
        <v>48822498.200000003</v>
      </c>
      <c r="F41" s="42"/>
      <c r="G41" s="36"/>
      <c r="H41" s="36"/>
      <c r="J41"/>
      <c r="K41"/>
      <c r="L41"/>
      <c r="N41"/>
      <c r="O41"/>
      <c r="P41"/>
      <c r="R41"/>
      <c r="S41"/>
      <c r="T41"/>
      <c r="V41" s="27" t="s">
        <v>114</v>
      </c>
      <c r="W41" s="28">
        <f>SUM(W35:W40)</f>
        <v>9712</v>
      </c>
      <c r="X41" s="28">
        <f>SUM(X35:X40)</f>
        <v>866964347.54049993</v>
      </c>
      <c r="Y41"/>
      <c r="Z41" s="27" t="s">
        <v>114</v>
      </c>
      <c r="AA41" s="28">
        <f>SUM(AA35:AA40)</f>
        <v>2689</v>
      </c>
      <c r="AB41" s="28">
        <f>SUM(AB35:AB40)</f>
        <v>236538244.93670002</v>
      </c>
      <c r="AC41"/>
      <c r="AD41" s="27" t="s">
        <v>114</v>
      </c>
      <c r="AE41" s="28">
        <f>SUM(AE35:AE40)</f>
        <v>2713</v>
      </c>
      <c r="AF41" s="28">
        <f>SUM(AF35:AF40)</f>
        <v>243825655.92660001</v>
      </c>
      <c r="AG41"/>
      <c r="AH41" s="27" t="s">
        <v>114</v>
      </c>
      <c r="AI41" s="28">
        <f>SUM(AI35:AI40)</f>
        <v>4310</v>
      </c>
      <c r="AJ41" s="28">
        <f>SUM(AJ35:AJ40)</f>
        <v>386600446.67719996</v>
      </c>
      <c r="AL41" s="22" t="s">
        <v>22</v>
      </c>
      <c r="AM41" s="15">
        <f t="shared" si="25"/>
        <v>1789.2</v>
      </c>
      <c r="AN41" s="15">
        <f t="shared" si="25"/>
        <v>170389517.20263499</v>
      </c>
      <c r="AO41"/>
      <c r="AP41" s="22" t="s">
        <v>22</v>
      </c>
      <c r="AQ41" s="15">
        <v>462</v>
      </c>
      <c r="AR41" s="15">
        <f>AR13+AR27</f>
        <v>43788915.616800003</v>
      </c>
      <c r="AS41"/>
      <c r="AT41" s="22" t="s">
        <v>22</v>
      </c>
      <c r="AU41" s="15">
        <f>AU13+AU27</f>
        <v>656.2</v>
      </c>
      <c r="AV41" s="15">
        <f>AV13+AV27</f>
        <v>62696342.950434998</v>
      </c>
      <c r="AW41"/>
      <c r="AX41" s="22" t="s">
        <v>22</v>
      </c>
      <c r="AY41" s="15">
        <v>671</v>
      </c>
      <c r="AZ41" s="15">
        <f>AZ13+AZ27</f>
        <v>63904258.635399997</v>
      </c>
    </row>
    <row r="42" spans="1:52">
      <c r="A42" s="4"/>
      <c r="B42" s="4"/>
      <c r="C42" s="4"/>
      <c r="F42" s="43" t="s">
        <v>653</v>
      </c>
      <c r="G42"/>
      <c r="H42"/>
      <c r="J42" s="43" t="s">
        <v>653</v>
      </c>
      <c r="K42"/>
      <c r="L42"/>
      <c r="N42" s="43" t="s">
        <v>653</v>
      </c>
      <c r="O42"/>
      <c r="P42"/>
      <c r="R42" s="43" t="s">
        <v>653</v>
      </c>
      <c r="S42"/>
      <c r="T42"/>
      <c r="V42" s="20" t="s">
        <v>115</v>
      </c>
      <c r="W42" s="13" t="s">
        <v>100</v>
      </c>
      <c r="X42" s="21" t="s">
        <v>97</v>
      </c>
      <c r="Y42"/>
      <c r="Z42" s="20" t="s">
        <v>115</v>
      </c>
      <c r="AA42" s="13" t="s">
        <v>100</v>
      </c>
      <c r="AB42" s="21" t="s">
        <v>97</v>
      </c>
      <c r="AC42"/>
      <c r="AD42" s="20" t="s">
        <v>115</v>
      </c>
      <c r="AE42" s="13" t="s">
        <v>100</v>
      </c>
      <c r="AF42" s="21" t="s">
        <v>97</v>
      </c>
      <c r="AG42"/>
      <c r="AH42" s="20" t="s">
        <v>115</v>
      </c>
      <c r="AI42" s="13" t="s">
        <v>100</v>
      </c>
      <c r="AJ42" s="21" t="s">
        <v>97</v>
      </c>
      <c r="AL42" s="18" t="s">
        <v>114</v>
      </c>
      <c r="AM42" s="28">
        <f>SUM(AM40:AM41)</f>
        <v>3579.05</v>
      </c>
      <c r="AN42" s="28">
        <f>SUM(AN40:AN41)</f>
        <v>340779034.40526998</v>
      </c>
      <c r="AO42"/>
      <c r="AP42" s="18" t="s">
        <v>114</v>
      </c>
      <c r="AQ42" s="28">
        <f>SUM(AQ40:AQ41)</f>
        <v>924.65</v>
      </c>
      <c r="AR42" s="28">
        <f>SUM(AR40:AR41)</f>
        <v>87577831.233600006</v>
      </c>
      <c r="AS42"/>
      <c r="AT42" s="18" t="s">
        <v>114</v>
      </c>
      <c r="AU42" s="28">
        <f>SUM(AU40:AU41)</f>
        <v>1312.4</v>
      </c>
      <c r="AV42" s="28">
        <f>SUM(AV40:AV41)</f>
        <v>125392685.90087</v>
      </c>
      <c r="AW42"/>
      <c r="AX42" s="18" t="s">
        <v>114</v>
      </c>
      <c r="AY42" s="28">
        <f>SUM(AY40:AY41)</f>
        <v>1342</v>
      </c>
      <c r="AZ42" s="28">
        <f>SUM(AZ40:AZ41)</f>
        <v>127808517.27079999</v>
      </c>
    </row>
    <row r="43" spans="1:52">
      <c r="F43" s="42"/>
      <c r="G43" s="44"/>
      <c r="H43" s="44"/>
      <c r="J43"/>
      <c r="K43"/>
      <c r="L43"/>
      <c r="V43" s="22" t="s">
        <v>22</v>
      </c>
      <c r="W43" s="15">
        <f>AA43+AE43+AI43</f>
        <v>3437</v>
      </c>
      <c r="X43" s="15">
        <f>AB43+AF43+AJ43</f>
        <v>309089233.11919999</v>
      </c>
      <c r="Y43"/>
      <c r="Z43" s="22" t="s">
        <v>22</v>
      </c>
      <c r="AA43" s="15">
        <f>AA14+AA29</f>
        <v>994</v>
      </c>
      <c r="AB43" s="15">
        <f>AB14+AB29</f>
        <v>89909982.389200002</v>
      </c>
      <c r="AC43"/>
      <c r="AD43" s="22" t="s">
        <v>22</v>
      </c>
      <c r="AE43" s="15">
        <f>AE14+AE29</f>
        <v>1328</v>
      </c>
      <c r="AF43" s="15">
        <f>AF14+AF29</f>
        <v>119416431.28400001</v>
      </c>
      <c r="AG43"/>
      <c r="AH43" s="22" t="s">
        <v>22</v>
      </c>
      <c r="AI43" s="15">
        <f>AI14+AI29</f>
        <v>1115</v>
      </c>
      <c r="AJ43" s="15">
        <f>AJ14+AJ29</f>
        <v>99762819.44600001</v>
      </c>
    </row>
    <row r="44" spans="1:52">
      <c r="F44" s="44"/>
      <c r="G44" s="45"/>
      <c r="H44" s="46"/>
      <c r="V44" s="18" t="s">
        <v>114</v>
      </c>
      <c r="W44" s="28">
        <f>SUM(W43:W43)</f>
        <v>3437</v>
      </c>
      <c r="X44" s="28">
        <f>SUM(X43:X43)</f>
        <v>309089233.11919999</v>
      </c>
      <c r="Y44"/>
      <c r="Z44" s="18" t="s">
        <v>114</v>
      </c>
      <c r="AA44" s="28">
        <f>SUM(AA43:AA43)</f>
        <v>994</v>
      </c>
      <c r="AB44" s="28">
        <f>SUM(AB43:AB43)</f>
        <v>89909982.389200002</v>
      </c>
      <c r="AC44"/>
      <c r="AD44" s="18" t="s">
        <v>114</v>
      </c>
      <c r="AE44" s="28">
        <f>SUM(AE43:AE43)</f>
        <v>1328</v>
      </c>
      <c r="AF44" s="28">
        <f>SUM(AF43:AF43)</f>
        <v>119416431.28400001</v>
      </c>
      <c r="AG44"/>
      <c r="AH44" s="18" t="s">
        <v>114</v>
      </c>
      <c r="AI44" s="28">
        <f>SUM(AI43:AI43)</f>
        <v>1115</v>
      </c>
      <c r="AJ44" s="28">
        <f>SUM(AJ43:AJ43)</f>
        <v>99762819.44600001</v>
      </c>
    </row>
    <row r="45" spans="1:52">
      <c r="F45" s="42"/>
      <c r="G45" s="36"/>
      <c r="H45" s="36"/>
      <c r="V45" s="54"/>
      <c r="W45" s="54"/>
      <c r="X45" s="54"/>
      <c r="Y45"/>
      <c r="Z45"/>
      <c r="AA45"/>
      <c r="AB45"/>
      <c r="AC45"/>
      <c r="AD45"/>
      <c r="AE45"/>
      <c r="AF45"/>
      <c r="AG45"/>
      <c r="AH45"/>
      <c r="AI45"/>
      <c r="AJ45"/>
    </row>
    <row r="46" spans="1:52">
      <c r="F46" s="44"/>
      <c r="G46" s="44"/>
      <c r="H46" s="44"/>
      <c r="V46" s="43" t="s">
        <v>653</v>
      </c>
      <c r="W46" s="54"/>
      <c r="X46" s="54"/>
      <c r="Y46"/>
      <c r="Z46" s="43" t="s">
        <v>653</v>
      </c>
      <c r="AA46"/>
      <c r="AB46"/>
      <c r="AC46"/>
      <c r="AD46" s="43" t="s">
        <v>653</v>
      </c>
      <c r="AE46"/>
      <c r="AF46"/>
      <c r="AG46"/>
      <c r="AH46" s="43" t="s">
        <v>653</v>
      </c>
      <c r="AI46"/>
      <c r="AJ46"/>
    </row>
    <row r="48" spans="1:52">
      <c r="F48" s="29" t="s">
        <v>653</v>
      </c>
    </row>
  </sheetData>
  <mergeCells count="51">
    <mergeCell ref="Z1:AB1"/>
    <mergeCell ref="AD1:AF1"/>
    <mergeCell ref="AH1:AJ1"/>
    <mergeCell ref="AL1:AN1"/>
    <mergeCell ref="A1:C1"/>
    <mergeCell ref="F1:H1"/>
    <mergeCell ref="J1:L1"/>
    <mergeCell ref="N1:P1"/>
    <mergeCell ref="R1:T1"/>
    <mergeCell ref="AP1:AR1"/>
    <mergeCell ref="AT1:AV1"/>
    <mergeCell ref="AX1:AZ1"/>
    <mergeCell ref="F3:G3"/>
    <mergeCell ref="J3:K3"/>
    <mergeCell ref="N3:O3"/>
    <mergeCell ref="R3:S3"/>
    <mergeCell ref="V3:W3"/>
    <mergeCell ref="Z3:AA3"/>
    <mergeCell ref="AD3:AE3"/>
    <mergeCell ref="AH3:AI3"/>
    <mergeCell ref="AL3:AM3"/>
    <mergeCell ref="AP3:AQ3"/>
    <mergeCell ref="AT3:AU3"/>
    <mergeCell ref="AX3:AY3"/>
    <mergeCell ref="V1:X1"/>
    <mergeCell ref="A4:B4"/>
    <mergeCell ref="A13:B13"/>
    <mergeCell ref="F16:G16"/>
    <mergeCell ref="J16:K16"/>
    <mergeCell ref="N16:O16"/>
    <mergeCell ref="R16:S16"/>
    <mergeCell ref="AL17:AM17"/>
    <mergeCell ref="AP17:AQ17"/>
    <mergeCell ref="AT17:AU17"/>
    <mergeCell ref="AX17:AY17"/>
    <mergeCell ref="V18:W18"/>
    <mergeCell ref="Z18:AA18"/>
    <mergeCell ref="AD18:AE18"/>
    <mergeCell ref="AH18:AI18"/>
    <mergeCell ref="A22:B22"/>
    <mergeCell ref="F29:G29"/>
    <mergeCell ref="J29:K29"/>
    <mergeCell ref="N29:O29"/>
    <mergeCell ref="R29:S29"/>
    <mergeCell ref="AP31:AQ31"/>
    <mergeCell ref="AT31:AU31"/>
    <mergeCell ref="AX31:AY31"/>
    <mergeCell ref="A33:B33"/>
    <mergeCell ref="Z33:AA33"/>
    <mergeCell ref="AD33:AE33"/>
    <mergeCell ref="AH33:AI33"/>
  </mergeCells>
  <pageMargins left="0.7" right="0.7" top="0.75" bottom="0.75" header="0.3" footer="0.3"/>
  <pageSetup paperSize="9" scale="45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llowEditUser xmlns="https://web.wps.cn/et/2018/main" xmlns:s="http://schemas.openxmlformats.org/spreadsheetml/2006/main" hasInvisiblePropRange="0">
  <rangeList sheetStid="24" master="" otherUserPermission="visible"/>
  <rangeList sheetStid="1" master="" otherUserPermission="visible"/>
  <rangeList sheetStid="2" master="" otherUserPermission="visible"/>
  <rangeList sheetStid="3" master="" otherUserPermission="visible"/>
  <rangeList sheetStid="6" master="" otherUserPermission="visible"/>
  <rangeList sheetStid="9" master="" otherUserPermission="visible"/>
  <rangeList sheetStid="7" master="" otherUserPermission="visible"/>
  <rangeList sheetStid="15" master="" otherUserPermission="visible"/>
  <rangeList sheetStid="21" master="" otherUserPermission="visible"/>
  <rangeList sheetStid="17" master="" otherUserPermission="visible"/>
  <rangeList sheetStid="19" master="" otherUserPermission="visible"/>
  <rangeList sheetStid="25" master="" otherUserPermission="visible"/>
  <rangeList sheetStid="27" master="" otherUserPermission="visible"/>
  <rangeList sheetStid="29" master="" otherUserPermission="visible"/>
  <rangeList sheetStid="30" master="" otherUserPermission="visible"/>
  <rangeList sheetStid="22" master="" otherUserPermission="visible"/>
  <rangeList sheetStid="31" master="" otherUserPermission="visible"/>
  <rangeList sheetStid="33" master="" otherUserPermission="visible"/>
  <rangeList sheetStid="34" master="" otherUserPermission="visible"/>
  <rangeList sheetStid="35" master="" otherUserPermission="visible"/>
  <rangeList sheetStid="37" master="" otherUserPermission="visible"/>
  <rangeList sheetStid="38" master="" otherUserPermission="visible"/>
  <rangeList sheetStid="39" master="" otherUserPermission="visible"/>
  <rangeList sheetStid="41" master="" otherUserPermission="visible"/>
  <rangeList sheetStid="43" master="" otherUserPermission="visible"/>
  <rangeList sheetStid="44" master="" otherUserPermission="visible"/>
  <rangeList sheetStid="45" master="" otherUserPermission="visible"/>
  <rangeList sheetStid="47" master="" otherUserPermission="visible"/>
  <rangeList sheetStid="49" master="" otherUserPermission="visible"/>
  <rangeList sheetStid="50" master="" otherUserPermission="visible"/>
  <rangeList sheetStid="53" master="" otherUserPermission="visible"/>
  <rangeList sheetStid="54" master="" otherUserPermission="visible"/>
  <rangeList sheetStid="55" master="" otherUserPermission="visible"/>
  <rangeList sheetStid="56" master="" otherUserPermission="visible"/>
  <rangeList sheetStid="57" master="" otherUserPermission="visible"/>
  <rangeList sheetStid="58" master="" otherUserPermission="visible"/>
  <rangeList sheetStid="60" master="" otherUserPermission="visible"/>
  <rangeList sheetStid="61" master="" otherUserPermission="visible"/>
  <rangeList sheetStid="86" master="" otherUserPermission="visible"/>
  <rangeList sheetStid="81" master="" otherUserPermission="visible"/>
  <rangeList sheetStid="66" master="" otherUserPermission="visible"/>
  <rangeList sheetStid="73" master="" otherUserPermission="visible"/>
  <rangeList sheetStid="62" master="" otherUserPermission="visible"/>
  <rangeList sheetStid="67" master="" otherUserPermission="visible"/>
  <rangeList sheetStid="63" master="" otherUserPermission="visible"/>
  <rangeList sheetStid="64" master="" otherUserPermission="visible"/>
  <rangeList sheetStid="78" master="" otherUserPermission="visible"/>
  <rangeList sheetStid="68" master="" otherUserPermission="visible"/>
  <rangeList sheetStid="69" master="" otherUserPermission="visible"/>
  <rangeList sheetStid="70" master="" otherUserPermission="visible"/>
  <rangeList sheetStid="72" master="" otherUserPermission="visible"/>
  <rangeList sheetStid="74" master="" otherUserPermission="visible"/>
  <rangeList sheetStid="75" master="" otherUserPermission="visible"/>
  <rangeList sheetStid="76" master="" otherUserPermission="visible"/>
  <rangeList sheetStid="79" master="" otherUserPermission="visible"/>
  <rangeList sheetStid="80" master="" otherUserPermission="visible"/>
  <rangeList sheetStid="82" master="" otherUserPermission="visible"/>
  <rangeList sheetStid="83" master="" otherUserPermission="visible"/>
  <rangeList sheetStid="84" master="" otherUserPermission="visible"/>
  <rangeList sheetStid="85" master="" otherUserPermission="visible"/>
  <rangeList sheetStid="87" master="" otherUserPermission="visible"/>
  <rangeList sheetStid="88" master="" otherUserPermission="visible"/>
  <rangeList sheetStid="36" master="" otherUserPermission="visible"/>
  <rangeList sheetStid="23" master="" otherUserPermission="visible"/>
</allowEditUser>
</file>

<file path=customXml/itemProps1.xml><?xml version="1.0" encoding="utf-8"?>
<ds:datastoreItem xmlns:ds="http://schemas.openxmlformats.org/officeDocument/2006/customXml" ds:itemID="{B3BE15A9-5BFF-487D-905D-3E47F5F9134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67</vt:i4>
      </vt:variant>
      <vt:variant>
        <vt:lpstr>Именованные диапазоны</vt:lpstr>
      </vt:variant>
      <vt:variant>
        <vt:i4>32</vt:i4>
      </vt:variant>
    </vt:vector>
  </HeadingPairs>
  <TitlesOfParts>
    <vt:vector size="99" baseType="lpstr">
      <vt:lpstr>Списки</vt:lpstr>
      <vt:lpstr>Март</vt:lpstr>
      <vt:lpstr>Апрель</vt:lpstr>
      <vt:lpstr>Май</vt:lpstr>
      <vt:lpstr>Июнь</vt:lpstr>
      <vt:lpstr>2кв2021</vt:lpstr>
      <vt:lpstr>Июль</vt:lpstr>
      <vt:lpstr>Август</vt:lpstr>
      <vt:lpstr>3кв21</vt:lpstr>
      <vt:lpstr>Сентябрь</vt:lpstr>
      <vt:lpstr>Октябрь</vt:lpstr>
      <vt:lpstr>Ноябрь21</vt:lpstr>
      <vt:lpstr>Декабрь21</vt:lpstr>
      <vt:lpstr>Январь 22</vt:lpstr>
      <vt:lpstr>Февраль 22</vt:lpstr>
      <vt:lpstr>Ноябрь</vt:lpstr>
      <vt:lpstr>Март 22</vt:lpstr>
      <vt:lpstr>Апрель 22 </vt:lpstr>
      <vt:lpstr>Май 22</vt:lpstr>
      <vt:lpstr>Июнь 22 </vt:lpstr>
      <vt:lpstr>Июль 22</vt:lpstr>
      <vt:lpstr>Август 22</vt:lpstr>
      <vt:lpstr>Сентябрь 22</vt:lpstr>
      <vt:lpstr>Октябрь 22</vt:lpstr>
      <vt:lpstr>Ноябрь 22</vt:lpstr>
      <vt:lpstr>Декабрь 22</vt:lpstr>
      <vt:lpstr>Январь 23</vt:lpstr>
      <vt:lpstr>Февраль 2023</vt:lpstr>
      <vt:lpstr>Март 2023</vt:lpstr>
      <vt:lpstr>Апрель 2023</vt:lpstr>
      <vt:lpstr>Май 2023</vt:lpstr>
      <vt:lpstr>Июнь 2023</vt:lpstr>
      <vt:lpstr>Июль 2023</vt:lpstr>
      <vt:lpstr>Август 2023 </vt:lpstr>
      <vt:lpstr>Сентябрь 2023</vt:lpstr>
      <vt:lpstr>Октябрь 2023</vt:lpstr>
      <vt:lpstr>Ноябрь 2023</vt:lpstr>
      <vt:lpstr>Декабрь 2023</vt:lpstr>
      <vt:lpstr>ИПП 3кв25</vt:lpstr>
      <vt:lpstr>ИПП 2кв25</vt:lpstr>
      <vt:lpstr>ИПП 1кв25</vt:lpstr>
      <vt:lpstr>ИПП 2кв24</vt:lpstr>
      <vt:lpstr>ИПП 3кв24</vt:lpstr>
      <vt:lpstr>Январь 2024</vt:lpstr>
      <vt:lpstr>ИПП (2)</vt:lpstr>
      <vt:lpstr>Февраль 2024</vt:lpstr>
      <vt:lpstr>Март 2024</vt:lpstr>
      <vt:lpstr>ИПП 4кв24</vt:lpstr>
      <vt:lpstr>Апрель 2024</vt:lpstr>
      <vt:lpstr>Май 2024</vt:lpstr>
      <vt:lpstr>Июнь 2024</vt:lpstr>
      <vt:lpstr>Июль 2024</vt:lpstr>
      <vt:lpstr>Август 2024</vt:lpstr>
      <vt:lpstr>Сентябрь 2024</vt:lpstr>
      <vt:lpstr>Октябрь 2024</vt:lpstr>
      <vt:lpstr>Ноябрь 2024</vt:lpstr>
      <vt:lpstr>Декабрь 2024</vt:lpstr>
      <vt:lpstr>Январь 2025</vt:lpstr>
      <vt:lpstr>Февраль 2025</vt:lpstr>
      <vt:lpstr>Март 2025</vt:lpstr>
      <vt:lpstr>Апрель 2025</vt:lpstr>
      <vt:lpstr>Май 2025</vt:lpstr>
      <vt:lpstr>Июнь 2025</vt:lpstr>
      <vt:lpstr>Июль 2025</vt:lpstr>
      <vt:lpstr>Август 2025</vt:lpstr>
      <vt:lpstr>РД</vt:lpstr>
      <vt:lpstr>Индивидуальный план</vt:lpstr>
      <vt:lpstr>Август!Область_печати</vt:lpstr>
      <vt:lpstr>'Август 2023 '!Область_печати</vt:lpstr>
      <vt:lpstr>'Август 2024'!Область_печати</vt:lpstr>
      <vt:lpstr>'Август 2025'!Область_печати</vt:lpstr>
      <vt:lpstr>'Апрель 2023'!Область_печати</vt:lpstr>
      <vt:lpstr>'Апрель 2024'!Область_печати</vt:lpstr>
      <vt:lpstr>'Апрель 2025'!Область_печати</vt:lpstr>
      <vt:lpstr>'Декабрь 2023'!Область_печати</vt:lpstr>
      <vt:lpstr>'Декабрь 2024'!Область_печати</vt:lpstr>
      <vt:lpstr>Июль!Область_печати</vt:lpstr>
      <vt:lpstr>'Июль 2023'!Область_печати</vt:lpstr>
      <vt:lpstr>'Июль 2024'!Область_печати</vt:lpstr>
      <vt:lpstr>'Июль 2025'!Область_печати</vt:lpstr>
      <vt:lpstr>'Июнь 2023'!Область_печати</vt:lpstr>
      <vt:lpstr>'Июнь 2024'!Область_печати</vt:lpstr>
      <vt:lpstr>'Июнь 2025'!Область_печати</vt:lpstr>
      <vt:lpstr>'Май 2024'!Область_печати</vt:lpstr>
      <vt:lpstr>'Май 2025'!Область_печати</vt:lpstr>
      <vt:lpstr>'Март 2023'!Область_печати</vt:lpstr>
      <vt:lpstr>'Март 2024'!Область_печати</vt:lpstr>
      <vt:lpstr>'Март 2025'!Область_печати</vt:lpstr>
      <vt:lpstr>'Ноябрь 2023'!Область_печати</vt:lpstr>
      <vt:lpstr>'Ноябрь 2024'!Область_печати</vt:lpstr>
      <vt:lpstr>'Октябрь 2023'!Область_печати</vt:lpstr>
      <vt:lpstr>'Октябрь 2024'!Область_печати</vt:lpstr>
      <vt:lpstr>'Сентябрь 2023'!Область_печати</vt:lpstr>
      <vt:lpstr>'Сентябрь 2024'!Область_печати</vt:lpstr>
      <vt:lpstr>'Февраль 2023'!Область_печати</vt:lpstr>
      <vt:lpstr>'Февраль 2024'!Область_печати</vt:lpstr>
      <vt:lpstr>'Февраль 2025'!Область_печати</vt:lpstr>
      <vt:lpstr>'Январь 2024'!Область_печати</vt:lpstr>
      <vt:lpstr>'Январь 2025'!Область_печати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Бляблин Илья Александрович</dc:creator>
  <cp:lastModifiedBy>Радченко Амина Валериевна</cp:lastModifiedBy>
  <cp:lastPrinted>2025-08-04T09:52:55Z</cp:lastPrinted>
  <dcterms:created xsi:type="dcterms:W3CDTF">2015-06-05T18:19:00Z</dcterms:created>
  <dcterms:modified xsi:type="dcterms:W3CDTF">2025-08-24T13:36:30Z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F1FAB36FFF66493AA43BFB2535B9784C_12</vt:lpwstr>
  </property>
  <property fmtid="{D5CDD505-2E9C-101B-9397-08002B2CF9AE}" pid="3" name="KSOProductBuildVer">
    <vt:lpwstr>1049-12.2.0.21546</vt:lpwstr>
  </property>
</Properties>
</file>